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alixpartners-my.sharepoint.com/personal/drawden_alixpartners_com/Documents/Documents/Spartans/2022 Predictions/"/>
    </mc:Choice>
  </mc:AlternateContent>
  <xr:revisionPtr revIDLastSave="38" documentId="8_{837A7ABC-9E10-4325-92FB-D0CB8E4735D1}" xr6:coauthVersionLast="47" xr6:coauthVersionMax="47" xr10:uidLastSave="{4AEA5F83-DC14-43C5-B6F2-ACF9873907D9}"/>
  <bookViews>
    <workbookView xWindow="-90" yWindow="-90" windowWidth="19380" windowHeight="11580" tabRatio="973" xr2:uid="{00000000-000D-0000-FFFF-FFFF00000000}"/>
  </bookViews>
  <sheets>
    <sheet name="All" sheetId="1" r:id="rId1"/>
    <sheet name="AAC" sheetId="2" r:id="rId2"/>
    <sheet name="ACC" sheetId="3" r:id="rId3"/>
    <sheet name="Big Ten" sheetId="4" r:id="rId4"/>
    <sheet name="Big 12" sheetId="5" r:id="rId5"/>
    <sheet name="CUSA" sheetId="6" r:id="rId6"/>
    <sheet name="Ind" sheetId="7" r:id="rId7"/>
    <sheet name="MAC" sheetId="8" r:id="rId8"/>
    <sheet name="MWC" sheetId="9" r:id="rId9"/>
    <sheet name="Pac 12" sheetId="10" r:id="rId10"/>
    <sheet name="Sun Belt" sheetId="11" r:id="rId11"/>
    <sheet name="SEC" sheetId="12" r:id="rId12"/>
    <sheet name="Bowls" sheetId="13" r:id="rId13"/>
    <sheet name="NFL" sheetId="15" r:id="rId14"/>
    <sheet name="NFL By Team" sheetId="17" r:id="rId15"/>
    <sheet name="NFL Playoffs" sheetId="18" r:id="rId16"/>
    <sheet name="Conferences" sheetId="21" r:id="rId17"/>
  </sheets>
  <definedNames>
    <definedName name="_xlnm._FilterDatabase" localSheetId="1" hidden="1">AAC!$A$2:$W$16</definedName>
    <definedName name="_xlnm._FilterDatabase" localSheetId="2" hidden="1">ACC!$A$2:$U$3</definedName>
    <definedName name="_xlnm._FilterDatabase" localSheetId="0" hidden="1">All!$A$3:$Z$862</definedName>
    <definedName name="_xlnm._FilterDatabase" localSheetId="4" hidden="1">'Big 12'!$A$2:$U$142</definedName>
    <definedName name="_xlnm._FilterDatabase" localSheetId="3" hidden="1">'Big Ten'!$A$2:$U$201</definedName>
    <definedName name="_xlnm._FilterDatabase" localSheetId="12" hidden="1">Bowls!$A$2:$DY$49</definedName>
    <definedName name="_xlnm._FilterDatabase" localSheetId="5" hidden="1">CUSA!$A$2:$U$161</definedName>
    <definedName name="_xlnm._FilterDatabase" localSheetId="7" hidden="1">MAC!$A$3:$U$171</definedName>
    <definedName name="_xlnm._FilterDatabase" localSheetId="13" hidden="1">NFL!$A$3:$U$386</definedName>
    <definedName name="_xlnm.Print_Area" localSheetId="1">AAC!$A$3:$S$157</definedName>
    <definedName name="_xlnm.Print_Area" localSheetId="2">ACC!$A$1:$S$201</definedName>
    <definedName name="_xlnm.Print_Area" localSheetId="0">All!$A$382:$T$402</definedName>
    <definedName name="_xlnm.Print_Area" localSheetId="4">'Big 12'!$A$3:$S$142</definedName>
    <definedName name="_xlnm.Print_Area" localSheetId="3">'Big Ten'!$A$3:$S$201</definedName>
    <definedName name="_xlnm.Print_Area" localSheetId="12">Bowls!$A$1:$CS$44</definedName>
    <definedName name="_xlnm.Print_Area" localSheetId="5">CUSA!$A$3:$S$161</definedName>
    <definedName name="_xlnm.Print_Area" localSheetId="6">Ind!$A$3:$S$103</definedName>
    <definedName name="_xlnm.Print_Area" localSheetId="7">MAC!$A$3:$S$170</definedName>
    <definedName name="_xlnm.Print_Area" localSheetId="8">MWC!$A$3:$S$174</definedName>
    <definedName name="_xlnm.Print_Area" localSheetId="13">NFL!$A$1:$U$169</definedName>
    <definedName name="_xlnm.Print_Area" localSheetId="14">'NFL By Team'!$A$3:$S$607</definedName>
    <definedName name="_xlnm.Print_Area" localSheetId="9">'Pac 12'!$A$3:$S$170</definedName>
    <definedName name="_xlnm.Print_Area" localSheetId="11">SEC!$A$3:$S$199</definedName>
    <definedName name="_xlnm.Print_Area" localSheetId="10">'Sun Belt'!$A$3:$S$197</definedName>
    <definedName name="_xlnm.Print_Titles" localSheetId="1">AAC!$1:$2</definedName>
    <definedName name="_xlnm.Print_Titles" localSheetId="2">ACC!$1:$2</definedName>
    <definedName name="_xlnm.Print_Titles" localSheetId="4">'Big 12'!$1:$2</definedName>
    <definedName name="_xlnm.Print_Titles" localSheetId="3">'Big Ten'!$1:$2</definedName>
    <definedName name="_xlnm.Print_Titles" localSheetId="5">CUSA!$1:$2</definedName>
    <definedName name="_xlnm.Print_Titles" localSheetId="6">Ind!$1:$2</definedName>
    <definedName name="_xlnm.Print_Titles" localSheetId="7">MAC!$1:$2</definedName>
    <definedName name="_xlnm.Print_Titles" localSheetId="8">MWC!$1:$2</definedName>
    <definedName name="_xlnm.Print_Titles" localSheetId="13">NFL!$1:$2</definedName>
    <definedName name="_xlnm.Print_Titles" localSheetId="14">'NFL By Team'!$1:$2</definedName>
    <definedName name="_xlnm.Print_Titles" localSheetId="9">'Pac 12'!$1:$2</definedName>
    <definedName name="_xlnm.Print_Titles" localSheetId="11">SEC!$1:$2</definedName>
    <definedName name="_xlnm.Print_Titles" localSheetId="10">'Sun Belt'!$1:$2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122" i="15" l="1"/>
  <c r="N122" i="15" s="1"/>
  <c r="R122" i="15" s="1"/>
  <c r="J122" i="15"/>
  <c r="P122" i="15" s="1"/>
  <c r="T122" i="15" l="1"/>
  <c r="S122" i="15"/>
  <c r="T44" i="13"/>
  <c r="N44" i="13"/>
  <c r="I44" i="13"/>
  <c r="G44" i="13"/>
  <c r="H44" i="13"/>
  <c r="F44" i="13"/>
  <c r="R9" i="18"/>
  <c r="T9" i="18" s="1"/>
  <c r="U9" i="18" s="1"/>
  <c r="P9" i="18"/>
  <c r="N9" i="18"/>
  <c r="K9" i="18"/>
  <c r="J9" i="18"/>
  <c r="D9" i="18"/>
  <c r="D10" i="18" s="1"/>
  <c r="C9" i="18"/>
  <c r="J10" i="18"/>
  <c r="N10" i="18" s="1"/>
  <c r="J8" i="18"/>
  <c r="K8" i="18" s="1"/>
  <c r="J7" i="18"/>
  <c r="K7" i="18" s="1"/>
  <c r="J6" i="18"/>
  <c r="K6" i="18" s="1"/>
  <c r="N6" i="18" s="1"/>
  <c r="J5" i="18"/>
  <c r="N5" i="18" s="1"/>
  <c r="I16" i="18"/>
  <c r="H16" i="18"/>
  <c r="J16" i="18" s="1"/>
  <c r="N16" i="18" s="1"/>
  <c r="G16" i="18"/>
  <c r="F16" i="18"/>
  <c r="G15" i="18"/>
  <c r="F15" i="18"/>
  <c r="I15" i="18"/>
  <c r="H15" i="18"/>
  <c r="J15" i="18" s="1"/>
  <c r="P15" i="18" s="1"/>
  <c r="K14" i="18"/>
  <c r="P14" i="18" s="1"/>
  <c r="J14" i="18"/>
  <c r="N14" i="18" s="1"/>
  <c r="J13" i="18"/>
  <c r="N13" i="18" s="1"/>
  <c r="D16" i="18"/>
  <c r="D15" i="18"/>
  <c r="D14" i="18"/>
  <c r="D13" i="18"/>
  <c r="N18" i="18"/>
  <c r="N19" i="18"/>
  <c r="J19" i="18"/>
  <c r="J18" i="18"/>
  <c r="D19" i="18"/>
  <c r="D18" i="18"/>
  <c r="T21" i="18"/>
  <c r="V21" i="18" s="1"/>
  <c r="K21" i="18"/>
  <c r="P21" i="18" s="1"/>
  <c r="J21" i="18"/>
  <c r="D21" i="18"/>
  <c r="D331" i="15"/>
  <c r="D330" i="15"/>
  <c r="D329" i="15"/>
  <c r="D328" i="15"/>
  <c r="D327" i="15"/>
  <c r="D326" i="15"/>
  <c r="D317" i="15"/>
  <c r="D316" i="15"/>
  <c r="J326" i="15"/>
  <c r="N326" i="15" s="1"/>
  <c r="J331" i="15"/>
  <c r="J329" i="15"/>
  <c r="N329" i="15" s="1"/>
  <c r="J328" i="15"/>
  <c r="N328" i="15" s="1"/>
  <c r="J330" i="15"/>
  <c r="J327" i="15"/>
  <c r="N327" i="15" s="1"/>
  <c r="J321" i="15"/>
  <c r="T321" i="15" s="1"/>
  <c r="J319" i="15"/>
  <c r="N319" i="15" s="1"/>
  <c r="J324" i="15"/>
  <c r="J322" i="15"/>
  <c r="J318" i="15"/>
  <c r="N318" i="15" s="1"/>
  <c r="J323" i="15"/>
  <c r="T323" i="15" s="1"/>
  <c r="J325" i="15"/>
  <c r="N325" i="15" s="1"/>
  <c r="J320" i="15"/>
  <c r="T320" i="15" s="1"/>
  <c r="J317" i="15"/>
  <c r="N317" i="15" s="1"/>
  <c r="J316" i="15"/>
  <c r="N316" i="15" s="1"/>
  <c r="J314" i="15"/>
  <c r="N314" i="15" s="1"/>
  <c r="J312" i="15"/>
  <c r="J308" i="15"/>
  <c r="J306" i="15"/>
  <c r="J304" i="15"/>
  <c r="N304" i="15" s="1"/>
  <c r="J310" i="15"/>
  <c r="N310" i="15" s="1"/>
  <c r="J301" i="15"/>
  <c r="N301" i="15" s="1"/>
  <c r="J309" i="15"/>
  <c r="J313" i="15"/>
  <c r="N313" i="15" s="1"/>
  <c r="J311" i="15"/>
  <c r="N311" i="15" s="1"/>
  <c r="J307" i="15"/>
  <c r="N307" i="15" s="1"/>
  <c r="J305" i="15"/>
  <c r="N305" i="15" s="1"/>
  <c r="J303" i="15"/>
  <c r="N303" i="15" s="1"/>
  <c r="J302" i="15"/>
  <c r="N302" i="15" s="1"/>
  <c r="J300" i="15"/>
  <c r="N300" i="15" s="1"/>
  <c r="J298" i="15"/>
  <c r="J296" i="15"/>
  <c r="J294" i="15"/>
  <c r="N294" i="15" s="1"/>
  <c r="J292" i="15"/>
  <c r="N292" i="15" s="1"/>
  <c r="J289" i="15"/>
  <c r="J287" i="15"/>
  <c r="N287" i="15" s="1"/>
  <c r="J284" i="15"/>
  <c r="J291" i="15"/>
  <c r="N291" i="15" s="1"/>
  <c r="J297" i="15"/>
  <c r="J295" i="15"/>
  <c r="J293" i="15"/>
  <c r="N293" i="15" s="1"/>
  <c r="J286" i="15"/>
  <c r="J288" i="15"/>
  <c r="N288" i="15" s="1"/>
  <c r="J285" i="15"/>
  <c r="J290" i="15"/>
  <c r="J283" i="15"/>
  <c r="J44" i="13"/>
  <c r="K44" i="13"/>
  <c r="N39" i="13"/>
  <c r="N38" i="13"/>
  <c r="N43" i="13"/>
  <c r="N42" i="13"/>
  <c r="N41" i="13"/>
  <c r="N40" i="13"/>
  <c r="N36" i="13"/>
  <c r="N37" i="13"/>
  <c r="N34" i="13"/>
  <c r="R24" i="13"/>
  <c r="N320" i="15" l="1"/>
  <c r="N321" i="15"/>
  <c r="T319" i="15"/>
  <c r="T318" i="15"/>
  <c r="S9" i="18"/>
  <c r="N8" i="18"/>
  <c r="K10" i="18"/>
  <c r="N7" i="18"/>
  <c r="N21" i="18"/>
  <c r="R21" i="18" s="1"/>
  <c r="S21" i="18" s="1"/>
  <c r="P7" i="18"/>
  <c r="P10" i="18"/>
  <c r="P8" i="18"/>
  <c r="P6" i="18"/>
  <c r="N35" i="13"/>
  <c r="N33" i="13"/>
  <c r="N32" i="13"/>
  <c r="N31" i="13"/>
  <c r="N30" i="13"/>
  <c r="N29" i="13"/>
  <c r="N28" i="13"/>
  <c r="N27" i="13"/>
  <c r="N26" i="13"/>
  <c r="N25" i="13"/>
  <c r="N24" i="13"/>
  <c r="N23" i="13"/>
  <c r="N22" i="13"/>
  <c r="N21" i="13"/>
  <c r="N20" i="13"/>
  <c r="N19" i="13"/>
  <c r="N18" i="13"/>
  <c r="N17" i="13"/>
  <c r="P17" i="13" s="1"/>
  <c r="N16" i="13"/>
  <c r="N15" i="13"/>
  <c r="J281" i="15"/>
  <c r="J279" i="15"/>
  <c r="J280" i="15"/>
  <c r="J273" i="15"/>
  <c r="J276" i="15"/>
  <c r="J274" i="15"/>
  <c r="J267" i="15"/>
  <c r="J269" i="15"/>
  <c r="J271" i="15"/>
  <c r="J278" i="15"/>
  <c r="J277" i="15"/>
  <c r="J275" i="15"/>
  <c r="J272" i="15"/>
  <c r="J270" i="15"/>
  <c r="J268" i="15"/>
  <c r="J266" i="15"/>
  <c r="J253" i="15"/>
  <c r="J255" i="15"/>
  <c r="J250" i="15"/>
  <c r="J251" i="15"/>
  <c r="J257" i="15"/>
  <c r="J254" i="15"/>
  <c r="J256" i="15"/>
  <c r="J252" i="15"/>
  <c r="J249" i="15"/>
  <c r="J247" i="15"/>
  <c r="J248" i="15"/>
  <c r="J246" i="15"/>
  <c r="J245" i="15"/>
  <c r="N280" i="15"/>
  <c r="N281" i="15"/>
  <c r="N278" i="15"/>
  <c r="N277" i="15"/>
  <c r="N274" i="15"/>
  <c r="N266" i="15"/>
  <c r="N160" i="15"/>
  <c r="N298" i="15"/>
  <c r="N297" i="15"/>
  <c r="N295" i="15"/>
  <c r="N289" i="15"/>
  <c r="N286" i="15"/>
  <c r="N285" i="15"/>
  <c r="N284" i="15"/>
  <c r="N283" i="15"/>
  <c r="N279" i="15"/>
  <c r="N276" i="15"/>
  <c r="N275" i="15"/>
  <c r="N273" i="15"/>
  <c r="N272" i="15"/>
  <c r="N271" i="15"/>
  <c r="N270" i="15"/>
  <c r="N269" i="15"/>
  <c r="N268" i="15"/>
  <c r="N267" i="15"/>
  <c r="N257" i="15"/>
  <c r="N256" i="15"/>
  <c r="N255" i="15"/>
  <c r="N252" i="15"/>
  <c r="N251" i="15"/>
  <c r="N250" i="15"/>
  <c r="N254" i="15"/>
  <c r="N253" i="15"/>
  <c r="N249" i="15"/>
  <c r="N248" i="15"/>
  <c r="N247" i="15"/>
  <c r="N246" i="15"/>
  <c r="N245" i="15"/>
  <c r="N14" i="13"/>
  <c r="N13" i="13"/>
  <c r="N12" i="13"/>
  <c r="N11" i="13"/>
  <c r="N7" i="13"/>
  <c r="N10" i="13"/>
  <c r="N9" i="13"/>
  <c r="N8" i="13"/>
  <c r="BA44" i="13"/>
  <c r="AY44" i="13"/>
  <c r="AZ44" i="13"/>
  <c r="N5" i="13"/>
  <c r="N6" i="13"/>
  <c r="U21" i="18" l="1"/>
  <c r="AO46" i="13"/>
  <c r="AO45" i="13"/>
  <c r="AN43" i="13"/>
  <c r="AX43" i="13" s="1"/>
  <c r="AN42" i="13"/>
  <c r="AX42" i="13" s="1"/>
  <c r="AN41" i="13"/>
  <c r="AX41" i="13" s="1"/>
  <c r="AN40" i="13"/>
  <c r="AX40" i="13" s="1"/>
  <c r="AN39" i="13"/>
  <c r="AN38" i="13"/>
  <c r="AX38" i="13" s="1"/>
  <c r="AN37" i="13"/>
  <c r="AX37" i="13" s="1"/>
  <c r="AN36" i="13"/>
  <c r="AX36" i="13" s="1"/>
  <c r="AN35" i="13"/>
  <c r="AX35" i="13" s="1"/>
  <c r="AN34" i="13"/>
  <c r="AX34" i="13" s="1"/>
  <c r="AN33" i="13"/>
  <c r="AX33" i="13" s="1"/>
  <c r="AN32" i="13"/>
  <c r="AX32" i="13" s="1"/>
  <c r="AN31" i="13"/>
  <c r="AX31" i="13" s="1"/>
  <c r="AN30" i="13"/>
  <c r="AX30" i="13" s="1"/>
  <c r="AN29" i="13"/>
  <c r="AX29" i="13" s="1"/>
  <c r="AN28" i="13"/>
  <c r="AX28" i="13" s="1"/>
  <c r="AN27" i="13"/>
  <c r="AX27" i="13" s="1"/>
  <c r="AN26" i="13"/>
  <c r="AX26" i="13" s="1"/>
  <c r="AN25" i="13"/>
  <c r="AX25" i="13" s="1"/>
  <c r="AN24" i="13"/>
  <c r="AX24" i="13" s="1"/>
  <c r="AN23" i="13"/>
  <c r="AX23" i="13" s="1"/>
  <c r="AN22" i="13"/>
  <c r="AX22" i="13" s="1"/>
  <c r="AN21" i="13"/>
  <c r="AX21" i="13" s="1"/>
  <c r="AN20" i="13"/>
  <c r="AX20" i="13" s="1"/>
  <c r="AN19" i="13"/>
  <c r="AX19" i="13" s="1"/>
  <c r="AN18" i="13"/>
  <c r="AX18" i="13" s="1"/>
  <c r="AN17" i="13"/>
  <c r="AX17" i="13" s="1"/>
  <c r="AN16" i="13"/>
  <c r="AX16" i="13" s="1"/>
  <c r="AN15" i="13"/>
  <c r="AX15" i="13" s="1"/>
  <c r="AN14" i="13"/>
  <c r="AX14" i="13" s="1"/>
  <c r="AN13" i="13"/>
  <c r="AX13" i="13" s="1"/>
  <c r="AN12" i="13"/>
  <c r="AX12" i="13" s="1"/>
  <c r="AN11" i="13"/>
  <c r="AX11" i="13" s="1"/>
  <c r="AN10" i="13"/>
  <c r="AX10" i="13" s="1"/>
  <c r="AN9" i="13"/>
  <c r="AX9" i="13" s="1"/>
  <c r="AN8" i="13"/>
  <c r="AX8" i="13" s="1"/>
  <c r="AN7" i="13"/>
  <c r="AX7" i="13" s="1"/>
  <c r="AN6" i="13"/>
  <c r="AX6" i="13" s="1"/>
  <c r="AN5" i="13"/>
  <c r="AX5" i="13" s="1"/>
  <c r="AQ45" i="13"/>
  <c r="AQ46" i="13"/>
  <c r="AP43" i="13"/>
  <c r="AY43" i="13" s="1"/>
  <c r="AP42" i="13"/>
  <c r="AY42" i="13" s="1"/>
  <c r="AP41" i="13"/>
  <c r="AY41" i="13" s="1"/>
  <c r="AP40" i="13"/>
  <c r="AY40" i="13" s="1"/>
  <c r="AP39" i="13"/>
  <c r="AY39" i="13" s="1"/>
  <c r="AP38" i="13"/>
  <c r="AY38" i="13" s="1"/>
  <c r="AP37" i="13"/>
  <c r="AY37" i="13" s="1"/>
  <c r="AP36" i="13"/>
  <c r="AY36" i="13" s="1"/>
  <c r="AP35" i="13"/>
  <c r="AY35" i="13" s="1"/>
  <c r="AP34" i="13"/>
  <c r="AY34" i="13" s="1"/>
  <c r="AP33" i="13"/>
  <c r="AY33" i="13" s="1"/>
  <c r="AP32" i="13"/>
  <c r="AY32" i="13" s="1"/>
  <c r="AP31" i="13"/>
  <c r="AY31" i="13" s="1"/>
  <c r="AP30" i="13"/>
  <c r="AY30" i="13" s="1"/>
  <c r="AP29" i="13"/>
  <c r="AY29" i="13" s="1"/>
  <c r="AP28" i="13"/>
  <c r="AY28" i="13" s="1"/>
  <c r="AP27" i="13"/>
  <c r="AY27" i="13" s="1"/>
  <c r="AP26" i="13"/>
  <c r="AY26" i="13" s="1"/>
  <c r="AP25" i="13"/>
  <c r="AY25" i="13" s="1"/>
  <c r="AP24" i="13"/>
  <c r="AY24" i="13" s="1"/>
  <c r="AP23" i="13"/>
  <c r="AY23" i="13" s="1"/>
  <c r="AP22" i="13"/>
  <c r="AY22" i="13" s="1"/>
  <c r="AP21" i="13"/>
  <c r="AY21" i="13" s="1"/>
  <c r="AP20" i="13"/>
  <c r="AY20" i="13" s="1"/>
  <c r="AP19" i="13"/>
  <c r="AY19" i="13" s="1"/>
  <c r="AP18" i="13"/>
  <c r="AY18" i="13" s="1"/>
  <c r="AP17" i="13"/>
  <c r="AY17" i="13" s="1"/>
  <c r="AP16" i="13"/>
  <c r="AY16" i="13" s="1"/>
  <c r="AP15" i="13"/>
  <c r="AY15" i="13" s="1"/>
  <c r="AP14" i="13"/>
  <c r="AY14" i="13" s="1"/>
  <c r="AP13" i="13"/>
  <c r="AY13" i="13" s="1"/>
  <c r="AP12" i="13"/>
  <c r="AY12" i="13" s="1"/>
  <c r="AP11" i="13"/>
  <c r="AY11" i="13" s="1"/>
  <c r="AP10" i="13"/>
  <c r="AY10" i="13" s="1"/>
  <c r="AP9" i="13"/>
  <c r="AY9" i="13" s="1"/>
  <c r="AP8" i="13"/>
  <c r="AY8" i="13" s="1"/>
  <c r="AP7" i="13"/>
  <c r="AY7" i="13" s="1"/>
  <c r="AP6" i="13"/>
  <c r="AY6" i="13" s="1"/>
  <c r="AP5" i="13"/>
  <c r="AY5" i="13" s="1"/>
  <c r="AY45" i="13" l="1"/>
  <c r="AY46" i="13" s="1"/>
  <c r="AX45" i="13"/>
  <c r="AX46" i="13" s="1"/>
  <c r="AN44" i="13"/>
  <c r="AX44" i="13" s="1"/>
  <c r="AX39" i="13"/>
  <c r="AS45" i="13"/>
  <c r="AM46" i="13"/>
  <c r="AI45" i="13"/>
  <c r="AG47" i="13"/>
  <c r="AE47" i="13"/>
  <c r="AG45" i="13"/>
  <c r="AE45" i="13"/>
  <c r="CD46" i="13"/>
  <c r="CA44" i="13"/>
  <c r="AM48" i="13"/>
  <c r="AL42" i="13"/>
  <c r="AZ42" i="13" s="1"/>
  <c r="AL37" i="13"/>
  <c r="AZ37" i="13" s="1"/>
  <c r="AL33" i="13"/>
  <c r="AZ33" i="13" s="1"/>
  <c r="AL32" i="13"/>
  <c r="AZ32" i="13" s="1"/>
  <c r="AL18" i="13"/>
  <c r="AZ18" i="13" s="1"/>
  <c r="AL34" i="13"/>
  <c r="AZ34" i="13" s="1"/>
  <c r="AL4" i="13"/>
  <c r="AL13" i="13"/>
  <c r="AZ13" i="13" s="1"/>
  <c r="AL5" i="13"/>
  <c r="AZ5" i="13" s="1"/>
  <c r="AL35" i="13"/>
  <c r="AZ35" i="13" s="1"/>
  <c r="AL17" i="13"/>
  <c r="AZ17" i="13" s="1"/>
  <c r="AL7" i="13"/>
  <c r="AZ7" i="13" s="1"/>
  <c r="AL9" i="13"/>
  <c r="AZ9" i="13" s="1"/>
  <c r="AL31" i="13"/>
  <c r="AZ31" i="13" s="1"/>
  <c r="AL43" i="13"/>
  <c r="AZ43" i="13" s="1"/>
  <c r="AL40" i="13"/>
  <c r="AZ40" i="13" s="1"/>
  <c r="AL30" i="13"/>
  <c r="AZ30" i="13" s="1"/>
  <c r="AL6" i="13"/>
  <c r="AZ6" i="13" s="1"/>
  <c r="AL8" i="13"/>
  <c r="AZ8" i="13" s="1"/>
  <c r="AL12" i="13"/>
  <c r="AZ12" i="13" s="1"/>
  <c r="AL24" i="13"/>
  <c r="AZ24" i="13" s="1"/>
  <c r="AL3" i="13"/>
  <c r="AL23" i="13"/>
  <c r="AZ23" i="13" s="1"/>
  <c r="AL39" i="13"/>
  <c r="AZ39" i="13" s="1"/>
  <c r="AL27" i="13"/>
  <c r="AZ27" i="13" s="1"/>
  <c r="AL15" i="13"/>
  <c r="AZ15" i="13" s="1"/>
  <c r="AL14" i="13"/>
  <c r="AZ14" i="13" s="1"/>
  <c r="AL29" i="13"/>
  <c r="AZ29" i="13" s="1"/>
  <c r="AL26" i="13"/>
  <c r="AZ26" i="13" s="1"/>
  <c r="AL19" i="13"/>
  <c r="AZ19" i="13" s="1"/>
  <c r="AL21" i="13"/>
  <c r="AZ21" i="13" s="1"/>
  <c r="AL25" i="13"/>
  <c r="AZ25" i="13" s="1"/>
  <c r="AL11" i="13"/>
  <c r="AZ11" i="13" s="1"/>
  <c r="AL36" i="13"/>
  <c r="AZ36" i="13" s="1"/>
  <c r="AL16" i="13"/>
  <c r="AZ16" i="13" s="1"/>
  <c r="AL20" i="13"/>
  <c r="AZ20" i="13" s="1"/>
  <c r="AL41" i="13"/>
  <c r="AZ41" i="13" s="1"/>
  <c r="AL28" i="13"/>
  <c r="AZ28" i="13" s="1"/>
  <c r="AL22" i="13"/>
  <c r="AZ22" i="13" s="1"/>
  <c r="AL10" i="13"/>
  <c r="AZ10" i="13" s="1"/>
  <c r="AL38" i="13"/>
  <c r="AZ38" i="13" s="1"/>
  <c r="CH9" i="13"/>
  <c r="CH41" i="13"/>
  <c r="CH40" i="13"/>
  <c r="CO40" i="13" s="1"/>
  <c r="CE40" i="13"/>
  <c r="CE38" i="13"/>
  <c r="CK37" i="13"/>
  <c r="CE36" i="13"/>
  <c r="CH34" i="13"/>
  <c r="CE34" i="13"/>
  <c r="CH35" i="13"/>
  <c r="CE35" i="13"/>
  <c r="CH33" i="13"/>
  <c r="CH32" i="13"/>
  <c r="CE32" i="13"/>
  <c r="CH31" i="13"/>
  <c r="CH28" i="13"/>
  <c r="CK28" i="13" s="1"/>
  <c r="CE28" i="13"/>
  <c r="CE27" i="13"/>
  <c r="CH26" i="13"/>
  <c r="CE24" i="13"/>
  <c r="CH24" i="13" s="1"/>
  <c r="CK23" i="13"/>
  <c r="CE23" i="13"/>
  <c r="CH23" i="13" s="1"/>
  <c r="CE22" i="13"/>
  <c r="CH22" i="13" s="1"/>
  <c r="CE21" i="13"/>
  <c r="CE19" i="13"/>
  <c r="CH17" i="13"/>
  <c r="CK17" i="13" s="1"/>
  <c r="CE17" i="13"/>
  <c r="CH14" i="13"/>
  <c r="CE14" i="13"/>
  <c r="CE9" i="13"/>
  <c r="CK7" i="13"/>
  <c r="CH7" i="13"/>
  <c r="CE7" i="13"/>
  <c r="CH6" i="13"/>
  <c r="CH29" i="13"/>
  <c r="CE39" i="13"/>
  <c r="CH37" i="13"/>
  <c r="CH43" i="13"/>
  <c r="CK43" i="13" s="1"/>
  <c r="CE25" i="13"/>
  <c r="CH25" i="13" s="1"/>
  <c r="CE41" i="13"/>
  <c r="CE33" i="13"/>
  <c r="CE6" i="13"/>
  <c r="CE29" i="13"/>
  <c r="CK29" i="13" s="1"/>
  <c r="CE37" i="13"/>
  <c r="CN39" i="13"/>
  <c r="CN31" i="13"/>
  <c r="CN30" i="13"/>
  <c r="CN29" i="13"/>
  <c r="CN28" i="13"/>
  <c r="CN27" i="13"/>
  <c r="CN16" i="13"/>
  <c r="CN15" i="13"/>
  <c r="CN10" i="13"/>
  <c r="CN7" i="13"/>
  <c r="BR45" i="13"/>
  <c r="BR46" i="13"/>
  <c r="BY46" i="13"/>
  <c r="CB46" i="13"/>
  <c r="J28" i="13"/>
  <c r="T28" i="13" s="1"/>
  <c r="J22" i="13"/>
  <c r="BZ22" i="13" s="1"/>
  <c r="J21" i="13"/>
  <c r="BZ21" i="13" s="1"/>
  <c r="J20" i="13"/>
  <c r="BZ20" i="13" s="1"/>
  <c r="CA43" i="13"/>
  <c r="CA42" i="13"/>
  <c r="CA41" i="13"/>
  <c r="CA40" i="13"/>
  <c r="CA39" i="13"/>
  <c r="CA38" i="13"/>
  <c r="CA37" i="13"/>
  <c r="CA36" i="13"/>
  <c r="CA35" i="13"/>
  <c r="CA34" i="13"/>
  <c r="CA33" i="13"/>
  <c r="CA32" i="13"/>
  <c r="CA31" i="13"/>
  <c r="CA30" i="13"/>
  <c r="CA29" i="13"/>
  <c r="CA28" i="13"/>
  <c r="CA27" i="13"/>
  <c r="CA26" i="13"/>
  <c r="CA25" i="13"/>
  <c r="CA24" i="13"/>
  <c r="CA23" i="13"/>
  <c r="CA22" i="13"/>
  <c r="CA21" i="13"/>
  <c r="CA20" i="13"/>
  <c r="CA19" i="13"/>
  <c r="CA18" i="13"/>
  <c r="CA17" i="13"/>
  <c r="CA16" i="13"/>
  <c r="CA15" i="13"/>
  <c r="CA14" i="13"/>
  <c r="CA13" i="13"/>
  <c r="CA12" i="13"/>
  <c r="CA11" i="13"/>
  <c r="CA10" i="13"/>
  <c r="CA9" i="13"/>
  <c r="CA8" i="13"/>
  <c r="CA7" i="13"/>
  <c r="CA6" i="13"/>
  <c r="CA5" i="13"/>
  <c r="CA4" i="13"/>
  <c r="CA3" i="13"/>
  <c r="CR43" i="13"/>
  <c r="BX43" i="13" s="1"/>
  <c r="CR42" i="13"/>
  <c r="BX42" i="13" s="1"/>
  <c r="CR41" i="13"/>
  <c r="BX41" i="13" s="1"/>
  <c r="CR40" i="13"/>
  <c r="BX40" i="13" s="1"/>
  <c r="CR39" i="13"/>
  <c r="BX39" i="13" s="1"/>
  <c r="CR38" i="13"/>
  <c r="BX38" i="13" s="1"/>
  <c r="CR37" i="13"/>
  <c r="BX37" i="13" s="1"/>
  <c r="CR36" i="13"/>
  <c r="BX36" i="13" s="1"/>
  <c r="CR35" i="13"/>
  <c r="BX35" i="13" s="1"/>
  <c r="CR34" i="13"/>
  <c r="BX34" i="13" s="1"/>
  <c r="CR33" i="13"/>
  <c r="BX33" i="13" s="1"/>
  <c r="CR32" i="13"/>
  <c r="BX32" i="13" s="1"/>
  <c r="CR31" i="13"/>
  <c r="BX31" i="13" s="1"/>
  <c r="CR30" i="13"/>
  <c r="BX30" i="13" s="1"/>
  <c r="CR29" i="13"/>
  <c r="BX29" i="13" s="1"/>
  <c r="CR28" i="13"/>
  <c r="BX28" i="13" s="1"/>
  <c r="CR27" i="13"/>
  <c r="BX27" i="13" s="1"/>
  <c r="CR26" i="13"/>
  <c r="BX26" i="13" s="1"/>
  <c r="CR25" i="13"/>
  <c r="BX25" i="13" s="1"/>
  <c r="CR24" i="13"/>
  <c r="BX24" i="13" s="1"/>
  <c r="CR23" i="13"/>
  <c r="BX23" i="13" s="1"/>
  <c r="CR22" i="13"/>
  <c r="BX22" i="13" s="1"/>
  <c r="CR21" i="13"/>
  <c r="BX21" i="13" s="1"/>
  <c r="CR20" i="13"/>
  <c r="BX20" i="13" s="1"/>
  <c r="CR19" i="13"/>
  <c r="BX19" i="13" s="1"/>
  <c r="CR18" i="13"/>
  <c r="BX18" i="13" s="1"/>
  <c r="CR17" i="13"/>
  <c r="BX17" i="13" s="1"/>
  <c r="CR16" i="13"/>
  <c r="BX16" i="13" s="1"/>
  <c r="CR15" i="13"/>
  <c r="BX15" i="13" s="1"/>
  <c r="CR14" i="13"/>
  <c r="BX14" i="13" s="1"/>
  <c r="CR13" i="13"/>
  <c r="BX13" i="13" s="1"/>
  <c r="CR12" i="13"/>
  <c r="BX12" i="13" s="1"/>
  <c r="CR11" i="13"/>
  <c r="BX11" i="13" s="1"/>
  <c r="CR10" i="13"/>
  <c r="BX10" i="13" s="1"/>
  <c r="CR9" i="13"/>
  <c r="BX9" i="13" s="1"/>
  <c r="CR8" i="13"/>
  <c r="BX8" i="13" s="1"/>
  <c r="CR7" i="13"/>
  <c r="BX7" i="13" s="1"/>
  <c r="CR6" i="13"/>
  <c r="BX6" i="13" s="1"/>
  <c r="CR5" i="13"/>
  <c r="BX5" i="13" s="1"/>
  <c r="CR4" i="13"/>
  <c r="BX4" i="13" s="1"/>
  <c r="CR3" i="13"/>
  <c r="BX3" i="13" s="1"/>
  <c r="J43" i="13"/>
  <c r="T43" i="13" s="1"/>
  <c r="J30" i="13"/>
  <c r="BZ30" i="13" s="1"/>
  <c r="CE30" i="13" s="1"/>
  <c r="J29" i="13"/>
  <c r="BZ29" i="13" s="1"/>
  <c r="J36" i="13"/>
  <c r="BZ36" i="13" s="1"/>
  <c r="J37" i="13"/>
  <c r="BZ37" i="13" s="1"/>
  <c r="J14" i="13"/>
  <c r="BZ14" i="13" s="1"/>
  <c r="J13" i="13"/>
  <c r="BZ13" i="13" s="1"/>
  <c r="J8" i="13"/>
  <c r="BZ8" i="13" s="1"/>
  <c r="J7" i="13"/>
  <c r="BZ7" i="13" s="1"/>
  <c r="J6" i="13"/>
  <c r="BZ6" i="13" s="1"/>
  <c r="J41" i="13"/>
  <c r="T41" i="13" s="1"/>
  <c r="J42" i="13"/>
  <c r="T42" i="13" s="1"/>
  <c r="J40" i="13"/>
  <c r="BZ40" i="13" s="1"/>
  <c r="J39" i="13"/>
  <c r="T39" i="13" s="1"/>
  <c r="J38" i="13"/>
  <c r="BZ38" i="13" s="1"/>
  <c r="J34" i="13"/>
  <c r="BZ34" i="13" s="1"/>
  <c r="J35" i="13"/>
  <c r="BZ35" i="13" s="1"/>
  <c r="J33" i="13"/>
  <c r="T33" i="13" s="1"/>
  <c r="J32" i="13"/>
  <c r="T32" i="13" s="1"/>
  <c r="J31" i="13"/>
  <c r="BZ31" i="13" s="1"/>
  <c r="J27" i="13"/>
  <c r="BZ27" i="13" s="1"/>
  <c r="J25" i="13"/>
  <c r="BZ25" i="13" s="1"/>
  <c r="J24" i="13"/>
  <c r="BZ24" i="13" s="1"/>
  <c r="J26" i="13"/>
  <c r="BZ26" i="13" s="1"/>
  <c r="CE26" i="13" s="1"/>
  <c r="J23" i="13"/>
  <c r="BZ23" i="13" s="1"/>
  <c r="J19" i="13"/>
  <c r="BZ19" i="13" s="1"/>
  <c r="J18" i="13"/>
  <c r="BZ18" i="13" s="1"/>
  <c r="J16" i="13"/>
  <c r="BZ16" i="13" s="1"/>
  <c r="J17" i="13"/>
  <c r="BZ17" i="13" s="1"/>
  <c r="J15" i="13"/>
  <c r="BZ15" i="13" s="1"/>
  <c r="J12" i="13"/>
  <c r="T12" i="13" s="1"/>
  <c r="J11" i="13"/>
  <c r="BZ11" i="13" s="1"/>
  <c r="J10" i="13"/>
  <c r="BZ10" i="13" s="1"/>
  <c r="J9" i="13"/>
  <c r="BZ9" i="13" s="1"/>
  <c r="J5" i="13"/>
  <c r="BZ5" i="13" s="1"/>
  <c r="J4" i="13"/>
  <c r="J3" i="13"/>
  <c r="AR3" i="13" s="1"/>
  <c r="D44" i="13"/>
  <c r="BI40" i="13"/>
  <c r="BB40" i="13"/>
  <c r="BP40" i="13" s="1"/>
  <c r="D40" i="13"/>
  <c r="D34" i="13"/>
  <c r="D31" i="13"/>
  <c r="BI31" i="13"/>
  <c r="BB31" i="13"/>
  <c r="BP31" i="13" s="1"/>
  <c r="CE31" i="13" s="1"/>
  <c r="D26" i="13"/>
  <c r="BI26" i="13"/>
  <c r="BB26" i="13"/>
  <c r="BP26" i="13" s="1"/>
  <c r="D27" i="13"/>
  <c r="D39" i="13"/>
  <c r="D38" i="13"/>
  <c r="D43" i="13"/>
  <c r="D41" i="13"/>
  <c r="D42" i="13"/>
  <c r="D36" i="13"/>
  <c r="D37" i="13"/>
  <c r="D35" i="13"/>
  <c r="D33" i="13"/>
  <c r="D32" i="13"/>
  <c r="D30" i="13"/>
  <c r="D29" i="13"/>
  <c r="D28" i="13"/>
  <c r="D25" i="13"/>
  <c r="D24" i="13"/>
  <c r="D23" i="13"/>
  <c r="D22" i="13"/>
  <c r="D21" i="13"/>
  <c r="D20" i="13"/>
  <c r="D19" i="13"/>
  <c r="D18" i="13"/>
  <c r="D17" i="13"/>
  <c r="D16" i="13"/>
  <c r="D15" i="13"/>
  <c r="D14" i="13"/>
  <c r="D13" i="13"/>
  <c r="D12" i="13"/>
  <c r="D11" i="13"/>
  <c r="D10" i="13"/>
  <c r="D9" i="13"/>
  <c r="D8" i="13"/>
  <c r="D7" i="13"/>
  <c r="BI6" i="13"/>
  <c r="BB6" i="13"/>
  <c r="D6" i="13"/>
  <c r="D5" i="13"/>
  <c r="D4" i="13"/>
  <c r="D3" i="13"/>
  <c r="N850" i="1"/>
  <c r="AZ45" i="13" l="1"/>
  <c r="AZ46" i="13" s="1"/>
  <c r="BZ4" i="13"/>
  <c r="N4" i="13"/>
  <c r="AR14" i="13"/>
  <c r="BA14" i="13" s="1"/>
  <c r="AR22" i="13"/>
  <c r="BA22" i="13" s="1"/>
  <c r="AR30" i="13"/>
  <c r="BA30" i="13" s="1"/>
  <c r="AR38" i="13"/>
  <c r="BA38" i="13" s="1"/>
  <c r="AR23" i="13"/>
  <c r="BA23" i="13" s="1"/>
  <c r="AR31" i="13"/>
  <c r="BA31" i="13" s="1"/>
  <c r="AR37" i="13"/>
  <c r="BA37" i="13" s="1"/>
  <c r="AR7" i="13"/>
  <c r="BA7" i="13" s="1"/>
  <c r="AR15" i="13"/>
  <c r="BA15" i="13" s="1"/>
  <c r="AR24" i="13"/>
  <c r="BA24" i="13" s="1"/>
  <c r="AR40" i="13"/>
  <c r="BA40" i="13" s="1"/>
  <c r="AR8" i="13"/>
  <c r="BA8" i="13" s="1"/>
  <c r="AR25" i="13"/>
  <c r="BA25" i="13" s="1"/>
  <c r="AR33" i="13"/>
  <c r="BA33" i="13" s="1"/>
  <c r="AR41" i="13"/>
  <c r="BA41" i="13" s="1"/>
  <c r="AR6" i="13"/>
  <c r="BA6" i="13" s="1"/>
  <c r="AR17" i="13"/>
  <c r="BA17" i="13" s="1"/>
  <c r="AR26" i="13"/>
  <c r="BA26" i="13" s="1"/>
  <c r="AR34" i="13"/>
  <c r="BA34" i="13" s="1"/>
  <c r="AR11" i="13"/>
  <c r="BA11" i="13" s="1"/>
  <c r="AR18" i="13"/>
  <c r="BA18" i="13" s="1"/>
  <c r="AR10" i="13"/>
  <c r="BA10" i="13" s="1"/>
  <c r="AR19" i="13"/>
  <c r="BA19" i="13" s="1"/>
  <c r="AR28" i="13"/>
  <c r="BA28" i="13" s="1"/>
  <c r="AR20" i="13"/>
  <c r="BA20" i="13" s="1"/>
  <c r="BZ3" i="13"/>
  <c r="N3" i="13"/>
  <c r="AR12" i="13"/>
  <c r="BA12" i="13" s="1"/>
  <c r="AR21" i="13"/>
  <c r="BA21" i="13" s="1"/>
  <c r="AR29" i="13"/>
  <c r="BA29" i="13" s="1"/>
  <c r="AR39" i="13"/>
  <c r="BA39" i="13" s="1"/>
  <c r="AF24" i="13"/>
  <c r="AD36" i="13"/>
  <c r="AD41" i="13"/>
  <c r="AD30" i="13"/>
  <c r="AD18" i="13"/>
  <c r="AD13" i="13"/>
  <c r="AD8" i="13"/>
  <c r="AF39" i="13"/>
  <c r="AF41" i="13"/>
  <c r="AF13" i="13"/>
  <c r="AF8" i="13"/>
  <c r="AD19" i="13"/>
  <c r="AD34" i="13"/>
  <c r="AD29" i="13"/>
  <c r="AD22" i="13"/>
  <c r="AD16" i="13"/>
  <c r="AD12" i="13"/>
  <c r="AD7" i="13"/>
  <c r="AD25" i="13"/>
  <c r="AD17" i="13"/>
  <c r="AF42" i="13"/>
  <c r="AF40" i="13"/>
  <c r="AF29" i="13"/>
  <c r="AF22" i="13"/>
  <c r="AF16" i="13"/>
  <c r="AF12" i="13"/>
  <c r="AD3" i="13"/>
  <c r="AF31" i="13"/>
  <c r="AD33" i="13"/>
  <c r="AD28" i="13"/>
  <c r="AD21" i="13"/>
  <c r="AD15" i="13"/>
  <c r="AF3" i="13"/>
  <c r="AF9" i="13"/>
  <c r="AF35" i="13"/>
  <c r="AF37" i="13"/>
  <c r="AF21" i="13"/>
  <c r="AD39" i="13"/>
  <c r="AD5" i="13"/>
  <c r="AF4" i="13"/>
  <c r="AD43" i="13"/>
  <c r="AD32" i="13"/>
  <c r="AD26" i="13"/>
  <c r="AD20" i="13"/>
  <c r="AD14" i="13"/>
  <c r="AD10" i="13"/>
  <c r="AD6" i="13"/>
  <c r="AF23" i="13"/>
  <c r="AF27" i="13"/>
  <c r="AF32" i="13"/>
  <c r="AF26" i="13"/>
  <c r="AF14" i="13"/>
  <c r="AF10" i="13"/>
  <c r="AF6" i="13"/>
  <c r="CD45" i="13"/>
  <c r="R44" i="13"/>
  <c r="T6" i="13"/>
  <c r="T19" i="13"/>
  <c r="T40" i="13"/>
  <c r="T8" i="13"/>
  <c r="T20" i="13"/>
  <c r="T31" i="13"/>
  <c r="T10" i="13"/>
  <c r="T21" i="13"/>
  <c r="T14" i="13"/>
  <c r="T22" i="13"/>
  <c r="T15" i="13"/>
  <c r="T25" i="13"/>
  <c r="T16" i="13"/>
  <c r="T26" i="13"/>
  <c r="T3" i="13"/>
  <c r="T17" i="13"/>
  <c r="T5" i="13"/>
  <c r="T18" i="13"/>
  <c r="T29" i="13"/>
  <c r="BP6" i="13"/>
  <c r="BW40" i="13"/>
  <c r="BW31" i="13"/>
  <c r="BW26" i="13"/>
  <c r="BZ28" i="13"/>
  <c r="BZ32" i="13"/>
  <c r="BZ12" i="13"/>
  <c r="BW6" i="13"/>
  <c r="BZ33" i="13"/>
  <c r="BZ41" i="13"/>
  <c r="BZ42" i="13"/>
  <c r="BZ39" i="13"/>
  <c r="BZ43" i="13"/>
  <c r="K6" i="13"/>
  <c r="R6" i="13" s="1"/>
  <c r="S6" i="13" s="1"/>
  <c r="K40" i="13"/>
  <c r="K31" i="13"/>
  <c r="K26" i="13"/>
  <c r="R26" i="13" s="1"/>
  <c r="S26" i="13" s="1"/>
  <c r="J860" i="1"/>
  <c r="N860" i="1" s="1"/>
  <c r="J859" i="1"/>
  <c r="K859" i="1" s="1"/>
  <c r="J858" i="1"/>
  <c r="J856" i="1"/>
  <c r="N856" i="1" s="1"/>
  <c r="J855" i="1"/>
  <c r="J861" i="1"/>
  <c r="J857" i="1"/>
  <c r="N857" i="1" s="1"/>
  <c r="P857" i="1" s="1"/>
  <c r="J854" i="1"/>
  <c r="T854" i="1" s="1"/>
  <c r="J853" i="1"/>
  <c r="T853" i="1" s="1"/>
  <c r="J852" i="1"/>
  <c r="N852" i="1" s="1"/>
  <c r="J849" i="1"/>
  <c r="T849" i="1" s="1"/>
  <c r="J240" i="15"/>
  <c r="N240" i="15" s="1"/>
  <c r="J239" i="15"/>
  <c r="N239" i="15" s="1"/>
  <c r="J238" i="15"/>
  <c r="J237" i="15"/>
  <c r="J235" i="15"/>
  <c r="J236" i="15"/>
  <c r="J228" i="15"/>
  <c r="J227" i="15"/>
  <c r="J231" i="15"/>
  <c r="J234" i="15"/>
  <c r="J233" i="15"/>
  <c r="J232" i="15"/>
  <c r="N232" i="15" s="1"/>
  <c r="J230" i="15"/>
  <c r="N230" i="15" s="1"/>
  <c r="J229" i="15"/>
  <c r="J226" i="15"/>
  <c r="D861" i="1"/>
  <c r="D860" i="1"/>
  <c r="D859" i="1"/>
  <c r="D858" i="1"/>
  <c r="D857" i="1"/>
  <c r="D856" i="1"/>
  <c r="D855" i="1"/>
  <c r="D854" i="1"/>
  <c r="D853" i="1"/>
  <c r="D852" i="1"/>
  <c r="D849" i="1"/>
  <c r="T226" i="15" l="1"/>
  <c r="N226" i="15"/>
  <c r="N228" i="15"/>
  <c r="N236" i="15"/>
  <c r="N233" i="15"/>
  <c r="N235" i="15"/>
  <c r="T234" i="15"/>
  <c r="N234" i="15"/>
  <c r="T235" i="15"/>
  <c r="T231" i="15"/>
  <c r="BA3" i="13"/>
  <c r="AW3" i="13"/>
  <c r="AX3" i="13"/>
  <c r="AZ4" i="13"/>
  <c r="AW4" i="13"/>
  <c r="AX4" i="13"/>
  <c r="AU4" i="13"/>
  <c r="AU3" i="13"/>
  <c r="AH16" i="13"/>
  <c r="AV16" i="13" s="1"/>
  <c r="AT16" i="13"/>
  <c r="AH6" i="13"/>
  <c r="AV6" i="13" s="1"/>
  <c r="AT6" i="13"/>
  <c r="AH21" i="13"/>
  <c r="AV21" i="13" s="1"/>
  <c r="AT21" i="13"/>
  <c r="AH28" i="13"/>
  <c r="AV28" i="13" s="1"/>
  <c r="AT28" i="13"/>
  <c r="AH13" i="13"/>
  <c r="AV13" i="13" s="1"/>
  <c r="AT13" i="13"/>
  <c r="AH14" i="13"/>
  <c r="AV14" i="13" s="1"/>
  <c r="AT14" i="13"/>
  <c r="AJ21" i="13"/>
  <c r="AW21" i="13" s="1"/>
  <c r="AU21" i="13"/>
  <c r="AH33" i="13"/>
  <c r="AV33" i="13" s="1"/>
  <c r="AT33" i="13"/>
  <c r="AJ42" i="13"/>
  <c r="AW42" i="13" s="1"/>
  <c r="AU42" i="13"/>
  <c r="AH34" i="13"/>
  <c r="AV34" i="13" s="1"/>
  <c r="AT34" i="13"/>
  <c r="AH18" i="13"/>
  <c r="AV18" i="13" s="1"/>
  <c r="AT18" i="13"/>
  <c r="AJ14" i="13"/>
  <c r="AW14" i="13" s="1"/>
  <c r="AU14" i="13"/>
  <c r="AH20" i="13"/>
  <c r="AV20" i="13" s="1"/>
  <c r="AT20" i="13"/>
  <c r="AJ37" i="13"/>
  <c r="AW37" i="13" s="1"/>
  <c r="AU37" i="13"/>
  <c r="AJ31" i="13"/>
  <c r="AW31" i="13" s="1"/>
  <c r="AU31" i="13"/>
  <c r="AH17" i="13"/>
  <c r="AV17" i="13" s="1"/>
  <c r="AT17" i="13"/>
  <c r="AH19" i="13"/>
  <c r="AV19" i="13" s="1"/>
  <c r="AT19" i="13"/>
  <c r="AH30" i="13"/>
  <c r="AV30" i="13" s="1"/>
  <c r="AT30" i="13"/>
  <c r="AZ3" i="13"/>
  <c r="AY3" i="13"/>
  <c r="AJ22" i="13"/>
  <c r="AW22" i="13" s="1"/>
  <c r="AU22" i="13"/>
  <c r="AH5" i="13"/>
  <c r="AV5" i="13" s="1"/>
  <c r="AT5" i="13"/>
  <c r="AH8" i="13"/>
  <c r="AV8" i="13" s="1"/>
  <c r="AT8" i="13"/>
  <c r="AH10" i="13"/>
  <c r="AV10" i="13" s="1"/>
  <c r="AT10" i="13"/>
  <c r="AH29" i="13"/>
  <c r="AV29" i="13" s="1"/>
  <c r="AT29" i="13"/>
  <c r="AJ35" i="13"/>
  <c r="AW35" i="13" s="1"/>
  <c r="AU35" i="13"/>
  <c r="AH25" i="13"/>
  <c r="AV25" i="13" s="1"/>
  <c r="AT25" i="13"/>
  <c r="AH41" i="13"/>
  <c r="AV41" i="13" s="1"/>
  <c r="AT41" i="13"/>
  <c r="AJ32" i="13"/>
  <c r="AW32" i="13" s="1"/>
  <c r="AU32" i="13"/>
  <c r="AH32" i="13"/>
  <c r="AV32" i="13" s="1"/>
  <c r="AT32" i="13"/>
  <c r="AJ9" i="13"/>
  <c r="AW9" i="13" s="1"/>
  <c r="AU9" i="13"/>
  <c r="AJ12" i="13"/>
  <c r="AW12" i="13" s="1"/>
  <c r="AU12" i="13"/>
  <c r="AH7" i="13"/>
  <c r="AV7" i="13" s="1"/>
  <c r="AT7" i="13"/>
  <c r="AJ13" i="13"/>
  <c r="AW13" i="13" s="1"/>
  <c r="AU13" i="13"/>
  <c r="AH36" i="13"/>
  <c r="AV36" i="13" s="1"/>
  <c r="AT36" i="13"/>
  <c r="AH15" i="13"/>
  <c r="AV15" i="13" s="1"/>
  <c r="AT15" i="13"/>
  <c r="AJ39" i="13"/>
  <c r="AW39" i="13" s="1"/>
  <c r="AU39" i="13"/>
  <c r="AJ29" i="13"/>
  <c r="AW29" i="13" s="1"/>
  <c r="AU29" i="13"/>
  <c r="AJ6" i="13"/>
  <c r="AW6" i="13" s="1"/>
  <c r="AU6" i="13"/>
  <c r="AH39" i="13"/>
  <c r="AV39" i="13" s="1"/>
  <c r="AT39" i="13"/>
  <c r="AJ40" i="13"/>
  <c r="AW40" i="13" s="1"/>
  <c r="AU40" i="13"/>
  <c r="AJ10" i="13"/>
  <c r="AW10" i="13" s="1"/>
  <c r="AU10" i="13"/>
  <c r="AJ26" i="13"/>
  <c r="AW26" i="13" s="1"/>
  <c r="AU26" i="13"/>
  <c r="AH26" i="13"/>
  <c r="AV26" i="13" s="1"/>
  <c r="AT26" i="13"/>
  <c r="AJ8" i="13"/>
  <c r="AW8" i="13" s="1"/>
  <c r="AU8" i="13"/>
  <c r="AJ27" i="13"/>
  <c r="AW27" i="13" s="1"/>
  <c r="AU27" i="13"/>
  <c r="AH43" i="13"/>
  <c r="AV43" i="13" s="1"/>
  <c r="AT43" i="13"/>
  <c r="AJ16" i="13"/>
  <c r="AW16" i="13" s="1"/>
  <c r="AU16" i="13"/>
  <c r="AH12" i="13"/>
  <c r="AV12" i="13" s="1"/>
  <c r="AT12" i="13"/>
  <c r="AJ41" i="13"/>
  <c r="AW41" i="13" s="1"/>
  <c r="AU41" i="13"/>
  <c r="AJ24" i="13"/>
  <c r="AW24" i="13" s="1"/>
  <c r="AU24" i="13"/>
  <c r="AV4" i="13"/>
  <c r="AY4" i="13"/>
  <c r="AJ23" i="13"/>
  <c r="AW23" i="13" s="1"/>
  <c r="AU23" i="13"/>
  <c r="AH22" i="13"/>
  <c r="AV22" i="13" s="1"/>
  <c r="AT22" i="13"/>
  <c r="AV3" i="13"/>
  <c r="AT3" i="13"/>
  <c r="P40" i="13"/>
  <c r="AD40" i="13"/>
  <c r="R31" i="13"/>
  <c r="S31" i="13" s="1"/>
  <c r="AD31" i="13"/>
  <c r="AF44" i="13"/>
  <c r="AD44" i="13"/>
  <c r="W44" i="13"/>
  <c r="S44" i="13"/>
  <c r="BY45" i="13"/>
  <c r="U6" i="13"/>
  <c r="P6" i="13"/>
  <c r="W6" i="13"/>
  <c r="P26" i="13"/>
  <c r="R40" i="13"/>
  <c r="P31" i="13"/>
  <c r="U26" i="13"/>
  <c r="W26" i="13"/>
  <c r="R850" i="1"/>
  <c r="S850" i="1" s="1"/>
  <c r="P850" i="1"/>
  <c r="K861" i="1"/>
  <c r="N861" i="1"/>
  <c r="P861" i="1" s="1"/>
  <c r="K855" i="1"/>
  <c r="N855" i="1"/>
  <c r="P855" i="1" s="1"/>
  <c r="T856" i="1"/>
  <c r="K860" i="1"/>
  <c r="R860" i="1" s="1"/>
  <c r="S860" i="1" s="1"/>
  <c r="N859" i="1"/>
  <c r="P859" i="1" s="1"/>
  <c r="K849" i="1"/>
  <c r="N849" i="1"/>
  <c r="P849" i="1" s="1"/>
  <c r="K858" i="1"/>
  <c r="N858" i="1"/>
  <c r="P858" i="1" s="1"/>
  <c r="T858" i="1"/>
  <c r="T859" i="1"/>
  <c r="T860" i="1"/>
  <c r="K856" i="1"/>
  <c r="R856" i="1" s="1"/>
  <c r="S856" i="1" s="1"/>
  <c r="K857" i="1"/>
  <c r="K854" i="1"/>
  <c r="K853" i="1"/>
  <c r="K852" i="1"/>
  <c r="P852" i="1"/>
  <c r="P860" i="1"/>
  <c r="P856" i="1"/>
  <c r="N848" i="1"/>
  <c r="N847" i="1"/>
  <c r="N846" i="1"/>
  <c r="N844" i="1"/>
  <c r="N845" i="1"/>
  <c r="N793" i="1"/>
  <c r="N785" i="1"/>
  <c r="N843" i="1"/>
  <c r="N842" i="1"/>
  <c r="N841" i="1"/>
  <c r="N838" i="1"/>
  <c r="N837" i="1"/>
  <c r="N840" i="1"/>
  <c r="N839" i="1"/>
  <c r="N836" i="1"/>
  <c r="N835" i="1"/>
  <c r="N834" i="1"/>
  <c r="N833" i="1"/>
  <c r="N832" i="1"/>
  <c r="N791" i="1"/>
  <c r="N796" i="1"/>
  <c r="N829" i="1"/>
  <c r="N831" i="1"/>
  <c r="N830" i="1"/>
  <c r="N798" i="1"/>
  <c r="N794" i="1"/>
  <c r="N787" i="1"/>
  <c r="N827" i="1"/>
  <c r="N825" i="1"/>
  <c r="N790" i="1"/>
  <c r="N789" i="1"/>
  <c r="N828" i="1"/>
  <c r="N826" i="1"/>
  <c r="N824" i="1"/>
  <c r="N823" i="1"/>
  <c r="N822" i="1"/>
  <c r="N821" i="1"/>
  <c r="N820" i="1"/>
  <c r="N819" i="1"/>
  <c r="N818" i="1"/>
  <c r="N808" i="1"/>
  <c r="N813" i="1"/>
  <c r="N810" i="1"/>
  <c r="N809" i="1"/>
  <c r="N812" i="1"/>
  <c r="N811" i="1"/>
  <c r="N795" i="1"/>
  <c r="N817" i="1"/>
  <c r="N815" i="1"/>
  <c r="N814" i="1"/>
  <c r="N816" i="1"/>
  <c r="N788" i="1"/>
  <c r="N799" i="1"/>
  <c r="N800" i="1"/>
  <c r="N802" i="1"/>
  <c r="N801" i="1"/>
  <c r="N786" i="1"/>
  <c r="N804" i="1"/>
  <c r="N806" i="1"/>
  <c r="N803" i="1"/>
  <c r="N805" i="1"/>
  <c r="N792" i="1"/>
  <c r="N797" i="1"/>
  <c r="J828" i="1"/>
  <c r="J826" i="1"/>
  <c r="T826" i="1" s="1"/>
  <c r="J785" i="1"/>
  <c r="T785" i="1"/>
  <c r="R849" i="1" l="1"/>
  <c r="S849" i="1" s="1"/>
  <c r="R858" i="1"/>
  <c r="S858" i="1" s="1"/>
  <c r="AH44" i="13"/>
  <c r="AV44" i="13" s="1"/>
  <c r="AT44" i="13"/>
  <c r="AJ44" i="13"/>
  <c r="AW44" i="13" s="1"/>
  <c r="AU44" i="13"/>
  <c r="AH31" i="13"/>
  <c r="AV31" i="13" s="1"/>
  <c r="AT31" i="13"/>
  <c r="AH40" i="13"/>
  <c r="AV40" i="13" s="1"/>
  <c r="AT40" i="13"/>
  <c r="U31" i="13"/>
  <c r="W31" i="13"/>
  <c r="S40" i="13"/>
  <c r="W40" i="13"/>
  <c r="U40" i="13"/>
  <c r="R852" i="1"/>
  <c r="S852" i="1" s="1"/>
  <c r="T852" i="1"/>
  <c r="N853" i="1"/>
  <c r="P853" i="1" s="1"/>
  <c r="R859" i="1"/>
  <c r="N854" i="1"/>
  <c r="P854" i="1" s="1"/>
  <c r="R857" i="1"/>
  <c r="S857" i="1" s="1"/>
  <c r="T857" i="1"/>
  <c r="R855" i="1"/>
  <c r="T855" i="1"/>
  <c r="R861" i="1"/>
  <c r="T861" i="1"/>
  <c r="U856" i="1"/>
  <c r="U860" i="1"/>
  <c r="Q155" i="12"/>
  <c r="O155" i="12"/>
  <c r="M155" i="12"/>
  <c r="L155" i="12"/>
  <c r="I155" i="12"/>
  <c r="H155" i="12"/>
  <c r="G155" i="12"/>
  <c r="F155" i="12"/>
  <c r="E155" i="12"/>
  <c r="C155" i="12"/>
  <c r="B155" i="12"/>
  <c r="A155" i="12"/>
  <c r="U849" i="1" l="1"/>
  <c r="U857" i="1"/>
  <c r="U852" i="1"/>
  <c r="U858" i="1"/>
  <c r="S861" i="1"/>
  <c r="U861" i="1"/>
  <c r="R853" i="1"/>
  <c r="R854" i="1"/>
  <c r="S854" i="1" s="1"/>
  <c r="S855" i="1"/>
  <c r="U855" i="1"/>
  <c r="S859" i="1"/>
  <c r="U859" i="1"/>
  <c r="J802" i="1"/>
  <c r="J835" i="1"/>
  <c r="J836" i="1"/>
  <c r="J829" i="1"/>
  <c r="J801" i="1"/>
  <c r="J806" i="1"/>
  <c r="J814" i="1"/>
  <c r="J799" i="1"/>
  <c r="J803" i="1"/>
  <c r="J817" i="1"/>
  <c r="J848" i="1"/>
  <c r="J834" i="1"/>
  <c r="J847" i="1"/>
  <c r="J831" i="1"/>
  <c r="J819" i="1"/>
  <c r="J838" i="1"/>
  <c r="J843" i="1"/>
  <c r="J842" i="1"/>
  <c r="J832" i="1"/>
  <c r="J812" i="1"/>
  <c r="J816" i="1"/>
  <c r="J821" i="1"/>
  <c r="J800" i="1"/>
  <c r="J837" i="1"/>
  <c r="J820" i="1"/>
  <c r="J813" i="1"/>
  <c r="J830" i="1"/>
  <c r="J822" i="1"/>
  <c r="J805" i="1"/>
  <c r="J808" i="1"/>
  <c r="J810" i="1"/>
  <c r="J844" i="1"/>
  <c r="J833" i="1"/>
  <c r="J846" i="1"/>
  <c r="J827" i="1"/>
  <c r="J825" i="1"/>
  <c r="J809" i="1"/>
  <c r="J818" i="1"/>
  <c r="J841" i="1"/>
  <c r="J840" i="1"/>
  <c r="J823" i="1"/>
  <c r="J824" i="1"/>
  <c r="J845" i="1"/>
  <c r="J839" i="1"/>
  <c r="J815" i="1"/>
  <c r="J804" i="1"/>
  <c r="J811" i="1"/>
  <c r="J798" i="1"/>
  <c r="J797" i="1"/>
  <c r="J796" i="1"/>
  <c r="T796" i="1" s="1"/>
  <c r="J795" i="1"/>
  <c r="J794" i="1"/>
  <c r="T794" i="1" s="1"/>
  <c r="J793" i="1"/>
  <c r="J792" i="1"/>
  <c r="T792" i="1" s="1"/>
  <c r="J791" i="1"/>
  <c r="T791" i="1" s="1"/>
  <c r="J790" i="1"/>
  <c r="J789" i="1"/>
  <c r="J787" i="1"/>
  <c r="T787" i="1" s="1"/>
  <c r="J786" i="1"/>
  <c r="T786" i="1" s="1"/>
  <c r="J788" i="1"/>
  <c r="D848" i="1"/>
  <c r="D847" i="1"/>
  <c r="D844" i="1"/>
  <c r="D846" i="1"/>
  <c r="D845" i="1"/>
  <c r="D838" i="1"/>
  <c r="D842" i="1"/>
  <c r="D843" i="1"/>
  <c r="D840" i="1"/>
  <c r="D841" i="1"/>
  <c r="D839" i="1"/>
  <c r="D837" i="1"/>
  <c r="D836" i="1"/>
  <c r="D835" i="1"/>
  <c r="D834" i="1"/>
  <c r="D832" i="1"/>
  <c r="D833" i="1"/>
  <c r="D831" i="1"/>
  <c r="D830" i="1"/>
  <c r="D829" i="1"/>
  <c r="D828" i="1"/>
  <c r="D826" i="1"/>
  <c r="D827" i="1"/>
  <c r="D825" i="1"/>
  <c r="D824" i="1"/>
  <c r="D823" i="1"/>
  <c r="D819" i="1"/>
  <c r="D822" i="1"/>
  <c r="D820" i="1"/>
  <c r="D821" i="1"/>
  <c r="D818" i="1"/>
  <c r="D814" i="1"/>
  <c r="D817" i="1"/>
  <c r="D816" i="1"/>
  <c r="D815" i="1"/>
  <c r="D812" i="1"/>
  <c r="D808" i="1"/>
  <c r="D813" i="1"/>
  <c r="D810" i="1"/>
  <c r="D809" i="1"/>
  <c r="D811" i="1"/>
  <c r="D805" i="1"/>
  <c r="D806" i="1"/>
  <c r="D803" i="1"/>
  <c r="D804" i="1"/>
  <c r="D802" i="1"/>
  <c r="D801" i="1"/>
  <c r="D800" i="1"/>
  <c r="D799" i="1"/>
  <c r="D798" i="1"/>
  <c r="D797" i="1"/>
  <c r="D796" i="1"/>
  <c r="D795" i="1"/>
  <c r="D794" i="1"/>
  <c r="D793" i="1"/>
  <c r="D792" i="1"/>
  <c r="D791" i="1"/>
  <c r="D790" i="1"/>
  <c r="D788" i="1"/>
  <c r="D789" i="1"/>
  <c r="D787" i="1"/>
  <c r="D786" i="1"/>
  <c r="D785" i="1"/>
  <c r="J213" i="15"/>
  <c r="N213" i="15" s="1"/>
  <c r="J224" i="15"/>
  <c r="J223" i="15"/>
  <c r="N223" i="15" s="1"/>
  <c r="J219" i="15"/>
  <c r="N219" i="15" s="1"/>
  <c r="J222" i="15"/>
  <c r="N222" i="15" s="1"/>
  <c r="J220" i="15"/>
  <c r="T220" i="15" s="1"/>
  <c r="J221" i="15"/>
  <c r="N221" i="15" s="1"/>
  <c r="J212" i="15"/>
  <c r="J217" i="15"/>
  <c r="J215" i="15"/>
  <c r="N215" i="15" s="1"/>
  <c r="J216" i="15"/>
  <c r="N216" i="15" s="1"/>
  <c r="J218" i="15"/>
  <c r="J214" i="15"/>
  <c r="N214" i="15" s="1"/>
  <c r="J211" i="15"/>
  <c r="N211" i="15" s="1"/>
  <c r="J210" i="15"/>
  <c r="N210" i="15" s="1"/>
  <c r="J209" i="15"/>
  <c r="N209" i="15" s="1"/>
  <c r="T218" i="15" l="1"/>
  <c r="T219" i="15"/>
  <c r="T216" i="15"/>
  <c r="T214" i="15"/>
  <c r="S853" i="1"/>
  <c r="U853" i="1"/>
  <c r="U854" i="1"/>
  <c r="T223" i="15"/>
  <c r="T211" i="15"/>
  <c r="T213" i="15"/>
  <c r="T837" i="1"/>
  <c r="T841" i="1"/>
  <c r="T814" i="1"/>
  <c r="T821" i="1"/>
  <c r="T831" i="1"/>
  <c r="T806" i="1"/>
  <c r="T838" i="1"/>
  <c r="T800" i="1"/>
  <c r="T825" i="1"/>
  <c r="T829" i="1"/>
  <c r="T840" i="1"/>
  <c r="T827" i="1"/>
  <c r="T848" i="1"/>
  <c r="T811" i="1"/>
  <c r="T846" i="1"/>
  <c r="T813" i="1"/>
  <c r="T842" i="1"/>
  <c r="T817" i="1"/>
  <c r="T835" i="1"/>
  <c r="T810" i="1"/>
  <c r="T823" i="1"/>
  <c r="T843" i="1"/>
  <c r="T802" i="1"/>
  <c r="J768" i="1"/>
  <c r="N768" i="1" s="1"/>
  <c r="T768" i="1"/>
  <c r="T743" i="1"/>
  <c r="T737" i="1"/>
  <c r="T742" i="1"/>
  <c r="T741" i="1"/>
  <c r="J771" i="1" l="1"/>
  <c r="N771" i="1" s="1"/>
  <c r="D761" i="1"/>
  <c r="V761" i="1"/>
  <c r="X761" i="1"/>
  <c r="J761" i="1"/>
  <c r="T761" i="1" s="1"/>
  <c r="J759" i="1"/>
  <c r="J760" i="1"/>
  <c r="N760" i="1" s="1"/>
  <c r="J766" i="1"/>
  <c r="J758" i="1"/>
  <c r="N758" i="1" s="1"/>
  <c r="J779" i="1"/>
  <c r="N779" i="1" s="1"/>
  <c r="J736" i="1"/>
  <c r="J767" i="1"/>
  <c r="N767" i="1" s="1"/>
  <c r="J782" i="1"/>
  <c r="J781" i="1"/>
  <c r="J747" i="1"/>
  <c r="N747" i="1" s="1"/>
  <c r="J745" i="1"/>
  <c r="T745" i="1" s="1"/>
  <c r="J762" i="1"/>
  <c r="N762" i="1" s="1"/>
  <c r="J770" i="1"/>
  <c r="J765" i="1"/>
  <c r="N765" i="1" s="1"/>
  <c r="J733" i="1"/>
  <c r="J773" i="1"/>
  <c r="N773" i="1" s="1"/>
  <c r="J752" i="1"/>
  <c r="J777" i="1"/>
  <c r="N777" i="1" s="1"/>
  <c r="J749" i="1"/>
  <c r="J772" i="1"/>
  <c r="J751" i="1"/>
  <c r="J774" i="1"/>
  <c r="J732" i="1"/>
  <c r="J757" i="1"/>
  <c r="J776" i="1"/>
  <c r="J741" i="1"/>
  <c r="N741" i="1" s="1"/>
  <c r="J778" i="1"/>
  <c r="J763" i="1"/>
  <c r="J769" i="1"/>
  <c r="J756" i="1"/>
  <c r="N756" i="1" s="1"/>
  <c r="J764" i="1"/>
  <c r="J750" i="1"/>
  <c r="J727" i="1"/>
  <c r="J748" i="1"/>
  <c r="N748" i="1" s="1"/>
  <c r="J746" i="1"/>
  <c r="N746" i="1" s="1"/>
  <c r="J740" i="1"/>
  <c r="J729" i="1"/>
  <c r="J730" i="1"/>
  <c r="J743" i="1"/>
  <c r="N743" i="1" s="1"/>
  <c r="J737" i="1"/>
  <c r="N737" i="1" s="1"/>
  <c r="J783" i="1"/>
  <c r="J755" i="1"/>
  <c r="T755" i="1" s="1"/>
  <c r="J734" i="1"/>
  <c r="N734" i="1" s="1"/>
  <c r="J753" i="1"/>
  <c r="N753" i="1" s="1"/>
  <c r="J726" i="1"/>
  <c r="J731" i="1"/>
  <c r="N731" i="1" s="1"/>
  <c r="J784" i="1"/>
  <c r="K784" i="1" s="1"/>
  <c r="N784" i="1" s="1"/>
  <c r="P784" i="1" s="1"/>
  <c r="J742" i="1"/>
  <c r="N742" i="1" s="1"/>
  <c r="J739" i="1"/>
  <c r="J744" i="1"/>
  <c r="N744" i="1" s="1"/>
  <c r="J738" i="1"/>
  <c r="N738" i="1" s="1"/>
  <c r="J202" i="15"/>
  <c r="K202" i="15" s="1"/>
  <c r="J201" i="15"/>
  <c r="J200" i="15"/>
  <c r="J199" i="15"/>
  <c r="J198" i="15"/>
  <c r="T198" i="15" s="1"/>
  <c r="J194" i="15"/>
  <c r="N194" i="15" s="1"/>
  <c r="J197" i="15"/>
  <c r="J193" i="15"/>
  <c r="J190" i="15"/>
  <c r="N190" i="15" s="1"/>
  <c r="J195" i="15"/>
  <c r="J192" i="15"/>
  <c r="J191" i="15"/>
  <c r="J196" i="15"/>
  <c r="J189" i="15"/>
  <c r="J725" i="1"/>
  <c r="N725" i="1" s="1"/>
  <c r="J724" i="1"/>
  <c r="N724" i="1" s="1"/>
  <c r="J723" i="1"/>
  <c r="J720" i="1"/>
  <c r="J722" i="1"/>
  <c r="J721" i="1"/>
  <c r="J719" i="1"/>
  <c r="J718" i="1"/>
  <c r="N718" i="1" s="1"/>
  <c r="T719" i="1"/>
  <c r="D725" i="1"/>
  <c r="D724" i="1"/>
  <c r="D723" i="1"/>
  <c r="D722" i="1"/>
  <c r="D721" i="1"/>
  <c r="D720" i="1"/>
  <c r="D718" i="1"/>
  <c r="D719" i="1"/>
  <c r="D776" i="1"/>
  <c r="D770" i="1"/>
  <c r="D773" i="1"/>
  <c r="D774" i="1"/>
  <c r="D772" i="1"/>
  <c r="D769" i="1"/>
  <c r="D771" i="1"/>
  <c r="K728" i="1"/>
  <c r="N728" i="1" s="1"/>
  <c r="P728" i="1" s="1"/>
  <c r="K754" i="1"/>
  <c r="K775" i="1"/>
  <c r="K780" i="1"/>
  <c r="D782" i="1"/>
  <c r="D155" i="12" s="1"/>
  <c r="D778" i="1"/>
  <c r="D784" i="1"/>
  <c r="D780" i="1"/>
  <c r="D775" i="1"/>
  <c r="D766" i="1"/>
  <c r="D768" i="1"/>
  <c r="D767" i="1"/>
  <c r="D765" i="1"/>
  <c r="D764" i="1"/>
  <c r="D763" i="1"/>
  <c r="D760" i="1"/>
  <c r="D759" i="1"/>
  <c r="D758" i="1"/>
  <c r="D762" i="1"/>
  <c r="D757" i="1"/>
  <c r="D781" i="1"/>
  <c r="D754" i="1"/>
  <c r="D753" i="1"/>
  <c r="D783" i="1"/>
  <c r="D779" i="1"/>
  <c r="D777" i="1"/>
  <c r="D752" i="1"/>
  <c r="D749" i="1"/>
  <c r="D751" i="1"/>
  <c r="D750" i="1"/>
  <c r="D740" i="1"/>
  <c r="D743" i="1"/>
  <c r="D737" i="1"/>
  <c r="D739" i="1"/>
  <c r="D742" i="1"/>
  <c r="D741" i="1"/>
  <c r="D738" i="1"/>
  <c r="D745" i="1"/>
  <c r="D747" i="1"/>
  <c r="D746" i="1"/>
  <c r="D748" i="1"/>
  <c r="D744" i="1"/>
  <c r="D729" i="1"/>
  <c r="D728" i="1"/>
  <c r="D727" i="1"/>
  <c r="D726" i="1"/>
  <c r="D736" i="1"/>
  <c r="D733" i="1"/>
  <c r="D732" i="1"/>
  <c r="D735" i="1"/>
  <c r="D730" i="1"/>
  <c r="D756" i="1"/>
  <c r="D734" i="1"/>
  <c r="D755" i="1"/>
  <c r="D731" i="1"/>
  <c r="N712" i="1"/>
  <c r="N713" i="1"/>
  <c r="N714" i="1"/>
  <c r="N715" i="1"/>
  <c r="N711" i="1"/>
  <c r="N717" i="1"/>
  <c r="N716" i="1"/>
  <c r="N701" i="1"/>
  <c r="N703" i="1"/>
  <c r="N702" i="1"/>
  <c r="N700" i="1"/>
  <c r="N699" i="1"/>
  <c r="N662" i="1"/>
  <c r="N696" i="1"/>
  <c r="N698" i="1"/>
  <c r="N697" i="1"/>
  <c r="N695" i="1"/>
  <c r="N694" i="1"/>
  <c r="N663" i="1"/>
  <c r="N693" i="1"/>
  <c r="N692" i="1"/>
  <c r="N676" i="1"/>
  <c r="N679" i="1"/>
  <c r="N678" i="1"/>
  <c r="N675" i="1"/>
  <c r="N681" i="1"/>
  <c r="N677" i="1"/>
  <c r="N680" i="1"/>
  <c r="N687" i="1"/>
  <c r="N688" i="1"/>
  <c r="N690" i="1"/>
  <c r="N689" i="1"/>
  <c r="N691" i="1"/>
  <c r="N685" i="1"/>
  <c r="N683" i="1"/>
  <c r="N686" i="1"/>
  <c r="N682" i="1"/>
  <c r="N684" i="1"/>
  <c r="N664" i="1"/>
  <c r="N666" i="1"/>
  <c r="N665" i="1"/>
  <c r="N667" i="1"/>
  <c r="N661" i="1"/>
  <c r="N659" i="1"/>
  <c r="N673" i="1"/>
  <c r="N670" i="1"/>
  <c r="N669" i="1"/>
  <c r="N672" i="1"/>
  <c r="N671" i="1"/>
  <c r="N674" i="1"/>
  <c r="N668" i="1"/>
  <c r="Q126" i="11"/>
  <c r="O126" i="11"/>
  <c r="M126" i="11"/>
  <c r="L126" i="11"/>
  <c r="I126" i="11"/>
  <c r="H126" i="11"/>
  <c r="G126" i="11"/>
  <c r="F126" i="11"/>
  <c r="A126" i="11"/>
  <c r="E126" i="11"/>
  <c r="D126" i="11"/>
  <c r="C126" i="11"/>
  <c r="B126" i="11"/>
  <c r="Q42" i="11"/>
  <c r="O42" i="11"/>
  <c r="M42" i="11"/>
  <c r="L42" i="11"/>
  <c r="I42" i="11"/>
  <c r="H42" i="11"/>
  <c r="G42" i="11"/>
  <c r="F42" i="11"/>
  <c r="E42" i="11"/>
  <c r="D42" i="11"/>
  <c r="C42" i="11"/>
  <c r="B42" i="11"/>
  <c r="A42" i="11"/>
  <c r="K705" i="1"/>
  <c r="K126" i="11" s="1"/>
  <c r="J705" i="1"/>
  <c r="J126" i="11" s="1"/>
  <c r="T197" i="15" l="1"/>
  <c r="N197" i="15"/>
  <c r="N199" i="15"/>
  <c r="P199" i="15" s="1"/>
  <c r="N192" i="15"/>
  <c r="K200" i="15"/>
  <c r="N200" i="15"/>
  <c r="T193" i="15"/>
  <c r="N193" i="15"/>
  <c r="T196" i="15"/>
  <c r="N196" i="15"/>
  <c r="T191" i="15"/>
  <c r="N191" i="15"/>
  <c r="K201" i="15"/>
  <c r="N201" i="15"/>
  <c r="T202" i="15"/>
  <c r="N202" i="15"/>
  <c r="T199" i="15"/>
  <c r="T200" i="15"/>
  <c r="T192" i="15"/>
  <c r="K196" i="15"/>
  <c r="K782" i="1"/>
  <c r="T782" i="1" s="1"/>
  <c r="T155" i="12" s="1"/>
  <c r="J155" i="12"/>
  <c r="T774" i="1"/>
  <c r="N774" i="1"/>
  <c r="T769" i="1"/>
  <c r="N769" i="1"/>
  <c r="T770" i="1"/>
  <c r="N770" i="1"/>
  <c r="T772" i="1"/>
  <c r="N772" i="1"/>
  <c r="K781" i="1"/>
  <c r="T781" i="1" s="1"/>
  <c r="N781" i="1"/>
  <c r="P781" i="1" s="1"/>
  <c r="N775" i="1"/>
  <c r="P775" i="1" s="1"/>
  <c r="K783" i="1"/>
  <c r="T783" i="1" s="1"/>
  <c r="N783" i="1"/>
  <c r="P783" i="1" s="1"/>
  <c r="N780" i="1"/>
  <c r="P780" i="1" s="1"/>
  <c r="T778" i="1"/>
  <c r="N778" i="1"/>
  <c r="T764" i="1"/>
  <c r="N764" i="1"/>
  <c r="T763" i="1"/>
  <c r="N763" i="1"/>
  <c r="T766" i="1"/>
  <c r="N766" i="1"/>
  <c r="N754" i="1"/>
  <c r="P754" i="1" s="1"/>
  <c r="T750" i="1"/>
  <c r="N750" i="1"/>
  <c r="T752" i="1"/>
  <c r="N752" i="1"/>
  <c r="T729" i="1"/>
  <c r="N729" i="1"/>
  <c r="T723" i="1"/>
  <c r="N723" i="1"/>
  <c r="T732" i="1"/>
  <c r="N732" i="1"/>
  <c r="T730" i="1"/>
  <c r="N730" i="1"/>
  <c r="T736" i="1"/>
  <c r="N736" i="1"/>
  <c r="R784" i="1"/>
  <c r="S784" i="1" s="1"/>
  <c r="T784" i="1"/>
  <c r="T725" i="1"/>
  <c r="T718" i="1"/>
  <c r="T777" i="1"/>
  <c r="T739" i="1"/>
  <c r="K761" i="1"/>
  <c r="K199" i="15"/>
  <c r="R199" i="15" s="1"/>
  <c r="S199" i="15" s="1"/>
  <c r="K198" i="15"/>
  <c r="K197" i="15"/>
  <c r="N705" i="1"/>
  <c r="N42" i="11" s="1"/>
  <c r="T705" i="1"/>
  <c r="J42" i="11"/>
  <c r="K42" i="11"/>
  <c r="T201" i="15" l="1"/>
  <c r="N198" i="15"/>
  <c r="P198" i="15" s="1"/>
  <c r="N782" i="1"/>
  <c r="K155" i="12"/>
  <c r="R781" i="1"/>
  <c r="S781" i="1" s="1"/>
  <c r="U199" i="15"/>
  <c r="R197" i="15"/>
  <c r="R780" i="1"/>
  <c r="S780" i="1" s="1"/>
  <c r="R775" i="1"/>
  <c r="S775" i="1" s="1"/>
  <c r="R783" i="1"/>
  <c r="S783" i="1" s="1"/>
  <c r="N761" i="1"/>
  <c r="P761" i="1" s="1"/>
  <c r="R754" i="1"/>
  <c r="S754" i="1" s="1"/>
  <c r="U784" i="1"/>
  <c r="N126" i="11"/>
  <c r="P705" i="1"/>
  <c r="P126" i="11" s="1"/>
  <c r="R705" i="1"/>
  <c r="R42" i="11" s="1"/>
  <c r="T42" i="11"/>
  <c r="T126" i="11"/>
  <c r="R198" i="15" l="1"/>
  <c r="P782" i="1"/>
  <c r="P155" i="12" s="1"/>
  <c r="N155" i="12"/>
  <c r="R782" i="1"/>
  <c r="U781" i="1"/>
  <c r="U783" i="1"/>
  <c r="S197" i="15"/>
  <c r="U197" i="15"/>
  <c r="R761" i="1"/>
  <c r="U705" i="1"/>
  <c r="U42" i="11" s="1"/>
  <c r="P42" i="11"/>
  <c r="S705" i="1"/>
  <c r="S42" i="11" s="1"/>
  <c r="R126" i="11"/>
  <c r="S198" i="15" l="1"/>
  <c r="U198" i="15"/>
  <c r="S782" i="1"/>
  <c r="S155" i="12" s="1"/>
  <c r="R155" i="12"/>
  <c r="U782" i="1"/>
  <c r="U155" i="12" s="1"/>
  <c r="S761" i="1"/>
  <c r="U761" i="1"/>
  <c r="U126" i="11"/>
  <c r="S126" i="11"/>
  <c r="J182" i="15"/>
  <c r="J181" i="15"/>
  <c r="N181" i="15" s="1"/>
  <c r="J177" i="15"/>
  <c r="J180" i="15"/>
  <c r="J178" i="15"/>
  <c r="J179" i="15"/>
  <c r="T179" i="15" s="1"/>
  <c r="J173" i="15"/>
  <c r="N173" i="15" s="1"/>
  <c r="J176" i="15"/>
  <c r="N176" i="15" s="1"/>
  <c r="J175" i="15"/>
  <c r="N175" i="15" s="1"/>
  <c r="J174" i="15"/>
  <c r="N174" i="15" s="1"/>
  <c r="J171" i="15"/>
  <c r="J172" i="15"/>
  <c r="J170" i="15"/>
  <c r="N170" i="15" s="1"/>
  <c r="J169" i="15"/>
  <c r="J699" i="1"/>
  <c r="T699" i="1" s="1"/>
  <c r="J687" i="1"/>
  <c r="T687" i="1" s="1"/>
  <c r="J671" i="1"/>
  <c r="T671" i="1" s="1"/>
  <c r="J666" i="1"/>
  <c r="J691" i="1"/>
  <c r="T691" i="1" s="1"/>
  <c r="D691" i="1"/>
  <c r="J696" i="1"/>
  <c r="J698" i="1"/>
  <c r="T698" i="1" s="1"/>
  <c r="J697" i="1"/>
  <c r="J702" i="1"/>
  <c r="J700" i="1"/>
  <c r="T700" i="1" s="1"/>
  <c r="J672" i="1"/>
  <c r="J712" i="1"/>
  <c r="J684" i="1"/>
  <c r="J674" i="1"/>
  <c r="J716" i="1"/>
  <c r="J682" i="1"/>
  <c r="T682" i="1" s="1"/>
  <c r="J685" i="1"/>
  <c r="J695" i="1"/>
  <c r="T695" i="1" s="1"/>
  <c r="J709" i="1"/>
  <c r="J713" i="1"/>
  <c r="J703" i="1"/>
  <c r="T703" i="1" s="1"/>
  <c r="J715" i="1"/>
  <c r="J679" i="1"/>
  <c r="J667" i="1"/>
  <c r="J707" i="1"/>
  <c r="J668" i="1"/>
  <c r="T668" i="1" s="1"/>
  <c r="J670" i="1"/>
  <c r="T670" i="1" s="1"/>
  <c r="J677" i="1"/>
  <c r="J681" i="1"/>
  <c r="T681" i="1" s="1"/>
  <c r="J690" i="1"/>
  <c r="T690" i="1" s="1"/>
  <c r="J689" i="1"/>
  <c r="J688" i="1"/>
  <c r="T688" i="1" s="1"/>
  <c r="J694" i="1"/>
  <c r="T694" i="1" s="1"/>
  <c r="J676" i="1"/>
  <c r="J683" i="1"/>
  <c r="T683" i="1" s="1"/>
  <c r="J710" i="1"/>
  <c r="J704" i="1"/>
  <c r="J664" i="1"/>
  <c r="T664" i="1" s="1"/>
  <c r="J708" i="1"/>
  <c r="J706" i="1"/>
  <c r="T706" i="1" s="1"/>
  <c r="J678" i="1"/>
  <c r="J673" i="1"/>
  <c r="T673" i="1" s="1"/>
  <c r="J675" i="1"/>
  <c r="T675" i="1" s="1"/>
  <c r="J714" i="1"/>
  <c r="J717" i="1"/>
  <c r="J680" i="1"/>
  <c r="J711" i="1"/>
  <c r="J686" i="1"/>
  <c r="J665" i="1"/>
  <c r="J669" i="1"/>
  <c r="T669" i="1" s="1"/>
  <c r="J692" i="1"/>
  <c r="J663" i="1"/>
  <c r="T663" i="1" s="1"/>
  <c r="J662" i="1"/>
  <c r="T662" i="1" s="1"/>
  <c r="J660" i="1"/>
  <c r="J661" i="1"/>
  <c r="J659" i="1"/>
  <c r="T175" i="15" l="1"/>
  <c r="T181" i="15"/>
  <c r="T173" i="15"/>
  <c r="T176" i="15"/>
  <c r="T182" i="15"/>
  <c r="N660" i="1"/>
  <c r="T704" i="1"/>
  <c r="N704" i="1"/>
  <c r="T709" i="1"/>
  <c r="N709" i="1"/>
  <c r="T710" i="1"/>
  <c r="N710" i="1"/>
  <c r="T708" i="1"/>
  <c r="N708" i="1"/>
  <c r="T684" i="1"/>
  <c r="T678" i="1"/>
  <c r="T667" i="1"/>
  <c r="T679" i="1"/>
  <c r="T659" i="1"/>
  <c r="T712" i="1"/>
  <c r="J657" i="1"/>
  <c r="N657" i="1" s="1"/>
  <c r="J658" i="1"/>
  <c r="J653" i="1"/>
  <c r="N653" i="1" s="1"/>
  <c r="J655" i="1"/>
  <c r="N655" i="1" s="1"/>
  <c r="J654" i="1"/>
  <c r="T701" i="1"/>
  <c r="J701" i="1"/>
  <c r="T656" i="1"/>
  <c r="J656" i="1"/>
  <c r="N656" i="1" s="1"/>
  <c r="N658" i="1" l="1"/>
  <c r="T654" i="1"/>
  <c r="N654" i="1"/>
  <c r="D710" i="1"/>
  <c r="D709" i="1"/>
  <c r="D707" i="1"/>
  <c r="D704" i="1"/>
  <c r="D708" i="1"/>
  <c r="D706" i="1"/>
  <c r="D712" i="1"/>
  <c r="D716" i="1"/>
  <c r="D713" i="1"/>
  <c r="D715" i="1"/>
  <c r="D714" i="1"/>
  <c r="D711" i="1"/>
  <c r="D717" i="1"/>
  <c r="D702" i="1"/>
  <c r="D701" i="1"/>
  <c r="D700" i="1"/>
  <c r="D699" i="1"/>
  <c r="D703" i="1"/>
  <c r="D697" i="1"/>
  <c r="D696" i="1"/>
  <c r="D698" i="1"/>
  <c r="D695" i="1"/>
  <c r="D694" i="1"/>
  <c r="D693" i="1"/>
  <c r="D692" i="1"/>
  <c r="D687" i="1"/>
  <c r="D689" i="1"/>
  <c r="D690" i="1"/>
  <c r="D688" i="1"/>
  <c r="D679" i="1"/>
  <c r="D676" i="1"/>
  <c r="D681" i="1"/>
  <c r="D677" i="1"/>
  <c r="D678" i="1"/>
  <c r="D675" i="1"/>
  <c r="D680" i="1"/>
  <c r="D684" i="1"/>
  <c r="D685" i="1"/>
  <c r="D682" i="1"/>
  <c r="D683" i="1"/>
  <c r="D686" i="1"/>
  <c r="D667" i="1"/>
  <c r="D664" i="1"/>
  <c r="D666" i="1"/>
  <c r="D665" i="1"/>
  <c r="D672" i="1"/>
  <c r="D674" i="1"/>
  <c r="D670" i="1"/>
  <c r="D671" i="1"/>
  <c r="D668" i="1"/>
  <c r="D673" i="1"/>
  <c r="D669" i="1"/>
  <c r="D663" i="1"/>
  <c r="D662" i="1"/>
  <c r="D661" i="1"/>
  <c r="D660" i="1"/>
  <c r="D659" i="1"/>
  <c r="D658" i="1"/>
  <c r="D657" i="1"/>
  <c r="D656" i="1"/>
  <c r="D655" i="1"/>
  <c r="D654" i="1"/>
  <c r="D653" i="1"/>
  <c r="P160" i="15"/>
  <c r="Q97" i="11"/>
  <c r="O97" i="11"/>
  <c r="M97" i="11"/>
  <c r="L97" i="11"/>
  <c r="I97" i="11"/>
  <c r="H97" i="11"/>
  <c r="G97" i="11"/>
  <c r="F97" i="11"/>
  <c r="E97" i="11"/>
  <c r="C97" i="11"/>
  <c r="B97" i="11"/>
  <c r="A96" i="11"/>
  <c r="B96" i="11"/>
  <c r="C96" i="11"/>
  <c r="D96" i="11"/>
  <c r="E96" i="11"/>
  <c r="F96" i="11"/>
  <c r="G96" i="11"/>
  <c r="H96" i="11"/>
  <c r="I96" i="11"/>
  <c r="J96" i="11"/>
  <c r="K96" i="11"/>
  <c r="L96" i="11"/>
  <c r="M96" i="11"/>
  <c r="N96" i="11"/>
  <c r="O96" i="11"/>
  <c r="P96" i="11"/>
  <c r="Q96" i="11"/>
  <c r="R96" i="11"/>
  <c r="S96" i="11"/>
  <c r="T96" i="11"/>
  <c r="U96" i="11"/>
  <c r="A97" i="11"/>
  <c r="A84" i="3"/>
  <c r="B84" i="3"/>
  <c r="C84" i="3"/>
  <c r="E84" i="3"/>
  <c r="F84" i="3"/>
  <c r="G84" i="3"/>
  <c r="H84" i="3"/>
  <c r="I84" i="3"/>
  <c r="L84" i="3"/>
  <c r="M84" i="3"/>
  <c r="O84" i="3"/>
  <c r="Q84" i="3"/>
  <c r="D607" i="1"/>
  <c r="D97" i="11" s="1"/>
  <c r="J607" i="1"/>
  <c r="K607" i="1" s="1"/>
  <c r="J160" i="15"/>
  <c r="J159" i="15"/>
  <c r="N159" i="15" s="1"/>
  <c r="J158" i="15"/>
  <c r="N158" i="15" s="1"/>
  <c r="J157" i="15"/>
  <c r="T157" i="15" s="1"/>
  <c r="J156" i="15"/>
  <c r="J150" i="15"/>
  <c r="N150" i="15" s="1"/>
  <c r="J152" i="15"/>
  <c r="J149" i="15"/>
  <c r="N149" i="15" s="1"/>
  <c r="J155" i="15"/>
  <c r="K155" i="15" s="1"/>
  <c r="J154" i="15"/>
  <c r="N154" i="15" s="1"/>
  <c r="J151" i="15"/>
  <c r="J153" i="15"/>
  <c r="J148" i="15"/>
  <c r="N148" i="15" s="1"/>
  <c r="T148" i="15" l="1"/>
  <c r="D84" i="3"/>
  <c r="T155" i="15"/>
  <c r="N152" i="15"/>
  <c r="N155" i="15"/>
  <c r="P155" i="15" s="1"/>
  <c r="N607" i="1"/>
  <c r="K97" i="11"/>
  <c r="K84" i="3"/>
  <c r="T607" i="1"/>
  <c r="J84" i="3"/>
  <c r="J97" i="11"/>
  <c r="R155" i="15" l="1"/>
  <c r="P607" i="1"/>
  <c r="N84" i="3"/>
  <c r="N97" i="11"/>
  <c r="R607" i="1"/>
  <c r="U607" i="1" s="1"/>
  <c r="U84" i="3" s="1"/>
  <c r="T84" i="3"/>
  <c r="T97" i="11"/>
  <c r="S155" i="15" l="1"/>
  <c r="U155" i="15"/>
  <c r="U97" i="11"/>
  <c r="S607" i="1"/>
  <c r="R97" i="11"/>
  <c r="R84" i="3"/>
  <c r="P97" i="11"/>
  <c r="P84" i="3"/>
  <c r="J649" i="1"/>
  <c r="N649" i="1" s="1"/>
  <c r="J631" i="1"/>
  <c r="T631" i="1" s="1"/>
  <c r="J632" i="1"/>
  <c r="N632" i="1" s="1"/>
  <c r="J634" i="1"/>
  <c r="J636" i="1"/>
  <c r="J638" i="1"/>
  <c r="J609" i="1"/>
  <c r="T609" i="1" s="1"/>
  <c r="J652" i="1"/>
  <c r="J608" i="1"/>
  <c r="N608" i="1" s="1"/>
  <c r="J640" i="1"/>
  <c r="J630" i="1"/>
  <c r="J618" i="1"/>
  <c r="N618" i="1" s="1"/>
  <c r="J604" i="1"/>
  <c r="J633" i="1"/>
  <c r="J622" i="1"/>
  <c r="N622" i="1" s="1"/>
  <c r="J648" i="1"/>
  <c r="J641" i="1"/>
  <c r="J644" i="1"/>
  <c r="J645" i="1"/>
  <c r="J626" i="1"/>
  <c r="J646" i="1"/>
  <c r="T646" i="1" s="1"/>
  <c r="J602" i="1"/>
  <c r="N602" i="1" s="1"/>
  <c r="J620" i="1"/>
  <c r="J627" i="1"/>
  <c r="N627" i="1" s="1"/>
  <c r="J639" i="1"/>
  <c r="J603" i="1"/>
  <c r="N603" i="1" s="1"/>
  <c r="J635" i="1"/>
  <c r="N635" i="1" s="1"/>
  <c r="J637" i="1"/>
  <c r="N637" i="1" s="1"/>
  <c r="J610" i="1"/>
  <c r="N610" i="1" s="1"/>
  <c r="J621" i="1"/>
  <c r="J614" i="1"/>
  <c r="J613" i="1"/>
  <c r="J647" i="1"/>
  <c r="N647" i="1" s="1"/>
  <c r="J643" i="1"/>
  <c r="T643" i="1" s="1"/>
  <c r="J625" i="1"/>
  <c r="T625" i="1" s="1"/>
  <c r="J623" i="1"/>
  <c r="T623" i="1" s="1"/>
  <c r="J642" i="1"/>
  <c r="N642" i="1" s="1"/>
  <c r="J605" i="1"/>
  <c r="T605" i="1" s="1"/>
  <c r="J612" i="1"/>
  <c r="T612" i="1" s="1"/>
  <c r="J606" i="1"/>
  <c r="J628" i="1"/>
  <c r="N628" i="1" s="1"/>
  <c r="J616" i="1"/>
  <c r="J611" i="1"/>
  <c r="N611" i="1" s="1"/>
  <c r="J619" i="1"/>
  <c r="J650" i="1"/>
  <c r="N650" i="1" s="1"/>
  <c r="J617" i="1"/>
  <c r="J651" i="1"/>
  <c r="J615" i="1"/>
  <c r="N615" i="1" s="1"/>
  <c r="J624" i="1"/>
  <c r="N624" i="1" s="1"/>
  <c r="J629" i="1"/>
  <c r="N629" i="1" s="1"/>
  <c r="J601" i="1"/>
  <c r="N601" i="1" s="1"/>
  <c r="J599" i="1"/>
  <c r="J600" i="1"/>
  <c r="N600" i="1" s="1"/>
  <c r="J598" i="1"/>
  <c r="J597" i="1"/>
  <c r="J596" i="1"/>
  <c r="N596" i="1" s="1"/>
  <c r="J595" i="1"/>
  <c r="T595" i="1" s="1"/>
  <c r="J594" i="1"/>
  <c r="T594" i="1" s="1"/>
  <c r="J593" i="1"/>
  <c r="D645" i="1"/>
  <c r="D644" i="1"/>
  <c r="D643" i="1"/>
  <c r="D642" i="1"/>
  <c r="D641" i="1"/>
  <c r="D652" i="1"/>
  <c r="D649" i="1"/>
  <c r="D648" i="1"/>
  <c r="D646" i="1"/>
  <c r="D640" i="1"/>
  <c r="D638" i="1"/>
  <c r="D636" i="1"/>
  <c r="D635" i="1"/>
  <c r="D634" i="1"/>
  <c r="D633" i="1"/>
  <c r="D632" i="1"/>
  <c r="D631" i="1"/>
  <c r="D630" i="1"/>
  <c r="D623" i="1"/>
  <c r="D622" i="1"/>
  <c r="D620" i="1"/>
  <c r="D627" i="1"/>
  <c r="D626" i="1"/>
  <c r="D618" i="1"/>
  <c r="D609" i="1"/>
  <c r="D608" i="1"/>
  <c r="D604" i="1"/>
  <c r="D602" i="1"/>
  <c r="T641" i="1" l="1"/>
  <c r="N641" i="1"/>
  <c r="T644" i="1"/>
  <c r="N644" i="1"/>
  <c r="T645" i="1"/>
  <c r="N645" i="1"/>
  <c r="T652" i="1"/>
  <c r="N652" i="1"/>
  <c r="T639" i="1"/>
  <c r="N639" i="1"/>
  <c r="T640" i="1"/>
  <c r="N640" i="1"/>
  <c r="T638" i="1"/>
  <c r="N638" i="1"/>
  <c r="T636" i="1"/>
  <c r="N636" i="1"/>
  <c r="T633" i="1"/>
  <c r="N633" i="1"/>
  <c r="T634" i="1"/>
  <c r="N634" i="1"/>
  <c r="T599" i="1"/>
  <c r="N599" i="1"/>
  <c r="T597" i="1"/>
  <c r="N597" i="1"/>
  <c r="T626" i="1"/>
  <c r="N626" i="1"/>
  <c r="T616" i="1"/>
  <c r="N616" i="1"/>
  <c r="T614" i="1"/>
  <c r="N614" i="1"/>
  <c r="T619" i="1"/>
  <c r="N619" i="1"/>
  <c r="T620" i="1"/>
  <c r="N620" i="1"/>
  <c r="T606" i="1"/>
  <c r="N606" i="1"/>
  <c r="T604" i="1"/>
  <c r="N604" i="1"/>
  <c r="S84" i="3"/>
  <c r="S97" i="11"/>
  <c r="T622" i="1"/>
  <c r="T630" i="1"/>
  <c r="T596" i="1"/>
  <c r="D639" i="1" l="1"/>
  <c r="D603" i="1"/>
  <c r="D610" i="1"/>
  <c r="D621" i="1"/>
  <c r="D614" i="1"/>
  <c r="D613" i="1"/>
  <c r="D637" i="1"/>
  <c r="D647" i="1"/>
  <c r="D625" i="1"/>
  <c r="D605" i="1"/>
  <c r="D612" i="1"/>
  <c r="D628" i="1"/>
  <c r="D619" i="1"/>
  <c r="D617" i="1"/>
  <c r="D615" i="1"/>
  <c r="D651" i="1"/>
  <c r="D650" i="1"/>
  <c r="D606" i="1"/>
  <c r="D611" i="1"/>
  <c r="D624" i="1"/>
  <c r="D616" i="1"/>
  <c r="D629" i="1"/>
  <c r="D601" i="1"/>
  <c r="D600" i="1"/>
  <c r="D599" i="1"/>
  <c r="D598" i="1"/>
  <c r="D597" i="1"/>
  <c r="D596" i="1"/>
  <c r="D595" i="1"/>
  <c r="D593" i="1"/>
  <c r="D594" i="1"/>
  <c r="N584" i="1"/>
  <c r="N548" i="1"/>
  <c r="T582" i="1" l="1"/>
  <c r="J578" i="1"/>
  <c r="N578" i="1" s="1"/>
  <c r="J577" i="1"/>
  <c r="J579" i="1"/>
  <c r="N579" i="1" s="1"/>
  <c r="J583" i="1"/>
  <c r="J570" i="1"/>
  <c r="J556" i="1"/>
  <c r="J582" i="1"/>
  <c r="J566" i="1"/>
  <c r="J592" i="1"/>
  <c r="N592" i="1" s="1"/>
  <c r="J560" i="1"/>
  <c r="N560" i="1" s="1"/>
  <c r="J568" i="1"/>
  <c r="J587" i="1"/>
  <c r="T587" i="1" s="1"/>
  <c r="J576" i="1"/>
  <c r="J580" i="1"/>
  <c r="J591" i="1"/>
  <c r="N591" i="1" s="1"/>
  <c r="J590" i="1"/>
  <c r="J585" i="1"/>
  <c r="N585" i="1" s="1"/>
  <c r="J561" i="1"/>
  <c r="J573" i="1"/>
  <c r="N573" i="1" s="1"/>
  <c r="J553" i="1"/>
  <c r="J571" i="1"/>
  <c r="K571" i="1" s="1"/>
  <c r="N571" i="1" s="1"/>
  <c r="J552" i="1"/>
  <c r="J550" i="1"/>
  <c r="J555" i="1"/>
  <c r="J565" i="1"/>
  <c r="J559" i="1"/>
  <c r="J562" i="1"/>
  <c r="J589" i="1"/>
  <c r="N589" i="1" s="1"/>
  <c r="J581" i="1"/>
  <c r="N581" i="1" s="1"/>
  <c r="J586" i="1"/>
  <c r="N586" i="1" s="1"/>
  <c r="J569" i="1"/>
  <c r="J551" i="1"/>
  <c r="N551" i="1" s="1"/>
  <c r="J588" i="1"/>
  <c r="J558" i="1"/>
  <c r="J574" i="1"/>
  <c r="J572" i="1"/>
  <c r="J575" i="1"/>
  <c r="J564" i="1"/>
  <c r="J554" i="1"/>
  <c r="J567" i="1"/>
  <c r="N567" i="1" s="1"/>
  <c r="J557" i="1"/>
  <c r="T557" i="1" s="1"/>
  <c r="J563" i="1"/>
  <c r="J548" i="1"/>
  <c r="J549" i="1"/>
  <c r="J546" i="1"/>
  <c r="N546" i="1" s="1"/>
  <c r="J547" i="1"/>
  <c r="J545" i="1"/>
  <c r="J143" i="15"/>
  <c r="J142" i="15"/>
  <c r="J139" i="15"/>
  <c r="T139" i="15" s="1"/>
  <c r="J140" i="15"/>
  <c r="K140" i="15" s="1"/>
  <c r="J141" i="15"/>
  <c r="J138" i="15"/>
  <c r="J136" i="15"/>
  <c r="J132" i="15"/>
  <c r="J131" i="15"/>
  <c r="J135" i="15"/>
  <c r="T135" i="15" s="1"/>
  <c r="J134" i="15"/>
  <c r="J137" i="15"/>
  <c r="J133" i="15"/>
  <c r="J130" i="15"/>
  <c r="T130" i="15" s="1"/>
  <c r="J129" i="15"/>
  <c r="D581" i="1"/>
  <c r="D580" i="1"/>
  <c r="D577" i="1"/>
  <c r="D576" i="1"/>
  <c r="D565" i="1"/>
  <c r="D567" i="1"/>
  <c r="D557" i="1"/>
  <c r="D553" i="1"/>
  <c r="D550" i="1"/>
  <c r="D551" i="1"/>
  <c r="N544" i="1"/>
  <c r="T112" i="15"/>
  <c r="J117" i="15"/>
  <c r="T117" i="15" s="1"/>
  <c r="J110" i="15"/>
  <c r="J112" i="15"/>
  <c r="N112" i="15" s="1"/>
  <c r="J121" i="15"/>
  <c r="N121" i="15" s="1"/>
  <c r="P121" i="15" s="1"/>
  <c r="J119" i="15"/>
  <c r="K119" i="15" s="1"/>
  <c r="N119" i="15" s="1"/>
  <c r="P119" i="15" s="1"/>
  <c r="J120" i="15"/>
  <c r="K120" i="15" s="1"/>
  <c r="J118" i="15"/>
  <c r="J116" i="15"/>
  <c r="N116" i="15" s="1"/>
  <c r="J114" i="15"/>
  <c r="T114" i="15" s="1"/>
  <c r="J113" i="15"/>
  <c r="J115" i="15"/>
  <c r="J111" i="15"/>
  <c r="N111" i="15" s="1"/>
  <c r="J109" i="15"/>
  <c r="J536" i="1"/>
  <c r="T536" i="1" s="1"/>
  <c r="N118" i="15" l="1"/>
  <c r="P118" i="15" s="1"/>
  <c r="N142" i="15"/>
  <c r="T142" i="15"/>
  <c r="T131" i="15"/>
  <c r="N131" i="15"/>
  <c r="K143" i="15"/>
  <c r="N143" i="15" s="1"/>
  <c r="P143" i="15" s="1"/>
  <c r="T143" i="15"/>
  <c r="K142" i="15"/>
  <c r="T132" i="15"/>
  <c r="N132" i="15"/>
  <c r="N129" i="15"/>
  <c r="T129" i="15"/>
  <c r="N136" i="15"/>
  <c r="T136" i="15"/>
  <c r="N138" i="15"/>
  <c r="T138" i="15"/>
  <c r="T133" i="15"/>
  <c r="N133" i="15"/>
  <c r="K141" i="15"/>
  <c r="T141" i="15"/>
  <c r="N141" i="15"/>
  <c r="N137" i="15"/>
  <c r="T137" i="15"/>
  <c r="T140" i="15"/>
  <c r="N140" i="15"/>
  <c r="T134" i="15"/>
  <c r="N134" i="15"/>
  <c r="N588" i="1"/>
  <c r="T547" i="1"/>
  <c r="N547" i="1"/>
  <c r="T580" i="1"/>
  <c r="N580" i="1"/>
  <c r="N582" i="1"/>
  <c r="N583" i="1"/>
  <c r="T576" i="1"/>
  <c r="N576" i="1"/>
  <c r="T577" i="1"/>
  <c r="N577" i="1"/>
  <c r="T575" i="1"/>
  <c r="N575" i="1"/>
  <c r="T574" i="1"/>
  <c r="N574" i="1"/>
  <c r="N565" i="1"/>
  <c r="T564" i="1"/>
  <c r="N564" i="1"/>
  <c r="T558" i="1"/>
  <c r="N558" i="1"/>
  <c r="T556" i="1"/>
  <c r="N556" i="1"/>
  <c r="N545" i="1"/>
  <c r="T554" i="1"/>
  <c r="N554" i="1"/>
  <c r="N562" i="1"/>
  <c r="T563" i="1"/>
  <c r="N563" i="1"/>
  <c r="N559" i="1"/>
  <c r="N561" i="1"/>
  <c r="T562" i="1"/>
  <c r="T548" i="1"/>
  <c r="T565" i="1"/>
  <c r="T553" i="1"/>
  <c r="N553" i="1"/>
  <c r="T583" i="1"/>
  <c r="T588" i="1"/>
  <c r="T545" i="1"/>
  <c r="N109" i="15"/>
  <c r="N110" i="15"/>
  <c r="N120" i="15"/>
  <c r="P120" i="15" s="1"/>
  <c r="R119" i="15"/>
  <c r="S119" i="15" s="1"/>
  <c r="T109" i="15"/>
  <c r="T119" i="15"/>
  <c r="T110" i="15"/>
  <c r="T115" i="15"/>
  <c r="T120" i="15"/>
  <c r="T113" i="15"/>
  <c r="R120" i="15" l="1"/>
  <c r="S120" i="15" s="1"/>
  <c r="P140" i="15"/>
  <c r="R140" i="15"/>
  <c r="S140" i="15" s="1"/>
  <c r="P141" i="15"/>
  <c r="R141" i="15"/>
  <c r="S141" i="15" s="1"/>
  <c r="P142" i="15"/>
  <c r="R142" i="15"/>
  <c r="S142" i="15" s="1"/>
  <c r="U119" i="15"/>
  <c r="U140" i="15" l="1"/>
  <c r="U120" i="15"/>
  <c r="U141" i="15"/>
  <c r="U142" i="15"/>
  <c r="F56" i="11"/>
  <c r="J532" i="1"/>
  <c r="J531" i="1"/>
  <c r="N531" i="1" s="1"/>
  <c r="J530" i="1"/>
  <c r="J506" i="1"/>
  <c r="N506" i="1" l="1"/>
  <c r="N532" i="1"/>
  <c r="N530" i="1"/>
  <c r="J501" i="1"/>
  <c r="J534" i="1"/>
  <c r="J511" i="1"/>
  <c r="J496" i="1"/>
  <c r="J543" i="1"/>
  <c r="J527" i="1"/>
  <c r="T527" i="1" s="1"/>
  <c r="J540" i="1"/>
  <c r="J529" i="1"/>
  <c r="N529" i="1" s="1"/>
  <c r="J519" i="1"/>
  <c r="J520" i="1"/>
  <c r="N520" i="1" s="1"/>
  <c r="J513" i="1"/>
  <c r="T513" i="1" s="1"/>
  <c r="J516" i="1"/>
  <c r="T516" i="1" s="1"/>
  <c r="J539" i="1"/>
  <c r="N539" i="1" s="1"/>
  <c r="J538" i="1"/>
  <c r="J528" i="1"/>
  <c r="N528" i="1" s="1"/>
  <c r="J535" i="1"/>
  <c r="J542" i="1"/>
  <c r="J508" i="1"/>
  <c r="J515" i="1"/>
  <c r="N515" i="1" s="1"/>
  <c r="J526" i="1"/>
  <c r="T526" i="1" s="1"/>
  <c r="J537" i="1"/>
  <c r="T537" i="1" s="1"/>
  <c r="J499" i="1"/>
  <c r="J514" i="1"/>
  <c r="J518" i="1"/>
  <c r="T518" i="1" s="1"/>
  <c r="J503" i="1"/>
  <c r="J541" i="1"/>
  <c r="J533" i="1"/>
  <c r="J504" i="1"/>
  <c r="J510" i="1"/>
  <c r="J512" i="1"/>
  <c r="J521" i="1"/>
  <c r="T521" i="1" s="1"/>
  <c r="J525" i="1"/>
  <c r="J523" i="1"/>
  <c r="J522" i="1"/>
  <c r="T522" i="1" s="1"/>
  <c r="J517" i="1"/>
  <c r="N517" i="1" s="1"/>
  <c r="J507" i="1"/>
  <c r="J502" i="1"/>
  <c r="J497" i="1"/>
  <c r="N497" i="1" s="1"/>
  <c r="J524" i="1"/>
  <c r="N524" i="1" s="1"/>
  <c r="J509" i="1"/>
  <c r="J505" i="1"/>
  <c r="J500" i="1"/>
  <c r="J498" i="1"/>
  <c r="N498" i="1" s="1"/>
  <c r="J495" i="1"/>
  <c r="J494" i="1"/>
  <c r="N494" i="1" s="1"/>
  <c r="J493" i="1"/>
  <c r="J492" i="1"/>
  <c r="J491" i="1"/>
  <c r="N491" i="1" s="1"/>
  <c r="D561" i="1"/>
  <c r="D560" i="1"/>
  <c r="D562" i="1"/>
  <c r="D587" i="1"/>
  <c r="D585" i="1"/>
  <c r="D584" i="1"/>
  <c r="D586" i="1"/>
  <c r="D592" i="1"/>
  <c r="D591" i="1"/>
  <c r="D590" i="1"/>
  <c r="D589" i="1"/>
  <c r="D588" i="1"/>
  <c r="D583" i="1"/>
  <c r="D582" i="1"/>
  <c r="D578" i="1"/>
  <c r="D579" i="1"/>
  <c r="D575" i="1"/>
  <c r="D574" i="1"/>
  <c r="D573" i="1"/>
  <c r="D570" i="1"/>
  <c r="D568" i="1"/>
  <c r="D571" i="1"/>
  <c r="D569" i="1"/>
  <c r="D559" i="1"/>
  <c r="D563" i="1"/>
  <c r="D566" i="1"/>
  <c r="D564" i="1"/>
  <c r="D552" i="1"/>
  <c r="D555" i="1"/>
  <c r="D556" i="1"/>
  <c r="D558" i="1"/>
  <c r="D572" i="1"/>
  <c r="D554" i="1"/>
  <c r="D539" i="1"/>
  <c r="D538" i="1"/>
  <c r="D537" i="1"/>
  <c r="D536" i="1"/>
  <c r="D543" i="1"/>
  <c r="D540" i="1"/>
  <c r="D542" i="1"/>
  <c r="D541" i="1"/>
  <c r="D544" i="1"/>
  <c r="D532" i="1"/>
  <c r="D534" i="1"/>
  <c r="D535" i="1"/>
  <c r="D533" i="1"/>
  <c r="D531" i="1"/>
  <c r="D530" i="1"/>
  <c r="D527" i="1"/>
  <c r="D529" i="1"/>
  <c r="D528" i="1"/>
  <c r="D525" i="1"/>
  <c r="D526" i="1"/>
  <c r="D521" i="1"/>
  <c r="D523" i="1"/>
  <c r="D522" i="1"/>
  <c r="D524" i="1"/>
  <c r="D520" i="1"/>
  <c r="D519" i="1"/>
  <c r="D518" i="1"/>
  <c r="D517" i="1"/>
  <c r="D516" i="1"/>
  <c r="D515" i="1"/>
  <c r="D514" i="1"/>
  <c r="D513" i="1"/>
  <c r="D512" i="1"/>
  <c r="D511" i="1"/>
  <c r="D510" i="1"/>
  <c r="D509" i="1"/>
  <c r="D505" i="1"/>
  <c r="D506" i="1"/>
  <c r="D508" i="1"/>
  <c r="D507" i="1"/>
  <c r="D504" i="1"/>
  <c r="D496" i="1"/>
  <c r="D499" i="1"/>
  <c r="D497" i="1"/>
  <c r="D498" i="1"/>
  <c r="D501" i="1"/>
  <c r="D503" i="1"/>
  <c r="D502" i="1"/>
  <c r="D500" i="1"/>
  <c r="D492" i="1"/>
  <c r="D491" i="1"/>
  <c r="D495" i="1"/>
  <c r="D494" i="1"/>
  <c r="D493" i="1"/>
  <c r="D165" i="11" s="1"/>
  <c r="Q137" i="11"/>
  <c r="O137" i="11"/>
  <c r="M137" i="11"/>
  <c r="L137" i="11"/>
  <c r="I137" i="11"/>
  <c r="H137" i="11"/>
  <c r="G137" i="11"/>
  <c r="F137" i="11"/>
  <c r="E137" i="11"/>
  <c r="C137" i="11"/>
  <c r="B137" i="11"/>
  <c r="A137" i="11"/>
  <c r="Q165" i="11"/>
  <c r="O165" i="11"/>
  <c r="M165" i="11"/>
  <c r="L165" i="11"/>
  <c r="I165" i="11"/>
  <c r="H165" i="11"/>
  <c r="G165" i="11"/>
  <c r="F165" i="11"/>
  <c r="E165" i="11"/>
  <c r="C165" i="11"/>
  <c r="B165" i="11"/>
  <c r="A165" i="11"/>
  <c r="N509" i="1" l="1"/>
  <c r="N505" i="1"/>
  <c r="N542" i="1"/>
  <c r="N535" i="1"/>
  <c r="N512" i="1"/>
  <c r="N540" i="1"/>
  <c r="N504" i="1"/>
  <c r="N503" i="1"/>
  <c r="N533" i="1"/>
  <c r="N500" i="1"/>
  <c r="N541" i="1"/>
  <c r="N508" i="1"/>
  <c r="P508" i="1" s="1"/>
  <c r="T538" i="1"/>
  <c r="N538" i="1"/>
  <c r="P538" i="1" s="1"/>
  <c r="T534" i="1"/>
  <c r="N534" i="1"/>
  <c r="T495" i="1"/>
  <c r="N495" i="1"/>
  <c r="T507" i="1"/>
  <c r="N507" i="1"/>
  <c r="N511" i="1"/>
  <c r="T499" i="1"/>
  <c r="N499" i="1"/>
  <c r="N501" i="1"/>
  <c r="T503" i="1"/>
  <c r="T497" i="1"/>
  <c r="T515" i="1"/>
  <c r="T509" i="1"/>
  <c r="T535" i="1"/>
  <c r="T492" i="1"/>
  <c r="J137" i="11"/>
  <c r="T493" i="1"/>
  <c r="T542" i="1"/>
  <c r="T504" i="1"/>
  <c r="J165" i="11"/>
  <c r="D137" i="11"/>
  <c r="K538" i="1"/>
  <c r="A135" i="11"/>
  <c r="B135" i="11"/>
  <c r="C135" i="11"/>
  <c r="D135" i="11"/>
  <c r="E135" i="11"/>
  <c r="F135" i="11"/>
  <c r="G135" i="11"/>
  <c r="H135" i="11"/>
  <c r="I135" i="11"/>
  <c r="J135" i="11"/>
  <c r="K135" i="11"/>
  <c r="L135" i="11"/>
  <c r="M135" i="11"/>
  <c r="N135" i="11"/>
  <c r="O135" i="11"/>
  <c r="P135" i="11"/>
  <c r="Q135" i="11"/>
  <c r="R135" i="11"/>
  <c r="S135" i="11"/>
  <c r="T135" i="11"/>
  <c r="U135" i="11"/>
  <c r="D130" i="15"/>
  <c r="N463" i="1"/>
  <c r="N461" i="1"/>
  <c r="T479" i="1"/>
  <c r="R538" i="1" l="1"/>
  <c r="S538" i="1" s="1"/>
  <c r="T165" i="11"/>
  <c r="T137" i="11"/>
  <c r="J93" i="15"/>
  <c r="N93" i="15" s="1"/>
  <c r="J96" i="15"/>
  <c r="J102" i="15"/>
  <c r="N102" i="15" s="1"/>
  <c r="P102" i="15" s="1"/>
  <c r="J101" i="15"/>
  <c r="N101" i="15" s="1"/>
  <c r="P101" i="15" s="1"/>
  <c r="J100" i="15"/>
  <c r="N100" i="15" s="1"/>
  <c r="P100" i="15" s="1"/>
  <c r="J99" i="15"/>
  <c r="J98" i="15"/>
  <c r="J91" i="15"/>
  <c r="J95" i="15"/>
  <c r="J94" i="15"/>
  <c r="N94" i="15" s="1"/>
  <c r="J90" i="15"/>
  <c r="T90" i="15" s="1"/>
  <c r="J97" i="15"/>
  <c r="J92" i="15"/>
  <c r="J89" i="15"/>
  <c r="U538" i="1" l="1"/>
  <c r="N98" i="15"/>
  <c r="N89" i="15"/>
  <c r="N95" i="15"/>
  <c r="T91" i="15"/>
  <c r="T102" i="15"/>
  <c r="T99" i="15"/>
  <c r="T92" i="15"/>
  <c r="T100" i="15"/>
  <c r="T101" i="15"/>
  <c r="T89" i="15"/>
  <c r="T449" i="1" l="1"/>
  <c r="D548" i="1"/>
  <c r="D549" i="1"/>
  <c r="D546" i="1"/>
  <c r="D547" i="1"/>
  <c r="D545" i="1"/>
  <c r="J486" i="1"/>
  <c r="J465" i="1"/>
  <c r="J475" i="1"/>
  <c r="J474" i="1"/>
  <c r="J476" i="1"/>
  <c r="N476" i="1" s="1"/>
  <c r="J478" i="1"/>
  <c r="J445" i="1"/>
  <c r="J479" i="1"/>
  <c r="J443" i="1"/>
  <c r="N443" i="1" s="1"/>
  <c r="J488" i="1"/>
  <c r="J453" i="1"/>
  <c r="J466" i="1"/>
  <c r="J446" i="1"/>
  <c r="J473" i="1"/>
  <c r="N473" i="1" s="1"/>
  <c r="J484" i="1"/>
  <c r="N484" i="1" s="1"/>
  <c r="J483" i="1"/>
  <c r="N483" i="1" s="1"/>
  <c r="J457" i="1"/>
  <c r="N457" i="1" s="1"/>
  <c r="J480" i="1"/>
  <c r="J459" i="1"/>
  <c r="N459" i="1" s="1"/>
  <c r="J444" i="1"/>
  <c r="N444" i="1" s="1"/>
  <c r="J482" i="1"/>
  <c r="T482" i="1" s="1"/>
  <c r="J452" i="1"/>
  <c r="J458" i="1"/>
  <c r="N458" i="1" s="1"/>
  <c r="J487" i="1"/>
  <c r="J472" i="1"/>
  <c r="J460" i="1"/>
  <c r="N460" i="1" s="1"/>
  <c r="J485" i="1"/>
  <c r="J471" i="1"/>
  <c r="J462" i="1"/>
  <c r="N462" i="1" s="1"/>
  <c r="J470" i="1"/>
  <c r="J447" i="1"/>
  <c r="J450" i="1"/>
  <c r="J455" i="1"/>
  <c r="J490" i="1"/>
  <c r="J468" i="1"/>
  <c r="N468" i="1" s="1"/>
  <c r="J477" i="1"/>
  <c r="J464" i="1"/>
  <c r="N464" i="1" s="1"/>
  <c r="J448" i="1"/>
  <c r="J469" i="1"/>
  <c r="T469" i="1" s="1"/>
  <c r="J481" i="1"/>
  <c r="J467" i="1"/>
  <c r="J489" i="1"/>
  <c r="J454" i="1"/>
  <c r="J449" i="1"/>
  <c r="J456" i="1"/>
  <c r="J451" i="1"/>
  <c r="J442" i="1"/>
  <c r="J441" i="1"/>
  <c r="N441" i="1" s="1"/>
  <c r="J439" i="1"/>
  <c r="J440" i="1"/>
  <c r="J438" i="1"/>
  <c r="N438" i="1" s="1"/>
  <c r="D484" i="1"/>
  <c r="D483" i="1"/>
  <c r="D482" i="1"/>
  <c r="D485" i="1"/>
  <c r="D481" i="1"/>
  <c r="D438" i="1"/>
  <c r="D488" i="1"/>
  <c r="D486" i="1"/>
  <c r="D490" i="1"/>
  <c r="D487" i="1"/>
  <c r="D489" i="1"/>
  <c r="D478" i="1"/>
  <c r="D479" i="1"/>
  <c r="D480" i="1"/>
  <c r="D477" i="1"/>
  <c r="D474" i="1"/>
  <c r="D475" i="1"/>
  <c r="D476" i="1"/>
  <c r="D473" i="1"/>
  <c r="D472" i="1"/>
  <c r="D471" i="1"/>
  <c r="D470" i="1"/>
  <c r="D468" i="1"/>
  <c r="D469" i="1"/>
  <c r="D467" i="1"/>
  <c r="D465" i="1"/>
  <c r="D466" i="1"/>
  <c r="D463" i="1"/>
  <c r="D462" i="1"/>
  <c r="D464" i="1"/>
  <c r="D461" i="1"/>
  <c r="D457" i="1"/>
  <c r="D459" i="1"/>
  <c r="D458" i="1"/>
  <c r="D460" i="1"/>
  <c r="D442" i="1"/>
  <c r="D453" i="1"/>
  <c r="D452" i="1"/>
  <c r="D450" i="1"/>
  <c r="D449" i="1"/>
  <c r="D451" i="1"/>
  <c r="D455" i="1"/>
  <c r="D456" i="1"/>
  <c r="D454" i="1"/>
  <c r="D440" i="1"/>
  <c r="D443" i="1"/>
  <c r="D444" i="1"/>
  <c r="D441" i="1"/>
  <c r="D439" i="1"/>
  <c r="D445" i="1"/>
  <c r="D446" i="1"/>
  <c r="D447" i="1"/>
  <c r="D448" i="1"/>
  <c r="N478" i="1" l="1"/>
  <c r="N456" i="1"/>
  <c r="N454" i="1"/>
  <c r="T440" i="1"/>
  <c r="N455" i="1"/>
  <c r="N487" i="1"/>
  <c r="N479" i="1"/>
  <c r="N447" i="1"/>
  <c r="T485" i="1"/>
  <c r="N485" i="1"/>
  <c r="N489" i="1"/>
  <c r="N480" i="1"/>
  <c r="T467" i="1"/>
  <c r="N467" i="1"/>
  <c r="T472" i="1"/>
  <c r="N472" i="1"/>
  <c r="T471" i="1"/>
  <c r="N471" i="1"/>
  <c r="N442" i="1"/>
  <c r="N450" i="1"/>
  <c r="N451" i="1"/>
  <c r="T453" i="1"/>
  <c r="N453" i="1"/>
  <c r="N445" i="1"/>
  <c r="N448" i="1"/>
  <c r="N446" i="1"/>
  <c r="N439" i="1"/>
  <c r="T470" i="1"/>
  <c r="T477" i="1"/>
  <c r="T474" i="1"/>
  <c r="T448" i="1"/>
  <c r="T475" i="1"/>
  <c r="T460" i="1"/>
  <c r="T446" i="1"/>
  <c r="T450" i="1"/>
  <c r="T473" i="1"/>
  <c r="T445" i="1"/>
  <c r="T486" i="1"/>
  <c r="T489" i="1"/>
  <c r="T397" i="1"/>
  <c r="J436" i="1"/>
  <c r="N436" i="1" s="1"/>
  <c r="J418" i="1"/>
  <c r="N418" i="1" s="1"/>
  <c r="J413" i="1"/>
  <c r="T413" i="1" s="1"/>
  <c r="J407" i="1"/>
  <c r="N407" i="1" s="1"/>
  <c r="J396" i="1"/>
  <c r="J394" i="1"/>
  <c r="J388" i="1"/>
  <c r="N388" i="1" s="1"/>
  <c r="J386" i="1"/>
  <c r="N386" i="1" s="1"/>
  <c r="J424" i="1"/>
  <c r="N424" i="1" s="1"/>
  <c r="J419" i="1"/>
  <c r="J417" i="1"/>
  <c r="J421" i="1"/>
  <c r="J392" i="1"/>
  <c r="J430" i="1"/>
  <c r="J431" i="1"/>
  <c r="N431" i="1" s="1"/>
  <c r="J401" i="1"/>
  <c r="J409" i="1"/>
  <c r="N409" i="1" s="1"/>
  <c r="J395" i="1"/>
  <c r="J434" i="1"/>
  <c r="J389" i="1"/>
  <c r="J423" i="1"/>
  <c r="N423" i="1" s="1"/>
  <c r="J405" i="1"/>
  <c r="J406" i="1"/>
  <c r="J429" i="1"/>
  <c r="N429" i="1" s="1"/>
  <c r="J420" i="1"/>
  <c r="T420" i="1" s="1"/>
  <c r="J426" i="1"/>
  <c r="J428" i="1"/>
  <c r="T428" i="1" s="1"/>
  <c r="J408" i="1"/>
  <c r="N408" i="1" s="1"/>
  <c r="J390" i="1"/>
  <c r="J391" i="1"/>
  <c r="J422" i="1"/>
  <c r="J437" i="1"/>
  <c r="J399" i="1"/>
  <c r="N399" i="1" s="1"/>
  <c r="J387" i="1"/>
  <c r="T387" i="1" s="1"/>
  <c r="J414" i="1"/>
  <c r="J412" i="1"/>
  <c r="T412" i="1" s="1"/>
  <c r="J410" i="1"/>
  <c r="J393" i="1"/>
  <c r="J400" i="1"/>
  <c r="J404" i="1"/>
  <c r="N404" i="1" s="1"/>
  <c r="J425" i="1"/>
  <c r="J433" i="1"/>
  <c r="N433" i="1" s="1"/>
  <c r="J415" i="1"/>
  <c r="J427" i="1"/>
  <c r="J411" i="1"/>
  <c r="N411" i="1" s="1"/>
  <c r="J416" i="1"/>
  <c r="T416" i="1" s="1"/>
  <c r="J432" i="1"/>
  <c r="N432" i="1" s="1"/>
  <c r="J403" i="1"/>
  <c r="N403" i="1" s="1"/>
  <c r="J398" i="1"/>
  <c r="J435" i="1"/>
  <c r="N435" i="1" s="1"/>
  <c r="J402" i="1"/>
  <c r="J397" i="1"/>
  <c r="N397" i="1" s="1"/>
  <c r="J385" i="1"/>
  <c r="N385" i="1" s="1"/>
  <c r="J384" i="1"/>
  <c r="J382" i="1"/>
  <c r="J383" i="1"/>
  <c r="N383" i="1" s="1"/>
  <c r="J85" i="15"/>
  <c r="N85" i="15" s="1"/>
  <c r="J87" i="15"/>
  <c r="N87" i="15" s="1"/>
  <c r="J86" i="15"/>
  <c r="N86" i="15" s="1"/>
  <c r="J84" i="15"/>
  <c r="J83" i="15"/>
  <c r="N83" i="15" s="1"/>
  <c r="J78" i="15"/>
  <c r="N78" i="15" s="1"/>
  <c r="J74" i="15"/>
  <c r="N74" i="15" s="1"/>
  <c r="J82" i="15"/>
  <c r="J81" i="15"/>
  <c r="N81" i="15" s="1"/>
  <c r="J79" i="15"/>
  <c r="J75" i="15"/>
  <c r="N75" i="15" s="1"/>
  <c r="J76" i="15"/>
  <c r="N76" i="15" s="1"/>
  <c r="J80" i="15"/>
  <c r="N80" i="15" s="1"/>
  <c r="J77" i="15"/>
  <c r="N77" i="15" s="1"/>
  <c r="J73" i="15"/>
  <c r="T73" i="15" s="1"/>
  <c r="J72" i="15"/>
  <c r="D396" i="1"/>
  <c r="D399" i="1"/>
  <c r="D400" i="1"/>
  <c r="D398" i="1"/>
  <c r="D397" i="1"/>
  <c r="D383" i="1"/>
  <c r="X483" i="1"/>
  <c r="V483" i="1"/>
  <c r="P483" i="1"/>
  <c r="K483" i="1"/>
  <c r="D431" i="1"/>
  <c r="D437" i="1"/>
  <c r="D434" i="1"/>
  <c r="D433" i="1"/>
  <c r="D432" i="1"/>
  <c r="D436" i="1"/>
  <c r="D435" i="1"/>
  <c r="D430" i="1"/>
  <c r="D429" i="1"/>
  <c r="D428" i="1"/>
  <c r="D426" i="1"/>
  <c r="D427" i="1"/>
  <c r="D425" i="1"/>
  <c r="D424" i="1"/>
  <c r="D423" i="1"/>
  <c r="D422" i="1"/>
  <c r="D421" i="1"/>
  <c r="D417" i="1"/>
  <c r="D418" i="1"/>
  <c r="D419" i="1"/>
  <c r="D420" i="1"/>
  <c r="D385" i="1"/>
  <c r="D384" i="1"/>
  <c r="D416" i="1"/>
  <c r="D415" i="1"/>
  <c r="D414" i="1"/>
  <c r="D413" i="1"/>
  <c r="D412" i="1"/>
  <c r="D411" i="1"/>
  <c r="D410" i="1"/>
  <c r="D409" i="1"/>
  <c r="D408" i="1"/>
  <c r="D407" i="1"/>
  <c r="D406" i="1"/>
  <c r="D405" i="1"/>
  <c r="D401" i="1"/>
  <c r="D404" i="1"/>
  <c r="D403" i="1"/>
  <c r="D402" i="1"/>
  <c r="D387" i="1"/>
  <c r="D388" i="1"/>
  <c r="D386" i="1"/>
  <c r="D382" i="1"/>
  <c r="D395" i="1"/>
  <c r="D392" i="1"/>
  <c r="D389" i="1"/>
  <c r="D391" i="1"/>
  <c r="D390" i="1"/>
  <c r="D393" i="1"/>
  <c r="D394" i="1"/>
  <c r="N377" i="1"/>
  <c r="N375" i="1"/>
  <c r="N376" i="1"/>
  <c r="N378" i="1"/>
  <c r="N379" i="1"/>
  <c r="N380" i="1"/>
  <c r="N369" i="1"/>
  <c r="N368" i="1"/>
  <c r="N370" i="1"/>
  <c r="N373" i="1"/>
  <c r="N374" i="1"/>
  <c r="N372" i="1"/>
  <c r="N371" i="1"/>
  <c r="N364" i="1"/>
  <c r="N363" i="1"/>
  <c r="N367" i="1"/>
  <c r="N366" i="1"/>
  <c r="N365" i="1"/>
  <c r="N323" i="1"/>
  <c r="N362" i="1"/>
  <c r="N361" i="1"/>
  <c r="N322" i="1"/>
  <c r="N321" i="1"/>
  <c r="N354" i="1"/>
  <c r="N360" i="1"/>
  <c r="N358" i="1"/>
  <c r="N355" i="1"/>
  <c r="N356" i="1"/>
  <c r="N359" i="1"/>
  <c r="N357" i="1"/>
  <c r="N353" i="1"/>
  <c r="N352" i="1"/>
  <c r="N351" i="1"/>
  <c r="N348" i="1"/>
  <c r="N350" i="1"/>
  <c r="N349" i="1"/>
  <c r="N347" i="1"/>
  <c r="N320" i="1"/>
  <c r="N346" i="1"/>
  <c r="N343" i="1"/>
  <c r="N344" i="1"/>
  <c r="N345" i="1"/>
  <c r="N342" i="1"/>
  <c r="N336" i="1"/>
  <c r="N338" i="1"/>
  <c r="N341" i="1"/>
  <c r="N337" i="1"/>
  <c r="N340" i="1"/>
  <c r="N335" i="1"/>
  <c r="N339" i="1"/>
  <c r="N327" i="1"/>
  <c r="N326" i="1"/>
  <c r="N325" i="1"/>
  <c r="N319" i="1"/>
  <c r="N334" i="1"/>
  <c r="N332" i="1"/>
  <c r="R483" i="1" l="1"/>
  <c r="S483" i="1" s="1"/>
  <c r="T483" i="1"/>
  <c r="T82" i="15"/>
  <c r="T76" i="15"/>
  <c r="T78" i="15"/>
  <c r="T81" i="15"/>
  <c r="T83" i="15"/>
  <c r="T79" i="15"/>
  <c r="T427" i="1"/>
  <c r="N427" i="1"/>
  <c r="T426" i="1"/>
  <c r="N426" i="1"/>
  <c r="T430" i="1"/>
  <c r="N430" i="1"/>
  <c r="N437" i="1"/>
  <c r="N421" i="1"/>
  <c r="N417" i="1"/>
  <c r="N419" i="1"/>
  <c r="T415" i="1"/>
  <c r="N415" i="1"/>
  <c r="T414" i="1"/>
  <c r="N414" i="1"/>
  <c r="T410" i="1"/>
  <c r="N410" i="1"/>
  <c r="T405" i="1"/>
  <c r="N405" i="1"/>
  <c r="T406" i="1"/>
  <c r="N406" i="1"/>
  <c r="N396" i="1"/>
  <c r="T400" i="1"/>
  <c r="N400" i="1"/>
  <c r="N402" i="1"/>
  <c r="T401" i="1"/>
  <c r="N401" i="1"/>
  <c r="N392" i="1"/>
  <c r="N389" i="1"/>
  <c r="N395" i="1"/>
  <c r="N393" i="1"/>
  <c r="N394" i="1"/>
  <c r="T388" i="1"/>
  <c r="T392" i="1"/>
  <c r="T395" i="1"/>
  <c r="T393" i="1"/>
  <c r="T384" i="1"/>
  <c r="T422" i="1"/>
  <c r="T409" i="1"/>
  <c r="T421" i="1"/>
  <c r="T404" i="1"/>
  <c r="T435" i="1"/>
  <c r="T408" i="1"/>
  <c r="T437" i="1"/>
  <c r="T390" i="1"/>
  <c r="T434" i="1"/>
  <c r="N381" i="1"/>
  <c r="D381" i="1"/>
  <c r="T351" i="1"/>
  <c r="U483" i="1" l="1"/>
  <c r="J70" i="15"/>
  <c r="N70" i="15" s="1"/>
  <c r="J69" i="15"/>
  <c r="N69" i="15" s="1"/>
  <c r="J68" i="15"/>
  <c r="N68" i="15" s="1"/>
  <c r="J67" i="15"/>
  <c r="N67" i="15" s="1"/>
  <c r="J66" i="15"/>
  <c r="J61" i="15"/>
  <c r="N61" i="15" s="1"/>
  <c r="J58" i="15"/>
  <c r="N58" i="15" s="1"/>
  <c r="J63" i="15"/>
  <c r="J60" i="15"/>
  <c r="J57" i="15"/>
  <c r="J65" i="15"/>
  <c r="N65" i="15" s="1"/>
  <c r="J64" i="15"/>
  <c r="N64" i="15" s="1"/>
  <c r="J62" i="15"/>
  <c r="N62" i="15" s="1"/>
  <c r="J59" i="15"/>
  <c r="T59" i="15" s="1"/>
  <c r="J56" i="15"/>
  <c r="N56" i="15" s="1"/>
  <c r="J55" i="15"/>
  <c r="N55" i="15" s="1"/>
  <c r="J352" i="1"/>
  <c r="J353" i="1"/>
  <c r="J326" i="1"/>
  <c r="J327" i="1"/>
  <c r="K327" i="1" s="1"/>
  <c r="T327" i="1" s="1"/>
  <c r="J364" i="1"/>
  <c r="J365" i="1"/>
  <c r="J363" i="1"/>
  <c r="K363" i="1" s="1"/>
  <c r="J333" i="1"/>
  <c r="K333" i="1" s="1"/>
  <c r="N333" i="1" s="1"/>
  <c r="P333" i="1" s="1"/>
  <c r="J348" i="1"/>
  <c r="T348" i="1" s="1"/>
  <c r="J362" i="1"/>
  <c r="K362" i="1" s="1"/>
  <c r="T362" i="1" s="1"/>
  <c r="J330" i="1"/>
  <c r="J338" i="1"/>
  <c r="K338" i="1" s="1"/>
  <c r="T338" i="1" s="1"/>
  <c r="J346" i="1"/>
  <c r="J380" i="1"/>
  <c r="J329" i="1"/>
  <c r="J376" i="1"/>
  <c r="J369" i="1"/>
  <c r="T369" i="1" s="1"/>
  <c r="J350" i="1"/>
  <c r="J374" i="1"/>
  <c r="J176" i="11" s="1"/>
  <c r="J359" i="1"/>
  <c r="K359" i="1" s="1"/>
  <c r="T359" i="1" s="1"/>
  <c r="J367" i="1"/>
  <c r="K367" i="1" s="1"/>
  <c r="J373" i="1"/>
  <c r="J349" i="1"/>
  <c r="K349" i="1" s="1"/>
  <c r="P373" i="1"/>
  <c r="P106" i="11" s="1"/>
  <c r="J336" i="1"/>
  <c r="K336" i="1" s="1"/>
  <c r="T336" i="1" s="1"/>
  <c r="J354" i="1"/>
  <c r="J347" i="1"/>
  <c r="T347" i="1" s="1"/>
  <c r="J370" i="1"/>
  <c r="J379" i="1"/>
  <c r="J356" i="1"/>
  <c r="K356" i="1" s="1"/>
  <c r="T356" i="1" s="1"/>
  <c r="J324" i="1"/>
  <c r="N324" i="1" s="1"/>
  <c r="P324" i="1" s="1"/>
  <c r="J358" i="1"/>
  <c r="T358" i="1" s="1"/>
  <c r="J332" i="1"/>
  <c r="J339" i="1"/>
  <c r="T343" i="1"/>
  <c r="J343" i="1"/>
  <c r="J342" i="1"/>
  <c r="T331" i="1"/>
  <c r="J331" i="1"/>
  <c r="J340" i="1"/>
  <c r="K340" i="1" s="1"/>
  <c r="J375" i="1"/>
  <c r="K375" i="1" s="1"/>
  <c r="J355" i="1"/>
  <c r="K355" i="1" s="1"/>
  <c r="T355" i="1" s="1"/>
  <c r="J357" i="1"/>
  <c r="K357" i="1" s="1"/>
  <c r="J366" i="1"/>
  <c r="K366" i="1" s="1"/>
  <c r="T366" i="1" s="1"/>
  <c r="J371" i="1"/>
  <c r="J351" i="1"/>
  <c r="J344" i="1"/>
  <c r="K344" i="1" s="1"/>
  <c r="J325" i="1"/>
  <c r="J361" i="1"/>
  <c r="J328" i="1"/>
  <c r="K328" i="1" s="1"/>
  <c r="J378" i="1"/>
  <c r="K378" i="1" s="1"/>
  <c r="J345" i="1"/>
  <c r="J341" i="1"/>
  <c r="K341" i="1" s="1"/>
  <c r="J337" i="1"/>
  <c r="T337" i="1" s="1"/>
  <c r="J335" i="1"/>
  <c r="K335" i="1" s="1"/>
  <c r="T335" i="1" s="1"/>
  <c r="J322" i="1"/>
  <c r="J323" i="1"/>
  <c r="K323" i="1" s="1"/>
  <c r="J321" i="1"/>
  <c r="K321" i="1" s="1"/>
  <c r="J320" i="1"/>
  <c r="J319" i="1"/>
  <c r="J318" i="1"/>
  <c r="Q52" i="7"/>
  <c r="O52" i="7"/>
  <c r="N52" i="7"/>
  <c r="M52" i="7"/>
  <c r="L52" i="7"/>
  <c r="I52" i="7"/>
  <c r="H52" i="7"/>
  <c r="G52" i="7"/>
  <c r="F52" i="7"/>
  <c r="E52" i="7"/>
  <c r="C52" i="7"/>
  <c r="B52" i="7"/>
  <c r="A52" i="7"/>
  <c r="Q106" i="11"/>
  <c r="O106" i="11"/>
  <c r="N106" i="11"/>
  <c r="M106" i="11"/>
  <c r="L106" i="11"/>
  <c r="I106" i="11"/>
  <c r="H106" i="11"/>
  <c r="G106" i="11"/>
  <c r="F106" i="11"/>
  <c r="E106" i="11"/>
  <c r="C106" i="11"/>
  <c r="B106" i="11"/>
  <c r="A106" i="11"/>
  <c r="X373" i="1"/>
  <c r="V373" i="1"/>
  <c r="D373" i="1"/>
  <c r="D52" i="7" s="1"/>
  <c r="Q134" i="11"/>
  <c r="O134" i="11"/>
  <c r="N134" i="11"/>
  <c r="M134" i="11"/>
  <c r="L134" i="11"/>
  <c r="I134" i="11"/>
  <c r="H134" i="11"/>
  <c r="G134" i="11"/>
  <c r="F134" i="11"/>
  <c r="E134" i="11"/>
  <c r="C134" i="11"/>
  <c r="B134" i="11"/>
  <c r="A134" i="11"/>
  <c r="Q176" i="11"/>
  <c r="O176" i="11"/>
  <c r="N176" i="11"/>
  <c r="M176" i="11"/>
  <c r="L176" i="11"/>
  <c r="I176" i="11"/>
  <c r="H176" i="11"/>
  <c r="G176" i="11"/>
  <c r="F176" i="11"/>
  <c r="E176" i="11"/>
  <c r="C176" i="11"/>
  <c r="B176" i="11"/>
  <c r="A176" i="11"/>
  <c r="X374" i="1"/>
  <c r="V374" i="1"/>
  <c r="P379" i="1"/>
  <c r="P378" i="1"/>
  <c r="P376" i="1"/>
  <c r="P375" i="1"/>
  <c r="P374" i="1"/>
  <c r="P134" i="11" s="1"/>
  <c r="P371" i="1"/>
  <c r="P370" i="1"/>
  <c r="P369" i="1"/>
  <c r="P367" i="1"/>
  <c r="P366" i="1"/>
  <c r="P365" i="1"/>
  <c r="P364" i="1"/>
  <c r="P363" i="1"/>
  <c r="P362" i="1"/>
  <c r="P361" i="1"/>
  <c r="P359" i="1"/>
  <c r="P358" i="1"/>
  <c r="P357" i="1"/>
  <c r="P356" i="1"/>
  <c r="P355" i="1"/>
  <c r="P354" i="1"/>
  <c r="P353" i="1"/>
  <c r="P352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2" i="1"/>
  <c r="P327" i="1"/>
  <c r="P326" i="1"/>
  <c r="P325" i="1"/>
  <c r="P323" i="1"/>
  <c r="P322" i="1"/>
  <c r="P321" i="1"/>
  <c r="P320" i="1"/>
  <c r="P319" i="1"/>
  <c r="P380" i="1"/>
  <c r="D374" i="1"/>
  <c r="D176" i="11" s="1"/>
  <c r="D372" i="1"/>
  <c r="D370" i="1"/>
  <c r="D369" i="1"/>
  <c r="D368" i="1"/>
  <c r="D371" i="1"/>
  <c r="D380" i="1"/>
  <c r="D379" i="1"/>
  <c r="D378" i="1"/>
  <c r="D377" i="1"/>
  <c r="D376" i="1"/>
  <c r="D375" i="1"/>
  <c r="D367" i="1"/>
  <c r="D366" i="1"/>
  <c r="D365" i="1"/>
  <c r="D364" i="1"/>
  <c r="D363" i="1"/>
  <c r="D362" i="1"/>
  <c r="D360" i="1"/>
  <c r="D359" i="1"/>
  <c r="D358" i="1"/>
  <c r="D357" i="1"/>
  <c r="D356" i="1"/>
  <c r="D355" i="1"/>
  <c r="D354" i="1"/>
  <c r="D352" i="1"/>
  <c r="D351" i="1"/>
  <c r="D353" i="1"/>
  <c r="D348" i="1"/>
  <c r="D350" i="1"/>
  <c r="D349" i="1"/>
  <c r="D347" i="1"/>
  <c r="D340" i="1"/>
  <c r="D339" i="1"/>
  <c r="D338" i="1"/>
  <c r="D336" i="1"/>
  <c r="D341" i="1"/>
  <c r="D337" i="1"/>
  <c r="D335" i="1"/>
  <c r="D346" i="1"/>
  <c r="D343" i="1"/>
  <c r="D342" i="1"/>
  <c r="D344" i="1"/>
  <c r="D345" i="1"/>
  <c r="D327" i="1"/>
  <c r="D326" i="1"/>
  <c r="D324" i="1"/>
  <c r="D325" i="1"/>
  <c r="D361" i="1"/>
  <c r="D329" i="1"/>
  <c r="D333" i="1"/>
  <c r="D330" i="1"/>
  <c r="D334" i="1"/>
  <c r="D332" i="1"/>
  <c r="D331" i="1"/>
  <c r="D328" i="1"/>
  <c r="D322" i="1"/>
  <c r="D323" i="1"/>
  <c r="D321" i="1"/>
  <c r="D320" i="1"/>
  <c r="D319" i="1"/>
  <c r="D318" i="1"/>
  <c r="U148" i="6"/>
  <c r="T148" i="6"/>
  <c r="S148" i="6"/>
  <c r="R148" i="6"/>
  <c r="Q148" i="6"/>
  <c r="O148" i="6"/>
  <c r="M148" i="6"/>
  <c r="L148" i="6"/>
  <c r="K148" i="6"/>
  <c r="J148" i="6"/>
  <c r="I148" i="6"/>
  <c r="H148" i="6"/>
  <c r="G148" i="6"/>
  <c r="F148" i="6"/>
  <c r="E148" i="6"/>
  <c r="C148" i="6"/>
  <c r="B148" i="6"/>
  <c r="A148" i="6"/>
  <c r="Q61" i="6"/>
  <c r="O61" i="6"/>
  <c r="M61" i="6"/>
  <c r="L61" i="6"/>
  <c r="I61" i="6"/>
  <c r="H61" i="6"/>
  <c r="G61" i="6"/>
  <c r="F61" i="6"/>
  <c r="E61" i="6"/>
  <c r="C61" i="6"/>
  <c r="B61" i="6"/>
  <c r="A61" i="6"/>
  <c r="Q118" i="4"/>
  <c r="O118" i="4"/>
  <c r="M118" i="4"/>
  <c r="L118" i="4"/>
  <c r="I118" i="4"/>
  <c r="H118" i="4"/>
  <c r="G118" i="4"/>
  <c r="F118" i="4"/>
  <c r="E118" i="4"/>
  <c r="C118" i="4"/>
  <c r="B118" i="4"/>
  <c r="A118" i="4"/>
  <c r="U119" i="4"/>
  <c r="T119" i="4"/>
  <c r="S119" i="4"/>
  <c r="R119" i="4"/>
  <c r="Q119" i="4"/>
  <c r="P119" i="4"/>
  <c r="O119" i="4"/>
  <c r="N119" i="4"/>
  <c r="M119" i="4"/>
  <c r="L119" i="4"/>
  <c r="K119" i="4"/>
  <c r="J119" i="4"/>
  <c r="I119" i="4"/>
  <c r="H119" i="4"/>
  <c r="G119" i="4"/>
  <c r="F119" i="4"/>
  <c r="E119" i="4"/>
  <c r="D119" i="4"/>
  <c r="C119" i="4"/>
  <c r="B119" i="4"/>
  <c r="Q103" i="4"/>
  <c r="O103" i="4"/>
  <c r="M103" i="4"/>
  <c r="L103" i="4"/>
  <c r="I103" i="4"/>
  <c r="H103" i="4"/>
  <c r="G103" i="4"/>
  <c r="F103" i="4"/>
  <c r="E103" i="4"/>
  <c r="C103" i="4"/>
  <c r="B103" i="4"/>
  <c r="A103" i="4"/>
  <c r="U104" i="3"/>
  <c r="T104" i="3"/>
  <c r="S104" i="3"/>
  <c r="R104" i="3"/>
  <c r="Q104" i="3"/>
  <c r="O104" i="3"/>
  <c r="M104" i="3"/>
  <c r="L104" i="3"/>
  <c r="K104" i="3"/>
  <c r="J104" i="3"/>
  <c r="I104" i="3"/>
  <c r="H104" i="3"/>
  <c r="G104" i="3"/>
  <c r="F104" i="3"/>
  <c r="E104" i="3"/>
  <c r="B104" i="3"/>
  <c r="A104" i="3"/>
  <c r="Q105" i="3"/>
  <c r="O105" i="3"/>
  <c r="M105" i="3"/>
  <c r="L105" i="3"/>
  <c r="I105" i="3"/>
  <c r="H105" i="3"/>
  <c r="G105" i="3"/>
  <c r="F105" i="3"/>
  <c r="E105" i="3"/>
  <c r="C105" i="3"/>
  <c r="B105" i="3"/>
  <c r="A105" i="3"/>
  <c r="Q88" i="12"/>
  <c r="O88" i="12"/>
  <c r="M88" i="12"/>
  <c r="L88" i="12"/>
  <c r="I88" i="12"/>
  <c r="H88" i="12"/>
  <c r="G88" i="12"/>
  <c r="F88" i="12"/>
  <c r="E88" i="12"/>
  <c r="C88" i="12"/>
  <c r="B88" i="12"/>
  <c r="A88" i="12"/>
  <c r="Q60" i="12"/>
  <c r="O60" i="12"/>
  <c r="M60" i="12"/>
  <c r="L60" i="12"/>
  <c r="I60" i="12"/>
  <c r="H60" i="12"/>
  <c r="G60" i="12"/>
  <c r="F60" i="12"/>
  <c r="E60" i="12"/>
  <c r="C60" i="12"/>
  <c r="B60" i="12"/>
  <c r="A60" i="12"/>
  <c r="Q186" i="12"/>
  <c r="O186" i="12"/>
  <c r="M186" i="12"/>
  <c r="L186" i="12"/>
  <c r="I186" i="12"/>
  <c r="H186" i="12"/>
  <c r="G186" i="12"/>
  <c r="F186" i="12"/>
  <c r="E186" i="12"/>
  <c r="C186" i="12"/>
  <c r="B186" i="12"/>
  <c r="A186" i="12"/>
  <c r="Q158" i="12"/>
  <c r="O158" i="12"/>
  <c r="M158" i="12"/>
  <c r="L158" i="12"/>
  <c r="I158" i="12"/>
  <c r="H158" i="12"/>
  <c r="G158" i="12"/>
  <c r="F158" i="12"/>
  <c r="E158" i="12"/>
  <c r="C158" i="12"/>
  <c r="B158" i="12"/>
  <c r="A158" i="12"/>
  <c r="Q144" i="12"/>
  <c r="O144" i="12"/>
  <c r="M144" i="12"/>
  <c r="L144" i="12"/>
  <c r="I144" i="12"/>
  <c r="H144" i="12"/>
  <c r="G144" i="12"/>
  <c r="F144" i="12"/>
  <c r="E144" i="12"/>
  <c r="C144" i="12"/>
  <c r="B144" i="12"/>
  <c r="A144" i="12"/>
  <c r="Q130" i="12"/>
  <c r="O130" i="12"/>
  <c r="M130" i="12"/>
  <c r="L130" i="12"/>
  <c r="I130" i="12"/>
  <c r="H130" i="12"/>
  <c r="G130" i="12"/>
  <c r="F130" i="12"/>
  <c r="E130" i="12"/>
  <c r="C130" i="12"/>
  <c r="B130" i="12"/>
  <c r="A130" i="12"/>
  <c r="Q116" i="12"/>
  <c r="O116" i="12"/>
  <c r="M116" i="12"/>
  <c r="L116" i="12"/>
  <c r="I116" i="12"/>
  <c r="H116" i="12"/>
  <c r="G116" i="12"/>
  <c r="F116" i="12"/>
  <c r="E116" i="12"/>
  <c r="C116" i="12"/>
  <c r="B116" i="12"/>
  <c r="A116" i="12"/>
  <c r="Q102" i="12"/>
  <c r="O102" i="12"/>
  <c r="M102" i="12"/>
  <c r="L102" i="12"/>
  <c r="I102" i="12"/>
  <c r="H102" i="12"/>
  <c r="G102" i="12"/>
  <c r="F102" i="12"/>
  <c r="E102" i="12"/>
  <c r="C102" i="12"/>
  <c r="B102" i="12"/>
  <c r="A102" i="12"/>
  <c r="Q74" i="12"/>
  <c r="O74" i="12"/>
  <c r="M74" i="12"/>
  <c r="L74" i="12"/>
  <c r="I74" i="12"/>
  <c r="H74" i="12"/>
  <c r="G74" i="12"/>
  <c r="F74" i="12"/>
  <c r="E74" i="12"/>
  <c r="C74" i="12"/>
  <c r="B74" i="12"/>
  <c r="A74" i="12"/>
  <c r="Q46" i="12"/>
  <c r="O46" i="12"/>
  <c r="M46" i="12"/>
  <c r="L46" i="12"/>
  <c r="I46" i="12"/>
  <c r="H46" i="12"/>
  <c r="G46" i="12"/>
  <c r="F46" i="12"/>
  <c r="E46" i="12"/>
  <c r="C46" i="12"/>
  <c r="B46" i="12"/>
  <c r="A46" i="12"/>
  <c r="Q18" i="12"/>
  <c r="O18" i="12"/>
  <c r="M18" i="12"/>
  <c r="L18" i="12"/>
  <c r="I18" i="12"/>
  <c r="H18" i="12"/>
  <c r="G18" i="12"/>
  <c r="F18" i="12"/>
  <c r="E18" i="12"/>
  <c r="C18" i="12"/>
  <c r="B18" i="12"/>
  <c r="A18" i="12"/>
  <c r="Q4" i="12"/>
  <c r="O4" i="12"/>
  <c r="M4" i="12"/>
  <c r="L4" i="12"/>
  <c r="I4" i="12"/>
  <c r="H4" i="12"/>
  <c r="G4" i="12"/>
  <c r="F4" i="12"/>
  <c r="E4" i="12"/>
  <c r="C4" i="12"/>
  <c r="B4" i="12"/>
  <c r="A4" i="12"/>
  <c r="Q144" i="10"/>
  <c r="O144" i="10"/>
  <c r="M144" i="10"/>
  <c r="L144" i="10"/>
  <c r="I144" i="10"/>
  <c r="H144" i="10"/>
  <c r="G144" i="10"/>
  <c r="F144" i="10"/>
  <c r="E144" i="10"/>
  <c r="C144" i="10"/>
  <c r="B144" i="10"/>
  <c r="A144" i="10"/>
  <c r="Q102" i="10"/>
  <c r="O102" i="10"/>
  <c r="M102" i="10"/>
  <c r="L102" i="10"/>
  <c r="I102" i="10"/>
  <c r="H102" i="10"/>
  <c r="G102" i="10"/>
  <c r="F102" i="10"/>
  <c r="E102" i="10"/>
  <c r="C102" i="10"/>
  <c r="B102" i="10"/>
  <c r="A102" i="10"/>
  <c r="Q74" i="10"/>
  <c r="O74" i="10"/>
  <c r="M74" i="10"/>
  <c r="L74" i="10"/>
  <c r="I74" i="10"/>
  <c r="H74" i="10"/>
  <c r="G74" i="10"/>
  <c r="F74" i="10"/>
  <c r="E74" i="10"/>
  <c r="C74" i="10"/>
  <c r="B74" i="10"/>
  <c r="A74" i="10"/>
  <c r="Q60" i="10"/>
  <c r="O60" i="10"/>
  <c r="M60" i="10"/>
  <c r="L60" i="10"/>
  <c r="I60" i="10"/>
  <c r="H60" i="10"/>
  <c r="G60" i="10"/>
  <c r="F60" i="10"/>
  <c r="E60" i="10"/>
  <c r="C60" i="10"/>
  <c r="B60" i="10"/>
  <c r="A60" i="10"/>
  <c r="Q116" i="10"/>
  <c r="O116" i="10"/>
  <c r="M116" i="10"/>
  <c r="L116" i="10"/>
  <c r="I116" i="10"/>
  <c r="H116" i="10"/>
  <c r="G116" i="10"/>
  <c r="F116" i="10"/>
  <c r="E116" i="10"/>
  <c r="C116" i="10"/>
  <c r="B116" i="10"/>
  <c r="A116" i="10"/>
  <c r="Q46" i="10"/>
  <c r="O46" i="10"/>
  <c r="M46" i="10"/>
  <c r="L46" i="10"/>
  <c r="I46" i="10"/>
  <c r="H46" i="10"/>
  <c r="G46" i="10"/>
  <c r="F46" i="10"/>
  <c r="E46" i="10"/>
  <c r="C46" i="10"/>
  <c r="B46" i="10"/>
  <c r="A46" i="10"/>
  <c r="Q130" i="10"/>
  <c r="O130" i="10"/>
  <c r="M130" i="10"/>
  <c r="L130" i="10"/>
  <c r="I130" i="10"/>
  <c r="H130" i="10"/>
  <c r="G130" i="10"/>
  <c r="F130" i="10"/>
  <c r="E130" i="10"/>
  <c r="C130" i="10"/>
  <c r="B130" i="10"/>
  <c r="A130" i="10"/>
  <c r="Q4" i="10"/>
  <c r="O4" i="10"/>
  <c r="M4" i="10"/>
  <c r="L4" i="10"/>
  <c r="I4" i="10"/>
  <c r="H4" i="10"/>
  <c r="G4" i="10"/>
  <c r="F4" i="10"/>
  <c r="E4" i="10"/>
  <c r="C4" i="10"/>
  <c r="B4" i="10"/>
  <c r="A4" i="10"/>
  <c r="Q18" i="9"/>
  <c r="O18" i="9"/>
  <c r="M18" i="9"/>
  <c r="L18" i="9"/>
  <c r="I18" i="9"/>
  <c r="H18" i="9"/>
  <c r="G18" i="9"/>
  <c r="F18" i="9"/>
  <c r="E18" i="9"/>
  <c r="C18" i="9"/>
  <c r="B18" i="9"/>
  <c r="A18" i="9"/>
  <c r="Q32" i="9"/>
  <c r="O32" i="9"/>
  <c r="M32" i="9"/>
  <c r="L32" i="9"/>
  <c r="I32" i="9"/>
  <c r="H32" i="9"/>
  <c r="G32" i="9"/>
  <c r="F32" i="9"/>
  <c r="E32" i="9"/>
  <c r="C32" i="9"/>
  <c r="B32" i="9"/>
  <c r="A32" i="9"/>
  <c r="Q75" i="9"/>
  <c r="O75" i="9"/>
  <c r="M75" i="9"/>
  <c r="L75" i="9"/>
  <c r="I75" i="9"/>
  <c r="H75" i="9"/>
  <c r="G75" i="9"/>
  <c r="F75" i="9"/>
  <c r="E75" i="9"/>
  <c r="C75" i="9"/>
  <c r="B75" i="9"/>
  <c r="A75" i="9"/>
  <c r="Q161" i="9"/>
  <c r="O161" i="9"/>
  <c r="M161" i="9"/>
  <c r="L161" i="9"/>
  <c r="I161" i="9"/>
  <c r="H161" i="9"/>
  <c r="G161" i="9"/>
  <c r="F161" i="9"/>
  <c r="E161" i="9"/>
  <c r="C161" i="9"/>
  <c r="B161" i="9"/>
  <c r="A161" i="9"/>
  <c r="Q162" i="9"/>
  <c r="O162" i="9"/>
  <c r="M162" i="9"/>
  <c r="L162" i="9"/>
  <c r="I162" i="9"/>
  <c r="H162" i="9"/>
  <c r="G162" i="9"/>
  <c r="F162" i="9"/>
  <c r="E162" i="9"/>
  <c r="C162" i="9"/>
  <c r="B162" i="9"/>
  <c r="A162" i="9"/>
  <c r="U149" i="9"/>
  <c r="T149" i="9"/>
  <c r="S149" i="9"/>
  <c r="R149" i="9"/>
  <c r="Q149" i="9"/>
  <c r="P149" i="9"/>
  <c r="O149" i="9"/>
  <c r="N149" i="9"/>
  <c r="M149" i="9"/>
  <c r="L149" i="9"/>
  <c r="K149" i="9"/>
  <c r="J149" i="9"/>
  <c r="I149" i="9"/>
  <c r="H149" i="9"/>
  <c r="G149" i="9"/>
  <c r="U131" i="9"/>
  <c r="T131" i="9"/>
  <c r="S131" i="9"/>
  <c r="R131" i="9"/>
  <c r="Q131" i="9"/>
  <c r="O131" i="9"/>
  <c r="M131" i="9"/>
  <c r="L131" i="9"/>
  <c r="K131" i="9"/>
  <c r="J131" i="9"/>
  <c r="I131" i="9"/>
  <c r="H131" i="9"/>
  <c r="G131" i="9"/>
  <c r="F131" i="9"/>
  <c r="E131" i="9"/>
  <c r="C131" i="9"/>
  <c r="B131" i="9"/>
  <c r="A131" i="9"/>
  <c r="U132" i="9"/>
  <c r="T132" i="9"/>
  <c r="S132" i="9"/>
  <c r="R132" i="9"/>
  <c r="Q132" i="9"/>
  <c r="P132" i="9"/>
  <c r="O132" i="9"/>
  <c r="N132" i="9"/>
  <c r="M132" i="9"/>
  <c r="L132" i="9"/>
  <c r="K132" i="9"/>
  <c r="J132" i="9"/>
  <c r="I132" i="9"/>
  <c r="H132" i="9"/>
  <c r="G132" i="9"/>
  <c r="F132" i="9"/>
  <c r="E132" i="9"/>
  <c r="D132" i="9"/>
  <c r="C132" i="9"/>
  <c r="B132" i="9"/>
  <c r="Q104" i="9"/>
  <c r="O104" i="9"/>
  <c r="M104" i="9"/>
  <c r="L104" i="9"/>
  <c r="I104" i="9"/>
  <c r="H104" i="9"/>
  <c r="G104" i="9"/>
  <c r="F104" i="9"/>
  <c r="E104" i="9"/>
  <c r="C104" i="9"/>
  <c r="B104" i="9"/>
  <c r="A104" i="9"/>
  <c r="Q76" i="9"/>
  <c r="O76" i="9"/>
  <c r="M76" i="9"/>
  <c r="L76" i="9"/>
  <c r="I76" i="9"/>
  <c r="H76" i="9"/>
  <c r="G76" i="9"/>
  <c r="F76" i="9"/>
  <c r="E76" i="9"/>
  <c r="C76" i="9"/>
  <c r="B76" i="9"/>
  <c r="A76" i="9"/>
  <c r="U61" i="9"/>
  <c r="T61" i="9"/>
  <c r="S61" i="9"/>
  <c r="R61" i="9"/>
  <c r="Q61" i="9"/>
  <c r="P61" i="9"/>
  <c r="O61" i="9"/>
  <c r="N61" i="9"/>
  <c r="M61" i="9"/>
  <c r="L61" i="9"/>
  <c r="K61" i="9"/>
  <c r="J61" i="9"/>
  <c r="E61" i="9"/>
  <c r="D61" i="9"/>
  <c r="Q60" i="9"/>
  <c r="O60" i="9"/>
  <c r="M60" i="9"/>
  <c r="L60" i="9"/>
  <c r="I60" i="9"/>
  <c r="H60" i="9"/>
  <c r="G60" i="9"/>
  <c r="F60" i="9"/>
  <c r="E60" i="9"/>
  <c r="C60" i="9"/>
  <c r="B60" i="9"/>
  <c r="A60" i="9"/>
  <c r="Q158" i="8"/>
  <c r="O158" i="8"/>
  <c r="M158" i="8"/>
  <c r="L158" i="8"/>
  <c r="I158" i="8"/>
  <c r="H158" i="8"/>
  <c r="G158" i="8"/>
  <c r="F158" i="8"/>
  <c r="E158" i="8"/>
  <c r="C158" i="8"/>
  <c r="B158" i="8"/>
  <c r="A158" i="8"/>
  <c r="Q102" i="8"/>
  <c r="O102" i="8"/>
  <c r="M102" i="8"/>
  <c r="L102" i="8"/>
  <c r="I102" i="8"/>
  <c r="H102" i="8"/>
  <c r="G102" i="8"/>
  <c r="F102" i="8"/>
  <c r="E102" i="8"/>
  <c r="C102" i="8"/>
  <c r="B102" i="8"/>
  <c r="A102" i="8"/>
  <c r="Q88" i="8"/>
  <c r="O88" i="8"/>
  <c r="M88" i="8"/>
  <c r="L88" i="8"/>
  <c r="I88" i="8"/>
  <c r="H88" i="8"/>
  <c r="G88" i="8"/>
  <c r="F88" i="8"/>
  <c r="E88" i="8"/>
  <c r="C88" i="8"/>
  <c r="B88" i="8"/>
  <c r="A88" i="8"/>
  <c r="Q60" i="8"/>
  <c r="O60" i="8"/>
  <c r="M60" i="8"/>
  <c r="L60" i="8"/>
  <c r="I60" i="8"/>
  <c r="H60" i="8"/>
  <c r="G60" i="8"/>
  <c r="F60" i="8"/>
  <c r="E60" i="8"/>
  <c r="C60" i="8"/>
  <c r="B60" i="8"/>
  <c r="Q32" i="8"/>
  <c r="O32" i="8"/>
  <c r="M32" i="8"/>
  <c r="L32" i="8"/>
  <c r="I32" i="8"/>
  <c r="H32" i="8"/>
  <c r="G32" i="8"/>
  <c r="F32" i="8"/>
  <c r="E32" i="8"/>
  <c r="C32" i="8"/>
  <c r="B32" i="8"/>
  <c r="A32" i="8"/>
  <c r="A60" i="8"/>
  <c r="Q46" i="8"/>
  <c r="O46" i="8"/>
  <c r="M46" i="8"/>
  <c r="L46" i="8"/>
  <c r="I46" i="8"/>
  <c r="H46" i="8"/>
  <c r="G46" i="8"/>
  <c r="F46" i="8"/>
  <c r="E46" i="8"/>
  <c r="C46" i="8"/>
  <c r="B46" i="8"/>
  <c r="A46" i="8"/>
  <c r="Q18" i="8"/>
  <c r="O18" i="8"/>
  <c r="M18" i="8"/>
  <c r="L18" i="8"/>
  <c r="I18" i="8"/>
  <c r="H18" i="8"/>
  <c r="G18" i="8"/>
  <c r="F18" i="8"/>
  <c r="E18" i="8"/>
  <c r="C18" i="8"/>
  <c r="B18" i="8"/>
  <c r="A18" i="8"/>
  <c r="Q130" i="8"/>
  <c r="O130" i="8"/>
  <c r="M130" i="8"/>
  <c r="L130" i="8"/>
  <c r="I130" i="8"/>
  <c r="H130" i="8"/>
  <c r="G130" i="8"/>
  <c r="F130" i="8"/>
  <c r="E130" i="8"/>
  <c r="C130" i="8"/>
  <c r="B130" i="8"/>
  <c r="A130" i="8"/>
  <c r="Q76" i="7"/>
  <c r="O76" i="7"/>
  <c r="M76" i="7"/>
  <c r="L76" i="7"/>
  <c r="I76" i="7"/>
  <c r="H76" i="7"/>
  <c r="G76" i="7"/>
  <c r="F76" i="7"/>
  <c r="E76" i="7"/>
  <c r="C76" i="7"/>
  <c r="B76" i="7"/>
  <c r="A76" i="7"/>
  <c r="Q91" i="7"/>
  <c r="O91" i="7"/>
  <c r="M91" i="7"/>
  <c r="L91" i="7"/>
  <c r="I91" i="7"/>
  <c r="H91" i="7"/>
  <c r="G91" i="7"/>
  <c r="F91" i="7"/>
  <c r="E91" i="7"/>
  <c r="C91" i="7"/>
  <c r="B91" i="7"/>
  <c r="A91" i="7"/>
  <c r="Q77" i="7"/>
  <c r="O77" i="7"/>
  <c r="M77" i="7"/>
  <c r="L77" i="7"/>
  <c r="I77" i="7"/>
  <c r="H77" i="7"/>
  <c r="G77" i="7"/>
  <c r="F77" i="7"/>
  <c r="E77" i="7"/>
  <c r="C77" i="7"/>
  <c r="B77" i="7"/>
  <c r="A77" i="7"/>
  <c r="Q62" i="7"/>
  <c r="O62" i="7"/>
  <c r="M62" i="7"/>
  <c r="L62" i="7"/>
  <c r="I62" i="7"/>
  <c r="H62" i="7"/>
  <c r="G62" i="7"/>
  <c r="F62" i="7"/>
  <c r="E62" i="7"/>
  <c r="C62" i="7"/>
  <c r="B62" i="7"/>
  <c r="A62" i="7"/>
  <c r="Q48" i="7"/>
  <c r="O48" i="7"/>
  <c r="M48" i="7"/>
  <c r="L48" i="7"/>
  <c r="I48" i="7"/>
  <c r="H48" i="7"/>
  <c r="G48" i="7"/>
  <c r="F48" i="7"/>
  <c r="E48" i="7"/>
  <c r="C48" i="7"/>
  <c r="B48" i="7"/>
  <c r="A48" i="7"/>
  <c r="Q33" i="7"/>
  <c r="O33" i="7"/>
  <c r="M33" i="7"/>
  <c r="L33" i="7"/>
  <c r="I33" i="7"/>
  <c r="H33" i="7"/>
  <c r="G33" i="7"/>
  <c r="F33" i="7"/>
  <c r="E33" i="7"/>
  <c r="C33" i="7"/>
  <c r="B33" i="7"/>
  <c r="A33" i="7"/>
  <c r="Q19" i="7"/>
  <c r="O19" i="7"/>
  <c r="M19" i="7"/>
  <c r="L19" i="7"/>
  <c r="I19" i="7"/>
  <c r="H19" i="7"/>
  <c r="G19" i="7"/>
  <c r="F19" i="7"/>
  <c r="E19" i="7"/>
  <c r="C19" i="7"/>
  <c r="B19" i="7"/>
  <c r="A19" i="7"/>
  <c r="Q4" i="7"/>
  <c r="O4" i="7"/>
  <c r="M4" i="7"/>
  <c r="L4" i="7"/>
  <c r="I4" i="7"/>
  <c r="H4" i="7"/>
  <c r="G4" i="7"/>
  <c r="F4" i="7"/>
  <c r="E4" i="7"/>
  <c r="C4" i="7"/>
  <c r="B4" i="7"/>
  <c r="A4" i="7"/>
  <c r="Q104" i="6"/>
  <c r="O104" i="6"/>
  <c r="M104" i="6"/>
  <c r="L104" i="6"/>
  <c r="I104" i="6"/>
  <c r="H104" i="6"/>
  <c r="G104" i="6"/>
  <c r="F104" i="6"/>
  <c r="E104" i="6"/>
  <c r="C104" i="6"/>
  <c r="B104" i="6"/>
  <c r="A104" i="6"/>
  <c r="Q149" i="6"/>
  <c r="O149" i="6"/>
  <c r="M149" i="6"/>
  <c r="L149" i="6"/>
  <c r="I149" i="6"/>
  <c r="H149" i="6"/>
  <c r="G149" i="6"/>
  <c r="F149" i="6"/>
  <c r="E149" i="6"/>
  <c r="C149" i="6"/>
  <c r="B149" i="6"/>
  <c r="A149" i="6"/>
  <c r="Q120" i="6"/>
  <c r="O120" i="6"/>
  <c r="M120" i="6"/>
  <c r="L120" i="6"/>
  <c r="I120" i="6"/>
  <c r="H120" i="6"/>
  <c r="G120" i="6"/>
  <c r="F120" i="6"/>
  <c r="E120" i="6"/>
  <c r="C120" i="6"/>
  <c r="B120" i="6"/>
  <c r="Q119" i="6"/>
  <c r="O119" i="6"/>
  <c r="M119" i="6"/>
  <c r="L119" i="6"/>
  <c r="I119" i="6"/>
  <c r="H119" i="6"/>
  <c r="G119" i="6"/>
  <c r="F119" i="6"/>
  <c r="E119" i="6"/>
  <c r="C119" i="6"/>
  <c r="B119" i="6"/>
  <c r="A119" i="6"/>
  <c r="A120" i="6"/>
  <c r="Q76" i="6"/>
  <c r="O76" i="6"/>
  <c r="M76" i="6"/>
  <c r="L76" i="6"/>
  <c r="I76" i="6"/>
  <c r="H76" i="6"/>
  <c r="G76" i="6"/>
  <c r="F76" i="6"/>
  <c r="E76" i="6"/>
  <c r="C76" i="6"/>
  <c r="B76" i="6"/>
  <c r="A76" i="6"/>
  <c r="Q47" i="6"/>
  <c r="O47" i="6"/>
  <c r="M47" i="6"/>
  <c r="L47" i="6"/>
  <c r="I47" i="6"/>
  <c r="H47" i="6"/>
  <c r="G47" i="6"/>
  <c r="F47" i="6"/>
  <c r="E47" i="6"/>
  <c r="C47" i="6"/>
  <c r="B47" i="6"/>
  <c r="A47" i="6"/>
  <c r="Q33" i="6"/>
  <c r="O33" i="6"/>
  <c r="M33" i="6"/>
  <c r="L33" i="6"/>
  <c r="I33" i="6"/>
  <c r="H33" i="6"/>
  <c r="G33" i="6"/>
  <c r="F33" i="6"/>
  <c r="E33" i="6"/>
  <c r="C33" i="6"/>
  <c r="B33" i="6"/>
  <c r="A33" i="6"/>
  <c r="Q62" i="6"/>
  <c r="O62" i="6"/>
  <c r="M62" i="6"/>
  <c r="L62" i="6"/>
  <c r="I62" i="6"/>
  <c r="H62" i="6"/>
  <c r="G62" i="6"/>
  <c r="F62" i="6"/>
  <c r="E62" i="6"/>
  <c r="C62" i="6"/>
  <c r="B62" i="6"/>
  <c r="A62" i="6"/>
  <c r="Q134" i="6"/>
  <c r="O134" i="6"/>
  <c r="M134" i="6"/>
  <c r="L134" i="6"/>
  <c r="I134" i="6"/>
  <c r="H134" i="6"/>
  <c r="F133" i="6" s="1"/>
  <c r="G134" i="6"/>
  <c r="F134" i="6"/>
  <c r="E134" i="6"/>
  <c r="C134" i="6"/>
  <c r="B134" i="6"/>
  <c r="A134" i="6"/>
  <c r="N256" i="1"/>
  <c r="N257" i="1"/>
  <c r="N270" i="1"/>
  <c r="N269" i="1"/>
  <c r="N266" i="1"/>
  <c r="N305" i="1"/>
  <c r="N306" i="1"/>
  <c r="N307" i="1"/>
  <c r="N304" i="1"/>
  <c r="N303" i="1"/>
  <c r="N302" i="1"/>
  <c r="N301" i="1"/>
  <c r="N311" i="1"/>
  <c r="N316" i="1"/>
  <c r="N313" i="1"/>
  <c r="N315" i="1"/>
  <c r="N310" i="1"/>
  <c r="N314" i="1"/>
  <c r="N317" i="1"/>
  <c r="N309" i="1"/>
  <c r="N312" i="1"/>
  <c r="N308" i="1"/>
  <c r="N299" i="1"/>
  <c r="N296" i="1"/>
  <c r="N297" i="1"/>
  <c r="N300" i="1"/>
  <c r="N295" i="1"/>
  <c r="N298" i="1"/>
  <c r="N292" i="1"/>
  <c r="N293" i="1"/>
  <c r="N294" i="1"/>
  <c r="N291" i="1"/>
  <c r="N290" i="1"/>
  <c r="N289" i="1"/>
  <c r="N288" i="1"/>
  <c r="N287" i="1"/>
  <c r="N286" i="1"/>
  <c r="N284" i="1"/>
  <c r="N285" i="1"/>
  <c r="N279" i="1"/>
  <c r="N278" i="1"/>
  <c r="N275" i="1"/>
  <c r="N274" i="1"/>
  <c r="N277" i="1"/>
  <c r="N273" i="1"/>
  <c r="N276" i="1"/>
  <c r="N281" i="1"/>
  <c r="N283" i="1"/>
  <c r="N280" i="1"/>
  <c r="N282" i="1"/>
  <c r="N267" i="1"/>
  <c r="N268" i="1"/>
  <c r="N271" i="1"/>
  <c r="N272" i="1"/>
  <c r="N255" i="1"/>
  <c r="N265" i="1"/>
  <c r="N261" i="1"/>
  <c r="N260" i="1"/>
  <c r="N258" i="1"/>
  <c r="N262" i="1"/>
  <c r="T261" i="1"/>
  <c r="T260" i="1"/>
  <c r="T307" i="1"/>
  <c r="T306" i="1"/>
  <c r="T304" i="1"/>
  <c r="T302" i="1"/>
  <c r="T294" i="1"/>
  <c r="T293" i="1"/>
  <c r="T288" i="1"/>
  <c r="T287" i="1"/>
  <c r="N241" i="1"/>
  <c r="Q116" i="11"/>
  <c r="O116" i="11"/>
  <c r="M116" i="11"/>
  <c r="L116" i="11"/>
  <c r="I116" i="11"/>
  <c r="H116" i="11"/>
  <c r="G116" i="11"/>
  <c r="F116" i="11"/>
  <c r="E116" i="11"/>
  <c r="C116" i="11"/>
  <c r="B116" i="11"/>
  <c r="A116" i="11"/>
  <c r="Q88" i="11"/>
  <c r="O88" i="11"/>
  <c r="M88" i="11"/>
  <c r="L88" i="11"/>
  <c r="I88" i="11"/>
  <c r="H88" i="11"/>
  <c r="G88" i="11"/>
  <c r="F88" i="11"/>
  <c r="E88" i="11"/>
  <c r="C88" i="11"/>
  <c r="B88" i="11"/>
  <c r="A88" i="11"/>
  <c r="Q32" i="11"/>
  <c r="O32" i="11"/>
  <c r="M32" i="11"/>
  <c r="L32" i="11"/>
  <c r="I32" i="11"/>
  <c r="H32" i="11"/>
  <c r="G32" i="11"/>
  <c r="F32" i="11"/>
  <c r="E32" i="11"/>
  <c r="C32" i="11"/>
  <c r="B32" i="11"/>
  <c r="A32" i="11"/>
  <c r="Q4" i="11"/>
  <c r="O4" i="11"/>
  <c r="M4" i="11"/>
  <c r="L4" i="11"/>
  <c r="I4" i="11"/>
  <c r="H4" i="11"/>
  <c r="G4" i="11"/>
  <c r="F4" i="11"/>
  <c r="E4" i="11"/>
  <c r="C4" i="11"/>
  <c r="B4" i="11"/>
  <c r="A4" i="11"/>
  <c r="Q102" i="11"/>
  <c r="O102" i="11"/>
  <c r="M102" i="11"/>
  <c r="L102" i="11"/>
  <c r="I102" i="11"/>
  <c r="H102" i="11"/>
  <c r="G102" i="11"/>
  <c r="F102" i="11"/>
  <c r="E102" i="11"/>
  <c r="C102" i="11"/>
  <c r="B102" i="11"/>
  <c r="A102" i="11"/>
  <c r="Q186" i="11"/>
  <c r="O186" i="11"/>
  <c r="M186" i="11"/>
  <c r="L186" i="11"/>
  <c r="I186" i="11"/>
  <c r="H186" i="11"/>
  <c r="G186" i="11"/>
  <c r="F186" i="11"/>
  <c r="E186" i="11"/>
  <c r="C186" i="11"/>
  <c r="B186" i="11"/>
  <c r="A186" i="11"/>
  <c r="Q60" i="11"/>
  <c r="O60" i="11"/>
  <c r="M60" i="11"/>
  <c r="L60" i="11"/>
  <c r="I60" i="11"/>
  <c r="H60" i="11"/>
  <c r="G60" i="11"/>
  <c r="F60" i="11"/>
  <c r="E60" i="11"/>
  <c r="C60" i="11"/>
  <c r="B60" i="11"/>
  <c r="A60" i="11"/>
  <c r="Q144" i="11"/>
  <c r="O144" i="11"/>
  <c r="M144" i="11"/>
  <c r="L144" i="11"/>
  <c r="I144" i="11"/>
  <c r="H144" i="11"/>
  <c r="G144" i="11"/>
  <c r="F144" i="11"/>
  <c r="E144" i="11"/>
  <c r="C144" i="11"/>
  <c r="B144" i="11"/>
  <c r="A144" i="11"/>
  <c r="A158" i="11"/>
  <c r="B158" i="11"/>
  <c r="C158" i="11"/>
  <c r="E158" i="11"/>
  <c r="F158" i="11"/>
  <c r="G158" i="11"/>
  <c r="H158" i="11"/>
  <c r="I158" i="11"/>
  <c r="L158" i="11"/>
  <c r="M158" i="11"/>
  <c r="O158" i="11"/>
  <c r="Q158" i="11"/>
  <c r="T55" i="15" l="1"/>
  <c r="T64" i="15"/>
  <c r="T61" i="15"/>
  <c r="T58" i="15"/>
  <c r="T62" i="15"/>
  <c r="T69" i="15"/>
  <c r="T65" i="15"/>
  <c r="T70" i="15"/>
  <c r="K320" i="1"/>
  <c r="K339" i="1"/>
  <c r="K351" i="1"/>
  <c r="N328" i="1"/>
  <c r="K350" i="1"/>
  <c r="T350" i="1" s="1"/>
  <c r="D106" i="11"/>
  <c r="T329" i="1"/>
  <c r="N329" i="1"/>
  <c r="T330" i="1"/>
  <c r="N330" i="1"/>
  <c r="P330" i="1" s="1"/>
  <c r="K354" i="1"/>
  <c r="T354" i="1"/>
  <c r="K353" i="1"/>
  <c r="T353" i="1"/>
  <c r="K324" i="1"/>
  <c r="T324" i="1"/>
  <c r="K318" i="1"/>
  <c r="T318" i="1"/>
  <c r="N318" i="1"/>
  <c r="P318" i="1" s="1"/>
  <c r="K371" i="1"/>
  <c r="T371" i="1"/>
  <c r="K326" i="1"/>
  <c r="T326" i="1"/>
  <c r="K361" i="1"/>
  <c r="T361" i="1"/>
  <c r="K352" i="1"/>
  <c r="T352" i="1" s="1"/>
  <c r="T325" i="1"/>
  <c r="K322" i="1"/>
  <c r="T322" i="1"/>
  <c r="K319" i="1"/>
  <c r="T319" i="1" s="1"/>
  <c r="T321" i="1"/>
  <c r="T328" i="1"/>
  <c r="K332" i="1"/>
  <c r="T332" i="1"/>
  <c r="T333" i="1"/>
  <c r="T344" i="1"/>
  <c r="K342" i="1"/>
  <c r="T342" i="1" s="1"/>
  <c r="K346" i="1"/>
  <c r="T346" i="1" s="1"/>
  <c r="K345" i="1"/>
  <c r="K343" i="1"/>
  <c r="T380" i="1"/>
  <c r="K379" i="1"/>
  <c r="T379" i="1" s="1"/>
  <c r="T378" i="1"/>
  <c r="T375" i="1"/>
  <c r="K376" i="1"/>
  <c r="T376" i="1"/>
  <c r="T364" i="1"/>
  <c r="T367" i="1"/>
  <c r="T365" i="1"/>
  <c r="T323" i="1"/>
  <c r="T341" i="1"/>
  <c r="T340" i="1"/>
  <c r="K330" i="1"/>
  <c r="K348" i="1"/>
  <c r="K364" i="1"/>
  <c r="K347" i="1"/>
  <c r="J134" i="11"/>
  <c r="T363" i="1"/>
  <c r="K365" i="1"/>
  <c r="K369" i="1"/>
  <c r="T349" i="1"/>
  <c r="K329" i="1"/>
  <c r="K374" i="1"/>
  <c r="K176" i="11" s="1"/>
  <c r="K358" i="1"/>
  <c r="T374" i="1"/>
  <c r="T176" i="11" s="1"/>
  <c r="K373" i="1"/>
  <c r="J106" i="11"/>
  <c r="J52" i="7"/>
  <c r="K370" i="1"/>
  <c r="T370" i="1" s="1"/>
  <c r="K331" i="1"/>
  <c r="K337" i="1"/>
  <c r="T357" i="1"/>
  <c r="T345" i="1"/>
  <c r="K325" i="1"/>
  <c r="T320" i="1"/>
  <c r="P52" i="7"/>
  <c r="D134" i="11"/>
  <c r="P176" i="11"/>
  <c r="N253" i="1"/>
  <c r="D297" i="1"/>
  <c r="T272" i="1"/>
  <c r="J53" i="15"/>
  <c r="J51" i="15"/>
  <c r="J52" i="15"/>
  <c r="J50" i="15"/>
  <c r="J49" i="15"/>
  <c r="N49" i="15" s="1"/>
  <c r="J44" i="15"/>
  <c r="N44" i="15" s="1"/>
  <c r="J48" i="15"/>
  <c r="N48" i="15" s="1"/>
  <c r="J47" i="15"/>
  <c r="J39" i="15"/>
  <c r="N39" i="15" s="1"/>
  <c r="J40" i="15"/>
  <c r="J43" i="15"/>
  <c r="N43" i="15" s="1"/>
  <c r="J45" i="15"/>
  <c r="N45" i="15" s="1"/>
  <c r="J42" i="15"/>
  <c r="J46" i="15"/>
  <c r="N46" i="15" s="1"/>
  <c r="J41" i="15"/>
  <c r="J38" i="15"/>
  <c r="N38" i="15" s="1"/>
  <c r="J297" i="1"/>
  <c r="J299" i="1"/>
  <c r="J295" i="1"/>
  <c r="J293" i="1"/>
  <c r="J286" i="1"/>
  <c r="J296" i="1"/>
  <c r="D296" i="1"/>
  <c r="J298" i="1"/>
  <c r="J307" i="1"/>
  <c r="J287" i="1"/>
  <c r="J266" i="1"/>
  <c r="J282" i="1"/>
  <c r="D282" i="1"/>
  <c r="J276" i="1"/>
  <c r="D276" i="1"/>
  <c r="J313" i="1"/>
  <c r="J275" i="1"/>
  <c r="J270" i="1"/>
  <c r="J278" i="1"/>
  <c r="J316" i="1"/>
  <c r="J308" i="1"/>
  <c r="J279" i="1"/>
  <c r="J304" i="1"/>
  <c r="J294" i="1"/>
  <c r="K294" i="1" s="1"/>
  <c r="J265" i="1"/>
  <c r="J306" i="1"/>
  <c r="J312" i="1"/>
  <c r="J309" i="1"/>
  <c r="D309" i="1"/>
  <c r="J261" i="1"/>
  <c r="D261" i="1"/>
  <c r="J303" i="1"/>
  <c r="T303" i="1" s="1"/>
  <c r="J302" i="1"/>
  <c r="J288" i="1"/>
  <c r="J260" i="1"/>
  <c r="J258" i="1"/>
  <c r="J314" i="1"/>
  <c r="J300" i="1"/>
  <c r="D300" i="1"/>
  <c r="J292" i="1"/>
  <c r="J285" i="1"/>
  <c r="J262" i="1"/>
  <c r="J259" i="1"/>
  <c r="N259" i="1" s="1"/>
  <c r="J274" i="1"/>
  <c r="J301" i="1"/>
  <c r="J268" i="1"/>
  <c r="J269" i="1"/>
  <c r="T269" i="1" s="1"/>
  <c r="J283" i="1"/>
  <c r="J317" i="1"/>
  <c r="D317" i="1"/>
  <c r="J264" i="1"/>
  <c r="J289" i="1"/>
  <c r="J263" i="1"/>
  <c r="N263" i="1" s="1"/>
  <c r="J315" i="1"/>
  <c r="J310" i="1"/>
  <c r="J267" i="1"/>
  <c r="T267" i="1" s="1"/>
  <c r="D267" i="1"/>
  <c r="J311" i="1"/>
  <c r="J280" i="1"/>
  <c r="J281" i="1"/>
  <c r="T281" i="1" s="1"/>
  <c r="J277" i="1"/>
  <c r="J272" i="1"/>
  <c r="J273" i="1"/>
  <c r="J256" i="1"/>
  <c r="J257" i="1"/>
  <c r="J255" i="1"/>
  <c r="J254" i="1"/>
  <c r="T254" i="1" s="1"/>
  <c r="J252" i="1"/>
  <c r="T252" i="1" s="1"/>
  <c r="D307" i="1"/>
  <c r="D306" i="1"/>
  <c r="D305" i="1"/>
  <c r="D304" i="1"/>
  <c r="D303" i="1"/>
  <c r="D254" i="1"/>
  <c r="D302" i="1"/>
  <c r="D301" i="1"/>
  <c r="D316" i="1"/>
  <c r="D315" i="1"/>
  <c r="D314" i="1"/>
  <c r="D313" i="1"/>
  <c r="D312" i="1"/>
  <c r="D311" i="1"/>
  <c r="D310" i="1"/>
  <c r="D308" i="1"/>
  <c r="D299" i="1"/>
  <c r="D298" i="1"/>
  <c r="D295" i="1"/>
  <c r="D294" i="1"/>
  <c r="D293" i="1"/>
  <c r="D292" i="1"/>
  <c r="D291" i="1"/>
  <c r="D257" i="1"/>
  <c r="D290" i="1"/>
  <c r="D289" i="1"/>
  <c r="D288" i="1"/>
  <c r="D287" i="1"/>
  <c r="D286" i="1"/>
  <c r="D285" i="1"/>
  <c r="D256" i="1"/>
  <c r="D284" i="1"/>
  <c r="D279" i="1"/>
  <c r="D278" i="1"/>
  <c r="D277" i="1"/>
  <c r="D275" i="1"/>
  <c r="D274" i="1"/>
  <c r="D273" i="1"/>
  <c r="D253" i="1"/>
  <c r="D283" i="1"/>
  <c r="D281" i="1"/>
  <c r="D280" i="1"/>
  <c r="D265" i="1"/>
  <c r="D262" i="1"/>
  <c r="D260" i="1"/>
  <c r="D258" i="1"/>
  <c r="D259" i="1"/>
  <c r="D264" i="1"/>
  <c r="D263" i="1"/>
  <c r="D266" i="1"/>
  <c r="D270" i="1"/>
  <c r="D269" i="1"/>
  <c r="D268" i="1"/>
  <c r="D271" i="1"/>
  <c r="D272" i="1"/>
  <c r="D255" i="1"/>
  <c r="D252" i="1"/>
  <c r="N239" i="1"/>
  <c r="N240" i="1"/>
  <c r="N238" i="1"/>
  <c r="N247" i="1"/>
  <c r="N245" i="1"/>
  <c r="N244" i="1"/>
  <c r="N248" i="1"/>
  <c r="N250" i="1"/>
  <c r="N251" i="1"/>
  <c r="N243" i="1"/>
  <c r="N246" i="1"/>
  <c r="N242" i="1"/>
  <c r="N249" i="1"/>
  <c r="N232" i="1"/>
  <c r="N230" i="1"/>
  <c r="N229" i="1"/>
  <c r="N237" i="1"/>
  <c r="N234" i="1"/>
  <c r="N235" i="1"/>
  <c r="N231" i="1"/>
  <c r="N236" i="1"/>
  <c r="N233" i="1"/>
  <c r="N227" i="1"/>
  <c r="N226" i="1"/>
  <c r="N225" i="1"/>
  <c r="N228" i="1"/>
  <c r="N181" i="1"/>
  <c r="N223" i="1"/>
  <c r="N222" i="1"/>
  <c r="N220" i="1"/>
  <c r="N219" i="1"/>
  <c r="N221" i="1"/>
  <c r="N224" i="1"/>
  <c r="N218" i="1"/>
  <c r="N217" i="1"/>
  <c r="N216" i="1"/>
  <c r="N215" i="1"/>
  <c r="N214" i="1"/>
  <c r="N213" i="1"/>
  <c r="N212" i="1"/>
  <c r="N211" i="1"/>
  <c r="N210" i="1"/>
  <c r="N208" i="1"/>
  <c r="N207" i="1"/>
  <c r="N206" i="1"/>
  <c r="N209" i="1"/>
  <c r="N199" i="1"/>
  <c r="N198" i="1"/>
  <c r="N205" i="1"/>
  <c r="N201" i="1"/>
  <c r="N197" i="1"/>
  <c r="N203" i="1"/>
  <c r="N202" i="1"/>
  <c r="N200" i="1"/>
  <c r="N204" i="1"/>
  <c r="N187" i="1"/>
  <c r="N185" i="1"/>
  <c r="N183" i="1"/>
  <c r="N184" i="1"/>
  <c r="N186" i="1"/>
  <c r="N182" i="1"/>
  <c r="N188" i="1"/>
  <c r="N190" i="1"/>
  <c r="N193" i="1"/>
  <c r="N194" i="1"/>
  <c r="N195" i="1"/>
  <c r="T45" i="15" l="1"/>
  <c r="T44" i="15"/>
  <c r="T53" i="15"/>
  <c r="T40" i="15"/>
  <c r="T38" i="15"/>
  <c r="T39" i="15"/>
  <c r="T49" i="15"/>
  <c r="T42" i="15"/>
  <c r="T339" i="1"/>
  <c r="P329" i="1"/>
  <c r="P328" i="1"/>
  <c r="N331" i="1"/>
  <c r="P331" i="1" s="1"/>
  <c r="K106" i="11"/>
  <c r="T373" i="1"/>
  <c r="K134" i="11"/>
  <c r="K52" i="7"/>
  <c r="R374" i="1"/>
  <c r="U374" i="1" s="1"/>
  <c r="U134" i="11" s="1"/>
  <c r="T134" i="11"/>
  <c r="R373" i="1"/>
  <c r="S373" i="1" s="1"/>
  <c r="N264" i="1"/>
  <c r="T265" i="1"/>
  <c r="T262" i="1"/>
  <c r="T317" i="1"/>
  <c r="T286" i="1"/>
  <c r="T282" i="1"/>
  <c r="T283" i="1"/>
  <c r="T277" i="1"/>
  <c r="N254" i="1"/>
  <c r="N252" i="1"/>
  <c r="T313" i="1"/>
  <c r="T275" i="1"/>
  <c r="T278" i="1"/>
  <c r="T257" i="1"/>
  <c r="T315" i="1"/>
  <c r="T308" i="1"/>
  <c r="T256" i="1"/>
  <c r="T298" i="1"/>
  <c r="T297" i="1"/>
  <c r="T295" i="1"/>
  <c r="T276" i="1"/>
  <c r="T299" i="1"/>
  <c r="T316" i="1"/>
  <c r="J22" i="15"/>
  <c r="T106" i="11" l="1"/>
  <c r="T52" i="7"/>
  <c r="R134" i="11"/>
  <c r="S374" i="1"/>
  <c r="U176" i="11"/>
  <c r="R176" i="11"/>
  <c r="R52" i="7"/>
  <c r="R106" i="11"/>
  <c r="U373" i="1"/>
  <c r="S106" i="11"/>
  <c r="S52" i="7"/>
  <c r="T235" i="1"/>
  <c r="Q161" i="4"/>
  <c r="O161" i="4"/>
  <c r="M161" i="4"/>
  <c r="L161" i="4"/>
  <c r="I161" i="4"/>
  <c r="H161" i="4"/>
  <c r="G161" i="4"/>
  <c r="F161" i="4"/>
  <c r="E161" i="4"/>
  <c r="C161" i="4"/>
  <c r="B161" i="4"/>
  <c r="A161" i="4"/>
  <c r="Q133" i="4"/>
  <c r="O133" i="4"/>
  <c r="M133" i="4"/>
  <c r="L133" i="4"/>
  <c r="I133" i="4"/>
  <c r="H133" i="4"/>
  <c r="G133" i="4"/>
  <c r="F133" i="4"/>
  <c r="E133" i="4"/>
  <c r="C133" i="4"/>
  <c r="B133" i="4"/>
  <c r="A133" i="4"/>
  <c r="Q89" i="4"/>
  <c r="O89" i="4"/>
  <c r="M89" i="4"/>
  <c r="L89" i="4"/>
  <c r="I89" i="4"/>
  <c r="H89" i="4"/>
  <c r="G89" i="4"/>
  <c r="F89" i="4"/>
  <c r="E89" i="4"/>
  <c r="C89" i="4"/>
  <c r="B89" i="4"/>
  <c r="A89" i="4"/>
  <c r="Q75" i="4"/>
  <c r="O75" i="4"/>
  <c r="M75" i="4"/>
  <c r="L75" i="4"/>
  <c r="I75" i="4"/>
  <c r="H75" i="4"/>
  <c r="G75" i="4"/>
  <c r="F75" i="4"/>
  <c r="E75" i="4"/>
  <c r="C75" i="4"/>
  <c r="B75" i="4"/>
  <c r="A75" i="4"/>
  <c r="Q61" i="4"/>
  <c r="O61" i="4"/>
  <c r="M61" i="4"/>
  <c r="L61" i="4"/>
  <c r="I61" i="4"/>
  <c r="H61" i="4"/>
  <c r="G61" i="4"/>
  <c r="F61" i="4"/>
  <c r="E61" i="4"/>
  <c r="C61" i="4"/>
  <c r="B61" i="4"/>
  <c r="A61" i="4"/>
  <c r="Q47" i="4"/>
  <c r="O47" i="4"/>
  <c r="M47" i="4"/>
  <c r="L47" i="4"/>
  <c r="I47" i="4"/>
  <c r="H47" i="4"/>
  <c r="G47" i="4"/>
  <c r="F47" i="4"/>
  <c r="E47" i="4"/>
  <c r="C47" i="4"/>
  <c r="B47" i="4"/>
  <c r="A47" i="4"/>
  <c r="Q175" i="4"/>
  <c r="O175" i="4"/>
  <c r="M175" i="4"/>
  <c r="L175" i="4"/>
  <c r="I175" i="4"/>
  <c r="H175" i="4"/>
  <c r="G175" i="4"/>
  <c r="F175" i="4"/>
  <c r="E175" i="4"/>
  <c r="C175" i="4"/>
  <c r="B175" i="4"/>
  <c r="A175" i="4"/>
  <c r="Q147" i="4"/>
  <c r="O147" i="4"/>
  <c r="M147" i="4"/>
  <c r="L147" i="4"/>
  <c r="I147" i="4"/>
  <c r="H147" i="4"/>
  <c r="G147" i="4"/>
  <c r="F147" i="4"/>
  <c r="E147" i="4"/>
  <c r="C147" i="4"/>
  <c r="B147" i="4"/>
  <c r="A147" i="4"/>
  <c r="Q88" i="5"/>
  <c r="O88" i="5"/>
  <c r="M88" i="5"/>
  <c r="L88" i="5"/>
  <c r="I88" i="5"/>
  <c r="H88" i="5"/>
  <c r="G88" i="5"/>
  <c r="F88" i="5"/>
  <c r="E88" i="5"/>
  <c r="C88" i="5"/>
  <c r="B88" i="5"/>
  <c r="A88" i="5"/>
  <c r="B130" i="5"/>
  <c r="C130" i="5"/>
  <c r="E130" i="5"/>
  <c r="F130" i="5"/>
  <c r="G130" i="5"/>
  <c r="H130" i="5"/>
  <c r="I130" i="5"/>
  <c r="L130" i="5"/>
  <c r="M130" i="5"/>
  <c r="O130" i="5"/>
  <c r="Q130" i="5"/>
  <c r="A130" i="5"/>
  <c r="Q102" i="5"/>
  <c r="O102" i="5"/>
  <c r="M102" i="5"/>
  <c r="L102" i="5"/>
  <c r="I102" i="5"/>
  <c r="H102" i="5"/>
  <c r="G102" i="5"/>
  <c r="F102" i="5"/>
  <c r="E102" i="5"/>
  <c r="C102" i="5"/>
  <c r="B102" i="5"/>
  <c r="A102" i="5"/>
  <c r="Q74" i="5"/>
  <c r="O74" i="5"/>
  <c r="M74" i="5"/>
  <c r="L74" i="5"/>
  <c r="I74" i="5"/>
  <c r="H74" i="5"/>
  <c r="G74" i="5"/>
  <c r="F74" i="5"/>
  <c r="E74" i="5"/>
  <c r="C74" i="5"/>
  <c r="B74" i="5"/>
  <c r="A74" i="5"/>
  <c r="Q60" i="5"/>
  <c r="O60" i="5"/>
  <c r="M60" i="5"/>
  <c r="L60" i="5"/>
  <c r="I60" i="5"/>
  <c r="H60" i="5"/>
  <c r="G60" i="5"/>
  <c r="F60" i="5"/>
  <c r="E60" i="5"/>
  <c r="C60" i="5"/>
  <c r="B60" i="5"/>
  <c r="A60" i="5"/>
  <c r="T180" i="1"/>
  <c r="T251" i="1"/>
  <c r="T245" i="1"/>
  <c r="T250" i="1"/>
  <c r="T242" i="1"/>
  <c r="A46" i="3"/>
  <c r="B46" i="3"/>
  <c r="C46" i="3"/>
  <c r="E46" i="3"/>
  <c r="F46" i="3"/>
  <c r="G46" i="3"/>
  <c r="H46" i="3"/>
  <c r="I46" i="3"/>
  <c r="J46" i="3"/>
  <c r="K46" i="3"/>
  <c r="L46" i="3"/>
  <c r="M46" i="3"/>
  <c r="O46" i="3"/>
  <c r="Q46" i="3"/>
  <c r="R46" i="3"/>
  <c r="S46" i="3"/>
  <c r="Q61" i="3"/>
  <c r="O61" i="3"/>
  <c r="M61" i="3"/>
  <c r="L61" i="3"/>
  <c r="I61" i="3"/>
  <c r="H61" i="3"/>
  <c r="G61" i="3"/>
  <c r="F61" i="3"/>
  <c r="E61" i="3"/>
  <c r="C61" i="3"/>
  <c r="B61" i="3"/>
  <c r="A61" i="3"/>
  <c r="Q133" i="3"/>
  <c r="O133" i="3"/>
  <c r="M133" i="3"/>
  <c r="L133" i="3"/>
  <c r="I133" i="3"/>
  <c r="H133" i="3"/>
  <c r="G133" i="3"/>
  <c r="F133" i="3"/>
  <c r="E133" i="3"/>
  <c r="C133" i="3"/>
  <c r="B133" i="3"/>
  <c r="A133" i="3"/>
  <c r="Q147" i="3"/>
  <c r="O147" i="3"/>
  <c r="M147" i="3"/>
  <c r="L147" i="3"/>
  <c r="I147" i="3"/>
  <c r="H147" i="3"/>
  <c r="G147" i="3"/>
  <c r="F147" i="3"/>
  <c r="E147" i="3"/>
  <c r="C147" i="3"/>
  <c r="B147" i="3"/>
  <c r="A147" i="3"/>
  <c r="Q47" i="3"/>
  <c r="O47" i="3"/>
  <c r="M47" i="3"/>
  <c r="L47" i="3"/>
  <c r="I47" i="3"/>
  <c r="H47" i="3"/>
  <c r="G47" i="3"/>
  <c r="F47" i="3"/>
  <c r="E47" i="3"/>
  <c r="C47" i="3"/>
  <c r="B47" i="3"/>
  <c r="A47" i="3"/>
  <c r="Q32" i="3"/>
  <c r="O32" i="3"/>
  <c r="M32" i="3"/>
  <c r="L32" i="3"/>
  <c r="I32" i="3"/>
  <c r="H32" i="3"/>
  <c r="G32" i="3"/>
  <c r="F32" i="3"/>
  <c r="E32" i="3"/>
  <c r="C32" i="3"/>
  <c r="B32" i="3"/>
  <c r="A32" i="3"/>
  <c r="Q4" i="3"/>
  <c r="O4" i="3"/>
  <c r="M4" i="3"/>
  <c r="L4" i="3"/>
  <c r="I4" i="3"/>
  <c r="H4" i="3"/>
  <c r="G4" i="3"/>
  <c r="F4" i="3"/>
  <c r="E4" i="3"/>
  <c r="C4" i="3"/>
  <c r="B4" i="3"/>
  <c r="A4" i="3"/>
  <c r="Q18" i="3"/>
  <c r="O18" i="3"/>
  <c r="M18" i="3"/>
  <c r="L18" i="3"/>
  <c r="I18" i="3"/>
  <c r="H18" i="3"/>
  <c r="G18" i="3"/>
  <c r="F18" i="3"/>
  <c r="E18" i="3"/>
  <c r="C18" i="3"/>
  <c r="B18" i="3"/>
  <c r="A18" i="3"/>
  <c r="Q75" i="3"/>
  <c r="O75" i="3"/>
  <c r="M75" i="3"/>
  <c r="L75" i="3"/>
  <c r="I75" i="3"/>
  <c r="H75" i="3"/>
  <c r="G75" i="3"/>
  <c r="F75" i="3"/>
  <c r="E75" i="3"/>
  <c r="C75" i="3"/>
  <c r="B75" i="3"/>
  <c r="A75" i="3"/>
  <c r="Q119" i="3"/>
  <c r="O119" i="3"/>
  <c r="M119" i="3"/>
  <c r="L119" i="3"/>
  <c r="I119" i="3"/>
  <c r="H119" i="3"/>
  <c r="G119" i="3"/>
  <c r="F119" i="3"/>
  <c r="E119" i="3"/>
  <c r="C119" i="3"/>
  <c r="B119" i="3"/>
  <c r="A119" i="3"/>
  <c r="Q175" i="3"/>
  <c r="O175" i="3"/>
  <c r="M175" i="3"/>
  <c r="L175" i="3"/>
  <c r="I175" i="3"/>
  <c r="H175" i="3"/>
  <c r="G175" i="3"/>
  <c r="F175" i="3"/>
  <c r="E175" i="3"/>
  <c r="C175" i="3"/>
  <c r="B175" i="3"/>
  <c r="A175" i="3"/>
  <c r="Q145" i="2"/>
  <c r="O145" i="2"/>
  <c r="M145" i="2"/>
  <c r="L145" i="2"/>
  <c r="I145" i="2"/>
  <c r="H145" i="2"/>
  <c r="G145" i="2"/>
  <c r="F145" i="2"/>
  <c r="E145" i="2"/>
  <c r="C145" i="2"/>
  <c r="B145" i="2"/>
  <c r="A145" i="2"/>
  <c r="Q137" i="2"/>
  <c r="O137" i="2"/>
  <c r="N137" i="2"/>
  <c r="M137" i="2"/>
  <c r="L137" i="2"/>
  <c r="J137" i="2"/>
  <c r="I137" i="2"/>
  <c r="H137" i="2"/>
  <c r="G137" i="2"/>
  <c r="F137" i="2"/>
  <c r="E137" i="2"/>
  <c r="D137" i="2"/>
  <c r="C137" i="2"/>
  <c r="B137" i="2"/>
  <c r="A137" i="2"/>
  <c r="Q109" i="2"/>
  <c r="O109" i="2"/>
  <c r="N109" i="2"/>
  <c r="M109" i="2"/>
  <c r="L109" i="2"/>
  <c r="J109" i="2"/>
  <c r="I109" i="2"/>
  <c r="H109" i="2"/>
  <c r="G109" i="2"/>
  <c r="F109" i="2"/>
  <c r="E109" i="2"/>
  <c r="D109" i="2"/>
  <c r="C109" i="2"/>
  <c r="B109" i="2"/>
  <c r="A109" i="2"/>
  <c r="Q117" i="2"/>
  <c r="O117" i="2"/>
  <c r="M117" i="2"/>
  <c r="L117" i="2"/>
  <c r="I117" i="2"/>
  <c r="H117" i="2"/>
  <c r="G117" i="2"/>
  <c r="F117" i="2"/>
  <c r="E117" i="2"/>
  <c r="C117" i="2"/>
  <c r="B117" i="2"/>
  <c r="A117" i="2"/>
  <c r="Q89" i="2"/>
  <c r="O89" i="2"/>
  <c r="M89" i="2"/>
  <c r="L89" i="2"/>
  <c r="I89" i="2"/>
  <c r="H89" i="2"/>
  <c r="G89" i="2"/>
  <c r="F89" i="2"/>
  <c r="E89" i="2"/>
  <c r="C89" i="2"/>
  <c r="B89" i="2"/>
  <c r="A89" i="2"/>
  <c r="Q60" i="2"/>
  <c r="O60" i="2"/>
  <c r="M60" i="2"/>
  <c r="L60" i="2"/>
  <c r="I60" i="2"/>
  <c r="H60" i="2"/>
  <c r="G60" i="2"/>
  <c r="F60" i="2"/>
  <c r="E60" i="2"/>
  <c r="C60" i="2"/>
  <c r="B60" i="2"/>
  <c r="A60" i="2"/>
  <c r="Q132" i="2"/>
  <c r="Q131" i="2"/>
  <c r="O131" i="2"/>
  <c r="M131" i="2"/>
  <c r="L131" i="2"/>
  <c r="I131" i="2"/>
  <c r="H131" i="2"/>
  <c r="G131" i="2"/>
  <c r="F131" i="2"/>
  <c r="E131" i="2"/>
  <c r="C131" i="2"/>
  <c r="B131" i="2"/>
  <c r="A131" i="2"/>
  <c r="Q103" i="2"/>
  <c r="O103" i="2"/>
  <c r="M103" i="2"/>
  <c r="L103" i="2"/>
  <c r="I103" i="2"/>
  <c r="H103" i="2"/>
  <c r="G103" i="2"/>
  <c r="F103" i="2"/>
  <c r="E103" i="2"/>
  <c r="C103" i="2"/>
  <c r="B103" i="2"/>
  <c r="A103" i="2"/>
  <c r="J218" i="1"/>
  <c r="J184" i="1"/>
  <c r="J230" i="1"/>
  <c r="J233" i="1"/>
  <c r="J235" i="1"/>
  <c r="J251" i="1"/>
  <c r="J189" i="1"/>
  <c r="N189" i="1" s="1"/>
  <c r="J227" i="1"/>
  <c r="J210" i="1"/>
  <c r="J212" i="1"/>
  <c r="J214" i="1"/>
  <c r="J199" i="1"/>
  <c r="J224" i="1"/>
  <c r="J198" i="1"/>
  <c r="J236" i="1"/>
  <c r="J245" i="1"/>
  <c r="J250" i="1"/>
  <c r="J239" i="1"/>
  <c r="J192" i="1"/>
  <c r="N192" i="1" s="1"/>
  <c r="J185" i="1"/>
  <c r="J204" i="1"/>
  <c r="J247" i="1"/>
  <c r="J237" i="1"/>
  <c r="J196" i="1"/>
  <c r="N196" i="1" s="1"/>
  <c r="J220" i="1"/>
  <c r="J242" i="1"/>
  <c r="J191" i="1"/>
  <c r="N191" i="1" s="1"/>
  <c r="J205" i="1"/>
  <c r="J215" i="1"/>
  <c r="J223" i="1"/>
  <c r="J201" i="1"/>
  <c r="J241" i="1"/>
  <c r="J231" i="1"/>
  <c r="J244" i="1"/>
  <c r="J228" i="1"/>
  <c r="J208" i="1"/>
  <c r="J194" i="1"/>
  <c r="J186" i="1"/>
  <c r="J207" i="1"/>
  <c r="J234" i="1"/>
  <c r="J238" i="1"/>
  <c r="J193" i="1"/>
  <c r="J206" i="1"/>
  <c r="J197" i="1"/>
  <c r="J182" i="1"/>
  <c r="J200" i="1"/>
  <c r="J249" i="1"/>
  <c r="J202" i="1"/>
  <c r="J181" i="1"/>
  <c r="J180" i="1"/>
  <c r="N180" i="1" s="1"/>
  <c r="D251" i="1"/>
  <c r="D235" i="1"/>
  <c r="D227" i="1"/>
  <c r="D226" i="1"/>
  <c r="D229" i="1"/>
  <c r="D230" i="1"/>
  <c r="D233" i="1"/>
  <c r="D232" i="1"/>
  <c r="D210" i="1"/>
  <c r="D189" i="1"/>
  <c r="D214" i="1"/>
  <c r="D212" i="1"/>
  <c r="D188" i="1"/>
  <c r="D199" i="1"/>
  <c r="D198" i="1"/>
  <c r="D224" i="1"/>
  <c r="D245" i="1"/>
  <c r="D236" i="1"/>
  <c r="D213" i="1"/>
  <c r="D239" i="1"/>
  <c r="D185" i="1"/>
  <c r="D240" i="1"/>
  <c r="D187" i="1"/>
  <c r="D192" i="1"/>
  <c r="D250" i="1"/>
  <c r="D243" i="1"/>
  <c r="D209" i="1"/>
  <c r="D204" i="1"/>
  <c r="D183" i="1"/>
  <c r="D190" i="1"/>
  <c r="D247" i="1"/>
  <c r="D220" i="1"/>
  <c r="D237" i="1"/>
  <c r="D196" i="1"/>
  <c r="D225" i="1"/>
  <c r="D184" i="1"/>
  <c r="D242" i="1"/>
  <c r="D215" i="1"/>
  <c r="D241" i="1"/>
  <c r="D217" i="1"/>
  <c r="D205" i="1"/>
  <c r="D201" i="1"/>
  <c r="D223" i="1"/>
  <c r="D244" i="1"/>
  <c r="D191" i="1"/>
  <c r="D231" i="1"/>
  <c r="D228" i="1"/>
  <c r="D208" i="1"/>
  <c r="D218" i="1"/>
  <c r="D219" i="1"/>
  <c r="D194" i="1"/>
  <c r="D186" i="1"/>
  <c r="D207" i="1"/>
  <c r="D234" i="1"/>
  <c r="D221" i="1"/>
  <c r="D238" i="1"/>
  <c r="D211" i="1"/>
  <c r="D197" i="1"/>
  <c r="D222" i="1"/>
  <c r="D182" i="1"/>
  <c r="D193" i="1"/>
  <c r="D203" i="1"/>
  <c r="D216" i="1"/>
  <c r="D248" i="1"/>
  <c r="D206" i="1"/>
  <c r="D246" i="1"/>
  <c r="D202" i="1"/>
  <c r="D200" i="1"/>
  <c r="D249" i="1"/>
  <c r="D195" i="1"/>
  <c r="D181" i="1"/>
  <c r="D180" i="1"/>
  <c r="J36" i="15"/>
  <c r="N36" i="15" s="1"/>
  <c r="J35" i="15"/>
  <c r="N35" i="15" s="1"/>
  <c r="J34" i="15"/>
  <c r="N34" i="15" s="1"/>
  <c r="J29" i="15"/>
  <c r="N29" i="15" s="1"/>
  <c r="J33" i="15"/>
  <c r="J32" i="15"/>
  <c r="N32" i="15" s="1"/>
  <c r="J31" i="15"/>
  <c r="T31" i="15" s="1"/>
  <c r="J30" i="15"/>
  <c r="N30" i="15" s="1"/>
  <c r="J25" i="15"/>
  <c r="N25" i="15" s="1"/>
  <c r="J28" i="15"/>
  <c r="J27" i="15"/>
  <c r="J24" i="15"/>
  <c r="J26" i="15"/>
  <c r="N26" i="15" s="1"/>
  <c r="J23" i="15"/>
  <c r="N23" i="15" s="1"/>
  <c r="J21" i="15"/>
  <c r="N21" i="15" s="1"/>
  <c r="N19" i="15"/>
  <c r="N18" i="15"/>
  <c r="N17" i="15"/>
  <c r="N16" i="15"/>
  <c r="N15" i="15"/>
  <c r="N14" i="15"/>
  <c r="N13" i="15"/>
  <c r="N12" i="15"/>
  <c r="N11" i="15"/>
  <c r="N10" i="15"/>
  <c r="N9" i="15"/>
  <c r="N8" i="15"/>
  <c r="N7" i="15"/>
  <c r="N6" i="15"/>
  <c r="N5" i="15"/>
  <c r="N4" i="15"/>
  <c r="N170" i="1"/>
  <c r="N165" i="1"/>
  <c r="N167" i="1"/>
  <c r="N168" i="1"/>
  <c r="N169" i="1"/>
  <c r="N98" i="1"/>
  <c r="N166" i="1"/>
  <c r="N177" i="1"/>
  <c r="N175" i="1"/>
  <c r="N172" i="1"/>
  <c r="N179" i="1"/>
  <c r="N176" i="1"/>
  <c r="N171" i="1"/>
  <c r="N173" i="1"/>
  <c r="N178" i="1"/>
  <c r="N174" i="1"/>
  <c r="N160" i="1"/>
  <c r="N162" i="1"/>
  <c r="N164" i="1"/>
  <c r="N159" i="1"/>
  <c r="N163" i="1"/>
  <c r="N161" i="1"/>
  <c r="N155" i="1"/>
  <c r="N153" i="1"/>
  <c r="N156" i="1"/>
  <c r="N157" i="1"/>
  <c r="N154" i="1"/>
  <c r="N152" i="1"/>
  <c r="N158" i="1"/>
  <c r="N151" i="1"/>
  <c r="N150" i="1"/>
  <c r="N149" i="1"/>
  <c r="N148" i="1"/>
  <c r="N147" i="1"/>
  <c r="N146" i="1"/>
  <c r="N145" i="1"/>
  <c r="N142" i="1"/>
  <c r="N143" i="1"/>
  <c r="N144" i="1"/>
  <c r="N141" i="1"/>
  <c r="N140" i="1"/>
  <c r="N139" i="1"/>
  <c r="N137" i="1"/>
  <c r="N136" i="1"/>
  <c r="N135" i="1"/>
  <c r="N134" i="1"/>
  <c r="N138" i="1"/>
  <c r="N115" i="1"/>
  <c r="N120" i="1"/>
  <c r="N125" i="1"/>
  <c r="N124" i="1"/>
  <c r="N114" i="1"/>
  <c r="N116" i="1"/>
  <c r="N123" i="1"/>
  <c r="N121" i="1"/>
  <c r="N119" i="1"/>
  <c r="N126" i="1"/>
  <c r="N118" i="1"/>
  <c r="N117" i="1"/>
  <c r="N122" i="1"/>
  <c r="N132" i="1"/>
  <c r="N133" i="1"/>
  <c r="N127" i="1"/>
  <c r="N130" i="1"/>
  <c r="N129" i="1"/>
  <c r="N128" i="1"/>
  <c r="N131" i="1"/>
  <c r="N113" i="1"/>
  <c r="N109" i="1"/>
  <c r="N111" i="1"/>
  <c r="N112" i="1"/>
  <c r="N110" i="1"/>
  <c r="N108" i="1"/>
  <c r="N107" i="1"/>
  <c r="N104" i="1"/>
  <c r="N103" i="1"/>
  <c r="N106" i="1"/>
  <c r="N101" i="1"/>
  <c r="N100" i="1"/>
  <c r="N102" i="1"/>
  <c r="N105" i="1"/>
  <c r="N99" i="1"/>
  <c r="T34" i="15" l="1"/>
  <c r="T36" i="15"/>
  <c r="T30" i="15"/>
  <c r="T26" i="15"/>
  <c r="T32" i="15"/>
  <c r="T29" i="15"/>
  <c r="S176" i="11"/>
  <c r="S134" i="11"/>
  <c r="U52" i="7"/>
  <c r="U106" i="11"/>
  <c r="T193" i="1"/>
  <c r="T244" i="1"/>
  <c r="T239" i="1"/>
  <c r="T212" i="1"/>
  <c r="T228" i="1"/>
  <c r="T181" i="1"/>
  <c r="T238" i="1"/>
  <c r="T206" i="1"/>
  <c r="T214" i="1"/>
  <c r="T234" i="1"/>
  <c r="K241" i="1"/>
  <c r="T227" i="1"/>
  <c r="T192" i="1"/>
  <c r="T207" i="1"/>
  <c r="T224" i="1"/>
  <c r="K235" i="1"/>
  <c r="K205" i="1"/>
  <c r="T218" i="1"/>
  <c r="T233" i="1"/>
  <c r="T208" i="1"/>
  <c r="T237" i="1"/>
  <c r="T199" i="1"/>
  <c r="T191" i="1"/>
  <c r="T249" i="1"/>
  <c r="T186" i="1"/>
  <c r="T202" i="1"/>
  <c r="T197" i="1"/>
  <c r="T128" i="1"/>
  <c r="T113" i="1"/>
  <c r="T142" i="1"/>
  <c r="T112" i="1"/>
  <c r="T166" i="1"/>
  <c r="T153" i="1"/>
  <c r="T205" i="1" l="1"/>
  <c r="T241" i="1"/>
  <c r="J172" i="1"/>
  <c r="D172" i="1"/>
  <c r="J14" i="15"/>
  <c r="J18" i="15"/>
  <c r="J19" i="15"/>
  <c r="J17" i="15"/>
  <c r="J15" i="15"/>
  <c r="J16" i="15"/>
  <c r="T16" i="15" s="1"/>
  <c r="J11" i="15"/>
  <c r="J9" i="15"/>
  <c r="J12" i="15"/>
  <c r="J5" i="15"/>
  <c r="T5" i="15" s="1"/>
  <c r="J7" i="15"/>
  <c r="J8" i="15"/>
  <c r="J13" i="15"/>
  <c r="J6" i="15"/>
  <c r="J10" i="15"/>
  <c r="T10" i="15" s="1"/>
  <c r="J4" i="15"/>
  <c r="J177" i="1"/>
  <c r="J153" i="1"/>
  <c r="J141" i="1"/>
  <c r="J139" i="1"/>
  <c r="T139" i="1" s="1"/>
  <c r="J113" i="1"/>
  <c r="J117" i="1"/>
  <c r="J161" i="1"/>
  <c r="J129" i="1"/>
  <c r="J120" i="1"/>
  <c r="J150" i="1"/>
  <c r="T150" i="1" s="1"/>
  <c r="J107" i="1"/>
  <c r="J169" i="1"/>
  <c r="J167" i="1"/>
  <c r="T167" i="1" s="1"/>
  <c r="J128" i="1"/>
  <c r="J142" i="1"/>
  <c r="J173" i="1"/>
  <c r="J143" i="1"/>
  <c r="J101" i="1"/>
  <c r="T101" i="1" s="1"/>
  <c r="J133" i="1"/>
  <c r="T133" i="1" s="1"/>
  <c r="J116" i="1"/>
  <c r="J152" i="1"/>
  <c r="J132" i="1"/>
  <c r="D132" i="1"/>
  <c r="J114" i="1"/>
  <c r="T114" i="1" s="1"/>
  <c r="J159" i="1"/>
  <c r="J118" i="1"/>
  <c r="T118" i="1" s="1"/>
  <c r="J178" i="1"/>
  <c r="J151" i="1"/>
  <c r="J102" i="1"/>
  <c r="T102" i="1" s="1"/>
  <c r="J138" i="1"/>
  <c r="J126" i="1"/>
  <c r="J112" i="1"/>
  <c r="J144" i="1"/>
  <c r="T144" i="1" s="1"/>
  <c r="J145" i="1"/>
  <c r="J148" i="1"/>
  <c r="T148" i="1" s="1"/>
  <c r="J140" i="1"/>
  <c r="T140" i="1" s="1"/>
  <c r="J127" i="1"/>
  <c r="J122" i="1"/>
  <c r="J121" i="1"/>
  <c r="J166" i="1"/>
  <c r="J179" i="1"/>
  <c r="J171" i="1"/>
  <c r="J110" i="1"/>
  <c r="J123" i="1"/>
  <c r="J131" i="1"/>
  <c r="T131" i="1" s="1"/>
  <c r="J155" i="1"/>
  <c r="J99" i="1"/>
  <c r="D98" i="1"/>
  <c r="D178" i="1"/>
  <c r="D177" i="1"/>
  <c r="D176" i="1"/>
  <c r="D175" i="1"/>
  <c r="D174" i="1"/>
  <c r="D173" i="1"/>
  <c r="D170" i="1"/>
  <c r="D169" i="1"/>
  <c r="D168" i="1"/>
  <c r="D165" i="1"/>
  <c r="D164" i="1"/>
  <c r="D163" i="1"/>
  <c r="D162" i="1"/>
  <c r="D161" i="1"/>
  <c r="D160" i="1"/>
  <c r="D159" i="1"/>
  <c r="D153" i="1"/>
  <c r="D156" i="1"/>
  <c r="D157" i="1"/>
  <c r="D148" i="9" s="1"/>
  <c r="F149" i="9"/>
  <c r="E149" i="9"/>
  <c r="D149" i="9"/>
  <c r="C149" i="9"/>
  <c r="B149" i="9"/>
  <c r="A149" i="9"/>
  <c r="Q147" i="9"/>
  <c r="O147" i="9"/>
  <c r="M147" i="9"/>
  <c r="L147" i="9"/>
  <c r="I147" i="9"/>
  <c r="H147" i="9"/>
  <c r="G147" i="9"/>
  <c r="F147" i="9"/>
  <c r="E147" i="9"/>
  <c r="C147" i="9"/>
  <c r="B147" i="9"/>
  <c r="A147" i="9"/>
  <c r="A146" i="9"/>
  <c r="U148" i="9"/>
  <c r="T148" i="9"/>
  <c r="S148" i="9"/>
  <c r="R148" i="9"/>
  <c r="Q148" i="9"/>
  <c r="O148" i="9"/>
  <c r="N148" i="9"/>
  <c r="M148" i="9"/>
  <c r="L148" i="9"/>
  <c r="K148" i="9"/>
  <c r="J148" i="9"/>
  <c r="I148" i="9"/>
  <c r="H148" i="9"/>
  <c r="G148" i="9"/>
  <c r="F148" i="9"/>
  <c r="E148" i="9"/>
  <c r="C148" i="9"/>
  <c r="B148" i="9"/>
  <c r="A148" i="9"/>
  <c r="P157" i="1"/>
  <c r="P148" i="9" s="1"/>
  <c r="D154" i="1"/>
  <c r="D158" i="1"/>
  <c r="D151" i="1"/>
  <c r="D149" i="1"/>
  <c r="D147" i="1"/>
  <c r="D146" i="1"/>
  <c r="D145" i="1"/>
  <c r="D148" i="1"/>
  <c r="D150" i="1"/>
  <c r="D144" i="1"/>
  <c r="D139" i="1"/>
  <c r="D137" i="1"/>
  <c r="D136" i="1"/>
  <c r="D135" i="1"/>
  <c r="D167" i="1"/>
  <c r="D143" i="1"/>
  <c r="D134" i="1"/>
  <c r="D152" i="1"/>
  <c r="D140" i="1"/>
  <c r="D124" i="1"/>
  <c r="D115" i="1"/>
  <c r="D117" i="1"/>
  <c r="D120" i="1"/>
  <c r="D125" i="1"/>
  <c r="D118" i="1"/>
  <c r="D138" i="1"/>
  <c r="D126" i="1"/>
  <c r="D123" i="1"/>
  <c r="D141" i="1"/>
  <c r="D130" i="1"/>
  <c r="D129" i="1"/>
  <c r="D128" i="1"/>
  <c r="D133" i="1"/>
  <c r="D116" i="1"/>
  <c r="D107" i="1"/>
  <c r="D103" i="1"/>
  <c r="D106" i="1"/>
  <c r="D101" i="1"/>
  <c r="D100" i="1"/>
  <c r="D102" i="1"/>
  <c r="D105" i="1"/>
  <c r="D113" i="1"/>
  <c r="D109" i="1"/>
  <c r="D142" i="1"/>
  <c r="D114" i="1"/>
  <c r="D112" i="1"/>
  <c r="D108" i="1"/>
  <c r="D111" i="1"/>
  <c r="D166" i="1"/>
  <c r="D121" i="1"/>
  <c r="D119" i="1"/>
  <c r="D127" i="1"/>
  <c r="D179" i="1"/>
  <c r="D171" i="1"/>
  <c r="D110" i="1"/>
  <c r="D122" i="1"/>
  <c r="D131" i="1"/>
  <c r="D155" i="1"/>
  <c r="D99" i="1"/>
  <c r="N94" i="1"/>
  <c r="N95" i="1"/>
  <c r="N68" i="1"/>
  <c r="N130" i="8" s="1"/>
  <c r="N25" i="1"/>
  <c r="N70" i="1"/>
  <c r="N79" i="1"/>
  <c r="N77" i="1"/>
  <c r="N85" i="1"/>
  <c r="N74" i="1"/>
  <c r="N73" i="1"/>
  <c r="N83" i="1"/>
  <c r="N81" i="1"/>
  <c r="N37" i="1"/>
  <c r="N105" i="3" s="1"/>
  <c r="N96" i="1"/>
  <c r="N88" i="1"/>
  <c r="N87" i="1"/>
  <c r="N86" i="1"/>
  <c r="N97" i="1"/>
  <c r="N63" i="1"/>
  <c r="N78" i="1"/>
  <c r="N60" i="1"/>
  <c r="N76" i="1"/>
  <c r="N84" i="1"/>
  <c r="N21" i="1"/>
  <c r="N19" i="1"/>
  <c r="N66" i="1"/>
  <c r="N92" i="1"/>
  <c r="N91" i="1"/>
  <c r="N75" i="1"/>
  <c r="N72" i="1"/>
  <c r="N67" i="1"/>
  <c r="N43" i="1"/>
  <c r="N69" i="1"/>
  <c r="N56" i="1"/>
  <c r="N31" i="1"/>
  <c r="N93" i="1"/>
  <c r="N149" i="6" s="1"/>
  <c r="N62" i="1"/>
  <c r="N65" i="1"/>
  <c r="N51" i="1"/>
  <c r="N48" i="1"/>
  <c r="N58" i="1"/>
  <c r="N64" i="1"/>
  <c r="N59" i="1"/>
  <c r="N54" i="1"/>
  <c r="N55" i="1"/>
  <c r="N57" i="1"/>
  <c r="N53" i="1"/>
  <c r="N52" i="1"/>
  <c r="N82" i="1"/>
  <c r="N45" i="1"/>
  <c r="N50" i="1"/>
  <c r="N49" i="1"/>
  <c r="N47" i="1"/>
  <c r="N38" i="1"/>
  <c r="N80" i="1"/>
  <c r="N36" i="1"/>
  <c r="N35" i="1"/>
  <c r="N34" i="1"/>
  <c r="N30" i="1"/>
  <c r="N29" i="1"/>
  <c r="N23" i="1"/>
  <c r="N22" i="1"/>
  <c r="N20" i="1"/>
  <c r="N40" i="1"/>
  <c r="N90" i="1"/>
  <c r="N46" i="1"/>
  <c r="N42" i="1"/>
  <c r="N39" i="1"/>
  <c r="N44" i="1"/>
  <c r="N41" i="1"/>
  <c r="N18" i="1"/>
  <c r="N71" i="1"/>
  <c r="N17" i="1"/>
  <c r="N61" i="1"/>
  <c r="N32" i="1"/>
  <c r="N15" i="1"/>
  <c r="N16" i="1"/>
  <c r="N28" i="1"/>
  <c r="N89" i="1"/>
  <c r="N27" i="1"/>
  <c r="N33" i="1"/>
  <c r="N24" i="1"/>
  <c r="N26" i="1"/>
  <c r="Q46" i="2"/>
  <c r="O46" i="2"/>
  <c r="M46" i="2"/>
  <c r="L46" i="2"/>
  <c r="I46" i="2"/>
  <c r="H46" i="2"/>
  <c r="G46" i="2"/>
  <c r="F46" i="2"/>
  <c r="E46" i="2"/>
  <c r="C46" i="2"/>
  <c r="B46" i="2"/>
  <c r="A46" i="2"/>
  <c r="Q32" i="2"/>
  <c r="O32" i="2"/>
  <c r="M32" i="2"/>
  <c r="L32" i="2"/>
  <c r="I32" i="2"/>
  <c r="H32" i="2"/>
  <c r="G32" i="2"/>
  <c r="F32" i="2"/>
  <c r="E32" i="2"/>
  <c r="C32" i="2"/>
  <c r="B32" i="2"/>
  <c r="A32" i="2"/>
  <c r="A18" i="2"/>
  <c r="B18" i="2"/>
  <c r="C18" i="2"/>
  <c r="E18" i="2"/>
  <c r="F18" i="2"/>
  <c r="G18" i="2"/>
  <c r="H18" i="2"/>
  <c r="I18" i="2"/>
  <c r="L18" i="2"/>
  <c r="M18" i="2"/>
  <c r="O18" i="2"/>
  <c r="Q18" i="2"/>
  <c r="U851" i="1"/>
  <c r="J92" i="1"/>
  <c r="J144" i="10" s="1"/>
  <c r="J95" i="1"/>
  <c r="J61" i="3" s="1"/>
  <c r="J94" i="1"/>
  <c r="J88" i="12" s="1"/>
  <c r="J93" i="1"/>
  <c r="J91" i="1"/>
  <c r="J90" i="1"/>
  <c r="J186" i="11" s="1"/>
  <c r="J89" i="1"/>
  <c r="J147" i="3" s="1"/>
  <c r="J82" i="1"/>
  <c r="J62" i="6" s="1"/>
  <c r="J87" i="1"/>
  <c r="J144" i="12" s="1"/>
  <c r="J84" i="1"/>
  <c r="J86" i="1"/>
  <c r="J80" i="1"/>
  <c r="J71" i="1"/>
  <c r="J74" i="1"/>
  <c r="J48" i="7" s="1"/>
  <c r="J73" i="1"/>
  <c r="J76" i="1"/>
  <c r="J46" i="12" s="1"/>
  <c r="J78" i="1"/>
  <c r="J74" i="12" s="1"/>
  <c r="J70" i="1"/>
  <c r="J47" i="6" s="1"/>
  <c r="J68" i="1"/>
  <c r="J69" i="1"/>
  <c r="J102" i="10" s="1"/>
  <c r="J65" i="1"/>
  <c r="J76" i="9" s="1"/>
  <c r="J61" i="1"/>
  <c r="J19" i="7" s="1"/>
  <c r="J63" i="1"/>
  <c r="J102" i="12" s="1"/>
  <c r="J44" i="1"/>
  <c r="J120" i="6" s="1"/>
  <c r="J51" i="1"/>
  <c r="J48" i="1"/>
  <c r="J45" i="1"/>
  <c r="J60" i="1"/>
  <c r="J56" i="1"/>
  <c r="J60" i="12" s="1"/>
  <c r="J43" i="1"/>
  <c r="J116" i="10" s="1"/>
  <c r="J33" i="1"/>
  <c r="J32" i="1"/>
  <c r="J37" i="1"/>
  <c r="J34" i="1"/>
  <c r="J46" i="8" s="1"/>
  <c r="J36" i="1"/>
  <c r="J32" i="9" s="1"/>
  <c r="J31" i="1"/>
  <c r="J29" i="1"/>
  <c r="J26" i="1"/>
  <c r="J32" i="3" s="1"/>
  <c r="J25" i="1"/>
  <c r="J102" i="11" s="1"/>
  <c r="J23" i="1"/>
  <c r="J22" i="1"/>
  <c r="J21" i="1"/>
  <c r="J20" i="1"/>
  <c r="J161" i="4" s="1"/>
  <c r="J19" i="1"/>
  <c r="J158" i="12" s="1"/>
  <c r="J16" i="1"/>
  <c r="J18" i="1"/>
  <c r="D47" i="1"/>
  <c r="D94" i="1"/>
  <c r="D95" i="1"/>
  <c r="D93" i="1"/>
  <c r="D149" i="6" s="1"/>
  <c r="D92" i="1"/>
  <c r="D91" i="1"/>
  <c r="D75" i="1"/>
  <c r="D62" i="1"/>
  <c r="D89" i="1"/>
  <c r="D90" i="1"/>
  <c r="D46" i="1"/>
  <c r="D72" i="1"/>
  <c r="D82" i="1"/>
  <c r="D87" i="1"/>
  <c r="D86" i="1"/>
  <c r="D80" i="1"/>
  <c r="D84" i="1"/>
  <c r="D77" i="1"/>
  <c r="D85" i="1"/>
  <c r="D71" i="1"/>
  <c r="D74" i="1"/>
  <c r="D73" i="1"/>
  <c r="D42" i="1"/>
  <c r="D97" i="1"/>
  <c r="D88" i="1"/>
  <c r="D78" i="1"/>
  <c r="D38" i="1"/>
  <c r="D39" i="1"/>
  <c r="D76" i="1"/>
  <c r="D70" i="1"/>
  <c r="D68" i="1"/>
  <c r="D130" i="8" s="1"/>
  <c r="D79" i="1"/>
  <c r="D69" i="1"/>
  <c r="D65" i="1"/>
  <c r="D83" i="1"/>
  <c r="D67" i="1"/>
  <c r="D61" i="1"/>
  <c r="D63" i="1"/>
  <c r="D51" i="1"/>
  <c r="D81" i="1"/>
  <c r="D35" i="1"/>
  <c r="D48" i="1"/>
  <c r="D45" i="1"/>
  <c r="D60" i="1"/>
  <c r="D24" i="1"/>
  <c r="D44" i="1"/>
  <c r="D56" i="1"/>
  <c r="D43" i="1"/>
  <c r="D40" i="1"/>
  <c r="D58" i="1"/>
  <c r="D27" i="1"/>
  <c r="D17" i="1"/>
  <c r="D37" i="1"/>
  <c r="D33" i="1"/>
  <c r="D34" i="1"/>
  <c r="D30" i="1"/>
  <c r="D52" i="1"/>
  <c r="D32" i="1"/>
  <c r="D36" i="1"/>
  <c r="D96" i="1"/>
  <c r="D31" i="1"/>
  <c r="D29" i="1"/>
  <c r="D41" i="1"/>
  <c r="D26" i="1"/>
  <c r="D50" i="1"/>
  <c r="D25" i="1"/>
  <c r="D54" i="1"/>
  <c r="D23" i="1"/>
  <c r="D64" i="1"/>
  <c r="D59" i="1"/>
  <c r="D66" i="1"/>
  <c r="D22" i="1"/>
  <c r="D21" i="1"/>
  <c r="D49" i="1"/>
  <c r="D55" i="1"/>
  <c r="D20" i="1"/>
  <c r="D28" i="1"/>
  <c r="D57" i="1"/>
  <c r="D15" i="1"/>
  <c r="D19" i="1"/>
  <c r="D16" i="1"/>
  <c r="D18" i="1"/>
  <c r="D53" i="1"/>
  <c r="T18" i="15" l="1"/>
  <c r="T15" i="15"/>
  <c r="T19" i="15"/>
  <c r="D33" i="6"/>
  <c r="D130" i="12"/>
  <c r="D89" i="4"/>
  <c r="D77" i="7"/>
  <c r="D133" i="4"/>
  <c r="D91" i="7"/>
  <c r="D147" i="9"/>
  <c r="D4" i="12"/>
  <c r="D116" i="10"/>
  <c r="D32" i="8"/>
  <c r="D47" i="4"/>
  <c r="D46" i="8"/>
  <c r="D60" i="12"/>
  <c r="D60" i="10"/>
  <c r="D145" i="2"/>
  <c r="D162" i="9"/>
  <c r="D60" i="2"/>
  <c r="D116" i="12"/>
  <c r="D18" i="8"/>
  <c r="D158" i="12"/>
  <c r="D60" i="5"/>
  <c r="D120" i="6"/>
  <c r="D158" i="11"/>
  <c r="D102" i="12"/>
  <c r="D47" i="6"/>
  <c r="D88" i="11"/>
  <c r="D32" i="11"/>
  <c r="D4" i="7"/>
  <c r="D144" i="12"/>
  <c r="D60" i="11"/>
  <c r="D18" i="9"/>
  <c r="D74" i="10"/>
  <c r="D88" i="5"/>
  <c r="D46" i="10"/>
  <c r="D4" i="11"/>
  <c r="D105" i="3"/>
  <c r="D103" i="2"/>
  <c r="D19" i="7"/>
  <c r="D46" i="12"/>
  <c r="D130" i="10"/>
  <c r="D48" i="7"/>
  <c r="D116" i="11"/>
  <c r="D89" i="2"/>
  <c r="D62" i="6"/>
  <c r="D144" i="10"/>
  <c r="D88" i="8"/>
  <c r="D75" i="4"/>
  <c r="D158" i="8"/>
  <c r="D18" i="2"/>
  <c r="D18" i="12"/>
  <c r="D131" i="2"/>
  <c r="D62" i="7"/>
  <c r="D61" i="4"/>
  <c r="D32" i="9"/>
  <c r="D46" i="2"/>
  <c r="D134" i="6"/>
  <c r="D76" i="6"/>
  <c r="D102" i="10"/>
  <c r="D74" i="5"/>
  <c r="D60" i="8"/>
  <c r="D175" i="3"/>
  <c r="D102" i="11"/>
  <c r="D104" i="9"/>
  <c r="D4" i="10"/>
  <c r="D144" i="11"/>
  <c r="D76" i="9"/>
  <c r="D102" i="8"/>
  <c r="D74" i="12"/>
  <c r="D102" i="5"/>
  <c r="D186" i="11"/>
  <c r="D47" i="3"/>
  <c r="D88" i="12"/>
  <c r="J4" i="11"/>
  <c r="J105" i="3"/>
  <c r="N60" i="10"/>
  <c r="N60" i="12"/>
  <c r="N47" i="3"/>
  <c r="N88" i="12"/>
  <c r="N18" i="2"/>
  <c r="N18" i="12"/>
  <c r="N102" i="8"/>
  <c r="N74" i="12"/>
  <c r="J18" i="2"/>
  <c r="J18" i="12"/>
  <c r="J60" i="2"/>
  <c r="J116" i="12"/>
  <c r="N18" i="8"/>
  <c r="N158" i="12"/>
  <c r="N60" i="2"/>
  <c r="N116" i="12"/>
  <c r="J33" i="6"/>
  <c r="J130" i="12"/>
  <c r="T84" i="1"/>
  <c r="J4" i="12"/>
  <c r="N33" i="6"/>
  <c r="N130" i="12"/>
  <c r="N60" i="11"/>
  <c r="N144" i="12"/>
  <c r="N147" i="9"/>
  <c r="N4" i="12"/>
  <c r="N158" i="11"/>
  <c r="N102" i="12"/>
  <c r="N130" i="10"/>
  <c r="N46" i="12"/>
  <c r="N18" i="9"/>
  <c r="N74" i="10"/>
  <c r="T56" i="1"/>
  <c r="J60" i="10"/>
  <c r="J18" i="9"/>
  <c r="J74" i="10"/>
  <c r="N88" i="5"/>
  <c r="N46" i="10"/>
  <c r="N88" i="8"/>
  <c r="N144" i="10"/>
  <c r="J88" i="5"/>
  <c r="J46" i="10"/>
  <c r="N76" i="6"/>
  <c r="N102" i="10"/>
  <c r="N32" i="8"/>
  <c r="N116" i="10"/>
  <c r="N104" i="9"/>
  <c r="N4" i="10"/>
  <c r="J104" i="9"/>
  <c r="J4" i="10"/>
  <c r="T76" i="1"/>
  <c r="J130" i="10"/>
  <c r="N61" i="4"/>
  <c r="N32" i="9"/>
  <c r="J145" i="2"/>
  <c r="J162" i="9"/>
  <c r="N145" i="2"/>
  <c r="N162" i="9"/>
  <c r="N144" i="11"/>
  <c r="N76" i="9"/>
  <c r="K92" i="1"/>
  <c r="K144" i="10" s="1"/>
  <c r="J88" i="8"/>
  <c r="N75" i="4"/>
  <c r="N158" i="8"/>
  <c r="J74" i="5"/>
  <c r="J60" i="8"/>
  <c r="T43" i="1"/>
  <c r="J32" i="8"/>
  <c r="N74" i="5"/>
  <c r="N60" i="8"/>
  <c r="T78" i="1"/>
  <c r="J102" i="8"/>
  <c r="J75" i="4"/>
  <c r="J158" i="8"/>
  <c r="T19" i="1"/>
  <c r="J18" i="8"/>
  <c r="N47" i="4"/>
  <c r="N46" i="8"/>
  <c r="T68" i="1"/>
  <c r="T130" i="8" s="1"/>
  <c r="J130" i="8"/>
  <c r="N131" i="2"/>
  <c r="N62" i="7"/>
  <c r="N89" i="4"/>
  <c r="N77" i="7"/>
  <c r="N116" i="11"/>
  <c r="N48" i="7"/>
  <c r="J32" i="11"/>
  <c r="J4" i="7"/>
  <c r="J89" i="4"/>
  <c r="J77" i="7"/>
  <c r="N133" i="4"/>
  <c r="N91" i="7"/>
  <c r="J131" i="2"/>
  <c r="J62" i="7"/>
  <c r="J133" i="4"/>
  <c r="J91" i="7"/>
  <c r="N103" i="2"/>
  <c r="N19" i="7"/>
  <c r="N32" i="11"/>
  <c r="N4" i="7"/>
  <c r="T69" i="1"/>
  <c r="J76" i="6"/>
  <c r="N60" i="5"/>
  <c r="N120" i="6"/>
  <c r="N88" i="11"/>
  <c r="N47" i="6"/>
  <c r="T93" i="1"/>
  <c r="T149" i="6" s="1"/>
  <c r="J149" i="6"/>
  <c r="N89" i="2"/>
  <c r="N62" i="6"/>
  <c r="T45" i="1"/>
  <c r="J134" i="6"/>
  <c r="N46" i="2"/>
  <c r="N134" i="6"/>
  <c r="T70" i="1"/>
  <c r="J88" i="11"/>
  <c r="N4" i="11"/>
  <c r="N175" i="3"/>
  <c r="N102" i="11"/>
  <c r="T74" i="1"/>
  <c r="J116" i="11"/>
  <c r="N102" i="5"/>
  <c r="N186" i="11"/>
  <c r="T63" i="1"/>
  <c r="J158" i="11"/>
  <c r="T87" i="1"/>
  <c r="J60" i="11"/>
  <c r="T65" i="1"/>
  <c r="J144" i="11"/>
  <c r="D161" i="4"/>
  <c r="D147" i="4"/>
  <c r="D61" i="3"/>
  <c r="D18" i="3"/>
  <c r="D32" i="2"/>
  <c r="D119" i="3"/>
  <c r="D130" i="5"/>
  <c r="D133" i="3"/>
  <c r="D147" i="3"/>
  <c r="D75" i="3"/>
  <c r="D32" i="3"/>
  <c r="D117" i="2"/>
  <c r="D175" i="4"/>
  <c r="D4" i="3"/>
  <c r="K36" i="1"/>
  <c r="K32" i="9" s="1"/>
  <c r="J61" i="4"/>
  <c r="N147" i="4"/>
  <c r="N161" i="4"/>
  <c r="T34" i="1"/>
  <c r="J47" i="4"/>
  <c r="T20" i="1"/>
  <c r="J147" i="4"/>
  <c r="N4" i="3"/>
  <c r="N175" i="4"/>
  <c r="J4" i="3"/>
  <c r="J175" i="4"/>
  <c r="J133" i="3"/>
  <c r="J130" i="5"/>
  <c r="N133" i="3"/>
  <c r="N130" i="5"/>
  <c r="T90" i="1"/>
  <c r="J102" i="5"/>
  <c r="T44" i="1"/>
  <c r="J60" i="5"/>
  <c r="N117" i="2"/>
  <c r="N32" i="3"/>
  <c r="T94" i="1"/>
  <c r="J47" i="3"/>
  <c r="N18" i="3"/>
  <c r="N61" i="3"/>
  <c r="N75" i="3"/>
  <c r="N147" i="3"/>
  <c r="N32" i="2"/>
  <c r="N119" i="3"/>
  <c r="T95" i="1"/>
  <c r="T18" i="3" s="1"/>
  <c r="J18" i="3"/>
  <c r="T37" i="1"/>
  <c r="T105" i="3" s="1"/>
  <c r="T32" i="1"/>
  <c r="J119" i="3"/>
  <c r="J175" i="3"/>
  <c r="T89" i="1"/>
  <c r="J75" i="3"/>
  <c r="J117" i="2"/>
  <c r="T82" i="1"/>
  <c r="J89" i="2"/>
  <c r="T61" i="1"/>
  <c r="J103" i="2"/>
  <c r="K145" i="1"/>
  <c r="T145" i="1"/>
  <c r="T99" i="1"/>
  <c r="T179" i="1"/>
  <c r="T138" i="1"/>
  <c r="J147" i="9"/>
  <c r="T60" i="1"/>
  <c r="J32" i="2"/>
  <c r="J46" i="2"/>
  <c r="T86" i="1"/>
  <c r="T26" i="1"/>
  <c r="T25" i="1"/>
  <c r="T23" i="1"/>
  <c r="T48" i="1"/>
  <c r="N8" i="1"/>
  <c r="N104" i="6" s="1"/>
  <c r="N12" i="1"/>
  <c r="N9" i="1"/>
  <c r="N11" i="1"/>
  <c r="N5" i="1"/>
  <c r="N104" i="3" s="1"/>
  <c r="N4" i="1"/>
  <c r="N46" i="3" s="1"/>
  <c r="N6" i="1"/>
  <c r="N161" i="9" s="1"/>
  <c r="N14" i="1"/>
  <c r="N33" i="7" s="1"/>
  <c r="N13" i="1"/>
  <c r="N131" i="9" s="1"/>
  <c r="N7" i="1"/>
  <c r="N10" i="1"/>
  <c r="N148" i="6" s="1"/>
  <c r="J6" i="1"/>
  <c r="J161" i="9" s="1"/>
  <c r="J14" i="1"/>
  <c r="J33" i="7" s="1"/>
  <c r="J12" i="1"/>
  <c r="J186" i="12" s="1"/>
  <c r="J11" i="1"/>
  <c r="J75" i="9" s="1"/>
  <c r="J9" i="1"/>
  <c r="J8" i="1"/>
  <c r="J104" i="6" s="1"/>
  <c r="D5" i="1"/>
  <c r="D104" i="3" s="1"/>
  <c r="D4" i="1"/>
  <c r="D46" i="3" s="1"/>
  <c r="D13" i="1"/>
  <c r="D131" i="9" s="1"/>
  <c r="D10" i="1"/>
  <c r="D148" i="6" s="1"/>
  <c r="D12" i="1"/>
  <c r="D11" i="1"/>
  <c r="D9" i="1"/>
  <c r="D8" i="1"/>
  <c r="D104" i="6" s="1"/>
  <c r="D6" i="1"/>
  <c r="D161" i="9" s="1"/>
  <c r="D14" i="1"/>
  <c r="D33" i="7" s="1"/>
  <c r="D7" i="1"/>
  <c r="J7" i="1"/>
  <c r="K121" i="15"/>
  <c r="BE451" i="17"/>
  <c r="BD451" i="17"/>
  <c r="BC451" i="17"/>
  <c r="BB451" i="17"/>
  <c r="BA451" i="17"/>
  <c r="AZ451" i="17"/>
  <c r="AY451" i="17"/>
  <c r="AX451" i="17"/>
  <c r="AW451" i="17"/>
  <c r="AV451" i="17"/>
  <c r="AU451" i="17"/>
  <c r="AT451" i="17"/>
  <c r="AS451" i="17"/>
  <c r="AR451" i="17"/>
  <c r="AP451" i="17"/>
  <c r="AO451" i="17"/>
  <c r="AN451" i="17"/>
  <c r="AM451" i="17"/>
  <c r="AL451" i="17"/>
  <c r="AK451" i="17"/>
  <c r="AJ451" i="17"/>
  <c r="AI451" i="17"/>
  <c r="AH451" i="17"/>
  <c r="AG451" i="17"/>
  <c r="AF451" i="17"/>
  <c r="AE451" i="17"/>
  <c r="AD451" i="17"/>
  <c r="AB451" i="17"/>
  <c r="AA451" i="17"/>
  <c r="Z451" i="17"/>
  <c r="Y451" i="17"/>
  <c r="X451" i="17"/>
  <c r="V451" i="17"/>
  <c r="T451" i="17"/>
  <c r="Q451" i="17"/>
  <c r="O451" i="17"/>
  <c r="N451" i="17"/>
  <c r="M451" i="17"/>
  <c r="L451" i="17"/>
  <c r="J451" i="17"/>
  <c r="I451" i="17"/>
  <c r="H451" i="17"/>
  <c r="G451" i="17"/>
  <c r="F451" i="17"/>
  <c r="E451" i="17"/>
  <c r="B451" i="17"/>
  <c r="BK451" i="17"/>
  <c r="BJ451" i="17"/>
  <c r="BI451" i="17"/>
  <c r="BH451" i="17"/>
  <c r="BG451" i="17"/>
  <c r="BF451" i="17"/>
  <c r="BN564" i="17"/>
  <c r="BL564" i="17"/>
  <c r="BK564" i="17"/>
  <c r="BJ564" i="17"/>
  <c r="BI564" i="17"/>
  <c r="BH564" i="17"/>
  <c r="BG564" i="17"/>
  <c r="BF564" i="17"/>
  <c r="BE564" i="17"/>
  <c r="BD564" i="17"/>
  <c r="BB564" i="17"/>
  <c r="BA564" i="17"/>
  <c r="AZ564" i="17"/>
  <c r="AY564" i="17"/>
  <c r="AX564" i="17"/>
  <c r="AW564" i="17"/>
  <c r="AV564" i="17"/>
  <c r="AU564" i="17"/>
  <c r="AT564" i="17"/>
  <c r="AS564" i="17"/>
  <c r="AR564" i="17"/>
  <c r="AP564" i="17"/>
  <c r="AO564" i="17"/>
  <c r="AN564" i="17"/>
  <c r="AM564" i="17"/>
  <c r="AL564" i="17"/>
  <c r="AK564" i="17"/>
  <c r="AJ564" i="17"/>
  <c r="AI564" i="17"/>
  <c r="AH564" i="17"/>
  <c r="AG564" i="17"/>
  <c r="AF564" i="17"/>
  <c r="AE564" i="17"/>
  <c r="AD564" i="17"/>
  <c r="AB564" i="17"/>
  <c r="AA564" i="17"/>
  <c r="Z564" i="17"/>
  <c r="Y564" i="17"/>
  <c r="X564" i="17"/>
  <c r="Q564" i="17"/>
  <c r="O564" i="17"/>
  <c r="N564" i="17"/>
  <c r="M564" i="17"/>
  <c r="L564" i="17"/>
  <c r="J564" i="17"/>
  <c r="I564" i="17"/>
  <c r="H564" i="17"/>
  <c r="G564" i="17"/>
  <c r="F564" i="17"/>
  <c r="E564" i="17"/>
  <c r="B564" i="17"/>
  <c r="BN431" i="17"/>
  <c r="BL431" i="17"/>
  <c r="BK431" i="17"/>
  <c r="BJ431" i="17"/>
  <c r="BI431" i="17"/>
  <c r="BH431" i="17"/>
  <c r="BG431" i="17"/>
  <c r="BF431" i="17"/>
  <c r="BE431" i="17"/>
  <c r="BD431" i="17"/>
  <c r="BB431" i="17"/>
  <c r="BA431" i="17"/>
  <c r="AZ431" i="17"/>
  <c r="AY431" i="17"/>
  <c r="AX431" i="17"/>
  <c r="AW431" i="17"/>
  <c r="AV431" i="17"/>
  <c r="AU431" i="17"/>
  <c r="AT431" i="17"/>
  <c r="AS431" i="17"/>
  <c r="AR431" i="17"/>
  <c r="AP431" i="17"/>
  <c r="AO431" i="17"/>
  <c r="AN431" i="17"/>
  <c r="AM431" i="17"/>
  <c r="AL431" i="17"/>
  <c r="AK431" i="17"/>
  <c r="AJ431" i="17"/>
  <c r="AI431" i="17"/>
  <c r="AH431" i="17"/>
  <c r="AG431" i="17"/>
  <c r="AF431" i="17"/>
  <c r="AE431" i="17"/>
  <c r="AD431" i="17"/>
  <c r="AB431" i="17"/>
  <c r="AA431" i="17"/>
  <c r="Z431" i="17"/>
  <c r="Y431" i="17"/>
  <c r="X431" i="17"/>
  <c r="Q431" i="17"/>
  <c r="O431" i="17"/>
  <c r="N431" i="17"/>
  <c r="M431" i="17"/>
  <c r="L431" i="17"/>
  <c r="J431" i="17"/>
  <c r="I431" i="17"/>
  <c r="H431" i="17"/>
  <c r="G431" i="17"/>
  <c r="F431" i="17"/>
  <c r="E431" i="17"/>
  <c r="B431" i="17"/>
  <c r="D238" i="15"/>
  <c r="D239" i="15"/>
  <c r="D240" i="15"/>
  <c r="D431" i="17" s="1"/>
  <c r="BM431" i="17"/>
  <c r="BC431" i="17"/>
  <c r="AQ431" i="17"/>
  <c r="P240" i="15"/>
  <c r="P431" i="17" s="1"/>
  <c r="K240" i="15"/>
  <c r="BN317" i="17"/>
  <c r="BL317" i="17"/>
  <c r="BK317" i="17"/>
  <c r="BJ317" i="17"/>
  <c r="BI317" i="17"/>
  <c r="BH317" i="17"/>
  <c r="BG317" i="17"/>
  <c r="BF317" i="17"/>
  <c r="BE317" i="17"/>
  <c r="BD317" i="17"/>
  <c r="BB317" i="17"/>
  <c r="BA317" i="17"/>
  <c r="AZ317" i="17"/>
  <c r="AY317" i="17"/>
  <c r="AX317" i="17"/>
  <c r="AW317" i="17"/>
  <c r="AV317" i="17"/>
  <c r="AU317" i="17"/>
  <c r="AT317" i="17"/>
  <c r="AS317" i="17"/>
  <c r="AR317" i="17"/>
  <c r="AP317" i="17"/>
  <c r="AO317" i="17"/>
  <c r="AN317" i="17"/>
  <c r="AM317" i="17"/>
  <c r="AL317" i="17"/>
  <c r="AK317" i="17"/>
  <c r="AJ317" i="17"/>
  <c r="AI317" i="17"/>
  <c r="AH317" i="17"/>
  <c r="AG317" i="17"/>
  <c r="AF317" i="17"/>
  <c r="AE317" i="17"/>
  <c r="AD317" i="17"/>
  <c r="AB317" i="17"/>
  <c r="AA317" i="17"/>
  <c r="Z317" i="17"/>
  <c r="Y317" i="17"/>
  <c r="X317" i="17"/>
  <c r="Q317" i="17"/>
  <c r="O317" i="17"/>
  <c r="N317" i="17"/>
  <c r="M317" i="17"/>
  <c r="L317" i="17"/>
  <c r="J317" i="17"/>
  <c r="I317" i="17"/>
  <c r="H317" i="17"/>
  <c r="G317" i="17"/>
  <c r="F317" i="17"/>
  <c r="E317" i="17"/>
  <c r="B317" i="17"/>
  <c r="BK298" i="17"/>
  <c r="BJ298" i="17"/>
  <c r="BI298" i="17"/>
  <c r="BH298" i="17"/>
  <c r="BG298" i="17"/>
  <c r="BF298" i="17"/>
  <c r="BE298" i="17"/>
  <c r="BD298" i="17"/>
  <c r="BB298" i="17"/>
  <c r="BA298" i="17"/>
  <c r="AZ298" i="17"/>
  <c r="AY298" i="17"/>
  <c r="AX298" i="17"/>
  <c r="AW298" i="17"/>
  <c r="AV298" i="17"/>
  <c r="AU298" i="17"/>
  <c r="AT298" i="17"/>
  <c r="AS298" i="17"/>
  <c r="AR298" i="17"/>
  <c r="AP298" i="17"/>
  <c r="AO298" i="17"/>
  <c r="AN298" i="17"/>
  <c r="AM298" i="17"/>
  <c r="AL298" i="17"/>
  <c r="AK298" i="17"/>
  <c r="AJ298" i="17"/>
  <c r="AI298" i="17"/>
  <c r="AH298" i="17"/>
  <c r="AG298" i="17"/>
  <c r="AF298" i="17"/>
  <c r="AE298" i="17"/>
  <c r="AD298" i="17"/>
  <c r="AB298" i="17"/>
  <c r="AA298" i="17"/>
  <c r="Z298" i="17"/>
  <c r="Y298" i="17"/>
  <c r="X298" i="17"/>
  <c r="T298" i="17"/>
  <c r="Q298" i="17"/>
  <c r="O298" i="17"/>
  <c r="N298" i="17"/>
  <c r="M298" i="17"/>
  <c r="L298" i="17"/>
  <c r="J298" i="17"/>
  <c r="I298" i="17"/>
  <c r="H298" i="17"/>
  <c r="G298" i="17"/>
  <c r="F298" i="17"/>
  <c r="E298" i="17"/>
  <c r="B298" i="17"/>
  <c r="BN15" i="17"/>
  <c r="BL15" i="17"/>
  <c r="BK15" i="17"/>
  <c r="BJ15" i="17"/>
  <c r="BI15" i="17"/>
  <c r="BH15" i="17"/>
  <c r="BG15" i="17"/>
  <c r="BF15" i="17"/>
  <c r="BE15" i="17"/>
  <c r="BD15" i="17"/>
  <c r="BB15" i="17"/>
  <c r="BA15" i="17"/>
  <c r="AZ15" i="17"/>
  <c r="AY15" i="17"/>
  <c r="AX15" i="17"/>
  <c r="AW15" i="17"/>
  <c r="AV15" i="17"/>
  <c r="AU15" i="17"/>
  <c r="AT15" i="17"/>
  <c r="AS15" i="17"/>
  <c r="AR15" i="17"/>
  <c r="AP15" i="17"/>
  <c r="AO15" i="17"/>
  <c r="AN15" i="17"/>
  <c r="AM15" i="17"/>
  <c r="AL15" i="17"/>
  <c r="AK15" i="17"/>
  <c r="AJ15" i="17"/>
  <c r="AI15" i="17"/>
  <c r="AH15" i="17"/>
  <c r="AG15" i="17"/>
  <c r="AF15" i="17"/>
  <c r="AE15" i="17"/>
  <c r="AD15" i="17"/>
  <c r="AB15" i="17"/>
  <c r="AA15" i="17"/>
  <c r="Z15" i="17"/>
  <c r="Y15" i="17"/>
  <c r="X15" i="17"/>
  <c r="Q15" i="17"/>
  <c r="O15" i="17"/>
  <c r="N15" i="17"/>
  <c r="M15" i="17"/>
  <c r="L15" i="17"/>
  <c r="J15" i="17"/>
  <c r="I15" i="17"/>
  <c r="H15" i="17"/>
  <c r="G15" i="17"/>
  <c r="F15" i="17"/>
  <c r="E15" i="17"/>
  <c r="B15" i="17"/>
  <c r="K160" i="15"/>
  <c r="K159" i="15"/>
  <c r="K1047392" i="15"/>
  <c r="K158" i="15"/>
  <c r="P159" i="15"/>
  <c r="P158" i="15"/>
  <c r="A203" i="15"/>
  <c r="A183" i="15"/>
  <c r="A161" i="15"/>
  <c r="A144" i="15"/>
  <c r="A123" i="15"/>
  <c r="A103" i="15"/>
  <c r="R240" i="15" l="1"/>
  <c r="S240" i="15" s="1"/>
  <c r="S431" i="17" s="1"/>
  <c r="T240" i="15"/>
  <c r="T158" i="15"/>
  <c r="T159" i="15"/>
  <c r="R160" i="15"/>
  <c r="T160" i="15"/>
  <c r="D564" i="17"/>
  <c r="R159" i="15"/>
  <c r="R158" i="15"/>
  <c r="T121" i="15"/>
  <c r="R121" i="15"/>
  <c r="D186" i="12"/>
  <c r="D60" i="9"/>
  <c r="D75" i="9"/>
  <c r="D76" i="7"/>
  <c r="D103" i="4"/>
  <c r="D118" i="4"/>
  <c r="D61" i="6"/>
  <c r="D119" i="6"/>
  <c r="J119" i="6"/>
  <c r="J61" i="6"/>
  <c r="J118" i="4"/>
  <c r="J103" i="4"/>
  <c r="N119" i="6"/>
  <c r="N61" i="6"/>
  <c r="N118" i="4"/>
  <c r="N103" i="4"/>
  <c r="T47" i="3"/>
  <c r="T88" i="12"/>
  <c r="N60" i="9"/>
  <c r="N186" i="12"/>
  <c r="T60" i="10"/>
  <c r="T60" i="12"/>
  <c r="T18" i="8"/>
  <c r="T158" i="12"/>
  <c r="T130" i="10"/>
  <c r="T46" i="12"/>
  <c r="T147" i="9"/>
  <c r="T4" i="12"/>
  <c r="T18" i="2"/>
  <c r="T18" i="12"/>
  <c r="T60" i="11"/>
  <c r="T144" i="12"/>
  <c r="T102" i="8"/>
  <c r="T74" i="12"/>
  <c r="T60" i="2"/>
  <c r="T116" i="12"/>
  <c r="T158" i="11"/>
  <c r="T102" i="12"/>
  <c r="T76" i="6"/>
  <c r="T102" i="10"/>
  <c r="T32" i="8"/>
  <c r="T116" i="10"/>
  <c r="T104" i="9"/>
  <c r="T4" i="10"/>
  <c r="N76" i="7"/>
  <c r="N75" i="9"/>
  <c r="J60" i="9"/>
  <c r="T144" i="11"/>
  <c r="T76" i="9"/>
  <c r="T75" i="4"/>
  <c r="T158" i="8"/>
  <c r="T47" i="4"/>
  <c r="T46" i="8"/>
  <c r="T92" i="1"/>
  <c r="K88" i="8"/>
  <c r="J76" i="7"/>
  <c r="T103" i="2"/>
  <c r="T19" i="7"/>
  <c r="T116" i="11"/>
  <c r="T48" i="7"/>
  <c r="T60" i="5"/>
  <c r="T120" i="6"/>
  <c r="T88" i="11"/>
  <c r="T47" i="6"/>
  <c r="T89" i="2"/>
  <c r="T62" i="6"/>
  <c r="T46" i="2"/>
  <c r="T134" i="6"/>
  <c r="T4" i="11"/>
  <c r="T175" i="3"/>
  <c r="T102" i="11"/>
  <c r="T102" i="5"/>
  <c r="T186" i="11"/>
  <c r="T147" i="4"/>
  <c r="T161" i="4"/>
  <c r="T36" i="1"/>
  <c r="K61" i="4"/>
  <c r="T117" i="2"/>
  <c r="T32" i="3"/>
  <c r="T75" i="3"/>
  <c r="T147" i="3"/>
  <c r="T32" i="2"/>
  <c r="T119" i="3"/>
  <c r="AQ564" i="17"/>
  <c r="K564" i="17"/>
  <c r="BC564" i="17"/>
  <c r="K431" i="17"/>
  <c r="P564" i="17"/>
  <c r="BM564" i="17"/>
  <c r="S564" i="17" l="1"/>
  <c r="R564" i="17"/>
  <c r="U240" i="15"/>
  <c r="R431" i="17"/>
  <c r="W431" i="17"/>
  <c r="T564" i="17"/>
  <c r="T431" i="17"/>
  <c r="V564" i="17"/>
  <c r="V431" i="17"/>
  <c r="S160" i="15"/>
  <c r="U160" i="15"/>
  <c r="U159" i="15"/>
  <c r="S159" i="15"/>
  <c r="S158" i="15"/>
  <c r="U158" i="15"/>
  <c r="S121" i="15"/>
  <c r="U121" i="15"/>
  <c r="T88" i="8"/>
  <c r="T144" i="10"/>
  <c r="T61" i="4"/>
  <c r="T32" i="9"/>
  <c r="U564" i="17" l="1"/>
  <c r="BO564" i="17"/>
  <c r="U431" i="17"/>
  <c r="BQ431" i="17"/>
  <c r="W564" i="17"/>
  <c r="Q607" i="17"/>
  <c r="O607" i="17"/>
  <c r="M607" i="17"/>
  <c r="L607" i="17"/>
  <c r="J607" i="17"/>
  <c r="I607" i="17"/>
  <c r="H607" i="17"/>
  <c r="G607" i="17"/>
  <c r="F607" i="17"/>
  <c r="E607" i="17"/>
  <c r="B607" i="17"/>
  <c r="T606" i="17"/>
  <c r="Q606" i="17"/>
  <c r="O606" i="17"/>
  <c r="M606" i="17"/>
  <c r="L606" i="17"/>
  <c r="J606" i="17"/>
  <c r="I606" i="17"/>
  <c r="H606" i="17"/>
  <c r="G606" i="17"/>
  <c r="F606" i="17"/>
  <c r="E606" i="17"/>
  <c r="B606" i="17"/>
  <c r="T605" i="17"/>
  <c r="Q605" i="17"/>
  <c r="O605" i="17"/>
  <c r="N605" i="17"/>
  <c r="M605" i="17"/>
  <c r="L605" i="17"/>
  <c r="J605" i="17"/>
  <c r="I605" i="17"/>
  <c r="H605" i="17"/>
  <c r="G605" i="17"/>
  <c r="F605" i="17"/>
  <c r="E605" i="17"/>
  <c r="B605" i="17"/>
  <c r="T604" i="17"/>
  <c r="Q604" i="17"/>
  <c r="O604" i="17"/>
  <c r="N604" i="17"/>
  <c r="M604" i="17"/>
  <c r="L604" i="17"/>
  <c r="J604" i="17"/>
  <c r="I604" i="17"/>
  <c r="H604" i="17"/>
  <c r="G604" i="17"/>
  <c r="F604" i="17"/>
  <c r="E604" i="17"/>
  <c r="B604" i="17"/>
  <c r="U603" i="17"/>
  <c r="T603" i="17"/>
  <c r="S603" i="17"/>
  <c r="R603" i="17"/>
  <c r="Q603" i="17"/>
  <c r="P603" i="17"/>
  <c r="O603" i="17"/>
  <c r="N603" i="17"/>
  <c r="M603" i="17"/>
  <c r="L603" i="17"/>
  <c r="K603" i="17"/>
  <c r="J603" i="17"/>
  <c r="I603" i="17"/>
  <c r="H603" i="17"/>
  <c r="G603" i="17"/>
  <c r="F603" i="17"/>
  <c r="E603" i="17"/>
  <c r="D603" i="17"/>
  <c r="C603" i="17"/>
  <c r="B603" i="17"/>
  <c r="T602" i="17"/>
  <c r="Q602" i="17"/>
  <c r="O602" i="17"/>
  <c r="M602" i="17"/>
  <c r="L602" i="17"/>
  <c r="J602" i="17"/>
  <c r="I602" i="17"/>
  <c r="H602" i="17"/>
  <c r="G602" i="17"/>
  <c r="F602" i="17"/>
  <c r="E602" i="17"/>
  <c r="B602" i="17"/>
  <c r="T601" i="17"/>
  <c r="Q601" i="17"/>
  <c r="O601" i="17"/>
  <c r="N601" i="17"/>
  <c r="M601" i="17"/>
  <c r="L601" i="17"/>
  <c r="J601" i="17"/>
  <c r="I601" i="17"/>
  <c r="H601" i="17"/>
  <c r="G601" i="17"/>
  <c r="F601" i="17"/>
  <c r="E601" i="17"/>
  <c r="B601" i="17"/>
  <c r="U600" i="17"/>
  <c r="T600" i="17"/>
  <c r="S600" i="17"/>
  <c r="R600" i="17"/>
  <c r="Q600" i="17"/>
  <c r="O600" i="17"/>
  <c r="N600" i="17"/>
  <c r="M600" i="17"/>
  <c r="L600" i="17"/>
  <c r="K600" i="17"/>
  <c r="J600" i="17"/>
  <c r="I600" i="17"/>
  <c r="H600" i="17"/>
  <c r="G600" i="17"/>
  <c r="F600" i="17"/>
  <c r="E600" i="17"/>
  <c r="B600" i="17"/>
  <c r="A600" i="17"/>
  <c r="T599" i="17"/>
  <c r="Q599" i="17"/>
  <c r="O599" i="17"/>
  <c r="M599" i="17"/>
  <c r="L599" i="17"/>
  <c r="J599" i="17"/>
  <c r="I599" i="17"/>
  <c r="H599" i="17"/>
  <c r="G599" i="17"/>
  <c r="F599" i="17"/>
  <c r="E599" i="17"/>
  <c r="B599" i="17"/>
  <c r="A599" i="17"/>
  <c r="Q598" i="17"/>
  <c r="O598" i="17"/>
  <c r="N598" i="17"/>
  <c r="M598" i="17"/>
  <c r="L598" i="17"/>
  <c r="J598" i="17"/>
  <c r="I598" i="17"/>
  <c r="H598" i="17"/>
  <c r="G598" i="17"/>
  <c r="F598" i="17"/>
  <c r="E598" i="17"/>
  <c r="B598" i="17"/>
  <c r="A598" i="17"/>
  <c r="T597" i="17"/>
  <c r="Q597" i="17"/>
  <c r="O597" i="17"/>
  <c r="M597" i="17"/>
  <c r="L597" i="17"/>
  <c r="J597" i="17"/>
  <c r="I597" i="17"/>
  <c r="H597" i="17"/>
  <c r="G597" i="17"/>
  <c r="F597" i="17"/>
  <c r="E597" i="17"/>
  <c r="B597" i="17"/>
  <c r="A597" i="17"/>
  <c r="T596" i="17"/>
  <c r="Q596" i="17"/>
  <c r="O596" i="17"/>
  <c r="M596" i="17"/>
  <c r="L596" i="17"/>
  <c r="J596" i="17"/>
  <c r="I596" i="17"/>
  <c r="H596" i="17"/>
  <c r="G596" i="17"/>
  <c r="F596" i="17"/>
  <c r="E596" i="17"/>
  <c r="B596" i="17"/>
  <c r="A596" i="17"/>
  <c r="T595" i="17"/>
  <c r="Q595" i="17"/>
  <c r="O595" i="17"/>
  <c r="N595" i="17"/>
  <c r="M595" i="17"/>
  <c r="L595" i="17"/>
  <c r="J595" i="17"/>
  <c r="I595" i="17"/>
  <c r="H595" i="17"/>
  <c r="G595" i="17"/>
  <c r="F595" i="17"/>
  <c r="E595" i="17"/>
  <c r="B595" i="17"/>
  <c r="A595" i="17"/>
  <c r="T594" i="17"/>
  <c r="Q594" i="17"/>
  <c r="O594" i="17"/>
  <c r="N594" i="17"/>
  <c r="M594" i="17"/>
  <c r="L594" i="17"/>
  <c r="J594" i="17"/>
  <c r="I594" i="17"/>
  <c r="H594" i="17"/>
  <c r="G594" i="17"/>
  <c r="F594" i="17"/>
  <c r="E594" i="17"/>
  <c r="B594" i="17"/>
  <c r="A594" i="17"/>
  <c r="T593" i="17"/>
  <c r="Q593" i="17"/>
  <c r="O593" i="17"/>
  <c r="N593" i="17"/>
  <c r="M593" i="17"/>
  <c r="L593" i="17"/>
  <c r="J593" i="17"/>
  <c r="I593" i="17"/>
  <c r="H593" i="17"/>
  <c r="G593" i="17"/>
  <c r="F593" i="17"/>
  <c r="E593" i="17"/>
  <c r="B593" i="17"/>
  <c r="A593" i="17"/>
  <c r="Q592" i="17"/>
  <c r="O592" i="17"/>
  <c r="N592" i="17"/>
  <c r="M592" i="17"/>
  <c r="L592" i="17"/>
  <c r="J592" i="17"/>
  <c r="I592" i="17"/>
  <c r="H592" i="17"/>
  <c r="G592" i="17"/>
  <c r="F592" i="17"/>
  <c r="E592" i="17"/>
  <c r="B592" i="17"/>
  <c r="A592" i="17"/>
  <c r="Q591" i="17"/>
  <c r="O591" i="17"/>
  <c r="N591" i="17"/>
  <c r="M591" i="17"/>
  <c r="L591" i="17"/>
  <c r="J591" i="17"/>
  <c r="I591" i="17"/>
  <c r="H591" i="17"/>
  <c r="G591" i="17"/>
  <c r="F591" i="17"/>
  <c r="E591" i="17"/>
  <c r="B591" i="17"/>
  <c r="A591" i="17"/>
  <c r="Q590" i="17"/>
  <c r="O590" i="17"/>
  <c r="N590" i="17"/>
  <c r="M590" i="17"/>
  <c r="L590" i="17"/>
  <c r="J590" i="17"/>
  <c r="I590" i="17"/>
  <c r="H590" i="17"/>
  <c r="F589" i="17" s="1"/>
  <c r="G590" i="17"/>
  <c r="F590" i="17"/>
  <c r="E590" i="17"/>
  <c r="C590" i="17"/>
  <c r="B590" i="17"/>
  <c r="A590" i="17"/>
  <c r="Q588" i="17"/>
  <c r="O588" i="17"/>
  <c r="N588" i="17"/>
  <c r="M588" i="17"/>
  <c r="L588" i="17"/>
  <c r="J588" i="17"/>
  <c r="I588" i="17"/>
  <c r="H588" i="17"/>
  <c r="G588" i="17"/>
  <c r="F588" i="17"/>
  <c r="E588" i="17"/>
  <c r="B588" i="17"/>
  <c r="T587" i="17"/>
  <c r="Q587" i="17"/>
  <c r="O587" i="17"/>
  <c r="N587" i="17"/>
  <c r="M587" i="17"/>
  <c r="L587" i="17"/>
  <c r="J587" i="17"/>
  <c r="I587" i="17"/>
  <c r="H587" i="17"/>
  <c r="G587" i="17"/>
  <c r="F587" i="17"/>
  <c r="E587" i="17"/>
  <c r="B587" i="17"/>
  <c r="T586" i="17"/>
  <c r="Q586" i="17"/>
  <c r="O586" i="17"/>
  <c r="N586" i="17"/>
  <c r="M586" i="17"/>
  <c r="L586" i="17"/>
  <c r="J586" i="17"/>
  <c r="I586" i="17"/>
  <c r="H586" i="17"/>
  <c r="G586" i="17"/>
  <c r="F586" i="17"/>
  <c r="E586" i="17"/>
  <c r="B586" i="17"/>
  <c r="T585" i="17"/>
  <c r="Q585" i="17"/>
  <c r="O585" i="17"/>
  <c r="N585" i="17"/>
  <c r="M585" i="17"/>
  <c r="L585" i="17"/>
  <c r="J585" i="17"/>
  <c r="I585" i="17"/>
  <c r="H585" i="17"/>
  <c r="G585" i="17"/>
  <c r="F585" i="17"/>
  <c r="E585" i="17"/>
  <c r="B585" i="17"/>
  <c r="T584" i="17"/>
  <c r="Q584" i="17"/>
  <c r="O584" i="17"/>
  <c r="N584" i="17"/>
  <c r="M584" i="17"/>
  <c r="L584" i="17"/>
  <c r="J584" i="17"/>
  <c r="I584" i="17"/>
  <c r="H584" i="17"/>
  <c r="G584" i="17"/>
  <c r="F584" i="17"/>
  <c r="E584" i="17"/>
  <c r="B584" i="17"/>
  <c r="Q583" i="17"/>
  <c r="O583" i="17"/>
  <c r="N583" i="17"/>
  <c r="M583" i="17"/>
  <c r="L583" i="17"/>
  <c r="J583" i="17"/>
  <c r="I583" i="17"/>
  <c r="H583" i="17"/>
  <c r="G583" i="17"/>
  <c r="F583" i="17"/>
  <c r="E583" i="17"/>
  <c r="B583" i="17"/>
  <c r="T582" i="17"/>
  <c r="Q582" i="17"/>
  <c r="O582" i="17"/>
  <c r="N582" i="17"/>
  <c r="M582" i="17"/>
  <c r="L582" i="17"/>
  <c r="J582" i="17"/>
  <c r="I582" i="17"/>
  <c r="H582" i="17"/>
  <c r="G582" i="17"/>
  <c r="F582" i="17"/>
  <c r="E582" i="17"/>
  <c r="B582" i="17"/>
  <c r="Q581" i="17"/>
  <c r="O581" i="17"/>
  <c r="M581" i="17"/>
  <c r="L581" i="17"/>
  <c r="J581" i="17"/>
  <c r="I581" i="17"/>
  <c r="H581" i="17"/>
  <c r="G581" i="17"/>
  <c r="F581" i="17"/>
  <c r="E581" i="17"/>
  <c r="B581" i="17"/>
  <c r="A581" i="17"/>
  <c r="T580" i="17"/>
  <c r="Q580" i="17"/>
  <c r="O580" i="17"/>
  <c r="N580" i="17"/>
  <c r="M580" i="17"/>
  <c r="L580" i="17"/>
  <c r="J580" i="17"/>
  <c r="I580" i="17"/>
  <c r="H580" i="17"/>
  <c r="G580" i="17"/>
  <c r="F580" i="17"/>
  <c r="E580" i="17"/>
  <c r="B580" i="17"/>
  <c r="A580" i="17"/>
  <c r="U579" i="17"/>
  <c r="T579" i="17"/>
  <c r="S579" i="17"/>
  <c r="R579" i="17"/>
  <c r="Q579" i="17"/>
  <c r="P579" i="17"/>
  <c r="O579" i="17"/>
  <c r="N579" i="17"/>
  <c r="M579" i="17"/>
  <c r="L579" i="17"/>
  <c r="K579" i="17"/>
  <c r="J579" i="17"/>
  <c r="I579" i="17"/>
  <c r="H579" i="17"/>
  <c r="G579" i="17"/>
  <c r="F579" i="17"/>
  <c r="E579" i="17"/>
  <c r="B579" i="17"/>
  <c r="A579" i="17"/>
  <c r="T578" i="17"/>
  <c r="Q578" i="17"/>
  <c r="O578" i="17"/>
  <c r="N578" i="17"/>
  <c r="M578" i="17"/>
  <c r="L578" i="17"/>
  <c r="J578" i="17"/>
  <c r="I578" i="17"/>
  <c r="H578" i="17"/>
  <c r="G578" i="17"/>
  <c r="F578" i="17"/>
  <c r="E578" i="17"/>
  <c r="B578" i="17"/>
  <c r="A578" i="17"/>
  <c r="T577" i="17"/>
  <c r="Q577" i="17"/>
  <c r="O577" i="17"/>
  <c r="N577" i="17"/>
  <c r="M577" i="17"/>
  <c r="L577" i="17"/>
  <c r="J577" i="17"/>
  <c r="I577" i="17"/>
  <c r="H577" i="17"/>
  <c r="G577" i="17"/>
  <c r="F577" i="17"/>
  <c r="E577" i="17"/>
  <c r="B577" i="17"/>
  <c r="A577" i="17"/>
  <c r="U576" i="17"/>
  <c r="T576" i="17"/>
  <c r="S576" i="17"/>
  <c r="R576" i="17"/>
  <c r="Q576" i="17"/>
  <c r="P576" i="17"/>
  <c r="O576" i="17"/>
  <c r="N576" i="17"/>
  <c r="M576" i="17"/>
  <c r="L576" i="17"/>
  <c r="K576" i="17"/>
  <c r="J576" i="17"/>
  <c r="I576" i="17"/>
  <c r="H576" i="17"/>
  <c r="G576" i="17"/>
  <c r="F576" i="17"/>
  <c r="E576" i="17"/>
  <c r="D576" i="17"/>
  <c r="C576" i="17"/>
  <c r="B576" i="17"/>
  <c r="A576" i="17"/>
  <c r="T575" i="17"/>
  <c r="Q575" i="17"/>
  <c r="O575" i="17"/>
  <c r="N575" i="17"/>
  <c r="M575" i="17"/>
  <c r="L575" i="17"/>
  <c r="J575" i="17"/>
  <c r="I575" i="17"/>
  <c r="H575" i="17"/>
  <c r="G575" i="17"/>
  <c r="F575" i="17"/>
  <c r="E575" i="17"/>
  <c r="B575" i="17"/>
  <c r="A575" i="17"/>
  <c r="Q574" i="17"/>
  <c r="O574" i="17"/>
  <c r="M574" i="17"/>
  <c r="L574" i="17"/>
  <c r="J574" i="17"/>
  <c r="I574" i="17"/>
  <c r="H574" i="17"/>
  <c r="G574" i="17"/>
  <c r="F574" i="17"/>
  <c r="E574" i="17"/>
  <c r="B574" i="17"/>
  <c r="A574" i="17"/>
  <c r="T573" i="17"/>
  <c r="Q573" i="17"/>
  <c r="O573" i="17"/>
  <c r="M573" i="17"/>
  <c r="L573" i="17"/>
  <c r="J573" i="17"/>
  <c r="I573" i="17"/>
  <c r="H573" i="17"/>
  <c r="G573" i="17"/>
  <c r="F573" i="17"/>
  <c r="E573" i="17"/>
  <c r="B573" i="17"/>
  <c r="A573" i="17"/>
  <c r="Q572" i="17"/>
  <c r="O572" i="17"/>
  <c r="N572" i="17"/>
  <c r="M572" i="17"/>
  <c r="L572" i="17"/>
  <c r="J572" i="17"/>
  <c r="I572" i="17"/>
  <c r="H572" i="17"/>
  <c r="G572" i="17"/>
  <c r="F572" i="17"/>
  <c r="E572" i="17"/>
  <c r="B572" i="17"/>
  <c r="A572" i="17"/>
  <c r="Q571" i="17"/>
  <c r="O571" i="17"/>
  <c r="N571" i="17"/>
  <c r="M571" i="17"/>
  <c r="L571" i="17"/>
  <c r="J571" i="17"/>
  <c r="I571" i="17"/>
  <c r="H571" i="17"/>
  <c r="F570" i="17" s="1"/>
  <c r="G571" i="17"/>
  <c r="F571" i="17"/>
  <c r="E571" i="17"/>
  <c r="C571" i="17"/>
  <c r="B571" i="17"/>
  <c r="A571" i="17"/>
  <c r="T569" i="17"/>
  <c r="Q569" i="17"/>
  <c r="O569" i="17"/>
  <c r="N569" i="17"/>
  <c r="M569" i="17"/>
  <c r="L569" i="17"/>
  <c r="J569" i="17"/>
  <c r="I569" i="17"/>
  <c r="H569" i="17"/>
  <c r="G569" i="17"/>
  <c r="F569" i="17"/>
  <c r="E569" i="17"/>
  <c r="B569" i="17"/>
  <c r="T568" i="17"/>
  <c r="Q568" i="17"/>
  <c r="O568" i="17"/>
  <c r="N568" i="17"/>
  <c r="M568" i="17"/>
  <c r="L568" i="17"/>
  <c r="J568" i="17"/>
  <c r="I568" i="17"/>
  <c r="H568" i="17"/>
  <c r="G568" i="17"/>
  <c r="F568" i="17"/>
  <c r="E568" i="17"/>
  <c r="B568" i="17"/>
  <c r="T567" i="17"/>
  <c r="Q567" i="17"/>
  <c r="O567" i="17"/>
  <c r="N567" i="17"/>
  <c r="M567" i="17"/>
  <c r="L567" i="17"/>
  <c r="J567" i="17"/>
  <c r="I567" i="17"/>
  <c r="H567" i="17"/>
  <c r="G567" i="17"/>
  <c r="F567" i="17"/>
  <c r="E567" i="17"/>
  <c r="B567" i="17"/>
  <c r="T566" i="17"/>
  <c r="Q566" i="17"/>
  <c r="O566" i="17"/>
  <c r="N566" i="17"/>
  <c r="M566" i="17"/>
  <c r="L566" i="17"/>
  <c r="J566" i="17"/>
  <c r="I566" i="17"/>
  <c r="H566" i="17"/>
  <c r="G566" i="17"/>
  <c r="F566" i="17"/>
  <c r="E566" i="17"/>
  <c r="B566" i="17"/>
  <c r="T565" i="17"/>
  <c r="Q565" i="17"/>
  <c r="O565" i="17"/>
  <c r="N565" i="17"/>
  <c r="M565" i="17"/>
  <c r="L565" i="17"/>
  <c r="J565" i="17"/>
  <c r="I565" i="17"/>
  <c r="H565" i="17"/>
  <c r="G565" i="17"/>
  <c r="F565" i="17"/>
  <c r="E565" i="17"/>
  <c r="B565" i="17"/>
  <c r="Q563" i="17"/>
  <c r="O563" i="17"/>
  <c r="M563" i="17"/>
  <c r="L563" i="17"/>
  <c r="J563" i="17"/>
  <c r="I563" i="17"/>
  <c r="H563" i="17"/>
  <c r="G563" i="17"/>
  <c r="F563" i="17"/>
  <c r="E563" i="17"/>
  <c r="B563" i="17"/>
  <c r="U562" i="17"/>
  <c r="T562" i="17"/>
  <c r="S562" i="17"/>
  <c r="R562" i="17"/>
  <c r="Q562" i="17"/>
  <c r="P562" i="17"/>
  <c r="O562" i="17"/>
  <c r="N562" i="17"/>
  <c r="M562" i="17"/>
  <c r="L562" i="17"/>
  <c r="K562" i="17"/>
  <c r="J562" i="17"/>
  <c r="I562" i="17"/>
  <c r="H562" i="17"/>
  <c r="G562" i="17"/>
  <c r="F562" i="17"/>
  <c r="E562" i="17"/>
  <c r="D562" i="17"/>
  <c r="C562" i="17"/>
  <c r="B562" i="17"/>
  <c r="A562" i="17"/>
  <c r="Q561" i="17"/>
  <c r="O561" i="17"/>
  <c r="N561" i="17"/>
  <c r="M561" i="17"/>
  <c r="L561" i="17"/>
  <c r="J561" i="17"/>
  <c r="I561" i="17"/>
  <c r="H561" i="17"/>
  <c r="G561" i="17"/>
  <c r="F561" i="17"/>
  <c r="E561" i="17"/>
  <c r="B561" i="17"/>
  <c r="A561" i="17"/>
  <c r="U560" i="17"/>
  <c r="T560" i="17"/>
  <c r="S560" i="17"/>
  <c r="R560" i="17"/>
  <c r="Q560" i="17"/>
  <c r="P560" i="17"/>
  <c r="O560" i="17"/>
  <c r="N560" i="17"/>
  <c r="M560" i="17"/>
  <c r="L560" i="17"/>
  <c r="K560" i="17"/>
  <c r="J560" i="17"/>
  <c r="I560" i="17"/>
  <c r="H560" i="17"/>
  <c r="G560" i="17"/>
  <c r="F560" i="17"/>
  <c r="E560" i="17"/>
  <c r="B560" i="17"/>
  <c r="A560" i="17"/>
  <c r="T559" i="17"/>
  <c r="Q559" i="17"/>
  <c r="O559" i="17"/>
  <c r="N559" i="17"/>
  <c r="M559" i="17"/>
  <c r="L559" i="17"/>
  <c r="J559" i="17"/>
  <c r="I559" i="17"/>
  <c r="H559" i="17"/>
  <c r="G559" i="17"/>
  <c r="F559" i="17"/>
  <c r="E559" i="17"/>
  <c r="B559" i="17"/>
  <c r="A559" i="17"/>
  <c r="T558" i="17"/>
  <c r="Q558" i="17"/>
  <c r="O558" i="17"/>
  <c r="M558" i="17"/>
  <c r="L558" i="17"/>
  <c r="J558" i="17"/>
  <c r="I558" i="17"/>
  <c r="H558" i="17"/>
  <c r="G558" i="17"/>
  <c r="F558" i="17"/>
  <c r="E558" i="17"/>
  <c r="B558" i="17"/>
  <c r="A558" i="17"/>
  <c r="Q557" i="17"/>
  <c r="O557" i="17"/>
  <c r="M557" i="17"/>
  <c r="L557" i="17"/>
  <c r="J557" i="17"/>
  <c r="I557" i="17"/>
  <c r="H557" i="17"/>
  <c r="G557" i="17"/>
  <c r="F557" i="17"/>
  <c r="E557" i="17"/>
  <c r="B557" i="17"/>
  <c r="A557" i="17"/>
  <c r="Q556" i="17"/>
  <c r="O556" i="17"/>
  <c r="N556" i="17"/>
  <c r="M556" i="17"/>
  <c r="L556" i="17"/>
  <c r="J556" i="17"/>
  <c r="I556" i="17"/>
  <c r="H556" i="17"/>
  <c r="G556" i="17"/>
  <c r="F556" i="17"/>
  <c r="E556" i="17"/>
  <c r="B556" i="17"/>
  <c r="A556" i="17"/>
  <c r="T555" i="17"/>
  <c r="Q555" i="17"/>
  <c r="O555" i="17"/>
  <c r="N555" i="17"/>
  <c r="M555" i="17"/>
  <c r="L555" i="17"/>
  <c r="J555" i="17"/>
  <c r="I555" i="17"/>
  <c r="H555" i="17"/>
  <c r="G555" i="17"/>
  <c r="F555" i="17"/>
  <c r="E555" i="17"/>
  <c r="B555" i="17"/>
  <c r="A555" i="17"/>
  <c r="Q554" i="17"/>
  <c r="O554" i="17"/>
  <c r="M554" i="17"/>
  <c r="L554" i="17"/>
  <c r="J554" i="17"/>
  <c r="I554" i="17"/>
  <c r="H554" i="17"/>
  <c r="G554" i="17"/>
  <c r="F554" i="17"/>
  <c r="E554" i="17"/>
  <c r="B554" i="17"/>
  <c r="A554" i="17"/>
  <c r="Q553" i="17"/>
  <c r="O553" i="17"/>
  <c r="M553" i="17"/>
  <c r="L553" i="17"/>
  <c r="J553" i="17"/>
  <c r="I553" i="17"/>
  <c r="H553" i="17"/>
  <c r="G553" i="17"/>
  <c r="F553" i="17"/>
  <c r="E553" i="17"/>
  <c r="B553" i="17"/>
  <c r="A553" i="17"/>
  <c r="T552" i="17"/>
  <c r="Q552" i="17"/>
  <c r="O552" i="17"/>
  <c r="N552" i="17"/>
  <c r="M552" i="17"/>
  <c r="L552" i="17"/>
  <c r="J552" i="17"/>
  <c r="I552" i="17"/>
  <c r="H552" i="17"/>
  <c r="G552" i="17"/>
  <c r="F552" i="17"/>
  <c r="F551" i="17" s="1"/>
  <c r="E552" i="17"/>
  <c r="C552" i="17"/>
  <c r="B552" i="17"/>
  <c r="A552" i="17"/>
  <c r="Q550" i="17"/>
  <c r="O550" i="17"/>
  <c r="N550" i="17"/>
  <c r="M550" i="17"/>
  <c r="L550" i="17"/>
  <c r="J550" i="17"/>
  <c r="I550" i="17"/>
  <c r="H550" i="17"/>
  <c r="G550" i="17"/>
  <c r="F550" i="17"/>
  <c r="E550" i="17"/>
  <c r="B550" i="17"/>
  <c r="T549" i="17"/>
  <c r="Q549" i="17"/>
  <c r="O549" i="17"/>
  <c r="M549" i="17"/>
  <c r="L549" i="17"/>
  <c r="J549" i="17"/>
  <c r="I549" i="17"/>
  <c r="H549" i="17"/>
  <c r="G549" i="17"/>
  <c r="F549" i="17"/>
  <c r="E549" i="17"/>
  <c r="B549" i="17"/>
  <c r="T548" i="17"/>
  <c r="Q548" i="17"/>
  <c r="O548" i="17"/>
  <c r="N548" i="17"/>
  <c r="M548" i="17"/>
  <c r="L548" i="17"/>
  <c r="J548" i="17"/>
  <c r="I548" i="17"/>
  <c r="H548" i="17"/>
  <c r="G548" i="17"/>
  <c r="F548" i="17"/>
  <c r="E548" i="17"/>
  <c r="B548" i="17"/>
  <c r="T547" i="17"/>
  <c r="Q547" i="17"/>
  <c r="O547" i="17"/>
  <c r="N547" i="17"/>
  <c r="M547" i="17"/>
  <c r="L547" i="17"/>
  <c r="J547" i="17"/>
  <c r="I547" i="17"/>
  <c r="H547" i="17"/>
  <c r="G547" i="17"/>
  <c r="F547" i="17"/>
  <c r="E547" i="17"/>
  <c r="B547" i="17"/>
  <c r="T546" i="17"/>
  <c r="Q546" i="17"/>
  <c r="O546" i="17"/>
  <c r="N546" i="17"/>
  <c r="M546" i="17"/>
  <c r="L546" i="17"/>
  <c r="J546" i="17"/>
  <c r="I546" i="17"/>
  <c r="H546" i="17"/>
  <c r="G546" i="17"/>
  <c r="F546" i="17"/>
  <c r="E546" i="17"/>
  <c r="B546" i="17"/>
  <c r="T545" i="17"/>
  <c r="Q545" i="17"/>
  <c r="O545" i="17"/>
  <c r="N545" i="17"/>
  <c r="M545" i="17"/>
  <c r="L545" i="17"/>
  <c r="J545" i="17"/>
  <c r="I545" i="17"/>
  <c r="H545" i="17"/>
  <c r="G545" i="17"/>
  <c r="F545" i="17"/>
  <c r="E545" i="17"/>
  <c r="B545" i="17"/>
  <c r="T544" i="17"/>
  <c r="Q544" i="17"/>
  <c r="O544" i="17"/>
  <c r="M544" i="17"/>
  <c r="L544" i="17"/>
  <c r="J544" i="17"/>
  <c r="I544" i="17"/>
  <c r="H544" i="17"/>
  <c r="G544" i="17"/>
  <c r="F544" i="17"/>
  <c r="E544" i="17"/>
  <c r="B544" i="17"/>
  <c r="U543" i="17"/>
  <c r="T543" i="17"/>
  <c r="S543" i="17"/>
  <c r="R543" i="17"/>
  <c r="Q543" i="17"/>
  <c r="P543" i="17"/>
  <c r="O543" i="17"/>
  <c r="N543" i="17"/>
  <c r="M543" i="17"/>
  <c r="L543" i="17"/>
  <c r="K543" i="17"/>
  <c r="J543" i="17"/>
  <c r="I543" i="17"/>
  <c r="H543" i="17"/>
  <c r="G543" i="17"/>
  <c r="F543" i="17"/>
  <c r="E543" i="17"/>
  <c r="D543" i="17"/>
  <c r="C543" i="17"/>
  <c r="B543" i="17"/>
  <c r="A543" i="17"/>
  <c r="Q542" i="17"/>
  <c r="O542" i="17"/>
  <c r="N542" i="17"/>
  <c r="M542" i="17"/>
  <c r="L542" i="17"/>
  <c r="J542" i="17"/>
  <c r="I542" i="17"/>
  <c r="H542" i="17"/>
  <c r="G542" i="17"/>
  <c r="F542" i="17"/>
  <c r="E542" i="17"/>
  <c r="B542" i="17"/>
  <c r="A542" i="17"/>
  <c r="T541" i="17"/>
  <c r="Q541" i="17"/>
  <c r="O541" i="17"/>
  <c r="M541" i="17"/>
  <c r="L541" i="17"/>
  <c r="J541" i="17"/>
  <c r="I541" i="17"/>
  <c r="H541" i="17"/>
  <c r="G541" i="17"/>
  <c r="F541" i="17"/>
  <c r="E541" i="17"/>
  <c r="B541" i="17"/>
  <c r="A541" i="17"/>
  <c r="U540" i="17"/>
  <c r="T540" i="17"/>
  <c r="S540" i="17"/>
  <c r="R540" i="17"/>
  <c r="Q540" i="17"/>
  <c r="P540" i="17"/>
  <c r="O540" i="17"/>
  <c r="N540" i="17"/>
  <c r="M540" i="17"/>
  <c r="L540" i="17"/>
  <c r="K540" i="17"/>
  <c r="J540" i="17"/>
  <c r="I540" i="17"/>
  <c r="H540" i="17"/>
  <c r="G540" i="17"/>
  <c r="F540" i="17"/>
  <c r="E540" i="17"/>
  <c r="B540" i="17"/>
  <c r="A540" i="17"/>
  <c r="U539" i="17"/>
  <c r="T539" i="17"/>
  <c r="S539" i="17"/>
  <c r="R539" i="17"/>
  <c r="Q539" i="17"/>
  <c r="P539" i="17"/>
  <c r="O539" i="17"/>
  <c r="N539" i="17"/>
  <c r="M539" i="17"/>
  <c r="L539" i="17"/>
  <c r="K539" i="17"/>
  <c r="J539" i="17"/>
  <c r="I539" i="17"/>
  <c r="H539" i="17"/>
  <c r="G539" i="17"/>
  <c r="F539" i="17"/>
  <c r="E539" i="17"/>
  <c r="B539" i="17"/>
  <c r="A539" i="17"/>
  <c r="T538" i="17"/>
  <c r="Q538" i="17"/>
  <c r="O538" i="17"/>
  <c r="M538" i="17"/>
  <c r="L538" i="17"/>
  <c r="J538" i="17"/>
  <c r="I538" i="17"/>
  <c r="H538" i="17"/>
  <c r="G538" i="17"/>
  <c r="F538" i="17"/>
  <c r="E538" i="17"/>
  <c r="B538" i="17"/>
  <c r="A538" i="17"/>
  <c r="T537" i="17"/>
  <c r="Q537" i="17"/>
  <c r="O537" i="17"/>
  <c r="N537" i="17"/>
  <c r="M537" i="17"/>
  <c r="L537" i="17"/>
  <c r="J537" i="17"/>
  <c r="I537" i="17"/>
  <c r="H537" i="17"/>
  <c r="G537" i="17"/>
  <c r="F537" i="17"/>
  <c r="E537" i="17"/>
  <c r="B537" i="17"/>
  <c r="A537" i="17"/>
  <c r="T536" i="17"/>
  <c r="Q536" i="17"/>
  <c r="O536" i="17"/>
  <c r="M536" i="17"/>
  <c r="L536" i="17"/>
  <c r="J536" i="17"/>
  <c r="I536" i="17"/>
  <c r="H536" i="17"/>
  <c r="G536" i="17"/>
  <c r="F536" i="17"/>
  <c r="E536" i="17"/>
  <c r="B536" i="17"/>
  <c r="A536" i="17"/>
  <c r="Q535" i="17"/>
  <c r="O535" i="17"/>
  <c r="M535" i="17"/>
  <c r="L535" i="17"/>
  <c r="J535" i="17"/>
  <c r="I535" i="17"/>
  <c r="H535" i="17"/>
  <c r="G535" i="17"/>
  <c r="F535" i="17"/>
  <c r="E535" i="17"/>
  <c r="B535" i="17"/>
  <c r="A535" i="17"/>
  <c r="T534" i="17"/>
  <c r="Q534" i="17"/>
  <c r="O534" i="17"/>
  <c r="N534" i="17"/>
  <c r="M534" i="17"/>
  <c r="L534" i="17"/>
  <c r="J534" i="17"/>
  <c r="I534" i="17"/>
  <c r="H534" i="17"/>
  <c r="G534" i="17"/>
  <c r="F534" i="17"/>
  <c r="E534" i="17"/>
  <c r="B534" i="17"/>
  <c r="A534" i="17"/>
  <c r="T533" i="17"/>
  <c r="Q533" i="17"/>
  <c r="O533" i="17"/>
  <c r="N533" i="17"/>
  <c r="M533" i="17"/>
  <c r="L533" i="17"/>
  <c r="J533" i="17"/>
  <c r="I533" i="17"/>
  <c r="H533" i="17"/>
  <c r="F532" i="17" s="1"/>
  <c r="G533" i="17"/>
  <c r="F533" i="17"/>
  <c r="E533" i="17"/>
  <c r="C533" i="17"/>
  <c r="B533" i="17"/>
  <c r="A533" i="17"/>
  <c r="Q531" i="17"/>
  <c r="O531" i="17"/>
  <c r="N531" i="17"/>
  <c r="M531" i="17"/>
  <c r="L531" i="17"/>
  <c r="J531" i="17"/>
  <c r="I531" i="17"/>
  <c r="H531" i="17"/>
  <c r="G531" i="17"/>
  <c r="F531" i="17"/>
  <c r="E531" i="17"/>
  <c r="B531" i="17"/>
  <c r="T530" i="17"/>
  <c r="Q530" i="17"/>
  <c r="O530" i="17"/>
  <c r="N530" i="17"/>
  <c r="M530" i="17"/>
  <c r="L530" i="17"/>
  <c r="J530" i="17"/>
  <c r="I530" i="17"/>
  <c r="H530" i="17"/>
  <c r="G530" i="17"/>
  <c r="F530" i="17"/>
  <c r="E530" i="17"/>
  <c r="B530" i="17"/>
  <c r="T529" i="17"/>
  <c r="Q529" i="17"/>
  <c r="O529" i="17"/>
  <c r="N529" i="17"/>
  <c r="M529" i="17"/>
  <c r="L529" i="17"/>
  <c r="J529" i="17"/>
  <c r="I529" i="17"/>
  <c r="H529" i="17"/>
  <c r="G529" i="17"/>
  <c r="F529" i="17"/>
  <c r="E529" i="17"/>
  <c r="B529" i="17"/>
  <c r="T528" i="17"/>
  <c r="Q528" i="17"/>
  <c r="O528" i="17"/>
  <c r="N528" i="17"/>
  <c r="M528" i="17"/>
  <c r="L528" i="17"/>
  <c r="J528" i="17"/>
  <c r="I528" i="17"/>
  <c r="H528" i="17"/>
  <c r="G528" i="17"/>
  <c r="F528" i="17"/>
  <c r="E528" i="17"/>
  <c r="B528" i="17"/>
  <c r="T527" i="17"/>
  <c r="Q527" i="17"/>
  <c r="O527" i="17"/>
  <c r="N527" i="17"/>
  <c r="M527" i="17"/>
  <c r="L527" i="17"/>
  <c r="J527" i="17"/>
  <c r="I527" i="17"/>
  <c r="H527" i="17"/>
  <c r="G527" i="17"/>
  <c r="F527" i="17"/>
  <c r="E527" i="17"/>
  <c r="B527" i="17"/>
  <c r="Q526" i="17"/>
  <c r="O526" i="17"/>
  <c r="N526" i="17"/>
  <c r="M526" i="17"/>
  <c r="L526" i="17"/>
  <c r="J526" i="17"/>
  <c r="I526" i="17"/>
  <c r="H526" i="17"/>
  <c r="G526" i="17"/>
  <c r="F526" i="17"/>
  <c r="E526" i="17"/>
  <c r="B526" i="17"/>
  <c r="Q525" i="17"/>
  <c r="O525" i="17"/>
  <c r="N525" i="17"/>
  <c r="M525" i="17"/>
  <c r="L525" i="17"/>
  <c r="J525" i="17"/>
  <c r="I525" i="17"/>
  <c r="H525" i="17"/>
  <c r="G525" i="17"/>
  <c r="F525" i="17"/>
  <c r="E525" i="17"/>
  <c r="B525" i="17"/>
  <c r="T524" i="17"/>
  <c r="Q524" i="17"/>
  <c r="O524" i="17"/>
  <c r="N524" i="17"/>
  <c r="M524" i="17"/>
  <c r="L524" i="17"/>
  <c r="J524" i="17"/>
  <c r="I524" i="17"/>
  <c r="H524" i="17"/>
  <c r="G524" i="17"/>
  <c r="F524" i="17"/>
  <c r="E524" i="17"/>
  <c r="B524" i="17"/>
  <c r="A524" i="17"/>
  <c r="T523" i="17"/>
  <c r="Q523" i="17"/>
  <c r="O523" i="17"/>
  <c r="N523" i="17"/>
  <c r="M523" i="17"/>
  <c r="L523" i="17"/>
  <c r="J523" i="17"/>
  <c r="I523" i="17"/>
  <c r="H523" i="17"/>
  <c r="G523" i="17"/>
  <c r="F523" i="17"/>
  <c r="E523" i="17"/>
  <c r="B523" i="17"/>
  <c r="A523" i="17"/>
  <c r="T522" i="17"/>
  <c r="Q522" i="17"/>
  <c r="O522" i="17"/>
  <c r="N522" i="17"/>
  <c r="M522" i="17"/>
  <c r="L522" i="17"/>
  <c r="J522" i="17"/>
  <c r="I522" i="17"/>
  <c r="H522" i="17"/>
  <c r="G522" i="17"/>
  <c r="F522" i="17"/>
  <c r="E522" i="17"/>
  <c r="D522" i="17"/>
  <c r="C522" i="17"/>
  <c r="B522" i="17"/>
  <c r="A522" i="17"/>
  <c r="U521" i="17"/>
  <c r="T521" i="17"/>
  <c r="S521" i="17"/>
  <c r="R521" i="17"/>
  <c r="Q521" i="17"/>
  <c r="P521" i="17"/>
  <c r="O521" i="17"/>
  <c r="N521" i="17"/>
  <c r="M521" i="17"/>
  <c r="L521" i="17"/>
  <c r="K521" i="17"/>
  <c r="J521" i="17"/>
  <c r="I521" i="17"/>
  <c r="H521" i="17"/>
  <c r="G521" i="17"/>
  <c r="F521" i="17"/>
  <c r="E521" i="17"/>
  <c r="B521" i="17"/>
  <c r="A521" i="17"/>
  <c r="U520" i="17"/>
  <c r="T520" i="17"/>
  <c r="S520" i="17"/>
  <c r="R520" i="17"/>
  <c r="Q520" i="17"/>
  <c r="P520" i="17"/>
  <c r="O520" i="17"/>
  <c r="N520" i="17"/>
  <c r="M520" i="17"/>
  <c r="L520" i="17"/>
  <c r="K520" i="17"/>
  <c r="J520" i="17"/>
  <c r="I520" i="17"/>
  <c r="H520" i="17"/>
  <c r="G520" i="17"/>
  <c r="F520" i="17"/>
  <c r="E520" i="17"/>
  <c r="B520" i="17"/>
  <c r="A520" i="17"/>
  <c r="T519" i="17"/>
  <c r="Q519" i="17"/>
  <c r="O519" i="17"/>
  <c r="M519" i="17"/>
  <c r="L519" i="17"/>
  <c r="J519" i="17"/>
  <c r="I519" i="17"/>
  <c r="H519" i="17"/>
  <c r="G519" i="17"/>
  <c r="F519" i="17"/>
  <c r="E519" i="17"/>
  <c r="B519" i="17"/>
  <c r="A519" i="17"/>
  <c r="T518" i="17"/>
  <c r="Q518" i="17"/>
  <c r="O518" i="17"/>
  <c r="N518" i="17"/>
  <c r="M518" i="17"/>
  <c r="L518" i="17"/>
  <c r="J518" i="17"/>
  <c r="I518" i="17"/>
  <c r="H518" i="17"/>
  <c r="G518" i="17"/>
  <c r="F518" i="17"/>
  <c r="E518" i="17"/>
  <c r="B518" i="17"/>
  <c r="A518" i="17"/>
  <c r="T517" i="17"/>
  <c r="Q517" i="17"/>
  <c r="O517" i="17"/>
  <c r="N517" i="17"/>
  <c r="M517" i="17"/>
  <c r="L517" i="17"/>
  <c r="J517" i="17"/>
  <c r="I517" i="17"/>
  <c r="H517" i="17"/>
  <c r="G517" i="17"/>
  <c r="F517" i="17"/>
  <c r="E517" i="17"/>
  <c r="B517" i="17"/>
  <c r="A517" i="17"/>
  <c r="Q516" i="17"/>
  <c r="O516" i="17"/>
  <c r="M516" i="17"/>
  <c r="L516" i="17"/>
  <c r="J516" i="17"/>
  <c r="I516" i="17"/>
  <c r="H516" i="17"/>
  <c r="G516" i="17"/>
  <c r="F516" i="17"/>
  <c r="E516" i="17"/>
  <c r="B516" i="17"/>
  <c r="A516" i="17"/>
  <c r="T515" i="17"/>
  <c r="Q515" i="17"/>
  <c r="O515" i="17"/>
  <c r="N515" i="17"/>
  <c r="M515" i="17"/>
  <c r="L515" i="17"/>
  <c r="J515" i="17"/>
  <c r="I515" i="17"/>
  <c r="H515" i="17"/>
  <c r="G515" i="17"/>
  <c r="F515" i="17"/>
  <c r="E515" i="17"/>
  <c r="B515" i="17"/>
  <c r="A515" i="17"/>
  <c r="Q514" i="17"/>
  <c r="O514" i="17"/>
  <c r="N514" i="17"/>
  <c r="M514" i="17"/>
  <c r="L514" i="17"/>
  <c r="J514" i="17"/>
  <c r="I514" i="17"/>
  <c r="H514" i="17"/>
  <c r="G514" i="17"/>
  <c r="F514" i="17"/>
  <c r="F513" i="17" s="1"/>
  <c r="E514" i="17"/>
  <c r="C514" i="17"/>
  <c r="B514" i="17"/>
  <c r="A514" i="17"/>
  <c r="Q494" i="17"/>
  <c r="O494" i="17"/>
  <c r="N494" i="17"/>
  <c r="M494" i="17"/>
  <c r="L494" i="17"/>
  <c r="J494" i="17"/>
  <c r="I494" i="17"/>
  <c r="H494" i="17"/>
  <c r="G494" i="17"/>
  <c r="F494" i="17"/>
  <c r="F493" i="17" s="1"/>
  <c r="E494" i="17"/>
  <c r="C494" i="17"/>
  <c r="B494" i="17"/>
  <c r="A494" i="17"/>
  <c r="T512" i="17"/>
  <c r="Q512" i="17"/>
  <c r="O512" i="17"/>
  <c r="N512" i="17"/>
  <c r="M512" i="17"/>
  <c r="L512" i="17"/>
  <c r="J512" i="17"/>
  <c r="I512" i="17"/>
  <c r="H512" i="17"/>
  <c r="G512" i="17"/>
  <c r="F512" i="17"/>
  <c r="E512" i="17"/>
  <c r="B512" i="17"/>
  <c r="T511" i="17"/>
  <c r="Q511" i="17"/>
  <c r="O511" i="17"/>
  <c r="M511" i="17"/>
  <c r="L511" i="17"/>
  <c r="J511" i="17"/>
  <c r="I511" i="17"/>
  <c r="H511" i="17"/>
  <c r="G511" i="17"/>
  <c r="F511" i="17"/>
  <c r="E511" i="17"/>
  <c r="B511" i="17"/>
  <c r="T510" i="17"/>
  <c r="Q510" i="17"/>
  <c r="O510" i="17"/>
  <c r="N510" i="17"/>
  <c r="M510" i="17"/>
  <c r="L510" i="17"/>
  <c r="J510" i="17"/>
  <c r="I510" i="17"/>
  <c r="H510" i="17"/>
  <c r="G510" i="17"/>
  <c r="F510" i="17"/>
  <c r="E510" i="17"/>
  <c r="B510" i="17"/>
  <c r="T509" i="17"/>
  <c r="Q509" i="17"/>
  <c r="O509" i="17"/>
  <c r="N509" i="17"/>
  <c r="M509" i="17"/>
  <c r="L509" i="17"/>
  <c r="J509" i="17"/>
  <c r="I509" i="17"/>
  <c r="H509" i="17"/>
  <c r="G509" i="17"/>
  <c r="F509" i="17"/>
  <c r="E509" i="17"/>
  <c r="B509" i="17"/>
  <c r="T508" i="17"/>
  <c r="Q508" i="17"/>
  <c r="O508" i="17"/>
  <c r="N508" i="17"/>
  <c r="M508" i="17"/>
  <c r="L508" i="17"/>
  <c r="J508" i="17"/>
  <c r="I508" i="17"/>
  <c r="H508" i="17"/>
  <c r="G508" i="17"/>
  <c r="F508" i="17"/>
  <c r="E508" i="17"/>
  <c r="B508" i="17"/>
  <c r="Q507" i="17"/>
  <c r="O507" i="17"/>
  <c r="M507" i="17"/>
  <c r="L507" i="17"/>
  <c r="J507" i="17"/>
  <c r="I507" i="17"/>
  <c r="H507" i="17"/>
  <c r="G507" i="17"/>
  <c r="F507" i="17"/>
  <c r="E507" i="17"/>
  <c r="B507" i="17"/>
  <c r="Q506" i="17"/>
  <c r="O506" i="17"/>
  <c r="M506" i="17"/>
  <c r="L506" i="17"/>
  <c r="J506" i="17"/>
  <c r="I506" i="17"/>
  <c r="H506" i="17"/>
  <c r="G506" i="17"/>
  <c r="F506" i="17"/>
  <c r="E506" i="17"/>
  <c r="B506" i="17"/>
  <c r="T505" i="17"/>
  <c r="Q505" i="17"/>
  <c r="O505" i="17"/>
  <c r="N505" i="17"/>
  <c r="M505" i="17"/>
  <c r="L505" i="17"/>
  <c r="J505" i="17"/>
  <c r="I505" i="17"/>
  <c r="H505" i="17"/>
  <c r="G505" i="17"/>
  <c r="F505" i="17"/>
  <c r="E505" i="17"/>
  <c r="B505" i="17"/>
  <c r="A505" i="17"/>
  <c r="T504" i="17"/>
  <c r="Q504" i="17"/>
  <c r="O504" i="17"/>
  <c r="N504" i="17"/>
  <c r="M504" i="17"/>
  <c r="L504" i="17"/>
  <c r="J504" i="17"/>
  <c r="I504" i="17"/>
  <c r="H504" i="17"/>
  <c r="G504" i="17"/>
  <c r="F504" i="17"/>
  <c r="E504" i="17"/>
  <c r="B504" i="17"/>
  <c r="A504" i="17"/>
  <c r="Q503" i="17"/>
  <c r="O503" i="17"/>
  <c r="M503" i="17"/>
  <c r="L503" i="17"/>
  <c r="J503" i="17"/>
  <c r="I503" i="17"/>
  <c r="H503" i="17"/>
  <c r="G503" i="17"/>
  <c r="F503" i="17"/>
  <c r="E503" i="17"/>
  <c r="B503" i="17"/>
  <c r="A503" i="17"/>
  <c r="T502" i="17"/>
  <c r="Q502" i="17"/>
  <c r="O502" i="17"/>
  <c r="N502" i="17"/>
  <c r="M502" i="17"/>
  <c r="L502" i="17"/>
  <c r="J502" i="17"/>
  <c r="I502" i="17"/>
  <c r="H502" i="17"/>
  <c r="G502" i="17"/>
  <c r="F502" i="17"/>
  <c r="E502" i="17"/>
  <c r="D502" i="17"/>
  <c r="C502" i="17"/>
  <c r="B502" i="17"/>
  <c r="A502" i="17"/>
  <c r="T501" i="17"/>
  <c r="Q501" i="17"/>
  <c r="O501" i="17"/>
  <c r="N501" i="17"/>
  <c r="M501" i="17"/>
  <c r="L501" i="17"/>
  <c r="J501" i="17"/>
  <c r="I501" i="17"/>
  <c r="H501" i="17"/>
  <c r="G501" i="17"/>
  <c r="F501" i="17"/>
  <c r="E501" i="17"/>
  <c r="B501" i="17"/>
  <c r="A501" i="17"/>
  <c r="U500" i="17"/>
  <c r="T500" i="17"/>
  <c r="S500" i="17"/>
  <c r="R500" i="17"/>
  <c r="Q500" i="17"/>
  <c r="P500" i="17"/>
  <c r="O500" i="17"/>
  <c r="N500" i="17"/>
  <c r="M500" i="17"/>
  <c r="L500" i="17"/>
  <c r="K500" i="17"/>
  <c r="J500" i="17"/>
  <c r="I500" i="17"/>
  <c r="H500" i="17"/>
  <c r="G500" i="17"/>
  <c r="F500" i="17"/>
  <c r="E500" i="17"/>
  <c r="B500" i="17"/>
  <c r="A500" i="17"/>
  <c r="Q499" i="17"/>
  <c r="O499" i="17"/>
  <c r="M499" i="17"/>
  <c r="L499" i="17"/>
  <c r="J499" i="17"/>
  <c r="I499" i="17"/>
  <c r="H499" i="17"/>
  <c r="G499" i="17"/>
  <c r="F499" i="17"/>
  <c r="E499" i="17"/>
  <c r="B499" i="17"/>
  <c r="A499" i="17"/>
  <c r="Q498" i="17"/>
  <c r="O498" i="17"/>
  <c r="N498" i="17"/>
  <c r="M498" i="17"/>
  <c r="L498" i="17"/>
  <c r="J498" i="17"/>
  <c r="I498" i="17"/>
  <c r="H498" i="17"/>
  <c r="G498" i="17"/>
  <c r="F498" i="17"/>
  <c r="E498" i="17"/>
  <c r="B498" i="17"/>
  <c r="A498" i="17"/>
  <c r="Q497" i="17"/>
  <c r="O497" i="17"/>
  <c r="M497" i="17"/>
  <c r="L497" i="17"/>
  <c r="J497" i="17"/>
  <c r="I497" i="17"/>
  <c r="H497" i="17"/>
  <c r="G497" i="17"/>
  <c r="F497" i="17"/>
  <c r="E497" i="17"/>
  <c r="B497" i="17"/>
  <c r="A497" i="17"/>
  <c r="T496" i="17"/>
  <c r="Q496" i="17"/>
  <c r="O496" i="17"/>
  <c r="N496" i="17"/>
  <c r="M496" i="17"/>
  <c r="L496" i="17"/>
  <c r="J496" i="17"/>
  <c r="I496" i="17"/>
  <c r="H496" i="17"/>
  <c r="G496" i="17"/>
  <c r="F496" i="17"/>
  <c r="E496" i="17"/>
  <c r="B496" i="17"/>
  <c r="A496" i="17"/>
  <c r="T495" i="17"/>
  <c r="Q495" i="17"/>
  <c r="O495" i="17"/>
  <c r="N495" i="17"/>
  <c r="M495" i="17"/>
  <c r="L495" i="17"/>
  <c r="J495" i="17"/>
  <c r="I495" i="17"/>
  <c r="H495" i="17"/>
  <c r="G495" i="17"/>
  <c r="F495" i="17"/>
  <c r="E495" i="17"/>
  <c r="B495" i="17"/>
  <c r="A495" i="17"/>
  <c r="T492" i="17"/>
  <c r="Q492" i="17"/>
  <c r="O492" i="17"/>
  <c r="N492" i="17"/>
  <c r="M492" i="17"/>
  <c r="L492" i="17"/>
  <c r="J492" i="17"/>
  <c r="I492" i="17"/>
  <c r="H492" i="17"/>
  <c r="G492" i="17"/>
  <c r="F492" i="17"/>
  <c r="E492" i="17"/>
  <c r="B492" i="17"/>
  <c r="T491" i="17"/>
  <c r="Q491" i="17"/>
  <c r="O491" i="17"/>
  <c r="M491" i="17"/>
  <c r="L491" i="17"/>
  <c r="J491" i="17"/>
  <c r="I491" i="17"/>
  <c r="H491" i="17"/>
  <c r="G491" i="17"/>
  <c r="F491" i="17"/>
  <c r="E491" i="17"/>
  <c r="B491" i="17"/>
  <c r="T490" i="17"/>
  <c r="Q490" i="17"/>
  <c r="O490" i="17"/>
  <c r="N490" i="17"/>
  <c r="M490" i="17"/>
  <c r="L490" i="17"/>
  <c r="J490" i="17"/>
  <c r="I490" i="17"/>
  <c r="H490" i="17"/>
  <c r="G490" i="17"/>
  <c r="F490" i="17"/>
  <c r="E490" i="17"/>
  <c r="B490" i="17"/>
  <c r="T489" i="17"/>
  <c r="Q489" i="17"/>
  <c r="O489" i="17"/>
  <c r="N489" i="17"/>
  <c r="M489" i="17"/>
  <c r="L489" i="17"/>
  <c r="J489" i="17"/>
  <c r="I489" i="17"/>
  <c r="H489" i="17"/>
  <c r="G489" i="17"/>
  <c r="F489" i="17"/>
  <c r="E489" i="17"/>
  <c r="B489" i="17"/>
  <c r="T488" i="17"/>
  <c r="Q488" i="17"/>
  <c r="O488" i="17"/>
  <c r="N488" i="17"/>
  <c r="M488" i="17"/>
  <c r="L488" i="17"/>
  <c r="J488" i="17"/>
  <c r="I488" i="17"/>
  <c r="H488" i="17"/>
  <c r="G488" i="17"/>
  <c r="F488" i="17"/>
  <c r="E488" i="17"/>
  <c r="B488" i="17"/>
  <c r="Q487" i="17"/>
  <c r="O487" i="17"/>
  <c r="N487" i="17"/>
  <c r="M487" i="17"/>
  <c r="L487" i="17"/>
  <c r="J487" i="17"/>
  <c r="I487" i="17"/>
  <c r="H487" i="17"/>
  <c r="G487" i="17"/>
  <c r="F487" i="17"/>
  <c r="E487" i="17"/>
  <c r="B487" i="17"/>
  <c r="T486" i="17"/>
  <c r="Q486" i="17"/>
  <c r="O486" i="17"/>
  <c r="N486" i="17"/>
  <c r="M486" i="17"/>
  <c r="L486" i="17"/>
  <c r="J486" i="17"/>
  <c r="I486" i="17"/>
  <c r="H486" i="17"/>
  <c r="G486" i="17"/>
  <c r="F486" i="17"/>
  <c r="E486" i="17"/>
  <c r="B486" i="17"/>
  <c r="T485" i="17"/>
  <c r="Q485" i="17"/>
  <c r="O485" i="17"/>
  <c r="N485" i="17"/>
  <c r="M485" i="17"/>
  <c r="L485" i="17"/>
  <c r="J485" i="17"/>
  <c r="I485" i="17"/>
  <c r="H485" i="17"/>
  <c r="G485" i="17"/>
  <c r="F485" i="17"/>
  <c r="E485" i="17"/>
  <c r="B485" i="17"/>
  <c r="A485" i="17"/>
  <c r="T484" i="17"/>
  <c r="Q484" i="17"/>
  <c r="O484" i="17"/>
  <c r="N484" i="17"/>
  <c r="M484" i="17"/>
  <c r="L484" i="17"/>
  <c r="J484" i="17"/>
  <c r="I484" i="17"/>
  <c r="H484" i="17"/>
  <c r="G484" i="17"/>
  <c r="F484" i="17"/>
  <c r="E484" i="17"/>
  <c r="B484" i="17"/>
  <c r="A484" i="17"/>
  <c r="T483" i="17"/>
  <c r="Q483" i="17"/>
  <c r="O483" i="17"/>
  <c r="N483" i="17"/>
  <c r="M483" i="17"/>
  <c r="L483" i="17"/>
  <c r="J483" i="17"/>
  <c r="I483" i="17"/>
  <c r="H483" i="17"/>
  <c r="G483" i="17"/>
  <c r="F483" i="17"/>
  <c r="E483" i="17"/>
  <c r="B483" i="17"/>
  <c r="A483" i="17"/>
  <c r="T482" i="17"/>
  <c r="Q482" i="17"/>
  <c r="O482" i="17"/>
  <c r="N482" i="17"/>
  <c r="M482" i="17"/>
  <c r="L482" i="17"/>
  <c r="J482" i="17"/>
  <c r="I482" i="17"/>
  <c r="H482" i="17"/>
  <c r="G482" i="17"/>
  <c r="F482" i="17"/>
  <c r="E482" i="17"/>
  <c r="D482" i="17"/>
  <c r="C482" i="17"/>
  <c r="B482" i="17"/>
  <c r="A482" i="17"/>
  <c r="T481" i="17"/>
  <c r="Q481" i="17"/>
  <c r="P481" i="17"/>
  <c r="O481" i="17"/>
  <c r="N481" i="17"/>
  <c r="M481" i="17"/>
  <c r="L481" i="17"/>
  <c r="J481" i="17"/>
  <c r="I481" i="17"/>
  <c r="H481" i="17"/>
  <c r="G481" i="17"/>
  <c r="F481" i="17"/>
  <c r="E481" i="17"/>
  <c r="B481" i="17"/>
  <c r="A481" i="17"/>
  <c r="Q480" i="17"/>
  <c r="O480" i="17"/>
  <c r="N480" i="17"/>
  <c r="M480" i="17"/>
  <c r="L480" i="17"/>
  <c r="J480" i="17"/>
  <c r="I480" i="17"/>
  <c r="H480" i="17"/>
  <c r="G480" i="17"/>
  <c r="F480" i="17"/>
  <c r="E480" i="17"/>
  <c r="B480" i="17"/>
  <c r="A480" i="17"/>
  <c r="T479" i="17"/>
  <c r="Q479" i="17"/>
  <c r="O479" i="17"/>
  <c r="N479" i="17"/>
  <c r="M479" i="17"/>
  <c r="L479" i="17"/>
  <c r="J479" i="17"/>
  <c r="I479" i="17"/>
  <c r="H479" i="17"/>
  <c r="G479" i="17"/>
  <c r="F479" i="17"/>
  <c r="E479" i="17"/>
  <c r="B479" i="17"/>
  <c r="A479" i="17"/>
  <c r="Q478" i="17"/>
  <c r="O478" i="17"/>
  <c r="N478" i="17"/>
  <c r="M478" i="17"/>
  <c r="L478" i="17"/>
  <c r="J478" i="17"/>
  <c r="I478" i="17"/>
  <c r="H478" i="17"/>
  <c r="G478" i="17"/>
  <c r="F478" i="17"/>
  <c r="E478" i="17"/>
  <c r="B478" i="17"/>
  <c r="A478" i="17"/>
  <c r="T477" i="17"/>
  <c r="Q477" i="17"/>
  <c r="O477" i="17"/>
  <c r="N477" i="17"/>
  <c r="M477" i="17"/>
  <c r="L477" i="17"/>
  <c r="J477" i="17"/>
  <c r="I477" i="17"/>
  <c r="H477" i="17"/>
  <c r="G477" i="17"/>
  <c r="F477" i="17"/>
  <c r="E477" i="17"/>
  <c r="B477" i="17"/>
  <c r="A477" i="17"/>
  <c r="Q476" i="17"/>
  <c r="O476" i="17"/>
  <c r="N476" i="17"/>
  <c r="M476" i="17"/>
  <c r="L476" i="17"/>
  <c r="J476" i="17"/>
  <c r="I476" i="17"/>
  <c r="H476" i="17"/>
  <c r="G476" i="17"/>
  <c r="F476" i="17"/>
  <c r="F475" i="17" s="1"/>
  <c r="E476" i="17"/>
  <c r="C476" i="17"/>
  <c r="B476" i="17"/>
  <c r="A476" i="17"/>
  <c r="Q361" i="17"/>
  <c r="O361" i="17"/>
  <c r="N361" i="17"/>
  <c r="M361" i="17"/>
  <c r="L361" i="17"/>
  <c r="J361" i="17"/>
  <c r="I361" i="17"/>
  <c r="H361" i="17"/>
  <c r="G361" i="17"/>
  <c r="F361" i="17"/>
  <c r="E361" i="17"/>
  <c r="B361" i="17"/>
  <c r="T360" i="17"/>
  <c r="Q360" i="17"/>
  <c r="O360" i="17"/>
  <c r="N360" i="17"/>
  <c r="M360" i="17"/>
  <c r="L360" i="17"/>
  <c r="J360" i="17"/>
  <c r="I360" i="17"/>
  <c r="H360" i="17"/>
  <c r="G360" i="17"/>
  <c r="F360" i="17"/>
  <c r="E360" i="17"/>
  <c r="B360" i="17"/>
  <c r="T359" i="17"/>
  <c r="Q359" i="17"/>
  <c r="O359" i="17"/>
  <c r="N359" i="17"/>
  <c r="M359" i="17"/>
  <c r="L359" i="17"/>
  <c r="J359" i="17"/>
  <c r="I359" i="17"/>
  <c r="H359" i="17"/>
  <c r="G359" i="17"/>
  <c r="F359" i="17"/>
  <c r="E359" i="17"/>
  <c r="B359" i="17"/>
  <c r="T358" i="17"/>
  <c r="Q358" i="17"/>
  <c r="O358" i="17"/>
  <c r="N358" i="17"/>
  <c r="M358" i="17"/>
  <c r="L358" i="17"/>
  <c r="J358" i="17"/>
  <c r="I358" i="17"/>
  <c r="H358" i="17"/>
  <c r="G358" i="17"/>
  <c r="F358" i="17"/>
  <c r="E358" i="17"/>
  <c r="B358" i="17"/>
  <c r="T357" i="17"/>
  <c r="Q357" i="17"/>
  <c r="O357" i="17"/>
  <c r="N357" i="17"/>
  <c r="M357" i="17"/>
  <c r="L357" i="17"/>
  <c r="J357" i="17"/>
  <c r="I357" i="17"/>
  <c r="H357" i="17"/>
  <c r="G357" i="17"/>
  <c r="F357" i="17"/>
  <c r="E357" i="17"/>
  <c r="B357" i="17"/>
  <c r="Q356" i="17"/>
  <c r="O356" i="17"/>
  <c r="M356" i="17"/>
  <c r="L356" i="17"/>
  <c r="J356" i="17"/>
  <c r="I356" i="17"/>
  <c r="H356" i="17"/>
  <c r="G356" i="17"/>
  <c r="F356" i="17"/>
  <c r="E356" i="17"/>
  <c r="B356" i="17"/>
  <c r="T355" i="17"/>
  <c r="Q355" i="17"/>
  <c r="O355" i="17"/>
  <c r="M355" i="17"/>
  <c r="L355" i="17"/>
  <c r="J355" i="17"/>
  <c r="I355" i="17"/>
  <c r="H355" i="17"/>
  <c r="G355" i="17"/>
  <c r="F355" i="17"/>
  <c r="E355" i="17"/>
  <c r="B355" i="17"/>
  <c r="U354" i="17"/>
  <c r="T354" i="17"/>
  <c r="S354" i="17"/>
  <c r="R354" i="17"/>
  <c r="Q354" i="17"/>
  <c r="P354" i="17"/>
  <c r="O354" i="17"/>
  <c r="N354" i="17"/>
  <c r="M354" i="17"/>
  <c r="L354" i="17"/>
  <c r="K354" i="17"/>
  <c r="J354" i="17"/>
  <c r="I354" i="17"/>
  <c r="H354" i="17"/>
  <c r="G354" i="17"/>
  <c r="F354" i="17"/>
  <c r="E354" i="17"/>
  <c r="B354" i="17"/>
  <c r="A354" i="17"/>
  <c r="Q353" i="17"/>
  <c r="O353" i="17"/>
  <c r="M353" i="17"/>
  <c r="L353" i="17"/>
  <c r="J353" i="17"/>
  <c r="I353" i="17"/>
  <c r="H353" i="17"/>
  <c r="G353" i="17"/>
  <c r="F353" i="17"/>
  <c r="E353" i="17"/>
  <c r="B353" i="17"/>
  <c r="A353" i="17"/>
  <c r="Q352" i="17"/>
  <c r="O352" i="17"/>
  <c r="M352" i="17"/>
  <c r="L352" i="17"/>
  <c r="J352" i="17"/>
  <c r="I352" i="17"/>
  <c r="H352" i="17"/>
  <c r="G352" i="17"/>
  <c r="F352" i="17"/>
  <c r="E352" i="17"/>
  <c r="B352" i="17"/>
  <c r="A352" i="17"/>
  <c r="T351" i="17"/>
  <c r="Q351" i="17"/>
  <c r="O351" i="17"/>
  <c r="M351" i="17"/>
  <c r="L351" i="17"/>
  <c r="J351" i="17"/>
  <c r="I351" i="17"/>
  <c r="H351" i="17"/>
  <c r="G351" i="17"/>
  <c r="F351" i="17"/>
  <c r="E351" i="17"/>
  <c r="B351" i="17"/>
  <c r="A351" i="17"/>
  <c r="Q350" i="17"/>
  <c r="P350" i="17"/>
  <c r="O350" i="17"/>
  <c r="N350" i="17"/>
  <c r="M350" i="17"/>
  <c r="L350" i="17"/>
  <c r="J350" i="17"/>
  <c r="I350" i="17"/>
  <c r="H350" i="17"/>
  <c r="G350" i="17"/>
  <c r="F350" i="17"/>
  <c r="E350" i="17"/>
  <c r="B350" i="17"/>
  <c r="A350" i="17"/>
  <c r="U349" i="17"/>
  <c r="T349" i="17"/>
  <c r="S349" i="17"/>
  <c r="R349" i="17"/>
  <c r="Q349" i="17"/>
  <c r="P349" i="17"/>
  <c r="O349" i="17"/>
  <c r="N349" i="17"/>
  <c r="M349" i="17"/>
  <c r="L349" i="17"/>
  <c r="K349" i="17"/>
  <c r="J349" i="17"/>
  <c r="I349" i="17"/>
  <c r="H349" i="17"/>
  <c r="G349" i="17"/>
  <c r="F349" i="17"/>
  <c r="E349" i="17"/>
  <c r="D349" i="17"/>
  <c r="C349" i="17"/>
  <c r="B349" i="17"/>
  <c r="A349" i="17"/>
  <c r="Q348" i="17"/>
  <c r="O348" i="17"/>
  <c r="N348" i="17"/>
  <c r="M348" i="17"/>
  <c r="L348" i="17"/>
  <c r="J348" i="17"/>
  <c r="I348" i="17"/>
  <c r="H348" i="17"/>
  <c r="G348" i="17"/>
  <c r="F348" i="17"/>
  <c r="E348" i="17"/>
  <c r="B348" i="17"/>
  <c r="A348" i="17"/>
  <c r="Q347" i="17"/>
  <c r="O347" i="17"/>
  <c r="N347" i="17"/>
  <c r="M347" i="17"/>
  <c r="L347" i="17"/>
  <c r="J347" i="17"/>
  <c r="I347" i="17"/>
  <c r="H347" i="17"/>
  <c r="G347" i="17"/>
  <c r="F347" i="17"/>
  <c r="E347" i="17"/>
  <c r="B347" i="17"/>
  <c r="A347" i="17"/>
  <c r="T346" i="17"/>
  <c r="Q346" i="17"/>
  <c r="O346" i="17"/>
  <c r="M346" i="17"/>
  <c r="L346" i="17"/>
  <c r="J346" i="17"/>
  <c r="I346" i="17"/>
  <c r="H346" i="17"/>
  <c r="G346" i="17"/>
  <c r="F346" i="17"/>
  <c r="E346" i="17"/>
  <c r="B346" i="17"/>
  <c r="A346" i="17"/>
  <c r="Q345" i="17"/>
  <c r="O345" i="17"/>
  <c r="M345" i="17"/>
  <c r="L345" i="17"/>
  <c r="J345" i="17"/>
  <c r="I345" i="17"/>
  <c r="H345" i="17"/>
  <c r="G345" i="17"/>
  <c r="F345" i="17"/>
  <c r="E345" i="17"/>
  <c r="B345" i="17"/>
  <c r="A345" i="17"/>
  <c r="Q344" i="17"/>
  <c r="O344" i="17"/>
  <c r="N344" i="17"/>
  <c r="M344" i="17"/>
  <c r="L344" i="17"/>
  <c r="J344" i="17"/>
  <c r="I344" i="17"/>
  <c r="H344" i="17"/>
  <c r="G344" i="17"/>
  <c r="F344" i="17"/>
  <c r="F343" i="17" s="1"/>
  <c r="E344" i="17"/>
  <c r="C344" i="17"/>
  <c r="B344" i="17"/>
  <c r="A344" i="17"/>
  <c r="T474" i="17"/>
  <c r="Q474" i="17"/>
  <c r="O474" i="17"/>
  <c r="N474" i="17"/>
  <c r="M474" i="17"/>
  <c r="L474" i="17"/>
  <c r="J474" i="17"/>
  <c r="I474" i="17"/>
  <c r="H474" i="17"/>
  <c r="G474" i="17"/>
  <c r="F474" i="17"/>
  <c r="E474" i="17"/>
  <c r="B474" i="17"/>
  <c r="T473" i="17"/>
  <c r="Q473" i="17"/>
  <c r="O473" i="17"/>
  <c r="M473" i="17"/>
  <c r="L473" i="17"/>
  <c r="J473" i="17"/>
  <c r="I473" i="17"/>
  <c r="H473" i="17"/>
  <c r="G473" i="17"/>
  <c r="F473" i="17"/>
  <c r="E473" i="17"/>
  <c r="B473" i="17"/>
  <c r="T472" i="17"/>
  <c r="Q472" i="17"/>
  <c r="O472" i="17"/>
  <c r="N472" i="17"/>
  <c r="M472" i="17"/>
  <c r="L472" i="17"/>
  <c r="J472" i="17"/>
  <c r="I472" i="17"/>
  <c r="H472" i="17"/>
  <c r="G472" i="17"/>
  <c r="F472" i="17"/>
  <c r="E472" i="17"/>
  <c r="B472" i="17"/>
  <c r="T471" i="17"/>
  <c r="Q471" i="17"/>
  <c r="O471" i="17"/>
  <c r="N471" i="17"/>
  <c r="M471" i="17"/>
  <c r="L471" i="17"/>
  <c r="J471" i="17"/>
  <c r="I471" i="17"/>
  <c r="H471" i="17"/>
  <c r="G471" i="17"/>
  <c r="F471" i="17"/>
  <c r="E471" i="17"/>
  <c r="B471" i="17"/>
  <c r="T470" i="17"/>
  <c r="Q470" i="17"/>
  <c r="O470" i="17"/>
  <c r="N470" i="17"/>
  <c r="M470" i="17"/>
  <c r="L470" i="17"/>
  <c r="J470" i="17"/>
  <c r="I470" i="17"/>
  <c r="H470" i="17"/>
  <c r="G470" i="17"/>
  <c r="F470" i="17"/>
  <c r="E470" i="17"/>
  <c r="B470" i="17"/>
  <c r="Q469" i="17"/>
  <c r="O469" i="17"/>
  <c r="N469" i="17"/>
  <c r="M469" i="17"/>
  <c r="L469" i="17"/>
  <c r="J469" i="17"/>
  <c r="I469" i="17"/>
  <c r="H469" i="17"/>
  <c r="G469" i="17"/>
  <c r="F469" i="17"/>
  <c r="E469" i="17"/>
  <c r="B469" i="17"/>
  <c r="Q468" i="17"/>
  <c r="O468" i="17"/>
  <c r="N468" i="17"/>
  <c r="M468" i="17"/>
  <c r="L468" i="17"/>
  <c r="J468" i="17"/>
  <c r="I468" i="17"/>
  <c r="H468" i="17"/>
  <c r="G468" i="17"/>
  <c r="F468" i="17"/>
  <c r="E468" i="17"/>
  <c r="B468" i="17"/>
  <c r="T467" i="17"/>
  <c r="Q467" i="17"/>
  <c r="O467" i="17"/>
  <c r="N467" i="17"/>
  <c r="M467" i="17"/>
  <c r="L467" i="17"/>
  <c r="J467" i="17"/>
  <c r="I467" i="17"/>
  <c r="H467" i="17"/>
  <c r="G467" i="17"/>
  <c r="F467" i="17"/>
  <c r="E467" i="17"/>
  <c r="B467" i="17"/>
  <c r="A467" i="17"/>
  <c r="U466" i="17"/>
  <c r="T466" i="17"/>
  <c r="S466" i="17"/>
  <c r="R466" i="17"/>
  <c r="Q466" i="17"/>
  <c r="P466" i="17"/>
  <c r="O466" i="17"/>
  <c r="N466" i="17"/>
  <c r="M466" i="17"/>
  <c r="L466" i="17"/>
  <c r="K466" i="17"/>
  <c r="J466" i="17"/>
  <c r="I466" i="17"/>
  <c r="H466" i="17"/>
  <c r="G466" i="17"/>
  <c r="F466" i="17"/>
  <c r="E466" i="17"/>
  <c r="D466" i="17"/>
  <c r="C466" i="17"/>
  <c r="B466" i="17"/>
  <c r="A466" i="17"/>
  <c r="Q465" i="17"/>
  <c r="O465" i="17"/>
  <c r="M465" i="17"/>
  <c r="L465" i="17"/>
  <c r="J465" i="17"/>
  <c r="I465" i="17"/>
  <c r="H465" i="17"/>
  <c r="G465" i="17"/>
  <c r="F465" i="17"/>
  <c r="E465" i="17"/>
  <c r="B465" i="17"/>
  <c r="A465" i="17"/>
  <c r="T464" i="17"/>
  <c r="Q464" i="17"/>
  <c r="O464" i="17"/>
  <c r="N464" i="17"/>
  <c r="M464" i="17"/>
  <c r="L464" i="17"/>
  <c r="J464" i="17"/>
  <c r="I464" i="17"/>
  <c r="H464" i="17"/>
  <c r="G464" i="17"/>
  <c r="F464" i="17"/>
  <c r="E464" i="17"/>
  <c r="B464" i="17"/>
  <c r="A464" i="17"/>
  <c r="T463" i="17"/>
  <c r="Q463" i="17"/>
  <c r="O463" i="17"/>
  <c r="M463" i="17"/>
  <c r="L463" i="17"/>
  <c r="J463" i="17"/>
  <c r="I463" i="17"/>
  <c r="H463" i="17"/>
  <c r="G463" i="17"/>
  <c r="F463" i="17"/>
  <c r="E463" i="17"/>
  <c r="B463" i="17"/>
  <c r="A463" i="17"/>
  <c r="T462" i="17"/>
  <c r="Q462" i="17"/>
  <c r="O462" i="17"/>
  <c r="M462" i="17"/>
  <c r="L462" i="17"/>
  <c r="J462" i="17"/>
  <c r="I462" i="17"/>
  <c r="H462" i="17"/>
  <c r="G462" i="17"/>
  <c r="F462" i="17"/>
  <c r="E462" i="17"/>
  <c r="B462" i="17"/>
  <c r="A462" i="17"/>
  <c r="T461" i="17"/>
  <c r="Q461" i="17"/>
  <c r="O461" i="17"/>
  <c r="M461" i="17"/>
  <c r="L461" i="17"/>
  <c r="J461" i="17"/>
  <c r="I461" i="17"/>
  <c r="H461" i="17"/>
  <c r="G461" i="17"/>
  <c r="F461" i="17"/>
  <c r="E461" i="17"/>
  <c r="B461" i="17"/>
  <c r="A461" i="17"/>
  <c r="Q460" i="17"/>
  <c r="O460" i="17"/>
  <c r="M460" i="17"/>
  <c r="L460" i="17"/>
  <c r="J460" i="17"/>
  <c r="I460" i="17"/>
  <c r="H460" i="17"/>
  <c r="G460" i="17"/>
  <c r="F460" i="17"/>
  <c r="E460" i="17"/>
  <c r="B460" i="17"/>
  <c r="A460" i="17"/>
  <c r="T459" i="17"/>
  <c r="Q459" i="17"/>
  <c r="O459" i="17"/>
  <c r="N459" i="17"/>
  <c r="M459" i="17"/>
  <c r="L459" i="17"/>
  <c r="J459" i="17"/>
  <c r="I459" i="17"/>
  <c r="H459" i="17"/>
  <c r="G459" i="17"/>
  <c r="F459" i="17"/>
  <c r="E459" i="17"/>
  <c r="B459" i="17"/>
  <c r="A459" i="17"/>
  <c r="Q458" i="17"/>
  <c r="O458" i="17"/>
  <c r="M458" i="17"/>
  <c r="L458" i="17"/>
  <c r="J458" i="17"/>
  <c r="I458" i="17"/>
  <c r="H458" i="17"/>
  <c r="G458" i="17"/>
  <c r="F458" i="17"/>
  <c r="E458" i="17"/>
  <c r="B458" i="17"/>
  <c r="A458" i="17"/>
  <c r="T457" i="17"/>
  <c r="Q457" i="17"/>
  <c r="O457" i="17"/>
  <c r="N457" i="17"/>
  <c r="M457" i="17"/>
  <c r="L457" i="17"/>
  <c r="J457" i="17"/>
  <c r="I457" i="17"/>
  <c r="H457" i="17"/>
  <c r="F456" i="17" s="1"/>
  <c r="G457" i="17"/>
  <c r="F457" i="17"/>
  <c r="E457" i="17"/>
  <c r="C457" i="17"/>
  <c r="B457" i="17"/>
  <c r="A457" i="17"/>
  <c r="T455" i="17"/>
  <c r="Q455" i="17"/>
  <c r="O455" i="17"/>
  <c r="N455" i="17"/>
  <c r="M455" i="17"/>
  <c r="L455" i="17"/>
  <c r="J455" i="17"/>
  <c r="I455" i="17"/>
  <c r="H455" i="17"/>
  <c r="G455" i="17"/>
  <c r="F455" i="17"/>
  <c r="E455" i="17"/>
  <c r="B455" i="17"/>
  <c r="T454" i="17"/>
  <c r="Q454" i="17"/>
  <c r="O454" i="17"/>
  <c r="N454" i="17"/>
  <c r="M454" i="17"/>
  <c r="L454" i="17"/>
  <c r="J454" i="17"/>
  <c r="I454" i="17"/>
  <c r="H454" i="17"/>
  <c r="G454" i="17"/>
  <c r="F454" i="17"/>
  <c r="E454" i="17"/>
  <c r="B454" i="17"/>
  <c r="T453" i="17"/>
  <c r="Q453" i="17"/>
  <c r="O453" i="17"/>
  <c r="N453" i="17"/>
  <c r="M453" i="17"/>
  <c r="L453" i="17"/>
  <c r="J453" i="17"/>
  <c r="I453" i="17"/>
  <c r="H453" i="17"/>
  <c r="G453" i="17"/>
  <c r="F453" i="17"/>
  <c r="E453" i="17"/>
  <c r="B453" i="17"/>
  <c r="T452" i="17"/>
  <c r="Q452" i="17"/>
  <c r="O452" i="17"/>
  <c r="N452" i="17"/>
  <c r="M452" i="17"/>
  <c r="L452" i="17"/>
  <c r="J452" i="17"/>
  <c r="I452" i="17"/>
  <c r="H452" i="17"/>
  <c r="G452" i="17"/>
  <c r="F452" i="17"/>
  <c r="E452" i="17"/>
  <c r="B452" i="17"/>
  <c r="T450" i="17"/>
  <c r="Q450" i="17"/>
  <c r="O450" i="17"/>
  <c r="M450" i="17"/>
  <c r="L450" i="17"/>
  <c r="J450" i="17"/>
  <c r="I450" i="17"/>
  <c r="H450" i="17"/>
  <c r="G450" i="17"/>
  <c r="F450" i="17"/>
  <c r="E450" i="17"/>
  <c r="B450" i="17"/>
  <c r="Q449" i="17"/>
  <c r="O449" i="17"/>
  <c r="N449" i="17"/>
  <c r="M449" i="17"/>
  <c r="L449" i="17"/>
  <c r="J449" i="17"/>
  <c r="I449" i="17"/>
  <c r="H449" i="17"/>
  <c r="G449" i="17"/>
  <c r="F449" i="17"/>
  <c r="E449" i="17"/>
  <c r="Q448" i="17"/>
  <c r="O448" i="17"/>
  <c r="M448" i="17"/>
  <c r="L448" i="17"/>
  <c r="J448" i="17"/>
  <c r="I448" i="17"/>
  <c r="H448" i="17"/>
  <c r="G448" i="17"/>
  <c r="F448" i="17"/>
  <c r="E448" i="17"/>
  <c r="B448" i="17"/>
  <c r="A448" i="17"/>
  <c r="T447" i="17"/>
  <c r="Q447" i="17"/>
  <c r="O447" i="17"/>
  <c r="N447" i="17"/>
  <c r="M447" i="17"/>
  <c r="L447" i="17"/>
  <c r="J447" i="17"/>
  <c r="I447" i="17"/>
  <c r="H447" i="17"/>
  <c r="G447" i="17"/>
  <c r="F447" i="17"/>
  <c r="E447" i="17"/>
  <c r="B447" i="17"/>
  <c r="A447" i="17"/>
  <c r="T446" i="17"/>
  <c r="Q446" i="17"/>
  <c r="O446" i="17"/>
  <c r="N446" i="17"/>
  <c r="M446" i="17"/>
  <c r="L446" i="17"/>
  <c r="J446" i="17"/>
  <c r="I446" i="17"/>
  <c r="H446" i="17"/>
  <c r="G446" i="17"/>
  <c r="F446" i="17"/>
  <c r="E446" i="17"/>
  <c r="D446" i="17"/>
  <c r="C446" i="17"/>
  <c r="B446" i="17"/>
  <c r="A446" i="17"/>
  <c r="U445" i="17"/>
  <c r="T445" i="17"/>
  <c r="S445" i="17"/>
  <c r="R445" i="17"/>
  <c r="Q445" i="17"/>
  <c r="P445" i="17"/>
  <c r="O445" i="17"/>
  <c r="N445" i="17"/>
  <c r="M445" i="17"/>
  <c r="L445" i="17"/>
  <c r="K445" i="17"/>
  <c r="J445" i="17"/>
  <c r="I445" i="17"/>
  <c r="H445" i="17"/>
  <c r="G445" i="17"/>
  <c r="F445" i="17"/>
  <c r="E445" i="17"/>
  <c r="B445" i="17"/>
  <c r="A445" i="17"/>
  <c r="T444" i="17"/>
  <c r="Q444" i="17"/>
  <c r="O444" i="17"/>
  <c r="M444" i="17"/>
  <c r="L444" i="17"/>
  <c r="J444" i="17"/>
  <c r="I444" i="17"/>
  <c r="H444" i="17"/>
  <c r="G444" i="17"/>
  <c r="F444" i="17"/>
  <c r="E444" i="17"/>
  <c r="B444" i="17"/>
  <c r="A444" i="17"/>
  <c r="Q443" i="17"/>
  <c r="O443" i="17"/>
  <c r="M443" i="17"/>
  <c r="L443" i="17"/>
  <c r="J443" i="17"/>
  <c r="I443" i="17"/>
  <c r="H443" i="17"/>
  <c r="G443" i="17"/>
  <c r="F443" i="17"/>
  <c r="E443" i="17"/>
  <c r="B443" i="17"/>
  <c r="A443" i="17"/>
  <c r="T442" i="17"/>
  <c r="Q442" i="17"/>
  <c r="O442" i="17"/>
  <c r="M442" i="17"/>
  <c r="L442" i="17"/>
  <c r="J442" i="17"/>
  <c r="I442" i="17"/>
  <c r="H442" i="17"/>
  <c r="G442" i="17"/>
  <c r="F442" i="17"/>
  <c r="E442" i="17"/>
  <c r="B442" i="17"/>
  <c r="A442" i="17"/>
  <c r="T441" i="17"/>
  <c r="Q441" i="17"/>
  <c r="O441" i="17"/>
  <c r="N441" i="17"/>
  <c r="M441" i="17"/>
  <c r="L441" i="17"/>
  <c r="J441" i="17"/>
  <c r="I441" i="17"/>
  <c r="H441" i="17"/>
  <c r="G441" i="17"/>
  <c r="F441" i="17"/>
  <c r="E441" i="17"/>
  <c r="B441" i="17"/>
  <c r="A441" i="17"/>
  <c r="T440" i="17"/>
  <c r="Q440" i="17"/>
  <c r="O440" i="17"/>
  <c r="M440" i="17"/>
  <c r="L440" i="17"/>
  <c r="J440" i="17"/>
  <c r="I440" i="17"/>
  <c r="H440" i="17"/>
  <c r="G440" i="17"/>
  <c r="F440" i="17"/>
  <c r="E440" i="17"/>
  <c r="B440" i="17"/>
  <c r="A440" i="17"/>
  <c r="Q439" i="17"/>
  <c r="O439" i="17"/>
  <c r="N439" i="17"/>
  <c r="M439" i="17"/>
  <c r="L439" i="17"/>
  <c r="J439" i="17"/>
  <c r="I439" i="17"/>
  <c r="H439" i="17"/>
  <c r="G439" i="17"/>
  <c r="F439" i="17"/>
  <c r="E439" i="17"/>
  <c r="B439" i="17"/>
  <c r="A439" i="17"/>
  <c r="Q438" i="17"/>
  <c r="O438" i="17"/>
  <c r="N438" i="17"/>
  <c r="M438" i="17"/>
  <c r="L438" i="17"/>
  <c r="J438" i="17"/>
  <c r="I438" i="17"/>
  <c r="H438" i="17"/>
  <c r="G438" i="17"/>
  <c r="F438" i="17"/>
  <c r="F437" i="17" s="1"/>
  <c r="E438" i="17"/>
  <c r="C438" i="17"/>
  <c r="B438" i="17"/>
  <c r="A438" i="17"/>
  <c r="T436" i="17"/>
  <c r="Q436" i="17"/>
  <c r="O436" i="17"/>
  <c r="N436" i="17"/>
  <c r="M436" i="17"/>
  <c r="L436" i="17"/>
  <c r="J436" i="17"/>
  <c r="I436" i="17"/>
  <c r="H436" i="17"/>
  <c r="G436" i="17"/>
  <c r="F436" i="17"/>
  <c r="E436" i="17"/>
  <c r="B436" i="17"/>
  <c r="T435" i="17"/>
  <c r="Q435" i="17"/>
  <c r="O435" i="17"/>
  <c r="M435" i="17"/>
  <c r="L435" i="17"/>
  <c r="J435" i="17"/>
  <c r="I435" i="17"/>
  <c r="H435" i="17"/>
  <c r="G435" i="17"/>
  <c r="F435" i="17"/>
  <c r="E435" i="17"/>
  <c r="B435" i="17"/>
  <c r="T434" i="17"/>
  <c r="Q434" i="17"/>
  <c r="O434" i="17"/>
  <c r="N434" i="17"/>
  <c r="M434" i="17"/>
  <c r="J434" i="17"/>
  <c r="I434" i="17"/>
  <c r="H434" i="17"/>
  <c r="G434" i="17"/>
  <c r="F434" i="17"/>
  <c r="E434" i="17"/>
  <c r="B434" i="17"/>
  <c r="T433" i="17"/>
  <c r="Q433" i="17"/>
  <c r="O433" i="17"/>
  <c r="N433" i="17"/>
  <c r="M433" i="17"/>
  <c r="L433" i="17"/>
  <c r="J433" i="17"/>
  <c r="I433" i="17"/>
  <c r="H433" i="17"/>
  <c r="G433" i="17"/>
  <c r="F433" i="17"/>
  <c r="E433" i="17"/>
  <c r="B433" i="17"/>
  <c r="U432" i="17"/>
  <c r="T432" i="17"/>
  <c r="S432" i="17"/>
  <c r="R432" i="17"/>
  <c r="Q432" i="17"/>
  <c r="P432" i="17"/>
  <c r="O432" i="17"/>
  <c r="N432" i="17"/>
  <c r="M432" i="17"/>
  <c r="L432" i="17"/>
  <c r="K432" i="17"/>
  <c r="J432" i="17"/>
  <c r="I432" i="17"/>
  <c r="H432" i="17"/>
  <c r="G432" i="17"/>
  <c r="F432" i="17"/>
  <c r="E432" i="17"/>
  <c r="D432" i="17"/>
  <c r="C432" i="17"/>
  <c r="B432" i="17"/>
  <c r="Q430" i="17"/>
  <c r="O430" i="17"/>
  <c r="N430" i="17"/>
  <c r="M430" i="17"/>
  <c r="L430" i="17"/>
  <c r="J430" i="17"/>
  <c r="I430" i="17"/>
  <c r="H430" i="17"/>
  <c r="G430" i="17"/>
  <c r="F430" i="17"/>
  <c r="E430" i="17"/>
  <c r="B430" i="17"/>
  <c r="Q429" i="17"/>
  <c r="O429" i="17"/>
  <c r="N429" i="17"/>
  <c r="M429" i="17"/>
  <c r="L429" i="17"/>
  <c r="J429" i="17"/>
  <c r="I429" i="17"/>
  <c r="H429" i="17"/>
  <c r="G429" i="17"/>
  <c r="F429" i="17"/>
  <c r="E429" i="17"/>
  <c r="B429" i="17"/>
  <c r="A429" i="17"/>
  <c r="Q428" i="17"/>
  <c r="O428" i="17"/>
  <c r="M428" i="17"/>
  <c r="L428" i="17"/>
  <c r="J428" i="17"/>
  <c r="I428" i="17"/>
  <c r="H428" i="17"/>
  <c r="G428" i="17"/>
  <c r="F428" i="17"/>
  <c r="E428" i="17"/>
  <c r="B428" i="17"/>
  <c r="A428" i="17"/>
  <c r="U427" i="17"/>
  <c r="T427" i="17"/>
  <c r="S427" i="17"/>
  <c r="R427" i="17"/>
  <c r="Q427" i="17"/>
  <c r="P427" i="17"/>
  <c r="O427" i="17"/>
  <c r="N427" i="17"/>
  <c r="M427" i="17"/>
  <c r="L427" i="17"/>
  <c r="K427" i="17"/>
  <c r="J427" i="17"/>
  <c r="I427" i="17"/>
  <c r="H427" i="17"/>
  <c r="G427" i="17"/>
  <c r="F427" i="17"/>
  <c r="E427" i="17"/>
  <c r="B427" i="17"/>
  <c r="A427" i="17"/>
  <c r="T426" i="17"/>
  <c r="Q426" i="17"/>
  <c r="O426" i="17"/>
  <c r="M426" i="17"/>
  <c r="L426" i="17"/>
  <c r="J426" i="17"/>
  <c r="I426" i="17"/>
  <c r="H426" i="17"/>
  <c r="G426" i="17"/>
  <c r="F426" i="17"/>
  <c r="E426" i="17"/>
  <c r="B426" i="17"/>
  <c r="A426" i="17"/>
  <c r="T425" i="17"/>
  <c r="Q425" i="17"/>
  <c r="O425" i="17"/>
  <c r="N425" i="17"/>
  <c r="M425" i="17"/>
  <c r="L425" i="17"/>
  <c r="J425" i="17"/>
  <c r="I425" i="17"/>
  <c r="H425" i="17"/>
  <c r="G425" i="17"/>
  <c r="F425" i="17"/>
  <c r="E425" i="17"/>
  <c r="B425" i="17"/>
  <c r="A425" i="17"/>
  <c r="Q424" i="17"/>
  <c r="O424" i="17"/>
  <c r="N424" i="17"/>
  <c r="M424" i="17"/>
  <c r="L424" i="17"/>
  <c r="J424" i="17"/>
  <c r="I424" i="17"/>
  <c r="H424" i="17"/>
  <c r="G424" i="17"/>
  <c r="F424" i="17"/>
  <c r="E424" i="17"/>
  <c r="B424" i="17"/>
  <c r="A424" i="17"/>
  <c r="T423" i="17"/>
  <c r="Q423" i="17"/>
  <c r="O423" i="17"/>
  <c r="N423" i="17"/>
  <c r="M423" i="17"/>
  <c r="L423" i="17"/>
  <c r="J423" i="17"/>
  <c r="I423" i="17"/>
  <c r="H423" i="17"/>
  <c r="G423" i="17"/>
  <c r="F423" i="17"/>
  <c r="E423" i="17"/>
  <c r="B423" i="17"/>
  <c r="A423" i="17"/>
  <c r="Q422" i="17"/>
  <c r="O422" i="17"/>
  <c r="N422" i="17"/>
  <c r="M422" i="17"/>
  <c r="L422" i="17"/>
  <c r="J422" i="17"/>
  <c r="I422" i="17"/>
  <c r="H422" i="17"/>
  <c r="G422" i="17"/>
  <c r="F422" i="17"/>
  <c r="E422" i="17"/>
  <c r="B422" i="17"/>
  <c r="A422" i="17"/>
  <c r="Q421" i="17"/>
  <c r="O421" i="17"/>
  <c r="M421" i="17"/>
  <c r="L421" i="17"/>
  <c r="J421" i="17"/>
  <c r="I421" i="17"/>
  <c r="H421" i="17"/>
  <c r="G421" i="17"/>
  <c r="F421" i="17"/>
  <c r="E421" i="17"/>
  <c r="B421" i="17"/>
  <c r="A421" i="17"/>
  <c r="Q420" i="17"/>
  <c r="O420" i="17"/>
  <c r="M420" i="17"/>
  <c r="L420" i="17"/>
  <c r="J420" i="17"/>
  <c r="I420" i="17"/>
  <c r="H420" i="17"/>
  <c r="G420" i="17"/>
  <c r="F420" i="17"/>
  <c r="E420" i="17"/>
  <c r="B420" i="17"/>
  <c r="A420" i="17"/>
  <c r="T419" i="17"/>
  <c r="Q419" i="17"/>
  <c r="O419" i="17"/>
  <c r="N419" i="17"/>
  <c r="M419" i="17"/>
  <c r="L419" i="17"/>
  <c r="J419" i="17"/>
  <c r="I419" i="17"/>
  <c r="H419" i="17"/>
  <c r="G419" i="17"/>
  <c r="F419" i="17"/>
  <c r="F418" i="17" s="1"/>
  <c r="E419" i="17"/>
  <c r="C419" i="17"/>
  <c r="B419" i="17"/>
  <c r="A419" i="17"/>
  <c r="T417" i="17"/>
  <c r="Q417" i="17"/>
  <c r="O417" i="17"/>
  <c r="N417" i="17"/>
  <c r="M417" i="17"/>
  <c r="L417" i="17"/>
  <c r="J417" i="17"/>
  <c r="I417" i="17"/>
  <c r="H417" i="17"/>
  <c r="G417" i="17"/>
  <c r="F417" i="17"/>
  <c r="E417" i="17"/>
  <c r="B417" i="17"/>
  <c r="T416" i="17"/>
  <c r="Q416" i="17"/>
  <c r="O416" i="17"/>
  <c r="N416" i="17"/>
  <c r="M416" i="17"/>
  <c r="L416" i="17"/>
  <c r="J416" i="17"/>
  <c r="I416" i="17"/>
  <c r="H416" i="17"/>
  <c r="G416" i="17"/>
  <c r="F416" i="17"/>
  <c r="E416" i="17"/>
  <c r="B416" i="17"/>
  <c r="T415" i="17"/>
  <c r="Q415" i="17"/>
  <c r="O415" i="17"/>
  <c r="N415" i="17"/>
  <c r="M415" i="17"/>
  <c r="L415" i="17"/>
  <c r="J415" i="17"/>
  <c r="I415" i="17"/>
  <c r="H415" i="17"/>
  <c r="G415" i="17"/>
  <c r="F415" i="17"/>
  <c r="E415" i="17"/>
  <c r="B415" i="17"/>
  <c r="T414" i="17"/>
  <c r="Q414" i="17"/>
  <c r="O414" i="17"/>
  <c r="N414" i="17"/>
  <c r="M414" i="17"/>
  <c r="L414" i="17"/>
  <c r="J414" i="17"/>
  <c r="I414" i="17"/>
  <c r="H414" i="17"/>
  <c r="G414" i="17"/>
  <c r="F414" i="17"/>
  <c r="E414" i="17"/>
  <c r="B414" i="17"/>
  <c r="T413" i="17"/>
  <c r="Q413" i="17"/>
  <c r="O413" i="17"/>
  <c r="N413" i="17"/>
  <c r="M413" i="17"/>
  <c r="L413" i="17"/>
  <c r="J413" i="17"/>
  <c r="I413" i="17"/>
  <c r="H413" i="17"/>
  <c r="G413" i="17"/>
  <c r="F413" i="17"/>
  <c r="E413" i="17"/>
  <c r="B413" i="17"/>
  <c r="T412" i="17"/>
  <c r="Q412" i="17"/>
  <c r="O412" i="17"/>
  <c r="N412" i="17"/>
  <c r="M412" i="17"/>
  <c r="L412" i="17"/>
  <c r="J412" i="17"/>
  <c r="I412" i="17"/>
  <c r="H412" i="17"/>
  <c r="G412" i="17"/>
  <c r="F412" i="17"/>
  <c r="E412" i="17"/>
  <c r="B412" i="17"/>
  <c r="T411" i="17"/>
  <c r="Q411" i="17"/>
  <c r="O411" i="17"/>
  <c r="N411" i="17"/>
  <c r="M411" i="17"/>
  <c r="L411" i="17"/>
  <c r="J411" i="17"/>
  <c r="I411" i="17"/>
  <c r="H411" i="17"/>
  <c r="G411" i="17"/>
  <c r="F411" i="17"/>
  <c r="E411" i="17"/>
  <c r="T410" i="17"/>
  <c r="Q410" i="17"/>
  <c r="O410" i="17"/>
  <c r="N410" i="17"/>
  <c r="M410" i="17"/>
  <c r="L410" i="17"/>
  <c r="J410" i="17"/>
  <c r="I410" i="17"/>
  <c r="H410" i="17"/>
  <c r="G410" i="17"/>
  <c r="F410" i="17"/>
  <c r="E410" i="17"/>
  <c r="B410" i="17"/>
  <c r="A410" i="17"/>
  <c r="U409" i="17"/>
  <c r="T409" i="17"/>
  <c r="S409" i="17"/>
  <c r="R409" i="17"/>
  <c r="Q409" i="17"/>
  <c r="P409" i="17"/>
  <c r="O409" i="17"/>
  <c r="N409" i="17"/>
  <c r="M409" i="17"/>
  <c r="L409" i="17"/>
  <c r="K409" i="17"/>
  <c r="J409" i="17"/>
  <c r="I409" i="17"/>
  <c r="H409" i="17"/>
  <c r="G409" i="17"/>
  <c r="F409" i="17"/>
  <c r="E409" i="17"/>
  <c r="D409" i="17"/>
  <c r="C409" i="17"/>
  <c r="B409" i="17"/>
  <c r="A409" i="17"/>
  <c r="Q408" i="17"/>
  <c r="O408" i="17"/>
  <c r="N408" i="17"/>
  <c r="M408" i="17"/>
  <c r="L408" i="17"/>
  <c r="J408" i="17"/>
  <c r="I408" i="17"/>
  <c r="H408" i="17"/>
  <c r="G408" i="17"/>
  <c r="F408" i="17"/>
  <c r="E408" i="17"/>
  <c r="B408" i="17"/>
  <c r="A408" i="17"/>
  <c r="T407" i="17"/>
  <c r="Q407" i="17"/>
  <c r="O407" i="17"/>
  <c r="N407" i="17"/>
  <c r="M407" i="17"/>
  <c r="L407" i="17"/>
  <c r="J407" i="17"/>
  <c r="I407" i="17"/>
  <c r="H407" i="17"/>
  <c r="G407" i="17"/>
  <c r="F407" i="17"/>
  <c r="E407" i="17"/>
  <c r="B407" i="17"/>
  <c r="A407" i="17"/>
  <c r="U406" i="17"/>
  <c r="T406" i="17"/>
  <c r="S406" i="17"/>
  <c r="R406" i="17"/>
  <c r="Q406" i="17"/>
  <c r="P406" i="17"/>
  <c r="O406" i="17"/>
  <c r="N406" i="17"/>
  <c r="M406" i="17"/>
  <c r="L406" i="17"/>
  <c r="K406" i="17"/>
  <c r="J406" i="17"/>
  <c r="I406" i="17"/>
  <c r="H406" i="17"/>
  <c r="G406" i="17"/>
  <c r="F406" i="17"/>
  <c r="E406" i="17"/>
  <c r="B406" i="17"/>
  <c r="A406" i="17"/>
  <c r="T405" i="17"/>
  <c r="Q405" i="17"/>
  <c r="O405" i="17"/>
  <c r="M405" i="17"/>
  <c r="L405" i="17"/>
  <c r="J405" i="17"/>
  <c r="I405" i="17"/>
  <c r="H405" i="17"/>
  <c r="G405" i="17"/>
  <c r="F405" i="17"/>
  <c r="E405" i="17"/>
  <c r="B405" i="17"/>
  <c r="A405" i="17"/>
  <c r="Q404" i="17"/>
  <c r="O404" i="17"/>
  <c r="N404" i="17"/>
  <c r="M404" i="17"/>
  <c r="L404" i="17"/>
  <c r="J404" i="17"/>
  <c r="I404" i="17"/>
  <c r="H404" i="17"/>
  <c r="G404" i="17"/>
  <c r="F404" i="17"/>
  <c r="E404" i="17"/>
  <c r="B404" i="17"/>
  <c r="A404" i="17"/>
  <c r="Q403" i="17"/>
  <c r="O403" i="17"/>
  <c r="N403" i="17"/>
  <c r="M403" i="17"/>
  <c r="L403" i="17"/>
  <c r="J403" i="17"/>
  <c r="I403" i="17"/>
  <c r="H403" i="17"/>
  <c r="G403" i="17"/>
  <c r="F403" i="17"/>
  <c r="E403" i="17"/>
  <c r="B403" i="17"/>
  <c r="A403" i="17"/>
  <c r="T402" i="17"/>
  <c r="Q402" i="17"/>
  <c r="O402" i="17"/>
  <c r="N402" i="17"/>
  <c r="M402" i="17"/>
  <c r="L402" i="17"/>
  <c r="J402" i="17"/>
  <c r="I402" i="17"/>
  <c r="H402" i="17"/>
  <c r="G402" i="17"/>
  <c r="F402" i="17"/>
  <c r="E402" i="17"/>
  <c r="B402" i="17"/>
  <c r="A402" i="17"/>
  <c r="T401" i="17"/>
  <c r="Q401" i="17"/>
  <c r="O401" i="17"/>
  <c r="N401" i="17"/>
  <c r="M401" i="17"/>
  <c r="L401" i="17"/>
  <c r="J401" i="17"/>
  <c r="I401" i="17"/>
  <c r="H401" i="17"/>
  <c r="G401" i="17"/>
  <c r="F401" i="17"/>
  <c r="E401" i="17"/>
  <c r="B401" i="17"/>
  <c r="A401" i="17"/>
  <c r="Q400" i="17"/>
  <c r="O400" i="17"/>
  <c r="N400" i="17"/>
  <c r="M400" i="17"/>
  <c r="L400" i="17"/>
  <c r="J400" i="17"/>
  <c r="I400" i="17"/>
  <c r="H400" i="17"/>
  <c r="G400" i="17"/>
  <c r="F400" i="17"/>
  <c r="F399" i="17" s="1"/>
  <c r="E400" i="17"/>
  <c r="C400" i="17"/>
  <c r="B400" i="17"/>
  <c r="A400" i="17"/>
  <c r="T398" i="17"/>
  <c r="Q398" i="17"/>
  <c r="O398" i="17"/>
  <c r="N398" i="17"/>
  <c r="M398" i="17"/>
  <c r="L398" i="17"/>
  <c r="J398" i="17"/>
  <c r="I398" i="17"/>
  <c r="H398" i="17"/>
  <c r="G398" i="17"/>
  <c r="F398" i="17"/>
  <c r="E398" i="17"/>
  <c r="B398" i="17"/>
  <c r="T397" i="17"/>
  <c r="Q397" i="17"/>
  <c r="O397" i="17"/>
  <c r="N397" i="17"/>
  <c r="M397" i="17"/>
  <c r="L397" i="17"/>
  <c r="J397" i="17"/>
  <c r="I397" i="17"/>
  <c r="H397" i="17"/>
  <c r="G397" i="17"/>
  <c r="F397" i="17"/>
  <c r="E397" i="17"/>
  <c r="B397" i="17"/>
  <c r="T396" i="17"/>
  <c r="Q396" i="17"/>
  <c r="O396" i="17"/>
  <c r="N396" i="17"/>
  <c r="M396" i="17"/>
  <c r="L396" i="17"/>
  <c r="J396" i="17"/>
  <c r="I396" i="17"/>
  <c r="H396" i="17"/>
  <c r="G396" i="17"/>
  <c r="F396" i="17"/>
  <c r="E396" i="17"/>
  <c r="B396" i="17"/>
  <c r="T395" i="17"/>
  <c r="Q395" i="17"/>
  <c r="O395" i="17"/>
  <c r="N395" i="17"/>
  <c r="M395" i="17"/>
  <c r="L395" i="17"/>
  <c r="J395" i="17"/>
  <c r="I395" i="17"/>
  <c r="H395" i="17"/>
  <c r="G395" i="17"/>
  <c r="F395" i="17"/>
  <c r="E395" i="17"/>
  <c r="B395" i="17"/>
  <c r="T394" i="17"/>
  <c r="Q394" i="17"/>
  <c r="O394" i="17"/>
  <c r="N394" i="17"/>
  <c r="M394" i="17"/>
  <c r="L394" i="17"/>
  <c r="J394" i="17"/>
  <c r="I394" i="17"/>
  <c r="H394" i="17"/>
  <c r="G394" i="17"/>
  <c r="F394" i="17"/>
  <c r="E394" i="17"/>
  <c r="B394" i="17"/>
  <c r="Q393" i="17"/>
  <c r="O393" i="17"/>
  <c r="N393" i="17"/>
  <c r="M393" i="17"/>
  <c r="L393" i="17"/>
  <c r="J393" i="17"/>
  <c r="I393" i="17"/>
  <c r="H393" i="17"/>
  <c r="G393" i="17"/>
  <c r="F393" i="17"/>
  <c r="E393" i="17"/>
  <c r="B393" i="17"/>
  <c r="T392" i="17"/>
  <c r="Q392" i="17"/>
  <c r="O392" i="17"/>
  <c r="N392" i="17"/>
  <c r="M392" i="17"/>
  <c r="L392" i="17"/>
  <c r="J392" i="17"/>
  <c r="I392" i="17"/>
  <c r="H392" i="17"/>
  <c r="G392" i="17"/>
  <c r="F392" i="17"/>
  <c r="E392" i="17"/>
  <c r="U391" i="17"/>
  <c r="T391" i="17"/>
  <c r="S391" i="17"/>
  <c r="R391" i="17"/>
  <c r="Q391" i="17"/>
  <c r="P391" i="17"/>
  <c r="O391" i="17"/>
  <c r="N391" i="17"/>
  <c r="M391" i="17"/>
  <c r="L391" i="17"/>
  <c r="K391" i="17"/>
  <c r="J391" i="17"/>
  <c r="I391" i="17"/>
  <c r="H391" i="17"/>
  <c r="G391" i="17"/>
  <c r="F391" i="17"/>
  <c r="E391" i="17"/>
  <c r="B391" i="17"/>
  <c r="A391" i="17"/>
  <c r="Q390" i="17"/>
  <c r="O390" i="17"/>
  <c r="M390" i="17"/>
  <c r="L390" i="17"/>
  <c r="J390" i="17"/>
  <c r="I390" i="17"/>
  <c r="H390" i="17"/>
  <c r="G390" i="17"/>
  <c r="F390" i="17"/>
  <c r="E390" i="17"/>
  <c r="B390" i="17"/>
  <c r="A390" i="17"/>
  <c r="Q389" i="17"/>
  <c r="O389" i="17"/>
  <c r="N389" i="17"/>
  <c r="M389" i="17"/>
  <c r="L389" i="17"/>
  <c r="J389" i="17"/>
  <c r="I389" i="17"/>
  <c r="H389" i="17"/>
  <c r="G389" i="17"/>
  <c r="F389" i="17"/>
  <c r="E389" i="17"/>
  <c r="B389" i="17"/>
  <c r="A389" i="17"/>
  <c r="T388" i="17"/>
  <c r="Q388" i="17"/>
  <c r="O388" i="17"/>
  <c r="N388" i="17"/>
  <c r="M388" i="17"/>
  <c r="L388" i="17"/>
  <c r="J388" i="17"/>
  <c r="I388" i="17"/>
  <c r="H388" i="17"/>
  <c r="G388" i="17"/>
  <c r="F388" i="17"/>
  <c r="E388" i="17"/>
  <c r="B388" i="17"/>
  <c r="A388" i="17"/>
  <c r="U387" i="17"/>
  <c r="T387" i="17"/>
  <c r="S387" i="17"/>
  <c r="R387" i="17"/>
  <c r="Q387" i="17"/>
  <c r="P387" i="17"/>
  <c r="O387" i="17"/>
  <c r="N387" i="17"/>
  <c r="M387" i="17"/>
  <c r="L387" i="17"/>
  <c r="K387" i="17"/>
  <c r="J387" i="17"/>
  <c r="I387" i="17"/>
  <c r="H387" i="17"/>
  <c r="G387" i="17"/>
  <c r="F387" i="17"/>
  <c r="E387" i="17"/>
  <c r="D387" i="17"/>
  <c r="C387" i="17"/>
  <c r="B387" i="17"/>
  <c r="A387" i="17"/>
  <c r="Q386" i="17"/>
  <c r="O386" i="17"/>
  <c r="N386" i="17"/>
  <c r="M386" i="17"/>
  <c r="L386" i="17"/>
  <c r="J386" i="17"/>
  <c r="I386" i="17"/>
  <c r="H386" i="17"/>
  <c r="G386" i="17"/>
  <c r="F386" i="17"/>
  <c r="E386" i="17"/>
  <c r="B386" i="17"/>
  <c r="A386" i="17"/>
  <c r="T385" i="17"/>
  <c r="Q385" i="17"/>
  <c r="O385" i="17"/>
  <c r="N385" i="17"/>
  <c r="M385" i="17"/>
  <c r="L385" i="17"/>
  <c r="J385" i="17"/>
  <c r="I385" i="17"/>
  <c r="H385" i="17"/>
  <c r="G385" i="17"/>
  <c r="F385" i="17"/>
  <c r="E385" i="17"/>
  <c r="B385" i="17"/>
  <c r="A385" i="17"/>
  <c r="Q384" i="17"/>
  <c r="O384" i="17"/>
  <c r="N384" i="17"/>
  <c r="M384" i="17"/>
  <c r="L384" i="17"/>
  <c r="J384" i="17"/>
  <c r="I384" i="17"/>
  <c r="H384" i="17"/>
  <c r="G384" i="17"/>
  <c r="F384" i="17"/>
  <c r="E384" i="17"/>
  <c r="B384" i="17"/>
  <c r="A384" i="17"/>
  <c r="Q383" i="17"/>
  <c r="O383" i="17"/>
  <c r="N383" i="17"/>
  <c r="M383" i="17"/>
  <c r="L383" i="17"/>
  <c r="J383" i="17"/>
  <c r="I383" i="17"/>
  <c r="H383" i="17"/>
  <c r="G383" i="17"/>
  <c r="F383" i="17"/>
  <c r="E383" i="17"/>
  <c r="B383" i="17"/>
  <c r="A383" i="17"/>
  <c r="T382" i="17"/>
  <c r="Q382" i="17"/>
  <c r="O382" i="17"/>
  <c r="N382" i="17"/>
  <c r="M382" i="17"/>
  <c r="L382" i="17"/>
  <c r="J382" i="17"/>
  <c r="I382" i="17"/>
  <c r="H382" i="17"/>
  <c r="G382" i="17"/>
  <c r="F382" i="17"/>
  <c r="E382" i="17"/>
  <c r="B382" i="17"/>
  <c r="A382" i="17"/>
  <c r="T381" i="17"/>
  <c r="Q381" i="17"/>
  <c r="O381" i="17"/>
  <c r="N381" i="17"/>
  <c r="M381" i="17"/>
  <c r="L381" i="17"/>
  <c r="J381" i="17"/>
  <c r="I381" i="17"/>
  <c r="H381" i="17"/>
  <c r="F380" i="17" s="1"/>
  <c r="G381" i="17"/>
  <c r="F381" i="17"/>
  <c r="E381" i="17"/>
  <c r="C381" i="17"/>
  <c r="B381" i="17"/>
  <c r="A381" i="17"/>
  <c r="T379" i="17"/>
  <c r="Q379" i="17"/>
  <c r="O379" i="17"/>
  <c r="N379" i="17"/>
  <c r="M379" i="17"/>
  <c r="L379" i="17"/>
  <c r="J379" i="17"/>
  <c r="I379" i="17"/>
  <c r="H379" i="17"/>
  <c r="G379" i="17"/>
  <c r="F379" i="17"/>
  <c r="E379" i="17"/>
  <c r="B379" i="17"/>
  <c r="T378" i="17"/>
  <c r="Q378" i="17"/>
  <c r="O378" i="17"/>
  <c r="N378" i="17"/>
  <c r="M378" i="17"/>
  <c r="L378" i="17"/>
  <c r="J378" i="17"/>
  <c r="I378" i="17"/>
  <c r="H378" i="17"/>
  <c r="G378" i="17"/>
  <c r="F378" i="17"/>
  <c r="E378" i="17"/>
  <c r="B378" i="17"/>
  <c r="T377" i="17"/>
  <c r="Q377" i="17"/>
  <c r="O377" i="17"/>
  <c r="N377" i="17"/>
  <c r="M377" i="17"/>
  <c r="L377" i="17"/>
  <c r="J377" i="17"/>
  <c r="I377" i="17"/>
  <c r="H377" i="17"/>
  <c r="G377" i="17"/>
  <c r="F377" i="17"/>
  <c r="E377" i="17"/>
  <c r="B377" i="17"/>
  <c r="T376" i="17"/>
  <c r="Q376" i="17"/>
  <c r="O376" i="17"/>
  <c r="N376" i="17"/>
  <c r="M376" i="17"/>
  <c r="L376" i="17"/>
  <c r="J376" i="17"/>
  <c r="I376" i="17"/>
  <c r="H376" i="17"/>
  <c r="G376" i="17"/>
  <c r="F376" i="17"/>
  <c r="E376" i="17"/>
  <c r="B376" i="17"/>
  <c r="T375" i="17"/>
  <c r="Q375" i="17"/>
  <c r="O375" i="17"/>
  <c r="N375" i="17"/>
  <c r="M375" i="17"/>
  <c r="L375" i="17"/>
  <c r="J375" i="17"/>
  <c r="I375" i="17"/>
  <c r="H375" i="17"/>
  <c r="G375" i="17"/>
  <c r="F375" i="17"/>
  <c r="E375" i="17"/>
  <c r="B375" i="17"/>
  <c r="Q374" i="17"/>
  <c r="O374" i="17"/>
  <c r="N374" i="17"/>
  <c r="M374" i="17"/>
  <c r="L374" i="17"/>
  <c r="J374" i="17"/>
  <c r="I374" i="17"/>
  <c r="H374" i="17"/>
  <c r="G374" i="17"/>
  <c r="F374" i="17"/>
  <c r="E374" i="17"/>
  <c r="B374" i="17"/>
  <c r="T373" i="17"/>
  <c r="Q373" i="17"/>
  <c r="O373" i="17"/>
  <c r="N373" i="17"/>
  <c r="M373" i="17"/>
  <c r="L373" i="17"/>
  <c r="J373" i="17"/>
  <c r="I373" i="17"/>
  <c r="H373" i="17"/>
  <c r="G373" i="17"/>
  <c r="F373" i="17"/>
  <c r="E373" i="17"/>
  <c r="B373" i="17"/>
  <c r="U372" i="17"/>
  <c r="T372" i="17"/>
  <c r="S372" i="17"/>
  <c r="R372" i="17"/>
  <c r="Q372" i="17"/>
  <c r="P372" i="17"/>
  <c r="O372" i="17"/>
  <c r="N372" i="17"/>
  <c r="M372" i="17"/>
  <c r="L372" i="17"/>
  <c r="K372" i="17"/>
  <c r="J372" i="17"/>
  <c r="I372" i="17"/>
  <c r="H372" i="17"/>
  <c r="G372" i="17"/>
  <c r="F372" i="17"/>
  <c r="E372" i="17"/>
  <c r="D372" i="17"/>
  <c r="C372" i="17"/>
  <c r="B372" i="17"/>
  <c r="A372" i="17"/>
  <c r="T371" i="17"/>
  <c r="Q371" i="17"/>
  <c r="O371" i="17"/>
  <c r="N371" i="17"/>
  <c r="M371" i="17"/>
  <c r="L371" i="17"/>
  <c r="J371" i="17"/>
  <c r="I371" i="17"/>
  <c r="H371" i="17"/>
  <c r="G371" i="17"/>
  <c r="F371" i="17"/>
  <c r="E371" i="17"/>
  <c r="B371" i="17"/>
  <c r="A371" i="17"/>
  <c r="T370" i="17"/>
  <c r="Q370" i="17"/>
  <c r="O370" i="17"/>
  <c r="N370" i="17"/>
  <c r="M370" i="17"/>
  <c r="L370" i="17"/>
  <c r="J370" i="17"/>
  <c r="I370" i="17"/>
  <c r="H370" i="17"/>
  <c r="G370" i="17"/>
  <c r="F370" i="17"/>
  <c r="E370" i="17"/>
  <c r="B370" i="17"/>
  <c r="A370" i="17"/>
  <c r="U369" i="17"/>
  <c r="T369" i="17"/>
  <c r="S369" i="17"/>
  <c r="R369" i="17"/>
  <c r="Q369" i="17"/>
  <c r="P369" i="17"/>
  <c r="O369" i="17"/>
  <c r="N369" i="17"/>
  <c r="M369" i="17"/>
  <c r="L369" i="17"/>
  <c r="K369" i="17"/>
  <c r="J369" i="17"/>
  <c r="I369" i="17"/>
  <c r="H369" i="17"/>
  <c r="G369" i="17"/>
  <c r="F369" i="17"/>
  <c r="E369" i="17"/>
  <c r="B369" i="17"/>
  <c r="A369" i="17"/>
  <c r="Q368" i="17"/>
  <c r="O368" i="17"/>
  <c r="N368" i="17"/>
  <c r="M368" i="17"/>
  <c r="L368" i="17"/>
  <c r="J368" i="17"/>
  <c r="I368" i="17"/>
  <c r="H368" i="17"/>
  <c r="G368" i="17"/>
  <c r="F368" i="17"/>
  <c r="E368" i="17"/>
  <c r="B368" i="17"/>
  <c r="A368" i="17"/>
  <c r="T367" i="17"/>
  <c r="Q367" i="17"/>
  <c r="O367" i="17"/>
  <c r="M367" i="17"/>
  <c r="L367" i="17"/>
  <c r="J367" i="17"/>
  <c r="I367" i="17"/>
  <c r="H367" i="17"/>
  <c r="G367" i="17"/>
  <c r="F367" i="17"/>
  <c r="E367" i="17"/>
  <c r="B367" i="17"/>
  <c r="A367" i="17"/>
  <c r="T366" i="17"/>
  <c r="Q366" i="17"/>
  <c r="O366" i="17"/>
  <c r="N366" i="17"/>
  <c r="M366" i="17"/>
  <c r="L366" i="17"/>
  <c r="J366" i="17"/>
  <c r="I366" i="17"/>
  <c r="H366" i="17"/>
  <c r="G366" i="17"/>
  <c r="F366" i="17"/>
  <c r="E366" i="17"/>
  <c r="B366" i="17"/>
  <c r="A366" i="17"/>
  <c r="T365" i="17"/>
  <c r="Q365" i="17"/>
  <c r="O365" i="17"/>
  <c r="M365" i="17"/>
  <c r="L365" i="17"/>
  <c r="J365" i="17"/>
  <c r="I365" i="17"/>
  <c r="H365" i="17"/>
  <c r="G365" i="17"/>
  <c r="F365" i="17"/>
  <c r="E365" i="17"/>
  <c r="B365" i="17"/>
  <c r="A365" i="17"/>
  <c r="Q364" i="17"/>
  <c r="O364" i="17"/>
  <c r="M364" i="17"/>
  <c r="L364" i="17"/>
  <c r="J364" i="17"/>
  <c r="I364" i="17"/>
  <c r="H364" i="17"/>
  <c r="G364" i="17"/>
  <c r="F364" i="17"/>
  <c r="E364" i="17"/>
  <c r="B364" i="17"/>
  <c r="A364" i="17"/>
  <c r="Q363" i="17"/>
  <c r="O363" i="17"/>
  <c r="N363" i="17"/>
  <c r="M363" i="17"/>
  <c r="L363" i="17"/>
  <c r="J363" i="17"/>
  <c r="I363" i="17"/>
  <c r="H363" i="17"/>
  <c r="F362" i="17" s="1"/>
  <c r="G363" i="17"/>
  <c r="F363" i="17"/>
  <c r="E363" i="17"/>
  <c r="C363" i="17"/>
  <c r="B363" i="17"/>
  <c r="A363" i="17"/>
  <c r="T328" i="17"/>
  <c r="Q328" i="17"/>
  <c r="O328" i="17"/>
  <c r="N328" i="17"/>
  <c r="M328" i="17"/>
  <c r="L328" i="17"/>
  <c r="J328" i="17"/>
  <c r="I328" i="17"/>
  <c r="H328" i="17"/>
  <c r="G328" i="17"/>
  <c r="F328" i="17"/>
  <c r="E328" i="17"/>
  <c r="B328" i="17"/>
  <c r="A328" i="17"/>
  <c r="Q342" i="17"/>
  <c r="O342" i="17"/>
  <c r="N342" i="17"/>
  <c r="M342" i="17"/>
  <c r="L342" i="17"/>
  <c r="J342" i="17"/>
  <c r="I342" i="17"/>
  <c r="H342" i="17"/>
  <c r="G342" i="17"/>
  <c r="F342" i="17"/>
  <c r="E342" i="17"/>
  <c r="B342" i="17"/>
  <c r="T341" i="17"/>
  <c r="Q341" i="17"/>
  <c r="O341" i="17"/>
  <c r="N341" i="17"/>
  <c r="M341" i="17"/>
  <c r="L341" i="17"/>
  <c r="J341" i="17"/>
  <c r="I341" i="17"/>
  <c r="H341" i="17"/>
  <c r="G341" i="17"/>
  <c r="F341" i="17"/>
  <c r="E341" i="17"/>
  <c r="B341" i="17"/>
  <c r="T340" i="17"/>
  <c r="Q340" i="17"/>
  <c r="O340" i="17"/>
  <c r="M340" i="17"/>
  <c r="L340" i="17"/>
  <c r="J340" i="17"/>
  <c r="I340" i="17"/>
  <c r="H340" i="17"/>
  <c r="G340" i="17"/>
  <c r="F340" i="17"/>
  <c r="E340" i="17"/>
  <c r="B340" i="17"/>
  <c r="T339" i="17"/>
  <c r="Q339" i="17"/>
  <c r="O339" i="17"/>
  <c r="N339" i="17"/>
  <c r="M339" i="17"/>
  <c r="L339" i="17"/>
  <c r="J339" i="17"/>
  <c r="I339" i="17"/>
  <c r="H339" i="17"/>
  <c r="G339" i="17"/>
  <c r="F339" i="17"/>
  <c r="E339" i="17"/>
  <c r="B339" i="17"/>
  <c r="T338" i="17"/>
  <c r="Q338" i="17"/>
  <c r="O338" i="17"/>
  <c r="N338" i="17"/>
  <c r="M338" i="17"/>
  <c r="L338" i="17"/>
  <c r="J338" i="17"/>
  <c r="I338" i="17"/>
  <c r="H338" i="17"/>
  <c r="G338" i="17"/>
  <c r="F338" i="17"/>
  <c r="E338" i="17"/>
  <c r="B338" i="17"/>
  <c r="T337" i="17"/>
  <c r="Q337" i="17"/>
  <c r="O337" i="17"/>
  <c r="N337" i="17"/>
  <c r="M337" i="17"/>
  <c r="L337" i="17"/>
  <c r="J337" i="17"/>
  <c r="I337" i="17"/>
  <c r="H337" i="17"/>
  <c r="G337" i="17"/>
  <c r="F337" i="17"/>
  <c r="E337" i="17"/>
  <c r="B337" i="17"/>
  <c r="T336" i="17"/>
  <c r="Q336" i="17"/>
  <c r="O336" i="17"/>
  <c r="N336" i="17"/>
  <c r="M336" i="17"/>
  <c r="L336" i="17"/>
  <c r="J336" i="17"/>
  <c r="I336" i="17"/>
  <c r="H336" i="17"/>
  <c r="G336" i="17"/>
  <c r="F336" i="17"/>
  <c r="E336" i="17"/>
  <c r="B336" i="17"/>
  <c r="Q335" i="17"/>
  <c r="O335" i="17"/>
  <c r="N335" i="17"/>
  <c r="M335" i="17"/>
  <c r="L335" i="17"/>
  <c r="J335" i="17"/>
  <c r="I335" i="17"/>
  <c r="H335" i="17"/>
  <c r="G335" i="17"/>
  <c r="F335" i="17"/>
  <c r="E335" i="17"/>
  <c r="B335" i="17"/>
  <c r="A335" i="17"/>
  <c r="Q334" i="17"/>
  <c r="O334" i="17"/>
  <c r="M334" i="17"/>
  <c r="L334" i="17"/>
  <c r="J334" i="17"/>
  <c r="I334" i="17"/>
  <c r="H334" i="17"/>
  <c r="G334" i="17"/>
  <c r="F334" i="17"/>
  <c r="E334" i="17"/>
  <c r="B334" i="17"/>
  <c r="A334" i="17"/>
  <c r="U333" i="17"/>
  <c r="T333" i="17"/>
  <c r="S333" i="17"/>
  <c r="R333" i="17"/>
  <c r="Q333" i="17"/>
  <c r="P333" i="17"/>
  <c r="O333" i="17"/>
  <c r="N333" i="17"/>
  <c r="M333" i="17"/>
  <c r="L333" i="17"/>
  <c r="K333" i="17"/>
  <c r="J333" i="17"/>
  <c r="I333" i="17"/>
  <c r="H333" i="17"/>
  <c r="G333" i="17"/>
  <c r="F333" i="17"/>
  <c r="E333" i="17"/>
  <c r="B333" i="17"/>
  <c r="A333" i="17"/>
  <c r="U332" i="17"/>
  <c r="T332" i="17"/>
  <c r="S332" i="17"/>
  <c r="R332" i="17"/>
  <c r="Q332" i="17"/>
  <c r="P332" i="17"/>
  <c r="O332" i="17"/>
  <c r="N332" i="17"/>
  <c r="M332" i="17"/>
  <c r="L332" i="17"/>
  <c r="K332" i="17"/>
  <c r="J332" i="17"/>
  <c r="I332" i="17"/>
  <c r="H332" i="17"/>
  <c r="G332" i="17"/>
  <c r="F332" i="17"/>
  <c r="E332" i="17"/>
  <c r="B332" i="17"/>
  <c r="A332" i="17"/>
  <c r="U331" i="17"/>
  <c r="T331" i="17"/>
  <c r="S331" i="17"/>
  <c r="R331" i="17"/>
  <c r="Q331" i="17"/>
  <c r="P331" i="17"/>
  <c r="O331" i="17"/>
  <c r="N331" i="17"/>
  <c r="M331" i="17"/>
  <c r="L331" i="17"/>
  <c r="K331" i="17"/>
  <c r="J331" i="17"/>
  <c r="I331" i="17"/>
  <c r="H331" i="17"/>
  <c r="G331" i="17"/>
  <c r="F331" i="17"/>
  <c r="E331" i="17"/>
  <c r="D331" i="17"/>
  <c r="C331" i="17"/>
  <c r="B331" i="17"/>
  <c r="A331" i="17"/>
  <c r="Q330" i="17"/>
  <c r="O330" i="17"/>
  <c r="N330" i="17"/>
  <c r="M330" i="17"/>
  <c r="L330" i="17"/>
  <c r="J330" i="17"/>
  <c r="I330" i="17"/>
  <c r="H330" i="17"/>
  <c r="G330" i="17"/>
  <c r="F330" i="17"/>
  <c r="E330" i="17"/>
  <c r="B330" i="17"/>
  <c r="A330" i="17"/>
  <c r="Q329" i="17"/>
  <c r="O329" i="17"/>
  <c r="M329" i="17"/>
  <c r="L329" i="17"/>
  <c r="J329" i="17"/>
  <c r="I329" i="17"/>
  <c r="H329" i="17"/>
  <c r="G329" i="17"/>
  <c r="F329" i="17"/>
  <c r="E329" i="17"/>
  <c r="B329" i="17"/>
  <c r="A329" i="17"/>
  <c r="T327" i="17"/>
  <c r="Q327" i="17"/>
  <c r="O327" i="17"/>
  <c r="N327" i="17"/>
  <c r="M327" i="17"/>
  <c r="L327" i="17"/>
  <c r="J327" i="17"/>
  <c r="I327" i="17"/>
  <c r="H327" i="17"/>
  <c r="G327" i="17"/>
  <c r="F327" i="17"/>
  <c r="E327" i="17"/>
  <c r="B327" i="17"/>
  <c r="A327" i="17"/>
  <c r="T326" i="17"/>
  <c r="Q326" i="17"/>
  <c r="O326" i="17"/>
  <c r="N326" i="17"/>
  <c r="M326" i="17"/>
  <c r="L326" i="17"/>
  <c r="J326" i="17"/>
  <c r="I326" i="17"/>
  <c r="H326" i="17"/>
  <c r="G326" i="17"/>
  <c r="F326" i="17"/>
  <c r="E326" i="17"/>
  <c r="B326" i="17"/>
  <c r="A326" i="17"/>
  <c r="Q325" i="17"/>
  <c r="O325" i="17"/>
  <c r="N325" i="17"/>
  <c r="M325" i="17"/>
  <c r="L325" i="17"/>
  <c r="J325" i="17"/>
  <c r="I325" i="17"/>
  <c r="H325" i="17"/>
  <c r="F324" i="17" s="1"/>
  <c r="G325" i="17"/>
  <c r="F325" i="17"/>
  <c r="E325" i="17"/>
  <c r="C325" i="17"/>
  <c r="B325" i="17"/>
  <c r="A325" i="17"/>
  <c r="T323" i="17"/>
  <c r="Q323" i="17"/>
  <c r="O323" i="17"/>
  <c r="N323" i="17"/>
  <c r="M323" i="17"/>
  <c r="L323" i="17"/>
  <c r="J323" i="17"/>
  <c r="I323" i="17"/>
  <c r="H323" i="17"/>
  <c r="G323" i="17"/>
  <c r="F323" i="17"/>
  <c r="E323" i="17"/>
  <c r="B323" i="17"/>
  <c r="T322" i="17"/>
  <c r="Q322" i="17"/>
  <c r="O322" i="17"/>
  <c r="N322" i="17"/>
  <c r="M322" i="17"/>
  <c r="L322" i="17"/>
  <c r="J322" i="17"/>
  <c r="I322" i="17"/>
  <c r="H322" i="17"/>
  <c r="G322" i="17"/>
  <c r="F322" i="17"/>
  <c r="E322" i="17"/>
  <c r="B322" i="17"/>
  <c r="T321" i="17"/>
  <c r="Q321" i="17"/>
  <c r="O321" i="17"/>
  <c r="N321" i="17"/>
  <c r="M321" i="17"/>
  <c r="L321" i="17"/>
  <c r="J321" i="17"/>
  <c r="I321" i="17"/>
  <c r="H321" i="17"/>
  <c r="G321" i="17"/>
  <c r="F321" i="17"/>
  <c r="E321" i="17"/>
  <c r="B321" i="17"/>
  <c r="T320" i="17"/>
  <c r="Q320" i="17"/>
  <c r="O320" i="17"/>
  <c r="N320" i="17"/>
  <c r="M320" i="17"/>
  <c r="L320" i="17"/>
  <c r="J320" i="17"/>
  <c r="I320" i="17"/>
  <c r="H320" i="17"/>
  <c r="G320" i="17"/>
  <c r="F320" i="17"/>
  <c r="E320" i="17"/>
  <c r="B320" i="17"/>
  <c r="T319" i="17"/>
  <c r="Q319" i="17"/>
  <c r="O319" i="17"/>
  <c r="N319" i="17"/>
  <c r="M319" i="17"/>
  <c r="L319" i="17"/>
  <c r="J319" i="17"/>
  <c r="I319" i="17"/>
  <c r="H319" i="17"/>
  <c r="G319" i="17"/>
  <c r="F319" i="17"/>
  <c r="E319" i="17"/>
  <c r="B319" i="17"/>
  <c r="Q318" i="17"/>
  <c r="O318" i="17"/>
  <c r="M318" i="17"/>
  <c r="L318" i="17"/>
  <c r="J318" i="17"/>
  <c r="I318" i="17"/>
  <c r="H318" i="17"/>
  <c r="G318" i="17"/>
  <c r="F318" i="17"/>
  <c r="E318" i="17"/>
  <c r="B318" i="17"/>
  <c r="T316" i="17"/>
  <c r="Q316" i="17"/>
  <c r="O316" i="17"/>
  <c r="N316" i="17"/>
  <c r="M316" i="17"/>
  <c r="L316" i="17"/>
  <c r="J316" i="17"/>
  <c r="I316" i="17"/>
  <c r="H316" i="17"/>
  <c r="G316" i="17"/>
  <c r="F316" i="17"/>
  <c r="E316" i="17"/>
  <c r="B316" i="17"/>
  <c r="A316" i="17"/>
  <c r="T315" i="17"/>
  <c r="Q315" i="17"/>
  <c r="O315" i="17"/>
  <c r="N315" i="17"/>
  <c r="M315" i="17"/>
  <c r="L315" i="17"/>
  <c r="J315" i="17"/>
  <c r="I315" i="17"/>
  <c r="H315" i="17"/>
  <c r="G315" i="17"/>
  <c r="F315" i="17"/>
  <c r="E315" i="17"/>
  <c r="B315" i="17"/>
  <c r="A315" i="17"/>
  <c r="Q314" i="17"/>
  <c r="O314" i="17"/>
  <c r="N314" i="17"/>
  <c r="M314" i="17"/>
  <c r="L314" i="17"/>
  <c r="J314" i="17"/>
  <c r="I314" i="17"/>
  <c r="H314" i="17"/>
  <c r="G314" i="17"/>
  <c r="F314" i="17"/>
  <c r="E314" i="17"/>
  <c r="B314" i="17"/>
  <c r="A314" i="17"/>
  <c r="U313" i="17"/>
  <c r="T313" i="17"/>
  <c r="S313" i="17"/>
  <c r="R313" i="17"/>
  <c r="Q313" i="17"/>
  <c r="P313" i="17"/>
  <c r="O313" i="17"/>
  <c r="N313" i="17"/>
  <c r="M313" i="17"/>
  <c r="L313" i="17"/>
  <c r="K313" i="17"/>
  <c r="J313" i="17"/>
  <c r="I313" i="17"/>
  <c r="H313" i="17"/>
  <c r="G313" i="17"/>
  <c r="F313" i="17"/>
  <c r="E313" i="17"/>
  <c r="D313" i="17"/>
  <c r="C313" i="17"/>
  <c r="B313" i="17"/>
  <c r="A313" i="17"/>
  <c r="U312" i="17"/>
  <c r="T312" i="17"/>
  <c r="S312" i="17"/>
  <c r="R312" i="17"/>
  <c r="Q312" i="17"/>
  <c r="P312" i="17"/>
  <c r="O312" i="17"/>
  <c r="N312" i="17"/>
  <c r="M312" i="17"/>
  <c r="L312" i="17"/>
  <c r="K312" i="17"/>
  <c r="J312" i="17"/>
  <c r="I312" i="17"/>
  <c r="H312" i="17"/>
  <c r="G312" i="17"/>
  <c r="F312" i="17"/>
  <c r="E312" i="17"/>
  <c r="B312" i="17"/>
  <c r="A312" i="17"/>
  <c r="T311" i="17"/>
  <c r="Q311" i="17"/>
  <c r="P311" i="17"/>
  <c r="O311" i="17"/>
  <c r="N311" i="17"/>
  <c r="M311" i="17"/>
  <c r="L311" i="17"/>
  <c r="J311" i="17"/>
  <c r="I311" i="17"/>
  <c r="H311" i="17"/>
  <c r="G311" i="17"/>
  <c r="F311" i="17"/>
  <c r="E311" i="17"/>
  <c r="B311" i="17"/>
  <c r="A311" i="17"/>
  <c r="Q310" i="17"/>
  <c r="O310" i="17"/>
  <c r="N310" i="17"/>
  <c r="M310" i="17"/>
  <c r="L310" i="17"/>
  <c r="J310" i="17"/>
  <c r="I310" i="17"/>
  <c r="H310" i="17"/>
  <c r="G310" i="17"/>
  <c r="F310" i="17"/>
  <c r="E310" i="17"/>
  <c r="B310" i="17"/>
  <c r="A310" i="17"/>
  <c r="T309" i="17"/>
  <c r="Q309" i="17"/>
  <c r="O309" i="17"/>
  <c r="N309" i="17"/>
  <c r="M309" i="17"/>
  <c r="L309" i="17"/>
  <c r="J309" i="17"/>
  <c r="I309" i="17"/>
  <c r="H309" i="17"/>
  <c r="G309" i="17"/>
  <c r="F309" i="17"/>
  <c r="E309" i="17"/>
  <c r="B309" i="17"/>
  <c r="A309" i="17"/>
  <c r="Q308" i="17"/>
  <c r="O308" i="17"/>
  <c r="N308" i="17"/>
  <c r="M308" i="17"/>
  <c r="L308" i="17"/>
  <c r="J308" i="17"/>
  <c r="I308" i="17"/>
  <c r="H308" i="17"/>
  <c r="G308" i="17"/>
  <c r="F308" i="17"/>
  <c r="E308" i="17"/>
  <c r="B308" i="17"/>
  <c r="A308" i="17"/>
  <c r="Q307" i="17"/>
  <c r="O307" i="17"/>
  <c r="N307" i="17"/>
  <c r="M307" i="17"/>
  <c r="L307" i="17"/>
  <c r="J307" i="17"/>
  <c r="I307" i="17"/>
  <c r="H307" i="17"/>
  <c r="G307" i="17"/>
  <c r="F307" i="17"/>
  <c r="E307" i="17"/>
  <c r="B307" i="17"/>
  <c r="A307" i="17"/>
  <c r="Q306" i="17"/>
  <c r="O306" i="17"/>
  <c r="N306" i="17"/>
  <c r="M306" i="17"/>
  <c r="L306" i="17"/>
  <c r="J306" i="17"/>
  <c r="I306" i="17"/>
  <c r="H306" i="17"/>
  <c r="F305" i="17" s="1"/>
  <c r="G306" i="17"/>
  <c r="F306" i="17"/>
  <c r="E306" i="17"/>
  <c r="C306" i="17"/>
  <c r="B306" i="17"/>
  <c r="A306" i="17"/>
  <c r="Q304" i="17"/>
  <c r="O304" i="17"/>
  <c r="N304" i="17"/>
  <c r="M304" i="17"/>
  <c r="L304" i="17"/>
  <c r="J304" i="17"/>
  <c r="I304" i="17"/>
  <c r="H304" i="17"/>
  <c r="G304" i="17"/>
  <c r="F304" i="17"/>
  <c r="E304" i="17"/>
  <c r="B304" i="17"/>
  <c r="T303" i="17"/>
  <c r="Q303" i="17"/>
  <c r="O303" i="17"/>
  <c r="N303" i="17"/>
  <c r="M303" i="17"/>
  <c r="L303" i="17"/>
  <c r="J303" i="17"/>
  <c r="I303" i="17"/>
  <c r="H303" i="17"/>
  <c r="G303" i="17"/>
  <c r="F303" i="17"/>
  <c r="E303" i="17"/>
  <c r="B303" i="17"/>
  <c r="T302" i="17"/>
  <c r="Q302" i="17"/>
  <c r="O302" i="17"/>
  <c r="N302" i="17"/>
  <c r="M302" i="17"/>
  <c r="L302" i="17"/>
  <c r="J302" i="17"/>
  <c r="I302" i="17"/>
  <c r="H302" i="17"/>
  <c r="G302" i="17"/>
  <c r="F302" i="17"/>
  <c r="E302" i="17"/>
  <c r="B302" i="17"/>
  <c r="T301" i="17"/>
  <c r="Q301" i="17"/>
  <c r="O301" i="17"/>
  <c r="N301" i="17"/>
  <c r="M301" i="17"/>
  <c r="L301" i="17"/>
  <c r="J301" i="17"/>
  <c r="I301" i="17"/>
  <c r="H301" i="17"/>
  <c r="G301" i="17"/>
  <c r="F301" i="17"/>
  <c r="E301" i="17"/>
  <c r="B301" i="17"/>
  <c r="T300" i="17"/>
  <c r="Q300" i="17"/>
  <c r="O300" i="17"/>
  <c r="N300" i="17"/>
  <c r="M300" i="17"/>
  <c r="L300" i="17"/>
  <c r="J300" i="17"/>
  <c r="I300" i="17"/>
  <c r="H300" i="17"/>
  <c r="G300" i="17"/>
  <c r="F300" i="17"/>
  <c r="E300" i="17"/>
  <c r="B300" i="17"/>
  <c r="Q299" i="17"/>
  <c r="O299" i="17"/>
  <c r="M299" i="17"/>
  <c r="L299" i="17"/>
  <c r="J299" i="17"/>
  <c r="I299" i="17"/>
  <c r="H299" i="17"/>
  <c r="G299" i="17"/>
  <c r="F299" i="17"/>
  <c r="E299" i="17"/>
  <c r="B299" i="17"/>
  <c r="T297" i="17"/>
  <c r="Q297" i="17"/>
  <c r="O297" i="17"/>
  <c r="N297" i="17"/>
  <c r="M297" i="17"/>
  <c r="L297" i="17"/>
  <c r="J297" i="17"/>
  <c r="I297" i="17"/>
  <c r="H297" i="17"/>
  <c r="G297" i="17"/>
  <c r="F297" i="17"/>
  <c r="E297" i="17"/>
  <c r="B297" i="17"/>
  <c r="A297" i="17"/>
  <c r="Q296" i="17"/>
  <c r="O296" i="17"/>
  <c r="N296" i="17"/>
  <c r="M296" i="17"/>
  <c r="L296" i="17"/>
  <c r="J296" i="17"/>
  <c r="I296" i="17"/>
  <c r="H296" i="17"/>
  <c r="G296" i="17"/>
  <c r="F296" i="17"/>
  <c r="E296" i="17"/>
  <c r="B296" i="17"/>
  <c r="A296" i="17"/>
  <c r="U295" i="17"/>
  <c r="T295" i="17"/>
  <c r="S295" i="17"/>
  <c r="R295" i="17"/>
  <c r="Q295" i="17"/>
  <c r="P295" i="17"/>
  <c r="O295" i="17"/>
  <c r="N295" i="17"/>
  <c r="M295" i="17"/>
  <c r="L295" i="17"/>
  <c r="K295" i="17"/>
  <c r="J295" i="17"/>
  <c r="I295" i="17"/>
  <c r="H295" i="17"/>
  <c r="G295" i="17"/>
  <c r="F295" i="17"/>
  <c r="E295" i="17"/>
  <c r="B295" i="17"/>
  <c r="A295" i="17"/>
  <c r="U294" i="17"/>
  <c r="T294" i="17"/>
  <c r="S294" i="17"/>
  <c r="R294" i="17"/>
  <c r="Q294" i="17"/>
  <c r="P294" i="17"/>
  <c r="O294" i="17"/>
  <c r="N294" i="17"/>
  <c r="M294" i="17"/>
  <c r="L294" i="17"/>
  <c r="K294" i="17"/>
  <c r="J294" i="17"/>
  <c r="I294" i="17"/>
  <c r="H294" i="17"/>
  <c r="G294" i="17"/>
  <c r="F294" i="17"/>
  <c r="E294" i="17"/>
  <c r="D294" i="17"/>
  <c r="C294" i="17"/>
  <c r="B294" i="17"/>
  <c r="A294" i="17"/>
  <c r="U293" i="17"/>
  <c r="T293" i="17"/>
  <c r="S293" i="17"/>
  <c r="R293" i="17"/>
  <c r="Q293" i="17"/>
  <c r="P293" i="17"/>
  <c r="O293" i="17"/>
  <c r="N293" i="17"/>
  <c r="M293" i="17"/>
  <c r="L293" i="17"/>
  <c r="K293" i="17"/>
  <c r="J293" i="17"/>
  <c r="I293" i="17"/>
  <c r="H293" i="17"/>
  <c r="G293" i="17"/>
  <c r="F293" i="17"/>
  <c r="E293" i="17"/>
  <c r="B293" i="17"/>
  <c r="A293" i="17"/>
  <c r="T292" i="17"/>
  <c r="Q292" i="17"/>
  <c r="P292" i="17"/>
  <c r="O292" i="17"/>
  <c r="N292" i="17"/>
  <c r="M292" i="17"/>
  <c r="L292" i="17"/>
  <c r="J292" i="17"/>
  <c r="I292" i="17"/>
  <c r="H292" i="17"/>
  <c r="G292" i="17"/>
  <c r="F292" i="17"/>
  <c r="E292" i="17"/>
  <c r="B292" i="17"/>
  <c r="A292" i="17"/>
  <c r="Q291" i="17"/>
  <c r="O291" i="17"/>
  <c r="N291" i="17"/>
  <c r="M291" i="17"/>
  <c r="L291" i="17"/>
  <c r="J291" i="17"/>
  <c r="I291" i="17"/>
  <c r="H291" i="17"/>
  <c r="G291" i="17"/>
  <c r="F291" i="17"/>
  <c r="E291" i="17"/>
  <c r="B291" i="17"/>
  <c r="A291" i="17"/>
  <c r="T290" i="17"/>
  <c r="Q290" i="17"/>
  <c r="O290" i="17"/>
  <c r="N290" i="17"/>
  <c r="M290" i="17"/>
  <c r="L290" i="17"/>
  <c r="J290" i="17"/>
  <c r="I290" i="17"/>
  <c r="H290" i="17"/>
  <c r="G290" i="17"/>
  <c r="F290" i="17"/>
  <c r="E290" i="17"/>
  <c r="B290" i="17"/>
  <c r="A290" i="17"/>
  <c r="Q289" i="17"/>
  <c r="O289" i="17"/>
  <c r="M289" i="17"/>
  <c r="L289" i="17"/>
  <c r="J289" i="17"/>
  <c r="I289" i="17"/>
  <c r="H289" i="17"/>
  <c r="G289" i="17"/>
  <c r="F289" i="17"/>
  <c r="E289" i="17"/>
  <c r="B289" i="17"/>
  <c r="A289" i="17"/>
  <c r="Q288" i="17"/>
  <c r="O288" i="17"/>
  <c r="N288" i="17"/>
  <c r="M288" i="17"/>
  <c r="L288" i="17"/>
  <c r="J288" i="17"/>
  <c r="I288" i="17"/>
  <c r="H288" i="17"/>
  <c r="G288" i="17"/>
  <c r="F288" i="17"/>
  <c r="E288" i="17"/>
  <c r="B288" i="17"/>
  <c r="A288" i="17"/>
  <c r="T287" i="17"/>
  <c r="Q287" i="17"/>
  <c r="O287" i="17"/>
  <c r="N287" i="17"/>
  <c r="M287" i="17"/>
  <c r="L287" i="17"/>
  <c r="J287" i="17"/>
  <c r="I287" i="17"/>
  <c r="H287" i="17"/>
  <c r="G287" i="17"/>
  <c r="F287" i="17"/>
  <c r="F286" i="17" s="1"/>
  <c r="E287" i="17"/>
  <c r="C287" i="17"/>
  <c r="B287" i="17"/>
  <c r="A287" i="17"/>
  <c r="U285" i="17"/>
  <c r="T285" i="17"/>
  <c r="S285" i="17"/>
  <c r="R285" i="17"/>
  <c r="Q285" i="17"/>
  <c r="P285" i="17"/>
  <c r="O285" i="17"/>
  <c r="N285" i="17"/>
  <c r="M285" i="17"/>
  <c r="L285" i="17"/>
  <c r="K285" i="17"/>
  <c r="J285" i="17"/>
  <c r="I285" i="17"/>
  <c r="H285" i="17"/>
  <c r="G285" i="17"/>
  <c r="F285" i="17"/>
  <c r="E285" i="17"/>
  <c r="D285" i="17"/>
  <c r="C285" i="17"/>
  <c r="B285" i="17"/>
  <c r="A285" i="17"/>
  <c r="T284" i="17"/>
  <c r="Q284" i="17"/>
  <c r="O284" i="17"/>
  <c r="N284" i="17"/>
  <c r="M284" i="17"/>
  <c r="L284" i="17"/>
  <c r="J284" i="17"/>
  <c r="I284" i="17"/>
  <c r="H284" i="17"/>
  <c r="G284" i="17"/>
  <c r="F284" i="17"/>
  <c r="E284" i="17"/>
  <c r="B284" i="17"/>
  <c r="T283" i="17"/>
  <c r="Q283" i="17"/>
  <c r="O283" i="17"/>
  <c r="N283" i="17"/>
  <c r="M283" i="17"/>
  <c r="L283" i="17"/>
  <c r="J283" i="17"/>
  <c r="I283" i="17"/>
  <c r="H283" i="17"/>
  <c r="G283" i="17"/>
  <c r="F283" i="17"/>
  <c r="E283" i="17"/>
  <c r="B283" i="17"/>
  <c r="T282" i="17"/>
  <c r="Q282" i="17"/>
  <c r="O282" i="17"/>
  <c r="N282" i="17"/>
  <c r="M282" i="17"/>
  <c r="L282" i="17"/>
  <c r="J282" i="17"/>
  <c r="I282" i="17"/>
  <c r="H282" i="17"/>
  <c r="G282" i="17"/>
  <c r="F282" i="17"/>
  <c r="E282" i="17"/>
  <c r="B282" i="17"/>
  <c r="T281" i="17"/>
  <c r="Q281" i="17"/>
  <c r="O281" i="17"/>
  <c r="N281" i="17"/>
  <c r="M281" i="17"/>
  <c r="L281" i="17"/>
  <c r="J281" i="17"/>
  <c r="I281" i="17"/>
  <c r="H281" i="17"/>
  <c r="G281" i="17"/>
  <c r="F281" i="17"/>
  <c r="E281" i="17"/>
  <c r="B281" i="17"/>
  <c r="Q280" i="17"/>
  <c r="O280" i="17"/>
  <c r="M280" i="17"/>
  <c r="L280" i="17"/>
  <c r="J280" i="17"/>
  <c r="I280" i="17"/>
  <c r="H280" i="17"/>
  <c r="G280" i="17"/>
  <c r="F280" i="17"/>
  <c r="E280" i="17"/>
  <c r="B280" i="17"/>
  <c r="T279" i="17"/>
  <c r="Q279" i="17"/>
  <c r="O279" i="17"/>
  <c r="M279" i="17"/>
  <c r="L279" i="17"/>
  <c r="J279" i="17"/>
  <c r="I279" i="17"/>
  <c r="H279" i="17"/>
  <c r="G279" i="17"/>
  <c r="F279" i="17"/>
  <c r="E279" i="17"/>
  <c r="B279" i="17"/>
  <c r="U278" i="17"/>
  <c r="T278" i="17"/>
  <c r="S278" i="17"/>
  <c r="R278" i="17"/>
  <c r="Q278" i="17"/>
  <c r="P278" i="17"/>
  <c r="O278" i="17"/>
  <c r="N278" i="17"/>
  <c r="M278" i="17"/>
  <c r="L278" i="17"/>
  <c r="K278" i="17"/>
  <c r="J278" i="17"/>
  <c r="I278" i="17"/>
  <c r="H278" i="17"/>
  <c r="G278" i="17"/>
  <c r="F278" i="17"/>
  <c r="E278" i="17"/>
  <c r="D278" i="17"/>
  <c r="C278" i="17"/>
  <c r="B278" i="17"/>
  <c r="A278" i="17"/>
  <c r="Q277" i="17"/>
  <c r="O277" i="17"/>
  <c r="N277" i="17"/>
  <c r="M277" i="17"/>
  <c r="L277" i="17"/>
  <c r="J277" i="17"/>
  <c r="I277" i="17"/>
  <c r="H277" i="17"/>
  <c r="G277" i="17"/>
  <c r="F277" i="17"/>
  <c r="E277" i="17"/>
  <c r="B277" i="17"/>
  <c r="A277" i="17"/>
  <c r="Q276" i="17"/>
  <c r="O276" i="17"/>
  <c r="M276" i="17"/>
  <c r="L276" i="17"/>
  <c r="J276" i="17"/>
  <c r="I276" i="17"/>
  <c r="H276" i="17"/>
  <c r="G276" i="17"/>
  <c r="F276" i="17"/>
  <c r="E276" i="17"/>
  <c r="B276" i="17"/>
  <c r="A276" i="17"/>
  <c r="T275" i="17"/>
  <c r="Q275" i="17"/>
  <c r="O275" i="17"/>
  <c r="M275" i="17"/>
  <c r="L275" i="17"/>
  <c r="J275" i="17"/>
  <c r="I275" i="17"/>
  <c r="H275" i="17"/>
  <c r="G275" i="17"/>
  <c r="F275" i="17"/>
  <c r="E275" i="17"/>
  <c r="B275" i="17"/>
  <c r="A275" i="17"/>
  <c r="T274" i="17"/>
  <c r="Q274" i="17"/>
  <c r="O274" i="17"/>
  <c r="M274" i="17"/>
  <c r="L274" i="17"/>
  <c r="J274" i="17"/>
  <c r="I274" i="17"/>
  <c r="H274" i="17"/>
  <c r="G274" i="17"/>
  <c r="F274" i="17"/>
  <c r="E274" i="17"/>
  <c r="B274" i="17"/>
  <c r="A274" i="17"/>
  <c r="Q273" i="17"/>
  <c r="O273" i="17"/>
  <c r="N273" i="17"/>
  <c r="M273" i="17"/>
  <c r="L273" i="17"/>
  <c r="J273" i="17"/>
  <c r="I273" i="17"/>
  <c r="H273" i="17"/>
  <c r="G273" i="17"/>
  <c r="F273" i="17"/>
  <c r="E273" i="17"/>
  <c r="B273" i="17"/>
  <c r="A273" i="17"/>
  <c r="T272" i="17"/>
  <c r="Q272" i="17"/>
  <c r="O272" i="17"/>
  <c r="M272" i="17"/>
  <c r="L272" i="17"/>
  <c r="J272" i="17"/>
  <c r="I272" i="17"/>
  <c r="H272" i="17"/>
  <c r="G272" i="17"/>
  <c r="F272" i="17"/>
  <c r="E272" i="17"/>
  <c r="B272" i="17"/>
  <c r="A272" i="17"/>
  <c r="T271" i="17"/>
  <c r="Q271" i="17"/>
  <c r="O271" i="17"/>
  <c r="N271" i="17"/>
  <c r="M271" i="17"/>
  <c r="L271" i="17"/>
  <c r="J271" i="17"/>
  <c r="I271" i="17"/>
  <c r="H271" i="17"/>
  <c r="G271" i="17"/>
  <c r="F271" i="17"/>
  <c r="E271" i="17"/>
  <c r="B271" i="17"/>
  <c r="A271" i="17"/>
  <c r="Q270" i="17"/>
  <c r="O270" i="17"/>
  <c r="N270" i="17"/>
  <c r="M270" i="17"/>
  <c r="L270" i="17"/>
  <c r="J270" i="17"/>
  <c r="I270" i="17"/>
  <c r="H270" i="17"/>
  <c r="G270" i="17"/>
  <c r="F270" i="17"/>
  <c r="E270" i="17"/>
  <c r="B270" i="17"/>
  <c r="A270" i="17"/>
  <c r="Q269" i="17"/>
  <c r="O269" i="17"/>
  <c r="M269" i="17"/>
  <c r="L269" i="17"/>
  <c r="J269" i="17"/>
  <c r="I269" i="17"/>
  <c r="H269" i="17"/>
  <c r="G269" i="17"/>
  <c r="F269" i="17"/>
  <c r="E269" i="17"/>
  <c r="B269" i="17"/>
  <c r="A269" i="17"/>
  <c r="Q268" i="17"/>
  <c r="O268" i="17"/>
  <c r="N268" i="17"/>
  <c r="M268" i="17"/>
  <c r="L268" i="17"/>
  <c r="J268" i="17"/>
  <c r="I268" i="17"/>
  <c r="H268" i="17"/>
  <c r="G268" i="17"/>
  <c r="F268" i="17"/>
  <c r="F267" i="17" s="1"/>
  <c r="E268" i="17"/>
  <c r="C268" i="17"/>
  <c r="B268" i="17"/>
  <c r="A268" i="17"/>
  <c r="Q266" i="17"/>
  <c r="O266" i="17"/>
  <c r="M266" i="17"/>
  <c r="L266" i="17"/>
  <c r="J266" i="17"/>
  <c r="I266" i="17"/>
  <c r="H266" i="17"/>
  <c r="G266" i="17"/>
  <c r="F266" i="17"/>
  <c r="E266" i="17"/>
  <c r="B266" i="17"/>
  <c r="T265" i="17"/>
  <c r="Q265" i="17"/>
  <c r="O265" i="17"/>
  <c r="N265" i="17"/>
  <c r="M265" i="17"/>
  <c r="L265" i="17"/>
  <c r="J265" i="17"/>
  <c r="I265" i="17"/>
  <c r="H265" i="17"/>
  <c r="G265" i="17"/>
  <c r="F265" i="17"/>
  <c r="E265" i="17"/>
  <c r="B265" i="17"/>
  <c r="T264" i="17"/>
  <c r="Q264" i="17"/>
  <c r="O264" i="17"/>
  <c r="N264" i="17"/>
  <c r="M264" i="17"/>
  <c r="L264" i="17"/>
  <c r="J264" i="17"/>
  <c r="I264" i="17"/>
  <c r="H264" i="17"/>
  <c r="G264" i="17"/>
  <c r="F264" i="17"/>
  <c r="E264" i="17"/>
  <c r="B264" i="17"/>
  <c r="T263" i="17"/>
  <c r="Q263" i="17"/>
  <c r="O263" i="17"/>
  <c r="N263" i="17"/>
  <c r="M263" i="17"/>
  <c r="L263" i="17"/>
  <c r="J263" i="17"/>
  <c r="I263" i="17"/>
  <c r="H263" i="17"/>
  <c r="G263" i="17"/>
  <c r="F263" i="17"/>
  <c r="E263" i="17"/>
  <c r="B263" i="17"/>
  <c r="U262" i="17"/>
  <c r="T262" i="17"/>
  <c r="S262" i="17"/>
  <c r="R262" i="17"/>
  <c r="Q262" i="17"/>
  <c r="P262" i="17"/>
  <c r="O262" i="17"/>
  <c r="N262" i="17"/>
  <c r="M262" i="17"/>
  <c r="L262" i="17"/>
  <c r="K262" i="17"/>
  <c r="J262" i="17"/>
  <c r="I262" i="17"/>
  <c r="H262" i="17"/>
  <c r="G262" i="17"/>
  <c r="F262" i="17"/>
  <c r="E262" i="17"/>
  <c r="D262" i="17"/>
  <c r="C262" i="17"/>
  <c r="B262" i="17"/>
  <c r="Q261" i="17"/>
  <c r="O261" i="17"/>
  <c r="N261" i="17"/>
  <c r="M261" i="17"/>
  <c r="L261" i="17"/>
  <c r="J261" i="17"/>
  <c r="I261" i="17"/>
  <c r="H261" i="17"/>
  <c r="G261" i="17"/>
  <c r="F261" i="17"/>
  <c r="E261" i="17"/>
  <c r="B261" i="17"/>
  <c r="Q260" i="17"/>
  <c r="O260" i="17"/>
  <c r="M260" i="17"/>
  <c r="L260" i="17"/>
  <c r="J260" i="17"/>
  <c r="I260" i="17"/>
  <c r="H260" i="17"/>
  <c r="G260" i="17"/>
  <c r="F260" i="17"/>
  <c r="E260" i="17"/>
  <c r="B260" i="17"/>
  <c r="T259" i="17"/>
  <c r="Q259" i="17"/>
  <c r="O259" i="17"/>
  <c r="N259" i="17"/>
  <c r="M259" i="17"/>
  <c r="L259" i="17"/>
  <c r="J259" i="17"/>
  <c r="I259" i="17"/>
  <c r="H259" i="17"/>
  <c r="G259" i="17"/>
  <c r="F259" i="17"/>
  <c r="E259" i="17"/>
  <c r="B259" i="17"/>
  <c r="A259" i="17"/>
  <c r="Q258" i="17"/>
  <c r="O258" i="17"/>
  <c r="M258" i="17"/>
  <c r="L258" i="17"/>
  <c r="J258" i="17"/>
  <c r="I258" i="17"/>
  <c r="H258" i="17"/>
  <c r="G258" i="17"/>
  <c r="F258" i="17"/>
  <c r="E258" i="17"/>
  <c r="B258" i="17"/>
  <c r="A258" i="17"/>
  <c r="Q257" i="17"/>
  <c r="O257" i="17"/>
  <c r="N257" i="17"/>
  <c r="M257" i="17"/>
  <c r="L257" i="17"/>
  <c r="J257" i="17"/>
  <c r="I257" i="17"/>
  <c r="H257" i="17"/>
  <c r="G257" i="17"/>
  <c r="F257" i="17"/>
  <c r="E257" i="17"/>
  <c r="B257" i="17"/>
  <c r="A257" i="17"/>
  <c r="T256" i="17"/>
  <c r="Q256" i="17"/>
  <c r="O256" i="17"/>
  <c r="M256" i="17"/>
  <c r="L256" i="17"/>
  <c r="J256" i="17"/>
  <c r="I256" i="17"/>
  <c r="H256" i="17"/>
  <c r="G256" i="17"/>
  <c r="F256" i="17"/>
  <c r="E256" i="17"/>
  <c r="B256" i="17"/>
  <c r="A256" i="17"/>
  <c r="T255" i="17"/>
  <c r="Q255" i="17"/>
  <c r="O255" i="17"/>
  <c r="N255" i="17"/>
  <c r="M255" i="17"/>
  <c r="L255" i="17"/>
  <c r="J255" i="17"/>
  <c r="I255" i="17"/>
  <c r="H255" i="17"/>
  <c r="G255" i="17"/>
  <c r="F255" i="17"/>
  <c r="E255" i="17"/>
  <c r="B255" i="17"/>
  <c r="A255" i="17"/>
  <c r="Q254" i="17"/>
  <c r="O254" i="17"/>
  <c r="N254" i="17"/>
  <c r="M254" i="17"/>
  <c r="L254" i="17"/>
  <c r="J254" i="17"/>
  <c r="I254" i="17"/>
  <c r="H254" i="17"/>
  <c r="G254" i="17"/>
  <c r="F254" i="17"/>
  <c r="E254" i="17"/>
  <c r="B254" i="17"/>
  <c r="A254" i="17"/>
  <c r="Q253" i="17"/>
  <c r="O253" i="17"/>
  <c r="M253" i="17"/>
  <c r="L253" i="17"/>
  <c r="J253" i="17"/>
  <c r="I253" i="17"/>
  <c r="H253" i="17"/>
  <c r="G253" i="17"/>
  <c r="F253" i="17"/>
  <c r="E253" i="17"/>
  <c r="B253" i="17"/>
  <c r="A253" i="17"/>
  <c r="Q252" i="17"/>
  <c r="O252" i="17"/>
  <c r="M252" i="17"/>
  <c r="L252" i="17"/>
  <c r="J252" i="17"/>
  <c r="I252" i="17"/>
  <c r="H252" i="17"/>
  <c r="G252" i="17"/>
  <c r="F252" i="17"/>
  <c r="E252" i="17"/>
  <c r="B252" i="17"/>
  <c r="A252" i="17"/>
  <c r="Q251" i="17"/>
  <c r="O251" i="17"/>
  <c r="M251" i="17"/>
  <c r="L251" i="17"/>
  <c r="J251" i="17"/>
  <c r="I251" i="17"/>
  <c r="H251" i="17"/>
  <c r="G251" i="17"/>
  <c r="F251" i="17"/>
  <c r="E251" i="17"/>
  <c r="B251" i="17"/>
  <c r="A251" i="17"/>
  <c r="Q250" i="17"/>
  <c r="O250" i="17"/>
  <c r="M250" i="17"/>
  <c r="L250" i="17"/>
  <c r="J250" i="17"/>
  <c r="I250" i="17"/>
  <c r="H250" i="17"/>
  <c r="G250" i="17"/>
  <c r="F250" i="17"/>
  <c r="E250" i="17"/>
  <c r="B250" i="17"/>
  <c r="A250" i="17"/>
  <c r="Q249" i="17"/>
  <c r="O249" i="17"/>
  <c r="N249" i="17"/>
  <c r="M249" i="17"/>
  <c r="L249" i="17"/>
  <c r="J249" i="17"/>
  <c r="I249" i="17"/>
  <c r="H249" i="17"/>
  <c r="G249" i="17"/>
  <c r="F249" i="17"/>
  <c r="F248" i="17" s="1"/>
  <c r="E249" i="17"/>
  <c r="C249" i="17"/>
  <c r="B249" i="17"/>
  <c r="A249" i="17"/>
  <c r="Q247" i="17"/>
  <c r="O247" i="17"/>
  <c r="M247" i="17"/>
  <c r="L247" i="17"/>
  <c r="J247" i="17"/>
  <c r="I247" i="17"/>
  <c r="H247" i="17"/>
  <c r="G247" i="17"/>
  <c r="F247" i="17"/>
  <c r="E247" i="17"/>
  <c r="B247" i="17"/>
  <c r="T246" i="17"/>
  <c r="Q246" i="17"/>
  <c r="O246" i="17"/>
  <c r="N246" i="17"/>
  <c r="M246" i="17"/>
  <c r="L246" i="17"/>
  <c r="J246" i="17"/>
  <c r="I246" i="17"/>
  <c r="H246" i="17"/>
  <c r="G246" i="17"/>
  <c r="F246" i="17"/>
  <c r="E246" i="17"/>
  <c r="B246" i="17"/>
  <c r="T245" i="17"/>
  <c r="Q245" i="17"/>
  <c r="O245" i="17"/>
  <c r="N245" i="17"/>
  <c r="M245" i="17"/>
  <c r="L245" i="17"/>
  <c r="J245" i="17"/>
  <c r="I245" i="17"/>
  <c r="H245" i="17"/>
  <c r="G245" i="17"/>
  <c r="F245" i="17"/>
  <c r="E245" i="17"/>
  <c r="B245" i="17"/>
  <c r="T244" i="17"/>
  <c r="Q244" i="17"/>
  <c r="O244" i="17"/>
  <c r="N244" i="17"/>
  <c r="M244" i="17"/>
  <c r="L244" i="17"/>
  <c r="J244" i="17"/>
  <c r="I244" i="17"/>
  <c r="H244" i="17"/>
  <c r="G244" i="17"/>
  <c r="F244" i="17"/>
  <c r="E244" i="17"/>
  <c r="B244" i="17"/>
  <c r="T243" i="17"/>
  <c r="Q243" i="17"/>
  <c r="O243" i="17"/>
  <c r="N243" i="17"/>
  <c r="M243" i="17"/>
  <c r="L243" i="17"/>
  <c r="J243" i="17"/>
  <c r="I243" i="17"/>
  <c r="H243" i="17"/>
  <c r="G243" i="17"/>
  <c r="F243" i="17"/>
  <c r="E243" i="17"/>
  <c r="B243" i="17"/>
  <c r="T242" i="17"/>
  <c r="Q242" i="17"/>
  <c r="O242" i="17"/>
  <c r="N242" i="17"/>
  <c r="M242" i="17"/>
  <c r="L242" i="17"/>
  <c r="J242" i="17"/>
  <c r="I242" i="17"/>
  <c r="H242" i="17"/>
  <c r="G242" i="17"/>
  <c r="F242" i="17"/>
  <c r="E242" i="17"/>
  <c r="B242" i="17"/>
  <c r="T241" i="17"/>
  <c r="Q241" i="17"/>
  <c r="O241" i="17"/>
  <c r="N241" i="17"/>
  <c r="M241" i="17"/>
  <c r="L241" i="17"/>
  <c r="J241" i="17"/>
  <c r="I241" i="17"/>
  <c r="H241" i="17"/>
  <c r="G241" i="17"/>
  <c r="F241" i="17"/>
  <c r="E241" i="17"/>
  <c r="B241" i="17"/>
  <c r="U240" i="17"/>
  <c r="T240" i="17"/>
  <c r="S240" i="17"/>
  <c r="R240" i="17"/>
  <c r="Q240" i="17"/>
  <c r="O240" i="17"/>
  <c r="N240" i="17"/>
  <c r="M240" i="17"/>
  <c r="L240" i="17"/>
  <c r="K240" i="17"/>
  <c r="J240" i="17"/>
  <c r="I240" i="17"/>
  <c r="H240" i="17"/>
  <c r="G240" i="17"/>
  <c r="F240" i="17"/>
  <c r="E240" i="17"/>
  <c r="B240" i="17"/>
  <c r="A240" i="17"/>
  <c r="T239" i="17"/>
  <c r="Q239" i="17"/>
  <c r="O239" i="17"/>
  <c r="N239" i="17"/>
  <c r="M239" i="17"/>
  <c r="L239" i="17"/>
  <c r="J239" i="17"/>
  <c r="I239" i="17"/>
  <c r="H239" i="17"/>
  <c r="G239" i="17"/>
  <c r="F239" i="17"/>
  <c r="E239" i="17"/>
  <c r="B239" i="17"/>
  <c r="A239" i="17"/>
  <c r="T238" i="17"/>
  <c r="Q238" i="17"/>
  <c r="O238" i="17"/>
  <c r="N238" i="17"/>
  <c r="M238" i="17"/>
  <c r="L238" i="17"/>
  <c r="J238" i="17"/>
  <c r="I238" i="17"/>
  <c r="H238" i="17"/>
  <c r="G238" i="17"/>
  <c r="F238" i="17"/>
  <c r="E238" i="17"/>
  <c r="B238" i="17"/>
  <c r="A238" i="17"/>
  <c r="T237" i="17"/>
  <c r="Q237" i="17"/>
  <c r="O237" i="17"/>
  <c r="N237" i="17"/>
  <c r="M237" i="17"/>
  <c r="L237" i="17"/>
  <c r="J237" i="17"/>
  <c r="I237" i="17"/>
  <c r="H237" i="17"/>
  <c r="G237" i="17"/>
  <c r="F237" i="17"/>
  <c r="E237" i="17"/>
  <c r="B237" i="17"/>
  <c r="A237" i="17"/>
  <c r="Q236" i="17"/>
  <c r="P236" i="17"/>
  <c r="O236" i="17"/>
  <c r="N236" i="17"/>
  <c r="M236" i="17"/>
  <c r="L236" i="17"/>
  <c r="J236" i="17"/>
  <c r="I236" i="17"/>
  <c r="H236" i="17"/>
  <c r="G236" i="17"/>
  <c r="F236" i="17"/>
  <c r="E236" i="17"/>
  <c r="B236" i="17"/>
  <c r="A236" i="17"/>
  <c r="T235" i="17"/>
  <c r="Q235" i="17"/>
  <c r="O235" i="17"/>
  <c r="N235" i="17"/>
  <c r="M235" i="17"/>
  <c r="L235" i="17"/>
  <c r="J235" i="17"/>
  <c r="I235" i="17"/>
  <c r="H235" i="17"/>
  <c r="G235" i="17"/>
  <c r="F235" i="17"/>
  <c r="E235" i="17"/>
  <c r="D235" i="17"/>
  <c r="C235" i="17"/>
  <c r="B235" i="17"/>
  <c r="A235" i="17"/>
  <c r="T234" i="17"/>
  <c r="Q234" i="17"/>
  <c r="O234" i="17"/>
  <c r="M234" i="17"/>
  <c r="L234" i="17"/>
  <c r="J234" i="17"/>
  <c r="I234" i="17"/>
  <c r="H234" i="17"/>
  <c r="G234" i="17"/>
  <c r="F234" i="17"/>
  <c r="E234" i="17"/>
  <c r="B234" i="17"/>
  <c r="A234" i="17"/>
  <c r="T233" i="17"/>
  <c r="Q233" i="17"/>
  <c r="O233" i="17"/>
  <c r="N233" i="17"/>
  <c r="M233" i="17"/>
  <c r="L233" i="17"/>
  <c r="J233" i="17"/>
  <c r="I233" i="17"/>
  <c r="H233" i="17"/>
  <c r="G233" i="17"/>
  <c r="F233" i="17"/>
  <c r="E233" i="17"/>
  <c r="B233" i="17"/>
  <c r="A233" i="17"/>
  <c r="T232" i="17"/>
  <c r="Q232" i="17"/>
  <c r="O232" i="17"/>
  <c r="N232" i="17"/>
  <c r="M232" i="17"/>
  <c r="L232" i="17"/>
  <c r="J232" i="17"/>
  <c r="I232" i="17"/>
  <c r="H232" i="17"/>
  <c r="G232" i="17"/>
  <c r="F232" i="17"/>
  <c r="E232" i="17"/>
  <c r="B232" i="17"/>
  <c r="A232" i="17"/>
  <c r="T231" i="17"/>
  <c r="Q231" i="17"/>
  <c r="O231" i="17"/>
  <c r="N231" i="17"/>
  <c r="M231" i="17"/>
  <c r="L231" i="17"/>
  <c r="J231" i="17"/>
  <c r="I231" i="17"/>
  <c r="H231" i="17"/>
  <c r="G231" i="17"/>
  <c r="F231" i="17"/>
  <c r="E231" i="17"/>
  <c r="B231" i="17"/>
  <c r="A231" i="17"/>
  <c r="Q230" i="17"/>
  <c r="O230" i="17"/>
  <c r="N230" i="17"/>
  <c r="M230" i="17"/>
  <c r="L230" i="17"/>
  <c r="J230" i="17"/>
  <c r="I230" i="17"/>
  <c r="H230" i="17"/>
  <c r="F229" i="17" s="1"/>
  <c r="G230" i="17"/>
  <c r="F230" i="17"/>
  <c r="E230" i="17"/>
  <c r="C230" i="17"/>
  <c r="B230" i="17"/>
  <c r="A230" i="17"/>
  <c r="T228" i="17"/>
  <c r="Q228" i="17"/>
  <c r="O228" i="17"/>
  <c r="N228" i="17"/>
  <c r="M228" i="17"/>
  <c r="L228" i="17"/>
  <c r="J228" i="17"/>
  <c r="I228" i="17"/>
  <c r="H228" i="17"/>
  <c r="G228" i="17"/>
  <c r="F228" i="17"/>
  <c r="E228" i="17"/>
  <c r="B228" i="17"/>
  <c r="T227" i="17"/>
  <c r="Q227" i="17"/>
  <c r="O227" i="17"/>
  <c r="N227" i="17"/>
  <c r="M227" i="17"/>
  <c r="L227" i="17"/>
  <c r="J227" i="17"/>
  <c r="I227" i="17"/>
  <c r="H227" i="17"/>
  <c r="G227" i="17"/>
  <c r="F227" i="17"/>
  <c r="E227" i="17"/>
  <c r="B227" i="17"/>
  <c r="T226" i="17"/>
  <c r="Q226" i="17"/>
  <c r="O226" i="17"/>
  <c r="N226" i="17"/>
  <c r="M226" i="17"/>
  <c r="L226" i="17"/>
  <c r="J226" i="17"/>
  <c r="I226" i="17"/>
  <c r="H226" i="17"/>
  <c r="G226" i="17"/>
  <c r="F226" i="17"/>
  <c r="E226" i="17"/>
  <c r="B226" i="17"/>
  <c r="T225" i="17"/>
  <c r="Q225" i="17"/>
  <c r="O225" i="17"/>
  <c r="N225" i="17"/>
  <c r="M225" i="17"/>
  <c r="L225" i="17"/>
  <c r="J225" i="17"/>
  <c r="I225" i="17"/>
  <c r="H225" i="17"/>
  <c r="G225" i="17"/>
  <c r="F225" i="17"/>
  <c r="E225" i="17"/>
  <c r="B225" i="17"/>
  <c r="U224" i="17"/>
  <c r="T224" i="17"/>
  <c r="S224" i="17"/>
  <c r="R224" i="17"/>
  <c r="Q224" i="17"/>
  <c r="P224" i="17"/>
  <c r="O224" i="17"/>
  <c r="N224" i="17"/>
  <c r="M224" i="17"/>
  <c r="L224" i="17"/>
  <c r="K224" i="17"/>
  <c r="J224" i="17"/>
  <c r="I224" i="17"/>
  <c r="H224" i="17"/>
  <c r="G224" i="17"/>
  <c r="F224" i="17"/>
  <c r="E224" i="17"/>
  <c r="D224" i="17"/>
  <c r="C224" i="17"/>
  <c r="B224" i="17"/>
  <c r="Q223" i="17"/>
  <c r="O223" i="17"/>
  <c r="N223" i="17"/>
  <c r="M223" i="17"/>
  <c r="L223" i="17"/>
  <c r="J223" i="17"/>
  <c r="I223" i="17"/>
  <c r="H223" i="17"/>
  <c r="G223" i="17"/>
  <c r="F223" i="17"/>
  <c r="E223" i="17"/>
  <c r="B223" i="17"/>
  <c r="T222" i="17"/>
  <c r="Q222" i="17"/>
  <c r="O222" i="17"/>
  <c r="N222" i="17"/>
  <c r="M222" i="17"/>
  <c r="L222" i="17"/>
  <c r="J222" i="17"/>
  <c r="I222" i="17"/>
  <c r="H222" i="17"/>
  <c r="G222" i="17"/>
  <c r="F222" i="17"/>
  <c r="E222" i="17"/>
  <c r="B222" i="17"/>
  <c r="Q221" i="17"/>
  <c r="O221" i="17"/>
  <c r="M221" i="17"/>
  <c r="L221" i="17"/>
  <c r="J221" i="17"/>
  <c r="I221" i="17"/>
  <c r="H221" i="17"/>
  <c r="G221" i="17"/>
  <c r="F221" i="17"/>
  <c r="E221" i="17"/>
  <c r="B221" i="17"/>
  <c r="A221" i="17"/>
  <c r="T220" i="17"/>
  <c r="Q220" i="17"/>
  <c r="O220" i="17"/>
  <c r="M220" i="17"/>
  <c r="L220" i="17"/>
  <c r="J220" i="17"/>
  <c r="I220" i="17"/>
  <c r="H220" i="17"/>
  <c r="G220" i="17"/>
  <c r="F220" i="17"/>
  <c r="E220" i="17"/>
  <c r="B220" i="17"/>
  <c r="A220" i="17"/>
  <c r="Q219" i="17"/>
  <c r="O219" i="17"/>
  <c r="M219" i="17"/>
  <c r="L219" i="17"/>
  <c r="J219" i="17"/>
  <c r="I219" i="17"/>
  <c r="H219" i="17"/>
  <c r="G219" i="17"/>
  <c r="F219" i="17"/>
  <c r="E219" i="17"/>
  <c r="B219" i="17"/>
  <c r="A219" i="17"/>
  <c r="U218" i="17"/>
  <c r="T218" i="17"/>
  <c r="S218" i="17"/>
  <c r="R218" i="17"/>
  <c r="Q218" i="17"/>
  <c r="P218" i="17"/>
  <c r="O218" i="17"/>
  <c r="N218" i="17"/>
  <c r="M218" i="17"/>
  <c r="L218" i="17"/>
  <c r="K218" i="17"/>
  <c r="J218" i="17"/>
  <c r="I218" i="17"/>
  <c r="H218" i="17"/>
  <c r="G218" i="17"/>
  <c r="F218" i="17"/>
  <c r="E218" i="17"/>
  <c r="B218" i="17"/>
  <c r="A218" i="17"/>
  <c r="T217" i="17"/>
  <c r="Q217" i="17"/>
  <c r="O217" i="17"/>
  <c r="M217" i="17"/>
  <c r="L217" i="17"/>
  <c r="J217" i="17"/>
  <c r="I217" i="17"/>
  <c r="H217" i="17"/>
  <c r="G217" i="17"/>
  <c r="F217" i="17"/>
  <c r="E217" i="17"/>
  <c r="B217" i="17"/>
  <c r="A217" i="17"/>
  <c r="T216" i="17"/>
  <c r="Q216" i="17"/>
  <c r="O216" i="17"/>
  <c r="M216" i="17"/>
  <c r="L216" i="17"/>
  <c r="J216" i="17"/>
  <c r="I216" i="17"/>
  <c r="H216" i="17"/>
  <c r="G216" i="17"/>
  <c r="F216" i="17"/>
  <c r="E216" i="17"/>
  <c r="B216" i="17"/>
  <c r="A216" i="17"/>
  <c r="T215" i="17"/>
  <c r="Q215" i="17"/>
  <c r="O215" i="17"/>
  <c r="M215" i="17"/>
  <c r="L215" i="17"/>
  <c r="J215" i="17"/>
  <c r="I215" i="17"/>
  <c r="H215" i="17"/>
  <c r="G215" i="17"/>
  <c r="F215" i="17"/>
  <c r="E215" i="17"/>
  <c r="B215" i="17"/>
  <c r="A215" i="17"/>
  <c r="Q214" i="17"/>
  <c r="O214" i="17"/>
  <c r="N214" i="17"/>
  <c r="M214" i="17"/>
  <c r="L214" i="17"/>
  <c r="J214" i="17"/>
  <c r="I214" i="17"/>
  <c r="H214" i="17"/>
  <c r="G214" i="17"/>
  <c r="F214" i="17"/>
  <c r="E214" i="17"/>
  <c r="B214" i="17"/>
  <c r="A214" i="17"/>
  <c r="Q213" i="17"/>
  <c r="O213" i="17"/>
  <c r="M213" i="17"/>
  <c r="L213" i="17"/>
  <c r="J213" i="17"/>
  <c r="I213" i="17"/>
  <c r="H213" i="17"/>
  <c r="G213" i="17"/>
  <c r="F213" i="17"/>
  <c r="E213" i="17"/>
  <c r="B213" i="17"/>
  <c r="A213" i="17"/>
  <c r="T212" i="17"/>
  <c r="Q212" i="17"/>
  <c r="O212" i="17"/>
  <c r="N212" i="17"/>
  <c r="M212" i="17"/>
  <c r="L212" i="17"/>
  <c r="J212" i="17"/>
  <c r="I212" i="17"/>
  <c r="H212" i="17"/>
  <c r="G212" i="17"/>
  <c r="F212" i="17"/>
  <c r="E212" i="17"/>
  <c r="B212" i="17"/>
  <c r="A212" i="17"/>
  <c r="T211" i="17"/>
  <c r="Q211" i="17"/>
  <c r="O211" i="17"/>
  <c r="N211" i="17"/>
  <c r="M211" i="17"/>
  <c r="L211" i="17"/>
  <c r="J211" i="17"/>
  <c r="I211" i="17"/>
  <c r="H211" i="17"/>
  <c r="G211" i="17"/>
  <c r="F211" i="17"/>
  <c r="F210" i="17" s="1"/>
  <c r="E211" i="17"/>
  <c r="C211" i="17"/>
  <c r="B211" i="17"/>
  <c r="T209" i="17"/>
  <c r="Q209" i="17"/>
  <c r="O209" i="17"/>
  <c r="N209" i="17"/>
  <c r="M209" i="17"/>
  <c r="L209" i="17"/>
  <c r="J209" i="17"/>
  <c r="I209" i="17"/>
  <c r="H209" i="17"/>
  <c r="G209" i="17"/>
  <c r="F209" i="17"/>
  <c r="E209" i="17"/>
  <c r="B209" i="17"/>
  <c r="T208" i="17"/>
  <c r="Q208" i="17"/>
  <c r="O208" i="17"/>
  <c r="N208" i="17"/>
  <c r="M208" i="17"/>
  <c r="L208" i="17"/>
  <c r="J208" i="17"/>
  <c r="I208" i="17"/>
  <c r="H208" i="17"/>
  <c r="G208" i="17"/>
  <c r="F208" i="17"/>
  <c r="E208" i="17"/>
  <c r="B208" i="17"/>
  <c r="T207" i="17"/>
  <c r="Q207" i="17"/>
  <c r="O207" i="17"/>
  <c r="M207" i="17"/>
  <c r="L207" i="17"/>
  <c r="J207" i="17"/>
  <c r="I207" i="17"/>
  <c r="H207" i="17"/>
  <c r="G207" i="17"/>
  <c r="F207" i="17"/>
  <c r="E207" i="17"/>
  <c r="B207" i="17"/>
  <c r="T206" i="17"/>
  <c r="Q206" i="17"/>
  <c r="O206" i="17"/>
  <c r="N206" i="17"/>
  <c r="M206" i="17"/>
  <c r="L206" i="17"/>
  <c r="J206" i="17"/>
  <c r="I206" i="17"/>
  <c r="H206" i="17"/>
  <c r="G206" i="17"/>
  <c r="F206" i="17"/>
  <c r="E206" i="17"/>
  <c r="B206" i="17"/>
  <c r="T205" i="17"/>
  <c r="Q205" i="17"/>
  <c r="O205" i="17"/>
  <c r="N205" i="17"/>
  <c r="M205" i="17"/>
  <c r="L205" i="17"/>
  <c r="J205" i="17"/>
  <c r="I205" i="17"/>
  <c r="H205" i="17"/>
  <c r="G205" i="17"/>
  <c r="F205" i="17"/>
  <c r="E205" i="17"/>
  <c r="B205" i="17"/>
  <c r="Q204" i="17"/>
  <c r="O204" i="17"/>
  <c r="M204" i="17"/>
  <c r="L204" i="17"/>
  <c r="J204" i="17"/>
  <c r="I204" i="17"/>
  <c r="H204" i="17"/>
  <c r="G204" i="17"/>
  <c r="F204" i="17"/>
  <c r="E204" i="17"/>
  <c r="B204" i="17"/>
  <c r="Q203" i="17"/>
  <c r="O203" i="17"/>
  <c r="N203" i="17"/>
  <c r="M203" i="17"/>
  <c r="L203" i="17"/>
  <c r="J203" i="17"/>
  <c r="I203" i="17"/>
  <c r="H203" i="17"/>
  <c r="G203" i="17"/>
  <c r="F203" i="17"/>
  <c r="E203" i="17"/>
  <c r="B203" i="17"/>
  <c r="Q202" i="17"/>
  <c r="O202" i="17"/>
  <c r="M202" i="17"/>
  <c r="L202" i="17"/>
  <c r="J202" i="17"/>
  <c r="I202" i="17"/>
  <c r="H202" i="17"/>
  <c r="G202" i="17"/>
  <c r="F202" i="17"/>
  <c r="E202" i="17"/>
  <c r="B202" i="17"/>
  <c r="A202" i="17"/>
  <c r="Q201" i="17"/>
  <c r="O201" i="17"/>
  <c r="M201" i="17"/>
  <c r="L201" i="17"/>
  <c r="J201" i="17"/>
  <c r="I201" i="17"/>
  <c r="H201" i="17"/>
  <c r="G201" i="17"/>
  <c r="F201" i="17"/>
  <c r="E201" i="17"/>
  <c r="B201" i="17"/>
  <c r="A201" i="17"/>
  <c r="Q200" i="17"/>
  <c r="O200" i="17"/>
  <c r="M200" i="17"/>
  <c r="L200" i="17"/>
  <c r="J200" i="17"/>
  <c r="I200" i="17"/>
  <c r="H200" i="17"/>
  <c r="G200" i="17"/>
  <c r="F200" i="17"/>
  <c r="E200" i="17"/>
  <c r="B200" i="17"/>
  <c r="A200" i="17"/>
  <c r="T199" i="17"/>
  <c r="Q199" i="17"/>
  <c r="O199" i="17"/>
  <c r="N199" i="17"/>
  <c r="M199" i="17"/>
  <c r="L199" i="17"/>
  <c r="J199" i="17"/>
  <c r="I199" i="17"/>
  <c r="H199" i="17"/>
  <c r="G199" i="17"/>
  <c r="F199" i="17"/>
  <c r="E199" i="17"/>
  <c r="B199" i="17"/>
  <c r="A199" i="17"/>
  <c r="Q198" i="17"/>
  <c r="O198" i="17"/>
  <c r="N198" i="17"/>
  <c r="M198" i="17"/>
  <c r="L198" i="17"/>
  <c r="J198" i="17"/>
  <c r="I198" i="17"/>
  <c r="H198" i="17"/>
  <c r="G198" i="17"/>
  <c r="F198" i="17"/>
  <c r="E198" i="17"/>
  <c r="B198" i="17"/>
  <c r="A198" i="17"/>
  <c r="U197" i="17"/>
  <c r="T197" i="17"/>
  <c r="S197" i="17"/>
  <c r="R197" i="17"/>
  <c r="Q197" i="17"/>
  <c r="P197" i="17"/>
  <c r="O197" i="17"/>
  <c r="N197" i="17"/>
  <c r="M197" i="17"/>
  <c r="L197" i="17"/>
  <c r="K197" i="17"/>
  <c r="J197" i="17"/>
  <c r="I197" i="17"/>
  <c r="H197" i="17"/>
  <c r="G197" i="17"/>
  <c r="F197" i="17"/>
  <c r="E197" i="17"/>
  <c r="D197" i="17"/>
  <c r="C197" i="17"/>
  <c r="B197" i="17"/>
  <c r="A197" i="17"/>
  <c r="Q196" i="17"/>
  <c r="O196" i="17"/>
  <c r="N196" i="17"/>
  <c r="M196" i="17"/>
  <c r="L196" i="17"/>
  <c r="J196" i="17"/>
  <c r="I196" i="17"/>
  <c r="H196" i="17"/>
  <c r="G196" i="17"/>
  <c r="F196" i="17"/>
  <c r="E196" i="17"/>
  <c r="B196" i="17"/>
  <c r="A196" i="17"/>
  <c r="T195" i="17"/>
  <c r="Q195" i="17"/>
  <c r="O195" i="17"/>
  <c r="M195" i="17"/>
  <c r="L195" i="17"/>
  <c r="J195" i="17"/>
  <c r="I195" i="17"/>
  <c r="H195" i="17"/>
  <c r="G195" i="17"/>
  <c r="F195" i="17"/>
  <c r="E195" i="17"/>
  <c r="B195" i="17"/>
  <c r="A195" i="17"/>
  <c r="Q194" i="17"/>
  <c r="O194" i="17"/>
  <c r="N194" i="17"/>
  <c r="M194" i="17"/>
  <c r="L194" i="17"/>
  <c r="J194" i="17"/>
  <c r="I194" i="17"/>
  <c r="H194" i="17"/>
  <c r="G194" i="17"/>
  <c r="F194" i="17"/>
  <c r="E194" i="17"/>
  <c r="B194" i="17"/>
  <c r="A194" i="17"/>
  <c r="Q193" i="17"/>
  <c r="O193" i="17"/>
  <c r="N193" i="17"/>
  <c r="M193" i="17"/>
  <c r="L193" i="17"/>
  <c r="J193" i="17"/>
  <c r="I193" i="17"/>
  <c r="H193" i="17"/>
  <c r="G193" i="17"/>
  <c r="F193" i="17"/>
  <c r="E193" i="17"/>
  <c r="B193" i="17"/>
  <c r="A193" i="17"/>
  <c r="Q192" i="17"/>
  <c r="O192" i="17"/>
  <c r="N192" i="17"/>
  <c r="M192" i="17"/>
  <c r="L192" i="17"/>
  <c r="J192" i="17"/>
  <c r="I192" i="17"/>
  <c r="H192" i="17"/>
  <c r="F191" i="17" s="1"/>
  <c r="G192" i="17"/>
  <c r="F192" i="17"/>
  <c r="E192" i="17"/>
  <c r="C192" i="17"/>
  <c r="B192" i="17"/>
  <c r="A192" i="17"/>
  <c r="T190" i="17"/>
  <c r="Q190" i="17"/>
  <c r="O190" i="17"/>
  <c r="N190" i="17"/>
  <c r="M190" i="17"/>
  <c r="L190" i="17"/>
  <c r="J190" i="17"/>
  <c r="I190" i="17"/>
  <c r="H190" i="17"/>
  <c r="G190" i="17"/>
  <c r="F190" i="17"/>
  <c r="E190" i="17"/>
  <c r="B190" i="17"/>
  <c r="T189" i="17"/>
  <c r="Q189" i="17"/>
  <c r="O189" i="17"/>
  <c r="N189" i="17"/>
  <c r="M189" i="17"/>
  <c r="L189" i="17"/>
  <c r="J189" i="17"/>
  <c r="I189" i="17"/>
  <c r="H189" i="17"/>
  <c r="G189" i="17"/>
  <c r="F189" i="17"/>
  <c r="E189" i="17"/>
  <c r="B189" i="17"/>
  <c r="T188" i="17"/>
  <c r="Q188" i="17"/>
  <c r="O188" i="17"/>
  <c r="M188" i="17"/>
  <c r="L188" i="17"/>
  <c r="J188" i="17"/>
  <c r="I188" i="17"/>
  <c r="H188" i="17"/>
  <c r="G188" i="17"/>
  <c r="F188" i="17"/>
  <c r="E188" i="17"/>
  <c r="B188" i="17"/>
  <c r="T187" i="17"/>
  <c r="Q187" i="17"/>
  <c r="O187" i="17"/>
  <c r="N187" i="17"/>
  <c r="M187" i="17"/>
  <c r="L187" i="17"/>
  <c r="J187" i="17"/>
  <c r="I187" i="17"/>
  <c r="H187" i="17"/>
  <c r="G187" i="17"/>
  <c r="F187" i="17"/>
  <c r="E187" i="17"/>
  <c r="B187" i="17"/>
  <c r="T186" i="17"/>
  <c r="Q186" i="17"/>
  <c r="O186" i="17"/>
  <c r="N186" i="17"/>
  <c r="M186" i="17"/>
  <c r="L186" i="17"/>
  <c r="J186" i="17"/>
  <c r="I186" i="17"/>
  <c r="H186" i="17"/>
  <c r="G186" i="17"/>
  <c r="F186" i="17"/>
  <c r="E186" i="17"/>
  <c r="B186" i="17"/>
  <c r="Q185" i="17"/>
  <c r="O185" i="17"/>
  <c r="N185" i="17"/>
  <c r="M185" i="17"/>
  <c r="L185" i="17"/>
  <c r="J185" i="17"/>
  <c r="I185" i="17"/>
  <c r="H185" i="17"/>
  <c r="G185" i="17"/>
  <c r="F185" i="17"/>
  <c r="E185" i="17"/>
  <c r="B185" i="17"/>
  <c r="Q184" i="17"/>
  <c r="O184" i="17"/>
  <c r="M184" i="17"/>
  <c r="L184" i="17"/>
  <c r="J184" i="17"/>
  <c r="I184" i="17"/>
  <c r="H184" i="17"/>
  <c r="G184" i="17"/>
  <c r="F184" i="17"/>
  <c r="E184" i="17"/>
  <c r="B184" i="17"/>
  <c r="U183" i="17"/>
  <c r="T183" i="17"/>
  <c r="S183" i="17"/>
  <c r="R183" i="17"/>
  <c r="Q183" i="17"/>
  <c r="P183" i="17"/>
  <c r="O183" i="17"/>
  <c r="N183" i="17"/>
  <c r="M183" i="17"/>
  <c r="L183" i="17"/>
  <c r="K183" i="17"/>
  <c r="J183" i="17"/>
  <c r="I183" i="17"/>
  <c r="H183" i="17"/>
  <c r="G183" i="17"/>
  <c r="F183" i="17"/>
  <c r="E183" i="17"/>
  <c r="B183" i="17"/>
  <c r="A183" i="17"/>
  <c r="T182" i="17"/>
  <c r="Q182" i="17"/>
  <c r="O182" i="17"/>
  <c r="N182" i="17"/>
  <c r="M182" i="17"/>
  <c r="L182" i="17"/>
  <c r="J182" i="17"/>
  <c r="I182" i="17"/>
  <c r="H182" i="17"/>
  <c r="G182" i="17"/>
  <c r="F182" i="17"/>
  <c r="E182" i="17"/>
  <c r="B182" i="17"/>
  <c r="A182" i="17"/>
  <c r="T181" i="17"/>
  <c r="Q181" i="17"/>
  <c r="O181" i="17"/>
  <c r="N181" i="17"/>
  <c r="M181" i="17"/>
  <c r="L181" i="17"/>
  <c r="J181" i="17"/>
  <c r="I181" i="17"/>
  <c r="H181" i="17"/>
  <c r="G181" i="17"/>
  <c r="F181" i="17"/>
  <c r="E181" i="17"/>
  <c r="D181" i="17"/>
  <c r="C181" i="17"/>
  <c r="B181" i="17"/>
  <c r="A181" i="17"/>
  <c r="T180" i="17"/>
  <c r="Q180" i="17"/>
  <c r="O180" i="17"/>
  <c r="M180" i="17"/>
  <c r="L180" i="17"/>
  <c r="J180" i="17"/>
  <c r="I180" i="17"/>
  <c r="H180" i="17"/>
  <c r="G180" i="17"/>
  <c r="F180" i="17"/>
  <c r="E180" i="17"/>
  <c r="B180" i="17"/>
  <c r="A180" i="17"/>
  <c r="T179" i="17"/>
  <c r="Q179" i="17"/>
  <c r="O179" i="17"/>
  <c r="M179" i="17"/>
  <c r="L179" i="17"/>
  <c r="J179" i="17"/>
  <c r="I179" i="17"/>
  <c r="H179" i="17"/>
  <c r="G179" i="17"/>
  <c r="F179" i="17"/>
  <c r="E179" i="17"/>
  <c r="B179" i="17"/>
  <c r="A179" i="17"/>
  <c r="T178" i="17"/>
  <c r="Q178" i="17"/>
  <c r="P178" i="17"/>
  <c r="O178" i="17"/>
  <c r="N178" i="17"/>
  <c r="M178" i="17"/>
  <c r="L178" i="17"/>
  <c r="J178" i="17"/>
  <c r="I178" i="17"/>
  <c r="H178" i="17"/>
  <c r="G178" i="17"/>
  <c r="F178" i="17"/>
  <c r="E178" i="17"/>
  <c r="B178" i="17"/>
  <c r="A178" i="17"/>
  <c r="Q177" i="17"/>
  <c r="O177" i="17"/>
  <c r="M177" i="17"/>
  <c r="L177" i="17"/>
  <c r="J177" i="17"/>
  <c r="I177" i="17"/>
  <c r="H177" i="17"/>
  <c r="G177" i="17"/>
  <c r="F177" i="17"/>
  <c r="E177" i="17"/>
  <c r="B177" i="17"/>
  <c r="A177" i="17"/>
  <c r="Q176" i="17"/>
  <c r="O176" i="17"/>
  <c r="N176" i="17"/>
  <c r="M176" i="17"/>
  <c r="L176" i="17"/>
  <c r="J176" i="17"/>
  <c r="I176" i="17"/>
  <c r="H176" i="17"/>
  <c r="G176" i="17"/>
  <c r="F176" i="17"/>
  <c r="E176" i="17"/>
  <c r="B176" i="17"/>
  <c r="A176" i="17"/>
  <c r="Q175" i="17"/>
  <c r="O175" i="17"/>
  <c r="M175" i="17"/>
  <c r="L175" i="17"/>
  <c r="J175" i="17"/>
  <c r="I175" i="17"/>
  <c r="H175" i="17"/>
  <c r="G175" i="17"/>
  <c r="F175" i="17"/>
  <c r="E175" i="17"/>
  <c r="B175" i="17"/>
  <c r="A175" i="17"/>
  <c r="T174" i="17"/>
  <c r="Q174" i="17"/>
  <c r="O174" i="17"/>
  <c r="N174" i="17"/>
  <c r="M174" i="17"/>
  <c r="L174" i="17"/>
  <c r="J174" i="17"/>
  <c r="I174" i="17"/>
  <c r="H174" i="17"/>
  <c r="G174" i="17"/>
  <c r="F174" i="17"/>
  <c r="E174" i="17"/>
  <c r="B174" i="17"/>
  <c r="A174" i="17"/>
  <c r="T173" i="17"/>
  <c r="Q173" i="17"/>
  <c r="O173" i="17"/>
  <c r="N173" i="17"/>
  <c r="M173" i="17"/>
  <c r="L173" i="17"/>
  <c r="J173" i="17"/>
  <c r="I173" i="17"/>
  <c r="H173" i="17"/>
  <c r="G173" i="17"/>
  <c r="F173" i="17"/>
  <c r="F172" i="17" s="1"/>
  <c r="E173" i="17"/>
  <c r="C173" i="17"/>
  <c r="B173" i="17"/>
  <c r="A173" i="17"/>
  <c r="T170" i="17"/>
  <c r="Q170" i="17"/>
  <c r="O170" i="17"/>
  <c r="N170" i="17"/>
  <c r="M170" i="17"/>
  <c r="L170" i="17"/>
  <c r="J170" i="17"/>
  <c r="I170" i="17"/>
  <c r="H170" i="17"/>
  <c r="G170" i="17"/>
  <c r="F170" i="17"/>
  <c r="E170" i="17"/>
  <c r="B170" i="17"/>
  <c r="Q171" i="17"/>
  <c r="O171" i="17"/>
  <c r="M171" i="17"/>
  <c r="L171" i="17"/>
  <c r="J171" i="17"/>
  <c r="I171" i="17"/>
  <c r="H171" i="17"/>
  <c r="G171" i="17"/>
  <c r="F171" i="17"/>
  <c r="E171" i="17"/>
  <c r="B171" i="17"/>
  <c r="T169" i="17"/>
  <c r="Q169" i="17"/>
  <c r="O169" i="17"/>
  <c r="N169" i="17"/>
  <c r="M169" i="17"/>
  <c r="L169" i="17"/>
  <c r="J169" i="17"/>
  <c r="I169" i="17"/>
  <c r="H169" i="17"/>
  <c r="G169" i="17"/>
  <c r="F169" i="17"/>
  <c r="E169" i="17"/>
  <c r="B169" i="17"/>
  <c r="T168" i="17"/>
  <c r="Q168" i="17"/>
  <c r="O168" i="17"/>
  <c r="N168" i="17"/>
  <c r="M168" i="17"/>
  <c r="L168" i="17"/>
  <c r="J168" i="17"/>
  <c r="I168" i="17"/>
  <c r="H168" i="17"/>
  <c r="G168" i="17"/>
  <c r="F168" i="17"/>
  <c r="E168" i="17"/>
  <c r="B168" i="17"/>
  <c r="T167" i="17"/>
  <c r="Q167" i="17"/>
  <c r="O167" i="17"/>
  <c r="N167" i="17"/>
  <c r="M167" i="17"/>
  <c r="L167" i="17"/>
  <c r="J167" i="17"/>
  <c r="I167" i="17"/>
  <c r="H167" i="17"/>
  <c r="G167" i="17"/>
  <c r="F167" i="17"/>
  <c r="E167" i="17"/>
  <c r="B167" i="17"/>
  <c r="Q166" i="17"/>
  <c r="O166" i="17"/>
  <c r="N166" i="17"/>
  <c r="M166" i="17"/>
  <c r="L166" i="17"/>
  <c r="J166" i="17"/>
  <c r="I166" i="17"/>
  <c r="H166" i="17"/>
  <c r="G166" i="17"/>
  <c r="F166" i="17"/>
  <c r="E166" i="17"/>
  <c r="B166" i="17"/>
  <c r="Q165" i="17"/>
  <c r="O165" i="17"/>
  <c r="N165" i="17"/>
  <c r="M165" i="17"/>
  <c r="L165" i="17"/>
  <c r="J165" i="17"/>
  <c r="I165" i="17"/>
  <c r="H165" i="17"/>
  <c r="G165" i="17"/>
  <c r="F165" i="17"/>
  <c r="E165" i="17"/>
  <c r="U164" i="17"/>
  <c r="T164" i="17"/>
  <c r="S164" i="17"/>
  <c r="R164" i="17"/>
  <c r="Q164" i="17"/>
  <c r="P164" i="17"/>
  <c r="O164" i="17"/>
  <c r="N164" i="17"/>
  <c r="M164" i="17"/>
  <c r="L164" i="17"/>
  <c r="K164" i="17"/>
  <c r="J164" i="17"/>
  <c r="I164" i="17"/>
  <c r="H164" i="17"/>
  <c r="G164" i="17"/>
  <c r="F164" i="17"/>
  <c r="E164" i="17"/>
  <c r="B164" i="17"/>
  <c r="A164" i="17"/>
  <c r="T163" i="17"/>
  <c r="Q163" i="17"/>
  <c r="O163" i="17"/>
  <c r="M163" i="17"/>
  <c r="L163" i="17"/>
  <c r="J163" i="17"/>
  <c r="I163" i="17"/>
  <c r="H163" i="17"/>
  <c r="G163" i="17"/>
  <c r="F163" i="17"/>
  <c r="E163" i="17"/>
  <c r="B163" i="17"/>
  <c r="A163" i="17"/>
  <c r="U162" i="17"/>
  <c r="T162" i="17"/>
  <c r="S162" i="17"/>
  <c r="R162" i="17"/>
  <c r="Q162" i="17"/>
  <c r="P162" i="17"/>
  <c r="O162" i="17"/>
  <c r="N162" i="17"/>
  <c r="M162" i="17"/>
  <c r="L162" i="17"/>
  <c r="K162" i="17"/>
  <c r="J162" i="17"/>
  <c r="I162" i="17"/>
  <c r="H162" i="17"/>
  <c r="G162" i="17"/>
  <c r="F162" i="17"/>
  <c r="E162" i="17"/>
  <c r="D162" i="17"/>
  <c r="C162" i="17"/>
  <c r="B162" i="17"/>
  <c r="A162" i="17"/>
  <c r="T161" i="17"/>
  <c r="Q161" i="17"/>
  <c r="O161" i="17"/>
  <c r="N161" i="17"/>
  <c r="M161" i="17"/>
  <c r="L161" i="17"/>
  <c r="J161" i="17"/>
  <c r="I161" i="17"/>
  <c r="H161" i="17"/>
  <c r="G161" i="17"/>
  <c r="F161" i="17"/>
  <c r="E161" i="17"/>
  <c r="B161" i="17"/>
  <c r="A161" i="17"/>
  <c r="Q160" i="17"/>
  <c r="O160" i="17"/>
  <c r="N160" i="17"/>
  <c r="M160" i="17"/>
  <c r="L160" i="17"/>
  <c r="J160" i="17"/>
  <c r="I160" i="17"/>
  <c r="H160" i="17"/>
  <c r="G160" i="17"/>
  <c r="F160" i="17"/>
  <c r="E160" i="17"/>
  <c r="B160" i="17"/>
  <c r="A160" i="17"/>
  <c r="T159" i="17"/>
  <c r="Q159" i="17"/>
  <c r="P159" i="17"/>
  <c r="O159" i="17"/>
  <c r="N159" i="17"/>
  <c r="M159" i="17"/>
  <c r="L159" i="17"/>
  <c r="J159" i="17"/>
  <c r="I159" i="17"/>
  <c r="H159" i="17"/>
  <c r="G159" i="17"/>
  <c r="F159" i="17"/>
  <c r="E159" i="17"/>
  <c r="B159" i="17"/>
  <c r="A159" i="17"/>
  <c r="Q158" i="17"/>
  <c r="O158" i="17"/>
  <c r="M158" i="17"/>
  <c r="L158" i="17"/>
  <c r="J158" i="17"/>
  <c r="I158" i="17"/>
  <c r="H158" i="17"/>
  <c r="G158" i="17"/>
  <c r="F158" i="17"/>
  <c r="E158" i="17"/>
  <c r="B158" i="17"/>
  <c r="A158" i="17"/>
  <c r="T157" i="17"/>
  <c r="Q157" i="17"/>
  <c r="O157" i="17"/>
  <c r="N157" i="17"/>
  <c r="M157" i="17"/>
  <c r="L157" i="17"/>
  <c r="J157" i="17"/>
  <c r="I157" i="17"/>
  <c r="H157" i="17"/>
  <c r="G157" i="17"/>
  <c r="F157" i="17"/>
  <c r="E157" i="17"/>
  <c r="B157" i="17"/>
  <c r="A157" i="17"/>
  <c r="T156" i="17"/>
  <c r="Q156" i="17"/>
  <c r="O156" i="17"/>
  <c r="M156" i="17"/>
  <c r="L156" i="17"/>
  <c r="J156" i="17"/>
  <c r="I156" i="17"/>
  <c r="H156" i="17"/>
  <c r="G156" i="17"/>
  <c r="F156" i="17"/>
  <c r="E156" i="17"/>
  <c r="B156" i="17"/>
  <c r="A156" i="17"/>
  <c r="T155" i="17"/>
  <c r="Q155" i="17"/>
  <c r="O155" i="17"/>
  <c r="M155" i="17"/>
  <c r="L155" i="17"/>
  <c r="J155" i="17"/>
  <c r="I155" i="17"/>
  <c r="H155" i="17"/>
  <c r="G155" i="17"/>
  <c r="F155" i="17"/>
  <c r="E155" i="17"/>
  <c r="B155" i="17"/>
  <c r="A155" i="17"/>
  <c r="T154" i="17"/>
  <c r="Q154" i="17"/>
  <c r="O154" i="17"/>
  <c r="N154" i="17"/>
  <c r="M154" i="17"/>
  <c r="L154" i="17"/>
  <c r="J154" i="17"/>
  <c r="I154" i="17"/>
  <c r="H154" i="17"/>
  <c r="F153" i="17" s="1"/>
  <c r="G154" i="17"/>
  <c r="F154" i="17"/>
  <c r="E154" i="17"/>
  <c r="C154" i="17"/>
  <c r="B154" i="17"/>
  <c r="A154" i="17"/>
  <c r="Q135" i="17"/>
  <c r="O135" i="17"/>
  <c r="N135" i="17"/>
  <c r="M135" i="17"/>
  <c r="L135" i="17"/>
  <c r="J135" i="17"/>
  <c r="I135" i="17"/>
  <c r="H135" i="17"/>
  <c r="F134" i="17" s="1"/>
  <c r="G135" i="17"/>
  <c r="F135" i="17"/>
  <c r="E135" i="17"/>
  <c r="C135" i="17"/>
  <c r="B135" i="17"/>
  <c r="A135" i="17"/>
  <c r="T152" i="17"/>
  <c r="Q152" i="17"/>
  <c r="O152" i="17"/>
  <c r="N152" i="17"/>
  <c r="M152" i="17"/>
  <c r="L152" i="17"/>
  <c r="J152" i="17"/>
  <c r="I152" i="17"/>
  <c r="H152" i="17"/>
  <c r="G152" i="17"/>
  <c r="F152" i="17"/>
  <c r="E152" i="17"/>
  <c r="B152" i="17"/>
  <c r="T151" i="17"/>
  <c r="Q151" i="17"/>
  <c r="O151" i="17"/>
  <c r="M151" i="17"/>
  <c r="L151" i="17"/>
  <c r="J151" i="17"/>
  <c r="I151" i="17"/>
  <c r="H151" i="17"/>
  <c r="G151" i="17"/>
  <c r="F151" i="17"/>
  <c r="E151" i="17"/>
  <c r="B151" i="17"/>
  <c r="T150" i="17"/>
  <c r="Q150" i="17"/>
  <c r="O150" i="17"/>
  <c r="N150" i="17"/>
  <c r="M150" i="17"/>
  <c r="J150" i="17"/>
  <c r="I150" i="17"/>
  <c r="H150" i="17"/>
  <c r="G150" i="17"/>
  <c r="F150" i="17"/>
  <c r="E150" i="17"/>
  <c r="B150" i="17"/>
  <c r="T149" i="17"/>
  <c r="Q149" i="17"/>
  <c r="O149" i="17"/>
  <c r="N149" i="17"/>
  <c r="M149" i="17"/>
  <c r="L149" i="17"/>
  <c r="J149" i="17"/>
  <c r="I149" i="17"/>
  <c r="H149" i="17"/>
  <c r="G149" i="17"/>
  <c r="F149" i="17"/>
  <c r="E149" i="17"/>
  <c r="B149" i="17"/>
  <c r="T148" i="17"/>
  <c r="Q148" i="17"/>
  <c r="O148" i="17"/>
  <c r="N148" i="17"/>
  <c r="M148" i="17"/>
  <c r="L148" i="17"/>
  <c r="J148" i="17"/>
  <c r="I148" i="17"/>
  <c r="H148" i="17"/>
  <c r="G148" i="17"/>
  <c r="F148" i="17"/>
  <c r="E148" i="17"/>
  <c r="B148" i="17"/>
  <c r="T147" i="17"/>
  <c r="Q147" i="17"/>
  <c r="O147" i="17"/>
  <c r="N147" i="17"/>
  <c r="M147" i="17"/>
  <c r="L147" i="17"/>
  <c r="J147" i="17"/>
  <c r="I147" i="17"/>
  <c r="H147" i="17"/>
  <c r="G147" i="17"/>
  <c r="F147" i="17"/>
  <c r="E147" i="17"/>
  <c r="B147" i="17"/>
  <c r="Q146" i="17"/>
  <c r="O146" i="17"/>
  <c r="M146" i="17"/>
  <c r="L146" i="17"/>
  <c r="J146" i="17"/>
  <c r="I146" i="17"/>
  <c r="H146" i="17"/>
  <c r="G146" i="17"/>
  <c r="F146" i="17"/>
  <c r="E146" i="17"/>
  <c r="B146" i="17"/>
  <c r="T145" i="17"/>
  <c r="Q145" i="17"/>
  <c r="O145" i="17"/>
  <c r="N145" i="17"/>
  <c r="M145" i="17"/>
  <c r="L145" i="17"/>
  <c r="J145" i="17"/>
  <c r="I145" i="17"/>
  <c r="H145" i="17"/>
  <c r="G145" i="17"/>
  <c r="F145" i="17"/>
  <c r="E145" i="17"/>
  <c r="B145" i="17"/>
  <c r="A145" i="17"/>
  <c r="T144" i="17"/>
  <c r="Q144" i="17"/>
  <c r="O144" i="17"/>
  <c r="N144" i="17"/>
  <c r="M144" i="17"/>
  <c r="L144" i="17"/>
  <c r="J144" i="17"/>
  <c r="I144" i="17"/>
  <c r="H144" i="17"/>
  <c r="G144" i="17"/>
  <c r="F144" i="17"/>
  <c r="E144" i="17"/>
  <c r="B144" i="17"/>
  <c r="A144" i="17"/>
  <c r="U143" i="17"/>
  <c r="T143" i="17"/>
  <c r="S143" i="17"/>
  <c r="R143" i="17"/>
  <c r="Q143" i="17"/>
  <c r="P143" i="17"/>
  <c r="O143" i="17"/>
  <c r="N143" i="17"/>
  <c r="M143" i="17"/>
  <c r="L143" i="17"/>
  <c r="K143" i="17"/>
  <c r="J143" i="17"/>
  <c r="I143" i="17"/>
  <c r="H143" i="17"/>
  <c r="G143" i="17"/>
  <c r="F143" i="17"/>
  <c r="E143" i="17"/>
  <c r="D143" i="17"/>
  <c r="C143" i="17"/>
  <c r="B143" i="17"/>
  <c r="A143" i="17"/>
  <c r="T142" i="17"/>
  <c r="Q142" i="17"/>
  <c r="O142" i="17"/>
  <c r="N142" i="17"/>
  <c r="M142" i="17"/>
  <c r="L142" i="17"/>
  <c r="J142" i="17"/>
  <c r="I142" i="17"/>
  <c r="H142" i="17"/>
  <c r="G142" i="17"/>
  <c r="F142" i="17"/>
  <c r="E142" i="17"/>
  <c r="B142" i="17"/>
  <c r="A142" i="17"/>
  <c r="Q141" i="17"/>
  <c r="O141" i="17"/>
  <c r="N141" i="17"/>
  <c r="M141" i="17"/>
  <c r="L141" i="17"/>
  <c r="J141" i="17"/>
  <c r="I141" i="17"/>
  <c r="H141" i="17"/>
  <c r="G141" i="17"/>
  <c r="F141" i="17"/>
  <c r="E141" i="17"/>
  <c r="B141" i="17"/>
  <c r="A141" i="17"/>
  <c r="T140" i="17"/>
  <c r="Q140" i="17"/>
  <c r="O140" i="17"/>
  <c r="M140" i="17"/>
  <c r="L140" i="17"/>
  <c r="J140" i="17"/>
  <c r="I140" i="17"/>
  <c r="H140" i="17"/>
  <c r="G140" i="17"/>
  <c r="F140" i="17"/>
  <c r="E140" i="17"/>
  <c r="B140" i="17"/>
  <c r="A140" i="17"/>
  <c r="Q139" i="17"/>
  <c r="O139" i="17"/>
  <c r="N139" i="17"/>
  <c r="M139" i="17"/>
  <c r="L139" i="17"/>
  <c r="J139" i="17"/>
  <c r="I139" i="17"/>
  <c r="H139" i="17"/>
  <c r="G139" i="17"/>
  <c r="F139" i="17"/>
  <c r="E139" i="17"/>
  <c r="B139" i="17"/>
  <c r="A139" i="17"/>
  <c r="Q138" i="17"/>
  <c r="O138" i="17"/>
  <c r="M138" i="17"/>
  <c r="L138" i="17"/>
  <c r="J138" i="17"/>
  <c r="I138" i="17"/>
  <c r="H138" i="17"/>
  <c r="G138" i="17"/>
  <c r="F138" i="17"/>
  <c r="E138" i="17"/>
  <c r="B138" i="17"/>
  <c r="A138" i="17"/>
  <c r="T137" i="17"/>
  <c r="Q137" i="17"/>
  <c r="O137" i="17"/>
  <c r="N137" i="17"/>
  <c r="M137" i="17"/>
  <c r="L137" i="17"/>
  <c r="J137" i="17"/>
  <c r="I137" i="17"/>
  <c r="H137" i="17"/>
  <c r="G137" i="17"/>
  <c r="F137" i="17"/>
  <c r="E137" i="17"/>
  <c r="B137" i="17"/>
  <c r="A137" i="17"/>
  <c r="Q136" i="17"/>
  <c r="O136" i="17"/>
  <c r="M136" i="17"/>
  <c r="L136" i="17"/>
  <c r="J136" i="17"/>
  <c r="I136" i="17"/>
  <c r="H136" i="17"/>
  <c r="G136" i="17"/>
  <c r="F136" i="17"/>
  <c r="E136" i="17"/>
  <c r="B136" i="17"/>
  <c r="A136" i="17"/>
  <c r="K182" i="15"/>
  <c r="P181" i="15"/>
  <c r="K181" i="15"/>
  <c r="K180" i="15"/>
  <c r="K179" i="15"/>
  <c r="K178" i="15"/>
  <c r="K177" i="15"/>
  <c r="P176" i="15"/>
  <c r="P447" i="17" s="1"/>
  <c r="K176" i="15"/>
  <c r="P175" i="15"/>
  <c r="K175" i="15"/>
  <c r="K144" i="17" s="1"/>
  <c r="P174" i="15"/>
  <c r="K174" i="15"/>
  <c r="P173" i="15"/>
  <c r="K173" i="15"/>
  <c r="K580" i="17" s="1"/>
  <c r="K172" i="15"/>
  <c r="K171" i="15"/>
  <c r="P170" i="15"/>
  <c r="K170" i="15"/>
  <c r="K169" i="15"/>
  <c r="P522" i="17"/>
  <c r="K522" i="17"/>
  <c r="P502" i="17"/>
  <c r="K502" i="17"/>
  <c r="P446" i="17"/>
  <c r="K446" i="17"/>
  <c r="U16" i="17"/>
  <c r="T16" i="17"/>
  <c r="S16" i="17"/>
  <c r="R16" i="17"/>
  <c r="Q16" i="17"/>
  <c r="P16" i="17"/>
  <c r="O16" i="17"/>
  <c r="N16" i="17"/>
  <c r="M16" i="17"/>
  <c r="L16" i="17"/>
  <c r="K16" i="17"/>
  <c r="J16" i="17"/>
  <c r="I16" i="17"/>
  <c r="H16" i="17"/>
  <c r="G16" i="17"/>
  <c r="F16" i="17"/>
  <c r="E16" i="17"/>
  <c r="D16" i="17"/>
  <c r="C16" i="17"/>
  <c r="B16" i="17"/>
  <c r="A16" i="17"/>
  <c r="T117" i="17"/>
  <c r="Q117" i="17"/>
  <c r="O117" i="17"/>
  <c r="M117" i="17"/>
  <c r="L117" i="17"/>
  <c r="J117" i="17"/>
  <c r="I117" i="17"/>
  <c r="H117" i="17"/>
  <c r="G117" i="17"/>
  <c r="F117" i="17"/>
  <c r="E117" i="17"/>
  <c r="B117" i="17"/>
  <c r="Q116" i="17"/>
  <c r="O116" i="17"/>
  <c r="N116" i="17"/>
  <c r="M116" i="17"/>
  <c r="L116" i="17"/>
  <c r="J116" i="17"/>
  <c r="I116" i="17"/>
  <c r="H116" i="17"/>
  <c r="F115" i="17" s="1"/>
  <c r="G116" i="17"/>
  <c r="F116" i="17"/>
  <c r="E116" i="17"/>
  <c r="C116" i="17"/>
  <c r="B116" i="17"/>
  <c r="A117" i="17"/>
  <c r="A116" i="17"/>
  <c r="T133" i="17"/>
  <c r="Q133" i="17"/>
  <c r="O133" i="17"/>
  <c r="N133" i="17"/>
  <c r="M133" i="17"/>
  <c r="L133" i="17"/>
  <c r="J133" i="17"/>
  <c r="I133" i="17"/>
  <c r="H133" i="17"/>
  <c r="G133" i="17"/>
  <c r="F133" i="17"/>
  <c r="E133" i="17"/>
  <c r="B133" i="17"/>
  <c r="T132" i="17"/>
  <c r="Q132" i="17"/>
  <c r="O132" i="17"/>
  <c r="M132" i="17"/>
  <c r="L132" i="17"/>
  <c r="J132" i="17"/>
  <c r="I132" i="17"/>
  <c r="H132" i="17"/>
  <c r="G132" i="17"/>
  <c r="F132" i="17"/>
  <c r="E132" i="17"/>
  <c r="B132" i="17"/>
  <c r="T131" i="17"/>
  <c r="Q131" i="17"/>
  <c r="O131" i="17"/>
  <c r="N131" i="17"/>
  <c r="M131" i="17"/>
  <c r="L131" i="17"/>
  <c r="J131" i="17"/>
  <c r="I131" i="17"/>
  <c r="H131" i="17"/>
  <c r="G131" i="17"/>
  <c r="F131" i="17"/>
  <c r="E131" i="17"/>
  <c r="B131" i="17"/>
  <c r="T130" i="17"/>
  <c r="Q130" i="17"/>
  <c r="O130" i="17"/>
  <c r="N130" i="17"/>
  <c r="M130" i="17"/>
  <c r="L130" i="17"/>
  <c r="J130" i="17"/>
  <c r="I130" i="17"/>
  <c r="H130" i="17"/>
  <c r="G130" i="17"/>
  <c r="F130" i="17"/>
  <c r="E130" i="17"/>
  <c r="B130" i="17"/>
  <c r="T129" i="17"/>
  <c r="Q129" i="17"/>
  <c r="O129" i="17"/>
  <c r="N129" i="17"/>
  <c r="M129" i="17"/>
  <c r="L129" i="17"/>
  <c r="J129" i="17"/>
  <c r="I129" i="17"/>
  <c r="H129" i="17"/>
  <c r="G129" i="17"/>
  <c r="F129" i="17"/>
  <c r="E129" i="17"/>
  <c r="B129" i="17"/>
  <c r="Q128" i="17"/>
  <c r="O128" i="17"/>
  <c r="M128" i="17"/>
  <c r="L128" i="17"/>
  <c r="J128" i="17"/>
  <c r="I128" i="17"/>
  <c r="H128" i="17"/>
  <c r="G128" i="17"/>
  <c r="F128" i="17"/>
  <c r="E128" i="17"/>
  <c r="B128" i="17"/>
  <c r="T127" i="17"/>
  <c r="Q127" i="17"/>
  <c r="O127" i="17"/>
  <c r="N127" i="17"/>
  <c r="M127" i="17"/>
  <c r="L127" i="17"/>
  <c r="J127" i="17"/>
  <c r="I127" i="17"/>
  <c r="H127" i="17"/>
  <c r="G127" i="17"/>
  <c r="F127" i="17"/>
  <c r="E127" i="17"/>
  <c r="B127" i="17"/>
  <c r="T126" i="17"/>
  <c r="Q126" i="17"/>
  <c r="O126" i="17"/>
  <c r="M126" i="17"/>
  <c r="L126" i="17"/>
  <c r="J126" i="17"/>
  <c r="I126" i="17"/>
  <c r="H126" i="17"/>
  <c r="G126" i="17"/>
  <c r="F126" i="17"/>
  <c r="E126" i="17"/>
  <c r="B126" i="17"/>
  <c r="A126" i="17"/>
  <c r="U125" i="17"/>
  <c r="T125" i="17"/>
  <c r="S125" i="17"/>
  <c r="R125" i="17"/>
  <c r="Q125" i="17"/>
  <c r="P125" i="17"/>
  <c r="O125" i="17"/>
  <c r="N125" i="17"/>
  <c r="M125" i="17"/>
  <c r="L125" i="17"/>
  <c r="K125" i="17"/>
  <c r="J125" i="17"/>
  <c r="I125" i="17"/>
  <c r="H125" i="17"/>
  <c r="G125" i="17"/>
  <c r="F125" i="17"/>
  <c r="E125" i="17"/>
  <c r="D125" i="17"/>
  <c r="C125" i="17"/>
  <c r="B125" i="17"/>
  <c r="A125" i="17"/>
  <c r="Q124" i="17"/>
  <c r="O124" i="17"/>
  <c r="M124" i="17"/>
  <c r="L124" i="17"/>
  <c r="J124" i="17"/>
  <c r="I124" i="17"/>
  <c r="H124" i="17"/>
  <c r="G124" i="17"/>
  <c r="F124" i="17"/>
  <c r="E124" i="17"/>
  <c r="B124" i="17"/>
  <c r="A124" i="17"/>
  <c r="T123" i="17"/>
  <c r="Q123" i="17"/>
  <c r="O123" i="17"/>
  <c r="M123" i="17"/>
  <c r="L123" i="17"/>
  <c r="J123" i="17"/>
  <c r="I123" i="17"/>
  <c r="H123" i="17"/>
  <c r="G123" i="17"/>
  <c r="F123" i="17"/>
  <c r="E123" i="17"/>
  <c r="B123" i="17"/>
  <c r="A123" i="17"/>
  <c r="T122" i="17"/>
  <c r="Q122" i="17"/>
  <c r="O122" i="17"/>
  <c r="N122" i="17"/>
  <c r="M122" i="17"/>
  <c r="L122" i="17"/>
  <c r="J122" i="17"/>
  <c r="I122" i="17"/>
  <c r="H122" i="17"/>
  <c r="G122" i="17"/>
  <c r="F122" i="17"/>
  <c r="E122" i="17"/>
  <c r="B122" i="17"/>
  <c r="A122" i="17"/>
  <c r="Q121" i="17"/>
  <c r="O121" i="17"/>
  <c r="N121" i="17"/>
  <c r="M121" i="17"/>
  <c r="L121" i="17"/>
  <c r="J121" i="17"/>
  <c r="I121" i="17"/>
  <c r="H121" i="17"/>
  <c r="G121" i="17"/>
  <c r="F121" i="17"/>
  <c r="E121" i="17"/>
  <c r="B121" i="17"/>
  <c r="A121" i="17"/>
  <c r="Q120" i="17"/>
  <c r="O120" i="17"/>
  <c r="N120" i="17"/>
  <c r="M120" i="17"/>
  <c r="L120" i="17"/>
  <c r="J120" i="17"/>
  <c r="I120" i="17"/>
  <c r="H120" i="17"/>
  <c r="G120" i="17"/>
  <c r="F120" i="17"/>
  <c r="E120" i="17"/>
  <c r="B120" i="17"/>
  <c r="A120" i="17"/>
  <c r="T119" i="17"/>
  <c r="Q119" i="17"/>
  <c r="O119" i="17"/>
  <c r="M119" i="17"/>
  <c r="L119" i="17"/>
  <c r="J119" i="17"/>
  <c r="I119" i="17"/>
  <c r="H119" i="17"/>
  <c r="G119" i="17"/>
  <c r="F119" i="17"/>
  <c r="E119" i="17"/>
  <c r="B119" i="17"/>
  <c r="A119" i="17"/>
  <c r="T118" i="17"/>
  <c r="Q118" i="17"/>
  <c r="O118" i="17"/>
  <c r="N118" i="17"/>
  <c r="M118" i="17"/>
  <c r="L118" i="17"/>
  <c r="J118" i="17"/>
  <c r="I118" i="17"/>
  <c r="H118" i="17"/>
  <c r="G118" i="17"/>
  <c r="F118" i="17"/>
  <c r="E118" i="17"/>
  <c r="B118" i="17"/>
  <c r="A118" i="17"/>
  <c r="T114" i="17"/>
  <c r="Q114" i="17"/>
  <c r="O114" i="17"/>
  <c r="N114" i="17"/>
  <c r="M114" i="17"/>
  <c r="L114" i="17"/>
  <c r="J114" i="17"/>
  <c r="I114" i="17"/>
  <c r="H114" i="17"/>
  <c r="G114" i="17"/>
  <c r="F114" i="17"/>
  <c r="E114" i="17"/>
  <c r="B114" i="17"/>
  <c r="T113" i="17"/>
  <c r="Q113" i="17"/>
  <c r="O113" i="17"/>
  <c r="N113" i="17"/>
  <c r="M113" i="17"/>
  <c r="L113" i="17"/>
  <c r="J113" i="17"/>
  <c r="I113" i="17"/>
  <c r="H113" i="17"/>
  <c r="G113" i="17"/>
  <c r="F113" i="17"/>
  <c r="E113" i="17"/>
  <c r="B113" i="17"/>
  <c r="T112" i="17"/>
  <c r="Q112" i="17"/>
  <c r="O112" i="17"/>
  <c r="N112" i="17"/>
  <c r="M112" i="17"/>
  <c r="L112" i="17"/>
  <c r="J112" i="17"/>
  <c r="I112" i="17"/>
  <c r="H112" i="17"/>
  <c r="G112" i="17"/>
  <c r="F112" i="17"/>
  <c r="E112" i="17"/>
  <c r="B112" i="17"/>
  <c r="T111" i="17"/>
  <c r="Q111" i="17"/>
  <c r="O111" i="17"/>
  <c r="N111" i="17"/>
  <c r="M111" i="17"/>
  <c r="L111" i="17"/>
  <c r="J111" i="17"/>
  <c r="I111" i="17"/>
  <c r="H111" i="17"/>
  <c r="G111" i="17"/>
  <c r="F111" i="17"/>
  <c r="E111" i="17"/>
  <c r="B111" i="17"/>
  <c r="U110" i="17"/>
  <c r="T110" i="17"/>
  <c r="S110" i="17"/>
  <c r="R110" i="17"/>
  <c r="Q110" i="17"/>
  <c r="P110" i="17"/>
  <c r="O110" i="17"/>
  <c r="N110" i="17"/>
  <c r="M110" i="17"/>
  <c r="L110" i="17"/>
  <c r="K110" i="17"/>
  <c r="J110" i="17"/>
  <c r="I110" i="17"/>
  <c r="H110" i="17"/>
  <c r="G110" i="17"/>
  <c r="F110" i="17"/>
  <c r="E110" i="17"/>
  <c r="D110" i="17"/>
  <c r="C110" i="17"/>
  <c r="B110" i="17"/>
  <c r="Q109" i="17"/>
  <c r="O109" i="17"/>
  <c r="N109" i="17"/>
  <c r="M109" i="17"/>
  <c r="L109" i="17"/>
  <c r="J109" i="17"/>
  <c r="I109" i="17"/>
  <c r="H109" i="17"/>
  <c r="G109" i="17"/>
  <c r="F109" i="17"/>
  <c r="E109" i="17"/>
  <c r="B109" i="17"/>
  <c r="Q108" i="17"/>
  <c r="O108" i="17"/>
  <c r="N108" i="17"/>
  <c r="M108" i="17"/>
  <c r="L108" i="17"/>
  <c r="J108" i="17"/>
  <c r="I108" i="17"/>
  <c r="H108" i="17"/>
  <c r="G108" i="17"/>
  <c r="F108" i="17"/>
  <c r="E108" i="17"/>
  <c r="B108" i="17"/>
  <c r="Q107" i="17"/>
  <c r="O107" i="17"/>
  <c r="M107" i="17"/>
  <c r="L107" i="17"/>
  <c r="J107" i="17"/>
  <c r="I107" i="17"/>
  <c r="H107" i="17"/>
  <c r="G107" i="17"/>
  <c r="F107" i="17"/>
  <c r="E107" i="17"/>
  <c r="B107" i="17"/>
  <c r="A107" i="17"/>
  <c r="Q106" i="17"/>
  <c r="O106" i="17"/>
  <c r="M106" i="17"/>
  <c r="L106" i="17"/>
  <c r="J106" i="17"/>
  <c r="I106" i="17"/>
  <c r="H106" i="17"/>
  <c r="G106" i="17"/>
  <c r="F106" i="17"/>
  <c r="E106" i="17"/>
  <c r="B106" i="17"/>
  <c r="A106" i="17"/>
  <c r="T105" i="17"/>
  <c r="Q105" i="17"/>
  <c r="O105" i="17"/>
  <c r="M105" i="17"/>
  <c r="L105" i="17"/>
  <c r="J105" i="17"/>
  <c r="I105" i="17"/>
  <c r="H105" i="17"/>
  <c r="G105" i="17"/>
  <c r="F105" i="17"/>
  <c r="E105" i="17"/>
  <c r="B105" i="17"/>
  <c r="A105" i="17"/>
  <c r="U104" i="17"/>
  <c r="T104" i="17"/>
  <c r="S104" i="17"/>
  <c r="R104" i="17"/>
  <c r="Q104" i="17"/>
  <c r="P104" i="17"/>
  <c r="O104" i="17"/>
  <c r="N104" i="17"/>
  <c r="M104" i="17"/>
  <c r="L104" i="17"/>
  <c r="K104" i="17"/>
  <c r="J104" i="17"/>
  <c r="I104" i="17"/>
  <c r="H104" i="17"/>
  <c r="G104" i="17"/>
  <c r="F104" i="17"/>
  <c r="E104" i="17"/>
  <c r="B104" i="17"/>
  <c r="A104" i="17"/>
  <c r="T103" i="17"/>
  <c r="Q103" i="17"/>
  <c r="O103" i="17"/>
  <c r="N103" i="17"/>
  <c r="M103" i="17"/>
  <c r="L103" i="17"/>
  <c r="J103" i="17"/>
  <c r="I103" i="17"/>
  <c r="H103" i="17"/>
  <c r="G103" i="17"/>
  <c r="F103" i="17"/>
  <c r="E103" i="17"/>
  <c r="B103" i="17"/>
  <c r="A103" i="17"/>
  <c r="T102" i="17"/>
  <c r="Q102" i="17"/>
  <c r="O102" i="17"/>
  <c r="N102" i="17"/>
  <c r="M102" i="17"/>
  <c r="L102" i="17"/>
  <c r="J102" i="17"/>
  <c r="I102" i="17"/>
  <c r="H102" i="17"/>
  <c r="G102" i="17"/>
  <c r="F102" i="17"/>
  <c r="E102" i="17"/>
  <c r="B102" i="17"/>
  <c r="A102" i="17"/>
  <c r="T101" i="17"/>
  <c r="Q101" i="17"/>
  <c r="O101" i="17"/>
  <c r="M101" i="17"/>
  <c r="L101" i="17"/>
  <c r="J101" i="17"/>
  <c r="I101" i="17"/>
  <c r="H101" i="17"/>
  <c r="G101" i="17"/>
  <c r="F101" i="17"/>
  <c r="E101" i="17"/>
  <c r="B101" i="17"/>
  <c r="A101" i="17"/>
  <c r="T100" i="17"/>
  <c r="Q100" i="17"/>
  <c r="O100" i="17"/>
  <c r="N100" i="17"/>
  <c r="M100" i="17"/>
  <c r="L100" i="17"/>
  <c r="J100" i="17"/>
  <c r="I100" i="17"/>
  <c r="H100" i="17"/>
  <c r="G100" i="17"/>
  <c r="F100" i="17"/>
  <c r="E100" i="17"/>
  <c r="B100" i="17"/>
  <c r="A100" i="17"/>
  <c r="T99" i="17"/>
  <c r="Q99" i="17"/>
  <c r="O99" i="17"/>
  <c r="N99" i="17"/>
  <c r="M99" i="17"/>
  <c r="L99" i="17"/>
  <c r="J99" i="17"/>
  <c r="I99" i="17"/>
  <c r="H99" i="17"/>
  <c r="G99" i="17"/>
  <c r="F99" i="17"/>
  <c r="E99" i="17"/>
  <c r="B99" i="17"/>
  <c r="A99" i="17"/>
  <c r="Q98" i="17"/>
  <c r="O98" i="17"/>
  <c r="N98" i="17"/>
  <c r="M98" i="17"/>
  <c r="L98" i="17"/>
  <c r="J98" i="17"/>
  <c r="I98" i="17"/>
  <c r="H98" i="17"/>
  <c r="F97" i="17" s="1"/>
  <c r="G98" i="17"/>
  <c r="F98" i="17"/>
  <c r="E98" i="17"/>
  <c r="C98" i="17"/>
  <c r="B98" i="17"/>
  <c r="A98" i="17"/>
  <c r="T96" i="17"/>
  <c r="Q96" i="17"/>
  <c r="O96" i="17"/>
  <c r="N96" i="17"/>
  <c r="M96" i="17"/>
  <c r="L96" i="17"/>
  <c r="J96" i="17"/>
  <c r="I96" i="17"/>
  <c r="H96" i="17"/>
  <c r="G96" i="17"/>
  <c r="F96" i="17"/>
  <c r="E96" i="17"/>
  <c r="B96" i="17"/>
  <c r="T95" i="17"/>
  <c r="Q95" i="17"/>
  <c r="O95" i="17"/>
  <c r="N95" i="17"/>
  <c r="M95" i="17"/>
  <c r="L95" i="17"/>
  <c r="J95" i="17"/>
  <c r="I95" i="17"/>
  <c r="H95" i="17"/>
  <c r="G95" i="17"/>
  <c r="F95" i="17"/>
  <c r="E95" i="17"/>
  <c r="B95" i="17"/>
  <c r="T94" i="17"/>
  <c r="Q94" i="17"/>
  <c r="O94" i="17"/>
  <c r="M94" i="17"/>
  <c r="L94" i="17"/>
  <c r="J94" i="17"/>
  <c r="I94" i="17"/>
  <c r="H94" i="17"/>
  <c r="G94" i="17"/>
  <c r="F94" i="17"/>
  <c r="E94" i="17"/>
  <c r="B94" i="17"/>
  <c r="T93" i="17"/>
  <c r="Q93" i="17"/>
  <c r="O93" i="17"/>
  <c r="N93" i="17"/>
  <c r="M93" i="17"/>
  <c r="L93" i="17"/>
  <c r="J93" i="17"/>
  <c r="I93" i="17"/>
  <c r="H93" i="17"/>
  <c r="G93" i="17"/>
  <c r="F93" i="17"/>
  <c r="E93" i="17"/>
  <c r="B93" i="17"/>
  <c r="T92" i="17"/>
  <c r="Q92" i="17"/>
  <c r="O92" i="17"/>
  <c r="N92" i="17"/>
  <c r="M92" i="17"/>
  <c r="L92" i="17"/>
  <c r="J92" i="17"/>
  <c r="I92" i="17"/>
  <c r="H92" i="17"/>
  <c r="G92" i="17"/>
  <c r="F92" i="17"/>
  <c r="E92" i="17"/>
  <c r="B92" i="17"/>
  <c r="Q91" i="17"/>
  <c r="O91" i="17"/>
  <c r="M91" i="17"/>
  <c r="L91" i="17"/>
  <c r="J91" i="17"/>
  <c r="I91" i="17"/>
  <c r="H91" i="17"/>
  <c r="G91" i="17"/>
  <c r="F91" i="17"/>
  <c r="E91" i="17"/>
  <c r="B91" i="17"/>
  <c r="T90" i="17"/>
  <c r="Q90" i="17"/>
  <c r="O90" i="17"/>
  <c r="N90" i="17"/>
  <c r="M90" i="17"/>
  <c r="L90" i="17"/>
  <c r="J90" i="17"/>
  <c r="I90" i="17"/>
  <c r="H90" i="17"/>
  <c r="G90" i="17"/>
  <c r="F90" i="17"/>
  <c r="E90" i="17"/>
  <c r="B90" i="17"/>
  <c r="A90" i="17"/>
  <c r="Q89" i="17"/>
  <c r="O89" i="17"/>
  <c r="M89" i="17"/>
  <c r="L89" i="17"/>
  <c r="J89" i="17"/>
  <c r="I89" i="17"/>
  <c r="H89" i="17"/>
  <c r="G89" i="17"/>
  <c r="F89" i="17"/>
  <c r="E89" i="17"/>
  <c r="B89" i="17"/>
  <c r="A89" i="17"/>
  <c r="Q88" i="17"/>
  <c r="O88" i="17"/>
  <c r="M88" i="17"/>
  <c r="L88" i="17"/>
  <c r="J88" i="17"/>
  <c r="I88" i="17"/>
  <c r="H88" i="17"/>
  <c r="G88" i="17"/>
  <c r="F88" i="17"/>
  <c r="E88" i="17"/>
  <c r="B88" i="17"/>
  <c r="A88" i="17"/>
  <c r="T87" i="17"/>
  <c r="Q87" i="17"/>
  <c r="O87" i="17"/>
  <c r="M87" i="17"/>
  <c r="L87" i="17"/>
  <c r="J87" i="17"/>
  <c r="I87" i="17"/>
  <c r="H87" i="17"/>
  <c r="G87" i="17"/>
  <c r="F87" i="17"/>
  <c r="E87" i="17"/>
  <c r="B87" i="17"/>
  <c r="A87" i="17"/>
  <c r="T86" i="17"/>
  <c r="Q86" i="17"/>
  <c r="O86" i="17"/>
  <c r="M86" i="17"/>
  <c r="L86" i="17"/>
  <c r="J86" i="17"/>
  <c r="I86" i="17"/>
  <c r="H86" i="17"/>
  <c r="G86" i="17"/>
  <c r="F86" i="17"/>
  <c r="E86" i="17"/>
  <c r="B86" i="17"/>
  <c r="A86" i="17"/>
  <c r="Q85" i="17"/>
  <c r="O85" i="17"/>
  <c r="N85" i="17"/>
  <c r="M85" i="17"/>
  <c r="L85" i="17"/>
  <c r="J85" i="17"/>
  <c r="I85" i="17"/>
  <c r="H85" i="17"/>
  <c r="G85" i="17"/>
  <c r="F85" i="17"/>
  <c r="E85" i="17"/>
  <c r="B85" i="17"/>
  <c r="A85" i="17"/>
  <c r="T84" i="17"/>
  <c r="Q84" i="17"/>
  <c r="O84" i="17"/>
  <c r="N84" i="17"/>
  <c r="M84" i="17"/>
  <c r="L84" i="17"/>
  <c r="J84" i="17"/>
  <c r="I84" i="17"/>
  <c r="H84" i="17"/>
  <c r="G84" i="17"/>
  <c r="F84" i="17"/>
  <c r="E84" i="17"/>
  <c r="B84" i="17"/>
  <c r="A84" i="17"/>
  <c r="Q83" i="17"/>
  <c r="O83" i="17"/>
  <c r="M83" i="17"/>
  <c r="L83" i="17"/>
  <c r="J83" i="17"/>
  <c r="I83" i="17"/>
  <c r="H83" i="17"/>
  <c r="G83" i="17"/>
  <c r="F83" i="17"/>
  <c r="E83" i="17"/>
  <c r="B83" i="17"/>
  <c r="A83" i="17"/>
  <c r="Q82" i="17"/>
  <c r="O82" i="17"/>
  <c r="M82" i="17"/>
  <c r="L82" i="17"/>
  <c r="J82" i="17"/>
  <c r="I82" i="17"/>
  <c r="H82" i="17"/>
  <c r="G82" i="17"/>
  <c r="F82" i="17"/>
  <c r="E82" i="17"/>
  <c r="B82" i="17"/>
  <c r="A82" i="17"/>
  <c r="Q81" i="17"/>
  <c r="O81" i="17"/>
  <c r="N81" i="17"/>
  <c r="M81" i="17"/>
  <c r="L81" i="17"/>
  <c r="J81" i="17"/>
  <c r="I81" i="17"/>
  <c r="H81" i="17"/>
  <c r="G81" i="17"/>
  <c r="F81" i="17"/>
  <c r="E81" i="17"/>
  <c r="B81" i="17"/>
  <c r="A81" i="17"/>
  <c r="Q80" i="17"/>
  <c r="O80" i="17"/>
  <c r="N80" i="17"/>
  <c r="M80" i="17"/>
  <c r="L80" i="17"/>
  <c r="J80" i="17"/>
  <c r="I80" i="17"/>
  <c r="H80" i="17"/>
  <c r="F79" i="17" s="1"/>
  <c r="G80" i="17"/>
  <c r="F80" i="17"/>
  <c r="E80" i="17"/>
  <c r="C80" i="17"/>
  <c r="B80" i="17"/>
  <c r="A80" i="17"/>
  <c r="Q61" i="17"/>
  <c r="O61" i="17"/>
  <c r="M61" i="17"/>
  <c r="L61" i="17"/>
  <c r="J61" i="17"/>
  <c r="I61" i="17"/>
  <c r="H61" i="17"/>
  <c r="G61" i="17"/>
  <c r="F61" i="17"/>
  <c r="F60" i="17" s="1"/>
  <c r="E61" i="17"/>
  <c r="C61" i="17"/>
  <c r="B61" i="17"/>
  <c r="A61" i="17"/>
  <c r="T78" i="17"/>
  <c r="Q78" i="17"/>
  <c r="O78" i="17"/>
  <c r="N78" i="17"/>
  <c r="M78" i="17"/>
  <c r="L78" i="17"/>
  <c r="J78" i="17"/>
  <c r="I78" i="17"/>
  <c r="H78" i="17"/>
  <c r="G78" i="17"/>
  <c r="F78" i="17"/>
  <c r="E78" i="17"/>
  <c r="B78" i="17"/>
  <c r="T77" i="17"/>
  <c r="Q77" i="17"/>
  <c r="O77" i="17"/>
  <c r="M77" i="17"/>
  <c r="L77" i="17"/>
  <c r="J77" i="17"/>
  <c r="I77" i="17"/>
  <c r="H77" i="17"/>
  <c r="G77" i="17"/>
  <c r="F77" i="17"/>
  <c r="E77" i="17"/>
  <c r="B77" i="17"/>
  <c r="T76" i="17"/>
  <c r="Q76" i="17"/>
  <c r="O76" i="17"/>
  <c r="N76" i="17"/>
  <c r="M76" i="17"/>
  <c r="L76" i="17"/>
  <c r="J76" i="17"/>
  <c r="I76" i="17"/>
  <c r="H76" i="17"/>
  <c r="G76" i="17"/>
  <c r="F76" i="17"/>
  <c r="E76" i="17"/>
  <c r="B76" i="17"/>
  <c r="T75" i="17"/>
  <c r="Q75" i="17"/>
  <c r="O75" i="17"/>
  <c r="N75" i="17"/>
  <c r="M75" i="17"/>
  <c r="L75" i="17"/>
  <c r="J75" i="17"/>
  <c r="I75" i="17"/>
  <c r="H75" i="17"/>
  <c r="G75" i="17"/>
  <c r="F75" i="17"/>
  <c r="E75" i="17"/>
  <c r="B75" i="17"/>
  <c r="T74" i="17"/>
  <c r="Q74" i="17"/>
  <c r="O74" i="17"/>
  <c r="N74" i="17"/>
  <c r="M74" i="17"/>
  <c r="L74" i="17"/>
  <c r="J74" i="17"/>
  <c r="I74" i="17"/>
  <c r="H74" i="17"/>
  <c r="G74" i="17"/>
  <c r="F74" i="17"/>
  <c r="E74" i="17"/>
  <c r="B74" i="17"/>
  <c r="T73" i="17"/>
  <c r="Q73" i="17"/>
  <c r="O73" i="17"/>
  <c r="N73" i="17"/>
  <c r="M73" i="17"/>
  <c r="L73" i="17"/>
  <c r="J73" i="17"/>
  <c r="I73" i="17"/>
  <c r="H73" i="17"/>
  <c r="G73" i="17"/>
  <c r="F73" i="17"/>
  <c r="E73" i="17"/>
  <c r="B73" i="17"/>
  <c r="Q72" i="17"/>
  <c r="O72" i="17"/>
  <c r="N72" i="17"/>
  <c r="M72" i="17"/>
  <c r="L72" i="17"/>
  <c r="J72" i="17"/>
  <c r="I72" i="17"/>
  <c r="H72" i="17"/>
  <c r="G72" i="17"/>
  <c r="F72" i="17"/>
  <c r="E72" i="17"/>
  <c r="B72" i="17"/>
  <c r="T71" i="17"/>
  <c r="Q71" i="17"/>
  <c r="O71" i="17"/>
  <c r="M71" i="17"/>
  <c r="L71" i="17"/>
  <c r="J71" i="17"/>
  <c r="I71" i="17"/>
  <c r="H71" i="17"/>
  <c r="G71" i="17"/>
  <c r="F71" i="17"/>
  <c r="E71" i="17"/>
  <c r="B71" i="17"/>
  <c r="A71" i="17"/>
  <c r="Q70" i="17"/>
  <c r="O70" i="17"/>
  <c r="M70" i="17"/>
  <c r="L70" i="17"/>
  <c r="J70" i="17"/>
  <c r="I70" i="17"/>
  <c r="H70" i="17"/>
  <c r="G70" i="17"/>
  <c r="F70" i="17"/>
  <c r="E70" i="17"/>
  <c r="B70" i="17"/>
  <c r="A70" i="17"/>
  <c r="Q69" i="17"/>
  <c r="O69" i="17"/>
  <c r="M69" i="17"/>
  <c r="L69" i="17"/>
  <c r="J69" i="17"/>
  <c r="I69" i="17"/>
  <c r="H69" i="17"/>
  <c r="G69" i="17"/>
  <c r="F69" i="17"/>
  <c r="E69" i="17"/>
  <c r="B69" i="17"/>
  <c r="A69" i="17"/>
  <c r="U68" i="17"/>
  <c r="T68" i="17"/>
  <c r="S68" i="17"/>
  <c r="R68" i="17"/>
  <c r="Q68" i="17"/>
  <c r="P68" i="17"/>
  <c r="O68" i="17"/>
  <c r="N68" i="17"/>
  <c r="M68" i="17"/>
  <c r="L68" i="17"/>
  <c r="K68" i="17"/>
  <c r="J68" i="17"/>
  <c r="I68" i="17"/>
  <c r="H68" i="17"/>
  <c r="G68" i="17"/>
  <c r="F68" i="17"/>
  <c r="E68" i="17"/>
  <c r="B68" i="17"/>
  <c r="A68" i="17"/>
  <c r="U67" i="17"/>
  <c r="T67" i="17"/>
  <c r="S67" i="17"/>
  <c r="R67" i="17"/>
  <c r="Q67" i="17"/>
  <c r="P67" i="17"/>
  <c r="O67" i="17"/>
  <c r="N67" i="17"/>
  <c r="M67" i="17"/>
  <c r="L67" i="17"/>
  <c r="K67" i="17"/>
  <c r="J67" i="17"/>
  <c r="I67" i="17"/>
  <c r="H67" i="17"/>
  <c r="G67" i="17"/>
  <c r="F67" i="17"/>
  <c r="E67" i="17"/>
  <c r="D67" i="17"/>
  <c r="C67" i="17"/>
  <c r="B67" i="17"/>
  <c r="A67" i="17"/>
  <c r="T66" i="17"/>
  <c r="Q66" i="17"/>
  <c r="P66" i="17"/>
  <c r="O66" i="17"/>
  <c r="N66" i="17"/>
  <c r="M66" i="17"/>
  <c r="L66" i="17"/>
  <c r="J66" i="17"/>
  <c r="I66" i="17"/>
  <c r="H66" i="17"/>
  <c r="G66" i="17"/>
  <c r="F66" i="17"/>
  <c r="E66" i="17"/>
  <c r="B66" i="17"/>
  <c r="A66" i="17"/>
  <c r="Q65" i="17"/>
  <c r="O65" i="17"/>
  <c r="N65" i="17"/>
  <c r="M65" i="17"/>
  <c r="L65" i="17"/>
  <c r="J65" i="17"/>
  <c r="I65" i="17"/>
  <c r="H65" i="17"/>
  <c r="G65" i="17"/>
  <c r="F65" i="17"/>
  <c r="E65" i="17"/>
  <c r="B65" i="17"/>
  <c r="A65" i="17"/>
  <c r="T64" i="17"/>
  <c r="Q64" i="17"/>
  <c r="O64" i="17"/>
  <c r="M64" i="17"/>
  <c r="L64" i="17"/>
  <c r="J64" i="17"/>
  <c r="I64" i="17"/>
  <c r="H64" i="17"/>
  <c r="G64" i="17"/>
  <c r="F64" i="17"/>
  <c r="E64" i="17"/>
  <c r="B64" i="17"/>
  <c r="A64" i="17"/>
  <c r="T63" i="17"/>
  <c r="Q63" i="17"/>
  <c r="O63" i="17"/>
  <c r="M63" i="17"/>
  <c r="L63" i="17"/>
  <c r="J63" i="17"/>
  <c r="I63" i="17"/>
  <c r="H63" i="17"/>
  <c r="G63" i="17"/>
  <c r="F63" i="17"/>
  <c r="E63" i="17"/>
  <c r="B63" i="17"/>
  <c r="A63" i="17"/>
  <c r="Q62" i="17"/>
  <c r="O62" i="17"/>
  <c r="N62" i="17"/>
  <c r="M62" i="17"/>
  <c r="L62" i="17"/>
  <c r="J62" i="17"/>
  <c r="I62" i="17"/>
  <c r="H62" i="17"/>
  <c r="G62" i="17"/>
  <c r="F62" i="17"/>
  <c r="E62" i="17"/>
  <c r="B62" i="17"/>
  <c r="A62" i="17"/>
  <c r="T42" i="17" a="1"/>
  <c r="T42" i="17" s="1"/>
  <c r="Q42" i="17" a="1"/>
  <c r="Q42" i="17" s="1"/>
  <c r="O42" i="17" a="1"/>
  <c r="O42" i="17" s="1"/>
  <c r="N42" i="17" a="1"/>
  <c r="N42" i="17" s="1"/>
  <c r="M42" i="17" a="1"/>
  <c r="M42" i="17" s="1"/>
  <c r="L42" i="17" a="1"/>
  <c r="L42" i="17" s="1"/>
  <c r="J42" i="17" a="1"/>
  <c r="J42" i="17" s="1"/>
  <c r="I42" i="17" a="1"/>
  <c r="I42" i="17" s="1"/>
  <c r="H42" i="17" a="1"/>
  <c r="H42" i="17" s="1"/>
  <c r="G42" i="17" a="1"/>
  <c r="G42" i="17" s="1"/>
  <c r="F42" i="17" a="1"/>
  <c r="F42" i="17" s="1"/>
  <c r="F41" i="17" s="1"/>
  <c r="E42" i="17" a="1"/>
  <c r="E42" i="17" s="1"/>
  <c r="C42" i="17" a="1"/>
  <c r="C42" i="17" s="1"/>
  <c r="B42" i="17" a="1"/>
  <c r="B42" i="17" s="1"/>
  <c r="A42" i="17" a="1"/>
  <c r="A42" i="17" s="1"/>
  <c r="T59" i="17"/>
  <c r="Q59" i="17"/>
  <c r="O59" i="17"/>
  <c r="N59" i="17"/>
  <c r="M59" i="17"/>
  <c r="L59" i="17"/>
  <c r="J59" i="17"/>
  <c r="I59" i="17"/>
  <c r="H59" i="17"/>
  <c r="G59" i="17"/>
  <c r="F59" i="17"/>
  <c r="E59" i="17"/>
  <c r="B59" i="17"/>
  <c r="T58" i="17"/>
  <c r="Q58" i="17"/>
  <c r="O58" i="17"/>
  <c r="M58" i="17"/>
  <c r="L58" i="17"/>
  <c r="J58" i="17"/>
  <c r="I58" i="17"/>
  <c r="H58" i="17"/>
  <c r="G58" i="17"/>
  <c r="F58" i="17"/>
  <c r="E58" i="17"/>
  <c r="B58" i="17"/>
  <c r="T57" i="17"/>
  <c r="Q57" i="17"/>
  <c r="O57" i="17"/>
  <c r="N57" i="17"/>
  <c r="M57" i="17"/>
  <c r="L57" i="17"/>
  <c r="J57" i="17"/>
  <c r="I57" i="17"/>
  <c r="H57" i="17"/>
  <c r="G57" i="17"/>
  <c r="F57" i="17"/>
  <c r="E57" i="17"/>
  <c r="B57" i="17"/>
  <c r="T56" i="17"/>
  <c r="Q56" i="17"/>
  <c r="O56" i="17"/>
  <c r="N56" i="17"/>
  <c r="M56" i="17"/>
  <c r="L56" i="17"/>
  <c r="J56" i="17"/>
  <c r="I56" i="17"/>
  <c r="H56" i="17"/>
  <c r="G56" i="17"/>
  <c r="F56" i="17"/>
  <c r="E56" i="17"/>
  <c r="B56" i="17"/>
  <c r="T55" i="17"/>
  <c r="Q55" i="17"/>
  <c r="O55" i="17"/>
  <c r="N55" i="17"/>
  <c r="M55" i="17"/>
  <c r="L55" i="17"/>
  <c r="J55" i="17"/>
  <c r="I55" i="17"/>
  <c r="H55" i="17"/>
  <c r="G55" i="17"/>
  <c r="F55" i="17"/>
  <c r="E55" i="17"/>
  <c r="B55" i="17"/>
  <c r="Q54" i="17"/>
  <c r="O54" i="17"/>
  <c r="N54" i="17"/>
  <c r="M54" i="17"/>
  <c r="L54" i="17"/>
  <c r="J54" i="17"/>
  <c r="I54" i="17"/>
  <c r="H54" i="17"/>
  <c r="G54" i="17"/>
  <c r="F54" i="17"/>
  <c r="E54" i="17"/>
  <c r="B54" i="17"/>
  <c r="T53" i="17"/>
  <c r="Q53" i="17"/>
  <c r="O53" i="17"/>
  <c r="M53" i="17"/>
  <c r="L53" i="17"/>
  <c r="J53" i="17"/>
  <c r="I53" i="17"/>
  <c r="H53" i="17"/>
  <c r="G53" i="17"/>
  <c r="F53" i="17"/>
  <c r="E53" i="17"/>
  <c r="B53" i="17"/>
  <c r="T52" i="17"/>
  <c r="Q52" i="17"/>
  <c r="O52" i="17"/>
  <c r="N52" i="17"/>
  <c r="M52" i="17"/>
  <c r="L52" i="17"/>
  <c r="J52" i="17"/>
  <c r="I52" i="17"/>
  <c r="H52" i="17"/>
  <c r="G52" i="17"/>
  <c r="F52" i="17"/>
  <c r="E52" i="17"/>
  <c r="B52" i="17"/>
  <c r="A52" i="17"/>
  <c r="U51" i="17"/>
  <c r="T51" i="17"/>
  <c r="S51" i="17"/>
  <c r="R51" i="17"/>
  <c r="Q51" i="17"/>
  <c r="P51" i="17"/>
  <c r="O51" i="17"/>
  <c r="N51" i="17"/>
  <c r="M51" i="17"/>
  <c r="L51" i="17"/>
  <c r="K51" i="17"/>
  <c r="J51" i="17"/>
  <c r="I51" i="17"/>
  <c r="H51" i="17"/>
  <c r="G51" i="17"/>
  <c r="F51" i="17"/>
  <c r="E51" i="17"/>
  <c r="D51" i="17"/>
  <c r="C51" i="17"/>
  <c r="B51" i="17"/>
  <c r="A51" i="17"/>
  <c r="U50" i="17"/>
  <c r="T50" i="17"/>
  <c r="S50" i="17"/>
  <c r="R50" i="17"/>
  <c r="Q50" i="17"/>
  <c r="P50" i="17"/>
  <c r="O50" i="17"/>
  <c r="N50" i="17"/>
  <c r="M50" i="17"/>
  <c r="L50" i="17"/>
  <c r="K50" i="17"/>
  <c r="J50" i="17"/>
  <c r="I50" i="17"/>
  <c r="H50" i="17"/>
  <c r="G50" i="17"/>
  <c r="F50" i="17"/>
  <c r="E50" i="17"/>
  <c r="B50" i="17"/>
  <c r="A50" i="17"/>
  <c r="T49" i="17"/>
  <c r="Q49" i="17"/>
  <c r="O49" i="17"/>
  <c r="M49" i="17"/>
  <c r="L49" i="17"/>
  <c r="J49" i="17"/>
  <c r="I49" i="17"/>
  <c r="H49" i="17"/>
  <c r="G49" i="17"/>
  <c r="F49" i="17"/>
  <c r="E49" i="17"/>
  <c r="B49" i="17"/>
  <c r="A49" i="17"/>
  <c r="Q48" i="17"/>
  <c r="O48" i="17"/>
  <c r="N48" i="17"/>
  <c r="M48" i="17"/>
  <c r="L48" i="17"/>
  <c r="J48" i="17"/>
  <c r="I48" i="17"/>
  <c r="H48" i="17"/>
  <c r="G48" i="17"/>
  <c r="F48" i="17"/>
  <c r="E48" i="17"/>
  <c r="B48" i="17"/>
  <c r="A48" i="17"/>
  <c r="Q47" i="17"/>
  <c r="O47" i="17"/>
  <c r="M47" i="17"/>
  <c r="L47" i="17"/>
  <c r="J47" i="17"/>
  <c r="I47" i="17"/>
  <c r="H47" i="17"/>
  <c r="G47" i="17"/>
  <c r="F47" i="17"/>
  <c r="E47" i="17"/>
  <c r="B47" i="17"/>
  <c r="A47" i="17"/>
  <c r="Q46" i="17"/>
  <c r="O46" i="17"/>
  <c r="N46" i="17"/>
  <c r="M46" i="17"/>
  <c r="L46" i="17"/>
  <c r="J46" i="17"/>
  <c r="I46" i="17"/>
  <c r="H46" i="17"/>
  <c r="G46" i="17"/>
  <c r="F46" i="17"/>
  <c r="E46" i="17"/>
  <c r="B46" i="17"/>
  <c r="A46" i="17"/>
  <c r="T45" i="17"/>
  <c r="Q45" i="17"/>
  <c r="O45" i="17"/>
  <c r="M45" i="17"/>
  <c r="L45" i="17"/>
  <c r="J45" i="17"/>
  <c r="I45" i="17"/>
  <c r="H45" i="17"/>
  <c r="G45" i="17"/>
  <c r="F45" i="17"/>
  <c r="E45" i="17"/>
  <c r="B45" i="17"/>
  <c r="A45" i="17"/>
  <c r="T44" i="17"/>
  <c r="Q44" i="17"/>
  <c r="O44" i="17"/>
  <c r="N44" i="17"/>
  <c r="M44" i="17"/>
  <c r="L44" i="17"/>
  <c r="J44" i="17"/>
  <c r="I44" i="17"/>
  <c r="H44" i="17"/>
  <c r="G44" i="17"/>
  <c r="F44" i="17"/>
  <c r="E44" i="17"/>
  <c r="B44" i="17"/>
  <c r="A44" i="17"/>
  <c r="Q43" i="17"/>
  <c r="O43" i="17"/>
  <c r="M43" i="17"/>
  <c r="L43" i="17"/>
  <c r="J43" i="17"/>
  <c r="I43" i="17"/>
  <c r="H43" i="17"/>
  <c r="G43" i="17"/>
  <c r="F43" i="17"/>
  <c r="E43" i="17"/>
  <c r="B43" i="17"/>
  <c r="A43" i="17"/>
  <c r="T23" i="17"/>
  <c r="Q23" i="17"/>
  <c r="O23" i="17"/>
  <c r="N23" i="17"/>
  <c r="M23" i="17"/>
  <c r="L23" i="17"/>
  <c r="J23" i="17"/>
  <c r="I23" i="17"/>
  <c r="H23" i="17"/>
  <c r="F22" i="17" s="1"/>
  <c r="G23" i="17"/>
  <c r="F23" i="17"/>
  <c r="E23" i="17"/>
  <c r="C23" i="17"/>
  <c r="B23" i="17"/>
  <c r="A23" i="17"/>
  <c r="T40" i="17"/>
  <c r="Q40" i="17"/>
  <c r="O40" i="17"/>
  <c r="N40" i="17"/>
  <c r="M40" i="17"/>
  <c r="L40" i="17"/>
  <c r="J40" i="17"/>
  <c r="I40" i="17"/>
  <c r="H40" i="17"/>
  <c r="G40" i="17"/>
  <c r="F40" i="17"/>
  <c r="E40" i="17"/>
  <c r="B40" i="17"/>
  <c r="T39" i="17"/>
  <c r="Q39" i="17"/>
  <c r="O39" i="17"/>
  <c r="N39" i="17"/>
  <c r="M39" i="17"/>
  <c r="L39" i="17"/>
  <c r="J39" i="17"/>
  <c r="I39" i="17"/>
  <c r="H39" i="17"/>
  <c r="G39" i="17"/>
  <c r="F39" i="17"/>
  <c r="E39" i="17"/>
  <c r="B39" i="17"/>
  <c r="T38" i="17"/>
  <c r="Q38" i="17"/>
  <c r="O38" i="17"/>
  <c r="N38" i="17"/>
  <c r="M38" i="17"/>
  <c r="L38" i="17"/>
  <c r="J38" i="17"/>
  <c r="I38" i="17"/>
  <c r="H38" i="17"/>
  <c r="G38" i="17"/>
  <c r="F38" i="17"/>
  <c r="E38" i="17"/>
  <c r="B38" i="17"/>
  <c r="T37" i="17"/>
  <c r="Q37" i="17"/>
  <c r="O37" i="17"/>
  <c r="N37" i="17"/>
  <c r="M37" i="17"/>
  <c r="L37" i="17"/>
  <c r="J37" i="17"/>
  <c r="I37" i="17"/>
  <c r="H37" i="17"/>
  <c r="G37" i="17"/>
  <c r="F37" i="17"/>
  <c r="E37" i="17"/>
  <c r="B37" i="17"/>
  <c r="U36" i="17"/>
  <c r="T36" i="17"/>
  <c r="S36" i="17"/>
  <c r="R36" i="17"/>
  <c r="Q36" i="17"/>
  <c r="P36" i="17"/>
  <c r="O36" i="17"/>
  <c r="N36" i="17"/>
  <c r="M36" i="17"/>
  <c r="L36" i="17"/>
  <c r="K36" i="17"/>
  <c r="J36" i="17"/>
  <c r="I36" i="17"/>
  <c r="H36" i="17"/>
  <c r="G36" i="17"/>
  <c r="F36" i="17"/>
  <c r="E36" i="17"/>
  <c r="D36" i="17"/>
  <c r="C36" i="17"/>
  <c r="B36" i="17"/>
  <c r="Q35" i="17"/>
  <c r="O35" i="17"/>
  <c r="M35" i="17"/>
  <c r="L35" i="17"/>
  <c r="J35" i="17"/>
  <c r="I35" i="17"/>
  <c r="H35" i="17"/>
  <c r="G35" i="17"/>
  <c r="F35" i="17"/>
  <c r="E35" i="17"/>
  <c r="B35" i="17"/>
  <c r="T34" i="17"/>
  <c r="Q34" i="17"/>
  <c r="O34" i="17"/>
  <c r="N34" i="17"/>
  <c r="M34" i="17"/>
  <c r="L34" i="17"/>
  <c r="J34" i="17"/>
  <c r="I34" i="17"/>
  <c r="H34" i="17"/>
  <c r="G34" i="17"/>
  <c r="F34" i="17"/>
  <c r="E34" i="17"/>
  <c r="B34" i="17"/>
  <c r="Q33" i="17"/>
  <c r="O33" i="17"/>
  <c r="M33" i="17"/>
  <c r="L33" i="17"/>
  <c r="J33" i="17"/>
  <c r="I33" i="17"/>
  <c r="H33" i="17"/>
  <c r="G33" i="17"/>
  <c r="F33" i="17"/>
  <c r="E33" i="17"/>
  <c r="B33" i="17"/>
  <c r="A33" i="17"/>
  <c r="Q32" i="17"/>
  <c r="O32" i="17"/>
  <c r="M32" i="17"/>
  <c r="L32" i="17"/>
  <c r="J32" i="17"/>
  <c r="I32" i="17"/>
  <c r="H32" i="17"/>
  <c r="G32" i="17"/>
  <c r="F32" i="17"/>
  <c r="E32" i="17"/>
  <c r="B32" i="17"/>
  <c r="A32" i="17"/>
  <c r="Q31" i="17"/>
  <c r="O31" i="17"/>
  <c r="M31" i="17"/>
  <c r="L31" i="17"/>
  <c r="J31" i="17"/>
  <c r="I31" i="17"/>
  <c r="H31" i="17"/>
  <c r="G31" i="17"/>
  <c r="F31" i="17"/>
  <c r="E31" i="17"/>
  <c r="B31" i="17"/>
  <c r="A31" i="17"/>
  <c r="T30" i="17"/>
  <c r="Q30" i="17"/>
  <c r="O30" i="17"/>
  <c r="M30" i="17"/>
  <c r="L30" i="17"/>
  <c r="J30" i="17"/>
  <c r="I30" i="17"/>
  <c r="H30" i="17"/>
  <c r="G30" i="17"/>
  <c r="F30" i="17"/>
  <c r="E30" i="17"/>
  <c r="B30" i="17"/>
  <c r="A30" i="17"/>
  <c r="T29" i="17"/>
  <c r="Q29" i="17"/>
  <c r="O29" i="17"/>
  <c r="N29" i="17"/>
  <c r="M29" i="17"/>
  <c r="L29" i="17"/>
  <c r="J29" i="17"/>
  <c r="I29" i="17"/>
  <c r="H29" i="17"/>
  <c r="G29" i="17"/>
  <c r="F29" i="17"/>
  <c r="E29" i="17"/>
  <c r="B29" i="17"/>
  <c r="A29" i="17"/>
  <c r="T28" i="17"/>
  <c r="Q28" i="17"/>
  <c r="O28" i="17"/>
  <c r="M28" i="17"/>
  <c r="L28" i="17"/>
  <c r="J28" i="17"/>
  <c r="I28" i="17"/>
  <c r="H28" i="17"/>
  <c r="G28" i="17"/>
  <c r="F28" i="17"/>
  <c r="E28" i="17"/>
  <c r="B28" i="17"/>
  <c r="A28" i="17"/>
  <c r="Q27" i="17"/>
  <c r="O27" i="17"/>
  <c r="N27" i="17"/>
  <c r="M27" i="17"/>
  <c r="L27" i="17"/>
  <c r="J27" i="17"/>
  <c r="I27" i="17"/>
  <c r="H27" i="17"/>
  <c r="G27" i="17"/>
  <c r="F27" i="17"/>
  <c r="E27" i="17"/>
  <c r="B27" i="17"/>
  <c r="A27" i="17"/>
  <c r="Q26" i="17"/>
  <c r="O26" i="17"/>
  <c r="M26" i="17"/>
  <c r="L26" i="17"/>
  <c r="J26" i="17"/>
  <c r="I26" i="17"/>
  <c r="H26" i="17"/>
  <c r="G26" i="17"/>
  <c r="F26" i="17"/>
  <c r="E26" i="17"/>
  <c r="B26" i="17"/>
  <c r="A26" i="17"/>
  <c r="Q25" i="17"/>
  <c r="O25" i="17"/>
  <c r="M25" i="17"/>
  <c r="L25" i="17"/>
  <c r="J25" i="17"/>
  <c r="I25" i="17"/>
  <c r="H25" i="17"/>
  <c r="G25" i="17"/>
  <c r="F25" i="17"/>
  <c r="E25" i="17"/>
  <c r="B25" i="17"/>
  <c r="A25" i="17"/>
  <c r="T24" i="17"/>
  <c r="Q24" i="17"/>
  <c r="O24" i="17"/>
  <c r="N24" i="17"/>
  <c r="M24" i="17"/>
  <c r="L24" i="17"/>
  <c r="J24" i="17"/>
  <c r="I24" i="17"/>
  <c r="H24" i="17"/>
  <c r="G24" i="17"/>
  <c r="F24" i="17"/>
  <c r="E24" i="17"/>
  <c r="B24" i="17"/>
  <c r="A24" i="17"/>
  <c r="Q21" i="17"/>
  <c r="O21" i="17"/>
  <c r="N21" i="17"/>
  <c r="M21" i="17"/>
  <c r="L21" i="17"/>
  <c r="J21" i="17"/>
  <c r="I21" i="17"/>
  <c r="H21" i="17"/>
  <c r="G21" i="17"/>
  <c r="F21" i="17"/>
  <c r="E21" i="17"/>
  <c r="B21" i="17"/>
  <c r="T20" i="17"/>
  <c r="Q20" i="17"/>
  <c r="O20" i="17"/>
  <c r="N20" i="17"/>
  <c r="M20" i="17"/>
  <c r="L20" i="17"/>
  <c r="J20" i="17"/>
  <c r="I20" i="17"/>
  <c r="H20" i="17"/>
  <c r="G20" i="17"/>
  <c r="F20" i="17"/>
  <c r="E20" i="17"/>
  <c r="B20" i="17"/>
  <c r="T19" i="17"/>
  <c r="Q19" i="17"/>
  <c r="O19" i="17"/>
  <c r="N19" i="17"/>
  <c r="M19" i="17"/>
  <c r="L19" i="17"/>
  <c r="J19" i="17"/>
  <c r="I19" i="17"/>
  <c r="H19" i="17"/>
  <c r="G19" i="17"/>
  <c r="F19" i="17"/>
  <c r="E19" i="17"/>
  <c r="B19" i="17"/>
  <c r="T18" i="17"/>
  <c r="Q18" i="17"/>
  <c r="O18" i="17"/>
  <c r="N18" i="17"/>
  <c r="M18" i="17"/>
  <c r="L18" i="17"/>
  <c r="J18" i="17"/>
  <c r="I18" i="17"/>
  <c r="H18" i="17"/>
  <c r="G18" i="17"/>
  <c r="F18" i="17"/>
  <c r="E18" i="17"/>
  <c r="B18" i="17"/>
  <c r="T17" i="17"/>
  <c r="Q17" i="17"/>
  <c r="O17" i="17"/>
  <c r="N17" i="17"/>
  <c r="M17" i="17"/>
  <c r="L17" i="17"/>
  <c r="J17" i="17"/>
  <c r="I17" i="17"/>
  <c r="H17" i="17"/>
  <c r="G17" i="17"/>
  <c r="F17" i="17"/>
  <c r="E17" i="17"/>
  <c r="B17" i="17"/>
  <c r="T14" i="17"/>
  <c r="Q14" i="17"/>
  <c r="O14" i="17"/>
  <c r="M14" i="17"/>
  <c r="L14" i="17"/>
  <c r="J14" i="17"/>
  <c r="I14" i="17"/>
  <c r="H14" i="17"/>
  <c r="G14" i="17"/>
  <c r="F14" i="17"/>
  <c r="E14" i="17"/>
  <c r="B14" i="17"/>
  <c r="A14" i="17"/>
  <c r="Q13" i="17"/>
  <c r="O13" i="17"/>
  <c r="M13" i="17"/>
  <c r="L13" i="17"/>
  <c r="J13" i="17"/>
  <c r="I13" i="17"/>
  <c r="H13" i="17"/>
  <c r="G13" i="17"/>
  <c r="F13" i="17"/>
  <c r="E13" i="17"/>
  <c r="B13" i="17"/>
  <c r="A13" i="17"/>
  <c r="T12" i="17"/>
  <c r="Q12" i="17"/>
  <c r="O12" i="17"/>
  <c r="M12" i="17"/>
  <c r="L12" i="17"/>
  <c r="J12" i="17"/>
  <c r="I12" i="17"/>
  <c r="H12" i="17"/>
  <c r="G12" i="17"/>
  <c r="F12" i="17"/>
  <c r="E12" i="17"/>
  <c r="B12" i="17"/>
  <c r="A12" i="17"/>
  <c r="T11" i="17"/>
  <c r="Q11" i="17"/>
  <c r="O11" i="17"/>
  <c r="M11" i="17"/>
  <c r="L11" i="17"/>
  <c r="J11" i="17"/>
  <c r="I11" i="17"/>
  <c r="H11" i="17"/>
  <c r="G11" i="17"/>
  <c r="F11" i="17"/>
  <c r="E11" i="17"/>
  <c r="B11" i="17"/>
  <c r="A11" i="17"/>
  <c r="T10" i="17"/>
  <c r="Q10" i="17"/>
  <c r="O10" i="17"/>
  <c r="N10" i="17"/>
  <c r="M10" i="17"/>
  <c r="L10" i="17"/>
  <c r="J10" i="17"/>
  <c r="I10" i="17"/>
  <c r="H10" i="17"/>
  <c r="G10" i="17"/>
  <c r="F10" i="17"/>
  <c r="E10" i="17"/>
  <c r="B10" i="17"/>
  <c r="A10" i="17"/>
  <c r="T9" i="17"/>
  <c r="Q9" i="17"/>
  <c r="O9" i="17"/>
  <c r="M9" i="17"/>
  <c r="L9" i="17"/>
  <c r="J9" i="17"/>
  <c r="I9" i="17"/>
  <c r="H9" i="17"/>
  <c r="G9" i="17"/>
  <c r="F9" i="17"/>
  <c r="E9" i="17"/>
  <c r="B9" i="17"/>
  <c r="A9" i="17"/>
  <c r="Q8" i="17"/>
  <c r="O8" i="17"/>
  <c r="N8" i="17"/>
  <c r="M8" i="17"/>
  <c r="L8" i="17"/>
  <c r="J8" i="17"/>
  <c r="I8" i="17"/>
  <c r="H8" i="17"/>
  <c r="G8" i="17"/>
  <c r="F8" i="17"/>
  <c r="E8" i="17"/>
  <c r="B8" i="17"/>
  <c r="A8" i="17"/>
  <c r="Q7" i="17"/>
  <c r="O7" i="17"/>
  <c r="M7" i="17"/>
  <c r="L7" i="17"/>
  <c r="J7" i="17"/>
  <c r="I7" i="17"/>
  <c r="H7" i="17"/>
  <c r="G7" i="17"/>
  <c r="F7" i="17"/>
  <c r="E7" i="17"/>
  <c r="B7" i="17"/>
  <c r="A7" i="17"/>
  <c r="T6" i="17"/>
  <c r="Q6" i="17"/>
  <c r="O6" i="17"/>
  <c r="N6" i="17"/>
  <c r="M6" i="17"/>
  <c r="L6" i="17"/>
  <c r="J6" i="17"/>
  <c r="I6" i="17"/>
  <c r="H6" i="17"/>
  <c r="G6" i="17"/>
  <c r="F6" i="17"/>
  <c r="E6" i="17"/>
  <c r="B6" i="17"/>
  <c r="A6" i="17"/>
  <c r="Q5" i="17"/>
  <c r="O5" i="17"/>
  <c r="M5" i="17"/>
  <c r="L5" i="17"/>
  <c r="J5" i="17"/>
  <c r="I5" i="17"/>
  <c r="H5" i="17"/>
  <c r="G5" i="17"/>
  <c r="F5" i="17"/>
  <c r="E5" i="17"/>
  <c r="B5" i="17"/>
  <c r="A5" i="17"/>
  <c r="T4" i="17"/>
  <c r="Q4" i="17"/>
  <c r="O4" i="17"/>
  <c r="N4" i="17"/>
  <c r="M4" i="17"/>
  <c r="L4" i="17"/>
  <c r="J4" i="17"/>
  <c r="I4" i="17"/>
  <c r="H4" i="17"/>
  <c r="F3" i="17" s="1"/>
  <c r="G4" i="17"/>
  <c r="F4" i="17"/>
  <c r="E4" i="17"/>
  <c r="C4" i="17"/>
  <c r="B4" i="17"/>
  <c r="A4" i="17"/>
  <c r="D588" i="17"/>
  <c r="D607" i="17"/>
  <c r="D342" i="17"/>
  <c r="D21" i="17"/>
  <c r="D325" i="15"/>
  <c r="D512" i="17" s="1"/>
  <c r="D492" i="17"/>
  <c r="D318" i="15"/>
  <c r="D40" i="17" s="1"/>
  <c r="D292" i="15"/>
  <c r="D529" i="17" s="1"/>
  <c r="D294" i="15"/>
  <c r="D359" i="17" s="1"/>
  <c r="D295" i="15"/>
  <c r="D226" i="17" s="1"/>
  <c r="D235" i="15"/>
  <c r="D337" i="17" s="1"/>
  <c r="D261" i="17"/>
  <c r="D318" i="17"/>
  <c r="K330" i="15"/>
  <c r="K329" i="15"/>
  <c r="P328" i="15"/>
  <c r="K328" i="15"/>
  <c r="K325" i="15"/>
  <c r="P327" i="15"/>
  <c r="K324" i="15"/>
  <c r="D324" i="15"/>
  <c r="D436" i="17" s="1"/>
  <c r="K323" i="15"/>
  <c r="D323" i="15"/>
  <c r="D379" i="17" s="1"/>
  <c r="P316" i="15"/>
  <c r="K316" i="15"/>
  <c r="D304" i="17"/>
  <c r="K322" i="15"/>
  <c r="D322" i="15"/>
  <c r="D247" i="17" s="1"/>
  <c r="K331" i="15"/>
  <c r="D228" i="17"/>
  <c r="P326" i="15"/>
  <c r="D190" i="17"/>
  <c r="P321" i="15"/>
  <c r="P133" i="17" s="1"/>
  <c r="K321" i="15"/>
  <c r="D321" i="15"/>
  <c r="D59" i="17" s="1"/>
  <c r="K320" i="15"/>
  <c r="K114" i="17" s="1"/>
  <c r="D320" i="15"/>
  <c r="D398" i="17" s="1"/>
  <c r="K319" i="15"/>
  <c r="K78" i="17" s="1"/>
  <c r="D319" i="15"/>
  <c r="D78" i="17" s="1"/>
  <c r="K318" i="15"/>
  <c r="K40" i="17" s="1"/>
  <c r="D211" i="15"/>
  <c r="D411" i="17" s="1"/>
  <c r="D210" i="15"/>
  <c r="D165" i="17" s="1"/>
  <c r="D209" i="15"/>
  <c r="D203" i="17" s="1"/>
  <c r="B210" i="15"/>
  <c r="B165" i="17" s="1"/>
  <c r="N132" i="17"/>
  <c r="D77" i="17"/>
  <c r="K314" i="15"/>
  <c r="K341" i="17" s="1"/>
  <c r="D314" i="15"/>
  <c r="D341" i="17" s="1"/>
  <c r="P313" i="15"/>
  <c r="K313" i="15"/>
  <c r="K397" i="17" s="1"/>
  <c r="D313" i="15"/>
  <c r="D397" i="17" s="1"/>
  <c r="K312" i="15"/>
  <c r="D312" i="15"/>
  <c r="D473" i="17" s="1"/>
  <c r="K311" i="15"/>
  <c r="K530" i="17" s="1"/>
  <c r="D311" i="15"/>
  <c r="D530" i="17" s="1"/>
  <c r="K310" i="15"/>
  <c r="K284" i="17" s="1"/>
  <c r="D310" i="15"/>
  <c r="D246" i="17" s="1"/>
  <c r="K309" i="15"/>
  <c r="D309" i="15"/>
  <c r="D58" i="17" s="1"/>
  <c r="K308" i="15"/>
  <c r="D308" i="15"/>
  <c r="D151" i="17" s="1"/>
  <c r="K307" i="15"/>
  <c r="K95" i="17" s="1"/>
  <c r="D307" i="15"/>
  <c r="D95" i="17" s="1"/>
  <c r="K306" i="15"/>
  <c r="D306" i="15"/>
  <c r="D435" i="17" s="1"/>
  <c r="P305" i="15"/>
  <c r="K305" i="15"/>
  <c r="K265" i="17" s="1"/>
  <c r="D305" i="15"/>
  <c r="D454" i="17" s="1"/>
  <c r="K304" i="15"/>
  <c r="K378" i="17" s="1"/>
  <c r="D304" i="15"/>
  <c r="D378" i="17" s="1"/>
  <c r="K303" i="15"/>
  <c r="K189" i="17" s="1"/>
  <c r="D303" i="15"/>
  <c r="D189" i="17" s="1"/>
  <c r="K302" i="15"/>
  <c r="K113" i="17" s="1"/>
  <c r="D302" i="15"/>
  <c r="D113" i="17" s="1"/>
  <c r="D301" i="15"/>
  <c r="D39" i="17" s="1"/>
  <c r="K300" i="15"/>
  <c r="K587" i="17" s="1"/>
  <c r="D300" i="15"/>
  <c r="D170" i="17" s="1"/>
  <c r="D298" i="15"/>
  <c r="D321" i="17" s="1"/>
  <c r="P297" i="15"/>
  <c r="P567" i="17" s="1"/>
  <c r="K297" i="15"/>
  <c r="K19" i="17" s="1"/>
  <c r="D297" i="15"/>
  <c r="D567" i="17" s="1"/>
  <c r="K296" i="15"/>
  <c r="D296" i="15"/>
  <c r="D340" i="17" s="1"/>
  <c r="P295" i="15"/>
  <c r="K294" i="15"/>
  <c r="K510" i="17" s="1"/>
  <c r="K293" i="15"/>
  <c r="K490" i="17" s="1"/>
  <c r="D293" i="15"/>
  <c r="D169" i="17" s="1"/>
  <c r="P292" i="15"/>
  <c r="K292" i="15"/>
  <c r="K605" i="17" s="1"/>
  <c r="D291" i="15"/>
  <c r="D57" i="17" s="1"/>
  <c r="K290" i="15"/>
  <c r="D290" i="15"/>
  <c r="D207" i="17" s="1"/>
  <c r="P289" i="15"/>
  <c r="P415" i="17" s="1"/>
  <c r="K289" i="15"/>
  <c r="K131" i="17" s="1"/>
  <c r="D289" i="15"/>
  <c r="D415" i="17" s="1"/>
  <c r="P288" i="15"/>
  <c r="K288" i="15"/>
  <c r="K396" i="17" s="1"/>
  <c r="D288" i="15"/>
  <c r="D453" i="17" s="1"/>
  <c r="P287" i="15"/>
  <c r="D287" i="15"/>
  <c r="D302" i="17" s="1"/>
  <c r="K286" i="15"/>
  <c r="K245" i="17" s="1"/>
  <c r="D286" i="15"/>
  <c r="D245" i="17" s="1"/>
  <c r="K285" i="15"/>
  <c r="D285" i="15"/>
  <c r="D150" i="17" s="1"/>
  <c r="P284" i="15"/>
  <c r="P76" i="17" s="1"/>
  <c r="D284" i="15"/>
  <c r="D112" i="17" s="1"/>
  <c r="D283" i="15"/>
  <c r="D472" i="17" s="1"/>
  <c r="D281" i="15"/>
  <c r="D225" i="17" s="1"/>
  <c r="K280" i="15"/>
  <c r="K358" i="17" s="1"/>
  <c r="D280" i="15"/>
  <c r="D358" i="17" s="1"/>
  <c r="P279" i="15"/>
  <c r="K279" i="15"/>
  <c r="K130" i="17" s="1"/>
  <c r="D279" i="15"/>
  <c r="D130" i="17" s="1"/>
  <c r="K278" i="15"/>
  <c r="K585" i="17" s="1"/>
  <c r="D278" i="15"/>
  <c r="D320" i="17" s="1"/>
  <c r="P277" i="15"/>
  <c r="P187" i="17" s="1"/>
  <c r="K277" i="15"/>
  <c r="K18" i="17" s="1"/>
  <c r="D277" i="15"/>
  <c r="D18" i="17" s="1"/>
  <c r="K276" i="15"/>
  <c r="K244" i="17" s="1"/>
  <c r="D276" i="15"/>
  <c r="D244" i="17" s="1"/>
  <c r="K275" i="15"/>
  <c r="K282" i="17" s="1"/>
  <c r="D275" i="15"/>
  <c r="D168" i="17" s="1"/>
  <c r="K274" i="15"/>
  <c r="K93" i="17" s="1"/>
  <c r="D274" i="15"/>
  <c r="D509" i="17" s="1"/>
  <c r="P273" i="15"/>
  <c r="K273" i="15"/>
  <c r="K471" i="17" s="1"/>
  <c r="D273" i="15"/>
  <c r="D206" i="17" s="1"/>
  <c r="P272" i="15"/>
  <c r="K272" i="15"/>
  <c r="K111" i="17" s="1"/>
  <c r="D272" i="15"/>
  <c r="D111" i="17" s="1"/>
  <c r="P271" i="15"/>
  <c r="K271" i="15"/>
  <c r="K604" i="17" s="1"/>
  <c r="D271" i="15"/>
  <c r="D452" i="17" s="1"/>
  <c r="K270" i="15"/>
  <c r="K433" i="17" s="1"/>
  <c r="D270" i="15"/>
  <c r="D433" i="17" s="1"/>
  <c r="K269" i="15"/>
  <c r="R269" i="15" s="1"/>
  <c r="D269" i="15"/>
  <c r="D263" i="17" s="1"/>
  <c r="K268" i="15"/>
  <c r="K56" i="17" s="1"/>
  <c r="D268" i="15"/>
  <c r="D56" i="17" s="1"/>
  <c r="P267" i="15"/>
  <c r="P376" i="17" s="1"/>
  <c r="K267" i="15"/>
  <c r="K75" i="17" s="1"/>
  <c r="D267" i="15"/>
  <c r="D376" i="17" s="1"/>
  <c r="P266" i="15"/>
  <c r="K266" i="15"/>
  <c r="K528" i="17" s="1"/>
  <c r="D266" i="15"/>
  <c r="D547" i="17" s="1"/>
  <c r="K257" i="15"/>
  <c r="K17" i="17" s="1"/>
  <c r="D257" i="15"/>
  <c r="D17" i="17" s="1"/>
  <c r="K256" i="15"/>
  <c r="K300" i="17" s="1"/>
  <c r="D256" i="15"/>
  <c r="D186" i="17" s="1"/>
  <c r="D255" i="15"/>
  <c r="D92" i="17" s="1"/>
  <c r="P254" i="15"/>
  <c r="K254" i="15"/>
  <c r="K565" i="17" s="1"/>
  <c r="D254" i="15"/>
  <c r="D565" i="17" s="1"/>
  <c r="K253" i="15"/>
  <c r="K319" i="17" s="1"/>
  <c r="D253" i="15"/>
  <c r="D375" i="17" s="1"/>
  <c r="K252" i="15"/>
  <c r="K55" i="17" s="1"/>
  <c r="D252" i="15"/>
  <c r="D55" i="17" s="1"/>
  <c r="AQ451" i="17"/>
  <c r="K251" i="15"/>
  <c r="D251" i="15"/>
  <c r="K250" i="15"/>
  <c r="K281" i="17" s="1"/>
  <c r="D250" i="15"/>
  <c r="D584" i="17" s="1"/>
  <c r="K249" i="15"/>
  <c r="K394" i="17" s="1"/>
  <c r="D249" i="15"/>
  <c r="D205" i="17" s="1"/>
  <c r="K248" i="15"/>
  <c r="K243" i="17" s="1"/>
  <c r="D248" i="15"/>
  <c r="D167" i="17" s="1"/>
  <c r="K247" i="15"/>
  <c r="K129" i="17" s="1"/>
  <c r="D247" i="15"/>
  <c r="D129" i="17" s="1"/>
  <c r="P246" i="15"/>
  <c r="P470" i="17" s="1"/>
  <c r="K246" i="15"/>
  <c r="R246" i="15" s="1"/>
  <c r="R74" i="17" s="1"/>
  <c r="D246" i="15"/>
  <c r="D74" i="17" s="1"/>
  <c r="P245" i="15"/>
  <c r="D245" i="15"/>
  <c r="D338" i="17" s="1"/>
  <c r="P239" i="15"/>
  <c r="P261" i="17" s="1"/>
  <c r="K239" i="15"/>
  <c r="K238" i="15"/>
  <c r="N238" i="15" s="1"/>
  <c r="N356" i="17" s="1"/>
  <c r="K237" i="15"/>
  <c r="N237" i="15" s="1"/>
  <c r="N299" i="17" s="1"/>
  <c r="D237" i="15"/>
  <c r="D299" i="17" s="1"/>
  <c r="P236" i="15"/>
  <c r="K236" i="15"/>
  <c r="D236" i="15"/>
  <c r="D374" i="17" s="1"/>
  <c r="P235" i="15"/>
  <c r="K235" i="15"/>
  <c r="K545" i="17" s="1"/>
  <c r="K234" i="15"/>
  <c r="D234" i="15"/>
  <c r="D242" i="17" s="1"/>
  <c r="P233" i="15"/>
  <c r="K233" i="15"/>
  <c r="D233" i="15"/>
  <c r="D185" i="17" s="1"/>
  <c r="P232" i="15"/>
  <c r="K232" i="15"/>
  <c r="D232" i="15"/>
  <c r="D487" i="17" s="1"/>
  <c r="K231" i="15"/>
  <c r="D231" i="15"/>
  <c r="D602" i="17" s="1"/>
  <c r="K230" i="15"/>
  <c r="D230" i="15"/>
  <c r="D393" i="17" s="1"/>
  <c r="D229" i="15"/>
  <c r="D280" i="17" s="1"/>
  <c r="P228" i="15"/>
  <c r="K228" i="15"/>
  <c r="D228" i="15"/>
  <c r="D109" i="17" s="1"/>
  <c r="D227" i="15"/>
  <c r="D507" i="17" s="1"/>
  <c r="K226" i="15"/>
  <c r="D226" i="15"/>
  <c r="D73" i="17" s="1"/>
  <c r="A209" i="15"/>
  <c r="A210" i="15" s="1"/>
  <c r="D224" i="15"/>
  <c r="D260" i="17" s="1"/>
  <c r="P223" i="15"/>
  <c r="P486" i="17" s="1"/>
  <c r="K223" i="15"/>
  <c r="K222" i="17" s="1"/>
  <c r="D223" i="15"/>
  <c r="D222" i="17" s="1"/>
  <c r="P222" i="15"/>
  <c r="K222" i="15"/>
  <c r="D222" i="15"/>
  <c r="D525" i="17" s="1"/>
  <c r="P221" i="15"/>
  <c r="K221" i="15"/>
  <c r="D221" i="15"/>
  <c r="K220" i="15"/>
  <c r="D220" i="15"/>
  <c r="D355" i="17" s="1"/>
  <c r="BC298" i="17"/>
  <c r="AQ298" i="17"/>
  <c r="K219" i="15"/>
  <c r="D219" i="15"/>
  <c r="D298" i="17" s="1"/>
  <c r="K218" i="15"/>
  <c r="D218" i="15"/>
  <c r="D279" i="17" s="1"/>
  <c r="K217" i="15"/>
  <c r="D217" i="15"/>
  <c r="D91" i="17" s="1"/>
  <c r="K216" i="15"/>
  <c r="K34" i="17" s="1"/>
  <c r="D216" i="15"/>
  <c r="D601" i="17" s="1"/>
  <c r="K215" i="15"/>
  <c r="D215" i="15"/>
  <c r="D108" i="17" s="1"/>
  <c r="P214" i="15"/>
  <c r="K214" i="15"/>
  <c r="R214" i="15" s="1"/>
  <c r="R241" i="17" s="1"/>
  <c r="D214" i="15"/>
  <c r="D241" i="17" s="1"/>
  <c r="P213" i="15"/>
  <c r="P582" i="17" s="1"/>
  <c r="K213" i="15"/>
  <c r="K127" i="17" s="1"/>
  <c r="D213" i="15"/>
  <c r="D582" i="17" s="1"/>
  <c r="K212" i="15"/>
  <c r="D212" i="15"/>
  <c r="D563" i="17" s="1"/>
  <c r="K211" i="15"/>
  <c r="P210" i="15"/>
  <c r="K209" i="15"/>
  <c r="P197" i="15"/>
  <c r="D201" i="15"/>
  <c r="D202" i="15" s="1"/>
  <c r="D524" i="17" s="1"/>
  <c r="D200" i="15"/>
  <c r="D316" i="17" s="1"/>
  <c r="D199" i="15"/>
  <c r="D391" i="17" s="1"/>
  <c r="D198" i="15"/>
  <c r="D183" i="17" s="1"/>
  <c r="D190" i="15"/>
  <c r="D33" i="17" s="1"/>
  <c r="D180" i="15"/>
  <c r="D334" i="17" s="1"/>
  <c r="D179" i="15"/>
  <c r="D163" i="17" s="1"/>
  <c r="D181" i="15"/>
  <c r="D182" i="15" s="1"/>
  <c r="D170" i="15"/>
  <c r="D189" i="15" s="1"/>
  <c r="D581" i="17" s="1"/>
  <c r="D159" i="15"/>
  <c r="D178" i="15"/>
  <c r="D258" i="17" s="1"/>
  <c r="D158" i="15"/>
  <c r="P482" i="17"/>
  <c r="K482" i="17"/>
  <c r="K118" i="15"/>
  <c r="D98" i="15"/>
  <c r="D118" i="15" s="1"/>
  <c r="D138" i="15" s="1"/>
  <c r="D578" i="17" s="1"/>
  <c r="D99" i="15"/>
  <c r="D119" i="15" s="1"/>
  <c r="D102" i="15"/>
  <c r="D122" i="15" s="1"/>
  <c r="D101" i="15"/>
  <c r="D121" i="15" s="1"/>
  <c r="D100" i="15"/>
  <c r="D120" i="15" s="1"/>
  <c r="D520" i="17" s="1"/>
  <c r="D97" i="15"/>
  <c r="D117" i="15" s="1"/>
  <c r="D96" i="15"/>
  <c r="D116" i="15" s="1"/>
  <c r="D136" i="15" s="1"/>
  <c r="D95" i="15"/>
  <c r="D115" i="15" s="1"/>
  <c r="D135" i="15" s="1"/>
  <c r="D155" i="15" s="1"/>
  <c r="D94" i="15"/>
  <c r="D114" i="15" s="1"/>
  <c r="D93" i="15"/>
  <c r="D113" i="15" s="1"/>
  <c r="D133" i="15" s="1"/>
  <c r="D199" i="17" s="1"/>
  <c r="D92" i="15"/>
  <c r="D112" i="15" s="1"/>
  <c r="D91" i="15"/>
  <c r="D111" i="15" s="1"/>
  <c r="D90" i="15"/>
  <c r="D110" i="15" s="1"/>
  <c r="D180" i="17" s="1"/>
  <c r="D89" i="15"/>
  <c r="D109" i="15" s="1"/>
  <c r="D10" i="17" s="1"/>
  <c r="D87" i="15"/>
  <c r="D348" i="17" s="1"/>
  <c r="D86" i="15"/>
  <c r="D46" i="17" s="1"/>
  <c r="D85" i="15"/>
  <c r="D480" i="17" s="1"/>
  <c r="D84" i="15"/>
  <c r="D158" i="17" s="1"/>
  <c r="D83" i="15"/>
  <c r="D84" i="17" s="1"/>
  <c r="D82" i="15"/>
  <c r="D272" i="17" s="1"/>
  <c r="D81" i="15"/>
  <c r="D575" i="17" s="1"/>
  <c r="D80" i="15"/>
  <c r="D556" i="17" s="1"/>
  <c r="D79" i="15"/>
  <c r="D461" i="17" s="1"/>
  <c r="D78" i="15"/>
  <c r="D537" i="17" s="1"/>
  <c r="D77" i="15"/>
  <c r="D196" i="17" s="1"/>
  <c r="D76" i="15"/>
  <c r="D102" i="17" s="1"/>
  <c r="D75" i="15"/>
  <c r="D310" i="17" s="1"/>
  <c r="D74" i="15"/>
  <c r="D65" i="17" s="1"/>
  <c r="D73" i="15"/>
  <c r="D442" i="17" s="1"/>
  <c r="D72" i="15"/>
  <c r="D253" i="17" s="1"/>
  <c r="D70" i="15"/>
  <c r="D517" i="17" s="1"/>
  <c r="D69" i="15"/>
  <c r="D290" i="17" s="1"/>
  <c r="K64" i="15"/>
  <c r="N45" i="17" s="1"/>
  <c r="D64" i="15"/>
  <c r="D64" i="17" s="1"/>
  <c r="D68" i="15"/>
  <c r="D347" i="17" s="1"/>
  <c r="D67" i="15"/>
  <c r="D214" i="17" s="1"/>
  <c r="D66" i="15"/>
  <c r="D7" i="17" s="1"/>
  <c r="D65" i="15"/>
  <c r="D309" i="17" s="1"/>
  <c r="D63" i="15"/>
  <c r="D460" i="17" s="1"/>
  <c r="D62" i="15"/>
  <c r="D479" i="17" s="1"/>
  <c r="D61" i="15"/>
  <c r="D441" i="17" s="1"/>
  <c r="D60" i="15"/>
  <c r="D574" i="17" s="1"/>
  <c r="D59" i="15"/>
  <c r="D195" i="17" s="1"/>
  <c r="D58" i="15"/>
  <c r="D593" i="17" s="1"/>
  <c r="D57" i="15"/>
  <c r="D26" i="17" s="1"/>
  <c r="D56" i="15"/>
  <c r="D422" i="17" s="1"/>
  <c r="D55" i="15"/>
  <c r="D119" i="17" s="1"/>
  <c r="D48" i="15"/>
  <c r="D270" i="17" s="1"/>
  <c r="K39" i="15"/>
  <c r="K100" i="17" s="1"/>
  <c r="P39" i="15"/>
  <c r="P232" i="17" s="1"/>
  <c r="D39" i="15"/>
  <c r="D232" i="17" s="1"/>
  <c r="C39" i="15"/>
  <c r="D53" i="15"/>
  <c r="D156" i="17" s="1"/>
  <c r="D52" i="15"/>
  <c r="D516" i="17" s="1"/>
  <c r="C52" i="15"/>
  <c r="C175" i="17" s="1"/>
  <c r="C40" i="15"/>
  <c r="C41" i="15"/>
  <c r="C58" i="15" s="1"/>
  <c r="C157" i="17" s="1"/>
  <c r="C42" i="15"/>
  <c r="C43" i="15"/>
  <c r="C44" i="15"/>
  <c r="C45" i="15"/>
  <c r="C118" i="17" s="1"/>
  <c r="C46" i="15"/>
  <c r="C47" i="15"/>
  <c r="C48" i="15"/>
  <c r="C65" i="15" s="1"/>
  <c r="C82" i="15" s="1"/>
  <c r="C49" i="15"/>
  <c r="C50" i="15"/>
  <c r="C25" i="17" s="1"/>
  <c r="C51" i="15"/>
  <c r="C38" i="15"/>
  <c r="D51" i="15"/>
  <c r="D554" i="17" s="1"/>
  <c r="D50" i="15"/>
  <c r="D25" i="17" s="1"/>
  <c r="D49" i="15"/>
  <c r="D6" i="17" s="1"/>
  <c r="D47" i="15"/>
  <c r="D82" i="17" s="1"/>
  <c r="D46" i="15"/>
  <c r="D478" i="17" s="1"/>
  <c r="D45" i="15"/>
  <c r="D459" i="17" s="1"/>
  <c r="D44" i="15"/>
  <c r="D402" i="17" s="1"/>
  <c r="D43" i="15"/>
  <c r="D383" i="17" s="1"/>
  <c r="D42" i="15"/>
  <c r="D63" i="17" s="1"/>
  <c r="D41" i="15"/>
  <c r="D289" i="17" s="1"/>
  <c r="D40" i="15"/>
  <c r="D573" i="17" s="1"/>
  <c r="D38" i="15"/>
  <c r="D137" i="17" s="1"/>
  <c r="D34" i="15"/>
  <c r="D212" i="17" s="1"/>
  <c r="D33" i="15"/>
  <c r="D345" i="17" s="1"/>
  <c r="D32" i="15"/>
  <c r="D231" i="17" s="1"/>
  <c r="D31" i="15"/>
  <c r="D155" i="17" s="1"/>
  <c r="D30" i="15"/>
  <c r="D515" i="17" s="1"/>
  <c r="D29" i="15"/>
  <c r="D24" i="17" s="1"/>
  <c r="D35" i="15"/>
  <c r="D572" i="17" s="1"/>
  <c r="C36" i="15"/>
  <c r="C34" i="15"/>
  <c r="C35" i="15" s="1"/>
  <c r="C572" i="17" s="1"/>
  <c r="C33" i="15"/>
  <c r="C345" i="17" s="1"/>
  <c r="C32" i="15"/>
  <c r="C231" i="17" s="1"/>
  <c r="C31" i="15"/>
  <c r="C30" i="15"/>
  <c r="C29" i="15"/>
  <c r="C326" i="17" s="1"/>
  <c r="C28" i="15"/>
  <c r="C364" i="17" s="1"/>
  <c r="C27" i="15"/>
  <c r="C269" i="17" s="1"/>
  <c r="C26" i="15"/>
  <c r="C495" i="17" s="1"/>
  <c r="C25" i="15"/>
  <c r="C81" i="17" s="1"/>
  <c r="C24" i="15"/>
  <c r="C23" i="15"/>
  <c r="C22" i="15"/>
  <c r="C458" i="17" s="1"/>
  <c r="D36" i="15"/>
  <c r="D382" i="17" s="1"/>
  <c r="D28" i="15"/>
  <c r="D364" i="17" s="1"/>
  <c r="D27" i="15"/>
  <c r="D269" i="17" s="1"/>
  <c r="D26" i="15"/>
  <c r="D495" i="17" s="1"/>
  <c r="D25" i="15"/>
  <c r="D439" i="17" s="1"/>
  <c r="D24" i="15"/>
  <c r="D553" i="17" s="1"/>
  <c r="D23" i="15"/>
  <c r="D193" i="17" s="1"/>
  <c r="D22" i="15"/>
  <c r="D458" i="17" s="1"/>
  <c r="D21" i="15"/>
  <c r="D307" i="17" s="1"/>
  <c r="D18" i="15"/>
  <c r="D552" i="17" s="1"/>
  <c r="D17" i="15"/>
  <c r="D344" i="17" s="1"/>
  <c r="D16" i="15"/>
  <c r="D287" i="17" s="1"/>
  <c r="D15" i="15"/>
  <c r="D381" i="17" s="1"/>
  <c r="D14" i="15"/>
  <c r="D438" i="17" s="1"/>
  <c r="C21" i="15"/>
  <c r="D19" i="15"/>
  <c r="D173" i="17" s="1"/>
  <c r="D13" i="15"/>
  <c r="D230" i="17" s="1"/>
  <c r="D12" i="15"/>
  <c r="D80" i="17" s="1"/>
  <c r="D11" i="15"/>
  <c r="D590" i="17" s="1"/>
  <c r="D10" i="15"/>
  <c r="D42" i="17" s="1" a="1"/>
  <c r="D42" i="17" s="1"/>
  <c r="D9" i="15"/>
  <c r="D400" i="17" s="1"/>
  <c r="D8" i="15"/>
  <c r="D192" i="17" s="1"/>
  <c r="D7" i="15"/>
  <c r="D116" i="17" s="1"/>
  <c r="D6" i="15"/>
  <c r="D98" i="17" s="1"/>
  <c r="D5" i="15"/>
  <c r="D23" i="17" s="1"/>
  <c r="D4" i="15"/>
  <c r="D61" i="17" s="1"/>
  <c r="Q123" i="2"/>
  <c r="O123" i="2"/>
  <c r="N123" i="2"/>
  <c r="M123" i="2"/>
  <c r="L123" i="2"/>
  <c r="J123" i="2"/>
  <c r="H123" i="2"/>
  <c r="F123" i="2"/>
  <c r="E123" i="2"/>
  <c r="D123" i="2"/>
  <c r="C123" i="2"/>
  <c r="B123" i="2"/>
  <c r="A123" i="2"/>
  <c r="Q10" i="2"/>
  <c r="O10" i="2"/>
  <c r="N10" i="2"/>
  <c r="M10" i="2"/>
  <c r="L10" i="2"/>
  <c r="J10" i="2"/>
  <c r="H10" i="2"/>
  <c r="F10" i="2"/>
  <c r="E10" i="2"/>
  <c r="D10" i="2"/>
  <c r="C10" i="2"/>
  <c r="B10" i="2"/>
  <c r="A10" i="2"/>
  <c r="X444" i="1"/>
  <c r="V444" i="1"/>
  <c r="P444" i="1"/>
  <c r="K444" i="1"/>
  <c r="K171" i="17" l="1"/>
  <c r="T330" i="15"/>
  <c r="N330" i="15"/>
  <c r="P330" i="15" s="1"/>
  <c r="K247" i="17"/>
  <c r="T322" i="15"/>
  <c r="N322" i="15"/>
  <c r="P322" i="15" s="1"/>
  <c r="K550" i="17"/>
  <c r="T329" i="15"/>
  <c r="K152" i="17"/>
  <c r="T325" i="15"/>
  <c r="K209" i="17"/>
  <c r="N331" i="15"/>
  <c r="P331" i="15" s="1"/>
  <c r="T331" i="15"/>
  <c r="K21" i="17"/>
  <c r="T328" i="15"/>
  <c r="K133" i="17"/>
  <c r="K379" i="17"/>
  <c r="N323" i="15"/>
  <c r="R323" i="15" s="1"/>
  <c r="U323" i="15" s="1"/>
  <c r="K96" i="17"/>
  <c r="N324" i="15"/>
  <c r="P324" i="15" s="1"/>
  <c r="T324" i="15"/>
  <c r="K304" i="17"/>
  <c r="T316" i="15"/>
  <c r="K491" i="17"/>
  <c r="N306" i="15"/>
  <c r="K58" i="17"/>
  <c r="N309" i="15"/>
  <c r="K606" i="17"/>
  <c r="N308" i="15"/>
  <c r="P308" i="15" s="1"/>
  <c r="K549" i="17"/>
  <c r="N312" i="15"/>
  <c r="P237" i="15"/>
  <c r="P299" i="17" s="1"/>
  <c r="K94" i="17"/>
  <c r="N290" i="15"/>
  <c r="N128" i="17"/>
  <c r="N318" i="17"/>
  <c r="K188" i="17"/>
  <c r="N296" i="15"/>
  <c r="N231" i="15"/>
  <c r="R231" i="15" s="1"/>
  <c r="S231" i="15" s="1"/>
  <c r="K434" i="17"/>
  <c r="BO431" i="17"/>
  <c r="BP431" i="17"/>
  <c r="BP564" i="17"/>
  <c r="AC431" i="17"/>
  <c r="AC564" i="17"/>
  <c r="K128" i="17"/>
  <c r="T237" i="15"/>
  <c r="K73" i="17"/>
  <c r="K526" i="17"/>
  <c r="T236" i="15"/>
  <c r="K487" i="17"/>
  <c r="T232" i="15"/>
  <c r="K469" i="17"/>
  <c r="T230" i="15"/>
  <c r="K166" i="17"/>
  <c r="T239" i="15"/>
  <c r="K109" i="17"/>
  <c r="T228" i="15"/>
  <c r="K147" i="17"/>
  <c r="K54" i="17"/>
  <c r="T233" i="15"/>
  <c r="K318" i="17"/>
  <c r="T238" i="15"/>
  <c r="T221" i="15"/>
  <c r="K411" i="17"/>
  <c r="K544" i="17"/>
  <c r="N220" i="15"/>
  <c r="P220" i="15" s="1"/>
  <c r="K108" i="17"/>
  <c r="T215" i="15"/>
  <c r="K298" i="17"/>
  <c r="V298" i="17"/>
  <c r="K53" i="17"/>
  <c r="N218" i="15"/>
  <c r="K72" i="17"/>
  <c r="T209" i="15"/>
  <c r="K146" i="17"/>
  <c r="N212" i="15"/>
  <c r="P212" i="15" s="1"/>
  <c r="T212" i="15"/>
  <c r="N217" i="15"/>
  <c r="T217" i="15"/>
  <c r="R222" i="15"/>
  <c r="R430" i="17" s="1"/>
  <c r="T222" i="15"/>
  <c r="N169" i="15"/>
  <c r="P169" i="15" s="1"/>
  <c r="T169" i="15"/>
  <c r="K503" i="17"/>
  <c r="N177" i="15"/>
  <c r="T177" i="15"/>
  <c r="K523" i="17"/>
  <c r="R181" i="15"/>
  <c r="K561" i="17"/>
  <c r="T170" i="15"/>
  <c r="K277" i="17"/>
  <c r="T174" i="15"/>
  <c r="K353" i="17"/>
  <c r="N178" i="15"/>
  <c r="T178" i="15"/>
  <c r="K599" i="17"/>
  <c r="N182" i="15"/>
  <c r="K390" i="17"/>
  <c r="N171" i="15"/>
  <c r="T171" i="15"/>
  <c r="K220" i="17"/>
  <c r="N179" i="15"/>
  <c r="K201" i="17"/>
  <c r="N172" i="15"/>
  <c r="T172" i="15"/>
  <c r="K239" i="17"/>
  <c r="K334" i="17"/>
  <c r="N180" i="15"/>
  <c r="T180" i="15"/>
  <c r="D488" i="17"/>
  <c r="D451" i="17"/>
  <c r="D560" i="17"/>
  <c r="D160" i="15"/>
  <c r="D427" i="17" s="1"/>
  <c r="K236" i="17"/>
  <c r="R118" i="15"/>
  <c r="T118" i="15"/>
  <c r="T444" i="1"/>
  <c r="P109" i="2"/>
  <c r="P137" i="2"/>
  <c r="R444" i="1"/>
  <c r="K137" i="2"/>
  <c r="K109" i="2"/>
  <c r="K488" i="17"/>
  <c r="K451" i="17"/>
  <c r="D5" i="17"/>
  <c r="D35" i="17"/>
  <c r="D38" i="17"/>
  <c r="D62" i="17"/>
  <c r="D83" i="17"/>
  <c r="D94" i="17"/>
  <c r="D118" i="17"/>
  <c r="D126" i="17"/>
  <c r="D133" i="17"/>
  <c r="D148" i="17"/>
  <c r="D152" i="17"/>
  <c r="D135" i="17"/>
  <c r="D154" i="17"/>
  <c r="D204" i="17"/>
  <c r="D208" i="17"/>
  <c r="D216" i="17"/>
  <c r="D252" i="17"/>
  <c r="D266" i="17"/>
  <c r="D268" i="17"/>
  <c r="D282" i="17"/>
  <c r="D288" i="17"/>
  <c r="D301" i="17"/>
  <c r="D308" i="17"/>
  <c r="D329" i="17"/>
  <c r="D367" i="17"/>
  <c r="D386" i="17"/>
  <c r="D392" i="17"/>
  <c r="D396" i="17"/>
  <c r="D404" i="17"/>
  <c r="D414" i="17"/>
  <c r="D421" i="17"/>
  <c r="D443" i="17"/>
  <c r="D450" i="17"/>
  <c r="D455" i="17"/>
  <c r="D457" i="17"/>
  <c r="D471" i="17"/>
  <c r="D346" i="17"/>
  <c r="D353" i="17"/>
  <c r="D477" i="17"/>
  <c r="D486" i="17"/>
  <c r="D490" i="17"/>
  <c r="D498" i="17"/>
  <c r="D508" i="17"/>
  <c r="D494" i="17"/>
  <c r="D514" i="17"/>
  <c r="D523" i="17"/>
  <c r="D536" i="17"/>
  <c r="D546" i="17"/>
  <c r="D550" i="17"/>
  <c r="D585" i="17"/>
  <c r="D592" i="17"/>
  <c r="D4" i="17"/>
  <c r="D13" i="17"/>
  <c r="D20" i="17"/>
  <c r="D28" i="17"/>
  <c r="D45" i="17"/>
  <c r="D72" i="17"/>
  <c r="D76" i="17"/>
  <c r="D101" i="17"/>
  <c r="D114" i="17"/>
  <c r="D140" i="17"/>
  <c r="D164" i="17"/>
  <c r="D166" i="17"/>
  <c r="D171" i="17"/>
  <c r="D184" i="17"/>
  <c r="D188" i="17"/>
  <c r="D215" i="17"/>
  <c r="D227" i="17"/>
  <c r="D251" i="17"/>
  <c r="D327" i="17"/>
  <c r="D336" i="17"/>
  <c r="D366" i="17"/>
  <c r="D373" i="17"/>
  <c r="D377" i="17"/>
  <c r="D385" i="17"/>
  <c r="D403" i="17"/>
  <c r="D420" i="17"/>
  <c r="D430" i="17"/>
  <c r="D434" i="17"/>
  <c r="D357" i="17"/>
  <c r="D361" i="17"/>
  <c r="D476" i="17"/>
  <c r="D497" i="17"/>
  <c r="D528" i="17"/>
  <c r="D535" i="17"/>
  <c r="D542" i="17"/>
  <c r="D566" i="17"/>
  <c r="D591" i="17"/>
  <c r="D606" i="17"/>
  <c r="D27" i="17"/>
  <c r="D34" i="17"/>
  <c r="D37" i="17"/>
  <c r="D44" i="17"/>
  <c r="D81" i="17"/>
  <c r="D93" i="17"/>
  <c r="D100" i="17"/>
  <c r="D107" i="17"/>
  <c r="D139" i="17"/>
  <c r="D147" i="17"/>
  <c r="D178" i="17"/>
  <c r="D250" i="17"/>
  <c r="D265" i="17"/>
  <c r="D281" i="17"/>
  <c r="D300" i="17"/>
  <c r="D306" i="17"/>
  <c r="D326" i="17"/>
  <c r="D365" i="17"/>
  <c r="D384" i="17"/>
  <c r="D395" i="17"/>
  <c r="D413" i="17"/>
  <c r="D417" i="17"/>
  <c r="D419" i="17"/>
  <c r="D449" i="17"/>
  <c r="D470" i="17"/>
  <c r="D474" i="17"/>
  <c r="D354" i="17"/>
  <c r="D489" i="17"/>
  <c r="D496" i="17"/>
  <c r="D511" i="17"/>
  <c r="D534" i="17"/>
  <c r="D545" i="17"/>
  <c r="D549" i="17"/>
  <c r="D561" i="17"/>
  <c r="D9" i="17"/>
  <c r="D19" i="17"/>
  <c r="D43" i="17"/>
  <c r="D54" i="17"/>
  <c r="D66" i="17"/>
  <c r="D75" i="17"/>
  <c r="D99" i="17"/>
  <c r="D128" i="17"/>
  <c r="D132" i="17"/>
  <c r="D138" i="17"/>
  <c r="D159" i="17"/>
  <c r="D177" i="17"/>
  <c r="D187" i="17"/>
  <c r="D194" i="17"/>
  <c r="D213" i="17"/>
  <c r="D223" i="17"/>
  <c r="D234" i="17"/>
  <c r="D243" i="17"/>
  <c r="D249" i="17"/>
  <c r="D273" i="17"/>
  <c r="D319" i="17"/>
  <c r="D323" i="17"/>
  <c r="D325" i="17"/>
  <c r="D339" i="17"/>
  <c r="D401" i="17"/>
  <c r="D440" i="17"/>
  <c r="D462" i="17"/>
  <c r="D356" i="17"/>
  <c r="D360" i="17"/>
  <c r="D519" i="17"/>
  <c r="D527" i="17"/>
  <c r="D531" i="17"/>
  <c r="D533" i="17"/>
  <c r="D557" i="17"/>
  <c r="D569" i="17"/>
  <c r="D571" i="17"/>
  <c r="D605" i="17"/>
  <c r="D8" i="17"/>
  <c r="D96" i="17"/>
  <c r="D121" i="17"/>
  <c r="D146" i="17"/>
  <c r="D176" i="17"/>
  <c r="D233" i="17"/>
  <c r="D264" i="17"/>
  <c r="D284" i="17"/>
  <c r="D292" i="17"/>
  <c r="D295" i="17"/>
  <c r="D303" i="17"/>
  <c r="D328" i="17"/>
  <c r="D363" i="17"/>
  <c r="D394" i="17"/>
  <c r="D412" i="17"/>
  <c r="D416" i="17"/>
  <c r="D469" i="17"/>
  <c r="D481" i="17"/>
  <c r="D506" i="17"/>
  <c r="D510" i="17"/>
  <c r="D518" i="17"/>
  <c r="D544" i="17"/>
  <c r="D548" i="17"/>
  <c r="D583" i="17"/>
  <c r="D587" i="17"/>
  <c r="D53" i="17"/>
  <c r="D85" i="17"/>
  <c r="D120" i="17"/>
  <c r="D127" i="17"/>
  <c r="D131" i="17"/>
  <c r="D136" i="17"/>
  <c r="D157" i="17"/>
  <c r="D175" i="17"/>
  <c r="D211" i="17"/>
  <c r="D271" i="17"/>
  <c r="D291" i="17"/>
  <c r="D311" i="17"/>
  <c r="D315" i="17"/>
  <c r="D322" i="17"/>
  <c r="D424" i="17"/>
  <c r="D526" i="17"/>
  <c r="D555" i="17"/>
  <c r="D568" i="17"/>
  <c r="D595" i="17"/>
  <c r="D604" i="17"/>
  <c r="D47" i="17"/>
  <c r="D103" i="17"/>
  <c r="D149" i="17"/>
  <c r="D174" i="17"/>
  <c r="D209" i="17"/>
  <c r="D220" i="17"/>
  <c r="D254" i="17"/>
  <c r="D283" i="17"/>
  <c r="D297" i="17"/>
  <c r="D333" i="17"/>
  <c r="D423" i="17"/>
  <c r="D468" i="17"/>
  <c r="D491" i="17"/>
  <c r="D505" i="17"/>
  <c r="D538" i="17"/>
  <c r="D586" i="17"/>
  <c r="D594" i="17"/>
  <c r="D317" i="17"/>
  <c r="D15" i="17"/>
  <c r="D117" i="17"/>
  <c r="D330" i="17"/>
  <c r="D368" i="17"/>
  <c r="D405" i="17"/>
  <c r="D499" i="17"/>
  <c r="D579" i="17"/>
  <c r="P15" i="17"/>
  <c r="P317" i="17"/>
  <c r="AQ317" i="17"/>
  <c r="AQ15" i="17"/>
  <c r="BC15" i="17"/>
  <c r="BC317" i="17"/>
  <c r="K317" i="17"/>
  <c r="K15" i="17"/>
  <c r="BM317" i="17"/>
  <c r="BM15" i="17"/>
  <c r="K13" i="17"/>
  <c r="C99" i="15"/>
  <c r="C9" i="17" s="1"/>
  <c r="D122" i="17"/>
  <c r="D217" i="17"/>
  <c r="D221" i="17"/>
  <c r="C289" i="17"/>
  <c r="C155" i="17"/>
  <c r="C117" i="17"/>
  <c r="C496" i="17"/>
  <c r="C137" i="17"/>
  <c r="C56" i="15"/>
  <c r="C232" i="17"/>
  <c r="C100" i="17"/>
  <c r="D369" i="17"/>
  <c r="D500" i="17"/>
  <c r="C55" i="15"/>
  <c r="C307" i="17"/>
  <c r="C288" i="17"/>
  <c r="C61" i="15"/>
  <c r="C402" i="17"/>
  <c r="C44" i="17"/>
  <c r="D131" i="15"/>
  <c r="D160" i="17"/>
  <c r="D198" i="17"/>
  <c r="D504" i="17"/>
  <c r="D599" i="17"/>
  <c r="C591" i="17"/>
  <c r="C193" i="17"/>
  <c r="C553" i="17"/>
  <c r="C420" i="17"/>
  <c r="C68" i="15"/>
  <c r="C554" i="17"/>
  <c r="C60" i="15"/>
  <c r="C383" i="17"/>
  <c r="D132" i="15"/>
  <c r="D577" i="17"/>
  <c r="D142" i="15"/>
  <c r="D406" i="17"/>
  <c r="C174" i="17"/>
  <c r="D237" i="17"/>
  <c r="C59" i="15"/>
  <c r="C365" i="17"/>
  <c r="C24" i="17"/>
  <c r="D29" i="17"/>
  <c r="C43" i="17"/>
  <c r="D48" i="17"/>
  <c r="C62" i="17"/>
  <c r="C63" i="17"/>
  <c r="C136" i="17"/>
  <c r="C67" i="15"/>
  <c r="C535" i="17"/>
  <c r="D153" i="15"/>
  <c r="D370" i="17"/>
  <c r="C66" i="15"/>
  <c r="C327" i="17"/>
  <c r="C5" i="17"/>
  <c r="C6" i="17"/>
  <c r="C99" i="17"/>
  <c r="D104" i="17"/>
  <c r="D141" i="17"/>
  <c r="C194" i="17"/>
  <c r="D350" i="17"/>
  <c r="D139" i="15"/>
  <c r="D539" i="17"/>
  <c r="D312" i="17"/>
  <c r="C477" i="17"/>
  <c r="C382" i="17"/>
  <c r="C57" i="15"/>
  <c r="C573" i="17"/>
  <c r="C346" i="17"/>
  <c r="D156" i="15"/>
  <c r="D351" i="17"/>
  <c r="D426" i="17"/>
  <c r="A211" i="15"/>
  <c r="A449" i="17"/>
  <c r="B211" i="15"/>
  <c r="B449" i="17"/>
  <c r="D14" i="17"/>
  <c r="C233" i="17"/>
  <c r="C234" i="17"/>
  <c r="C250" i="17"/>
  <c r="C251" i="17"/>
  <c r="C270" i="17"/>
  <c r="C272" i="17"/>
  <c r="K371" i="17"/>
  <c r="C75" i="15"/>
  <c r="C593" i="17"/>
  <c r="D134" i="15"/>
  <c r="D558" i="17"/>
  <c r="C64" i="15"/>
  <c r="C421" i="17"/>
  <c r="C53" i="15"/>
  <c r="C516" i="17"/>
  <c r="D157" i="15"/>
  <c r="D407" i="17"/>
  <c r="D464" i="17"/>
  <c r="K182" i="17"/>
  <c r="D236" i="17"/>
  <c r="D255" i="17"/>
  <c r="D274" i="17"/>
  <c r="D275" i="17"/>
  <c r="C308" i="17"/>
  <c r="C309" i="17"/>
  <c r="C439" i="17"/>
  <c r="C63" i="15"/>
  <c r="C478" i="17"/>
  <c r="C592" i="17"/>
  <c r="D129" i="15"/>
  <c r="D425" i="17"/>
  <c r="D137" i="15"/>
  <c r="D463" i="17"/>
  <c r="D179" i="17"/>
  <c r="A203" i="17"/>
  <c r="D444" i="17"/>
  <c r="C534" i="17"/>
  <c r="C515" i="17"/>
  <c r="C62" i="15"/>
  <c r="C459" i="17"/>
  <c r="D140" i="15"/>
  <c r="D141" i="15" s="1"/>
  <c r="D293" i="17"/>
  <c r="A72" i="17"/>
  <c r="C82" i="17"/>
  <c r="D86" i="17"/>
  <c r="A165" i="17"/>
  <c r="C212" i="17"/>
  <c r="C213" i="17"/>
  <c r="C401" i="17"/>
  <c r="D596" i="17"/>
  <c r="K186" i="17"/>
  <c r="K375" i="17"/>
  <c r="K361" i="17"/>
  <c r="K583" i="17"/>
  <c r="K279" i="17"/>
  <c r="K322" i="17"/>
  <c r="K454" i="17"/>
  <c r="K266" i="17"/>
  <c r="K392" i="17"/>
  <c r="K163" i="17"/>
  <c r="K340" i="17"/>
  <c r="K527" i="17"/>
  <c r="K169" i="17"/>
  <c r="K207" i="17"/>
  <c r="K417" i="17"/>
  <c r="K303" i="17"/>
  <c r="K150" i="17"/>
  <c r="K167" i="17"/>
  <c r="K184" i="17"/>
  <c r="K205" i="17"/>
  <c r="K228" i="17"/>
  <c r="K246" i="17"/>
  <c r="K301" i="17"/>
  <c r="K320" i="17"/>
  <c r="K373" i="17"/>
  <c r="K398" i="17"/>
  <c r="K415" i="17"/>
  <c r="K428" i="17"/>
  <c r="K452" i="17"/>
  <c r="K473" i="17"/>
  <c r="K359" i="17"/>
  <c r="K504" i="17"/>
  <c r="K512" i="17"/>
  <c r="K525" i="17"/>
  <c r="K542" i="17"/>
  <c r="K563" i="17"/>
  <c r="K607" i="17"/>
  <c r="K151" i="17"/>
  <c r="K168" i="17"/>
  <c r="K185" i="17"/>
  <c r="K206" i="17"/>
  <c r="K261" i="17"/>
  <c r="K315" i="17"/>
  <c r="K374" i="17"/>
  <c r="K416" i="17"/>
  <c r="K453" i="17"/>
  <c r="K474" i="17"/>
  <c r="K360" i="17"/>
  <c r="K486" i="17"/>
  <c r="K547" i="17"/>
  <c r="K582" i="17"/>
  <c r="K37" i="17"/>
  <c r="K187" i="17"/>
  <c r="K208" i="17"/>
  <c r="K232" i="17"/>
  <c r="K241" i="17"/>
  <c r="K258" i="17"/>
  <c r="K296" i="17"/>
  <c r="K376" i="17"/>
  <c r="K393" i="17"/>
  <c r="K468" i="17"/>
  <c r="K567" i="17"/>
  <c r="K584" i="17"/>
  <c r="K170" i="17"/>
  <c r="K242" i="17"/>
  <c r="K342" i="17"/>
  <c r="K447" i="17"/>
  <c r="K350" i="17"/>
  <c r="K355" i="17"/>
  <c r="K489" i="17"/>
  <c r="K508" i="17"/>
  <c r="K529" i="17"/>
  <c r="K568" i="17"/>
  <c r="K336" i="17"/>
  <c r="K395" i="17"/>
  <c r="K412" i="17"/>
  <c r="K430" i="17"/>
  <c r="K435" i="17"/>
  <c r="K470" i="17"/>
  <c r="K356" i="17"/>
  <c r="K509" i="17"/>
  <c r="K569" i="17"/>
  <c r="K586" i="17"/>
  <c r="K566" i="17"/>
  <c r="K148" i="17"/>
  <c r="K203" i="17"/>
  <c r="K299" i="17"/>
  <c r="K413" i="17"/>
  <c r="K436" i="17"/>
  <c r="K531" i="17"/>
  <c r="K601" i="17"/>
  <c r="K149" i="17"/>
  <c r="K223" i="17"/>
  <c r="K227" i="17"/>
  <c r="K263" i="17"/>
  <c r="K337" i="17"/>
  <c r="K414" i="17"/>
  <c r="K450" i="17"/>
  <c r="K511" i="17"/>
  <c r="K602" i="17"/>
  <c r="P337" i="17"/>
  <c r="P545" i="17"/>
  <c r="P471" i="17"/>
  <c r="P206" i="17"/>
  <c r="P566" i="17"/>
  <c r="P130" i="17"/>
  <c r="P397" i="17"/>
  <c r="P227" i="17"/>
  <c r="P361" i="17"/>
  <c r="P304" i="17"/>
  <c r="P112" i="17"/>
  <c r="P222" i="17"/>
  <c r="P239" i="17"/>
  <c r="P527" i="17"/>
  <c r="P565" i="17"/>
  <c r="S269" i="15"/>
  <c r="R395" i="17"/>
  <c r="R263" i="17"/>
  <c r="P18" i="17"/>
  <c r="P580" i="17"/>
  <c r="P182" i="17"/>
  <c r="P523" i="17"/>
  <c r="P315" i="17"/>
  <c r="P374" i="17"/>
  <c r="P526" i="17"/>
  <c r="P455" i="17"/>
  <c r="P492" i="17"/>
  <c r="P19" i="17"/>
  <c r="P59" i="17"/>
  <c r="R373" i="17"/>
  <c r="P600" i="17"/>
  <c r="P240" i="17"/>
  <c r="P529" i="17"/>
  <c r="P605" i="17"/>
  <c r="P323" i="17"/>
  <c r="P190" i="17"/>
  <c r="P531" i="17"/>
  <c r="P21" i="17"/>
  <c r="P561" i="17"/>
  <c r="P542" i="17"/>
  <c r="P296" i="17"/>
  <c r="P277" i="17"/>
  <c r="P373" i="17"/>
  <c r="P241" i="17"/>
  <c r="P583" i="17"/>
  <c r="P487" i="17"/>
  <c r="P604" i="17"/>
  <c r="P452" i="17"/>
  <c r="P377" i="17"/>
  <c r="P226" i="17"/>
  <c r="P74" i="17"/>
  <c r="P547" i="17"/>
  <c r="P528" i="17"/>
  <c r="P548" i="17"/>
  <c r="P302" i="17"/>
  <c r="P228" i="17"/>
  <c r="P209" i="17"/>
  <c r="P127" i="17"/>
  <c r="P371" i="17"/>
  <c r="P144" i="17"/>
  <c r="P223" i="17"/>
  <c r="P109" i="17"/>
  <c r="P54" i="17"/>
  <c r="P185" i="17"/>
  <c r="P357" i="17"/>
  <c r="P338" i="17"/>
  <c r="P489" i="17"/>
  <c r="P111" i="17"/>
  <c r="P454" i="17"/>
  <c r="P265" i="17"/>
  <c r="P75" i="17"/>
  <c r="P449" i="17"/>
  <c r="P165" i="17"/>
  <c r="P430" i="17"/>
  <c r="P525" i="17"/>
  <c r="S246" i="15"/>
  <c r="R470" i="17"/>
  <c r="P453" i="17"/>
  <c r="P396" i="17"/>
  <c r="P100" i="17"/>
  <c r="P131" i="17"/>
  <c r="P166" i="17"/>
  <c r="P504" i="17"/>
  <c r="N64" i="17"/>
  <c r="K59" i="17"/>
  <c r="K74" i="17"/>
  <c r="K45" i="17"/>
  <c r="N77" i="17"/>
  <c r="K64" i="17"/>
  <c r="K91" i="17"/>
  <c r="R235" i="15"/>
  <c r="U235" i="15" s="1"/>
  <c r="C69" i="15"/>
  <c r="S482" i="17"/>
  <c r="R248" i="15"/>
  <c r="U248" i="15" s="1"/>
  <c r="R252" i="15"/>
  <c r="R508" i="17" s="1"/>
  <c r="R293" i="15"/>
  <c r="U293" i="15" s="1"/>
  <c r="R320" i="15"/>
  <c r="U320" i="15" s="1"/>
  <c r="U398" i="17" s="1"/>
  <c r="K317" i="15"/>
  <c r="R310" i="15"/>
  <c r="R289" i="15"/>
  <c r="R415" i="17" s="1"/>
  <c r="P310" i="15"/>
  <c r="D149" i="15"/>
  <c r="D150" i="15"/>
  <c r="P247" i="15"/>
  <c r="R250" i="15"/>
  <c r="R223" i="15"/>
  <c r="U223" i="15" s="1"/>
  <c r="R239" i="15"/>
  <c r="K245" i="15"/>
  <c r="R245" i="15" s="1"/>
  <c r="P250" i="15"/>
  <c r="P276" i="15"/>
  <c r="R279" i="15"/>
  <c r="R566" i="17" s="1"/>
  <c r="P291" i="15"/>
  <c r="K298" i="15"/>
  <c r="R267" i="15"/>
  <c r="K284" i="15"/>
  <c r="P293" i="15"/>
  <c r="P255" i="15"/>
  <c r="R277" i="15"/>
  <c r="R187" i="17" s="1"/>
  <c r="R296" i="15"/>
  <c r="R247" i="15"/>
  <c r="R256" i="15"/>
  <c r="R237" i="15"/>
  <c r="R299" i="17" s="1"/>
  <c r="R233" i="15"/>
  <c r="R185" i="17" s="1"/>
  <c r="K229" i="15"/>
  <c r="N229" i="15" s="1"/>
  <c r="K227" i="15"/>
  <c r="N227" i="15" s="1"/>
  <c r="P211" i="15"/>
  <c r="P281" i="15"/>
  <c r="P298" i="15"/>
  <c r="P209" i="15"/>
  <c r="P219" i="15"/>
  <c r="P298" i="17" s="1"/>
  <c r="P226" i="15"/>
  <c r="K255" i="15"/>
  <c r="K546" i="17" s="1"/>
  <c r="K281" i="15"/>
  <c r="P283" i="15"/>
  <c r="R292" i="15"/>
  <c r="R209" i="15"/>
  <c r="R203" i="17" s="1"/>
  <c r="R297" i="15"/>
  <c r="U297" i="15" s="1"/>
  <c r="R275" i="15"/>
  <c r="P300" i="15"/>
  <c r="R309" i="15"/>
  <c r="U309" i="15" s="1"/>
  <c r="U269" i="15"/>
  <c r="R273" i="15"/>
  <c r="S273" i="15" s="1"/>
  <c r="R303" i="15"/>
  <c r="U303" i="15" s="1"/>
  <c r="R306" i="15"/>
  <c r="U246" i="15"/>
  <c r="P269" i="15"/>
  <c r="P275" i="15"/>
  <c r="K301" i="15"/>
  <c r="R301" i="15" s="1"/>
  <c r="K327" i="15"/>
  <c r="R329" i="15"/>
  <c r="R216" i="15"/>
  <c r="R601" i="17" s="1"/>
  <c r="R221" i="15"/>
  <c r="K283" i="15"/>
  <c r="R311" i="15"/>
  <c r="P251" i="15"/>
  <c r="P268" i="15"/>
  <c r="P285" i="15"/>
  <c r="P302" i="15"/>
  <c r="P323" i="15"/>
  <c r="P329" i="15"/>
  <c r="P216" i="15"/>
  <c r="R251" i="15"/>
  <c r="R451" i="17" s="1"/>
  <c r="R285" i="15"/>
  <c r="U285" i="15" s="1"/>
  <c r="R302" i="15"/>
  <c r="P306" i="15"/>
  <c r="R219" i="15"/>
  <c r="R271" i="15"/>
  <c r="R288" i="15"/>
  <c r="R211" i="15"/>
  <c r="R213" i="15"/>
  <c r="R582" i="17" s="1"/>
  <c r="P320" i="15"/>
  <c r="P317" i="15"/>
  <c r="P588" i="17" s="1"/>
  <c r="R330" i="15"/>
  <c r="P325" i="15"/>
  <c r="P318" i="15"/>
  <c r="R321" i="15"/>
  <c r="R316" i="15"/>
  <c r="R325" i="15"/>
  <c r="P319" i="15"/>
  <c r="R328" i="15"/>
  <c r="R531" i="17" s="1"/>
  <c r="R318" i="15"/>
  <c r="R569" i="17" s="1"/>
  <c r="R319" i="15"/>
  <c r="K326" i="15"/>
  <c r="T326" i="15" s="1"/>
  <c r="R313" i="15"/>
  <c r="R314" i="15"/>
  <c r="R305" i="15"/>
  <c r="P303" i="15"/>
  <c r="P307" i="15"/>
  <c r="P311" i="15"/>
  <c r="R300" i="15"/>
  <c r="U300" i="15" s="1"/>
  <c r="P304" i="15"/>
  <c r="R307" i="15"/>
  <c r="R568" i="17" s="1"/>
  <c r="P301" i="15"/>
  <c r="R304" i="15"/>
  <c r="R308" i="15"/>
  <c r="P314" i="15"/>
  <c r="P286" i="15"/>
  <c r="K287" i="15"/>
  <c r="P290" i="15"/>
  <c r="K291" i="15"/>
  <c r="P294" i="15"/>
  <c r="K295" i="15"/>
  <c r="R290" i="15"/>
  <c r="R207" i="17" s="1"/>
  <c r="R294" i="15"/>
  <c r="R286" i="15"/>
  <c r="U286" i="15" s="1"/>
  <c r="R280" i="15"/>
  <c r="U280" i="15" s="1"/>
  <c r="R268" i="15"/>
  <c r="R272" i="15"/>
  <c r="R276" i="15"/>
  <c r="U276" i="15" s="1"/>
  <c r="R266" i="15"/>
  <c r="P270" i="15"/>
  <c r="P274" i="15"/>
  <c r="P278" i="15"/>
  <c r="R270" i="15"/>
  <c r="R433" i="17" s="1"/>
  <c r="R274" i="15"/>
  <c r="R509" i="17" s="1"/>
  <c r="R278" i="15"/>
  <c r="P280" i="15"/>
  <c r="R254" i="15"/>
  <c r="U254" i="15" s="1"/>
  <c r="P248" i="15"/>
  <c r="P252" i="15"/>
  <c r="P256" i="15"/>
  <c r="P249" i="15"/>
  <c r="P253" i="15"/>
  <c r="P257" i="15"/>
  <c r="R249" i="15"/>
  <c r="R253" i="15"/>
  <c r="U253" i="15" s="1"/>
  <c r="R257" i="15"/>
  <c r="R413" i="17" s="1"/>
  <c r="R228" i="15"/>
  <c r="R223" i="17" s="1"/>
  <c r="R232" i="15"/>
  <c r="R236" i="15"/>
  <c r="R226" i="15"/>
  <c r="R412" i="17" s="1"/>
  <c r="P230" i="15"/>
  <c r="P234" i="15"/>
  <c r="P238" i="15"/>
  <c r="R230" i="15"/>
  <c r="R234" i="15"/>
  <c r="R238" i="15"/>
  <c r="U214" i="15"/>
  <c r="S214" i="15"/>
  <c r="K210" i="15"/>
  <c r="P215" i="15"/>
  <c r="R215" i="15"/>
  <c r="R468" i="17" s="1"/>
  <c r="K224" i="15"/>
  <c r="P64" i="15"/>
  <c r="R64" i="15"/>
  <c r="R39" i="15"/>
  <c r="R232" i="17" s="1"/>
  <c r="R324" i="15" l="1"/>
  <c r="R436" i="17" s="1"/>
  <c r="R331" i="15"/>
  <c r="U331" i="15" s="1"/>
  <c r="T266" i="17"/>
  <c r="T247" i="17"/>
  <c r="P128" i="17"/>
  <c r="N247" i="17"/>
  <c r="N266" i="17"/>
  <c r="R212" i="15"/>
  <c r="S212" i="15" s="1"/>
  <c r="T531" i="17"/>
  <c r="T21" i="17"/>
  <c r="N607" i="17"/>
  <c r="N171" i="17"/>
  <c r="T550" i="17"/>
  <c r="T342" i="17"/>
  <c r="T171" i="17"/>
  <c r="T607" i="17"/>
  <c r="R322" i="15"/>
  <c r="T327" i="15"/>
  <c r="T361" i="17"/>
  <c r="T304" i="17"/>
  <c r="T317" i="15"/>
  <c r="T588" i="17" s="1"/>
  <c r="U321" i="15"/>
  <c r="U318" i="15"/>
  <c r="N473" i="17"/>
  <c r="N549" i="17"/>
  <c r="N151" i="17"/>
  <c r="N606" i="17"/>
  <c r="P312" i="15"/>
  <c r="P473" i="17" s="1"/>
  <c r="P309" i="15"/>
  <c r="N58" i="17"/>
  <c r="N511" i="17"/>
  <c r="R312" i="15"/>
  <c r="U312" i="15" s="1"/>
  <c r="N435" i="17"/>
  <c r="N491" i="17"/>
  <c r="R450" i="17"/>
  <c r="R602" i="17"/>
  <c r="N340" i="17"/>
  <c r="P296" i="15"/>
  <c r="N188" i="17"/>
  <c r="U231" i="15"/>
  <c r="U450" i="17" s="1"/>
  <c r="N94" i="17"/>
  <c r="N207" i="17"/>
  <c r="P227" i="15"/>
  <c r="N507" i="17"/>
  <c r="N35" i="17"/>
  <c r="N280" i="17"/>
  <c r="P229" i="15"/>
  <c r="N204" i="17"/>
  <c r="N602" i="17"/>
  <c r="N450" i="17"/>
  <c r="P231" i="15"/>
  <c r="L434" i="17"/>
  <c r="L150" i="17"/>
  <c r="U279" i="15"/>
  <c r="U130" i="17" s="1"/>
  <c r="U292" i="15"/>
  <c r="U252" i="15"/>
  <c r="U250" i="15"/>
  <c r="U584" i="17" s="1"/>
  <c r="W298" i="17"/>
  <c r="K507" i="17"/>
  <c r="T227" i="15"/>
  <c r="R525" i="17"/>
  <c r="T374" i="17"/>
  <c r="T526" i="17"/>
  <c r="T54" i="17"/>
  <c r="T185" i="17"/>
  <c r="T318" i="17"/>
  <c r="T356" i="17"/>
  <c r="T229" i="15"/>
  <c r="T393" i="17"/>
  <c r="T469" i="17"/>
  <c r="U222" i="15"/>
  <c r="U430" i="17" s="1"/>
  <c r="T299" i="17"/>
  <c r="T128" i="17"/>
  <c r="T261" i="17"/>
  <c r="T166" i="17"/>
  <c r="T223" i="17"/>
  <c r="T109" i="17"/>
  <c r="T583" i="17"/>
  <c r="T487" i="17"/>
  <c r="U239" i="15"/>
  <c r="U166" i="17" s="1"/>
  <c r="U237" i="15"/>
  <c r="U128" i="17" s="1"/>
  <c r="U228" i="15"/>
  <c r="U226" i="15"/>
  <c r="N224" i="15"/>
  <c r="R224" i="15" s="1"/>
  <c r="T224" i="15"/>
  <c r="T203" i="17"/>
  <c r="T72" i="17"/>
  <c r="N544" i="17"/>
  <c r="N355" i="17"/>
  <c r="R217" i="15"/>
  <c r="T184" i="17"/>
  <c r="T91" i="17"/>
  <c r="N53" i="17"/>
  <c r="N279" i="17"/>
  <c r="R220" i="15"/>
  <c r="R355" i="17" s="1"/>
  <c r="R218" i="15"/>
  <c r="R279" i="17" s="1"/>
  <c r="T563" i="17"/>
  <c r="T146" i="17"/>
  <c r="V317" i="17"/>
  <c r="V15" i="17"/>
  <c r="T210" i="15"/>
  <c r="N91" i="17"/>
  <c r="N184" i="17"/>
  <c r="P217" i="15"/>
  <c r="P218" i="15"/>
  <c r="P279" i="17" s="1"/>
  <c r="S222" i="15"/>
  <c r="S430" i="17" s="1"/>
  <c r="T430" i="17"/>
  <c r="T525" i="17"/>
  <c r="N146" i="17"/>
  <c r="N563" i="17"/>
  <c r="T108" i="17"/>
  <c r="T468" i="17"/>
  <c r="T317" i="17"/>
  <c r="T15" i="17"/>
  <c r="U213" i="15"/>
  <c r="U582" i="17" s="1"/>
  <c r="U216" i="15"/>
  <c r="U34" i="17" s="1"/>
  <c r="T334" i="17"/>
  <c r="T13" i="17"/>
  <c r="N599" i="17"/>
  <c r="P182" i="15"/>
  <c r="P599" i="17" s="1"/>
  <c r="T428" i="17"/>
  <c r="T503" i="17"/>
  <c r="R180" i="15"/>
  <c r="N334" i="17"/>
  <c r="P180" i="15"/>
  <c r="N13" i="17"/>
  <c r="T542" i="17"/>
  <c r="T561" i="17"/>
  <c r="R177" i="15"/>
  <c r="N428" i="17"/>
  <c r="P177" i="15"/>
  <c r="N503" i="17"/>
  <c r="N201" i="17"/>
  <c r="P172" i="15"/>
  <c r="P201" i="17" s="1"/>
  <c r="R179" i="15"/>
  <c r="N163" i="17"/>
  <c r="P179" i="15"/>
  <c r="N220" i="17"/>
  <c r="T258" i="17"/>
  <c r="T353" i="17"/>
  <c r="N390" i="17"/>
  <c r="P171" i="15"/>
  <c r="P390" i="17" s="1"/>
  <c r="T296" i="17"/>
  <c r="T277" i="17"/>
  <c r="D50" i="17"/>
  <c r="R178" i="15"/>
  <c r="N353" i="17"/>
  <c r="P178" i="15"/>
  <c r="N258" i="17"/>
  <c r="S181" i="15"/>
  <c r="U181" i="15"/>
  <c r="R315" i="17"/>
  <c r="R523" i="17"/>
  <c r="T89" i="17"/>
  <c r="T32" i="17"/>
  <c r="T201" i="17"/>
  <c r="T106" i="17"/>
  <c r="T70" i="17"/>
  <c r="T390" i="17"/>
  <c r="T350" i="17"/>
  <c r="T236" i="17"/>
  <c r="U118" i="15"/>
  <c r="S118" i="15"/>
  <c r="R350" i="17"/>
  <c r="R236" i="17"/>
  <c r="T137" i="2"/>
  <c r="T109" i="2"/>
  <c r="C119" i="15"/>
  <c r="C139" i="15" s="1"/>
  <c r="U444" i="1"/>
  <c r="S444" i="1"/>
  <c r="R137" i="2"/>
  <c r="R109" i="2"/>
  <c r="P488" i="17"/>
  <c r="P451" i="17"/>
  <c r="C538" i="17"/>
  <c r="R336" i="17"/>
  <c r="R298" i="17"/>
  <c r="R317" i="17"/>
  <c r="R15" i="17"/>
  <c r="C81" i="15"/>
  <c r="C64" i="17"/>
  <c r="C45" i="17"/>
  <c r="A212" i="15"/>
  <c r="A392" i="17"/>
  <c r="A411" i="17"/>
  <c r="D174" i="15"/>
  <c r="D465" i="17"/>
  <c r="D69" i="17"/>
  <c r="D143" i="15"/>
  <c r="D218" i="17"/>
  <c r="D68" i="17"/>
  <c r="D540" i="17"/>
  <c r="D445" i="17"/>
  <c r="C80" i="15"/>
  <c r="C460" i="17"/>
  <c r="C497" i="17"/>
  <c r="D154" i="15"/>
  <c r="D388" i="17"/>
  <c r="D11" i="17"/>
  <c r="C84" i="15"/>
  <c r="C403" i="17"/>
  <c r="C214" i="17"/>
  <c r="D152" i="15"/>
  <c r="D161" i="17"/>
  <c r="D105" i="17"/>
  <c r="C78" i="15"/>
  <c r="C441" i="17"/>
  <c r="C101" i="17"/>
  <c r="D171" i="15"/>
  <c r="D124" i="17"/>
  <c r="D88" i="17"/>
  <c r="D521" i="17"/>
  <c r="D332" i="17"/>
  <c r="D176" i="15"/>
  <c r="D352" i="17"/>
  <c r="D276" i="17"/>
  <c r="C76" i="15"/>
  <c r="C536" i="17"/>
  <c r="C195" i="17"/>
  <c r="C73" i="15"/>
  <c r="C422" i="17"/>
  <c r="C384" i="17"/>
  <c r="D169" i="15"/>
  <c r="D314" i="17"/>
  <c r="D31" i="17"/>
  <c r="D501" i="17"/>
  <c r="D483" i="17"/>
  <c r="D177" i="15"/>
  <c r="D541" i="17"/>
  <c r="D12" i="17"/>
  <c r="C92" i="15"/>
  <c r="C310" i="17"/>
  <c r="C139" i="17"/>
  <c r="C77" i="15"/>
  <c r="C574" i="17"/>
  <c r="C252" i="17"/>
  <c r="C79" i="15"/>
  <c r="C479" i="17"/>
  <c r="C271" i="17"/>
  <c r="D597" i="17"/>
  <c r="D256" i="17"/>
  <c r="C72" i="15"/>
  <c r="C366" i="17"/>
  <c r="C119" i="17"/>
  <c r="C86" i="15"/>
  <c r="C555" i="17"/>
  <c r="C290" i="17"/>
  <c r="D148" i="15"/>
  <c r="D559" i="17"/>
  <c r="D49" i="17"/>
  <c r="C70" i="15"/>
  <c r="C440" i="17"/>
  <c r="C156" i="17"/>
  <c r="B411" i="17"/>
  <c r="B392" i="17"/>
  <c r="C74" i="15"/>
  <c r="C138" i="17"/>
  <c r="C26" i="17"/>
  <c r="C83" i="15"/>
  <c r="C83" i="17"/>
  <c r="C7" i="17"/>
  <c r="C85" i="15"/>
  <c r="C347" i="17"/>
  <c r="C176" i="17"/>
  <c r="D151" i="15"/>
  <c r="D87" i="17"/>
  <c r="D30" i="17"/>
  <c r="R287" i="15"/>
  <c r="R548" i="17" s="1"/>
  <c r="K548" i="17"/>
  <c r="K302" i="17"/>
  <c r="R327" i="15"/>
  <c r="S327" i="15" s="1"/>
  <c r="K492" i="17"/>
  <c r="K455" i="17"/>
  <c r="K506" i="17"/>
  <c r="K260" i="17"/>
  <c r="R210" i="15"/>
  <c r="R449" i="17" s="1"/>
  <c r="K449" i="17"/>
  <c r="K165" i="17"/>
  <c r="R317" i="15"/>
  <c r="K588" i="17"/>
  <c r="R229" i="15"/>
  <c r="K204" i="17"/>
  <c r="K280" i="17"/>
  <c r="R283" i="15"/>
  <c r="S283" i="15" s="1"/>
  <c r="K472" i="17"/>
  <c r="K283" i="17"/>
  <c r="K357" i="17"/>
  <c r="K338" i="17"/>
  <c r="R295" i="15"/>
  <c r="S295" i="15" s="1"/>
  <c r="K226" i="17"/>
  <c r="K377" i="17"/>
  <c r="R326" i="15"/>
  <c r="S326" i="15" s="1"/>
  <c r="K190" i="17"/>
  <c r="K323" i="17"/>
  <c r="R281" i="15"/>
  <c r="K225" i="17"/>
  <c r="K339" i="17"/>
  <c r="R298" i="15"/>
  <c r="K321" i="17"/>
  <c r="K264" i="17"/>
  <c r="S325" i="15"/>
  <c r="R512" i="17"/>
  <c r="R152" i="17"/>
  <c r="U486" i="17"/>
  <c r="U222" i="17"/>
  <c r="S245" i="15"/>
  <c r="R357" i="17"/>
  <c r="R338" i="17"/>
  <c r="P358" i="17"/>
  <c r="P414" i="17"/>
  <c r="S266" i="15"/>
  <c r="R528" i="17"/>
  <c r="R547" i="17"/>
  <c r="P341" i="17"/>
  <c r="P322" i="17"/>
  <c r="P39" i="17"/>
  <c r="P20" i="17"/>
  <c r="P303" i="17"/>
  <c r="P189" i="17"/>
  <c r="P607" i="17"/>
  <c r="P171" i="17"/>
  <c r="U228" i="17"/>
  <c r="U209" i="17"/>
  <c r="S331" i="15"/>
  <c r="R209" i="17"/>
  <c r="R228" i="17"/>
  <c r="P550" i="17"/>
  <c r="P342" i="17"/>
  <c r="U545" i="17"/>
  <c r="U337" i="17"/>
  <c r="P395" i="17"/>
  <c r="P263" i="17"/>
  <c r="P436" i="17"/>
  <c r="P96" i="17"/>
  <c r="P203" i="17"/>
  <c r="P72" i="17"/>
  <c r="S296" i="15"/>
  <c r="R340" i="17"/>
  <c r="R188" i="17"/>
  <c r="R398" i="17"/>
  <c r="P546" i="17"/>
  <c r="P92" i="17"/>
  <c r="U482" i="17"/>
  <c r="S238" i="15"/>
  <c r="R356" i="17"/>
  <c r="R318" i="17"/>
  <c r="S253" i="15"/>
  <c r="R319" i="17"/>
  <c r="R375" i="17"/>
  <c r="P300" i="17"/>
  <c r="P186" i="17"/>
  <c r="S278" i="15"/>
  <c r="R585" i="17"/>
  <c r="R320" i="17"/>
  <c r="S280" i="15"/>
  <c r="R358" i="17"/>
  <c r="R414" i="17"/>
  <c r="U19" i="17"/>
  <c r="U567" i="17"/>
  <c r="U58" i="17"/>
  <c r="U511" i="17"/>
  <c r="U474" i="17"/>
  <c r="U379" i="17"/>
  <c r="P417" i="17"/>
  <c r="P78" i="17"/>
  <c r="S211" i="15"/>
  <c r="R411" i="17"/>
  <c r="R392" i="17"/>
  <c r="U434" i="17"/>
  <c r="U150" i="17"/>
  <c r="P474" i="17"/>
  <c r="P379" i="17"/>
  <c r="U74" i="17"/>
  <c r="U470" i="17"/>
  <c r="R511" i="17"/>
  <c r="S292" i="15"/>
  <c r="R529" i="17"/>
  <c r="R605" i="17"/>
  <c r="P321" i="17"/>
  <c r="P264" i="17"/>
  <c r="S239" i="15"/>
  <c r="R261" i="17"/>
  <c r="R166" i="17"/>
  <c r="S293" i="15"/>
  <c r="R490" i="17"/>
  <c r="R169" i="17"/>
  <c r="S234" i="15"/>
  <c r="R147" i="17"/>
  <c r="R242" i="17"/>
  <c r="P266" i="17"/>
  <c r="P247" i="17"/>
  <c r="P472" i="17"/>
  <c r="P283" i="17"/>
  <c r="P284" i="17"/>
  <c r="P246" i="17"/>
  <c r="S249" i="15"/>
  <c r="R394" i="17"/>
  <c r="R205" i="17"/>
  <c r="P359" i="17"/>
  <c r="P510" i="17"/>
  <c r="U587" i="17"/>
  <c r="U170" i="17"/>
  <c r="P606" i="17"/>
  <c r="P151" i="17"/>
  <c r="S314" i="15"/>
  <c r="R341" i="17"/>
  <c r="R322" i="17"/>
  <c r="S316" i="15"/>
  <c r="R361" i="17"/>
  <c r="R304" i="17"/>
  <c r="S288" i="15"/>
  <c r="R453" i="17"/>
  <c r="R396" i="17"/>
  <c r="P435" i="17"/>
  <c r="P491" i="17"/>
  <c r="P208" i="17"/>
  <c r="P113" i="17"/>
  <c r="R266" i="17"/>
  <c r="R247" i="17"/>
  <c r="R550" i="17"/>
  <c r="R342" i="17"/>
  <c r="S306" i="15"/>
  <c r="R435" i="17"/>
  <c r="R491" i="17"/>
  <c r="S275" i="15"/>
  <c r="R282" i="17"/>
  <c r="R168" i="17"/>
  <c r="S256" i="15"/>
  <c r="R186" i="17"/>
  <c r="R300" i="17"/>
  <c r="P490" i="17"/>
  <c r="P169" i="17"/>
  <c r="S250" i="15"/>
  <c r="R584" i="17"/>
  <c r="R281" i="17"/>
  <c r="S602" i="17"/>
  <c r="S450" i="17"/>
  <c r="P468" i="17"/>
  <c r="P108" i="17"/>
  <c r="S236" i="15"/>
  <c r="R374" i="17"/>
  <c r="R526" i="17"/>
  <c r="U167" i="17"/>
  <c r="U243" i="17"/>
  <c r="P167" i="17"/>
  <c r="P243" i="17"/>
  <c r="P585" i="17"/>
  <c r="P320" i="17"/>
  <c r="U586" i="17"/>
  <c r="U245" i="17"/>
  <c r="P378" i="17"/>
  <c r="P416" i="17"/>
  <c r="U319" i="15"/>
  <c r="R417" i="17"/>
  <c r="S323" i="15"/>
  <c r="R474" i="17"/>
  <c r="R379" i="17"/>
  <c r="S271" i="15"/>
  <c r="R604" i="17"/>
  <c r="R452" i="17"/>
  <c r="U302" i="15"/>
  <c r="U208" i="17" s="1"/>
  <c r="R208" i="17"/>
  <c r="P434" i="17"/>
  <c r="P150" i="17"/>
  <c r="S311" i="15"/>
  <c r="R530" i="17"/>
  <c r="R360" i="17"/>
  <c r="S303" i="15"/>
  <c r="R303" i="17"/>
  <c r="R189" i="17"/>
  <c r="P339" i="17"/>
  <c r="P225" i="17"/>
  <c r="U247" i="15"/>
  <c r="U148" i="17" s="1"/>
  <c r="R148" i="17"/>
  <c r="P38" i="17"/>
  <c r="P57" i="17"/>
  <c r="P148" i="17"/>
  <c r="P129" i="17"/>
  <c r="S248" i="15"/>
  <c r="R167" i="17"/>
  <c r="R243" i="17"/>
  <c r="S74" i="17"/>
  <c r="S470" i="17"/>
  <c r="S230" i="15"/>
  <c r="R393" i="17"/>
  <c r="R469" i="17"/>
  <c r="P544" i="17"/>
  <c r="P355" i="17"/>
  <c r="S216" i="15"/>
  <c r="P318" i="17"/>
  <c r="P356" i="17"/>
  <c r="R487" i="17"/>
  <c r="R583" i="17"/>
  <c r="P413" i="17"/>
  <c r="P17" i="17"/>
  <c r="U565" i="17"/>
  <c r="U527" i="17"/>
  <c r="P509" i="17"/>
  <c r="P93" i="17"/>
  <c r="S276" i="15"/>
  <c r="R301" i="17"/>
  <c r="R244" i="17"/>
  <c r="S286" i="15"/>
  <c r="R586" i="17"/>
  <c r="R245" i="17"/>
  <c r="P94" i="17"/>
  <c r="P207" i="17"/>
  <c r="S308" i="15"/>
  <c r="R606" i="17"/>
  <c r="R151" i="17"/>
  <c r="S300" i="15"/>
  <c r="R587" i="17"/>
  <c r="R170" i="17"/>
  <c r="U40" i="17"/>
  <c r="U569" i="17"/>
  <c r="P569" i="17"/>
  <c r="P40" i="17"/>
  <c r="P398" i="17"/>
  <c r="P114" i="17"/>
  <c r="S285" i="15"/>
  <c r="R434" i="17"/>
  <c r="R150" i="17"/>
  <c r="P56" i="17"/>
  <c r="P149" i="17"/>
  <c r="R471" i="17"/>
  <c r="R206" i="17"/>
  <c r="S310" i="15"/>
  <c r="R284" i="17"/>
  <c r="R246" i="17"/>
  <c r="R482" i="17"/>
  <c r="S235" i="15"/>
  <c r="R545" i="17"/>
  <c r="R337" i="17"/>
  <c r="S395" i="17"/>
  <c r="S263" i="17"/>
  <c r="U358" i="17"/>
  <c r="U414" i="17"/>
  <c r="P587" i="17"/>
  <c r="P170" i="17"/>
  <c r="S223" i="15"/>
  <c r="R486" i="17"/>
  <c r="R222" i="17"/>
  <c r="P242" i="17"/>
  <c r="P147" i="17"/>
  <c r="P319" i="17"/>
  <c r="P375" i="17"/>
  <c r="S471" i="17"/>
  <c r="S206" i="17"/>
  <c r="R111" i="17"/>
  <c r="R489" i="17"/>
  <c r="S304" i="15"/>
  <c r="R416" i="17"/>
  <c r="R378" i="17"/>
  <c r="P530" i="17"/>
  <c r="P360" i="17"/>
  <c r="P152" i="17"/>
  <c r="P512" i="17"/>
  <c r="S251" i="15"/>
  <c r="R488" i="17"/>
  <c r="U490" i="17"/>
  <c r="U169" i="17"/>
  <c r="U395" i="17"/>
  <c r="U263" i="17"/>
  <c r="R567" i="17"/>
  <c r="P412" i="17"/>
  <c r="P73" i="17"/>
  <c r="P411" i="17"/>
  <c r="P392" i="17"/>
  <c r="U267" i="15"/>
  <c r="R376" i="17"/>
  <c r="P301" i="17"/>
  <c r="P244" i="17"/>
  <c r="U244" i="17"/>
  <c r="U301" i="17"/>
  <c r="P508" i="17"/>
  <c r="P55" i="17"/>
  <c r="R454" i="17"/>
  <c r="R265" i="17"/>
  <c r="S373" i="17"/>
  <c r="S241" i="17"/>
  <c r="P563" i="17"/>
  <c r="P146" i="17"/>
  <c r="U373" i="17"/>
  <c r="U241" i="17"/>
  <c r="P469" i="17"/>
  <c r="P393" i="17"/>
  <c r="U375" i="17"/>
  <c r="U319" i="17"/>
  <c r="P394" i="17"/>
  <c r="P205" i="17"/>
  <c r="S254" i="15"/>
  <c r="R527" i="17"/>
  <c r="R565" i="17"/>
  <c r="P433" i="17"/>
  <c r="P37" i="17"/>
  <c r="R149" i="17"/>
  <c r="S294" i="15"/>
  <c r="R359" i="17"/>
  <c r="R510" i="17"/>
  <c r="P586" i="17"/>
  <c r="P245" i="17"/>
  <c r="U303" i="17"/>
  <c r="U189" i="17"/>
  <c r="P568" i="17"/>
  <c r="P95" i="17"/>
  <c r="S313" i="15"/>
  <c r="R397" i="17"/>
  <c r="R227" i="17"/>
  <c r="S330" i="15"/>
  <c r="R607" i="17"/>
  <c r="R171" i="17"/>
  <c r="P601" i="17"/>
  <c r="P34" i="17"/>
  <c r="P282" i="17"/>
  <c r="P168" i="17"/>
  <c r="P336" i="17"/>
  <c r="P584" i="17"/>
  <c r="P281" i="17"/>
  <c r="S39" i="15"/>
  <c r="R100" i="17"/>
  <c r="R291" i="15"/>
  <c r="K57" i="17"/>
  <c r="K38" i="17"/>
  <c r="U234" i="15"/>
  <c r="S228" i="15"/>
  <c r="R109" i="17"/>
  <c r="U311" i="15"/>
  <c r="S219" i="15"/>
  <c r="S298" i="17" s="1"/>
  <c r="S209" i="15"/>
  <c r="R72" i="17"/>
  <c r="U236" i="15"/>
  <c r="R18" i="17"/>
  <c r="S279" i="15"/>
  <c r="R130" i="17"/>
  <c r="U219" i="15"/>
  <c r="U310" i="15"/>
  <c r="S301" i="15"/>
  <c r="R20" i="17"/>
  <c r="R39" i="17"/>
  <c r="S274" i="15"/>
  <c r="R93" i="17"/>
  <c r="S215" i="15"/>
  <c r="R108" i="17"/>
  <c r="S257" i="15"/>
  <c r="R17" i="17"/>
  <c r="U308" i="15"/>
  <c r="P77" i="17"/>
  <c r="P132" i="17"/>
  <c r="S318" i="15"/>
  <c r="R40" i="17"/>
  <c r="S321" i="15"/>
  <c r="R59" i="17"/>
  <c r="R133" i="17"/>
  <c r="S213" i="15"/>
  <c r="R127" i="17"/>
  <c r="K20" i="17"/>
  <c r="K39" i="17"/>
  <c r="U209" i="15"/>
  <c r="U203" i="17" s="1"/>
  <c r="S237" i="15"/>
  <c r="S299" i="17" s="1"/>
  <c r="R128" i="17"/>
  <c r="U211" i="15"/>
  <c r="S64" i="15"/>
  <c r="R64" i="17"/>
  <c r="R45" i="17"/>
  <c r="S307" i="15"/>
  <c r="R95" i="17"/>
  <c r="U221" i="15"/>
  <c r="S226" i="15"/>
  <c r="R73" i="17"/>
  <c r="U274" i="15"/>
  <c r="U268" i="15"/>
  <c r="U149" i="17" s="1"/>
  <c r="S324" i="15"/>
  <c r="R96" i="17"/>
  <c r="U266" i="15"/>
  <c r="U330" i="15"/>
  <c r="U275" i="15"/>
  <c r="U301" i="15"/>
  <c r="S290" i="15"/>
  <c r="R94" i="17"/>
  <c r="U288" i="15"/>
  <c r="S328" i="15"/>
  <c r="R21" i="17"/>
  <c r="U114" i="17"/>
  <c r="S247" i="15"/>
  <c r="R129" i="17"/>
  <c r="U314" i="15"/>
  <c r="R227" i="15"/>
  <c r="R507" i="17" s="1"/>
  <c r="K35" i="17"/>
  <c r="U245" i="15"/>
  <c r="S268" i="15"/>
  <c r="R56" i="17"/>
  <c r="R34" i="17"/>
  <c r="U96" i="17"/>
  <c r="R284" i="15"/>
  <c r="K112" i="17"/>
  <c r="K76" i="17"/>
  <c r="U39" i="15"/>
  <c r="R131" i="17"/>
  <c r="U133" i="17"/>
  <c r="U59" i="17"/>
  <c r="R255" i="15"/>
  <c r="R546" i="17" s="1"/>
  <c r="K92" i="17"/>
  <c r="S233" i="15"/>
  <c r="R54" i="17"/>
  <c r="K77" i="17"/>
  <c r="K132" i="17"/>
  <c r="S267" i="15"/>
  <c r="R75" i="17"/>
  <c r="S252" i="15"/>
  <c r="R55" i="17"/>
  <c r="P64" i="17"/>
  <c r="P45" i="17"/>
  <c r="S270" i="15"/>
  <c r="R37" i="17"/>
  <c r="S319" i="15"/>
  <c r="R78" i="17"/>
  <c r="S302" i="15"/>
  <c r="R113" i="17"/>
  <c r="S309" i="15"/>
  <c r="R58" i="17"/>
  <c r="S297" i="15"/>
  <c r="R19" i="17"/>
  <c r="S320" i="15"/>
  <c r="R114" i="17"/>
  <c r="S329" i="15"/>
  <c r="U329" i="15"/>
  <c r="U325" i="15"/>
  <c r="S322" i="15"/>
  <c r="U322" i="15"/>
  <c r="U313" i="15"/>
  <c r="U306" i="15"/>
  <c r="U304" i="15"/>
  <c r="U296" i="15"/>
  <c r="U290" i="15"/>
  <c r="U289" i="15"/>
  <c r="U415" i="17" s="1"/>
  <c r="S289" i="15"/>
  <c r="U277" i="15"/>
  <c r="U187" i="17" s="1"/>
  <c r="S277" i="15"/>
  <c r="U273" i="15"/>
  <c r="U270" i="15"/>
  <c r="U433" i="17" s="1"/>
  <c r="U256" i="15"/>
  <c r="U230" i="15"/>
  <c r="U238" i="15"/>
  <c r="U233" i="15"/>
  <c r="S221" i="15"/>
  <c r="U215" i="15"/>
  <c r="U257" i="15"/>
  <c r="U413" i="17" s="1"/>
  <c r="U251" i="15"/>
  <c r="U249" i="15"/>
  <c r="U271" i="15"/>
  <c r="U307" i="15"/>
  <c r="U568" i="17" s="1"/>
  <c r="W451" i="17"/>
  <c r="U316" i="15"/>
  <c r="U328" i="15"/>
  <c r="U326" i="15"/>
  <c r="S305" i="15"/>
  <c r="U305" i="15"/>
  <c r="U287" i="15"/>
  <c r="U294" i="15"/>
  <c r="U272" i="15"/>
  <c r="S272" i="15"/>
  <c r="U278" i="15"/>
  <c r="S232" i="15"/>
  <c r="U232" i="15"/>
  <c r="U64" i="15"/>
  <c r="P851" i="1"/>
  <c r="P17" i="7" s="1"/>
  <c r="P848" i="1"/>
  <c r="P170" i="12" s="1"/>
  <c r="P847" i="1"/>
  <c r="P169" i="12"/>
  <c r="P793" i="1"/>
  <c r="P142" i="12" s="1"/>
  <c r="P785" i="1"/>
  <c r="P128" i="12" s="1"/>
  <c r="P846" i="1"/>
  <c r="P86" i="12" s="1"/>
  <c r="P845" i="1"/>
  <c r="P72" i="12" s="1"/>
  <c r="P844" i="1"/>
  <c r="P44" i="12" s="1"/>
  <c r="P843" i="1"/>
  <c r="P128" i="11" s="1"/>
  <c r="P842" i="1"/>
  <c r="P156" i="11" s="1"/>
  <c r="P841" i="1"/>
  <c r="P142" i="11" s="1"/>
  <c r="P840" i="1"/>
  <c r="P86" i="11" s="1"/>
  <c r="P839" i="1"/>
  <c r="P100" i="11" s="1"/>
  <c r="P838" i="1"/>
  <c r="P16" i="11" s="1"/>
  <c r="P837" i="1"/>
  <c r="P836" i="1"/>
  <c r="P170" i="10" s="1"/>
  <c r="P835" i="1"/>
  <c r="P31" i="7" s="1"/>
  <c r="P834" i="1"/>
  <c r="P833" i="1"/>
  <c r="P72" i="10" s="1"/>
  <c r="P832" i="1"/>
  <c r="P58" i="10" s="1"/>
  <c r="P796" i="1"/>
  <c r="P128" i="10" s="1"/>
  <c r="P791" i="1"/>
  <c r="P16" i="10" s="1"/>
  <c r="P831" i="1"/>
  <c r="P144" i="9" s="1"/>
  <c r="P830" i="1"/>
  <c r="P129" i="9" s="1"/>
  <c r="P829" i="1"/>
  <c r="P16" i="9" s="1"/>
  <c r="P798" i="1"/>
  <c r="P174" i="9" s="1"/>
  <c r="P794" i="1"/>
  <c r="P102" i="9" s="1"/>
  <c r="P787" i="1"/>
  <c r="P30" i="9" s="1"/>
  <c r="P790" i="1"/>
  <c r="P156" i="8" s="1"/>
  <c r="P828" i="1"/>
  <c r="P142" i="8" s="1"/>
  <c r="P827" i="1"/>
  <c r="P826" i="1"/>
  <c r="P30" i="8" s="1"/>
  <c r="P789" i="1"/>
  <c r="P86" i="8" s="1"/>
  <c r="P825" i="1"/>
  <c r="P824" i="1"/>
  <c r="P74" i="7" s="1"/>
  <c r="P823" i="1"/>
  <c r="P89" i="7" s="1"/>
  <c r="P822" i="1"/>
  <c r="P146" i="6" s="1"/>
  <c r="P821" i="1"/>
  <c r="P74" i="6" s="1"/>
  <c r="P820" i="1"/>
  <c r="P102" i="6" s="1"/>
  <c r="P819" i="1"/>
  <c r="P59" i="6" s="1"/>
  <c r="P818" i="1"/>
  <c r="P161" i="6" s="1"/>
  <c r="P817" i="1"/>
  <c r="P128" i="5" s="1"/>
  <c r="P788" i="1"/>
  <c r="P16" i="5" s="1"/>
  <c r="P816" i="1"/>
  <c r="P30" i="5" s="1"/>
  <c r="P815" i="1"/>
  <c r="P86" i="5" s="1"/>
  <c r="P814" i="1"/>
  <c r="P58" i="5" s="1"/>
  <c r="P813" i="1"/>
  <c r="P101" i="4" s="1"/>
  <c r="P812" i="1"/>
  <c r="P87" i="4" s="1"/>
  <c r="P811" i="1"/>
  <c r="P145" i="4" s="1"/>
  <c r="P810" i="1"/>
  <c r="P17" i="4" s="1"/>
  <c r="P809" i="1"/>
  <c r="P187" i="4" s="1"/>
  <c r="P795" i="1"/>
  <c r="P116" i="4" s="1"/>
  <c r="P808" i="1"/>
  <c r="P31" i="4" s="1"/>
  <c r="P187" i="3"/>
  <c r="P792" i="1"/>
  <c r="P117" i="3" s="1"/>
  <c r="P806" i="1"/>
  <c r="P145" i="3" s="1"/>
  <c r="P797" i="1"/>
  <c r="P58" i="12" s="1"/>
  <c r="P805" i="1"/>
  <c r="P201" i="3" s="1"/>
  <c r="P804" i="1"/>
  <c r="P30" i="3" s="1"/>
  <c r="P803" i="1"/>
  <c r="P16" i="3" s="1"/>
  <c r="P802" i="1"/>
  <c r="P44" i="2" s="1"/>
  <c r="P801" i="1"/>
  <c r="P115" i="2" s="1"/>
  <c r="P800" i="1"/>
  <c r="P101" i="2" s="1"/>
  <c r="P799" i="1"/>
  <c r="P157" i="2" s="1"/>
  <c r="P786" i="1"/>
  <c r="P143" i="2" s="1"/>
  <c r="P57" i="12"/>
  <c r="P73" i="7"/>
  <c r="P141" i="12"/>
  <c r="P127" i="12"/>
  <c r="P779" i="1"/>
  <c r="P99" i="12" s="1"/>
  <c r="P778" i="1"/>
  <c r="P777" i="1"/>
  <c r="P43" i="12" s="1"/>
  <c r="P15" i="12"/>
  <c r="P774" i="1"/>
  <c r="P196" i="11" s="1"/>
  <c r="P773" i="1"/>
  <c r="P155" i="11" s="1"/>
  <c r="P772" i="1"/>
  <c r="P141" i="11" s="1"/>
  <c r="P771" i="1"/>
  <c r="P71" i="11" s="1"/>
  <c r="P770" i="1"/>
  <c r="P769" i="1"/>
  <c r="P15" i="11" s="1"/>
  <c r="P768" i="1"/>
  <c r="P155" i="10" s="1"/>
  <c r="P767" i="1"/>
  <c r="P766" i="1"/>
  <c r="P71" i="10" s="1"/>
  <c r="P765" i="1"/>
  <c r="P43" i="10" s="1"/>
  <c r="P764" i="1"/>
  <c r="P85" i="10" s="1"/>
  <c r="P763" i="1"/>
  <c r="P169" i="10" s="1"/>
  <c r="P762" i="1"/>
  <c r="P173" i="9" s="1"/>
  <c r="P725" i="1"/>
  <c r="P101" i="9" s="1"/>
  <c r="P760" i="1"/>
  <c r="P87" i="9" s="1"/>
  <c r="P758" i="1"/>
  <c r="P15" i="9" s="1"/>
  <c r="P57" i="8"/>
  <c r="P718" i="1"/>
  <c r="P141" i="8" s="1"/>
  <c r="P756" i="1"/>
  <c r="P15" i="3" s="1"/>
  <c r="P30" i="7"/>
  <c r="P753" i="1"/>
  <c r="P15" i="7" s="1"/>
  <c r="P752" i="1"/>
  <c r="P131" i="6" s="1"/>
  <c r="P750" i="1"/>
  <c r="P145" i="6" s="1"/>
  <c r="P748" i="1"/>
  <c r="P141" i="5" s="1"/>
  <c r="P747" i="1"/>
  <c r="P71" i="5" s="1"/>
  <c r="P746" i="1"/>
  <c r="P113" i="5" s="1"/>
  <c r="P744" i="1"/>
  <c r="P99" i="5" s="1"/>
  <c r="P743" i="1"/>
  <c r="P186" i="4" s="1"/>
  <c r="P742" i="1"/>
  <c r="P172" i="4" s="1"/>
  <c r="P741" i="1"/>
  <c r="P200" i="4" s="1"/>
  <c r="P738" i="1"/>
  <c r="P16" i="4" s="1"/>
  <c r="P737" i="1"/>
  <c r="P58" i="4" s="1"/>
  <c r="P736" i="1"/>
  <c r="P200" i="3" s="1"/>
  <c r="P43" i="11"/>
  <c r="P734" i="1"/>
  <c r="P144" i="3" s="1"/>
  <c r="P732" i="1"/>
  <c r="P130" i="3" s="1"/>
  <c r="P731" i="1"/>
  <c r="P183" i="11" s="1"/>
  <c r="P730" i="1"/>
  <c r="P29" i="3" s="1"/>
  <c r="P724" i="1"/>
  <c r="P114" i="2" s="1"/>
  <c r="P723" i="1"/>
  <c r="P142" i="2" s="1"/>
  <c r="P729" i="1"/>
  <c r="P29" i="2" s="1"/>
  <c r="P71" i="2"/>
  <c r="P130" i="6"/>
  <c r="P717" i="1"/>
  <c r="P140" i="12" s="1"/>
  <c r="P716" i="1"/>
  <c r="P126" i="12" s="1"/>
  <c r="P715" i="1"/>
  <c r="P112" i="12" s="1"/>
  <c r="P714" i="1"/>
  <c r="P197" i="12" s="1"/>
  <c r="P713" i="1"/>
  <c r="P154" i="12" s="1"/>
  <c r="P712" i="1"/>
  <c r="P42" i="12" s="1"/>
  <c r="P711" i="1"/>
  <c r="P98" i="12" s="1"/>
  <c r="P660" i="1"/>
  <c r="P56" i="11" s="1"/>
  <c r="P710" i="1"/>
  <c r="P168" i="11" s="1"/>
  <c r="P709" i="1"/>
  <c r="P154" i="11" s="1"/>
  <c r="P708" i="1"/>
  <c r="P98" i="11" s="1"/>
  <c r="P704" i="1"/>
  <c r="P28" i="11" s="1"/>
  <c r="P703" i="1"/>
  <c r="P168" i="10" s="1"/>
  <c r="P702" i="1"/>
  <c r="P140" i="10" s="1"/>
  <c r="P701" i="1"/>
  <c r="P126" i="10" s="1"/>
  <c r="P662" i="1"/>
  <c r="P56" i="10" s="1"/>
  <c r="P700" i="1"/>
  <c r="P42" i="10" s="1"/>
  <c r="P699" i="1"/>
  <c r="P663" i="1"/>
  <c r="P56" i="9" s="1"/>
  <c r="P698" i="1"/>
  <c r="P128" i="9" s="1"/>
  <c r="P697" i="1"/>
  <c r="P86" i="9" s="1"/>
  <c r="P696" i="1"/>
  <c r="P158" i="9" s="1"/>
  <c r="P695" i="1"/>
  <c r="P172" i="9" s="1"/>
  <c r="P694" i="1"/>
  <c r="P100" i="9" s="1"/>
  <c r="P658" i="1"/>
  <c r="P168" i="8" s="1"/>
  <c r="P655" i="1"/>
  <c r="P654" i="1"/>
  <c r="P140" i="8" s="1"/>
  <c r="P657" i="1"/>
  <c r="P70" i="8" s="1"/>
  <c r="P656" i="1"/>
  <c r="P653" i="1"/>
  <c r="P84" i="8" s="1"/>
  <c r="P693" i="1"/>
  <c r="P87" i="7" s="1"/>
  <c r="P692" i="1"/>
  <c r="P44" i="7" s="1"/>
  <c r="P691" i="1"/>
  <c r="P159" i="6" s="1"/>
  <c r="P690" i="1"/>
  <c r="P144" i="6" s="1"/>
  <c r="P689" i="1"/>
  <c r="P72" i="6" s="1"/>
  <c r="P688" i="1"/>
  <c r="P57" i="6" s="1"/>
  <c r="P687" i="1"/>
  <c r="P29" i="6" s="1"/>
  <c r="P686" i="1"/>
  <c r="P140" i="5" s="1"/>
  <c r="P685" i="1"/>
  <c r="P126" i="5" s="1"/>
  <c r="P684" i="1"/>
  <c r="P112" i="5" s="1"/>
  <c r="P683" i="1"/>
  <c r="P28" i="5" s="1"/>
  <c r="P682" i="1"/>
  <c r="P56" i="5" s="1"/>
  <c r="P681" i="1"/>
  <c r="P57" i="4" s="1"/>
  <c r="P680" i="1"/>
  <c r="P143" i="4" s="1"/>
  <c r="P679" i="1"/>
  <c r="P99" i="4" s="1"/>
  <c r="P678" i="1"/>
  <c r="P85" i="4" s="1"/>
  <c r="P677" i="1"/>
  <c r="P114" i="4" s="1"/>
  <c r="P676" i="1"/>
  <c r="P199" i="4" s="1"/>
  <c r="P675" i="1"/>
  <c r="P171" i="4" s="1"/>
  <c r="P674" i="1"/>
  <c r="P115" i="3" s="1"/>
  <c r="P673" i="1"/>
  <c r="P143" i="3" s="1"/>
  <c r="P672" i="1"/>
  <c r="P157" i="3" s="1"/>
  <c r="P671" i="1"/>
  <c r="P14" i="3" s="1"/>
  <c r="P670" i="1"/>
  <c r="P99" i="3" s="1"/>
  <c r="P669" i="1"/>
  <c r="P185" i="3" s="1"/>
  <c r="P668" i="1"/>
  <c r="P85" i="3" s="1"/>
  <c r="P667" i="1"/>
  <c r="P141" i="2" s="1"/>
  <c r="P666" i="1"/>
  <c r="P113" i="2" s="1"/>
  <c r="P665" i="1"/>
  <c r="P101" i="7" s="1"/>
  <c r="P659" i="1"/>
  <c r="P70" i="2" s="1"/>
  <c r="P664" i="1"/>
  <c r="P56" i="2" s="1"/>
  <c r="P661" i="1"/>
  <c r="P42" i="2" s="1"/>
  <c r="P14" i="6"/>
  <c r="P652" i="1"/>
  <c r="P196" i="12" s="1"/>
  <c r="P650" i="1"/>
  <c r="P649" i="1"/>
  <c r="P41" i="12" s="1"/>
  <c r="P647" i="1"/>
  <c r="P167" i="12" s="1"/>
  <c r="P645" i="1"/>
  <c r="P194" i="11" s="1"/>
  <c r="P644" i="1"/>
  <c r="P181" i="11" s="1"/>
  <c r="P642" i="1"/>
  <c r="P641" i="1"/>
  <c r="P139" i="11" s="1"/>
  <c r="P601" i="1"/>
  <c r="P153" i="10" s="1"/>
  <c r="P640" i="1"/>
  <c r="P139" i="10" s="1"/>
  <c r="P639" i="1"/>
  <c r="P167" i="10" s="1"/>
  <c r="P638" i="1"/>
  <c r="P41" i="10" s="1"/>
  <c r="P637" i="1"/>
  <c r="P69" i="10" s="1"/>
  <c r="P636" i="1"/>
  <c r="P125" i="10" s="1"/>
  <c r="P635" i="1"/>
  <c r="P157" i="9" s="1"/>
  <c r="P634" i="1"/>
  <c r="P127" i="9" s="1"/>
  <c r="P633" i="1"/>
  <c r="P632" i="1"/>
  <c r="P55" i="9" s="1"/>
  <c r="P596" i="1"/>
  <c r="P167" i="8" s="1"/>
  <c r="P599" i="1"/>
  <c r="P71" i="7" s="1"/>
  <c r="P629" i="1"/>
  <c r="P13" i="9" s="1"/>
  <c r="P628" i="1"/>
  <c r="P114" i="6" s="1"/>
  <c r="P627" i="1"/>
  <c r="P143" i="6" s="1"/>
  <c r="P597" i="1"/>
  <c r="P129" i="6" s="1"/>
  <c r="P626" i="1"/>
  <c r="P71" i="6" s="1"/>
  <c r="P624" i="1"/>
  <c r="P97" i="5" s="1"/>
  <c r="P622" i="1"/>
  <c r="P55" i="5" s="1"/>
  <c r="P620" i="1"/>
  <c r="P27" i="5" s="1"/>
  <c r="P619" i="1"/>
  <c r="P198" i="4" s="1"/>
  <c r="P618" i="1"/>
  <c r="P184" i="4" s="1"/>
  <c r="P616" i="1"/>
  <c r="P142" i="4" s="1"/>
  <c r="P615" i="1"/>
  <c r="P98" i="4" s="1"/>
  <c r="P614" i="1"/>
  <c r="P156" i="4" s="1"/>
  <c r="P611" i="1"/>
  <c r="P114" i="3" s="1"/>
  <c r="P610" i="1"/>
  <c r="P156" i="3" s="1"/>
  <c r="P608" i="1"/>
  <c r="P56" i="3" s="1"/>
  <c r="P600" i="1"/>
  <c r="P13" i="3" s="1"/>
  <c r="P606" i="1"/>
  <c r="P140" i="2" s="1"/>
  <c r="P604" i="1"/>
  <c r="P98" i="2" s="1"/>
  <c r="P603" i="1"/>
  <c r="P13" i="2" s="1"/>
  <c r="P602" i="1"/>
  <c r="P27" i="2" s="1"/>
  <c r="P139" i="2"/>
  <c r="P124" i="12"/>
  <c r="P96" i="12"/>
  <c r="P27" i="4"/>
  <c r="P12" i="7"/>
  <c r="P592" i="1"/>
  <c r="P591" i="1"/>
  <c r="P589" i="1"/>
  <c r="P588" i="1"/>
  <c r="P547" i="1"/>
  <c r="P586" i="1"/>
  <c r="P585" i="1"/>
  <c r="P584" i="1"/>
  <c r="P546" i="1"/>
  <c r="P583" i="1"/>
  <c r="P582" i="1"/>
  <c r="P581" i="1"/>
  <c r="P580" i="1"/>
  <c r="P579" i="1"/>
  <c r="P578" i="1"/>
  <c r="P577" i="1"/>
  <c r="P576" i="1"/>
  <c r="P575" i="1"/>
  <c r="P574" i="1"/>
  <c r="P573" i="1"/>
  <c r="P571" i="1"/>
  <c r="P548" i="1"/>
  <c r="P567" i="1"/>
  <c r="P565" i="1"/>
  <c r="P564" i="1"/>
  <c r="P563" i="1"/>
  <c r="P562" i="1"/>
  <c r="P561" i="1"/>
  <c r="P560" i="1"/>
  <c r="P559" i="1"/>
  <c r="P558" i="1"/>
  <c r="P545" i="1"/>
  <c r="P556" i="1"/>
  <c r="P554" i="1"/>
  <c r="P553" i="1"/>
  <c r="P551" i="1"/>
  <c r="P110" i="2"/>
  <c r="P544" i="1"/>
  <c r="P165" i="12" s="1"/>
  <c r="P542" i="1"/>
  <c r="P137" i="12" s="1"/>
  <c r="P541" i="1"/>
  <c r="P540" i="1"/>
  <c r="P123" i="12" s="1"/>
  <c r="P539" i="1"/>
  <c r="P179" i="11" s="1"/>
  <c r="P491" i="1"/>
  <c r="P67" i="11" s="1"/>
  <c r="P535" i="1"/>
  <c r="P95" i="10" s="1"/>
  <c r="P534" i="1"/>
  <c r="P81" i="10" s="1"/>
  <c r="P533" i="1"/>
  <c r="P123" i="10" s="1"/>
  <c r="P532" i="1"/>
  <c r="P531" i="1"/>
  <c r="P169" i="9" s="1"/>
  <c r="P530" i="1"/>
  <c r="P111" i="9" s="1"/>
  <c r="P529" i="1"/>
  <c r="P53" i="9" s="1"/>
  <c r="P528" i="1"/>
  <c r="P524" i="1"/>
  <c r="P95" i="8" s="1"/>
  <c r="P520" i="1"/>
  <c r="P140" i="9" s="1"/>
  <c r="P519" i="1"/>
  <c r="P84" i="7" s="1"/>
  <c r="P517" i="1"/>
  <c r="P11" i="7" s="1"/>
  <c r="P495" i="1"/>
  <c r="P156" i="6" s="1"/>
  <c r="P515" i="1"/>
  <c r="P141" i="6" s="1"/>
  <c r="P512" i="1"/>
  <c r="P137" i="5" s="1"/>
  <c r="P511" i="1"/>
  <c r="P53" i="5" s="1"/>
  <c r="P509" i="1"/>
  <c r="P11" i="5" s="1"/>
  <c r="P168" i="4"/>
  <c r="P507" i="1"/>
  <c r="P26" i="4" s="1"/>
  <c r="P506" i="1"/>
  <c r="P96" i="4" s="1"/>
  <c r="P505" i="1"/>
  <c r="P40" i="4" s="1"/>
  <c r="P504" i="1"/>
  <c r="P126" i="4" s="1"/>
  <c r="P503" i="1"/>
  <c r="P11" i="3" s="1"/>
  <c r="P501" i="1"/>
  <c r="P140" i="3" s="1"/>
  <c r="P500" i="1"/>
  <c r="P25" i="3" s="1"/>
  <c r="P499" i="1"/>
  <c r="P138" i="2" s="1"/>
  <c r="P494" i="1"/>
  <c r="P124" i="2" s="1"/>
  <c r="P498" i="1"/>
  <c r="P25" i="2" s="1"/>
  <c r="P497" i="1"/>
  <c r="P53" i="2" s="1"/>
  <c r="P10" i="3"/>
  <c r="P489" i="1"/>
  <c r="P108" i="12" s="1"/>
  <c r="P487" i="1"/>
  <c r="P193" i="12" s="1"/>
  <c r="P485" i="1"/>
  <c r="P164" i="11" s="1"/>
  <c r="P484" i="1"/>
  <c r="P122" i="11" s="1"/>
  <c r="P136" i="11"/>
  <c r="P438" i="1"/>
  <c r="P80" i="11" s="1"/>
  <c r="P480" i="1"/>
  <c r="P10" i="10" s="1"/>
  <c r="P479" i="1"/>
  <c r="P136" i="10" s="1"/>
  <c r="P478" i="1"/>
  <c r="P80" i="10" s="1"/>
  <c r="P476" i="1"/>
  <c r="P139" i="9" s="1"/>
  <c r="P473" i="1"/>
  <c r="P154" i="9" s="1"/>
  <c r="P472" i="1"/>
  <c r="P164" i="8" s="1"/>
  <c r="P471" i="1"/>
  <c r="P150" i="8" s="1"/>
  <c r="P468" i="1"/>
  <c r="P24" i="8" s="1"/>
  <c r="P467" i="1"/>
  <c r="P10" i="8" s="1"/>
  <c r="P464" i="1"/>
  <c r="P52" i="8" s="1"/>
  <c r="P463" i="1"/>
  <c r="P54" i="7" s="1"/>
  <c r="P462" i="1"/>
  <c r="P24" i="12" s="1"/>
  <c r="P461" i="1"/>
  <c r="P10" i="7" s="1"/>
  <c r="P460" i="1"/>
  <c r="P96" i="6" s="1"/>
  <c r="P459" i="1"/>
  <c r="P39" i="6" s="1"/>
  <c r="P458" i="1"/>
  <c r="P155" i="6" s="1"/>
  <c r="P442" i="1"/>
  <c r="P140" i="6" s="1"/>
  <c r="P457" i="1"/>
  <c r="P82" i="6" s="1"/>
  <c r="P456" i="1"/>
  <c r="P24" i="5" s="1"/>
  <c r="P455" i="1"/>
  <c r="P80" i="5" s="1"/>
  <c r="P454" i="1"/>
  <c r="P66" i="5" s="1"/>
  <c r="P453" i="1"/>
  <c r="P167" i="4" s="1"/>
  <c r="P451" i="1"/>
  <c r="P67" i="4" s="1"/>
  <c r="P450" i="1"/>
  <c r="P53" i="4" s="1"/>
  <c r="P448" i="1"/>
  <c r="P95" i="3" s="1"/>
  <c r="P447" i="1"/>
  <c r="P153" i="3" s="1"/>
  <c r="P446" i="1"/>
  <c r="P53" i="3" s="1"/>
  <c r="P445" i="1"/>
  <c r="P111" i="3" s="1"/>
  <c r="P439" i="1"/>
  <c r="P441" i="1"/>
  <c r="P95" i="2" s="1"/>
  <c r="P443" i="1"/>
  <c r="P38" i="2" s="1"/>
  <c r="P135" i="5"/>
  <c r="P152" i="4"/>
  <c r="P9" i="2"/>
  <c r="P437" i="1"/>
  <c r="P435" i="1"/>
  <c r="P163" i="12" s="1"/>
  <c r="P433" i="1"/>
  <c r="P432" i="1"/>
  <c r="P51" i="12" s="1"/>
  <c r="P431" i="1"/>
  <c r="P177" i="12" s="1"/>
  <c r="P430" i="1"/>
  <c r="P429" i="1"/>
  <c r="P121" i="11" s="1"/>
  <c r="P191" i="11"/>
  <c r="P427" i="1"/>
  <c r="P65" i="11" s="1"/>
  <c r="P426" i="1"/>
  <c r="P93" i="11" s="1"/>
  <c r="P424" i="1"/>
  <c r="P79" i="10" s="1"/>
  <c r="P423" i="1"/>
  <c r="P421" i="1"/>
  <c r="P9" i="10" s="1"/>
  <c r="P385" i="1"/>
  <c r="P137" i="9" s="1"/>
  <c r="P419" i="1"/>
  <c r="P418" i="1"/>
  <c r="P167" i="9" s="1"/>
  <c r="P417" i="1"/>
  <c r="P415" i="1"/>
  <c r="P9" i="8" s="1"/>
  <c r="P414" i="1"/>
  <c r="P149" i="8" s="1"/>
  <c r="P411" i="1"/>
  <c r="P51" i="8" s="1"/>
  <c r="P410" i="1"/>
  <c r="P67" i="7" s="1"/>
  <c r="P409" i="1"/>
  <c r="P24" i="7" s="1"/>
  <c r="P408" i="1"/>
  <c r="P139" i="6" s="1"/>
  <c r="P407" i="1"/>
  <c r="P95" i="6" s="1"/>
  <c r="P406" i="1"/>
  <c r="P125" i="6" s="1"/>
  <c r="P405" i="1"/>
  <c r="P24" i="6" s="1"/>
  <c r="P404" i="1"/>
  <c r="P79" i="5" s="1"/>
  <c r="P403" i="1"/>
  <c r="P107" i="5" s="1"/>
  <c r="P402" i="1"/>
  <c r="P93" i="5" s="1"/>
  <c r="P401" i="1"/>
  <c r="P23" i="5" s="1"/>
  <c r="P383" i="1"/>
  <c r="P180" i="4" s="1"/>
  <c r="P400" i="1"/>
  <c r="P124" i="4" s="1"/>
  <c r="P399" i="1"/>
  <c r="P80" i="4" s="1"/>
  <c r="P397" i="1"/>
  <c r="P66" i="4" s="1"/>
  <c r="P396" i="1"/>
  <c r="P10" i="4" s="1"/>
  <c r="P395" i="1"/>
  <c r="P9" i="7" s="1"/>
  <c r="P394" i="1"/>
  <c r="P80" i="3" s="1"/>
  <c r="P393" i="1"/>
  <c r="P180" i="3" s="1"/>
  <c r="P392" i="1"/>
  <c r="P52" i="3" s="1"/>
  <c r="P389" i="1"/>
  <c r="P23" i="3" s="1"/>
  <c r="P388" i="1"/>
  <c r="P136" i="2" s="1"/>
  <c r="P386" i="1"/>
  <c r="P23" i="2" s="1"/>
  <c r="P191" i="12"/>
  <c r="P80" i="9"/>
  <c r="P381" i="1"/>
  <c r="P148" i="12" s="1"/>
  <c r="P120" i="12"/>
  <c r="P436" i="1"/>
  <c r="P121" i="12" s="1"/>
  <c r="P377" i="1"/>
  <c r="P50" i="12" s="1"/>
  <c r="P22" i="12"/>
  <c r="P372" i="1"/>
  <c r="P78" i="11" s="1"/>
  <c r="P50" i="11"/>
  <c r="P189" i="11"/>
  <c r="P368" i="1"/>
  <c r="P8" i="11" s="1"/>
  <c r="P162" i="10"/>
  <c r="P134" i="10"/>
  <c r="P148" i="10"/>
  <c r="P106" i="10"/>
  <c r="P92" i="10"/>
  <c r="P8" i="10"/>
  <c r="P122" i="9"/>
  <c r="P108" i="9"/>
  <c r="P78" i="2"/>
  <c r="P360" i="1"/>
  <c r="P162" i="8" s="1"/>
  <c r="P64" i="8"/>
  <c r="P66" i="7"/>
  <c r="P106" i="8"/>
  <c r="P36" i="8"/>
  <c r="P23" i="6"/>
  <c r="P50" i="9"/>
  <c r="P152" i="9"/>
  <c r="P153" i="6"/>
  <c r="P124" i="6"/>
  <c r="P80" i="6"/>
  <c r="P66" i="6"/>
  <c r="P138" i="6"/>
  <c r="P106" i="5"/>
  <c r="P92" i="5"/>
  <c r="P50" i="5"/>
  <c r="P36" i="5"/>
  <c r="P78" i="5"/>
  <c r="P193" i="4"/>
  <c r="P123" i="4"/>
  <c r="P137" i="4"/>
  <c r="P108" i="4"/>
  <c r="P93" i="4"/>
  <c r="P37" i="4"/>
  <c r="P334" i="1"/>
  <c r="P151" i="3" s="1"/>
  <c r="P137" i="3"/>
  <c r="P179" i="3"/>
  <c r="P51" i="3"/>
  <c r="P36" i="3"/>
  <c r="P22" i="3"/>
  <c r="P8" i="3"/>
  <c r="P149" i="2"/>
  <c r="P107" i="2"/>
  <c r="P121" i="2"/>
  <c r="P135" i="2"/>
  <c r="P8" i="2"/>
  <c r="P317" i="1"/>
  <c r="P161" i="12" s="1"/>
  <c r="P316" i="1"/>
  <c r="P147" i="12" s="1"/>
  <c r="P315" i="1"/>
  <c r="P314" i="1"/>
  <c r="P105" i="12" s="1"/>
  <c r="P313" i="1"/>
  <c r="P91" i="12" s="1"/>
  <c r="P312" i="1"/>
  <c r="P77" i="12" s="1"/>
  <c r="P311" i="1"/>
  <c r="P63" i="12" s="1"/>
  <c r="P310" i="1"/>
  <c r="P133" i="12" s="1"/>
  <c r="P309" i="1"/>
  <c r="P175" i="12" s="1"/>
  <c r="P308" i="1"/>
  <c r="P190" i="12" s="1"/>
  <c r="P307" i="1"/>
  <c r="P306" i="1"/>
  <c r="P161" i="11" s="1"/>
  <c r="P305" i="1"/>
  <c r="P147" i="11" s="1"/>
  <c r="P304" i="1"/>
  <c r="P303" i="1"/>
  <c r="P105" i="11" s="1"/>
  <c r="P254" i="1"/>
  <c r="P63" i="11" s="1"/>
  <c r="P302" i="1"/>
  <c r="P49" i="11" s="1"/>
  <c r="P301" i="1"/>
  <c r="P91" i="11" s="1"/>
  <c r="P300" i="1"/>
  <c r="P161" i="10" s="1"/>
  <c r="P299" i="1"/>
  <c r="P147" i="10" s="1"/>
  <c r="P298" i="1"/>
  <c r="P105" i="10" s="1"/>
  <c r="P297" i="1"/>
  <c r="P296" i="1"/>
  <c r="P35" i="10" s="1"/>
  <c r="P295" i="1"/>
  <c r="P133" i="10" s="1"/>
  <c r="P294" i="1"/>
  <c r="P135" i="9" s="1"/>
  <c r="P293" i="1"/>
  <c r="P121" i="9" s="1"/>
  <c r="P292" i="1"/>
  <c r="P291" i="1"/>
  <c r="P35" i="9" s="1"/>
  <c r="P257" i="1"/>
  <c r="P7" i="9" s="1"/>
  <c r="P290" i="1"/>
  <c r="P133" i="8" s="1"/>
  <c r="P289" i="1"/>
  <c r="P77" i="8" s="1"/>
  <c r="P288" i="1"/>
  <c r="P7" i="8" s="1"/>
  <c r="P287" i="1"/>
  <c r="P64" i="9" s="1"/>
  <c r="P286" i="1"/>
  <c r="P165" i="9" s="1"/>
  <c r="P285" i="1"/>
  <c r="P152" i="6" s="1"/>
  <c r="P256" i="1"/>
  <c r="P21" i="9" s="1"/>
  <c r="P284" i="1"/>
  <c r="P137" i="6" s="1"/>
  <c r="P283" i="1"/>
  <c r="P119" i="5" s="1"/>
  <c r="P282" i="1"/>
  <c r="P63" i="5" s="1"/>
  <c r="P281" i="1"/>
  <c r="P35" i="3" s="1"/>
  <c r="P280" i="1"/>
  <c r="P21" i="5" s="1"/>
  <c r="P279" i="1"/>
  <c r="P178" i="4" s="1"/>
  <c r="P278" i="1"/>
  <c r="P164" i="4" s="1"/>
  <c r="P277" i="1"/>
  <c r="P150" i="4" s="1"/>
  <c r="P276" i="1"/>
  <c r="P136" i="4" s="1"/>
  <c r="P275" i="1"/>
  <c r="P105" i="8" s="1"/>
  <c r="P274" i="1"/>
  <c r="P78" i="4" s="1"/>
  <c r="P273" i="1"/>
  <c r="P50" i="4" s="1"/>
  <c r="P253" i="1"/>
  <c r="P8" i="4" s="1"/>
  <c r="P272" i="1"/>
  <c r="P21" i="3" s="1"/>
  <c r="P252" i="1"/>
  <c r="P178" i="3" s="1"/>
  <c r="P255" i="1"/>
  <c r="P150" i="3" s="1"/>
  <c r="P271" i="1"/>
  <c r="P136" i="3" s="1"/>
  <c r="P270" i="1"/>
  <c r="P37" i="7" s="1"/>
  <c r="P269" i="1"/>
  <c r="P94" i="7" s="1"/>
  <c r="P268" i="1"/>
  <c r="P50" i="6" s="1"/>
  <c r="P267" i="1"/>
  <c r="P78" i="3" s="1"/>
  <c r="P266" i="1"/>
  <c r="P50" i="3" s="1"/>
  <c r="P265" i="1"/>
  <c r="P119" i="11" s="1"/>
  <c r="P264" i="1"/>
  <c r="P65" i="7" s="1"/>
  <c r="P263" i="1"/>
  <c r="P92" i="2" s="1"/>
  <c r="P262" i="1"/>
  <c r="P63" i="2" s="1"/>
  <c r="P261" i="1"/>
  <c r="P79" i="6" s="1"/>
  <c r="P260" i="1"/>
  <c r="P77" i="2" s="1"/>
  <c r="P259" i="1"/>
  <c r="P22" i="4" s="1"/>
  <c r="P258" i="1"/>
  <c r="P64" i="3" s="1"/>
  <c r="P76" i="2"/>
  <c r="P251" i="1"/>
  <c r="P91" i="3" s="1"/>
  <c r="P250" i="1"/>
  <c r="P160" i="12" s="1"/>
  <c r="P249" i="1"/>
  <c r="P248" i="1"/>
  <c r="P132" i="12" s="1"/>
  <c r="P247" i="1"/>
  <c r="P90" i="12" s="1"/>
  <c r="P246" i="1"/>
  <c r="P76" i="12" s="1"/>
  <c r="P245" i="1"/>
  <c r="P48" i="12" s="1"/>
  <c r="P244" i="1"/>
  <c r="P243" i="1"/>
  <c r="P20" i="12" s="1"/>
  <c r="P242" i="1"/>
  <c r="P6" i="12" s="1"/>
  <c r="P241" i="1"/>
  <c r="P160" i="11" s="1"/>
  <c r="P240" i="1"/>
  <c r="P118" i="11" s="1"/>
  <c r="P239" i="1"/>
  <c r="P107" i="6" s="1"/>
  <c r="P238" i="1"/>
  <c r="P34" i="11" s="1"/>
  <c r="P237" i="1"/>
  <c r="P34" i="9" s="1"/>
  <c r="P236" i="1"/>
  <c r="P77" i="4" s="1"/>
  <c r="P235" i="1"/>
  <c r="P132" i="10" s="1"/>
  <c r="P234" i="1"/>
  <c r="P132" i="11" s="1"/>
  <c r="P233" i="1"/>
  <c r="P232" i="1"/>
  <c r="P76" i="10" s="1"/>
  <c r="P231" i="1"/>
  <c r="P62" i="10" s="1"/>
  <c r="P230" i="1"/>
  <c r="P20" i="10" s="1"/>
  <c r="P229" i="1"/>
  <c r="P6" i="10" s="1"/>
  <c r="P181" i="1"/>
  <c r="P228" i="1"/>
  <c r="P134" i="9" s="1"/>
  <c r="P227" i="1"/>
  <c r="P226" i="1"/>
  <c r="P63" i="9" s="1"/>
  <c r="P225" i="1"/>
  <c r="P20" i="9" s="1"/>
  <c r="P224" i="1"/>
  <c r="P160" i="8" s="1"/>
  <c r="P223" i="1"/>
  <c r="P189" i="12" s="1"/>
  <c r="P222" i="1"/>
  <c r="P90" i="8" s="1"/>
  <c r="P221" i="1"/>
  <c r="P62" i="8" s="1"/>
  <c r="P220" i="1"/>
  <c r="P76" i="11" s="1"/>
  <c r="P219" i="1"/>
  <c r="P20" i="8" s="1"/>
  <c r="P218" i="1"/>
  <c r="P34" i="10" s="1"/>
  <c r="P217" i="1"/>
  <c r="P64" i="7" s="1"/>
  <c r="P216" i="1"/>
  <c r="P6" i="7" s="1"/>
  <c r="P215" i="1"/>
  <c r="P48" i="11" s="1"/>
  <c r="P214" i="1"/>
  <c r="P174" i="11" s="1"/>
  <c r="P213" i="1"/>
  <c r="P49" i="6" s="1"/>
  <c r="P212" i="1"/>
  <c r="P7" i="6" s="1"/>
  <c r="P211" i="1"/>
  <c r="P132" i="5" s="1"/>
  <c r="P210" i="1"/>
  <c r="P136" i="6" s="1"/>
  <c r="P209" i="1"/>
  <c r="P76" i="5" s="1"/>
  <c r="P208" i="1"/>
  <c r="P48" i="5" s="1"/>
  <c r="P207" i="1"/>
  <c r="P20" i="5" s="1"/>
  <c r="P206" i="1"/>
  <c r="P146" i="11" s="1"/>
  <c r="P205" i="1"/>
  <c r="P79" i="7" s="1"/>
  <c r="P204" i="1"/>
  <c r="P135" i="4" s="1"/>
  <c r="P203" i="1"/>
  <c r="P121" i="4" s="1"/>
  <c r="P202" i="1"/>
  <c r="P62" i="5" s="1"/>
  <c r="P201" i="1"/>
  <c r="P91" i="4" s="1"/>
  <c r="P200" i="1"/>
  <c r="P36" i="7" s="1"/>
  <c r="P199" i="1"/>
  <c r="P91" i="2" s="1"/>
  <c r="P198" i="1"/>
  <c r="P78" i="9" s="1"/>
  <c r="P197" i="1"/>
  <c r="P151" i="6" s="1"/>
  <c r="P196" i="1"/>
  <c r="P191" i="3" s="1"/>
  <c r="P195" i="1"/>
  <c r="P177" i="3" s="1"/>
  <c r="P194" i="1"/>
  <c r="P104" i="11" s="1"/>
  <c r="P193" i="1"/>
  <c r="P163" i="4" s="1"/>
  <c r="P192" i="1"/>
  <c r="P121" i="3" s="1"/>
  <c r="P180" i="1"/>
  <c r="P77" i="3" s="1"/>
  <c r="P191" i="1"/>
  <c r="P104" i="12" s="1"/>
  <c r="P190" i="1"/>
  <c r="P34" i="3" s="1"/>
  <c r="P189" i="1"/>
  <c r="P35" i="6" s="1"/>
  <c r="P188" i="1"/>
  <c r="P6" i="3" s="1"/>
  <c r="P187" i="1"/>
  <c r="P147" i="2" s="1"/>
  <c r="P186" i="1"/>
  <c r="P177" i="4" s="1"/>
  <c r="P185" i="1"/>
  <c r="P20" i="11" s="1"/>
  <c r="P184" i="1"/>
  <c r="P48" i="2" s="1"/>
  <c r="P183" i="1"/>
  <c r="P34" i="2" s="1"/>
  <c r="P182" i="1"/>
  <c r="P104" i="8" s="1"/>
  <c r="P179" i="1"/>
  <c r="P188" i="12" s="1"/>
  <c r="P178" i="1"/>
  <c r="P173" i="12" s="1"/>
  <c r="P177" i="1"/>
  <c r="P5" i="10" s="1"/>
  <c r="P176" i="1"/>
  <c r="P103" i="12" s="1"/>
  <c r="P175" i="1"/>
  <c r="P89" i="12" s="1"/>
  <c r="P174" i="1"/>
  <c r="P61" i="12" s="1"/>
  <c r="P173" i="1"/>
  <c r="P172" i="1"/>
  <c r="P33" i="12" s="1"/>
  <c r="P171" i="1"/>
  <c r="P145" i="12" s="1"/>
  <c r="P170" i="1"/>
  <c r="P187" i="11" s="1"/>
  <c r="P169" i="1"/>
  <c r="P173" i="11" s="1"/>
  <c r="P168" i="1"/>
  <c r="P159" i="11" s="1"/>
  <c r="P167" i="1"/>
  <c r="P145" i="11" s="1"/>
  <c r="P166" i="1"/>
  <c r="P61" i="11" s="1"/>
  <c r="P165" i="1"/>
  <c r="P33" i="11" s="1"/>
  <c r="P164" i="1"/>
  <c r="P145" i="10" s="1"/>
  <c r="P163" i="1"/>
  <c r="P131" i="10" s="1"/>
  <c r="P162" i="1"/>
  <c r="P117" i="10" s="1"/>
  <c r="P161" i="1"/>
  <c r="P103" i="10" s="1"/>
  <c r="P160" i="1"/>
  <c r="P61" i="10" s="1"/>
  <c r="P159" i="1"/>
  <c r="P33" i="10" s="1"/>
  <c r="P158" i="1"/>
  <c r="P163" i="9" s="1"/>
  <c r="P156" i="1"/>
  <c r="P105" i="9" s="1"/>
  <c r="P155" i="1"/>
  <c r="P19" i="9" s="1"/>
  <c r="P154" i="1"/>
  <c r="P77" i="9" s="1"/>
  <c r="P153" i="1"/>
  <c r="P47" i="9" s="1"/>
  <c r="P152" i="1"/>
  <c r="P48" i="6" s="1"/>
  <c r="P151" i="1"/>
  <c r="P5" i="9" s="1"/>
  <c r="P150" i="1"/>
  <c r="P145" i="8" s="1"/>
  <c r="P149" i="1"/>
  <c r="P103" i="8" s="1"/>
  <c r="P148" i="1"/>
  <c r="P131" i="11" s="1"/>
  <c r="P147" i="1"/>
  <c r="P47" i="8" s="1"/>
  <c r="P146" i="1"/>
  <c r="P33" i="8" s="1"/>
  <c r="P145" i="1"/>
  <c r="P159" i="8" s="1"/>
  <c r="P144" i="1"/>
  <c r="P75" i="11" s="1"/>
  <c r="P143" i="1"/>
  <c r="P49" i="7" s="1"/>
  <c r="P142" i="1"/>
  <c r="P35" i="7" s="1"/>
  <c r="P141" i="1"/>
  <c r="P5" i="5" s="1"/>
  <c r="P140" i="1"/>
  <c r="P139" i="1"/>
  <c r="P121" i="6" s="1"/>
  <c r="P138" i="1"/>
  <c r="P48" i="4" s="1"/>
  <c r="P137" i="1"/>
  <c r="P77" i="6" s="1"/>
  <c r="P136" i="1"/>
  <c r="P63" i="6" s="1"/>
  <c r="P135" i="1"/>
  <c r="P34" i="6" s="1"/>
  <c r="P134" i="1"/>
  <c r="P6" i="6" s="1"/>
  <c r="P133" i="1"/>
  <c r="P33" i="5" s="1"/>
  <c r="P132" i="1"/>
  <c r="P47" i="2" s="1"/>
  <c r="P131" i="1"/>
  <c r="P5" i="12" s="1"/>
  <c r="P130" i="1"/>
  <c r="P89" i="5" s="1"/>
  <c r="P129" i="1"/>
  <c r="P75" i="5" s="1"/>
  <c r="P128" i="1"/>
  <c r="P61" i="5" s="1"/>
  <c r="P127" i="1"/>
  <c r="P47" i="5" s="1"/>
  <c r="P126" i="1"/>
  <c r="P159" i="10" s="1"/>
  <c r="P125" i="1"/>
  <c r="P176" i="4" s="1"/>
  <c r="P124" i="1"/>
  <c r="P162" i="4" s="1"/>
  <c r="P123" i="1"/>
  <c r="P148" i="4" s="1"/>
  <c r="P122" i="1"/>
  <c r="P19" i="11" s="1"/>
  <c r="P121" i="1"/>
  <c r="P33" i="3" s="1"/>
  <c r="P120" i="1"/>
  <c r="P47" i="11" s="1"/>
  <c r="P119" i="1"/>
  <c r="P90" i="4" s="1"/>
  <c r="P118" i="1"/>
  <c r="P5" i="8" s="1"/>
  <c r="P117" i="1"/>
  <c r="P62" i="9" s="1"/>
  <c r="P116" i="1"/>
  <c r="P19" i="5" s="1"/>
  <c r="P115" i="1"/>
  <c r="P20" i="4" s="1"/>
  <c r="P114" i="1"/>
  <c r="P162" i="3" s="1"/>
  <c r="P113" i="1"/>
  <c r="P5" i="3" s="1"/>
  <c r="P112" i="1"/>
  <c r="P159" i="12" s="1"/>
  <c r="P111" i="1"/>
  <c r="P120" i="3" s="1"/>
  <c r="P110" i="1"/>
  <c r="P117" i="11" s="1"/>
  <c r="P109" i="1"/>
  <c r="P62" i="3" s="1"/>
  <c r="P108" i="1"/>
  <c r="P19" i="3" s="1"/>
  <c r="P107" i="1"/>
  <c r="P146" i="2" s="1"/>
  <c r="P106" i="1"/>
  <c r="P132" i="2" s="1"/>
  <c r="P105" i="1"/>
  <c r="P118" i="2" s="1"/>
  <c r="P104" i="1"/>
  <c r="P104" i="2" s="1"/>
  <c r="P103" i="1"/>
  <c r="P90" i="2" s="1"/>
  <c r="P102" i="1"/>
  <c r="P75" i="2" s="1"/>
  <c r="P101" i="1"/>
  <c r="P33" i="2" s="1"/>
  <c r="P100" i="1"/>
  <c r="P19" i="2" s="1"/>
  <c r="P99" i="1"/>
  <c r="P76" i="3" s="1"/>
  <c r="P98" i="1"/>
  <c r="P89" i="11" s="1"/>
  <c r="P97" i="1"/>
  <c r="P187" i="12" s="1"/>
  <c r="P96" i="1"/>
  <c r="P172" i="12" s="1"/>
  <c r="P19" i="1"/>
  <c r="P158" i="12" s="1"/>
  <c r="P87" i="1"/>
  <c r="P21" i="1"/>
  <c r="P86" i="1"/>
  <c r="P63" i="1"/>
  <c r="P78" i="1"/>
  <c r="P76" i="1"/>
  <c r="P88" i="1"/>
  <c r="P32" i="12" s="1"/>
  <c r="P60" i="1"/>
  <c r="P18" i="12" s="1"/>
  <c r="P84" i="1"/>
  <c r="P85" i="1"/>
  <c r="P172" i="11" s="1"/>
  <c r="P74" i="1"/>
  <c r="P83" i="1"/>
  <c r="P130" i="11" s="1"/>
  <c r="P25" i="1"/>
  <c r="P102" i="11" s="1"/>
  <c r="P81" i="1"/>
  <c r="P74" i="11" s="1"/>
  <c r="P70" i="1"/>
  <c r="P79" i="1"/>
  <c r="P46" i="11" s="1"/>
  <c r="P73" i="1"/>
  <c r="P77" i="1"/>
  <c r="P18" i="11" s="1"/>
  <c r="P37" i="1"/>
  <c r="P105" i="3" s="1"/>
  <c r="P75" i="1"/>
  <c r="P158" i="10" s="1"/>
  <c r="P92" i="1"/>
  <c r="P144" i="10" s="1"/>
  <c r="P43" i="1"/>
  <c r="P72" i="1"/>
  <c r="P88" i="10" s="1"/>
  <c r="P69" i="1"/>
  <c r="P102" i="10" s="1"/>
  <c r="P91" i="1"/>
  <c r="P56" i="1"/>
  <c r="P31" i="1"/>
  <c r="P67" i="1"/>
  <c r="P32" i="10" s="1"/>
  <c r="P66" i="1"/>
  <c r="P18" i="10" s="1"/>
  <c r="P51" i="1"/>
  <c r="P162" i="9" s="1"/>
  <c r="P64" i="1"/>
  <c r="P118" i="9" s="1"/>
  <c r="P48" i="1"/>
  <c r="P4" i="10" s="1"/>
  <c r="P62" i="1"/>
  <c r="P90" i="9" s="1"/>
  <c r="P65" i="1"/>
  <c r="P93" i="1"/>
  <c r="P149" i="6" s="1"/>
  <c r="P59" i="1"/>
  <c r="P46" i="9" s="1"/>
  <c r="P58" i="1"/>
  <c r="P4" i="9" s="1"/>
  <c r="P57" i="1"/>
  <c r="P144" i="8" s="1"/>
  <c r="P68" i="1"/>
  <c r="P130" i="8" s="1"/>
  <c r="P55" i="1"/>
  <c r="P116" i="8" s="1"/>
  <c r="P54" i="1"/>
  <c r="P74" i="8" s="1"/>
  <c r="P53" i="1"/>
  <c r="P4" i="8" s="1"/>
  <c r="P52" i="1"/>
  <c r="P34" i="7" s="1"/>
  <c r="P45" i="1"/>
  <c r="P134" i="6" s="1"/>
  <c r="P50" i="1"/>
  <c r="P105" i="6" s="1"/>
  <c r="P49" i="1"/>
  <c r="P90" i="6" s="1"/>
  <c r="P82" i="1"/>
  <c r="P47" i="1"/>
  <c r="P19" i="6" s="1"/>
  <c r="P46" i="1"/>
  <c r="P116" i="5" s="1"/>
  <c r="P90" i="1"/>
  <c r="P186" i="11" s="1"/>
  <c r="P18" i="1"/>
  <c r="P44" i="1"/>
  <c r="P42" i="1"/>
  <c r="P46" i="5" s="1"/>
  <c r="P41" i="1"/>
  <c r="P32" i="5" s="1"/>
  <c r="P40" i="1"/>
  <c r="P18" i="5" s="1"/>
  <c r="P39" i="1"/>
  <c r="P4" i="5" s="1"/>
  <c r="P38" i="1"/>
  <c r="P189" i="4" s="1"/>
  <c r="P20" i="1"/>
  <c r="P80" i="1"/>
  <c r="P35" i="1"/>
  <c r="P104" i="4" s="1"/>
  <c r="P22" i="1"/>
  <c r="P77" i="7" s="1"/>
  <c r="P23" i="1"/>
  <c r="P158" i="8" s="1"/>
  <c r="P36" i="1"/>
  <c r="P34" i="1"/>
  <c r="P30" i="1"/>
  <c r="P33" i="4" s="1"/>
  <c r="P29" i="1"/>
  <c r="P19" i="4" s="1"/>
  <c r="P28" i="1"/>
  <c r="P189" i="3" s="1"/>
  <c r="P27" i="1"/>
  <c r="P161" i="3" s="1"/>
  <c r="P89" i="1"/>
  <c r="P147" i="3" s="1"/>
  <c r="P16" i="1"/>
  <c r="P130" i="5" s="1"/>
  <c r="P24" i="1"/>
  <c r="P89" i="3" s="1"/>
  <c r="P95" i="1"/>
  <c r="P94" i="1"/>
  <c r="P26" i="1"/>
  <c r="P33" i="1"/>
  <c r="P71" i="1"/>
  <c r="P62" i="7" s="1"/>
  <c r="P61" i="1"/>
  <c r="P19" i="7" s="1"/>
  <c r="P17" i="1"/>
  <c r="P74" i="2" s="1"/>
  <c r="P32" i="1"/>
  <c r="P15" i="1"/>
  <c r="P4" i="2" s="1"/>
  <c r="P14" i="1"/>
  <c r="P13" i="1"/>
  <c r="P131" i="9" s="1"/>
  <c r="P12" i="1"/>
  <c r="P11" i="1"/>
  <c r="P10" i="1"/>
  <c r="P148" i="6" s="1"/>
  <c r="P9" i="1"/>
  <c r="P8" i="1"/>
  <c r="P7" i="1"/>
  <c r="P6" i="1"/>
  <c r="P5" i="1"/>
  <c r="P104" i="3" s="1"/>
  <c r="P4" i="1"/>
  <c r="P46" i="3" s="1"/>
  <c r="K851" i="1"/>
  <c r="R851" i="1" s="1"/>
  <c r="S851" i="1" s="1"/>
  <c r="S87" i="2" s="1"/>
  <c r="K848" i="1"/>
  <c r="K847" i="1"/>
  <c r="K793" i="1"/>
  <c r="T793" i="1" s="1"/>
  <c r="T142" i="12" s="1"/>
  <c r="K785" i="1"/>
  <c r="K846" i="1"/>
  <c r="K845" i="1"/>
  <c r="K844" i="1"/>
  <c r="K843" i="1"/>
  <c r="K842" i="1"/>
  <c r="K841" i="1"/>
  <c r="K840" i="1"/>
  <c r="K839" i="1"/>
  <c r="K838" i="1"/>
  <c r="K837" i="1"/>
  <c r="K836" i="1"/>
  <c r="K835" i="1"/>
  <c r="K834" i="1"/>
  <c r="K833" i="1"/>
  <c r="K832" i="1"/>
  <c r="K796" i="1"/>
  <c r="K791" i="1"/>
  <c r="K831" i="1"/>
  <c r="K830" i="1"/>
  <c r="K829" i="1"/>
  <c r="K798" i="1"/>
  <c r="T798" i="1" s="1"/>
  <c r="T174" i="9" s="1"/>
  <c r="K794" i="1"/>
  <c r="K787" i="1"/>
  <c r="K790" i="1"/>
  <c r="T790" i="1" s="1"/>
  <c r="T156" i="8" s="1"/>
  <c r="K828" i="1"/>
  <c r="T828" i="1" s="1"/>
  <c r="T142" i="8" s="1"/>
  <c r="K827" i="1"/>
  <c r="K826" i="1"/>
  <c r="K789" i="1"/>
  <c r="T789" i="1" s="1"/>
  <c r="T72" i="8" s="1"/>
  <c r="K825" i="1"/>
  <c r="K824" i="1"/>
  <c r="K823" i="1"/>
  <c r="K822" i="1"/>
  <c r="K821" i="1"/>
  <c r="K820" i="1"/>
  <c r="K819" i="1"/>
  <c r="K818" i="1"/>
  <c r="K817" i="1"/>
  <c r="K788" i="1"/>
  <c r="T788" i="1" s="1"/>
  <c r="T16" i="5" s="1"/>
  <c r="K816" i="1"/>
  <c r="K815" i="1"/>
  <c r="K814" i="1"/>
  <c r="K813" i="1"/>
  <c r="K812" i="1"/>
  <c r="K811" i="1"/>
  <c r="K810" i="1"/>
  <c r="K809" i="1"/>
  <c r="K795" i="1"/>
  <c r="T795" i="1" s="1"/>
  <c r="K808" i="1"/>
  <c r="R807" i="1"/>
  <c r="S807" i="1" s="1"/>
  <c r="S187" i="3" s="1"/>
  <c r="K792" i="1"/>
  <c r="K806" i="1"/>
  <c r="K797" i="1"/>
  <c r="T797" i="1" s="1"/>
  <c r="T59" i="3" s="1"/>
  <c r="K805" i="1"/>
  <c r="K804" i="1"/>
  <c r="K803" i="1"/>
  <c r="K802" i="1"/>
  <c r="K801" i="1"/>
  <c r="K800" i="1"/>
  <c r="K799" i="1"/>
  <c r="K786" i="1"/>
  <c r="S57" i="12"/>
  <c r="S183" i="12"/>
  <c r="S141" i="12"/>
  <c r="K779" i="1"/>
  <c r="K778" i="1"/>
  <c r="R778" i="1" s="1"/>
  <c r="U778" i="1" s="1"/>
  <c r="U85" i="12" s="1"/>
  <c r="K777" i="1"/>
  <c r="R777" i="1" s="1"/>
  <c r="K776" i="1"/>
  <c r="N776" i="1" s="1"/>
  <c r="P776" i="1" s="1"/>
  <c r="P113" i="12" s="1"/>
  <c r="K774" i="1"/>
  <c r="R774" i="1" s="1"/>
  <c r="K773" i="1"/>
  <c r="K772" i="1"/>
  <c r="R772" i="1" s="1"/>
  <c r="K771" i="1"/>
  <c r="T771" i="1" s="1"/>
  <c r="T71" i="11" s="1"/>
  <c r="K770" i="1"/>
  <c r="R770" i="1" s="1"/>
  <c r="K769" i="1"/>
  <c r="R769" i="1" s="1"/>
  <c r="K768" i="1"/>
  <c r="K767" i="1"/>
  <c r="K766" i="1"/>
  <c r="R766" i="1" s="1"/>
  <c r="K765" i="1"/>
  <c r="K764" i="1"/>
  <c r="R764" i="1" s="1"/>
  <c r="K763" i="1"/>
  <c r="K762" i="1"/>
  <c r="K725" i="1"/>
  <c r="R725" i="1" s="1"/>
  <c r="K760" i="1"/>
  <c r="T760" i="1" s="1"/>
  <c r="T57" i="9" s="1"/>
  <c r="K759" i="1"/>
  <c r="N759" i="1" s="1"/>
  <c r="P759" i="1" s="1"/>
  <c r="P72" i="9" s="1"/>
  <c r="K758" i="1"/>
  <c r="K719" i="1"/>
  <c r="K722" i="1"/>
  <c r="N722" i="1" s="1"/>
  <c r="P722" i="1" s="1"/>
  <c r="P127" i="8" s="1"/>
  <c r="K721" i="1"/>
  <c r="N721" i="1" s="1"/>
  <c r="P721" i="1" s="1"/>
  <c r="P99" i="8" s="1"/>
  <c r="K720" i="1"/>
  <c r="N720" i="1" s="1"/>
  <c r="N71" i="8" s="1"/>
  <c r="K757" i="1"/>
  <c r="K718" i="1"/>
  <c r="K756" i="1"/>
  <c r="K755" i="1"/>
  <c r="S30" i="7"/>
  <c r="K753" i="1"/>
  <c r="K752" i="1"/>
  <c r="R752" i="1" s="1"/>
  <c r="U752" i="1" s="1"/>
  <c r="U30" i="6" s="1"/>
  <c r="K751" i="1"/>
  <c r="N751" i="1" s="1"/>
  <c r="P751" i="1" s="1"/>
  <c r="P116" i="6" s="1"/>
  <c r="K750" i="1"/>
  <c r="R750" i="1" s="1"/>
  <c r="K749" i="1"/>
  <c r="N749" i="1" s="1"/>
  <c r="P749" i="1" s="1"/>
  <c r="P58" i="6" s="1"/>
  <c r="K748" i="1"/>
  <c r="K747" i="1"/>
  <c r="K746" i="1"/>
  <c r="K745" i="1"/>
  <c r="N745" i="1" s="1"/>
  <c r="P745" i="1" s="1"/>
  <c r="P127" i="5" s="1"/>
  <c r="K744" i="1"/>
  <c r="K743" i="1"/>
  <c r="R743" i="1" s="1"/>
  <c r="K742" i="1"/>
  <c r="R742" i="1" s="1"/>
  <c r="K741" i="1"/>
  <c r="R741" i="1" s="1"/>
  <c r="K740" i="1"/>
  <c r="N740" i="1" s="1"/>
  <c r="N44" i="4" s="1"/>
  <c r="K739" i="1"/>
  <c r="K738" i="1"/>
  <c r="K737" i="1"/>
  <c r="R737" i="1" s="1"/>
  <c r="K736" i="1"/>
  <c r="R736" i="1" s="1"/>
  <c r="R735" i="1"/>
  <c r="S735" i="1" s="1"/>
  <c r="S172" i="3" s="1"/>
  <c r="K734" i="1"/>
  <c r="K733" i="1"/>
  <c r="K732" i="1"/>
  <c r="R732" i="1" s="1"/>
  <c r="K731" i="1"/>
  <c r="K730" i="1"/>
  <c r="R730" i="1" s="1"/>
  <c r="K724" i="1"/>
  <c r="K723" i="1"/>
  <c r="R723" i="1" s="1"/>
  <c r="K729" i="1"/>
  <c r="R729" i="1" s="1"/>
  <c r="K727" i="1"/>
  <c r="N727" i="1" s="1"/>
  <c r="P727" i="1" s="1"/>
  <c r="P57" i="2" s="1"/>
  <c r="K726" i="1"/>
  <c r="N726" i="1" s="1"/>
  <c r="P726" i="1" s="1"/>
  <c r="P15" i="2" s="1"/>
  <c r="K717" i="1"/>
  <c r="K716" i="1"/>
  <c r="K715" i="1"/>
  <c r="T715" i="1" s="1"/>
  <c r="T112" i="12" s="1"/>
  <c r="K714" i="1"/>
  <c r="K713" i="1"/>
  <c r="K712" i="1"/>
  <c r="R712" i="1" s="1"/>
  <c r="K711" i="1"/>
  <c r="K660" i="1"/>
  <c r="K710" i="1"/>
  <c r="R710" i="1" s="1"/>
  <c r="K709" i="1"/>
  <c r="R709" i="1" s="1"/>
  <c r="K708" i="1"/>
  <c r="R708" i="1" s="1"/>
  <c r="K707" i="1"/>
  <c r="N707" i="1" s="1"/>
  <c r="P707" i="1" s="1"/>
  <c r="P14" i="11" s="1"/>
  <c r="K706" i="1"/>
  <c r="N706" i="1" s="1"/>
  <c r="P706" i="1" s="1"/>
  <c r="P195" i="11" s="1"/>
  <c r="K704" i="1"/>
  <c r="R704" i="1" s="1"/>
  <c r="K703" i="1"/>
  <c r="K702" i="1"/>
  <c r="K701" i="1"/>
  <c r="R701" i="1" s="1"/>
  <c r="K662" i="1"/>
  <c r="R662" i="1" s="1"/>
  <c r="K700" i="1"/>
  <c r="R700" i="1" s="1"/>
  <c r="K699" i="1"/>
  <c r="K663" i="1"/>
  <c r="K698" i="1"/>
  <c r="R698" i="1" s="1"/>
  <c r="K697" i="1"/>
  <c r="T697" i="1" s="1"/>
  <c r="T28" i="9" s="1"/>
  <c r="K696" i="1"/>
  <c r="T696" i="1" s="1"/>
  <c r="K695" i="1"/>
  <c r="R695" i="1" s="1"/>
  <c r="K694" i="1"/>
  <c r="R694" i="1" s="1"/>
  <c r="K658" i="1"/>
  <c r="K655" i="1"/>
  <c r="K654" i="1"/>
  <c r="K657" i="1"/>
  <c r="K656" i="1"/>
  <c r="K653" i="1"/>
  <c r="K692" i="1"/>
  <c r="K691" i="1"/>
  <c r="R691" i="1" s="1"/>
  <c r="K690" i="1"/>
  <c r="R690" i="1" s="1"/>
  <c r="K689" i="1"/>
  <c r="T689" i="1" s="1"/>
  <c r="T72" i="6" s="1"/>
  <c r="K688" i="1"/>
  <c r="R688" i="1" s="1"/>
  <c r="K687" i="1"/>
  <c r="R687" i="1" s="1"/>
  <c r="K686" i="1"/>
  <c r="K685" i="1"/>
  <c r="K684" i="1"/>
  <c r="R684" i="1" s="1"/>
  <c r="K683" i="1"/>
  <c r="R683" i="1" s="1"/>
  <c r="K682" i="1"/>
  <c r="R682" i="1" s="1"/>
  <c r="K681" i="1"/>
  <c r="K680" i="1"/>
  <c r="K679" i="1"/>
  <c r="R679" i="1" s="1"/>
  <c r="K678" i="1"/>
  <c r="R678" i="1" s="1"/>
  <c r="K677" i="1"/>
  <c r="K676" i="1"/>
  <c r="K675" i="1"/>
  <c r="K674" i="1"/>
  <c r="K673" i="1"/>
  <c r="K143" i="3" s="1"/>
  <c r="K672" i="1"/>
  <c r="K671" i="1"/>
  <c r="R671" i="1" s="1"/>
  <c r="K670" i="1"/>
  <c r="R670" i="1" s="1"/>
  <c r="K669" i="1"/>
  <c r="R669" i="1" s="1"/>
  <c r="K668" i="1"/>
  <c r="R668" i="1" s="1"/>
  <c r="K667" i="1"/>
  <c r="R667" i="1" s="1"/>
  <c r="K666" i="1"/>
  <c r="K665" i="1"/>
  <c r="K659" i="1"/>
  <c r="R659" i="1" s="1"/>
  <c r="K664" i="1"/>
  <c r="R664" i="1" s="1"/>
  <c r="K661" i="1"/>
  <c r="T661" i="1" s="1"/>
  <c r="T42" i="2" s="1"/>
  <c r="K652" i="1"/>
  <c r="K651" i="1"/>
  <c r="K650" i="1"/>
  <c r="T650" i="1" s="1"/>
  <c r="T139" i="12" s="1"/>
  <c r="K649" i="1"/>
  <c r="T649" i="1" s="1"/>
  <c r="K648" i="1"/>
  <c r="K647" i="1"/>
  <c r="T647" i="1" s="1"/>
  <c r="T167" i="12" s="1"/>
  <c r="K646" i="1"/>
  <c r="N646" i="1" s="1"/>
  <c r="P646" i="1" s="1"/>
  <c r="P57" i="7" s="1"/>
  <c r="K645" i="1"/>
  <c r="K644" i="1"/>
  <c r="K643" i="1"/>
  <c r="N643" i="1" s="1"/>
  <c r="P643" i="1" s="1"/>
  <c r="P69" i="11" s="1"/>
  <c r="K642" i="1"/>
  <c r="T642" i="1" s="1"/>
  <c r="T83" i="11" s="1"/>
  <c r="K641" i="1"/>
  <c r="K598" i="1"/>
  <c r="K601" i="1"/>
  <c r="T601" i="1" s="1"/>
  <c r="T153" i="10" s="1"/>
  <c r="K640" i="1"/>
  <c r="K639" i="1"/>
  <c r="K638" i="1"/>
  <c r="K637" i="1"/>
  <c r="K636" i="1"/>
  <c r="K635" i="1"/>
  <c r="T635" i="1" s="1"/>
  <c r="T99" i="9" s="1"/>
  <c r="K634" i="1"/>
  <c r="K633" i="1"/>
  <c r="K632" i="1"/>
  <c r="T632" i="1" s="1"/>
  <c r="T70" i="9" s="1"/>
  <c r="K631" i="1"/>
  <c r="N631" i="1" s="1"/>
  <c r="P631" i="1" s="1"/>
  <c r="P28" i="7" s="1"/>
  <c r="K594" i="1"/>
  <c r="N594" i="1" s="1"/>
  <c r="P594" i="1" s="1"/>
  <c r="P139" i="8" s="1"/>
  <c r="K595" i="1"/>
  <c r="K593" i="1"/>
  <c r="N593" i="1" s="1"/>
  <c r="P593" i="1" s="1"/>
  <c r="P27" i="8" s="1"/>
  <c r="K596" i="1"/>
  <c r="K630" i="1"/>
  <c r="N630" i="1" s="1"/>
  <c r="P630" i="1" s="1"/>
  <c r="P100" i="7" s="1"/>
  <c r="K599" i="1"/>
  <c r="K629" i="1"/>
  <c r="T629" i="1" s="1"/>
  <c r="T13" i="7" s="1"/>
  <c r="K628" i="1"/>
  <c r="K627" i="1"/>
  <c r="K597" i="1"/>
  <c r="K626" i="1"/>
  <c r="K625" i="1"/>
  <c r="N625" i="1" s="1"/>
  <c r="P625" i="1" s="1"/>
  <c r="P56" i="6" s="1"/>
  <c r="K624" i="1"/>
  <c r="T624" i="1" s="1"/>
  <c r="T97" i="5" s="1"/>
  <c r="K623" i="1"/>
  <c r="N623" i="1" s="1"/>
  <c r="P623" i="1" s="1"/>
  <c r="P13" i="5" s="1"/>
  <c r="K622" i="1"/>
  <c r="K621" i="1"/>
  <c r="N621" i="1" s="1"/>
  <c r="P621" i="1" s="1"/>
  <c r="P83" i="5" s="1"/>
  <c r="K620" i="1"/>
  <c r="K619" i="1"/>
  <c r="K618" i="1"/>
  <c r="T618" i="1" s="1"/>
  <c r="T70" i="4" s="1"/>
  <c r="K617" i="1"/>
  <c r="K616" i="1"/>
  <c r="K615" i="1"/>
  <c r="T615" i="1" s="1"/>
  <c r="T98" i="4" s="1"/>
  <c r="K614" i="1"/>
  <c r="K613" i="1"/>
  <c r="K612" i="1"/>
  <c r="N612" i="1" s="1"/>
  <c r="P612" i="1" s="1"/>
  <c r="P70" i="3" s="1"/>
  <c r="K611" i="1"/>
  <c r="K610" i="1"/>
  <c r="T610" i="1" s="1"/>
  <c r="T156" i="3" s="1"/>
  <c r="K609" i="1"/>
  <c r="N609" i="1" s="1"/>
  <c r="P609" i="1" s="1"/>
  <c r="P128" i="3" s="1"/>
  <c r="K608" i="1"/>
  <c r="T608" i="1" s="1"/>
  <c r="T98" i="3" s="1"/>
  <c r="K600" i="1"/>
  <c r="T600" i="1" s="1"/>
  <c r="T41" i="3" s="1"/>
  <c r="K606" i="1"/>
  <c r="K605" i="1"/>
  <c r="N605" i="1" s="1"/>
  <c r="P605" i="1" s="1"/>
  <c r="P126" i="2" s="1"/>
  <c r="K604" i="1"/>
  <c r="K603" i="1"/>
  <c r="K602" i="1"/>
  <c r="T602" i="1" s="1"/>
  <c r="T83" i="2" s="1"/>
  <c r="K592" i="1"/>
  <c r="K591" i="1"/>
  <c r="K590" i="1"/>
  <c r="N590" i="1" s="1"/>
  <c r="P590" i="1" s="1"/>
  <c r="K589" i="1"/>
  <c r="K588" i="1"/>
  <c r="K547" i="1"/>
  <c r="K587" i="1"/>
  <c r="N587" i="1" s="1"/>
  <c r="N82" i="11" s="1"/>
  <c r="K586" i="1"/>
  <c r="K585" i="1"/>
  <c r="T585" i="1" s="1"/>
  <c r="S12" i="11"/>
  <c r="K546" i="1"/>
  <c r="K583" i="1"/>
  <c r="K582" i="1"/>
  <c r="K581" i="1"/>
  <c r="K580" i="1"/>
  <c r="K579" i="1"/>
  <c r="K578" i="1"/>
  <c r="T578" i="1" s="1"/>
  <c r="K577" i="1"/>
  <c r="K576" i="1"/>
  <c r="K575" i="1"/>
  <c r="K574" i="1"/>
  <c r="K573" i="1"/>
  <c r="T573" i="1" s="1"/>
  <c r="K572" i="1"/>
  <c r="K549" i="1"/>
  <c r="N549" i="1" s="1"/>
  <c r="P549" i="1" s="1"/>
  <c r="T571" i="1"/>
  <c r="K570" i="1"/>
  <c r="K569" i="1"/>
  <c r="N569" i="1" s="1"/>
  <c r="P569" i="1" s="1"/>
  <c r="K548" i="1"/>
  <c r="K568" i="1"/>
  <c r="K567" i="1"/>
  <c r="T567" i="1" s="1"/>
  <c r="K566" i="1"/>
  <c r="K565" i="1"/>
  <c r="K564" i="1"/>
  <c r="K563" i="1"/>
  <c r="K562" i="1"/>
  <c r="K561" i="1"/>
  <c r="T561" i="1" s="1"/>
  <c r="K560" i="1"/>
  <c r="K559" i="1"/>
  <c r="T559" i="1" s="1"/>
  <c r="K558" i="1"/>
  <c r="K557" i="1"/>
  <c r="K545" i="1"/>
  <c r="K556" i="1"/>
  <c r="K555" i="1"/>
  <c r="K554" i="1"/>
  <c r="K553" i="1"/>
  <c r="K552" i="1"/>
  <c r="K551" i="1"/>
  <c r="T551" i="1" s="1"/>
  <c r="K550" i="1"/>
  <c r="N550" i="1" s="1"/>
  <c r="P550" i="1" s="1"/>
  <c r="K543" i="1"/>
  <c r="N543" i="1" s="1"/>
  <c r="K542" i="1"/>
  <c r="K541" i="1"/>
  <c r="K540" i="1"/>
  <c r="K539" i="1"/>
  <c r="K493" i="1"/>
  <c r="N493" i="1" s="1"/>
  <c r="P493" i="1" s="1"/>
  <c r="K537" i="1"/>
  <c r="N537" i="1" s="1"/>
  <c r="P537" i="1" s="1"/>
  <c r="P109" i="11" s="1"/>
  <c r="K536" i="1"/>
  <c r="N536" i="1" s="1"/>
  <c r="P536" i="1" s="1"/>
  <c r="P81" i="11" s="1"/>
  <c r="K491" i="1"/>
  <c r="K535" i="1"/>
  <c r="K534" i="1"/>
  <c r="K533" i="1"/>
  <c r="K532" i="1"/>
  <c r="K531" i="1"/>
  <c r="K530" i="1"/>
  <c r="T530" i="1" s="1"/>
  <c r="T83" i="9" s="1"/>
  <c r="K529" i="1"/>
  <c r="K528" i="1"/>
  <c r="K527" i="1"/>
  <c r="N527" i="1" s="1"/>
  <c r="P527" i="1" s="1"/>
  <c r="P11" i="9" s="1"/>
  <c r="K526" i="1"/>
  <c r="K525" i="1"/>
  <c r="N525" i="1" s="1"/>
  <c r="K524" i="1"/>
  <c r="K523" i="1"/>
  <c r="N523" i="1" s="1"/>
  <c r="P523" i="1" s="1"/>
  <c r="P67" i="8" s="1"/>
  <c r="K522" i="1"/>
  <c r="N522" i="1" s="1"/>
  <c r="P522" i="1" s="1"/>
  <c r="P53" i="8" s="1"/>
  <c r="K521" i="1"/>
  <c r="K520" i="1"/>
  <c r="K519" i="1"/>
  <c r="T519" i="1" s="1"/>
  <c r="T84" i="7" s="1"/>
  <c r="K518" i="1"/>
  <c r="N518" i="1" s="1"/>
  <c r="P518" i="1" s="1"/>
  <c r="K517" i="1"/>
  <c r="K495" i="1"/>
  <c r="R495" i="1" s="1"/>
  <c r="K516" i="1"/>
  <c r="K515" i="1"/>
  <c r="R515" i="1" s="1"/>
  <c r="K514" i="1"/>
  <c r="N514" i="1" s="1"/>
  <c r="P514" i="1" s="1"/>
  <c r="P112" i="6" s="1"/>
  <c r="K513" i="1"/>
  <c r="K512" i="1"/>
  <c r="K511" i="1"/>
  <c r="K510" i="1"/>
  <c r="K509" i="1"/>
  <c r="R509" i="1" s="1"/>
  <c r="K508" i="1"/>
  <c r="K507" i="1"/>
  <c r="K506" i="1"/>
  <c r="K505" i="1"/>
  <c r="K504" i="1"/>
  <c r="K503" i="1"/>
  <c r="R503" i="1" s="1"/>
  <c r="K502" i="1"/>
  <c r="N502" i="1" s="1"/>
  <c r="N39" i="3" s="1"/>
  <c r="K501" i="1"/>
  <c r="K492" i="1"/>
  <c r="K500" i="1"/>
  <c r="T500" i="1" s="1"/>
  <c r="T25" i="3" s="1"/>
  <c r="K499" i="1"/>
  <c r="K494" i="1"/>
  <c r="K498" i="1"/>
  <c r="K497" i="1"/>
  <c r="R497" i="1" s="1"/>
  <c r="K496" i="1"/>
  <c r="K490" i="1"/>
  <c r="N490" i="1" s="1"/>
  <c r="K489" i="1"/>
  <c r="R489" i="1" s="1"/>
  <c r="K488" i="1"/>
  <c r="N488" i="1" s="1"/>
  <c r="K487" i="1"/>
  <c r="K486" i="1"/>
  <c r="K485" i="1"/>
  <c r="K484" i="1"/>
  <c r="K438" i="1"/>
  <c r="K482" i="1"/>
  <c r="N482" i="1" s="1"/>
  <c r="P482" i="1" s="1"/>
  <c r="P94" i="11" s="1"/>
  <c r="K481" i="1"/>
  <c r="N481" i="1" s="1"/>
  <c r="P481" i="1" s="1"/>
  <c r="K480" i="1"/>
  <c r="K479" i="1"/>
  <c r="R479" i="1" s="1"/>
  <c r="K478" i="1"/>
  <c r="K477" i="1"/>
  <c r="K476" i="1"/>
  <c r="K475" i="1"/>
  <c r="K474" i="1"/>
  <c r="K473" i="1"/>
  <c r="K154" i="9" s="1"/>
  <c r="K472" i="1"/>
  <c r="R472" i="1" s="1"/>
  <c r="K471" i="1"/>
  <c r="R471" i="1" s="1"/>
  <c r="K470" i="1"/>
  <c r="N470" i="1" s="1"/>
  <c r="P470" i="1" s="1"/>
  <c r="P80" i="8" s="1"/>
  <c r="K469" i="1"/>
  <c r="K468" i="1"/>
  <c r="K467" i="1"/>
  <c r="R467" i="1" s="1"/>
  <c r="K466" i="1"/>
  <c r="N466" i="1" s="1"/>
  <c r="P466" i="1" s="1"/>
  <c r="P94" i="10" s="1"/>
  <c r="K465" i="1"/>
  <c r="K464" i="1"/>
  <c r="K462" i="1"/>
  <c r="K460" i="1"/>
  <c r="R460" i="1" s="1"/>
  <c r="K459" i="1"/>
  <c r="K458" i="1"/>
  <c r="K442" i="1"/>
  <c r="K457" i="1"/>
  <c r="K440" i="1"/>
  <c r="N440" i="1" s="1"/>
  <c r="K456" i="1"/>
  <c r="K455" i="1"/>
  <c r="K454" i="1"/>
  <c r="K453" i="1"/>
  <c r="K452" i="1"/>
  <c r="N452" i="1" s="1"/>
  <c r="K451" i="1"/>
  <c r="T451" i="1" s="1"/>
  <c r="T153" i="4" s="1"/>
  <c r="K450" i="1"/>
  <c r="R450" i="1" s="1"/>
  <c r="K449" i="1"/>
  <c r="K448" i="1"/>
  <c r="R448" i="1" s="1"/>
  <c r="K447" i="1"/>
  <c r="K446" i="1"/>
  <c r="R446" i="1" s="1"/>
  <c r="K445" i="1"/>
  <c r="R445" i="1" s="1"/>
  <c r="K439" i="1"/>
  <c r="T439" i="1" s="1"/>
  <c r="K441" i="1"/>
  <c r="K443" i="1"/>
  <c r="K437" i="1"/>
  <c r="R437" i="1" s="1"/>
  <c r="K435" i="1"/>
  <c r="K434" i="1"/>
  <c r="K433" i="1"/>
  <c r="K432" i="1"/>
  <c r="K431" i="1"/>
  <c r="K430" i="1"/>
  <c r="K429" i="1"/>
  <c r="K428" i="1"/>
  <c r="K427" i="1"/>
  <c r="R427" i="1" s="1"/>
  <c r="K426" i="1"/>
  <c r="K425" i="1"/>
  <c r="N425" i="1" s="1"/>
  <c r="P425" i="1" s="1"/>
  <c r="P135" i="10" s="1"/>
  <c r="K424" i="1"/>
  <c r="K423" i="1"/>
  <c r="K422" i="1"/>
  <c r="K421" i="1"/>
  <c r="R421" i="1" s="1"/>
  <c r="K420" i="1"/>
  <c r="N420" i="1" s="1"/>
  <c r="N9" i="9" s="1"/>
  <c r="K385" i="1"/>
  <c r="K419" i="1"/>
  <c r="K418" i="1"/>
  <c r="K384" i="1"/>
  <c r="K417" i="1"/>
  <c r="K416" i="1"/>
  <c r="K415" i="1"/>
  <c r="R415" i="1" s="1"/>
  <c r="K414" i="1"/>
  <c r="K413" i="1"/>
  <c r="K412" i="1"/>
  <c r="K411" i="1"/>
  <c r="K410" i="1"/>
  <c r="R410" i="1" s="1"/>
  <c r="K409" i="1"/>
  <c r="K408" i="1"/>
  <c r="K407" i="1"/>
  <c r="K406" i="1"/>
  <c r="R406" i="1" s="1"/>
  <c r="K405" i="1"/>
  <c r="R405" i="1" s="1"/>
  <c r="K404" i="1"/>
  <c r="R404" i="1" s="1"/>
  <c r="K403" i="1"/>
  <c r="K402" i="1"/>
  <c r="K401" i="1"/>
  <c r="K383" i="1"/>
  <c r="K400" i="1"/>
  <c r="R400" i="1" s="1"/>
  <c r="K399" i="1"/>
  <c r="K398" i="1"/>
  <c r="N398" i="1" s="1"/>
  <c r="P398" i="1" s="1"/>
  <c r="P166" i="4" s="1"/>
  <c r="K397" i="1"/>
  <c r="K396" i="1"/>
  <c r="K395" i="1"/>
  <c r="R395" i="1" s="1"/>
  <c r="K394" i="1"/>
  <c r="K393" i="1"/>
  <c r="R393" i="1" s="1"/>
  <c r="K392" i="1"/>
  <c r="K391" i="1"/>
  <c r="N391" i="1" s="1"/>
  <c r="P391" i="1" s="1"/>
  <c r="P110" i="3" s="1"/>
  <c r="K390" i="1"/>
  <c r="K389" i="1"/>
  <c r="T389" i="1" s="1"/>
  <c r="T9" i="3" s="1"/>
  <c r="K388" i="1"/>
  <c r="R388" i="1" s="1"/>
  <c r="K387" i="1"/>
  <c r="K382" i="1"/>
  <c r="N382" i="1" s="1"/>
  <c r="P382" i="1" s="1"/>
  <c r="P65" i="2" s="1"/>
  <c r="K386" i="1"/>
  <c r="S148" i="12"/>
  <c r="K380" i="1"/>
  <c r="R380" i="1" s="1"/>
  <c r="K436" i="1"/>
  <c r="R378" i="1"/>
  <c r="R376" i="1"/>
  <c r="R375" i="1"/>
  <c r="S78" i="11"/>
  <c r="R371" i="1"/>
  <c r="R370" i="1"/>
  <c r="R369" i="1"/>
  <c r="S8" i="11"/>
  <c r="R366" i="1"/>
  <c r="R361" i="1"/>
  <c r="S162" i="8"/>
  <c r="R353" i="1"/>
  <c r="R320" i="1"/>
  <c r="R339" i="1"/>
  <c r="R336" i="1"/>
  <c r="K317" i="1"/>
  <c r="K316" i="1"/>
  <c r="R316" i="1" s="1"/>
  <c r="K315" i="1"/>
  <c r="K35" i="8" s="1"/>
  <c r="K314" i="1"/>
  <c r="K313" i="1"/>
  <c r="K312" i="1"/>
  <c r="K311" i="1"/>
  <c r="K310" i="1"/>
  <c r="K309" i="1"/>
  <c r="K308" i="1"/>
  <c r="R308" i="1" s="1"/>
  <c r="K307" i="1"/>
  <c r="R307" i="1" s="1"/>
  <c r="K306" i="1"/>
  <c r="R306" i="1" s="1"/>
  <c r="K304" i="1"/>
  <c r="R304" i="1" s="1"/>
  <c r="K303" i="1"/>
  <c r="K254" i="1"/>
  <c r="K302" i="1"/>
  <c r="R302" i="1" s="1"/>
  <c r="K301" i="1"/>
  <c r="K300" i="1"/>
  <c r="T300" i="1" s="1"/>
  <c r="T161" i="10" s="1"/>
  <c r="K299" i="1"/>
  <c r="R299" i="1" s="1"/>
  <c r="K298" i="1"/>
  <c r="K297" i="1"/>
  <c r="R297" i="1" s="1"/>
  <c r="K296" i="1"/>
  <c r="K295" i="1"/>
  <c r="R295" i="1" s="1"/>
  <c r="R294" i="1"/>
  <c r="K293" i="1"/>
  <c r="R293" i="1" s="1"/>
  <c r="K292" i="1"/>
  <c r="K257" i="1"/>
  <c r="S133" i="8"/>
  <c r="K289" i="1"/>
  <c r="K288" i="1"/>
  <c r="K287" i="1"/>
  <c r="R287" i="1" s="1"/>
  <c r="K286" i="1"/>
  <c r="R286" i="1" s="1"/>
  <c r="K285" i="1"/>
  <c r="K256" i="1"/>
  <c r="R256" i="1" s="1"/>
  <c r="K283" i="1"/>
  <c r="R283" i="1" s="1"/>
  <c r="K282" i="1"/>
  <c r="R282" i="1" s="1"/>
  <c r="K281" i="1"/>
  <c r="R281" i="1" s="1"/>
  <c r="K280" i="1"/>
  <c r="K279" i="1"/>
  <c r="K278" i="1"/>
  <c r="R278" i="1" s="1"/>
  <c r="K277" i="1"/>
  <c r="R277" i="1" s="1"/>
  <c r="K276" i="1"/>
  <c r="R276" i="1" s="1"/>
  <c r="K275" i="1"/>
  <c r="R275" i="1" s="1"/>
  <c r="K274" i="1"/>
  <c r="K273" i="1"/>
  <c r="K272" i="1"/>
  <c r="R272" i="1" s="1"/>
  <c r="K252" i="1"/>
  <c r="R252" i="1" s="1"/>
  <c r="K255" i="1"/>
  <c r="K270" i="1"/>
  <c r="K269" i="1"/>
  <c r="K268" i="1"/>
  <c r="K267" i="1"/>
  <c r="K266" i="1"/>
  <c r="K265" i="1"/>
  <c r="K134" i="2" s="1"/>
  <c r="K264" i="1"/>
  <c r="K263" i="1"/>
  <c r="T263" i="1" s="1"/>
  <c r="T92" i="2" s="1"/>
  <c r="K262" i="1"/>
  <c r="R262" i="1" s="1"/>
  <c r="K261" i="1"/>
  <c r="R261" i="1" s="1"/>
  <c r="K260" i="1"/>
  <c r="R260" i="1" s="1"/>
  <c r="K259" i="1"/>
  <c r="K258" i="1"/>
  <c r="K251" i="1"/>
  <c r="K250" i="1"/>
  <c r="K249" i="1"/>
  <c r="S132" i="12"/>
  <c r="K247" i="1"/>
  <c r="K245" i="1"/>
  <c r="K244" i="1"/>
  <c r="S20" i="12"/>
  <c r="K242" i="1"/>
  <c r="S118" i="11"/>
  <c r="K239" i="1"/>
  <c r="K238" i="1"/>
  <c r="K237" i="1"/>
  <c r="K236" i="1"/>
  <c r="K234" i="1"/>
  <c r="K233" i="1"/>
  <c r="S76" i="10"/>
  <c r="K231" i="1"/>
  <c r="K230" i="1"/>
  <c r="K181" i="1"/>
  <c r="K228" i="1"/>
  <c r="K227" i="1"/>
  <c r="S63" i="9"/>
  <c r="K224" i="1"/>
  <c r="K223" i="1"/>
  <c r="S62" i="8"/>
  <c r="K220" i="1"/>
  <c r="K76" i="11" s="1"/>
  <c r="K218" i="1"/>
  <c r="S64" i="7"/>
  <c r="K215" i="1"/>
  <c r="K214" i="1"/>
  <c r="K212" i="1"/>
  <c r="K210" i="1"/>
  <c r="K208" i="1"/>
  <c r="K207" i="1"/>
  <c r="K206" i="1"/>
  <c r="K204" i="1"/>
  <c r="K202" i="1"/>
  <c r="K201" i="1"/>
  <c r="K200" i="1"/>
  <c r="K199" i="1"/>
  <c r="K198" i="1"/>
  <c r="K197" i="1"/>
  <c r="K196" i="1"/>
  <c r="K194" i="1"/>
  <c r="K193" i="1"/>
  <c r="K192" i="1"/>
  <c r="K180" i="1"/>
  <c r="K191" i="1"/>
  <c r="S34" i="3"/>
  <c r="K189" i="1"/>
  <c r="S147" i="2"/>
  <c r="K186" i="1"/>
  <c r="K185" i="1"/>
  <c r="K184" i="1"/>
  <c r="K182" i="1"/>
  <c r="K179" i="1"/>
  <c r="R179" i="1" s="1"/>
  <c r="K178" i="1"/>
  <c r="T178" i="1" s="1"/>
  <c r="T5" i="11" s="1"/>
  <c r="K177" i="1"/>
  <c r="K173" i="1"/>
  <c r="K172" i="1"/>
  <c r="T172" i="1" s="1"/>
  <c r="K171" i="1"/>
  <c r="K19" i="12" s="1"/>
  <c r="S187" i="11"/>
  <c r="K169" i="1"/>
  <c r="K167" i="1"/>
  <c r="K166" i="1"/>
  <c r="R166" i="1" s="1"/>
  <c r="S33" i="11"/>
  <c r="K161" i="1"/>
  <c r="R161" i="1" s="1"/>
  <c r="T161" i="1" s="1"/>
  <c r="K159" i="1"/>
  <c r="R159" i="1" s="1"/>
  <c r="S105" i="9"/>
  <c r="K155" i="1"/>
  <c r="T155" i="1" s="1"/>
  <c r="T91" i="9" s="1"/>
  <c r="K153" i="1"/>
  <c r="R153" i="1" s="1"/>
  <c r="K152" i="1"/>
  <c r="K151" i="1"/>
  <c r="K150" i="1"/>
  <c r="K148" i="1"/>
  <c r="R148" i="1" s="1"/>
  <c r="R145" i="1"/>
  <c r="K144" i="1"/>
  <c r="R144" i="1" s="1"/>
  <c r="K143" i="1"/>
  <c r="K142" i="1"/>
  <c r="K141" i="1"/>
  <c r="K140" i="1"/>
  <c r="R140" i="1" s="1"/>
  <c r="R5" i="7" s="1"/>
  <c r="K139" i="1"/>
  <c r="K138" i="1"/>
  <c r="R138" i="1" s="1"/>
  <c r="K133" i="1"/>
  <c r="R133" i="1" s="1"/>
  <c r="K132" i="1"/>
  <c r="K131" i="1"/>
  <c r="K129" i="1"/>
  <c r="R129" i="1" s="1"/>
  <c r="K128" i="1"/>
  <c r="R128" i="1" s="1"/>
  <c r="K127" i="1"/>
  <c r="K126" i="1"/>
  <c r="T126" i="1" s="1"/>
  <c r="S176" i="4"/>
  <c r="K123" i="1"/>
  <c r="K122" i="1"/>
  <c r="K121" i="1"/>
  <c r="K120" i="1"/>
  <c r="K118" i="1"/>
  <c r="K117" i="1"/>
  <c r="K116" i="1"/>
  <c r="K114" i="1"/>
  <c r="K113" i="1"/>
  <c r="K176" i="3" s="1"/>
  <c r="K112" i="1"/>
  <c r="K134" i="3" s="1"/>
  <c r="S120" i="3"/>
  <c r="K110" i="1"/>
  <c r="R110" i="1" s="1"/>
  <c r="K107" i="1"/>
  <c r="T107" i="1" s="1"/>
  <c r="T117" i="8" s="1"/>
  <c r="S104" i="2"/>
  <c r="S90" i="2"/>
  <c r="K102" i="1"/>
  <c r="K101" i="1"/>
  <c r="K103" i="11" s="1"/>
  <c r="S19" i="2"/>
  <c r="K99" i="1"/>
  <c r="R99" i="1" s="1"/>
  <c r="S172" i="12"/>
  <c r="K19" i="1"/>
  <c r="K87" i="1"/>
  <c r="K144" i="12" s="1"/>
  <c r="K21" i="1"/>
  <c r="K86" i="1"/>
  <c r="K63" i="1"/>
  <c r="K102" i="12" s="1"/>
  <c r="K78" i="1"/>
  <c r="K74" i="12" s="1"/>
  <c r="K76" i="1"/>
  <c r="S32" i="12"/>
  <c r="K60" i="1"/>
  <c r="K84" i="1"/>
  <c r="K4" i="12" s="1"/>
  <c r="K74" i="1"/>
  <c r="K25" i="1"/>
  <c r="S74" i="11"/>
  <c r="K70" i="1"/>
  <c r="K73" i="1"/>
  <c r="K37" i="1"/>
  <c r="K105" i="3" s="1"/>
  <c r="K43" i="1"/>
  <c r="S88" i="10"/>
  <c r="K69" i="1"/>
  <c r="K91" i="1"/>
  <c r="K56" i="1"/>
  <c r="K60" i="12" s="1"/>
  <c r="K31" i="1"/>
  <c r="K51" i="1"/>
  <c r="S118" i="9"/>
  <c r="K48" i="1"/>
  <c r="K65" i="1"/>
  <c r="K76" i="9" s="1"/>
  <c r="K93" i="1"/>
  <c r="K149" i="6" s="1"/>
  <c r="K68" i="1"/>
  <c r="K130" i="8" s="1"/>
  <c r="S116" i="8"/>
  <c r="S34" i="7"/>
  <c r="K45" i="1"/>
  <c r="S105" i="6"/>
  <c r="K82" i="1"/>
  <c r="S116" i="5"/>
  <c r="K90" i="1"/>
  <c r="K186" i="11" s="1"/>
  <c r="K18" i="1"/>
  <c r="K44" i="1"/>
  <c r="S18" i="5"/>
  <c r="S189" i="4"/>
  <c r="K20" i="1"/>
  <c r="K80" i="1"/>
  <c r="K91" i="7" s="1"/>
  <c r="S104" i="4"/>
  <c r="K22" i="1"/>
  <c r="K23" i="1"/>
  <c r="K158" i="8" s="1"/>
  <c r="K34" i="1"/>
  <c r="S33" i="4"/>
  <c r="K29" i="1"/>
  <c r="R29" i="1" s="1"/>
  <c r="S161" i="3"/>
  <c r="K89" i="1"/>
  <c r="K16" i="1"/>
  <c r="S89" i="3"/>
  <c r="K95" i="1"/>
  <c r="K94" i="1"/>
  <c r="K26" i="1"/>
  <c r="K32" i="3" s="1"/>
  <c r="K33" i="1"/>
  <c r="K71" i="1"/>
  <c r="K61" i="1"/>
  <c r="K32" i="1"/>
  <c r="K14" i="1"/>
  <c r="K33" i="7" s="1"/>
  <c r="K12" i="1"/>
  <c r="K186" i="12" s="1"/>
  <c r="K11" i="1"/>
  <c r="K75" i="9" s="1"/>
  <c r="K9" i="1"/>
  <c r="K8" i="1"/>
  <c r="K7" i="1"/>
  <c r="K6" i="1"/>
  <c r="K161" i="9" s="1"/>
  <c r="T199" i="12"/>
  <c r="Q199" i="12"/>
  <c r="O199" i="12"/>
  <c r="N199" i="12"/>
  <c r="M199" i="12"/>
  <c r="L199" i="12"/>
  <c r="J199" i="12"/>
  <c r="H199" i="12"/>
  <c r="F199" i="12"/>
  <c r="E199" i="12"/>
  <c r="D199" i="12"/>
  <c r="C199" i="12"/>
  <c r="B199" i="12"/>
  <c r="A199" i="12"/>
  <c r="U198" i="12"/>
  <c r="T198" i="12"/>
  <c r="Q198" i="12"/>
  <c r="O198" i="12"/>
  <c r="N198" i="12"/>
  <c r="M198" i="12"/>
  <c r="L198" i="12"/>
  <c r="J198" i="12"/>
  <c r="H198" i="12"/>
  <c r="F198" i="12"/>
  <c r="E198" i="12"/>
  <c r="D198" i="12"/>
  <c r="C198" i="12"/>
  <c r="B198" i="12"/>
  <c r="A198" i="12"/>
  <c r="Q197" i="12"/>
  <c r="O197" i="12"/>
  <c r="N197" i="12"/>
  <c r="M197" i="12"/>
  <c r="L197" i="12"/>
  <c r="J197" i="12"/>
  <c r="H197" i="12"/>
  <c r="F197" i="12"/>
  <c r="E197" i="12"/>
  <c r="D197" i="12"/>
  <c r="C197" i="12"/>
  <c r="B197" i="12"/>
  <c r="A197" i="12"/>
  <c r="T196" i="12"/>
  <c r="Q196" i="12"/>
  <c r="O196" i="12"/>
  <c r="N196" i="12"/>
  <c r="M196" i="12"/>
  <c r="L196" i="12"/>
  <c r="J196" i="12"/>
  <c r="H196" i="12"/>
  <c r="F196" i="12"/>
  <c r="E196" i="12"/>
  <c r="D196" i="12"/>
  <c r="C196" i="12"/>
  <c r="B196" i="12"/>
  <c r="A196" i="12"/>
  <c r="U195" i="12"/>
  <c r="T195" i="12"/>
  <c r="Q195" i="12"/>
  <c r="P195" i="12"/>
  <c r="O195" i="12"/>
  <c r="N195" i="12"/>
  <c r="M195" i="12"/>
  <c r="L195" i="12"/>
  <c r="J195" i="12"/>
  <c r="H195" i="12"/>
  <c r="F195" i="12"/>
  <c r="E195" i="12"/>
  <c r="D195" i="12"/>
  <c r="C195" i="12"/>
  <c r="B195" i="12"/>
  <c r="A195" i="12"/>
  <c r="T194" i="12"/>
  <c r="Q194" i="12"/>
  <c r="O194" i="12"/>
  <c r="N194" i="12"/>
  <c r="M194" i="12"/>
  <c r="L194" i="12"/>
  <c r="J194" i="12"/>
  <c r="H194" i="12"/>
  <c r="F194" i="12"/>
  <c r="E194" i="12"/>
  <c r="D194" i="12"/>
  <c r="C194" i="12"/>
  <c r="B194" i="12"/>
  <c r="A194" i="12"/>
  <c r="Q193" i="12"/>
  <c r="O193" i="12"/>
  <c r="N193" i="12"/>
  <c r="M193" i="12"/>
  <c r="L193" i="12"/>
  <c r="J193" i="12"/>
  <c r="H193" i="12"/>
  <c r="F193" i="12"/>
  <c r="E193" i="12"/>
  <c r="D193" i="12"/>
  <c r="C193" i="12"/>
  <c r="B193" i="12"/>
  <c r="A193" i="12"/>
  <c r="T192" i="12"/>
  <c r="Q192" i="12"/>
  <c r="O192" i="12"/>
  <c r="N192" i="12"/>
  <c r="M192" i="12"/>
  <c r="L192" i="12"/>
  <c r="J192" i="12"/>
  <c r="H192" i="12"/>
  <c r="F192" i="12"/>
  <c r="E192" i="12"/>
  <c r="D192" i="12"/>
  <c r="C192" i="12"/>
  <c r="B192" i="12"/>
  <c r="A192" i="12"/>
  <c r="U191" i="12"/>
  <c r="T191" i="12"/>
  <c r="S191" i="12"/>
  <c r="R191" i="12"/>
  <c r="Q191" i="12"/>
  <c r="O191" i="12"/>
  <c r="N191" i="12"/>
  <c r="M191" i="12"/>
  <c r="L191" i="12"/>
  <c r="K191" i="12"/>
  <c r="J191" i="12"/>
  <c r="H191" i="12"/>
  <c r="F191" i="12"/>
  <c r="E191" i="12"/>
  <c r="D191" i="12"/>
  <c r="C191" i="12"/>
  <c r="B191" i="12"/>
  <c r="A191" i="12"/>
  <c r="T190" i="12"/>
  <c r="Q190" i="12"/>
  <c r="O190" i="12"/>
  <c r="N190" i="12"/>
  <c r="M190" i="12"/>
  <c r="L190" i="12"/>
  <c r="J190" i="12"/>
  <c r="H190" i="12"/>
  <c r="F190" i="12"/>
  <c r="E190" i="12"/>
  <c r="D190" i="12"/>
  <c r="C190" i="12"/>
  <c r="B190" i="12"/>
  <c r="A190" i="12"/>
  <c r="Q189" i="12"/>
  <c r="O189" i="12"/>
  <c r="N189" i="12"/>
  <c r="M189" i="12"/>
  <c r="L189" i="12"/>
  <c r="J189" i="12"/>
  <c r="H189" i="12"/>
  <c r="F189" i="12"/>
  <c r="E189" i="12"/>
  <c r="D189" i="12"/>
  <c r="C189" i="12"/>
  <c r="B189" i="12"/>
  <c r="A189" i="12"/>
  <c r="T188" i="12"/>
  <c r="Q188" i="12"/>
  <c r="O188" i="12"/>
  <c r="N188" i="12"/>
  <c r="M188" i="12"/>
  <c r="L188" i="12"/>
  <c r="J188" i="12"/>
  <c r="H188" i="12"/>
  <c r="F188" i="12"/>
  <c r="E188" i="12"/>
  <c r="D188" i="12"/>
  <c r="C188" i="12"/>
  <c r="B188" i="12"/>
  <c r="A188" i="12"/>
  <c r="U187" i="12"/>
  <c r="T187" i="12"/>
  <c r="Q187" i="12"/>
  <c r="O187" i="12"/>
  <c r="N187" i="12"/>
  <c r="M187" i="12"/>
  <c r="L187" i="12"/>
  <c r="J187" i="12"/>
  <c r="H187" i="12"/>
  <c r="F185" i="12" s="1"/>
  <c r="F187" i="12"/>
  <c r="E187" i="12"/>
  <c r="D187" i="12"/>
  <c r="C187" i="12"/>
  <c r="B187" i="12"/>
  <c r="A187" i="12"/>
  <c r="Q184" i="12"/>
  <c r="O184" i="12"/>
  <c r="N184" i="12"/>
  <c r="M184" i="12"/>
  <c r="L184" i="12"/>
  <c r="J184" i="12"/>
  <c r="H184" i="12"/>
  <c r="F184" i="12"/>
  <c r="E184" i="12"/>
  <c r="D184" i="12"/>
  <c r="C184" i="12"/>
  <c r="B184" i="12"/>
  <c r="A184" i="12"/>
  <c r="U183" i="12"/>
  <c r="T183" i="12"/>
  <c r="Q183" i="12"/>
  <c r="O183" i="12"/>
  <c r="N183" i="12"/>
  <c r="M183" i="12"/>
  <c r="L183" i="12"/>
  <c r="J183" i="12"/>
  <c r="H183" i="12"/>
  <c r="F183" i="12"/>
  <c r="E183" i="12"/>
  <c r="D183" i="12"/>
  <c r="C183" i="12"/>
  <c r="B183" i="12"/>
  <c r="A183" i="12"/>
  <c r="T182" i="12"/>
  <c r="Q182" i="12"/>
  <c r="O182" i="12"/>
  <c r="N182" i="12"/>
  <c r="M182" i="12"/>
  <c r="L182" i="12"/>
  <c r="J182" i="12"/>
  <c r="H182" i="12"/>
  <c r="F182" i="12"/>
  <c r="E182" i="12"/>
  <c r="D182" i="12"/>
  <c r="C182" i="12"/>
  <c r="B182" i="12"/>
  <c r="A182" i="12"/>
  <c r="Q181" i="12"/>
  <c r="O181" i="12"/>
  <c r="M181" i="12"/>
  <c r="L181" i="12"/>
  <c r="J181" i="12"/>
  <c r="H181" i="12"/>
  <c r="F181" i="12"/>
  <c r="E181" i="12"/>
  <c r="D181" i="12"/>
  <c r="C181" i="12"/>
  <c r="B181" i="12"/>
  <c r="A181" i="12"/>
  <c r="Q180" i="12"/>
  <c r="O180" i="12"/>
  <c r="N180" i="12"/>
  <c r="M180" i="12"/>
  <c r="L180" i="12"/>
  <c r="J180" i="12"/>
  <c r="H180" i="12"/>
  <c r="F180" i="12"/>
  <c r="E180" i="12"/>
  <c r="D180" i="12"/>
  <c r="C180" i="12"/>
  <c r="B180" i="12"/>
  <c r="A180" i="12"/>
  <c r="Q179" i="12"/>
  <c r="O179" i="12"/>
  <c r="M179" i="12"/>
  <c r="L179" i="12"/>
  <c r="J179" i="12"/>
  <c r="H179" i="12"/>
  <c r="F179" i="12"/>
  <c r="E179" i="12"/>
  <c r="D179" i="12"/>
  <c r="C179" i="12"/>
  <c r="B179" i="12"/>
  <c r="A179" i="12"/>
  <c r="U178" i="12"/>
  <c r="T178" i="12"/>
  <c r="S178" i="12"/>
  <c r="R178" i="12"/>
  <c r="Q178" i="12"/>
  <c r="P178" i="12"/>
  <c r="O178" i="12"/>
  <c r="N178" i="12"/>
  <c r="M178" i="12"/>
  <c r="L178" i="12"/>
  <c r="K178" i="12"/>
  <c r="J178" i="12"/>
  <c r="H178" i="12"/>
  <c r="F178" i="12"/>
  <c r="E178" i="12"/>
  <c r="D178" i="12"/>
  <c r="C178" i="12"/>
  <c r="B178" i="12"/>
  <c r="A178" i="12"/>
  <c r="Q177" i="12"/>
  <c r="O177" i="12"/>
  <c r="N177" i="12"/>
  <c r="M177" i="12"/>
  <c r="L177" i="12"/>
  <c r="J177" i="12"/>
  <c r="H177" i="12"/>
  <c r="F177" i="12"/>
  <c r="E177" i="12"/>
  <c r="D177" i="12"/>
  <c r="C177" i="12"/>
  <c r="B177" i="12"/>
  <c r="A177" i="12"/>
  <c r="T176" i="12"/>
  <c r="Q176" i="12"/>
  <c r="O176" i="12"/>
  <c r="N176" i="12"/>
  <c r="M176" i="12"/>
  <c r="L176" i="12"/>
  <c r="J176" i="12"/>
  <c r="H176" i="12"/>
  <c r="F176" i="12"/>
  <c r="E176" i="12"/>
  <c r="D176" i="12"/>
  <c r="C176" i="12"/>
  <c r="B176" i="12"/>
  <c r="A176" i="12"/>
  <c r="Q175" i="12"/>
  <c r="O175" i="12"/>
  <c r="N175" i="12"/>
  <c r="M175" i="12"/>
  <c r="L175" i="12"/>
  <c r="J175" i="12"/>
  <c r="H175" i="12"/>
  <c r="F175" i="12"/>
  <c r="E175" i="12"/>
  <c r="D175" i="12"/>
  <c r="C175" i="12"/>
  <c r="B175" i="12"/>
  <c r="A175" i="12"/>
  <c r="T174" i="12"/>
  <c r="Q174" i="12"/>
  <c r="O174" i="12"/>
  <c r="N174" i="12"/>
  <c r="M174" i="12"/>
  <c r="J174" i="12"/>
  <c r="H174" i="12"/>
  <c r="F174" i="12"/>
  <c r="E174" i="12"/>
  <c r="D174" i="12"/>
  <c r="C174" i="12"/>
  <c r="B174" i="12"/>
  <c r="A174" i="12"/>
  <c r="Q173" i="12"/>
  <c r="O173" i="12"/>
  <c r="N173" i="12"/>
  <c r="M173" i="12"/>
  <c r="L173" i="12"/>
  <c r="J173" i="12"/>
  <c r="H173" i="12"/>
  <c r="F173" i="12"/>
  <c r="E173" i="12"/>
  <c r="D173" i="12"/>
  <c r="C173" i="12"/>
  <c r="B173" i="12"/>
  <c r="A173" i="12"/>
  <c r="U172" i="12"/>
  <c r="T172" i="12"/>
  <c r="Q172" i="12"/>
  <c r="O172" i="12"/>
  <c r="N172" i="12"/>
  <c r="M172" i="12"/>
  <c r="L172" i="12"/>
  <c r="J172" i="12"/>
  <c r="H172" i="12"/>
  <c r="F171" i="12" s="1"/>
  <c r="F172" i="12"/>
  <c r="E172" i="12"/>
  <c r="D172" i="12"/>
  <c r="C172" i="12"/>
  <c r="B172" i="12"/>
  <c r="A172" i="12"/>
  <c r="T170" i="12"/>
  <c r="Q170" i="12"/>
  <c r="O170" i="12"/>
  <c r="N170" i="12"/>
  <c r="M170" i="12"/>
  <c r="L170" i="12"/>
  <c r="J170" i="12"/>
  <c r="H170" i="12"/>
  <c r="F170" i="12"/>
  <c r="E170" i="12"/>
  <c r="D170" i="12"/>
  <c r="C170" i="12"/>
  <c r="B170" i="12"/>
  <c r="A170" i="12"/>
  <c r="T169" i="12"/>
  <c r="Q169" i="12"/>
  <c r="O169" i="12"/>
  <c r="N169" i="12"/>
  <c r="M169" i="12"/>
  <c r="L169" i="12"/>
  <c r="J169" i="12"/>
  <c r="H169" i="12"/>
  <c r="F169" i="12"/>
  <c r="E169" i="12"/>
  <c r="D169" i="12"/>
  <c r="C169" i="12"/>
  <c r="B169" i="12"/>
  <c r="A169" i="12"/>
  <c r="Q168" i="12"/>
  <c r="O168" i="12"/>
  <c r="N168" i="12"/>
  <c r="M168" i="12"/>
  <c r="L168" i="12"/>
  <c r="J168" i="12"/>
  <c r="H168" i="12"/>
  <c r="F168" i="12"/>
  <c r="E168" i="12"/>
  <c r="D168" i="12"/>
  <c r="C168" i="12"/>
  <c r="B168" i="12"/>
  <c r="A168" i="12"/>
  <c r="Q167" i="12"/>
  <c r="O167" i="12"/>
  <c r="N167" i="12"/>
  <c r="M167" i="12"/>
  <c r="L167" i="12"/>
  <c r="J167" i="12"/>
  <c r="H167" i="12"/>
  <c r="F167" i="12"/>
  <c r="E167" i="12"/>
  <c r="D167" i="12"/>
  <c r="C167" i="12"/>
  <c r="B167" i="12"/>
  <c r="A167" i="12"/>
  <c r="Q166" i="12"/>
  <c r="O166" i="12"/>
  <c r="N166" i="12"/>
  <c r="M166" i="12"/>
  <c r="L166" i="12"/>
  <c r="J166" i="12"/>
  <c r="H166" i="12"/>
  <c r="F166" i="12"/>
  <c r="E166" i="12"/>
  <c r="D166" i="12"/>
  <c r="C166" i="12"/>
  <c r="B166" i="12"/>
  <c r="A166" i="12"/>
  <c r="U165" i="12"/>
  <c r="T165" i="12"/>
  <c r="Q165" i="12"/>
  <c r="O165" i="12"/>
  <c r="N165" i="12"/>
  <c r="M165" i="12"/>
  <c r="L165" i="12"/>
  <c r="J165" i="12"/>
  <c r="H165" i="12"/>
  <c r="F165" i="12"/>
  <c r="E165" i="12"/>
  <c r="D165" i="12"/>
  <c r="C165" i="12"/>
  <c r="B165" i="12"/>
  <c r="A165" i="12"/>
  <c r="Q164" i="12"/>
  <c r="O164" i="12"/>
  <c r="M164" i="12"/>
  <c r="L164" i="12"/>
  <c r="J164" i="12"/>
  <c r="H164" i="12"/>
  <c r="F164" i="12"/>
  <c r="E164" i="12"/>
  <c r="D164" i="12"/>
  <c r="C164" i="12"/>
  <c r="B164" i="12"/>
  <c r="A164" i="12"/>
  <c r="T163" i="12"/>
  <c r="Q163" i="12"/>
  <c r="O163" i="12"/>
  <c r="N163" i="12"/>
  <c r="M163" i="12"/>
  <c r="L163" i="12"/>
  <c r="J163" i="12"/>
  <c r="H163" i="12"/>
  <c r="F163" i="12"/>
  <c r="E163" i="12"/>
  <c r="D163" i="12"/>
  <c r="C163" i="12"/>
  <c r="B163" i="12"/>
  <c r="A163" i="12"/>
  <c r="U162" i="12"/>
  <c r="T162" i="12"/>
  <c r="Q162" i="12"/>
  <c r="P162" i="12"/>
  <c r="O162" i="12"/>
  <c r="N162" i="12"/>
  <c r="M162" i="12"/>
  <c r="L162" i="12"/>
  <c r="J162" i="12"/>
  <c r="H162" i="12"/>
  <c r="F162" i="12"/>
  <c r="E162" i="12"/>
  <c r="D162" i="12"/>
  <c r="C162" i="12"/>
  <c r="B162" i="12"/>
  <c r="A162" i="12"/>
  <c r="T161" i="12"/>
  <c r="Q161" i="12"/>
  <c r="O161" i="12"/>
  <c r="N161" i="12"/>
  <c r="M161" i="12"/>
  <c r="L161" i="12"/>
  <c r="J161" i="12"/>
  <c r="H161" i="12"/>
  <c r="F161" i="12"/>
  <c r="E161" i="12"/>
  <c r="D161" i="12"/>
  <c r="C161" i="12"/>
  <c r="B161" i="12"/>
  <c r="A161" i="12"/>
  <c r="T160" i="12"/>
  <c r="Q160" i="12"/>
  <c r="O160" i="12"/>
  <c r="N160" i="12"/>
  <c r="M160" i="12"/>
  <c r="L160" i="12"/>
  <c r="J160" i="12"/>
  <c r="H160" i="12"/>
  <c r="F160" i="12"/>
  <c r="E160" i="12"/>
  <c r="D160" i="12"/>
  <c r="C160" i="12"/>
  <c r="B160" i="12"/>
  <c r="A160" i="12"/>
  <c r="T159" i="12"/>
  <c r="Q159" i="12"/>
  <c r="O159" i="12"/>
  <c r="N159" i="12"/>
  <c r="M159" i="12"/>
  <c r="L159" i="12"/>
  <c r="J159" i="12"/>
  <c r="H159" i="12"/>
  <c r="F159" i="12"/>
  <c r="F157" i="12" s="1"/>
  <c r="E159" i="12"/>
  <c r="D159" i="12"/>
  <c r="C159" i="12"/>
  <c r="B159" i="12"/>
  <c r="A159" i="12"/>
  <c r="Q156" i="12"/>
  <c r="O156" i="12"/>
  <c r="N156" i="12"/>
  <c r="M156" i="12"/>
  <c r="L156" i="12"/>
  <c r="J156" i="12"/>
  <c r="H156" i="12"/>
  <c r="F156" i="12"/>
  <c r="E156" i="12"/>
  <c r="D156" i="12"/>
  <c r="C156" i="12"/>
  <c r="B156" i="12"/>
  <c r="A156" i="12"/>
  <c r="Q154" i="12"/>
  <c r="O154" i="12"/>
  <c r="N154" i="12"/>
  <c r="M154" i="12"/>
  <c r="L154" i="12"/>
  <c r="J154" i="12"/>
  <c r="H154" i="12"/>
  <c r="F154" i="12"/>
  <c r="E154" i="12"/>
  <c r="D154" i="12"/>
  <c r="C154" i="12"/>
  <c r="B154" i="12"/>
  <c r="A154" i="12"/>
  <c r="T153" i="12"/>
  <c r="Q153" i="12"/>
  <c r="O153" i="12"/>
  <c r="N153" i="12"/>
  <c r="M153" i="12"/>
  <c r="L153" i="12"/>
  <c r="J153" i="12"/>
  <c r="H153" i="12"/>
  <c r="F153" i="12"/>
  <c r="E153" i="12"/>
  <c r="D153" i="12"/>
  <c r="C153" i="12"/>
  <c r="B153" i="12"/>
  <c r="A153" i="12"/>
  <c r="Q152" i="12"/>
  <c r="O152" i="12"/>
  <c r="M152" i="12"/>
  <c r="L152" i="12"/>
  <c r="J152" i="12"/>
  <c r="H152" i="12"/>
  <c r="F152" i="12"/>
  <c r="E152" i="12"/>
  <c r="D152" i="12"/>
  <c r="C152" i="12"/>
  <c r="B152" i="12"/>
  <c r="A152" i="12"/>
  <c r="Q151" i="12"/>
  <c r="O151" i="12"/>
  <c r="M151" i="12"/>
  <c r="L151" i="12"/>
  <c r="J151" i="12"/>
  <c r="H151" i="12"/>
  <c r="F151" i="12"/>
  <c r="E151" i="12"/>
  <c r="D151" i="12"/>
  <c r="C151" i="12"/>
  <c r="B151" i="12"/>
  <c r="A151" i="12"/>
  <c r="U150" i="12"/>
  <c r="T150" i="12"/>
  <c r="S150" i="12"/>
  <c r="Q150" i="12"/>
  <c r="P150" i="12"/>
  <c r="O150" i="12"/>
  <c r="N150" i="12"/>
  <c r="M150" i="12"/>
  <c r="L150" i="12"/>
  <c r="K150" i="12"/>
  <c r="J150" i="12"/>
  <c r="H150" i="12"/>
  <c r="F150" i="12"/>
  <c r="E150" i="12"/>
  <c r="D150" i="12"/>
  <c r="C150" i="12"/>
  <c r="B150" i="12"/>
  <c r="A150" i="12"/>
  <c r="T149" i="12"/>
  <c r="Q149" i="12"/>
  <c r="O149" i="12"/>
  <c r="M149" i="12"/>
  <c r="L149" i="12"/>
  <c r="J149" i="12"/>
  <c r="H149" i="12"/>
  <c r="F149" i="12"/>
  <c r="E149" i="12"/>
  <c r="D149" i="12"/>
  <c r="C149" i="12"/>
  <c r="B149" i="12"/>
  <c r="A149" i="12"/>
  <c r="U148" i="12"/>
  <c r="T148" i="12"/>
  <c r="Q148" i="12"/>
  <c r="O148" i="12"/>
  <c r="N148" i="12"/>
  <c r="M148" i="12"/>
  <c r="L148" i="12"/>
  <c r="J148" i="12"/>
  <c r="H148" i="12"/>
  <c r="F148" i="12"/>
  <c r="E148" i="12"/>
  <c r="D148" i="12"/>
  <c r="C148" i="12"/>
  <c r="B148" i="12"/>
  <c r="A148" i="12"/>
  <c r="T147" i="12"/>
  <c r="Q147" i="12"/>
  <c r="O147" i="12"/>
  <c r="N147" i="12"/>
  <c r="M147" i="12"/>
  <c r="L147" i="12"/>
  <c r="J147" i="12"/>
  <c r="H147" i="12"/>
  <c r="F147" i="12"/>
  <c r="E147" i="12"/>
  <c r="D147" i="12"/>
  <c r="C147" i="12"/>
  <c r="B147" i="12"/>
  <c r="A147" i="12"/>
  <c r="T146" i="12"/>
  <c r="Q146" i="12"/>
  <c r="O146" i="12"/>
  <c r="N146" i="12"/>
  <c r="M146" i="12"/>
  <c r="L146" i="12"/>
  <c r="J146" i="12"/>
  <c r="H146" i="12"/>
  <c r="F146" i="12"/>
  <c r="E146" i="12"/>
  <c r="D146" i="12"/>
  <c r="C146" i="12"/>
  <c r="B146" i="12"/>
  <c r="A146" i="12"/>
  <c r="Q145" i="12"/>
  <c r="O145" i="12"/>
  <c r="N145" i="12"/>
  <c r="M145" i="12"/>
  <c r="L145" i="12"/>
  <c r="J145" i="12"/>
  <c r="H145" i="12"/>
  <c r="F145" i="12"/>
  <c r="F143" i="12" s="1"/>
  <c r="E145" i="12"/>
  <c r="D145" i="12"/>
  <c r="C145" i="12"/>
  <c r="B145" i="12"/>
  <c r="A145" i="12"/>
  <c r="Q142" i="12"/>
  <c r="O142" i="12"/>
  <c r="N142" i="12"/>
  <c r="M142" i="12"/>
  <c r="L142" i="12"/>
  <c r="J142" i="12"/>
  <c r="H142" i="12"/>
  <c r="F142" i="12"/>
  <c r="E142" i="12"/>
  <c r="D142" i="12"/>
  <c r="C142" i="12"/>
  <c r="B142" i="12"/>
  <c r="A142" i="12"/>
  <c r="U141" i="12"/>
  <c r="T141" i="12"/>
  <c r="Q141" i="12"/>
  <c r="O141" i="12"/>
  <c r="N141" i="12"/>
  <c r="M141" i="12"/>
  <c r="L141" i="12"/>
  <c r="J141" i="12"/>
  <c r="H141" i="12"/>
  <c r="F141" i="12"/>
  <c r="E141" i="12"/>
  <c r="D141" i="12"/>
  <c r="C141" i="12"/>
  <c r="B141" i="12"/>
  <c r="A141" i="12"/>
  <c r="Q140" i="12"/>
  <c r="O140" i="12"/>
  <c r="N140" i="12"/>
  <c r="M140" i="12"/>
  <c r="L140" i="12"/>
  <c r="J140" i="12"/>
  <c r="H140" i="12"/>
  <c r="F140" i="12"/>
  <c r="E140" i="12"/>
  <c r="D140" i="12"/>
  <c r="C140" i="12"/>
  <c r="B140" i="12"/>
  <c r="A140" i="12"/>
  <c r="Q139" i="12"/>
  <c r="O139" i="12"/>
  <c r="N139" i="12"/>
  <c r="M139" i="12"/>
  <c r="L139" i="12"/>
  <c r="J139" i="12"/>
  <c r="H139" i="12"/>
  <c r="F139" i="12"/>
  <c r="E139" i="12"/>
  <c r="D139" i="12"/>
  <c r="C139" i="12"/>
  <c r="B139" i="12"/>
  <c r="A139" i="12"/>
  <c r="Q138" i="12"/>
  <c r="O138" i="12"/>
  <c r="M138" i="12"/>
  <c r="L138" i="12"/>
  <c r="J138" i="12"/>
  <c r="H138" i="12"/>
  <c r="F138" i="12"/>
  <c r="E138" i="12"/>
  <c r="D138" i="12"/>
  <c r="C138" i="12"/>
  <c r="B138" i="12"/>
  <c r="A138" i="12"/>
  <c r="T137" i="12"/>
  <c r="Q137" i="12"/>
  <c r="O137" i="12"/>
  <c r="N137" i="12"/>
  <c r="M137" i="12"/>
  <c r="L137" i="12"/>
  <c r="J137" i="12"/>
  <c r="H137" i="12"/>
  <c r="F137" i="12"/>
  <c r="E137" i="12"/>
  <c r="D137" i="12"/>
  <c r="C137" i="12"/>
  <c r="B137" i="12"/>
  <c r="A137" i="12"/>
  <c r="U136" i="12"/>
  <c r="T136" i="12"/>
  <c r="S136" i="12"/>
  <c r="R136" i="12"/>
  <c r="Q136" i="12"/>
  <c r="P136" i="12"/>
  <c r="O136" i="12"/>
  <c r="N136" i="12"/>
  <c r="M136" i="12"/>
  <c r="L136" i="12"/>
  <c r="K136" i="12"/>
  <c r="J136" i="12"/>
  <c r="H136" i="12"/>
  <c r="F136" i="12"/>
  <c r="E136" i="12"/>
  <c r="D136" i="12"/>
  <c r="C136" i="12"/>
  <c r="B136" i="12"/>
  <c r="A136" i="12"/>
  <c r="Q135" i="12"/>
  <c r="O135" i="12"/>
  <c r="N135" i="12"/>
  <c r="M135" i="12"/>
  <c r="L135" i="12"/>
  <c r="J135" i="12"/>
  <c r="H135" i="12"/>
  <c r="F135" i="12"/>
  <c r="E135" i="12"/>
  <c r="D135" i="12"/>
  <c r="C135" i="12"/>
  <c r="B135" i="12"/>
  <c r="A135" i="12"/>
  <c r="T134" i="12"/>
  <c r="Q134" i="12"/>
  <c r="O134" i="12"/>
  <c r="N134" i="12"/>
  <c r="M134" i="12"/>
  <c r="L134" i="12"/>
  <c r="J134" i="12"/>
  <c r="H134" i="12"/>
  <c r="F134" i="12"/>
  <c r="E134" i="12"/>
  <c r="D134" i="12"/>
  <c r="C134" i="12"/>
  <c r="B134" i="12"/>
  <c r="A134" i="12"/>
  <c r="Q133" i="12"/>
  <c r="O133" i="12"/>
  <c r="N133" i="12"/>
  <c r="M133" i="12"/>
  <c r="L133" i="12"/>
  <c r="J133" i="12"/>
  <c r="H133" i="12"/>
  <c r="F133" i="12"/>
  <c r="E133" i="12"/>
  <c r="D133" i="12"/>
  <c r="C133" i="12"/>
  <c r="B133" i="12"/>
  <c r="A133" i="12"/>
  <c r="U132" i="12"/>
  <c r="T132" i="12"/>
  <c r="Q132" i="12"/>
  <c r="O132" i="12"/>
  <c r="N132" i="12"/>
  <c r="M132" i="12"/>
  <c r="L132" i="12"/>
  <c r="J132" i="12"/>
  <c r="H132" i="12"/>
  <c r="F132" i="12"/>
  <c r="E132" i="12"/>
  <c r="D132" i="12"/>
  <c r="C132" i="12"/>
  <c r="B132" i="12"/>
  <c r="A132" i="12"/>
  <c r="Q131" i="12"/>
  <c r="O131" i="12"/>
  <c r="N131" i="12"/>
  <c r="M131" i="12"/>
  <c r="L131" i="12"/>
  <c r="J131" i="12"/>
  <c r="H131" i="12"/>
  <c r="F131" i="12"/>
  <c r="F129" i="12" s="1"/>
  <c r="E131" i="12"/>
  <c r="D131" i="12"/>
  <c r="C131" i="12"/>
  <c r="B131" i="12"/>
  <c r="A131" i="12"/>
  <c r="T128" i="12"/>
  <c r="Q128" i="12"/>
  <c r="O128" i="12"/>
  <c r="N128" i="12"/>
  <c r="M128" i="12"/>
  <c r="L128" i="12"/>
  <c r="J128" i="12"/>
  <c r="H128" i="12"/>
  <c r="F128" i="12"/>
  <c r="E128" i="12"/>
  <c r="D128" i="12"/>
  <c r="C128" i="12"/>
  <c r="B128" i="12"/>
  <c r="A128" i="12"/>
  <c r="U127" i="12"/>
  <c r="T127" i="12"/>
  <c r="S127" i="12"/>
  <c r="R127" i="12"/>
  <c r="Q127" i="12"/>
  <c r="O127" i="12"/>
  <c r="N127" i="12"/>
  <c r="M127" i="12"/>
  <c r="L127" i="12"/>
  <c r="K127" i="12"/>
  <c r="J127" i="12"/>
  <c r="H127" i="12"/>
  <c r="F127" i="12"/>
  <c r="E127" i="12"/>
  <c r="D127" i="12"/>
  <c r="C127" i="12"/>
  <c r="B127" i="12"/>
  <c r="A127" i="12"/>
  <c r="Q126" i="12"/>
  <c r="O126" i="12"/>
  <c r="N126" i="12"/>
  <c r="M126" i="12"/>
  <c r="L126" i="12"/>
  <c r="J126" i="12"/>
  <c r="H126" i="12"/>
  <c r="F126" i="12"/>
  <c r="E126" i="12"/>
  <c r="D126" i="12"/>
  <c r="C126" i="12"/>
  <c r="B126" i="12"/>
  <c r="A126" i="12"/>
  <c r="Q125" i="12"/>
  <c r="O125" i="12"/>
  <c r="N125" i="12"/>
  <c r="M125" i="12"/>
  <c r="L125" i="12"/>
  <c r="J125" i="12"/>
  <c r="H125" i="12"/>
  <c r="F125" i="12"/>
  <c r="E125" i="12"/>
  <c r="D125" i="12"/>
  <c r="C125" i="12"/>
  <c r="B125" i="12"/>
  <c r="A125" i="12"/>
  <c r="U124" i="12"/>
  <c r="T124" i="12"/>
  <c r="S124" i="12"/>
  <c r="R124" i="12"/>
  <c r="Q124" i="12"/>
  <c r="O124" i="12"/>
  <c r="N124" i="12"/>
  <c r="M124" i="12"/>
  <c r="L124" i="12"/>
  <c r="K124" i="12"/>
  <c r="J124" i="12"/>
  <c r="H124" i="12"/>
  <c r="F124" i="12"/>
  <c r="E124" i="12"/>
  <c r="D124" i="12"/>
  <c r="C124" i="12"/>
  <c r="B124" i="12"/>
  <c r="A124" i="12"/>
  <c r="Q123" i="12"/>
  <c r="O123" i="12"/>
  <c r="N123" i="12"/>
  <c r="M123" i="12"/>
  <c r="L123" i="12"/>
  <c r="J123" i="12"/>
  <c r="H123" i="12"/>
  <c r="F123" i="12"/>
  <c r="E123" i="12"/>
  <c r="D123" i="12"/>
  <c r="C123" i="12"/>
  <c r="B123" i="12"/>
  <c r="A123" i="12"/>
  <c r="Q122" i="12"/>
  <c r="O122" i="12"/>
  <c r="M122" i="12"/>
  <c r="L122" i="12"/>
  <c r="J122" i="12"/>
  <c r="H122" i="12"/>
  <c r="F122" i="12"/>
  <c r="E122" i="12"/>
  <c r="D122" i="12"/>
  <c r="C122" i="12"/>
  <c r="B122" i="12"/>
  <c r="A122" i="12"/>
  <c r="T120" i="12"/>
  <c r="Q120" i="12"/>
  <c r="O120" i="12"/>
  <c r="N120" i="12"/>
  <c r="M120" i="12"/>
  <c r="L120" i="12"/>
  <c r="J120" i="12"/>
  <c r="H120" i="12"/>
  <c r="F120" i="12"/>
  <c r="E120" i="12"/>
  <c r="D120" i="12"/>
  <c r="C120" i="12"/>
  <c r="B120" i="12"/>
  <c r="A120" i="12"/>
  <c r="Q121" i="12"/>
  <c r="O121" i="12"/>
  <c r="N121" i="12"/>
  <c r="M121" i="12"/>
  <c r="L121" i="12"/>
  <c r="J121" i="12"/>
  <c r="H121" i="12"/>
  <c r="F121" i="12"/>
  <c r="E121" i="12"/>
  <c r="D121" i="12"/>
  <c r="C121" i="12"/>
  <c r="B121" i="12"/>
  <c r="A121" i="12"/>
  <c r="T119" i="12"/>
  <c r="Q119" i="12"/>
  <c r="O119" i="12"/>
  <c r="N119" i="12"/>
  <c r="M119" i="12"/>
  <c r="L119" i="12"/>
  <c r="J119" i="12"/>
  <c r="H119" i="12"/>
  <c r="F119" i="12"/>
  <c r="E119" i="12"/>
  <c r="D119" i="12"/>
  <c r="C119" i="12"/>
  <c r="B119" i="12"/>
  <c r="A119" i="12"/>
  <c r="Q118" i="12"/>
  <c r="O118" i="12"/>
  <c r="N118" i="12"/>
  <c r="M118" i="12"/>
  <c r="L118" i="12"/>
  <c r="J118" i="12"/>
  <c r="H118" i="12"/>
  <c r="F118" i="12"/>
  <c r="E118" i="12"/>
  <c r="D118" i="12"/>
  <c r="C118" i="12"/>
  <c r="B118" i="12"/>
  <c r="A118" i="12"/>
  <c r="Q117" i="12"/>
  <c r="O117" i="12"/>
  <c r="N117" i="12"/>
  <c r="M117" i="12"/>
  <c r="L117" i="12"/>
  <c r="J117" i="12"/>
  <c r="H117" i="12"/>
  <c r="F115" i="12" s="1"/>
  <c r="F117" i="12"/>
  <c r="E117" i="12"/>
  <c r="D117" i="12"/>
  <c r="C117" i="12"/>
  <c r="B117" i="12"/>
  <c r="A117" i="12"/>
  <c r="T114" i="12"/>
  <c r="Q114" i="12"/>
  <c r="O114" i="12"/>
  <c r="N114" i="12"/>
  <c r="M114" i="12"/>
  <c r="L114" i="12"/>
  <c r="J114" i="12"/>
  <c r="H114" i="12"/>
  <c r="F114" i="12"/>
  <c r="E114" i="12"/>
  <c r="D114" i="12"/>
  <c r="C114" i="12"/>
  <c r="B114" i="12"/>
  <c r="A114" i="12"/>
  <c r="Q113" i="12"/>
  <c r="O113" i="12"/>
  <c r="M113" i="12"/>
  <c r="L113" i="12"/>
  <c r="J113" i="12"/>
  <c r="H113" i="12"/>
  <c r="F113" i="12"/>
  <c r="E113" i="12"/>
  <c r="D113" i="12"/>
  <c r="C113" i="12"/>
  <c r="B113" i="12"/>
  <c r="A113" i="12"/>
  <c r="Q112" i="12"/>
  <c r="O112" i="12"/>
  <c r="N112" i="12"/>
  <c r="M112" i="12"/>
  <c r="L112" i="12"/>
  <c r="J112" i="12"/>
  <c r="H112" i="12"/>
  <c r="F112" i="12"/>
  <c r="E112" i="12"/>
  <c r="D112" i="12"/>
  <c r="C112" i="12"/>
  <c r="B112" i="12"/>
  <c r="A112" i="12"/>
  <c r="U111" i="12"/>
  <c r="T111" i="12"/>
  <c r="Q111" i="12"/>
  <c r="P111" i="12"/>
  <c r="O111" i="12"/>
  <c r="N111" i="12"/>
  <c r="M111" i="12"/>
  <c r="L111" i="12"/>
  <c r="J111" i="12"/>
  <c r="H111" i="12"/>
  <c r="F111" i="12"/>
  <c r="E111" i="12"/>
  <c r="D111" i="12"/>
  <c r="C111" i="12"/>
  <c r="B111" i="12"/>
  <c r="A111" i="12"/>
  <c r="Q110" i="12"/>
  <c r="O110" i="12"/>
  <c r="N110" i="12"/>
  <c r="M110" i="12"/>
  <c r="L110" i="12"/>
  <c r="J110" i="12"/>
  <c r="H110" i="12"/>
  <c r="F110" i="12"/>
  <c r="E110" i="12"/>
  <c r="D110" i="12"/>
  <c r="C110" i="12"/>
  <c r="B110" i="12"/>
  <c r="A110" i="12"/>
  <c r="Q109" i="12"/>
  <c r="O109" i="12"/>
  <c r="N109" i="12"/>
  <c r="M109" i="12"/>
  <c r="L109" i="12"/>
  <c r="J109" i="12"/>
  <c r="H109" i="12"/>
  <c r="F109" i="12"/>
  <c r="E109" i="12"/>
  <c r="D109" i="12"/>
  <c r="C109" i="12"/>
  <c r="B109" i="12"/>
  <c r="A109" i="12"/>
  <c r="T108" i="12"/>
  <c r="Q108" i="12"/>
  <c r="O108" i="12"/>
  <c r="N108" i="12"/>
  <c r="M108" i="12"/>
  <c r="L108" i="12"/>
  <c r="J108" i="12"/>
  <c r="H108" i="12"/>
  <c r="F108" i="12"/>
  <c r="E108" i="12"/>
  <c r="D108" i="12"/>
  <c r="C108" i="12"/>
  <c r="B108" i="12"/>
  <c r="A108" i="12"/>
  <c r="T107" i="12"/>
  <c r="Q107" i="12"/>
  <c r="O107" i="12"/>
  <c r="N107" i="12"/>
  <c r="M107" i="12"/>
  <c r="L107" i="12"/>
  <c r="J107" i="12"/>
  <c r="H107" i="12"/>
  <c r="F107" i="12"/>
  <c r="E107" i="12"/>
  <c r="D107" i="12"/>
  <c r="C107" i="12"/>
  <c r="B107" i="12"/>
  <c r="A107" i="12"/>
  <c r="T106" i="12"/>
  <c r="Q106" i="12"/>
  <c r="O106" i="12"/>
  <c r="N106" i="12"/>
  <c r="M106" i="12"/>
  <c r="L106" i="12"/>
  <c r="J106" i="12"/>
  <c r="H106" i="12"/>
  <c r="F106" i="12"/>
  <c r="E106" i="12"/>
  <c r="D106" i="12"/>
  <c r="C106" i="12"/>
  <c r="B106" i="12"/>
  <c r="A106" i="12"/>
  <c r="Q105" i="12"/>
  <c r="O105" i="12"/>
  <c r="N105" i="12"/>
  <c r="M105" i="12"/>
  <c r="L105" i="12"/>
  <c r="J105" i="12"/>
  <c r="H105" i="12"/>
  <c r="F105" i="12"/>
  <c r="E105" i="12"/>
  <c r="D105" i="12"/>
  <c r="C105" i="12"/>
  <c r="B105" i="12"/>
  <c r="A105" i="12"/>
  <c r="T104" i="12"/>
  <c r="Q104" i="12"/>
  <c r="O104" i="12"/>
  <c r="N104" i="12"/>
  <c r="M104" i="12"/>
  <c r="L104" i="12"/>
  <c r="J104" i="12"/>
  <c r="H104" i="12"/>
  <c r="F104" i="12"/>
  <c r="E104" i="12"/>
  <c r="D104" i="12"/>
  <c r="C104" i="12"/>
  <c r="B104" i="12"/>
  <c r="A104" i="12"/>
  <c r="U103" i="12"/>
  <c r="T103" i="12"/>
  <c r="S103" i="12"/>
  <c r="R103" i="12"/>
  <c r="Q103" i="12"/>
  <c r="O103" i="12"/>
  <c r="N103" i="12"/>
  <c r="M103" i="12"/>
  <c r="L103" i="12"/>
  <c r="K103" i="12"/>
  <c r="J103" i="12"/>
  <c r="H103" i="12"/>
  <c r="F101" i="12" s="1"/>
  <c r="F103" i="12"/>
  <c r="E103" i="12"/>
  <c r="D103" i="12"/>
  <c r="C103" i="12"/>
  <c r="B103" i="12"/>
  <c r="A103" i="12"/>
  <c r="Q100" i="12"/>
  <c r="O100" i="12"/>
  <c r="N100" i="12"/>
  <c r="M100" i="12"/>
  <c r="L100" i="12"/>
  <c r="J100" i="12"/>
  <c r="H100" i="12"/>
  <c r="F100" i="12"/>
  <c r="E100" i="12"/>
  <c r="D100" i="12"/>
  <c r="C100" i="12"/>
  <c r="B100" i="12"/>
  <c r="A100" i="12"/>
  <c r="Q99" i="12"/>
  <c r="O99" i="12"/>
  <c r="N99" i="12"/>
  <c r="M99" i="12"/>
  <c r="L99" i="12"/>
  <c r="J99" i="12"/>
  <c r="H99" i="12"/>
  <c r="F99" i="12"/>
  <c r="E99" i="12"/>
  <c r="D99" i="12"/>
  <c r="C99" i="12"/>
  <c r="B99" i="12"/>
  <c r="A99" i="12"/>
  <c r="Q98" i="12"/>
  <c r="O98" i="12"/>
  <c r="N98" i="12"/>
  <c r="M98" i="12"/>
  <c r="L98" i="12"/>
  <c r="J98" i="12"/>
  <c r="H98" i="12"/>
  <c r="F98" i="12"/>
  <c r="E98" i="12"/>
  <c r="D98" i="12"/>
  <c r="C98" i="12"/>
  <c r="B98" i="12"/>
  <c r="A98" i="12"/>
  <c r="Q97" i="12"/>
  <c r="O97" i="12"/>
  <c r="M97" i="12"/>
  <c r="L97" i="12"/>
  <c r="J97" i="12"/>
  <c r="H97" i="12"/>
  <c r="F97" i="12"/>
  <c r="E97" i="12"/>
  <c r="D97" i="12"/>
  <c r="C97" i="12"/>
  <c r="B97" i="12"/>
  <c r="A97" i="12"/>
  <c r="U96" i="12"/>
  <c r="T96" i="12"/>
  <c r="S96" i="12"/>
  <c r="R96" i="12"/>
  <c r="Q96" i="12"/>
  <c r="O96" i="12"/>
  <c r="N96" i="12"/>
  <c r="M96" i="12"/>
  <c r="L96" i="12"/>
  <c r="K96" i="12"/>
  <c r="J96" i="12"/>
  <c r="H96" i="12"/>
  <c r="F96" i="12"/>
  <c r="E96" i="12"/>
  <c r="D96" i="12"/>
  <c r="C96" i="12"/>
  <c r="B96" i="12"/>
  <c r="A96" i="12"/>
  <c r="Q95" i="12"/>
  <c r="O95" i="12"/>
  <c r="N95" i="12"/>
  <c r="M95" i="12"/>
  <c r="L95" i="12"/>
  <c r="J95" i="12"/>
  <c r="H95" i="12"/>
  <c r="F95" i="12"/>
  <c r="E95" i="12"/>
  <c r="D95" i="12"/>
  <c r="C95" i="12"/>
  <c r="B95" i="12"/>
  <c r="A95" i="12"/>
  <c r="T94" i="12"/>
  <c r="Q94" i="12"/>
  <c r="O94" i="12"/>
  <c r="M94" i="12"/>
  <c r="L94" i="12"/>
  <c r="J94" i="12"/>
  <c r="H94" i="12"/>
  <c r="F94" i="12"/>
  <c r="E94" i="12"/>
  <c r="D94" i="12"/>
  <c r="C94" i="12"/>
  <c r="B94" i="12"/>
  <c r="A94" i="12"/>
  <c r="T93" i="12"/>
  <c r="Q93" i="12"/>
  <c r="O93" i="12"/>
  <c r="N93" i="12"/>
  <c r="M93" i="12"/>
  <c r="L93" i="12"/>
  <c r="J93" i="12"/>
  <c r="H93" i="12"/>
  <c r="F93" i="12"/>
  <c r="E93" i="12"/>
  <c r="D93" i="12"/>
  <c r="C93" i="12"/>
  <c r="B93" i="12"/>
  <c r="A93" i="12"/>
  <c r="T92" i="12"/>
  <c r="Q92" i="12"/>
  <c r="O92" i="12"/>
  <c r="N92" i="12"/>
  <c r="M92" i="12"/>
  <c r="L92" i="12"/>
  <c r="J92" i="12"/>
  <c r="H92" i="12"/>
  <c r="F92" i="12"/>
  <c r="E92" i="12"/>
  <c r="D92" i="12"/>
  <c r="C92" i="12"/>
  <c r="B92" i="12"/>
  <c r="A92" i="12"/>
  <c r="T91" i="12"/>
  <c r="Q91" i="12"/>
  <c r="O91" i="12"/>
  <c r="N91" i="12"/>
  <c r="M91" i="12"/>
  <c r="L91" i="12"/>
  <c r="J91" i="12"/>
  <c r="H91" i="12"/>
  <c r="F91" i="12"/>
  <c r="E91" i="12"/>
  <c r="D91" i="12"/>
  <c r="C91" i="12"/>
  <c r="B91" i="12"/>
  <c r="A91" i="12"/>
  <c r="Q90" i="12"/>
  <c r="O90" i="12"/>
  <c r="N90" i="12"/>
  <c r="M90" i="12"/>
  <c r="L90" i="12"/>
  <c r="J90" i="12"/>
  <c r="H90" i="12"/>
  <c r="F90" i="12"/>
  <c r="E90" i="12"/>
  <c r="D90" i="12"/>
  <c r="C90" i="12"/>
  <c r="B90" i="12"/>
  <c r="A90" i="12"/>
  <c r="U89" i="12"/>
  <c r="T89" i="12"/>
  <c r="Q89" i="12"/>
  <c r="O89" i="12"/>
  <c r="N89" i="12"/>
  <c r="M89" i="12"/>
  <c r="L89" i="12"/>
  <c r="J89" i="12"/>
  <c r="H89" i="12"/>
  <c r="F87" i="12" s="1"/>
  <c r="F89" i="12"/>
  <c r="E89" i="12"/>
  <c r="D89" i="12"/>
  <c r="C89" i="12"/>
  <c r="B89" i="12"/>
  <c r="A89" i="12"/>
  <c r="T86" i="12"/>
  <c r="Q86" i="12"/>
  <c r="O86" i="12"/>
  <c r="N86" i="12"/>
  <c r="M86" i="12"/>
  <c r="L86" i="12"/>
  <c r="J86" i="12"/>
  <c r="H86" i="12"/>
  <c r="F86" i="12"/>
  <c r="E86" i="12"/>
  <c r="D86" i="12"/>
  <c r="C86" i="12"/>
  <c r="B86" i="12"/>
  <c r="A86" i="12"/>
  <c r="T85" i="12"/>
  <c r="Q85" i="12"/>
  <c r="O85" i="12"/>
  <c r="N85" i="12"/>
  <c r="M85" i="12"/>
  <c r="L85" i="12"/>
  <c r="J85" i="12"/>
  <c r="H85" i="12"/>
  <c r="F85" i="12"/>
  <c r="E85" i="12"/>
  <c r="D85" i="12"/>
  <c r="C85" i="12"/>
  <c r="B85" i="12"/>
  <c r="A85" i="12"/>
  <c r="Q84" i="12"/>
  <c r="O84" i="12"/>
  <c r="N84" i="12"/>
  <c r="M84" i="12"/>
  <c r="L84" i="12"/>
  <c r="J84" i="12"/>
  <c r="H84" i="12"/>
  <c r="F84" i="12"/>
  <c r="E84" i="12"/>
  <c r="D84" i="12"/>
  <c r="C84" i="12"/>
  <c r="B84" i="12"/>
  <c r="A84" i="12"/>
  <c r="Q83" i="12"/>
  <c r="O83" i="12"/>
  <c r="N83" i="12"/>
  <c r="M83" i="12"/>
  <c r="L83" i="12"/>
  <c r="J83" i="12"/>
  <c r="H83" i="12"/>
  <c r="F83" i="12"/>
  <c r="E83" i="12"/>
  <c r="D83" i="12"/>
  <c r="C83" i="12"/>
  <c r="B83" i="12"/>
  <c r="A83" i="12"/>
  <c r="Q82" i="12"/>
  <c r="O82" i="12"/>
  <c r="N82" i="12"/>
  <c r="M82" i="12"/>
  <c r="L82" i="12"/>
  <c r="J82" i="12"/>
  <c r="H82" i="12"/>
  <c r="F82" i="12"/>
  <c r="E82" i="12"/>
  <c r="D82" i="12"/>
  <c r="C82" i="12"/>
  <c r="B82" i="12"/>
  <c r="A82" i="12"/>
  <c r="U81" i="12"/>
  <c r="T81" i="12"/>
  <c r="S81" i="12"/>
  <c r="R81" i="12"/>
  <c r="Q81" i="12"/>
  <c r="P81" i="12"/>
  <c r="O81" i="12"/>
  <c r="N81" i="12"/>
  <c r="M81" i="12"/>
  <c r="L81" i="12"/>
  <c r="K81" i="12"/>
  <c r="J81" i="12"/>
  <c r="H81" i="12"/>
  <c r="F81" i="12"/>
  <c r="E81" i="12"/>
  <c r="D81" i="12"/>
  <c r="C81" i="12"/>
  <c r="B81" i="12"/>
  <c r="A81" i="12"/>
  <c r="Q80" i="12"/>
  <c r="O80" i="12"/>
  <c r="M80" i="12"/>
  <c r="L80" i="12"/>
  <c r="J80" i="12"/>
  <c r="H80" i="12"/>
  <c r="F80" i="12"/>
  <c r="E80" i="12"/>
  <c r="D80" i="12"/>
  <c r="C80" i="12"/>
  <c r="B80" i="12"/>
  <c r="A80" i="12"/>
  <c r="T79" i="12"/>
  <c r="Q79" i="12"/>
  <c r="O79" i="12"/>
  <c r="M79" i="12"/>
  <c r="L79" i="12"/>
  <c r="J79" i="12"/>
  <c r="H79" i="12"/>
  <c r="F79" i="12"/>
  <c r="E79" i="12"/>
  <c r="D79" i="12"/>
  <c r="C79" i="12"/>
  <c r="B79" i="12"/>
  <c r="A79" i="12"/>
  <c r="T78" i="12"/>
  <c r="Q78" i="12"/>
  <c r="O78" i="12"/>
  <c r="N78" i="12"/>
  <c r="M78" i="12"/>
  <c r="L78" i="12"/>
  <c r="J78" i="12"/>
  <c r="H78" i="12"/>
  <c r="F78" i="12"/>
  <c r="E78" i="12"/>
  <c r="D78" i="12"/>
  <c r="C78" i="12"/>
  <c r="B78" i="12"/>
  <c r="A78" i="12"/>
  <c r="Q77" i="12"/>
  <c r="O77" i="12"/>
  <c r="N77" i="12"/>
  <c r="M77" i="12"/>
  <c r="L77" i="12"/>
  <c r="J77" i="12"/>
  <c r="H77" i="12"/>
  <c r="F77" i="12"/>
  <c r="E77" i="12"/>
  <c r="D77" i="12"/>
  <c r="C77" i="12"/>
  <c r="B77" i="12"/>
  <c r="A77" i="12"/>
  <c r="U76" i="12"/>
  <c r="T76" i="12"/>
  <c r="Q76" i="12"/>
  <c r="O76" i="12"/>
  <c r="N76" i="12"/>
  <c r="M76" i="12"/>
  <c r="L76" i="12"/>
  <c r="J76" i="12"/>
  <c r="H76" i="12"/>
  <c r="F76" i="12"/>
  <c r="E76" i="12"/>
  <c r="D76" i="12"/>
  <c r="C76" i="12"/>
  <c r="B76" i="12"/>
  <c r="A76" i="12"/>
  <c r="Q75" i="12"/>
  <c r="O75" i="12"/>
  <c r="N75" i="12"/>
  <c r="M75" i="12"/>
  <c r="L75" i="12"/>
  <c r="J75" i="12"/>
  <c r="H75" i="12"/>
  <c r="F75" i="12"/>
  <c r="F73" i="12" s="1"/>
  <c r="E75" i="12"/>
  <c r="D75" i="12"/>
  <c r="C75" i="12"/>
  <c r="B75" i="12"/>
  <c r="A75" i="12"/>
  <c r="Q72" i="12"/>
  <c r="O72" i="12"/>
  <c r="N72" i="12"/>
  <c r="M72" i="12"/>
  <c r="L72" i="12"/>
  <c r="J72" i="12"/>
  <c r="H72" i="12"/>
  <c r="F72" i="12"/>
  <c r="E72" i="12"/>
  <c r="D72" i="12"/>
  <c r="C72" i="12"/>
  <c r="B72" i="12"/>
  <c r="A72" i="12"/>
  <c r="T71" i="12"/>
  <c r="Q71" i="12"/>
  <c r="O71" i="12"/>
  <c r="N71" i="12"/>
  <c r="M71" i="12"/>
  <c r="L71" i="12"/>
  <c r="J71" i="12"/>
  <c r="H71" i="12"/>
  <c r="F71" i="12"/>
  <c r="E71" i="12"/>
  <c r="D71" i="12"/>
  <c r="C71" i="12"/>
  <c r="B71" i="12"/>
  <c r="A71" i="12"/>
  <c r="Q70" i="12"/>
  <c r="O70" i="12"/>
  <c r="N70" i="12"/>
  <c r="M70" i="12"/>
  <c r="L70" i="12"/>
  <c r="J70" i="12"/>
  <c r="H70" i="12"/>
  <c r="F70" i="12"/>
  <c r="E70" i="12"/>
  <c r="D70" i="12"/>
  <c r="C70" i="12"/>
  <c r="B70" i="12"/>
  <c r="A70" i="12"/>
  <c r="Q69" i="12"/>
  <c r="O69" i="12"/>
  <c r="N69" i="12"/>
  <c r="M69" i="12"/>
  <c r="L69" i="12"/>
  <c r="J69" i="12"/>
  <c r="H69" i="12"/>
  <c r="F69" i="12"/>
  <c r="E69" i="12"/>
  <c r="D69" i="12"/>
  <c r="C69" i="12"/>
  <c r="B69" i="12"/>
  <c r="A69" i="12"/>
  <c r="Q68" i="12"/>
  <c r="O68" i="12"/>
  <c r="N68" i="12"/>
  <c r="M68" i="12"/>
  <c r="L68" i="12"/>
  <c r="J68" i="12"/>
  <c r="H68" i="12"/>
  <c r="F68" i="12"/>
  <c r="E68" i="12"/>
  <c r="D68" i="12"/>
  <c r="C68" i="12"/>
  <c r="B68" i="12"/>
  <c r="A68" i="12"/>
  <c r="U67" i="12"/>
  <c r="T67" i="12"/>
  <c r="Q67" i="12"/>
  <c r="P67" i="12"/>
  <c r="O67" i="12"/>
  <c r="N67" i="12"/>
  <c r="M67" i="12"/>
  <c r="L67" i="12"/>
  <c r="J67" i="12"/>
  <c r="H67" i="12"/>
  <c r="F67" i="12"/>
  <c r="E67" i="12"/>
  <c r="D67" i="12"/>
  <c r="C67" i="12"/>
  <c r="B67" i="12"/>
  <c r="A67" i="12"/>
  <c r="Q66" i="12"/>
  <c r="O66" i="12"/>
  <c r="N66" i="12"/>
  <c r="M66" i="12"/>
  <c r="L66" i="12"/>
  <c r="J66" i="12"/>
  <c r="H66" i="12"/>
  <c r="F66" i="12"/>
  <c r="E66" i="12"/>
  <c r="D66" i="12"/>
  <c r="C66" i="12"/>
  <c r="B66" i="12"/>
  <c r="A66" i="12"/>
  <c r="Q65" i="12"/>
  <c r="O65" i="12"/>
  <c r="N65" i="12"/>
  <c r="M65" i="12"/>
  <c r="L65" i="12"/>
  <c r="J65" i="12"/>
  <c r="H65" i="12"/>
  <c r="F65" i="12"/>
  <c r="E65" i="12"/>
  <c r="D65" i="12"/>
  <c r="C65" i="12"/>
  <c r="B65" i="12"/>
  <c r="A65" i="12"/>
  <c r="T64" i="12"/>
  <c r="Q64" i="12"/>
  <c r="O64" i="12"/>
  <c r="N64" i="12"/>
  <c r="M64" i="12"/>
  <c r="L64" i="12"/>
  <c r="J64" i="12"/>
  <c r="H64" i="12"/>
  <c r="F64" i="12"/>
  <c r="E64" i="12"/>
  <c r="D64" i="12"/>
  <c r="C64" i="12"/>
  <c r="B64" i="12"/>
  <c r="A64" i="12"/>
  <c r="Q63" i="12"/>
  <c r="O63" i="12"/>
  <c r="N63" i="12"/>
  <c r="M63" i="12"/>
  <c r="L63" i="12"/>
  <c r="J63" i="12"/>
  <c r="H63" i="12"/>
  <c r="F63" i="12"/>
  <c r="E63" i="12"/>
  <c r="D63" i="12"/>
  <c r="C63" i="12"/>
  <c r="B63" i="12"/>
  <c r="A63" i="12"/>
  <c r="T62" i="12"/>
  <c r="Q62" i="12"/>
  <c r="O62" i="12"/>
  <c r="N62" i="12"/>
  <c r="M62" i="12"/>
  <c r="L62" i="12"/>
  <c r="J62" i="12"/>
  <c r="H62" i="12"/>
  <c r="F62" i="12"/>
  <c r="E62" i="12"/>
  <c r="D62" i="12"/>
  <c r="C62" i="12"/>
  <c r="B62" i="12"/>
  <c r="A62" i="12"/>
  <c r="U61" i="12"/>
  <c r="T61" i="12"/>
  <c r="Q61" i="12"/>
  <c r="O61" i="12"/>
  <c r="N61" i="12"/>
  <c r="M61" i="12"/>
  <c r="L61" i="12"/>
  <c r="J61" i="12"/>
  <c r="H61" i="12"/>
  <c r="F59" i="12" s="1"/>
  <c r="F61" i="12"/>
  <c r="E61" i="12"/>
  <c r="D61" i="12"/>
  <c r="C61" i="12"/>
  <c r="B61" i="12"/>
  <c r="A61" i="12"/>
  <c r="T58" i="12"/>
  <c r="Q58" i="12"/>
  <c r="O58" i="12"/>
  <c r="N58" i="12"/>
  <c r="M58" i="12"/>
  <c r="L58" i="12"/>
  <c r="J58" i="12"/>
  <c r="H58" i="12"/>
  <c r="F58" i="12"/>
  <c r="E58" i="12"/>
  <c r="D58" i="12"/>
  <c r="C58" i="12"/>
  <c r="B58" i="12"/>
  <c r="A58" i="12"/>
  <c r="U57" i="12"/>
  <c r="T57" i="12"/>
  <c r="Q57" i="12"/>
  <c r="O57" i="12"/>
  <c r="N57" i="12"/>
  <c r="M57" i="12"/>
  <c r="L57" i="12"/>
  <c r="J57" i="12"/>
  <c r="H57" i="12"/>
  <c r="F57" i="12"/>
  <c r="E57" i="12"/>
  <c r="D57" i="12"/>
  <c r="C57" i="12"/>
  <c r="B57" i="12"/>
  <c r="A57" i="12"/>
  <c r="Q56" i="12"/>
  <c r="O56" i="12"/>
  <c r="N56" i="12"/>
  <c r="M56" i="12"/>
  <c r="L56" i="12"/>
  <c r="J56" i="12"/>
  <c r="H56" i="12"/>
  <c r="F56" i="12"/>
  <c r="E56" i="12"/>
  <c r="D56" i="12"/>
  <c r="C56" i="12"/>
  <c r="B56" i="12"/>
  <c r="A56" i="12"/>
  <c r="Q55" i="12"/>
  <c r="O55" i="12"/>
  <c r="M55" i="12"/>
  <c r="L55" i="12"/>
  <c r="J55" i="12"/>
  <c r="H55" i="12"/>
  <c r="F55" i="12"/>
  <c r="E55" i="12"/>
  <c r="D55" i="12"/>
  <c r="C55" i="12"/>
  <c r="B55" i="12"/>
  <c r="A55" i="12"/>
  <c r="Q54" i="12"/>
  <c r="O54" i="12"/>
  <c r="N54" i="12"/>
  <c r="M54" i="12"/>
  <c r="L54" i="12"/>
  <c r="J54" i="12"/>
  <c r="H54" i="12"/>
  <c r="F54" i="12"/>
  <c r="E54" i="12"/>
  <c r="D54" i="12"/>
  <c r="C54" i="12"/>
  <c r="B54" i="12"/>
  <c r="A54" i="12"/>
  <c r="U53" i="12"/>
  <c r="T53" i="12"/>
  <c r="S53" i="12"/>
  <c r="R53" i="12"/>
  <c r="Q53" i="12"/>
  <c r="P53" i="12"/>
  <c r="O53" i="12"/>
  <c r="N53" i="12"/>
  <c r="M53" i="12"/>
  <c r="L53" i="12"/>
  <c r="K53" i="12"/>
  <c r="J53" i="12"/>
  <c r="H53" i="12"/>
  <c r="F53" i="12"/>
  <c r="E53" i="12"/>
  <c r="D53" i="12"/>
  <c r="C53" i="12"/>
  <c r="B53" i="12"/>
  <c r="A53" i="12"/>
  <c r="T52" i="12"/>
  <c r="Q52" i="12"/>
  <c r="O52" i="12"/>
  <c r="M52" i="12"/>
  <c r="L52" i="12"/>
  <c r="J52" i="12"/>
  <c r="H52" i="12"/>
  <c r="F52" i="12"/>
  <c r="E52" i="12"/>
  <c r="D52" i="12"/>
  <c r="C52" i="12"/>
  <c r="B52" i="12"/>
  <c r="A52" i="12"/>
  <c r="Q51" i="12"/>
  <c r="O51" i="12"/>
  <c r="N51" i="12"/>
  <c r="M51" i="12"/>
  <c r="L51" i="12"/>
  <c r="J51" i="12"/>
  <c r="H51" i="12"/>
  <c r="F51" i="12"/>
  <c r="E51" i="12"/>
  <c r="D51" i="12"/>
  <c r="C51" i="12"/>
  <c r="B51" i="12"/>
  <c r="A51" i="12"/>
  <c r="U50" i="12"/>
  <c r="T50" i="12"/>
  <c r="S50" i="12"/>
  <c r="R50" i="12"/>
  <c r="Q50" i="12"/>
  <c r="O50" i="12"/>
  <c r="N50" i="12"/>
  <c r="M50" i="12"/>
  <c r="L50" i="12"/>
  <c r="K50" i="12"/>
  <c r="J50" i="12"/>
  <c r="H50" i="12"/>
  <c r="F50" i="12"/>
  <c r="E50" i="12"/>
  <c r="D50" i="12"/>
  <c r="C50" i="12"/>
  <c r="B50" i="12"/>
  <c r="A50" i="12"/>
  <c r="T49" i="12"/>
  <c r="Q49" i="12"/>
  <c r="O49" i="12"/>
  <c r="N49" i="12"/>
  <c r="M49" i="12"/>
  <c r="L49" i="12"/>
  <c r="J49" i="12"/>
  <c r="H49" i="12"/>
  <c r="F49" i="12"/>
  <c r="E49" i="12"/>
  <c r="D49" i="12"/>
  <c r="C49" i="12"/>
  <c r="B49" i="12"/>
  <c r="A49" i="12"/>
  <c r="T48" i="12"/>
  <c r="Q48" i="12"/>
  <c r="O48" i="12"/>
  <c r="N48" i="12"/>
  <c r="M48" i="12"/>
  <c r="L48" i="12"/>
  <c r="J48" i="12"/>
  <c r="H48" i="12"/>
  <c r="F48" i="12"/>
  <c r="E48" i="12"/>
  <c r="D48" i="12"/>
  <c r="C48" i="12"/>
  <c r="B48" i="12"/>
  <c r="A48" i="12"/>
  <c r="Q47" i="12"/>
  <c r="O47" i="12"/>
  <c r="N47" i="12"/>
  <c r="M47" i="12"/>
  <c r="L47" i="12"/>
  <c r="J47" i="12"/>
  <c r="H47" i="12"/>
  <c r="F45" i="12" s="1"/>
  <c r="F47" i="12"/>
  <c r="E47" i="12"/>
  <c r="D47" i="12"/>
  <c r="C47" i="12"/>
  <c r="B47" i="12"/>
  <c r="A47" i="12"/>
  <c r="Q44" i="12"/>
  <c r="O44" i="12"/>
  <c r="N44" i="12"/>
  <c r="M44" i="12"/>
  <c r="L44" i="12"/>
  <c r="J44" i="12"/>
  <c r="H44" i="12"/>
  <c r="F44" i="12"/>
  <c r="E44" i="12"/>
  <c r="D44" i="12"/>
  <c r="C44" i="12"/>
  <c r="B44" i="12"/>
  <c r="A44" i="12"/>
  <c r="T43" i="12"/>
  <c r="Q43" i="12"/>
  <c r="O43" i="12"/>
  <c r="N43" i="12"/>
  <c r="M43" i="12"/>
  <c r="L43" i="12"/>
  <c r="J43" i="12"/>
  <c r="H43" i="12"/>
  <c r="F43" i="12"/>
  <c r="E43" i="12"/>
  <c r="D43" i="12"/>
  <c r="C43" i="12"/>
  <c r="B43" i="12"/>
  <c r="A43" i="12"/>
  <c r="T42" i="12"/>
  <c r="Q42" i="12"/>
  <c r="O42" i="12"/>
  <c r="N42" i="12"/>
  <c r="M42" i="12"/>
  <c r="L42" i="12"/>
  <c r="J42" i="12"/>
  <c r="H42" i="12"/>
  <c r="F42" i="12"/>
  <c r="E42" i="12"/>
  <c r="D42" i="12"/>
  <c r="C42" i="12"/>
  <c r="B42" i="12"/>
  <c r="A42" i="12"/>
  <c r="Q41" i="12"/>
  <c r="O41" i="12"/>
  <c r="N41" i="12"/>
  <c r="M41" i="12"/>
  <c r="L41" i="12"/>
  <c r="J41" i="12"/>
  <c r="H41" i="12"/>
  <c r="F41" i="12"/>
  <c r="E41" i="12"/>
  <c r="D41" i="12"/>
  <c r="C41" i="12"/>
  <c r="B41" i="12"/>
  <c r="A41" i="12"/>
  <c r="T40" i="12"/>
  <c r="Q40" i="12"/>
  <c r="O40" i="12"/>
  <c r="N40" i="12"/>
  <c r="M40" i="12"/>
  <c r="L40" i="12"/>
  <c r="J40" i="12"/>
  <c r="H40" i="12"/>
  <c r="F40" i="12"/>
  <c r="E40" i="12"/>
  <c r="D40" i="12"/>
  <c r="C40" i="12"/>
  <c r="B40" i="12"/>
  <c r="A40" i="12"/>
  <c r="U39" i="12"/>
  <c r="T39" i="12"/>
  <c r="S39" i="12"/>
  <c r="R39" i="12"/>
  <c r="Q39" i="12"/>
  <c r="P39" i="12"/>
  <c r="O39" i="12"/>
  <c r="N39" i="12"/>
  <c r="M39" i="12"/>
  <c r="L39" i="12"/>
  <c r="K39" i="12"/>
  <c r="J39" i="12"/>
  <c r="H39" i="12"/>
  <c r="F39" i="12"/>
  <c r="E39" i="12"/>
  <c r="D39" i="12"/>
  <c r="C39" i="12"/>
  <c r="B39" i="12"/>
  <c r="A39" i="12"/>
  <c r="T38" i="12"/>
  <c r="Q38" i="12"/>
  <c r="O38" i="12"/>
  <c r="N38" i="12"/>
  <c r="M38" i="12"/>
  <c r="L38" i="12"/>
  <c r="J38" i="12"/>
  <c r="H38" i="12"/>
  <c r="F38" i="12"/>
  <c r="E38" i="12"/>
  <c r="D38" i="12"/>
  <c r="C38" i="12"/>
  <c r="B38" i="12"/>
  <c r="A38" i="12"/>
  <c r="Q37" i="12"/>
  <c r="O37" i="12"/>
  <c r="N37" i="12"/>
  <c r="M37" i="12"/>
  <c r="L37" i="12"/>
  <c r="J37" i="12"/>
  <c r="H37" i="12"/>
  <c r="F37" i="12"/>
  <c r="E37" i="12"/>
  <c r="D37" i="12"/>
  <c r="C37" i="12"/>
  <c r="B37" i="12"/>
  <c r="A37" i="12"/>
  <c r="T36" i="12"/>
  <c r="Q36" i="12"/>
  <c r="O36" i="12"/>
  <c r="N36" i="12"/>
  <c r="M36" i="12"/>
  <c r="L36" i="12"/>
  <c r="J36" i="12"/>
  <c r="H36" i="12"/>
  <c r="F36" i="12"/>
  <c r="E36" i="12"/>
  <c r="D36" i="12"/>
  <c r="C36" i="12"/>
  <c r="B36" i="12"/>
  <c r="A36" i="12"/>
  <c r="Q35" i="12"/>
  <c r="O35" i="12"/>
  <c r="N35" i="12"/>
  <c r="M35" i="12"/>
  <c r="L35" i="12"/>
  <c r="J35" i="12"/>
  <c r="H35" i="12"/>
  <c r="F35" i="12"/>
  <c r="E35" i="12"/>
  <c r="D35" i="12"/>
  <c r="C35" i="12"/>
  <c r="B35" i="12"/>
  <c r="A35" i="12"/>
  <c r="T34" i="12"/>
  <c r="Q34" i="12"/>
  <c r="O34" i="12"/>
  <c r="N34" i="12"/>
  <c r="M34" i="12"/>
  <c r="L34" i="12"/>
  <c r="J34" i="12"/>
  <c r="H34" i="12"/>
  <c r="F34" i="12"/>
  <c r="E34" i="12"/>
  <c r="D34" i="12"/>
  <c r="C34" i="12"/>
  <c r="B34" i="12"/>
  <c r="A34" i="12"/>
  <c r="Q33" i="12"/>
  <c r="O33" i="12"/>
  <c r="N33" i="12"/>
  <c r="M33" i="12"/>
  <c r="L33" i="12"/>
  <c r="J33" i="12"/>
  <c r="H33" i="12"/>
  <c r="F33" i="12"/>
  <c r="E33" i="12"/>
  <c r="D33" i="12"/>
  <c r="C33" i="12"/>
  <c r="B33" i="12"/>
  <c r="A33" i="12"/>
  <c r="U32" i="12"/>
  <c r="T32" i="12"/>
  <c r="Q32" i="12"/>
  <c r="O32" i="12"/>
  <c r="N32" i="12"/>
  <c r="M32" i="12"/>
  <c r="L32" i="12"/>
  <c r="J32" i="12"/>
  <c r="H32" i="12"/>
  <c r="F31" i="12" s="1"/>
  <c r="F32" i="12"/>
  <c r="E32" i="12"/>
  <c r="D32" i="12"/>
  <c r="C32" i="12"/>
  <c r="B32" i="12"/>
  <c r="A32" i="12"/>
  <c r="Q30" i="12"/>
  <c r="O30" i="12"/>
  <c r="N30" i="12"/>
  <c r="M30" i="12"/>
  <c r="L30" i="12"/>
  <c r="J30" i="12"/>
  <c r="H30" i="12"/>
  <c r="F30" i="12"/>
  <c r="E30" i="12"/>
  <c r="D30" i="12"/>
  <c r="C30" i="12"/>
  <c r="B30" i="12"/>
  <c r="A30" i="12"/>
  <c r="Q29" i="12"/>
  <c r="O29" i="12"/>
  <c r="M29" i="12"/>
  <c r="L29" i="12"/>
  <c r="J29" i="12"/>
  <c r="H29" i="12"/>
  <c r="F29" i="12"/>
  <c r="E29" i="12"/>
  <c r="D29" i="12"/>
  <c r="C29" i="12"/>
  <c r="B29" i="12"/>
  <c r="A29" i="12"/>
  <c r="Q28" i="12"/>
  <c r="O28" i="12"/>
  <c r="N28" i="12"/>
  <c r="M28" i="12"/>
  <c r="L28" i="12"/>
  <c r="J28" i="12"/>
  <c r="H28" i="12"/>
  <c r="F28" i="12"/>
  <c r="E28" i="12"/>
  <c r="D28" i="12"/>
  <c r="C28" i="12"/>
  <c r="B28" i="12"/>
  <c r="A28" i="12"/>
  <c r="T27" i="12"/>
  <c r="Q27" i="12"/>
  <c r="O27" i="12"/>
  <c r="M27" i="12"/>
  <c r="L27" i="12"/>
  <c r="J27" i="12"/>
  <c r="H27" i="12"/>
  <c r="F27" i="12"/>
  <c r="E27" i="12"/>
  <c r="D27" i="12"/>
  <c r="C27" i="12"/>
  <c r="B27" i="12"/>
  <c r="A27" i="12"/>
  <c r="T26" i="12"/>
  <c r="Q26" i="12"/>
  <c r="O26" i="12"/>
  <c r="N26" i="12"/>
  <c r="M26" i="12"/>
  <c r="L26" i="12"/>
  <c r="J26" i="12"/>
  <c r="H26" i="12"/>
  <c r="F26" i="12"/>
  <c r="E26" i="12"/>
  <c r="D26" i="12"/>
  <c r="C26" i="12"/>
  <c r="B26" i="12"/>
  <c r="A26" i="12"/>
  <c r="U25" i="12"/>
  <c r="T25" i="12"/>
  <c r="S25" i="12"/>
  <c r="R25" i="12"/>
  <c r="Q25" i="12"/>
  <c r="P25" i="12"/>
  <c r="O25" i="12"/>
  <c r="N25" i="12"/>
  <c r="M25" i="12"/>
  <c r="L25" i="12"/>
  <c r="K25" i="12"/>
  <c r="J25" i="12"/>
  <c r="H25" i="12"/>
  <c r="F25" i="12"/>
  <c r="E25" i="12"/>
  <c r="D25" i="12"/>
  <c r="C25" i="12"/>
  <c r="B25" i="12"/>
  <c r="A25" i="12"/>
  <c r="Q24" i="12"/>
  <c r="O24" i="12"/>
  <c r="N24" i="12"/>
  <c r="M24" i="12"/>
  <c r="L24" i="12"/>
  <c r="J24" i="12"/>
  <c r="H24" i="12"/>
  <c r="F24" i="12"/>
  <c r="E24" i="12"/>
  <c r="D24" i="12"/>
  <c r="C24" i="12"/>
  <c r="B24" i="12"/>
  <c r="A24" i="12"/>
  <c r="Q23" i="12"/>
  <c r="O23" i="12"/>
  <c r="N23" i="12"/>
  <c r="M23" i="12"/>
  <c r="L23" i="12"/>
  <c r="J23" i="12"/>
  <c r="H23" i="12"/>
  <c r="F23" i="12"/>
  <c r="E23" i="12"/>
  <c r="D23" i="12"/>
  <c r="C23" i="12"/>
  <c r="B23" i="12"/>
  <c r="A23" i="12"/>
  <c r="T22" i="12"/>
  <c r="Q22" i="12"/>
  <c r="O22" i="12"/>
  <c r="N22" i="12"/>
  <c r="M22" i="12"/>
  <c r="L22" i="12"/>
  <c r="J22" i="12"/>
  <c r="H22" i="12"/>
  <c r="F22" i="12"/>
  <c r="E22" i="12"/>
  <c r="D22" i="12"/>
  <c r="C22" i="12"/>
  <c r="B22" i="12"/>
  <c r="A22" i="12"/>
  <c r="Q21" i="12"/>
  <c r="O21" i="12"/>
  <c r="N21" i="12"/>
  <c r="M21" i="12"/>
  <c r="L21" i="12"/>
  <c r="J21" i="12"/>
  <c r="H21" i="12"/>
  <c r="F21" i="12"/>
  <c r="E21" i="12"/>
  <c r="D21" i="12"/>
  <c r="C21" i="12"/>
  <c r="B21" i="12"/>
  <c r="A21" i="12"/>
  <c r="U20" i="12"/>
  <c r="T20" i="12"/>
  <c r="Q20" i="12"/>
  <c r="O20" i="12"/>
  <c r="N20" i="12"/>
  <c r="M20" i="12"/>
  <c r="L20" i="12"/>
  <c r="J20" i="12"/>
  <c r="H20" i="12"/>
  <c r="F20" i="12"/>
  <c r="E20" i="12"/>
  <c r="D20" i="12"/>
  <c r="C20" i="12"/>
  <c r="B20" i="12"/>
  <c r="A20" i="12"/>
  <c r="Q19" i="12"/>
  <c r="O19" i="12"/>
  <c r="N19" i="12"/>
  <c r="M19" i="12"/>
  <c r="L19" i="12"/>
  <c r="J19" i="12"/>
  <c r="H19" i="12"/>
  <c r="F17" i="12" s="1"/>
  <c r="F19" i="12"/>
  <c r="E19" i="12"/>
  <c r="D19" i="12"/>
  <c r="C19" i="12"/>
  <c r="B19" i="12"/>
  <c r="A19" i="12"/>
  <c r="Q16" i="12"/>
  <c r="O16" i="12"/>
  <c r="N16" i="12"/>
  <c r="M16" i="12"/>
  <c r="L16" i="12"/>
  <c r="J16" i="12"/>
  <c r="H16" i="12"/>
  <c r="F16" i="12"/>
  <c r="E16" i="12"/>
  <c r="D16" i="12"/>
  <c r="C16" i="12"/>
  <c r="B16" i="12"/>
  <c r="A16" i="12"/>
  <c r="U15" i="12"/>
  <c r="T15" i="12"/>
  <c r="S15" i="12"/>
  <c r="R15" i="12"/>
  <c r="Q15" i="12"/>
  <c r="O15" i="12"/>
  <c r="N15" i="12"/>
  <c r="M15" i="12"/>
  <c r="L15" i="12"/>
  <c r="K15" i="12"/>
  <c r="J15" i="12"/>
  <c r="H15" i="12"/>
  <c r="F15" i="12"/>
  <c r="E15" i="12"/>
  <c r="D15" i="12"/>
  <c r="C15" i="12"/>
  <c r="B15" i="12"/>
  <c r="A15" i="12"/>
  <c r="Q14" i="12"/>
  <c r="O14" i="12"/>
  <c r="N14" i="12"/>
  <c r="M14" i="12"/>
  <c r="L14" i="12"/>
  <c r="J14" i="12"/>
  <c r="H14" i="12"/>
  <c r="F14" i="12"/>
  <c r="E14" i="12"/>
  <c r="D14" i="12"/>
  <c r="C14" i="12"/>
  <c r="B14" i="12"/>
  <c r="A14" i="12"/>
  <c r="Q13" i="12"/>
  <c r="O13" i="12"/>
  <c r="M13" i="12"/>
  <c r="L13" i="12"/>
  <c r="J13" i="12"/>
  <c r="H13" i="12"/>
  <c r="F13" i="12"/>
  <c r="E13" i="12"/>
  <c r="D13" i="12"/>
  <c r="C13" i="12"/>
  <c r="B13" i="12"/>
  <c r="A13" i="12"/>
  <c r="U12" i="12"/>
  <c r="T12" i="12"/>
  <c r="S12" i="12"/>
  <c r="R12" i="12"/>
  <c r="Q12" i="12"/>
  <c r="P12" i="12"/>
  <c r="O12" i="12"/>
  <c r="N12" i="12"/>
  <c r="M12" i="12"/>
  <c r="L12" i="12"/>
  <c r="K12" i="12"/>
  <c r="J12" i="12"/>
  <c r="H12" i="12"/>
  <c r="F12" i="12"/>
  <c r="E12" i="12"/>
  <c r="D12" i="12"/>
  <c r="C12" i="12"/>
  <c r="B12" i="12"/>
  <c r="A12" i="12"/>
  <c r="Q11" i="12"/>
  <c r="O11" i="12"/>
  <c r="N11" i="12"/>
  <c r="M11" i="12"/>
  <c r="L11" i="12"/>
  <c r="J11" i="12"/>
  <c r="H11" i="12"/>
  <c r="F11" i="12"/>
  <c r="E11" i="12"/>
  <c r="D11" i="12"/>
  <c r="C11" i="12"/>
  <c r="B11" i="12"/>
  <c r="A11" i="12"/>
  <c r="Q10" i="12"/>
  <c r="O10" i="12"/>
  <c r="M10" i="12"/>
  <c r="L10" i="12"/>
  <c r="J10" i="12"/>
  <c r="H10" i="12"/>
  <c r="F10" i="12"/>
  <c r="E10" i="12"/>
  <c r="D10" i="12"/>
  <c r="C10" i="12"/>
  <c r="B10" i="12"/>
  <c r="A10" i="12"/>
  <c r="Q9" i="12"/>
  <c r="O9" i="12"/>
  <c r="N9" i="12"/>
  <c r="M9" i="12"/>
  <c r="L9" i="12"/>
  <c r="J9" i="12"/>
  <c r="H9" i="12"/>
  <c r="F9" i="12"/>
  <c r="E9" i="12"/>
  <c r="D9" i="12"/>
  <c r="C9" i="12"/>
  <c r="B9" i="12"/>
  <c r="A9" i="12"/>
  <c r="T8" i="12"/>
  <c r="Q8" i="12"/>
  <c r="O8" i="12"/>
  <c r="N8" i="12"/>
  <c r="M8" i="12"/>
  <c r="L8" i="12"/>
  <c r="J8" i="12"/>
  <c r="H8" i="12"/>
  <c r="F8" i="12"/>
  <c r="E8" i="12"/>
  <c r="D8" i="12"/>
  <c r="C8" i="12"/>
  <c r="B8" i="12"/>
  <c r="A8" i="12"/>
  <c r="T7" i="12"/>
  <c r="Q7" i="12"/>
  <c r="O7" i="12"/>
  <c r="N7" i="12"/>
  <c r="M7" i="12"/>
  <c r="L7" i="12"/>
  <c r="J7" i="12"/>
  <c r="H7" i="12"/>
  <c r="F7" i="12"/>
  <c r="E7" i="12"/>
  <c r="D7" i="12"/>
  <c r="C7" i="12"/>
  <c r="B7" i="12"/>
  <c r="A7" i="12"/>
  <c r="U6" i="12"/>
  <c r="T6" i="12"/>
  <c r="Q6" i="12"/>
  <c r="O6" i="12"/>
  <c r="N6" i="12"/>
  <c r="M6" i="12"/>
  <c r="L6" i="12"/>
  <c r="J6" i="12"/>
  <c r="H6" i="12"/>
  <c r="G6" i="12"/>
  <c r="F6" i="12"/>
  <c r="E6" i="12"/>
  <c r="D6" i="12"/>
  <c r="C6" i="12"/>
  <c r="B6" i="12"/>
  <c r="A6" i="12"/>
  <c r="T5" i="12"/>
  <c r="Q5" i="12"/>
  <c r="O5" i="12"/>
  <c r="N5" i="12"/>
  <c r="M5" i="12"/>
  <c r="L5" i="12"/>
  <c r="J5" i="12"/>
  <c r="H5" i="12"/>
  <c r="F5" i="12"/>
  <c r="F3" i="12" s="1"/>
  <c r="E5" i="12"/>
  <c r="D5" i="12"/>
  <c r="C5" i="12"/>
  <c r="B5" i="12"/>
  <c r="A5" i="12"/>
  <c r="T197" i="11"/>
  <c r="Q197" i="11"/>
  <c r="O197" i="11"/>
  <c r="N197" i="11"/>
  <c r="M197" i="11"/>
  <c r="L197" i="11"/>
  <c r="J197" i="11"/>
  <c r="H197" i="11"/>
  <c r="F197" i="11"/>
  <c r="E197" i="11"/>
  <c r="D197" i="11"/>
  <c r="C197" i="11"/>
  <c r="B197" i="11"/>
  <c r="A197" i="11"/>
  <c r="T196" i="11"/>
  <c r="Q196" i="11"/>
  <c r="O196" i="11"/>
  <c r="N196" i="11"/>
  <c r="M196" i="11"/>
  <c r="L196" i="11"/>
  <c r="J196" i="11"/>
  <c r="H196" i="11"/>
  <c r="F196" i="11"/>
  <c r="E196" i="11"/>
  <c r="D196" i="11"/>
  <c r="C196" i="11"/>
  <c r="B196" i="11"/>
  <c r="A196" i="11"/>
  <c r="T195" i="11"/>
  <c r="Q195" i="11"/>
  <c r="O195" i="11"/>
  <c r="M195" i="11"/>
  <c r="L195" i="11"/>
  <c r="J195" i="11"/>
  <c r="H195" i="11"/>
  <c r="F195" i="11"/>
  <c r="E195" i="11"/>
  <c r="D195" i="11"/>
  <c r="C195" i="11"/>
  <c r="B195" i="11"/>
  <c r="A195" i="11"/>
  <c r="T194" i="11"/>
  <c r="Q194" i="11"/>
  <c r="O194" i="11"/>
  <c r="N194" i="11"/>
  <c r="M194" i="11"/>
  <c r="L194" i="11"/>
  <c r="J194" i="11"/>
  <c r="H194" i="11"/>
  <c r="F194" i="11"/>
  <c r="E194" i="11"/>
  <c r="D194" i="11"/>
  <c r="C194" i="11"/>
  <c r="B194" i="11"/>
  <c r="A194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H193" i="11"/>
  <c r="F193" i="11"/>
  <c r="E193" i="11"/>
  <c r="D193" i="11"/>
  <c r="C193" i="11"/>
  <c r="B193" i="11"/>
  <c r="A193" i="11"/>
  <c r="Q192" i="11"/>
  <c r="O192" i="11"/>
  <c r="N192" i="11"/>
  <c r="M192" i="11"/>
  <c r="L192" i="11"/>
  <c r="J192" i="11"/>
  <c r="H192" i="11"/>
  <c r="F192" i="11"/>
  <c r="E192" i="11"/>
  <c r="D192" i="11"/>
  <c r="C192" i="11"/>
  <c r="B192" i="11"/>
  <c r="A192" i="11"/>
  <c r="T190" i="11"/>
  <c r="Q190" i="11"/>
  <c r="O190" i="11"/>
  <c r="N190" i="11"/>
  <c r="M190" i="11"/>
  <c r="L190" i="11"/>
  <c r="J190" i="11"/>
  <c r="H190" i="11"/>
  <c r="F190" i="11"/>
  <c r="E190" i="11"/>
  <c r="D190" i="11"/>
  <c r="C190" i="11"/>
  <c r="B190" i="11"/>
  <c r="A190" i="11"/>
  <c r="U191" i="11"/>
  <c r="T191" i="11"/>
  <c r="Q191" i="11"/>
  <c r="O191" i="11"/>
  <c r="N191" i="11"/>
  <c r="M191" i="11"/>
  <c r="L191" i="11"/>
  <c r="J191" i="11"/>
  <c r="H191" i="11"/>
  <c r="F191" i="11"/>
  <c r="E191" i="11"/>
  <c r="D191" i="11"/>
  <c r="C191" i="11"/>
  <c r="B191" i="11"/>
  <c r="A191" i="11"/>
  <c r="T189" i="11"/>
  <c r="Q189" i="11"/>
  <c r="O189" i="11"/>
  <c r="N189" i="11"/>
  <c r="M189" i="11"/>
  <c r="L189" i="11"/>
  <c r="J189" i="11"/>
  <c r="H189" i="11"/>
  <c r="F189" i="11"/>
  <c r="E189" i="11"/>
  <c r="D189" i="11"/>
  <c r="C189" i="11"/>
  <c r="B189" i="11"/>
  <c r="A189" i="11"/>
  <c r="T188" i="11"/>
  <c r="Q188" i="11"/>
  <c r="O188" i="11"/>
  <c r="N188" i="11"/>
  <c r="M188" i="11"/>
  <c r="L188" i="11"/>
  <c r="J188" i="11"/>
  <c r="H188" i="11"/>
  <c r="F188" i="11"/>
  <c r="E188" i="11"/>
  <c r="D188" i="11"/>
  <c r="C188" i="11"/>
  <c r="B188" i="11"/>
  <c r="A188" i="11"/>
  <c r="U187" i="11"/>
  <c r="T187" i="11"/>
  <c r="Q187" i="11"/>
  <c r="O187" i="11"/>
  <c r="N187" i="11"/>
  <c r="M187" i="11"/>
  <c r="L187" i="11"/>
  <c r="K187" i="11"/>
  <c r="J187" i="11"/>
  <c r="H187" i="11"/>
  <c r="F185" i="11" s="1"/>
  <c r="F187" i="11"/>
  <c r="E187" i="11"/>
  <c r="D187" i="11"/>
  <c r="C187" i="11"/>
  <c r="B187" i="11"/>
  <c r="A187" i="11"/>
  <c r="T184" i="11"/>
  <c r="Q184" i="11"/>
  <c r="O184" i="11"/>
  <c r="N184" i="11"/>
  <c r="M184" i="11"/>
  <c r="L184" i="11"/>
  <c r="J184" i="11"/>
  <c r="H184" i="11"/>
  <c r="F184" i="11"/>
  <c r="E184" i="11"/>
  <c r="D184" i="11"/>
  <c r="C184" i="11"/>
  <c r="B184" i="11"/>
  <c r="A184" i="11"/>
  <c r="Q183" i="11"/>
  <c r="O183" i="11"/>
  <c r="N183" i="11"/>
  <c r="M183" i="11"/>
  <c r="L183" i="11"/>
  <c r="J183" i="11"/>
  <c r="H183" i="11"/>
  <c r="F183" i="11"/>
  <c r="E183" i="11"/>
  <c r="D183" i="11"/>
  <c r="C183" i="11"/>
  <c r="B183" i="11"/>
  <c r="A183" i="11"/>
  <c r="Q182" i="11"/>
  <c r="O182" i="11"/>
  <c r="N182" i="11"/>
  <c r="M182" i="11"/>
  <c r="L182" i="11"/>
  <c r="J182" i="11"/>
  <c r="H182" i="11"/>
  <c r="F182" i="11"/>
  <c r="E182" i="11"/>
  <c r="D182" i="11"/>
  <c r="C182" i="11"/>
  <c r="B182" i="11"/>
  <c r="A182" i="11"/>
  <c r="T181" i="11"/>
  <c r="Q181" i="11"/>
  <c r="O181" i="11"/>
  <c r="N181" i="11"/>
  <c r="M181" i="11"/>
  <c r="L181" i="11"/>
  <c r="J181" i="11"/>
  <c r="H181" i="11"/>
  <c r="F181" i="11"/>
  <c r="E181" i="11"/>
  <c r="D181" i="11"/>
  <c r="C181" i="11"/>
  <c r="B181" i="11"/>
  <c r="A181" i="11"/>
  <c r="T180" i="11"/>
  <c r="Q180" i="11"/>
  <c r="O180" i="11"/>
  <c r="N180" i="11"/>
  <c r="M180" i="11"/>
  <c r="L180" i="11"/>
  <c r="J180" i="11"/>
  <c r="H180" i="11"/>
  <c r="F180" i="11"/>
  <c r="E180" i="11"/>
  <c r="D180" i="11"/>
  <c r="C180" i="11"/>
  <c r="B180" i="11"/>
  <c r="A180" i="11"/>
  <c r="Q179" i="11"/>
  <c r="O179" i="11"/>
  <c r="N179" i="11"/>
  <c r="M179" i="11"/>
  <c r="L179" i="11"/>
  <c r="J179" i="11"/>
  <c r="H179" i="11"/>
  <c r="F179" i="11"/>
  <c r="E179" i="11"/>
  <c r="D179" i="11"/>
  <c r="C179" i="11"/>
  <c r="B179" i="11"/>
  <c r="A179" i="11"/>
  <c r="Q178" i="11"/>
  <c r="O178" i="11"/>
  <c r="N178" i="11"/>
  <c r="M178" i="11"/>
  <c r="L178" i="11"/>
  <c r="J178" i="11"/>
  <c r="H178" i="11"/>
  <c r="F178" i="11"/>
  <c r="E178" i="11"/>
  <c r="D178" i="11"/>
  <c r="C178" i="11"/>
  <c r="B178" i="11"/>
  <c r="A178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H177" i="11"/>
  <c r="F177" i="11"/>
  <c r="E177" i="11"/>
  <c r="D177" i="11"/>
  <c r="C177" i="11"/>
  <c r="B177" i="11"/>
  <c r="A177" i="11"/>
  <c r="T175" i="11"/>
  <c r="Q175" i="11"/>
  <c r="O175" i="11"/>
  <c r="N175" i="11"/>
  <c r="M175" i="11"/>
  <c r="L175" i="11"/>
  <c r="J175" i="11"/>
  <c r="H175" i="11"/>
  <c r="F175" i="11"/>
  <c r="E175" i="11"/>
  <c r="D175" i="11"/>
  <c r="C175" i="11"/>
  <c r="B175" i="11"/>
  <c r="A175" i="11"/>
  <c r="T174" i="11"/>
  <c r="Q174" i="11"/>
  <c r="O174" i="11"/>
  <c r="N174" i="11"/>
  <c r="M174" i="11"/>
  <c r="L174" i="11"/>
  <c r="J174" i="11"/>
  <c r="H174" i="11"/>
  <c r="F174" i="11"/>
  <c r="E174" i="11"/>
  <c r="D174" i="11"/>
  <c r="C174" i="11"/>
  <c r="B174" i="11"/>
  <c r="A174" i="11"/>
  <c r="Q173" i="11"/>
  <c r="O173" i="11"/>
  <c r="N173" i="11"/>
  <c r="M173" i="11"/>
  <c r="L173" i="11"/>
  <c r="J173" i="11"/>
  <c r="H173" i="11"/>
  <c r="F173" i="11"/>
  <c r="E173" i="11"/>
  <c r="D173" i="11"/>
  <c r="C173" i="11"/>
  <c r="B173" i="11"/>
  <c r="A173" i="11"/>
  <c r="U172" i="11"/>
  <c r="T172" i="11"/>
  <c r="Q172" i="11"/>
  <c r="O172" i="11"/>
  <c r="N172" i="11"/>
  <c r="M172" i="11"/>
  <c r="L172" i="11"/>
  <c r="J172" i="11"/>
  <c r="H172" i="11"/>
  <c r="F171" i="11" s="1"/>
  <c r="F172" i="11"/>
  <c r="E172" i="11"/>
  <c r="D172" i="11"/>
  <c r="C172" i="11"/>
  <c r="B172" i="11"/>
  <c r="A172" i="11"/>
  <c r="T170" i="11"/>
  <c r="Q170" i="11"/>
  <c r="O170" i="11"/>
  <c r="N170" i="11"/>
  <c r="M170" i="11"/>
  <c r="L170" i="11"/>
  <c r="J170" i="11"/>
  <c r="H170" i="11"/>
  <c r="F170" i="11"/>
  <c r="E170" i="11"/>
  <c r="D170" i="11"/>
  <c r="C170" i="11"/>
  <c r="B170" i="11"/>
  <c r="A170" i="11"/>
  <c r="T169" i="11"/>
  <c r="Q169" i="11"/>
  <c r="O169" i="11"/>
  <c r="N169" i="11"/>
  <c r="M169" i="11"/>
  <c r="L169" i="11"/>
  <c r="J169" i="11"/>
  <c r="H169" i="11"/>
  <c r="F169" i="11"/>
  <c r="E169" i="11"/>
  <c r="D169" i="11"/>
  <c r="C169" i="11"/>
  <c r="B169" i="11"/>
  <c r="A169" i="11"/>
  <c r="T168" i="11"/>
  <c r="Q168" i="11"/>
  <c r="O168" i="11"/>
  <c r="N168" i="11"/>
  <c r="M168" i="11"/>
  <c r="L168" i="11"/>
  <c r="J168" i="11"/>
  <c r="H168" i="11"/>
  <c r="F168" i="11"/>
  <c r="E168" i="11"/>
  <c r="D168" i="11"/>
  <c r="C168" i="11"/>
  <c r="B168" i="11"/>
  <c r="A168" i="11"/>
  <c r="T167" i="11"/>
  <c r="Q167" i="11"/>
  <c r="O167" i="11"/>
  <c r="N167" i="11"/>
  <c r="M167" i="11"/>
  <c r="L167" i="11"/>
  <c r="J167" i="11"/>
  <c r="H167" i="11"/>
  <c r="F167" i="11"/>
  <c r="E167" i="11"/>
  <c r="D167" i="11"/>
  <c r="C167" i="11"/>
  <c r="B167" i="11"/>
  <c r="A167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H166" i="11"/>
  <c r="F166" i="11"/>
  <c r="E166" i="11"/>
  <c r="D166" i="11"/>
  <c r="C166" i="11"/>
  <c r="B166" i="11"/>
  <c r="A166" i="11"/>
  <c r="T164" i="11"/>
  <c r="Q164" i="11"/>
  <c r="O164" i="11"/>
  <c r="N164" i="11"/>
  <c r="M164" i="11"/>
  <c r="L164" i="11"/>
  <c r="J164" i="11"/>
  <c r="H164" i="11"/>
  <c r="F164" i="11"/>
  <c r="E164" i="11"/>
  <c r="D164" i="11"/>
  <c r="C164" i="11"/>
  <c r="B164" i="11"/>
  <c r="A164" i="11"/>
  <c r="Q163" i="11"/>
  <c r="O163" i="11"/>
  <c r="N163" i="11"/>
  <c r="M163" i="11"/>
  <c r="L163" i="11"/>
  <c r="J163" i="11"/>
  <c r="H163" i="11"/>
  <c r="F163" i="11"/>
  <c r="E163" i="11"/>
  <c r="D163" i="11"/>
  <c r="C163" i="11"/>
  <c r="B163" i="11"/>
  <c r="A163" i="11"/>
  <c r="T162" i="11"/>
  <c r="Q162" i="11"/>
  <c r="O162" i="11"/>
  <c r="N162" i="11"/>
  <c r="M162" i="11"/>
  <c r="L162" i="11"/>
  <c r="J162" i="11"/>
  <c r="H162" i="11"/>
  <c r="F162" i="11"/>
  <c r="E162" i="11"/>
  <c r="D162" i="11"/>
  <c r="C162" i="11"/>
  <c r="B162" i="11"/>
  <c r="A162" i="11"/>
  <c r="T161" i="11"/>
  <c r="Q161" i="11"/>
  <c r="O161" i="11"/>
  <c r="N161" i="11"/>
  <c r="M161" i="11"/>
  <c r="L161" i="11"/>
  <c r="J161" i="11"/>
  <c r="H161" i="11"/>
  <c r="F161" i="11"/>
  <c r="E161" i="11"/>
  <c r="D161" i="11"/>
  <c r="C161" i="11"/>
  <c r="B161" i="11"/>
  <c r="A161" i="11"/>
  <c r="T160" i="11"/>
  <c r="Q160" i="11"/>
  <c r="O160" i="11"/>
  <c r="N160" i="11"/>
  <c r="M160" i="11"/>
  <c r="L160" i="11"/>
  <c r="J160" i="11"/>
  <c r="H160" i="11"/>
  <c r="F160" i="11"/>
  <c r="E160" i="11"/>
  <c r="D160" i="11"/>
  <c r="C160" i="11"/>
  <c r="B160" i="11"/>
  <c r="A160" i="11"/>
  <c r="U159" i="11"/>
  <c r="T159" i="11"/>
  <c r="S159" i="11"/>
  <c r="R159" i="11"/>
  <c r="Q159" i="11"/>
  <c r="O159" i="11"/>
  <c r="N159" i="11"/>
  <c r="M159" i="11"/>
  <c r="L159" i="11"/>
  <c r="K159" i="11"/>
  <c r="J159" i="11"/>
  <c r="H159" i="11"/>
  <c r="F157" i="11" s="1"/>
  <c r="F159" i="11"/>
  <c r="E159" i="11"/>
  <c r="D159" i="11"/>
  <c r="C159" i="11"/>
  <c r="B159" i="11"/>
  <c r="A159" i="11"/>
  <c r="T156" i="11"/>
  <c r="Q156" i="11"/>
  <c r="O156" i="11"/>
  <c r="N156" i="11"/>
  <c r="M156" i="11"/>
  <c r="L156" i="11"/>
  <c r="J156" i="11"/>
  <c r="H156" i="11"/>
  <c r="F156" i="11"/>
  <c r="E156" i="11"/>
  <c r="D156" i="11"/>
  <c r="C156" i="11"/>
  <c r="B156" i="11"/>
  <c r="A156" i="11"/>
  <c r="Q155" i="11"/>
  <c r="O155" i="11"/>
  <c r="N155" i="11"/>
  <c r="M155" i="11"/>
  <c r="L155" i="11"/>
  <c r="J155" i="11"/>
  <c r="H155" i="11"/>
  <c r="F155" i="11"/>
  <c r="E155" i="11"/>
  <c r="D155" i="11"/>
  <c r="C155" i="11"/>
  <c r="B155" i="11"/>
  <c r="A155" i="11"/>
  <c r="T154" i="11"/>
  <c r="Q154" i="11"/>
  <c r="O154" i="11"/>
  <c r="N154" i="11"/>
  <c r="M154" i="11"/>
  <c r="L154" i="11"/>
  <c r="J154" i="11"/>
  <c r="H154" i="11"/>
  <c r="F154" i="11"/>
  <c r="E154" i="11"/>
  <c r="D154" i="11"/>
  <c r="C154" i="11"/>
  <c r="B154" i="11"/>
  <c r="A154" i="11"/>
  <c r="T153" i="11"/>
  <c r="Q153" i="11"/>
  <c r="O153" i="11"/>
  <c r="N153" i="11"/>
  <c r="M153" i="11"/>
  <c r="L153" i="11"/>
  <c r="J153" i="11"/>
  <c r="H153" i="11"/>
  <c r="F153" i="11"/>
  <c r="E153" i="11"/>
  <c r="D153" i="11"/>
  <c r="C153" i="11"/>
  <c r="B153" i="11"/>
  <c r="A153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H152" i="11"/>
  <c r="F152" i="11"/>
  <c r="E152" i="11"/>
  <c r="D152" i="11"/>
  <c r="C152" i="11"/>
  <c r="B152" i="11"/>
  <c r="A152" i="11"/>
  <c r="U151" i="11"/>
  <c r="T151" i="11"/>
  <c r="Q151" i="11"/>
  <c r="O151" i="11"/>
  <c r="N151" i="11"/>
  <c r="M151" i="11"/>
  <c r="L151" i="11"/>
  <c r="J151" i="11"/>
  <c r="H151" i="11"/>
  <c r="F151" i="11"/>
  <c r="E151" i="11"/>
  <c r="D151" i="11"/>
  <c r="C151" i="11"/>
  <c r="B151" i="11"/>
  <c r="A151" i="11"/>
  <c r="T150" i="11"/>
  <c r="Q150" i="11"/>
  <c r="O150" i="11"/>
  <c r="N150" i="11"/>
  <c r="M150" i="11"/>
  <c r="L150" i="11"/>
  <c r="J150" i="11"/>
  <c r="H150" i="11"/>
  <c r="F150" i="11"/>
  <c r="E150" i="11"/>
  <c r="D150" i="11"/>
  <c r="C150" i="11"/>
  <c r="B150" i="11"/>
  <c r="A150" i="11"/>
  <c r="T149" i="11"/>
  <c r="Q149" i="11"/>
  <c r="O149" i="11"/>
  <c r="M149" i="11"/>
  <c r="L149" i="11"/>
  <c r="J149" i="11"/>
  <c r="H149" i="11"/>
  <c r="F149" i="11"/>
  <c r="E149" i="11"/>
  <c r="D149" i="11"/>
  <c r="C149" i="11"/>
  <c r="B149" i="11"/>
  <c r="A149" i="11"/>
  <c r="T148" i="11"/>
  <c r="Q148" i="11"/>
  <c r="O148" i="11"/>
  <c r="N148" i="11"/>
  <c r="M148" i="11"/>
  <c r="L148" i="11"/>
  <c r="J148" i="11"/>
  <c r="H148" i="11"/>
  <c r="F148" i="11"/>
  <c r="E148" i="11"/>
  <c r="D148" i="11"/>
  <c r="C148" i="11"/>
  <c r="B148" i="11"/>
  <c r="A148" i="11"/>
  <c r="U147" i="11"/>
  <c r="T147" i="11"/>
  <c r="Q147" i="11"/>
  <c r="O147" i="11"/>
  <c r="N147" i="11"/>
  <c r="M147" i="11"/>
  <c r="L147" i="11"/>
  <c r="J147" i="11"/>
  <c r="H147" i="11"/>
  <c r="F147" i="11"/>
  <c r="E147" i="11"/>
  <c r="D147" i="11"/>
  <c r="C147" i="11"/>
  <c r="B147" i="11"/>
  <c r="A147" i="11"/>
  <c r="T146" i="11"/>
  <c r="Q146" i="11"/>
  <c r="O146" i="11"/>
  <c r="N146" i="11"/>
  <c r="M146" i="11"/>
  <c r="L146" i="11"/>
  <c r="J146" i="11"/>
  <c r="H146" i="11"/>
  <c r="F146" i="11"/>
  <c r="E146" i="11"/>
  <c r="D146" i="11"/>
  <c r="C146" i="11"/>
  <c r="B146" i="11"/>
  <c r="A146" i="11"/>
  <c r="T145" i="11"/>
  <c r="Q145" i="11"/>
  <c r="O145" i="11"/>
  <c r="N145" i="11"/>
  <c r="M145" i="11"/>
  <c r="L145" i="11"/>
  <c r="J145" i="11"/>
  <c r="H145" i="11"/>
  <c r="F143" i="11" s="1"/>
  <c r="F145" i="11"/>
  <c r="E145" i="11"/>
  <c r="D145" i="11"/>
  <c r="C145" i="11"/>
  <c r="B145" i="11"/>
  <c r="A145" i="11"/>
  <c r="T142" i="11"/>
  <c r="Q142" i="11"/>
  <c r="O142" i="11"/>
  <c r="N142" i="11"/>
  <c r="M142" i="11"/>
  <c r="L142" i="11"/>
  <c r="J142" i="11"/>
  <c r="H142" i="11"/>
  <c r="F142" i="11"/>
  <c r="E142" i="11"/>
  <c r="D142" i="11"/>
  <c r="C142" i="11"/>
  <c r="B142" i="11"/>
  <c r="A142" i="11"/>
  <c r="T141" i="11"/>
  <c r="Q141" i="11"/>
  <c r="O141" i="11"/>
  <c r="N141" i="11"/>
  <c r="M141" i="11"/>
  <c r="L141" i="11"/>
  <c r="J141" i="11"/>
  <c r="H141" i="11"/>
  <c r="F141" i="11"/>
  <c r="E141" i="11"/>
  <c r="D141" i="11"/>
  <c r="C141" i="11"/>
  <c r="B141" i="11"/>
  <c r="A141" i="11"/>
  <c r="T140" i="11"/>
  <c r="Q140" i="11"/>
  <c r="O140" i="11"/>
  <c r="N140" i="11"/>
  <c r="M140" i="11"/>
  <c r="L140" i="11"/>
  <c r="J140" i="11"/>
  <c r="H140" i="11"/>
  <c r="F140" i="11"/>
  <c r="E140" i="11"/>
  <c r="D140" i="11"/>
  <c r="C140" i="11"/>
  <c r="B140" i="11"/>
  <c r="A140" i="11"/>
  <c r="T139" i="11"/>
  <c r="Q139" i="11"/>
  <c r="O139" i="11"/>
  <c r="N139" i="11"/>
  <c r="M139" i="11"/>
  <c r="L139" i="11"/>
  <c r="J139" i="11"/>
  <c r="H139" i="11"/>
  <c r="F139" i="11"/>
  <c r="E139" i="11"/>
  <c r="D139" i="11"/>
  <c r="C139" i="11"/>
  <c r="B139" i="11"/>
  <c r="A139" i="11"/>
  <c r="Q138" i="11"/>
  <c r="O138" i="11"/>
  <c r="N138" i="11"/>
  <c r="M138" i="11"/>
  <c r="L138" i="11"/>
  <c r="J138" i="11"/>
  <c r="H138" i="11"/>
  <c r="F138" i="11"/>
  <c r="E138" i="11"/>
  <c r="D138" i="11"/>
  <c r="C138" i="11"/>
  <c r="B138" i="11"/>
  <c r="A138" i="11"/>
  <c r="U136" i="11"/>
  <c r="T136" i="11"/>
  <c r="Q136" i="11"/>
  <c r="O136" i="11"/>
  <c r="N136" i="11"/>
  <c r="M136" i="11"/>
  <c r="L136" i="11"/>
  <c r="J136" i="11"/>
  <c r="H136" i="11"/>
  <c r="F136" i="11"/>
  <c r="E136" i="11"/>
  <c r="D136" i="11"/>
  <c r="C136" i="11"/>
  <c r="B136" i="11"/>
  <c r="A136" i="11"/>
  <c r="T133" i="11"/>
  <c r="Q133" i="11"/>
  <c r="O133" i="11"/>
  <c r="N133" i="11"/>
  <c r="M133" i="11"/>
  <c r="L133" i="11"/>
  <c r="J133" i="11"/>
  <c r="H133" i="11"/>
  <c r="F133" i="11"/>
  <c r="E133" i="11"/>
  <c r="D133" i="11"/>
  <c r="C133" i="11"/>
  <c r="B133" i="11"/>
  <c r="A133" i="11"/>
  <c r="T132" i="11"/>
  <c r="Q132" i="11"/>
  <c r="O132" i="11"/>
  <c r="N132" i="11"/>
  <c r="M132" i="11"/>
  <c r="L132" i="11"/>
  <c r="J132" i="11"/>
  <c r="H132" i="11"/>
  <c r="F132" i="11"/>
  <c r="E132" i="11"/>
  <c r="D132" i="11"/>
  <c r="C132" i="11"/>
  <c r="B132" i="11"/>
  <c r="A132" i="11"/>
  <c r="T131" i="11"/>
  <c r="Q131" i="11"/>
  <c r="O131" i="11"/>
  <c r="N131" i="11"/>
  <c r="M131" i="11"/>
  <c r="L131" i="11"/>
  <c r="J131" i="11"/>
  <c r="H131" i="11"/>
  <c r="F131" i="11"/>
  <c r="E131" i="11"/>
  <c r="D131" i="11"/>
  <c r="C131" i="11"/>
  <c r="B131" i="11"/>
  <c r="A131" i="11"/>
  <c r="U130" i="11"/>
  <c r="T130" i="11"/>
  <c r="Q130" i="11"/>
  <c r="O130" i="11"/>
  <c r="N130" i="11"/>
  <c r="M130" i="11"/>
  <c r="L130" i="11"/>
  <c r="J130" i="11"/>
  <c r="H130" i="11"/>
  <c r="F129" i="11" s="1"/>
  <c r="F130" i="11"/>
  <c r="E130" i="11"/>
  <c r="D130" i="11"/>
  <c r="C130" i="11"/>
  <c r="B130" i="11"/>
  <c r="A130" i="11"/>
  <c r="T128" i="11"/>
  <c r="Q128" i="11"/>
  <c r="O128" i="11"/>
  <c r="N128" i="11"/>
  <c r="M128" i="11"/>
  <c r="L128" i="11"/>
  <c r="J128" i="11"/>
  <c r="H128" i="11"/>
  <c r="F128" i="11"/>
  <c r="E128" i="11"/>
  <c r="D128" i="11"/>
  <c r="C128" i="11"/>
  <c r="B128" i="11"/>
  <c r="A128" i="11"/>
  <c r="T127" i="11"/>
  <c r="Q127" i="11"/>
  <c r="O127" i="11"/>
  <c r="N127" i="11"/>
  <c r="M127" i="11"/>
  <c r="L127" i="11"/>
  <c r="J127" i="11"/>
  <c r="H127" i="11"/>
  <c r="F127" i="11"/>
  <c r="E127" i="11"/>
  <c r="D127" i="11"/>
  <c r="C127" i="11"/>
  <c r="B127" i="11"/>
  <c r="A127" i="11"/>
  <c r="T125" i="11"/>
  <c r="Q125" i="11"/>
  <c r="O125" i="11"/>
  <c r="M125" i="11"/>
  <c r="L125" i="11"/>
  <c r="J125" i="11"/>
  <c r="H125" i="11"/>
  <c r="F125" i="11"/>
  <c r="E125" i="11"/>
  <c r="D125" i="11"/>
  <c r="C125" i="11"/>
  <c r="B125" i="11"/>
  <c r="A125" i="11"/>
  <c r="T124" i="11"/>
  <c r="Q124" i="11"/>
  <c r="O124" i="11"/>
  <c r="N124" i="11"/>
  <c r="M124" i="11"/>
  <c r="L124" i="11"/>
  <c r="J124" i="11"/>
  <c r="H124" i="11"/>
  <c r="F124" i="11"/>
  <c r="E124" i="11"/>
  <c r="D124" i="11"/>
  <c r="C124" i="11"/>
  <c r="B124" i="11"/>
  <c r="A124" i="11"/>
  <c r="U123" i="11"/>
  <c r="T123" i="11"/>
  <c r="Q123" i="11"/>
  <c r="O123" i="11"/>
  <c r="N123" i="11"/>
  <c r="M123" i="11"/>
  <c r="L123" i="11"/>
  <c r="J123" i="11"/>
  <c r="H123" i="11"/>
  <c r="F123" i="11"/>
  <c r="E123" i="11"/>
  <c r="D123" i="11"/>
  <c r="C123" i="11"/>
  <c r="B123" i="11"/>
  <c r="A123" i="11"/>
  <c r="Q122" i="11"/>
  <c r="O122" i="11"/>
  <c r="N122" i="11"/>
  <c r="M122" i="11"/>
  <c r="L122" i="11"/>
  <c r="J122" i="11"/>
  <c r="H122" i="11"/>
  <c r="F122" i="11"/>
  <c r="E122" i="11"/>
  <c r="D122" i="11"/>
  <c r="C122" i="11"/>
  <c r="B122" i="11"/>
  <c r="A122" i="11"/>
  <c r="Q121" i="11"/>
  <c r="O121" i="11"/>
  <c r="N121" i="11"/>
  <c r="M121" i="11"/>
  <c r="L121" i="11"/>
  <c r="J121" i="11"/>
  <c r="H121" i="11"/>
  <c r="F121" i="11"/>
  <c r="E121" i="11"/>
  <c r="D121" i="11"/>
  <c r="C121" i="11"/>
  <c r="B121" i="11"/>
  <c r="A121" i="11"/>
  <c r="U120" i="11"/>
  <c r="T120" i="11"/>
  <c r="S120" i="11"/>
  <c r="R120" i="11"/>
  <c r="Q120" i="11"/>
  <c r="P120" i="11"/>
  <c r="O120" i="11"/>
  <c r="N120" i="11"/>
  <c r="M120" i="11"/>
  <c r="L120" i="11"/>
  <c r="K120" i="11"/>
  <c r="J120" i="11"/>
  <c r="H120" i="11"/>
  <c r="F120" i="11"/>
  <c r="E120" i="11"/>
  <c r="D120" i="11"/>
  <c r="C120" i="11"/>
  <c r="B120" i="11"/>
  <c r="A120" i="11"/>
  <c r="T119" i="11"/>
  <c r="Q119" i="11"/>
  <c r="O119" i="11"/>
  <c r="N119" i="11"/>
  <c r="M119" i="11"/>
  <c r="L119" i="11"/>
  <c r="J119" i="11"/>
  <c r="H119" i="11"/>
  <c r="F119" i="11"/>
  <c r="E119" i="11"/>
  <c r="D119" i="11"/>
  <c r="C119" i="11"/>
  <c r="B119" i="11"/>
  <c r="A119" i="11"/>
  <c r="U118" i="11"/>
  <c r="T118" i="11"/>
  <c r="Q118" i="11"/>
  <c r="O118" i="11"/>
  <c r="N118" i="11"/>
  <c r="M118" i="11"/>
  <c r="L118" i="11"/>
  <c r="J118" i="11"/>
  <c r="H118" i="11"/>
  <c r="F118" i="11"/>
  <c r="E118" i="11"/>
  <c r="D118" i="11"/>
  <c r="C118" i="11"/>
  <c r="B118" i="11"/>
  <c r="A118" i="11"/>
  <c r="Q117" i="11"/>
  <c r="O117" i="11"/>
  <c r="N117" i="11"/>
  <c r="M117" i="11"/>
  <c r="L117" i="11"/>
  <c r="J117" i="11"/>
  <c r="H117" i="11"/>
  <c r="F117" i="11"/>
  <c r="F115" i="11" s="1"/>
  <c r="E117" i="11"/>
  <c r="D117" i="11"/>
  <c r="C117" i="11"/>
  <c r="B117" i="11"/>
  <c r="A117" i="11"/>
  <c r="T114" i="11"/>
  <c r="Q114" i="11"/>
  <c r="O114" i="11"/>
  <c r="N114" i="11"/>
  <c r="M114" i="11"/>
  <c r="L114" i="11"/>
  <c r="J114" i="11"/>
  <c r="H114" i="11"/>
  <c r="F114" i="11"/>
  <c r="E114" i="11"/>
  <c r="D114" i="11"/>
  <c r="C114" i="11"/>
  <c r="B114" i="11"/>
  <c r="A114" i="11"/>
  <c r="T113" i="11"/>
  <c r="Q113" i="11"/>
  <c r="O113" i="11"/>
  <c r="N113" i="11"/>
  <c r="M113" i="11"/>
  <c r="L113" i="11"/>
  <c r="J113" i="11"/>
  <c r="H113" i="11"/>
  <c r="F113" i="11"/>
  <c r="E113" i="11"/>
  <c r="D113" i="11"/>
  <c r="C113" i="11"/>
  <c r="B113" i="11"/>
  <c r="A113" i="11"/>
  <c r="T112" i="11"/>
  <c r="Q112" i="11"/>
  <c r="O112" i="11"/>
  <c r="N112" i="11"/>
  <c r="M112" i="11"/>
  <c r="L112" i="11"/>
  <c r="J112" i="11"/>
  <c r="H112" i="11"/>
  <c r="F112" i="11"/>
  <c r="E112" i="11"/>
  <c r="D112" i="11"/>
  <c r="C112" i="11"/>
  <c r="B112" i="11"/>
  <c r="A112" i="11"/>
  <c r="Q111" i="11"/>
  <c r="O111" i="11"/>
  <c r="N111" i="11"/>
  <c r="M111" i="11"/>
  <c r="L111" i="11"/>
  <c r="J111" i="11"/>
  <c r="H111" i="11"/>
  <c r="F111" i="11"/>
  <c r="E111" i="11"/>
  <c r="D111" i="11"/>
  <c r="C111" i="11"/>
  <c r="B111" i="11"/>
  <c r="A111" i="11"/>
  <c r="Q110" i="11"/>
  <c r="O110" i="11"/>
  <c r="N110" i="11"/>
  <c r="M110" i="11"/>
  <c r="L110" i="11"/>
  <c r="J110" i="11"/>
  <c r="H110" i="11"/>
  <c r="F110" i="11"/>
  <c r="E110" i="11"/>
  <c r="D110" i="11"/>
  <c r="C110" i="11"/>
  <c r="B110" i="11"/>
  <c r="T109" i="11"/>
  <c r="Q109" i="11"/>
  <c r="O109" i="11"/>
  <c r="M109" i="11"/>
  <c r="L109" i="11"/>
  <c r="J109" i="11"/>
  <c r="H109" i="11"/>
  <c r="F109" i="11"/>
  <c r="E109" i="11"/>
  <c r="D109" i="11"/>
  <c r="C109" i="11"/>
  <c r="B109" i="11"/>
  <c r="A109" i="11"/>
  <c r="Q108" i="11"/>
  <c r="O108" i="11"/>
  <c r="M108" i="11"/>
  <c r="L108" i="11"/>
  <c r="J108" i="11"/>
  <c r="H108" i="11"/>
  <c r="F108" i="11"/>
  <c r="E108" i="11"/>
  <c r="D108" i="11"/>
  <c r="C108" i="11"/>
  <c r="B108" i="11"/>
  <c r="A108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H107" i="11"/>
  <c r="F107" i="11"/>
  <c r="E107" i="11"/>
  <c r="D107" i="11"/>
  <c r="C107" i="11"/>
  <c r="B107" i="11"/>
  <c r="A107" i="11"/>
  <c r="T105" i="11"/>
  <c r="Q105" i="11"/>
  <c r="O105" i="11"/>
  <c r="N105" i="11"/>
  <c r="M105" i="11"/>
  <c r="L105" i="11"/>
  <c r="J105" i="11"/>
  <c r="H105" i="11"/>
  <c r="F105" i="11"/>
  <c r="E105" i="11"/>
  <c r="D105" i="11"/>
  <c r="C105" i="11"/>
  <c r="B105" i="11"/>
  <c r="A105" i="11"/>
  <c r="Q104" i="11"/>
  <c r="O104" i="11"/>
  <c r="N104" i="11"/>
  <c r="M104" i="11"/>
  <c r="L104" i="11"/>
  <c r="J104" i="11"/>
  <c r="H104" i="11"/>
  <c r="F104" i="11"/>
  <c r="E104" i="11"/>
  <c r="D104" i="11"/>
  <c r="C104" i="11"/>
  <c r="B104" i="11"/>
  <c r="A104" i="11"/>
  <c r="T103" i="11"/>
  <c r="Q103" i="11"/>
  <c r="O103" i="11"/>
  <c r="N103" i="11"/>
  <c r="M103" i="11"/>
  <c r="L103" i="11"/>
  <c r="J103" i="11"/>
  <c r="H103" i="11"/>
  <c r="F103" i="11"/>
  <c r="F101" i="11" s="1"/>
  <c r="E103" i="11"/>
  <c r="D103" i="11"/>
  <c r="C103" i="11"/>
  <c r="B103" i="11"/>
  <c r="A103" i="11"/>
  <c r="Q100" i="11"/>
  <c r="O100" i="11"/>
  <c r="N100" i="11"/>
  <c r="M100" i="11"/>
  <c r="L100" i="11"/>
  <c r="J100" i="11"/>
  <c r="H100" i="11"/>
  <c r="F100" i="11"/>
  <c r="E100" i="11"/>
  <c r="D100" i="11"/>
  <c r="C100" i="11"/>
  <c r="B100" i="11"/>
  <c r="A100" i="11"/>
  <c r="Q99" i="11"/>
  <c r="O99" i="11"/>
  <c r="N99" i="11"/>
  <c r="M99" i="11"/>
  <c r="L99" i="11"/>
  <c r="J99" i="11"/>
  <c r="H99" i="11"/>
  <c r="F99" i="11"/>
  <c r="E99" i="11"/>
  <c r="D99" i="11"/>
  <c r="C99" i="11"/>
  <c r="B99" i="11"/>
  <c r="A99" i="11"/>
  <c r="T98" i="11"/>
  <c r="Q98" i="11"/>
  <c r="O98" i="11"/>
  <c r="N98" i="11"/>
  <c r="M98" i="11"/>
  <c r="L98" i="11"/>
  <c r="J98" i="11"/>
  <c r="H98" i="11"/>
  <c r="F98" i="11"/>
  <c r="E98" i="11"/>
  <c r="D98" i="11"/>
  <c r="C98" i="11"/>
  <c r="B98" i="11"/>
  <c r="A98" i="11"/>
  <c r="Q95" i="11"/>
  <c r="O95" i="11"/>
  <c r="M95" i="11"/>
  <c r="L95" i="11"/>
  <c r="J95" i="11"/>
  <c r="H95" i="11"/>
  <c r="F95" i="11"/>
  <c r="E95" i="11"/>
  <c r="D95" i="11"/>
  <c r="C95" i="11"/>
  <c r="B95" i="11"/>
  <c r="A95" i="11"/>
  <c r="T94" i="11"/>
  <c r="Q94" i="11"/>
  <c r="O94" i="11"/>
  <c r="M94" i="11"/>
  <c r="L94" i="11"/>
  <c r="J94" i="11"/>
  <c r="H94" i="11"/>
  <c r="F94" i="11"/>
  <c r="E94" i="11"/>
  <c r="D94" i="11"/>
  <c r="C94" i="11"/>
  <c r="B94" i="11"/>
  <c r="A94" i="11"/>
  <c r="T93" i="11"/>
  <c r="Q93" i="11"/>
  <c r="O93" i="11"/>
  <c r="N93" i="11"/>
  <c r="M93" i="11"/>
  <c r="L93" i="11"/>
  <c r="J93" i="11"/>
  <c r="H93" i="11"/>
  <c r="F93" i="11"/>
  <c r="E93" i="11"/>
  <c r="D93" i="11"/>
  <c r="C93" i="11"/>
  <c r="B93" i="11"/>
  <c r="A93" i="11"/>
  <c r="T92" i="11"/>
  <c r="Q92" i="11"/>
  <c r="O92" i="11"/>
  <c r="N92" i="11"/>
  <c r="M92" i="11"/>
  <c r="L92" i="11"/>
  <c r="J92" i="11"/>
  <c r="H92" i="11"/>
  <c r="F92" i="11"/>
  <c r="E92" i="11"/>
  <c r="D92" i="11"/>
  <c r="C92" i="11"/>
  <c r="B92" i="11"/>
  <c r="A92" i="11"/>
  <c r="Q91" i="11"/>
  <c r="O91" i="11"/>
  <c r="N91" i="11"/>
  <c r="M91" i="11"/>
  <c r="L91" i="11"/>
  <c r="J91" i="11"/>
  <c r="H91" i="11"/>
  <c r="F91" i="11"/>
  <c r="E91" i="11"/>
  <c r="D91" i="11"/>
  <c r="C91" i="11"/>
  <c r="B91" i="11"/>
  <c r="A91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H90" i="11"/>
  <c r="F90" i="11"/>
  <c r="E90" i="11"/>
  <c r="D90" i="11"/>
  <c r="C90" i="11"/>
  <c r="B90" i="11"/>
  <c r="A90" i="11"/>
  <c r="U89" i="11"/>
  <c r="T89" i="11"/>
  <c r="Q89" i="11"/>
  <c r="O89" i="11"/>
  <c r="N89" i="11"/>
  <c r="M89" i="11"/>
  <c r="L89" i="11"/>
  <c r="J89" i="11"/>
  <c r="H89" i="11"/>
  <c r="F87" i="11" s="1"/>
  <c r="F89" i="11"/>
  <c r="E89" i="11"/>
  <c r="D89" i="11"/>
  <c r="C89" i="11"/>
  <c r="B89" i="11"/>
  <c r="A89" i="11"/>
  <c r="T86" i="11"/>
  <c r="Q86" i="11"/>
  <c r="O86" i="11"/>
  <c r="N86" i="11"/>
  <c r="M86" i="11"/>
  <c r="L86" i="11"/>
  <c r="J86" i="11"/>
  <c r="H86" i="11"/>
  <c r="F86" i="11"/>
  <c r="E86" i="11"/>
  <c r="D86" i="11"/>
  <c r="C86" i="11"/>
  <c r="B86" i="11"/>
  <c r="A86" i="11"/>
  <c r="T85" i="11"/>
  <c r="Q85" i="11"/>
  <c r="O85" i="11"/>
  <c r="N85" i="11"/>
  <c r="M85" i="11"/>
  <c r="L85" i="11"/>
  <c r="J85" i="11"/>
  <c r="H85" i="11"/>
  <c r="F85" i="11"/>
  <c r="E85" i="11"/>
  <c r="D85" i="11"/>
  <c r="C85" i="11"/>
  <c r="B85" i="11"/>
  <c r="A85" i="11"/>
  <c r="Q84" i="11"/>
  <c r="O84" i="11"/>
  <c r="M84" i="11"/>
  <c r="L84" i="11"/>
  <c r="J84" i="11"/>
  <c r="H84" i="11"/>
  <c r="F84" i="11"/>
  <c r="E84" i="11"/>
  <c r="D84" i="11"/>
  <c r="C84" i="11"/>
  <c r="B84" i="11"/>
  <c r="A84" i="11"/>
  <c r="Q83" i="11"/>
  <c r="O83" i="11"/>
  <c r="N83" i="11"/>
  <c r="M83" i="11"/>
  <c r="L83" i="11"/>
  <c r="J83" i="11"/>
  <c r="H83" i="11"/>
  <c r="F83" i="11"/>
  <c r="E83" i="11"/>
  <c r="D83" i="11"/>
  <c r="C83" i="11"/>
  <c r="B83" i="11"/>
  <c r="A83" i="11"/>
  <c r="T82" i="11"/>
  <c r="Q82" i="11"/>
  <c r="O82" i="11"/>
  <c r="M82" i="11"/>
  <c r="L82" i="11"/>
  <c r="J82" i="11"/>
  <c r="H82" i="11"/>
  <c r="F82" i="11"/>
  <c r="E82" i="11"/>
  <c r="D82" i="11"/>
  <c r="C82" i="11"/>
  <c r="B82" i="11"/>
  <c r="A82" i="11"/>
  <c r="Q81" i="11"/>
  <c r="O81" i="11"/>
  <c r="M81" i="11"/>
  <c r="L81" i="11"/>
  <c r="J81" i="11"/>
  <c r="H81" i="11"/>
  <c r="F81" i="11"/>
  <c r="E81" i="11"/>
  <c r="D81" i="11"/>
  <c r="C81" i="11"/>
  <c r="B81" i="11"/>
  <c r="A81" i="11"/>
  <c r="Q80" i="11"/>
  <c r="O80" i="11"/>
  <c r="N80" i="11"/>
  <c r="M80" i="11"/>
  <c r="L80" i="11"/>
  <c r="J80" i="11"/>
  <c r="H80" i="11"/>
  <c r="F80" i="11"/>
  <c r="E80" i="11"/>
  <c r="D80" i="11"/>
  <c r="C80" i="11"/>
  <c r="B80" i="11"/>
  <c r="A80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H79" i="11"/>
  <c r="F79" i="11"/>
  <c r="E79" i="11"/>
  <c r="D79" i="11"/>
  <c r="C79" i="11"/>
  <c r="B79" i="11"/>
  <c r="A79" i="11"/>
  <c r="U78" i="11"/>
  <c r="T78" i="11"/>
  <c r="Q78" i="11"/>
  <c r="O78" i="11"/>
  <c r="N78" i="11"/>
  <c r="M78" i="11"/>
  <c r="L78" i="11"/>
  <c r="J78" i="11"/>
  <c r="H78" i="11"/>
  <c r="F78" i="11"/>
  <c r="E78" i="11"/>
  <c r="D78" i="11"/>
  <c r="C78" i="11"/>
  <c r="B78" i="11"/>
  <c r="A78" i="11"/>
  <c r="T77" i="11"/>
  <c r="Q77" i="11"/>
  <c r="O77" i="11"/>
  <c r="N77" i="11"/>
  <c r="M77" i="11"/>
  <c r="L77" i="11"/>
  <c r="J77" i="11"/>
  <c r="H77" i="11"/>
  <c r="F77" i="11"/>
  <c r="E77" i="11"/>
  <c r="D77" i="11"/>
  <c r="C77" i="11"/>
  <c r="B77" i="11"/>
  <c r="A77" i="11"/>
  <c r="Q76" i="11"/>
  <c r="O76" i="11"/>
  <c r="N76" i="11"/>
  <c r="M76" i="11"/>
  <c r="L76" i="11"/>
  <c r="J76" i="11"/>
  <c r="H76" i="11"/>
  <c r="F76" i="11"/>
  <c r="E76" i="11"/>
  <c r="D76" i="11"/>
  <c r="C76" i="11"/>
  <c r="B76" i="11"/>
  <c r="A76" i="11"/>
  <c r="T75" i="11"/>
  <c r="Q75" i="11"/>
  <c r="O75" i="11"/>
  <c r="N75" i="11"/>
  <c r="M75" i="11"/>
  <c r="L75" i="11"/>
  <c r="J75" i="11"/>
  <c r="H75" i="11"/>
  <c r="F75" i="11"/>
  <c r="E75" i="11"/>
  <c r="D75" i="11"/>
  <c r="C75" i="11"/>
  <c r="B75" i="11"/>
  <c r="A75" i="11"/>
  <c r="U74" i="11"/>
  <c r="T74" i="11"/>
  <c r="R74" i="11"/>
  <c r="Q74" i="11"/>
  <c r="O74" i="11"/>
  <c r="N74" i="11"/>
  <c r="M74" i="11"/>
  <c r="L74" i="11"/>
  <c r="K74" i="11"/>
  <c r="J74" i="11"/>
  <c r="H74" i="11"/>
  <c r="F73" i="11" s="1"/>
  <c r="F74" i="11"/>
  <c r="E74" i="11"/>
  <c r="D74" i="11"/>
  <c r="C74" i="11"/>
  <c r="B74" i="11"/>
  <c r="A74" i="11"/>
  <c r="T72" i="11"/>
  <c r="Q72" i="11"/>
  <c r="O72" i="11"/>
  <c r="N72" i="11"/>
  <c r="M72" i="11"/>
  <c r="L72" i="11"/>
  <c r="J72" i="11"/>
  <c r="H72" i="11"/>
  <c r="F72" i="11"/>
  <c r="E72" i="11"/>
  <c r="D72" i="11"/>
  <c r="C72" i="11"/>
  <c r="B72" i="11"/>
  <c r="A72" i="11"/>
  <c r="Q71" i="11"/>
  <c r="O71" i="11"/>
  <c r="N71" i="11"/>
  <c r="M71" i="11"/>
  <c r="L71" i="11"/>
  <c r="J71" i="11"/>
  <c r="H71" i="11"/>
  <c r="F71" i="11"/>
  <c r="E71" i="11"/>
  <c r="D71" i="11"/>
  <c r="C71" i="11"/>
  <c r="B71" i="11"/>
  <c r="A71" i="11"/>
  <c r="T70" i="11"/>
  <c r="Q70" i="11"/>
  <c r="O70" i="11"/>
  <c r="M70" i="11"/>
  <c r="L70" i="11"/>
  <c r="J70" i="11"/>
  <c r="H70" i="11"/>
  <c r="F70" i="11"/>
  <c r="E70" i="11"/>
  <c r="D70" i="11"/>
  <c r="C70" i="11"/>
  <c r="B70" i="11"/>
  <c r="A70" i="11"/>
  <c r="T69" i="11"/>
  <c r="Q69" i="11"/>
  <c r="O69" i="11"/>
  <c r="M69" i="11"/>
  <c r="L69" i="11"/>
  <c r="J69" i="11"/>
  <c r="H69" i="11"/>
  <c r="F69" i="11"/>
  <c r="E69" i="11"/>
  <c r="D69" i="11"/>
  <c r="C69" i="11"/>
  <c r="B69" i="11"/>
  <c r="A69" i="11"/>
  <c r="Q68" i="11"/>
  <c r="O68" i="11"/>
  <c r="N68" i="11"/>
  <c r="M68" i="11"/>
  <c r="L68" i="11"/>
  <c r="J68" i="11"/>
  <c r="H68" i="11"/>
  <c r="F68" i="11"/>
  <c r="E68" i="11"/>
  <c r="D68" i="11"/>
  <c r="C68" i="11"/>
  <c r="B68" i="11"/>
  <c r="A68" i="11"/>
  <c r="Q67" i="11"/>
  <c r="O67" i="11"/>
  <c r="N67" i="11"/>
  <c r="M67" i="11"/>
  <c r="L67" i="11"/>
  <c r="J67" i="11"/>
  <c r="H67" i="11"/>
  <c r="F67" i="11"/>
  <c r="E67" i="11"/>
  <c r="D67" i="11"/>
  <c r="C67" i="11"/>
  <c r="B67" i="11"/>
  <c r="A67" i="11"/>
  <c r="U66" i="11"/>
  <c r="T66" i="11"/>
  <c r="Q66" i="11"/>
  <c r="P66" i="11"/>
  <c r="O66" i="11"/>
  <c r="N66" i="11"/>
  <c r="M66" i="11"/>
  <c r="L66" i="11"/>
  <c r="J66" i="11"/>
  <c r="H66" i="11"/>
  <c r="F66" i="11"/>
  <c r="E66" i="11"/>
  <c r="D66" i="11"/>
  <c r="C66" i="11"/>
  <c r="B66" i="11"/>
  <c r="A66" i="11"/>
  <c r="T65" i="11"/>
  <c r="Q65" i="11"/>
  <c r="O65" i="11"/>
  <c r="N65" i="11"/>
  <c r="M65" i="11"/>
  <c r="L65" i="11"/>
  <c r="J65" i="11"/>
  <c r="H65" i="11"/>
  <c r="F65" i="11"/>
  <c r="E65" i="11"/>
  <c r="D65" i="11"/>
  <c r="C65" i="11"/>
  <c r="B65" i="11"/>
  <c r="A65" i="11"/>
  <c r="T64" i="11"/>
  <c r="Q64" i="11"/>
  <c r="O64" i="11"/>
  <c r="N64" i="11"/>
  <c r="M64" i="11"/>
  <c r="L64" i="11"/>
  <c r="J64" i="11"/>
  <c r="H64" i="11"/>
  <c r="F64" i="11"/>
  <c r="E64" i="11"/>
  <c r="D64" i="11"/>
  <c r="C64" i="11"/>
  <c r="B64" i="11"/>
  <c r="A64" i="11"/>
  <c r="T63" i="11"/>
  <c r="Q63" i="11"/>
  <c r="O63" i="11"/>
  <c r="N63" i="11"/>
  <c r="M63" i="11"/>
  <c r="L63" i="11"/>
  <c r="J63" i="11"/>
  <c r="H63" i="11"/>
  <c r="F63" i="11"/>
  <c r="E63" i="11"/>
  <c r="D63" i="11"/>
  <c r="C63" i="11"/>
  <c r="B63" i="11"/>
  <c r="A63" i="11"/>
  <c r="T62" i="11"/>
  <c r="Q62" i="11"/>
  <c r="O62" i="11"/>
  <c r="N62" i="11"/>
  <c r="M62" i="11"/>
  <c r="L62" i="11"/>
  <c r="J62" i="11"/>
  <c r="H62" i="11"/>
  <c r="F62" i="11"/>
  <c r="E62" i="11"/>
  <c r="D62" i="11"/>
  <c r="C62" i="11"/>
  <c r="B62" i="11"/>
  <c r="A62" i="11"/>
  <c r="T61" i="11"/>
  <c r="Q61" i="11"/>
  <c r="O61" i="11"/>
  <c r="N61" i="11"/>
  <c r="M61" i="11"/>
  <c r="L61" i="11"/>
  <c r="J61" i="11"/>
  <c r="H61" i="11"/>
  <c r="F59" i="11" s="1"/>
  <c r="F61" i="11"/>
  <c r="E61" i="11"/>
  <c r="D61" i="11"/>
  <c r="C61" i="11"/>
  <c r="B61" i="11"/>
  <c r="A61" i="11"/>
  <c r="T58" i="11"/>
  <c r="Q58" i="11"/>
  <c r="O58" i="11"/>
  <c r="N58" i="11"/>
  <c r="M58" i="11"/>
  <c r="L58" i="11"/>
  <c r="J58" i="11"/>
  <c r="H58" i="11"/>
  <c r="F58" i="11"/>
  <c r="E58" i="11"/>
  <c r="D58" i="11"/>
  <c r="C58" i="11"/>
  <c r="B58" i="11"/>
  <c r="A58" i="11"/>
  <c r="T57" i="11"/>
  <c r="Q57" i="11"/>
  <c r="O57" i="11"/>
  <c r="N57" i="11"/>
  <c r="M57" i="11"/>
  <c r="L57" i="11"/>
  <c r="J57" i="11"/>
  <c r="H57" i="11"/>
  <c r="F57" i="11"/>
  <c r="E57" i="11"/>
  <c r="D57" i="11"/>
  <c r="C57" i="11"/>
  <c r="B57" i="11"/>
  <c r="A57" i="11"/>
  <c r="Q56" i="11"/>
  <c r="O56" i="11"/>
  <c r="N56" i="11"/>
  <c r="M56" i="11"/>
  <c r="L56" i="11"/>
  <c r="J56" i="11"/>
  <c r="H56" i="11"/>
  <c r="E56" i="11"/>
  <c r="D56" i="11"/>
  <c r="C56" i="11"/>
  <c r="B56" i="11"/>
  <c r="A56" i="11"/>
  <c r="T55" i="11"/>
  <c r="Q55" i="11"/>
  <c r="O55" i="11"/>
  <c r="N55" i="11"/>
  <c r="M55" i="11"/>
  <c r="L55" i="11"/>
  <c r="J55" i="11"/>
  <c r="H55" i="11"/>
  <c r="F55" i="11"/>
  <c r="E55" i="11"/>
  <c r="D55" i="11"/>
  <c r="C55" i="11"/>
  <c r="B55" i="11"/>
  <c r="A55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H54" i="11"/>
  <c r="F54" i="11"/>
  <c r="E54" i="11"/>
  <c r="D54" i="11"/>
  <c r="C54" i="11"/>
  <c r="B54" i="11"/>
  <c r="A54" i="11"/>
  <c r="T53" i="11"/>
  <c r="Q53" i="11"/>
  <c r="O53" i="11"/>
  <c r="M53" i="11"/>
  <c r="L53" i="11"/>
  <c r="J53" i="11"/>
  <c r="H53" i="11"/>
  <c r="F53" i="11"/>
  <c r="E53" i="11"/>
  <c r="D53" i="11"/>
  <c r="C53" i="11"/>
  <c r="B53" i="11"/>
  <c r="A53" i="11"/>
  <c r="T52" i="11"/>
  <c r="Q52" i="11"/>
  <c r="O52" i="11"/>
  <c r="M52" i="11"/>
  <c r="L52" i="11"/>
  <c r="J52" i="11"/>
  <c r="H52" i="11"/>
  <c r="F52" i="11"/>
  <c r="E52" i="11"/>
  <c r="D52" i="11"/>
  <c r="C52" i="11"/>
  <c r="B52" i="11"/>
  <c r="A52" i="11"/>
  <c r="T51" i="11"/>
  <c r="Q51" i="11"/>
  <c r="O51" i="11"/>
  <c r="N51" i="11"/>
  <c r="M51" i="11"/>
  <c r="L51" i="11"/>
  <c r="J51" i="11"/>
  <c r="H51" i="11"/>
  <c r="F51" i="11"/>
  <c r="E51" i="11"/>
  <c r="D51" i="11"/>
  <c r="C51" i="11"/>
  <c r="B51" i="11"/>
  <c r="A51" i="11"/>
  <c r="T50" i="11"/>
  <c r="Q50" i="11"/>
  <c r="O50" i="11"/>
  <c r="N50" i="11"/>
  <c r="M50" i="11"/>
  <c r="L50" i="11"/>
  <c r="J50" i="11"/>
  <c r="H50" i="11"/>
  <c r="F50" i="11"/>
  <c r="E50" i="11"/>
  <c r="D50" i="11"/>
  <c r="C50" i="11"/>
  <c r="B50" i="11"/>
  <c r="A50" i="11"/>
  <c r="T49" i="11"/>
  <c r="Q49" i="11"/>
  <c r="O49" i="11"/>
  <c r="N49" i="11"/>
  <c r="M49" i="11"/>
  <c r="L49" i="11"/>
  <c r="J49" i="11"/>
  <c r="H49" i="11"/>
  <c r="F49" i="11"/>
  <c r="E49" i="11"/>
  <c r="D49" i="11"/>
  <c r="C49" i="11"/>
  <c r="B49" i="11"/>
  <c r="A49" i="11"/>
  <c r="Q48" i="11"/>
  <c r="O48" i="11"/>
  <c r="N48" i="11"/>
  <c r="M48" i="11"/>
  <c r="L48" i="11"/>
  <c r="J48" i="11"/>
  <c r="H48" i="11"/>
  <c r="F48" i="11"/>
  <c r="E48" i="11"/>
  <c r="D48" i="11"/>
  <c r="C48" i="11"/>
  <c r="B48" i="11"/>
  <c r="A48" i="11"/>
  <c r="Q47" i="11"/>
  <c r="O47" i="11"/>
  <c r="N47" i="11"/>
  <c r="M47" i="11"/>
  <c r="L47" i="11"/>
  <c r="J47" i="11"/>
  <c r="H47" i="11"/>
  <c r="F47" i="11"/>
  <c r="E47" i="11"/>
  <c r="D47" i="11"/>
  <c r="C47" i="11"/>
  <c r="B47" i="11"/>
  <c r="A47" i="11"/>
  <c r="U46" i="11"/>
  <c r="T46" i="11"/>
  <c r="S46" i="11"/>
  <c r="R46" i="11"/>
  <c r="Q46" i="11"/>
  <c r="O46" i="11"/>
  <c r="N46" i="11"/>
  <c r="M46" i="11"/>
  <c r="L46" i="11"/>
  <c r="K46" i="11"/>
  <c r="J46" i="11"/>
  <c r="H46" i="11"/>
  <c r="F45" i="11" s="1"/>
  <c r="F46" i="11"/>
  <c r="E46" i="11"/>
  <c r="D46" i="11"/>
  <c r="C46" i="11"/>
  <c r="B46" i="11"/>
  <c r="A46" i="11"/>
  <c r="Q44" i="11"/>
  <c r="O44" i="11"/>
  <c r="N44" i="11"/>
  <c r="M44" i="11"/>
  <c r="L44" i="11"/>
  <c r="J44" i="11"/>
  <c r="H44" i="11"/>
  <c r="F44" i="11"/>
  <c r="E44" i="11"/>
  <c r="D44" i="11"/>
  <c r="C44" i="11"/>
  <c r="B44" i="11"/>
  <c r="A44" i="11"/>
  <c r="U43" i="11"/>
  <c r="T43" i="11"/>
  <c r="Q43" i="11"/>
  <c r="O43" i="11"/>
  <c r="N43" i="11"/>
  <c r="M43" i="11"/>
  <c r="L43" i="11"/>
  <c r="J43" i="11"/>
  <c r="H43" i="11"/>
  <c r="F43" i="11"/>
  <c r="E43" i="11"/>
  <c r="D43" i="11"/>
  <c r="C43" i="11"/>
  <c r="B43" i="11"/>
  <c r="A43" i="11"/>
  <c r="Q41" i="11"/>
  <c r="O41" i="11"/>
  <c r="M41" i="11"/>
  <c r="L41" i="11"/>
  <c r="J41" i="11"/>
  <c r="H41" i="11"/>
  <c r="F41" i="11"/>
  <c r="E41" i="11"/>
  <c r="D41" i="11"/>
  <c r="C41" i="11"/>
  <c r="B41" i="11"/>
  <c r="A41" i="11"/>
  <c r="T40" i="11"/>
  <c r="Q40" i="11"/>
  <c r="O40" i="11"/>
  <c r="M40" i="11"/>
  <c r="L40" i="11"/>
  <c r="J40" i="11"/>
  <c r="H40" i="11"/>
  <c r="F40" i="11"/>
  <c r="E40" i="11"/>
  <c r="D40" i="11"/>
  <c r="C40" i="11"/>
  <c r="B40" i="11"/>
  <c r="A40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H39" i="11"/>
  <c r="F39" i="11"/>
  <c r="E39" i="11"/>
  <c r="D39" i="11"/>
  <c r="C39" i="11"/>
  <c r="B39" i="11"/>
  <c r="A39" i="11"/>
  <c r="Q38" i="11"/>
  <c r="O38" i="11"/>
  <c r="M38" i="11"/>
  <c r="L38" i="11"/>
  <c r="J38" i="11"/>
  <c r="H38" i="11"/>
  <c r="F38" i="11"/>
  <c r="E38" i="11"/>
  <c r="D38" i="11"/>
  <c r="C38" i="11"/>
  <c r="B38" i="11"/>
  <c r="A38" i="11"/>
  <c r="T37" i="11"/>
  <c r="Q37" i="11"/>
  <c r="O37" i="11"/>
  <c r="N37" i="11"/>
  <c r="M37" i="11"/>
  <c r="L37" i="11"/>
  <c r="J37" i="11"/>
  <c r="H37" i="11"/>
  <c r="F37" i="11"/>
  <c r="E37" i="11"/>
  <c r="D37" i="11"/>
  <c r="C37" i="11"/>
  <c r="B37" i="11"/>
  <c r="A37" i="11"/>
  <c r="T36" i="11"/>
  <c r="Q36" i="11"/>
  <c r="O36" i="11"/>
  <c r="N36" i="11"/>
  <c r="M36" i="11"/>
  <c r="L36" i="11"/>
  <c r="J36" i="11"/>
  <c r="H36" i="11"/>
  <c r="F36" i="11"/>
  <c r="E36" i="11"/>
  <c r="D36" i="11"/>
  <c r="C36" i="11"/>
  <c r="B36" i="11"/>
  <c r="A36" i="11"/>
  <c r="T35" i="11"/>
  <c r="Q35" i="11"/>
  <c r="O35" i="11"/>
  <c r="N35" i="11"/>
  <c r="M35" i="11"/>
  <c r="L35" i="11"/>
  <c r="J35" i="11"/>
  <c r="H35" i="11"/>
  <c r="F35" i="11"/>
  <c r="E35" i="11"/>
  <c r="D35" i="11"/>
  <c r="C35" i="11"/>
  <c r="B35" i="11"/>
  <c r="A35" i="11"/>
  <c r="T34" i="11"/>
  <c r="Q34" i="11"/>
  <c r="O34" i="11"/>
  <c r="N34" i="11"/>
  <c r="M34" i="11"/>
  <c r="L34" i="11"/>
  <c r="J34" i="11"/>
  <c r="H34" i="11"/>
  <c r="F34" i="11"/>
  <c r="E34" i="11"/>
  <c r="D34" i="11"/>
  <c r="C34" i="11"/>
  <c r="B34" i="11"/>
  <c r="A34" i="11"/>
  <c r="U33" i="11"/>
  <c r="T33" i="11"/>
  <c r="Q33" i="11"/>
  <c r="O33" i="11"/>
  <c r="N33" i="11"/>
  <c r="M33" i="11"/>
  <c r="L33" i="11"/>
  <c r="J33" i="11"/>
  <c r="H33" i="11"/>
  <c r="F31" i="11" s="1"/>
  <c r="F33" i="11"/>
  <c r="E33" i="11"/>
  <c r="D33" i="11"/>
  <c r="C33" i="11"/>
  <c r="B33" i="11"/>
  <c r="A33" i="11"/>
  <c r="T30" i="11"/>
  <c r="Q30" i="11"/>
  <c r="O30" i="11"/>
  <c r="N30" i="11"/>
  <c r="M30" i="11"/>
  <c r="L30" i="11"/>
  <c r="J30" i="11"/>
  <c r="H30" i="11"/>
  <c r="F30" i="11"/>
  <c r="E30" i="11"/>
  <c r="D30" i="11"/>
  <c r="C30" i="11"/>
  <c r="B30" i="11"/>
  <c r="A30" i="11"/>
  <c r="Q29" i="11"/>
  <c r="O29" i="11"/>
  <c r="N29" i="11"/>
  <c r="M29" i="11"/>
  <c r="L29" i="11"/>
  <c r="J29" i="11"/>
  <c r="H29" i="11"/>
  <c r="F29" i="11"/>
  <c r="E29" i="11"/>
  <c r="D29" i="11"/>
  <c r="C29" i="11"/>
  <c r="B29" i="11"/>
  <c r="A29" i="11"/>
  <c r="T28" i="11"/>
  <c r="Q28" i="11"/>
  <c r="O28" i="11"/>
  <c r="N28" i="11"/>
  <c r="M28" i="11"/>
  <c r="L28" i="11"/>
  <c r="J28" i="11"/>
  <c r="H28" i="11"/>
  <c r="F28" i="11"/>
  <c r="E28" i="11"/>
  <c r="D28" i="11"/>
  <c r="C28" i="11"/>
  <c r="B28" i="11"/>
  <c r="A28" i="11"/>
  <c r="U27" i="11"/>
  <c r="T27" i="11"/>
  <c r="S27" i="11"/>
  <c r="R27" i="11"/>
  <c r="Q27" i="11"/>
  <c r="P27" i="11"/>
  <c r="O27" i="11"/>
  <c r="N27" i="11"/>
  <c r="M27" i="11"/>
  <c r="L27" i="11"/>
  <c r="K27" i="11"/>
  <c r="J27" i="11"/>
  <c r="H27" i="11"/>
  <c r="F27" i="11"/>
  <c r="E27" i="11"/>
  <c r="D27" i="11"/>
  <c r="C27" i="11"/>
  <c r="B27" i="11"/>
  <c r="A27" i="11"/>
  <c r="Q26" i="11"/>
  <c r="O26" i="11"/>
  <c r="N26" i="11"/>
  <c r="M26" i="11"/>
  <c r="L26" i="11"/>
  <c r="J26" i="11"/>
  <c r="H26" i="11"/>
  <c r="F26" i="11"/>
  <c r="E26" i="11"/>
  <c r="D26" i="11"/>
  <c r="C26" i="11"/>
  <c r="B26" i="11"/>
  <c r="A26" i="11"/>
  <c r="Q25" i="11"/>
  <c r="O25" i="11"/>
  <c r="N25" i="11"/>
  <c r="M25" i="11"/>
  <c r="L25" i="11"/>
  <c r="J25" i="11"/>
  <c r="H25" i="11"/>
  <c r="F25" i="11"/>
  <c r="E25" i="11"/>
  <c r="D25" i="11"/>
  <c r="C25" i="11"/>
  <c r="B25" i="11"/>
  <c r="A25" i="11"/>
  <c r="Q24" i="11"/>
  <c r="O24" i="11"/>
  <c r="N24" i="11"/>
  <c r="M24" i="11"/>
  <c r="L24" i="11"/>
  <c r="J24" i="11"/>
  <c r="H24" i="11"/>
  <c r="F24" i="11"/>
  <c r="E24" i="11"/>
  <c r="D24" i="11"/>
  <c r="C24" i="11"/>
  <c r="B24" i="11"/>
  <c r="A24" i="11"/>
  <c r="T23" i="11"/>
  <c r="Q23" i="11"/>
  <c r="O23" i="11"/>
  <c r="N23" i="11"/>
  <c r="M23" i="11"/>
  <c r="L23" i="11"/>
  <c r="J23" i="11"/>
  <c r="H23" i="11"/>
  <c r="F23" i="11"/>
  <c r="E23" i="11"/>
  <c r="D23" i="11"/>
  <c r="C23" i="11"/>
  <c r="B23" i="11"/>
  <c r="A23" i="11"/>
  <c r="T22" i="11"/>
  <c r="Q22" i="11"/>
  <c r="O22" i="11"/>
  <c r="N22" i="11"/>
  <c r="M22" i="11"/>
  <c r="L22" i="11"/>
  <c r="J22" i="11"/>
  <c r="H22" i="11"/>
  <c r="F22" i="11"/>
  <c r="E22" i="11"/>
  <c r="D22" i="11"/>
  <c r="C22" i="11"/>
  <c r="B22" i="11"/>
  <c r="A22" i="11"/>
  <c r="T21" i="11"/>
  <c r="Q21" i="11"/>
  <c r="O21" i="11"/>
  <c r="N21" i="11"/>
  <c r="M21" i="11"/>
  <c r="L21" i="11"/>
  <c r="J21" i="11"/>
  <c r="H21" i="11"/>
  <c r="F21" i="11"/>
  <c r="E21" i="11"/>
  <c r="D21" i="11"/>
  <c r="C21" i="11"/>
  <c r="B21" i="11"/>
  <c r="A21" i="11"/>
  <c r="Q20" i="11"/>
  <c r="O20" i="11"/>
  <c r="N20" i="11"/>
  <c r="M20" i="11"/>
  <c r="L20" i="11"/>
  <c r="J20" i="11"/>
  <c r="H20" i="11"/>
  <c r="F20" i="11"/>
  <c r="E20" i="11"/>
  <c r="D20" i="11"/>
  <c r="C20" i="11"/>
  <c r="B20" i="11"/>
  <c r="A20" i="11"/>
  <c r="Q19" i="11"/>
  <c r="O19" i="11"/>
  <c r="N19" i="11"/>
  <c r="M19" i="11"/>
  <c r="L19" i="11"/>
  <c r="J19" i="11"/>
  <c r="H19" i="11"/>
  <c r="F19" i="11"/>
  <c r="E19" i="11"/>
  <c r="D19" i="11"/>
  <c r="C19" i="11"/>
  <c r="B19" i="11"/>
  <c r="A19" i="11"/>
  <c r="U18" i="11"/>
  <c r="T18" i="11"/>
  <c r="Q18" i="11"/>
  <c r="O18" i="11"/>
  <c r="N18" i="11"/>
  <c r="M18" i="11"/>
  <c r="L18" i="11"/>
  <c r="J18" i="11"/>
  <c r="H18" i="11"/>
  <c r="F17" i="11" s="1"/>
  <c r="F18" i="11"/>
  <c r="E18" i="11"/>
  <c r="D18" i="11"/>
  <c r="C18" i="11"/>
  <c r="B18" i="11"/>
  <c r="A18" i="11"/>
  <c r="T16" i="11"/>
  <c r="Q16" i="11"/>
  <c r="O16" i="11"/>
  <c r="N16" i="11"/>
  <c r="M16" i="11"/>
  <c r="L16" i="11"/>
  <c r="J16" i="11"/>
  <c r="H16" i="11"/>
  <c r="F16" i="11"/>
  <c r="E16" i="11"/>
  <c r="D16" i="11"/>
  <c r="C16" i="11"/>
  <c r="B16" i="11"/>
  <c r="A16" i="11"/>
  <c r="T15" i="11"/>
  <c r="Q15" i="11"/>
  <c r="O15" i="11"/>
  <c r="N15" i="11"/>
  <c r="M15" i="11"/>
  <c r="L15" i="11"/>
  <c r="J15" i="11"/>
  <c r="H15" i="11"/>
  <c r="F15" i="11"/>
  <c r="E15" i="11"/>
  <c r="D15" i="11"/>
  <c r="C15" i="11"/>
  <c r="B15" i="11"/>
  <c r="A15" i="11"/>
  <c r="Q14" i="11"/>
  <c r="O14" i="11"/>
  <c r="M14" i="11"/>
  <c r="L14" i="11"/>
  <c r="J14" i="11"/>
  <c r="H14" i="11"/>
  <c r="F14" i="11"/>
  <c r="E14" i="11"/>
  <c r="D14" i="11"/>
  <c r="C14" i="11"/>
  <c r="B14" i="11"/>
  <c r="A14" i="11"/>
  <c r="Q13" i="11"/>
  <c r="O13" i="11"/>
  <c r="M13" i="11"/>
  <c r="L13" i="11"/>
  <c r="J13" i="11"/>
  <c r="H13" i="11"/>
  <c r="F13" i="11"/>
  <c r="E13" i="11"/>
  <c r="D13" i="11"/>
  <c r="C13" i="11"/>
  <c r="B13" i="11"/>
  <c r="A13" i="11"/>
  <c r="U12" i="11"/>
  <c r="T12" i="11"/>
  <c r="Q12" i="11"/>
  <c r="O12" i="11"/>
  <c r="N12" i="11"/>
  <c r="M12" i="11"/>
  <c r="L12" i="11"/>
  <c r="J12" i="11"/>
  <c r="H12" i="11"/>
  <c r="F12" i="11"/>
  <c r="E12" i="11"/>
  <c r="D12" i="11"/>
  <c r="C12" i="11"/>
  <c r="B12" i="11"/>
  <c r="A12" i="11"/>
  <c r="Q11" i="11"/>
  <c r="O11" i="11"/>
  <c r="N11" i="11"/>
  <c r="M11" i="11"/>
  <c r="L11" i="11"/>
  <c r="J11" i="11"/>
  <c r="H11" i="11"/>
  <c r="F11" i="11"/>
  <c r="E11" i="11"/>
  <c r="D11" i="11"/>
  <c r="C11" i="11"/>
  <c r="B11" i="11"/>
  <c r="A11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H10" i="11"/>
  <c r="F10" i="11"/>
  <c r="E10" i="11"/>
  <c r="D10" i="11"/>
  <c r="C10" i="11"/>
  <c r="B10" i="11"/>
  <c r="A10" i="11"/>
  <c r="T9" i="11"/>
  <c r="Q9" i="11"/>
  <c r="O9" i="11"/>
  <c r="M9" i="11"/>
  <c r="L9" i="11"/>
  <c r="J9" i="11"/>
  <c r="H9" i="11"/>
  <c r="F9" i="11"/>
  <c r="E9" i="11"/>
  <c r="D9" i="11"/>
  <c r="C9" i="11"/>
  <c r="B9" i="11"/>
  <c r="A9" i="11"/>
  <c r="U8" i="11"/>
  <c r="T8" i="11"/>
  <c r="Q8" i="11"/>
  <c r="O8" i="11"/>
  <c r="N8" i="11"/>
  <c r="M8" i="11"/>
  <c r="L8" i="11"/>
  <c r="J8" i="11"/>
  <c r="H8" i="11"/>
  <c r="F8" i="11"/>
  <c r="E8" i="11"/>
  <c r="D8" i="11"/>
  <c r="C8" i="11"/>
  <c r="B8" i="11"/>
  <c r="A8" i="11"/>
  <c r="Q7" i="11"/>
  <c r="O7" i="11"/>
  <c r="N7" i="11"/>
  <c r="M7" i="11"/>
  <c r="L7" i="11"/>
  <c r="J7" i="11"/>
  <c r="H7" i="11"/>
  <c r="F7" i="11"/>
  <c r="E7" i="11"/>
  <c r="D7" i="11"/>
  <c r="C7" i="11"/>
  <c r="B7" i="11"/>
  <c r="A7" i="11"/>
  <c r="T6" i="11"/>
  <c r="Q6" i="11"/>
  <c r="O6" i="11"/>
  <c r="N6" i="11"/>
  <c r="M6" i="11"/>
  <c r="L6" i="11"/>
  <c r="J6" i="11"/>
  <c r="H6" i="11"/>
  <c r="F6" i="11"/>
  <c r="E6" i="11"/>
  <c r="D6" i="11"/>
  <c r="C6" i="11"/>
  <c r="B6" i="11"/>
  <c r="A6" i="11"/>
  <c r="Q5" i="11"/>
  <c r="O5" i="11"/>
  <c r="N5" i="11"/>
  <c r="M5" i="11"/>
  <c r="L5" i="11"/>
  <c r="J5" i="11"/>
  <c r="H5" i="11"/>
  <c r="F5" i="11"/>
  <c r="F3" i="11" s="1"/>
  <c r="E5" i="11"/>
  <c r="D5" i="11"/>
  <c r="C5" i="11"/>
  <c r="B5" i="11"/>
  <c r="A5" i="11"/>
  <c r="Q170" i="10"/>
  <c r="O170" i="10"/>
  <c r="N170" i="10"/>
  <c r="M170" i="10"/>
  <c r="L170" i="10"/>
  <c r="J170" i="10"/>
  <c r="H170" i="10"/>
  <c r="F170" i="10"/>
  <c r="E170" i="10"/>
  <c r="D170" i="10"/>
  <c r="C170" i="10"/>
  <c r="B170" i="10"/>
  <c r="A170" i="10"/>
  <c r="T169" i="10"/>
  <c r="Q169" i="10"/>
  <c r="O169" i="10"/>
  <c r="N169" i="10"/>
  <c r="M169" i="10"/>
  <c r="L169" i="10"/>
  <c r="J169" i="10"/>
  <c r="H169" i="10"/>
  <c r="F169" i="10"/>
  <c r="E169" i="10"/>
  <c r="D169" i="10"/>
  <c r="C169" i="10"/>
  <c r="B169" i="10"/>
  <c r="A169" i="10"/>
  <c r="T168" i="10"/>
  <c r="Q168" i="10"/>
  <c r="O168" i="10"/>
  <c r="N168" i="10"/>
  <c r="M168" i="10"/>
  <c r="L168" i="10"/>
  <c r="J168" i="10"/>
  <c r="H168" i="10"/>
  <c r="F168" i="10"/>
  <c r="E168" i="10"/>
  <c r="D168" i="10"/>
  <c r="C168" i="10"/>
  <c r="B168" i="10"/>
  <c r="A168" i="10"/>
  <c r="T167" i="10"/>
  <c r="Q167" i="10"/>
  <c r="O167" i="10"/>
  <c r="N167" i="10"/>
  <c r="M167" i="10"/>
  <c r="L167" i="10"/>
  <c r="J167" i="10"/>
  <c r="H167" i="10"/>
  <c r="F167" i="10"/>
  <c r="E167" i="10"/>
  <c r="D167" i="10"/>
  <c r="C167" i="10"/>
  <c r="B167" i="10"/>
  <c r="A167" i="10"/>
  <c r="Q166" i="10"/>
  <c r="O166" i="10"/>
  <c r="N166" i="10"/>
  <c r="M166" i="10"/>
  <c r="L166" i="10"/>
  <c r="J166" i="10"/>
  <c r="H166" i="10"/>
  <c r="F166" i="10"/>
  <c r="E166" i="10"/>
  <c r="D166" i="10"/>
  <c r="C166" i="10"/>
  <c r="B166" i="10"/>
  <c r="A166" i="10"/>
  <c r="U165" i="10"/>
  <c r="T165" i="10"/>
  <c r="S165" i="10"/>
  <c r="R165" i="10"/>
  <c r="Q165" i="10"/>
  <c r="P165" i="10"/>
  <c r="O165" i="10"/>
  <c r="N165" i="10"/>
  <c r="M165" i="10"/>
  <c r="L165" i="10"/>
  <c r="K165" i="10"/>
  <c r="J165" i="10"/>
  <c r="H165" i="10"/>
  <c r="F165" i="10"/>
  <c r="E165" i="10"/>
  <c r="D165" i="10"/>
  <c r="C165" i="10"/>
  <c r="B165" i="10"/>
  <c r="A165" i="10"/>
  <c r="Q164" i="10"/>
  <c r="O164" i="10"/>
  <c r="N164" i="10"/>
  <c r="M164" i="10"/>
  <c r="L164" i="10"/>
  <c r="J164" i="10"/>
  <c r="H164" i="10"/>
  <c r="F164" i="10"/>
  <c r="E164" i="10"/>
  <c r="D164" i="10"/>
  <c r="C164" i="10"/>
  <c r="B164" i="10"/>
  <c r="A164" i="10"/>
  <c r="Q163" i="10"/>
  <c r="O163" i="10"/>
  <c r="N163" i="10"/>
  <c r="M163" i="10"/>
  <c r="L163" i="10"/>
  <c r="J163" i="10"/>
  <c r="H163" i="10"/>
  <c r="F163" i="10"/>
  <c r="E163" i="10"/>
  <c r="D163" i="10"/>
  <c r="C163" i="10"/>
  <c r="B163" i="10"/>
  <c r="A163" i="10"/>
  <c r="T162" i="10"/>
  <c r="Q162" i="10"/>
  <c r="O162" i="10"/>
  <c r="N162" i="10"/>
  <c r="M162" i="10"/>
  <c r="L162" i="10"/>
  <c r="J162" i="10"/>
  <c r="H162" i="10"/>
  <c r="F162" i="10"/>
  <c r="E162" i="10"/>
  <c r="D162" i="10"/>
  <c r="C162" i="10"/>
  <c r="B162" i="10"/>
  <c r="A162" i="10"/>
  <c r="Q161" i="10"/>
  <c r="O161" i="10"/>
  <c r="N161" i="10"/>
  <c r="M161" i="10"/>
  <c r="L161" i="10"/>
  <c r="J161" i="10"/>
  <c r="H161" i="10"/>
  <c r="F161" i="10"/>
  <c r="E161" i="10"/>
  <c r="D161" i="10"/>
  <c r="C161" i="10"/>
  <c r="B161" i="10"/>
  <c r="A161" i="10"/>
  <c r="T160" i="10"/>
  <c r="Q160" i="10"/>
  <c r="O160" i="10"/>
  <c r="N160" i="10"/>
  <c r="M160" i="10"/>
  <c r="L160" i="10"/>
  <c r="J160" i="10"/>
  <c r="H160" i="10"/>
  <c r="F160" i="10"/>
  <c r="E160" i="10"/>
  <c r="D160" i="10"/>
  <c r="C160" i="10"/>
  <c r="B160" i="10"/>
  <c r="A160" i="10"/>
  <c r="Q159" i="10"/>
  <c r="O159" i="10"/>
  <c r="N159" i="10"/>
  <c r="M159" i="10"/>
  <c r="L159" i="10"/>
  <c r="J159" i="10"/>
  <c r="H159" i="10"/>
  <c r="F159" i="10"/>
  <c r="E159" i="10"/>
  <c r="D159" i="10"/>
  <c r="C159" i="10"/>
  <c r="B159" i="10"/>
  <c r="A159" i="10"/>
  <c r="U158" i="10"/>
  <c r="T158" i="10"/>
  <c r="Q158" i="10"/>
  <c r="O158" i="10"/>
  <c r="N158" i="10"/>
  <c r="M158" i="10"/>
  <c r="L158" i="10"/>
  <c r="J158" i="10"/>
  <c r="H158" i="10"/>
  <c r="F157" i="10" s="1"/>
  <c r="F158" i="10"/>
  <c r="E158" i="10"/>
  <c r="D158" i="10"/>
  <c r="C158" i="10"/>
  <c r="B158" i="10"/>
  <c r="A158" i="10"/>
  <c r="Q156" i="10"/>
  <c r="O156" i="10"/>
  <c r="N156" i="10"/>
  <c r="M156" i="10"/>
  <c r="L156" i="10"/>
  <c r="J156" i="10"/>
  <c r="H156" i="10"/>
  <c r="F156" i="10"/>
  <c r="E156" i="10"/>
  <c r="D156" i="10"/>
  <c r="C156" i="10"/>
  <c r="B156" i="10"/>
  <c r="A156" i="10"/>
  <c r="T155" i="10"/>
  <c r="Q155" i="10"/>
  <c r="O155" i="10"/>
  <c r="N155" i="10"/>
  <c r="M155" i="10"/>
  <c r="L155" i="10"/>
  <c r="J155" i="10"/>
  <c r="H155" i="10"/>
  <c r="F155" i="10"/>
  <c r="E155" i="10"/>
  <c r="D155" i="10"/>
  <c r="C155" i="10"/>
  <c r="B155" i="10"/>
  <c r="A155" i="10"/>
  <c r="T154" i="10"/>
  <c r="Q154" i="10"/>
  <c r="O154" i="10"/>
  <c r="N154" i="10"/>
  <c r="M154" i="10"/>
  <c r="L154" i="10"/>
  <c r="J154" i="10"/>
  <c r="H154" i="10"/>
  <c r="F154" i="10"/>
  <c r="E154" i="10"/>
  <c r="D154" i="10"/>
  <c r="C154" i="10"/>
  <c r="B154" i="10"/>
  <c r="A154" i="10"/>
  <c r="Q153" i="10"/>
  <c r="O153" i="10"/>
  <c r="N153" i="10"/>
  <c r="M153" i="10"/>
  <c r="L153" i="10"/>
  <c r="J153" i="10"/>
  <c r="H153" i="10"/>
  <c r="F153" i="10"/>
  <c r="E153" i="10"/>
  <c r="D153" i="10"/>
  <c r="C153" i="10"/>
  <c r="B153" i="10"/>
  <c r="A153" i="10"/>
  <c r="U152" i="10"/>
  <c r="T152" i="10"/>
  <c r="S152" i="10"/>
  <c r="R152" i="10"/>
  <c r="Q152" i="10"/>
  <c r="P152" i="10"/>
  <c r="O152" i="10"/>
  <c r="N152" i="10"/>
  <c r="M152" i="10"/>
  <c r="L152" i="10"/>
  <c r="K152" i="10"/>
  <c r="J152" i="10"/>
  <c r="H152" i="10"/>
  <c r="F152" i="10"/>
  <c r="E152" i="10"/>
  <c r="D152" i="10"/>
  <c r="C152" i="10"/>
  <c r="B152" i="10"/>
  <c r="A152" i="10"/>
  <c r="Q151" i="10"/>
  <c r="O151" i="10"/>
  <c r="N151" i="10"/>
  <c r="M151" i="10"/>
  <c r="L151" i="10"/>
  <c r="J151" i="10"/>
  <c r="H151" i="10"/>
  <c r="F151" i="10"/>
  <c r="E151" i="10"/>
  <c r="D151" i="10"/>
  <c r="C151" i="10"/>
  <c r="B151" i="10"/>
  <c r="A151" i="10"/>
  <c r="Q150" i="10"/>
  <c r="O150" i="10"/>
  <c r="N150" i="10"/>
  <c r="M150" i="10"/>
  <c r="L150" i="10"/>
  <c r="J150" i="10"/>
  <c r="H150" i="10"/>
  <c r="F150" i="10"/>
  <c r="E150" i="10"/>
  <c r="D150" i="10"/>
  <c r="C150" i="10"/>
  <c r="B150" i="10"/>
  <c r="A150" i="10"/>
  <c r="T149" i="10"/>
  <c r="Q149" i="10"/>
  <c r="O149" i="10"/>
  <c r="M149" i="10"/>
  <c r="L149" i="10"/>
  <c r="J149" i="10"/>
  <c r="H149" i="10"/>
  <c r="F149" i="10"/>
  <c r="E149" i="10"/>
  <c r="D149" i="10"/>
  <c r="C149" i="10"/>
  <c r="B149" i="10"/>
  <c r="A149" i="10"/>
  <c r="T148" i="10"/>
  <c r="Q148" i="10"/>
  <c r="O148" i="10"/>
  <c r="N148" i="10"/>
  <c r="M148" i="10"/>
  <c r="L148" i="10"/>
  <c r="J148" i="10"/>
  <c r="H148" i="10"/>
  <c r="F148" i="10"/>
  <c r="E148" i="10"/>
  <c r="D148" i="10"/>
  <c r="C148" i="10"/>
  <c r="B148" i="10"/>
  <c r="A148" i="10"/>
  <c r="T147" i="10"/>
  <c r="Q147" i="10"/>
  <c r="O147" i="10"/>
  <c r="N147" i="10"/>
  <c r="M147" i="10"/>
  <c r="L147" i="10"/>
  <c r="J147" i="10"/>
  <c r="H147" i="10"/>
  <c r="F147" i="10"/>
  <c r="E147" i="10"/>
  <c r="D147" i="10"/>
  <c r="C147" i="10"/>
  <c r="B147" i="10"/>
  <c r="A147" i="10"/>
  <c r="Q146" i="10"/>
  <c r="O146" i="10"/>
  <c r="N146" i="10"/>
  <c r="M146" i="10"/>
  <c r="L146" i="10"/>
  <c r="J146" i="10"/>
  <c r="H146" i="10"/>
  <c r="F146" i="10"/>
  <c r="E146" i="10"/>
  <c r="D146" i="10"/>
  <c r="C146" i="10"/>
  <c r="B146" i="10"/>
  <c r="A146" i="10"/>
  <c r="U145" i="10"/>
  <c r="T145" i="10"/>
  <c r="Q145" i="10"/>
  <c r="O145" i="10"/>
  <c r="N145" i="10"/>
  <c r="M145" i="10"/>
  <c r="L145" i="10"/>
  <c r="J145" i="10"/>
  <c r="H145" i="10"/>
  <c r="F143" i="10" s="1"/>
  <c r="F145" i="10"/>
  <c r="E145" i="10"/>
  <c r="D145" i="10"/>
  <c r="C145" i="10"/>
  <c r="B145" i="10"/>
  <c r="A145" i="10"/>
  <c r="Q142" i="10"/>
  <c r="O142" i="10"/>
  <c r="N142" i="10"/>
  <c r="M142" i="10"/>
  <c r="L142" i="10"/>
  <c r="J142" i="10"/>
  <c r="H142" i="10"/>
  <c r="F142" i="10"/>
  <c r="E142" i="10"/>
  <c r="D142" i="10"/>
  <c r="C142" i="10"/>
  <c r="B142" i="10"/>
  <c r="A142" i="10"/>
  <c r="T141" i="10"/>
  <c r="Q141" i="10"/>
  <c r="O141" i="10"/>
  <c r="N141" i="10"/>
  <c r="M141" i="10"/>
  <c r="L141" i="10"/>
  <c r="J141" i="10"/>
  <c r="H141" i="10"/>
  <c r="F141" i="10"/>
  <c r="E141" i="10"/>
  <c r="D141" i="10"/>
  <c r="C141" i="10"/>
  <c r="B141" i="10"/>
  <c r="A141" i="10"/>
  <c r="Q140" i="10"/>
  <c r="O140" i="10"/>
  <c r="N140" i="10"/>
  <c r="M140" i="10"/>
  <c r="L140" i="10"/>
  <c r="J140" i="10"/>
  <c r="H140" i="10"/>
  <c r="F140" i="10"/>
  <c r="E140" i="10"/>
  <c r="D140" i="10"/>
  <c r="C140" i="10"/>
  <c r="B140" i="10"/>
  <c r="A140" i="10"/>
  <c r="T139" i="10"/>
  <c r="Q139" i="10"/>
  <c r="O139" i="10"/>
  <c r="N139" i="10"/>
  <c r="M139" i="10"/>
  <c r="L139" i="10"/>
  <c r="J139" i="10"/>
  <c r="H139" i="10"/>
  <c r="F139" i="10"/>
  <c r="E139" i="10"/>
  <c r="D139" i="10"/>
  <c r="C139" i="10"/>
  <c r="B139" i="10"/>
  <c r="A139" i="10"/>
  <c r="Q138" i="10"/>
  <c r="O138" i="10"/>
  <c r="N138" i="10"/>
  <c r="M138" i="10"/>
  <c r="L138" i="10"/>
  <c r="J138" i="10"/>
  <c r="H138" i="10"/>
  <c r="F138" i="10"/>
  <c r="E138" i="10"/>
  <c r="D138" i="10"/>
  <c r="C138" i="10"/>
  <c r="B138" i="10"/>
  <c r="A138" i="10"/>
  <c r="U137" i="10"/>
  <c r="T137" i="10"/>
  <c r="S137" i="10"/>
  <c r="R137" i="10"/>
  <c r="Q137" i="10"/>
  <c r="P137" i="10"/>
  <c r="O137" i="10"/>
  <c r="N137" i="10"/>
  <c r="M137" i="10"/>
  <c r="L137" i="10"/>
  <c r="K137" i="10"/>
  <c r="J137" i="10"/>
  <c r="H137" i="10"/>
  <c r="F137" i="10"/>
  <c r="E137" i="10"/>
  <c r="D137" i="10"/>
  <c r="C137" i="10"/>
  <c r="B137" i="10"/>
  <c r="A137" i="10"/>
  <c r="T136" i="10"/>
  <c r="Q136" i="10"/>
  <c r="O136" i="10"/>
  <c r="N136" i="10"/>
  <c r="M136" i="10"/>
  <c r="L136" i="10"/>
  <c r="J136" i="10"/>
  <c r="H136" i="10"/>
  <c r="F136" i="10"/>
  <c r="E136" i="10"/>
  <c r="D136" i="10"/>
  <c r="C136" i="10"/>
  <c r="B136" i="10"/>
  <c r="A136" i="10"/>
  <c r="Q135" i="10"/>
  <c r="O135" i="10"/>
  <c r="M135" i="10"/>
  <c r="L135" i="10"/>
  <c r="J135" i="10"/>
  <c r="H135" i="10"/>
  <c r="F135" i="10"/>
  <c r="E135" i="10"/>
  <c r="D135" i="10"/>
  <c r="C135" i="10"/>
  <c r="B135" i="10"/>
  <c r="A135" i="10"/>
  <c r="T134" i="10"/>
  <c r="Q134" i="10"/>
  <c r="O134" i="10"/>
  <c r="N134" i="10"/>
  <c r="M134" i="10"/>
  <c r="L134" i="10"/>
  <c r="J134" i="10"/>
  <c r="H134" i="10"/>
  <c r="F134" i="10"/>
  <c r="E134" i="10"/>
  <c r="D134" i="10"/>
  <c r="C134" i="10"/>
  <c r="B134" i="10"/>
  <c r="A134" i="10"/>
  <c r="T133" i="10"/>
  <c r="Q133" i="10"/>
  <c r="O133" i="10"/>
  <c r="N133" i="10"/>
  <c r="M133" i="10"/>
  <c r="L133" i="10"/>
  <c r="J133" i="10"/>
  <c r="H133" i="10"/>
  <c r="F133" i="10"/>
  <c r="E133" i="10"/>
  <c r="D133" i="10"/>
  <c r="C133" i="10"/>
  <c r="B133" i="10"/>
  <c r="A133" i="10"/>
  <c r="T132" i="10"/>
  <c r="Q132" i="10"/>
  <c r="O132" i="10"/>
  <c r="N132" i="10"/>
  <c r="M132" i="10"/>
  <c r="L132" i="10"/>
  <c r="J132" i="10"/>
  <c r="H132" i="10"/>
  <c r="F132" i="10"/>
  <c r="E132" i="10"/>
  <c r="D132" i="10"/>
  <c r="C132" i="10"/>
  <c r="B132" i="10"/>
  <c r="A132" i="10"/>
  <c r="U131" i="10"/>
  <c r="T131" i="10"/>
  <c r="S131" i="10"/>
  <c r="R131" i="10"/>
  <c r="Q131" i="10"/>
  <c r="O131" i="10"/>
  <c r="N131" i="10"/>
  <c r="M131" i="10"/>
  <c r="L131" i="10"/>
  <c r="K131" i="10"/>
  <c r="J131" i="10"/>
  <c r="H131" i="10"/>
  <c r="F129" i="10" s="1"/>
  <c r="F131" i="10"/>
  <c r="E131" i="10"/>
  <c r="D131" i="10"/>
  <c r="C131" i="10"/>
  <c r="B131" i="10"/>
  <c r="A131" i="10"/>
  <c r="T128" i="10"/>
  <c r="Q128" i="10"/>
  <c r="O128" i="10"/>
  <c r="N128" i="10"/>
  <c r="M128" i="10"/>
  <c r="L128" i="10"/>
  <c r="J128" i="10"/>
  <c r="H128" i="10"/>
  <c r="F128" i="10"/>
  <c r="E128" i="10"/>
  <c r="D128" i="10"/>
  <c r="C128" i="10"/>
  <c r="B128" i="10"/>
  <c r="A128" i="10"/>
  <c r="Q127" i="10"/>
  <c r="O127" i="10"/>
  <c r="N127" i="10"/>
  <c r="M127" i="10"/>
  <c r="L127" i="10"/>
  <c r="J127" i="10"/>
  <c r="H127" i="10"/>
  <c r="F127" i="10"/>
  <c r="E127" i="10"/>
  <c r="D127" i="10"/>
  <c r="C127" i="10"/>
  <c r="B127" i="10"/>
  <c r="A127" i="10"/>
  <c r="T126" i="10"/>
  <c r="Q126" i="10"/>
  <c r="O126" i="10"/>
  <c r="N126" i="10"/>
  <c r="M126" i="10"/>
  <c r="L126" i="10"/>
  <c r="J126" i="10"/>
  <c r="H126" i="10"/>
  <c r="F126" i="10"/>
  <c r="E126" i="10"/>
  <c r="D126" i="10"/>
  <c r="C126" i="10"/>
  <c r="B126" i="10"/>
  <c r="A126" i="10"/>
  <c r="T125" i="10"/>
  <c r="Q125" i="10"/>
  <c r="O125" i="10"/>
  <c r="N125" i="10"/>
  <c r="M125" i="10"/>
  <c r="L125" i="10"/>
  <c r="J125" i="10"/>
  <c r="H125" i="10"/>
  <c r="F125" i="10"/>
  <c r="E125" i="10"/>
  <c r="D125" i="10"/>
  <c r="C125" i="10"/>
  <c r="B125" i="10"/>
  <c r="A125" i="10"/>
  <c r="T124" i="10"/>
  <c r="Q124" i="10"/>
  <c r="O124" i="10"/>
  <c r="N124" i="10"/>
  <c r="M124" i="10"/>
  <c r="L124" i="10"/>
  <c r="J124" i="10"/>
  <c r="H124" i="10"/>
  <c r="F124" i="10"/>
  <c r="E124" i="10"/>
  <c r="D124" i="10"/>
  <c r="C124" i="10"/>
  <c r="B124" i="10"/>
  <c r="A124" i="10"/>
  <c r="Q123" i="10"/>
  <c r="O123" i="10"/>
  <c r="N123" i="10"/>
  <c r="M123" i="10"/>
  <c r="L123" i="10"/>
  <c r="J123" i="10"/>
  <c r="H123" i="10"/>
  <c r="F123" i="10"/>
  <c r="E123" i="10"/>
  <c r="D123" i="10"/>
  <c r="C123" i="10"/>
  <c r="B123" i="10"/>
  <c r="A123" i="10"/>
  <c r="U122" i="10"/>
  <c r="T122" i="10"/>
  <c r="S122" i="10"/>
  <c r="R122" i="10"/>
  <c r="Q122" i="10"/>
  <c r="P122" i="10"/>
  <c r="O122" i="10"/>
  <c r="N122" i="10"/>
  <c r="M122" i="10"/>
  <c r="L122" i="10"/>
  <c r="K122" i="10"/>
  <c r="J122" i="10"/>
  <c r="H122" i="10"/>
  <c r="F122" i="10"/>
  <c r="E122" i="10"/>
  <c r="D122" i="10"/>
  <c r="C122" i="10"/>
  <c r="B122" i="10"/>
  <c r="A122" i="10"/>
  <c r="Q121" i="10"/>
  <c r="O121" i="10"/>
  <c r="M121" i="10"/>
  <c r="L121" i="10"/>
  <c r="J121" i="10"/>
  <c r="H121" i="10"/>
  <c r="F121" i="10"/>
  <c r="E121" i="10"/>
  <c r="D121" i="10"/>
  <c r="C121" i="10"/>
  <c r="B121" i="10"/>
  <c r="A121" i="10"/>
  <c r="T120" i="10"/>
  <c r="Q120" i="10"/>
  <c r="O120" i="10"/>
  <c r="N120" i="10"/>
  <c r="M120" i="10"/>
  <c r="L120" i="10"/>
  <c r="J120" i="10"/>
  <c r="H120" i="10"/>
  <c r="F120" i="10"/>
  <c r="E120" i="10"/>
  <c r="D120" i="10"/>
  <c r="C120" i="10"/>
  <c r="B120" i="10"/>
  <c r="A120" i="10"/>
  <c r="T119" i="10"/>
  <c r="Q119" i="10"/>
  <c r="O119" i="10"/>
  <c r="N119" i="10"/>
  <c r="M119" i="10"/>
  <c r="L119" i="10"/>
  <c r="J119" i="10"/>
  <c r="H119" i="10"/>
  <c r="F119" i="10"/>
  <c r="E119" i="10"/>
  <c r="D119" i="10"/>
  <c r="C119" i="10"/>
  <c r="B119" i="10"/>
  <c r="A119" i="10"/>
  <c r="T118" i="10"/>
  <c r="Q118" i="10"/>
  <c r="O118" i="10"/>
  <c r="N118" i="10"/>
  <c r="M118" i="10"/>
  <c r="L118" i="10"/>
  <c r="J118" i="10"/>
  <c r="H118" i="10"/>
  <c r="F118" i="10"/>
  <c r="E118" i="10"/>
  <c r="D118" i="10"/>
  <c r="C118" i="10"/>
  <c r="B118" i="10"/>
  <c r="A118" i="10"/>
  <c r="U117" i="10"/>
  <c r="T117" i="10"/>
  <c r="S117" i="10"/>
  <c r="R117" i="10"/>
  <c r="Q117" i="10"/>
  <c r="O117" i="10"/>
  <c r="N117" i="10"/>
  <c r="M117" i="10"/>
  <c r="L117" i="10"/>
  <c r="K117" i="10"/>
  <c r="J117" i="10"/>
  <c r="H117" i="10"/>
  <c r="F115" i="10" s="1"/>
  <c r="F117" i="10"/>
  <c r="E117" i="10"/>
  <c r="D117" i="10"/>
  <c r="C117" i="10"/>
  <c r="B117" i="10"/>
  <c r="A117" i="10"/>
  <c r="Q114" i="10"/>
  <c r="O114" i="10"/>
  <c r="N114" i="10"/>
  <c r="M114" i="10"/>
  <c r="L114" i="10"/>
  <c r="J114" i="10"/>
  <c r="H114" i="10"/>
  <c r="F114" i="10"/>
  <c r="E114" i="10"/>
  <c r="D114" i="10"/>
  <c r="C114" i="10"/>
  <c r="B114" i="10"/>
  <c r="A114" i="10"/>
  <c r="Q113" i="10"/>
  <c r="O113" i="10"/>
  <c r="N113" i="10"/>
  <c r="M113" i="10"/>
  <c r="L113" i="10"/>
  <c r="J113" i="10"/>
  <c r="H113" i="10"/>
  <c r="F113" i="10"/>
  <c r="E113" i="10"/>
  <c r="D113" i="10"/>
  <c r="C113" i="10"/>
  <c r="B113" i="10"/>
  <c r="A113" i="10"/>
  <c r="T112" i="10"/>
  <c r="Q112" i="10"/>
  <c r="O112" i="10"/>
  <c r="N112" i="10"/>
  <c r="M112" i="10"/>
  <c r="L112" i="10"/>
  <c r="J112" i="10"/>
  <c r="H112" i="10"/>
  <c r="F112" i="10"/>
  <c r="E112" i="10"/>
  <c r="D112" i="10"/>
  <c r="C112" i="10"/>
  <c r="B112" i="10"/>
  <c r="A112" i="10"/>
  <c r="T111" i="10"/>
  <c r="Q111" i="10"/>
  <c r="O111" i="10"/>
  <c r="N111" i="10"/>
  <c r="M111" i="10"/>
  <c r="L111" i="10"/>
  <c r="J111" i="10"/>
  <c r="H111" i="10"/>
  <c r="F111" i="10"/>
  <c r="E111" i="10"/>
  <c r="D111" i="10"/>
  <c r="C111" i="10"/>
  <c r="B111" i="10"/>
  <c r="A111" i="10"/>
  <c r="T110" i="10"/>
  <c r="Q110" i="10"/>
  <c r="O110" i="10"/>
  <c r="N110" i="10"/>
  <c r="M110" i="10"/>
  <c r="L110" i="10"/>
  <c r="J110" i="10"/>
  <c r="H110" i="10"/>
  <c r="F110" i="10"/>
  <c r="E110" i="10"/>
  <c r="D110" i="10"/>
  <c r="C110" i="10"/>
  <c r="B110" i="10"/>
  <c r="A110" i="10"/>
  <c r="U109" i="10"/>
  <c r="T109" i="10"/>
  <c r="S109" i="10"/>
  <c r="R109" i="10"/>
  <c r="Q109" i="10"/>
  <c r="P109" i="10"/>
  <c r="O109" i="10"/>
  <c r="N109" i="10"/>
  <c r="M109" i="10"/>
  <c r="L109" i="10"/>
  <c r="K109" i="10"/>
  <c r="J109" i="10"/>
  <c r="H109" i="10"/>
  <c r="F109" i="10"/>
  <c r="E109" i="10"/>
  <c r="D109" i="10"/>
  <c r="C109" i="10"/>
  <c r="B109" i="10"/>
  <c r="A109" i="10"/>
  <c r="T108" i="10"/>
  <c r="Q108" i="10"/>
  <c r="O108" i="10"/>
  <c r="N108" i="10"/>
  <c r="M108" i="10"/>
  <c r="L108" i="10"/>
  <c r="J108" i="10"/>
  <c r="H108" i="10"/>
  <c r="F108" i="10"/>
  <c r="E108" i="10"/>
  <c r="D108" i="10"/>
  <c r="C108" i="10"/>
  <c r="B108" i="10"/>
  <c r="A108" i="10"/>
  <c r="Q107" i="10"/>
  <c r="O107" i="10"/>
  <c r="N107" i="10"/>
  <c r="M107" i="10"/>
  <c r="L107" i="10"/>
  <c r="J107" i="10"/>
  <c r="H107" i="10"/>
  <c r="F107" i="10"/>
  <c r="E107" i="10"/>
  <c r="D107" i="10"/>
  <c r="C107" i="10"/>
  <c r="B107" i="10"/>
  <c r="A107" i="10"/>
  <c r="T106" i="10"/>
  <c r="Q106" i="10"/>
  <c r="O106" i="10"/>
  <c r="N106" i="10"/>
  <c r="M106" i="10"/>
  <c r="L106" i="10"/>
  <c r="J106" i="10"/>
  <c r="H106" i="10"/>
  <c r="F106" i="10"/>
  <c r="E106" i="10"/>
  <c r="D106" i="10"/>
  <c r="C106" i="10"/>
  <c r="B106" i="10"/>
  <c r="A106" i="10"/>
  <c r="T105" i="10"/>
  <c r="Q105" i="10"/>
  <c r="O105" i="10"/>
  <c r="N105" i="10"/>
  <c r="M105" i="10"/>
  <c r="L105" i="10"/>
  <c r="J105" i="10"/>
  <c r="H105" i="10"/>
  <c r="F105" i="10"/>
  <c r="E105" i="10"/>
  <c r="D105" i="10"/>
  <c r="C105" i="10"/>
  <c r="B105" i="10"/>
  <c r="A105" i="10"/>
  <c r="T104" i="10"/>
  <c r="Q104" i="10"/>
  <c r="O104" i="10"/>
  <c r="N104" i="10"/>
  <c r="M104" i="10"/>
  <c r="L104" i="10"/>
  <c r="J104" i="10"/>
  <c r="H104" i="10"/>
  <c r="F104" i="10"/>
  <c r="E104" i="10"/>
  <c r="D104" i="10"/>
  <c r="C104" i="10"/>
  <c r="B104" i="10"/>
  <c r="A104" i="10"/>
  <c r="Q103" i="10"/>
  <c r="O103" i="10"/>
  <c r="N103" i="10"/>
  <c r="M103" i="10"/>
  <c r="L103" i="10"/>
  <c r="J103" i="10"/>
  <c r="H103" i="10"/>
  <c r="F103" i="10"/>
  <c r="F101" i="10" s="1"/>
  <c r="E103" i="10"/>
  <c r="D103" i="10"/>
  <c r="C103" i="10"/>
  <c r="B103" i="10"/>
  <c r="A103" i="10"/>
  <c r="T100" i="10"/>
  <c r="Q100" i="10"/>
  <c r="O100" i="10"/>
  <c r="N100" i="10"/>
  <c r="M100" i="10"/>
  <c r="L100" i="10"/>
  <c r="J100" i="10"/>
  <c r="H100" i="10"/>
  <c r="F100" i="10"/>
  <c r="E100" i="10"/>
  <c r="D100" i="10"/>
  <c r="C100" i="10"/>
  <c r="B100" i="10"/>
  <c r="A100" i="10"/>
  <c r="Q99" i="10"/>
  <c r="O99" i="10"/>
  <c r="N99" i="10"/>
  <c r="M99" i="10"/>
  <c r="L99" i="10"/>
  <c r="J99" i="10"/>
  <c r="H99" i="10"/>
  <c r="F99" i="10"/>
  <c r="E99" i="10"/>
  <c r="D99" i="10"/>
  <c r="C99" i="10"/>
  <c r="B99" i="10"/>
  <c r="A99" i="10"/>
  <c r="Q98" i="10"/>
  <c r="O98" i="10"/>
  <c r="N98" i="10"/>
  <c r="M98" i="10"/>
  <c r="L98" i="10"/>
  <c r="J98" i="10"/>
  <c r="H98" i="10"/>
  <c r="F98" i="10"/>
  <c r="E98" i="10"/>
  <c r="D98" i="10"/>
  <c r="C98" i="10"/>
  <c r="B98" i="10"/>
  <c r="A98" i="10"/>
  <c r="T97" i="10"/>
  <c r="Q97" i="10"/>
  <c r="O97" i="10"/>
  <c r="N97" i="10"/>
  <c r="M97" i="10"/>
  <c r="L97" i="10"/>
  <c r="J97" i="10"/>
  <c r="H97" i="10"/>
  <c r="F97" i="10"/>
  <c r="E97" i="10"/>
  <c r="D97" i="10"/>
  <c r="C97" i="10"/>
  <c r="B97" i="10"/>
  <c r="A97" i="10"/>
  <c r="T96" i="10"/>
  <c r="Q96" i="10"/>
  <c r="O96" i="10"/>
  <c r="N96" i="10"/>
  <c r="M96" i="10"/>
  <c r="L96" i="10"/>
  <c r="J96" i="10"/>
  <c r="H96" i="10"/>
  <c r="F96" i="10"/>
  <c r="E96" i="10"/>
  <c r="D96" i="10"/>
  <c r="C96" i="10"/>
  <c r="B96" i="10"/>
  <c r="A96" i="10"/>
  <c r="T95" i="10"/>
  <c r="Q95" i="10"/>
  <c r="O95" i="10"/>
  <c r="N95" i="10"/>
  <c r="M95" i="10"/>
  <c r="L95" i="10"/>
  <c r="J95" i="10"/>
  <c r="H95" i="10"/>
  <c r="F95" i="10"/>
  <c r="E95" i="10"/>
  <c r="D95" i="10"/>
  <c r="C95" i="10"/>
  <c r="B95" i="10"/>
  <c r="A95" i="10"/>
  <c r="Q94" i="10"/>
  <c r="O94" i="10"/>
  <c r="M94" i="10"/>
  <c r="L94" i="10"/>
  <c r="J94" i="10"/>
  <c r="H94" i="10"/>
  <c r="F94" i="10"/>
  <c r="E94" i="10"/>
  <c r="D94" i="10"/>
  <c r="C94" i="10"/>
  <c r="B94" i="10"/>
  <c r="A94" i="10"/>
  <c r="Q93" i="10"/>
  <c r="O93" i="10"/>
  <c r="N93" i="10"/>
  <c r="M93" i="10"/>
  <c r="L93" i="10"/>
  <c r="J93" i="10"/>
  <c r="H93" i="10"/>
  <c r="F93" i="10"/>
  <c r="E93" i="10"/>
  <c r="D93" i="10"/>
  <c r="C93" i="10"/>
  <c r="B93" i="10"/>
  <c r="A93" i="10"/>
  <c r="T92" i="10"/>
  <c r="Q92" i="10"/>
  <c r="O92" i="10"/>
  <c r="N92" i="10"/>
  <c r="M92" i="10"/>
  <c r="L92" i="10"/>
  <c r="J92" i="10"/>
  <c r="H92" i="10"/>
  <c r="F92" i="10"/>
  <c r="E92" i="10"/>
  <c r="D92" i="10"/>
  <c r="C92" i="10"/>
  <c r="B92" i="10"/>
  <c r="A92" i="10"/>
  <c r="T91" i="10"/>
  <c r="Q91" i="10"/>
  <c r="O91" i="10"/>
  <c r="N91" i="10"/>
  <c r="M91" i="10"/>
  <c r="L91" i="10"/>
  <c r="J91" i="10"/>
  <c r="H91" i="10"/>
  <c r="F91" i="10"/>
  <c r="E91" i="10"/>
  <c r="D91" i="10"/>
  <c r="C91" i="10"/>
  <c r="B91" i="10"/>
  <c r="A91" i="10"/>
  <c r="U90" i="10"/>
  <c r="T90" i="10"/>
  <c r="S90" i="10"/>
  <c r="R90" i="10"/>
  <c r="Q90" i="10"/>
  <c r="P90" i="10"/>
  <c r="O90" i="10"/>
  <c r="N90" i="10"/>
  <c r="M90" i="10"/>
  <c r="L90" i="10"/>
  <c r="K90" i="10"/>
  <c r="J90" i="10"/>
  <c r="H90" i="10"/>
  <c r="F90" i="10"/>
  <c r="E90" i="10"/>
  <c r="D90" i="10"/>
  <c r="C90" i="10"/>
  <c r="B90" i="10"/>
  <c r="A90" i="10"/>
  <c r="Q89" i="10"/>
  <c r="O89" i="10"/>
  <c r="N89" i="10"/>
  <c r="M89" i="10"/>
  <c r="L89" i="10"/>
  <c r="J89" i="10"/>
  <c r="H89" i="10"/>
  <c r="F89" i="10"/>
  <c r="E89" i="10"/>
  <c r="D89" i="10"/>
  <c r="C89" i="10"/>
  <c r="B89" i="10"/>
  <c r="A89" i="10"/>
  <c r="U88" i="10"/>
  <c r="T88" i="10"/>
  <c r="Q88" i="10"/>
  <c r="O88" i="10"/>
  <c r="N88" i="10"/>
  <c r="M88" i="10"/>
  <c r="L88" i="10"/>
  <c r="J88" i="10"/>
  <c r="H88" i="10"/>
  <c r="F87" i="10" s="1"/>
  <c r="F88" i="10"/>
  <c r="E88" i="10"/>
  <c r="D88" i="10"/>
  <c r="C88" i="10"/>
  <c r="B88" i="10"/>
  <c r="A88" i="10"/>
  <c r="Q86" i="10"/>
  <c r="O86" i="10"/>
  <c r="N86" i="10"/>
  <c r="M86" i="10"/>
  <c r="L86" i="10"/>
  <c r="J86" i="10"/>
  <c r="H86" i="10"/>
  <c r="F86" i="10"/>
  <c r="E86" i="10"/>
  <c r="D86" i="10"/>
  <c r="C86" i="10"/>
  <c r="B86" i="10"/>
  <c r="A86" i="10"/>
  <c r="T85" i="10"/>
  <c r="Q85" i="10"/>
  <c r="O85" i="10"/>
  <c r="N85" i="10"/>
  <c r="M85" i="10"/>
  <c r="L85" i="10"/>
  <c r="J85" i="10"/>
  <c r="H85" i="10"/>
  <c r="F85" i="10"/>
  <c r="E85" i="10"/>
  <c r="D85" i="10"/>
  <c r="C85" i="10"/>
  <c r="B85" i="10"/>
  <c r="A85" i="10"/>
  <c r="T84" i="10"/>
  <c r="Q84" i="10"/>
  <c r="O84" i="10"/>
  <c r="N84" i="10"/>
  <c r="M84" i="10"/>
  <c r="L84" i="10"/>
  <c r="J84" i="10"/>
  <c r="H84" i="10"/>
  <c r="F84" i="10"/>
  <c r="E84" i="10"/>
  <c r="D84" i="10"/>
  <c r="C84" i="10"/>
  <c r="B84" i="10"/>
  <c r="A84" i="10"/>
  <c r="Q83" i="10"/>
  <c r="O83" i="10"/>
  <c r="N83" i="10"/>
  <c r="M83" i="10"/>
  <c r="L83" i="10"/>
  <c r="J83" i="10"/>
  <c r="H83" i="10"/>
  <c r="F83" i="10"/>
  <c r="E83" i="10"/>
  <c r="D83" i="10"/>
  <c r="C83" i="10"/>
  <c r="B83" i="10"/>
  <c r="A83" i="10"/>
  <c r="U82" i="10"/>
  <c r="T82" i="10"/>
  <c r="S82" i="10"/>
  <c r="R82" i="10"/>
  <c r="Q82" i="10"/>
  <c r="P82" i="10"/>
  <c r="O82" i="10"/>
  <c r="N82" i="10"/>
  <c r="M82" i="10"/>
  <c r="L82" i="10"/>
  <c r="K82" i="10"/>
  <c r="J82" i="10"/>
  <c r="H82" i="10"/>
  <c r="F82" i="10"/>
  <c r="E82" i="10"/>
  <c r="D82" i="10"/>
  <c r="C82" i="10"/>
  <c r="B82" i="10"/>
  <c r="A82" i="10"/>
  <c r="T81" i="10"/>
  <c r="Q81" i="10"/>
  <c r="O81" i="10"/>
  <c r="N81" i="10"/>
  <c r="M81" i="10"/>
  <c r="L81" i="10"/>
  <c r="J81" i="10"/>
  <c r="H81" i="10"/>
  <c r="F81" i="10"/>
  <c r="E81" i="10"/>
  <c r="D81" i="10"/>
  <c r="C81" i="10"/>
  <c r="B81" i="10"/>
  <c r="A81" i="10"/>
  <c r="Q80" i="10"/>
  <c r="O80" i="10"/>
  <c r="N80" i="10"/>
  <c r="M80" i="10"/>
  <c r="L80" i="10"/>
  <c r="J80" i="10"/>
  <c r="H80" i="10"/>
  <c r="F80" i="10"/>
  <c r="E80" i="10"/>
  <c r="D80" i="10"/>
  <c r="C80" i="10"/>
  <c r="B80" i="10"/>
  <c r="A80" i="10"/>
  <c r="Q79" i="10"/>
  <c r="O79" i="10"/>
  <c r="N79" i="10"/>
  <c r="M79" i="10"/>
  <c r="L79" i="10"/>
  <c r="J79" i="10"/>
  <c r="H79" i="10"/>
  <c r="F79" i="10"/>
  <c r="E79" i="10"/>
  <c r="D79" i="10"/>
  <c r="C79" i="10"/>
  <c r="B79" i="10"/>
  <c r="A79" i="10"/>
  <c r="T78" i="10"/>
  <c r="Q78" i="10"/>
  <c r="O78" i="10"/>
  <c r="N78" i="10"/>
  <c r="M78" i="10"/>
  <c r="L78" i="10"/>
  <c r="J78" i="10"/>
  <c r="H78" i="10"/>
  <c r="F78" i="10"/>
  <c r="E78" i="10"/>
  <c r="D78" i="10"/>
  <c r="C78" i="10"/>
  <c r="B78" i="10"/>
  <c r="A78" i="10"/>
  <c r="T77" i="10"/>
  <c r="Q77" i="10"/>
  <c r="O77" i="10"/>
  <c r="N77" i="10"/>
  <c r="M77" i="10"/>
  <c r="L77" i="10"/>
  <c r="J77" i="10"/>
  <c r="H77" i="10"/>
  <c r="F77" i="10"/>
  <c r="E77" i="10"/>
  <c r="D77" i="10"/>
  <c r="C77" i="10"/>
  <c r="B77" i="10"/>
  <c r="A77" i="10"/>
  <c r="U76" i="10"/>
  <c r="T76" i="10"/>
  <c r="Q76" i="10"/>
  <c r="O76" i="10"/>
  <c r="N76" i="10"/>
  <c r="M76" i="10"/>
  <c r="L76" i="10"/>
  <c r="J76" i="10"/>
  <c r="H76" i="10"/>
  <c r="F76" i="10"/>
  <c r="E76" i="10"/>
  <c r="D76" i="10"/>
  <c r="C76" i="10"/>
  <c r="B76" i="10"/>
  <c r="A76" i="10"/>
  <c r="T75" i="10"/>
  <c r="Q75" i="10"/>
  <c r="O75" i="10"/>
  <c r="N75" i="10"/>
  <c r="M75" i="10"/>
  <c r="L75" i="10"/>
  <c r="J75" i="10"/>
  <c r="H75" i="10"/>
  <c r="F75" i="10"/>
  <c r="F73" i="10" s="1"/>
  <c r="E75" i="10"/>
  <c r="D75" i="10"/>
  <c r="C75" i="10"/>
  <c r="B75" i="10"/>
  <c r="A75" i="10"/>
  <c r="Q72" i="10"/>
  <c r="O72" i="10"/>
  <c r="N72" i="10"/>
  <c r="M72" i="10"/>
  <c r="L72" i="10"/>
  <c r="J72" i="10"/>
  <c r="H72" i="10"/>
  <c r="F72" i="10"/>
  <c r="E72" i="10"/>
  <c r="D72" i="10"/>
  <c r="C72" i="10"/>
  <c r="B72" i="10"/>
  <c r="A72" i="10"/>
  <c r="T71" i="10"/>
  <c r="Q71" i="10"/>
  <c r="O71" i="10"/>
  <c r="N71" i="10"/>
  <c r="M71" i="10"/>
  <c r="L71" i="10"/>
  <c r="J71" i="10"/>
  <c r="H71" i="10"/>
  <c r="F71" i="10"/>
  <c r="E71" i="10"/>
  <c r="D71" i="10"/>
  <c r="C71" i="10"/>
  <c r="B71" i="10"/>
  <c r="A71" i="10"/>
  <c r="T70" i="10"/>
  <c r="Q70" i="10"/>
  <c r="O70" i="10"/>
  <c r="N70" i="10"/>
  <c r="M70" i="10"/>
  <c r="L70" i="10"/>
  <c r="J70" i="10"/>
  <c r="H70" i="10"/>
  <c r="F70" i="10"/>
  <c r="E70" i="10"/>
  <c r="D70" i="10"/>
  <c r="C70" i="10"/>
  <c r="B70" i="10"/>
  <c r="A70" i="10"/>
  <c r="Q69" i="10"/>
  <c r="O69" i="10"/>
  <c r="N69" i="10"/>
  <c r="M69" i="10"/>
  <c r="L69" i="10"/>
  <c r="J69" i="10"/>
  <c r="H69" i="10"/>
  <c r="F69" i="10"/>
  <c r="E69" i="10"/>
  <c r="D69" i="10"/>
  <c r="C69" i="10"/>
  <c r="B69" i="10"/>
  <c r="A69" i="10"/>
  <c r="Q68" i="10"/>
  <c r="O68" i="10"/>
  <c r="N68" i="10"/>
  <c r="M68" i="10"/>
  <c r="L68" i="10"/>
  <c r="J68" i="10"/>
  <c r="H68" i="10"/>
  <c r="F68" i="10"/>
  <c r="E68" i="10"/>
  <c r="D68" i="10"/>
  <c r="C68" i="10"/>
  <c r="B68" i="10"/>
  <c r="A68" i="10"/>
  <c r="Q67" i="10"/>
  <c r="O67" i="10"/>
  <c r="N67" i="10"/>
  <c r="M67" i="10"/>
  <c r="L67" i="10"/>
  <c r="J67" i="10"/>
  <c r="H67" i="10"/>
  <c r="F67" i="10"/>
  <c r="E67" i="10"/>
  <c r="D67" i="10"/>
  <c r="C67" i="10"/>
  <c r="B67" i="10"/>
  <c r="A67" i="10"/>
  <c r="U66" i="10"/>
  <c r="T66" i="10"/>
  <c r="S66" i="10"/>
  <c r="R66" i="10"/>
  <c r="Q66" i="10"/>
  <c r="P66" i="10"/>
  <c r="O66" i="10"/>
  <c r="N66" i="10"/>
  <c r="M66" i="10"/>
  <c r="L66" i="10"/>
  <c r="K66" i="10"/>
  <c r="J66" i="10"/>
  <c r="H66" i="10"/>
  <c r="F66" i="10"/>
  <c r="E66" i="10"/>
  <c r="D66" i="10"/>
  <c r="C66" i="10"/>
  <c r="B66" i="10"/>
  <c r="A66" i="10"/>
  <c r="T65" i="10"/>
  <c r="Q65" i="10"/>
  <c r="O65" i="10"/>
  <c r="N65" i="10"/>
  <c r="M65" i="10"/>
  <c r="L65" i="10"/>
  <c r="J65" i="10"/>
  <c r="H65" i="10"/>
  <c r="F65" i="10"/>
  <c r="E65" i="10"/>
  <c r="D65" i="10"/>
  <c r="C65" i="10"/>
  <c r="B65" i="10"/>
  <c r="A65" i="10"/>
  <c r="T64" i="10"/>
  <c r="Q64" i="10"/>
  <c r="O64" i="10"/>
  <c r="N64" i="10"/>
  <c r="M64" i="10"/>
  <c r="L64" i="10"/>
  <c r="J64" i="10"/>
  <c r="H64" i="10"/>
  <c r="F64" i="10"/>
  <c r="E64" i="10"/>
  <c r="D64" i="10"/>
  <c r="C64" i="10"/>
  <c r="B64" i="10"/>
  <c r="A64" i="10"/>
  <c r="Q63" i="10"/>
  <c r="O63" i="10"/>
  <c r="N63" i="10"/>
  <c r="M63" i="10"/>
  <c r="L63" i="10"/>
  <c r="J63" i="10"/>
  <c r="H63" i="10"/>
  <c r="F63" i="10"/>
  <c r="E63" i="10"/>
  <c r="D63" i="10"/>
  <c r="C63" i="10"/>
  <c r="B63" i="10"/>
  <c r="A63" i="10"/>
  <c r="Q62" i="10"/>
  <c r="O62" i="10"/>
  <c r="N62" i="10"/>
  <c r="M62" i="10"/>
  <c r="L62" i="10"/>
  <c r="J62" i="10"/>
  <c r="H62" i="10"/>
  <c r="F62" i="10"/>
  <c r="E62" i="10"/>
  <c r="D62" i="10"/>
  <c r="C62" i="10"/>
  <c r="B62" i="10"/>
  <c r="A62" i="10"/>
  <c r="U61" i="10"/>
  <c r="T61" i="10"/>
  <c r="S61" i="10"/>
  <c r="R61" i="10"/>
  <c r="Q61" i="10"/>
  <c r="O61" i="10"/>
  <c r="N61" i="10"/>
  <c r="M61" i="10"/>
  <c r="L61" i="10"/>
  <c r="K61" i="10"/>
  <c r="J61" i="10"/>
  <c r="H61" i="10"/>
  <c r="F59" i="10" s="1"/>
  <c r="F61" i="10"/>
  <c r="E61" i="10"/>
  <c r="D61" i="10"/>
  <c r="C61" i="10"/>
  <c r="B61" i="10"/>
  <c r="A61" i="10"/>
  <c r="Q58" i="10"/>
  <c r="O58" i="10"/>
  <c r="N58" i="10"/>
  <c r="M58" i="10"/>
  <c r="L58" i="10"/>
  <c r="J58" i="10"/>
  <c r="H58" i="10"/>
  <c r="F58" i="10"/>
  <c r="E58" i="10"/>
  <c r="D58" i="10"/>
  <c r="C58" i="10"/>
  <c r="B58" i="10"/>
  <c r="A58" i="10"/>
  <c r="T57" i="10"/>
  <c r="Q57" i="10"/>
  <c r="O57" i="10"/>
  <c r="N57" i="10"/>
  <c r="M57" i="10"/>
  <c r="L57" i="10"/>
  <c r="J57" i="10"/>
  <c r="H57" i="10"/>
  <c r="F57" i="10"/>
  <c r="E57" i="10"/>
  <c r="D57" i="10"/>
  <c r="C57" i="10"/>
  <c r="B57" i="10"/>
  <c r="A57" i="10"/>
  <c r="T56" i="10"/>
  <c r="Q56" i="10"/>
  <c r="O56" i="10"/>
  <c r="N56" i="10"/>
  <c r="M56" i="10"/>
  <c r="L56" i="10"/>
  <c r="J56" i="10"/>
  <c r="H56" i="10"/>
  <c r="F56" i="10"/>
  <c r="E56" i="10"/>
  <c r="D56" i="10"/>
  <c r="C56" i="10"/>
  <c r="B56" i="10"/>
  <c r="A56" i="10"/>
  <c r="Q55" i="10"/>
  <c r="O55" i="10"/>
  <c r="N55" i="10"/>
  <c r="M55" i="10"/>
  <c r="L55" i="10"/>
  <c r="J55" i="10"/>
  <c r="H55" i="10"/>
  <c r="F55" i="10"/>
  <c r="E55" i="10"/>
  <c r="D55" i="10"/>
  <c r="C55" i="10"/>
  <c r="B55" i="10"/>
  <c r="A55" i="10"/>
  <c r="T54" i="10"/>
  <c r="Q54" i="10"/>
  <c r="O54" i="10"/>
  <c r="N54" i="10"/>
  <c r="M54" i="10"/>
  <c r="L54" i="10"/>
  <c r="J54" i="10"/>
  <c r="H54" i="10"/>
  <c r="F54" i="10"/>
  <c r="E54" i="10"/>
  <c r="D54" i="10"/>
  <c r="C54" i="10"/>
  <c r="B54" i="10"/>
  <c r="A54" i="10"/>
  <c r="T53" i="10"/>
  <c r="Q53" i="10"/>
  <c r="O53" i="10"/>
  <c r="N53" i="10"/>
  <c r="M53" i="10"/>
  <c r="L53" i="10"/>
  <c r="J53" i="10"/>
  <c r="H53" i="10"/>
  <c r="F53" i="10"/>
  <c r="E53" i="10"/>
  <c r="D53" i="10"/>
  <c r="C53" i="10"/>
  <c r="B53" i="10"/>
  <c r="A53" i="10"/>
  <c r="T52" i="10"/>
  <c r="Q52" i="10"/>
  <c r="O52" i="10"/>
  <c r="M52" i="10"/>
  <c r="L52" i="10"/>
  <c r="J52" i="10"/>
  <c r="H52" i="10"/>
  <c r="F52" i="10"/>
  <c r="E52" i="10"/>
  <c r="D52" i="10"/>
  <c r="C52" i="10"/>
  <c r="B52" i="10"/>
  <c r="A52" i="10"/>
  <c r="U51" i="10"/>
  <c r="T51" i="10"/>
  <c r="S51" i="10"/>
  <c r="R51" i="10"/>
  <c r="Q51" i="10"/>
  <c r="P51" i="10"/>
  <c r="O51" i="10"/>
  <c r="N51" i="10"/>
  <c r="M51" i="10"/>
  <c r="L51" i="10"/>
  <c r="K51" i="10"/>
  <c r="J51" i="10"/>
  <c r="H51" i="10"/>
  <c r="F51" i="10"/>
  <c r="E51" i="10"/>
  <c r="D51" i="10"/>
  <c r="C51" i="10"/>
  <c r="B51" i="10"/>
  <c r="A51" i="10"/>
  <c r="T50" i="10"/>
  <c r="Q50" i="10"/>
  <c r="O50" i="10"/>
  <c r="N50" i="10"/>
  <c r="M50" i="10"/>
  <c r="L50" i="10"/>
  <c r="J50" i="10"/>
  <c r="H50" i="10"/>
  <c r="F50" i="10"/>
  <c r="E50" i="10"/>
  <c r="D50" i="10"/>
  <c r="C50" i="10"/>
  <c r="B50" i="10"/>
  <c r="A50" i="10"/>
  <c r="T49" i="10"/>
  <c r="Q49" i="10"/>
  <c r="O49" i="10"/>
  <c r="N49" i="10"/>
  <c r="M49" i="10"/>
  <c r="L49" i="10"/>
  <c r="J49" i="10"/>
  <c r="H49" i="10"/>
  <c r="F49" i="10"/>
  <c r="E49" i="10"/>
  <c r="D49" i="10"/>
  <c r="C49" i="10"/>
  <c r="B49" i="10"/>
  <c r="A49" i="10"/>
  <c r="Q48" i="10"/>
  <c r="O48" i="10"/>
  <c r="N48" i="10"/>
  <c r="M48" i="10"/>
  <c r="L48" i="10"/>
  <c r="J48" i="10"/>
  <c r="H48" i="10"/>
  <c r="F48" i="10"/>
  <c r="E48" i="10"/>
  <c r="D48" i="10"/>
  <c r="C48" i="10"/>
  <c r="B48" i="10"/>
  <c r="A48" i="10"/>
  <c r="Q47" i="10"/>
  <c r="O47" i="10"/>
  <c r="N47" i="10"/>
  <c r="M47" i="10"/>
  <c r="L47" i="10"/>
  <c r="J47" i="10"/>
  <c r="H47" i="10"/>
  <c r="F47" i="10"/>
  <c r="F45" i="10" s="1"/>
  <c r="E47" i="10"/>
  <c r="D47" i="10"/>
  <c r="C47" i="10"/>
  <c r="B47" i="10"/>
  <c r="A47" i="10"/>
  <c r="T44" i="10"/>
  <c r="Q44" i="10"/>
  <c r="O44" i="10"/>
  <c r="N44" i="10"/>
  <c r="M44" i="10"/>
  <c r="L44" i="10"/>
  <c r="J44" i="10"/>
  <c r="H44" i="10"/>
  <c r="F44" i="10"/>
  <c r="E44" i="10"/>
  <c r="D44" i="10"/>
  <c r="C44" i="10"/>
  <c r="B44" i="10"/>
  <c r="A44" i="10"/>
  <c r="Q43" i="10"/>
  <c r="O43" i="10"/>
  <c r="N43" i="10"/>
  <c r="M43" i="10"/>
  <c r="L43" i="10"/>
  <c r="J43" i="10"/>
  <c r="H43" i="10"/>
  <c r="F43" i="10"/>
  <c r="E43" i="10"/>
  <c r="D43" i="10"/>
  <c r="C43" i="10"/>
  <c r="B43" i="10"/>
  <c r="A43" i="10"/>
  <c r="T42" i="10"/>
  <c r="Q42" i="10"/>
  <c r="O42" i="10"/>
  <c r="N42" i="10"/>
  <c r="M42" i="10"/>
  <c r="L42" i="10"/>
  <c r="J42" i="10"/>
  <c r="H42" i="10"/>
  <c r="F42" i="10"/>
  <c r="E42" i="10"/>
  <c r="D42" i="10"/>
  <c r="C42" i="10"/>
  <c r="B42" i="10"/>
  <c r="A42" i="10"/>
  <c r="T41" i="10"/>
  <c r="Q41" i="10"/>
  <c r="O41" i="10"/>
  <c r="N41" i="10"/>
  <c r="M41" i="10"/>
  <c r="L41" i="10"/>
  <c r="J41" i="10"/>
  <c r="H41" i="10"/>
  <c r="F41" i="10"/>
  <c r="E41" i="10"/>
  <c r="D41" i="10"/>
  <c r="C41" i="10"/>
  <c r="B41" i="10"/>
  <c r="A41" i="10"/>
  <c r="Q40" i="10"/>
  <c r="O40" i="10"/>
  <c r="N40" i="10"/>
  <c r="M40" i="10"/>
  <c r="L40" i="10"/>
  <c r="J40" i="10"/>
  <c r="H40" i="10"/>
  <c r="F40" i="10"/>
  <c r="E40" i="10"/>
  <c r="D40" i="10"/>
  <c r="C40" i="10"/>
  <c r="B40" i="10"/>
  <c r="A40" i="10"/>
  <c r="Q39" i="10"/>
  <c r="O39" i="10"/>
  <c r="N39" i="10"/>
  <c r="M39" i="10"/>
  <c r="L39" i="10"/>
  <c r="J39" i="10"/>
  <c r="H39" i="10"/>
  <c r="F39" i="10"/>
  <c r="E39" i="10"/>
  <c r="D39" i="10"/>
  <c r="C39" i="10"/>
  <c r="B39" i="10"/>
  <c r="A39" i="10"/>
  <c r="T38" i="10"/>
  <c r="Q38" i="10"/>
  <c r="O38" i="10"/>
  <c r="M38" i="10"/>
  <c r="L38" i="10"/>
  <c r="J38" i="10"/>
  <c r="H38" i="10"/>
  <c r="F38" i="10"/>
  <c r="E38" i="10"/>
  <c r="D38" i="10"/>
  <c r="C38" i="10"/>
  <c r="B38" i="10"/>
  <c r="A38" i="10"/>
  <c r="U37" i="10"/>
  <c r="T37" i="10"/>
  <c r="S37" i="10"/>
  <c r="R37" i="10"/>
  <c r="Q37" i="10"/>
  <c r="P37" i="10"/>
  <c r="O37" i="10"/>
  <c r="N37" i="10"/>
  <c r="M37" i="10"/>
  <c r="L37" i="10"/>
  <c r="K37" i="10"/>
  <c r="J37" i="10"/>
  <c r="H37" i="10"/>
  <c r="F37" i="10"/>
  <c r="E37" i="10"/>
  <c r="D37" i="10"/>
  <c r="C37" i="10"/>
  <c r="B37" i="10"/>
  <c r="A37" i="10"/>
  <c r="T36" i="10"/>
  <c r="Q36" i="10"/>
  <c r="O36" i="10"/>
  <c r="N36" i="10"/>
  <c r="M36" i="10"/>
  <c r="L36" i="10"/>
  <c r="J36" i="10"/>
  <c r="H36" i="10"/>
  <c r="F36" i="10"/>
  <c r="E36" i="10"/>
  <c r="D36" i="10"/>
  <c r="C36" i="10"/>
  <c r="B36" i="10"/>
  <c r="A36" i="10"/>
  <c r="Q35" i="10"/>
  <c r="O35" i="10"/>
  <c r="N35" i="10"/>
  <c r="M35" i="10"/>
  <c r="L35" i="10"/>
  <c r="J35" i="10"/>
  <c r="H35" i="10"/>
  <c r="F35" i="10"/>
  <c r="E35" i="10"/>
  <c r="D35" i="10"/>
  <c r="C35" i="10"/>
  <c r="B35" i="10"/>
  <c r="A35" i="10"/>
  <c r="T34" i="10"/>
  <c r="Q34" i="10"/>
  <c r="O34" i="10"/>
  <c r="N34" i="10"/>
  <c r="M34" i="10"/>
  <c r="L34" i="10"/>
  <c r="J34" i="10"/>
  <c r="H34" i="10"/>
  <c r="F34" i="10"/>
  <c r="E34" i="10"/>
  <c r="D34" i="10"/>
  <c r="C34" i="10"/>
  <c r="B34" i="10"/>
  <c r="A34" i="10"/>
  <c r="Q33" i="10"/>
  <c r="O33" i="10"/>
  <c r="N33" i="10"/>
  <c r="M33" i="10"/>
  <c r="L33" i="10"/>
  <c r="J33" i="10"/>
  <c r="H33" i="10"/>
  <c r="F33" i="10"/>
  <c r="E33" i="10"/>
  <c r="D33" i="10"/>
  <c r="C33" i="10"/>
  <c r="B33" i="10"/>
  <c r="A33" i="10"/>
  <c r="U32" i="10"/>
  <c r="T32" i="10"/>
  <c r="Q32" i="10"/>
  <c r="O32" i="10"/>
  <c r="N32" i="10"/>
  <c r="M32" i="10"/>
  <c r="L32" i="10"/>
  <c r="J32" i="10"/>
  <c r="H32" i="10"/>
  <c r="F31" i="10" s="1"/>
  <c r="F32" i="10"/>
  <c r="E32" i="10"/>
  <c r="D32" i="10"/>
  <c r="C32" i="10"/>
  <c r="B32" i="10"/>
  <c r="A32" i="10"/>
  <c r="T30" i="10"/>
  <c r="Q30" i="10"/>
  <c r="O30" i="10"/>
  <c r="N30" i="10"/>
  <c r="M30" i="10"/>
  <c r="L30" i="10"/>
  <c r="J30" i="10"/>
  <c r="H30" i="10"/>
  <c r="F30" i="10"/>
  <c r="E30" i="10"/>
  <c r="D30" i="10"/>
  <c r="C30" i="10"/>
  <c r="B30" i="10"/>
  <c r="A30" i="10"/>
  <c r="T29" i="10"/>
  <c r="Q29" i="10"/>
  <c r="O29" i="10"/>
  <c r="N29" i="10"/>
  <c r="M29" i="10"/>
  <c r="L29" i="10"/>
  <c r="J29" i="10"/>
  <c r="H29" i="10"/>
  <c r="F29" i="10"/>
  <c r="E29" i="10"/>
  <c r="D29" i="10"/>
  <c r="C29" i="10"/>
  <c r="B29" i="10"/>
  <c r="A29" i="10"/>
  <c r="T28" i="10"/>
  <c r="Q28" i="10"/>
  <c r="O28" i="10"/>
  <c r="N28" i="10"/>
  <c r="M28" i="10"/>
  <c r="L28" i="10"/>
  <c r="J28" i="10"/>
  <c r="H28" i="10"/>
  <c r="F28" i="10"/>
  <c r="E28" i="10"/>
  <c r="D28" i="10"/>
  <c r="C28" i="10"/>
  <c r="B28" i="10"/>
  <c r="A28" i="10"/>
  <c r="T27" i="10"/>
  <c r="Q27" i="10"/>
  <c r="O27" i="10"/>
  <c r="N27" i="10"/>
  <c r="M27" i="10"/>
  <c r="L27" i="10"/>
  <c r="J27" i="10"/>
  <c r="H27" i="10"/>
  <c r="F27" i="10"/>
  <c r="E27" i="10"/>
  <c r="D27" i="10"/>
  <c r="C27" i="10"/>
  <c r="B27" i="10"/>
  <c r="A27" i="10"/>
  <c r="T26" i="10"/>
  <c r="Q26" i="10"/>
  <c r="O26" i="10"/>
  <c r="N26" i="10"/>
  <c r="M26" i="10"/>
  <c r="L26" i="10"/>
  <c r="J26" i="10"/>
  <c r="H26" i="10"/>
  <c r="F26" i="10"/>
  <c r="E26" i="10"/>
  <c r="D26" i="10"/>
  <c r="C26" i="10"/>
  <c r="B26" i="10"/>
  <c r="A26" i="10"/>
  <c r="T25" i="10"/>
  <c r="Q25" i="10"/>
  <c r="O25" i="10"/>
  <c r="N25" i="10"/>
  <c r="M25" i="10"/>
  <c r="L25" i="10"/>
  <c r="J25" i="10"/>
  <c r="H25" i="10"/>
  <c r="F25" i="10"/>
  <c r="E25" i="10"/>
  <c r="D25" i="10"/>
  <c r="C25" i="10"/>
  <c r="B25" i="10"/>
  <c r="A25" i="10"/>
  <c r="U24" i="10"/>
  <c r="T24" i="10"/>
  <c r="S24" i="10"/>
  <c r="R24" i="10"/>
  <c r="Q24" i="10"/>
  <c r="P24" i="10"/>
  <c r="O24" i="10"/>
  <c r="N24" i="10"/>
  <c r="M24" i="10"/>
  <c r="L24" i="10"/>
  <c r="K24" i="10"/>
  <c r="J24" i="10"/>
  <c r="H24" i="10"/>
  <c r="F24" i="10"/>
  <c r="E24" i="10"/>
  <c r="D24" i="10"/>
  <c r="C24" i="10"/>
  <c r="B24" i="10"/>
  <c r="A24" i="10"/>
  <c r="T23" i="10"/>
  <c r="Q23" i="10"/>
  <c r="O23" i="10"/>
  <c r="M23" i="10"/>
  <c r="L23" i="10"/>
  <c r="J23" i="10"/>
  <c r="H23" i="10"/>
  <c r="F23" i="10"/>
  <c r="E23" i="10"/>
  <c r="D23" i="10"/>
  <c r="C23" i="10"/>
  <c r="B23" i="10"/>
  <c r="A23" i="10"/>
  <c r="T22" i="10"/>
  <c r="Q22" i="10"/>
  <c r="O22" i="10"/>
  <c r="N22" i="10"/>
  <c r="M22" i="10"/>
  <c r="L22" i="10"/>
  <c r="J22" i="10"/>
  <c r="H22" i="10"/>
  <c r="F22" i="10"/>
  <c r="E22" i="10"/>
  <c r="D22" i="10"/>
  <c r="C22" i="10"/>
  <c r="B22" i="10"/>
  <c r="A22" i="10"/>
  <c r="T21" i="10"/>
  <c r="Q21" i="10"/>
  <c r="O21" i="10"/>
  <c r="N21" i="10"/>
  <c r="M21" i="10"/>
  <c r="L21" i="10"/>
  <c r="J21" i="10"/>
  <c r="H21" i="10"/>
  <c r="F21" i="10"/>
  <c r="E21" i="10"/>
  <c r="D21" i="10"/>
  <c r="C21" i="10"/>
  <c r="B21" i="10"/>
  <c r="A21" i="10"/>
  <c r="Q20" i="10"/>
  <c r="O20" i="10"/>
  <c r="N20" i="10"/>
  <c r="M20" i="10"/>
  <c r="L20" i="10"/>
  <c r="J20" i="10"/>
  <c r="H20" i="10"/>
  <c r="F20" i="10"/>
  <c r="E20" i="10"/>
  <c r="D20" i="10"/>
  <c r="C20" i="10"/>
  <c r="B20" i="10"/>
  <c r="A20" i="10"/>
  <c r="Q19" i="10"/>
  <c r="O19" i="10"/>
  <c r="N19" i="10"/>
  <c r="M19" i="10"/>
  <c r="L19" i="10"/>
  <c r="J19" i="10"/>
  <c r="H19" i="10"/>
  <c r="F19" i="10"/>
  <c r="E19" i="10"/>
  <c r="D19" i="10"/>
  <c r="C19" i="10"/>
  <c r="B19" i="10"/>
  <c r="A19" i="10"/>
  <c r="U18" i="10"/>
  <c r="T18" i="10"/>
  <c r="S18" i="10"/>
  <c r="R18" i="10"/>
  <c r="Q18" i="10"/>
  <c r="O18" i="10"/>
  <c r="N18" i="10"/>
  <c r="M18" i="10"/>
  <c r="L18" i="10"/>
  <c r="K18" i="10"/>
  <c r="J18" i="10"/>
  <c r="H18" i="10"/>
  <c r="F17" i="10" s="1"/>
  <c r="F18" i="10"/>
  <c r="E18" i="10"/>
  <c r="D18" i="10"/>
  <c r="C18" i="10"/>
  <c r="B18" i="10"/>
  <c r="A18" i="10"/>
  <c r="T16" i="10"/>
  <c r="Q16" i="10"/>
  <c r="O16" i="10"/>
  <c r="N16" i="10"/>
  <c r="M16" i="10"/>
  <c r="L16" i="10"/>
  <c r="J16" i="10"/>
  <c r="H16" i="10"/>
  <c r="F16" i="10"/>
  <c r="E16" i="10"/>
  <c r="D16" i="10"/>
  <c r="C16" i="10"/>
  <c r="B16" i="10"/>
  <c r="A16" i="10"/>
  <c r="T15" i="10"/>
  <c r="Q15" i="10"/>
  <c r="O15" i="10"/>
  <c r="N15" i="10"/>
  <c r="M15" i="10"/>
  <c r="L15" i="10"/>
  <c r="J15" i="10"/>
  <c r="H15" i="10"/>
  <c r="F15" i="10"/>
  <c r="E15" i="10"/>
  <c r="D15" i="10"/>
  <c r="C15" i="10"/>
  <c r="B15" i="10"/>
  <c r="A15" i="10"/>
  <c r="T14" i="10"/>
  <c r="Q14" i="10"/>
  <c r="O14" i="10"/>
  <c r="N14" i="10"/>
  <c r="M14" i="10"/>
  <c r="L14" i="10"/>
  <c r="J14" i="10"/>
  <c r="H14" i="10"/>
  <c r="F14" i="10"/>
  <c r="E14" i="10"/>
  <c r="D14" i="10"/>
  <c r="C14" i="10"/>
  <c r="B14" i="10"/>
  <c r="A14" i="10"/>
  <c r="T13" i="10"/>
  <c r="Q13" i="10"/>
  <c r="O13" i="10"/>
  <c r="N13" i="10"/>
  <c r="M13" i="10"/>
  <c r="L13" i="10"/>
  <c r="J13" i="10"/>
  <c r="H13" i="10"/>
  <c r="F13" i="10"/>
  <c r="E13" i="10"/>
  <c r="D13" i="10"/>
  <c r="C13" i="10"/>
  <c r="B13" i="10"/>
  <c r="A13" i="10"/>
  <c r="T12" i="10"/>
  <c r="Q12" i="10"/>
  <c r="O12" i="10"/>
  <c r="N12" i="10"/>
  <c r="M12" i="10"/>
  <c r="L12" i="10"/>
  <c r="J12" i="10"/>
  <c r="H12" i="10"/>
  <c r="F12" i="10"/>
  <c r="E12" i="10"/>
  <c r="D12" i="10"/>
  <c r="C12" i="10"/>
  <c r="B12" i="10"/>
  <c r="A12" i="10"/>
  <c r="U11" i="10"/>
  <c r="T11" i="10"/>
  <c r="S11" i="10"/>
  <c r="R11" i="10"/>
  <c r="Q11" i="10"/>
  <c r="P11" i="10"/>
  <c r="O11" i="10"/>
  <c r="N11" i="10"/>
  <c r="M11" i="10"/>
  <c r="L11" i="10"/>
  <c r="K11" i="10"/>
  <c r="J11" i="10"/>
  <c r="H11" i="10"/>
  <c r="F11" i="10"/>
  <c r="E11" i="10"/>
  <c r="D11" i="10"/>
  <c r="C11" i="10"/>
  <c r="B11" i="10"/>
  <c r="A11" i="10"/>
  <c r="Q10" i="10"/>
  <c r="O10" i="10"/>
  <c r="N10" i="10"/>
  <c r="M10" i="10"/>
  <c r="L10" i="10"/>
  <c r="J10" i="10"/>
  <c r="H10" i="10"/>
  <c r="F10" i="10"/>
  <c r="E10" i="10"/>
  <c r="D10" i="10"/>
  <c r="C10" i="10"/>
  <c r="B10" i="10"/>
  <c r="A10" i="10"/>
  <c r="T9" i="10"/>
  <c r="Q9" i="10"/>
  <c r="O9" i="10"/>
  <c r="N9" i="10"/>
  <c r="M9" i="10"/>
  <c r="L9" i="10"/>
  <c r="J9" i="10"/>
  <c r="H9" i="10"/>
  <c r="F9" i="10"/>
  <c r="E9" i="10"/>
  <c r="D9" i="10"/>
  <c r="C9" i="10"/>
  <c r="B9" i="10"/>
  <c r="A9" i="10"/>
  <c r="T8" i="10"/>
  <c r="Q8" i="10"/>
  <c r="O8" i="10"/>
  <c r="N8" i="10"/>
  <c r="M8" i="10"/>
  <c r="L8" i="10"/>
  <c r="J8" i="10"/>
  <c r="H8" i="10"/>
  <c r="F8" i="10"/>
  <c r="E8" i="10"/>
  <c r="D8" i="10"/>
  <c r="C8" i="10"/>
  <c r="B8" i="10"/>
  <c r="A8" i="10"/>
  <c r="Q7" i="10"/>
  <c r="O7" i="10"/>
  <c r="N7" i="10"/>
  <c r="M7" i="10"/>
  <c r="L7" i="10"/>
  <c r="J7" i="10"/>
  <c r="H7" i="10"/>
  <c r="F7" i="10"/>
  <c r="E7" i="10"/>
  <c r="D7" i="10"/>
  <c r="C7" i="10"/>
  <c r="B7" i="10"/>
  <c r="A7" i="10"/>
  <c r="U6" i="10"/>
  <c r="T6" i="10"/>
  <c r="S6" i="10"/>
  <c r="R6" i="10"/>
  <c r="Q6" i="10"/>
  <c r="O6" i="10"/>
  <c r="N6" i="10"/>
  <c r="M6" i="10"/>
  <c r="L6" i="10"/>
  <c r="K6" i="10"/>
  <c r="J6" i="10"/>
  <c r="H6" i="10"/>
  <c r="F6" i="10"/>
  <c r="E6" i="10"/>
  <c r="D6" i="10"/>
  <c r="C6" i="10"/>
  <c r="B6" i="10"/>
  <c r="A6" i="10"/>
  <c r="Q5" i="10"/>
  <c r="O5" i="10"/>
  <c r="N5" i="10"/>
  <c r="M5" i="10"/>
  <c r="L5" i="10"/>
  <c r="J5" i="10"/>
  <c r="H5" i="10"/>
  <c r="F5" i="10"/>
  <c r="F3" i="10" s="1"/>
  <c r="E5" i="10"/>
  <c r="D5" i="10"/>
  <c r="C5" i="10"/>
  <c r="B5" i="10"/>
  <c r="A5" i="10"/>
  <c r="Q174" i="9"/>
  <c r="O174" i="9"/>
  <c r="N174" i="9"/>
  <c r="M174" i="9"/>
  <c r="L174" i="9"/>
  <c r="J174" i="9"/>
  <c r="H174" i="9"/>
  <c r="F174" i="9"/>
  <c r="E174" i="9"/>
  <c r="D174" i="9"/>
  <c r="C174" i="9"/>
  <c r="B174" i="9"/>
  <c r="A174" i="9"/>
  <c r="Q173" i="9"/>
  <c r="O173" i="9"/>
  <c r="N173" i="9"/>
  <c r="M173" i="9"/>
  <c r="L173" i="9"/>
  <c r="J173" i="9"/>
  <c r="H173" i="9"/>
  <c r="F173" i="9"/>
  <c r="E173" i="9"/>
  <c r="D173" i="9"/>
  <c r="C173" i="9"/>
  <c r="B173" i="9"/>
  <c r="A173" i="9"/>
  <c r="T172" i="9"/>
  <c r="Q172" i="9"/>
  <c r="O172" i="9"/>
  <c r="N172" i="9"/>
  <c r="M172" i="9"/>
  <c r="L172" i="9"/>
  <c r="J172" i="9"/>
  <c r="H172" i="9"/>
  <c r="F172" i="9"/>
  <c r="E172" i="9"/>
  <c r="D172" i="9"/>
  <c r="C172" i="9"/>
  <c r="B172" i="9"/>
  <c r="A172" i="9"/>
  <c r="U171" i="9"/>
  <c r="T171" i="9"/>
  <c r="S171" i="9"/>
  <c r="R171" i="9"/>
  <c r="Q171" i="9"/>
  <c r="P171" i="9"/>
  <c r="O171" i="9"/>
  <c r="N171" i="9"/>
  <c r="M171" i="9"/>
  <c r="L171" i="9"/>
  <c r="K171" i="9"/>
  <c r="J171" i="9"/>
  <c r="H171" i="9"/>
  <c r="F171" i="9"/>
  <c r="E171" i="9"/>
  <c r="D171" i="9"/>
  <c r="C171" i="9"/>
  <c r="B171" i="9"/>
  <c r="A171" i="9"/>
  <c r="Q170" i="9"/>
  <c r="O170" i="9"/>
  <c r="N170" i="9"/>
  <c r="M170" i="9"/>
  <c r="L170" i="9"/>
  <c r="J170" i="9"/>
  <c r="H170" i="9"/>
  <c r="F170" i="9"/>
  <c r="E170" i="9"/>
  <c r="D170" i="9"/>
  <c r="C170" i="9"/>
  <c r="B170" i="9"/>
  <c r="A170" i="9"/>
  <c r="Q169" i="9"/>
  <c r="O169" i="9"/>
  <c r="N169" i="9"/>
  <c r="M169" i="9"/>
  <c r="L169" i="9"/>
  <c r="J169" i="9"/>
  <c r="H169" i="9"/>
  <c r="F169" i="9"/>
  <c r="E169" i="9"/>
  <c r="D169" i="9"/>
  <c r="C169" i="9"/>
  <c r="B169" i="9"/>
  <c r="A169" i="9"/>
  <c r="U168" i="9"/>
  <c r="T168" i="9"/>
  <c r="S168" i="9"/>
  <c r="R168" i="9"/>
  <c r="Q168" i="9"/>
  <c r="P168" i="9"/>
  <c r="O168" i="9"/>
  <c r="N168" i="9"/>
  <c r="M168" i="9"/>
  <c r="L168" i="9"/>
  <c r="K168" i="9"/>
  <c r="J168" i="9"/>
  <c r="H168" i="9"/>
  <c r="F168" i="9"/>
  <c r="E168" i="9"/>
  <c r="D168" i="9"/>
  <c r="C168" i="9"/>
  <c r="B168" i="9"/>
  <c r="A168" i="9"/>
  <c r="Q167" i="9"/>
  <c r="O167" i="9"/>
  <c r="N167" i="9"/>
  <c r="M167" i="9"/>
  <c r="L167" i="9"/>
  <c r="J167" i="9"/>
  <c r="H167" i="9"/>
  <c r="F167" i="9"/>
  <c r="E167" i="9"/>
  <c r="D167" i="9"/>
  <c r="C167" i="9"/>
  <c r="B167" i="9"/>
  <c r="A167" i="9"/>
  <c r="T166" i="9"/>
  <c r="Q166" i="9"/>
  <c r="O166" i="9"/>
  <c r="N166" i="9"/>
  <c r="M166" i="9"/>
  <c r="L166" i="9"/>
  <c r="J166" i="9"/>
  <c r="H166" i="9"/>
  <c r="F166" i="9"/>
  <c r="E166" i="9"/>
  <c r="D166" i="9"/>
  <c r="C166" i="9"/>
  <c r="B166" i="9"/>
  <c r="A166" i="9"/>
  <c r="T165" i="9"/>
  <c r="Q165" i="9"/>
  <c r="O165" i="9"/>
  <c r="N165" i="9"/>
  <c r="M165" i="9"/>
  <c r="L165" i="9"/>
  <c r="J165" i="9"/>
  <c r="H165" i="9"/>
  <c r="F165" i="9"/>
  <c r="E165" i="9"/>
  <c r="D165" i="9"/>
  <c r="C165" i="9"/>
  <c r="B165" i="9"/>
  <c r="A165" i="9"/>
  <c r="T164" i="9"/>
  <c r="Q164" i="9"/>
  <c r="O164" i="9"/>
  <c r="N164" i="9"/>
  <c r="M164" i="9"/>
  <c r="L164" i="9"/>
  <c r="J164" i="9"/>
  <c r="H164" i="9"/>
  <c r="F164" i="9"/>
  <c r="E164" i="9"/>
  <c r="D164" i="9"/>
  <c r="C164" i="9"/>
  <c r="B164" i="9"/>
  <c r="A164" i="9"/>
  <c r="U163" i="9"/>
  <c r="T163" i="9"/>
  <c r="S163" i="9"/>
  <c r="R163" i="9"/>
  <c r="Q163" i="9"/>
  <c r="O163" i="9"/>
  <c r="N163" i="9"/>
  <c r="M163" i="9"/>
  <c r="L163" i="9"/>
  <c r="K163" i="9"/>
  <c r="J163" i="9"/>
  <c r="H163" i="9"/>
  <c r="F160" i="9" s="1"/>
  <c r="F163" i="9"/>
  <c r="E163" i="9"/>
  <c r="D163" i="9"/>
  <c r="C163" i="9"/>
  <c r="B163" i="9"/>
  <c r="A163" i="9"/>
  <c r="T159" i="9"/>
  <c r="Q159" i="9"/>
  <c r="O159" i="9"/>
  <c r="N159" i="9"/>
  <c r="M159" i="9"/>
  <c r="L159" i="9"/>
  <c r="J159" i="9"/>
  <c r="H159" i="9"/>
  <c r="F159" i="9"/>
  <c r="E159" i="9"/>
  <c r="D159" i="9"/>
  <c r="C159" i="9"/>
  <c r="B159" i="9"/>
  <c r="A159" i="9"/>
  <c r="Q158" i="9"/>
  <c r="O158" i="9"/>
  <c r="N158" i="9"/>
  <c r="M158" i="9"/>
  <c r="L158" i="9"/>
  <c r="J158" i="9"/>
  <c r="H158" i="9"/>
  <c r="F158" i="9"/>
  <c r="E158" i="9"/>
  <c r="D158" i="9"/>
  <c r="C158" i="9"/>
  <c r="B158" i="9"/>
  <c r="A158" i="9"/>
  <c r="Q157" i="9"/>
  <c r="O157" i="9"/>
  <c r="N157" i="9"/>
  <c r="M157" i="9"/>
  <c r="L157" i="9"/>
  <c r="J157" i="9"/>
  <c r="H157" i="9"/>
  <c r="F157" i="9"/>
  <c r="E157" i="9"/>
  <c r="D157" i="9"/>
  <c r="C157" i="9"/>
  <c r="B157" i="9"/>
  <c r="A157" i="9"/>
  <c r="U156" i="9"/>
  <c r="T156" i="9"/>
  <c r="S156" i="9"/>
  <c r="R156" i="9"/>
  <c r="Q156" i="9"/>
  <c r="P156" i="9"/>
  <c r="O156" i="9"/>
  <c r="N156" i="9"/>
  <c r="M156" i="9"/>
  <c r="L156" i="9"/>
  <c r="K156" i="9"/>
  <c r="J156" i="9"/>
  <c r="H156" i="9"/>
  <c r="F156" i="9"/>
  <c r="E156" i="9"/>
  <c r="D156" i="9"/>
  <c r="C156" i="9"/>
  <c r="B156" i="9"/>
  <c r="A156" i="9"/>
  <c r="Q155" i="9"/>
  <c r="O155" i="9"/>
  <c r="N155" i="9"/>
  <c r="M155" i="9"/>
  <c r="L155" i="9"/>
  <c r="J155" i="9"/>
  <c r="H155" i="9"/>
  <c r="F155" i="9"/>
  <c r="E155" i="9"/>
  <c r="D155" i="9"/>
  <c r="C155" i="9"/>
  <c r="B155" i="9"/>
  <c r="A155" i="9"/>
  <c r="T154" i="9"/>
  <c r="Q154" i="9"/>
  <c r="O154" i="9"/>
  <c r="N154" i="9"/>
  <c r="M154" i="9"/>
  <c r="L154" i="9"/>
  <c r="J154" i="9"/>
  <c r="H154" i="9"/>
  <c r="F154" i="9"/>
  <c r="E154" i="9"/>
  <c r="D154" i="9"/>
  <c r="C154" i="9"/>
  <c r="B154" i="9"/>
  <c r="A154" i="9"/>
  <c r="T153" i="9"/>
  <c r="Q153" i="9"/>
  <c r="O153" i="9"/>
  <c r="M153" i="9"/>
  <c r="L153" i="9"/>
  <c r="J153" i="9"/>
  <c r="H153" i="9"/>
  <c r="F153" i="9"/>
  <c r="E153" i="9"/>
  <c r="D153" i="9"/>
  <c r="C153" i="9"/>
  <c r="B153" i="9"/>
  <c r="A153" i="9"/>
  <c r="T152" i="9"/>
  <c r="Q152" i="9"/>
  <c r="O152" i="9"/>
  <c r="N152" i="9"/>
  <c r="M152" i="9"/>
  <c r="L152" i="9"/>
  <c r="J152" i="9"/>
  <c r="H152" i="9"/>
  <c r="F152" i="9"/>
  <c r="E152" i="9"/>
  <c r="D152" i="9"/>
  <c r="C152" i="9"/>
  <c r="B152" i="9"/>
  <c r="A152" i="9"/>
  <c r="U151" i="9"/>
  <c r="T151" i="9"/>
  <c r="S151" i="9"/>
  <c r="R151" i="9"/>
  <c r="Q151" i="9"/>
  <c r="P151" i="9"/>
  <c r="O151" i="9"/>
  <c r="N151" i="9"/>
  <c r="M151" i="9"/>
  <c r="L151" i="9"/>
  <c r="K151" i="9"/>
  <c r="J151" i="9"/>
  <c r="H151" i="9"/>
  <c r="F151" i="9"/>
  <c r="E151" i="9"/>
  <c r="D151" i="9"/>
  <c r="C151" i="9"/>
  <c r="B151" i="9"/>
  <c r="A151" i="9"/>
  <c r="T150" i="9"/>
  <c r="Q150" i="9"/>
  <c r="O150" i="9"/>
  <c r="N150" i="9"/>
  <c r="M150" i="9"/>
  <c r="L150" i="9"/>
  <c r="J150" i="9"/>
  <c r="H150" i="9"/>
  <c r="F150" i="9"/>
  <c r="E150" i="9"/>
  <c r="D150" i="9"/>
  <c r="C150" i="9"/>
  <c r="B150" i="9"/>
  <c r="A150" i="9"/>
  <c r="Q146" i="9"/>
  <c r="O146" i="9"/>
  <c r="N146" i="9"/>
  <c r="M146" i="9"/>
  <c r="L146" i="9"/>
  <c r="J146" i="9"/>
  <c r="H146" i="9"/>
  <c r="F145" i="9" s="1"/>
  <c r="F146" i="9"/>
  <c r="E146" i="9"/>
  <c r="D146" i="9"/>
  <c r="C146" i="9"/>
  <c r="B146" i="9"/>
  <c r="T144" i="9"/>
  <c r="Q144" i="9"/>
  <c r="O144" i="9"/>
  <c r="N144" i="9"/>
  <c r="M144" i="9"/>
  <c r="L144" i="9"/>
  <c r="J144" i="9"/>
  <c r="H144" i="9"/>
  <c r="F144" i="9"/>
  <c r="E144" i="9"/>
  <c r="D144" i="9"/>
  <c r="C144" i="9"/>
  <c r="B144" i="9"/>
  <c r="A144" i="9"/>
  <c r="Q143" i="9"/>
  <c r="O143" i="9"/>
  <c r="M143" i="9"/>
  <c r="L143" i="9"/>
  <c r="J143" i="9"/>
  <c r="H143" i="9"/>
  <c r="F143" i="9"/>
  <c r="E143" i="9"/>
  <c r="D143" i="9"/>
  <c r="C143" i="9"/>
  <c r="B143" i="9"/>
  <c r="A143" i="9"/>
  <c r="T142" i="9"/>
  <c r="Q142" i="9"/>
  <c r="O142" i="9"/>
  <c r="N142" i="9"/>
  <c r="M142" i="9"/>
  <c r="L142" i="9"/>
  <c r="J142" i="9"/>
  <c r="H142" i="9"/>
  <c r="F142" i="9"/>
  <c r="E142" i="9"/>
  <c r="D142" i="9"/>
  <c r="C142" i="9"/>
  <c r="B142" i="9"/>
  <c r="A142" i="9"/>
  <c r="T141" i="9"/>
  <c r="Q141" i="9"/>
  <c r="O141" i="9"/>
  <c r="N141" i="9"/>
  <c r="M141" i="9"/>
  <c r="L141" i="9"/>
  <c r="J141" i="9"/>
  <c r="H141" i="9"/>
  <c r="F141" i="9"/>
  <c r="E141" i="9"/>
  <c r="D141" i="9"/>
  <c r="C141" i="9"/>
  <c r="B141" i="9"/>
  <c r="A141" i="9"/>
  <c r="Q140" i="9"/>
  <c r="O140" i="9"/>
  <c r="N140" i="9"/>
  <c r="M140" i="9"/>
  <c r="L140" i="9"/>
  <c r="J140" i="9"/>
  <c r="H140" i="9"/>
  <c r="F140" i="9"/>
  <c r="E140" i="9"/>
  <c r="D140" i="9"/>
  <c r="C140" i="9"/>
  <c r="B140" i="9"/>
  <c r="A140" i="9"/>
  <c r="Q139" i="9"/>
  <c r="O139" i="9"/>
  <c r="N139" i="9"/>
  <c r="M139" i="9"/>
  <c r="L139" i="9"/>
  <c r="J139" i="9"/>
  <c r="H139" i="9"/>
  <c r="F139" i="9"/>
  <c r="E139" i="9"/>
  <c r="D139" i="9"/>
  <c r="C139" i="9"/>
  <c r="B139" i="9"/>
  <c r="A139" i="9"/>
  <c r="U138" i="9"/>
  <c r="T138" i="9"/>
  <c r="S138" i="9"/>
  <c r="R138" i="9"/>
  <c r="Q138" i="9"/>
  <c r="P138" i="9"/>
  <c r="O138" i="9"/>
  <c r="N138" i="9"/>
  <c r="M138" i="9"/>
  <c r="L138" i="9"/>
  <c r="K138" i="9"/>
  <c r="J138" i="9"/>
  <c r="H138" i="9"/>
  <c r="F138" i="9"/>
  <c r="E138" i="9"/>
  <c r="D138" i="9"/>
  <c r="C138" i="9"/>
  <c r="B138" i="9"/>
  <c r="A138" i="9"/>
  <c r="Q137" i="9"/>
  <c r="O137" i="9"/>
  <c r="N137" i="9"/>
  <c r="M137" i="9"/>
  <c r="L137" i="9"/>
  <c r="J137" i="9"/>
  <c r="H137" i="9"/>
  <c r="F137" i="9"/>
  <c r="E137" i="9"/>
  <c r="D137" i="9"/>
  <c r="C137" i="9"/>
  <c r="B137" i="9"/>
  <c r="A137" i="9"/>
  <c r="T136" i="9"/>
  <c r="Q136" i="9"/>
  <c r="O136" i="9"/>
  <c r="N136" i="9"/>
  <c r="M136" i="9"/>
  <c r="L136" i="9"/>
  <c r="J136" i="9"/>
  <c r="H136" i="9"/>
  <c r="F136" i="9"/>
  <c r="E136" i="9"/>
  <c r="D136" i="9"/>
  <c r="C136" i="9"/>
  <c r="B136" i="9"/>
  <c r="A136" i="9"/>
  <c r="T135" i="9"/>
  <c r="Q135" i="9"/>
  <c r="O135" i="9"/>
  <c r="N135" i="9"/>
  <c r="M135" i="9"/>
  <c r="L135" i="9"/>
  <c r="J135" i="9"/>
  <c r="H135" i="9"/>
  <c r="F135" i="9"/>
  <c r="E135" i="9"/>
  <c r="D135" i="9"/>
  <c r="C135" i="9"/>
  <c r="B135" i="9"/>
  <c r="A135" i="9"/>
  <c r="T134" i="9"/>
  <c r="Q134" i="9"/>
  <c r="O134" i="9"/>
  <c r="N134" i="9"/>
  <c r="M134" i="9"/>
  <c r="L134" i="9"/>
  <c r="J134" i="9"/>
  <c r="H134" i="9"/>
  <c r="F134" i="9"/>
  <c r="E134" i="9"/>
  <c r="D134" i="9"/>
  <c r="C134" i="9"/>
  <c r="B134" i="9"/>
  <c r="A134" i="9"/>
  <c r="Q133" i="9"/>
  <c r="O133" i="9"/>
  <c r="N133" i="9"/>
  <c r="M133" i="9"/>
  <c r="L133" i="9"/>
  <c r="J133" i="9"/>
  <c r="H133" i="9"/>
  <c r="F133" i="9"/>
  <c r="E133" i="9"/>
  <c r="D133" i="9"/>
  <c r="C133" i="9"/>
  <c r="B133" i="9"/>
  <c r="A133" i="9"/>
  <c r="F130" i="9"/>
  <c r="A132" i="9"/>
  <c r="Q129" i="9"/>
  <c r="O129" i="9"/>
  <c r="N129" i="9"/>
  <c r="M129" i="9"/>
  <c r="L129" i="9"/>
  <c r="J129" i="9"/>
  <c r="H129" i="9"/>
  <c r="F129" i="9"/>
  <c r="E129" i="9"/>
  <c r="D129" i="9"/>
  <c r="C129" i="9"/>
  <c r="B129" i="9"/>
  <c r="A129" i="9"/>
  <c r="T128" i="9"/>
  <c r="Q128" i="9"/>
  <c r="O128" i="9"/>
  <c r="N128" i="9"/>
  <c r="M128" i="9"/>
  <c r="L128" i="9"/>
  <c r="J128" i="9"/>
  <c r="H128" i="9"/>
  <c r="F128" i="9"/>
  <c r="E128" i="9"/>
  <c r="D128" i="9"/>
  <c r="C128" i="9"/>
  <c r="B128" i="9"/>
  <c r="A128" i="9"/>
  <c r="T127" i="9"/>
  <c r="Q127" i="9"/>
  <c r="O127" i="9"/>
  <c r="N127" i="9"/>
  <c r="M127" i="9"/>
  <c r="L127" i="9"/>
  <c r="J127" i="9"/>
  <c r="H127" i="9"/>
  <c r="F127" i="9"/>
  <c r="E127" i="9"/>
  <c r="D127" i="9"/>
  <c r="C127" i="9"/>
  <c r="B127" i="9"/>
  <c r="A127" i="9"/>
  <c r="Q126" i="9"/>
  <c r="O126" i="9"/>
  <c r="N126" i="9"/>
  <c r="M126" i="9"/>
  <c r="L126" i="9"/>
  <c r="J126" i="9"/>
  <c r="H126" i="9"/>
  <c r="F126" i="9"/>
  <c r="E126" i="9"/>
  <c r="D126" i="9"/>
  <c r="C126" i="9"/>
  <c r="B126" i="9"/>
  <c r="A126" i="9"/>
  <c r="Q125" i="9"/>
  <c r="O125" i="9"/>
  <c r="N125" i="9"/>
  <c r="M125" i="9"/>
  <c r="L125" i="9"/>
  <c r="J125" i="9"/>
  <c r="H125" i="9"/>
  <c r="F125" i="9"/>
  <c r="E125" i="9"/>
  <c r="D125" i="9"/>
  <c r="C125" i="9"/>
  <c r="B125" i="9"/>
  <c r="A125" i="9"/>
  <c r="T124" i="9"/>
  <c r="Q124" i="9"/>
  <c r="O124" i="9"/>
  <c r="M124" i="9"/>
  <c r="L124" i="9"/>
  <c r="J124" i="9"/>
  <c r="H124" i="9"/>
  <c r="F124" i="9"/>
  <c r="E124" i="9"/>
  <c r="D124" i="9"/>
  <c r="C124" i="9"/>
  <c r="B124" i="9"/>
  <c r="A124" i="9"/>
  <c r="Q123" i="9"/>
  <c r="O123" i="9"/>
  <c r="N123" i="9"/>
  <c r="M123" i="9"/>
  <c r="L123" i="9"/>
  <c r="J123" i="9"/>
  <c r="H123" i="9"/>
  <c r="F123" i="9"/>
  <c r="E123" i="9"/>
  <c r="D123" i="9"/>
  <c r="C123" i="9"/>
  <c r="B123" i="9"/>
  <c r="A123" i="9"/>
  <c r="T122" i="9"/>
  <c r="Q122" i="9"/>
  <c r="O122" i="9"/>
  <c r="N122" i="9"/>
  <c r="M122" i="9"/>
  <c r="L122" i="9"/>
  <c r="J122" i="9"/>
  <c r="H122" i="9"/>
  <c r="F122" i="9"/>
  <c r="E122" i="9"/>
  <c r="D122" i="9"/>
  <c r="C122" i="9"/>
  <c r="B122" i="9"/>
  <c r="A122" i="9"/>
  <c r="T121" i="9"/>
  <c r="Q121" i="9"/>
  <c r="O121" i="9"/>
  <c r="N121" i="9"/>
  <c r="M121" i="9"/>
  <c r="L121" i="9"/>
  <c r="J121" i="9"/>
  <c r="H121" i="9"/>
  <c r="F121" i="9"/>
  <c r="E121" i="9"/>
  <c r="D121" i="9"/>
  <c r="C121" i="9"/>
  <c r="B121" i="9"/>
  <c r="A121" i="9"/>
  <c r="U120" i="9"/>
  <c r="T120" i="9"/>
  <c r="Q120" i="9"/>
  <c r="P120" i="9"/>
  <c r="O120" i="9"/>
  <c r="N120" i="9"/>
  <c r="M120" i="9"/>
  <c r="L120" i="9"/>
  <c r="J120" i="9"/>
  <c r="H120" i="9"/>
  <c r="F120" i="9"/>
  <c r="E120" i="9"/>
  <c r="D120" i="9"/>
  <c r="C120" i="9"/>
  <c r="B120" i="9"/>
  <c r="A120" i="9"/>
  <c r="Q119" i="9"/>
  <c r="O119" i="9"/>
  <c r="N119" i="9"/>
  <c r="M119" i="9"/>
  <c r="L119" i="9"/>
  <c r="J119" i="9"/>
  <c r="H119" i="9"/>
  <c r="F119" i="9"/>
  <c r="E119" i="9"/>
  <c r="D119" i="9"/>
  <c r="C119" i="9"/>
  <c r="B119" i="9"/>
  <c r="A119" i="9"/>
  <c r="U118" i="9"/>
  <c r="T118" i="9"/>
  <c r="Q118" i="9"/>
  <c r="O118" i="9"/>
  <c r="N118" i="9"/>
  <c r="M118" i="9"/>
  <c r="L118" i="9"/>
  <c r="J118" i="9"/>
  <c r="H118" i="9"/>
  <c r="F117" i="9" s="1"/>
  <c r="F118" i="9"/>
  <c r="E118" i="9"/>
  <c r="D118" i="9"/>
  <c r="C118" i="9"/>
  <c r="B118" i="9"/>
  <c r="A118" i="9"/>
  <c r="T116" i="9"/>
  <c r="Q116" i="9"/>
  <c r="O116" i="9"/>
  <c r="N116" i="9"/>
  <c r="M116" i="9"/>
  <c r="L116" i="9"/>
  <c r="J116" i="9"/>
  <c r="H116" i="9"/>
  <c r="F116" i="9"/>
  <c r="E116" i="9"/>
  <c r="D116" i="9"/>
  <c r="C116" i="9"/>
  <c r="B116" i="9"/>
  <c r="A116" i="9"/>
  <c r="T115" i="9"/>
  <c r="Q115" i="9"/>
  <c r="O115" i="9"/>
  <c r="N115" i="9"/>
  <c r="M115" i="9"/>
  <c r="L115" i="9"/>
  <c r="J115" i="9"/>
  <c r="H115" i="9"/>
  <c r="F115" i="9"/>
  <c r="E115" i="9"/>
  <c r="D115" i="9"/>
  <c r="C115" i="9"/>
  <c r="B115" i="9"/>
  <c r="A115" i="9"/>
  <c r="T114" i="9"/>
  <c r="Q114" i="9"/>
  <c r="O114" i="9"/>
  <c r="N114" i="9"/>
  <c r="M114" i="9"/>
  <c r="L114" i="9"/>
  <c r="J114" i="9"/>
  <c r="H114" i="9"/>
  <c r="F114" i="9"/>
  <c r="E114" i="9"/>
  <c r="D114" i="9"/>
  <c r="C114" i="9"/>
  <c r="B114" i="9"/>
  <c r="A114" i="9"/>
  <c r="T113" i="9"/>
  <c r="Q113" i="9"/>
  <c r="O113" i="9"/>
  <c r="N113" i="9"/>
  <c r="M113" i="9"/>
  <c r="L113" i="9"/>
  <c r="J113" i="9"/>
  <c r="H113" i="9"/>
  <c r="F113" i="9"/>
  <c r="E113" i="9"/>
  <c r="D113" i="9"/>
  <c r="C113" i="9"/>
  <c r="B113" i="9"/>
  <c r="A113" i="9"/>
  <c r="T112" i="9"/>
  <c r="Q112" i="9"/>
  <c r="O112" i="9"/>
  <c r="N112" i="9"/>
  <c r="M112" i="9"/>
  <c r="L112" i="9"/>
  <c r="J112" i="9"/>
  <c r="H112" i="9"/>
  <c r="F112" i="9"/>
  <c r="E112" i="9"/>
  <c r="D112" i="9"/>
  <c r="C112" i="9"/>
  <c r="B112" i="9"/>
  <c r="A112" i="9"/>
  <c r="Q111" i="9"/>
  <c r="O111" i="9"/>
  <c r="N111" i="9"/>
  <c r="M111" i="9"/>
  <c r="L111" i="9"/>
  <c r="J111" i="9"/>
  <c r="H111" i="9"/>
  <c r="F111" i="9"/>
  <c r="E111" i="9"/>
  <c r="D111" i="9"/>
  <c r="C111" i="9"/>
  <c r="B111" i="9"/>
  <c r="A111" i="9"/>
  <c r="U110" i="9"/>
  <c r="T110" i="9"/>
  <c r="S110" i="9"/>
  <c r="R110" i="9"/>
  <c r="Q110" i="9"/>
  <c r="P110" i="9"/>
  <c r="O110" i="9"/>
  <c r="N110" i="9"/>
  <c r="M110" i="9"/>
  <c r="L110" i="9"/>
  <c r="K110" i="9"/>
  <c r="J110" i="9"/>
  <c r="H110" i="9"/>
  <c r="F110" i="9"/>
  <c r="E110" i="9"/>
  <c r="D110" i="9"/>
  <c r="C110" i="9"/>
  <c r="B110" i="9"/>
  <c r="A110" i="9"/>
  <c r="Q109" i="9"/>
  <c r="O109" i="9"/>
  <c r="N109" i="9"/>
  <c r="M109" i="9"/>
  <c r="L109" i="9"/>
  <c r="J109" i="9"/>
  <c r="H109" i="9"/>
  <c r="F109" i="9"/>
  <c r="E109" i="9"/>
  <c r="D109" i="9"/>
  <c r="C109" i="9"/>
  <c r="B109" i="9"/>
  <c r="A109" i="9"/>
  <c r="T108" i="9"/>
  <c r="Q108" i="9"/>
  <c r="O108" i="9"/>
  <c r="N108" i="9"/>
  <c r="M108" i="9"/>
  <c r="L108" i="9"/>
  <c r="J108" i="9"/>
  <c r="H108" i="9"/>
  <c r="F108" i="9"/>
  <c r="E108" i="9"/>
  <c r="D108" i="9"/>
  <c r="C108" i="9"/>
  <c r="B108" i="9"/>
  <c r="A108" i="9"/>
  <c r="Q107" i="9"/>
  <c r="O107" i="9"/>
  <c r="N107" i="9"/>
  <c r="M107" i="9"/>
  <c r="L107" i="9"/>
  <c r="J107" i="9"/>
  <c r="H107" i="9"/>
  <c r="F107" i="9"/>
  <c r="E107" i="9"/>
  <c r="D107" i="9"/>
  <c r="C107" i="9"/>
  <c r="B107" i="9"/>
  <c r="A107" i="9"/>
  <c r="T106" i="9"/>
  <c r="Q106" i="9"/>
  <c r="O106" i="9"/>
  <c r="N106" i="9"/>
  <c r="M106" i="9"/>
  <c r="L106" i="9"/>
  <c r="J106" i="9"/>
  <c r="H106" i="9"/>
  <c r="F106" i="9"/>
  <c r="E106" i="9"/>
  <c r="D106" i="9"/>
  <c r="C106" i="9"/>
  <c r="B106" i="9"/>
  <c r="A106" i="9"/>
  <c r="U105" i="9"/>
  <c r="T105" i="9"/>
  <c r="R105" i="9"/>
  <c r="Q105" i="9"/>
  <c r="O105" i="9"/>
  <c r="N105" i="9"/>
  <c r="M105" i="9"/>
  <c r="L105" i="9"/>
  <c r="J105" i="9"/>
  <c r="H105" i="9"/>
  <c r="F103" i="9" s="1"/>
  <c r="F105" i="9"/>
  <c r="E105" i="9"/>
  <c r="D105" i="9"/>
  <c r="C105" i="9"/>
  <c r="B105" i="9"/>
  <c r="A105" i="9"/>
  <c r="T102" i="9"/>
  <c r="Q102" i="9"/>
  <c r="O102" i="9"/>
  <c r="N102" i="9"/>
  <c r="M102" i="9"/>
  <c r="L102" i="9"/>
  <c r="J102" i="9"/>
  <c r="H102" i="9"/>
  <c r="F102" i="9"/>
  <c r="E102" i="9"/>
  <c r="D102" i="9"/>
  <c r="C102" i="9"/>
  <c r="B102" i="9"/>
  <c r="A102" i="9"/>
  <c r="T101" i="9"/>
  <c r="Q101" i="9"/>
  <c r="O101" i="9"/>
  <c r="N101" i="9"/>
  <c r="M101" i="9"/>
  <c r="L101" i="9"/>
  <c r="J101" i="9"/>
  <c r="H101" i="9"/>
  <c r="F101" i="9"/>
  <c r="E101" i="9"/>
  <c r="D101" i="9"/>
  <c r="C101" i="9"/>
  <c r="B101" i="9"/>
  <c r="A101" i="9"/>
  <c r="T100" i="9"/>
  <c r="Q100" i="9"/>
  <c r="O100" i="9"/>
  <c r="N100" i="9"/>
  <c r="M100" i="9"/>
  <c r="L100" i="9"/>
  <c r="J100" i="9"/>
  <c r="H100" i="9"/>
  <c r="F100" i="9"/>
  <c r="E100" i="9"/>
  <c r="D100" i="9"/>
  <c r="C100" i="9"/>
  <c r="B100" i="9"/>
  <c r="A100" i="9"/>
  <c r="Q99" i="9"/>
  <c r="O99" i="9"/>
  <c r="N99" i="9"/>
  <c r="M99" i="9"/>
  <c r="L99" i="9"/>
  <c r="J99" i="9"/>
  <c r="H99" i="9"/>
  <c r="F99" i="9"/>
  <c r="E99" i="9"/>
  <c r="D99" i="9"/>
  <c r="C99" i="9"/>
  <c r="B99" i="9"/>
  <c r="A99" i="9"/>
  <c r="U98" i="9"/>
  <c r="T98" i="9"/>
  <c r="S98" i="9"/>
  <c r="R98" i="9"/>
  <c r="Q98" i="9"/>
  <c r="P98" i="9"/>
  <c r="O98" i="9"/>
  <c r="N98" i="9"/>
  <c r="M98" i="9"/>
  <c r="L98" i="9"/>
  <c r="K98" i="9"/>
  <c r="J98" i="9"/>
  <c r="H98" i="9"/>
  <c r="F98" i="9"/>
  <c r="E98" i="9"/>
  <c r="D98" i="9"/>
  <c r="C98" i="9"/>
  <c r="B98" i="9"/>
  <c r="A98" i="9"/>
  <c r="Q97" i="9"/>
  <c r="O97" i="9"/>
  <c r="N97" i="9"/>
  <c r="M97" i="9"/>
  <c r="L97" i="9"/>
  <c r="J97" i="9"/>
  <c r="H97" i="9"/>
  <c r="F97" i="9"/>
  <c r="E97" i="9"/>
  <c r="D97" i="9"/>
  <c r="C97" i="9"/>
  <c r="B97" i="9"/>
  <c r="A97" i="9"/>
  <c r="Q96" i="9"/>
  <c r="O96" i="9"/>
  <c r="M96" i="9"/>
  <c r="L96" i="9"/>
  <c r="J96" i="9"/>
  <c r="H96" i="9"/>
  <c r="F96" i="9"/>
  <c r="E96" i="9"/>
  <c r="D96" i="9"/>
  <c r="C96" i="9"/>
  <c r="B96" i="9"/>
  <c r="A96" i="9"/>
  <c r="Q95" i="9"/>
  <c r="O95" i="9"/>
  <c r="N95" i="9"/>
  <c r="M95" i="9"/>
  <c r="L95" i="9"/>
  <c r="J95" i="9"/>
  <c r="H95" i="9"/>
  <c r="F95" i="9"/>
  <c r="E95" i="9"/>
  <c r="D95" i="9"/>
  <c r="C95" i="9"/>
  <c r="B95" i="9"/>
  <c r="A95" i="9"/>
  <c r="T94" i="9"/>
  <c r="Q94" i="9"/>
  <c r="O94" i="9"/>
  <c r="N94" i="9"/>
  <c r="M94" i="9"/>
  <c r="L94" i="9"/>
  <c r="J94" i="9"/>
  <c r="H94" i="9"/>
  <c r="F94" i="9"/>
  <c r="E94" i="9"/>
  <c r="D94" i="9"/>
  <c r="C94" i="9"/>
  <c r="B94" i="9"/>
  <c r="A94" i="9"/>
  <c r="T93" i="9"/>
  <c r="Q93" i="9"/>
  <c r="O93" i="9"/>
  <c r="N93" i="9"/>
  <c r="M93" i="9"/>
  <c r="L93" i="9"/>
  <c r="J93" i="9"/>
  <c r="H93" i="9"/>
  <c r="F93" i="9"/>
  <c r="E93" i="9"/>
  <c r="D93" i="9"/>
  <c r="C93" i="9"/>
  <c r="B93" i="9"/>
  <c r="A93" i="9"/>
  <c r="T92" i="9"/>
  <c r="Q92" i="9"/>
  <c r="O92" i="9"/>
  <c r="N92" i="9"/>
  <c r="M92" i="9"/>
  <c r="L92" i="9"/>
  <c r="J92" i="9"/>
  <c r="H92" i="9"/>
  <c r="F92" i="9"/>
  <c r="E92" i="9"/>
  <c r="D92" i="9"/>
  <c r="C92" i="9"/>
  <c r="B92" i="9"/>
  <c r="A92" i="9"/>
  <c r="Q91" i="9"/>
  <c r="O91" i="9"/>
  <c r="N91" i="9"/>
  <c r="M91" i="9"/>
  <c r="L91" i="9"/>
  <c r="J91" i="9"/>
  <c r="H91" i="9"/>
  <c r="F91" i="9"/>
  <c r="E91" i="9"/>
  <c r="D91" i="9"/>
  <c r="C91" i="9"/>
  <c r="B91" i="9"/>
  <c r="A91" i="9"/>
  <c r="U90" i="9"/>
  <c r="T90" i="9"/>
  <c r="Q90" i="9"/>
  <c r="O90" i="9"/>
  <c r="N90" i="9"/>
  <c r="M90" i="9"/>
  <c r="L90" i="9"/>
  <c r="J90" i="9"/>
  <c r="H90" i="9"/>
  <c r="F89" i="9" s="1"/>
  <c r="F90" i="9"/>
  <c r="E90" i="9"/>
  <c r="D90" i="9"/>
  <c r="C90" i="9"/>
  <c r="B90" i="9"/>
  <c r="A90" i="9"/>
  <c r="T88" i="9"/>
  <c r="Q88" i="9"/>
  <c r="O88" i="9"/>
  <c r="N88" i="9"/>
  <c r="M88" i="9"/>
  <c r="L88" i="9"/>
  <c r="J88" i="9"/>
  <c r="H88" i="9"/>
  <c r="F88" i="9"/>
  <c r="E88" i="9"/>
  <c r="D88" i="9"/>
  <c r="C88" i="9"/>
  <c r="B88" i="9"/>
  <c r="A88" i="9"/>
  <c r="Q87" i="9"/>
  <c r="O87" i="9"/>
  <c r="N87" i="9"/>
  <c r="M87" i="9"/>
  <c r="L87" i="9"/>
  <c r="J87" i="9"/>
  <c r="H87" i="9"/>
  <c r="F87" i="9"/>
  <c r="E87" i="9"/>
  <c r="D87" i="9"/>
  <c r="C87" i="9"/>
  <c r="B87" i="9"/>
  <c r="A87" i="9"/>
  <c r="Q86" i="9"/>
  <c r="O86" i="9"/>
  <c r="N86" i="9"/>
  <c r="M86" i="9"/>
  <c r="L86" i="9"/>
  <c r="J86" i="9"/>
  <c r="H86" i="9"/>
  <c r="F86" i="9"/>
  <c r="E86" i="9"/>
  <c r="D86" i="9"/>
  <c r="C86" i="9"/>
  <c r="B86" i="9"/>
  <c r="A86" i="9"/>
  <c r="U85" i="9"/>
  <c r="T85" i="9"/>
  <c r="S85" i="9"/>
  <c r="R85" i="9"/>
  <c r="Q85" i="9"/>
  <c r="P85" i="9"/>
  <c r="O85" i="9"/>
  <c r="N85" i="9"/>
  <c r="M85" i="9"/>
  <c r="L85" i="9"/>
  <c r="K85" i="9"/>
  <c r="J85" i="9"/>
  <c r="H85" i="9"/>
  <c r="F85" i="9"/>
  <c r="E85" i="9"/>
  <c r="D85" i="9"/>
  <c r="C85" i="9"/>
  <c r="B85" i="9"/>
  <c r="A85" i="9"/>
  <c r="Q84" i="9"/>
  <c r="O84" i="9"/>
  <c r="N84" i="9"/>
  <c r="M84" i="9"/>
  <c r="L84" i="9"/>
  <c r="J84" i="9"/>
  <c r="H84" i="9"/>
  <c r="F84" i="9"/>
  <c r="E84" i="9"/>
  <c r="D84" i="9"/>
  <c r="C84" i="9"/>
  <c r="B84" i="9"/>
  <c r="A84" i="9"/>
  <c r="Q83" i="9"/>
  <c r="O83" i="9"/>
  <c r="N83" i="9"/>
  <c r="M83" i="9"/>
  <c r="L83" i="9"/>
  <c r="J83" i="9"/>
  <c r="H83" i="9"/>
  <c r="F83" i="9"/>
  <c r="E83" i="9"/>
  <c r="D83" i="9"/>
  <c r="C83" i="9"/>
  <c r="B83" i="9"/>
  <c r="A83" i="9"/>
  <c r="T82" i="9"/>
  <c r="Q82" i="9"/>
  <c r="O82" i="9"/>
  <c r="M82" i="9"/>
  <c r="L82" i="9"/>
  <c r="J82" i="9"/>
  <c r="H82" i="9"/>
  <c r="F82" i="9"/>
  <c r="E82" i="9"/>
  <c r="D82" i="9"/>
  <c r="C82" i="9"/>
  <c r="B82" i="9"/>
  <c r="A82" i="9"/>
  <c r="T81" i="9"/>
  <c r="Q81" i="9"/>
  <c r="O81" i="9"/>
  <c r="M81" i="9"/>
  <c r="L81" i="9"/>
  <c r="J81" i="9"/>
  <c r="H81" i="9"/>
  <c r="F81" i="9"/>
  <c r="E81" i="9"/>
  <c r="D81" i="9"/>
  <c r="C81" i="9"/>
  <c r="B81" i="9"/>
  <c r="A81" i="9"/>
  <c r="U80" i="9"/>
  <c r="T80" i="9"/>
  <c r="S80" i="9"/>
  <c r="R80" i="9"/>
  <c r="Q80" i="9"/>
  <c r="O80" i="9"/>
  <c r="N80" i="9"/>
  <c r="M80" i="9"/>
  <c r="L80" i="9"/>
  <c r="K80" i="9"/>
  <c r="J80" i="9"/>
  <c r="H80" i="9"/>
  <c r="F80" i="9"/>
  <c r="E80" i="9"/>
  <c r="D80" i="9"/>
  <c r="C80" i="9"/>
  <c r="B80" i="9"/>
  <c r="A80" i="9"/>
  <c r="T79" i="9"/>
  <c r="Q79" i="9"/>
  <c r="O79" i="9"/>
  <c r="N79" i="9"/>
  <c r="M79" i="9"/>
  <c r="L79" i="9"/>
  <c r="J79" i="9"/>
  <c r="H79" i="9"/>
  <c r="F79" i="9"/>
  <c r="E79" i="9"/>
  <c r="D79" i="9"/>
  <c r="C79" i="9"/>
  <c r="B79" i="9"/>
  <c r="A79" i="9"/>
  <c r="Q78" i="9"/>
  <c r="O78" i="9"/>
  <c r="N78" i="9"/>
  <c r="M78" i="9"/>
  <c r="L78" i="9"/>
  <c r="J78" i="9"/>
  <c r="H78" i="9"/>
  <c r="F78" i="9"/>
  <c r="E78" i="9"/>
  <c r="D78" i="9"/>
  <c r="C78" i="9"/>
  <c r="B78" i="9"/>
  <c r="A78" i="9"/>
  <c r="U77" i="9"/>
  <c r="T77" i="9"/>
  <c r="S77" i="9"/>
  <c r="R77" i="9"/>
  <c r="Q77" i="9"/>
  <c r="O77" i="9"/>
  <c r="N77" i="9"/>
  <c r="M77" i="9"/>
  <c r="L77" i="9"/>
  <c r="K77" i="9"/>
  <c r="J77" i="9"/>
  <c r="H77" i="9"/>
  <c r="F74" i="9" s="1"/>
  <c r="F77" i="9"/>
  <c r="E77" i="9"/>
  <c r="D77" i="9"/>
  <c r="C77" i="9"/>
  <c r="B77" i="9"/>
  <c r="A77" i="9"/>
  <c r="Q73" i="9"/>
  <c r="O73" i="9"/>
  <c r="N73" i="9"/>
  <c r="M73" i="9"/>
  <c r="L73" i="9"/>
  <c r="J73" i="9"/>
  <c r="H73" i="9"/>
  <c r="F73" i="9"/>
  <c r="E73" i="9"/>
  <c r="D73" i="9"/>
  <c r="C73" i="9"/>
  <c r="B73" i="9"/>
  <c r="A73" i="9"/>
  <c r="Q72" i="9"/>
  <c r="O72" i="9"/>
  <c r="M72" i="9"/>
  <c r="L72" i="9"/>
  <c r="J72" i="9"/>
  <c r="H72" i="9"/>
  <c r="F72" i="9"/>
  <c r="E72" i="9"/>
  <c r="D72" i="9"/>
  <c r="C72" i="9"/>
  <c r="B72" i="9"/>
  <c r="A72" i="9"/>
  <c r="Q71" i="9"/>
  <c r="O71" i="9"/>
  <c r="N71" i="9"/>
  <c r="M71" i="9"/>
  <c r="L71" i="9"/>
  <c r="J71" i="9"/>
  <c r="H71" i="9"/>
  <c r="F71" i="9"/>
  <c r="E71" i="9"/>
  <c r="D71" i="9"/>
  <c r="C71" i="9"/>
  <c r="B71" i="9"/>
  <c r="A71" i="9"/>
  <c r="Q70" i="9"/>
  <c r="O70" i="9"/>
  <c r="N70" i="9"/>
  <c r="M70" i="9"/>
  <c r="L70" i="9"/>
  <c r="J70" i="9"/>
  <c r="H70" i="9"/>
  <c r="F70" i="9"/>
  <c r="E70" i="9"/>
  <c r="D70" i="9"/>
  <c r="C70" i="9"/>
  <c r="B70" i="9"/>
  <c r="A70" i="9"/>
  <c r="Q69" i="9"/>
  <c r="O69" i="9"/>
  <c r="N69" i="9"/>
  <c r="M69" i="9"/>
  <c r="L69" i="9"/>
  <c r="J69" i="9"/>
  <c r="H69" i="9"/>
  <c r="F69" i="9"/>
  <c r="E69" i="9"/>
  <c r="D69" i="9"/>
  <c r="C69" i="9"/>
  <c r="B69" i="9"/>
  <c r="A69" i="9"/>
  <c r="Q68" i="9"/>
  <c r="O68" i="9"/>
  <c r="N68" i="9"/>
  <c r="M68" i="9"/>
  <c r="L68" i="9"/>
  <c r="J68" i="9"/>
  <c r="H68" i="9"/>
  <c r="F68" i="9"/>
  <c r="E68" i="9"/>
  <c r="D68" i="9"/>
  <c r="C68" i="9"/>
  <c r="B68" i="9"/>
  <c r="A68" i="9"/>
  <c r="T67" i="9"/>
  <c r="Q67" i="9"/>
  <c r="O67" i="9"/>
  <c r="M67" i="9"/>
  <c r="L67" i="9"/>
  <c r="J67" i="9"/>
  <c r="H67" i="9"/>
  <c r="F67" i="9"/>
  <c r="E67" i="9"/>
  <c r="D67" i="9"/>
  <c r="C67" i="9"/>
  <c r="B67" i="9"/>
  <c r="A67" i="9"/>
  <c r="Q66" i="9"/>
  <c r="O66" i="9"/>
  <c r="N66" i="9"/>
  <c r="M66" i="9"/>
  <c r="L66" i="9"/>
  <c r="J66" i="9"/>
  <c r="H66" i="9"/>
  <c r="F66" i="9"/>
  <c r="E66" i="9"/>
  <c r="D66" i="9"/>
  <c r="C66" i="9"/>
  <c r="B66" i="9"/>
  <c r="A66" i="9"/>
  <c r="U65" i="9"/>
  <c r="T65" i="9"/>
  <c r="S65" i="9"/>
  <c r="R65" i="9"/>
  <c r="Q65" i="9"/>
  <c r="P65" i="9"/>
  <c r="O65" i="9"/>
  <c r="N65" i="9"/>
  <c r="M65" i="9"/>
  <c r="L65" i="9"/>
  <c r="K65" i="9"/>
  <c r="J65" i="9"/>
  <c r="H65" i="9"/>
  <c r="F65" i="9"/>
  <c r="E65" i="9"/>
  <c r="D65" i="9"/>
  <c r="C65" i="9"/>
  <c r="B65" i="9"/>
  <c r="A65" i="9"/>
  <c r="T64" i="9"/>
  <c r="Q64" i="9"/>
  <c r="O64" i="9"/>
  <c r="N64" i="9"/>
  <c r="M64" i="9"/>
  <c r="L64" i="9"/>
  <c r="J64" i="9"/>
  <c r="H64" i="9"/>
  <c r="F64" i="9"/>
  <c r="E64" i="9"/>
  <c r="D64" i="9"/>
  <c r="C64" i="9"/>
  <c r="B64" i="9"/>
  <c r="A64" i="9"/>
  <c r="U63" i="9"/>
  <c r="T63" i="9"/>
  <c r="Q63" i="9"/>
  <c r="O63" i="9"/>
  <c r="N63" i="9"/>
  <c r="M63" i="9"/>
  <c r="L63" i="9"/>
  <c r="J63" i="9"/>
  <c r="H63" i="9"/>
  <c r="F63" i="9"/>
  <c r="E63" i="9"/>
  <c r="D63" i="9"/>
  <c r="C63" i="9"/>
  <c r="B63" i="9"/>
  <c r="A63" i="9"/>
  <c r="Q62" i="9"/>
  <c r="O62" i="9"/>
  <c r="N62" i="9"/>
  <c r="M62" i="9"/>
  <c r="L62" i="9"/>
  <c r="J62" i="9"/>
  <c r="H62" i="9"/>
  <c r="F62" i="9"/>
  <c r="F59" i="9" s="1"/>
  <c r="E62" i="9"/>
  <c r="D62" i="9"/>
  <c r="C62" i="9"/>
  <c r="B62" i="9"/>
  <c r="A62" i="9"/>
  <c r="Q58" i="9"/>
  <c r="O58" i="9"/>
  <c r="N58" i="9"/>
  <c r="M58" i="9"/>
  <c r="L58" i="9"/>
  <c r="J58" i="9"/>
  <c r="H58" i="9"/>
  <c r="F58" i="9"/>
  <c r="E58" i="9"/>
  <c r="D58" i="9"/>
  <c r="C58" i="9"/>
  <c r="B58" i="9"/>
  <c r="A58" i="9"/>
  <c r="Q57" i="9"/>
  <c r="O57" i="9"/>
  <c r="N57" i="9"/>
  <c r="M57" i="9"/>
  <c r="L57" i="9"/>
  <c r="J57" i="9"/>
  <c r="H57" i="9"/>
  <c r="F57" i="9"/>
  <c r="E57" i="9"/>
  <c r="D57" i="9"/>
  <c r="C57" i="9"/>
  <c r="B57" i="9"/>
  <c r="A57" i="9"/>
  <c r="T56" i="9"/>
  <c r="Q56" i="9"/>
  <c r="O56" i="9"/>
  <c r="N56" i="9"/>
  <c r="M56" i="9"/>
  <c r="L56" i="9"/>
  <c r="J56" i="9"/>
  <c r="H56" i="9"/>
  <c r="F56" i="9"/>
  <c r="E56" i="9"/>
  <c r="D56" i="9"/>
  <c r="C56" i="9"/>
  <c r="B56" i="9"/>
  <c r="A56" i="9"/>
  <c r="Q55" i="9"/>
  <c r="O55" i="9"/>
  <c r="N55" i="9"/>
  <c r="M55" i="9"/>
  <c r="L55" i="9"/>
  <c r="J55" i="9"/>
  <c r="H55" i="9"/>
  <c r="F55" i="9"/>
  <c r="E55" i="9"/>
  <c r="D55" i="9"/>
  <c r="C55" i="9"/>
  <c r="B55" i="9"/>
  <c r="A55" i="9"/>
  <c r="T54" i="9"/>
  <c r="Q54" i="9"/>
  <c r="O54" i="9"/>
  <c r="N54" i="9"/>
  <c r="M54" i="9"/>
  <c r="L54" i="9"/>
  <c r="J54" i="9"/>
  <c r="H54" i="9"/>
  <c r="F54" i="9"/>
  <c r="E54" i="9"/>
  <c r="D54" i="9"/>
  <c r="C54" i="9"/>
  <c r="B54" i="9"/>
  <c r="A54" i="9"/>
  <c r="Q53" i="9"/>
  <c r="O53" i="9"/>
  <c r="N53" i="9"/>
  <c r="M53" i="9"/>
  <c r="L53" i="9"/>
  <c r="J53" i="9"/>
  <c r="H53" i="9"/>
  <c r="F53" i="9"/>
  <c r="E53" i="9"/>
  <c r="D53" i="9"/>
  <c r="C53" i="9"/>
  <c r="B53" i="9"/>
  <c r="A53" i="9"/>
  <c r="T52" i="9"/>
  <c r="Q52" i="9"/>
  <c r="O52" i="9"/>
  <c r="M52" i="9"/>
  <c r="L52" i="9"/>
  <c r="J52" i="9"/>
  <c r="H52" i="9"/>
  <c r="F52" i="9"/>
  <c r="E52" i="9"/>
  <c r="D52" i="9"/>
  <c r="C52" i="9"/>
  <c r="B52" i="9"/>
  <c r="A52" i="9"/>
  <c r="Q51" i="9"/>
  <c r="O51" i="9"/>
  <c r="N51" i="9"/>
  <c r="M51" i="9"/>
  <c r="L51" i="9"/>
  <c r="J51" i="9"/>
  <c r="H51" i="9"/>
  <c r="F51" i="9"/>
  <c r="E51" i="9"/>
  <c r="D51" i="9"/>
  <c r="C51" i="9"/>
  <c r="B51" i="9"/>
  <c r="A51" i="9"/>
  <c r="T50" i="9"/>
  <c r="Q50" i="9"/>
  <c r="O50" i="9"/>
  <c r="N50" i="9"/>
  <c r="M50" i="9"/>
  <c r="L50" i="9"/>
  <c r="J50" i="9"/>
  <c r="H50" i="9"/>
  <c r="F50" i="9"/>
  <c r="E50" i="9"/>
  <c r="D50" i="9"/>
  <c r="C50" i="9"/>
  <c r="B50" i="9"/>
  <c r="A50" i="9"/>
  <c r="U49" i="9"/>
  <c r="T49" i="9"/>
  <c r="S49" i="9"/>
  <c r="R49" i="9"/>
  <c r="Q49" i="9"/>
  <c r="P49" i="9"/>
  <c r="O49" i="9"/>
  <c r="N49" i="9"/>
  <c r="M49" i="9"/>
  <c r="L49" i="9"/>
  <c r="K49" i="9"/>
  <c r="J49" i="9"/>
  <c r="H49" i="9"/>
  <c r="F49" i="9"/>
  <c r="E49" i="9"/>
  <c r="D49" i="9"/>
  <c r="C49" i="9"/>
  <c r="B49" i="9"/>
  <c r="A49" i="9"/>
  <c r="T48" i="9"/>
  <c r="Q48" i="9"/>
  <c r="O48" i="9"/>
  <c r="N48" i="9"/>
  <c r="M48" i="9"/>
  <c r="L48" i="9"/>
  <c r="J48" i="9"/>
  <c r="H48" i="9"/>
  <c r="F48" i="9"/>
  <c r="E48" i="9"/>
  <c r="D48" i="9"/>
  <c r="C48" i="9"/>
  <c r="B48" i="9"/>
  <c r="A48" i="9"/>
  <c r="T47" i="9"/>
  <c r="Q47" i="9"/>
  <c r="O47" i="9"/>
  <c r="N47" i="9"/>
  <c r="M47" i="9"/>
  <c r="L47" i="9"/>
  <c r="J47" i="9"/>
  <c r="H47" i="9"/>
  <c r="F47" i="9"/>
  <c r="E47" i="9"/>
  <c r="D47" i="9"/>
  <c r="C47" i="9"/>
  <c r="B47" i="9"/>
  <c r="A47" i="9"/>
  <c r="U46" i="9"/>
  <c r="T46" i="9"/>
  <c r="Q46" i="9"/>
  <c r="O46" i="9"/>
  <c r="N46" i="9"/>
  <c r="M46" i="9"/>
  <c r="L46" i="9"/>
  <c r="J46" i="9"/>
  <c r="H46" i="9"/>
  <c r="F45" i="9" s="1"/>
  <c r="F46" i="9"/>
  <c r="E46" i="9"/>
  <c r="D46" i="9"/>
  <c r="C46" i="9"/>
  <c r="B46" i="9"/>
  <c r="A46" i="9"/>
  <c r="T44" i="9"/>
  <c r="Q44" i="9"/>
  <c r="O44" i="9"/>
  <c r="N44" i="9"/>
  <c r="M44" i="9"/>
  <c r="L44" i="9"/>
  <c r="J44" i="9"/>
  <c r="H44" i="9"/>
  <c r="F44" i="9"/>
  <c r="E44" i="9"/>
  <c r="D44" i="9"/>
  <c r="C44" i="9"/>
  <c r="B44" i="9"/>
  <c r="A44" i="9"/>
  <c r="Q43" i="9"/>
  <c r="O43" i="9"/>
  <c r="N43" i="9"/>
  <c r="M43" i="9"/>
  <c r="L43" i="9"/>
  <c r="J43" i="9"/>
  <c r="H43" i="9"/>
  <c r="F43" i="9"/>
  <c r="E43" i="9"/>
  <c r="D43" i="9"/>
  <c r="C43" i="9"/>
  <c r="B43" i="9"/>
  <c r="A43" i="9"/>
  <c r="T42" i="9"/>
  <c r="Q42" i="9"/>
  <c r="O42" i="9"/>
  <c r="N42" i="9"/>
  <c r="M42" i="9"/>
  <c r="L42" i="9"/>
  <c r="J42" i="9"/>
  <c r="H42" i="9"/>
  <c r="F42" i="9"/>
  <c r="E42" i="9"/>
  <c r="D42" i="9"/>
  <c r="C42" i="9"/>
  <c r="B42" i="9"/>
  <c r="A42" i="9"/>
  <c r="T41" i="9"/>
  <c r="Q41" i="9"/>
  <c r="O41" i="9"/>
  <c r="N41" i="9"/>
  <c r="M41" i="9"/>
  <c r="L41" i="9"/>
  <c r="J41" i="9"/>
  <c r="H41" i="9"/>
  <c r="F41" i="9"/>
  <c r="E41" i="9"/>
  <c r="D41" i="9"/>
  <c r="C41" i="9"/>
  <c r="B41" i="9"/>
  <c r="A41" i="9"/>
  <c r="T40" i="9"/>
  <c r="Q40" i="9"/>
  <c r="O40" i="9"/>
  <c r="N40" i="9"/>
  <c r="M40" i="9"/>
  <c r="L40" i="9"/>
  <c r="J40" i="9"/>
  <c r="H40" i="9"/>
  <c r="F40" i="9"/>
  <c r="E40" i="9"/>
  <c r="D40" i="9"/>
  <c r="C40" i="9"/>
  <c r="B40" i="9"/>
  <c r="A40" i="9"/>
  <c r="Q39" i="9"/>
  <c r="O39" i="9"/>
  <c r="N39" i="9"/>
  <c r="M39" i="9"/>
  <c r="L39" i="9"/>
  <c r="J39" i="9"/>
  <c r="H39" i="9"/>
  <c r="F39" i="9"/>
  <c r="E39" i="9"/>
  <c r="D39" i="9"/>
  <c r="C39" i="9"/>
  <c r="B39" i="9"/>
  <c r="A39" i="9"/>
  <c r="T38" i="9"/>
  <c r="Q38" i="9"/>
  <c r="O38" i="9"/>
  <c r="N38" i="9"/>
  <c r="M38" i="9"/>
  <c r="L38" i="9"/>
  <c r="J38" i="9"/>
  <c r="H38" i="9"/>
  <c r="F38" i="9"/>
  <c r="E38" i="9"/>
  <c r="D38" i="9"/>
  <c r="C38" i="9"/>
  <c r="B38" i="9"/>
  <c r="A38" i="9"/>
  <c r="T37" i="9"/>
  <c r="Q37" i="9"/>
  <c r="O37" i="9"/>
  <c r="M37" i="9"/>
  <c r="L37" i="9"/>
  <c r="J37" i="9"/>
  <c r="H37" i="9"/>
  <c r="F37" i="9"/>
  <c r="E37" i="9"/>
  <c r="D37" i="9"/>
  <c r="C37" i="9"/>
  <c r="B37" i="9"/>
  <c r="A37" i="9"/>
  <c r="U36" i="9"/>
  <c r="T36" i="9"/>
  <c r="S36" i="9"/>
  <c r="R36" i="9"/>
  <c r="Q36" i="9"/>
  <c r="P36" i="9"/>
  <c r="O36" i="9"/>
  <c r="N36" i="9"/>
  <c r="M36" i="9"/>
  <c r="L36" i="9"/>
  <c r="K36" i="9"/>
  <c r="J36" i="9"/>
  <c r="H36" i="9"/>
  <c r="F36" i="9"/>
  <c r="E36" i="9"/>
  <c r="D36" i="9"/>
  <c r="C36" i="9"/>
  <c r="B36" i="9"/>
  <c r="A36" i="9"/>
  <c r="U35" i="9"/>
  <c r="T35" i="9"/>
  <c r="S35" i="9"/>
  <c r="R35" i="9"/>
  <c r="Q35" i="9"/>
  <c r="O35" i="9"/>
  <c r="N35" i="9"/>
  <c r="M35" i="9"/>
  <c r="L35" i="9"/>
  <c r="K35" i="9"/>
  <c r="J35" i="9"/>
  <c r="H35" i="9"/>
  <c r="F35" i="9"/>
  <c r="E35" i="9"/>
  <c r="D35" i="9"/>
  <c r="C35" i="9"/>
  <c r="B35" i="9"/>
  <c r="A35" i="9"/>
  <c r="T34" i="9"/>
  <c r="Q34" i="9"/>
  <c r="O34" i="9"/>
  <c r="N34" i="9"/>
  <c r="M34" i="9"/>
  <c r="L34" i="9"/>
  <c r="J34" i="9"/>
  <c r="H34" i="9"/>
  <c r="F34" i="9"/>
  <c r="E34" i="9"/>
  <c r="D34" i="9"/>
  <c r="C34" i="9"/>
  <c r="B34" i="9"/>
  <c r="A34" i="9"/>
  <c r="Q33" i="9"/>
  <c r="O33" i="9"/>
  <c r="N33" i="9"/>
  <c r="M33" i="9"/>
  <c r="L33" i="9"/>
  <c r="J33" i="9"/>
  <c r="H33" i="9"/>
  <c r="F31" i="9" s="1"/>
  <c r="F33" i="9"/>
  <c r="E33" i="9"/>
  <c r="D33" i="9"/>
  <c r="C33" i="9"/>
  <c r="B33" i="9"/>
  <c r="A33" i="9"/>
  <c r="T30" i="9"/>
  <c r="Q30" i="9"/>
  <c r="O30" i="9"/>
  <c r="N30" i="9"/>
  <c r="M30" i="9"/>
  <c r="L30" i="9"/>
  <c r="J30" i="9"/>
  <c r="H30" i="9"/>
  <c r="F30" i="9"/>
  <c r="E30" i="9"/>
  <c r="D30" i="9"/>
  <c r="C30" i="9"/>
  <c r="B30" i="9"/>
  <c r="A30" i="9"/>
  <c r="Q29" i="9"/>
  <c r="O29" i="9"/>
  <c r="N29" i="9"/>
  <c r="M29" i="9"/>
  <c r="L29" i="9"/>
  <c r="J29" i="9"/>
  <c r="H29" i="9"/>
  <c r="F29" i="9"/>
  <c r="E29" i="9"/>
  <c r="D29" i="9"/>
  <c r="C29" i="9"/>
  <c r="B29" i="9"/>
  <c r="A29" i="9"/>
  <c r="Q28" i="9"/>
  <c r="O28" i="9"/>
  <c r="N28" i="9"/>
  <c r="M28" i="9"/>
  <c r="L28" i="9"/>
  <c r="J28" i="9"/>
  <c r="H28" i="9"/>
  <c r="F28" i="9"/>
  <c r="E28" i="9"/>
  <c r="D28" i="9"/>
  <c r="C28" i="9"/>
  <c r="B28" i="9"/>
  <c r="A28" i="9"/>
  <c r="T27" i="9"/>
  <c r="Q27" i="9"/>
  <c r="O27" i="9"/>
  <c r="M27" i="9"/>
  <c r="L27" i="9"/>
  <c r="J27" i="9"/>
  <c r="H27" i="9"/>
  <c r="F27" i="9"/>
  <c r="E27" i="9"/>
  <c r="D27" i="9"/>
  <c r="C27" i="9"/>
  <c r="B27" i="9"/>
  <c r="A27" i="9"/>
  <c r="T26" i="9"/>
  <c r="Q26" i="9"/>
  <c r="O26" i="9"/>
  <c r="N26" i="9"/>
  <c r="M26" i="9"/>
  <c r="L26" i="9"/>
  <c r="J26" i="9"/>
  <c r="H26" i="9"/>
  <c r="F26" i="9"/>
  <c r="E26" i="9"/>
  <c r="D26" i="9"/>
  <c r="C26" i="9"/>
  <c r="B26" i="9"/>
  <c r="A26" i="9"/>
  <c r="T25" i="9"/>
  <c r="Q25" i="9"/>
  <c r="O25" i="9"/>
  <c r="M25" i="9"/>
  <c r="L25" i="9"/>
  <c r="J25" i="9"/>
  <c r="H25" i="9"/>
  <c r="F25" i="9"/>
  <c r="E25" i="9"/>
  <c r="D25" i="9"/>
  <c r="C25" i="9"/>
  <c r="B25" i="9"/>
  <c r="A25" i="9"/>
  <c r="U24" i="9"/>
  <c r="T24" i="9"/>
  <c r="S24" i="9"/>
  <c r="R24" i="9"/>
  <c r="Q24" i="9"/>
  <c r="P24" i="9"/>
  <c r="O24" i="9"/>
  <c r="N24" i="9"/>
  <c r="M24" i="9"/>
  <c r="L24" i="9"/>
  <c r="K24" i="9"/>
  <c r="J24" i="9"/>
  <c r="H24" i="9"/>
  <c r="F24" i="9"/>
  <c r="E24" i="9"/>
  <c r="D24" i="9"/>
  <c r="C24" i="9"/>
  <c r="B24" i="9"/>
  <c r="A24" i="9"/>
  <c r="Q23" i="9"/>
  <c r="O23" i="9"/>
  <c r="N23" i="9"/>
  <c r="M23" i="9"/>
  <c r="L23" i="9"/>
  <c r="J23" i="9"/>
  <c r="H23" i="9"/>
  <c r="F23" i="9"/>
  <c r="E23" i="9"/>
  <c r="D23" i="9"/>
  <c r="C23" i="9"/>
  <c r="B23" i="9"/>
  <c r="A23" i="9"/>
  <c r="T22" i="9"/>
  <c r="Q22" i="9"/>
  <c r="O22" i="9"/>
  <c r="N22" i="9"/>
  <c r="M22" i="9"/>
  <c r="L22" i="9"/>
  <c r="J22" i="9"/>
  <c r="H22" i="9"/>
  <c r="F22" i="9"/>
  <c r="E22" i="9"/>
  <c r="D22" i="9"/>
  <c r="C22" i="9"/>
  <c r="B22" i="9"/>
  <c r="A22" i="9"/>
  <c r="T21" i="9"/>
  <c r="Q21" i="9"/>
  <c r="O21" i="9"/>
  <c r="N21" i="9"/>
  <c r="M21" i="9"/>
  <c r="L21" i="9"/>
  <c r="J21" i="9"/>
  <c r="H21" i="9"/>
  <c r="F21" i="9"/>
  <c r="E21" i="9"/>
  <c r="D21" i="9"/>
  <c r="C21" i="9"/>
  <c r="B21" i="9"/>
  <c r="A21" i="9"/>
  <c r="U20" i="9"/>
  <c r="T20" i="9"/>
  <c r="S20" i="9"/>
  <c r="R20" i="9"/>
  <c r="Q20" i="9"/>
  <c r="O20" i="9"/>
  <c r="N20" i="9"/>
  <c r="M20" i="9"/>
  <c r="L20" i="9"/>
  <c r="K20" i="9"/>
  <c r="J20" i="9"/>
  <c r="H20" i="9"/>
  <c r="F20" i="9"/>
  <c r="E20" i="9"/>
  <c r="D20" i="9"/>
  <c r="C20" i="9"/>
  <c r="B20" i="9"/>
  <c r="A20" i="9"/>
  <c r="Q19" i="9"/>
  <c r="O19" i="9"/>
  <c r="N19" i="9"/>
  <c r="M19" i="9"/>
  <c r="L19" i="9"/>
  <c r="J19" i="9"/>
  <c r="H19" i="9"/>
  <c r="F19" i="9"/>
  <c r="F17" i="9" s="1"/>
  <c r="E19" i="9"/>
  <c r="D19" i="9"/>
  <c r="C19" i="9"/>
  <c r="B19" i="9"/>
  <c r="A19" i="9"/>
  <c r="T16" i="9"/>
  <c r="Q16" i="9"/>
  <c r="O16" i="9"/>
  <c r="N16" i="9"/>
  <c r="M16" i="9"/>
  <c r="L16" i="9"/>
  <c r="J16" i="9"/>
  <c r="H16" i="9"/>
  <c r="F16" i="9"/>
  <c r="E16" i="9"/>
  <c r="D16" i="9"/>
  <c r="C16" i="9"/>
  <c r="B16" i="9"/>
  <c r="A16" i="9"/>
  <c r="Q15" i="9"/>
  <c r="O15" i="9"/>
  <c r="N15" i="9"/>
  <c r="M15" i="9"/>
  <c r="L15" i="9"/>
  <c r="J15" i="9"/>
  <c r="H15" i="9"/>
  <c r="F15" i="9"/>
  <c r="E15" i="9"/>
  <c r="D15" i="9"/>
  <c r="C15" i="9"/>
  <c r="B15" i="9"/>
  <c r="A15" i="9"/>
  <c r="T14" i="9"/>
  <c r="Q14" i="9"/>
  <c r="O14" i="9"/>
  <c r="N14" i="9"/>
  <c r="M14" i="9"/>
  <c r="L14" i="9"/>
  <c r="J14" i="9"/>
  <c r="H14" i="9"/>
  <c r="F14" i="9"/>
  <c r="E14" i="9"/>
  <c r="D14" i="9"/>
  <c r="C14" i="9"/>
  <c r="B14" i="9"/>
  <c r="A14" i="9"/>
  <c r="Q13" i="9"/>
  <c r="O13" i="9"/>
  <c r="N13" i="9"/>
  <c r="M13" i="9"/>
  <c r="L13" i="9"/>
  <c r="J13" i="9"/>
  <c r="H13" i="9"/>
  <c r="F13" i="9"/>
  <c r="E13" i="9"/>
  <c r="D13" i="9"/>
  <c r="C13" i="9"/>
  <c r="B13" i="9"/>
  <c r="A13" i="9"/>
  <c r="U12" i="9"/>
  <c r="T12" i="9"/>
  <c r="S12" i="9"/>
  <c r="R12" i="9"/>
  <c r="Q12" i="9"/>
  <c r="P12" i="9"/>
  <c r="O12" i="9"/>
  <c r="N12" i="9"/>
  <c r="M12" i="9"/>
  <c r="L12" i="9"/>
  <c r="K12" i="9"/>
  <c r="J12" i="9"/>
  <c r="H12" i="9"/>
  <c r="F12" i="9"/>
  <c r="E12" i="9"/>
  <c r="D12" i="9"/>
  <c r="C12" i="9"/>
  <c r="B12" i="9"/>
  <c r="A12" i="9"/>
  <c r="T11" i="9"/>
  <c r="Q11" i="9"/>
  <c r="O11" i="9"/>
  <c r="M11" i="9"/>
  <c r="L11" i="9"/>
  <c r="J11" i="9"/>
  <c r="H11" i="9"/>
  <c r="F11" i="9"/>
  <c r="E11" i="9"/>
  <c r="D11" i="9"/>
  <c r="C11" i="9"/>
  <c r="B11" i="9"/>
  <c r="A11" i="9"/>
  <c r="Q10" i="9"/>
  <c r="O10" i="9"/>
  <c r="N10" i="9"/>
  <c r="M10" i="9"/>
  <c r="L10" i="9"/>
  <c r="J10" i="9"/>
  <c r="H10" i="9"/>
  <c r="F10" i="9"/>
  <c r="E10" i="9"/>
  <c r="D10" i="9"/>
  <c r="C10" i="9"/>
  <c r="B10" i="9"/>
  <c r="A10" i="9"/>
  <c r="T9" i="9"/>
  <c r="Q9" i="9"/>
  <c r="O9" i="9"/>
  <c r="M9" i="9"/>
  <c r="L9" i="9"/>
  <c r="J9" i="9"/>
  <c r="H9" i="9"/>
  <c r="F9" i="9"/>
  <c r="E9" i="9"/>
  <c r="D9" i="9"/>
  <c r="C9" i="9"/>
  <c r="B9" i="9"/>
  <c r="A9" i="9"/>
  <c r="T8" i="9"/>
  <c r="Q8" i="9"/>
  <c r="O8" i="9"/>
  <c r="N8" i="9"/>
  <c r="M8" i="9"/>
  <c r="L8" i="9"/>
  <c r="J8" i="9"/>
  <c r="H8" i="9"/>
  <c r="F8" i="9"/>
  <c r="E8" i="9"/>
  <c r="D8" i="9"/>
  <c r="C8" i="9"/>
  <c r="B8" i="9"/>
  <c r="A8" i="9"/>
  <c r="T7" i="9"/>
  <c r="Q7" i="9"/>
  <c r="O7" i="9"/>
  <c r="N7" i="9"/>
  <c r="M7" i="9"/>
  <c r="L7" i="9"/>
  <c r="J7" i="9"/>
  <c r="H7" i="9"/>
  <c r="F7" i="9"/>
  <c r="E7" i="9"/>
  <c r="D7" i="9"/>
  <c r="C7" i="9"/>
  <c r="B7" i="9"/>
  <c r="A7" i="9"/>
  <c r="T6" i="9"/>
  <c r="Q6" i="9"/>
  <c r="O6" i="9"/>
  <c r="N6" i="9"/>
  <c r="M6" i="9"/>
  <c r="L6" i="9"/>
  <c r="J6" i="9"/>
  <c r="H6" i="9"/>
  <c r="F6" i="9"/>
  <c r="E6" i="9"/>
  <c r="D6" i="9"/>
  <c r="C6" i="9"/>
  <c r="B6" i="9"/>
  <c r="A6" i="9"/>
  <c r="Q5" i="9"/>
  <c r="O5" i="9"/>
  <c r="N5" i="9"/>
  <c r="M5" i="9"/>
  <c r="L5" i="9"/>
  <c r="J5" i="9"/>
  <c r="H5" i="9"/>
  <c r="F5" i="9"/>
  <c r="E5" i="9"/>
  <c r="D5" i="9"/>
  <c r="C5" i="9"/>
  <c r="B5" i="9"/>
  <c r="A5" i="9"/>
  <c r="U4" i="9"/>
  <c r="T4" i="9"/>
  <c r="S4" i="9"/>
  <c r="R4" i="9"/>
  <c r="Q4" i="9"/>
  <c r="O4" i="9"/>
  <c r="N4" i="9"/>
  <c r="M4" i="9"/>
  <c r="L4" i="9"/>
  <c r="K4" i="9"/>
  <c r="J4" i="9"/>
  <c r="H4" i="9"/>
  <c r="F3" i="9" s="1"/>
  <c r="F4" i="9"/>
  <c r="E4" i="9"/>
  <c r="D4" i="9"/>
  <c r="C4" i="9"/>
  <c r="B4" i="9"/>
  <c r="A4" i="9"/>
  <c r="Q170" i="8"/>
  <c r="O170" i="8"/>
  <c r="N170" i="8"/>
  <c r="M170" i="8"/>
  <c r="L170" i="8"/>
  <c r="J170" i="8"/>
  <c r="H170" i="8"/>
  <c r="F170" i="8"/>
  <c r="E170" i="8"/>
  <c r="D170" i="8"/>
  <c r="C170" i="8"/>
  <c r="B170" i="8"/>
  <c r="A170" i="8"/>
  <c r="Q169" i="8"/>
  <c r="O169" i="8"/>
  <c r="M169" i="8"/>
  <c r="L169" i="8"/>
  <c r="J169" i="8"/>
  <c r="H169" i="8"/>
  <c r="F169" i="8"/>
  <c r="E169" i="8"/>
  <c r="D169" i="8"/>
  <c r="C169" i="8"/>
  <c r="B169" i="8"/>
  <c r="A169" i="8"/>
  <c r="Q168" i="8"/>
  <c r="O168" i="8"/>
  <c r="N168" i="8"/>
  <c r="M168" i="8"/>
  <c r="L168" i="8"/>
  <c r="J168" i="8"/>
  <c r="H168" i="8"/>
  <c r="F168" i="8"/>
  <c r="E168" i="8"/>
  <c r="D168" i="8"/>
  <c r="C168" i="8"/>
  <c r="B168" i="8"/>
  <c r="A168" i="8"/>
  <c r="T167" i="8"/>
  <c r="Q167" i="8"/>
  <c r="O167" i="8"/>
  <c r="N167" i="8"/>
  <c r="M167" i="8"/>
  <c r="L167" i="8"/>
  <c r="J167" i="8"/>
  <c r="H167" i="8"/>
  <c r="F167" i="8"/>
  <c r="E167" i="8"/>
  <c r="D167" i="8"/>
  <c r="C167" i="8"/>
  <c r="B167" i="8"/>
  <c r="A167" i="8"/>
  <c r="U166" i="8"/>
  <c r="T166" i="8"/>
  <c r="S166" i="8"/>
  <c r="R166" i="8"/>
  <c r="Q166" i="8"/>
  <c r="P166" i="8"/>
  <c r="O166" i="8"/>
  <c r="N166" i="8"/>
  <c r="M166" i="8"/>
  <c r="L166" i="8"/>
  <c r="K166" i="8"/>
  <c r="J166" i="8"/>
  <c r="H166" i="8"/>
  <c r="F166" i="8"/>
  <c r="E166" i="8"/>
  <c r="D166" i="8"/>
  <c r="C166" i="8"/>
  <c r="B166" i="8"/>
  <c r="A166" i="8"/>
  <c r="T165" i="8"/>
  <c r="Q165" i="8"/>
  <c r="O165" i="8"/>
  <c r="M165" i="8"/>
  <c r="L165" i="8"/>
  <c r="J165" i="8"/>
  <c r="H165" i="8"/>
  <c r="F165" i="8"/>
  <c r="E165" i="8"/>
  <c r="D165" i="8"/>
  <c r="C165" i="8"/>
  <c r="B165" i="8"/>
  <c r="A165" i="8"/>
  <c r="T164" i="8"/>
  <c r="Q164" i="8"/>
  <c r="O164" i="8"/>
  <c r="N164" i="8"/>
  <c r="M164" i="8"/>
  <c r="L164" i="8"/>
  <c r="J164" i="8"/>
  <c r="H164" i="8"/>
  <c r="F164" i="8"/>
  <c r="E164" i="8"/>
  <c r="D164" i="8"/>
  <c r="C164" i="8"/>
  <c r="B164" i="8"/>
  <c r="A164" i="8"/>
  <c r="T163" i="8"/>
  <c r="Q163" i="8"/>
  <c r="O163" i="8"/>
  <c r="M163" i="8"/>
  <c r="L163" i="8"/>
  <c r="J163" i="8"/>
  <c r="H163" i="8"/>
  <c r="F163" i="8"/>
  <c r="E163" i="8"/>
  <c r="D163" i="8"/>
  <c r="C163" i="8"/>
  <c r="B163" i="8"/>
  <c r="A163" i="8"/>
  <c r="U162" i="8"/>
  <c r="T162" i="8"/>
  <c r="R162" i="8"/>
  <c r="Q162" i="8"/>
  <c r="O162" i="8"/>
  <c r="N162" i="8"/>
  <c r="M162" i="8"/>
  <c r="L162" i="8"/>
  <c r="K162" i="8"/>
  <c r="J162" i="8"/>
  <c r="H162" i="8"/>
  <c r="F162" i="8"/>
  <c r="E162" i="8"/>
  <c r="D162" i="8"/>
  <c r="C162" i="8"/>
  <c r="B162" i="8"/>
  <c r="A162" i="8"/>
  <c r="T161" i="8"/>
  <c r="Q161" i="8"/>
  <c r="O161" i="8"/>
  <c r="N161" i="8"/>
  <c r="M161" i="8"/>
  <c r="L161" i="8"/>
  <c r="J161" i="8"/>
  <c r="H161" i="8"/>
  <c r="F161" i="8"/>
  <c r="E161" i="8"/>
  <c r="D161" i="8"/>
  <c r="C161" i="8"/>
  <c r="B161" i="8"/>
  <c r="A161" i="8"/>
  <c r="T160" i="8"/>
  <c r="Q160" i="8"/>
  <c r="O160" i="8"/>
  <c r="N160" i="8"/>
  <c r="M160" i="8"/>
  <c r="L160" i="8"/>
  <c r="J160" i="8"/>
  <c r="H160" i="8"/>
  <c r="F160" i="8"/>
  <c r="E160" i="8"/>
  <c r="D160" i="8"/>
  <c r="C160" i="8"/>
  <c r="B160" i="8"/>
  <c r="A160" i="8"/>
  <c r="T159" i="8"/>
  <c r="Q159" i="8"/>
  <c r="O159" i="8"/>
  <c r="N159" i="8"/>
  <c r="M159" i="8"/>
  <c r="L159" i="8"/>
  <c r="J159" i="8"/>
  <c r="H159" i="8"/>
  <c r="F159" i="8"/>
  <c r="F157" i="8" s="1"/>
  <c r="E159" i="8"/>
  <c r="D159" i="8"/>
  <c r="C159" i="8"/>
  <c r="B159" i="8"/>
  <c r="A159" i="8"/>
  <c r="Q156" i="8"/>
  <c r="O156" i="8"/>
  <c r="N156" i="8"/>
  <c r="M156" i="8"/>
  <c r="L156" i="8"/>
  <c r="J156" i="8"/>
  <c r="H156" i="8"/>
  <c r="F156" i="8"/>
  <c r="E156" i="8"/>
  <c r="D156" i="8"/>
  <c r="C156" i="8"/>
  <c r="B156" i="8"/>
  <c r="A156" i="8"/>
  <c r="T155" i="8"/>
  <c r="Q155" i="8"/>
  <c r="O155" i="8"/>
  <c r="M155" i="8"/>
  <c r="L155" i="8"/>
  <c r="J155" i="8"/>
  <c r="H155" i="8"/>
  <c r="F155" i="8"/>
  <c r="E155" i="8"/>
  <c r="D155" i="8"/>
  <c r="C155" i="8"/>
  <c r="B155" i="8"/>
  <c r="A155" i="8"/>
  <c r="Q154" i="8"/>
  <c r="O154" i="8"/>
  <c r="N154" i="8"/>
  <c r="M154" i="8"/>
  <c r="L154" i="8"/>
  <c r="J154" i="8"/>
  <c r="H154" i="8"/>
  <c r="F154" i="8"/>
  <c r="E154" i="8"/>
  <c r="D154" i="8"/>
  <c r="C154" i="8"/>
  <c r="B154" i="8"/>
  <c r="A154" i="8"/>
  <c r="U153" i="8"/>
  <c r="T153" i="8"/>
  <c r="S153" i="8"/>
  <c r="R153" i="8"/>
  <c r="Q153" i="8"/>
  <c r="P153" i="8"/>
  <c r="O153" i="8"/>
  <c r="N153" i="8"/>
  <c r="M153" i="8"/>
  <c r="L153" i="8"/>
  <c r="K153" i="8"/>
  <c r="J153" i="8"/>
  <c r="H153" i="8"/>
  <c r="F153" i="8"/>
  <c r="E153" i="8"/>
  <c r="D153" i="8"/>
  <c r="C153" i="8"/>
  <c r="B153" i="8"/>
  <c r="A153" i="8"/>
  <c r="T152" i="8"/>
  <c r="Q152" i="8"/>
  <c r="O152" i="8"/>
  <c r="N152" i="8"/>
  <c r="M152" i="8"/>
  <c r="L152" i="8"/>
  <c r="J152" i="8"/>
  <c r="H152" i="8"/>
  <c r="F152" i="8"/>
  <c r="E152" i="8"/>
  <c r="D152" i="8"/>
  <c r="C152" i="8"/>
  <c r="B152" i="8"/>
  <c r="A152" i="8"/>
  <c r="T151" i="8"/>
  <c r="Q151" i="8"/>
  <c r="O151" i="8"/>
  <c r="M151" i="8"/>
  <c r="L151" i="8"/>
  <c r="J151" i="8"/>
  <c r="H151" i="8"/>
  <c r="F151" i="8"/>
  <c r="E151" i="8"/>
  <c r="D151" i="8"/>
  <c r="C151" i="8"/>
  <c r="B151" i="8"/>
  <c r="A151" i="8"/>
  <c r="T150" i="8"/>
  <c r="Q150" i="8"/>
  <c r="O150" i="8"/>
  <c r="N150" i="8"/>
  <c r="M150" i="8"/>
  <c r="L150" i="8"/>
  <c r="J150" i="8"/>
  <c r="H150" i="8"/>
  <c r="F150" i="8"/>
  <c r="E150" i="8"/>
  <c r="D150" i="8"/>
  <c r="C150" i="8"/>
  <c r="B150" i="8"/>
  <c r="A150" i="8"/>
  <c r="T149" i="8"/>
  <c r="Q149" i="8"/>
  <c r="O149" i="8"/>
  <c r="N149" i="8"/>
  <c r="M149" i="8"/>
  <c r="L149" i="8"/>
  <c r="J149" i="8"/>
  <c r="H149" i="8"/>
  <c r="F149" i="8"/>
  <c r="E149" i="8"/>
  <c r="D149" i="8"/>
  <c r="C149" i="8"/>
  <c r="B149" i="8"/>
  <c r="A149" i="8"/>
  <c r="T148" i="8"/>
  <c r="Q148" i="8"/>
  <c r="O148" i="8"/>
  <c r="N148" i="8"/>
  <c r="M148" i="8"/>
  <c r="L148" i="8"/>
  <c r="J148" i="8"/>
  <c r="H148" i="8"/>
  <c r="F148" i="8"/>
  <c r="E148" i="8"/>
  <c r="D148" i="8"/>
  <c r="C148" i="8"/>
  <c r="B148" i="8"/>
  <c r="A148" i="8"/>
  <c r="Q147" i="8"/>
  <c r="O147" i="8"/>
  <c r="N147" i="8"/>
  <c r="M147" i="8"/>
  <c r="L147" i="8"/>
  <c r="J147" i="8"/>
  <c r="H147" i="8"/>
  <c r="F147" i="8"/>
  <c r="E147" i="8"/>
  <c r="D147" i="8"/>
  <c r="C147" i="8"/>
  <c r="B147" i="8"/>
  <c r="A147" i="8"/>
  <c r="Q146" i="8"/>
  <c r="O146" i="8"/>
  <c r="N146" i="8"/>
  <c r="M146" i="8"/>
  <c r="L146" i="8"/>
  <c r="J146" i="8"/>
  <c r="H146" i="8"/>
  <c r="F146" i="8"/>
  <c r="E146" i="8"/>
  <c r="D146" i="8"/>
  <c r="C146" i="8"/>
  <c r="B146" i="8"/>
  <c r="A146" i="8"/>
  <c r="T145" i="8"/>
  <c r="Q145" i="8"/>
  <c r="O145" i="8"/>
  <c r="N145" i="8"/>
  <c r="M145" i="8"/>
  <c r="L145" i="8"/>
  <c r="J145" i="8"/>
  <c r="H145" i="8"/>
  <c r="F145" i="8"/>
  <c r="E145" i="8"/>
  <c r="D145" i="8"/>
  <c r="C145" i="8"/>
  <c r="B145" i="8"/>
  <c r="A145" i="8"/>
  <c r="U144" i="8"/>
  <c r="T144" i="8"/>
  <c r="S144" i="8"/>
  <c r="R144" i="8"/>
  <c r="Q144" i="8"/>
  <c r="O144" i="8"/>
  <c r="N144" i="8"/>
  <c r="M144" i="8"/>
  <c r="L144" i="8"/>
  <c r="K144" i="8"/>
  <c r="J144" i="8"/>
  <c r="H144" i="8"/>
  <c r="F143" i="8" s="1"/>
  <c r="F144" i="8"/>
  <c r="E144" i="8"/>
  <c r="D144" i="8"/>
  <c r="C144" i="8"/>
  <c r="B144" i="8"/>
  <c r="A144" i="8"/>
  <c r="Q142" i="8"/>
  <c r="O142" i="8"/>
  <c r="N142" i="8"/>
  <c r="M142" i="8"/>
  <c r="L142" i="8"/>
  <c r="J142" i="8"/>
  <c r="H142" i="8"/>
  <c r="F142" i="8"/>
  <c r="E142" i="8"/>
  <c r="D142" i="8"/>
  <c r="C142" i="8"/>
  <c r="B142" i="8"/>
  <c r="A142" i="8"/>
  <c r="T141" i="8"/>
  <c r="Q141" i="8"/>
  <c r="O141" i="8"/>
  <c r="N141" i="8"/>
  <c r="M141" i="8"/>
  <c r="L141" i="8"/>
  <c r="J141" i="8"/>
  <c r="H141" i="8"/>
  <c r="F141" i="8"/>
  <c r="E141" i="8"/>
  <c r="D141" i="8"/>
  <c r="C141" i="8"/>
  <c r="B141" i="8"/>
  <c r="A141" i="8"/>
  <c r="T140" i="8"/>
  <c r="Q140" i="8"/>
  <c r="O140" i="8"/>
  <c r="N140" i="8"/>
  <c r="M140" i="8"/>
  <c r="L140" i="8"/>
  <c r="J140" i="8"/>
  <c r="H140" i="8"/>
  <c r="F140" i="8"/>
  <c r="E140" i="8"/>
  <c r="D140" i="8"/>
  <c r="C140" i="8"/>
  <c r="B140" i="8"/>
  <c r="A140" i="8"/>
  <c r="T139" i="8"/>
  <c r="Q139" i="8"/>
  <c r="O139" i="8"/>
  <c r="M139" i="8"/>
  <c r="L139" i="8"/>
  <c r="J139" i="8"/>
  <c r="H139" i="8"/>
  <c r="F139" i="8"/>
  <c r="E139" i="8"/>
  <c r="D139" i="8"/>
  <c r="C139" i="8"/>
  <c r="B139" i="8"/>
  <c r="A139" i="8"/>
  <c r="U138" i="8"/>
  <c r="T138" i="8"/>
  <c r="S138" i="8"/>
  <c r="R138" i="8"/>
  <c r="Q138" i="8"/>
  <c r="P138" i="8"/>
  <c r="O138" i="8"/>
  <c r="N138" i="8"/>
  <c r="M138" i="8"/>
  <c r="L138" i="8"/>
  <c r="K138" i="8"/>
  <c r="J138" i="8"/>
  <c r="H138" i="8"/>
  <c r="F138" i="8"/>
  <c r="E138" i="8"/>
  <c r="D138" i="8"/>
  <c r="C138" i="8"/>
  <c r="B138" i="8"/>
  <c r="A138" i="8"/>
  <c r="Q137" i="8"/>
  <c r="O137" i="8"/>
  <c r="M137" i="8"/>
  <c r="L137" i="8"/>
  <c r="J137" i="8"/>
  <c r="H137" i="8"/>
  <c r="F137" i="8"/>
  <c r="E137" i="8"/>
  <c r="D137" i="8"/>
  <c r="C137" i="8"/>
  <c r="B137" i="8"/>
  <c r="A137" i="8"/>
  <c r="T136" i="8"/>
  <c r="Q136" i="8"/>
  <c r="O136" i="8"/>
  <c r="N136" i="8"/>
  <c r="M136" i="8"/>
  <c r="L136" i="8"/>
  <c r="J136" i="8"/>
  <c r="H136" i="8"/>
  <c r="F136" i="8"/>
  <c r="E136" i="8"/>
  <c r="D136" i="8"/>
  <c r="C136" i="8"/>
  <c r="B136" i="8"/>
  <c r="A136" i="8"/>
  <c r="T135" i="8"/>
  <c r="Q135" i="8"/>
  <c r="O135" i="8"/>
  <c r="N135" i="8"/>
  <c r="M135" i="8"/>
  <c r="L135" i="8"/>
  <c r="J135" i="8"/>
  <c r="H135" i="8"/>
  <c r="F135" i="8"/>
  <c r="E135" i="8"/>
  <c r="D135" i="8"/>
  <c r="C135" i="8"/>
  <c r="B135" i="8"/>
  <c r="A135" i="8"/>
  <c r="T134" i="8"/>
  <c r="Q134" i="8"/>
  <c r="O134" i="8"/>
  <c r="N134" i="8"/>
  <c r="M134" i="8"/>
  <c r="L134" i="8"/>
  <c r="J134" i="8"/>
  <c r="H134" i="8"/>
  <c r="F134" i="8"/>
  <c r="E134" i="8"/>
  <c r="D134" i="8"/>
  <c r="C134" i="8"/>
  <c r="B134" i="8"/>
  <c r="A134" i="8"/>
  <c r="U133" i="8"/>
  <c r="T133" i="8"/>
  <c r="Q133" i="8"/>
  <c r="O133" i="8"/>
  <c r="N133" i="8"/>
  <c r="M133" i="8"/>
  <c r="L133" i="8"/>
  <c r="J133" i="8"/>
  <c r="H133" i="8"/>
  <c r="F133" i="8"/>
  <c r="E133" i="8"/>
  <c r="D133" i="8"/>
  <c r="C133" i="8"/>
  <c r="B133" i="8"/>
  <c r="A133" i="8"/>
  <c r="T132" i="8"/>
  <c r="Q132" i="8"/>
  <c r="O132" i="8"/>
  <c r="N132" i="8"/>
  <c r="M132" i="8"/>
  <c r="L132" i="8"/>
  <c r="J132" i="8"/>
  <c r="H132" i="8"/>
  <c r="F132" i="8"/>
  <c r="E132" i="8"/>
  <c r="D132" i="8"/>
  <c r="C132" i="8"/>
  <c r="B132" i="8"/>
  <c r="A132" i="8"/>
  <c r="Q131" i="8"/>
  <c r="O131" i="8"/>
  <c r="N131" i="8"/>
  <c r="M131" i="8"/>
  <c r="L131" i="8"/>
  <c r="J131" i="8"/>
  <c r="H131" i="8"/>
  <c r="F131" i="8"/>
  <c r="F129" i="8" s="1"/>
  <c r="E131" i="8"/>
  <c r="D131" i="8"/>
  <c r="C131" i="8"/>
  <c r="B131" i="8"/>
  <c r="A131" i="8"/>
  <c r="T128" i="8"/>
  <c r="Q128" i="8"/>
  <c r="O128" i="8"/>
  <c r="N128" i="8"/>
  <c r="M128" i="8"/>
  <c r="L128" i="8"/>
  <c r="J128" i="8"/>
  <c r="H128" i="8"/>
  <c r="F128" i="8"/>
  <c r="E128" i="8"/>
  <c r="D128" i="8"/>
  <c r="C128" i="8"/>
  <c r="B128" i="8"/>
  <c r="A128" i="8"/>
  <c r="Q127" i="8"/>
  <c r="O127" i="8"/>
  <c r="N127" i="8"/>
  <c r="M127" i="8"/>
  <c r="L127" i="8"/>
  <c r="J127" i="8"/>
  <c r="H127" i="8"/>
  <c r="F127" i="8"/>
  <c r="E127" i="8"/>
  <c r="D127" i="8"/>
  <c r="C127" i="8"/>
  <c r="B127" i="8"/>
  <c r="A127" i="8"/>
  <c r="Q126" i="8"/>
  <c r="O126" i="8"/>
  <c r="N126" i="8"/>
  <c r="M126" i="8"/>
  <c r="L126" i="8"/>
  <c r="J126" i="8"/>
  <c r="H126" i="8"/>
  <c r="F126" i="8"/>
  <c r="E126" i="8"/>
  <c r="D126" i="8"/>
  <c r="C126" i="8"/>
  <c r="B126" i="8"/>
  <c r="A126" i="8"/>
  <c r="T125" i="8"/>
  <c r="Q125" i="8"/>
  <c r="O125" i="8"/>
  <c r="M125" i="8"/>
  <c r="L125" i="8"/>
  <c r="J125" i="8"/>
  <c r="H125" i="8"/>
  <c r="F125" i="8"/>
  <c r="E125" i="8"/>
  <c r="D125" i="8"/>
  <c r="C125" i="8"/>
  <c r="B125" i="8"/>
  <c r="A125" i="8"/>
  <c r="U124" i="8"/>
  <c r="T124" i="8"/>
  <c r="Q124" i="8"/>
  <c r="P124" i="8"/>
  <c r="O124" i="8"/>
  <c r="N124" i="8"/>
  <c r="M124" i="8"/>
  <c r="L124" i="8"/>
  <c r="J124" i="8"/>
  <c r="H124" i="8"/>
  <c r="F124" i="8"/>
  <c r="E124" i="8"/>
  <c r="D124" i="8"/>
  <c r="C124" i="8"/>
  <c r="B124" i="8"/>
  <c r="A124" i="8"/>
  <c r="Q123" i="8"/>
  <c r="O123" i="8"/>
  <c r="M123" i="8"/>
  <c r="L123" i="8"/>
  <c r="J123" i="8"/>
  <c r="H123" i="8"/>
  <c r="F123" i="8"/>
  <c r="E123" i="8"/>
  <c r="D123" i="8"/>
  <c r="C123" i="8"/>
  <c r="B123" i="8"/>
  <c r="A123" i="8"/>
  <c r="T122" i="8"/>
  <c r="Q122" i="8"/>
  <c r="O122" i="8"/>
  <c r="M122" i="8"/>
  <c r="L122" i="8"/>
  <c r="J122" i="8"/>
  <c r="H122" i="8"/>
  <c r="F122" i="8"/>
  <c r="E122" i="8"/>
  <c r="D122" i="8"/>
  <c r="C122" i="8"/>
  <c r="B122" i="8"/>
  <c r="A122" i="8"/>
  <c r="T121" i="8"/>
  <c r="Q121" i="8"/>
  <c r="O121" i="8"/>
  <c r="N121" i="8"/>
  <c r="M121" i="8"/>
  <c r="L121" i="8"/>
  <c r="J121" i="8"/>
  <c r="H121" i="8"/>
  <c r="F121" i="8"/>
  <c r="E121" i="8"/>
  <c r="D121" i="8"/>
  <c r="C121" i="8"/>
  <c r="B121" i="8"/>
  <c r="A121" i="8"/>
  <c r="T120" i="8"/>
  <c r="Q120" i="8"/>
  <c r="O120" i="8"/>
  <c r="N120" i="8"/>
  <c r="M120" i="8"/>
  <c r="L120" i="8"/>
  <c r="J120" i="8"/>
  <c r="H120" i="8"/>
  <c r="F120" i="8"/>
  <c r="E120" i="8"/>
  <c r="D120" i="8"/>
  <c r="C120" i="8"/>
  <c r="B120" i="8"/>
  <c r="A120" i="8"/>
  <c r="Q119" i="8"/>
  <c r="O119" i="8"/>
  <c r="N119" i="8"/>
  <c r="M119" i="8"/>
  <c r="L119" i="8"/>
  <c r="J119" i="8"/>
  <c r="H119" i="8"/>
  <c r="F119" i="8"/>
  <c r="E119" i="8"/>
  <c r="D119" i="8"/>
  <c r="C119" i="8"/>
  <c r="B119" i="8"/>
  <c r="A119" i="8"/>
  <c r="Q118" i="8"/>
  <c r="O118" i="8"/>
  <c r="N118" i="8"/>
  <c r="M118" i="8"/>
  <c r="L118" i="8"/>
  <c r="J118" i="8"/>
  <c r="H118" i="8"/>
  <c r="F118" i="8"/>
  <c r="E118" i="8"/>
  <c r="D118" i="8"/>
  <c r="C118" i="8"/>
  <c r="B118" i="8"/>
  <c r="A118" i="8"/>
  <c r="Q117" i="8"/>
  <c r="O117" i="8"/>
  <c r="N117" i="8"/>
  <c r="M117" i="8"/>
  <c r="L117" i="8"/>
  <c r="J117" i="8"/>
  <c r="H117" i="8"/>
  <c r="F117" i="8"/>
  <c r="E117" i="8"/>
  <c r="D117" i="8"/>
  <c r="C117" i="8"/>
  <c r="B117" i="8"/>
  <c r="A117" i="8"/>
  <c r="U116" i="8"/>
  <c r="T116" i="8"/>
  <c r="R116" i="8"/>
  <c r="Q116" i="8"/>
  <c r="O116" i="8"/>
  <c r="N116" i="8"/>
  <c r="M116" i="8"/>
  <c r="L116" i="8"/>
  <c r="K116" i="8"/>
  <c r="J116" i="8"/>
  <c r="H116" i="8"/>
  <c r="F115" i="8" s="1"/>
  <c r="F116" i="8"/>
  <c r="E116" i="8"/>
  <c r="D116" i="8"/>
  <c r="C116" i="8"/>
  <c r="B116" i="8"/>
  <c r="A116" i="8"/>
  <c r="T114" i="8"/>
  <c r="Q114" i="8"/>
  <c r="O114" i="8"/>
  <c r="N114" i="8"/>
  <c r="M114" i="8"/>
  <c r="L114" i="8"/>
  <c r="J114" i="8"/>
  <c r="H114" i="8"/>
  <c r="F114" i="8"/>
  <c r="E114" i="8"/>
  <c r="D114" i="8"/>
  <c r="C114" i="8"/>
  <c r="B114" i="8"/>
  <c r="A114" i="8"/>
  <c r="Q113" i="8"/>
  <c r="O113" i="8"/>
  <c r="M113" i="8"/>
  <c r="L113" i="8"/>
  <c r="J113" i="8"/>
  <c r="H113" i="8"/>
  <c r="F113" i="8"/>
  <c r="E113" i="8"/>
  <c r="D113" i="8"/>
  <c r="C113" i="8"/>
  <c r="B113" i="8"/>
  <c r="A113" i="8"/>
  <c r="T112" i="8"/>
  <c r="Q112" i="8"/>
  <c r="O112" i="8"/>
  <c r="N112" i="8"/>
  <c r="M112" i="8"/>
  <c r="L112" i="8"/>
  <c r="J112" i="8"/>
  <c r="H112" i="8"/>
  <c r="F112" i="8"/>
  <c r="E112" i="8"/>
  <c r="D112" i="8"/>
  <c r="C112" i="8"/>
  <c r="B112" i="8"/>
  <c r="A112" i="8"/>
  <c r="U111" i="8"/>
  <c r="T111" i="8"/>
  <c r="S111" i="8"/>
  <c r="R111" i="8"/>
  <c r="Q111" i="8"/>
  <c r="P111" i="8"/>
  <c r="O111" i="8"/>
  <c r="N111" i="8"/>
  <c r="M111" i="8"/>
  <c r="L111" i="8"/>
  <c r="K111" i="8"/>
  <c r="J111" i="8"/>
  <c r="H111" i="8"/>
  <c r="F111" i="8"/>
  <c r="E111" i="8"/>
  <c r="D111" i="8"/>
  <c r="C111" i="8"/>
  <c r="B111" i="8"/>
  <c r="A111" i="8"/>
  <c r="T110" i="8"/>
  <c r="Q110" i="8"/>
  <c r="O110" i="8"/>
  <c r="N110" i="8"/>
  <c r="M110" i="8"/>
  <c r="L110" i="8"/>
  <c r="J110" i="8"/>
  <c r="H110" i="8"/>
  <c r="F110" i="8"/>
  <c r="E110" i="8"/>
  <c r="D110" i="8"/>
  <c r="C110" i="8"/>
  <c r="B110" i="8"/>
  <c r="A110" i="8"/>
  <c r="T109" i="8"/>
  <c r="Q109" i="8"/>
  <c r="O109" i="8"/>
  <c r="M109" i="8"/>
  <c r="L109" i="8"/>
  <c r="J109" i="8"/>
  <c r="H109" i="8"/>
  <c r="F109" i="8"/>
  <c r="E109" i="8"/>
  <c r="D109" i="8"/>
  <c r="C109" i="8"/>
  <c r="B109" i="8"/>
  <c r="A109" i="8"/>
  <c r="T108" i="8"/>
  <c r="Q108" i="8"/>
  <c r="O108" i="8"/>
  <c r="M108" i="8"/>
  <c r="L108" i="8"/>
  <c r="J108" i="8"/>
  <c r="H108" i="8"/>
  <c r="F108" i="8"/>
  <c r="E108" i="8"/>
  <c r="D108" i="8"/>
  <c r="C108" i="8"/>
  <c r="B108" i="8"/>
  <c r="A108" i="8"/>
  <c r="T107" i="8"/>
  <c r="Q107" i="8"/>
  <c r="O107" i="8"/>
  <c r="M107" i="8"/>
  <c r="L107" i="8"/>
  <c r="J107" i="8"/>
  <c r="H107" i="8"/>
  <c r="F107" i="8"/>
  <c r="E107" i="8"/>
  <c r="D107" i="8"/>
  <c r="C107" i="8"/>
  <c r="B107" i="8"/>
  <c r="A107" i="8"/>
  <c r="T106" i="8"/>
  <c r="Q106" i="8"/>
  <c r="O106" i="8"/>
  <c r="N106" i="8"/>
  <c r="M106" i="8"/>
  <c r="L106" i="8"/>
  <c r="J106" i="8"/>
  <c r="H106" i="8"/>
  <c r="F106" i="8"/>
  <c r="E106" i="8"/>
  <c r="D106" i="8"/>
  <c r="C106" i="8"/>
  <c r="B106" i="8"/>
  <c r="A106" i="8"/>
  <c r="T105" i="8"/>
  <c r="Q105" i="8"/>
  <c r="O105" i="8"/>
  <c r="N105" i="8"/>
  <c r="M105" i="8"/>
  <c r="L105" i="8"/>
  <c r="J105" i="8"/>
  <c r="H105" i="8"/>
  <c r="F105" i="8"/>
  <c r="E105" i="8"/>
  <c r="D105" i="8"/>
  <c r="C105" i="8"/>
  <c r="B105" i="8"/>
  <c r="A105" i="8"/>
  <c r="Q104" i="8"/>
  <c r="O104" i="8"/>
  <c r="N104" i="8"/>
  <c r="M104" i="8"/>
  <c r="L104" i="8"/>
  <c r="J104" i="8"/>
  <c r="H104" i="8"/>
  <c r="F104" i="8"/>
  <c r="F101" i="8" s="1"/>
  <c r="E104" i="8"/>
  <c r="D104" i="8"/>
  <c r="C104" i="8"/>
  <c r="B104" i="8"/>
  <c r="A104" i="8"/>
  <c r="U103" i="8"/>
  <c r="T103" i="8"/>
  <c r="S103" i="8"/>
  <c r="R103" i="8"/>
  <c r="Q103" i="8"/>
  <c r="O103" i="8"/>
  <c r="N103" i="8"/>
  <c r="M103" i="8"/>
  <c r="L103" i="8"/>
  <c r="K103" i="8"/>
  <c r="J103" i="8"/>
  <c r="H103" i="8"/>
  <c r="F103" i="8"/>
  <c r="E103" i="8"/>
  <c r="D103" i="8"/>
  <c r="C103" i="8"/>
  <c r="B103" i="8"/>
  <c r="A103" i="8"/>
  <c r="T100" i="8"/>
  <c r="Q100" i="8"/>
  <c r="O100" i="8"/>
  <c r="N100" i="8"/>
  <c r="M100" i="8"/>
  <c r="L100" i="8"/>
  <c r="J100" i="8"/>
  <c r="H100" i="8"/>
  <c r="F100" i="8"/>
  <c r="E100" i="8"/>
  <c r="D100" i="8"/>
  <c r="C100" i="8"/>
  <c r="B100" i="8"/>
  <c r="A100" i="8"/>
  <c r="Q99" i="8"/>
  <c r="O99" i="8"/>
  <c r="M99" i="8"/>
  <c r="L99" i="8"/>
  <c r="J99" i="8"/>
  <c r="H99" i="8"/>
  <c r="F99" i="8"/>
  <c r="E99" i="8"/>
  <c r="D99" i="8"/>
  <c r="C99" i="8"/>
  <c r="B99" i="8"/>
  <c r="A99" i="8"/>
  <c r="T98" i="8"/>
  <c r="Q98" i="8"/>
  <c r="O98" i="8"/>
  <c r="N98" i="8"/>
  <c r="M98" i="8"/>
  <c r="L98" i="8"/>
  <c r="J98" i="8"/>
  <c r="H98" i="8"/>
  <c r="F98" i="8"/>
  <c r="E98" i="8"/>
  <c r="D98" i="8"/>
  <c r="C98" i="8"/>
  <c r="B98" i="8"/>
  <c r="A98" i="8"/>
  <c r="Q97" i="8"/>
  <c r="O97" i="8"/>
  <c r="M97" i="8"/>
  <c r="L97" i="8"/>
  <c r="J97" i="8"/>
  <c r="H97" i="8"/>
  <c r="F97" i="8"/>
  <c r="E97" i="8"/>
  <c r="D97" i="8"/>
  <c r="C97" i="8"/>
  <c r="B97" i="8"/>
  <c r="A97" i="8"/>
  <c r="U96" i="8"/>
  <c r="T96" i="8"/>
  <c r="S96" i="8"/>
  <c r="R96" i="8"/>
  <c r="Q96" i="8"/>
  <c r="P96" i="8"/>
  <c r="O96" i="8"/>
  <c r="N96" i="8"/>
  <c r="M96" i="8"/>
  <c r="L96" i="8"/>
  <c r="K96" i="8"/>
  <c r="J96" i="8"/>
  <c r="H96" i="8"/>
  <c r="F96" i="8"/>
  <c r="E96" i="8"/>
  <c r="D96" i="8"/>
  <c r="C96" i="8"/>
  <c r="B96" i="8"/>
  <c r="A96" i="8"/>
  <c r="Q95" i="8"/>
  <c r="O95" i="8"/>
  <c r="N95" i="8"/>
  <c r="M95" i="8"/>
  <c r="L95" i="8"/>
  <c r="J95" i="8"/>
  <c r="H95" i="8"/>
  <c r="F95" i="8"/>
  <c r="E95" i="8"/>
  <c r="D95" i="8"/>
  <c r="C95" i="8"/>
  <c r="B95" i="8"/>
  <c r="A95" i="8"/>
  <c r="T94" i="8"/>
  <c r="Q94" i="8"/>
  <c r="O94" i="8"/>
  <c r="N94" i="8"/>
  <c r="M94" i="8"/>
  <c r="L94" i="8"/>
  <c r="J94" i="8"/>
  <c r="H94" i="8"/>
  <c r="F94" i="8"/>
  <c r="E94" i="8"/>
  <c r="D94" i="8"/>
  <c r="C94" i="8"/>
  <c r="B94" i="8"/>
  <c r="A94" i="8"/>
  <c r="T93" i="8"/>
  <c r="Q93" i="8"/>
  <c r="O93" i="8"/>
  <c r="M93" i="8"/>
  <c r="L93" i="8"/>
  <c r="J93" i="8"/>
  <c r="H93" i="8"/>
  <c r="F93" i="8"/>
  <c r="E93" i="8"/>
  <c r="D93" i="8"/>
  <c r="C93" i="8"/>
  <c r="B93" i="8"/>
  <c r="A93" i="8"/>
  <c r="T92" i="8"/>
  <c r="Q92" i="8"/>
  <c r="O92" i="8"/>
  <c r="N92" i="8"/>
  <c r="M92" i="8"/>
  <c r="L92" i="8"/>
  <c r="J92" i="8"/>
  <c r="H92" i="8"/>
  <c r="F92" i="8"/>
  <c r="E92" i="8"/>
  <c r="D92" i="8"/>
  <c r="C92" i="8"/>
  <c r="B92" i="8"/>
  <c r="A92" i="8"/>
  <c r="Q91" i="8"/>
  <c r="O91" i="8"/>
  <c r="N91" i="8"/>
  <c r="M91" i="8"/>
  <c r="L91" i="8"/>
  <c r="J91" i="8"/>
  <c r="H91" i="8"/>
  <c r="F91" i="8"/>
  <c r="E91" i="8"/>
  <c r="D91" i="8"/>
  <c r="C91" i="8"/>
  <c r="B91" i="8"/>
  <c r="A91" i="8"/>
  <c r="U90" i="8"/>
  <c r="T90" i="8"/>
  <c r="S90" i="8"/>
  <c r="Q90" i="8"/>
  <c r="O90" i="8"/>
  <c r="N90" i="8"/>
  <c r="M90" i="8"/>
  <c r="L90" i="8"/>
  <c r="K90" i="8"/>
  <c r="J90" i="8"/>
  <c r="H90" i="8"/>
  <c r="F90" i="8"/>
  <c r="E90" i="8"/>
  <c r="D90" i="8"/>
  <c r="C90" i="8"/>
  <c r="B90" i="8"/>
  <c r="A90" i="8"/>
  <c r="T89" i="8"/>
  <c r="Q89" i="8"/>
  <c r="O89" i="8"/>
  <c r="N89" i="8"/>
  <c r="M89" i="8"/>
  <c r="L89" i="8"/>
  <c r="J89" i="8"/>
  <c r="H89" i="8"/>
  <c r="F89" i="8"/>
  <c r="F87" i="8" s="1"/>
  <c r="E89" i="8"/>
  <c r="D89" i="8"/>
  <c r="C89" i="8"/>
  <c r="B89" i="8"/>
  <c r="A89" i="8"/>
  <c r="T86" i="8"/>
  <c r="Q86" i="8"/>
  <c r="O86" i="8"/>
  <c r="N86" i="8"/>
  <c r="M86" i="8"/>
  <c r="L86" i="8"/>
  <c r="J86" i="8"/>
  <c r="H86" i="8"/>
  <c r="F86" i="8"/>
  <c r="E86" i="8"/>
  <c r="D86" i="8"/>
  <c r="C86" i="8"/>
  <c r="B86" i="8"/>
  <c r="A86" i="8"/>
  <c r="Q85" i="8"/>
  <c r="O85" i="8"/>
  <c r="M85" i="8"/>
  <c r="L85" i="8"/>
  <c r="J85" i="8"/>
  <c r="H85" i="8"/>
  <c r="F85" i="8"/>
  <c r="E85" i="8"/>
  <c r="D85" i="8"/>
  <c r="C85" i="8"/>
  <c r="B85" i="8"/>
  <c r="A85" i="8"/>
  <c r="Q84" i="8"/>
  <c r="O84" i="8"/>
  <c r="N84" i="8"/>
  <c r="M84" i="8"/>
  <c r="L84" i="8"/>
  <c r="J84" i="8"/>
  <c r="H84" i="8"/>
  <c r="F84" i="8"/>
  <c r="E84" i="8"/>
  <c r="D84" i="8"/>
  <c r="C84" i="8"/>
  <c r="B84" i="8"/>
  <c r="A84" i="8"/>
  <c r="U83" i="8"/>
  <c r="T83" i="8"/>
  <c r="S83" i="8"/>
  <c r="R83" i="8"/>
  <c r="Q83" i="8"/>
  <c r="P83" i="8"/>
  <c r="O83" i="8"/>
  <c r="N83" i="8"/>
  <c r="M83" i="8"/>
  <c r="L83" i="8"/>
  <c r="K83" i="8"/>
  <c r="J83" i="8"/>
  <c r="H83" i="8"/>
  <c r="F83" i="8"/>
  <c r="E83" i="8"/>
  <c r="D83" i="8"/>
  <c r="C83" i="8"/>
  <c r="B83" i="8"/>
  <c r="A83" i="8"/>
  <c r="T82" i="8"/>
  <c r="Q82" i="8"/>
  <c r="O82" i="8"/>
  <c r="N82" i="8"/>
  <c r="M82" i="8"/>
  <c r="L82" i="8"/>
  <c r="J82" i="8"/>
  <c r="H82" i="8"/>
  <c r="F82" i="8"/>
  <c r="E82" i="8"/>
  <c r="D82" i="8"/>
  <c r="C82" i="8"/>
  <c r="B82" i="8"/>
  <c r="A82" i="8"/>
  <c r="T81" i="8"/>
  <c r="Q81" i="8"/>
  <c r="O81" i="8"/>
  <c r="M81" i="8"/>
  <c r="L81" i="8"/>
  <c r="J81" i="8"/>
  <c r="H81" i="8"/>
  <c r="F81" i="8"/>
  <c r="E81" i="8"/>
  <c r="D81" i="8"/>
  <c r="C81" i="8"/>
  <c r="B81" i="8"/>
  <c r="A81" i="8"/>
  <c r="T80" i="8"/>
  <c r="Q80" i="8"/>
  <c r="O80" i="8"/>
  <c r="M80" i="8"/>
  <c r="L80" i="8"/>
  <c r="J80" i="8"/>
  <c r="H80" i="8"/>
  <c r="F80" i="8"/>
  <c r="E80" i="8"/>
  <c r="D80" i="8"/>
  <c r="C80" i="8"/>
  <c r="B80" i="8"/>
  <c r="A80" i="8"/>
  <c r="T79" i="8"/>
  <c r="Q79" i="8"/>
  <c r="O79" i="8"/>
  <c r="M79" i="8"/>
  <c r="L79" i="8"/>
  <c r="J79" i="8"/>
  <c r="H79" i="8"/>
  <c r="F79" i="8"/>
  <c r="E79" i="8"/>
  <c r="D79" i="8"/>
  <c r="C79" i="8"/>
  <c r="B79" i="8"/>
  <c r="A79" i="8"/>
  <c r="T78" i="8"/>
  <c r="Q78" i="8"/>
  <c r="O78" i="8"/>
  <c r="N78" i="8"/>
  <c r="M78" i="8"/>
  <c r="L78" i="8"/>
  <c r="J78" i="8"/>
  <c r="H78" i="8"/>
  <c r="F78" i="8"/>
  <c r="E78" i="8"/>
  <c r="D78" i="8"/>
  <c r="C78" i="8"/>
  <c r="B78" i="8"/>
  <c r="A78" i="8"/>
  <c r="Q77" i="8"/>
  <c r="O77" i="8"/>
  <c r="N77" i="8"/>
  <c r="M77" i="8"/>
  <c r="L77" i="8"/>
  <c r="J77" i="8"/>
  <c r="H77" i="8"/>
  <c r="F77" i="8"/>
  <c r="E77" i="8"/>
  <c r="D77" i="8"/>
  <c r="C77" i="8"/>
  <c r="B77" i="8"/>
  <c r="A77" i="8"/>
  <c r="Q76" i="8"/>
  <c r="O76" i="8"/>
  <c r="N76" i="8"/>
  <c r="M76" i="8"/>
  <c r="L76" i="8"/>
  <c r="J76" i="8"/>
  <c r="H76" i="8"/>
  <c r="F76" i="8"/>
  <c r="E76" i="8"/>
  <c r="D76" i="8"/>
  <c r="C76" i="8"/>
  <c r="B76" i="8"/>
  <c r="A76" i="8"/>
  <c r="Q75" i="8"/>
  <c r="O75" i="8"/>
  <c r="N75" i="8"/>
  <c r="M75" i="8"/>
  <c r="L75" i="8"/>
  <c r="J75" i="8"/>
  <c r="H75" i="8"/>
  <c r="F75" i="8"/>
  <c r="E75" i="8"/>
  <c r="D75" i="8"/>
  <c r="C75" i="8"/>
  <c r="B75" i="8"/>
  <c r="A75" i="8"/>
  <c r="U74" i="8"/>
  <c r="T74" i="8"/>
  <c r="Q74" i="8"/>
  <c r="O74" i="8"/>
  <c r="N74" i="8"/>
  <c r="M74" i="8"/>
  <c r="L74" i="8"/>
  <c r="J74" i="8"/>
  <c r="H74" i="8"/>
  <c r="F73" i="8" s="1"/>
  <c r="F74" i="8"/>
  <c r="E74" i="8"/>
  <c r="D74" i="8"/>
  <c r="C74" i="8"/>
  <c r="B74" i="8"/>
  <c r="A74" i="8"/>
  <c r="Q72" i="8"/>
  <c r="O72" i="8"/>
  <c r="N72" i="8"/>
  <c r="M72" i="8"/>
  <c r="L72" i="8"/>
  <c r="J72" i="8"/>
  <c r="H72" i="8"/>
  <c r="F72" i="8"/>
  <c r="E72" i="8"/>
  <c r="D72" i="8"/>
  <c r="C72" i="8"/>
  <c r="B72" i="8"/>
  <c r="A72" i="8"/>
  <c r="Q71" i="8"/>
  <c r="O71" i="8"/>
  <c r="M71" i="8"/>
  <c r="L71" i="8"/>
  <c r="J71" i="8"/>
  <c r="H71" i="8"/>
  <c r="F71" i="8"/>
  <c r="E71" i="8"/>
  <c r="D71" i="8"/>
  <c r="C71" i="8"/>
  <c r="B71" i="8"/>
  <c r="A71" i="8"/>
  <c r="Q70" i="8"/>
  <c r="O70" i="8"/>
  <c r="N70" i="8"/>
  <c r="M70" i="8"/>
  <c r="L70" i="8"/>
  <c r="J70" i="8"/>
  <c r="H70" i="8"/>
  <c r="F70" i="8"/>
  <c r="E70" i="8"/>
  <c r="D70" i="8"/>
  <c r="C70" i="8"/>
  <c r="B70" i="8"/>
  <c r="A70" i="8"/>
  <c r="T69" i="8"/>
  <c r="Q69" i="8"/>
  <c r="O69" i="8"/>
  <c r="M69" i="8"/>
  <c r="L69" i="8"/>
  <c r="J69" i="8"/>
  <c r="H69" i="8"/>
  <c r="F69" i="8"/>
  <c r="E69" i="8"/>
  <c r="D69" i="8"/>
  <c r="C69" i="8"/>
  <c r="B69" i="8"/>
  <c r="A69" i="8"/>
  <c r="U68" i="8"/>
  <c r="T68" i="8"/>
  <c r="S68" i="8"/>
  <c r="R68" i="8"/>
  <c r="Q68" i="8"/>
  <c r="P68" i="8"/>
  <c r="O68" i="8"/>
  <c r="N68" i="8"/>
  <c r="M68" i="8"/>
  <c r="L68" i="8"/>
  <c r="K68" i="8"/>
  <c r="J68" i="8"/>
  <c r="H68" i="8"/>
  <c r="F68" i="8"/>
  <c r="E68" i="8"/>
  <c r="D68" i="8"/>
  <c r="C68" i="8"/>
  <c r="B68" i="8"/>
  <c r="A68" i="8"/>
  <c r="Q67" i="8"/>
  <c r="O67" i="8"/>
  <c r="M67" i="8"/>
  <c r="L67" i="8"/>
  <c r="J67" i="8"/>
  <c r="H67" i="8"/>
  <c r="F67" i="8"/>
  <c r="E67" i="8"/>
  <c r="D67" i="8"/>
  <c r="C67" i="8"/>
  <c r="B67" i="8"/>
  <c r="A67" i="8"/>
  <c r="T66" i="8"/>
  <c r="Q66" i="8"/>
  <c r="O66" i="8"/>
  <c r="N66" i="8"/>
  <c r="M66" i="8"/>
  <c r="L66" i="8"/>
  <c r="J66" i="8"/>
  <c r="H66" i="8"/>
  <c r="F66" i="8"/>
  <c r="E66" i="8"/>
  <c r="D66" i="8"/>
  <c r="C66" i="8"/>
  <c r="B66" i="8"/>
  <c r="A66" i="8"/>
  <c r="T65" i="8"/>
  <c r="Q65" i="8"/>
  <c r="O65" i="8"/>
  <c r="M65" i="8"/>
  <c r="L65" i="8"/>
  <c r="J65" i="8"/>
  <c r="H65" i="8"/>
  <c r="F65" i="8"/>
  <c r="E65" i="8"/>
  <c r="D65" i="8"/>
  <c r="C65" i="8"/>
  <c r="B65" i="8"/>
  <c r="A65" i="8"/>
  <c r="T64" i="8"/>
  <c r="Q64" i="8"/>
  <c r="O64" i="8"/>
  <c r="N64" i="8"/>
  <c r="M64" i="8"/>
  <c r="L64" i="8"/>
  <c r="J64" i="8"/>
  <c r="H64" i="8"/>
  <c r="F64" i="8"/>
  <c r="E64" i="8"/>
  <c r="D64" i="8"/>
  <c r="C64" i="8"/>
  <c r="B64" i="8"/>
  <c r="A64" i="8"/>
  <c r="T63" i="8"/>
  <c r="Q63" i="8"/>
  <c r="O63" i="8"/>
  <c r="N63" i="8"/>
  <c r="M63" i="8"/>
  <c r="L63" i="8"/>
  <c r="J63" i="8"/>
  <c r="H63" i="8"/>
  <c r="F63" i="8"/>
  <c r="E63" i="8"/>
  <c r="D63" i="8"/>
  <c r="C63" i="8"/>
  <c r="B63" i="8"/>
  <c r="A63" i="8"/>
  <c r="U62" i="8"/>
  <c r="T62" i="8"/>
  <c r="Q62" i="8"/>
  <c r="O62" i="8"/>
  <c r="N62" i="8"/>
  <c r="M62" i="8"/>
  <c r="L62" i="8"/>
  <c r="J62" i="8"/>
  <c r="H62" i="8"/>
  <c r="F62" i="8"/>
  <c r="E62" i="8"/>
  <c r="D62" i="8"/>
  <c r="C62" i="8"/>
  <c r="B62" i="8"/>
  <c r="A62" i="8"/>
  <c r="T61" i="8"/>
  <c r="Q61" i="8"/>
  <c r="O61" i="8"/>
  <c r="N61" i="8"/>
  <c r="M61" i="8"/>
  <c r="L61" i="8"/>
  <c r="J61" i="8"/>
  <c r="H61" i="8"/>
  <c r="F59" i="8" s="1"/>
  <c r="F61" i="8"/>
  <c r="E61" i="8"/>
  <c r="D61" i="8"/>
  <c r="C61" i="8"/>
  <c r="B61" i="8"/>
  <c r="A61" i="8"/>
  <c r="T58" i="8"/>
  <c r="Q58" i="8"/>
  <c r="O58" i="8"/>
  <c r="N58" i="8"/>
  <c r="M58" i="8"/>
  <c r="L58" i="8"/>
  <c r="J58" i="8"/>
  <c r="H58" i="8"/>
  <c r="F58" i="8"/>
  <c r="E58" i="8"/>
  <c r="D58" i="8"/>
  <c r="C58" i="8"/>
  <c r="B58" i="8"/>
  <c r="A58" i="8"/>
  <c r="T57" i="8"/>
  <c r="Q57" i="8"/>
  <c r="O57" i="8"/>
  <c r="N57" i="8"/>
  <c r="M57" i="8"/>
  <c r="L57" i="8"/>
  <c r="J57" i="8"/>
  <c r="H57" i="8"/>
  <c r="F57" i="8"/>
  <c r="E57" i="8"/>
  <c r="D57" i="8"/>
  <c r="C57" i="8"/>
  <c r="B57" i="8"/>
  <c r="A57" i="8"/>
  <c r="Q56" i="8"/>
  <c r="O56" i="8"/>
  <c r="N56" i="8"/>
  <c r="M56" i="8"/>
  <c r="L56" i="8"/>
  <c r="J56" i="8"/>
  <c r="H56" i="8"/>
  <c r="F56" i="8"/>
  <c r="E56" i="8"/>
  <c r="D56" i="8"/>
  <c r="C56" i="8"/>
  <c r="B56" i="8"/>
  <c r="A56" i="8"/>
  <c r="T55" i="8"/>
  <c r="Q55" i="8"/>
  <c r="O55" i="8"/>
  <c r="M55" i="8"/>
  <c r="L55" i="8"/>
  <c r="J55" i="8"/>
  <c r="H55" i="8"/>
  <c r="F55" i="8"/>
  <c r="E55" i="8"/>
  <c r="D55" i="8"/>
  <c r="C55" i="8"/>
  <c r="B55" i="8"/>
  <c r="A55" i="8"/>
  <c r="U54" i="8"/>
  <c r="T54" i="8"/>
  <c r="S54" i="8"/>
  <c r="R54" i="8"/>
  <c r="Q54" i="8"/>
  <c r="P54" i="8"/>
  <c r="O54" i="8"/>
  <c r="N54" i="8"/>
  <c r="M54" i="8"/>
  <c r="L54" i="8"/>
  <c r="K54" i="8"/>
  <c r="J54" i="8"/>
  <c r="H54" i="8"/>
  <c r="F54" i="8"/>
  <c r="E54" i="8"/>
  <c r="D54" i="8"/>
  <c r="C54" i="8"/>
  <c r="B54" i="8"/>
  <c r="A54" i="8"/>
  <c r="T53" i="8"/>
  <c r="Q53" i="8"/>
  <c r="O53" i="8"/>
  <c r="M53" i="8"/>
  <c r="L53" i="8"/>
  <c r="J53" i="8"/>
  <c r="H53" i="8"/>
  <c r="F53" i="8"/>
  <c r="E53" i="8"/>
  <c r="D53" i="8"/>
  <c r="C53" i="8"/>
  <c r="B53" i="8"/>
  <c r="A53" i="8"/>
  <c r="Q52" i="8"/>
  <c r="O52" i="8"/>
  <c r="N52" i="8"/>
  <c r="M52" i="8"/>
  <c r="L52" i="8"/>
  <c r="J52" i="8"/>
  <c r="H52" i="8"/>
  <c r="F52" i="8"/>
  <c r="E52" i="8"/>
  <c r="D52" i="8"/>
  <c r="C52" i="8"/>
  <c r="B52" i="8"/>
  <c r="A52" i="8"/>
  <c r="Q51" i="8"/>
  <c r="O51" i="8"/>
  <c r="N51" i="8"/>
  <c r="M51" i="8"/>
  <c r="L51" i="8"/>
  <c r="J51" i="8"/>
  <c r="H51" i="8"/>
  <c r="F51" i="8"/>
  <c r="E51" i="8"/>
  <c r="D51" i="8"/>
  <c r="C51" i="8"/>
  <c r="B51" i="8"/>
  <c r="A51" i="8"/>
  <c r="T50" i="8"/>
  <c r="Q50" i="8"/>
  <c r="O50" i="8"/>
  <c r="N50" i="8"/>
  <c r="M50" i="8"/>
  <c r="L50" i="8"/>
  <c r="J50" i="8"/>
  <c r="H50" i="8"/>
  <c r="F50" i="8"/>
  <c r="E50" i="8"/>
  <c r="D50" i="8"/>
  <c r="C50" i="8"/>
  <c r="B50" i="8"/>
  <c r="A50" i="8"/>
  <c r="Q49" i="8"/>
  <c r="O49" i="8"/>
  <c r="N49" i="8"/>
  <c r="M49" i="8"/>
  <c r="L49" i="8"/>
  <c r="J49" i="8"/>
  <c r="H49" i="8"/>
  <c r="F49" i="8"/>
  <c r="E49" i="8"/>
  <c r="D49" i="8"/>
  <c r="C49" i="8"/>
  <c r="B49" i="8"/>
  <c r="A49" i="8"/>
  <c r="T48" i="8"/>
  <c r="Q48" i="8"/>
  <c r="O48" i="8"/>
  <c r="N48" i="8"/>
  <c r="M48" i="8"/>
  <c r="L48" i="8"/>
  <c r="J48" i="8"/>
  <c r="H48" i="8"/>
  <c r="F48" i="8"/>
  <c r="E48" i="8"/>
  <c r="D48" i="8"/>
  <c r="C48" i="8"/>
  <c r="B48" i="8"/>
  <c r="A48" i="8"/>
  <c r="U47" i="8"/>
  <c r="T47" i="8"/>
  <c r="Q47" i="8"/>
  <c r="O47" i="8"/>
  <c r="N47" i="8"/>
  <c r="M47" i="8"/>
  <c r="L47" i="8"/>
  <c r="J47" i="8"/>
  <c r="H47" i="8"/>
  <c r="F45" i="8" s="1"/>
  <c r="F47" i="8"/>
  <c r="E47" i="8"/>
  <c r="D47" i="8"/>
  <c r="C47" i="8"/>
  <c r="B47" i="8"/>
  <c r="A47" i="8"/>
  <c r="A16" i="8"/>
  <c r="B16" i="8"/>
  <c r="C16" i="8"/>
  <c r="D16" i="8"/>
  <c r="E16" i="8"/>
  <c r="F16" i="8"/>
  <c r="H16" i="8"/>
  <c r="J16" i="8"/>
  <c r="L16" i="8"/>
  <c r="M16" i="8"/>
  <c r="N16" i="8"/>
  <c r="O16" i="8"/>
  <c r="Q16" i="8"/>
  <c r="T16" i="8"/>
  <c r="Q44" i="8"/>
  <c r="O44" i="8"/>
  <c r="N44" i="8"/>
  <c r="M44" i="8"/>
  <c r="L44" i="8"/>
  <c r="J44" i="8"/>
  <c r="H44" i="8"/>
  <c r="F44" i="8"/>
  <c r="E44" i="8"/>
  <c r="D44" i="8"/>
  <c r="C44" i="8"/>
  <c r="B44" i="8"/>
  <c r="A44" i="8"/>
  <c r="T43" i="8"/>
  <c r="Q43" i="8"/>
  <c r="O43" i="8"/>
  <c r="M43" i="8"/>
  <c r="L43" i="8"/>
  <c r="J43" i="8"/>
  <c r="H43" i="8"/>
  <c r="F43" i="8"/>
  <c r="E43" i="8"/>
  <c r="D43" i="8"/>
  <c r="C43" i="8"/>
  <c r="B43" i="8"/>
  <c r="A43" i="8"/>
  <c r="T42" i="8"/>
  <c r="Q42" i="8"/>
  <c r="O42" i="8"/>
  <c r="N42" i="8"/>
  <c r="M42" i="8"/>
  <c r="L42" i="8"/>
  <c r="J42" i="8"/>
  <c r="H42" i="8"/>
  <c r="F42" i="8"/>
  <c r="E42" i="8"/>
  <c r="D42" i="8"/>
  <c r="C42" i="8"/>
  <c r="B42" i="8"/>
  <c r="A42" i="8"/>
  <c r="T41" i="8"/>
  <c r="Q41" i="8"/>
  <c r="O41" i="8"/>
  <c r="N41" i="8"/>
  <c r="M41" i="8"/>
  <c r="L41" i="8"/>
  <c r="J41" i="8"/>
  <c r="H41" i="8"/>
  <c r="F41" i="8"/>
  <c r="E41" i="8"/>
  <c r="D41" i="8"/>
  <c r="C41" i="8"/>
  <c r="B41" i="8"/>
  <c r="A41" i="8"/>
  <c r="U40" i="8"/>
  <c r="T40" i="8"/>
  <c r="S40" i="8"/>
  <c r="R40" i="8"/>
  <c r="Q40" i="8"/>
  <c r="P40" i="8"/>
  <c r="O40" i="8"/>
  <c r="N40" i="8"/>
  <c r="M40" i="8"/>
  <c r="L40" i="8"/>
  <c r="K40" i="8"/>
  <c r="J40" i="8"/>
  <c r="H40" i="8"/>
  <c r="F40" i="8"/>
  <c r="E40" i="8"/>
  <c r="D40" i="8"/>
  <c r="C40" i="8"/>
  <c r="B40" i="8"/>
  <c r="A40" i="8"/>
  <c r="Q39" i="8"/>
  <c r="O39" i="8"/>
  <c r="M39" i="8"/>
  <c r="L39" i="8"/>
  <c r="J39" i="8"/>
  <c r="H39" i="8"/>
  <c r="F39" i="8"/>
  <c r="E39" i="8"/>
  <c r="D39" i="8"/>
  <c r="C39" i="8"/>
  <c r="B39" i="8"/>
  <c r="A39" i="8"/>
  <c r="T38" i="8"/>
  <c r="Q38" i="8"/>
  <c r="O38" i="8"/>
  <c r="M38" i="8"/>
  <c r="L38" i="8"/>
  <c r="J38" i="8"/>
  <c r="H38" i="8"/>
  <c r="F38" i="8"/>
  <c r="E38" i="8"/>
  <c r="D38" i="8"/>
  <c r="C38" i="8"/>
  <c r="B38" i="8"/>
  <c r="A38" i="8"/>
  <c r="Q37" i="8"/>
  <c r="O37" i="8"/>
  <c r="N37" i="8"/>
  <c r="M37" i="8"/>
  <c r="L37" i="8"/>
  <c r="J37" i="8"/>
  <c r="H37" i="8"/>
  <c r="F37" i="8"/>
  <c r="E37" i="8"/>
  <c r="D37" i="8"/>
  <c r="C37" i="8"/>
  <c r="B37" i="8"/>
  <c r="A37" i="8"/>
  <c r="T36" i="8"/>
  <c r="Q36" i="8"/>
  <c r="O36" i="8"/>
  <c r="N36" i="8"/>
  <c r="M36" i="8"/>
  <c r="L36" i="8"/>
  <c r="J36" i="8"/>
  <c r="H36" i="8"/>
  <c r="F36" i="8"/>
  <c r="E36" i="8"/>
  <c r="D36" i="8"/>
  <c r="C36" i="8"/>
  <c r="B36" i="8"/>
  <c r="A36" i="8"/>
  <c r="T35" i="8"/>
  <c r="Q35" i="8"/>
  <c r="O35" i="8"/>
  <c r="N35" i="8"/>
  <c r="M35" i="8"/>
  <c r="L35" i="8"/>
  <c r="J35" i="8"/>
  <c r="H35" i="8"/>
  <c r="F35" i="8"/>
  <c r="E35" i="8"/>
  <c r="D35" i="8"/>
  <c r="C35" i="8"/>
  <c r="B35" i="8"/>
  <c r="A35" i="8"/>
  <c r="Q34" i="8"/>
  <c r="O34" i="8"/>
  <c r="N34" i="8"/>
  <c r="M34" i="8"/>
  <c r="L34" i="8"/>
  <c r="J34" i="8"/>
  <c r="H34" i="8"/>
  <c r="F34" i="8"/>
  <c r="E34" i="8"/>
  <c r="D34" i="8"/>
  <c r="C34" i="8"/>
  <c r="B34" i="8"/>
  <c r="A34" i="8"/>
  <c r="U33" i="8"/>
  <c r="T33" i="8"/>
  <c r="S33" i="8"/>
  <c r="R33" i="8"/>
  <c r="Q33" i="8"/>
  <c r="O33" i="8"/>
  <c r="N33" i="8"/>
  <c r="M33" i="8"/>
  <c r="L33" i="8"/>
  <c r="K33" i="8"/>
  <c r="J33" i="8"/>
  <c r="H33" i="8"/>
  <c r="F31" i="8" s="1"/>
  <c r="F33" i="8"/>
  <c r="E33" i="8"/>
  <c r="D33" i="8"/>
  <c r="C33" i="8"/>
  <c r="B33" i="8"/>
  <c r="A33" i="8"/>
  <c r="T30" i="8"/>
  <c r="Q30" i="8"/>
  <c r="O30" i="8"/>
  <c r="N30" i="8"/>
  <c r="M30" i="8"/>
  <c r="L30" i="8"/>
  <c r="J30" i="8"/>
  <c r="H30" i="8"/>
  <c r="F30" i="8"/>
  <c r="E30" i="8"/>
  <c r="D30" i="8"/>
  <c r="C30" i="8"/>
  <c r="B30" i="8"/>
  <c r="A30" i="8"/>
  <c r="T29" i="8"/>
  <c r="Q29" i="8"/>
  <c r="O29" i="8"/>
  <c r="N29" i="8"/>
  <c r="M29" i="8"/>
  <c r="L29" i="8"/>
  <c r="J29" i="8"/>
  <c r="H29" i="8"/>
  <c r="F29" i="8"/>
  <c r="E29" i="8"/>
  <c r="D29" i="8"/>
  <c r="C29" i="8"/>
  <c r="B29" i="8"/>
  <c r="A29" i="8"/>
  <c r="Q28" i="8"/>
  <c r="O28" i="8"/>
  <c r="N28" i="8"/>
  <c r="M28" i="8"/>
  <c r="L28" i="8"/>
  <c r="J28" i="8"/>
  <c r="H28" i="8"/>
  <c r="F28" i="8"/>
  <c r="E28" i="8"/>
  <c r="D28" i="8"/>
  <c r="C28" i="8"/>
  <c r="B28" i="8"/>
  <c r="A28" i="8"/>
  <c r="Q27" i="8"/>
  <c r="O27" i="8"/>
  <c r="M27" i="8"/>
  <c r="L27" i="8"/>
  <c r="J27" i="8"/>
  <c r="H27" i="8"/>
  <c r="F27" i="8"/>
  <c r="E27" i="8"/>
  <c r="D27" i="8"/>
  <c r="C27" i="8"/>
  <c r="B27" i="8"/>
  <c r="A27" i="8"/>
  <c r="U26" i="8"/>
  <c r="T26" i="8"/>
  <c r="S26" i="8"/>
  <c r="R26" i="8"/>
  <c r="Q26" i="8"/>
  <c r="P26" i="8"/>
  <c r="O26" i="8"/>
  <c r="N26" i="8"/>
  <c r="M26" i="8"/>
  <c r="L26" i="8"/>
  <c r="K26" i="8"/>
  <c r="J26" i="8"/>
  <c r="H26" i="8"/>
  <c r="F26" i="8"/>
  <c r="E26" i="8"/>
  <c r="D26" i="8"/>
  <c r="C26" i="8"/>
  <c r="B26" i="8"/>
  <c r="A26" i="8"/>
  <c r="T25" i="8"/>
  <c r="Q25" i="8"/>
  <c r="O25" i="8"/>
  <c r="M25" i="8"/>
  <c r="L25" i="8"/>
  <c r="J25" i="8"/>
  <c r="H25" i="8"/>
  <c r="F25" i="8"/>
  <c r="E25" i="8"/>
  <c r="D25" i="8"/>
  <c r="C25" i="8"/>
  <c r="B25" i="8"/>
  <c r="A25" i="8"/>
  <c r="Q24" i="8"/>
  <c r="O24" i="8"/>
  <c r="N24" i="8"/>
  <c r="M24" i="8"/>
  <c r="L24" i="8"/>
  <c r="J24" i="8"/>
  <c r="H24" i="8"/>
  <c r="F24" i="8"/>
  <c r="E24" i="8"/>
  <c r="D24" i="8"/>
  <c r="C24" i="8"/>
  <c r="B24" i="8"/>
  <c r="A24" i="8"/>
  <c r="T23" i="8"/>
  <c r="Q23" i="8"/>
  <c r="O23" i="8"/>
  <c r="M23" i="8"/>
  <c r="L23" i="8"/>
  <c r="J23" i="8"/>
  <c r="H23" i="8"/>
  <c r="F23" i="8"/>
  <c r="E23" i="8"/>
  <c r="D23" i="8"/>
  <c r="C23" i="8"/>
  <c r="B23" i="8"/>
  <c r="A23" i="8"/>
  <c r="T22" i="8"/>
  <c r="Q22" i="8"/>
  <c r="O22" i="8"/>
  <c r="N22" i="8"/>
  <c r="M22" i="8"/>
  <c r="L22" i="8"/>
  <c r="J22" i="8"/>
  <c r="H22" i="8"/>
  <c r="F22" i="8"/>
  <c r="E22" i="8"/>
  <c r="D22" i="8"/>
  <c r="C22" i="8"/>
  <c r="B22" i="8"/>
  <c r="A22" i="8"/>
  <c r="T21" i="8"/>
  <c r="Q21" i="8"/>
  <c r="O21" i="8"/>
  <c r="N21" i="8"/>
  <c r="M21" i="8"/>
  <c r="L21" i="8"/>
  <c r="J21" i="8"/>
  <c r="H21" i="8"/>
  <c r="F21" i="8"/>
  <c r="E21" i="8"/>
  <c r="D21" i="8"/>
  <c r="C21" i="8"/>
  <c r="B21" i="8"/>
  <c r="A21" i="8"/>
  <c r="U20" i="8"/>
  <c r="T20" i="8"/>
  <c r="Q20" i="8"/>
  <c r="O20" i="8"/>
  <c r="N20" i="8"/>
  <c r="M20" i="8"/>
  <c r="L20" i="8"/>
  <c r="J20" i="8"/>
  <c r="H20" i="8"/>
  <c r="F20" i="8"/>
  <c r="E20" i="8"/>
  <c r="D20" i="8"/>
  <c r="C20" i="8"/>
  <c r="B20" i="8"/>
  <c r="A20" i="8"/>
  <c r="T19" i="8"/>
  <c r="Q19" i="8"/>
  <c r="O19" i="8"/>
  <c r="N19" i="8"/>
  <c r="M19" i="8"/>
  <c r="L19" i="8"/>
  <c r="J19" i="8"/>
  <c r="H19" i="8"/>
  <c r="F17" i="8" s="1"/>
  <c r="F19" i="8"/>
  <c r="E19" i="8"/>
  <c r="D19" i="8"/>
  <c r="C19" i="8"/>
  <c r="B19" i="8"/>
  <c r="A19" i="8"/>
  <c r="T15" i="8"/>
  <c r="Q15" i="8"/>
  <c r="O15" i="8"/>
  <c r="N15" i="8"/>
  <c r="M15" i="8"/>
  <c r="L15" i="8"/>
  <c r="J15" i="8"/>
  <c r="H15" i="8"/>
  <c r="F15" i="8"/>
  <c r="E15" i="8"/>
  <c r="D15" i="8"/>
  <c r="C15" i="8"/>
  <c r="B15" i="8"/>
  <c r="A15" i="8"/>
  <c r="Q14" i="8"/>
  <c r="O14" i="8"/>
  <c r="N14" i="8"/>
  <c r="M14" i="8"/>
  <c r="L14" i="8"/>
  <c r="J14" i="8"/>
  <c r="H14" i="8"/>
  <c r="F14" i="8"/>
  <c r="E14" i="8"/>
  <c r="D14" i="8"/>
  <c r="C14" i="8"/>
  <c r="B14" i="8"/>
  <c r="A14" i="8"/>
  <c r="U13" i="8"/>
  <c r="T13" i="8"/>
  <c r="S13" i="8"/>
  <c r="R13" i="8"/>
  <c r="Q13" i="8"/>
  <c r="P13" i="8"/>
  <c r="O13" i="8"/>
  <c r="N13" i="8"/>
  <c r="M13" i="8"/>
  <c r="L13" i="8"/>
  <c r="K13" i="8"/>
  <c r="J13" i="8"/>
  <c r="H13" i="8"/>
  <c r="F13" i="8"/>
  <c r="E13" i="8"/>
  <c r="D13" i="8"/>
  <c r="C13" i="8"/>
  <c r="B13" i="8"/>
  <c r="A13" i="8"/>
  <c r="T12" i="8"/>
  <c r="Q12" i="8"/>
  <c r="O12" i="8"/>
  <c r="N12" i="8"/>
  <c r="M12" i="8"/>
  <c r="L12" i="8"/>
  <c r="J12" i="8"/>
  <c r="H12" i="8"/>
  <c r="F12" i="8"/>
  <c r="E12" i="8"/>
  <c r="D12" i="8"/>
  <c r="C12" i="8"/>
  <c r="B12" i="8"/>
  <c r="A12" i="8"/>
  <c r="Q11" i="8"/>
  <c r="O11" i="8"/>
  <c r="N11" i="8"/>
  <c r="M11" i="8"/>
  <c r="L11" i="8"/>
  <c r="J11" i="8"/>
  <c r="H11" i="8"/>
  <c r="F11" i="8"/>
  <c r="E11" i="8"/>
  <c r="D11" i="8"/>
  <c r="C11" i="8"/>
  <c r="B11" i="8"/>
  <c r="A11" i="8"/>
  <c r="T10" i="8"/>
  <c r="Q10" i="8"/>
  <c r="O10" i="8"/>
  <c r="N10" i="8"/>
  <c r="M10" i="8"/>
  <c r="L10" i="8"/>
  <c r="J10" i="8"/>
  <c r="H10" i="8"/>
  <c r="F10" i="8"/>
  <c r="E10" i="8"/>
  <c r="D10" i="8"/>
  <c r="C10" i="8"/>
  <c r="B10" i="8"/>
  <c r="A10" i="8"/>
  <c r="T9" i="8"/>
  <c r="Q9" i="8"/>
  <c r="O9" i="8"/>
  <c r="N9" i="8"/>
  <c r="M9" i="8"/>
  <c r="L9" i="8"/>
  <c r="J9" i="8"/>
  <c r="H9" i="8"/>
  <c r="F9" i="8"/>
  <c r="E9" i="8"/>
  <c r="D9" i="8"/>
  <c r="C9" i="8"/>
  <c r="B9" i="8"/>
  <c r="A9" i="8"/>
  <c r="T8" i="8"/>
  <c r="Q8" i="8"/>
  <c r="O8" i="8"/>
  <c r="N8" i="8"/>
  <c r="M8" i="8"/>
  <c r="L8" i="8"/>
  <c r="J8" i="8"/>
  <c r="H8" i="8"/>
  <c r="F8" i="8"/>
  <c r="E8" i="8"/>
  <c r="D8" i="8"/>
  <c r="C8" i="8"/>
  <c r="B8" i="8"/>
  <c r="A8" i="8"/>
  <c r="T7" i="8"/>
  <c r="Q7" i="8"/>
  <c r="O7" i="8"/>
  <c r="N7" i="8"/>
  <c r="M7" i="8"/>
  <c r="L7" i="8"/>
  <c r="J7" i="8"/>
  <c r="H7" i="8"/>
  <c r="F7" i="8"/>
  <c r="E7" i="8"/>
  <c r="D7" i="8"/>
  <c r="C7" i="8"/>
  <c r="B7" i="8"/>
  <c r="A7" i="8"/>
  <c r="T6" i="8"/>
  <c r="Q6" i="8"/>
  <c r="O6" i="8"/>
  <c r="N6" i="8"/>
  <c r="M6" i="8"/>
  <c r="L6" i="8"/>
  <c r="J6" i="8"/>
  <c r="H6" i="8"/>
  <c r="F6" i="8"/>
  <c r="E6" i="8"/>
  <c r="D6" i="8"/>
  <c r="C6" i="8"/>
  <c r="B6" i="8"/>
  <c r="A6" i="8"/>
  <c r="T5" i="8"/>
  <c r="Q5" i="8"/>
  <c r="O5" i="8"/>
  <c r="N5" i="8"/>
  <c r="M5" i="8"/>
  <c r="L5" i="8"/>
  <c r="J5" i="8"/>
  <c r="H5" i="8"/>
  <c r="F5" i="8"/>
  <c r="E5" i="8"/>
  <c r="D5" i="8"/>
  <c r="C5" i="8"/>
  <c r="B5" i="8"/>
  <c r="A5" i="8"/>
  <c r="U4" i="8"/>
  <c r="T4" i="8"/>
  <c r="Q4" i="8"/>
  <c r="O4" i="8"/>
  <c r="N4" i="8"/>
  <c r="M4" i="8"/>
  <c r="L4" i="8"/>
  <c r="J4" i="8"/>
  <c r="H4" i="8"/>
  <c r="F3" i="8" s="1"/>
  <c r="F4" i="8"/>
  <c r="E4" i="8"/>
  <c r="D4" i="8"/>
  <c r="C4" i="8"/>
  <c r="B4" i="8"/>
  <c r="A4" i="8"/>
  <c r="Q103" i="7"/>
  <c r="O103" i="7"/>
  <c r="N103" i="7"/>
  <c r="M103" i="7"/>
  <c r="L103" i="7"/>
  <c r="J103" i="7"/>
  <c r="H103" i="7"/>
  <c r="F103" i="7"/>
  <c r="E103" i="7"/>
  <c r="D103" i="7"/>
  <c r="C103" i="7"/>
  <c r="B103" i="7"/>
  <c r="A103" i="7"/>
  <c r="Q102" i="7"/>
  <c r="O102" i="7"/>
  <c r="N102" i="7"/>
  <c r="M102" i="7"/>
  <c r="L102" i="7"/>
  <c r="J102" i="7"/>
  <c r="H102" i="7"/>
  <c r="F102" i="7"/>
  <c r="E102" i="7"/>
  <c r="D102" i="7"/>
  <c r="C102" i="7"/>
  <c r="B102" i="7"/>
  <c r="A102" i="7"/>
  <c r="Q101" i="7"/>
  <c r="O101" i="7"/>
  <c r="N101" i="7"/>
  <c r="M101" i="7"/>
  <c r="L101" i="7"/>
  <c r="J101" i="7"/>
  <c r="H101" i="7"/>
  <c r="F101" i="7"/>
  <c r="E101" i="7"/>
  <c r="D101" i="7"/>
  <c r="C101" i="7"/>
  <c r="B101" i="7"/>
  <c r="A101" i="7"/>
  <c r="T100" i="7"/>
  <c r="Q100" i="7"/>
  <c r="O100" i="7"/>
  <c r="M100" i="7"/>
  <c r="L100" i="7"/>
  <c r="J100" i="7"/>
  <c r="H100" i="7"/>
  <c r="F100" i="7"/>
  <c r="E100" i="7"/>
  <c r="D100" i="7"/>
  <c r="C100" i="7"/>
  <c r="B100" i="7"/>
  <c r="A100" i="7"/>
  <c r="T99" i="7"/>
  <c r="Q99" i="7"/>
  <c r="O99" i="7"/>
  <c r="M99" i="7"/>
  <c r="L99" i="7"/>
  <c r="J99" i="7"/>
  <c r="H99" i="7"/>
  <c r="F99" i="7"/>
  <c r="E99" i="7"/>
  <c r="D99" i="7"/>
  <c r="C99" i="7"/>
  <c r="B99" i="7"/>
  <c r="A99" i="7"/>
  <c r="Q98" i="7"/>
  <c r="O98" i="7"/>
  <c r="N98" i="7"/>
  <c r="M98" i="7"/>
  <c r="L98" i="7"/>
  <c r="J98" i="7"/>
  <c r="H98" i="7"/>
  <c r="F98" i="7"/>
  <c r="E98" i="7"/>
  <c r="D98" i="7"/>
  <c r="C98" i="7"/>
  <c r="B98" i="7"/>
  <c r="A98" i="7"/>
  <c r="Q97" i="7"/>
  <c r="O97" i="7"/>
  <c r="M97" i="7"/>
  <c r="L97" i="7"/>
  <c r="J97" i="7"/>
  <c r="H97" i="7"/>
  <c r="F97" i="7"/>
  <c r="E97" i="7"/>
  <c r="D97" i="7"/>
  <c r="C97" i="7"/>
  <c r="B97" i="7"/>
  <c r="A97" i="7"/>
  <c r="T96" i="7"/>
  <c r="Q96" i="7"/>
  <c r="O96" i="7"/>
  <c r="N96" i="7"/>
  <c r="M96" i="7"/>
  <c r="L96" i="7"/>
  <c r="J96" i="7"/>
  <c r="H96" i="7"/>
  <c r="F96" i="7"/>
  <c r="E96" i="7"/>
  <c r="D96" i="7"/>
  <c r="C96" i="7"/>
  <c r="B96" i="7"/>
  <c r="A96" i="7"/>
  <c r="U95" i="7"/>
  <c r="T95" i="7"/>
  <c r="S95" i="7"/>
  <c r="R95" i="7"/>
  <c r="Q95" i="7"/>
  <c r="P95" i="7"/>
  <c r="O95" i="7"/>
  <c r="N95" i="7"/>
  <c r="M95" i="7"/>
  <c r="L95" i="7"/>
  <c r="K95" i="7"/>
  <c r="J95" i="7"/>
  <c r="H95" i="7"/>
  <c r="F95" i="7"/>
  <c r="E95" i="7"/>
  <c r="D95" i="7"/>
  <c r="C95" i="7"/>
  <c r="B95" i="7"/>
  <c r="A95" i="7"/>
  <c r="T94" i="7"/>
  <c r="Q94" i="7"/>
  <c r="O94" i="7"/>
  <c r="N94" i="7"/>
  <c r="M94" i="7"/>
  <c r="L94" i="7"/>
  <c r="J94" i="7"/>
  <c r="H94" i="7"/>
  <c r="F94" i="7"/>
  <c r="E94" i="7"/>
  <c r="D94" i="7"/>
  <c r="C94" i="7"/>
  <c r="B94" i="7"/>
  <c r="A94" i="7"/>
  <c r="T93" i="7"/>
  <c r="Q93" i="7"/>
  <c r="O93" i="7"/>
  <c r="N93" i="7"/>
  <c r="M93" i="7"/>
  <c r="L93" i="7"/>
  <c r="J93" i="7"/>
  <c r="H93" i="7"/>
  <c r="F93" i="7"/>
  <c r="E93" i="7"/>
  <c r="D93" i="7"/>
  <c r="C93" i="7"/>
  <c r="B93" i="7"/>
  <c r="A93" i="7"/>
  <c r="T92" i="7"/>
  <c r="Q92" i="7"/>
  <c r="O92" i="7"/>
  <c r="N92" i="7"/>
  <c r="M92" i="7"/>
  <c r="L92" i="7"/>
  <c r="J92" i="7"/>
  <c r="H92" i="7"/>
  <c r="F90" i="7" s="1"/>
  <c r="F92" i="7"/>
  <c r="E92" i="7"/>
  <c r="D92" i="7"/>
  <c r="C92" i="7"/>
  <c r="B92" i="7"/>
  <c r="A92" i="7"/>
  <c r="T89" i="7"/>
  <c r="Q89" i="7"/>
  <c r="O89" i="7"/>
  <c r="N89" i="7"/>
  <c r="M89" i="7"/>
  <c r="L89" i="7"/>
  <c r="J89" i="7"/>
  <c r="H89" i="7"/>
  <c r="F89" i="7"/>
  <c r="E89" i="7"/>
  <c r="D89" i="7"/>
  <c r="C89" i="7"/>
  <c r="B89" i="7"/>
  <c r="A89" i="7"/>
  <c r="U88" i="7"/>
  <c r="T88" i="7"/>
  <c r="Q88" i="7"/>
  <c r="O88" i="7"/>
  <c r="N88" i="7"/>
  <c r="M88" i="7"/>
  <c r="L88" i="7"/>
  <c r="J88" i="7"/>
  <c r="H88" i="7"/>
  <c r="F88" i="7"/>
  <c r="E88" i="7"/>
  <c r="D88" i="7"/>
  <c r="C88" i="7"/>
  <c r="B88" i="7"/>
  <c r="A88" i="7"/>
  <c r="U87" i="7"/>
  <c r="T87" i="7"/>
  <c r="S87" i="7"/>
  <c r="R87" i="7"/>
  <c r="Q87" i="7"/>
  <c r="O87" i="7"/>
  <c r="N87" i="7"/>
  <c r="M87" i="7"/>
  <c r="L87" i="7"/>
  <c r="K87" i="7"/>
  <c r="J87" i="7"/>
  <c r="H87" i="7"/>
  <c r="F87" i="7"/>
  <c r="E87" i="7"/>
  <c r="D87" i="7"/>
  <c r="C87" i="7"/>
  <c r="B87" i="7"/>
  <c r="A87" i="7"/>
  <c r="U86" i="7"/>
  <c r="T86" i="7"/>
  <c r="S86" i="7"/>
  <c r="R86" i="7"/>
  <c r="Q86" i="7"/>
  <c r="P86" i="7"/>
  <c r="O86" i="7"/>
  <c r="N86" i="7"/>
  <c r="M86" i="7"/>
  <c r="L86" i="7"/>
  <c r="K86" i="7"/>
  <c r="J86" i="7"/>
  <c r="H86" i="7"/>
  <c r="F86" i="7"/>
  <c r="E86" i="7"/>
  <c r="D86" i="7"/>
  <c r="C86" i="7"/>
  <c r="B86" i="7"/>
  <c r="A86" i="7"/>
  <c r="Q85" i="7"/>
  <c r="O85" i="7"/>
  <c r="N85" i="7"/>
  <c r="M85" i="7"/>
  <c r="L85" i="7"/>
  <c r="J85" i="7"/>
  <c r="H85" i="7"/>
  <c r="F85" i="7"/>
  <c r="E85" i="7"/>
  <c r="D85" i="7"/>
  <c r="C85" i="7"/>
  <c r="B85" i="7"/>
  <c r="A85" i="7"/>
  <c r="Q84" i="7"/>
  <c r="O84" i="7"/>
  <c r="N84" i="7"/>
  <c r="M84" i="7"/>
  <c r="L84" i="7"/>
  <c r="J84" i="7"/>
  <c r="H84" i="7"/>
  <c r="F84" i="7"/>
  <c r="E84" i="7"/>
  <c r="D84" i="7"/>
  <c r="C84" i="7"/>
  <c r="B84" i="7"/>
  <c r="A84" i="7"/>
  <c r="Q83" i="7"/>
  <c r="O83" i="7"/>
  <c r="M83" i="7"/>
  <c r="L83" i="7"/>
  <c r="J83" i="7"/>
  <c r="H83" i="7"/>
  <c r="F83" i="7"/>
  <c r="E83" i="7"/>
  <c r="D83" i="7"/>
  <c r="C83" i="7"/>
  <c r="B83" i="7"/>
  <c r="A83" i="7"/>
  <c r="U82" i="7"/>
  <c r="T82" i="7"/>
  <c r="S82" i="7"/>
  <c r="R82" i="7"/>
  <c r="Q82" i="7"/>
  <c r="P82" i="7"/>
  <c r="O82" i="7"/>
  <c r="N82" i="7"/>
  <c r="M82" i="7"/>
  <c r="L82" i="7"/>
  <c r="K82" i="7"/>
  <c r="J82" i="7"/>
  <c r="H82" i="7"/>
  <c r="F82" i="7"/>
  <c r="E82" i="7"/>
  <c r="D82" i="7"/>
  <c r="C82" i="7"/>
  <c r="B82" i="7"/>
  <c r="A82" i="7"/>
  <c r="T81" i="7"/>
  <c r="Q81" i="7"/>
  <c r="O81" i="7"/>
  <c r="N81" i="7"/>
  <c r="M81" i="7"/>
  <c r="L81" i="7"/>
  <c r="J81" i="7"/>
  <c r="H81" i="7"/>
  <c r="F81" i="7"/>
  <c r="E81" i="7"/>
  <c r="D81" i="7"/>
  <c r="C81" i="7"/>
  <c r="B81" i="7"/>
  <c r="A81" i="7"/>
  <c r="T80" i="7"/>
  <c r="Q80" i="7"/>
  <c r="O80" i="7"/>
  <c r="N80" i="7"/>
  <c r="M80" i="7"/>
  <c r="L80" i="7"/>
  <c r="J80" i="7"/>
  <c r="H80" i="7"/>
  <c r="F80" i="7"/>
  <c r="E80" i="7"/>
  <c r="D80" i="7"/>
  <c r="C80" i="7"/>
  <c r="B80" i="7"/>
  <c r="A80" i="7"/>
  <c r="T79" i="7"/>
  <c r="Q79" i="7"/>
  <c r="O79" i="7"/>
  <c r="N79" i="7"/>
  <c r="M79" i="7"/>
  <c r="L79" i="7"/>
  <c r="J79" i="7"/>
  <c r="H79" i="7"/>
  <c r="F79" i="7"/>
  <c r="E79" i="7"/>
  <c r="D79" i="7"/>
  <c r="C79" i="7"/>
  <c r="B79" i="7"/>
  <c r="A79" i="7"/>
  <c r="T78" i="7"/>
  <c r="Q78" i="7"/>
  <c r="O78" i="7"/>
  <c r="N78" i="7"/>
  <c r="M78" i="7"/>
  <c r="L78" i="7"/>
  <c r="J78" i="7"/>
  <c r="H78" i="7"/>
  <c r="F78" i="7"/>
  <c r="F75" i="7" s="1"/>
  <c r="E78" i="7"/>
  <c r="D78" i="7"/>
  <c r="C78" i="7"/>
  <c r="B78" i="7"/>
  <c r="A78" i="7"/>
  <c r="Q74" i="7"/>
  <c r="O74" i="7"/>
  <c r="N74" i="7"/>
  <c r="M74" i="7"/>
  <c r="L74" i="7"/>
  <c r="J74" i="7"/>
  <c r="H74" i="7"/>
  <c r="F74" i="7"/>
  <c r="E74" i="7"/>
  <c r="D74" i="7"/>
  <c r="C74" i="7"/>
  <c r="B74" i="7"/>
  <c r="A74" i="7"/>
  <c r="U73" i="7"/>
  <c r="T73" i="7"/>
  <c r="Q73" i="7"/>
  <c r="O73" i="7"/>
  <c r="N73" i="7"/>
  <c r="M73" i="7"/>
  <c r="L73" i="7"/>
  <c r="J73" i="7"/>
  <c r="H73" i="7"/>
  <c r="F73" i="7"/>
  <c r="E73" i="7"/>
  <c r="D73" i="7"/>
  <c r="C73" i="7"/>
  <c r="B73" i="7"/>
  <c r="A73" i="7"/>
  <c r="T72" i="7"/>
  <c r="Q72" i="7"/>
  <c r="O72" i="7"/>
  <c r="N72" i="7"/>
  <c r="M72" i="7"/>
  <c r="L72" i="7"/>
  <c r="J72" i="7"/>
  <c r="H72" i="7"/>
  <c r="F72" i="7"/>
  <c r="E72" i="7"/>
  <c r="D72" i="7"/>
  <c r="C72" i="7"/>
  <c r="B72" i="7"/>
  <c r="A72" i="7"/>
  <c r="T71" i="7"/>
  <c r="Q71" i="7"/>
  <c r="O71" i="7"/>
  <c r="N71" i="7"/>
  <c r="M71" i="7"/>
  <c r="L71" i="7"/>
  <c r="J71" i="7"/>
  <c r="H71" i="7"/>
  <c r="F71" i="7"/>
  <c r="E71" i="7"/>
  <c r="D71" i="7"/>
  <c r="C71" i="7"/>
  <c r="B71" i="7"/>
  <c r="A71" i="7"/>
  <c r="Q70" i="7"/>
  <c r="O70" i="7"/>
  <c r="N70" i="7"/>
  <c r="M70" i="7"/>
  <c r="L70" i="7"/>
  <c r="J70" i="7"/>
  <c r="H70" i="7"/>
  <c r="F70" i="7"/>
  <c r="E70" i="7"/>
  <c r="D70" i="7"/>
  <c r="C70" i="7"/>
  <c r="B70" i="7"/>
  <c r="A70" i="7"/>
  <c r="U69" i="7"/>
  <c r="T69" i="7"/>
  <c r="S69" i="7"/>
  <c r="R69" i="7"/>
  <c r="Q69" i="7"/>
  <c r="P69" i="7"/>
  <c r="O69" i="7"/>
  <c r="N69" i="7"/>
  <c r="M69" i="7"/>
  <c r="L69" i="7"/>
  <c r="K69" i="7"/>
  <c r="J69" i="7"/>
  <c r="H69" i="7"/>
  <c r="F69" i="7"/>
  <c r="E69" i="7"/>
  <c r="D69" i="7"/>
  <c r="C69" i="7"/>
  <c r="B69" i="7"/>
  <c r="A69" i="7"/>
  <c r="Q68" i="7"/>
  <c r="O68" i="7"/>
  <c r="N68" i="7"/>
  <c r="M68" i="7"/>
  <c r="L68" i="7"/>
  <c r="J68" i="7"/>
  <c r="H68" i="7"/>
  <c r="F68" i="7"/>
  <c r="E68" i="7"/>
  <c r="D68" i="7"/>
  <c r="C68" i="7"/>
  <c r="B68" i="7"/>
  <c r="A68" i="7"/>
  <c r="T67" i="7"/>
  <c r="Q67" i="7"/>
  <c r="O67" i="7"/>
  <c r="N67" i="7"/>
  <c r="M67" i="7"/>
  <c r="L67" i="7"/>
  <c r="J67" i="7"/>
  <c r="H67" i="7"/>
  <c r="F67" i="7"/>
  <c r="E67" i="7"/>
  <c r="D67" i="7"/>
  <c r="C67" i="7"/>
  <c r="B67" i="7"/>
  <c r="A67" i="7"/>
  <c r="T66" i="7"/>
  <c r="Q66" i="7"/>
  <c r="O66" i="7"/>
  <c r="N66" i="7"/>
  <c r="M66" i="7"/>
  <c r="L66" i="7"/>
  <c r="J66" i="7"/>
  <c r="H66" i="7"/>
  <c r="F66" i="7"/>
  <c r="E66" i="7"/>
  <c r="D66" i="7"/>
  <c r="C66" i="7"/>
  <c r="B66" i="7"/>
  <c r="A66" i="7"/>
  <c r="Q65" i="7"/>
  <c r="O65" i="7"/>
  <c r="N65" i="7"/>
  <c r="M65" i="7"/>
  <c r="L65" i="7"/>
  <c r="J65" i="7"/>
  <c r="H65" i="7"/>
  <c r="F65" i="7"/>
  <c r="E65" i="7"/>
  <c r="D65" i="7"/>
  <c r="C65" i="7"/>
  <c r="B65" i="7"/>
  <c r="A65" i="7"/>
  <c r="U64" i="7"/>
  <c r="T64" i="7"/>
  <c r="R64" i="7"/>
  <c r="Q64" i="7"/>
  <c r="O64" i="7"/>
  <c r="N64" i="7"/>
  <c r="M64" i="7"/>
  <c r="L64" i="7"/>
  <c r="K64" i="7"/>
  <c r="J64" i="7"/>
  <c r="H64" i="7"/>
  <c r="F64" i="7"/>
  <c r="E64" i="7"/>
  <c r="D64" i="7"/>
  <c r="C64" i="7"/>
  <c r="B64" i="7"/>
  <c r="A64" i="7"/>
  <c r="T63" i="7"/>
  <c r="Q63" i="7"/>
  <c r="O63" i="7"/>
  <c r="N63" i="7"/>
  <c r="M63" i="7"/>
  <c r="L63" i="7"/>
  <c r="J63" i="7"/>
  <c r="H63" i="7"/>
  <c r="F63" i="7"/>
  <c r="F61" i="7" s="1"/>
  <c r="E63" i="7"/>
  <c r="D63" i="7"/>
  <c r="C63" i="7"/>
  <c r="B63" i="7"/>
  <c r="A63" i="7"/>
  <c r="T60" i="7"/>
  <c r="Q60" i="7"/>
  <c r="O60" i="7"/>
  <c r="N60" i="7"/>
  <c r="M60" i="7"/>
  <c r="L60" i="7"/>
  <c r="J60" i="7"/>
  <c r="H60" i="7"/>
  <c r="F60" i="7"/>
  <c r="E60" i="7"/>
  <c r="D60" i="7"/>
  <c r="C60" i="7"/>
  <c r="B60" i="7"/>
  <c r="A60" i="7"/>
  <c r="T59" i="7"/>
  <c r="Q59" i="7"/>
  <c r="O59" i="7"/>
  <c r="M59" i="7"/>
  <c r="L59" i="7"/>
  <c r="J59" i="7"/>
  <c r="H59" i="7"/>
  <c r="F59" i="7"/>
  <c r="E59" i="7"/>
  <c r="D59" i="7"/>
  <c r="C59" i="7"/>
  <c r="B59" i="7"/>
  <c r="A59" i="7"/>
  <c r="Q58" i="7"/>
  <c r="O58" i="7"/>
  <c r="N58" i="7"/>
  <c r="M58" i="7"/>
  <c r="L58" i="7"/>
  <c r="J58" i="7"/>
  <c r="H58" i="7"/>
  <c r="F58" i="7"/>
  <c r="E58" i="7"/>
  <c r="D58" i="7"/>
  <c r="C58" i="7"/>
  <c r="B58" i="7"/>
  <c r="A58" i="7"/>
  <c r="T57" i="7"/>
  <c r="Q57" i="7"/>
  <c r="O57" i="7"/>
  <c r="M57" i="7"/>
  <c r="L57" i="7"/>
  <c r="J57" i="7"/>
  <c r="H57" i="7"/>
  <c r="F57" i="7"/>
  <c r="E57" i="7"/>
  <c r="D57" i="7"/>
  <c r="C57" i="7"/>
  <c r="B57" i="7"/>
  <c r="A57" i="7"/>
  <c r="U56" i="7"/>
  <c r="T56" i="7"/>
  <c r="S56" i="7"/>
  <c r="R56" i="7"/>
  <c r="Q56" i="7"/>
  <c r="P56" i="7"/>
  <c r="O56" i="7"/>
  <c r="N56" i="7"/>
  <c r="M56" i="7"/>
  <c r="L56" i="7"/>
  <c r="K56" i="7"/>
  <c r="J56" i="7"/>
  <c r="H56" i="7"/>
  <c r="F56" i="7"/>
  <c r="E56" i="7"/>
  <c r="D56" i="7"/>
  <c r="C56" i="7"/>
  <c r="B56" i="7"/>
  <c r="A56" i="7"/>
  <c r="T55" i="7"/>
  <c r="Q55" i="7"/>
  <c r="O55" i="7"/>
  <c r="M55" i="7"/>
  <c r="L55" i="7"/>
  <c r="J55" i="7"/>
  <c r="H55" i="7"/>
  <c r="F55" i="7"/>
  <c r="E55" i="7"/>
  <c r="D55" i="7"/>
  <c r="C55" i="7"/>
  <c r="B55" i="7"/>
  <c r="A55" i="7"/>
  <c r="U54" i="7"/>
  <c r="T54" i="7"/>
  <c r="S54" i="7"/>
  <c r="R54" i="7"/>
  <c r="Q54" i="7"/>
  <c r="O54" i="7"/>
  <c r="N54" i="7"/>
  <c r="M54" i="7"/>
  <c r="L54" i="7"/>
  <c r="K54" i="7"/>
  <c r="J54" i="7"/>
  <c r="H54" i="7"/>
  <c r="F54" i="7"/>
  <c r="E54" i="7"/>
  <c r="D54" i="7"/>
  <c r="C54" i="7"/>
  <c r="B54" i="7"/>
  <c r="A54" i="7"/>
  <c r="T53" i="7"/>
  <c r="Q53" i="7"/>
  <c r="O53" i="7"/>
  <c r="N53" i="7"/>
  <c r="M53" i="7"/>
  <c r="L53" i="7"/>
  <c r="J53" i="7"/>
  <c r="H53" i="7"/>
  <c r="F53" i="7"/>
  <c r="E53" i="7"/>
  <c r="D53" i="7"/>
  <c r="C53" i="7"/>
  <c r="B53" i="7"/>
  <c r="A53" i="7"/>
  <c r="T51" i="7"/>
  <c r="Q51" i="7"/>
  <c r="O51" i="7"/>
  <c r="N51" i="7"/>
  <c r="M51" i="7"/>
  <c r="L51" i="7"/>
  <c r="J51" i="7"/>
  <c r="H51" i="7"/>
  <c r="F51" i="7"/>
  <c r="E51" i="7"/>
  <c r="D51" i="7"/>
  <c r="C51" i="7"/>
  <c r="B51" i="7"/>
  <c r="A51" i="7"/>
  <c r="Q50" i="7"/>
  <c r="O50" i="7"/>
  <c r="N50" i="7"/>
  <c r="M50" i="7"/>
  <c r="L50" i="7"/>
  <c r="J50" i="7"/>
  <c r="H50" i="7"/>
  <c r="F50" i="7"/>
  <c r="E50" i="7"/>
  <c r="D50" i="7"/>
  <c r="C50" i="7"/>
  <c r="B50" i="7"/>
  <c r="A50" i="7"/>
  <c r="Q49" i="7"/>
  <c r="O49" i="7"/>
  <c r="N49" i="7"/>
  <c r="M49" i="7"/>
  <c r="L49" i="7"/>
  <c r="J49" i="7"/>
  <c r="H49" i="7"/>
  <c r="F47" i="7" s="1"/>
  <c r="F49" i="7"/>
  <c r="E49" i="7"/>
  <c r="D49" i="7"/>
  <c r="C49" i="7"/>
  <c r="B49" i="7"/>
  <c r="A49" i="7"/>
  <c r="U46" i="7"/>
  <c r="T46" i="7"/>
  <c r="S46" i="7"/>
  <c r="R46" i="7"/>
  <c r="Q46" i="7"/>
  <c r="P46" i="7"/>
  <c r="O46" i="7"/>
  <c r="N46" i="7"/>
  <c r="M46" i="7"/>
  <c r="L46" i="7"/>
  <c r="K46" i="7"/>
  <c r="J46" i="7"/>
  <c r="H46" i="7"/>
  <c r="F46" i="7"/>
  <c r="E46" i="7"/>
  <c r="D46" i="7"/>
  <c r="C46" i="7"/>
  <c r="B46" i="7"/>
  <c r="A46" i="7"/>
  <c r="Q45" i="7"/>
  <c r="O45" i="7"/>
  <c r="N45" i="7"/>
  <c r="M45" i="7"/>
  <c r="L45" i="7"/>
  <c r="J45" i="7"/>
  <c r="H45" i="7"/>
  <c r="F45" i="7"/>
  <c r="E45" i="7"/>
  <c r="D45" i="7"/>
  <c r="C45" i="7"/>
  <c r="B45" i="7"/>
  <c r="A45" i="7"/>
  <c r="Q44" i="7"/>
  <c r="O44" i="7"/>
  <c r="N44" i="7"/>
  <c r="M44" i="7"/>
  <c r="L44" i="7"/>
  <c r="J44" i="7"/>
  <c r="H44" i="7"/>
  <c r="F44" i="7"/>
  <c r="E44" i="7"/>
  <c r="D44" i="7"/>
  <c r="C44" i="7"/>
  <c r="B44" i="7"/>
  <c r="A44" i="7"/>
  <c r="T43" i="7"/>
  <c r="Q43" i="7"/>
  <c r="O43" i="7"/>
  <c r="N43" i="7"/>
  <c r="M43" i="7"/>
  <c r="L43" i="7"/>
  <c r="J43" i="7"/>
  <c r="H43" i="7"/>
  <c r="F43" i="7"/>
  <c r="E43" i="7"/>
  <c r="D43" i="7"/>
  <c r="C43" i="7"/>
  <c r="B43" i="7"/>
  <c r="A43" i="7"/>
  <c r="Q42" i="7"/>
  <c r="O42" i="7"/>
  <c r="M42" i="7"/>
  <c r="L42" i="7"/>
  <c r="J42" i="7"/>
  <c r="H42" i="7"/>
  <c r="F42" i="7"/>
  <c r="E42" i="7"/>
  <c r="D42" i="7"/>
  <c r="C42" i="7"/>
  <c r="B42" i="7"/>
  <c r="A42" i="7"/>
  <c r="U41" i="7"/>
  <c r="T41" i="7"/>
  <c r="S41" i="7"/>
  <c r="R41" i="7"/>
  <c r="Q41" i="7"/>
  <c r="P41" i="7"/>
  <c r="O41" i="7"/>
  <c r="N41" i="7"/>
  <c r="M41" i="7"/>
  <c r="L41" i="7"/>
  <c r="K41" i="7"/>
  <c r="J41" i="7"/>
  <c r="H41" i="7"/>
  <c r="F41" i="7"/>
  <c r="E41" i="7"/>
  <c r="D41" i="7"/>
  <c r="C41" i="7"/>
  <c r="B41" i="7"/>
  <c r="A41" i="7"/>
  <c r="Q40" i="7"/>
  <c r="O40" i="7"/>
  <c r="N40" i="7"/>
  <c r="M40" i="7"/>
  <c r="L40" i="7"/>
  <c r="J40" i="7"/>
  <c r="H40" i="7"/>
  <c r="F40" i="7"/>
  <c r="E40" i="7"/>
  <c r="D40" i="7"/>
  <c r="C40" i="7"/>
  <c r="B40" i="7"/>
  <c r="A40" i="7"/>
  <c r="T39" i="7"/>
  <c r="Q39" i="7"/>
  <c r="O39" i="7"/>
  <c r="N39" i="7"/>
  <c r="M39" i="7"/>
  <c r="L39" i="7"/>
  <c r="J39" i="7"/>
  <c r="H39" i="7"/>
  <c r="F39" i="7"/>
  <c r="E39" i="7"/>
  <c r="D39" i="7"/>
  <c r="C39" i="7"/>
  <c r="B39" i="7"/>
  <c r="A39" i="7"/>
  <c r="T38" i="7"/>
  <c r="Q38" i="7"/>
  <c r="O38" i="7"/>
  <c r="N38" i="7"/>
  <c r="M38" i="7"/>
  <c r="L38" i="7"/>
  <c r="J38" i="7"/>
  <c r="H38" i="7"/>
  <c r="F38" i="7"/>
  <c r="E38" i="7"/>
  <c r="D38" i="7"/>
  <c r="C38" i="7"/>
  <c r="B38" i="7"/>
  <c r="A38" i="7"/>
  <c r="Q37" i="7"/>
  <c r="O37" i="7"/>
  <c r="N37" i="7"/>
  <c r="M37" i="7"/>
  <c r="L37" i="7"/>
  <c r="J37" i="7"/>
  <c r="H37" i="7"/>
  <c r="F37" i="7"/>
  <c r="E37" i="7"/>
  <c r="D37" i="7"/>
  <c r="C37" i="7"/>
  <c r="B37" i="7"/>
  <c r="A37" i="7"/>
  <c r="Q36" i="7"/>
  <c r="O36" i="7"/>
  <c r="N36" i="7"/>
  <c r="M36" i="7"/>
  <c r="L36" i="7"/>
  <c r="J36" i="7"/>
  <c r="H36" i="7"/>
  <c r="F36" i="7"/>
  <c r="E36" i="7"/>
  <c r="D36" i="7"/>
  <c r="C36" i="7"/>
  <c r="B36" i="7"/>
  <c r="A36" i="7"/>
  <c r="T35" i="7"/>
  <c r="Q35" i="7"/>
  <c r="O35" i="7"/>
  <c r="N35" i="7"/>
  <c r="M35" i="7"/>
  <c r="L35" i="7"/>
  <c r="J35" i="7"/>
  <c r="H35" i="7"/>
  <c r="F35" i="7"/>
  <c r="E35" i="7"/>
  <c r="D35" i="7"/>
  <c r="C35" i="7"/>
  <c r="B35" i="7"/>
  <c r="A35" i="7"/>
  <c r="U34" i="7"/>
  <c r="T34" i="7"/>
  <c r="R34" i="7"/>
  <c r="Q34" i="7"/>
  <c r="O34" i="7"/>
  <c r="N34" i="7"/>
  <c r="M34" i="7"/>
  <c r="L34" i="7"/>
  <c r="J34" i="7"/>
  <c r="H34" i="7"/>
  <c r="F32" i="7" s="1"/>
  <c r="F34" i="7"/>
  <c r="E34" i="7"/>
  <c r="D34" i="7"/>
  <c r="C34" i="7"/>
  <c r="B34" i="7"/>
  <c r="A34" i="7"/>
  <c r="T31" i="7"/>
  <c r="Q31" i="7"/>
  <c r="O31" i="7"/>
  <c r="N31" i="7"/>
  <c r="M31" i="7"/>
  <c r="L31" i="7"/>
  <c r="J31" i="7"/>
  <c r="H31" i="7"/>
  <c r="F31" i="7"/>
  <c r="E31" i="7"/>
  <c r="D31" i="7"/>
  <c r="C31" i="7"/>
  <c r="B31" i="7"/>
  <c r="A31" i="7"/>
  <c r="U30" i="7"/>
  <c r="T30" i="7"/>
  <c r="Q30" i="7"/>
  <c r="O30" i="7"/>
  <c r="N30" i="7"/>
  <c r="M30" i="7"/>
  <c r="L30" i="7"/>
  <c r="J30" i="7"/>
  <c r="H30" i="7"/>
  <c r="F30" i="7"/>
  <c r="E30" i="7"/>
  <c r="D30" i="7"/>
  <c r="C30" i="7"/>
  <c r="B30" i="7"/>
  <c r="A30" i="7"/>
  <c r="U29" i="7"/>
  <c r="T29" i="7"/>
  <c r="S29" i="7"/>
  <c r="R29" i="7"/>
  <c r="Q29" i="7"/>
  <c r="P29" i="7"/>
  <c r="O29" i="7"/>
  <c r="N29" i="7"/>
  <c r="M29" i="7"/>
  <c r="L29" i="7"/>
  <c r="K29" i="7"/>
  <c r="J29" i="7"/>
  <c r="H29" i="7"/>
  <c r="F29" i="7"/>
  <c r="E29" i="7"/>
  <c r="D29" i="7"/>
  <c r="C29" i="7"/>
  <c r="B29" i="7"/>
  <c r="A29" i="7"/>
  <c r="T28" i="7"/>
  <c r="Q28" i="7"/>
  <c r="O28" i="7"/>
  <c r="M28" i="7"/>
  <c r="L28" i="7"/>
  <c r="J28" i="7"/>
  <c r="H28" i="7"/>
  <c r="F28" i="7"/>
  <c r="E28" i="7"/>
  <c r="D28" i="7"/>
  <c r="C28" i="7"/>
  <c r="B28" i="7"/>
  <c r="A28" i="7"/>
  <c r="Q27" i="7"/>
  <c r="O27" i="7"/>
  <c r="M27" i="7"/>
  <c r="L27" i="7"/>
  <c r="J27" i="7"/>
  <c r="H27" i="7"/>
  <c r="F27" i="7"/>
  <c r="E27" i="7"/>
  <c r="D27" i="7"/>
  <c r="C27" i="7"/>
  <c r="B27" i="7"/>
  <c r="A27" i="7"/>
  <c r="T26" i="7"/>
  <c r="Q26" i="7"/>
  <c r="O26" i="7"/>
  <c r="M26" i="7"/>
  <c r="L26" i="7"/>
  <c r="J26" i="7"/>
  <c r="H26" i="7"/>
  <c r="F26" i="7"/>
  <c r="E26" i="7"/>
  <c r="D26" i="7"/>
  <c r="C26" i="7"/>
  <c r="B26" i="7"/>
  <c r="A26" i="7"/>
  <c r="Q25" i="7"/>
  <c r="O25" i="7"/>
  <c r="N25" i="7"/>
  <c r="M25" i="7"/>
  <c r="L25" i="7"/>
  <c r="J25" i="7"/>
  <c r="H25" i="7"/>
  <c r="F25" i="7"/>
  <c r="E25" i="7"/>
  <c r="D25" i="7"/>
  <c r="C25" i="7"/>
  <c r="B25" i="7"/>
  <c r="A25" i="7"/>
  <c r="T24" i="7"/>
  <c r="Q24" i="7"/>
  <c r="O24" i="7"/>
  <c r="N24" i="7"/>
  <c r="M24" i="7"/>
  <c r="L24" i="7"/>
  <c r="J24" i="7"/>
  <c r="H24" i="7"/>
  <c r="F24" i="7"/>
  <c r="E24" i="7"/>
  <c r="D24" i="7"/>
  <c r="C24" i="7"/>
  <c r="B24" i="7"/>
  <c r="A24" i="7"/>
  <c r="T23" i="7"/>
  <c r="Q23" i="7"/>
  <c r="O23" i="7"/>
  <c r="N23" i="7"/>
  <c r="M23" i="7"/>
  <c r="L23" i="7"/>
  <c r="J23" i="7"/>
  <c r="H23" i="7"/>
  <c r="F23" i="7"/>
  <c r="E23" i="7"/>
  <c r="D23" i="7"/>
  <c r="C23" i="7"/>
  <c r="B23" i="7"/>
  <c r="A23" i="7"/>
  <c r="T22" i="7"/>
  <c r="Q22" i="7"/>
  <c r="O22" i="7"/>
  <c r="N22" i="7"/>
  <c r="M22" i="7"/>
  <c r="L22" i="7"/>
  <c r="J22" i="7"/>
  <c r="H22" i="7"/>
  <c r="F22" i="7"/>
  <c r="E22" i="7"/>
  <c r="D22" i="7"/>
  <c r="C22" i="7"/>
  <c r="B22" i="7"/>
  <c r="A22" i="7"/>
  <c r="Q21" i="7"/>
  <c r="O21" i="7"/>
  <c r="N21" i="7"/>
  <c r="M21" i="7"/>
  <c r="L21" i="7"/>
  <c r="J21" i="7"/>
  <c r="H21" i="7"/>
  <c r="F21" i="7"/>
  <c r="E21" i="7"/>
  <c r="D21" i="7"/>
  <c r="C21" i="7"/>
  <c r="B21" i="7"/>
  <c r="A21" i="7"/>
  <c r="Q20" i="7"/>
  <c r="O20" i="7"/>
  <c r="N20" i="7"/>
  <c r="M20" i="7"/>
  <c r="L20" i="7"/>
  <c r="J20" i="7"/>
  <c r="H20" i="7"/>
  <c r="F18" i="7" s="1"/>
  <c r="F20" i="7"/>
  <c r="E20" i="7"/>
  <c r="D20" i="7"/>
  <c r="C20" i="7"/>
  <c r="B20" i="7"/>
  <c r="A20" i="7"/>
  <c r="U17" i="7"/>
  <c r="T17" i="7"/>
  <c r="Q17" i="7"/>
  <c r="O17" i="7"/>
  <c r="N17" i="7"/>
  <c r="M17" i="7"/>
  <c r="L17" i="7"/>
  <c r="J17" i="7"/>
  <c r="H17" i="7"/>
  <c r="F17" i="7"/>
  <c r="E17" i="7"/>
  <c r="D17" i="7"/>
  <c r="C17" i="7"/>
  <c r="B17" i="7"/>
  <c r="A17" i="7"/>
  <c r="Q16" i="7"/>
  <c r="O16" i="7"/>
  <c r="N16" i="7"/>
  <c r="M16" i="7"/>
  <c r="L16" i="7"/>
  <c r="J16" i="7"/>
  <c r="H16" i="7"/>
  <c r="F16" i="7"/>
  <c r="E16" i="7"/>
  <c r="D16" i="7"/>
  <c r="C16" i="7"/>
  <c r="B16" i="7"/>
  <c r="A16" i="7"/>
  <c r="Q15" i="7"/>
  <c r="O15" i="7"/>
  <c r="N15" i="7"/>
  <c r="M15" i="7"/>
  <c r="L15" i="7"/>
  <c r="J15" i="7"/>
  <c r="H15" i="7"/>
  <c r="F15" i="7"/>
  <c r="E15" i="7"/>
  <c r="D15" i="7"/>
  <c r="C15" i="7"/>
  <c r="B15" i="7"/>
  <c r="A15" i="7"/>
  <c r="T14" i="7"/>
  <c r="Q14" i="7"/>
  <c r="O14" i="7"/>
  <c r="N14" i="7"/>
  <c r="M14" i="7"/>
  <c r="L14" i="7"/>
  <c r="J14" i="7"/>
  <c r="H14" i="7"/>
  <c r="F14" i="7"/>
  <c r="E14" i="7"/>
  <c r="D14" i="7"/>
  <c r="C14" i="7"/>
  <c r="B14" i="7"/>
  <c r="A14" i="7"/>
  <c r="Q13" i="7"/>
  <c r="O13" i="7"/>
  <c r="N13" i="7"/>
  <c r="M13" i="7"/>
  <c r="L13" i="7"/>
  <c r="J13" i="7"/>
  <c r="H13" i="7"/>
  <c r="F13" i="7"/>
  <c r="E13" i="7"/>
  <c r="D13" i="7"/>
  <c r="C13" i="7"/>
  <c r="B13" i="7"/>
  <c r="A13" i="7"/>
  <c r="U12" i="7"/>
  <c r="T12" i="7"/>
  <c r="S12" i="7"/>
  <c r="R12" i="7"/>
  <c r="Q12" i="7"/>
  <c r="O12" i="7"/>
  <c r="N12" i="7"/>
  <c r="M12" i="7"/>
  <c r="L12" i="7"/>
  <c r="K12" i="7"/>
  <c r="J12" i="7"/>
  <c r="H12" i="7"/>
  <c r="F12" i="7"/>
  <c r="E12" i="7"/>
  <c r="D12" i="7"/>
  <c r="C12" i="7"/>
  <c r="B12" i="7"/>
  <c r="A12" i="7"/>
  <c r="Q11" i="7"/>
  <c r="O11" i="7"/>
  <c r="N11" i="7"/>
  <c r="M11" i="7"/>
  <c r="L11" i="7"/>
  <c r="J11" i="7"/>
  <c r="H11" i="7"/>
  <c r="F11" i="7"/>
  <c r="E11" i="7"/>
  <c r="D11" i="7"/>
  <c r="C11" i="7"/>
  <c r="B11" i="7"/>
  <c r="A11" i="7"/>
  <c r="U10" i="7"/>
  <c r="T10" i="7"/>
  <c r="S10" i="7"/>
  <c r="R10" i="7"/>
  <c r="Q10" i="7"/>
  <c r="O10" i="7"/>
  <c r="N10" i="7"/>
  <c r="M10" i="7"/>
  <c r="L10" i="7"/>
  <c r="K10" i="7"/>
  <c r="J10" i="7"/>
  <c r="H10" i="7"/>
  <c r="F10" i="7"/>
  <c r="E10" i="7"/>
  <c r="D10" i="7"/>
  <c r="C10" i="7"/>
  <c r="B10" i="7"/>
  <c r="A10" i="7"/>
  <c r="T9" i="7"/>
  <c r="Q9" i="7"/>
  <c r="O9" i="7"/>
  <c r="N9" i="7"/>
  <c r="M9" i="7"/>
  <c r="L9" i="7"/>
  <c r="J9" i="7"/>
  <c r="H9" i="7"/>
  <c r="F9" i="7"/>
  <c r="E9" i="7"/>
  <c r="D9" i="7"/>
  <c r="C9" i="7"/>
  <c r="B9" i="7"/>
  <c r="A9" i="7"/>
  <c r="T8" i="7"/>
  <c r="Q8" i="7"/>
  <c r="O8" i="7"/>
  <c r="N8" i="7"/>
  <c r="M8" i="7"/>
  <c r="L8" i="7"/>
  <c r="J8" i="7"/>
  <c r="H8" i="7"/>
  <c r="F8" i="7"/>
  <c r="E8" i="7"/>
  <c r="D8" i="7"/>
  <c r="C8" i="7"/>
  <c r="B8" i="7"/>
  <c r="A8" i="7"/>
  <c r="U7" i="7"/>
  <c r="T7" i="7"/>
  <c r="S7" i="7"/>
  <c r="R7" i="7"/>
  <c r="Q7" i="7"/>
  <c r="P7" i="7"/>
  <c r="O7" i="7"/>
  <c r="N7" i="7"/>
  <c r="M7" i="7"/>
  <c r="L7" i="7"/>
  <c r="K7" i="7"/>
  <c r="J7" i="7"/>
  <c r="H7" i="7"/>
  <c r="F7" i="7"/>
  <c r="E7" i="7"/>
  <c r="D7" i="7"/>
  <c r="C7" i="7"/>
  <c r="B7" i="7"/>
  <c r="A7" i="7"/>
  <c r="U6" i="7"/>
  <c r="T6" i="7"/>
  <c r="Q6" i="7"/>
  <c r="O6" i="7"/>
  <c r="N6" i="7"/>
  <c r="M6" i="7"/>
  <c r="L6" i="7"/>
  <c r="J6" i="7"/>
  <c r="H6" i="7"/>
  <c r="F6" i="7"/>
  <c r="E6" i="7"/>
  <c r="D6" i="7"/>
  <c r="C6" i="7"/>
  <c r="B6" i="7"/>
  <c r="A6" i="7"/>
  <c r="T5" i="7"/>
  <c r="Q5" i="7"/>
  <c r="O5" i="7"/>
  <c r="N5" i="7"/>
  <c r="M5" i="7"/>
  <c r="L5" i="7"/>
  <c r="J5" i="7"/>
  <c r="H5" i="7"/>
  <c r="F3" i="7" s="1"/>
  <c r="F5" i="7"/>
  <c r="E5" i="7"/>
  <c r="D5" i="7"/>
  <c r="C5" i="7"/>
  <c r="B5" i="7"/>
  <c r="A5" i="7"/>
  <c r="Q161" i="6"/>
  <c r="O161" i="6"/>
  <c r="N161" i="6"/>
  <c r="M161" i="6"/>
  <c r="L161" i="6"/>
  <c r="J161" i="6"/>
  <c r="H161" i="6"/>
  <c r="F161" i="6"/>
  <c r="E161" i="6"/>
  <c r="D161" i="6"/>
  <c r="C161" i="6"/>
  <c r="B161" i="6"/>
  <c r="A161" i="6"/>
  <c r="T160" i="6"/>
  <c r="Q160" i="6"/>
  <c r="O160" i="6"/>
  <c r="N160" i="6"/>
  <c r="M160" i="6"/>
  <c r="L160" i="6"/>
  <c r="J160" i="6"/>
  <c r="H160" i="6"/>
  <c r="F160" i="6"/>
  <c r="E160" i="6"/>
  <c r="D160" i="6"/>
  <c r="C160" i="6"/>
  <c r="B160" i="6"/>
  <c r="A160" i="6"/>
  <c r="T159" i="6"/>
  <c r="Q159" i="6"/>
  <c r="O159" i="6"/>
  <c r="N159" i="6"/>
  <c r="M159" i="6"/>
  <c r="L159" i="6"/>
  <c r="J159" i="6"/>
  <c r="H159" i="6"/>
  <c r="F159" i="6"/>
  <c r="E159" i="6"/>
  <c r="D159" i="6"/>
  <c r="C159" i="6"/>
  <c r="B159" i="6"/>
  <c r="A159" i="6"/>
  <c r="Q158" i="6"/>
  <c r="O158" i="6"/>
  <c r="N158" i="6"/>
  <c r="M158" i="6"/>
  <c r="L158" i="6"/>
  <c r="J158" i="6"/>
  <c r="H158" i="6"/>
  <c r="F158" i="6"/>
  <c r="E158" i="6"/>
  <c r="D158" i="6"/>
  <c r="C158" i="6"/>
  <c r="B158" i="6"/>
  <c r="A158" i="6"/>
  <c r="Q157" i="6"/>
  <c r="O157" i="6"/>
  <c r="N157" i="6"/>
  <c r="M157" i="6"/>
  <c r="L157" i="6"/>
  <c r="J157" i="6"/>
  <c r="H157" i="6"/>
  <c r="F157" i="6"/>
  <c r="E157" i="6"/>
  <c r="D157" i="6"/>
  <c r="C157" i="6"/>
  <c r="B157" i="6"/>
  <c r="A157" i="6"/>
  <c r="T156" i="6"/>
  <c r="Q156" i="6"/>
  <c r="O156" i="6"/>
  <c r="N156" i="6"/>
  <c r="M156" i="6"/>
  <c r="L156" i="6"/>
  <c r="J156" i="6"/>
  <c r="H156" i="6"/>
  <c r="F156" i="6"/>
  <c r="E156" i="6"/>
  <c r="D156" i="6"/>
  <c r="C156" i="6"/>
  <c r="B156" i="6"/>
  <c r="A156" i="6"/>
  <c r="Q155" i="6"/>
  <c r="O155" i="6"/>
  <c r="N155" i="6"/>
  <c r="M155" i="6"/>
  <c r="L155" i="6"/>
  <c r="J155" i="6"/>
  <c r="H155" i="6"/>
  <c r="F155" i="6"/>
  <c r="E155" i="6"/>
  <c r="D155" i="6"/>
  <c r="C155" i="6"/>
  <c r="B155" i="6"/>
  <c r="A155" i="6"/>
  <c r="T154" i="6"/>
  <c r="Q154" i="6"/>
  <c r="O154" i="6"/>
  <c r="N154" i="6"/>
  <c r="M154" i="6"/>
  <c r="L154" i="6"/>
  <c r="J154" i="6"/>
  <c r="H154" i="6"/>
  <c r="F154" i="6"/>
  <c r="E154" i="6"/>
  <c r="D154" i="6"/>
  <c r="C154" i="6"/>
  <c r="B154" i="6"/>
  <c r="A154" i="6"/>
  <c r="T153" i="6"/>
  <c r="Q153" i="6"/>
  <c r="O153" i="6"/>
  <c r="N153" i="6"/>
  <c r="M153" i="6"/>
  <c r="L153" i="6"/>
  <c r="J153" i="6"/>
  <c r="H153" i="6"/>
  <c r="F153" i="6"/>
  <c r="E153" i="6"/>
  <c r="D153" i="6"/>
  <c r="C153" i="6"/>
  <c r="B153" i="6"/>
  <c r="A153" i="6"/>
  <c r="Q152" i="6"/>
  <c r="O152" i="6"/>
  <c r="N152" i="6"/>
  <c r="M152" i="6"/>
  <c r="L152" i="6"/>
  <c r="J152" i="6"/>
  <c r="H152" i="6"/>
  <c r="F152" i="6"/>
  <c r="E152" i="6"/>
  <c r="D152" i="6"/>
  <c r="C152" i="6"/>
  <c r="B152" i="6"/>
  <c r="A152" i="6"/>
  <c r="T151" i="6"/>
  <c r="Q151" i="6"/>
  <c r="O151" i="6"/>
  <c r="N151" i="6"/>
  <c r="M151" i="6"/>
  <c r="L151" i="6"/>
  <c r="J151" i="6"/>
  <c r="H151" i="6"/>
  <c r="F151" i="6"/>
  <c r="E151" i="6"/>
  <c r="D151" i="6"/>
  <c r="C151" i="6"/>
  <c r="B151" i="6"/>
  <c r="A151" i="6"/>
  <c r="U150" i="6"/>
  <c r="T150" i="6"/>
  <c r="S150" i="6"/>
  <c r="R150" i="6"/>
  <c r="Q150" i="6"/>
  <c r="P150" i="6"/>
  <c r="O150" i="6"/>
  <c r="N150" i="6"/>
  <c r="M150" i="6"/>
  <c r="L150" i="6"/>
  <c r="K150" i="6"/>
  <c r="J150" i="6"/>
  <c r="H150" i="6"/>
  <c r="F150" i="6"/>
  <c r="F147" i="6" s="1"/>
  <c r="E150" i="6"/>
  <c r="D150" i="6"/>
  <c r="C150" i="6"/>
  <c r="B150" i="6"/>
  <c r="A150" i="6"/>
  <c r="Q146" i="6"/>
  <c r="O146" i="6"/>
  <c r="N146" i="6"/>
  <c r="M146" i="6"/>
  <c r="L146" i="6"/>
  <c r="J146" i="6"/>
  <c r="H146" i="6"/>
  <c r="F146" i="6"/>
  <c r="E146" i="6"/>
  <c r="D146" i="6"/>
  <c r="C146" i="6"/>
  <c r="B146" i="6"/>
  <c r="A146" i="6"/>
  <c r="T145" i="6"/>
  <c r="Q145" i="6"/>
  <c r="O145" i="6"/>
  <c r="N145" i="6"/>
  <c r="M145" i="6"/>
  <c r="L145" i="6"/>
  <c r="J145" i="6"/>
  <c r="H145" i="6"/>
  <c r="F145" i="6"/>
  <c r="E145" i="6"/>
  <c r="D145" i="6"/>
  <c r="C145" i="6"/>
  <c r="B145" i="6"/>
  <c r="A145" i="6"/>
  <c r="T144" i="6"/>
  <c r="Q144" i="6"/>
  <c r="O144" i="6"/>
  <c r="N144" i="6"/>
  <c r="M144" i="6"/>
  <c r="L144" i="6"/>
  <c r="J144" i="6"/>
  <c r="H144" i="6"/>
  <c r="F144" i="6"/>
  <c r="E144" i="6"/>
  <c r="D144" i="6"/>
  <c r="C144" i="6"/>
  <c r="B144" i="6"/>
  <c r="A144" i="6"/>
  <c r="Q143" i="6"/>
  <c r="O143" i="6"/>
  <c r="N143" i="6"/>
  <c r="M143" i="6"/>
  <c r="L143" i="6"/>
  <c r="J143" i="6"/>
  <c r="H143" i="6"/>
  <c r="F143" i="6"/>
  <c r="E143" i="6"/>
  <c r="D143" i="6"/>
  <c r="C143" i="6"/>
  <c r="B143" i="6"/>
  <c r="A143" i="6"/>
  <c r="U142" i="6"/>
  <c r="T142" i="6"/>
  <c r="S142" i="6"/>
  <c r="R142" i="6"/>
  <c r="Q142" i="6"/>
  <c r="P142" i="6"/>
  <c r="O142" i="6"/>
  <c r="N142" i="6"/>
  <c r="M142" i="6"/>
  <c r="L142" i="6"/>
  <c r="K142" i="6"/>
  <c r="J142" i="6"/>
  <c r="H142" i="6"/>
  <c r="F142" i="6"/>
  <c r="E142" i="6"/>
  <c r="D142" i="6"/>
  <c r="C142" i="6"/>
  <c r="B142" i="6"/>
  <c r="A142" i="6"/>
  <c r="T141" i="6"/>
  <c r="Q141" i="6"/>
  <c r="O141" i="6"/>
  <c r="N141" i="6"/>
  <c r="M141" i="6"/>
  <c r="L141" i="6"/>
  <c r="J141" i="6"/>
  <c r="H141" i="6"/>
  <c r="F141" i="6"/>
  <c r="E141" i="6"/>
  <c r="D141" i="6"/>
  <c r="C141" i="6"/>
  <c r="B141" i="6"/>
  <c r="A141" i="6"/>
  <c r="Q140" i="6"/>
  <c r="O140" i="6"/>
  <c r="N140" i="6"/>
  <c r="M140" i="6"/>
  <c r="L140" i="6"/>
  <c r="J140" i="6"/>
  <c r="H140" i="6"/>
  <c r="F140" i="6"/>
  <c r="E140" i="6"/>
  <c r="D140" i="6"/>
  <c r="C140" i="6"/>
  <c r="B140" i="6"/>
  <c r="A140" i="6"/>
  <c r="T139" i="6"/>
  <c r="Q139" i="6"/>
  <c r="O139" i="6"/>
  <c r="N139" i="6"/>
  <c r="M139" i="6"/>
  <c r="L139" i="6"/>
  <c r="J139" i="6"/>
  <c r="H139" i="6"/>
  <c r="F139" i="6"/>
  <c r="E139" i="6"/>
  <c r="D139" i="6"/>
  <c r="C139" i="6"/>
  <c r="B139" i="6"/>
  <c r="A139" i="6"/>
  <c r="T138" i="6"/>
  <c r="Q138" i="6"/>
  <c r="O138" i="6"/>
  <c r="N138" i="6"/>
  <c r="M138" i="6"/>
  <c r="L138" i="6"/>
  <c r="J138" i="6"/>
  <c r="H138" i="6"/>
  <c r="F138" i="6"/>
  <c r="E138" i="6"/>
  <c r="D138" i="6"/>
  <c r="C138" i="6"/>
  <c r="B138" i="6"/>
  <c r="A138" i="6"/>
  <c r="U137" i="6"/>
  <c r="T137" i="6"/>
  <c r="Q137" i="6"/>
  <c r="O137" i="6"/>
  <c r="N137" i="6"/>
  <c r="M137" i="6"/>
  <c r="L137" i="6"/>
  <c r="J137" i="6"/>
  <c r="H137" i="6"/>
  <c r="F137" i="6"/>
  <c r="E137" i="6"/>
  <c r="D137" i="6"/>
  <c r="C137" i="6"/>
  <c r="B137" i="6"/>
  <c r="A137" i="6"/>
  <c r="Q136" i="6"/>
  <c r="O136" i="6"/>
  <c r="N136" i="6"/>
  <c r="M136" i="6"/>
  <c r="L136" i="6"/>
  <c r="J136" i="6"/>
  <c r="H136" i="6"/>
  <c r="F136" i="6"/>
  <c r="E136" i="6"/>
  <c r="D136" i="6"/>
  <c r="C136" i="6"/>
  <c r="B136" i="6"/>
  <c r="A136" i="6"/>
  <c r="T135" i="6"/>
  <c r="Q135" i="6"/>
  <c r="O135" i="6"/>
  <c r="N135" i="6"/>
  <c r="M135" i="6"/>
  <c r="L135" i="6"/>
  <c r="J135" i="6"/>
  <c r="H135" i="6"/>
  <c r="F135" i="6"/>
  <c r="E135" i="6"/>
  <c r="D135" i="6"/>
  <c r="C135" i="6"/>
  <c r="B135" i="6"/>
  <c r="A135" i="6"/>
  <c r="Q132" i="6"/>
  <c r="O132" i="6"/>
  <c r="N132" i="6"/>
  <c r="M132" i="6"/>
  <c r="L132" i="6"/>
  <c r="J132" i="6"/>
  <c r="H132" i="6"/>
  <c r="F132" i="6"/>
  <c r="E132" i="6"/>
  <c r="D132" i="6"/>
  <c r="C132" i="6"/>
  <c r="B132" i="6"/>
  <c r="A132" i="6"/>
  <c r="T131" i="6"/>
  <c r="Q131" i="6"/>
  <c r="O131" i="6"/>
  <c r="N131" i="6"/>
  <c r="M131" i="6"/>
  <c r="L131" i="6"/>
  <c r="J131" i="6"/>
  <c r="H131" i="6"/>
  <c r="F131" i="6"/>
  <c r="E131" i="6"/>
  <c r="D131" i="6"/>
  <c r="C131" i="6"/>
  <c r="B131" i="6"/>
  <c r="A131" i="6"/>
  <c r="U130" i="6"/>
  <c r="T130" i="6"/>
  <c r="S130" i="6"/>
  <c r="R130" i="6"/>
  <c r="Q130" i="6"/>
  <c r="O130" i="6"/>
  <c r="N130" i="6"/>
  <c r="M130" i="6"/>
  <c r="L130" i="6"/>
  <c r="K130" i="6"/>
  <c r="J130" i="6"/>
  <c r="H130" i="6"/>
  <c r="F130" i="6"/>
  <c r="E130" i="6"/>
  <c r="D130" i="6"/>
  <c r="C130" i="6"/>
  <c r="B130" i="6"/>
  <c r="A130" i="6"/>
  <c r="T129" i="6"/>
  <c r="Q129" i="6"/>
  <c r="O129" i="6"/>
  <c r="N129" i="6"/>
  <c r="M129" i="6"/>
  <c r="L129" i="6"/>
  <c r="J129" i="6"/>
  <c r="H129" i="6"/>
  <c r="F129" i="6"/>
  <c r="E129" i="6"/>
  <c r="D129" i="6"/>
  <c r="C129" i="6"/>
  <c r="B129" i="6"/>
  <c r="A129" i="6"/>
  <c r="Q128" i="6"/>
  <c r="O128" i="6"/>
  <c r="M128" i="6"/>
  <c r="L128" i="6"/>
  <c r="J128" i="6"/>
  <c r="H128" i="6"/>
  <c r="F128" i="6"/>
  <c r="E128" i="6"/>
  <c r="D128" i="6"/>
  <c r="C128" i="6"/>
  <c r="B128" i="6"/>
  <c r="A128" i="6"/>
  <c r="T127" i="6"/>
  <c r="Q127" i="6"/>
  <c r="O127" i="6"/>
  <c r="M127" i="6"/>
  <c r="L127" i="6"/>
  <c r="J127" i="6"/>
  <c r="H127" i="6"/>
  <c r="F127" i="6"/>
  <c r="E127" i="6"/>
  <c r="D127" i="6"/>
  <c r="C127" i="6"/>
  <c r="B127" i="6"/>
  <c r="A127" i="6"/>
  <c r="U126" i="6"/>
  <c r="T126" i="6"/>
  <c r="S126" i="6"/>
  <c r="R126" i="6"/>
  <c r="Q126" i="6"/>
  <c r="P126" i="6"/>
  <c r="O126" i="6"/>
  <c r="N126" i="6"/>
  <c r="M126" i="6"/>
  <c r="L126" i="6"/>
  <c r="K126" i="6"/>
  <c r="J126" i="6"/>
  <c r="H126" i="6"/>
  <c r="F126" i="6"/>
  <c r="E126" i="6"/>
  <c r="D126" i="6"/>
  <c r="C126" i="6"/>
  <c r="B126" i="6"/>
  <c r="A126" i="6"/>
  <c r="T125" i="6"/>
  <c r="Q125" i="6"/>
  <c r="O125" i="6"/>
  <c r="N125" i="6"/>
  <c r="M125" i="6"/>
  <c r="L125" i="6"/>
  <c r="J125" i="6"/>
  <c r="H125" i="6"/>
  <c r="F125" i="6"/>
  <c r="E125" i="6"/>
  <c r="D125" i="6"/>
  <c r="C125" i="6"/>
  <c r="B125" i="6"/>
  <c r="A125" i="6"/>
  <c r="T124" i="6"/>
  <c r="Q124" i="6"/>
  <c r="O124" i="6"/>
  <c r="N124" i="6"/>
  <c r="M124" i="6"/>
  <c r="L124" i="6"/>
  <c r="J124" i="6"/>
  <c r="H124" i="6"/>
  <c r="F124" i="6"/>
  <c r="E124" i="6"/>
  <c r="D124" i="6"/>
  <c r="C124" i="6"/>
  <c r="B124" i="6"/>
  <c r="A124" i="6"/>
  <c r="T123" i="6"/>
  <c r="Q123" i="6"/>
  <c r="O123" i="6"/>
  <c r="N123" i="6"/>
  <c r="M123" i="6"/>
  <c r="L123" i="6"/>
  <c r="J123" i="6"/>
  <c r="H123" i="6"/>
  <c r="F123" i="6"/>
  <c r="E123" i="6"/>
  <c r="D123" i="6"/>
  <c r="C123" i="6"/>
  <c r="B123" i="6"/>
  <c r="A123" i="6"/>
  <c r="T122" i="6"/>
  <c r="Q122" i="6"/>
  <c r="O122" i="6"/>
  <c r="N122" i="6"/>
  <c r="M122" i="6"/>
  <c r="L122" i="6"/>
  <c r="J122" i="6"/>
  <c r="H122" i="6"/>
  <c r="F122" i="6"/>
  <c r="E122" i="6"/>
  <c r="D122" i="6"/>
  <c r="C122" i="6"/>
  <c r="B122" i="6"/>
  <c r="A122" i="6"/>
  <c r="T121" i="6"/>
  <c r="Q121" i="6"/>
  <c r="O121" i="6"/>
  <c r="N121" i="6"/>
  <c r="M121" i="6"/>
  <c r="L121" i="6"/>
  <c r="J121" i="6"/>
  <c r="H121" i="6"/>
  <c r="F118" i="6" s="1"/>
  <c r="F121" i="6"/>
  <c r="E121" i="6"/>
  <c r="D121" i="6"/>
  <c r="C121" i="6"/>
  <c r="B121" i="6"/>
  <c r="A121" i="6"/>
  <c r="U117" i="6"/>
  <c r="T117" i="6"/>
  <c r="S117" i="6"/>
  <c r="R117" i="6"/>
  <c r="Q117" i="6"/>
  <c r="P117" i="6"/>
  <c r="O117" i="6"/>
  <c r="N117" i="6"/>
  <c r="M117" i="6"/>
  <c r="L117" i="6"/>
  <c r="K117" i="6"/>
  <c r="J117" i="6"/>
  <c r="H117" i="6"/>
  <c r="F117" i="6"/>
  <c r="E117" i="6"/>
  <c r="D117" i="6"/>
  <c r="C117" i="6"/>
  <c r="B117" i="6"/>
  <c r="A117" i="6"/>
  <c r="Q116" i="6"/>
  <c r="O116" i="6"/>
  <c r="M116" i="6"/>
  <c r="L116" i="6"/>
  <c r="J116" i="6"/>
  <c r="H116" i="6"/>
  <c r="F116" i="6"/>
  <c r="E116" i="6"/>
  <c r="D116" i="6"/>
  <c r="C116" i="6"/>
  <c r="B116" i="6"/>
  <c r="A116" i="6"/>
  <c r="T115" i="6"/>
  <c r="Q115" i="6"/>
  <c r="O115" i="6"/>
  <c r="N115" i="6"/>
  <c r="M115" i="6"/>
  <c r="L115" i="6"/>
  <c r="J115" i="6"/>
  <c r="H115" i="6"/>
  <c r="F115" i="6"/>
  <c r="E115" i="6"/>
  <c r="D115" i="6"/>
  <c r="C115" i="6"/>
  <c r="B115" i="6"/>
  <c r="A115" i="6"/>
  <c r="Q114" i="6"/>
  <c r="O114" i="6"/>
  <c r="N114" i="6"/>
  <c r="M114" i="6"/>
  <c r="L114" i="6"/>
  <c r="J114" i="6"/>
  <c r="H114" i="6"/>
  <c r="F114" i="6"/>
  <c r="E114" i="6"/>
  <c r="D114" i="6"/>
  <c r="C114" i="6"/>
  <c r="B114" i="6"/>
  <c r="A114" i="6"/>
  <c r="Q113" i="6"/>
  <c r="O113" i="6"/>
  <c r="M113" i="6"/>
  <c r="L113" i="6"/>
  <c r="J113" i="6"/>
  <c r="H113" i="6"/>
  <c r="F113" i="6"/>
  <c r="E113" i="6"/>
  <c r="D113" i="6"/>
  <c r="C113" i="6"/>
  <c r="B113" i="6"/>
  <c r="A113" i="6"/>
  <c r="Q112" i="6"/>
  <c r="O112" i="6"/>
  <c r="M112" i="6"/>
  <c r="L112" i="6"/>
  <c r="J112" i="6"/>
  <c r="H112" i="6"/>
  <c r="F112" i="6"/>
  <c r="E112" i="6"/>
  <c r="D112" i="6"/>
  <c r="C112" i="6"/>
  <c r="B112" i="6"/>
  <c r="A112" i="6"/>
  <c r="T111" i="6"/>
  <c r="Q111" i="6"/>
  <c r="O111" i="6"/>
  <c r="N111" i="6"/>
  <c r="M111" i="6"/>
  <c r="L111" i="6"/>
  <c r="J111" i="6"/>
  <c r="H111" i="6"/>
  <c r="F111" i="6"/>
  <c r="E111" i="6"/>
  <c r="D111" i="6"/>
  <c r="C111" i="6"/>
  <c r="B111" i="6"/>
  <c r="A111" i="6"/>
  <c r="U110" i="6"/>
  <c r="T110" i="6"/>
  <c r="S110" i="6"/>
  <c r="R110" i="6"/>
  <c r="Q110" i="6"/>
  <c r="P110" i="6"/>
  <c r="O110" i="6"/>
  <c r="N110" i="6"/>
  <c r="M110" i="6"/>
  <c r="L110" i="6"/>
  <c r="K110" i="6"/>
  <c r="J110" i="6"/>
  <c r="H110" i="6"/>
  <c r="F110" i="6"/>
  <c r="E110" i="6"/>
  <c r="D110" i="6"/>
  <c r="C110" i="6"/>
  <c r="B110" i="6"/>
  <c r="A110" i="6"/>
  <c r="T109" i="6"/>
  <c r="Q109" i="6"/>
  <c r="O109" i="6"/>
  <c r="N109" i="6"/>
  <c r="M109" i="6"/>
  <c r="L109" i="6"/>
  <c r="J109" i="6"/>
  <c r="H109" i="6"/>
  <c r="F109" i="6"/>
  <c r="E109" i="6"/>
  <c r="D109" i="6"/>
  <c r="C109" i="6"/>
  <c r="B109" i="6"/>
  <c r="A109" i="6"/>
  <c r="T108" i="6"/>
  <c r="Q108" i="6"/>
  <c r="O108" i="6"/>
  <c r="N108" i="6"/>
  <c r="M108" i="6"/>
  <c r="L108" i="6"/>
  <c r="J108" i="6"/>
  <c r="H108" i="6"/>
  <c r="F108" i="6"/>
  <c r="E108" i="6"/>
  <c r="D108" i="6"/>
  <c r="C108" i="6"/>
  <c r="B108" i="6"/>
  <c r="A108" i="6"/>
  <c r="T107" i="6"/>
  <c r="Q107" i="6"/>
  <c r="O107" i="6"/>
  <c r="N107" i="6"/>
  <c r="M107" i="6"/>
  <c r="L107" i="6"/>
  <c r="J107" i="6"/>
  <c r="H107" i="6"/>
  <c r="F107" i="6"/>
  <c r="E107" i="6"/>
  <c r="D107" i="6"/>
  <c r="C107" i="6"/>
  <c r="B107" i="6"/>
  <c r="A107" i="6"/>
  <c r="T106" i="6"/>
  <c r="Q106" i="6"/>
  <c r="O106" i="6"/>
  <c r="N106" i="6"/>
  <c r="M106" i="6"/>
  <c r="L106" i="6"/>
  <c r="J106" i="6"/>
  <c r="H106" i="6"/>
  <c r="F106" i="6"/>
  <c r="E106" i="6"/>
  <c r="D106" i="6"/>
  <c r="C106" i="6"/>
  <c r="B106" i="6"/>
  <c r="A106" i="6"/>
  <c r="U105" i="6"/>
  <c r="T105" i="6"/>
  <c r="R105" i="6"/>
  <c r="Q105" i="6"/>
  <c r="O105" i="6"/>
  <c r="N105" i="6"/>
  <c r="M105" i="6"/>
  <c r="L105" i="6"/>
  <c r="K105" i="6"/>
  <c r="J105" i="6"/>
  <c r="H105" i="6"/>
  <c r="F103" i="6" s="1"/>
  <c r="F105" i="6"/>
  <c r="E105" i="6"/>
  <c r="D105" i="6"/>
  <c r="C105" i="6"/>
  <c r="B105" i="6"/>
  <c r="A105" i="6"/>
  <c r="Q102" i="6"/>
  <c r="O102" i="6"/>
  <c r="N102" i="6"/>
  <c r="M102" i="6"/>
  <c r="L102" i="6"/>
  <c r="J102" i="6"/>
  <c r="H102" i="6"/>
  <c r="F102" i="6"/>
  <c r="E102" i="6"/>
  <c r="D102" i="6"/>
  <c r="C102" i="6"/>
  <c r="B102" i="6"/>
  <c r="A102" i="6"/>
  <c r="Q101" i="6"/>
  <c r="O101" i="6"/>
  <c r="N101" i="6"/>
  <c r="M101" i="6"/>
  <c r="L101" i="6"/>
  <c r="J101" i="6"/>
  <c r="H101" i="6"/>
  <c r="F101" i="6"/>
  <c r="E101" i="6"/>
  <c r="D101" i="6"/>
  <c r="C101" i="6"/>
  <c r="B101" i="6"/>
  <c r="A101" i="6"/>
  <c r="Q100" i="6"/>
  <c r="O100" i="6"/>
  <c r="N100" i="6"/>
  <c r="M100" i="6"/>
  <c r="L100" i="6"/>
  <c r="J100" i="6"/>
  <c r="H100" i="6"/>
  <c r="F100" i="6"/>
  <c r="E100" i="6"/>
  <c r="D100" i="6"/>
  <c r="C100" i="6"/>
  <c r="B100" i="6"/>
  <c r="A100" i="6"/>
  <c r="Q99" i="6"/>
  <c r="O99" i="6"/>
  <c r="N99" i="6"/>
  <c r="M99" i="6"/>
  <c r="L99" i="6"/>
  <c r="J99" i="6"/>
  <c r="H99" i="6"/>
  <c r="F99" i="6"/>
  <c r="E99" i="6"/>
  <c r="D99" i="6"/>
  <c r="C99" i="6"/>
  <c r="B99" i="6"/>
  <c r="A99" i="6"/>
  <c r="Q98" i="6"/>
  <c r="O98" i="6"/>
  <c r="M98" i="6"/>
  <c r="L98" i="6"/>
  <c r="J98" i="6"/>
  <c r="H98" i="6"/>
  <c r="F98" i="6"/>
  <c r="E98" i="6"/>
  <c r="D98" i="6"/>
  <c r="C98" i="6"/>
  <c r="B98" i="6"/>
  <c r="A98" i="6"/>
  <c r="T97" i="6"/>
  <c r="Q97" i="6"/>
  <c r="O97" i="6"/>
  <c r="N97" i="6"/>
  <c r="M97" i="6"/>
  <c r="L97" i="6"/>
  <c r="J97" i="6"/>
  <c r="H97" i="6"/>
  <c r="F97" i="6"/>
  <c r="E97" i="6"/>
  <c r="D97" i="6"/>
  <c r="C97" i="6"/>
  <c r="B97" i="6"/>
  <c r="A97" i="6"/>
  <c r="T96" i="6"/>
  <c r="Q96" i="6"/>
  <c r="O96" i="6"/>
  <c r="N96" i="6"/>
  <c r="M96" i="6"/>
  <c r="L96" i="6"/>
  <c r="J96" i="6"/>
  <c r="H96" i="6"/>
  <c r="F96" i="6"/>
  <c r="E96" i="6"/>
  <c r="D96" i="6"/>
  <c r="C96" i="6"/>
  <c r="B96" i="6"/>
  <c r="A96" i="6"/>
  <c r="Q95" i="6"/>
  <c r="O95" i="6"/>
  <c r="N95" i="6"/>
  <c r="M95" i="6"/>
  <c r="L95" i="6"/>
  <c r="J95" i="6"/>
  <c r="H95" i="6"/>
  <c r="F95" i="6"/>
  <c r="E95" i="6"/>
  <c r="D95" i="6"/>
  <c r="C95" i="6"/>
  <c r="B95" i="6"/>
  <c r="A95" i="6"/>
  <c r="T94" i="6"/>
  <c r="Q94" i="6"/>
  <c r="O94" i="6"/>
  <c r="N94" i="6"/>
  <c r="M94" i="6"/>
  <c r="L94" i="6"/>
  <c r="J94" i="6"/>
  <c r="H94" i="6"/>
  <c r="F94" i="6"/>
  <c r="E94" i="6"/>
  <c r="D94" i="6"/>
  <c r="C94" i="6"/>
  <c r="B94" i="6"/>
  <c r="A94" i="6"/>
  <c r="U93" i="6"/>
  <c r="T93" i="6"/>
  <c r="S93" i="6"/>
  <c r="R93" i="6"/>
  <c r="Q93" i="6"/>
  <c r="P93" i="6"/>
  <c r="O93" i="6"/>
  <c r="N93" i="6"/>
  <c r="M93" i="6"/>
  <c r="L93" i="6"/>
  <c r="K93" i="6"/>
  <c r="J93" i="6"/>
  <c r="H93" i="6"/>
  <c r="F93" i="6"/>
  <c r="E93" i="6"/>
  <c r="D93" i="6"/>
  <c r="C93" i="6"/>
  <c r="B93" i="6"/>
  <c r="A93" i="6"/>
  <c r="Q92" i="6"/>
  <c r="O92" i="6"/>
  <c r="N92" i="6"/>
  <c r="M92" i="6"/>
  <c r="L92" i="6"/>
  <c r="J92" i="6"/>
  <c r="H92" i="6"/>
  <c r="F92" i="6"/>
  <c r="E92" i="6"/>
  <c r="D92" i="6"/>
  <c r="C92" i="6"/>
  <c r="B92" i="6"/>
  <c r="A92" i="6"/>
  <c r="Q91" i="6"/>
  <c r="O91" i="6"/>
  <c r="N91" i="6"/>
  <c r="M91" i="6"/>
  <c r="L91" i="6"/>
  <c r="J91" i="6"/>
  <c r="H91" i="6"/>
  <c r="F91" i="6"/>
  <c r="E91" i="6"/>
  <c r="D91" i="6"/>
  <c r="C91" i="6"/>
  <c r="B91" i="6"/>
  <c r="A91" i="6"/>
  <c r="U90" i="6"/>
  <c r="T90" i="6"/>
  <c r="S90" i="6"/>
  <c r="R90" i="6"/>
  <c r="Q90" i="6"/>
  <c r="O90" i="6"/>
  <c r="N90" i="6"/>
  <c r="M90" i="6"/>
  <c r="L90" i="6"/>
  <c r="K90" i="6"/>
  <c r="J90" i="6"/>
  <c r="H90" i="6"/>
  <c r="F89" i="6" s="1"/>
  <c r="F90" i="6"/>
  <c r="E90" i="6"/>
  <c r="D90" i="6"/>
  <c r="C90" i="6"/>
  <c r="B90" i="6"/>
  <c r="A90" i="6"/>
  <c r="T88" i="6"/>
  <c r="Q88" i="6"/>
  <c r="O88" i="6"/>
  <c r="N88" i="6"/>
  <c r="M88" i="6"/>
  <c r="L88" i="6"/>
  <c r="J88" i="6"/>
  <c r="H88" i="6"/>
  <c r="F88" i="6"/>
  <c r="E88" i="6"/>
  <c r="D88" i="6"/>
  <c r="C88" i="6"/>
  <c r="B88" i="6"/>
  <c r="A88" i="6"/>
  <c r="T87" i="6"/>
  <c r="Q87" i="6"/>
  <c r="O87" i="6"/>
  <c r="N87" i="6"/>
  <c r="M87" i="6"/>
  <c r="L87" i="6"/>
  <c r="J87" i="6"/>
  <c r="H87" i="6"/>
  <c r="F87" i="6"/>
  <c r="E87" i="6"/>
  <c r="D87" i="6"/>
  <c r="C87" i="6"/>
  <c r="B87" i="6"/>
  <c r="A87" i="6"/>
  <c r="T86" i="6"/>
  <c r="Q86" i="6"/>
  <c r="O86" i="6"/>
  <c r="N86" i="6"/>
  <c r="M86" i="6"/>
  <c r="L86" i="6"/>
  <c r="J86" i="6"/>
  <c r="H86" i="6"/>
  <c r="F86" i="6"/>
  <c r="E86" i="6"/>
  <c r="D86" i="6"/>
  <c r="C86" i="6"/>
  <c r="B86" i="6"/>
  <c r="A86" i="6"/>
  <c r="T85" i="6"/>
  <c r="Q85" i="6"/>
  <c r="O85" i="6"/>
  <c r="N85" i="6"/>
  <c r="M85" i="6"/>
  <c r="L85" i="6"/>
  <c r="J85" i="6"/>
  <c r="H85" i="6"/>
  <c r="F85" i="6"/>
  <c r="E85" i="6"/>
  <c r="D85" i="6"/>
  <c r="C85" i="6"/>
  <c r="B85" i="6"/>
  <c r="A85" i="6"/>
  <c r="Q84" i="6"/>
  <c r="O84" i="6"/>
  <c r="M84" i="6"/>
  <c r="L84" i="6"/>
  <c r="J84" i="6"/>
  <c r="H84" i="6"/>
  <c r="F84" i="6"/>
  <c r="E84" i="6"/>
  <c r="D84" i="6"/>
  <c r="C84" i="6"/>
  <c r="B84" i="6"/>
  <c r="A84" i="6"/>
  <c r="T83" i="6"/>
  <c r="Q83" i="6"/>
  <c r="O83" i="6"/>
  <c r="M83" i="6"/>
  <c r="L83" i="6"/>
  <c r="J83" i="6"/>
  <c r="H83" i="6"/>
  <c r="F83" i="6"/>
  <c r="E83" i="6"/>
  <c r="D83" i="6"/>
  <c r="C83" i="6"/>
  <c r="B83" i="6"/>
  <c r="A83" i="6"/>
  <c r="Q82" i="6"/>
  <c r="O82" i="6"/>
  <c r="N82" i="6"/>
  <c r="M82" i="6"/>
  <c r="L82" i="6"/>
  <c r="J82" i="6"/>
  <c r="H82" i="6"/>
  <c r="F82" i="6"/>
  <c r="E82" i="6"/>
  <c r="D82" i="6"/>
  <c r="C82" i="6"/>
  <c r="B82" i="6"/>
  <c r="A82" i="6"/>
  <c r="U81" i="6"/>
  <c r="T81" i="6"/>
  <c r="S81" i="6"/>
  <c r="R81" i="6"/>
  <c r="Q81" i="6"/>
  <c r="P81" i="6"/>
  <c r="O81" i="6"/>
  <c r="N81" i="6"/>
  <c r="M81" i="6"/>
  <c r="L81" i="6"/>
  <c r="K81" i="6"/>
  <c r="J81" i="6"/>
  <c r="H81" i="6"/>
  <c r="F81" i="6"/>
  <c r="E81" i="6"/>
  <c r="D81" i="6"/>
  <c r="C81" i="6"/>
  <c r="B81" i="6"/>
  <c r="A81" i="6"/>
  <c r="T80" i="6"/>
  <c r="Q80" i="6"/>
  <c r="O80" i="6"/>
  <c r="N80" i="6"/>
  <c r="M80" i="6"/>
  <c r="L80" i="6"/>
  <c r="J80" i="6"/>
  <c r="H80" i="6"/>
  <c r="F80" i="6"/>
  <c r="E80" i="6"/>
  <c r="D80" i="6"/>
  <c r="C80" i="6"/>
  <c r="B80" i="6"/>
  <c r="A80" i="6"/>
  <c r="T79" i="6"/>
  <c r="Q79" i="6"/>
  <c r="O79" i="6"/>
  <c r="N79" i="6"/>
  <c r="M79" i="6"/>
  <c r="L79" i="6"/>
  <c r="J79" i="6"/>
  <c r="H79" i="6"/>
  <c r="F79" i="6"/>
  <c r="E79" i="6"/>
  <c r="D79" i="6"/>
  <c r="C79" i="6"/>
  <c r="B79" i="6"/>
  <c r="A79" i="6"/>
  <c r="T78" i="6"/>
  <c r="Q78" i="6"/>
  <c r="O78" i="6"/>
  <c r="N78" i="6"/>
  <c r="M78" i="6"/>
  <c r="L78" i="6"/>
  <c r="J78" i="6"/>
  <c r="H78" i="6"/>
  <c r="F78" i="6"/>
  <c r="E78" i="6"/>
  <c r="D78" i="6"/>
  <c r="C78" i="6"/>
  <c r="B78" i="6"/>
  <c r="A78" i="6"/>
  <c r="U77" i="6"/>
  <c r="T77" i="6"/>
  <c r="S77" i="6"/>
  <c r="R77" i="6"/>
  <c r="Q77" i="6"/>
  <c r="O77" i="6"/>
  <c r="N77" i="6"/>
  <c r="M77" i="6"/>
  <c r="L77" i="6"/>
  <c r="K77" i="6"/>
  <c r="J77" i="6"/>
  <c r="H77" i="6"/>
  <c r="F75" i="6" s="1"/>
  <c r="F77" i="6"/>
  <c r="E77" i="6"/>
  <c r="D77" i="6"/>
  <c r="C77" i="6"/>
  <c r="B77" i="6"/>
  <c r="A77" i="6"/>
  <c r="T74" i="6"/>
  <c r="Q74" i="6"/>
  <c r="O74" i="6"/>
  <c r="N74" i="6"/>
  <c r="M74" i="6"/>
  <c r="L74" i="6"/>
  <c r="J74" i="6"/>
  <c r="H74" i="6"/>
  <c r="F74" i="6"/>
  <c r="E74" i="6"/>
  <c r="D74" i="6"/>
  <c r="C74" i="6"/>
  <c r="B74" i="6"/>
  <c r="A74" i="6"/>
  <c r="U73" i="6"/>
  <c r="T73" i="6"/>
  <c r="S73" i="6"/>
  <c r="R73" i="6"/>
  <c r="Q73" i="6"/>
  <c r="P73" i="6"/>
  <c r="O73" i="6"/>
  <c r="N73" i="6"/>
  <c r="M73" i="6"/>
  <c r="L73" i="6"/>
  <c r="K73" i="6"/>
  <c r="J73" i="6"/>
  <c r="H73" i="6"/>
  <c r="F73" i="6"/>
  <c r="E73" i="6"/>
  <c r="D73" i="6"/>
  <c r="C73" i="6"/>
  <c r="B73" i="6"/>
  <c r="A73" i="6"/>
  <c r="Q72" i="6"/>
  <c r="O72" i="6"/>
  <c r="N72" i="6"/>
  <c r="M72" i="6"/>
  <c r="L72" i="6"/>
  <c r="J72" i="6"/>
  <c r="H72" i="6"/>
  <c r="F72" i="6"/>
  <c r="E72" i="6"/>
  <c r="D72" i="6"/>
  <c r="C72" i="6"/>
  <c r="B72" i="6"/>
  <c r="A72" i="6"/>
  <c r="T71" i="6"/>
  <c r="Q71" i="6"/>
  <c r="O71" i="6"/>
  <c r="N71" i="6"/>
  <c r="M71" i="6"/>
  <c r="L71" i="6"/>
  <c r="J71" i="6"/>
  <c r="H71" i="6"/>
  <c r="F71" i="6"/>
  <c r="E71" i="6"/>
  <c r="D71" i="6"/>
  <c r="C71" i="6"/>
  <c r="B71" i="6"/>
  <c r="A71" i="6"/>
  <c r="Q70" i="6"/>
  <c r="O70" i="6"/>
  <c r="N70" i="6"/>
  <c r="M70" i="6"/>
  <c r="L70" i="6"/>
  <c r="J70" i="6"/>
  <c r="H70" i="6"/>
  <c r="F70" i="6"/>
  <c r="E70" i="6"/>
  <c r="D70" i="6"/>
  <c r="C70" i="6"/>
  <c r="B70" i="6"/>
  <c r="A70" i="6"/>
  <c r="T69" i="6"/>
  <c r="Q69" i="6"/>
  <c r="O69" i="6"/>
  <c r="N69" i="6"/>
  <c r="M69" i="6"/>
  <c r="L69" i="6"/>
  <c r="J69" i="6"/>
  <c r="H69" i="6"/>
  <c r="F69" i="6"/>
  <c r="E69" i="6"/>
  <c r="D69" i="6"/>
  <c r="C69" i="6"/>
  <c r="B69" i="6"/>
  <c r="A69" i="6"/>
  <c r="Q68" i="6"/>
  <c r="O68" i="6"/>
  <c r="N68" i="6"/>
  <c r="M68" i="6"/>
  <c r="L68" i="6"/>
  <c r="J68" i="6"/>
  <c r="H68" i="6"/>
  <c r="F68" i="6"/>
  <c r="E68" i="6"/>
  <c r="D68" i="6"/>
  <c r="C68" i="6"/>
  <c r="B68" i="6"/>
  <c r="A68" i="6"/>
  <c r="U67" i="6"/>
  <c r="T67" i="6"/>
  <c r="S67" i="6"/>
  <c r="R67" i="6"/>
  <c r="Q67" i="6"/>
  <c r="P67" i="6"/>
  <c r="O67" i="6"/>
  <c r="N67" i="6"/>
  <c r="M67" i="6"/>
  <c r="L67" i="6"/>
  <c r="J67" i="6"/>
  <c r="H67" i="6"/>
  <c r="F67" i="6"/>
  <c r="E67" i="6"/>
  <c r="D67" i="6"/>
  <c r="C67" i="6"/>
  <c r="B67" i="6"/>
  <c r="A67" i="6"/>
  <c r="T66" i="6"/>
  <c r="Q66" i="6"/>
  <c r="O66" i="6"/>
  <c r="N66" i="6"/>
  <c r="M66" i="6"/>
  <c r="L66" i="6"/>
  <c r="J66" i="6"/>
  <c r="H66" i="6"/>
  <c r="F66" i="6"/>
  <c r="E66" i="6"/>
  <c r="D66" i="6"/>
  <c r="C66" i="6"/>
  <c r="B66" i="6"/>
  <c r="A66" i="6"/>
  <c r="T65" i="6"/>
  <c r="Q65" i="6"/>
  <c r="O65" i="6"/>
  <c r="N65" i="6"/>
  <c r="M65" i="6"/>
  <c r="L65" i="6"/>
  <c r="J65" i="6"/>
  <c r="H65" i="6"/>
  <c r="F65" i="6"/>
  <c r="E65" i="6"/>
  <c r="D65" i="6"/>
  <c r="C65" i="6"/>
  <c r="B65" i="6"/>
  <c r="A65" i="6"/>
  <c r="T64" i="6"/>
  <c r="Q64" i="6"/>
  <c r="O64" i="6"/>
  <c r="N64" i="6"/>
  <c r="M64" i="6"/>
  <c r="L64" i="6"/>
  <c r="J64" i="6"/>
  <c r="H64" i="6"/>
  <c r="F64" i="6"/>
  <c r="E64" i="6"/>
  <c r="D64" i="6"/>
  <c r="C64" i="6"/>
  <c r="B64" i="6"/>
  <c r="A64" i="6"/>
  <c r="U63" i="6"/>
  <c r="T63" i="6"/>
  <c r="S63" i="6"/>
  <c r="R63" i="6"/>
  <c r="Q63" i="6"/>
  <c r="O63" i="6"/>
  <c r="N63" i="6"/>
  <c r="M63" i="6"/>
  <c r="L63" i="6"/>
  <c r="J63" i="6"/>
  <c r="H63" i="6"/>
  <c r="F60" i="6" s="1"/>
  <c r="F63" i="6"/>
  <c r="E63" i="6"/>
  <c r="D63" i="6"/>
  <c r="C63" i="6"/>
  <c r="B63" i="6"/>
  <c r="A63" i="6"/>
  <c r="Q59" i="6"/>
  <c r="O59" i="6"/>
  <c r="N59" i="6"/>
  <c r="M59" i="6"/>
  <c r="L59" i="6"/>
  <c r="J59" i="6"/>
  <c r="H59" i="6"/>
  <c r="F59" i="6"/>
  <c r="E59" i="6"/>
  <c r="D59" i="6"/>
  <c r="C59" i="6"/>
  <c r="B59" i="6"/>
  <c r="A59" i="6"/>
  <c r="Q58" i="6"/>
  <c r="O58" i="6"/>
  <c r="M58" i="6"/>
  <c r="L58" i="6"/>
  <c r="J58" i="6"/>
  <c r="H58" i="6"/>
  <c r="F58" i="6"/>
  <c r="E58" i="6"/>
  <c r="D58" i="6"/>
  <c r="C58" i="6"/>
  <c r="B58" i="6"/>
  <c r="A58" i="6"/>
  <c r="T57" i="6"/>
  <c r="Q57" i="6"/>
  <c r="O57" i="6"/>
  <c r="N57" i="6"/>
  <c r="M57" i="6"/>
  <c r="L57" i="6"/>
  <c r="J57" i="6"/>
  <c r="H57" i="6"/>
  <c r="F57" i="6"/>
  <c r="E57" i="6"/>
  <c r="D57" i="6"/>
  <c r="C57" i="6"/>
  <c r="B57" i="6"/>
  <c r="A57" i="6"/>
  <c r="T56" i="6"/>
  <c r="Q56" i="6"/>
  <c r="O56" i="6"/>
  <c r="M56" i="6"/>
  <c r="L56" i="6"/>
  <c r="J56" i="6"/>
  <c r="H56" i="6"/>
  <c r="F56" i="6"/>
  <c r="E56" i="6"/>
  <c r="D56" i="6"/>
  <c r="C56" i="6"/>
  <c r="B56" i="6"/>
  <c r="A56" i="6"/>
  <c r="Q55" i="6"/>
  <c r="O55" i="6"/>
  <c r="M55" i="6"/>
  <c r="L55" i="6"/>
  <c r="J55" i="6"/>
  <c r="H55" i="6"/>
  <c r="F55" i="6"/>
  <c r="E55" i="6"/>
  <c r="D55" i="6"/>
  <c r="C55" i="6"/>
  <c r="B55" i="6"/>
  <c r="A55" i="6"/>
  <c r="U54" i="6"/>
  <c r="T54" i="6"/>
  <c r="S54" i="6"/>
  <c r="R54" i="6"/>
  <c r="Q54" i="6"/>
  <c r="P54" i="6"/>
  <c r="O54" i="6"/>
  <c r="N54" i="6"/>
  <c r="M54" i="6"/>
  <c r="L54" i="6"/>
  <c r="J54" i="6"/>
  <c r="H54" i="6"/>
  <c r="F54" i="6"/>
  <c r="E54" i="6"/>
  <c r="D54" i="6"/>
  <c r="C54" i="6"/>
  <c r="B54" i="6"/>
  <c r="A54" i="6"/>
  <c r="Q53" i="6"/>
  <c r="O53" i="6"/>
  <c r="N53" i="6"/>
  <c r="M53" i="6"/>
  <c r="L53" i="6"/>
  <c r="J53" i="6"/>
  <c r="H53" i="6"/>
  <c r="F53" i="6"/>
  <c r="E53" i="6"/>
  <c r="D53" i="6"/>
  <c r="C53" i="6"/>
  <c r="B53" i="6"/>
  <c r="A53" i="6"/>
  <c r="Q52" i="6"/>
  <c r="O52" i="6"/>
  <c r="N52" i="6"/>
  <c r="M52" i="6"/>
  <c r="L52" i="6"/>
  <c r="J52" i="6"/>
  <c r="H52" i="6"/>
  <c r="F52" i="6"/>
  <c r="E52" i="6"/>
  <c r="D52" i="6"/>
  <c r="C52" i="6"/>
  <c r="B52" i="6"/>
  <c r="A52" i="6"/>
  <c r="T51" i="6"/>
  <c r="Q51" i="6"/>
  <c r="O51" i="6"/>
  <c r="N51" i="6"/>
  <c r="M51" i="6"/>
  <c r="L51" i="6"/>
  <c r="J51" i="6"/>
  <c r="H51" i="6"/>
  <c r="F51" i="6"/>
  <c r="E51" i="6"/>
  <c r="D51" i="6"/>
  <c r="C51" i="6"/>
  <c r="B51" i="6"/>
  <c r="A51" i="6"/>
  <c r="Q50" i="6"/>
  <c r="O50" i="6"/>
  <c r="N50" i="6"/>
  <c r="M50" i="6"/>
  <c r="L50" i="6"/>
  <c r="J50" i="6"/>
  <c r="H50" i="6"/>
  <c r="F50" i="6"/>
  <c r="E50" i="6"/>
  <c r="D50" i="6"/>
  <c r="C50" i="6"/>
  <c r="B50" i="6"/>
  <c r="A50" i="6"/>
  <c r="U49" i="6"/>
  <c r="T49" i="6"/>
  <c r="Q49" i="6"/>
  <c r="O49" i="6"/>
  <c r="N49" i="6"/>
  <c r="M49" i="6"/>
  <c r="L49" i="6"/>
  <c r="J49" i="6"/>
  <c r="H49" i="6"/>
  <c r="F49" i="6"/>
  <c r="E49" i="6"/>
  <c r="D49" i="6"/>
  <c r="C49" i="6"/>
  <c r="B49" i="6"/>
  <c r="A49" i="6"/>
  <c r="Q48" i="6"/>
  <c r="O48" i="6"/>
  <c r="N48" i="6"/>
  <c r="M48" i="6"/>
  <c r="L48" i="6"/>
  <c r="J48" i="6"/>
  <c r="H48" i="6"/>
  <c r="F48" i="6"/>
  <c r="F46" i="6" s="1"/>
  <c r="E48" i="6"/>
  <c r="D48" i="6"/>
  <c r="C48" i="6"/>
  <c r="B48" i="6"/>
  <c r="A48" i="6"/>
  <c r="Q45" i="6"/>
  <c r="O45" i="6"/>
  <c r="N45" i="6"/>
  <c r="M45" i="6"/>
  <c r="L45" i="6"/>
  <c r="J45" i="6"/>
  <c r="H45" i="6"/>
  <c r="F45" i="6"/>
  <c r="E45" i="6"/>
  <c r="D45" i="6"/>
  <c r="C45" i="6"/>
  <c r="B45" i="6"/>
  <c r="A45" i="6"/>
  <c r="Q44" i="6"/>
  <c r="O44" i="6"/>
  <c r="M44" i="6"/>
  <c r="L44" i="6"/>
  <c r="J44" i="6"/>
  <c r="H44" i="6"/>
  <c r="F44" i="6"/>
  <c r="E44" i="6"/>
  <c r="D44" i="6"/>
  <c r="C44" i="6"/>
  <c r="B44" i="6"/>
  <c r="A44" i="6"/>
  <c r="T43" i="6"/>
  <c r="Q43" i="6"/>
  <c r="O43" i="6"/>
  <c r="N43" i="6"/>
  <c r="M43" i="6"/>
  <c r="L43" i="6"/>
  <c r="J43" i="6"/>
  <c r="H43" i="6"/>
  <c r="F43" i="6"/>
  <c r="E43" i="6"/>
  <c r="D43" i="6"/>
  <c r="C43" i="6"/>
  <c r="B43" i="6"/>
  <c r="A43" i="6"/>
  <c r="T42" i="6"/>
  <c r="Q42" i="6"/>
  <c r="O42" i="6"/>
  <c r="M42" i="6"/>
  <c r="L42" i="6"/>
  <c r="J42" i="6"/>
  <c r="H42" i="6"/>
  <c r="F42" i="6"/>
  <c r="E42" i="6"/>
  <c r="D42" i="6"/>
  <c r="C42" i="6"/>
  <c r="B42" i="6"/>
  <c r="A42" i="6"/>
  <c r="T41" i="6"/>
  <c r="Q41" i="6"/>
  <c r="O41" i="6"/>
  <c r="N41" i="6"/>
  <c r="M41" i="6"/>
  <c r="L41" i="6"/>
  <c r="J41" i="6"/>
  <c r="H41" i="6"/>
  <c r="F41" i="6"/>
  <c r="E41" i="6"/>
  <c r="D41" i="6"/>
  <c r="C41" i="6"/>
  <c r="B41" i="6"/>
  <c r="A41" i="6"/>
  <c r="T40" i="6"/>
  <c r="Q40" i="6"/>
  <c r="O40" i="6"/>
  <c r="M40" i="6"/>
  <c r="L40" i="6"/>
  <c r="J40" i="6"/>
  <c r="H40" i="6"/>
  <c r="F40" i="6"/>
  <c r="E40" i="6"/>
  <c r="D40" i="6"/>
  <c r="C40" i="6"/>
  <c r="B40" i="6"/>
  <c r="A40" i="6"/>
  <c r="Q39" i="6"/>
  <c r="O39" i="6"/>
  <c r="N39" i="6"/>
  <c r="M39" i="6"/>
  <c r="L39" i="6"/>
  <c r="J39" i="6"/>
  <c r="H39" i="6"/>
  <c r="F39" i="6"/>
  <c r="E39" i="6"/>
  <c r="D39" i="6"/>
  <c r="C39" i="6"/>
  <c r="B39" i="6"/>
  <c r="A39" i="6"/>
  <c r="T38" i="6"/>
  <c r="Q38" i="6"/>
  <c r="O38" i="6"/>
  <c r="N38" i="6"/>
  <c r="M38" i="6"/>
  <c r="L38" i="6"/>
  <c r="J38" i="6"/>
  <c r="H38" i="6"/>
  <c r="F38" i="6"/>
  <c r="E38" i="6"/>
  <c r="D38" i="6"/>
  <c r="C38" i="6"/>
  <c r="B38" i="6"/>
  <c r="A38" i="6"/>
  <c r="U37" i="6"/>
  <c r="T37" i="6"/>
  <c r="S37" i="6"/>
  <c r="R37" i="6"/>
  <c r="Q37" i="6"/>
  <c r="P37" i="6"/>
  <c r="O37" i="6"/>
  <c r="N37" i="6"/>
  <c r="M37" i="6"/>
  <c r="L37" i="6"/>
  <c r="J37" i="6"/>
  <c r="H37" i="6"/>
  <c r="F37" i="6"/>
  <c r="E37" i="6"/>
  <c r="D37" i="6"/>
  <c r="C37" i="6"/>
  <c r="B37" i="6"/>
  <c r="A37" i="6"/>
  <c r="T36" i="6"/>
  <c r="Q36" i="6"/>
  <c r="O36" i="6"/>
  <c r="N36" i="6"/>
  <c r="M36" i="6"/>
  <c r="L36" i="6"/>
  <c r="J36" i="6"/>
  <c r="H36" i="6"/>
  <c r="F36" i="6"/>
  <c r="E36" i="6"/>
  <c r="D36" i="6"/>
  <c r="C36" i="6"/>
  <c r="B36" i="6"/>
  <c r="A36" i="6"/>
  <c r="Q35" i="6"/>
  <c r="O35" i="6"/>
  <c r="N35" i="6"/>
  <c r="M35" i="6"/>
  <c r="L35" i="6"/>
  <c r="J35" i="6"/>
  <c r="H35" i="6"/>
  <c r="F35" i="6"/>
  <c r="E35" i="6"/>
  <c r="D35" i="6"/>
  <c r="C35" i="6"/>
  <c r="B35" i="6"/>
  <c r="A35" i="6"/>
  <c r="U34" i="6"/>
  <c r="T34" i="6"/>
  <c r="S34" i="6"/>
  <c r="R34" i="6"/>
  <c r="Q34" i="6"/>
  <c r="O34" i="6"/>
  <c r="N34" i="6"/>
  <c r="M34" i="6"/>
  <c r="L34" i="6"/>
  <c r="J34" i="6"/>
  <c r="H34" i="6"/>
  <c r="F32" i="6" s="1"/>
  <c r="F34" i="6"/>
  <c r="E34" i="6"/>
  <c r="D34" i="6"/>
  <c r="C34" i="6"/>
  <c r="B34" i="6"/>
  <c r="A34" i="6"/>
  <c r="Q31" i="6"/>
  <c r="O31" i="6"/>
  <c r="N31" i="6"/>
  <c r="M31" i="6"/>
  <c r="L31" i="6"/>
  <c r="J31" i="6"/>
  <c r="H31" i="6"/>
  <c r="F31" i="6"/>
  <c r="E31" i="6"/>
  <c r="D31" i="6"/>
  <c r="C31" i="6"/>
  <c r="B31" i="6"/>
  <c r="A31" i="6"/>
  <c r="T30" i="6"/>
  <c r="Q30" i="6"/>
  <c r="O30" i="6"/>
  <c r="N30" i="6"/>
  <c r="M30" i="6"/>
  <c r="L30" i="6"/>
  <c r="J30" i="6"/>
  <c r="H30" i="6"/>
  <c r="F30" i="6"/>
  <c r="E30" i="6"/>
  <c r="D30" i="6"/>
  <c r="C30" i="6"/>
  <c r="B30" i="6"/>
  <c r="A30" i="6"/>
  <c r="T29" i="6"/>
  <c r="Q29" i="6"/>
  <c r="O29" i="6"/>
  <c r="N29" i="6"/>
  <c r="M29" i="6"/>
  <c r="L29" i="6"/>
  <c r="J29" i="6"/>
  <c r="H29" i="6"/>
  <c r="F29" i="6"/>
  <c r="E29" i="6"/>
  <c r="D29" i="6"/>
  <c r="C29" i="6"/>
  <c r="B29" i="6"/>
  <c r="A29" i="6"/>
  <c r="T28" i="6"/>
  <c r="Q28" i="6"/>
  <c r="O28" i="6"/>
  <c r="N28" i="6"/>
  <c r="M28" i="6"/>
  <c r="L28" i="6"/>
  <c r="J28" i="6"/>
  <c r="H28" i="6"/>
  <c r="F28" i="6"/>
  <c r="E28" i="6"/>
  <c r="D28" i="6"/>
  <c r="C28" i="6"/>
  <c r="B28" i="6"/>
  <c r="A28" i="6"/>
  <c r="T27" i="6"/>
  <c r="Q27" i="6"/>
  <c r="O27" i="6"/>
  <c r="N27" i="6"/>
  <c r="M27" i="6"/>
  <c r="L27" i="6"/>
  <c r="J27" i="6"/>
  <c r="H27" i="6"/>
  <c r="F27" i="6"/>
  <c r="E27" i="6"/>
  <c r="D27" i="6"/>
  <c r="C27" i="6"/>
  <c r="B27" i="6"/>
  <c r="A27" i="6"/>
  <c r="Q26" i="6"/>
  <c r="O26" i="6"/>
  <c r="M26" i="6"/>
  <c r="L26" i="6"/>
  <c r="J26" i="6"/>
  <c r="H26" i="6"/>
  <c r="F26" i="6"/>
  <c r="E26" i="6"/>
  <c r="D26" i="6"/>
  <c r="C26" i="6"/>
  <c r="B26" i="6"/>
  <c r="A26" i="6"/>
  <c r="Q25" i="6"/>
  <c r="O25" i="6"/>
  <c r="N25" i="6"/>
  <c r="M25" i="6"/>
  <c r="L25" i="6"/>
  <c r="J25" i="6"/>
  <c r="H25" i="6"/>
  <c r="F25" i="6"/>
  <c r="E25" i="6"/>
  <c r="D25" i="6"/>
  <c r="C25" i="6"/>
  <c r="B25" i="6"/>
  <c r="A25" i="6"/>
  <c r="T24" i="6"/>
  <c r="Q24" i="6"/>
  <c r="O24" i="6"/>
  <c r="N24" i="6"/>
  <c r="M24" i="6"/>
  <c r="L24" i="6"/>
  <c r="J24" i="6"/>
  <c r="H24" i="6"/>
  <c r="F24" i="6"/>
  <c r="E24" i="6"/>
  <c r="D24" i="6"/>
  <c r="C24" i="6"/>
  <c r="B24" i="6"/>
  <c r="A24" i="6"/>
  <c r="T23" i="6"/>
  <c r="Q23" i="6"/>
  <c r="O23" i="6"/>
  <c r="N23" i="6"/>
  <c r="M23" i="6"/>
  <c r="L23" i="6"/>
  <c r="J23" i="6"/>
  <c r="H23" i="6"/>
  <c r="F23" i="6"/>
  <c r="E23" i="6"/>
  <c r="D23" i="6"/>
  <c r="C23" i="6"/>
  <c r="B23" i="6"/>
  <c r="A23" i="6"/>
  <c r="Q22" i="6"/>
  <c r="O22" i="6"/>
  <c r="N22" i="6"/>
  <c r="M22" i="6"/>
  <c r="L22" i="6"/>
  <c r="J22" i="6"/>
  <c r="H22" i="6"/>
  <c r="F22" i="6"/>
  <c r="E22" i="6"/>
  <c r="D22" i="6"/>
  <c r="C22" i="6"/>
  <c r="B22" i="6"/>
  <c r="A22" i="6"/>
  <c r="U21" i="6"/>
  <c r="T21" i="6"/>
  <c r="S21" i="6"/>
  <c r="R21" i="6"/>
  <c r="Q21" i="6"/>
  <c r="P21" i="6"/>
  <c r="O21" i="6"/>
  <c r="N21" i="6"/>
  <c r="M21" i="6"/>
  <c r="L21" i="6"/>
  <c r="J21" i="6"/>
  <c r="H21" i="6"/>
  <c r="F21" i="6"/>
  <c r="E21" i="6"/>
  <c r="D21" i="6"/>
  <c r="C21" i="6"/>
  <c r="B21" i="6"/>
  <c r="A21" i="6"/>
  <c r="T20" i="6"/>
  <c r="Q20" i="6"/>
  <c r="O20" i="6"/>
  <c r="N20" i="6"/>
  <c r="M20" i="6"/>
  <c r="L20" i="6"/>
  <c r="J20" i="6"/>
  <c r="H20" i="6"/>
  <c r="F20" i="6"/>
  <c r="E20" i="6"/>
  <c r="D20" i="6"/>
  <c r="C20" i="6"/>
  <c r="B20" i="6"/>
  <c r="A20" i="6"/>
  <c r="U19" i="6"/>
  <c r="T19" i="6"/>
  <c r="S19" i="6"/>
  <c r="R19" i="6"/>
  <c r="Q19" i="6"/>
  <c r="O19" i="6"/>
  <c r="N19" i="6"/>
  <c r="M19" i="6"/>
  <c r="L19" i="6"/>
  <c r="J19" i="6"/>
  <c r="H19" i="6"/>
  <c r="F18" i="6" s="1"/>
  <c r="F19" i="6"/>
  <c r="E19" i="6"/>
  <c r="D19" i="6"/>
  <c r="C19" i="6"/>
  <c r="B19" i="6"/>
  <c r="A19" i="6"/>
  <c r="Q17" i="6"/>
  <c r="O17" i="6"/>
  <c r="N17" i="6"/>
  <c r="M17" i="6"/>
  <c r="L17" i="6"/>
  <c r="J17" i="6"/>
  <c r="H17" i="6"/>
  <c r="F17" i="6"/>
  <c r="E17" i="6"/>
  <c r="D17" i="6"/>
  <c r="C17" i="6"/>
  <c r="B17" i="6"/>
  <c r="A17" i="6"/>
  <c r="Q16" i="6"/>
  <c r="O16" i="6"/>
  <c r="M16" i="6"/>
  <c r="L16" i="6"/>
  <c r="J16" i="6"/>
  <c r="H16" i="6"/>
  <c r="F16" i="6"/>
  <c r="E16" i="6"/>
  <c r="D16" i="6"/>
  <c r="C16" i="6"/>
  <c r="B16" i="6"/>
  <c r="A16" i="6"/>
  <c r="T15" i="6"/>
  <c r="Q15" i="6"/>
  <c r="O15" i="6"/>
  <c r="N15" i="6"/>
  <c r="M15" i="6"/>
  <c r="L15" i="6"/>
  <c r="J15" i="6"/>
  <c r="H15" i="6"/>
  <c r="F15" i="6"/>
  <c r="E15" i="6"/>
  <c r="D15" i="6"/>
  <c r="C15" i="6"/>
  <c r="B15" i="6"/>
  <c r="A15" i="6"/>
  <c r="U14" i="6"/>
  <c r="T14" i="6"/>
  <c r="S14" i="6"/>
  <c r="R14" i="6"/>
  <c r="Q14" i="6"/>
  <c r="O14" i="6"/>
  <c r="N14" i="6"/>
  <c r="M14" i="6"/>
  <c r="L14" i="6"/>
  <c r="J14" i="6"/>
  <c r="H14" i="6"/>
  <c r="F14" i="6"/>
  <c r="E14" i="6"/>
  <c r="D14" i="6"/>
  <c r="C14" i="6"/>
  <c r="B14" i="6"/>
  <c r="A14" i="6"/>
  <c r="Q13" i="6"/>
  <c r="O13" i="6"/>
  <c r="M13" i="6"/>
  <c r="L13" i="6"/>
  <c r="J13" i="6"/>
  <c r="H13" i="6"/>
  <c r="F13" i="6"/>
  <c r="E13" i="6"/>
  <c r="D13" i="6"/>
  <c r="C13" i="6"/>
  <c r="B13" i="6"/>
  <c r="A13" i="6"/>
  <c r="T12" i="6"/>
  <c r="Q12" i="6"/>
  <c r="O12" i="6"/>
  <c r="M12" i="6"/>
  <c r="L12" i="6"/>
  <c r="J12" i="6"/>
  <c r="H12" i="6"/>
  <c r="F12" i="6"/>
  <c r="E12" i="6"/>
  <c r="D12" i="6"/>
  <c r="C12" i="6"/>
  <c r="B12" i="6"/>
  <c r="A12" i="6"/>
  <c r="Q11" i="6"/>
  <c r="O11" i="6"/>
  <c r="N11" i="6"/>
  <c r="M11" i="6"/>
  <c r="L11" i="6"/>
  <c r="J11" i="6"/>
  <c r="H11" i="6"/>
  <c r="F11" i="6"/>
  <c r="E11" i="6"/>
  <c r="D11" i="6"/>
  <c r="C11" i="6"/>
  <c r="B11" i="6"/>
  <c r="A11" i="6"/>
  <c r="U10" i="6"/>
  <c r="T10" i="6"/>
  <c r="S10" i="6"/>
  <c r="R10" i="6"/>
  <c r="Q10" i="6"/>
  <c r="P10" i="6"/>
  <c r="O10" i="6"/>
  <c r="N10" i="6"/>
  <c r="M10" i="6"/>
  <c r="L10" i="6"/>
  <c r="J10" i="6"/>
  <c r="H10" i="6"/>
  <c r="F10" i="6"/>
  <c r="E10" i="6"/>
  <c r="D10" i="6"/>
  <c r="C10" i="6"/>
  <c r="B10" i="6"/>
  <c r="A10" i="6"/>
  <c r="T9" i="6"/>
  <c r="Q9" i="6"/>
  <c r="O9" i="6"/>
  <c r="N9" i="6"/>
  <c r="M9" i="6"/>
  <c r="L9" i="6"/>
  <c r="J9" i="6"/>
  <c r="H9" i="6"/>
  <c r="F9" i="6"/>
  <c r="E9" i="6"/>
  <c r="D9" i="6"/>
  <c r="C9" i="6"/>
  <c r="B9" i="6"/>
  <c r="A9" i="6"/>
  <c r="T8" i="6"/>
  <c r="Q8" i="6"/>
  <c r="O8" i="6"/>
  <c r="N8" i="6"/>
  <c r="M8" i="6"/>
  <c r="L8" i="6"/>
  <c r="J8" i="6"/>
  <c r="H8" i="6"/>
  <c r="F8" i="6"/>
  <c r="E8" i="6"/>
  <c r="D8" i="6"/>
  <c r="C8" i="6"/>
  <c r="B8" i="6"/>
  <c r="A8" i="6"/>
  <c r="T7" i="6"/>
  <c r="Q7" i="6"/>
  <c r="O7" i="6"/>
  <c r="N7" i="6"/>
  <c r="M7" i="6"/>
  <c r="L7" i="6"/>
  <c r="J7" i="6"/>
  <c r="H7" i="6"/>
  <c r="F7" i="6"/>
  <c r="E7" i="6"/>
  <c r="D7" i="6"/>
  <c r="C7" i="6"/>
  <c r="B7" i="6"/>
  <c r="A7" i="6"/>
  <c r="U6" i="6"/>
  <c r="T6" i="6"/>
  <c r="Q6" i="6"/>
  <c r="O6" i="6"/>
  <c r="N6" i="6"/>
  <c r="M6" i="6"/>
  <c r="L6" i="6"/>
  <c r="J6" i="6"/>
  <c r="H6" i="6"/>
  <c r="F6" i="6"/>
  <c r="E6" i="6"/>
  <c r="D6" i="6"/>
  <c r="C6" i="6"/>
  <c r="B6" i="6"/>
  <c r="A6" i="6"/>
  <c r="U5" i="6"/>
  <c r="T5" i="6"/>
  <c r="Q5" i="6"/>
  <c r="P5" i="6"/>
  <c r="O5" i="6"/>
  <c r="N5" i="6"/>
  <c r="M5" i="6"/>
  <c r="L5" i="6"/>
  <c r="J5" i="6"/>
  <c r="E5" i="6"/>
  <c r="D5" i="6"/>
  <c r="Q4" i="6"/>
  <c r="O4" i="6"/>
  <c r="N4" i="6"/>
  <c r="M4" i="6"/>
  <c r="L4" i="6"/>
  <c r="J4" i="6"/>
  <c r="H4" i="6"/>
  <c r="F3" i="6" s="1"/>
  <c r="F4" i="6"/>
  <c r="E4" i="6"/>
  <c r="D4" i="6"/>
  <c r="C4" i="6"/>
  <c r="B4" i="6"/>
  <c r="A4" i="6"/>
  <c r="T201" i="4"/>
  <c r="Q201" i="4"/>
  <c r="O201" i="4"/>
  <c r="N201" i="4"/>
  <c r="M201" i="4"/>
  <c r="L201" i="4"/>
  <c r="J201" i="4"/>
  <c r="H201" i="4"/>
  <c r="F201" i="4"/>
  <c r="E201" i="4"/>
  <c r="D201" i="4"/>
  <c r="C201" i="4"/>
  <c r="B201" i="4"/>
  <c r="A201" i="4"/>
  <c r="T200" i="4"/>
  <c r="Q200" i="4"/>
  <c r="O200" i="4"/>
  <c r="N200" i="4"/>
  <c r="M200" i="4"/>
  <c r="L200" i="4"/>
  <c r="J200" i="4"/>
  <c r="H200" i="4"/>
  <c r="F200" i="4"/>
  <c r="E200" i="4"/>
  <c r="D200" i="4"/>
  <c r="C200" i="4"/>
  <c r="B200" i="4"/>
  <c r="A200" i="4"/>
  <c r="Q199" i="4"/>
  <c r="O199" i="4"/>
  <c r="N199" i="4"/>
  <c r="M199" i="4"/>
  <c r="L199" i="4"/>
  <c r="J199" i="4"/>
  <c r="H199" i="4"/>
  <c r="F199" i="4"/>
  <c r="E199" i="4"/>
  <c r="D199" i="4"/>
  <c r="C199" i="4"/>
  <c r="B199" i="4"/>
  <c r="A199" i="4"/>
  <c r="T198" i="4"/>
  <c r="Q198" i="4"/>
  <c r="O198" i="4"/>
  <c r="N198" i="4"/>
  <c r="M198" i="4"/>
  <c r="L198" i="4"/>
  <c r="J198" i="4"/>
  <c r="H198" i="4"/>
  <c r="F198" i="4"/>
  <c r="E198" i="4"/>
  <c r="D198" i="4"/>
  <c r="C198" i="4"/>
  <c r="B198" i="4"/>
  <c r="A198" i="4"/>
  <c r="U197" i="4"/>
  <c r="T197" i="4"/>
  <c r="S197" i="4"/>
  <c r="R197" i="4"/>
  <c r="Q197" i="4"/>
  <c r="P197" i="4"/>
  <c r="O197" i="4"/>
  <c r="N197" i="4"/>
  <c r="M197" i="4"/>
  <c r="L197" i="4"/>
  <c r="J197" i="4"/>
  <c r="H197" i="4"/>
  <c r="F197" i="4"/>
  <c r="E197" i="4"/>
  <c r="D197" i="4"/>
  <c r="C197" i="4"/>
  <c r="B197" i="4"/>
  <c r="A197" i="4"/>
  <c r="Q196" i="4"/>
  <c r="O196" i="4"/>
  <c r="N196" i="4"/>
  <c r="M196" i="4"/>
  <c r="L196" i="4"/>
  <c r="J196" i="4"/>
  <c r="H196" i="4"/>
  <c r="F196" i="4"/>
  <c r="E196" i="4"/>
  <c r="D196" i="4"/>
  <c r="C196" i="4"/>
  <c r="B196" i="4"/>
  <c r="A196" i="4"/>
  <c r="Q195" i="4"/>
  <c r="O195" i="4"/>
  <c r="M195" i="4"/>
  <c r="L195" i="4"/>
  <c r="J195" i="4"/>
  <c r="H195" i="4"/>
  <c r="F195" i="4"/>
  <c r="E195" i="4"/>
  <c r="D195" i="4"/>
  <c r="C195" i="4"/>
  <c r="B195" i="4"/>
  <c r="A195" i="4"/>
  <c r="T194" i="4"/>
  <c r="Q194" i="4"/>
  <c r="O194" i="4"/>
  <c r="N194" i="4"/>
  <c r="M194" i="4"/>
  <c r="L194" i="4"/>
  <c r="J194" i="4"/>
  <c r="H194" i="4"/>
  <c r="F194" i="4"/>
  <c r="E194" i="4"/>
  <c r="D194" i="4"/>
  <c r="C194" i="4"/>
  <c r="B194" i="4"/>
  <c r="A194" i="4"/>
  <c r="T193" i="4"/>
  <c r="Q193" i="4"/>
  <c r="O193" i="4"/>
  <c r="N193" i="4"/>
  <c r="M193" i="4"/>
  <c r="L193" i="4"/>
  <c r="J193" i="4"/>
  <c r="H193" i="4"/>
  <c r="F193" i="4"/>
  <c r="E193" i="4"/>
  <c r="D193" i="4"/>
  <c r="C193" i="4"/>
  <c r="B193" i="4"/>
  <c r="A193" i="4"/>
  <c r="T192" i="4"/>
  <c r="Q192" i="4"/>
  <c r="O192" i="4"/>
  <c r="N192" i="4"/>
  <c r="M192" i="4"/>
  <c r="L192" i="4"/>
  <c r="J192" i="4"/>
  <c r="H192" i="4"/>
  <c r="F192" i="4"/>
  <c r="E192" i="4"/>
  <c r="D192" i="4"/>
  <c r="C192" i="4"/>
  <c r="B192" i="4"/>
  <c r="A192" i="4"/>
  <c r="T191" i="4"/>
  <c r="Q191" i="4"/>
  <c r="O191" i="4"/>
  <c r="N191" i="4"/>
  <c r="M191" i="4"/>
  <c r="L191" i="4"/>
  <c r="J191" i="4"/>
  <c r="H191" i="4"/>
  <c r="F191" i="4"/>
  <c r="E191" i="4"/>
  <c r="D191" i="4"/>
  <c r="C191" i="4"/>
  <c r="B191" i="4"/>
  <c r="A191" i="4"/>
  <c r="Q190" i="4"/>
  <c r="O190" i="4"/>
  <c r="N190" i="4"/>
  <c r="M190" i="4"/>
  <c r="L190" i="4"/>
  <c r="J190" i="4"/>
  <c r="H190" i="4"/>
  <c r="F190" i="4"/>
  <c r="E190" i="4"/>
  <c r="D190" i="4"/>
  <c r="C190" i="4"/>
  <c r="B190" i="4"/>
  <c r="A190" i="4"/>
  <c r="U189" i="4"/>
  <c r="T189" i="4"/>
  <c r="Q189" i="4"/>
  <c r="O189" i="4"/>
  <c r="N189" i="4"/>
  <c r="M189" i="4"/>
  <c r="L189" i="4"/>
  <c r="J189" i="4"/>
  <c r="H189" i="4"/>
  <c r="F188" i="4" s="1"/>
  <c r="F189" i="4"/>
  <c r="E189" i="4"/>
  <c r="D189" i="4"/>
  <c r="C189" i="4"/>
  <c r="B189" i="4"/>
  <c r="A189" i="4"/>
  <c r="Q187" i="4"/>
  <c r="O187" i="4"/>
  <c r="N187" i="4"/>
  <c r="M187" i="4"/>
  <c r="L187" i="4"/>
  <c r="J187" i="4"/>
  <c r="H187" i="4"/>
  <c r="F187" i="4"/>
  <c r="E187" i="4"/>
  <c r="D187" i="4"/>
  <c r="C187" i="4"/>
  <c r="B187" i="4"/>
  <c r="A187" i="4"/>
  <c r="T186" i="4"/>
  <c r="Q186" i="4"/>
  <c r="O186" i="4"/>
  <c r="N186" i="4"/>
  <c r="M186" i="4"/>
  <c r="L186" i="4"/>
  <c r="J186" i="4"/>
  <c r="H186" i="4"/>
  <c r="F186" i="4"/>
  <c r="E186" i="4"/>
  <c r="D186" i="4"/>
  <c r="C186" i="4"/>
  <c r="B186" i="4"/>
  <c r="A186" i="4"/>
  <c r="T185" i="4"/>
  <c r="Q185" i="4"/>
  <c r="O185" i="4"/>
  <c r="N185" i="4"/>
  <c r="M185" i="4"/>
  <c r="L185" i="4"/>
  <c r="J185" i="4"/>
  <c r="H185" i="4"/>
  <c r="F185" i="4"/>
  <c r="E185" i="4"/>
  <c r="D185" i="4"/>
  <c r="C185" i="4"/>
  <c r="B185" i="4"/>
  <c r="A185" i="4"/>
  <c r="Q184" i="4"/>
  <c r="O184" i="4"/>
  <c r="N184" i="4"/>
  <c r="M184" i="4"/>
  <c r="L184" i="4"/>
  <c r="J184" i="4"/>
  <c r="H184" i="4"/>
  <c r="F184" i="4"/>
  <c r="E184" i="4"/>
  <c r="D184" i="4"/>
  <c r="C184" i="4"/>
  <c r="B184" i="4"/>
  <c r="A184" i="4"/>
  <c r="Q183" i="4"/>
  <c r="O183" i="4"/>
  <c r="N183" i="4"/>
  <c r="M183" i="4"/>
  <c r="L183" i="4"/>
  <c r="J183" i="4"/>
  <c r="H183" i="4"/>
  <c r="F183" i="4"/>
  <c r="E183" i="4"/>
  <c r="D183" i="4"/>
  <c r="C183" i="4"/>
  <c r="B183" i="4"/>
  <c r="A183" i="4"/>
  <c r="T182" i="4"/>
  <c r="Q182" i="4"/>
  <c r="O182" i="4"/>
  <c r="N182" i="4"/>
  <c r="M182" i="4"/>
  <c r="L182" i="4"/>
  <c r="J182" i="4"/>
  <c r="H182" i="4"/>
  <c r="F182" i="4"/>
  <c r="E182" i="4"/>
  <c r="D182" i="4"/>
  <c r="C182" i="4"/>
  <c r="B182" i="4"/>
  <c r="A182" i="4"/>
  <c r="U181" i="4"/>
  <c r="T181" i="4"/>
  <c r="S181" i="4"/>
  <c r="R181" i="4"/>
  <c r="Q181" i="4"/>
  <c r="P181" i="4"/>
  <c r="O181" i="4"/>
  <c r="N181" i="4"/>
  <c r="M181" i="4"/>
  <c r="L181" i="4"/>
  <c r="J181" i="4"/>
  <c r="H181" i="4"/>
  <c r="F181" i="4"/>
  <c r="E181" i="4"/>
  <c r="D181" i="4"/>
  <c r="C181" i="4"/>
  <c r="B181" i="4"/>
  <c r="A181" i="4"/>
  <c r="Q180" i="4"/>
  <c r="O180" i="4"/>
  <c r="N180" i="4"/>
  <c r="M180" i="4"/>
  <c r="L180" i="4"/>
  <c r="J180" i="4"/>
  <c r="H180" i="4"/>
  <c r="F180" i="4"/>
  <c r="E180" i="4"/>
  <c r="D180" i="4"/>
  <c r="C180" i="4"/>
  <c r="B180" i="4"/>
  <c r="A180" i="4"/>
  <c r="T179" i="4"/>
  <c r="Q179" i="4"/>
  <c r="O179" i="4"/>
  <c r="N179" i="4"/>
  <c r="M179" i="4"/>
  <c r="L179" i="4"/>
  <c r="J179" i="4"/>
  <c r="H179" i="4"/>
  <c r="F179" i="4"/>
  <c r="E179" i="4"/>
  <c r="D179" i="4"/>
  <c r="C179" i="4"/>
  <c r="B179" i="4"/>
  <c r="A179" i="4"/>
  <c r="Q178" i="4"/>
  <c r="O178" i="4"/>
  <c r="N178" i="4"/>
  <c r="M178" i="4"/>
  <c r="L178" i="4"/>
  <c r="J178" i="4"/>
  <c r="H178" i="4"/>
  <c r="F178" i="4"/>
  <c r="E178" i="4"/>
  <c r="D178" i="4"/>
  <c r="C178" i="4"/>
  <c r="B178" i="4"/>
  <c r="A178" i="4"/>
  <c r="T177" i="4"/>
  <c r="Q177" i="4"/>
  <c r="O177" i="4"/>
  <c r="N177" i="4"/>
  <c r="M177" i="4"/>
  <c r="L177" i="4"/>
  <c r="J177" i="4"/>
  <c r="H177" i="4"/>
  <c r="F177" i="4"/>
  <c r="E177" i="4"/>
  <c r="D177" i="4"/>
  <c r="C177" i="4"/>
  <c r="B177" i="4"/>
  <c r="A177" i="4"/>
  <c r="U176" i="4"/>
  <c r="T176" i="4"/>
  <c r="R176" i="4"/>
  <c r="Q176" i="4"/>
  <c r="O176" i="4"/>
  <c r="N176" i="4"/>
  <c r="M176" i="4"/>
  <c r="L176" i="4"/>
  <c r="J176" i="4"/>
  <c r="H176" i="4"/>
  <c r="F174" i="4" s="1"/>
  <c r="F176" i="4"/>
  <c r="E176" i="4"/>
  <c r="D176" i="4"/>
  <c r="C176" i="4"/>
  <c r="B176" i="4"/>
  <c r="A176" i="4"/>
  <c r="Q173" i="4"/>
  <c r="O173" i="4"/>
  <c r="N173" i="4"/>
  <c r="M173" i="4"/>
  <c r="L173" i="4"/>
  <c r="J173" i="4"/>
  <c r="H173" i="4"/>
  <c r="F173" i="4"/>
  <c r="E173" i="4"/>
  <c r="D173" i="4"/>
  <c r="C173" i="4"/>
  <c r="B173" i="4"/>
  <c r="A173" i="4"/>
  <c r="T172" i="4"/>
  <c r="Q172" i="4"/>
  <c r="O172" i="4"/>
  <c r="N172" i="4"/>
  <c r="M172" i="4"/>
  <c r="L172" i="4"/>
  <c r="J172" i="4"/>
  <c r="H172" i="4"/>
  <c r="F172" i="4"/>
  <c r="E172" i="4"/>
  <c r="D172" i="4"/>
  <c r="C172" i="4"/>
  <c r="B172" i="4"/>
  <c r="A172" i="4"/>
  <c r="T171" i="4"/>
  <c r="Q171" i="4"/>
  <c r="O171" i="4"/>
  <c r="N171" i="4"/>
  <c r="M171" i="4"/>
  <c r="L171" i="4"/>
  <c r="J171" i="4"/>
  <c r="H171" i="4"/>
  <c r="F171" i="4"/>
  <c r="E171" i="4"/>
  <c r="D171" i="4"/>
  <c r="C171" i="4"/>
  <c r="B171" i="4"/>
  <c r="A171" i="4"/>
  <c r="Q170" i="4"/>
  <c r="O170" i="4"/>
  <c r="M170" i="4"/>
  <c r="L170" i="4"/>
  <c r="J170" i="4"/>
  <c r="H170" i="4"/>
  <c r="F170" i="4"/>
  <c r="E170" i="4"/>
  <c r="D170" i="4"/>
  <c r="C170" i="4"/>
  <c r="B170" i="4"/>
  <c r="A170" i="4"/>
  <c r="U169" i="4"/>
  <c r="T169" i="4"/>
  <c r="S169" i="4"/>
  <c r="R169" i="4"/>
  <c r="Q169" i="4"/>
  <c r="P169" i="4"/>
  <c r="O169" i="4"/>
  <c r="N169" i="4"/>
  <c r="M169" i="4"/>
  <c r="L169" i="4"/>
  <c r="J169" i="4"/>
  <c r="H169" i="4"/>
  <c r="F169" i="4"/>
  <c r="E169" i="4"/>
  <c r="D169" i="4"/>
  <c r="C169" i="4"/>
  <c r="B169" i="4"/>
  <c r="A169" i="4"/>
  <c r="Q168" i="4"/>
  <c r="O168" i="4"/>
  <c r="N168" i="4"/>
  <c r="M168" i="4"/>
  <c r="L168" i="4"/>
  <c r="J168" i="4"/>
  <c r="H168" i="4"/>
  <c r="F168" i="4"/>
  <c r="E168" i="4"/>
  <c r="D168" i="4"/>
  <c r="C168" i="4"/>
  <c r="B168" i="4"/>
  <c r="A168" i="4"/>
  <c r="T167" i="4"/>
  <c r="Q167" i="4"/>
  <c r="O167" i="4"/>
  <c r="N167" i="4"/>
  <c r="M167" i="4"/>
  <c r="L167" i="4"/>
  <c r="J167" i="4"/>
  <c r="H167" i="4"/>
  <c r="F167" i="4"/>
  <c r="E167" i="4"/>
  <c r="D167" i="4"/>
  <c r="C167" i="4"/>
  <c r="B167" i="4"/>
  <c r="A167" i="4"/>
  <c r="Q166" i="4"/>
  <c r="O166" i="4"/>
  <c r="M166" i="4"/>
  <c r="L166" i="4"/>
  <c r="J166" i="4"/>
  <c r="H166" i="4"/>
  <c r="F166" i="4"/>
  <c r="E166" i="4"/>
  <c r="D166" i="4"/>
  <c r="C166" i="4"/>
  <c r="B166" i="4"/>
  <c r="A166" i="4"/>
  <c r="T165" i="4"/>
  <c r="Q165" i="4"/>
  <c r="O165" i="4"/>
  <c r="N165" i="4"/>
  <c r="M165" i="4"/>
  <c r="L165" i="4"/>
  <c r="J165" i="4"/>
  <c r="H165" i="4"/>
  <c r="F165" i="4"/>
  <c r="E165" i="4"/>
  <c r="D165" i="4"/>
  <c r="C165" i="4"/>
  <c r="B165" i="4"/>
  <c r="A165" i="4"/>
  <c r="T164" i="4"/>
  <c r="Q164" i="4"/>
  <c r="O164" i="4"/>
  <c r="N164" i="4"/>
  <c r="M164" i="4"/>
  <c r="L164" i="4"/>
  <c r="J164" i="4"/>
  <c r="H164" i="4"/>
  <c r="F164" i="4"/>
  <c r="E164" i="4"/>
  <c r="D164" i="4"/>
  <c r="C164" i="4"/>
  <c r="B164" i="4"/>
  <c r="A164" i="4"/>
  <c r="T163" i="4"/>
  <c r="Q163" i="4"/>
  <c r="O163" i="4"/>
  <c r="N163" i="4"/>
  <c r="M163" i="4"/>
  <c r="L163" i="4"/>
  <c r="J163" i="4"/>
  <c r="H163" i="4"/>
  <c r="F163" i="4"/>
  <c r="E163" i="4"/>
  <c r="D163" i="4"/>
  <c r="C163" i="4"/>
  <c r="B163" i="4"/>
  <c r="A163" i="4"/>
  <c r="U162" i="4"/>
  <c r="T162" i="4"/>
  <c r="S162" i="4"/>
  <c r="R162" i="4"/>
  <c r="Q162" i="4"/>
  <c r="O162" i="4"/>
  <c r="N162" i="4"/>
  <c r="M162" i="4"/>
  <c r="L162" i="4"/>
  <c r="J162" i="4"/>
  <c r="H162" i="4"/>
  <c r="F160" i="4" s="1"/>
  <c r="F162" i="4"/>
  <c r="E162" i="4"/>
  <c r="D162" i="4"/>
  <c r="C162" i="4"/>
  <c r="B162" i="4"/>
  <c r="A162" i="4"/>
  <c r="Q159" i="4"/>
  <c r="O159" i="4"/>
  <c r="N159" i="4"/>
  <c r="M159" i="4"/>
  <c r="L159" i="4"/>
  <c r="J159" i="4"/>
  <c r="H159" i="4"/>
  <c r="F159" i="4"/>
  <c r="E159" i="4"/>
  <c r="D159" i="4"/>
  <c r="C159" i="4"/>
  <c r="B159" i="4"/>
  <c r="A159" i="4"/>
  <c r="T158" i="4"/>
  <c r="Q158" i="4"/>
  <c r="O158" i="4"/>
  <c r="N158" i="4"/>
  <c r="M158" i="4"/>
  <c r="L158" i="4"/>
  <c r="J158" i="4"/>
  <c r="H158" i="4"/>
  <c r="F158" i="4"/>
  <c r="E158" i="4"/>
  <c r="D158" i="4"/>
  <c r="C158" i="4"/>
  <c r="B158" i="4"/>
  <c r="A158" i="4"/>
  <c r="T157" i="4"/>
  <c r="Q157" i="4"/>
  <c r="O157" i="4"/>
  <c r="N157" i="4"/>
  <c r="M157" i="4"/>
  <c r="L157" i="4"/>
  <c r="J157" i="4"/>
  <c r="H157" i="4"/>
  <c r="F157" i="4"/>
  <c r="E157" i="4"/>
  <c r="D157" i="4"/>
  <c r="C157" i="4"/>
  <c r="B157" i="4"/>
  <c r="A157" i="4"/>
  <c r="T156" i="4"/>
  <c r="Q156" i="4"/>
  <c r="O156" i="4"/>
  <c r="N156" i="4"/>
  <c r="M156" i="4"/>
  <c r="L156" i="4"/>
  <c r="J156" i="4"/>
  <c r="H156" i="4"/>
  <c r="F156" i="4"/>
  <c r="E156" i="4"/>
  <c r="D156" i="4"/>
  <c r="C156" i="4"/>
  <c r="B156" i="4"/>
  <c r="A156" i="4"/>
  <c r="T155" i="4"/>
  <c r="Q155" i="4"/>
  <c r="O155" i="4"/>
  <c r="N155" i="4"/>
  <c r="M155" i="4"/>
  <c r="L155" i="4"/>
  <c r="J155" i="4"/>
  <c r="H155" i="4"/>
  <c r="F155" i="4"/>
  <c r="E155" i="4"/>
  <c r="D155" i="4"/>
  <c r="C155" i="4"/>
  <c r="B155" i="4"/>
  <c r="A155" i="4"/>
  <c r="Q154" i="4"/>
  <c r="O154" i="4"/>
  <c r="N154" i="4"/>
  <c r="M154" i="4"/>
  <c r="L154" i="4"/>
  <c r="J154" i="4"/>
  <c r="H154" i="4"/>
  <c r="F154" i="4"/>
  <c r="E154" i="4"/>
  <c r="D154" i="4"/>
  <c r="C154" i="4"/>
  <c r="B154" i="4"/>
  <c r="A154" i="4"/>
  <c r="Q153" i="4"/>
  <c r="O153" i="4"/>
  <c r="N153" i="4"/>
  <c r="M153" i="4"/>
  <c r="L153" i="4"/>
  <c r="J153" i="4"/>
  <c r="H153" i="4"/>
  <c r="F153" i="4"/>
  <c r="E153" i="4"/>
  <c r="D153" i="4"/>
  <c r="C153" i="4"/>
  <c r="B153" i="4"/>
  <c r="A153" i="4"/>
  <c r="U152" i="4"/>
  <c r="T152" i="4"/>
  <c r="S152" i="4"/>
  <c r="R152" i="4"/>
  <c r="Q152" i="4"/>
  <c r="O152" i="4"/>
  <c r="N152" i="4"/>
  <c r="M152" i="4"/>
  <c r="L152" i="4"/>
  <c r="J152" i="4"/>
  <c r="H152" i="4"/>
  <c r="F152" i="4"/>
  <c r="E152" i="4"/>
  <c r="D152" i="4"/>
  <c r="C152" i="4"/>
  <c r="B152" i="4"/>
  <c r="A152" i="4"/>
  <c r="T151" i="4"/>
  <c r="Q151" i="4"/>
  <c r="O151" i="4"/>
  <c r="N151" i="4"/>
  <c r="M151" i="4"/>
  <c r="L151" i="4"/>
  <c r="J151" i="4"/>
  <c r="H151" i="4"/>
  <c r="F151" i="4"/>
  <c r="E151" i="4"/>
  <c r="D151" i="4"/>
  <c r="C151" i="4"/>
  <c r="B151" i="4"/>
  <c r="A151" i="4"/>
  <c r="T150" i="4"/>
  <c r="Q150" i="4"/>
  <c r="O150" i="4"/>
  <c r="N150" i="4"/>
  <c r="M150" i="4"/>
  <c r="L150" i="4"/>
  <c r="J150" i="4"/>
  <c r="H150" i="4"/>
  <c r="F150" i="4"/>
  <c r="E150" i="4"/>
  <c r="D150" i="4"/>
  <c r="C150" i="4"/>
  <c r="B150" i="4"/>
  <c r="A150" i="4"/>
  <c r="T149" i="4"/>
  <c r="Q149" i="4"/>
  <c r="O149" i="4"/>
  <c r="N149" i="4"/>
  <c r="M149" i="4"/>
  <c r="L149" i="4"/>
  <c r="J149" i="4"/>
  <c r="H149" i="4"/>
  <c r="F149" i="4"/>
  <c r="E149" i="4"/>
  <c r="D149" i="4"/>
  <c r="C149" i="4"/>
  <c r="B149" i="4"/>
  <c r="A149" i="4"/>
  <c r="Q148" i="4"/>
  <c r="O148" i="4"/>
  <c r="N148" i="4"/>
  <c r="M148" i="4"/>
  <c r="L148" i="4"/>
  <c r="J148" i="4"/>
  <c r="H148" i="4"/>
  <c r="F146" i="4" s="1"/>
  <c r="F148" i="4"/>
  <c r="E148" i="4"/>
  <c r="D148" i="4"/>
  <c r="C148" i="4"/>
  <c r="B148" i="4"/>
  <c r="A148" i="4"/>
  <c r="T145" i="4"/>
  <c r="Q145" i="4"/>
  <c r="O145" i="4"/>
  <c r="N145" i="4"/>
  <c r="M145" i="4"/>
  <c r="L145" i="4"/>
  <c r="J145" i="4"/>
  <c r="H145" i="4"/>
  <c r="F145" i="4"/>
  <c r="E145" i="4"/>
  <c r="D145" i="4"/>
  <c r="C145" i="4"/>
  <c r="B145" i="4"/>
  <c r="A145" i="4"/>
  <c r="T144" i="4"/>
  <c r="Q144" i="4"/>
  <c r="O144" i="4"/>
  <c r="N144" i="4"/>
  <c r="M144" i="4"/>
  <c r="L144" i="4"/>
  <c r="J144" i="4"/>
  <c r="H144" i="4"/>
  <c r="F144" i="4"/>
  <c r="E144" i="4"/>
  <c r="D144" i="4"/>
  <c r="C144" i="4"/>
  <c r="B144" i="4"/>
  <c r="A144" i="4"/>
  <c r="Q143" i="4"/>
  <c r="O143" i="4"/>
  <c r="N143" i="4"/>
  <c r="M143" i="4"/>
  <c r="L143" i="4"/>
  <c r="J143" i="4"/>
  <c r="H143" i="4"/>
  <c r="F143" i="4"/>
  <c r="E143" i="4"/>
  <c r="D143" i="4"/>
  <c r="C143" i="4"/>
  <c r="B143" i="4"/>
  <c r="A143" i="4"/>
  <c r="T142" i="4"/>
  <c r="Q142" i="4"/>
  <c r="O142" i="4"/>
  <c r="N142" i="4"/>
  <c r="M142" i="4"/>
  <c r="L142" i="4"/>
  <c r="J142" i="4"/>
  <c r="H142" i="4"/>
  <c r="F142" i="4"/>
  <c r="E142" i="4"/>
  <c r="D142" i="4"/>
  <c r="C142" i="4"/>
  <c r="B142" i="4"/>
  <c r="A142" i="4"/>
  <c r="T141" i="4"/>
  <c r="Q141" i="4"/>
  <c r="O141" i="4"/>
  <c r="N141" i="4"/>
  <c r="M141" i="4"/>
  <c r="L141" i="4"/>
  <c r="J141" i="4"/>
  <c r="H141" i="4"/>
  <c r="F141" i="4"/>
  <c r="E141" i="4"/>
  <c r="D141" i="4"/>
  <c r="C141" i="4"/>
  <c r="B141" i="4"/>
  <c r="A141" i="4"/>
  <c r="Q140" i="4"/>
  <c r="O140" i="4"/>
  <c r="N140" i="4"/>
  <c r="M140" i="4"/>
  <c r="L140" i="4"/>
  <c r="J140" i="4"/>
  <c r="H140" i="4"/>
  <c r="F140" i="4"/>
  <c r="E140" i="4"/>
  <c r="D140" i="4"/>
  <c r="C140" i="4"/>
  <c r="B140" i="4"/>
  <c r="A140" i="4"/>
  <c r="U139" i="4"/>
  <c r="T139" i="4"/>
  <c r="S139" i="4"/>
  <c r="R139" i="4"/>
  <c r="Q139" i="4"/>
  <c r="P139" i="4"/>
  <c r="O139" i="4"/>
  <c r="N139" i="4"/>
  <c r="M139" i="4"/>
  <c r="L139" i="4"/>
  <c r="J139" i="4"/>
  <c r="H139" i="4"/>
  <c r="F139" i="4"/>
  <c r="E139" i="4"/>
  <c r="D139" i="4"/>
  <c r="C139" i="4"/>
  <c r="B139" i="4"/>
  <c r="A139" i="4"/>
  <c r="Q138" i="4"/>
  <c r="O138" i="4"/>
  <c r="N138" i="4"/>
  <c r="M138" i="4"/>
  <c r="L138" i="4"/>
  <c r="J138" i="4"/>
  <c r="H138" i="4"/>
  <c r="F138" i="4"/>
  <c r="E138" i="4"/>
  <c r="D138" i="4"/>
  <c r="C138" i="4"/>
  <c r="B138" i="4"/>
  <c r="A138" i="4"/>
  <c r="T137" i="4"/>
  <c r="Q137" i="4"/>
  <c r="O137" i="4"/>
  <c r="N137" i="4"/>
  <c r="M137" i="4"/>
  <c r="L137" i="4"/>
  <c r="J137" i="4"/>
  <c r="H137" i="4"/>
  <c r="F137" i="4"/>
  <c r="E137" i="4"/>
  <c r="D137" i="4"/>
  <c r="C137" i="4"/>
  <c r="B137" i="4"/>
  <c r="A137" i="4"/>
  <c r="T136" i="4"/>
  <c r="Q136" i="4"/>
  <c r="O136" i="4"/>
  <c r="N136" i="4"/>
  <c r="M136" i="4"/>
  <c r="L136" i="4"/>
  <c r="J136" i="4"/>
  <c r="H136" i="4"/>
  <c r="F136" i="4"/>
  <c r="E136" i="4"/>
  <c r="D136" i="4"/>
  <c r="C136" i="4"/>
  <c r="B136" i="4"/>
  <c r="A136" i="4"/>
  <c r="Q135" i="4"/>
  <c r="O135" i="4"/>
  <c r="N135" i="4"/>
  <c r="M135" i="4"/>
  <c r="L135" i="4"/>
  <c r="J135" i="4"/>
  <c r="H135" i="4"/>
  <c r="F135" i="4"/>
  <c r="E135" i="4"/>
  <c r="D135" i="4"/>
  <c r="C135" i="4"/>
  <c r="B135" i="4"/>
  <c r="A135" i="4"/>
  <c r="Q134" i="4"/>
  <c r="O134" i="4"/>
  <c r="N134" i="4"/>
  <c r="M134" i="4"/>
  <c r="L134" i="4"/>
  <c r="J134" i="4"/>
  <c r="H134" i="4"/>
  <c r="F132" i="4" s="1"/>
  <c r="F134" i="4"/>
  <c r="E134" i="4"/>
  <c r="D134" i="4"/>
  <c r="C134" i="4"/>
  <c r="B134" i="4"/>
  <c r="A134" i="4"/>
  <c r="T131" i="4"/>
  <c r="Q131" i="4"/>
  <c r="O131" i="4"/>
  <c r="N131" i="4"/>
  <c r="M131" i="4"/>
  <c r="L131" i="4"/>
  <c r="J131" i="4"/>
  <c r="H131" i="4"/>
  <c r="F131" i="4"/>
  <c r="E131" i="4"/>
  <c r="D131" i="4"/>
  <c r="C131" i="4"/>
  <c r="B131" i="4"/>
  <c r="A131" i="4"/>
  <c r="T130" i="4"/>
  <c r="Q130" i="4"/>
  <c r="O130" i="4"/>
  <c r="N130" i="4"/>
  <c r="M130" i="4"/>
  <c r="L130" i="4"/>
  <c r="J130" i="4"/>
  <c r="H130" i="4"/>
  <c r="F130" i="4"/>
  <c r="E130" i="4"/>
  <c r="D130" i="4"/>
  <c r="C130" i="4"/>
  <c r="B130" i="4"/>
  <c r="A130" i="4"/>
  <c r="T129" i="4"/>
  <c r="Q129" i="4"/>
  <c r="O129" i="4"/>
  <c r="N129" i="4"/>
  <c r="M129" i="4"/>
  <c r="L129" i="4"/>
  <c r="J129" i="4"/>
  <c r="H129" i="4"/>
  <c r="F129" i="4"/>
  <c r="E129" i="4"/>
  <c r="D129" i="4"/>
  <c r="C129" i="4"/>
  <c r="B129" i="4"/>
  <c r="A129" i="4"/>
  <c r="T128" i="4"/>
  <c r="Q128" i="4"/>
  <c r="O128" i="4"/>
  <c r="N128" i="4"/>
  <c r="M128" i="4"/>
  <c r="L128" i="4"/>
  <c r="J128" i="4"/>
  <c r="H128" i="4"/>
  <c r="F128" i="4"/>
  <c r="E128" i="4"/>
  <c r="D128" i="4"/>
  <c r="C128" i="4"/>
  <c r="B128" i="4"/>
  <c r="A128" i="4"/>
  <c r="Q127" i="4"/>
  <c r="O127" i="4"/>
  <c r="N127" i="4"/>
  <c r="M127" i="4"/>
  <c r="L127" i="4"/>
  <c r="J127" i="4"/>
  <c r="H127" i="4"/>
  <c r="F127" i="4"/>
  <c r="E127" i="4"/>
  <c r="D127" i="4"/>
  <c r="C127" i="4"/>
  <c r="B127" i="4"/>
  <c r="A127" i="4"/>
  <c r="T126" i="4"/>
  <c r="Q126" i="4"/>
  <c r="O126" i="4"/>
  <c r="N126" i="4"/>
  <c r="M126" i="4"/>
  <c r="L126" i="4"/>
  <c r="J126" i="4"/>
  <c r="H126" i="4"/>
  <c r="F126" i="4"/>
  <c r="E126" i="4"/>
  <c r="D126" i="4"/>
  <c r="C126" i="4"/>
  <c r="B126" i="4"/>
  <c r="A126" i="4"/>
  <c r="U125" i="4"/>
  <c r="T125" i="4"/>
  <c r="S125" i="4"/>
  <c r="R125" i="4"/>
  <c r="Q125" i="4"/>
  <c r="P125" i="4"/>
  <c r="O125" i="4"/>
  <c r="N125" i="4"/>
  <c r="M125" i="4"/>
  <c r="L125" i="4"/>
  <c r="J125" i="4"/>
  <c r="H125" i="4"/>
  <c r="F125" i="4"/>
  <c r="E125" i="4"/>
  <c r="D125" i="4"/>
  <c r="C125" i="4"/>
  <c r="B125" i="4"/>
  <c r="A125" i="4"/>
  <c r="T124" i="4"/>
  <c r="Q124" i="4"/>
  <c r="O124" i="4"/>
  <c r="N124" i="4"/>
  <c r="M124" i="4"/>
  <c r="L124" i="4"/>
  <c r="J124" i="4"/>
  <c r="H124" i="4"/>
  <c r="F124" i="4"/>
  <c r="E124" i="4"/>
  <c r="D124" i="4"/>
  <c r="C124" i="4"/>
  <c r="B124" i="4"/>
  <c r="A124" i="4"/>
  <c r="T123" i="4"/>
  <c r="Q123" i="4"/>
  <c r="O123" i="4"/>
  <c r="N123" i="4"/>
  <c r="M123" i="4"/>
  <c r="L123" i="4"/>
  <c r="J123" i="4"/>
  <c r="H123" i="4"/>
  <c r="F123" i="4"/>
  <c r="E123" i="4"/>
  <c r="D123" i="4"/>
  <c r="C123" i="4"/>
  <c r="B123" i="4"/>
  <c r="A123" i="4"/>
  <c r="T122" i="4"/>
  <c r="Q122" i="4"/>
  <c r="O122" i="4"/>
  <c r="N122" i="4"/>
  <c r="M122" i="4"/>
  <c r="L122" i="4"/>
  <c r="J122" i="4"/>
  <c r="H122" i="4"/>
  <c r="F122" i="4"/>
  <c r="E122" i="4"/>
  <c r="D122" i="4"/>
  <c r="C122" i="4"/>
  <c r="B122" i="4"/>
  <c r="A122" i="4"/>
  <c r="U121" i="4"/>
  <c r="T121" i="4"/>
  <c r="S121" i="4"/>
  <c r="R121" i="4"/>
  <c r="Q121" i="4"/>
  <c r="O121" i="4"/>
  <c r="N121" i="4"/>
  <c r="M121" i="4"/>
  <c r="L121" i="4"/>
  <c r="J121" i="4"/>
  <c r="H121" i="4"/>
  <c r="F121" i="4"/>
  <c r="E121" i="4"/>
  <c r="D121" i="4"/>
  <c r="C121" i="4"/>
  <c r="B121" i="4"/>
  <c r="A121" i="4"/>
  <c r="Q120" i="4"/>
  <c r="O120" i="4"/>
  <c r="N120" i="4"/>
  <c r="M120" i="4"/>
  <c r="L120" i="4"/>
  <c r="J120" i="4"/>
  <c r="H120" i="4"/>
  <c r="F120" i="4"/>
  <c r="E120" i="4"/>
  <c r="D120" i="4"/>
  <c r="C120" i="4"/>
  <c r="B120" i="4"/>
  <c r="A120" i="4"/>
  <c r="F117" i="4"/>
  <c r="A119" i="4"/>
  <c r="T116" i="4"/>
  <c r="Q116" i="4"/>
  <c r="O116" i="4"/>
  <c r="N116" i="4"/>
  <c r="M116" i="4"/>
  <c r="L116" i="4"/>
  <c r="J116" i="4"/>
  <c r="H116" i="4"/>
  <c r="F116" i="4"/>
  <c r="E116" i="4"/>
  <c r="D116" i="4"/>
  <c r="C116" i="4"/>
  <c r="B116" i="4"/>
  <c r="A116" i="4"/>
  <c r="T115" i="4"/>
  <c r="Q115" i="4"/>
  <c r="O115" i="4"/>
  <c r="N115" i="4"/>
  <c r="M115" i="4"/>
  <c r="L115" i="4"/>
  <c r="J115" i="4"/>
  <c r="H115" i="4"/>
  <c r="F115" i="4"/>
  <c r="E115" i="4"/>
  <c r="D115" i="4"/>
  <c r="C115" i="4"/>
  <c r="B115" i="4"/>
  <c r="A115" i="4"/>
  <c r="Q114" i="4"/>
  <c r="O114" i="4"/>
  <c r="N114" i="4"/>
  <c r="M114" i="4"/>
  <c r="L114" i="4"/>
  <c r="J114" i="4"/>
  <c r="H114" i="4"/>
  <c r="F114" i="4"/>
  <c r="E114" i="4"/>
  <c r="D114" i="4"/>
  <c r="C114" i="4"/>
  <c r="B114" i="4"/>
  <c r="A114" i="4"/>
  <c r="Q113" i="4"/>
  <c r="O113" i="4"/>
  <c r="N113" i="4"/>
  <c r="M113" i="4"/>
  <c r="L113" i="4"/>
  <c r="J113" i="4"/>
  <c r="H113" i="4"/>
  <c r="F113" i="4"/>
  <c r="E113" i="4"/>
  <c r="D113" i="4"/>
  <c r="C113" i="4"/>
  <c r="B113" i="4"/>
  <c r="A113" i="4"/>
  <c r="T112" i="4"/>
  <c r="Q112" i="4"/>
  <c r="O112" i="4"/>
  <c r="N112" i="4"/>
  <c r="M112" i="4"/>
  <c r="L112" i="4"/>
  <c r="J112" i="4"/>
  <c r="H112" i="4"/>
  <c r="F112" i="4"/>
  <c r="E112" i="4"/>
  <c r="D112" i="4"/>
  <c r="C112" i="4"/>
  <c r="B112" i="4"/>
  <c r="A112" i="4"/>
  <c r="U111" i="4"/>
  <c r="T111" i="4"/>
  <c r="S111" i="4"/>
  <c r="R111" i="4"/>
  <c r="Q111" i="4"/>
  <c r="P111" i="4"/>
  <c r="O111" i="4"/>
  <c r="N111" i="4"/>
  <c r="M111" i="4"/>
  <c r="L111" i="4"/>
  <c r="J111" i="4"/>
  <c r="H111" i="4"/>
  <c r="F111" i="4"/>
  <c r="E111" i="4"/>
  <c r="D111" i="4"/>
  <c r="C111" i="4"/>
  <c r="B111" i="4"/>
  <c r="A111" i="4"/>
  <c r="T110" i="4"/>
  <c r="Q110" i="4"/>
  <c r="O110" i="4"/>
  <c r="N110" i="4"/>
  <c r="M110" i="4"/>
  <c r="L110" i="4"/>
  <c r="J110" i="4"/>
  <c r="H110" i="4"/>
  <c r="F110" i="4"/>
  <c r="E110" i="4"/>
  <c r="D110" i="4"/>
  <c r="C110" i="4"/>
  <c r="B110" i="4"/>
  <c r="A110" i="4"/>
  <c r="Q109" i="4"/>
  <c r="O109" i="4"/>
  <c r="N109" i="4"/>
  <c r="M109" i="4"/>
  <c r="L109" i="4"/>
  <c r="J109" i="4"/>
  <c r="H109" i="4"/>
  <c r="F109" i="4"/>
  <c r="E109" i="4"/>
  <c r="D109" i="4"/>
  <c r="C109" i="4"/>
  <c r="B109" i="4"/>
  <c r="A109" i="4"/>
  <c r="T108" i="4"/>
  <c r="Q108" i="4"/>
  <c r="O108" i="4"/>
  <c r="N108" i="4"/>
  <c r="M108" i="4"/>
  <c r="L108" i="4"/>
  <c r="J108" i="4"/>
  <c r="H108" i="4"/>
  <c r="F108" i="4"/>
  <c r="E108" i="4"/>
  <c r="D108" i="4"/>
  <c r="C108" i="4"/>
  <c r="B108" i="4"/>
  <c r="A108" i="4"/>
  <c r="U107" i="4"/>
  <c r="T107" i="4"/>
  <c r="S107" i="4"/>
  <c r="R107" i="4"/>
  <c r="Q107" i="4"/>
  <c r="P107" i="4"/>
  <c r="O107" i="4"/>
  <c r="N107" i="4"/>
  <c r="M107" i="4"/>
  <c r="L107" i="4"/>
  <c r="J107" i="4"/>
  <c r="H107" i="4"/>
  <c r="F107" i="4"/>
  <c r="E107" i="4"/>
  <c r="D107" i="4"/>
  <c r="C107" i="4"/>
  <c r="B107" i="4"/>
  <c r="A107" i="4"/>
  <c r="T106" i="4"/>
  <c r="Q106" i="4"/>
  <c r="O106" i="4"/>
  <c r="N106" i="4"/>
  <c r="M106" i="4"/>
  <c r="L106" i="4"/>
  <c r="J106" i="4"/>
  <c r="H106" i="4"/>
  <c r="F106" i="4"/>
  <c r="E106" i="4"/>
  <c r="D106" i="4"/>
  <c r="C106" i="4"/>
  <c r="B106" i="4"/>
  <c r="A106" i="4"/>
  <c r="Q105" i="4"/>
  <c r="O105" i="4"/>
  <c r="N105" i="4"/>
  <c r="M105" i="4"/>
  <c r="L105" i="4"/>
  <c r="J105" i="4"/>
  <c r="H105" i="4"/>
  <c r="F105" i="4"/>
  <c r="E105" i="4"/>
  <c r="D105" i="4"/>
  <c r="C105" i="4"/>
  <c r="B105" i="4"/>
  <c r="A105" i="4"/>
  <c r="U104" i="4"/>
  <c r="T104" i="4"/>
  <c r="Q104" i="4"/>
  <c r="O104" i="4"/>
  <c r="N104" i="4"/>
  <c r="M104" i="4"/>
  <c r="L104" i="4"/>
  <c r="J104" i="4"/>
  <c r="H104" i="4"/>
  <c r="F102" i="4" s="1"/>
  <c r="F104" i="4"/>
  <c r="E104" i="4"/>
  <c r="D104" i="4"/>
  <c r="C104" i="4"/>
  <c r="B104" i="4"/>
  <c r="A104" i="4"/>
  <c r="T101" i="4"/>
  <c r="Q101" i="4"/>
  <c r="O101" i="4"/>
  <c r="N101" i="4"/>
  <c r="M101" i="4"/>
  <c r="L101" i="4"/>
  <c r="J101" i="4"/>
  <c r="H101" i="4"/>
  <c r="F101" i="4"/>
  <c r="E101" i="4"/>
  <c r="D101" i="4"/>
  <c r="C101" i="4"/>
  <c r="B101" i="4"/>
  <c r="A101" i="4"/>
  <c r="Q100" i="4"/>
  <c r="O100" i="4"/>
  <c r="M100" i="4"/>
  <c r="L100" i="4"/>
  <c r="J100" i="4"/>
  <c r="H100" i="4"/>
  <c r="F100" i="4"/>
  <c r="E100" i="4"/>
  <c r="D100" i="4"/>
  <c r="C100" i="4"/>
  <c r="B100" i="4"/>
  <c r="A100" i="4"/>
  <c r="T99" i="4"/>
  <c r="Q99" i="4"/>
  <c r="O99" i="4"/>
  <c r="N99" i="4"/>
  <c r="M99" i="4"/>
  <c r="L99" i="4"/>
  <c r="J99" i="4"/>
  <c r="H99" i="4"/>
  <c r="F99" i="4"/>
  <c r="E99" i="4"/>
  <c r="D99" i="4"/>
  <c r="C99" i="4"/>
  <c r="B99" i="4"/>
  <c r="A99" i="4"/>
  <c r="Q98" i="4"/>
  <c r="O98" i="4"/>
  <c r="N98" i="4"/>
  <c r="M98" i="4"/>
  <c r="L98" i="4"/>
  <c r="J98" i="4"/>
  <c r="H98" i="4"/>
  <c r="F98" i="4"/>
  <c r="E98" i="4"/>
  <c r="D98" i="4"/>
  <c r="C98" i="4"/>
  <c r="B98" i="4"/>
  <c r="A98" i="4"/>
  <c r="Q97" i="4"/>
  <c r="O97" i="4"/>
  <c r="N97" i="4"/>
  <c r="M97" i="4"/>
  <c r="L97" i="4"/>
  <c r="J97" i="4"/>
  <c r="H97" i="4"/>
  <c r="F97" i="4"/>
  <c r="E97" i="4"/>
  <c r="D97" i="4"/>
  <c r="C97" i="4"/>
  <c r="B97" i="4"/>
  <c r="A97" i="4"/>
  <c r="Q96" i="4"/>
  <c r="O96" i="4"/>
  <c r="N96" i="4"/>
  <c r="M96" i="4"/>
  <c r="L96" i="4"/>
  <c r="J96" i="4"/>
  <c r="H96" i="4"/>
  <c r="F96" i="4"/>
  <c r="E96" i="4"/>
  <c r="D96" i="4"/>
  <c r="C96" i="4"/>
  <c r="B96" i="4"/>
  <c r="A96" i="4"/>
  <c r="T95" i="4"/>
  <c r="Q95" i="4"/>
  <c r="O95" i="4"/>
  <c r="M95" i="4"/>
  <c r="L95" i="4"/>
  <c r="J95" i="4"/>
  <c r="H95" i="4"/>
  <c r="F95" i="4"/>
  <c r="E95" i="4"/>
  <c r="D95" i="4"/>
  <c r="C95" i="4"/>
  <c r="B95" i="4"/>
  <c r="A95" i="4"/>
  <c r="U94" i="4"/>
  <c r="T94" i="4"/>
  <c r="S94" i="4"/>
  <c r="R94" i="4"/>
  <c r="Q94" i="4"/>
  <c r="P94" i="4"/>
  <c r="O94" i="4"/>
  <c r="N94" i="4"/>
  <c r="M94" i="4"/>
  <c r="L94" i="4"/>
  <c r="J94" i="4"/>
  <c r="H94" i="4"/>
  <c r="F94" i="4"/>
  <c r="E94" i="4"/>
  <c r="D94" i="4"/>
  <c r="C94" i="4"/>
  <c r="B94" i="4"/>
  <c r="A94" i="4"/>
  <c r="T93" i="4"/>
  <c r="Q93" i="4"/>
  <c r="O93" i="4"/>
  <c r="N93" i="4"/>
  <c r="M93" i="4"/>
  <c r="L93" i="4"/>
  <c r="J93" i="4"/>
  <c r="H93" i="4"/>
  <c r="F93" i="4"/>
  <c r="E93" i="4"/>
  <c r="D93" i="4"/>
  <c r="C93" i="4"/>
  <c r="B93" i="4"/>
  <c r="A93" i="4"/>
  <c r="Q92" i="4"/>
  <c r="O92" i="4"/>
  <c r="N92" i="4"/>
  <c r="M92" i="4"/>
  <c r="L92" i="4"/>
  <c r="J92" i="4"/>
  <c r="H92" i="4"/>
  <c r="F92" i="4"/>
  <c r="E92" i="4"/>
  <c r="D92" i="4"/>
  <c r="C92" i="4"/>
  <c r="B92" i="4"/>
  <c r="A92" i="4"/>
  <c r="Q91" i="4"/>
  <c r="O91" i="4"/>
  <c r="N91" i="4"/>
  <c r="M91" i="4"/>
  <c r="L91" i="4"/>
  <c r="J91" i="4"/>
  <c r="H91" i="4"/>
  <c r="F91" i="4"/>
  <c r="E91" i="4"/>
  <c r="D91" i="4"/>
  <c r="C91" i="4"/>
  <c r="B91" i="4"/>
  <c r="A91" i="4"/>
  <c r="U90" i="4"/>
  <c r="T90" i="4"/>
  <c r="S90" i="4"/>
  <c r="R90" i="4"/>
  <c r="Q90" i="4"/>
  <c r="O90" i="4"/>
  <c r="N90" i="4"/>
  <c r="M90" i="4"/>
  <c r="L90" i="4"/>
  <c r="J90" i="4"/>
  <c r="H90" i="4"/>
  <c r="F88" i="4" s="1"/>
  <c r="F90" i="4"/>
  <c r="E90" i="4"/>
  <c r="D90" i="4"/>
  <c r="C90" i="4"/>
  <c r="B90" i="4"/>
  <c r="A90" i="4"/>
  <c r="Q87" i="4"/>
  <c r="O87" i="4"/>
  <c r="N87" i="4"/>
  <c r="M87" i="4"/>
  <c r="L87" i="4"/>
  <c r="J87" i="4"/>
  <c r="H87" i="4"/>
  <c r="F87" i="4"/>
  <c r="E87" i="4"/>
  <c r="D87" i="4"/>
  <c r="C87" i="4"/>
  <c r="B87" i="4"/>
  <c r="A87" i="4"/>
  <c r="T86" i="4"/>
  <c r="Q86" i="4"/>
  <c r="O86" i="4"/>
  <c r="M86" i="4"/>
  <c r="L86" i="4"/>
  <c r="J86" i="4"/>
  <c r="H86" i="4"/>
  <c r="F86" i="4"/>
  <c r="E86" i="4"/>
  <c r="D86" i="4"/>
  <c r="C86" i="4"/>
  <c r="B86" i="4"/>
  <c r="A86" i="4"/>
  <c r="T85" i="4"/>
  <c r="Q85" i="4"/>
  <c r="O85" i="4"/>
  <c r="N85" i="4"/>
  <c r="M85" i="4"/>
  <c r="L85" i="4"/>
  <c r="J85" i="4"/>
  <c r="H85" i="4"/>
  <c r="F85" i="4"/>
  <c r="E85" i="4"/>
  <c r="D85" i="4"/>
  <c r="C85" i="4"/>
  <c r="B85" i="4"/>
  <c r="A85" i="4"/>
  <c r="Q84" i="4"/>
  <c r="O84" i="4"/>
  <c r="M84" i="4"/>
  <c r="L84" i="4"/>
  <c r="J84" i="4"/>
  <c r="H84" i="4"/>
  <c r="F84" i="4"/>
  <c r="E84" i="4"/>
  <c r="D84" i="4"/>
  <c r="C84" i="4"/>
  <c r="B84" i="4"/>
  <c r="A84" i="4"/>
  <c r="Q83" i="4"/>
  <c r="O83" i="4"/>
  <c r="N83" i="4"/>
  <c r="M83" i="4"/>
  <c r="L83" i="4"/>
  <c r="J83" i="4"/>
  <c r="H83" i="4"/>
  <c r="F83" i="4"/>
  <c r="E83" i="4"/>
  <c r="D83" i="4"/>
  <c r="C83" i="4"/>
  <c r="B83" i="4"/>
  <c r="A83" i="4"/>
  <c r="U82" i="4"/>
  <c r="T82" i="4"/>
  <c r="S82" i="4"/>
  <c r="R82" i="4"/>
  <c r="Q82" i="4"/>
  <c r="P82" i="4"/>
  <c r="O82" i="4"/>
  <c r="N82" i="4"/>
  <c r="M82" i="4"/>
  <c r="L82" i="4"/>
  <c r="J82" i="4"/>
  <c r="H82" i="4"/>
  <c r="F82" i="4"/>
  <c r="E82" i="4"/>
  <c r="D82" i="4"/>
  <c r="C82" i="4"/>
  <c r="B82" i="4"/>
  <c r="A82" i="4"/>
  <c r="Q81" i="4"/>
  <c r="O81" i="4"/>
  <c r="M81" i="4"/>
  <c r="L81" i="4"/>
  <c r="J81" i="4"/>
  <c r="H81" i="4"/>
  <c r="F81" i="4"/>
  <c r="E81" i="4"/>
  <c r="D81" i="4"/>
  <c r="C81" i="4"/>
  <c r="B81" i="4"/>
  <c r="A81" i="4"/>
  <c r="Q80" i="4"/>
  <c r="O80" i="4"/>
  <c r="N80" i="4"/>
  <c r="M80" i="4"/>
  <c r="L80" i="4"/>
  <c r="J80" i="4"/>
  <c r="H80" i="4"/>
  <c r="F80" i="4"/>
  <c r="E80" i="4"/>
  <c r="D80" i="4"/>
  <c r="C80" i="4"/>
  <c r="B80" i="4"/>
  <c r="A80" i="4"/>
  <c r="T79" i="4"/>
  <c r="Q79" i="4"/>
  <c r="O79" i="4"/>
  <c r="N79" i="4"/>
  <c r="M79" i="4"/>
  <c r="L79" i="4"/>
  <c r="J79" i="4"/>
  <c r="H79" i="4"/>
  <c r="F79" i="4"/>
  <c r="E79" i="4"/>
  <c r="D79" i="4"/>
  <c r="C79" i="4"/>
  <c r="B79" i="4"/>
  <c r="A79" i="4"/>
  <c r="Q78" i="4"/>
  <c r="O78" i="4"/>
  <c r="N78" i="4"/>
  <c r="M78" i="4"/>
  <c r="L78" i="4"/>
  <c r="J78" i="4"/>
  <c r="H78" i="4"/>
  <c r="F78" i="4"/>
  <c r="E78" i="4"/>
  <c r="D78" i="4"/>
  <c r="C78" i="4"/>
  <c r="B78" i="4"/>
  <c r="A78" i="4"/>
  <c r="Q77" i="4"/>
  <c r="O77" i="4"/>
  <c r="N77" i="4"/>
  <c r="M77" i="4"/>
  <c r="L77" i="4"/>
  <c r="J77" i="4"/>
  <c r="H77" i="4"/>
  <c r="F77" i="4"/>
  <c r="E77" i="4"/>
  <c r="D77" i="4"/>
  <c r="C77" i="4"/>
  <c r="B77" i="4"/>
  <c r="A77" i="4"/>
  <c r="T76" i="4"/>
  <c r="Q76" i="4"/>
  <c r="O76" i="4"/>
  <c r="N76" i="4"/>
  <c r="M76" i="4"/>
  <c r="L76" i="4"/>
  <c r="J76" i="4"/>
  <c r="H76" i="4"/>
  <c r="F74" i="4" s="1"/>
  <c r="F76" i="4"/>
  <c r="E76" i="4"/>
  <c r="D76" i="4"/>
  <c r="C76" i="4"/>
  <c r="B76" i="4"/>
  <c r="A76" i="4"/>
  <c r="T73" i="4"/>
  <c r="Q73" i="4"/>
  <c r="O73" i="4"/>
  <c r="N73" i="4"/>
  <c r="M73" i="4"/>
  <c r="L73" i="4"/>
  <c r="J73" i="4"/>
  <c r="H73" i="4"/>
  <c r="F73" i="4"/>
  <c r="E73" i="4"/>
  <c r="D73" i="4"/>
  <c r="C73" i="4"/>
  <c r="B73" i="4"/>
  <c r="A73" i="4"/>
  <c r="Q72" i="4"/>
  <c r="O72" i="4"/>
  <c r="N72" i="4"/>
  <c r="M72" i="4"/>
  <c r="L72" i="4"/>
  <c r="J72" i="4"/>
  <c r="H72" i="4"/>
  <c r="F72" i="4"/>
  <c r="E72" i="4"/>
  <c r="D72" i="4"/>
  <c r="C72" i="4"/>
  <c r="B72" i="4"/>
  <c r="A72" i="4"/>
  <c r="Q71" i="4"/>
  <c r="O71" i="4"/>
  <c r="N71" i="4"/>
  <c r="M71" i="4"/>
  <c r="L71" i="4"/>
  <c r="J71" i="4"/>
  <c r="H71" i="4"/>
  <c r="F71" i="4"/>
  <c r="E71" i="4"/>
  <c r="D71" i="4"/>
  <c r="C71" i="4"/>
  <c r="B71" i="4"/>
  <c r="A71" i="4"/>
  <c r="Q70" i="4"/>
  <c r="O70" i="4"/>
  <c r="N70" i="4"/>
  <c r="M70" i="4"/>
  <c r="L70" i="4"/>
  <c r="J70" i="4"/>
  <c r="H70" i="4"/>
  <c r="F70" i="4"/>
  <c r="E70" i="4"/>
  <c r="D70" i="4"/>
  <c r="C70" i="4"/>
  <c r="B70" i="4"/>
  <c r="A70" i="4"/>
  <c r="Q69" i="4"/>
  <c r="O69" i="4"/>
  <c r="N69" i="4"/>
  <c r="M69" i="4"/>
  <c r="L69" i="4"/>
  <c r="J69" i="4"/>
  <c r="H69" i="4"/>
  <c r="F69" i="4"/>
  <c r="E69" i="4"/>
  <c r="D69" i="4"/>
  <c r="C69" i="4"/>
  <c r="B69" i="4"/>
  <c r="A69" i="4"/>
  <c r="U68" i="4"/>
  <c r="T68" i="4"/>
  <c r="S68" i="4"/>
  <c r="R68" i="4"/>
  <c r="Q68" i="4"/>
  <c r="P68" i="4"/>
  <c r="O68" i="4"/>
  <c r="N68" i="4"/>
  <c r="M68" i="4"/>
  <c r="L68" i="4"/>
  <c r="K68" i="4"/>
  <c r="J68" i="4"/>
  <c r="H68" i="4"/>
  <c r="F68" i="4"/>
  <c r="E68" i="4"/>
  <c r="D68" i="4"/>
  <c r="C68" i="4"/>
  <c r="B68" i="4"/>
  <c r="A68" i="4"/>
  <c r="Q67" i="4"/>
  <c r="O67" i="4"/>
  <c r="N67" i="4"/>
  <c r="M67" i="4"/>
  <c r="L67" i="4"/>
  <c r="J67" i="4"/>
  <c r="H67" i="4"/>
  <c r="F67" i="4"/>
  <c r="E67" i="4"/>
  <c r="D67" i="4"/>
  <c r="C67" i="4"/>
  <c r="B67" i="4"/>
  <c r="A67" i="4"/>
  <c r="T66" i="4"/>
  <c r="Q66" i="4"/>
  <c r="O66" i="4"/>
  <c r="N66" i="4"/>
  <c r="M66" i="4"/>
  <c r="L66" i="4"/>
  <c r="J66" i="4"/>
  <c r="H66" i="4"/>
  <c r="F66" i="4"/>
  <c r="E66" i="4"/>
  <c r="D66" i="4"/>
  <c r="C66" i="4"/>
  <c r="B66" i="4"/>
  <c r="A66" i="4"/>
  <c r="T65" i="4"/>
  <c r="Q65" i="4"/>
  <c r="O65" i="4"/>
  <c r="N65" i="4"/>
  <c r="M65" i="4"/>
  <c r="L65" i="4"/>
  <c r="J65" i="4"/>
  <c r="H65" i="4"/>
  <c r="F65" i="4"/>
  <c r="E65" i="4"/>
  <c r="D65" i="4"/>
  <c r="C65" i="4"/>
  <c r="B65" i="4"/>
  <c r="A65" i="4"/>
  <c r="Q64" i="4"/>
  <c r="O64" i="4"/>
  <c r="N64" i="4"/>
  <c r="M64" i="4"/>
  <c r="L64" i="4"/>
  <c r="J64" i="4"/>
  <c r="H64" i="4"/>
  <c r="F64" i="4"/>
  <c r="E64" i="4"/>
  <c r="D64" i="4"/>
  <c r="C64" i="4"/>
  <c r="B64" i="4"/>
  <c r="A64" i="4"/>
  <c r="Q63" i="4"/>
  <c r="O63" i="4"/>
  <c r="N63" i="4"/>
  <c r="M63" i="4"/>
  <c r="L63" i="4"/>
  <c r="J63" i="4"/>
  <c r="H63" i="4"/>
  <c r="F63" i="4"/>
  <c r="E63" i="4"/>
  <c r="D63" i="4"/>
  <c r="C63" i="4"/>
  <c r="B63" i="4"/>
  <c r="A63" i="4"/>
  <c r="Q62" i="4"/>
  <c r="O62" i="4"/>
  <c r="N62" i="4"/>
  <c r="M62" i="4"/>
  <c r="L62" i="4"/>
  <c r="J62" i="4"/>
  <c r="H62" i="4"/>
  <c r="F60" i="4" s="1"/>
  <c r="F62" i="4"/>
  <c r="E62" i="4"/>
  <c r="D62" i="4"/>
  <c r="C62" i="4"/>
  <c r="B62" i="4"/>
  <c r="A62" i="4"/>
  <c r="Q59" i="4"/>
  <c r="O59" i="4"/>
  <c r="N59" i="4"/>
  <c r="M59" i="4"/>
  <c r="L59" i="4"/>
  <c r="J59" i="4"/>
  <c r="H59" i="4"/>
  <c r="F59" i="4"/>
  <c r="E59" i="4"/>
  <c r="D59" i="4"/>
  <c r="C59" i="4"/>
  <c r="B59" i="4"/>
  <c r="A59" i="4"/>
  <c r="T58" i="4"/>
  <c r="Q58" i="4"/>
  <c r="O58" i="4"/>
  <c r="N58" i="4"/>
  <c r="M58" i="4"/>
  <c r="L58" i="4"/>
  <c r="J58" i="4"/>
  <c r="H58" i="4"/>
  <c r="F58" i="4"/>
  <c r="E58" i="4"/>
  <c r="D58" i="4"/>
  <c r="C58" i="4"/>
  <c r="B58" i="4"/>
  <c r="A58" i="4"/>
  <c r="T57" i="4"/>
  <c r="Q57" i="4"/>
  <c r="O57" i="4"/>
  <c r="N57" i="4"/>
  <c r="M57" i="4"/>
  <c r="L57" i="4"/>
  <c r="J57" i="4"/>
  <c r="H57" i="4"/>
  <c r="F57" i="4"/>
  <c r="E57" i="4"/>
  <c r="D57" i="4"/>
  <c r="C57" i="4"/>
  <c r="B57" i="4"/>
  <c r="A57" i="4"/>
  <c r="T56" i="4"/>
  <c r="Q56" i="4"/>
  <c r="O56" i="4"/>
  <c r="N56" i="4"/>
  <c r="M56" i="4"/>
  <c r="L56" i="4"/>
  <c r="J56" i="4"/>
  <c r="H56" i="4"/>
  <c r="F56" i="4"/>
  <c r="E56" i="4"/>
  <c r="D56" i="4"/>
  <c r="C56" i="4"/>
  <c r="B56" i="4"/>
  <c r="A56" i="4"/>
  <c r="U55" i="4"/>
  <c r="T55" i="4"/>
  <c r="S55" i="4"/>
  <c r="R55" i="4"/>
  <c r="Q55" i="4"/>
  <c r="P55" i="4"/>
  <c r="O55" i="4"/>
  <c r="N55" i="4"/>
  <c r="M55" i="4"/>
  <c r="L55" i="4"/>
  <c r="K55" i="4"/>
  <c r="J55" i="4"/>
  <c r="H55" i="4"/>
  <c r="F55" i="4"/>
  <c r="E55" i="4"/>
  <c r="D55" i="4"/>
  <c r="C55" i="4"/>
  <c r="B55" i="4"/>
  <c r="A55" i="4"/>
  <c r="T54" i="4"/>
  <c r="Q54" i="4"/>
  <c r="O54" i="4"/>
  <c r="N54" i="4"/>
  <c r="M54" i="4"/>
  <c r="L54" i="4"/>
  <c r="J54" i="4"/>
  <c r="H54" i="4"/>
  <c r="F54" i="4"/>
  <c r="E54" i="4"/>
  <c r="D54" i="4"/>
  <c r="C54" i="4"/>
  <c r="B54" i="4"/>
  <c r="A54" i="4"/>
  <c r="T53" i="4"/>
  <c r="Q53" i="4"/>
  <c r="O53" i="4"/>
  <c r="N53" i="4"/>
  <c r="M53" i="4"/>
  <c r="L53" i="4"/>
  <c r="J53" i="4"/>
  <c r="H53" i="4"/>
  <c r="F53" i="4"/>
  <c r="E53" i="4"/>
  <c r="D53" i="4"/>
  <c r="C53" i="4"/>
  <c r="B53" i="4"/>
  <c r="A53" i="4"/>
  <c r="Q52" i="4"/>
  <c r="O52" i="4"/>
  <c r="M52" i="4"/>
  <c r="L52" i="4"/>
  <c r="J52" i="4"/>
  <c r="H52" i="4"/>
  <c r="F52" i="4"/>
  <c r="E52" i="4"/>
  <c r="D52" i="4"/>
  <c r="C52" i="4"/>
  <c r="B52" i="4"/>
  <c r="A52" i="4"/>
  <c r="T51" i="4"/>
  <c r="Q51" i="4"/>
  <c r="O51" i="4"/>
  <c r="N51" i="4"/>
  <c r="M51" i="4"/>
  <c r="L51" i="4"/>
  <c r="J51" i="4"/>
  <c r="H51" i="4"/>
  <c r="F51" i="4"/>
  <c r="E51" i="4"/>
  <c r="D51" i="4"/>
  <c r="C51" i="4"/>
  <c r="B51" i="4"/>
  <c r="A51" i="4"/>
  <c r="Q50" i="4"/>
  <c r="O50" i="4"/>
  <c r="N50" i="4"/>
  <c r="M50" i="4"/>
  <c r="L50" i="4"/>
  <c r="J50" i="4"/>
  <c r="H50" i="4"/>
  <c r="F50" i="4"/>
  <c r="E50" i="4"/>
  <c r="D50" i="4"/>
  <c r="C50" i="4"/>
  <c r="B50" i="4"/>
  <c r="A50" i="4"/>
  <c r="T49" i="4"/>
  <c r="Q49" i="4"/>
  <c r="O49" i="4"/>
  <c r="N49" i="4"/>
  <c r="M49" i="4"/>
  <c r="L49" i="4"/>
  <c r="J49" i="4"/>
  <c r="H49" i="4"/>
  <c r="F49" i="4"/>
  <c r="E49" i="4"/>
  <c r="D49" i="4"/>
  <c r="C49" i="4"/>
  <c r="B49" i="4"/>
  <c r="A49" i="4"/>
  <c r="T48" i="4"/>
  <c r="Q48" i="4"/>
  <c r="O48" i="4"/>
  <c r="N48" i="4"/>
  <c r="M48" i="4"/>
  <c r="L48" i="4"/>
  <c r="J48" i="4"/>
  <c r="H48" i="4"/>
  <c r="F48" i="4"/>
  <c r="F46" i="4" s="1"/>
  <c r="E48" i="4"/>
  <c r="D48" i="4"/>
  <c r="C48" i="4"/>
  <c r="B48" i="4"/>
  <c r="A48" i="4"/>
  <c r="T45" i="4"/>
  <c r="Q45" i="4"/>
  <c r="O45" i="4"/>
  <c r="N45" i="4"/>
  <c r="M45" i="4"/>
  <c r="L45" i="4"/>
  <c r="J45" i="4"/>
  <c r="H45" i="4"/>
  <c r="F45" i="4"/>
  <c r="E45" i="4"/>
  <c r="D45" i="4"/>
  <c r="C45" i="4"/>
  <c r="B45" i="4"/>
  <c r="A45" i="4"/>
  <c r="Q44" i="4"/>
  <c r="O44" i="4"/>
  <c r="M44" i="4"/>
  <c r="L44" i="4"/>
  <c r="J44" i="4"/>
  <c r="H44" i="4"/>
  <c r="F44" i="4"/>
  <c r="E44" i="4"/>
  <c r="D44" i="4"/>
  <c r="C44" i="4"/>
  <c r="B44" i="4"/>
  <c r="A44" i="4"/>
  <c r="Q43" i="4"/>
  <c r="O43" i="4"/>
  <c r="N43" i="4"/>
  <c r="M43" i="4"/>
  <c r="L43" i="4"/>
  <c r="J43" i="4"/>
  <c r="H43" i="4"/>
  <c r="F43" i="4"/>
  <c r="E43" i="4"/>
  <c r="D43" i="4"/>
  <c r="C43" i="4"/>
  <c r="B43" i="4"/>
  <c r="A43" i="4"/>
  <c r="Q42" i="4"/>
  <c r="O42" i="4"/>
  <c r="M42" i="4"/>
  <c r="L42" i="4"/>
  <c r="J42" i="4"/>
  <c r="H42" i="4"/>
  <c r="F42" i="4"/>
  <c r="E42" i="4"/>
  <c r="D42" i="4"/>
  <c r="C42" i="4"/>
  <c r="B42" i="4"/>
  <c r="A42" i="4"/>
  <c r="Q41" i="4"/>
  <c r="O41" i="4"/>
  <c r="N41" i="4"/>
  <c r="M41" i="4"/>
  <c r="L41" i="4"/>
  <c r="J41" i="4"/>
  <c r="H41" i="4"/>
  <c r="F41" i="4"/>
  <c r="E41" i="4"/>
  <c r="D41" i="4"/>
  <c r="C41" i="4"/>
  <c r="B41" i="4"/>
  <c r="A41" i="4"/>
  <c r="Q40" i="4"/>
  <c r="O40" i="4"/>
  <c r="N40" i="4"/>
  <c r="M40" i="4"/>
  <c r="L40" i="4"/>
  <c r="J40" i="4"/>
  <c r="H40" i="4"/>
  <c r="F40" i="4"/>
  <c r="E40" i="4"/>
  <c r="D40" i="4"/>
  <c r="C40" i="4"/>
  <c r="B40" i="4"/>
  <c r="A40" i="4"/>
  <c r="U39" i="4"/>
  <c r="T39" i="4"/>
  <c r="S39" i="4"/>
  <c r="R39" i="4"/>
  <c r="Q39" i="4"/>
  <c r="P39" i="4"/>
  <c r="O39" i="4"/>
  <c r="N39" i="4"/>
  <c r="M39" i="4"/>
  <c r="L39" i="4"/>
  <c r="K39" i="4"/>
  <c r="J39" i="4"/>
  <c r="H39" i="4"/>
  <c r="F39" i="4"/>
  <c r="E39" i="4"/>
  <c r="D39" i="4"/>
  <c r="C39" i="4"/>
  <c r="B39" i="4"/>
  <c r="A39" i="4"/>
  <c r="Q38" i="4"/>
  <c r="O38" i="4"/>
  <c r="N38" i="4"/>
  <c r="M38" i="4"/>
  <c r="L38" i="4"/>
  <c r="J38" i="4"/>
  <c r="H38" i="4"/>
  <c r="F38" i="4"/>
  <c r="E38" i="4"/>
  <c r="D38" i="4"/>
  <c r="C38" i="4"/>
  <c r="B38" i="4"/>
  <c r="A38" i="4"/>
  <c r="T37" i="4"/>
  <c r="Q37" i="4"/>
  <c r="O37" i="4"/>
  <c r="N37" i="4"/>
  <c r="M37" i="4"/>
  <c r="L37" i="4"/>
  <c r="J37" i="4"/>
  <c r="H37" i="4"/>
  <c r="F37" i="4"/>
  <c r="E37" i="4"/>
  <c r="D37" i="4"/>
  <c r="C37" i="4"/>
  <c r="B37" i="4"/>
  <c r="A37" i="4"/>
  <c r="Q36" i="4"/>
  <c r="O36" i="4"/>
  <c r="N36" i="4"/>
  <c r="M36" i="4"/>
  <c r="L36" i="4"/>
  <c r="J36" i="4"/>
  <c r="H36" i="4"/>
  <c r="F36" i="4"/>
  <c r="E36" i="4"/>
  <c r="D36" i="4"/>
  <c r="C36" i="4"/>
  <c r="B36" i="4"/>
  <c r="A36" i="4"/>
  <c r="Q35" i="4"/>
  <c r="O35" i="4"/>
  <c r="N35" i="4"/>
  <c r="M35" i="4"/>
  <c r="L35" i="4"/>
  <c r="J35" i="4"/>
  <c r="H35" i="4"/>
  <c r="F35" i="4"/>
  <c r="E35" i="4"/>
  <c r="D35" i="4"/>
  <c r="C35" i="4"/>
  <c r="B35" i="4"/>
  <c r="A35" i="4"/>
  <c r="Q34" i="4"/>
  <c r="O34" i="4"/>
  <c r="N34" i="4"/>
  <c r="M34" i="4"/>
  <c r="L34" i="4"/>
  <c r="J34" i="4"/>
  <c r="H34" i="4"/>
  <c r="F34" i="4"/>
  <c r="E34" i="4"/>
  <c r="D34" i="4"/>
  <c r="C34" i="4"/>
  <c r="B34" i="4"/>
  <c r="A34" i="4"/>
  <c r="U33" i="4"/>
  <c r="T33" i="4"/>
  <c r="Q33" i="4"/>
  <c r="O33" i="4"/>
  <c r="N33" i="4"/>
  <c r="M33" i="4"/>
  <c r="L33" i="4"/>
  <c r="J33" i="4"/>
  <c r="H33" i="4"/>
  <c r="F32" i="4" s="1"/>
  <c r="F33" i="4"/>
  <c r="E33" i="4"/>
  <c r="D33" i="4"/>
  <c r="C33" i="4"/>
  <c r="B33" i="4"/>
  <c r="A33" i="4"/>
  <c r="Q31" i="4"/>
  <c r="O31" i="4"/>
  <c r="N31" i="4"/>
  <c r="M31" i="4"/>
  <c r="L31" i="4"/>
  <c r="J31" i="4"/>
  <c r="H31" i="4"/>
  <c r="F31" i="4"/>
  <c r="E31" i="4"/>
  <c r="D31" i="4"/>
  <c r="C31" i="4"/>
  <c r="B31" i="4"/>
  <c r="A31" i="4"/>
  <c r="T30" i="4"/>
  <c r="Q30" i="4"/>
  <c r="O30" i="4"/>
  <c r="M30" i="4"/>
  <c r="L30" i="4"/>
  <c r="J30" i="4"/>
  <c r="H30" i="4"/>
  <c r="F30" i="4"/>
  <c r="E30" i="4"/>
  <c r="D30" i="4"/>
  <c r="C30" i="4"/>
  <c r="B30" i="4"/>
  <c r="A30" i="4"/>
  <c r="Q29" i="4"/>
  <c r="O29" i="4"/>
  <c r="N29" i="4"/>
  <c r="M29" i="4"/>
  <c r="L29" i="4"/>
  <c r="J29" i="4"/>
  <c r="H29" i="4"/>
  <c r="F29" i="4"/>
  <c r="E29" i="4"/>
  <c r="D29" i="4"/>
  <c r="C29" i="4"/>
  <c r="B29" i="4"/>
  <c r="A29" i="4"/>
  <c r="T28" i="4"/>
  <c r="Q28" i="4"/>
  <c r="O28" i="4"/>
  <c r="N28" i="4"/>
  <c r="M28" i="4"/>
  <c r="L28" i="4"/>
  <c r="J28" i="4"/>
  <c r="H28" i="4"/>
  <c r="F28" i="4"/>
  <c r="E28" i="4"/>
  <c r="D28" i="4"/>
  <c r="C28" i="4"/>
  <c r="B28" i="4"/>
  <c r="A28" i="4"/>
  <c r="U27" i="4"/>
  <c r="T27" i="4"/>
  <c r="S27" i="4"/>
  <c r="R27" i="4"/>
  <c r="Q27" i="4"/>
  <c r="O27" i="4"/>
  <c r="N27" i="4"/>
  <c r="M27" i="4"/>
  <c r="L27" i="4"/>
  <c r="K27" i="4"/>
  <c r="J27" i="4"/>
  <c r="H27" i="4"/>
  <c r="F27" i="4"/>
  <c r="E27" i="4"/>
  <c r="D27" i="4"/>
  <c r="C27" i="4"/>
  <c r="B27" i="4"/>
  <c r="A27" i="4"/>
  <c r="T26" i="4"/>
  <c r="Q26" i="4"/>
  <c r="O26" i="4"/>
  <c r="N26" i="4"/>
  <c r="M26" i="4"/>
  <c r="L26" i="4"/>
  <c r="J26" i="4"/>
  <c r="H26" i="4"/>
  <c r="F26" i="4"/>
  <c r="E26" i="4"/>
  <c r="D26" i="4"/>
  <c r="C26" i="4"/>
  <c r="B26" i="4"/>
  <c r="A26" i="4"/>
  <c r="T25" i="4"/>
  <c r="Q25" i="4"/>
  <c r="O25" i="4"/>
  <c r="N25" i="4"/>
  <c r="M25" i="4"/>
  <c r="L25" i="4"/>
  <c r="J25" i="4"/>
  <c r="H25" i="4"/>
  <c r="F25" i="4"/>
  <c r="E25" i="4"/>
  <c r="D25" i="4"/>
  <c r="C25" i="4"/>
  <c r="B25" i="4"/>
  <c r="A25" i="4"/>
  <c r="T24" i="4"/>
  <c r="Q24" i="4"/>
  <c r="O24" i="4"/>
  <c r="N24" i="4"/>
  <c r="M24" i="4"/>
  <c r="L24" i="4"/>
  <c r="J24" i="4"/>
  <c r="H24" i="4"/>
  <c r="F24" i="4"/>
  <c r="E24" i="4"/>
  <c r="D24" i="4"/>
  <c r="C24" i="4"/>
  <c r="B24" i="4"/>
  <c r="A24" i="4"/>
  <c r="T23" i="4"/>
  <c r="Q23" i="4"/>
  <c r="O23" i="4"/>
  <c r="N23" i="4"/>
  <c r="M23" i="4"/>
  <c r="L23" i="4"/>
  <c r="J23" i="4"/>
  <c r="H23" i="4"/>
  <c r="F23" i="4"/>
  <c r="E23" i="4"/>
  <c r="D23" i="4"/>
  <c r="C23" i="4"/>
  <c r="B23" i="4"/>
  <c r="A23" i="4"/>
  <c r="Q22" i="4"/>
  <c r="O22" i="4"/>
  <c r="N22" i="4"/>
  <c r="M22" i="4"/>
  <c r="L22" i="4"/>
  <c r="J22" i="4"/>
  <c r="H22" i="4"/>
  <c r="F22" i="4"/>
  <c r="E22" i="4"/>
  <c r="D22" i="4"/>
  <c r="C22" i="4"/>
  <c r="B22" i="4"/>
  <c r="A22" i="4"/>
  <c r="T21" i="4"/>
  <c r="Q21" i="4"/>
  <c r="O21" i="4"/>
  <c r="N21" i="4"/>
  <c r="M21" i="4"/>
  <c r="L21" i="4"/>
  <c r="J21" i="4"/>
  <c r="H21" i="4"/>
  <c r="F21" i="4"/>
  <c r="E21" i="4"/>
  <c r="D21" i="4"/>
  <c r="C21" i="4"/>
  <c r="B21" i="4"/>
  <c r="A21" i="4"/>
  <c r="U20" i="4"/>
  <c r="T20" i="4"/>
  <c r="Q20" i="4"/>
  <c r="O20" i="4"/>
  <c r="N20" i="4"/>
  <c r="M20" i="4"/>
  <c r="L20" i="4"/>
  <c r="J20" i="4"/>
  <c r="H20" i="4"/>
  <c r="F20" i="4"/>
  <c r="E20" i="4"/>
  <c r="D20" i="4"/>
  <c r="C20" i="4"/>
  <c r="B20" i="4"/>
  <c r="A20" i="4"/>
  <c r="Q19" i="4"/>
  <c r="O19" i="4"/>
  <c r="N19" i="4"/>
  <c r="M19" i="4"/>
  <c r="L19" i="4"/>
  <c r="J19" i="4"/>
  <c r="H19" i="4"/>
  <c r="F18" i="4" s="1"/>
  <c r="F19" i="4"/>
  <c r="E19" i="4"/>
  <c r="D19" i="4"/>
  <c r="C19" i="4"/>
  <c r="B19" i="4"/>
  <c r="A19" i="4"/>
  <c r="T17" i="4"/>
  <c r="Q17" i="4"/>
  <c r="O17" i="4"/>
  <c r="N17" i="4"/>
  <c r="M17" i="4"/>
  <c r="L17" i="4"/>
  <c r="J17" i="4"/>
  <c r="H17" i="4"/>
  <c r="F17" i="4"/>
  <c r="E17" i="4"/>
  <c r="D17" i="4"/>
  <c r="C17" i="4"/>
  <c r="B17" i="4"/>
  <c r="A17" i="4"/>
  <c r="Q16" i="4"/>
  <c r="O16" i="4"/>
  <c r="N16" i="4"/>
  <c r="M16" i="4"/>
  <c r="L16" i="4"/>
  <c r="J16" i="4"/>
  <c r="H16" i="4"/>
  <c r="F16" i="4"/>
  <c r="E16" i="4"/>
  <c r="D16" i="4"/>
  <c r="C16" i="4"/>
  <c r="B16" i="4"/>
  <c r="A16" i="4"/>
  <c r="T15" i="4"/>
  <c r="Q15" i="4"/>
  <c r="O15" i="4"/>
  <c r="N15" i="4"/>
  <c r="M15" i="4"/>
  <c r="L15" i="4"/>
  <c r="J15" i="4"/>
  <c r="H15" i="4"/>
  <c r="F15" i="4"/>
  <c r="E15" i="4"/>
  <c r="D15" i="4"/>
  <c r="C15" i="4"/>
  <c r="B15" i="4"/>
  <c r="A15" i="4"/>
  <c r="Q14" i="4"/>
  <c r="O14" i="4"/>
  <c r="M14" i="4"/>
  <c r="L14" i="4"/>
  <c r="J14" i="4"/>
  <c r="H14" i="4"/>
  <c r="F14" i="4"/>
  <c r="E14" i="4"/>
  <c r="D14" i="4"/>
  <c r="C14" i="4"/>
  <c r="B14" i="4"/>
  <c r="A14" i="4"/>
  <c r="T13" i="4"/>
  <c r="Q13" i="4"/>
  <c r="O13" i="4"/>
  <c r="N13" i="4"/>
  <c r="M13" i="4"/>
  <c r="L13" i="4"/>
  <c r="J13" i="4"/>
  <c r="H13" i="4"/>
  <c r="F13" i="4"/>
  <c r="E13" i="4"/>
  <c r="D13" i="4"/>
  <c r="C13" i="4"/>
  <c r="B13" i="4"/>
  <c r="A13" i="4"/>
  <c r="U12" i="4"/>
  <c r="T12" i="4"/>
  <c r="S12" i="4"/>
  <c r="R12" i="4"/>
  <c r="Q12" i="4"/>
  <c r="P12" i="4"/>
  <c r="O12" i="4"/>
  <c r="N12" i="4"/>
  <c r="M12" i="4"/>
  <c r="L12" i="4"/>
  <c r="K12" i="4"/>
  <c r="J12" i="4"/>
  <c r="H12" i="4"/>
  <c r="F12" i="4"/>
  <c r="E12" i="4"/>
  <c r="D12" i="4"/>
  <c r="C12" i="4"/>
  <c r="B12" i="4"/>
  <c r="A12" i="4"/>
  <c r="T11" i="4"/>
  <c r="Q11" i="4"/>
  <c r="O11" i="4"/>
  <c r="M11" i="4"/>
  <c r="L11" i="4"/>
  <c r="J11" i="4"/>
  <c r="H11" i="4"/>
  <c r="F11" i="4"/>
  <c r="E11" i="4"/>
  <c r="D11" i="4"/>
  <c r="C11" i="4"/>
  <c r="B11" i="4"/>
  <c r="A11" i="4"/>
  <c r="Q10" i="4"/>
  <c r="O10" i="4"/>
  <c r="N10" i="4"/>
  <c r="M10" i="4"/>
  <c r="L10" i="4"/>
  <c r="J10" i="4"/>
  <c r="H10" i="4"/>
  <c r="F10" i="4"/>
  <c r="E10" i="4"/>
  <c r="D10" i="4"/>
  <c r="C10" i="4"/>
  <c r="B10" i="4"/>
  <c r="A10" i="4"/>
  <c r="T9" i="4"/>
  <c r="Q9" i="4"/>
  <c r="O9" i="4"/>
  <c r="N9" i="4"/>
  <c r="M9" i="4"/>
  <c r="L9" i="4"/>
  <c r="J9" i="4"/>
  <c r="H9" i="4"/>
  <c r="F9" i="4"/>
  <c r="E9" i="4"/>
  <c r="D9" i="4"/>
  <c r="C9" i="4"/>
  <c r="B9" i="4"/>
  <c r="A9" i="4"/>
  <c r="U8" i="4"/>
  <c r="T8" i="4"/>
  <c r="S8" i="4"/>
  <c r="R8" i="4"/>
  <c r="Q8" i="4"/>
  <c r="O8" i="4"/>
  <c r="N8" i="4"/>
  <c r="M8" i="4"/>
  <c r="L8" i="4"/>
  <c r="K8" i="4"/>
  <c r="J8" i="4"/>
  <c r="H8" i="4"/>
  <c r="F8" i="4"/>
  <c r="E8" i="4"/>
  <c r="D8" i="4"/>
  <c r="C8" i="4"/>
  <c r="B8" i="4"/>
  <c r="A8" i="4"/>
  <c r="U7" i="4"/>
  <c r="T7" i="4"/>
  <c r="S7" i="4"/>
  <c r="R7" i="4"/>
  <c r="Q7" i="4"/>
  <c r="P7" i="4"/>
  <c r="O7" i="4"/>
  <c r="N7" i="4"/>
  <c r="M7" i="4"/>
  <c r="L7" i="4"/>
  <c r="K7" i="4"/>
  <c r="J7" i="4"/>
  <c r="H7" i="4"/>
  <c r="F7" i="4"/>
  <c r="E7" i="4"/>
  <c r="D7" i="4"/>
  <c r="C7" i="4"/>
  <c r="B7" i="4"/>
  <c r="A7" i="4"/>
  <c r="T6" i="4"/>
  <c r="Q6" i="4"/>
  <c r="O6" i="4"/>
  <c r="N6" i="4"/>
  <c r="M6" i="4"/>
  <c r="L6" i="4"/>
  <c r="J6" i="4"/>
  <c r="H6" i="4"/>
  <c r="F6" i="4"/>
  <c r="E6" i="4"/>
  <c r="D6" i="4"/>
  <c r="C6" i="4"/>
  <c r="B6" i="4"/>
  <c r="A6" i="4"/>
  <c r="Q5" i="4"/>
  <c r="O5" i="4"/>
  <c r="N5" i="4"/>
  <c r="M5" i="4"/>
  <c r="L5" i="4"/>
  <c r="J5" i="4"/>
  <c r="H5" i="4"/>
  <c r="F5" i="4"/>
  <c r="E5" i="4"/>
  <c r="D5" i="4"/>
  <c r="C5" i="4"/>
  <c r="B5" i="4"/>
  <c r="A5" i="4"/>
  <c r="Q4" i="4"/>
  <c r="O4" i="4"/>
  <c r="N4" i="4"/>
  <c r="M4" i="4"/>
  <c r="L4" i="4"/>
  <c r="J4" i="4"/>
  <c r="H4" i="4"/>
  <c r="F4" i="4"/>
  <c r="E4" i="4"/>
  <c r="D4" i="4"/>
  <c r="C4" i="4"/>
  <c r="B4" i="4"/>
  <c r="A4" i="4"/>
  <c r="Q142" i="5"/>
  <c r="O142" i="5"/>
  <c r="N142" i="5"/>
  <c r="M142" i="5"/>
  <c r="L142" i="5"/>
  <c r="J142" i="5"/>
  <c r="H142" i="5"/>
  <c r="F142" i="5"/>
  <c r="E142" i="5"/>
  <c r="D142" i="5"/>
  <c r="C142" i="5"/>
  <c r="B142" i="5"/>
  <c r="A142" i="5"/>
  <c r="Q141" i="5"/>
  <c r="O141" i="5"/>
  <c r="N141" i="5"/>
  <c r="M141" i="5"/>
  <c r="L141" i="5"/>
  <c r="J141" i="5"/>
  <c r="H141" i="5"/>
  <c r="F141" i="5"/>
  <c r="E141" i="5"/>
  <c r="D141" i="5"/>
  <c r="C141" i="5"/>
  <c r="B141" i="5"/>
  <c r="A141" i="5"/>
  <c r="Q140" i="5"/>
  <c r="O140" i="5"/>
  <c r="N140" i="5"/>
  <c r="M140" i="5"/>
  <c r="L140" i="5"/>
  <c r="J140" i="5"/>
  <c r="H140" i="5"/>
  <c r="F140" i="5"/>
  <c r="E140" i="5"/>
  <c r="D140" i="5"/>
  <c r="C140" i="5"/>
  <c r="B140" i="5"/>
  <c r="A140" i="5"/>
  <c r="T139" i="5"/>
  <c r="Q139" i="5"/>
  <c r="O139" i="5"/>
  <c r="N139" i="5"/>
  <c r="M139" i="5"/>
  <c r="L139" i="5"/>
  <c r="J139" i="5"/>
  <c r="H139" i="5"/>
  <c r="F139" i="5"/>
  <c r="E139" i="5"/>
  <c r="D139" i="5"/>
  <c r="C139" i="5"/>
  <c r="B139" i="5"/>
  <c r="A139" i="5"/>
  <c r="Q138" i="5"/>
  <c r="O138" i="5"/>
  <c r="N138" i="5"/>
  <c r="M138" i="5"/>
  <c r="L138" i="5"/>
  <c r="J138" i="5"/>
  <c r="H138" i="5"/>
  <c r="F138" i="5"/>
  <c r="E138" i="5"/>
  <c r="D138" i="5"/>
  <c r="C138" i="5"/>
  <c r="B138" i="5"/>
  <c r="A138" i="5"/>
  <c r="Q137" i="5"/>
  <c r="O137" i="5"/>
  <c r="N137" i="5"/>
  <c r="M137" i="5"/>
  <c r="L137" i="5"/>
  <c r="J137" i="5"/>
  <c r="H137" i="5"/>
  <c r="F137" i="5"/>
  <c r="E137" i="5"/>
  <c r="D137" i="5"/>
  <c r="C137" i="5"/>
  <c r="B137" i="5"/>
  <c r="A137" i="5"/>
  <c r="T136" i="5"/>
  <c r="Q136" i="5"/>
  <c r="O136" i="5"/>
  <c r="M136" i="5"/>
  <c r="L136" i="5"/>
  <c r="J136" i="5"/>
  <c r="H136" i="5"/>
  <c r="F136" i="5"/>
  <c r="E136" i="5"/>
  <c r="D136" i="5"/>
  <c r="C136" i="5"/>
  <c r="B136" i="5"/>
  <c r="A136" i="5"/>
  <c r="U135" i="5"/>
  <c r="T135" i="5"/>
  <c r="S135" i="5"/>
  <c r="R135" i="5"/>
  <c r="Q135" i="5"/>
  <c r="O135" i="5"/>
  <c r="N135" i="5"/>
  <c r="M135" i="5"/>
  <c r="L135" i="5"/>
  <c r="K135" i="5"/>
  <c r="J135" i="5"/>
  <c r="H135" i="5"/>
  <c r="F135" i="5"/>
  <c r="E135" i="5"/>
  <c r="D135" i="5"/>
  <c r="C135" i="5"/>
  <c r="B135" i="5"/>
  <c r="A135" i="5"/>
  <c r="T134" i="5"/>
  <c r="Q134" i="5"/>
  <c r="O134" i="5"/>
  <c r="N134" i="5"/>
  <c r="M134" i="5"/>
  <c r="L134" i="5"/>
  <c r="J134" i="5"/>
  <c r="H134" i="5"/>
  <c r="F134" i="5"/>
  <c r="E134" i="5"/>
  <c r="D134" i="5"/>
  <c r="C134" i="5"/>
  <c r="B134" i="5"/>
  <c r="A134" i="5"/>
  <c r="T133" i="5"/>
  <c r="Q133" i="5"/>
  <c r="O133" i="5"/>
  <c r="N133" i="5"/>
  <c r="M133" i="5"/>
  <c r="L133" i="5"/>
  <c r="J133" i="5"/>
  <c r="H133" i="5"/>
  <c r="F133" i="5"/>
  <c r="E133" i="5"/>
  <c r="D133" i="5"/>
  <c r="C133" i="5"/>
  <c r="B133" i="5"/>
  <c r="A133" i="5"/>
  <c r="U132" i="5"/>
  <c r="T132" i="5"/>
  <c r="Q132" i="5"/>
  <c r="O132" i="5"/>
  <c r="N132" i="5"/>
  <c r="M132" i="5"/>
  <c r="L132" i="5"/>
  <c r="J132" i="5"/>
  <c r="H132" i="5"/>
  <c r="F132" i="5"/>
  <c r="E132" i="5"/>
  <c r="D132" i="5"/>
  <c r="C132" i="5"/>
  <c r="B132" i="5"/>
  <c r="A132" i="5"/>
  <c r="T131" i="5"/>
  <c r="Q131" i="5"/>
  <c r="O131" i="5"/>
  <c r="N131" i="5"/>
  <c r="M131" i="5"/>
  <c r="L131" i="5"/>
  <c r="J131" i="5"/>
  <c r="H131" i="5"/>
  <c r="F129" i="5" s="1"/>
  <c r="F131" i="5"/>
  <c r="E131" i="5"/>
  <c r="D131" i="5"/>
  <c r="C131" i="5"/>
  <c r="B131" i="5"/>
  <c r="A131" i="5"/>
  <c r="T128" i="5"/>
  <c r="Q128" i="5"/>
  <c r="O128" i="5"/>
  <c r="N128" i="5"/>
  <c r="M128" i="5"/>
  <c r="L128" i="5"/>
  <c r="J128" i="5"/>
  <c r="H128" i="5"/>
  <c r="F128" i="5"/>
  <c r="E128" i="5"/>
  <c r="D128" i="5"/>
  <c r="C128" i="5"/>
  <c r="B128" i="5"/>
  <c r="A128" i="5"/>
  <c r="T127" i="5"/>
  <c r="Q127" i="5"/>
  <c r="O127" i="5"/>
  <c r="M127" i="5"/>
  <c r="L127" i="5"/>
  <c r="J127" i="5"/>
  <c r="H127" i="5"/>
  <c r="F127" i="5"/>
  <c r="E127" i="5"/>
  <c r="D127" i="5"/>
  <c r="C127" i="5"/>
  <c r="B127" i="5"/>
  <c r="A127" i="5"/>
  <c r="Q126" i="5"/>
  <c r="O126" i="5"/>
  <c r="N126" i="5"/>
  <c r="M126" i="5"/>
  <c r="L126" i="5"/>
  <c r="J126" i="5"/>
  <c r="H126" i="5"/>
  <c r="F126" i="5"/>
  <c r="E126" i="5"/>
  <c r="D126" i="5"/>
  <c r="C126" i="5"/>
  <c r="B126" i="5"/>
  <c r="A126" i="5"/>
  <c r="Q125" i="5"/>
  <c r="O125" i="5"/>
  <c r="N125" i="5"/>
  <c r="M125" i="5"/>
  <c r="L125" i="5"/>
  <c r="J125" i="5"/>
  <c r="H125" i="5"/>
  <c r="F125" i="5"/>
  <c r="E125" i="5"/>
  <c r="D125" i="5"/>
  <c r="C125" i="5"/>
  <c r="B125" i="5"/>
  <c r="A125" i="5"/>
  <c r="Q124" i="5"/>
  <c r="O124" i="5"/>
  <c r="M124" i="5"/>
  <c r="L124" i="5"/>
  <c r="J124" i="5"/>
  <c r="H124" i="5"/>
  <c r="F124" i="5"/>
  <c r="E124" i="5"/>
  <c r="D124" i="5"/>
  <c r="C124" i="5"/>
  <c r="B124" i="5"/>
  <c r="A124" i="5"/>
  <c r="Q123" i="5"/>
  <c r="O123" i="5"/>
  <c r="N123" i="5"/>
  <c r="M123" i="5"/>
  <c r="L123" i="5"/>
  <c r="J123" i="5"/>
  <c r="H123" i="5"/>
  <c r="F123" i="5"/>
  <c r="E123" i="5"/>
  <c r="D123" i="5"/>
  <c r="C123" i="5"/>
  <c r="B123" i="5"/>
  <c r="A123" i="5"/>
  <c r="U122" i="5"/>
  <c r="T122" i="5"/>
  <c r="S122" i="5"/>
  <c r="R122" i="5"/>
  <c r="Q122" i="5"/>
  <c r="P122" i="5"/>
  <c r="O122" i="5"/>
  <c r="N122" i="5"/>
  <c r="M122" i="5"/>
  <c r="L122" i="5"/>
  <c r="K122" i="5"/>
  <c r="J122" i="5"/>
  <c r="H122" i="5"/>
  <c r="F122" i="5"/>
  <c r="E122" i="5"/>
  <c r="D122" i="5"/>
  <c r="C122" i="5"/>
  <c r="B122" i="5"/>
  <c r="A122" i="5"/>
  <c r="T121" i="5"/>
  <c r="Q121" i="5"/>
  <c r="O121" i="5"/>
  <c r="N121" i="5"/>
  <c r="M121" i="5"/>
  <c r="L121" i="5"/>
  <c r="J121" i="5"/>
  <c r="H121" i="5"/>
  <c r="F121" i="5"/>
  <c r="E121" i="5"/>
  <c r="D121" i="5"/>
  <c r="C121" i="5"/>
  <c r="B121" i="5"/>
  <c r="A121" i="5"/>
  <c r="T120" i="5"/>
  <c r="Q120" i="5"/>
  <c r="O120" i="5"/>
  <c r="N120" i="5"/>
  <c r="M120" i="5"/>
  <c r="L120" i="5"/>
  <c r="J120" i="5"/>
  <c r="H120" i="5"/>
  <c r="F120" i="5"/>
  <c r="E120" i="5"/>
  <c r="D120" i="5"/>
  <c r="C120" i="5"/>
  <c r="B120" i="5"/>
  <c r="A120" i="5"/>
  <c r="T119" i="5"/>
  <c r="Q119" i="5"/>
  <c r="O119" i="5"/>
  <c r="N119" i="5"/>
  <c r="M119" i="5"/>
  <c r="L119" i="5"/>
  <c r="J119" i="5"/>
  <c r="H119" i="5"/>
  <c r="F119" i="5"/>
  <c r="E119" i="5"/>
  <c r="D119" i="5"/>
  <c r="C119" i="5"/>
  <c r="B119" i="5"/>
  <c r="A119" i="5"/>
  <c r="T118" i="5"/>
  <c r="Q118" i="5"/>
  <c r="O118" i="5"/>
  <c r="N118" i="5"/>
  <c r="M118" i="5"/>
  <c r="L118" i="5"/>
  <c r="J118" i="5"/>
  <c r="H118" i="5"/>
  <c r="F118" i="5"/>
  <c r="E118" i="5"/>
  <c r="D118" i="5"/>
  <c r="C118" i="5"/>
  <c r="B118" i="5"/>
  <c r="A118" i="5"/>
  <c r="Q117" i="5"/>
  <c r="O117" i="5"/>
  <c r="N117" i="5"/>
  <c r="M117" i="5"/>
  <c r="L117" i="5"/>
  <c r="J117" i="5"/>
  <c r="H117" i="5"/>
  <c r="F117" i="5"/>
  <c r="E117" i="5"/>
  <c r="D117" i="5"/>
  <c r="C117" i="5"/>
  <c r="B117" i="5"/>
  <c r="A117" i="5"/>
  <c r="U116" i="5"/>
  <c r="T116" i="5"/>
  <c r="Q116" i="5"/>
  <c r="O116" i="5"/>
  <c r="N116" i="5"/>
  <c r="M116" i="5"/>
  <c r="L116" i="5"/>
  <c r="J116" i="5"/>
  <c r="H116" i="5"/>
  <c r="F115" i="5" s="1"/>
  <c r="F116" i="5"/>
  <c r="E116" i="5"/>
  <c r="D116" i="5"/>
  <c r="C116" i="5"/>
  <c r="B116" i="5"/>
  <c r="A116" i="5"/>
  <c r="T114" i="5"/>
  <c r="Q114" i="5"/>
  <c r="O114" i="5"/>
  <c r="N114" i="5"/>
  <c r="M114" i="5"/>
  <c r="L114" i="5"/>
  <c r="J114" i="5"/>
  <c r="H114" i="5"/>
  <c r="F114" i="5"/>
  <c r="E114" i="5"/>
  <c r="D114" i="5"/>
  <c r="C114" i="5"/>
  <c r="B114" i="5"/>
  <c r="A114" i="5"/>
  <c r="Q113" i="5"/>
  <c r="O113" i="5"/>
  <c r="N113" i="5"/>
  <c r="M113" i="5"/>
  <c r="L113" i="5"/>
  <c r="J113" i="5"/>
  <c r="H113" i="5"/>
  <c r="F113" i="5"/>
  <c r="E113" i="5"/>
  <c r="D113" i="5"/>
  <c r="C113" i="5"/>
  <c r="B113" i="5"/>
  <c r="A113" i="5"/>
  <c r="T112" i="5"/>
  <c r="Q112" i="5"/>
  <c r="O112" i="5"/>
  <c r="N112" i="5"/>
  <c r="M112" i="5"/>
  <c r="L112" i="5"/>
  <c r="J112" i="5"/>
  <c r="H112" i="5"/>
  <c r="F112" i="5"/>
  <c r="E112" i="5"/>
  <c r="D112" i="5"/>
  <c r="C112" i="5"/>
  <c r="B112" i="5"/>
  <c r="A112" i="5"/>
  <c r="T111" i="5"/>
  <c r="Q111" i="5"/>
  <c r="O111" i="5"/>
  <c r="N111" i="5"/>
  <c r="M111" i="5"/>
  <c r="L111" i="5"/>
  <c r="J111" i="5"/>
  <c r="H111" i="5"/>
  <c r="F111" i="5"/>
  <c r="E111" i="5"/>
  <c r="D111" i="5"/>
  <c r="C111" i="5"/>
  <c r="B111" i="5"/>
  <c r="A111" i="5"/>
  <c r="U110" i="5"/>
  <c r="T110" i="5"/>
  <c r="S110" i="5"/>
  <c r="R110" i="5"/>
  <c r="Q110" i="5"/>
  <c r="P110" i="5"/>
  <c r="O110" i="5"/>
  <c r="N110" i="5"/>
  <c r="M110" i="5"/>
  <c r="L110" i="5"/>
  <c r="K110" i="5"/>
  <c r="J110" i="5"/>
  <c r="H110" i="5"/>
  <c r="F110" i="5"/>
  <c r="E110" i="5"/>
  <c r="D110" i="5"/>
  <c r="C110" i="5"/>
  <c r="B110" i="5"/>
  <c r="A110" i="5"/>
  <c r="Q109" i="5"/>
  <c r="O109" i="5"/>
  <c r="M109" i="5"/>
  <c r="L109" i="5"/>
  <c r="J109" i="5"/>
  <c r="H109" i="5"/>
  <c r="F109" i="5"/>
  <c r="E109" i="5"/>
  <c r="D109" i="5"/>
  <c r="C109" i="5"/>
  <c r="B109" i="5"/>
  <c r="A109" i="5"/>
  <c r="Q108" i="5"/>
  <c r="O108" i="5"/>
  <c r="N108" i="5"/>
  <c r="M108" i="5"/>
  <c r="L108" i="5"/>
  <c r="J108" i="5"/>
  <c r="H108" i="5"/>
  <c r="F108" i="5"/>
  <c r="E108" i="5"/>
  <c r="D108" i="5"/>
  <c r="C108" i="5"/>
  <c r="B108" i="5"/>
  <c r="A108" i="5"/>
  <c r="Q107" i="5"/>
  <c r="O107" i="5"/>
  <c r="N107" i="5"/>
  <c r="M107" i="5"/>
  <c r="L107" i="5"/>
  <c r="J107" i="5"/>
  <c r="H107" i="5"/>
  <c r="F107" i="5"/>
  <c r="E107" i="5"/>
  <c r="D107" i="5"/>
  <c r="C107" i="5"/>
  <c r="B107" i="5"/>
  <c r="A107" i="5"/>
  <c r="T106" i="5"/>
  <c r="Q106" i="5"/>
  <c r="O106" i="5"/>
  <c r="N106" i="5"/>
  <c r="M106" i="5"/>
  <c r="L106" i="5"/>
  <c r="J106" i="5"/>
  <c r="H106" i="5"/>
  <c r="F106" i="5"/>
  <c r="E106" i="5"/>
  <c r="D106" i="5"/>
  <c r="C106" i="5"/>
  <c r="B106" i="5"/>
  <c r="A106" i="5"/>
  <c r="T105" i="5"/>
  <c r="Q105" i="5"/>
  <c r="O105" i="5"/>
  <c r="N105" i="5"/>
  <c r="M105" i="5"/>
  <c r="L105" i="5"/>
  <c r="J105" i="5"/>
  <c r="H105" i="5"/>
  <c r="F105" i="5"/>
  <c r="E105" i="5"/>
  <c r="D105" i="5"/>
  <c r="C105" i="5"/>
  <c r="B105" i="5"/>
  <c r="A105" i="5"/>
  <c r="Q104" i="5"/>
  <c r="O104" i="5"/>
  <c r="N104" i="5"/>
  <c r="M104" i="5"/>
  <c r="L104" i="5"/>
  <c r="J104" i="5"/>
  <c r="H104" i="5"/>
  <c r="F104" i="5"/>
  <c r="E104" i="5"/>
  <c r="D104" i="5"/>
  <c r="C104" i="5"/>
  <c r="B104" i="5"/>
  <c r="A104" i="5"/>
  <c r="T103" i="5"/>
  <c r="Q103" i="5"/>
  <c r="O103" i="5"/>
  <c r="N103" i="5"/>
  <c r="M103" i="5"/>
  <c r="L103" i="5"/>
  <c r="J103" i="5"/>
  <c r="H103" i="5"/>
  <c r="F101" i="5" s="1"/>
  <c r="F103" i="5"/>
  <c r="E103" i="5"/>
  <c r="D103" i="5"/>
  <c r="C103" i="5"/>
  <c r="B103" i="5"/>
  <c r="A103" i="5"/>
  <c r="Q100" i="5"/>
  <c r="O100" i="5"/>
  <c r="N100" i="5"/>
  <c r="M100" i="5"/>
  <c r="L100" i="5"/>
  <c r="J100" i="5"/>
  <c r="H100" i="5"/>
  <c r="F100" i="5"/>
  <c r="E100" i="5"/>
  <c r="D100" i="5"/>
  <c r="C100" i="5"/>
  <c r="B100" i="5"/>
  <c r="A100" i="5"/>
  <c r="Q99" i="5"/>
  <c r="O99" i="5"/>
  <c r="N99" i="5"/>
  <c r="M99" i="5"/>
  <c r="L99" i="5"/>
  <c r="J99" i="5"/>
  <c r="H99" i="5"/>
  <c r="F99" i="5"/>
  <c r="E99" i="5"/>
  <c r="D99" i="5"/>
  <c r="C99" i="5"/>
  <c r="B99" i="5"/>
  <c r="A99" i="5"/>
  <c r="T98" i="5"/>
  <c r="Q98" i="5"/>
  <c r="O98" i="5"/>
  <c r="N98" i="5"/>
  <c r="M98" i="5"/>
  <c r="L98" i="5"/>
  <c r="J98" i="5"/>
  <c r="H98" i="5"/>
  <c r="F98" i="5"/>
  <c r="E98" i="5"/>
  <c r="D98" i="5"/>
  <c r="C98" i="5"/>
  <c r="B98" i="5"/>
  <c r="A98" i="5"/>
  <c r="Q97" i="5"/>
  <c r="O97" i="5"/>
  <c r="N97" i="5"/>
  <c r="M97" i="5"/>
  <c r="L97" i="5"/>
  <c r="J97" i="5"/>
  <c r="H97" i="5"/>
  <c r="F97" i="5"/>
  <c r="E97" i="5"/>
  <c r="D97" i="5"/>
  <c r="C97" i="5"/>
  <c r="B97" i="5"/>
  <c r="A97" i="5"/>
  <c r="Q96" i="5"/>
  <c r="O96" i="5"/>
  <c r="N96" i="5"/>
  <c r="M96" i="5"/>
  <c r="L96" i="5"/>
  <c r="J96" i="5"/>
  <c r="H96" i="5"/>
  <c r="F96" i="5"/>
  <c r="E96" i="5"/>
  <c r="D96" i="5"/>
  <c r="C96" i="5"/>
  <c r="B96" i="5"/>
  <c r="A96" i="5"/>
  <c r="Q95" i="5"/>
  <c r="O95" i="5"/>
  <c r="N95" i="5"/>
  <c r="M95" i="5"/>
  <c r="L95" i="5"/>
  <c r="J95" i="5"/>
  <c r="H95" i="5"/>
  <c r="F95" i="5"/>
  <c r="E95" i="5"/>
  <c r="D95" i="5"/>
  <c r="C95" i="5"/>
  <c r="B95" i="5"/>
  <c r="A95" i="5"/>
  <c r="Q94" i="5"/>
  <c r="O94" i="5"/>
  <c r="N94" i="5"/>
  <c r="M94" i="5"/>
  <c r="L94" i="5"/>
  <c r="J94" i="5"/>
  <c r="H94" i="5"/>
  <c r="F94" i="5"/>
  <c r="E94" i="5"/>
  <c r="D94" i="5"/>
  <c r="C94" i="5"/>
  <c r="B94" i="5"/>
  <c r="A94" i="5"/>
  <c r="Q93" i="5"/>
  <c r="O93" i="5"/>
  <c r="N93" i="5"/>
  <c r="M93" i="5"/>
  <c r="L93" i="5"/>
  <c r="J93" i="5"/>
  <c r="H93" i="5"/>
  <c r="F93" i="5"/>
  <c r="E93" i="5"/>
  <c r="D93" i="5"/>
  <c r="C93" i="5"/>
  <c r="B93" i="5"/>
  <c r="A93" i="5"/>
  <c r="T92" i="5"/>
  <c r="Q92" i="5"/>
  <c r="O92" i="5"/>
  <c r="N92" i="5"/>
  <c r="M92" i="5"/>
  <c r="L92" i="5"/>
  <c r="J92" i="5"/>
  <c r="H92" i="5"/>
  <c r="F92" i="5"/>
  <c r="E92" i="5"/>
  <c r="D92" i="5"/>
  <c r="C92" i="5"/>
  <c r="B92" i="5"/>
  <c r="A92" i="5"/>
  <c r="Q91" i="5"/>
  <c r="O91" i="5"/>
  <c r="N91" i="5"/>
  <c r="M91" i="5"/>
  <c r="L91" i="5"/>
  <c r="J91" i="5"/>
  <c r="H91" i="5"/>
  <c r="F91" i="5"/>
  <c r="E91" i="5"/>
  <c r="D91" i="5"/>
  <c r="C91" i="5"/>
  <c r="B91" i="5"/>
  <c r="A91" i="5"/>
  <c r="U90" i="5"/>
  <c r="T90" i="5"/>
  <c r="S90" i="5"/>
  <c r="R90" i="5"/>
  <c r="Q90" i="5"/>
  <c r="P90" i="5"/>
  <c r="O90" i="5"/>
  <c r="N90" i="5"/>
  <c r="M90" i="5"/>
  <c r="L90" i="5"/>
  <c r="J90" i="5"/>
  <c r="H90" i="5"/>
  <c r="F90" i="5"/>
  <c r="E90" i="5"/>
  <c r="D90" i="5"/>
  <c r="C90" i="5"/>
  <c r="B90" i="5"/>
  <c r="A90" i="5"/>
  <c r="U89" i="5"/>
  <c r="T89" i="5"/>
  <c r="S89" i="5"/>
  <c r="R89" i="5"/>
  <c r="Q89" i="5"/>
  <c r="O89" i="5"/>
  <c r="N89" i="5"/>
  <c r="M89" i="5"/>
  <c r="L89" i="5"/>
  <c r="J89" i="5"/>
  <c r="H89" i="5"/>
  <c r="F87" i="5" s="1"/>
  <c r="F89" i="5"/>
  <c r="E89" i="5"/>
  <c r="D89" i="5"/>
  <c r="C89" i="5"/>
  <c r="B89" i="5"/>
  <c r="A89" i="5"/>
  <c r="Q86" i="5"/>
  <c r="O86" i="5"/>
  <c r="N86" i="5"/>
  <c r="M86" i="5"/>
  <c r="L86" i="5"/>
  <c r="J86" i="5"/>
  <c r="H86" i="5"/>
  <c r="F86" i="5"/>
  <c r="E86" i="5"/>
  <c r="D86" i="5"/>
  <c r="C86" i="5"/>
  <c r="B86" i="5"/>
  <c r="A86" i="5"/>
  <c r="Q85" i="5"/>
  <c r="O85" i="5"/>
  <c r="N85" i="5"/>
  <c r="M85" i="5"/>
  <c r="L85" i="5"/>
  <c r="J85" i="5"/>
  <c r="H85" i="5"/>
  <c r="F85" i="5"/>
  <c r="E85" i="5"/>
  <c r="D85" i="5"/>
  <c r="C85" i="5"/>
  <c r="B85" i="5"/>
  <c r="A85" i="5"/>
  <c r="T84" i="5"/>
  <c r="Q84" i="5"/>
  <c r="O84" i="5"/>
  <c r="N84" i="5"/>
  <c r="M84" i="5"/>
  <c r="L84" i="5"/>
  <c r="J84" i="5"/>
  <c r="H84" i="5"/>
  <c r="F84" i="5"/>
  <c r="E84" i="5"/>
  <c r="D84" i="5"/>
  <c r="C84" i="5"/>
  <c r="B84" i="5"/>
  <c r="A84" i="5"/>
  <c r="Q83" i="5"/>
  <c r="O83" i="5"/>
  <c r="M83" i="5"/>
  <c r="L83" i="5"/>
  <c r="J83" i="5"/>
  <c r="H83" i="5"/>
  <c r="F83" i="5"/>
  <c r="E83" i="5"/>
  <c r="D83" i="5"/>
  <c r="C83" i="5"/>
  <c r="B83" i="5"/>
  <c r="A83" i="5"/>
  <c r="T82" i="5"/>
  <c r="Q82" i="5"/>
  <c r="O82" i="5"/>
  <c r="N82" i="5"/>
  <c r="M82" i="5"/>
  <c r="L82" i="5"/>
  <c r="J82" i="5"/>
  <c r="H82" i="5"/>
  <c r="F82" i="5"/>
  <c r="E82" i="5"/>
  <c r="D82" i="5"/>
  <c r="C82" i="5"/>
  <c r="B82" i="5"/>
  <c r="A82" i="5"/>
  <c r="Q81" i="5"/>
  <c r="O81" i="5"/>
  <c r="M81" i="5"/>
  <c r="L81" i="5"/>
  <c r="J81" i="5"/>
  <c r="H81" i="5"/>
  <c r="F81" i="5"/>
  <c r="E81" i="5"/>
  <c r="D81" i="5"/>
  <c r="C81" i="5"/>
  <c r="B81" i="5"/>
  <c r="A81" i="5"/>
  <c r="Q80" i="5"/>
  <c r="O80" i="5"/>
  <c r="N80" i="5"/>
  <c r="M80" i="5"/>
  <c r="L80" i="5"/>
  <c r="J80" i="5"/>
  <c r="H80" i="5"/>
  <c r="F80" i="5"/>
  <c r="E80" i="5"/>
  <c r="D80" i="5"/>
  <c r="C80" i="5"/>
  <c r="B80" i="5"/>
  <c r="A80" i="5"/>
  <c r="T79" i="5"/>
  <c r="Q79" i="5"/>
  <c r="O79" i="5"/>
  <c r="N79" i="5"/>
  <c r="M79" i="5"/>
  <c r="L79" i="5"/>
  <c r="J79" i="5"/>
  <c r="H79" i="5"/>
  <c r="F79" i="5"/>
  <c r="E79" i="5"/>
  <c r="D79" i="5"/>
  <c r="C79" i="5"/>
  <c r="B79" i="5"/>
  <c r="A79" i="5"/>
  <c r="T78" i="5"/>
  <c r="Q78" i="5"/>
  <c r="O78" i="5"/>
  <c r="N78" i="5"/>
  <c r="M78" i="5"/>
  <c r="L78" i="5"/>
  <c r="J78" i="5"/>
  <c r="H78" i="5"/>
  <c r="F78" i="5"/>
  <c r="E78" i="5"/>
  <c r="D78" i="5"/>
  <c r="C78" i="5"/>
  <c r="B78" i="5"/>
  <c r="A78" i="5"/>
  <c r="U77" i="5"/>
  <c r="T77" i="5"/>
  <c r="Q77" i="5"/>
  <c r="P77" i="5"/>
  <c r="O77" i="5"/>
  <c r="N77" i="5"/>
  <c r="M77" i="5"/>
  <c r="L77" i="5"/>
  <c r="J77" i="5"/>
  <c r="H77" i="5"/>
  <c r="F77" i="5"/>
  <c r="E77" i="5"/>
  <c r="D77" i="5"/>
  <c r="C77" i="5"/>
  <c r="B77" i="5"/>
  <c r="A77" i="5"/>
  <c r="U76" i="5"/>
  <c r="T76" i="5"/>
  <c r="S76" i="5"/>
  <c r="R76" i="5"/>
  <c r="Q76" i="5"/>
  <c r="O76" i="5"/>
  <c r="N76" i="5"/>
  <c r="M76" i="5"/>
  <c r="L76" i="5"/>
  <c r="K76" i="5"/>
  <c r="J76" i="5"/>
  <c r="H76" i="5"/>
  <c r="F76" i="5"/>
  <c r="E76" i="5"/>
  <c r="D76" i="5"/>
  <c r="C76" i="5"/>
  <c r="B76" i="5"/>
  <c r="A76" i="5"/>
  <c r="Q75" i="5"/>
  <c r="O75" i="5"/>
  <c r="N75" i="5"/>
  <c r="M75" i="5"/>
  <c r="L75" i="5"/>
  <c r="J75" i="5"/>
  <c r="H75" i="5"/>
  <c r="F73" i="5" s="1"/>
  <c r="F75" i="5"/>
  <c r="E75" i="5"/>
  <c r="D75" i="5"/>
  <c r="C75" i="5"/>
  <c r="B75" i="5"/>
  <c r="A75" i="5"/>
  <c r="T72" i="5"/>
  <c r="Q72" i="5"/>
  <c r="O72" i="5"/>
  <c r="N72" i="5"/>
  <c r="M72" i="5"/>
  <c r="L72" i="5"/>
  <c r="J72" i="5"/>
  <c r="H72" i="5"/>
  <c r="F72" i="5"/>
  <c r="E72" i="5"/>
  <c r="D72" i="5"/>
  <c r="C72" i="5"/>
  <c r="B72" i="5"/>
  <c r="A72" i="5"/>
  <c r="Q71" i="5"/>
  <c r="O71" i="5"/>
  <c r="N71" i="5"/>
  <c r="M71" i="5"/>
  <c r="L71" i="5"/>
  <c r="J71" i="5"/>
  <c r="H71" i="5"/>
  <c r="F71" i="5"/>
  <c r="E71" i="5"/>
  <c r="D71" i="5"/>
  <c r="C71" i="5"/>
  <c r="B71" i="5"/>
  <c r="A71" i="5"/>
  <c r="Q70" i="5"/>
  <c r="O70" i="5"/>
  <c r="N70" i="5"/>
  <c r="M70" i="5"/>
  <c r="L70" i="5"/>
  <c r="J70" i="5"/>
  <c r="H70" i="5"/>
  <c r="F70" i="5"/>
  <c r="E70" i="5"/>
  <c r="D70" i="5"/>
  <c r="C70" i="5"/>
  <c r="B70" i="5"/>
  <c r="A70" i="5"/>
  <c r="T69" i="5"/>
  <c r="Q69" i="5"/>
  <c r="O69" i="5"/>
  <c r="M69" i="5"/>
  <c r="L69" i="5"/>
  <c r="J69" i="5"/>
  <c r="H69" i="5"/>
  <c r="F69" i="5"/>
  <c r="E69" i="5"/>
  <c r="D69" i="5"/>
  <c r="C69" i="5"/>
  <c r="B69" i="5"/>
  <c r="A69" i="5"/>
  <c r="T68" i="5"/>
  <c r="Q68" i="5"/>
  <c r="O68" i="5"/>
  <c r="N68" i="5"/>
  <c r="M68" i="5"/>
  <c r="L68" i="5"/>
  <c r="J68" i="5"/>
  <c r="H68" i="5"/>
  <c r="F68" i="5"/>
  <c r="E68" i="5"/>
  <c r="D68" i="5"/>
  <c r="C68" i="5"/>
  <c r="B68" i="5"/>
  <c r="A68" i="5"/>
  <c r="U67" i="5"/>
  <c r="T67" i="5"/>
  <c r="S67" i="5"/>
  <c r="R67" i="5"/>
  <c r="Q67" i="5"/>
  <c r="P67" i="5"/>
  <c r="O67" i="5"/>
  <c r="N67" i="5"/>
  <c r="M67" i="5"/>
  <c r="L67" i="5"/>
  <c r="K67" i="5"/>
  <c r="J67" i="5"/>
  <c r="H67" i="5"/>
  <c r="F67" i="5"/>
  <c r="E67" i="5"/>
  <c r="D67" i="5"/>
  <c r="C67" i="5"/>
  <c r="B67" i="5"/>
  <c r="A67" i="5"/>
  <c r="Q66" i="5"/>
  <c r="O66" i="5"/>
  <c r="N66" i="5"/>
  <c r="M66" i="5"/>
  <c r="L66" i="5"/>
  <c r="J66" i="5"/>
  <c r="H66" i="5"/>
  <c r="F66" i="5"/>
  <c r="E66" i="5"/>
  <c r="D66" i="5"/>
  <c r="C66" i="5"/>
  <c r="B66" i="5"/>
  <c r="A66" i="5"/>
  <c r="Q65" i="5"/>
  <c r="O65" i="5"/>
  <c r="N65" i="5"/>
  <c r="M65" i="5"/>
  <c r="L65" i="5"/>
  <c r="J65" i="5"/>
  <c r="H65" i="5"/>
  <c r="F65" i="5"/>
  <c r="E65" i="5"/>
  <c r="D65" i="5"/>
  <c r="C65" i="5"/>
  <c r="B65" i="5"/>
  <c r="A65" i="5"/>
  <c r="T64" i="5"/>
  <c r="Q64" i="5"/>
  <c r="O64" i="5"/>
  <c r="N64" i="5"/>
  <c r="M64" i="5"/>
  <c r="L64" i="5"/>
  <c r="J64" i="5"/>
  <c r="H64" i="5"/>
  <c r="F64" i="5"/>
  <c r="E64" i="5"/>
  <c r="D64" i="5"/>
  <c r="C64" i="5"/>
  <c r="B64" i="5"/>
  <c r="A64" i="5"/>
  <c r="T63" i="5"/>
  <c r="Q63" i="5"/>
  <c r="O63" i="5"/>
  <c r="N63" i="5"/>
  <c r="M63" i="5"/>
  <c r="L63" i="5"/>
  <c r="J63" i="5"/>
  <c r="H63" i="5"/>
  <c r="F63" i="5"/>
  <c r="E63" i="5"/>
  <c r="D63" i="5"/>
  <c r="C63" i="5"/>
  <c r="B63" i="5"/>
  <c r="A63" i="5"/>
  <c r="T62" i="5"/>
  <c r="Q62" i="5"/>
  <c r="O62" i="5"/>
  <c r="N62" i="5"/>
  <c r="M62" i="5"/>
  <c r="L62" i="5"/>
  <c r="J62" i="5"/>
  <c r="H62" i="5"/>
  <c r="F62" i="5"/>
  <c r="E62" i="5"/>
  <c r="D62" i="5"/>
  <c r="C62" i="5"/>
  <c r="B62" i="5"/>
  <c r="A62" i="5"/>
  <c r="T61" i="5"/>
  <c r="Q61" i="5"/>
  <c r="O61" i="5"/>
  <c r="N61" i="5"/>
  <c r="M61" i="5"/>
  <c r="L61" i="5"/>
  <c r="J61" i="5"/>
  <c r="H61" i="5"/>
  <c r="F61" i="5"/>
  <c r="E61" i="5"/>
  <c r="D61" i="5"/>
  <c r="C61" i="5"/>
  <c r="B61" i="5"/>
  <c r="A61" i="5"/>
  <c r="F59" i="5"/>
  <c r="T58" i="5"/>
  <c r="Q58" i="5"/>
  <c r="O58" i="5"/>
  <c r="N58" i="5"/>
  <c r="M58" i="5"/>
  <c r="L58" i="5"/>
  <c r="J58" i="5"/>
  <c r="H58" i="5"/>
  <c r="F58" i="5"/>
  <c r="E58" i="5"/>
  <c r="D58" i="5"/>
  <c r="C58" i="5"/>
  <c r="B58" i="5"/>
  <c r="A58" i="5"/>
  <c r="Q57" i="5"/>
  <c r="O57" i="5"/>
  <c r="N57" i="5"/>
  <c r="M57" i="5"/>
  <c r="L57" i="5"/>
  <c r="J57" i="5"/>
  <c r="H57" i="5"/>
  <c r="F57" i="5"/>
  <c r="E57" i="5"/>
  <c r="D57" i="5"/>
  <c r="C57" i="5"/>
  <c r="B57" i="5"/>
  <c r="A57" i="5"/>
  <c r="T56" i="5"/>
  <c r="Q56" i="5"/>
  <c r="O56" i="5"/>
  <c r="N56" i="5"/>
  <c r="M56" i="5"/>
  <c r="L56" i="5"/>
  <c r="J56" i="5"/>
  <c r="H56" i="5"/>
  <c r="F56" i="5"/>
  <c r="E56" i="5"/>
  <c r="D56" i="5"/>
  <c r="C56" i="5"/>
  <c r="B56" i="5"/>
  <c r="A56" i="5"/>
  <c r="T55" i="5"/>
  <c r="Q55" i="5"/>
  <c r="O55" i="5"/>
  <c r="N55" i="5"/>
  <c r="M55" i="5"/>
  <c r="L55" i="5"/>
  <c r="J55" i="5"/>
  <c r="H55" i="5"/>
  <c r="F55" i="5"/>
  <c r="E55" i="5"/>
  <c r="D55" i="5"/>
  <c r="C55" i="5"/>
  <c r="B55" i="5"/>
  <c r="A55" i="5"/>
  <c r="T54" i="5"/>
  <c r="Q54" i="5"/>
  <c r="O54" i="5"/>
  <c r="N54" i="5"/>
  <c r="M54" i="5"/>
  <c r="L54" i="5"/>
  <c r="J54" i="5"/>
  <c r="H54" i="5"/>
  <c r="F54" i="5"/>
  <c r="E54" i="5"/>
  <c r="D54" i="5"/>
  <c r="C54" i="5"/>
  <c r="B54" i="5"/>
  <c r="A54" i="5"/>
  <c r="Q53" i="5"/>
  <c r="O53" i="5"/>
  <c r="N53" i="5"/>
  <c r="M53" i="5"/>
  <c r="L53" i="5"/>
  <c r="J53" i="5"/>
  <c r="H53" i="5"/>
  <c r="F53" i="5"/>
  <c r="E53" i="5"/>
  <c r="D53" i="5"/>
  <c r="C53" i="5"/>
  <c r="B53" i="5"/>
  <c r="A53" i="5"/>
  <c r="U52" i="5"/>
  <c r="T52" i="5"/>
  <c r="S52" i="5"/>
  <c r="R52" i="5"/>
  <c r="Q52" i="5"/>
  <c r="P52" i="5"/>
  <c r="O52" i="5"/>
  <c r="N52" i="5"/>
  <c r="M52" i="5"/>
  <c r="L52" i="5"/>
  <c r="K52" i="5"/>
  <c r="J52" i="5"/>
  <c r="H52" i="5"/>
  <c r="F52" i="5"/>
  <c r="E52" i="5"/>
  <c r="D52" i="5"/>
  <c r="C52" i="5"/>
  <c r="B52" i="5"/>
  <c r="A52" i="5"/>
  <c r="T51" i="5"/>
  <c r="Q51" i="5"/>
  <c r="O51" i="5"/>
  <c r="N51" i="5"/>
  <c r="M51" i="5"/>
  <c r="L51" i="5"/>
  <c r="J51" i="5"/>
  <c r="H51" i="5"/>
  <c r="F51" i="5"/>
  <c r="E51" i="5"/>
  <c r="D51" i="5"/>
  <c r="C51" i="5"/>
  <c r="B51" i="5"/>
  <c r="A51" i="5"/>
  <c r="T50" i="5"/>
  <c r="Q50" i="5"/>
  <c r="O50" i="5"/>
  <c r="N50" i="5"/>
  <c r="M50" i="5"/>
  <c r="L50" i="5"/>
  <c r="J50" i="5"/>
  <c r="H50" i="5"/>
  <c r="F50" i="5"/>
  <c r="E50" i="5"/>
  <c r="D50" i="5"/>
  <c r="C50" i="5"/>
  <c r="B50" i="5"/>
  <c r="A50" i="5"/>
  <c r="T49" i="5"/>
  <c r="Q49" i="5"/>
  <c r="O49" i="5"/>
  <c r="N49" i="5"/>
  <c r="M49" i="5"/>
  <c r="L49" i="5"/>
  <c r="J49" i="5"/>
  <c r="H49" i="5"/>
  <c r="F49" i="5"/>
  <c r="E49" i="5"/>
  <c r="D49" i="5"/>
  <c r="C49" i="5"/>
  <c r="B49" i="5"/>
  <c r="A49" i="5"/>
  <c r="T48" i="5"/>
  <c r="Q48" i="5"/>
  <c r="O48" i="5"/>
  <c r="N48" i="5"/>
  <c r="M48" i="5"/>
  <c r="L48" i="5"/>
  <c r="J48" i="5"/>
  <c r="H48" i="5"/>
  <c r="F48" i="5"/>
  <c r="E48" i="5"/>
  <c r="D48" i="5"/>
  <c r="C48" i="5"/>
  <c r="B48" i="5"/>
  <c r="A48" i="5"/>
  <c r="Q47" i="5"/>
  <c r="O47" i="5"/>
  <c r="N47" i="5"/>
  <c r="M47" i="5"/>
  <c r="L47" i="5"/>
  <c r="J47" i="5"/>
  <c r="H47" i="5"/>
  <c r="F47" i="5"/>
  <c r="E47" i="5"/>
  <c r="D47" i="5"/>
  <c r="C47" i="5"/>
  <c r="B47" i="5"/>
  <c r="A47" i="5"/>
  <c r="U46" i="5"/>
  <c r="T46" i="5"/>
  <c r="S46" i="5"/>
  <c r="R46" i="5"/>
  <c r="Q46" i="5"/>
  <c r="O46" i="5"/>
  <c r="N46" i="5"/>
  <c r="M46" i="5"/>
  <c r="L46" i="5"/>
  <c r="K46" i="5"/>
  <c r="J46" i="5"/>
  <c r="H46" i="5"/>
  <c r="F45" i="5" s="1"/>
  <c r="F46" i="5"/>
  <c r="E46" i="5"/>
  <c r="D46" i="5"/>
  <c r="C46" i="5"/>
  <c r="B46" i="5"/>
  <c r="A46" i="5"/>
  <c r="T44" i="5"/>
  <c r="Q44" i="5"/>
  <c r="O44" i="5"/>
  <c r="N44" i="5"/>
  <c r="M44" i="5"/>
  <c r="L44" i="5"/>
  <c r="J44" i="5"/>
  <c r="H44" i="5"/>
  <c r="F44" i="5"/>
  <c r="E44" i="5"/>
  <c r="D44" i="5"/>
  <c r="C44" i="5"/>
  <c r="B44" i="5"/>
  <c r="A44" i="5"/>
  <c r="Q43" i="5"/>
  <c r="O43" i="5"/>
  <c r="N43" i="5"/>
  <c r="M43" i="5"/>
  <c r="L43" i="5"/>
  <c r="J43" i="5"/>
  <c r="H43" i="5"/>
  <c r="F43" i="5"/>
  <c r="E43" i="5"/>
  <c r="D43" i="5"/>
  <c r="C43" i="5"/>
  <c r="B43" i="5"/>
  <c r="A43" i="5"/>
  <c r="Q42" i="5"/>
  <c r="O42" i="5"/>
  <c r="N42" i="5"/>
  <c r="M42" i="5"/>
  <c r="L42" i="5"/>
  <c r="J42" i="5"/>
  <c r="H42" i="5"/>
  <c r="F42" i="5"/>
  <c r="E42" i="5"/>
  <c r="D42" i="5"/>
  <c r="C42" i="5"/>
  <c r="B42" i="5"/>
  <c r="A42" i="5"/>
  <c r="Q41" i="5"/>
  <c r="O41" i="5"/>
  <c r="M41" i="5"/>
  <c r="L41" i="5"/>
  <c r="J41" i="5"/>
  <c r="H41" i="5"/>
  <c r="F41" i="5"/>
  <c r="E41" i="5"/>
  <c r="D41" i="5"/>
  <c r="C41" i="5"/>
  <c r="B41" i="5"/>
  <c r="A41" i="5"/>
  <c r="U40" i="5"/>
  <c r="T40" i="5"/>
  <c r="Q40" i="5"/>
  <c r="P40" i="5"/>
  <c r="O40" i="5"/>
  <c r="N40" i="5"/>
  <c r="M40" i="5"/>
  <c r="L40" i="5"/>
  <c r="J40" i="5"/>
  <c r="H40" i="5"/>
  <c r="F40" i="5"/>
  <c r="E40" i="5"/>
  <c r="D40" i="5"/>
  <c r="C40" i="5"/>
  <c r="B40" i="5"/>
  <c r="A40" i="5"/>
  <c r="T39" i="5"/>
  <c r="Q39" i="5"/>
  <c r="O39" i="5"/>
  <c r="N39" i="5"/>
  <c r="M39" i="5"/>
  <c r="L39" i="5"/>
  <c r="J39" i="5"/>
  <c r="H39" i="5"/>
  <c r="F39" i="5"/>
  <c r="E39" i="5"/>
  <c r="D39" i="5"/>
  <c r="C39" i="5"/>
  <c r="B39" i="5"/>
  <c r="A39" i="5"/>
  <c r="Q38" i="5"/>
  <c r="O38" i="5"/>
  <c r="N38" i="5"/>
  <c r="M38" i="5"/>
  <c r="L38" i="5"/>
  <c r="J38" i="5"/>
  <c r="H38" i="5"/>
  <c r="F38" i="5"/>
  <c r="E38" i="5"/>
  <c r="D38" i="5"/>
  <c r="C38" i="5"/>
  <c r="B38" i="5"/>
  <c r="A38" i="5"/>
  <c r="Q37" i="5"/>
  <c r="O37" i="5"/>
  <c r="N37" i="5"/>
  <c r="M37" i="5"/>
  <c r="L37" i="5"/>
  <c r="J37" i="5"/>
  <c r="H37" i="5"/>
  <c r="F37" i="5"/>
  <c r="E37" i="5"/>
  <c r="D37" i="5"/>
  <c r="C37" i="5"/>
  <c r="B37" i="5"/>
  <c r="A37" i="5"/>
  <c r="T36" i="5"/>
  <c r="Q36" i="5"/>
  <c r="O36" i="5"/>
  <c r="N36" i="5"/>
  <c r="M36" i="5"/>
  <c r="L36" i="5"/>
  <c r="J36" i="5"/>
  <c r="H36" i="5"/>
  <c r="F36" i="5"/>
  <c r="E36" i="5"/>
  <c r="D36" i="5"/>
  <c r="C36" i="5"/>
  <c r="B36" i="5"/>
  <c r="A36" i="5"/>
  <c r="T35" i="5"/>
  <c r="Q35" i="5"/>
  <c r="O35" i="5"/>
  <c r="N35" i="5"/>
  <c r="M35" i="5"/>
  <c r="L35" i="5"/>
  <c r="J35" i="5"/>
  <c r="H35" i="5"/>
  <c r="F35" i="5"/>
  <c r="E35" i="5"/>
  <c r="D35" i="5"/>
  <c r="C35" i="5"/>
  <c r="B35" i="5"/>
  <c r="A35" i="5"/>
  <c r="Q34" i="5"/>
  <c r="O34" i="5"/>
  <c r="N34" i="5"/>
  <c r="M34" i="5"/>
  <c r="L34" i="5"/>
  <c r="J34" i="5"/>
  <c r="H34" i="5"/>
  <c r="F34" i="5"/>
  <c r="E34" i="5"/>
  <c r="D34" i="5"/>
  <c r="C34" i="5"/>
  <c r="B34" i="5"/>
  <c r="A34" i="5"/>
  <c r="T33" i="5"/>
  <c r="Q33" i="5"/>
  <c r="O33" i="5"/>
  <c r="N33" i="5"/>
  <c r="M33" i="5"/>
  <c r="L33" i="5"/>
  <c r="J33" i="5"/>
  <c r="H33" i="5"/>
  <c r="F33" i="5"/>
  <c r="E33" i="5"/>
  <c r="D33" i="5"/>
  <c r="C33" i="5"/>
  <c r="B33" i="5"/>
  <c r="A33" i="5"/>
  <c r="U32" i="5"/>
  <c r="T32" i="5"/>
  <c r="S32" i="5"/>
  <c r="R32" i="5"/>
  <c r="Q32" i="5"/>
  <c r="O32" i="5"/>
  <c r="N32" i="5"/>
  <c r="M32" i="5"/>
  <c r="L32" i="5"/>
  <c r="K32" i="5"/>
  <c r="J32" i="5"/>
  <c r="H32" i="5"/>
  <c r="F31" i="5" s="1"/>
  <c r="F32" i="5"/>
  <c r="E32" i="5"/>
  <c r="D32" i="5"/>
  <c r="C32" i="5"/>
  <c r="B32" i="5"/>
  <c r="A32" i="5"/>
  <c r="Q30" i="5"/>
  <c r="O30" i="5"/>
  <c r="N30" i="5"/>
  <c r="M30" i="5"/>
  <c r="L30" i="5"/>
  <c r="J30" i="5"/>
  <c r="H30" i="5"/>
  <c r="F30" i="5"/>
  <c r="E30" i="5"/>
  <c r="D30" i="5"/>
  <c r="C30" i="5"/>
  <c r="B30" i="5"/>
  <c r="A30" i="5"/>
  <c r="T29" i="5"/>
  <c r="Q29" i="5"/>
  <c r="O29" i="5"/>
  <c r="M29" i="5"/>
  <c r="L29" i="5"/>
  <c r="J29" i="5"/>
  <c r="H29" i="5"/>
  <c r="F29" i="5"/>
  <c r="E29" i="5"/>
  <c r="D29" i="5"/>
  <c r="C29" i="5"/>
  <c r="B29" i="5"/>
  <c r="A29" i="5"/>
  <c r="T28" i="5"/>
  <c r="Q28" i="5"/>
  <c r="O28" i="5"/>
  <c r="N28" i="5"/>
  <c r="M28" i="5"/>
  <c r="L28" i="5"/>
  <c r="J28" i="5"/>
  <c r="H28" i="5"/>
  <c r="F28" i="5"/>
  <c r="E28" i="5"/>
  <c r="D28" i="5"/>
  <c r="C28" i="5"/>
  <c r="B28" i="5"/>
  <c r="A28" i="5"/>
  <c r="T27" i="5"/>
  <c r="Q27" i="5"/>
  <c r="O27" i="5"/>
  <c r="N27" i="5"/>
  <c r="M27" i="5"/>
  <c r="L27" i="5"/>
  <c r="J27" i="5"/>
  <c r="H27" i="5"/>
  <c r="F27" i="5"/>
  <c r="E27" i="5"/>
  <c r="D27" i="5"/>
  <c r="C27" i="5"/>
  <c r="B27" i="5"/>
  <c r="A27" i="5"/>
  <c r="T26" i="5"/>
  <c r="Q26" i="5"/>
  <c r="O26" i="5"/>
  <c r="N26" i="5"/>
  <c r="M26" i="5"/>
  <c r="L26" i="5"/>
  <c r="J26" i="5"/>
  <c r="H26" i="5"/>
  <c r="F26" i="5"/>
  <c r="E26" i="5"/>
  <c r="D26" i="5"/>
  <c r="C26" i="5"/>
  <c r="B26" i="5"/>
  <c r="A26" i="5"/>
  <c r="U25" i="5"/>
  <c r="T25" i="5"/>
  <c r="S25" i="5"/>
  <c r="R25" i="5"/>
  <c r="Q25" i="5"/>
  <c r="P25" i="5"/>
  <c r="O25" i="5"/>
  <c r="N25" i="5"/>
  <c r="M25" i="5"/>
  <c r="L25" i="5"/>
  <c r="K25" i="5"/>
  <c r="J25" i="5"/>
  <c r="H25" i="5"/>
  <c r="F25" i="5"/>
  <c r="E25" i="5"/>
  <c r="D25" i="5"/>
  <c r="C25" i="5"/>
  <c r="B25" i="5"/>
  <c r="A25" i="5"/>
  <c r="Q24" i="5"/>
  <c r="O24" i="5"/>
  <c r="N24" i="5"/>
  <c r="M24" i="5"/>
  <c r="L24" i="5"/>
  <c r="J24" i="5"/>
  <c r="H24" i="5"/>
  <c r="F24" i="5"/>
  <c r="E24" i="5"/>
  <c r="D24" i="5"/>
  <c r="C24" i="5"/>
  <c r="B24" i="5"/>
  <c r="A24" i="5"/>
  <c r="T23" i="5"/>
  <c r="Q23" i="5"/>
  <c r="O23" i="5"/>
  <c r="N23" i="5"/>
  <c r="M23" i="5"/>
  <c r="L23" i="5"/>
  <c r="J23" i="5"/>
  <c r="H23" i="5"/>
  <c r="F23" i="5"/>
  <c r="E23" i="5"/>
  <c r="D23" i="5"/>
  <c r="C23" i="5"/>
  <c r="B23" i="5"/>
  <c r="A23" i="5"/>
  <c r="T22" i="5"/>
  <c r="Q22" i="5"/>
  <c r="O22" i="5"/>
  <c r="N22" i="5"/>
  <c r="M22" i="5"/>
  <c r="L22" i="5"/>
  <c r="J22" i="5"/>
  <c r="H22" i="5"/>
  <c r="F22" i="5"/>
  <c r="E22" i="5"/>
  <c r="D22" i="5"/>
  <c r="C22" i="5"/>
  <c r="B22" i="5"/>
  <c r="A22" i="5"/>
  <c r="Q21" i="5"/>
  <c r="O21" i="5"/>
  <c r="N21" i="5"/>
  <c r="M21" i="5"/>
  <c r="L21" i="5"/>
  <c r="J21" i="5"/>
  <c r="H21" i="5"/>
  <c r="F21" i="5"/>
  <c r="E21" i="5"/>
  <c r="D21" i="5"/>
  <c r="C21" i="5"/>
  <c r="B21" i="5"/>
  <c r="A21" i="5"/>
  <c r="T20" i="5"/>
  <c r="Q20" i="5"/>
  <c r="O20" i="5"/>
  <c r="N20" i="5"/>
  <c r="M20" i="5"/>
  <c r="L20" i="5"/>
  <c r="J20" i="5"/>
  <c r="H20" i="5"/>
  <c r="F20" i="5"/>
  <c r="E20" i="5"/>
  <c r="D20" i="5"/>
  <c r="C20" i="5"/>
  <c r="B20" i="5"/>
  <c r="A20" i="5"/>
  <c r="Q19" i="5"/>
  <c r="O19" i="5"/>
  <c r="N19" i="5"/>
  <c r="M19" i="5"/>
  <c r="L19" i="5"/>
  <c r="J19" i="5"/>
  <c r="H19" i="5"/>
  <c r="F19" i="5"/>
  <c r="E19" i="5"/>
  <c r="D19" i="5"/>
  <c r="C19" i="5"/>
  <c r="B19" i="5"/>
  <c r="A19" i="5"/>
  <c r="U18" i="5"/>
  <c r="T18" i="5"/>
  <c r="Q18" i="5"/>
  <c r="O18" i="5"/>
  <c r="N18" i="5"/>
  <c r="M18" i="5"/>
  <c r="L18" i="5"/>
  <c r="J18" i="5"/>
  <c r="H18" i="5"/>
  <c r="F17" i="5" s="1"/>
  <c r="F18" i="5"/>
  <c r="E18" i="5"/>
  <c r="D18" i="5"/>
  <c r="C18" i="5"/>
  <c r="B18" i="5"/>
  <c r="A18" i="5"/>
  <c r="Q16" i="5"/>
  <c r="O16" i="5"/>
  <c r="N16" i="5"/>
  <c r="M16" i="5"/>
  <c r="L16" i="5"/>
  <c r="J16" i="5"/>
  <c r="H16" i="5"/>
  <c r="F16" i="5"/>
  <c r="E16" i="5"/>
  <c r="D16" i="5"/>
  <c r="C16" i="5"/>
  <c r="B16" i="5"/>
  <c r="A16" i="5"/>
  <c r="Q15" i="5"/>
  <c r="O15" i="5"/>
  <c r="N15" i="5"/>
  <c r="M15" i="5"/>
  <c r="L15" i="5"/>
  <c r="J15" i="5"/>
  <c r="H15" i="5"/>
  <c r="F15" i="5"/>
  <c r="E15" i="5"/>
  <c r="D15" i="5"/>
  <c r="C15" i="5"/>
  <c r="B15" i="5"/>
  <c r="A15" i="5"/>
  <c r="T14" i="5"/>
  <c r="Q14" i="5"/>
  <c r="O14" i="5"/>
  <c r="N14" i="5"/>
  <c r="M14" i="5"/>
  <c r="L14" i="5"/>
  <c r="J14" i="5"/>
  <c r="H14" i="5"/>
  <c r="F14" i="5"/>
  <c r="E14" i="5"/>
  <c r="D14" i="5"/>
  <c r="C14" i="5"/>
  <c r="B14" i="5"/>
  <c r="A14" i="5"/>
  <c r="T13" i="5"/>
  <c r="Q13" i="5"/>
  <c r="O13" i="5"/>
  <c r="M13" i="5"/>
  <c r="L13" i="5"/>
  <c r="J13" i="5"/>
  <c r="H13" i="5"/>
  <c r="F13" i="5"/>
  <c r="E13" i="5"/>
  <c r="D13" i="5"/>
  <c r="C13" i="5"/>
  <c r="B13" i="5"/>
  <c r="A13" i="5"/>
  <c r="Q12" i="5"/>
  <c r="O12" i="5"/>
  <c r="M12" i="5"/>
  <c r="L12" i="5"/>
  <c r="J12" i="5"/>
  <c r="H12" i="5"/>
  <c r="F12" i="5"/>
  <c r="E12" i="5"/>
  <c r="D12" i="5"/>
  <c r="C12" i="5"/>
  <c r="B12" i="5"/>
  <c r="A12" i="5"/>
  <c r="T11" i="5"/>
  <c r="Q11" i="5"/>
  <c r="O11" i="5"/>
  <c r="N11" i="5"/>
  <c r="M11" i="5"/>
  <c r="L11" i="5"/>
  <c r="J11" i="5"/>
  <c r="H11" i="5"/>
  <c r="F11" i="5"/>
  <c r="E11" i="5"/>
  <c r="D11" i="5"/>
  <c r="C11" i="5"/>
  <c r="B11" i="5"/>
  <c r="A11" i="5"/>
  <c r="T10" i="5"/>
  <c r="Q10" i="5"/>
  <c r="O10" i="5"/>
  <c r="M10" i="5"/>
  <c r="L10" i="5"/>
  <c r="J10" i="5"/>
  <c r="H10" i="5"/>
  <c r="F10" i="5"/>
  <c r="E10" i="5"/>
  <c r="D10" i="5"/>
  <c r="C10" i="5"/>
  <c r="B10" i="5"/>
  <c r="A10" i="5"/>
  <c r="U9" i="5"/>
  <c r="T9" i="5"/>
  <c r="S9" i="5"/>
  <c r="R9" i="5"/>
  <c r="Q9" i="5"/>
  <c r="P9" i="5"/>
  <c r="O9" i="5"/>
  <c r="N9" i="5"/>
  <c r="M9" i="5"/>
  <c r="L9" i="5"/>
  <c r="K9" i="5"/>
  <c r="J9" i="5"/>
  <c r="H9" i="5"/>
  <c r="F9" i="5"/>
  <c r="E9" i="5"/>
  <c r="D9" i="5"/>
  <c r="C9" i="5"/>
  <c r="B9" i="5"/>
  <c r="A9" i="5"/>
  <c r="T8" i="5"/>
  <c r="Q8" i="5"/>
  <c r="O8" i="5"/>
  <c r="N8" i="5"/>
  <c r="M8" i="5"/>
  <c r="L8" i="5"/>
  <c r="J8" i="5"/>
  <c r="H8" i="5"/>
  <c r="F8" i="5"/>
  <c r="E8" i="5"/>
  <c r="D8" i="5"/>
  <c r="C8" i="5"/>
  <c r="B8" i="5"/>
  <c r="A8" i="5"/>
  <c r="Q7" i="5"/>
  <c r="O7" i="5"/>
  <c r="N7" i="5"/>
  <c r="M7" i="5"/>
  <c r="L7" i="5"/>
  <c r="J7" i="5"/>
  <c r="H7" i="5"/>
  <c r="F7" i="5"/>
  <c r="E7" i="5"/>
  <c r="D7" i="5"/>
  <c r="C7" i="5"/>
  <c r="B7" i="5"/>
  <c r="A7" i="5"/>
  <c r="T6" i="5"/>
  <c r="Q6" i="5"/>
  <c r="O6" i="5"/>
  <c r="N6" i="5"/>
  <c r="M6" i="5"/>
  <c r="L6" i="5"/>
  <c r="J6" i="5"/>
  <c r="H6" i="5"/>
  <c r="F6" i="5"/>
  <c r="E6" i="5"/>
  <c r="D6" i="5"/>
  <c r="C6" i="5"/>
  <c r="B6" i="5"/>
  <c r="A6" i="5"/>
  <c r="Q5" i="5"/>
  <c r="O5" i="5"/>
  <c r="N5" i="5"/>
  <c r="M5" i="5"/>
  <c r="L5" i="5"/>
  <c r="J5" i="5"/>
  <c r="H5" i="5"/>
  <c r="F5" i="5"/>
  <c r="E5" i="5"/>
  <c r="D5" i="5"/>
  <c r="C5" i="5"/>
  <c r="B5" i="5"/>
  <c r="A5" i="5"/>
  <c r="U4" i="5"/>
  <c r="T4" i="5"/>
  <c r="S4" i="5"/>
  <c r="R4" i="5"/>
  <c r="Q4" i="5"/>
  <c r="O4" i="5"/>
  <c r="N4" i="5"/>
  <c r="M4" i="5"/>
  <c r="L4" i="5"/>
  <c r="K4" i="5"/>
  <c r="J4" i="5"/>
  <c r="H4" i="5"/>
  <c r="F3" i="5" s="1"/>
  <c r="F4" i="5"/>
  <c r="E4" i="5"/>
  <c r="D4" i="5"/>
  <c r="C4" i="5"/>
  <c r="B4" i="5"/>
  <c r="A4" i="5"/>
  <c r="Q44" i="3"/>
  <c r="O44" i="3"/>
  <c r="N44" i="3"/>
  <c r="M44" i="3"/>
  <c r="L44" i="3"/>
  <c r="J44" i="3"/>
  <c r="H44" i="3"/>
  <c r="F44" i="3"/>
  <c r="E44" i="3"/>
  <c r="D44" i="3"/>
  <c r="C44" i="3"/>
  <c r="B44" i="3"/>
  <c r="A44" i="3"/>
  <c r="Q43" i="3"/>
  <c r="O43" i="3"/>
  <c r="N43" i="3"/>
  <c r="M43" i="3"/>
  <c r="L43" i="3"/>
  <c r="J43" i="3"/>
  <c r="H43" i="3"/>
  <c r="F43" i="3"/>
  <c r="E43" i="3"/>
  <c r="D43" i="3"/>
  <c r="C43" i="3"/>
  <c r="B43" i="3"/>
  <c r="A43" i="3"/>
  <c r="T42" i="3"/>
  <c r="Q42" i="3"/>
  <c r="O42" i="3"/>
  <c r="N42" i="3"/>
  <c r="M42" i="3"/>
  <c r="L42" i="3"/>
  <c r="J42" i="3"/>
  <c r="H42" i="3"/>
  <c r="F42" i="3"/>
  <c r="E42" i="3"/>
  <c r="D42" i="3"/>
  <c r="C42" i="3"/>
  <c r="B42" i="3"/>
  <c r="A42" i="3"/>
  <c r="Q41" i="3"/>
  <c r="O41" i="3"/>
  <c r="N41" i="3"/>
  <c r="M41" i="3"/>
  <c r="L41" i="3"/>
  <c r="J41" i="3"/>
  <c r="H41" i="3"/>
  <c r="F41" i="3"/>
  <c r="E41" i="3"/>
  <c r="D41" i="3"/>
  <c r="C41" i="3"/>
  <c r="B41" i="3"/>
  <c r="A41" i="3"/>
  <c r="U40" i="3"/>
  <c r="T40" i="3"/>
  <c r="S40" i="3"/>
  <c r="R40" i="3"/>
  <c r="Q40" i="3"/>
  <c r="P40" i="3"/>
  <c r="O40" i="3"/>
  <c r="N40" i="3"/>
  <c r="M40" i="3"/>
  <c r="L40" i="3"/>
  <c r="K40" i="3"/>
  <c r="J40" i="3"/>
  <c r="H40" i="3"/>
  <c r="F40" i="3"/>
  <c r="E40" i="3"/>
  <c r="D40" i="3"/>
  <c r="C40" i="3"/>
  <c r="B40" i="3"/>
  <c r="A40" i="3"/>
  <c r="Q39" i="3"/>
  <c r="O39" i="3"/>
  <c r="M39" i="3"/>
  <c r="L39" i="3"/>
  <c r="J39" i="3"/>
  <c r="H39" i="3"/>
  <c r="F39" i="3"/>
  <c r="E39" i="3"/>
  <c r="D39" i="3"/>
  <c r="C39" i="3"/>
  <c r="B39" i="3"/>
  <c r="A39" i="3"/>
  <c r="T38" i="3"/>
  <c r="Q38" i="3"/>
  <c r="O38" i="3"/>
  <c r="N38" i="3"/>
  <c r="M38" i="3"/>
  <c r="L38" i="3"/>
  <c r="J38" i="3"/>
  <c r="H38" i="3"/>
  <c r="F38" i="3"/>
  <c r="E38" i="3"/>
  <c r="D38" i="3"/>
  <c r="C38" i="3"/>
  <c r="B38" i="3"/>
  <c r="A38" i="3"/>
  <c r="T37" i="3"/>
  <c r="Q37" i="3"/>
  <c r="O37" i="3"/>
  <c r="M37" i="3"/>
  <c r="L37" i="3"/>
  <c r="J37" i="3"/>
  <c r="H37" i="3"/>
  <c r="F37" i="3"/>
  <c r="E37" i="3"/>
  <c r="D37" i="3"/>
  <c r="C37" i="3"/>
  <c r="B37" i="3"/>
  <c r="A37" i="3"/>
  <c r="T36" i="3"/>
  <c r="Q36" i="3"/>
  <c r="O36" i="3"/>
  <c r="N36" i="3"/>
  <c r="M36" i="3"/>
  <c r="L36" i="3"/>
  <c r="J36" i="3"/>
  <c r="H36" i="3"/>
  <c r="F36" i="3"/>
  <c r="E36" i="3"/>
  <c r="D36" i="3"/>
  <c r="C36" i="3"/>
  <c r="B36" i="3"/>
  <c r="A36" i="3"/>
  <c r="T35" i="3"/>
  <c r="Q35" i="3"/>
  <c r="O35" i="3"/>
  <c r="N35" i="3"/>
  <c r="M35" i="3"/>
  <c r="L35" i="3"/>
  <c r="J35" i="3"/>
  <c r="H35" i="3"/>
  <c r="F35" i="3"/>
  <c r="E35" i="3"/>
  <c r="D35" i="3"/>
  <c r="C35" i="3"/>
  <c r="B35" i="3"/>
  <c r="A35" i="3"/>
  <c r="U34" i="3"/>
  <c r="T34" i="3"/>
  <c r="Q34" i="3"/>
  <c r="O34" i="3"/>
  <c r="N34" i="3"/>
  <c r="M34" i="3"/>
  <c r="L34" i="3"/>
  <c r="J34" i="3"/>
  <c r="H34" i="3"/>
  <c r="F34" i="3"/>
  <c r="E34" i="3"/>
  <c r="D34" i="3"/>
  <c r="C34" i="3"/>
  <c r="B34" i="3"/>
  <c r="A34" i="3"/>
  <c r="Q33" i="3"/>
  <c r="O33" i="3"/>
  <c r="N33" i="3"/>
  <c r="M33" i="3"/>
  <c r="L33" i="3"/>
  <c r="J33" i="3"/>
  <c r="H33" i="3"/>
  <c r="F33" i="3"/>
  <c r="F31" i="3" s="1"/>
  <c r="E33" i="3"/>
  <c r="D33" i="3"/>
  <c r="C33" i="3"/>
  <c r="B33" i="3"/>
  <c r="A33" i="3"/>
  <c r="Q30" i="3"/>
  <c r="O30" i="3"/>
  <c r="N30" i="3"/>
  <c r="M30" i="3"/>
  <c r="L30" i="3"/>
  <c r="J30" i="3"/>
  <c r="H30" i="3"/>
  <c r="F30" i="3"/>
  <c r="E30" i="3"/>
  <c r="D30" i="3"/>
  <c r="C30" i="3"/>
  <c r="B30" i="3"/>
  <c r="A30" i="3"/>
  <c r="T29" i="3"/>
  <c r="Q29" i="3"/>
  <c r="O29" i="3"/>
  <c r="N29" i="3"/>
  <c r="M29" i="3"/>
  <c r="L29" i="3"/>
  <c r="J29" i="3"/>
  <c r="H29" i="3"/>
  <c r="F29" i="3"/>
  <c r="E29" i="3"/>
  <c r="D29" i="3"/>
  <c r="C29" i="3"/>
  <c r="B29" i="3"/>
  <c r="A29" i="3"/>
  <c r="T28" i="3"/>
  <c r="Q28" i="3"/>
  <c r="O28" i="3"/>
  <c r="N28" i="3"/>
  <c r="M28" i="3"/>
  <c r="L28" i="3"/>
  <c r="J28" i="3"/>
  <c r="H28" i="3"/>
  <c r="F28" i="3"/>
  <c r="E28" i="3"/>
  <c r="D28" i="3"/>
  <c r="C28" i="3"/>
  <c r="B28" i="3"/>
  <c r="A28" i="3"/>
  <c r="T27" i="3"/>
  <c r="Q27" i="3"/>
  <c r="O27" i="3"/>
  <c r="M27" i="3"/>
  <c r="L27" i="3"/>
  <c r="J27" i="3"/>
  <c r="H27" i="3"/>
  <c r="F27" i="3"/>
  <c r="E27" i="3"/>
  <c r="D27" i="3"/>
  <c r="C27" i="3"/>
  <c r="B27" i="3"/>
  <c r="A27" i="3"/>
  <c r="U26" i="3"/>
  <c r="T26" i="3"/>
  <c r="S26" i="3"/>
  <c r="R26" i="3"/>
  <c r="Q26" i="3"/>
  <c r="P26" i="3"/>
  <c r="O26" i="3"/>
  <c r="N26" i="3"/>
  <c r="M26" i="3"/>
  <c r="L26" i="3"/>
  <c r="K26" i="3"/>
  <c r="J26" i="3"/>
  <c r="H26" i="3"/>
  <c r="F26" i="3"/>
  <c r="E26" i="3"/>
  <c r="D26" i="3"/>
  <c r="C26" i="3"/>
  <c r="B26" i="3"/>
  <c r="A26" i="3"/>
  <c r="Q25" i="3"/>
  <c r="O25" i="3"/>
  <c r="N25" i="3"/>
  <c r="M25" i="3"/>
  <c r="L25" i="3"/>
  <c r="J25" i="3"/>
  <c r="H25" i="3"/>
  <c r="F25" i="3"/>
  <c r="E25" i="3"/>
  <c r="D25" i="3"/>
  <c r="C25" i="3"/>
  <c r="B25" i="3"/>
  <c r="A25" i="3"/>
  <c r="T24" i="3"/>
  <c r="Q24" i="3"/>
  <c r="O24" i="3"/>
  <c r="N24" i="3"/>
  <c r="M24" i="3"/>
  <c r="L24" i="3"/>
  <c r="J24" i="3"/>
  <c r="H24" i="3"/>
  <c r="F24" i="3"/>
  <c r="E24" i="3"/>
  <c r="D24" i="3"/>
  <c r="C24" i="3"/>
  <c r="B24" i="3"/>
  <c r="A24" i="3"/>
  <c r="Q23" i="3"/>
  <c r="O23" i="3"/>
  <c r="N23" i="3"/>
  <c r="M23" i="3"/>
  <c r="L23" i="3"/>
  <c r="J23" i="3"/>
  <c r="H23" i="3"/>
  <c r="F23" i="3"/>
  <c r="E23" i="3"/>
  <c r="D23" i="3"/>
  <c r="C23" i="3"/>
  <c r="B23" i="3"/>
  <c r="A23" i="3"/>
  <c r="T22" i="3"/>
  <c r="Q22" i="3"/>
  <c r="O22" i="3"/>
  <c r="N22" i="3"/>
  <c r="M22" i="3"/>
  <c r="L22" i="3"/>
  <c r="J22" i="3"/>
  <c r="H22" i="3"/>
  <c r="F22" i="3"/>
  <c r="E22" i="3"/>
  <c r="D22" i="3"/>
  <c r="C22" i="3"/>
  <c r="B22" i="3"/>
  <c r="A22" i="3"/>
  <c r="T21" i="3"/>
  <c r="Q21" i="3"/>
  <c r="O21" i="3"/>
  <c r="N21" i="3"/>
  <c r="M21" i="3"/>
  <c r="L21" i="3"/>
  <c r="J21" i="3"/>
  <c r="H21" i="3"/>
  <c r="F21" i="3"/>
  <c r="E21" i="3"/>
  <c r="D21" i="3"/>
  <c r="C21" i="3"/>
  <c r="B21" i="3"/>
  <c r="A21" i="3"/>
  <c r="Q20" i="3"/>
  <c r="O20" i="3"/>
  <c r="N20" i="3"/>
  <c r="M20" i="3"/>
  <c r="L20" i="3"/>
  <c r="J20" i="3"/>
  <c r="H20" i="3"/>
  <c r="F20" i="3"/>
  <c r="E20" i="3"/>
  <c r="D20" i="3"/>
  <c r="C20" i="3"/>
  <c r="B20" i="3"/>
  <c r="A20" i="3"/>
  <c r="U19" i="3"/>
  <c r="T19" i="3"/>
  <c r="S19" i="3"/>
  <c r="R19" i="3"/>
  <c r="Q19" i="3"/>
  <c r="O19" i="3"/>
  <c r="N19" i="3"/>
  <c r="M19" i="3"/>
  <c r="L19" i="3"/>
  <c r="K19" i="3"/>
  <c r="J19" i="3"/>
  <c r="H19" i="3"/>
  <c r="F17" i="3" s="1"/>
  <c r="F19" i="3"/>
  <c r="E19" i="3"/>
  <c r="D19" i="3"/>
  <c r="C19" i="3"/>
  <c r="B19" i="3"/>
  <c r="A19" i="3"/>
  <c r="T87" i="3"/>
  <c r="Q87" i="3"/>
  <c r="O87" i="3"/>
  <c r="N87" i="3"/>
  <c r="M87" i="3"/>
  <c r="L87" i="3"/>
  <c r="J87" i="3"/>
  <c r="H87" i="3"/>
  <c r="F87" i="3"/>
  <c r="E87" i="3"/>
  <c r="D87" i="3"/>
  <c r="C87" i="3"/>
  <c r="B87" i="3"/>
  <c r="A87" i="3"/>
  <c r="T86" i="3"/>
  <c r="Q86" i="3"/>
  <c r="O86" i="3"/>
  <c r="N86" i="3"/>
  <c r="M86" i="3"/>
  <c r="L86" i="3"/>
  <c r="J86" i="3"/>
  <c r="H86" i="3"/>
  <c r="F86" i="3"/>
  <c r="E86" i="3"/>
  <c r="D86" i="3"/>
  <c r="C86" i="3"/>
  <c r="B86" i="3"/>
  <c r="A86" i="3"/>
  <c r="T85" i="3"/>
  <c r="Q85" i="3"/>
  <c r="O85" i="3"/>
  <c r="N85" i="3"/>
  <c r="M85" i="3"/>
  <c r="L85" i="3"/>
  <c r="J85" i="3"/>
  <c r="H85" i="3"/>
  <c r="F85" i="3"/>
  <c r="E85" i="3"/>
  <c r="D85" i="3"/>
  <c r="C85" i="3"/>
  <c r="B85" i="3"/>
  <c r="A85" i="3"/>
  <c r="Q83" i="3"/>
  <c r="O83" i="3"/>
  <c r="M83" i="3"/>
  <c r="L83" i="3"/>
  <c r="J83" i="3"/>
  <c r="H83" i="3"/>
  <c r="F83" i="3"/>
  <c r="E83" i="3"/>
  <c r="D83" i="3"/>
  <c r="C83" i="3"/>
  <c r="B83" i="3"/>
  <c r="A83" i="3"/>
  <c r="Q82" i="3"/>
  <c r="O82" i="3"/>
  <c r="N82" i="3"/>
  <c r="M82" i="3"/>
  <c r="L82" i="3"/>
  <c r="J82" i="3"/>
  <c r="H82" i="3"/>
  <c r="F82" i="3"/>
  <c r="E82" i="3"/>
  <c r="D82" i="3"/>
  <c r="C82" i="3"/>
  <c r="B82" i="3"/>
  <c r="A82" i="3"/>
  <c r="U81" i="3"/>
  <c r="T81" i="3"/>
  <c r="S81" i="3"/>
  <c r="R81" i="3"/>
  <c r="Q81" i="3"/>
  <c r="P81" i="3"/>
  <c r="O81" i="3"/>
  <c r="N81" i="3"/>
  <c r="M81" i="3"/>
  <c r="L81" i="3"/>
  <c r="K81" i="3"/>
  <c r="J81" i="3"/>
  <c r="H81" i="3"/>
  <c r="F81" i="3"/>
  <c r="E81" i="3"/>
  <c r="D81" i="3"/>
  <c r="C81" i="3"/>
  <c r="B81" i="3"/>
  <c r="A81" i="3"/>
  <c r="Q80" i="3"/>
  <c r="O80" i="3"/>
  <c r="N80" i="3"/>
  <c r="M80" i="3"/>
  <c r="L80" i="3"/>
  <c r="J80" i="3"/>
  <c r="H80" i="3"/>
  <c r="F80" i="3"/>
  <c r="E80" i="3"/>
  <c r="D80" i="3"/>
  <c r="C80" i="3"/>
  <c r="B80" i="3"/>
  <c r="A80" i="3"/>
  <c r="T79" i="3"/>
  <c r="Q79" i="3"/>
  <c r="O79" i="3"/>
  <c r="N79" i="3"/>
  <c r="M79" i="3"/>
  <c r="L79" i="3"/>
  <c r="J79" i="3"/>
  <c r="H79" i="3"/>
  <c r="F79" i="3"/>
  <c r="E79" i="3"/>
  <c r="D79" i="3"/>
  <c r="C79" i="3"/>
  <c r="B79" i="3"/>
  <c r="A79" i="3"/>
  <c r="T78" i="3"/>
  <c r="Q78" i="3"/>
  <c r="O78" i="3"/>
  <c r="N78" i="3"/>
  <c r="M78" i="3"/>
  <c r="L78" i="3"/>
  <c r="J78" i="3"/>
  <c r="H78" i="3"/>
  <c r="F78" i="3"/>
  <c r="E78" i="3"/>
  <c r="D78" i="3"/>
  <c r="C78" i="3"/>
  <c r="B78" i="3"/>
  <c r="A78" i="3"/>
  <c r="T77" i="3"/>
  <c r="Q77" i="3"/>
  <c r="O77" i="3"/>
  <c r="N77" i="3"/>
  <c r="M77" i="3"/>
  <c r="L77" i="3"/>
  <c r="J77" i="3"/>
  <c r="H77" i="3"/>
  <c r="F77" i="3"/>
  <c r="E77" i="3"/>
  <c r="D77" i="3"/>
  <c r="C77" i="3"/>
  <c r="B77" i="3"/>
  <c r="A77" i="3"/>
  <c r="T76" i="3"/>
  <c r="Q76" i="3"/>
  <c r="O76" i="3"/>
  <c r="N76" i="3"/>
  <c r="M76" i="3"/>
  <c r="L76" i="3"/>
  <c r="J76" i="3"/>
  <c r="H76" i="3"/>
  <c r="F76" i="3"/>
  <c r="F74" i="3" s="1"/>
  <c r="E76" i="3"/>
  <c r="D76" i="3"/>
  <c r="C76" i="3"/>
  <c r="B76" i="3"/>
  <c r="A76" i="3"/>
  <c r="Q201" i="3"/>
  <c r="O201" i="3"/>
  <c r="N201" i="3"/>
  <c r="M201" i="3"/>
  <c r="L201" i="3"/>
  <c r="J201" i="3"/>
  <c r="H201" i="3"/>
  <c r="F201" i="3"/>
  <c r="E201" i="3"/>
  <c r="D201" i="3"/>
  <c r="C201" i="3"/>
  <c r="B201" i="3"/>
  <c r="A201" i="3"/>
  <c r="T200" i="3"/>
  <c r="Q200" i="3"/>
  <c r="O200" i="3"/>
  <c r="N200" i="3"/>
  <c r="M200" i="3"/>
  <c r="L200" i="3"/>
  <c r="J200" i="3"/>
  <c r="H200" i="3"/>
  <c r="F200" i="3"/>
  <c r="E200" i="3"/>
  <c r="D200" i="3"/>
  <c r="C200" i="3"/>
  <c r="B200" i="3"/>
  <c r="A200" i="3"/>
  <c r="Q199" i="3"/>
  <c r="O199" i="3"/>
  <c r="N199" i="3"/>
  <c r="M199" i="3"/>
  <c r="L199" i="3"/>
  <c r="J199" i="3"/>
  <c r="H199" i="3"/>
  <c r="F199" i="3"/>
  <c r="E199" i="3"/>
  <c r="D199" i="3"/>
  <c r="C199" i="3"/>
  <c r="B199" i="3"/>
  <c r="A199" i="3"/>
  <c r="T198" i="3"/>
  <c r="Q198" i="3"/>
  <c r="O198" i="3"/>
  <c r="M198" i="3"/>
  <c r="L198" i="3"/>
  <c r="J198" i="3"/>
  <c r="H198" i="3"/>
  <c r="F198" i="3"/>
  <c r="E198" i="3"/>
  <c r="D198" i="3"/>
  <c r="C198" i="3"/>
  <c r="B198" i="3"/>
  <c r="A198" i="3"/>
  <c r="Q197" i="3"/>
  <c r="O197" i="3"/>
  <c r="M197" i="3"/>
  <c r="L197" i="3"/>
  <c r="J197" i="3"/>
  <c r="H197" i="3"/>
  <c r="F197" i="3"/>
  <c r="E197" i="3"/>
  <c r="D197" i="3"/>
  <c r="C197" i="3"/>
  <c r="B197" i="3"/>
  <c r="A197" i="3"/>
  <c r="T196" i="3"/>
  <c r="Q196" i="3"/>
  <c r="O196" i="3"/>
  <c r="N196" i="3"/>
  <c r="M196" i="3"/>
  <c r="L196" i="3"/>
  <c r="J196" i="3"/>
  <c r="H196" i="3"/>
  <c r="F196" i="3"/>
  <c r="E196" i="3"/>
  <c r="D196" i="3"/>
  <c r="C196" i="3"/>
  <c r="B196" i="3"/>
  <c r="A196" i="3"/>
  <c r="U195" i="3"/>
  <c r="T195" i="3"/>
  <c r="S195" i="3"/>
  <c r="R195" i="3"/>
  <c r="Q195" i="3"/>
  <c r="P195" i="3"/>
  <c r="O195" i="3"/>
  <c r="N195" i="3"/>
  <c r="M195" i="3"/>
  <c r="L195" i="3"/>
  <c r="K195" i="3"/>
  <c r="J195" i="3"/>
  <c r="H195" i="3"/>
  <c r="F195" i="3"/>
  <c r="E195" i="3"/>
  <c r="D195" i="3"/>
  <c r="C195" i="3"/>
  <c r="B195" i="3"/>
  <c r="A195" i="3"/>
  <c r="T194" i="3"/>
  <c r="Q194" i="3"/>
  <c r="O194" i="3"/>
  <c r="N194" i="3"/>
  <c r="M194" i="3"/>
  <c r="L194" i="3"/>
  <c r="J194" i="3"/>
  <c r="H194" i="3"/>
  <c r="F194" i="3"/>
  <c r="E194" i="3"/>
  <c r="D194" i="3"/>
  <c r="C194" i="3"/>
  <c r="B194" i="3"/>
  <c r="A194" i="3"/>
  <c r="T193" i="3"/>
  <c r="Q193" i="3"/>
  <c r="O193" i="3"/>
  <c r="N193" i="3"/>
  <c r="M193" i="3"/>
  <c r="L193" i="3"/>
  <c r="J193" i="3"/>
  <c r="H193" i="3"/>
  <c r="F193" i="3"/>
  <c r="E193" i="3"/>
  <c r="D193" i="3"/>
  <c r="C193" i="3"/>
  <c r="B193" i="3"/>
  <c r="A193" i="3"/>
  <c r="T192" i="3"/>
  <c r="Q192" i="3"/>
  <c r="O192" i="3"/>
  <c r="N192" i="3"/>
  <c r="M192" i="3"/>
  <c r="L192" i="3"/>
  <c r="J192" i="3"/>
  <c r="H192" i="3"/>
  <c r="F192" i="3"/>
  <c r="E192" i="3"/>
  <c r="D192" i="3"/>
  <c r="C192" i="3"/>
  <c r="B192" i="3"/>
  <c r="A192" i="3"/>
  <c r="Q191" i="3"/>
  <c r="O191" i="3"/>
  <c r="N191" i="3"/>
  <c r="M191" i="3"/>
  <c r="L191" i="3"/>
  <c r="J191" i="3"/>
  <c r="H191" i="3"/>
  <c r="F191" i="3"/>
  <c r="E191" i="3"/>
  <c r="D191" i="3"/>
  <c r="C191" i="3"/>
  <c r="B191" i="3"/>
  <c r="A191" i="3"/>
  <c r="T190" i="3"/>
  <c r="Q190" i="3"/>
  <c r="O190" i="3"/>
  <c r="N190" i="3"/>
  <c r="M190" i="3"/>
  <c r="L190" i="3"/>
  <c r="J190" i="3"/>
  <c r="H190" i="3"/>
  <c r="F190" i="3"/>
  <c r="E190" i="3"/>
  <c r="D190" i="3"/>
  <c r="C190" i="3"/>
  <c r="B190" i="3"/>
  <c r="A190" i="3"/>
  <c r="U189" i="3"/>
  <c r="T189" i="3"/>
  <c r="S189" i="3"/>
  <c r="R189" i="3"/>
  <c r="Q189" i="3"/>
  <c r="O189" i="3"/>
  <c r="N189" i="3"/>
  <c r="M189" i="3"/>
  <c r="L189" i="3"/>
  <c r="K189" i="3"/>
  <c r="J189" i="3"/>
  <c r="H189" i="3"/>
  <c r="F188" i="3" s="1"/>
  <c r="F189" i="3"/>
  <c r="E189" i="3"/>
  <c r="D189" i="3"/>
  <c r="C189" i="3"/>
  <c r="B189" i="3"/>
  <c r="A189" i="3"/>
  <c r="U187" i="3"/>
  <c r="T187" i="3"/>
  <c r="Q187" i="3"/>
  <c r="O187" i="3"/>
  <c r="N187" i="3"/>
  <c r="M187" i="3"/>
  <c r="L187" i="3"/>
  <c r="J187" i="3"/>
  <c r="H187" i="3"/>
  <c r="F187" i="3"/>
  <c r="E187" i="3"/>
  <c r="D187" i="3"/>
  <c r="C187" i="3"/>
  <c r="B187" i="3"/>
  <c r="A187" i="3"/>
  <c r="T186" i="3"/>
  <c r="Q186" i="3"/>
  <c r="O186" i="3"/>
  <c r="M186" i="3"/>
  <c r="L186" i="3"/>
  <c r="J186" i="3"/>
  <c r="H186" i="3"/>
  <c r="F186" i="3"/>
  <c r="E186" i="3"/>
  <c r="D186" i="3"/>
  <c r="C186" i="3"/>
  <c r="B186" i="3"/>
  <c r="A186" i="3"/>
  <c r="T185" i="3"/>
  <c r="Q185" i="3"/>
  <c r="O185" i="3"/>
  <c r="N185" i="3"/>
  <c r="M185" i="3"/>
  <c r="L185" i="3"/>
  <c r="J185" i="3"/>
  <c r="H185" i="3"/>
  <c r="F185" i="3"/>
  <c r="E185" i="3"/>
  <c r="D185" i="3"/>
  <c r="C185" i="3"/>
  <c r="B185" i="3"/>
  <c r="A185" i="3"/>
  <c r="T184" i="3"/>
  <c r="Q184" i="3"/>
  <c r="O184" i="3"/>
  <c r="M184" i="3"/>
  <c r="L184" i="3"/>
  <c r="J184" i="3"/>
  <c r="H184" i="3"/>
  <c r="F184" i="3"/>
  <c r="E184" i="3"/>
  <c r="D184" i="3"/>
  <c r="C184" i="3"/>
  <c r="B184" i="3"/>
  <c r="A184" i="3"/>
  <c r="T183" i="3"/>
  <c r="Q183" i="3"/>
  <c r="O183" i="3"/>
  <c r="N183" i="3"/>
  <c r="M183" i="3"/>
  <c r="L183" i="3"/>
  <c r="J183" i="3"/>
  <c r="H183" i="3"/>
  <c r="F183" i="3"/>
  <c r="E183" i="3"/>
  <c r="D183" i="3"/>
  <c r="C183" i="3"/>
  <c r="B183" i="3"/>
  <c r="A183" i="3"/>
  <c r="U182" i="3"/>
  <c r="T182" i="3"/>
  <c r="S182" i="3"/>
  <c r="R182" i="3"/>
  <c r="Q182" i="3"/>
  <c r="P182" i="3"/>
  <c r="O182" i="3"/>
  <c r="N182" i="3"/>
  <c r="M182" i="3"/>
  <c r="L182" i="3"/>
  <c r="K182" i="3"/>
  <c r="J182" i="3"/>
  <c r="H182" i="3"/>
  <c r="F182" i="3"/>
  <c r="E182" i="3"/>
  <c r="D182" i="3"/>
  <c r="C182" i="3"/>
  <c r="B182" i="3"/>
  <c r="A182" i="3"/>
  <c r="T181" i="3"/>
  <c r="Q181" i="3"/>
  <c r="O181" i="3"/>
  <c r="N181" i="3"/>
  <c r="M181" i="3"/>
  <c r="L181" i="3"/>
  <c r="J181" i="3"/>
  <c r="H181" i="3"/>
  <c r="F181" i="3"/>
  <c r="E181" i="3"/>
  <c r="D181" i="3"/>
  <c r="C181" i="3"/>
  <c r="B181" i="3"/>
  <c r="A181" i="3"/>
  <c r="T180" i="3"/>
  <c r="Q180" i="3"/>
  <c r="O180" i="3"/>
  <c r="N180" i="3"/>
  <c r="M180" i="3"/>
  <c r="L180" i="3"/>
  <c r="J180" i="3"/>
  <c r="H180" i="3"/>
  <c r="F180" i="3"/>
  <c r="E180" i="3"/>
  <c r="D180" i="3"/>
  <c r="C180" i="3"/>
  <c r="B180" i="3"/>
  <c r="A180" i="3"/>
  <c r="T179" i="3"/>
  <c r="Q179" i="3"/>
  <c r="O179" i="3"/>
  <c r="N179" i="3"/>
  <c r="M179" i="3"/>
  <c r="L179" i="3"/>
  <c r="J179" i="3"/>
  <c r="H179" i="3"/>
  <c r="F179" i="3"/>
  <c r="E179" i="3"/>
  <c r="D179" i="3"/>
  <c r="C179" i="3"/>
  <c r="B179" i="3"/>
  <c r="A179" i="3"/>
  <c r="T178" i="3"/>
  <c r="Q178" i="3"/>
  <c r="O178" i="3"/>
  <c r="N178" i="3"/>
  <c r="M178" i="3"/>
  <c r="L178" i="3"/>
  <c r="J178" i="3"/>
  <c r="H178" i="3"/>
  <c r="F178" i="3"/>
  <c r="E178" i="3"/>
  <c r="D178" i="3"/>
  <c r="C178" i="3"/>
  <c r="B178" i="3"/>
  <c r="A178" i="3"/>
  <c r="U177" i="3"/>
  <c r="T177" i="3"/>
  <c r="Q177" i="3"/>
  <c r="O177" i="3"/>
  <c r="N177" i="3"/>
  <c r="M177" i="3"/>
  <c r="L177" i="3"/>
  <c r="J177" i="3"/>
  <c r="H177" i="3"/>
  <c r="F177" i="3"/>
  <c r="E177" i="3"/>
  <c r="D177" i="3"/>
  <c r="C177" i="3"/>
  <c r="B177" i="3"/>
  <c r="A177" i="3"/>
  <c r="T176" i="3"/>
  <c r="Q176" i="3"/>
  <c r="O176" i="3"/>
  <c r="N176" i="3"/>
  <c r="M176" i="3"/>
  <c r="L176" i="3"/>
  <c r="J176" i="3"/>
  <c r="H176" i="3"/>
  <c r="F174" i="3" s="1"/>
  <c r="F176" i="3"/>
  <c r="E176" i="3"/>
  <c r="D176" i="3"/>
  <c r="C176" i="3"/>
  <c r="B176" i="3"/>
  <c r="A176" i="3"/>
  <c r="U173" i="3"/>
  <c r="T173" i="3"/>
  <c r="Q173" i="3"/>
  <c r="O173" i="3"/>
  <c r="N173" i="3"/>
  <c r="M173" i="3"/>
  <c r="L173" i="3"/>
  <c r="J173" i="3"/>
  <c r="H173" i="3"/>
  <c r="F173" i="3"/>
  <c r="E173" i="3"/>
  <c r="D173" i="3"/>
  <c r="C173" i="3"/>
  <c r="B173" i="3"/>
  <c r="A173" i="3"/>
  <c r="U172" i="3"/>
  <c r="T172" i="3"/>
  <c r="Q172" i="3"/>
  <c r="O172" i="3"/>
  <c r="N172" i="3"/>
  <c r="M172" i="3"/>
  <c r="L172" i="3"/>
  <c r="J172" i="3"/>
  <c r="H172" i="3"/>
  <c r="F172" i="3"/>
  <c r="E172" i="3"/>
  <c r="D172" i="3"/>
  <c r="C172" i="3"/>
  <c r="B172" i="3"/>
  <c r="A172" i="3"/>
  <c r="T171" i="3"/>
  <c r="Q171" i="3"/>
  <c r="O171" i="3"/>
  <c r="N171" i="3"/>
  <c r="M171" i="3"/>
  <c r="L171" i="3"/>
  <c r="J171" i="3"/>
  <c r="H171" i="3"/>
  <c r="F171" i="3"/>
  <c r="E171" i="3"/>
  <c r="D171" i="3"/>
  <c r="C171" i="3"/>
  <c r="B171" i="3"/>
  <c r="A171" i="3"/>
  <c r="Q170" i="3"/>
  <c r="O170" i="3"/>
  <c r="N170" i="3"/>
  <c r="M170" i="3"/>
  <c r="L170" i="3"/>
  <c r="J170" i="3"/>
  <c r="H170" i="3"/>
  <c r="F170" i="3"/>
  <c r="E170" i="3"/>
  <c r="D170" i="3"/>
  <c r="C170" i="3"/>
  <c r="B170" i="3"/>
  <c r="A170" i="3"/>
  <c r="T169" i="3"/>
  <c r="Q169" i="3"/>
  <c r="O169" i="3"/>
  <c r="N169" i="3"/>
  <c r="M169" i="3"/>
  <c r="L169" i="3"/>
  <c r="J169" i="3"/>
  <c r="H169" i="3"/>
  <c r="F169" i="3"/>
  <c r="E169" i="3"/>
  <c r="D169" i="3"/>
  <c r="C169" i="3"/>
  <c r="B169" i="3"/>
  <c r="A169" i="3"/>
  <c r="T168" i="3"/>
  <c r="Q168" i="3"/>
  <c r="O168" i="3"/>
  <c r="M168" i="3"/>
  <c r="L168" i="3"/>
  <c r="J168" i="3"/>
  <c r="H168" i="3"/>
  <c r="F168" i="3"/>
  <c r="E168" i="3"/>
  <c r="D168" i="3"/>
  <c r="C168" i="3"/>
  <c r="B168" i="3"/>
  <c r="A168" i="3"/>
  <c r="U167" i="3"/>
  <c r="T167" i="3"/>
  <c r="S167" i="3"/>
  <c r="R167" i="3"/>
  <c r="Q167" i="3"/>
  <c r="P167" i="3"/>
  <c r="O167" i="3"/>
  <c r="N167" i="3"/>
  <c r="M167" i="3"/>
  <c r="L167" i="3"/>
  <c r="J167" i="3"/>
  <c r="H167" i="3"/>
  <c r="F167" i="3"/>
  <c r="E167" i="3"/>
  <c r="D167" i="3"/>
  <c r="C167" i="3"/>
  <c r="B167" i="3"/>
  <c r="A167" i="3"/>
  <c r="Q166" i="3"/>
  <c r="O166" i="3"/>
  <c r="N166" i="3"/>
  <c r="M166" i="3"/>
  <c r="L166" i="3"/>
  <c r="J166" i="3"/>
  <c r="H166" i="3"/>
  <c r="F166" i="3"/>
  <c r="E166" i="3"/>
  <c r="D166" i="3"/>
  <c r="C166" i="3"/>
  <c r="B166" i="3"/>
  <c r="A166" i="3"/>
  <c r="T165" i="3"/>
  <c r="Q165" i="3"/>
  <c r="O165" i="3"/>
  <c r="N165" i="3"/>
  <c r="M165" i="3"/>
  <c r="L165" i="3"/>
  <c r="J165" i="3"/>
  <c r="H165" i="3"/>
  <c r="F165" i="3"/>
  <c r="E165" i="3"/>
  <c r="D165" i="3"/>
  <c r="C165" i="3"/>
  <c r="B165" i="3"/>
  <c r="A165" i="3"/>
  <c r="Q164" i="3"/>
  <c r="O164" i="3"/>
  <c r="N164" i="3"/>
  <c r="M164" i="3"/>
  <c r="L164" i="3"/>
  <c r="J164" i="3"/>
  <c r="H164" i="3"/>
  <c r="F164" i="3"/>
  <c r="E164" i="3"/>
  <c r="D164" i="3"/>
  <c r="C164" i="3"/>
  <c r="B164" i="3"/>
  <c r="A164" i="3"/>
  <c r="Q163" i="3"/>
  <c r="O163" i="3"/>
  <c r="N163" i="3"/>
  <c r="M163" i="3"/>
  <c r="L163" i="3"/>
  <c r="J163" i="3"/>
  <c r="H163" i="3"/>
  <c r="F163" i="3"/>
  <c r="E163" i="3"/>
  <c r="D163" i="3"/>
  <c r="C163" i="3"/>
  <c r="B163" i="3"/>
  <c r="A163" i="3"/>
  <c r="T162" i="3"/>
  <c r="Q162" i="3"/>
  <c r="O162" i="3"/>
  <c r="N162" i="3"/>
  <c r="M162" i="3"/>
  <c r="L162" i="3"/>
  <c r="J162" i="3"/>
  <c r="H162" i="3"/>
  <c r="F162" i="3"/>
  <c r="E162" i="3"/>
  <c r="D162" i="3"/>
  <c r="C162" i="3"/>
  <c r="B162" i="3"/>
  <c r="A162" i="3"/>
  <c r="U161" i="3"/>
  <c r="T161" i="3"/>
  <c r="Q161" i="3"/>
  <c r="O161" i="3"/>
  <c r="N161" i="3"/>
  <c r="M161" i="3"/>
  <c r="L161" i="3"/>
  <c r="J161" i="3"/>
  <c r="H161" i="3"/>
  <c r="F160" i="3" s="1"/>
  <c r="F161" i="3"/>
  <c r="E161" i="3"/>
  <c r="D161" i="3"/>
  <c r="C161" i="3"/>
  <c r="B161" i="3"/>
  <c r="A161" i="3"/>
  <c r="Q159" i="3"/>
  <c r="O159" i="3"/>
  <c r="N159" i="3"/>
  <c r="M159" i="3"/>
  <c r="L159" i="3"/>
  <c r="J159" i="3"/>
  <c r="H159" i="3"/>
  <c r="F159" i="3"/>
  <c r="E159" i="3"/>
  <c r="D159" i="3"/>
  <c r="C159" i="3"/>
  <c r="B159" i="3"/>
  <c r="A159" i="3"/>
  <c r="T158" i="3"/>
  <c r="Q158" i="3"/>
  <c r="O158" i="3"/>
  <c r="N158" i="3"/>
  <c r="M158" i="3"/>
  <c r="L158" i="3"/>
  <c r="J158" i="3"/>
  <c r="H158" i="3"/>
  <c r="F158" i="3"/>
  <c r="E158" i="3"/>
  <c r="D158" i="3"/>
  <c r="C158" i="3"/>
  <c r="B158" i="3"/>
  <c r="A158" i="3"/>
  <c r="Q157" i="3"/>
  <c r="O157" i="3"/>
  <c r="N157" i="3"/>
  <c r="M157" i="3"/>
  <c r="L157" i="3"/>
  <c r="J157" i="3"/>
  <c r="H157" i="3"/>
  <c r="F157" i="3"/>
  <c r="E157" i="3"/>
  <c r="D157" i="3"/>
  <c r="C157" i="3"/>
  <c r="B157" i="3"/>
  <c r="A157" i="3"/>
  <c r="Q156" i="3"/>
  <c r="O156" i="3"/>
  <c r="N156" i="3"/>
  <c r="M156" i="3"/>
  <c r="L156" i="3"/>
  <c r="J156" i="3"/>
  <c r="H156" i="3"/>
  <c r="F156" i="3"/>
  <c r="E156" i="3"/>
  <c r="D156" i="3"/>
  <c r="C156" i="3"/>
  <c r="B156" i="3"/>
  <c r="A156" i="3"/>
  <c r="T155" i="3"/>
  <c r="Q155" i="3"/>
  <c r="O155" i="3"/>
  <c r="M155" i="3"/>
  <c r="L155" i="3"/>
  <c r="J155" i="3"/>
  <c r="H155" i="3"/>
  <c r="F155" i="3"/>
  <c r="E155" i="3"/>
  <c r="D155" i="3"/>
  <c r="C155" i="3"/>
  <c r="B155" i="3"/>
  <c r="A155" i="3"/>
  <c r="Q154" i="3"/>
  <c r="O154" i="3"/>
  <c r="N154" i="3"/>
  <c r="M154" i="3"/>
  <c r="L154" i="3"/>
  <c r="J154" i="3"/>
  <c r="H154" i="3"/>
  <c r="F154" i="3"/>
  <c r="E154" i="3"/>
  <c r="D154" i="3"/>
  <c r="C154" i="3"/>
  <c r="B154" i="3"/>
  <c r="A154" i="3"/>
  <c r="Q153" i="3"/>
  <c r="O153" i="3"/>
  <c r="N153" i="3"/>
  <c r="M153" i="3"/>
  <c r="L153" i="3"/>
  <c r="J153" i="3"/>
  <c r="H153" i="3"/>
  <c r="F153" i="3"/>
  <c r="E153" i="3"/>
  <c r="D153" i="3"/>
  <c r="C153" i="3"/>
  <c r="B153" i="3"/>
  <c r="A153" i="3"/>
  <c r="U152" i="3"/>
  <c r="T152" i="3"/>
  <c r="S152" i="3"/>
  <c r="R152" i="3"/>
  <c r="Q152" i="3"/>
  <c r="P152" i="3"/>
  <c r="O152" i="3"/>
  <c r="N152" i="3"/>
  <c r="M152" i="3"/>
  <c r="L152" i="3"/>
  <c r="K152" i="3"/>
  <c r="J152" i="3"/>
  <c r="H152" i="3"/>
  <c r="F152" i="3"/>
  <c r="E152" i="3"/>
  <c r="D152" i="3"/>
  <c r="C152" i="3"/>
  <c r="B152" i="3"/>
  <c r="A152" i="3"/>
  <c r="U151" i="3"/>
  <c r="T151" i="3"/>
  <c r="S151" i="3"/>
  <c r="R151" i="3"/>
  <c r="Q151" i="3"/>
  <c r="O151" i="3"/>
  <c r="N151" i="3"/>
  <c r="M151" i="3"/>
  <c r="L151" i="3"/>
  <c r="K151" i="3"/>
  <c r="J151" i="3"/>
  <c r="H151" i="3"/>
  <c r="F151" i="3"/>
  <c r="E151" i="3"/>
  <c r="D151" i="3"/>
  <c r="C151" i="3"/>
  <c r="B151" i="3"/>
  <c r="A151" i="3"/>
  <c r="Q150" i="3"/>
  <c r="O150" i="3"/>
  <c r="N150" i="3"/>
  <c r="M150" i="3"/>
  <c r="L150" i="3"/>
  <c r="J150" i="3"/>
  <c r="H150" i="3"/>
  <c r="F150" i="3"/>
  <c r="E150" i="3"/>
  <c r="D150" i="3"/>
  <c r="C150" i="3"/>
  <c r="B150" i="3"/>
  <c r="A150" i="3"/>
  <c r="T149" i="3"/>
  <c r="Q149" i="3"/>
  <c r="O149" i="3"/>
  <c r="N149" i="3"/>
  <c r="M149" i="3"/>
  <c r="L149" i="3"/>
  <c r="J149" i="3"/>
  <c r="H149" i="3"/>
  <c r="F149" i="3"/>
  <c r="E149" i="3"/>
  <c r="D149" i="3"/>
  <c r="C149" i="3"/>
  <c r="B149" i="3"/>
  <c r="A149" i="3"/>
  <c r="T148" i="3"/>
  <c r="Q148" i="3"/>
  <c r="O148" i="3"/>
  <c r="N148" i="3"/>
  <c r="M148" i="3"/>
  <c r="L148" i="3"/>
  <c r="J148" i="3"/>
  <c r="H148" i="3"/>
  <c r="F148" i="3"/>
  <c r="F146" i="3" s="1"/>
  <c r="E148" i="3"/>
  <c r="D148" i="3"/>
  <c r="C148" i="3"/>
  <c r="B148" i="3"/>
  <c r="A148" i="3"/>
  <c r="T145" i="3"/>
  <c r="Q145" i="3"/>
  <c r="O145" i="3"/>
  <c r="N145" i="3"/>
  <c r="M145" i="3"/>
  <c r="L145" i="3"/>
  <c r="J145" i="3"/>
  <c r="H145" i="3"/>
  <c r="F145" i="3"/>
  <c r="E145" i="3"/>
  <c r="D145" i="3"/>
  <c r="C145" i="3"/>
  <c r="B145" i="3"/>
  <c r="A145" i="3"/>
  <c r="Q144" i="3"/>
  <c r="O144" i="3"/>
  <c r="N144" i="3"/>
  <c r="M144" i="3"/>
  <c r="L144" i="3"/>
  <c r="J144" i="3"/>
  <c r="H144" i="3"/>
  <c r="F144" i="3"/>
  <c r="E144" i="3"/>
  <c r="D144" i="3"/>
  <c r="C144" i="3"/>
  <c r="B144" i="3"/>
  <c r="A144" i="3"/>
  <c r="T143" i="3"/>
  <c r="Q143" i="3"/>
  <c r="O143" i="3"/>
  <c r="N143" i="3"/>
  <c r="M143" i="3"/>
  <c r="L143" i="3"/>
  <c r="J143" i="3"/>
  <c r="H143" i="3"/>
  <c r="F143" i="3"/>
  <c r="E143" i="3"/>
  <c r="D143" i="3"/>
  <c r="C143" i="3"/>
  <c r="B143" i="3"/>
  <c r="A143" i="3"/>
  <c r="Q142" i="3"/>
  <c r="O142" i="3"/>
  <c r="N142" i="3"/>
  <c r="M142" i="3"/>
  <c r="L142" i="3"/>
  <c r="J142" i="3"/>
  <c r="H142" i="3"/>
  <c r="F142" i="3"/>
  <c r="E142" i="3"/>
  <c r="D142" i="3"/>
  <c r="C142" i="3"/>
  <c r="B142" i="3"/>
  <c r="A142" i="3"/>
  <c r="T141" i="3"/>
  <c r="Q141" i="3"/>
  <c r="O141" i="3"/>
  <c r="N141" i="3"/>
  <c r="M141" i="3"/>
  <c r="L141" i="3"/>
  <c r="J141" i="3"/>
  <c r="H141" i="3"/>
  <c r="F141" i="3"/>
  <c r="E141" i="3"/>
  <c r="D141" i="3"/>
  <c r="C141" i="3"/>
  <c r="B141" i="3"/>
  <c r="A141" i="3"/>
  <c r="Q140" i="3"/>
  <c r="O140" i="3"/>
  <c r="N140" i="3"/>
  <c r="M140" i="3"/>
  <c r="L140" i="3"/>
  <c r="J140" i="3"/>
  <c r="H140" i="3"/>
  <c r="F140" i="3"/>
  <c r="E140" i="3"/>
  <c r="D140" i="3"/>
  <c r="C140" i="3"/>
  <c r="B140" i="3"/>
  <c r="A140" i="3"/>
  <c r="U139" i="3"/>
  <c r="T139" i="3"/>
  <c r="S139" i="3"/>
  <c r="R139" i="3"/>
  <c r="Q139" i="3"/>
  <c r="P139" i="3"/>
  <c r="O139" i="3"/>
  <c r="N139" i="3"/>
  <c r="M139" i="3"/>
  <c r="L139" i="3"/>
  <c r="K139" i="3"/>
  <c r="J139" i="3"/>
  <c r="H139" i="3"/>
  <c r="F139" i="3"/>
  <c r="E139" i="3"/>
  <c r="D139" i="3"/>
  <c r="C139" i="3"/>
  <c r="B139" i="3"/>
  <c r="A139" i="3"/>
  <c r="T138" i="3"/>
  <c r="Q138" i="3"/>
  <c r="O138" i="3"/>
  <c r="N138" i="3"/>
  <c r="M138" i="3"/>
  <c r="L138" i="3"/>
  <c r="J138" i="3"/>
  <c r="H138" i="3"/>
  <c r="F138" i="3"/>
  <c r="E138" i="3"/>
  <c r="D138" i="3"/>
  <c r="C138" i="3"/>
  <c r="B138" i="3"/>
  <c r="A138" i="3"/>
  <c r="T137" i="3"/>
  <c r="Q137" i="3"/>
  <c r="O137" i="3"/>
  <c r="N137" i="3"/>
  <c r="M137" i="3"/>
  <c r="L137" i="3"/>
  <c r="J137" i="3"/>
  <c r="H137" i="3"/>
  <c r="F137" i="3"/>
  <c r="E137" i="3"/>
  <c r="D137" i="3"/>
  <c r="C137" i="3"/>
  <c r="B137" i="3"/>
  <c r="A137" i="3"/>
  <c r="U136" i="3"/>
  <c r="T136" i="3"/>
  <c r="Q136" i="3"/>
  <c r="O136" i="3"/>
  <c r="N136" i="3"/>
  <c r="M136" i="3"/>
  <c r="L136" i="3"/>
  <c r="J136" i="3"/>
  <c r="H136" i="3"/>
  <c r="F136" i="3"/>
  <c r="E136" i="3"/>
  <c r="D136" i="3"/>
  <c r="C136" i="3"/>
  <c r="B136" i="3"/>
  <c r="A136" i="3"/>
  <c r="T135" i="3"/>
  <c r="Q135" i="3"/>
  <c r="O135" i="3"/>
  <c r="N135" i="3"/>
  <c r="M135" i="3"/>
  <c r="L135" i="3"/>
  <c r="J135" i="3"/>
  <c r="H135" i="3"/>
  <c r="F135" i="3"/>
  <c r="E135" i="3"/>
  <c r="D135" i="3"/>
  <c r="C135" i="3"/>
  <c r="B135" i="3"/>
  <c r="A135" i="3"/>
  <c r="T134" i="3"/>
  <c r="Q134" i="3"/>
  <c r="O134" i="3"/>
  <c r="N134" i="3"/>
  <c r="M134" i="3"/>
  <c r="L134" i="3"/>
  <c r="J134" i="3"/>
  <c r="H134" i="3"/>
  <c r="F132" i="3" s="1"/>
  <c r="F134" i="3"/>
  <c r="E134" i="3"/>
  <c r="D134" i="3"/>
  <c r="C134" i="3"/>
  <c r="B134" i="3"/>
  <c r="A134" i="3"/>
  <c r="T131" i="3"/>
  <c r="Q131" i="3"/>
  <c r="O131" i="3"/>
  <c r="N131" i="3"/>
  <c r="M131" i="3"/>
  <c r="L131" i="3"/>
  <c r="J131" i="3"/>
  <c r="H131" i="3"/>
  <c r="F131" i="3"/>
  <c r="E131" i="3"/>
  <c r="D131" i="3"/>
  <c r="C131" i="3"/>
  <c r="B131" i="3"/>
  <c r="A131" i="3"/>
  <c r="T130" i="3"/>
  <c r="Q130" i="3"/>
  <c r="O130" i="3"/>
  <c r="N130" i="3"/>
  <c r="M130" i="3"/>
  <c r="L130" i="3"/>
  <c r="J130" i="3"/>
  <c r="H130" i="3"/>
  <c r="F130" i="3"/>
  <c r="E130" i="3"/>
  <c r="D130" i="3"/>
  <c r="C130" i="3"/>
  <c r="B130" i="3"/>
  <c r="A130" i="3"/>
  <c r="T129" i="3"/>
  <c r="Q129" i="3"/>
  <c r="O129" i="3"/>
  <c r="N129" i="3"/>
  <c r="M129" i="3"/>
  <c r="L129" i="3"/>
  <c r="J129" i="3"/>
  <c r="H129" i="3"/>
  <c r="F129" i="3"/>
  <c r="E129" i="3"/>
  <c r="D129" i="3"/>
  <c r="C129" i="3"/>
  <c r="B129" i="3"/>
  <c r="A129" i="3"/>
  <c r="T128" i="3"/>
  <c r="Q128" i="3"/>
  <c r="O128" i="3"/>
  <c r="M128" i="3"/>
  <c r="L128" i="3"/>
  <c r="J128" i="3"/>
  <c r="H128" i="3"/>
  <c r="F128" i="3"/>
  <c r="E128" i="3"/>
  <c r="D128" i="3"/>
  <c r="C128" i="3"/>
  <c r="B128" i="3"/>
  <c r="A128" i="3"/>
  <c r="T127" i="3"/>
  <c r="Q127" i="3"/>
  <c r="O127" i="3"/>
  <c r="N127" i="3"/>
  <c r="M127" i="3"/>
  <c r="L127" i="3"/>
  <c r="J127" i="3"/>
  <c r="H127" i="3"/>
  <c r="F127" i="3"/>
  <c r="E127" i="3"/>
  <c r="D127" i="3"/>
  <c r="C127" i="3"/>
  <c r="B127" i="3"/>
  <c r="A127" i="3"/>
  <c r="U126" i="3"/>
  <c r="T126" i="3"/>
  <c r="S126" i="3"/>
  <c r="R126" i="3"/>
  <c r="Q126" i="3"/>
  <c r="P126" i="3"/>
  <c r="O126" i="3"/>
  <c r="N126" i="3"/>
  <c r="M126" i="3"/>
  <c r="L126" i="3"/>
  <c r="K126" i="3"/>
  <c r="J126" i="3"/>
  <c r="H126" i="3"/>
  <c r="F126" i="3"/>
  <c r="E126" i="3"/>
  <c r="D126" i="3"/>
  <c r="C126" i="3"/>
  <c r="B126" i="3"/>
  <c r="A126" i="3"/>
  <c r="Q125" i="3"/>
  <c r="O125" i="3"/>
  <c r="N125" i="3"/>
  <c r="M125" i="3"/>
  <c r="L125" i="3"/>
  <c r="J125" i="3"/>
  <c r="H125" i="3"/>
  <c r="F125" i="3"/>
  <c r="E125" i="3"/>
  <c r="D125" i="3"/>
  <c r="C125" i="3"/>
  <c r="B125" i="3"/>
  <c r="A125" i="3"/>
  <c r="Q124" i="3"/>
  <c r="O124" i="3"/>
  <c r="N124" i="3"/>
  <c r="M124" i="3"/>
  <c r="L124" i="3"/>
  <c r="J124" i="3"/>
  <c r="H124" i="3"/>
  <c r="F124" i="3"/>
  <c r="E124" i="3"/>
  <c r="D124" i="3"/>
  <c r="C124" i="3"/>
  <c r="B124" i="3"/>
  <c r="A124" i="3"/>
  <c r="T123" i="3"/>
  <c r="Q123" i="3"/>
  <c r="O123" i="3"/>
  <c r="N123" i="3"/>
  <c r="M123" i="3"/>
  <c r="L123" i="3"/>
  <c r="J123" i="3"/>
  <c r="H123" i="3"/>
  <c r="F123" i="3"/>
  <c r="E123" i="3"/>
  <c r="D123" i="3"/>
  <c r="C123" i="3"/>
  <c r="B123" i="3"/>
  <c r="A123" i="3"/>
  <c r="Q122" i="3"/>
  <c r="O122" i="3"/>
  <c r="N122" i="3"/>
  <c r="M122" i="3"/>
  <c r="L122" i="3"/>
  <c r="J122" i="3"/>
  <c r="H122" i="3"/>
  <c r="F122" i="3"/>
  <c r="E122" i="3"/>
  <c r="D122" i="3"/>
  <c r="C122" i="3"/>
  <c r="B122" i="3"/>
  <c r="A122" i="3"/>
  <c r="T121" i="3"/>
  <c r="Q121" i="3"/>
  <c r="O121" i="3"/>
  <c r="N121" i="3"/>
  <c r="M121" i="3"/>
  <c r="L121" i="3"/>
  <c r="J121" i="3"/>
  <c r="H121" i="3"/>
  <c r="F121" i="3"/>
  <c r="E121" i="3"/>
  <c r="D121" i="3"/>
  <c r="C121" i="3"/>
  <c r="B121" i="3"/>
  <c r="A121" i="3"/>
  <c r="U120" i="3"/>
  <c r="T120" i="3"/>
  <c r="R120" i="3"/>
  <c r="Q120" i="3"/>
  <c r="O120" i="3"/>
  <c r="N120" i="3"/>
  <c r="M120" i="3"/>
  <c r="L120" i="3"/>
  <c r="K120" i="3"/>
  <c r="J120" i="3"/>
  <c r="H120" i="3"/>
  <c r="F118" i="3" s="1"/>
  <c r="F120" i="3"/>
  <c r="E120" i="3"/>
  <c r="D120" i="3"/>
  <c r="C120" i="3"/>
  <c r="B120" i="3"/>
  <c r="A120" i="3"/>
  <c r="T117" i="3"/>
  <c r="Q117" i="3"/>
  <c r="O117" i="3"/>
  <c r="N117" i="3"/>
  <c r="M117" i="3"/>
  <c r="L117" i="3"/>
  <c r="J117" i="3"/>
  <c r="H117" i="3"/>
  <c r="F117" i="3"/>
  <c r="E117" i="3"/>
  <c r="D117" i="3"/>
  <c r="C117" i="3"/>
  <c r="B117" i="3"/>
  <c r="A117" i="3"/>
  <c r="Q116" i="3"/>
  <c r="O116" i="3"/>
  <c r="M116" i="3"/>
  <c r="L116" i="3"/>
  <c r="J116" i="3"/>
  <c r="H116" i="3"/>
  <c r="F116" i="3"/>
  <c r="E116" i="3"/>
  <c r="D116" i="3"/>
  <c r="C116" i="3"/>
  <c r="B116" i="3"/>
  <c r="A116" i="3"/>
  <c r="Q115" i="3"/>
  <c r="O115" i="3"/>
  <c r="N115" i="3"/>
  <c r="M115" i="3"/>
  <c r="L115" i="3"/>
  <c r="J115" i="3"/>
  <c r="H115" i="3"/>
  <c r="F115" i="3"/>
  <c r="E115" i="3"/>
  <c r="D115" i="3"/>
  <c r="C115" i="3"/>
  <c r="B115" i="3"/>
  <c r="A115" i="3"/>
  <c r="Q114" i="3"/>
  <c r="O114" i="3"/>
  <c r="N114" i="3"/>
  <c r="M114" i="3"/>
  <c r="L114" i="3"/>
  <c r="J114" i="3"/>
  <c r="H114" i="3"/>
  <c r="F114" i="3"/>
  <c r="E114" i="3"/>
  <c r="D114" i="3"/>
  <c r="C114" i="3"/>
  <c r="B114" i="3"/>
  <c r="A114" i="3"/>
  <c r="T113" i="3"/>
  <c r="Q113" i="3"/>
  <c r="O113" i="3"/>
  <c r="N113" i="3"/>
  <c r="M113" i="3"/>
  <c r="L113" i="3"/>
  <c r="J113" i="3"/>
  <c r="H113" i="3"/>
  <c r="F113" i="3"/>
  <c r="E113" i="3"/>
  <c r="D113" i="3"/>
  <c r="C113" i="3"/>
  <c r="B113" i="3"/>
  <c r="A113" i="3"/>
  <c r="U112" i="3"/>
  <c r="T112" i="3"/>
  <c r="S112" i="3"/>
  <c r="R112" i="3"/>
  <c r="Q112" i="3"/>
  <c r="P112" i="3"/>
  <c r="O112" i="3"/>
  <c r="N112" i="3"/>
  <c r="M112" i="3"/>
  <c r="L112" i="3"/>
  <c r="K112" i="3"/>
  <c r="J112" i="3"/>
  <c r="H112" i="3"/>
  <c r="F112" i="3"/>
  <c r="E112" i="3"/>
  <c r="D112" i="3"/>
  <c r="C112" i="3"/>
  <c r="B112" i="3"/>
  <c r="A112" i="3"/>
  <c r="T111" i="3"/>
  <c r="Q111" i="3"/>
  <c r="O111" i="3"/>
  <c r="N111" i="3"/>
  <c r="M111" i="3"/>
  <c r="L111" i="3"/>
  <c r="J111" i="3"/>
  <c r="H111" i="3"/>
  <c r="F111" i="3"/>
  <c r="E111" i="3"/>
  <c r="D111" i="3"/>
  <c r="C111" i="3"/>
  <c r="B111" i="3"/>
  <c r="A111" i="3"/>
  <c r="Q110" i="3"/>
  <c r="O110" i="3"/>
  <c r="M110" i="3"/>
  <c r="L110" i="3"/>
  <c r="J110" i="3"/>
  <c r="H110" i="3"/>
  <c r="F110" i="3"/>
  <c r="E110" i="3"/>
  <c r="D110" i="3"/>
  <c r="C110" i="3"/>
  <c r="B110" i="3"/>
  <c r="A110" i="3"/>
  <c r="T109" i="3"/>
  <c r="Q109" i="3"/>
  <c r="O109" i="3"/>
  <c r="N109" i="3"/>
  <c r="M109" i="3"/>
  <c r="L109" i="3"/>
  <c r="J109" i="3"/>
  <c r="H109" i="3"/>
  <c r="F109" i="3"/>
  <c r="E109" i="3"/>
  <c r="D109" i="3"/>
  <c r="C109" i="3"/>
  <c r="B109" i="3"/>
  <c r="A109" i="3"/>
  <c r="T108" i="3"/>
  <c r="Q108" i="3"/>
  <c r="O108" i="3"/>
  <c r="N108" i="3"/>
  <c r="M108" i="3"/>
  <c r="L108" i="3"/>
  <c r="J108" i="3"/>
  <c r="H108" i="3"/>
  <c r="F108" i="3"/>
  <c r="E108" i="3"/>
  <c r="D108" i="3"/>
  <c r="C108" i="3"/>
  <c r="B108" i="3"/>
  <c r="A108" i="3"/>
  <c r="U107" i="3"/>
  <c r="T107" i="3"/>
  <c r="S107" i="3"/>
  <c r="R107" i="3"/>
  <c r="Q107" i="3"/>
  <c r="P107" i="3"/>
  <c r="O107" i="3"/>
  <c r="N107" i="3"/>
  <c r="M107" i="3"/>
  <c r="L107" i="3"/>
  <c r="K107" i="3"/>
  <c r="J107" i="3"/>
  <c r="H107" i="3"/>
  <c r="F107" i="3"/>
  <c r="E107" i="3"/>
  <c r="D107" i="3"/>
  <c r="C107" i="3"/>
  <c r="B107" i="3"/>
  <c r="A107" i="3"/>
  <c r="T106" i="3"/>
  <c r="Q106" i="3"/>
  <c r="O106" i="3"/>
  <c r="N106" i="3"/>
  <c r="M106" i="3"/>
  <c r="L106" i="3"/>
  <c r="J106" i="3"/>
  <c r="H106" i="3"/>
  <c r="F106" i="3"/>
  <c r="E106" i="3"/>
  <c r="D106" i="3"/>
  <c r="C106" i="3"/>
  <c r="B106" i="3"/>
  <c r="A106" i="3"/>
  <c r="T101" i="3"/>
  <c r="Q101" i="3"/>
  <c r="O101" i="3"/>
  <c r="N101" i="3"/>
  <c r="M101" i="3"/>
  <c r="L101" i="3"/>
  <c r="J101" i="3"/>
  <c r="H101" i="3"/>
  <c r="F101" i="3"/>
  <c r="E101" i="3"/>
  <c r="D101" i="3"/>
  <c r="C101" i="3"/>
  <c r="B101" i="3"/>
  <c r="A101" i="3"/>
  <c r="T100" i="3"/>
  <c r="Q100" i="3"/>
  <c r="O100" i="3"/>
  <c r="N100" i="3"/>
  <c r="M100" i="3"/>
  <c r="L100" i="3"/>
  <c r="J100" i="3"/>
  <c r="H100" i="3"/>
  <c r="F100" i="3"/>
  <c r="E100" i="3"/>
  <c r="D100" i="3"/>
  <c r="C100" i="3"/>
  <c r="B100" i="3"/>
  <c r="A100" i="3"/>
  <c r="T99" i="3"/>
  <c r="Q99" i="3"/>
  <c r="O99" i="3"/>
  <c r="N99" i="3"/>
  <c r="M99" i="3"/>
  <c r="L99" i="3"/>
  <c r="J99" i="3"/>
  <c r="H99" i="3"/>
  <c r="F99" i="3"/>
  <c r="E99" i="3"/>
  <c r="D99" i="3"/>
  <c r="C99" i="3"/>
  <c r="B99" i="3"/>
  <c r="A99" i="3"/>
  <c r="Q98" i="3"/>
  <c r="O98" i="3"/>
  <c r="N98" i="3"/>
  <c r="M98" i="3"/>
  <c r="L98" i="3"/>
  <c r="J98" i="3"/>
  <c r="H98" i="3"/>
  <c r="F98" i="3"/>
  <c r="E98" i="3"/>
  <c r="D98" i="3"/>
  <c r="C98" i="3"/>
  <c r="B98" i="3"/>
  <c r="A98" i="3"/>
  <c r="T97" i="3"/>
  <c r="Q97" i="3"/>
  <c r="O97" i="3"/>
  <c r="N97" i="3"/>
  <c r="M97" i="3"/>
  <c r="L97" i="3"/>
  <c r="J97" i="3"/>
  <c r="H97" i="3"/>
  <c r="F97" i="3"/>
  <c r="E97" i="3"/>
  <c r="D97" i="3"/>
  <c r="C97" i="3"/>
  <c r="B97" i="3"/>
  <c r="A97" i="3"/>
  <c r="Q96" i="3"/>
  <c r="O96" i="3"/>
  <c r="M96" i="3"/>
  <c r="L96" i="3"/>
  <c r="J96" i="3"/>
  <c r="H96" i="3"/>
  <c r="F96" i="3"/>
  <c r="E96" i="3"/>
  <c r="D96" i="3"/>
  <c r="C96" i="3"/>
  <c r="B96" i="3"/>
  <c r="A96" i="3"/>
  <c r="T95" i="3"/>
  <c r="Q95" i="3"/>
  <c r="O95" i="3"/>
  <c r="N95" i="3"/>
  <c r="M95" i="3"/>
  <c r="L95" i="3"/>
  <c r="J95" i="3"/>
  <c r="H95" i="3"/>
  <c r="F95" i="3"/>
  <c r="E95" i="3"/>
  <c r="D95" i="3"/>
  <c r="C95" i="3"/>
  <c r="B95" i="3"/>
  <c r="A95" i="3"/>
  <c r="Q94" i="3"/>
  <c r="O94" i="3"/>
  <c r="M94" i="3"/>
  <c r="L94" i="3"/>
  <c r="J94" i="3"/>
  <c r="H94" i="3"/>
  <c r="F94" i="3"/>
  <c r="E94" i="3"/>
  <c r="D94" i="3"/>
  <c r="C94" i="3"/>
  <c r="B94" i="3"/>
  <c r="A94" i="3"/>
  <c r="U93" i="3"/>
  <c r="T93" i="3"/>
  <c r="S93" i="3"/>
  <c r="R93" i="3"/>
  <c r="Q93" i="3"/>
  <c r="P93" i="3"/>
  <c r="O93" i="3"/>
  <c r="N93" i="3"/>
  <c r="M93" i="3"/>
  <c r="L93" i="3"/>
  <c r="K93" i="3"/>
  <c r="J93" i="3"/>
  <c r="H93" i="3"/>
  <c r="F93" i="3"/>
  <c r="E93" i="3"/>
  <c r="D93" i="3"/>
  <c r="C93" i="3"/>
  <c r="B93" i="3"/>
  <c r="A93" i="3"/>
  <c r="Q92" i="3"/>
  <c r="O92" i="3"/>
  <c r="N92" i="3"/>
  <c r="M92" i="3"/>
  <c r="L92" i="3"/>
  <c r="J92" i="3"/>
  <c r="H92" i="3"/>
  <c r="F92" i="3"/>
  <c r="E92" i="3"/>
  <c r="D92" i="3"/>
  <c r="C92" i="3"/>
  <c r="B92" i="3"/>
  <c r="A92" i="3"/>
  <c r="T91" i="3"/>
  <c r="Q91" i="3"/>
  <c r="O91" i="3"/>
  <c r="N91" i="3"/>
  <c r="M91" i="3"/>
  <c r="J91" i="3"/>
  <c r="H91" i="3"/>
  <c r="F91" i="3"/>
  <c r="E91" i="3"/>
  <c r="D91" i="3"/>
  <c r="C91" i="3"/>
  <c r="B91" i="3"/>
  <c r="A91" i="3"/>
  <c r="Q90" i="3"/>
  <c r="O90" i="3"/>
  <c r="N90" i="3"/>
  <c r="M90" i="3"/>
  <c r="L90" i="3"/>
  <c r="J90" i="3"/>
  <c r="H90" i="3"/>
  <c r="F90" i="3"/>
  <c r="E90" i="3"/>
  <c r="D90" i="3"/>
  <c r="C90" i="3"/>
  <c r="B90" i="3"/>
  <c r="A90" i="3"/>
  <c r="U89" i="3"/>
  <c r="T89" i="3"/>
  <c r="R89" i="3"/>
  <c r="Q89" i="3"/>
  <c r="O89" i="3"/>
  <c r="N89" i="3"/>
  <c r="M89" i="3"/>
  <c r="L89" i="3"/>
  <c r="J89" i="3"/>
  <c r="H89" i="3"/>
  <c r="F88" i="3" s="1"/>
  <c r="F89" i="3"/>
  <c r="E89" i="3"/>
  <c r="D89" i="3"/>
  <c r="C89" i="3"/>
  <c r="B89" i="3"/>
  <c r="A89" i="3"/>
  <c r="Q73" i="3"/>
  <c r="O73" i="3"/>
  <c r="N73" i="3"/>
  <c r="M73" i="3"/>
  <c r="L73" i="3"/>
  <c r="J73" i="3"/>
  <c r="H73" i="3"/>
  <c r="F73" i="3"/>
  <c r="E73" i="3"/>
  <c r="D73" i="3"/>
  <c r="C73" i="3"/>
  <c r="B73" i="3"/>
  <c r="A73" i="3"/>
  <c r="Q72" i="3"/>
  <c r="O72" i="3"/>
  <c r="M72" i="3"/>
  <c r="L72" i="3"/>
  <c r="J72" i="3"/>
  <c r="H72" i="3"/>
  <c r="F72" i="3"/>
  <c r="E72" i="3"/>
  <c r="D72" i="3"/>
  <c r="C72" i="3"/>
  <c r="B72" i="3"/>
  <c r="A72" i="3"/>
  <c r="T71" i="3"/>
  <c r="Q71" i="3"/>
  <c r="O71" i="3"/>
  <c r="N71" i="3"/>
  <c r="M71" i="3"/>
  <c r="L71" i="3"/>
  <c r="J71" i="3"/>
  <c r="H71" i="3"/>
  <c r="F71" i="3"/>
  <c r="E71" i="3"/>
  <c r="D71" i="3"/>
  <c r="C71" i="3"/>
  <c r="B71" i="3"/>
  <c r="A71" i="3"/>
  <c r="T70" i="3"/>
  <c r="Q70" i="3"/>
  <c r="O70" i="3"/>
  <c r="M70" i="3"/>
  <c r="L70" i="3"/>
  <c r="J70" i="3"/>
  <c r="H70" i="3"/>
  <c r="F70" i="3"/>
  <c r="E70" i="3"/>
  <c r="D70" i="3"/>
  <c r="C70" i="3"/>
  <c r="B70" i="3"/>
  <c r="A70" i="3"/>
  <c r="T69" i="3"/>
  <c r="Q69" i="3"/>
  <c r="O69" i="3"/>
  <c r="N69" i="3"/>
  <c r="M69" i="3"/>
  <c r="L69" i="3"/>
  <c r="J69" i="3"/>
  <c r="H69" i="3"/>
  <c r="F69" i="3"/>
  <c r="E69" i="3"/>
  <c r="D69" i="3"/>
  <c r="C69" i="3"/>
  <c r="B69" i="3"/>
  <c r="A69" i="3"/>
  <c r="T68" i="3"/>
  <c r="Q68" i="3"/>
  <c r="O68" i="3"/>
  <c r="M68" i="3"/>
  <c r="L68" i="3"/>
  <c r="J68" i="3"/>
  <c r="H68" i="3"/>
  <c r="F68" i="3"/>
  <c r="E68" i="3"/>
  <c r="D68" i="3"/>
  <c r="C68" i="3"/>
  <c r="B68" i="3"/>
  <c r="A68" i="3"/>
  <c r="U67" i="3"/>
  <c r="T67" i="3"/>
  <c r="S67" i="3"/>
  <c r="R67" i="3"/>
  <c r="Q67" i="3"/>
  <c r="P67" i="3"/>
  <c r="O67" i="3"/>
  <c r="N67" i="3"/>
  <c r="M67" i="3"/>
  <c r="L67" i="3"/>
  <c r="K67" i="3"/>
  <c r="J67" i="3"/>
  <c r="H67" i="3"/>
  <c r="F67" i="3"/>
  <c r="E67" i="3"/>
  <c r="D67" i="3"/>
  <c r="C67" i="3"/>
  <c r="B67" i="3"/>
  <c r="A67" i="3"/>
  <c r="T66" i="3"/>
  <c r="Q66" i="3"/>
  <c r="O66" i="3"/>
  <c r="M66" i="3"/>
  <c r="L66" i="3"/>
  <c r="J66" i="3"/>
  <c r="H66" i="3"/>
  <c r="F66" i="3"/>
  <c r="E66" i="3"/>
  <c r="D66" i="3"/>
  <c r="C66" i="3"/>
  <c r="B66" i="3"/>
  <c r="A66" i="3"/>
  <c r="T65" i="3"/>
  <c r="Q65" i="3"/>
  <c r="O65" i="3"/>
  <c r="N65" i="3"/>
  <c r="M65" i="3"/>
  <c r="L65" i="3"/>
  <c r="J65" i="3"/>
  <c r="H65" i="3"/>
  <c r="F65" i="3"/>
  <c r="E65" i="3"/>
  <c r="D65" i="3"/>
  <c r="C65" i="3"/>
  <c r="B65" i="3"/>
  <c r="A65" i="3"/>
  <c r="Q64" i="3"/>
  <c r="O64" i="3"/>
  <c r="N64" i="3"/>
  <c r="M64" i="3"/>
  <c r="L64" i="3"/>
  <c r="J64" i="3"/>
  <c r="H64" i="3"/>
  <c r="F64" i="3"/>
  <c r="E64" i="3"/>
  <c r="D64" i="3"/>
  <c r="C64" i="3"/>
  <c r="B64" i="3"/>
  <c r="A64" i="3"/>
  <c r="T63" i="3"/>
  <c r="Q63" i="3"/>
  <c r="O63" i="3"/>
  <c r="N63" i="3"/>
  <c r="M63" i="3"/>
  <c r="L63" i="3"/>
  <c r="J63" i="3"/>
  <c r="H63" i="3"/>
  <c r="F63" i="3"/>
  <c r="E63" i="3"/>
  <c r="D63" i="3"/>
  <c r="C63" i="3"/>
  <c r="B63" i="3"/>
  <c r="A63" i="3"/>
  <c r="U62" i="3"/>
  <c r="T62" i="3"/>
  <c r="S62" i="3"/>
  <c r="R62" i="3"/>
  <c r="Q62" i="3"/>
  <c r="O62" i="3"/>
  <c r="N62" i="3"/>
  <c r="M62" i="3"/>
  <c r="L62" i="3"/>
  <c r="K62" i="3"/>
  <c r="J62" i="3"/>
  <c r="H62" i="3"/>
  <c r="F60" i="3" s="1"/>
  <c r="F62" i="3"/>
  <c r="E62" i="3"/>
  <c r="D62" i="3"/>
  <c r="C62" i="3"/>
  <c r="B62" i="3"/>
  <c r="A62" i="3"/>
  <c r="U61" i="3"/>
  <c r="T61" i="3"/>
  <c r="Q59" i="3"/>
  <c r="O59" i="3"/>
  <c r="N59" i="3"/>
  <c r="M59" i="3"/>
  <c r="L59" i="3"/>
  <c r="J59" i="3"/>
  <c r="H59" i="3"/>
  <c r="F59" i="3"/>
  <c r="E59" i="3"/>
  <c r="D59" i="3"/>
  <c r="C59" i="3"/>
  <c r="B59" i="3"/>
  <c r="A59" i="3"/>
  <c r="Q58" i="3"/>
  <c r="O58" i="3"/>
  <c r="N58" i="3"/>
  <c r="M58" i="3"/>
  <c r="L58" i="3"/>
  <c r="J58" i="3"/>
  <c r="H58" i="3"/>
  <c r="F58" i="3"/>
  <c r="E58" i="3"/>
  <c r="D58" i="3"/>
  <c r="C58" i="3"/>
  <c r="B58" i="3"/>
  <c r="A58" i="3"/>
  <c r="Q57" i="3"/>
  <c r="O57" i="3"/>
  <c r="N57" i="3"/>
  <c r="M57" i="3"/>
  <c r="L57" i="3"/>
  <c r="J57" i="3"/>
  <c r="H57" i="3"/>
  <c r="F57" i="3"/>
  <c r="E57" i="3"/>
  <c r="D57" i="3"/>
  <c r="C57" i="3"/>
  <c r="B57" i="3"/>
  <c r="A57" i="3"/>
  <c r="Q56" i="3"/>
  <c r="O56" i="3"/>
  <c r="N56" i="3"/>
  <c r="M56" i="3"/>
  <c r="L56" i="3"/>
  <c r="J56" i="3"/>
  <c r="H56" i="3"/>
  <c r="F56" i="3"/>
  <c r="E56" i="3"/>
  <c r="D56" i="3"/>
  <c r="C56" i="3"/>
  <c r="B56" i="3"/>
  <c r="A56" i="3"/>
  <c r="T55" i="3"/>
  <c r="Q55" i="3"/>
  <c r="O55" i="3"/>
  <c r="N55" i="3"/>
  <c r="M55" i="3"/>
  <c r="L55" i="3"/>
  <c r="J55" i="3"/>
  <c r="H55" i="3"/>
  <c r="F55" i="3"/>
  <c r="E55" i="3"/>
  <c r="D55" i="3"/>
  <c r="C55" i="3"/>
  <c r="B55" i="3"/>
  <c r="A55" i="3"/>
  <c r="U54" i="3"/>
  <c r="T54" i="3"/>
  <c r="S54" i="3"/>
  <c r="R54" i="3"/>
  <c r="Q54" i="3"/>
  <c r="P54" i="3"/>
  <c r="O54" i="3"/>
  <c r="N54" i="3"/>
  <c r="M54" i="3"/>
  <c r="L54" i="3"/>
  <c r="K54" i="3"/>
  <c r="J54" i="3"/>
  <c r="H54" i="3"/>
  <c r="F54" i="3"/>
  <c r="E54" i="3"/>
  <c r="D54" i="3"/>
  <c r="C54" i="3"/>
  <c r="B54" i="3"/>
  <c r="A54" i="3"/>
  <c r="T53" i="3"/>
  <c r="Q53" i="3"/>
  <c r="O53" i="3"/>
  <c r="N53" i="3"/>
  <c r="M53" i="3"/>
  <c r="L53" i="3"/>
  <c r="J53" i="3"/>
  <c r="H53" i="3"/>
  <c r="F53" i="3"/>
  <c r="E53" i="3"/>
  <c r="D53" i="3"/>
  <c r="C53" i="3"/>
  <c r="B53" i="3"/>
  <c r="A53" i="3"/>
  <c r="Q52" i="3"/>
  <c r="O52" i="3"/>
  <c r="N52" i="3"/>
  <c r="M52" i="3"/>
  <c r="L52" i="3"/>
  <c r="J52" i="3"/>
  <c r="H52" i="3"/>
  <c r="F52" i="3"/>
  <c r="E52" i="3"/>
  <c r="D52" i="3"/>
  <c r="C52" i="3"/>
  <c r="B52" i="3"/>
  <c r="A52" i="3"/>
  <c r="T51" i="3"/>
  <c r="Q51" i="3"/>
  <c r="O51" i="3"/>
  <c r="N51" i="3"/>
  <c r="M51" i="3"/>
  <c r="L51" i="3"/>
  <c r="J51" i="3"/>
  <c r="H51" i="3"/>
  <c r="F51" i="3"/>
  <c r="E51" i="3"/>
  <c r="D51" i="3"/>
  <c r="C51" i="3"/>
  <c r="B51" i="3"/>
  <c r="A51" i="3"/>
  <c r="Q50" i="3"/>
  <c r="O50" i="3"/>
  <c r="N50" i="3"/>
  <c r="M50" i="3"/>
  <c r="L50" i="3"/>
  <c r="J50" i="3"/>
  <c r="H50" i="3"/>
  <c r="F50" i="3"/>
  <c r="E50" i="3"/>
  <c r="D50" i="3"/>
  <c r="C50" i="3"/>
  <c r="B50" i="3"/>
  <c r="A50" i="3"/>
  <c r="T49" i="3"/>
  <c r="Q49" i="3"/>
  <c r="O49" i="3"/>
  <c r="N49" i="3"/>
  <c r="M49" i="3"/>
  <c r="L49" i="3"/>
  <c r="J49" i="3"/>
  <c r="H49" i="3"/>
  <c r="F49" i="3"/>
  <c r="E49" i="3"/>
  <c r="D49" i="3"/>
  <c r="C49" i="3"/>
  <c r="B49" i="3"/>
  <c r="A49" i="3"/>
  <c r="U48" i="3"/>
  <c r="T48" i="3"/>
  <c r="Q48" i="3"/>
  <c r="P48" i="3"/>
  <c r="O48" i="3"/>
  <c r="N48" i="3"/>
  <c r="M48" i="3"/>
  <c r="L48" i="3"/>
  <c r="J48" i="3"/>
  <c r="H48" i="3"/>
  <c r="F48" i="3"/>
  <c r="E48" i="3"/>
  <c r="D48" i="3"/>
  <c r="C48" i="3"/>
  <c r="B48" i="3"/>
  <c r="A48" i="3"/>
  <c r="U46" i="3"/>
  <c r="T46" i="3"/>
  <c r="F45" i="3"/>
  <c r="Q16" i="3"/>
  <c r="O16" i="3"/>
  <c r="N16" i="3"/>
  <c r="M16" i="3"/>
  <c r="L16" i="3"/>
  <c r="J16" i="3"/>
  <c r="H16" i="3"/>
  <c r="F16" i="3"/>
  <c r="E16" i="3"/>
  <c r="D16" i="3"/>
  <c r="C16" i="3"/>
  <c r="B16" i="3"/>
  <c r="A16" i="3"/>
  <c r="Q15" i="3"/>
  <c r="O15" i="3"/>
  <c r="N15" i="3"/>
  <c r="M15" i="3"/>
  <c r="L15" i="3"/>
  <c r="J15" i="3"/>
  <c r="H15" i="3"/>
  <c r="F15" i="3"/>
  <c r="E15" i="3"/>
  <c r="D15" i="3"/>
  <c r="C15" i="3"/>
  <c r="B15" i="3"/>
  <c r="A15" i="3"/>
  <c r="T14" i="3"/>
  <c r="Q14" i="3"/>
  <c r="O14" i="3"/>
  <c r="N14" i="3"/>
  <c r="M14" i="3"/>
  <c r="L14" i="3"/>
  <c r="J14" i="3"/>
  <c r="H14" i="3"/>
  <c r="F14" i="3"/>
  <c r="E14" i="3"/>
  <c r="D14" i="3"/>
  <c r="C14" i="3"/>
  <c r="B14" i="3"/>
  <c r="A14" i="3"/>
  <c r="Q13" i="3"/>
  <c r="O13" i="3"/>
  <c r="N13" i="3"/>
  <c r="M13" i="3"/>
  <c r="L13" i="3"/>
  <c r="J13" i="3"/>
  <c r="H13" i="3"/>
  <c r="F13" i="3"/>
  <c r="E13" i="3"/>
  <c r="D13" i="3"/>
  <c r="C13" i="3"/>
  <c r="B13" i="3"/>
  <c r="A13" i="3"/>
  <c r="Q12" i="3"/>
  <c r="O12" i="3"/>
  <c r="M12" i="3"/>
  <c r="L12" i="3"/>
  <c r="J12" i="3"/>
  <c r="H12" i="3"/>
  <c r="F12" i="3"/>
  <c r="E12" i="3"/>
  <c r="D12" i="3"/>
  <c r="C12" i="3"/>
  <c r="B12" i="3"/>
  <c r="A12" i="3"/>
  <c r="T11" i="3"/>
  <c r="Q11" i="3"/>
  <c r="O11" i="3"/>
  <c r="N11" i="3"/>
  <c r="M11" i="3"/>
  <c r="L11" i="3"/>
  <c r="J11" i="3"/>
  <c r="H11" i="3"/>
  <c r="F11" i="3"/>
  <c r="E11" i="3"/>
  <c r="D11" i="3"/>
  <c r="C11" i="3"/>
  <c r="B11" i="3"/>
  <c r="A11" i="3"/>
  <c r="U10" i="3"/>
  <c r="T10" i="3"/>
  <c r="S10" i="3"/>
  <c r="R10" i="3"/>
  <c r="Q10" i="3"/>
  <c r="O10" i="3"/>
  <c r="N10" i="3"/>
  <c r="M10" i="3"/>
  <c r="L10" i="3"/>
  <c r="K10" i="3"/>
  <c r="J10" i="3"/>
  <c r="H10" i="3"/>
  <c r="F10" i="3"/>
  <c r="E10" i="3"/>
  <c r="D10" i="3"/>
  <c r="C10" i="3"/>
  <c r="B10" i="3"/>
  <c r="A10" i="3"/>
  <c r="Q9" i="3"/>
  <c r="O9" i="3"/>
  <c r="N9" i="3"/>
  <c r="M9" i="3"/>
  <c r="L9" i="3"/>
  <c r="J9" i="3"/>
  <c r="H9" i="3"/>
  <c r="F9" i="3"/>
  <c r="E9" i="3"/>
  <c r="D9" i="3"/>
  <c r="C9" i="3"/>
  <c r="B9" i="3"/>
  <c r="A9" i="3"/>
  <c r="T8" i="3"/>
  <c r="Q8" i="3"/>
  <c r="O8" i="3"/>
  <c r="N8" i="3"/>
  <c r="M8" i="3"/>
  <c r="L8" i="3"/>
  <c r="J8" i="3"/>
  <c r="H8" i="3"/>
  <c r="F8" i="3"/>
  <c r="E8" i="3"/>
  <c r="D8" i="3"/>
  <c r="C8" i="3"/>
  <c r="B8" i="3"/>
  <c r="A8" i="3"/>
  <c r="Q7" i="3"/>
  <c r="O7" i="3"/>
  <c r="N7" i="3"/>
  <c r="M7" i="3"/>
  <c r="L7" i="3"/>
  <c r="J7" i="3"/>
  <c r="H7" i="3"/>
  <c r="F7" i="3"/>
  <c r="E7" i="3"/>
  <c r="D7" i="3"/>
  <c r="C7" i="3"/>
  <c r="B7" i="3"/>
  <c r="A7" i="3"/>
  <c r="U6" i="3"/>
  <c r="T6" i="3"/>
  <c r="Q6" i="3"/>
  <c r="O6" i="3"/>
  <c r="N6" i="3"/>
  <c r="M6" i="3"/>
  <c r="L6" i="3"/>
  <c r="J6" i="3"/>
  <c r="H6" i="3"/>
  <c r="F6" i="3"/>
  <c r="E6" i="3"/>
  <c r="D6" i="3"/>
  <c r="C6" i="3"/>
  <c r="B6" i="3"/>
  <c r="A6" i="3"/>
  <c r="T5" i="3"/>
  <c r="Q5" i="3"/>
  <c r="O5" i="3"/>
  <c r="N5" i="3"/>
  <c r="M5" i="3"/>
  <c r="L5" i="3"/>
  <c r="J5" i="3"/>
  <c r="H5" i="3"/>
  <c r="F5" i="3"/>
  <c r="F3" i="3" s="1"/>
  <c r="E5" i="3"/>
  <c r="D5" i="3"/>
  <c r="C5" i="3"/>
  <c r="B5" i="3"/>
  <c r="A5" i="3"/>
  <c r="Q157" i="2"/>
  <c r="O157" i="2"/>
  <c r="N157" i="2"/>
  <c r="M157" i="2"/>
  <c r="L157" i="2"/>
  <c r="J157" i="2"/>
  <c r="H157" i="2"/>
  <c r="F157" i="2"/>
  <c r="E157" i="2"/>
  <c r="D157" i="2"/>
  <c r="C157" i="2"/>
  <c r="B157" i="2"/>
  <c r="A157" i="2"/>
  <c r="Q156" i="2"/>
  <c r="O156" i="2"/>
  <c r="N156" i="2"/>
  <c r="M156" i="2"/>
  <c r="L156" i="2"/>
  <c r="J156" i="2"/>
  <c r="H156" i="2"/>
  <c r="F156" i="2"/>
  <c r="E156" i="2"/>
  <c r="D156" i="2"/>
  <c r="C156" i="2"/>
  <c r="B156" i="2"/>
  <c r="A156" i="2"/>
  <c r="T155" i="2"/>
  <c r="Q155" i="2"/>
  <c r="O155" i="2"/>
  <c r="N155" i="2"/>
  <c r="M155" i="2"/>
  <c r="L155" i="2"/>
  <c r="J155" i="2"/>
  <c r="H155" i="2"/>
  <c r="F155" i="2"/>
  <c r="E155" i="2"/>
  <c r="D155" i="2"/>
  <c r="C155" i="2"/>
  <c r="B155" i="2"/>
  <c r="A155" i="2"/>
  <c r="T154" i="2"/>
  <c r="Q154" i="2"/>
  <c r="O154" i="2"/>
  <c r="N154" i="2"/>
  <c r="M154" i="2"/>
  <c r="L154" i="2"/>
  <c r="J154" i="2"/>
  <c r="H154" i="2"/>
  <c r="F154" i="2"/>
  <c r="E154" i="2"/>
  <c r="D154" i="2"/>
  <c r="C154" i="2"/>
  <c r="B154" i="2"/>
  <c r="A154" i="2"/>
  <c r="T153" i="2"/>
  <c r="Q153" i="2"/>
  <c r="O153" i="2"/>
  <c r="N153" i="2"/>
  <c r="M153" i="2"/>
  <c r="L153" i="2"/>
  <c r="J153" i="2"/>
  <c r="H153" i="2"/>
  <c r="F153" i="2"/>
  <c r="E153" i="2"/>
  <c r="D153" i="2"/>
  <c r="C153" i="2"/>
  <c r="B153" i="2"/>
  <c r="A153" i="2"/>
  <c r="Q152" i="2"/>
  <c r="O152" i="2"/>
  <c r="N152" i="2"/>
  <c r="M152" i="2"/>
  <c r="L152" i="2"/>
  <c r="J152" i="2"/>
  <c r="H152" i="2"/>
  <c r="F152" i="2"/>
  <c r="E152" i="2"/>
  <c r="D152" i="2"/>
  <c r="C152" i="2"/>
  <c r="B152" i="2"/>
  <c r="A152" i="2"/>
  <c r="U151" i="2"/>
  <c r="T151" i="2"/>
  <c r="Q151" i="2"/>
  <c r="P151" i="2"/>
  <c r="O151" i="2"/>
  <c r="N151" i="2"/>
  <c r="M151" i="2"/>
  <c r="L151" i="2"/>
  <c r="J151" i="2"/>
  <c r="H151" i="2"/>
  <c r="F151" i="2"/>
  <c r="E151" i="2"/>
  <c r="D151" i="2"/>
  <c r="C151" i="2"/>
  <c r="B151" i="2"/>
  <c r="A151" i="2"/>
  <c r="T150" i="2"/>
  <c r="Q150" i="2"/>
  <c r="O150" i="2"/>
  <c r="M150" i="2"/>
  <c r="L150" i="2"/>
  <c r="J150" i="2"/>
  <c r="H150" i="2"/>
  <c r="F150" i="2"/>
  <c r="E150" i="2"/>
  <c r="D150" i="2"/>
  <c r="C150" i="2"/>
  <c r="B150" i="2"/>
  <c r="A150" i="2"/>
  <c r="T149" i="2"/>
  <c r="Q149" i="2"/>
  <c r="O149" i="2"/>
  <c r="N149" i="2"/>
  <c r="M149" i="2"/>
  <c r="L149" i="2"/>
  <c r="J149" i="2"/>
  <c r="H149" i="2"/>
  <c r="F149" i="2"/>
  <c r="E149" i="2"/>
  <c r="D149" i="2"/>
  <c r="C149" i="2"/>
  <c r="B149" i="2"/>
  <c r="A149" i="2"/>
  <c r="Q148" i="2"/>
  <c r="O148" i="2"/>
  <c r="N148" i="2"/>
  <c r="M148" i="2"/>
  <c r="L148" i="2"/>
  <c r="J148" i="2"/>
  <c r="H148" i="2"/>
  <c r="F148" i="2"/>
  <c r="E148" i="2"/>
  <c r="D148" i="2"/>
  <c r="C148" i="2"/>
  <c r="B148" i="2"/>
  <c r="A148" i="2"/>
  <c r="U147" i="2"/>
  <c r="T147" i="2"/>
  <c r="Q147" i="2"/>
  <c r="O147" i="2"/>
  <c r="N147" i="2"/>
  <c r="M147" i="2"/>
  <c r="L147" i="2"/>
  <c r="J147" i="2"/>
  <c r="H147" i="2"/>
  <c r="F147" i="2"/>
  <c r="E147" i="2"/>
  <c r="D147" i="2"/>
  <c r="C147" i="2"/>
  <c r="B147" i="2"/>
  <c r="A147" i="2"/>
  <c r="Q146" i="2"/>
  <c r="O146" i="2"/>
  <c r="N146" i="2"/>
  <c r="M146" i="2"/>
  <c r="L146" i="2"/>
  <c r="J146" i="2"/>
  <c r="H146" i="2"/>
  <c r="F144" i="2" s="1"/>
  <c r="F146" i="2"/>
  <c r="E146" i="2"/>
  <c r="D146" i="2"/>
  <c r="C146" i="2"/>
  <c r="B146" i="2"/>
  <c r="A146" i="2"/>
  <c r="T143" i="2"/>
  <c r="Q143" i="2"/>
  <c r="O143" i="2"/>
  <c r="N143" i="2"/>
  <c r="M143" i="2"/>
  <c r="L143" i="2"/>
  <c r="J143" i="2"/>
  <c r="H143" i="2"/>
  <c r="F143" i="2"/>
  <c r="E143" i="2"/>
  <c r="D143" i="2"/>
  <c r="C143" i="2"/>
  <c r="B143" i="2"/>
  <c r="A143" i="2"/>
  <c r="T142" i="2"/>
  <c r="Q142" i="2"/>
  <c r="O142" i="2"/>
  <c r="N142" i="2"/>
  <c r="M142" i="2"/>
  <c r="L142" i="2"/>
  <c r="J142" i="2"/>
  <c r="H142" i="2"/>
  <c r="F142" i="2"/>
  <c r="E142" i="2"/>
  <c r="D142" i="2"/>
  <c r="C142" i="2"/>
  <c r="B142" i="2"/>
  <c r="A142" i="2"/>
  <c r="T141" i="2"/>
  <c r="Q141" i="2"/>
  <c r="O141" i="2"/>
  <c r="N141" i="2"/>
  <c r="M141" i="2"/>
  <c r="L141" i="2"/>
  <c r="J141" i="2"/>
  <c r="H141" i="2"/>
  <c r="F141" i="2"/>
  <c r="E141" i="2"/>
  <c r="D141" i="2"/>
  <c r="C141" i="2"/>
  <c r="B141" i="2"/>
  <c r="A141" i="2"/>
  <c r="T140" i="2"/>
  <c r="Q140" i="2"/>
  <c r="O140" i="2"/>
  <c r="N140" i="2"/>
  <c r="M140" i="2"/>
  <c r="L140" i="2"/>
  <c r="J140" i="2"/>
  <c r="H140" i="2"/>
  <c r="F140" i="2"/>
  <c r="E140" i="2"/>
  <c r="D140" i="2"/>
  <c r="C140" i="2"/>
  <c r="B140" i="2"/>
  <c r="A140" i="2"/>
  <c r="U139" i="2"/>
  <c r="T139" i="2"/>
  <c r="S139" i="2"/>
  <c r="R139" i="2"/>
  <c r="Q139" i="2"/>
  <c r="O139" i="2"/>
  <c r="N139" i="2"/>
  <c r="M139" i="2"/>
  <c r="L139" i="2"/>
  <c r="K139" i="2"/>
  <c r="J139" i="2"/>
  <c r="H139" i="2"/>
  <c r="F139" i="2"/>
  <c r="E139" i="2"/>
  <c r="D139" i="2"/>
  <c r="C139" i="2"/>
  <c r="B139" i="2"/>
  <c r="A139" i="2"/>
  <c r="T138" i="2"/>
  <c r="Q138" i="2"/>
  <c r="O138" i="2"/>
  <c r="N138" i="2"/>
  <c r="M138" i="2"/>
  <c r="L138" i="2"/>
  <c r="J138" i="2"/>
  <c r="H138" i="2"/>
  <c r="F138" i="2"/>
  <c r="E138" i="2"/>
  <c r="D138" i="2"/>
  <c r="C138" i="2"/>
  <c r="B138" i="2"/>
  <c r="A138" i="2"/>
  <c r="T136" i="2"/>
  <c r="Q136" i="2"/>
  <c r="O136" i="2"/>
  <c r="N136" i="2"/>
  <c r="M136" i="2"/>
  <c r="L136" i="2"/>
  <c r="J136" i="2"/>
  <c r="H136" i="2"/>
  <c r="F136" i="2"/>
  <c r="E136" i="2"/>
  <c r="D136" i="2"/>
  <c r="C136" i="2"/>
  <c r="B136" i="2"/>
  <c r="A136" i="2"/>
  <c r="T135" i="2"/>
  <c r="Q135" i="2"/>
  <c r="O135" i="2"/>
  <c r="N135" i="2"/>
  <c r="M135" i="2"/>
  <c r="L135" i="2"/>
  <c r="J135" i="2"/>
  <c r="H135" i="2"/>
  <c r="F135" i="2"/>
  <c r="E135" i="2"/>
  <c r="D135" i="2"/>
  <c r="C135" i="2"/>
  <c r="B135" i="2"/>
  <c r="A135" i="2"/>
  <c r="T134" i="2"/>
  <c r="Q134" i="2"/>
  <c r="O134" i="2"/>
  <c r="N134" i="2"/>
  <c r="M134" i="2"/>
  <c r="L134" i="2"/>
  <c r="J134" i="2"/>
  <c r="H134" i="2"/>
  <c r="F134" i="2"/>
  <c r="E134" i="2"/>
  <c r="D134" i="2"/>
  <c r="C134" i="2"/>
  <c r="B134" i="2"/>
  <c r="A134" i="2"/>
  <c r="T133" i="2"/>
  <c r="Q133" i="2"/>
  <c r="O133" i="2"/>
  <c r="N133" i="2"/>
  <c r="M133" i="2"/>
  <c r="L133" i="2"/>
  <c r="J133" i="2"/>
  <c r="H133" i="2"/>
  <c r="F133" i="2"/>
  <c r="E133" i="2"/>
  <c r="D133" i="2"/>
  <c r="C133" i="2"/>
  <c r="B133" i="2"/>
  <c r="A133" i="2"/>
  <c r="U132" i="2"/>
  <c r="T132" i="2"/>
  <c r="S132" i="2"/>
  <c r="R132" i="2"/>
  <c r="O132" i="2"/>
  <c r="N132" i="2"/>
  <c r="M132" i="2"/>
  <c r="L132" i="2"/>
  <c r="K132" i="2"/>
  <c r="J132" i="2"/>
  <c r="H132" i="2"/>
  <c r="F130" i="2" s="1"/>
  <c r="F132" i="2"/>
  <c r="E132" i="2"/>
  <c r="D132" i="2"/>
  <c r="C132" i="2"/>
  <c r="B132" i="2"/>
  <c r="A132" i="2"/>
  <c r="T129" i="2"/>
  <c r="Q129" i="2"/>
  <c r="O129" i="2"/>
  <c r="N129" i="2"/>
  <c r="M129" i="2"/>
  <c r="L129" i="2"/>
  <c r="J129" i="2"/>
  <c r="H129" i="2"/>
  <c r="F129" i="2"/>
  <c r="E129" i="2"/>
  <c r="D129" i="2"/>
  <c r="C129" i="2"/>
  <c r="B129" i="2"/>
  <c r="A129" i="2"/>
  <c r="T128" i="2"/>
  <c r="Q128" i="2"/>
  <c r="O128" i="2"/>
  <c r="N128" i="2"/>
  <c r="M128" i="2"/>
  <c r="L128" i="2"/>
  <c r="J128" i="2"/>
  <c r="H128" i="2"/>
  <c r="F128" i="2"/>
  <c r="E128" i="2"/>
  <c r="D128" i="2"/>
  <c r="C128" i="2"/>
  <c r="B128" i="2"/>
  <c r="A128" i="2"/>
  <c r="T127" i="2"/>
  <c r="Q127" i="2"/>
  <c r="O127" i="2"/>
  <c r="N127" i="2"/>
  <c r="M127" i="2"/>
  <c r="L127" i="2"/>
  <c r="J127" i="2"/>
  <c r="H127" i="2"/>
  <c r="F127" i="2"/>
  <c r="E127" i="2"/>
  <c r="D127" i="2"/>
  <c r="C127" i="2"/>
  <c r="B127" i="2"/>
  <c r="A127" i="2"/>
  <c r="T126" i="2"/>
  <c r="Q126" i="2"/>
  <c r="O126" i="2"/>
  <c r="M126" i="2"/>
  <c r="L126" i="2"/>
  <c r="J126" i="2"/>
  <c r="H126" i="2"/>
  <c r="F126" i="2"/>
  <c r="E126" i="2"/>
  <c r="D126" i="2"/>
  <c r="C126" i="2"/>
  <c r="B126" i="2"/>
  <c r="A126" i="2"/>
  <c r="Q125" i="2"/>
  <c r="O125" i="2"/>
  <c r="M125" i="2"/>
  <c r="L125" i="2"/>
  <c r="J125" i="2"/>
  <c r="H125" i="2"/>
  <c r="F125" i="2"/>
  <c r="E125" i="2"/>
  <c r="D125" i="2"/>
  <c r="C125" i="2"/>
  <c r="B125" i="2"/>
  <c r="A125" i="2"/>
  <c r="Q124" i="2"/>
  <c r="O124" i="2"/>
  <c r="N124" i="2"/>
  <c r="M124" i="2"/>
  <c r="L124" i="2"/>
  <c r="J124" i="2"/>
  <c r="H124" i="2"/>
  <c r="F124" i="2"/>
  <c r="E124" i="2"/>
  <c r="D124" i="2"/>
  <c r="C124" i="2"/>
  <c r="B124" i="2"/>
  <c r="A124" i="2"/>
  <c r="U122" i="2"/>
  <c r="T122" i="2"/>
  <c r="S122" i="2"/>
  <c r="R122" i="2"/>
  <c r="Q122" i="2"/>
  <c r="P122" i="2"/>
  <c r="O122" i="2"/>
  <c r="N122" i="2"/>
  <c r="M122" i="2"/>
  <c r="L122" i="2"/>
  <c r="K122" i="2"/>
  <c r="J122" i="2"/>
  <c r="H122" i="2"/>
  <c r="F122" i="2"/>
  <c r="E122" i="2"/>
  <c r="D122" i="2"/>
  <c r="C122" i="2"/>
  <c r="B122" i="2"/>
  <c r="A122" i="2"/>
  <c r="T121" i="2"/>
  <c r="Q121" i="2"/>
  <c r="O121" i="2"/>
  <c r="N121" i="2"/>
  <c r="M121" i="2"/>
  <c r="L121" i="2"/>
  <c r="J121" i="2"/>
  <c r="H121" i="2"/>
  <c r="F121" i="2"/>
  <c r="E121" i="2"/>
  <c r="D121" i="2"/>
  <c r="C121" i="2"/>
  <c r="B121" i="2"/>
  <c r="A121" i="2"/>
  <c r="Q120" i="2"/>
  <c r="O120" i="2"/>
  <c r="N120" i="2"/>
  <c r="M120" i="2"/>
  <c r="L120" i="2"/>
  <c r="J120" i="2"/>
  <c r="H120" i="2"/>
  <c r="F120" i="2"/>
  <c r="E120" i="2"/>
  <c r="D120" i="2"/>
  <c r="C120" i="2"/>
  <c r="B120" i="2"/>
  <c r="A120" i="2"/>
  <c r="T119" i="2"/>
  <c r="Q119" i="2"/>
  <c r="O119" i="2"/>
  <c r="N119" i="2"/>
  <c r="M119" i="2"/>
  <c r="L119" i="2"/>
  <c r="J119" i="2"/>
  <c r="H119" i="2"/>
  <c r="F119" i="2"/>
  <c r="E119" i="2"/>
  <c r="D119" i="2"/>
  <c r="C119" i="2"/>
  <c r="B119" i="2"/>
  <c r="A119" i="2"/>
  <c r="U118" i="2"/>
  <c r="T118" i="2"/>
  <c r="S118" i="2"/>
  <c r="R118" i="2"/>
  <c r="Q118" i="2"/>
  <c r="O118" i="2"/>
  <c r="N118" i="2"/>
  <c r="M118" i="2"/>
  <c r="L118" i="2"/>
  <c r="K118" i="2"/>
  <c r="J118" i="2"/>
  <c r="H118" i="2"/>
  <c r="F116" i="2" s="1"/>
  <c r="F118" i="2"/>
  <c r="E118" i="2"/>
  <c r="D118" i="2"/>
  <c r="C118" i="2"/>
  <c r="B118" i="2"/>
  <c r="A118" i="2"/>
  <c r="Q115" i="2"/>
  <c r="O115" i="2"/>
  <c r="N115" i="2"/>
  <c r="M115" i="2"/>
  <c r="L115" i="2"/>
  <c r="J115" i="2"/>
  <c r="H115" i="2"/>
  <c r="F115" i="2"/>
  <c r="E115" i="2"/>
  <c r="D115" i="2"/>
  <c r="C115" i="2"/>
  <c r="B115" i="2"/>
  <c r="A115" i="2"/>
  <c r="Q114" i="2"/>
  <c r="O114" i="2"/>
  <c r="N114" i="2"/>
  <c r="M114" i="2"/>
  <c r="L114" i="2"/>
  <c r="J114" i="2"/>
  <c r="H114" i="2"/>
  <c r="F114" i="2"/>
  <c r="E114" i="2"/>
  <c r="D114" i="2"/>
  <c r="C114" i="2"/>
  <c r="B114" i="2"/>
  <c r="A114" i="2"/>
  <c r="Q113" i="2"/>
  <c r="O113" i="2"/>
  <c r="N113" i="2"/>
  <c r="M113" i="2"/>
  <c r="L113" i="2"/>
  <c r="J113" i="2"/>
  <c r="H113" i="2"/>
  <c r="F113" i="2"/>
  <c r="E113" i="2"/>
  <c r="D113" i="2"/>
  <c r="C113" i="2"/>
  <c r="B113" i="2"/>
  <c r="A113" i="2"/>
  <c r="T112" i="2"/>
  <c r="Q112" i="2"/>
  <c r="O112" i="2"/>
  <c r="M112" i="2"/>
  <c r="L112" i="2"/>
  <c r="J112" i="2"/>
  <c r="H112" i="2"/>
  <c r="F112" i="2"/>
  <c r="E112" i="2"/>
  <c r="D112" i="2"/>
  <c r="C112" i="2"/>
  <c r="B112" i="2"/>
  <c r="A112" i="2"/>
  <c r="Q111" i="2"/>
  <c r="O111" i="2"/>
  <c r="N111" i="2"/>
  <c r="M111" i="2"/>
  <c r="L111" i="2"/>
  <c r="J111" i="2"/>
  <c r="H111" i="2"/>
  <c r="F111" i="2"/>
  <c r="E111" i="2"/>
  <c r="D111" i="2"/>
  <c r="C111" i="2"/>
  <c r="B111" i="2"/>
  <c r="A111" i="2"/>
  <c r="U110" i="2"/>
  <c r="T110" i="2"/>
  <c r="S110" i="2"/>
  <c r="R110" i="2"/>
  <c r="Q110" i="2"/>
  <c r="O110" i="2"/>
  <c r="N110" i="2"/>
  <c r="M110" i="2"/>
  <c r="L110" i="2"/>
  <c r="J110" i="2"/>
  <c r="H110" i="2"/>
  <c r="F110" i="2"/>
  <c r="E110" i="2"/>
  <c r="D110" i="2"/>
  <c r="C110" i="2"/>
  <c r="B110" i="2"/>
  <c r="A110" i="2"/>
  <c r="Q108" i="2"/>
  <c r="O108" i="2"/>
  <c r="N108" i="2"/>
  <c r="M108" i="2"/>
  <c r="L108" i="2"/>
  <c r="J108" i="2"/>
  <c r="H108" i="2"/>
  <c r="F108" i="2"/>
  <c r="E108" i="2"/>
  <c r="D108" i="2"/>
  <c r="C108" i="2"/>
  <c r="B108" i="2"/>
  <c r="A108" i="2"/>
  <c r="T107" i="2"/>
  <c r="Q107" i="2"/>
  <c r="O107" i="2"/>
  <c r="N107" i="2"/>
  <c r="M107" i="2"/>
  <c r="L107" i="2"/>
  <c r="J107" i="2"/>
  <c r="H107" i="2"/>
  <c r="F107" i="2"/>
  <c r="E107" i="2"/>
  <c r="D107" i="2"/>
  <c r="C107" i="2"/>
  <c r="B107" i="2"/>
  <c r="A107" i="2"/>
  <c r="T106" i="2"/>
  <c r="Q106" i="2"/>
  <c r="O106" i="2"/>
  <c r="N106" i="2"/>
  <c r="M106" i="2"/>
  <c r="L106" i="2"/>
  <c r="J106" i="2"/>
  <c r="H106" i="2"/>
  <c r="F106" i="2"/>
  <c r="E106" i="2"/>
  <c r="D106" i="2"/>
  <c r="C106" i="2"/>
  <c r="B106" i="2"/>
  <c r="A106" i="2"/>
  <c r="T105" i="2"/>
  <c r="Q105" i="2"/>
  <c r="O105" i="2"/>
  <c r="N105" i="2"/>
  <c r="M105" i="2"/>
  <c r="L105" i="2"/>
  <c r="J105" i="2"/>
  <c r="H105" i="2"/>
  <c r="F105" i="2"/>
  <c r="F102" i="2" s="1"/>
  <c r="E105" i="2"/>
  <c r="D105" i="2"/>
  <c r="C105" i="2"/>
  <c r="B105" i="2"/>
  <c r="A105" i="2"/>
  <c r="U104" i="2"/>
  <c r="T104" i="2"/>
  <c r="R104" i="2"/>
  <c r="Q104" i="2"/>
  <c r="O104" i="2"/>
  <c r="N104" i="2"/>
  <c r="M104" i="2"/>
  <c r="L104" i="2"/>
  <c r="J104" i="2"/>
  <c r="H104" i="2"/>
  <c r="F104" i="2"/>
  <c r="E104" i="2"/>
  <c r="D104" i="2"/>
  <c r="C104" i="2"/>
  <c r="B104" i="2"/>
  <c r="A104" i="2"/>
  <c r="T101" i="2"/>
  <c r="Q101" i="2"/>
  <c r="O101" i="2"/>
  <c r="N101" i="2"/>
  <c r="M101" i="2"/>
  <c r="L101" i="2"/>
  <c r="J101" i="2"/>
  <c r="H101" i="2"/>
  <c r="F101" i="2"/>
  <c r="E101" i="2"/>
  <c r="D101" i="2"/>
  <c r="C101" i="2"/>
  <c r="B101" i="2"/>
  <c r="A101" i="2"/>
  <c r="T100" i="2"/>
  <c r="Q100" i="2"/>
  <c r="O100" i="2"/>
  <c r="N100" i="2"/>
  <c r="M100" i="2"/>
  <c r="L100" i="2"/>
  <c r="J100" i="2"/>
  <c r="H100" i="2"/>
  <c r="F100" i="2"/>
  <c r="E100" i="2"/>
  <c r="D100" i="2"/>
  <c r="C100" i="2"/>
  <c r="B100" i="2"/>
  <c r="A100" i="2"/>
  <c r="Q99" i="2"/>
  <c r="O99" i="2"/>
  <c r="N99" i="2"/>
  <c r="M99" i="2"/>
  <c r="L99" i="2"/>
  <c r="J99" i="2"/>
  <c r="H99" i="2"/>
  <c r="F99" i="2"/>
  <c r="E99" i="2"/>
  <c r="D99" i="2"/>
  <c r="C99" i="2"/>
  <c r="B99" i="2"/>
  <c r="A99" i="2"/>
  <c r="T98" i="2"/>
  <c r="Q98" i="2"/>
  <c r="O98" i="2"/>
  <c r="N98" i="2"/>
  <c r="M98" i="2"/>
  <c r="L98" i="2"/>
  <c r="J98" i="2"/>
  <c r="H98" i="2"/>
  <c r="F98" i="2"/>
  <c r="E98" i="2"/>
  <c r="D98" i="2"/>
  <c r="C98" i="2"/>
  <c r="B98" i="2"/>
  <c r="A98" i="2"/>
  <c r="T97" i="2"/>
  <c r="Q97" i="2"/>
  <c r="O97" i="2"/>
  <c r="N97" i="2"/>
  <c r="M97" i="2"/>
  <c r="L97" i="2"/>
  <c r="J97" i="2"/>
  <c r="H97" i="2"/>
  <c r="F97" i="2"/>
  <c r="E97" i="2"/>
  <c r="D97" i="2"/>
  <c r="C97" i="2"/>
  <c r="B97" i="2"/>
  <c r="A97" i="2"/>
  <c r="Q96" i="2"/>
  <c r="O96" i="2"/>
  <c r="N96" i="2"/>
  <c r="M96" i="2"/>
  <c r="L96" i="2"/>
  <c r="J96" i="2"/>
  <c r="H96" i="2"/>
  <c r="F96" i="2"/>
  <c r="E96" i="2"/>
  <c r="D96" i="2"/>
  <c r="C96" i="2"/>
  <c r="B96" i="2"/>
  <c r="A96" i="2"/>
  <c r="Q95" i="2"/>
  <c r="O95" i="2"/>
  <c r="N95" i="2"/>
  <c r="M95" i="2"/>
  <c r="L95" i="2"/>
  <c r="J95" i="2"/>
  <c r="H95" i="2"/>
  <c r="F95" i="2"/>
  <c r="E95" i="2"/>
  <c r="D95" i="2"/>
  <c r="C95" i="2"/>
  <c r="B95" i="2"/>
  <c r="A95" i="2"/>
  <c r="U94" i="2"/>
  <c r="T94" i="2"/>
  <c r="Q94" i="2"/>
  <c r="P94" i="2"/>
  <c r="O94" i="2"/>
  <c r="N94" i="2"/>
  <c r="M94" i="2"/>
  <c r="L94" i="2"/>
  <c r="J94" i="2"/>
  <c r="H94" i="2"/>
  <c r="F94" i="2"/>
  <c r="E94" i="2"/>
  <c r="D94" i="2"/>
  <c r="C94" i="2"/>
  <c r="B94" i="2"/>
  <c r="A94" i="2"/>
  <c r="T93" i="2"/>
  <c r="Q93" i="2"/>
  <c r="P93" i="2"/>
  <c r="O93" i="2"/>
  <c r="N93" i="2"/>
  <c r="M93" i="2"/>
  <c r="L93" i="2"/>
  <c r="J93" i="2"/>
  <c r="H93" i="2"/>
  <c r="F93" i="2"/>
  <c r="E93" i="2"/>
  <c r="D93" i="2"/>
  <c r="C93" i="2"/>
  <c r="B93" i="2"/>
  <c r="A93" i="2"/>
  <c r="Q92" i="2"/>
  <c r="O92" i="2"/>
  <c r="N92" i="2"/>
  <c r="M92" i="2"/>
  <c r="L92" i="2"/>
  <c r="J92" i="2"/>
  <c r="H92" i="2"/>
  <c r="F92" i="2"/>
  <c r="E92" i="2"/>
  <c r="D92" i="2"/>
  <c r="C92" i="2"/>
  <c r="B92" i="2"/>
  <c r="A92" i="2"/>
  <c r="T91" i="2"/>
  <c r="Q91" i="2"/>
  <c r="O91" i="2"/>
  <c r="N91" i="2"/>
  <c r="M91" i="2"/>
  <c r="L91" i="2"/>
  <c r="J91" i="2"/>
  <c r="H91" i="2"/>
  <c r="F91" i="2"/>
  <c r="E91" i="2"/>
  <c r="D91" i="2"/>
  <c r="C91" i="2"/>
  <c r="B91" i="2"/>
  <c r="A91" i="2"/>
  <c r="U90" i="2"/>
  <c r="T90" i="2"/>
  <c r="R90" i="2"/>
  <c r="Q90" i="2"/>
  <c r="O90" i="2"/>
  <c r="N90" i="2"/>
  <c r="M90" i="2"/>
  <c r="L90" i="2"/>
  <c r="K90" i="2"/>
  <c r="J90" i="2"/>
  <c r="H90" i="2"/>
  <c r="F88" i="2" s="1"/>
  <c r="F90" i="2"/>
  <c r="E90" i="2"/>
  <c r="D90" i="2"/>
  <c r="C90" i="2"/>
  <c r="B90" i="2"/>
  <c r="A90" i="2"/>
  <c r="U74" i="2"/>
  <c r="T74" i="2"/>
  <c r="S74" i="2"/>
  <c r="R74" i="2"/>
  <c r="Q74" i="2"/>
  <c r="O74" i="2"/>
  <c r="N74" i="2"/>
  <c r="M74" i="2"/>
  <c r="L74" i="2"/>
  <c r="K74" i="2"/>
  <c r="J74" i="2"/>
  <c r="H74" i="2"/>
  <c r="F73" i="2" s="1"/>
  <c r="F74" i="2"/>
  <c r="E74" i="2"/>
  <c r="D74" i="2"/>
  <c r="C74" i="2"/>
  <c r="B74" i="2"/>
  <c r="A74" i="2"/>
  <c r="A75" i="2"/>
  <c r="U87" i="2"/>
  <c r="T87" i="2"/>
  <c r="Q87" i="2"/>
  <c r="O87" i="2"/>
  <c r="N87" i="2"/>
  <c r="M87" i="2"/>
  <c r="L87" i="2"/>
  <c r="J87" i="2"/>
  <c r="H87" i="2"/>
  <c r="F87" i="2"/>
  <c r="E87" i="2"/>
  <c r="D87" i="2"/>
  <c r="C87" i="2"/>
  <c r="B87" i="2"/>
  <c r="A87" i="2"/>
  <c r="U86" i="2"/>
  <c r="T86" i="2"/>
  <c r="S86" i="2"/>
  <c r="R86" i="2"/>
  <c r="Q86" i="2"/>
  <c r="P86" i="2"/>
  <c r="O86" i="2"/>
  <c r="N86" i="2"/>
  <c r="M86" i="2"/>
  <c r="L86" i="2"/>
  <c r="K86" i="2"/>
  <c r="J86" i="2"/>
  <c r="H86" i="2"/>
  <c r="F86" i="2"/>
  <c r="E86" i="2"/>
  <c r="D86" i="2"/>
  <c r="C86" i="2"/>
  <c r="B86" i="2"/>
  <c r="A86" i="2"/>
  <c r="Q85" i="2"/>
  <c r="O85" i="2"/>
  <c r="M85" i="2"/>
  <c r="L85" i="2"/>
  <c r="J85" i="2"/>
  <c r="H85" i="2"/>
  <c r="F85" i="2"/>
  <c r="E85" i="2"/>
  <c r="D85" i="2"/>
  <c r="C85" i="2"/>
  <c r="B85" i="2"/>
  <c r="A85" i="2"/>
  <c r="Q84" i="2"/>
  <c r="O84" i="2"/>
  <c r="N84" i="2"/>
  <c r="M84" i="2"/>
  <c r="L84" i="2"/>
  <c r="J84" i="2"/>
  <c r="H84" i="2"/>
  <c r="F84" i="2"/>
  <c r="E84" i="2"/>
  <c r="D84" i="2"/>
  <c r="C84" i="2"/>
  <c r="B84" i="2"/>
  <c r="A84" i="2"/>
  <c r="Q83" i="2"/>
  <c r="O83" i="2"/>
  <c r="N83" i="2"/>
  <c r="M83" i="2"/>
  <c r="L83" i="2"/>
  <c r="J83" i="2"/>
  <c r="H83" i="2"/>
  <c r="F83" i="2"/>
  <c r="E83" i="2"/>
  <c r="D83" i="2"/>
  <c r="C83" i="2"/>
  <c r="B83" i="2"/>
  <c r="A83" i="2"/>
  <c r="Q82" i="2"/>
  <c r="O82" i="2"/>
  <c r="M82" i="2"/>
  <c r="L82" i="2"/>
  <c r="J82" i="2"/>
  <c r="H82" i="2"/>
  <c r="F82" i="2"/>
  <c r="E82" i="2"/>
  <c r="D82" i="2"/>
  <c r="C82" i="2"/>
  <c r="B82" i="2"/>
  <c r="A82" i="2"/>
  <c r="T81" i="2"/>
  <c r="Q81" i="2"/>
  <c r="O81" i="2"/>
  <c r="N81" i="2"/>
  <c r="M81" i="2"/>
  <c r="L81" i="2"/>
  <c r="J81" i="2"/>
  <c r="H81" i="2"/>
  <c r="F81" i="2"/>
  <c r="E81" i="2"/>
  <c r="D81" i="2"/>
  <c r="C81" i="2"/>
  <c r="B81" i="2"/>
  <c r="A81" i="2"/>
  <c r="Q80" i="2"/>
  <c r="O80" i="2"/>
  <c r="N80" i="2"/>
  <c r="M80" i="2"/>
  <c r="L80" i="2"/>
  <c r="J80" i="2"/>
  <c r="H80" i="2"/>
  <c r="F80" i="2"/>
  <c r="E80" i="2"/>
  <c r="D80" i="2"/>
  <c r="C80" i="2"/>
  <c r="B80" i="2"/>
  <c r="A80" i="2"/>
  <c r="T79" i="2"/>
  <c r="Q79" i="2"/>
  <c r="O79" i="2"/>
  <c r="M79" i="2"/>
  <c r="L79" i="2"/>
  <c r="J79" i="2"/>
  <c r="H79" i="2"/>
  <c r="F79" i="2"/>
  <c r="E79" i="2"/>
  <c r="D79" i="2"/>
  <c r="C79" i="2"/>
  <c r="B79" i="2"/>
  <c r="A79" i="2"/>
  <c r="T78" i="2"/>
  <c r="Q78" i="2"/>
  <c r="O78" i="2"/>
  <c r="N78" i="2"/>
  <c r="M78" i="2"/>
  <c r="L78" i="2"/>
  <c r="J78" i="2"/>
  <c r="H78" i="2"/>
  <c r="F78" i="2"/>
  <c r="E78" i="2"/>
  <c r="D78" i="2"/>
  <c r="C78" i="2"/>
  <c r="B78" i="2"/>
  <c r="A78" i="2"/>
  <c r="T77" i="2"/>
  <c r="Q77" i="2"/>
  <c r="O77" i="2"/>
  <c r="N77" i="2"/>
  <c r="M77" i="2"/>
  <c r="L77" i="2"/>
  <c r="J77" i="2"/>
  <c r="H77" i="2"/>
  <c r="F77" i="2"/>
  <c r="E77" i="2"/>
  <c r="D77" i="2"/>
  <c r="C77" i="2"/>
  <c r="B77" i="2"/>
  <c r="A77" i="2"/>
  <c r="U76" i="2"/>
  <c r="T76" i="2"/>
  <c r="S76" i="2"/>
  <c r="R76" i="2"/>
  <c r="Q76" i="2"/>
  <c r="O76" i="2"/>
  <c r="N76" i="2"/>
  <c r="M76" i="2"/>
  <c r="L76" i="2"/>
  <c r="K76" i="2"/>
  <c r="J76" i="2"/>
  <c r="H76" i="2"/>
  <c r="F76" i="2"/>
  <c r="E76" i="2"/>
  <c r="D76" i="2"/>
  <c r="C76" i="2"/>
  <c r="B76" i="2"/>
  <c r="A76" i="2"/>
  <c r="T75" i="2"/>
  <c r="Q75" i="2"/>
  <c r="O75" i="2"/>
  <c r="N75" i="2"/>
  <c r="M75" i="2"/>
  <c r="L75" i="2"/>
  <c r="J75" i="2"/>
  <c r="H75" i="2"/>
  <c r="F75" i="2"/>
  <c r="E75" i="2"/>
  <c r="D75" i="2"/>
  <c r="C75" i="2"/>
  <c r="B75" i="2"/>
  <c r="T72" i="2"/>
  <c r="Q72" i="2"/>
  <c r="O72" i="2"/>
  <c r="N72" i="2"/>
  <c r="M72" i="2"/>
  <c r="L72" i="2"/>
  <c r="J72" i="2"/>
  <c r="H72" i="2"/>
  <c r="F72" i="2"/>
  <c r="E72" i="2"/>
  <c r="D72" i="2"/>
  <c r="C72" i="2"/>
  <c r="B72" i="2"/>
  <c r="A72" i="2"/>
  <c r="U71" i="2"/>
  <c r="T71" i="2"/>
  <c r="S71" i="2"/>
  <c r="R71" i="2"/>
  <c r="Q71" i="2"/>
  <c r="O71" i="2"/>
  <c r="N71" i="2"/>
  <c r="M71" i="2"/>
  <c r="L71" i="2"/>
  <c r="K71" i="2"/>
  <c r="J71" i="2"/>
  <c r="H71" i="2"/>
  <c r="F71" i="2"/>
  <c r="E71" i="2"/>
  <c r="D71" i="2"/>
  <c r="C71" i="2"/>
  <c r="B71" i="2"/>
  <c r="A71" i="2"/>
  <c r="T70" i="2"/>
  <c r="Q70" i="2"/>
  <c r="O70" i="2"/>
  <c r="N70" i="2"/>
  <c r="M70" i="2"/>
  <c r="L70" i="2"/>
  <c r="J70" i="2"/>
  <c r="H70" i="2"/>
  <c r="F70" i="2"/>
  <c r="E70" i="2"/>
  <c r="D70" i="2"/>
  <c r="C70" i="2"/>
  <c r="B70" i="2"/>
  <c r="A70" i="2"/>
  <c r="Q69" i="2"/>
  <c r="O69" i="2"/>
  <c r="N69" i="2"/>
  <c r="M69" i="2"/>
  <c r="L69" i="2"/>
  <c r="J69" i="2"/>
  <c r="H69" i="2"/>
  <c r="F69" i="2"/>
  <c r="E69" i="2"/>
  <c r="D69" i="2"/>
  <c r="C69" i="2"/>
  <c r="B69" i="2"/>
  <c r="A69" i="2"/>
  <c r="U68" i="2"/>
  <c r="T68" i="2"/>
  <c r="S68" i="2"/>
  <c r="R68" i="2"/>
  <c r="Q68" i="2"/>
  <c r="P68" i="2"/>
  <c r="O68" i="2"/>
  <c r="N68" i="2"/>
  <c r="M68" i="2"/>
  <c r="L68" i="2"/>
  <c r="K68" i="2"/>
  <c r="J68" i="2"/>
  <c r="H68" i="2"/>
  <c r="F68" i="2"/>
  <c r="E68" i="2"/>
  <c r="D68" i="2"/>
  <c r="C68" i="2"/>
  <c r="B68" i="2"/>
  <c r="A68" i="2"/>
  <c r="T67" i="2"/>
  <c r="Q67" i="2"/>
  <c r="O67" i="2"/>
  <c r="N67" i="2"/>
  <c r="M67" i="2"/>
  <c r="L67" i="2"/>
  <c r="J67" i="2"/>
  <c r="H67" i="2"/>
  <c r="F67" i="2"/>
  <c r="E67" i="2"/>
  <c r="D67" i="2"/>
  <c r="C67" i="2"/>
  <c r="B67" i="2"/>
  <c r="A67" i="2"/>
  <c r="Q66" i="2"/>
  <c r="O66" i="2"/>
  <c r="N66" i="2"/>
  <c r="M66" i="2"/>
  <c r="L66" i="2"/>
  <c r="J66" i="2"/>
  <c r="H66" i="2"/>
  <c r="F66" i="2"/>
  <c r="E66" i="2"/>
  <c r="D66" i="2"/>
  <c r="C66" i="2"/>
  <c r="B66" i="2"/>
  <c r="A66" i="2"/>
  <c r="Q65" i="2"/>
  <c r="O65" i="2"/>
  <c r="M65" i="2"/>
  <c r="L65" i="2"/>
  <c r="J65" i="2"/>
  <c r="H65" i="2"/>
  <c r="F65" i="2"/>
  <c r="E65" i="2"/>
  <c r="D65" i="2"/>
  <c r="C65" i="2"/>
  <c r="B65" i="2"/>
  <c r="A65" i="2"/>
  <c r="T64" i="2"/>
  <c r="Q64" i="2"/>
  <c r="O64" i="2"/>
  <c r="N64" i="2"/>
  <c r="M64" i="2"/>
  <c r="L64" i="2"/>
  <c r="J64" i="2"/>
  <c r="H64" i="2"/>
  <c r="F64" i="2"/>
  <c r="E64" i="2"/>
  <c r="D64" i="2"/>
  <c r="C64" i="2"/>
  <c r="B64" i="2"/>
  <c r="A64" i="2"/>
  <c r="T63" i="2"/>
  <c r="Q63" i="2"/>
  <c r="O63" i="2"/>
  <c r="N63" i="2"/>
  <c r="M63" i="2"/>
  <c r="L63" i="2"/>
  <c r="J63" i="2"/>
  <c r="H63" i="2"/>
  <c r="F63" i="2"/>
  <c r="E63" i="2"/>
  <c r="D63" i="2"/>
  <c r="C63" i="2"/>
  <c r="B63" i="2"/>
  <c r="A63" i="2"/>
  <c r="Q62" i="2"/>
  <c r="O62" i="2"/>
  <c r="N62" i="2"/>
  <c r="M62" i="2"/>
  <c r="L62" i="2"/>
  <c r="J62" i="2"/>
  <c r="H62" i="2"/>
  <c r="F62" i="2"/>
  <c r="E62" i="2"/>
  <c r="D62" i="2"/>
  <c r="C62" i="2"/>
  <c r="B62" i="2"/>
  <c r="A62" i="2"/>
  <c r="T61" i="2"/>
  <c r="Q61" i="2"/>
  <c r="O61" i="2"/>
  <c r="N61" i="2"/>
  <c r="M61" i="2"/>
  <c r="L61" i="2"/>
  <c r="J61" i="2"/>
  <c r="H61" i="2"/>
  <c r="F61" i="2"/>
  <c r="F59" i="2" s="1"/>
  <c r="E61" i="2"/>
  <c r="D61" i="2"/>
  <c r="C61" i="2"/>
  <c r="B61" i="2"/>
  <c r="A61" i="2"/>
  <c r="Q58" i="2"/>
  <c r="O58" i="2"/>
  <c r="N58" i="2"/>
  <c r="M58" i="2"/>
  <c r="L58" i="2"/>
  <c r="J58" i="2"/>
  <c r="H58" i="2"/>
  <c r="F58" i="2"/>
  <c r="E58" i="2"/>
  <c r="D58" i="2"/>
  <c r="C58" i="2"/>
  <c r="B58" i="2"/>
  <c r="A58" i="2"/>
  <c r="Q57" i="2"/>
  <c r="O57" i="2"/>
  <c r="M57" i="2"/>
  <c r="L57" i="2"/>
  <c r="J57" i="2"/>
  <c r="H57" i="2"/>
  <c r="F57" i="2"/>
  <c r="E57" i="2"/>
  <c r="D57" i="2"/>
  <c r="C57" i="2"/>
  <c r="B57" i="2"/>
  <c r="A57" i="2"/>
  <c r="T56" i="2"/>
  <c r="Q56" i="2"/>
  <c r="O56" i="2"/>
  <c r="N56" i="2"/>
  <c r="M56" i="2"/>
  <c r="L56" i="2"/>
  <c r="J56" i="2"/>
  <c r="H56" i="2"/>
  <c r="F56" i="2"/>
  <c r="E56" i="2"/>
  <c r="D56" i="2"/>
  <c r="C56" i="2"/>
  <c r="B56" i="2"/>
  <c r="A56" i="2"/>
  <c r="T55" i="2"/>
  <c r="Q55" i="2"/>
  <c r="O55" i="2"/>
  <c r="N55" i="2"/>
  <c r="M55" i="2"/>
  <c r="L55" i="2"/>
  <c r="J55" i="2"/>
  <c r="H55" i="2"/>
  <c r="F55" i="2"/>
  <c r="E55" i="2"/>
  <c r="D55" i="2"/>
  <c r="C55" i="2"/>
  <c r="B55" i="2"/>
  <c r="A55" i="2"/>
  <c r="Q54" i="2"/>
  <c r="O54" i="2"/>
  <c r="N54" i="2"/>
  <c r="M54" i="2"/>
  <c r="L54" i="2"/>
  <c r="J54" i="2"/>
  <c r="H54" i="2"/>
  <c r="F54" i="2"/>
  <c r="E54" i="2"/>
  <c r="D54" i="2"/>
  <c r="C54" i="2"/>
  <c r="B54" i="2"/>
  <c r="A54" i="2"/>
  <c r="T53" i="2"/>
  <c r="Q53" i="2"/>
  <c r="O53" i="2"/>
  <c r="N53" i="2"/>
  <c r="M53" i="2"/>
  <c r="L53" i="2"/>
  <c r="J53" i="2"/>
  <c r="H53" i="2"/>
  <c r="F53" i="2"/>
  <c r="E53" i="2"/>
  <c r="D53" i="2"/>
  <c r="C53" i="2"/>
  <c r="B53" i="2"/>
  <c r="A53" i="2"/>
  <c r="U52" i="2"/>
  <c r="T52" i="2"/>
  <c r="S52" i="2"/>
  <c r="R52" i="2"/>
  <c r="Q52" i="2"/>
  <c r="P52" i="2"/>
  <c r="O52" i="2"/>
  <c r="N52" i="2"/>
  <c r="M52" i="2"/>
  <c r="L52" i="2"/>
  <c r="J52" i="2"/>
  <c r="H52" i="2"/>
  <c r="F52" i="2"/>
  <c r="E52" i="2"/>
  <c r="D52" i="2"/>
  <c r="C52" i="2"/>
  <c r="B52" i="2"/>
  <c r="A52" i="2"/>
  <c r="Q51" i="2"/>
  <c r="O51" i="2"/>
  <c r="M51" i="2"/>
  <c r="L51" i="2"/>
  <c r="J51" i="2"/>
  <c r="H51" i="2"/>
  <c r="F51" i="2"/>
  <c r="E51" i="2"/>
  <c r="D51" i="2"/>
  <c r="C51" i="2"/>
  <c r="B51" i="2"/>
  <c r="A51" i="2"/>
  <c r="T50" i="2"/>
  <c r="Q50" i="2"/>
  <c r="O50" i="2"/>
  <c r="N50" i="2"/>
  <c r="M50" i="2"/>
  <c r="L50" i="2"/>
  <c r="J50" i="2"/>
  <c r="H50" i="2"/>
  <c r="F50" i="2"/>
  <c r="E50" i="2"/>
  <c r="D50" i="2"/>
  <c r="C50" i="2"/>
  <c r="B50" i="2"/>
  <c r="A50" i="2"/>
  <c r="T49" i="2"/>
  <c r="Q49" i="2"/>
  <c r="O49" i="2"/>
  <c r="N49" i="2"/>
  <c r="M49" i="2"/>
  <c r="L49" i="2"/>
  <c r="J49" i="2"/>
  <c r="H49" i="2"/>
  <c r="F49" i="2"/>
  <c r="E49" i="2"/>
  <c r="D49" i="2"/>
  <c r="C49" i="2"/>
  <c r="B49" i="2"/>
  <c r="A49" i="2"/>
  <c r="Q48" i="2"/>
  <c r="O48" i="2"/>
  <c r="N48" i="2"/>
  <c r="M48" i="2"/>
  <c r="L48" i="2"/>
  <c r="J48" i="2"/>
  <c r="H48" i="2"/>
  <c r="F48" i="2"/>
  <c r="E48" i="2"/>
  <c r="D48" i="2"/>
  <c r="C48" i="2"/>
  <c r="B48" i="2"/>
  <c r="A48" i="2"/>
  <c r="Q47" i="2"/>
  <c r="O47" i="2"/>
  <c r="N47" i="2"/>
  <c r="M47" i="2"/>
  <c r="L47" i="2"/>
  <c r="J47" i="2"/>
  <c r="H47" i="2"/>
  <c r="F47" i="2"/>
  <c r="E47" i="2"/>
  <c r="D47" i="2"/>
  <c r="C47" i="2"/>
  <c r="B47" i="2"/>
  <c r="A47" i="2"/>
  <c r="F45" i="2"/>
  <c r="F31" i="2"/>
  <c r="T44" i="2"/>
  <c r="Q44" i="2"/>
  <c r="O44" i="2"/>
  <c r="N44" i="2"/>
  <c r="M44" i="2"/>
  <c r="L44" i="2"/>
  <c r="J44" i="2"/>
  <c r="H44" i="2"/>
  <c r="F44" i="2"/>
  <c r="E44" i="2"/>
  <c r="D44" i="2"/>
  <c r="C44" i="2"/>
  <c r="B44" i="2"/>
  <c r="A44" i="2"/>
  <c r="Q43" i="2"/>
  <c r="O43" i="2"/>
  <c r="M43" i="2"/>
  <c r="L43" i="2"/>
  <c r="J43" i="2"/>
  <c r="H43" i="2"/>
  <c r="F43" i="2"/>
  <c r="E43" i="2"/>
  <c r="D43" i="2"/>
  <c r="C43" i="2"/>
  <c r="B43" i="2"/>
  <c r="A43" i="2"/>
  <c r="Q42" i="2"/>
  <c r="O42" i="2"/>
  <c r="N42" i="2"/>
  <c r="M42" i="2"/>
  <c r="L42" i="2"/>
  <c r="J42" i="2"/>
  <c r="H42" i="2"/>
  <c r="F42" i="2"/>
  <c r="E42" i="2"/>
  <c r="D42" i="2"/>
  <c r="C42" i="2"/>
  <c r="B42" i="2"/>
  <c r="A42" i="2"/>
  <c r="U41" i="2"/>
  <c r="T41" i="2"/>
  <c r="S41" i="2"/>
  <c r="R41" i="2"/>
  <c r="Q41" i="2"/>
  <c r="P41" i="2"/>
  <c r="O41" i="2"/>
  <c r="N41" i="2"/>
  <c r="M41" i="2"/>
  <c r="L41" i="2"/>
  <c r="J41" i="2"/>
  <c r="H41" i="2"/>
  <c r="F41" i="2"/>
  <c r="E41" i="2"/>
  <c r="D41" i="2"/>
  <c r="C41" i="2"/>
  <c r="B41" i="2"/>
  <c r="A41" i="2"/>
  <c r="Q40" i="2"/>
  <c r="O40" i="2"/>
  <c r="M40" i="2"/>
  <c r="L40" i="2"/>
  <c r="J40" i="2"/>
  <c r="H40" i="2"/>
  <c r="F40" i="2"/>
  <c r="E40" i="2"/>
  <c r="D40" i="2"/>
  <c r="C40" i="2"/>
  <c r="B40" i="2"/>
  <c r="A40" i="2"/>
  <c r="Q39" i="2"/>
  <c r="O39" i="2"/>
  <c r="M39" i="2"/>
  <c r="L39" i="2"/>
  <c r="J39" i="2"/>
  <c r="H39" i="2"/>
  <c r="F39" i="2"/>
  <c r="E39" i="2"/>
  <c r="D39" i="2"/>
  <c r="C39" i="2"/>
  <c r="B39" i="2"/>
  <c r="A39" i="2"/>
  <c r="Q38" i="2"/>
  <c r="O38" i="2"/>
  <c r="N38" i="2"/>
  <c r="M38" i="2"/>
  <c r="L38" i="2"/>
  <c r="J38" i="2"/>
  <c r="H38" i="2"/>
  <c r="F38" i="2"/>
  <c r="E38" i="2"/>
  <c r="D38" i="2"/>
  <c r="C38" i="2"/>
  <c r="B38" i="2"/>
  <c r="A38" i="2"/>
  <c r="T37" i="2"/>
  <c r="Q37" i="2"/>
  <c r="O37" i="2"/>
  <c r="N37" i="2"/>
  <c r="M37" i="2"/>
  <c r="L37" i="2"/>
  <c r="J37" i="2"/>
  <c r="H37" i="2"/>
  <c r="F37" i="2"/>
  <c r="E37" i="2"/>
  <c r="D37" i="2"/>
  <c r="C37" i="2"/>
  <c r="B37" i="2"/>
  <c r="A37" i="2"/>
  <c r="T36" i="2"/>
  <c r="Q36" i="2"/>
  <c r="O36" i="2"/>
  <c r="N36" i="2"/>
  <c r="M36" i="2"/>
  <c r="L36" i="2"/>
  <c r="J36" i="2"/>
  <c r="H36" i="2"/>
  <c r="F36" i="2"/>
  <c r="E36" i="2"/>
  <c r="D36" i="2"/>
  <c r="C36" i="2"/>
  <c r="B36" i="2"/>
  <c r="A36" i="2"/>
  <c r="T35" i="2"/>
  <c r="Q35" i="2"/>
  <c r="O35" i="2"/>
  <c r="N35" i="2"/>
  <c r="M35" i="2"/>
  <c r="L35" i="2"/>
  <c r="J35" i="2"/>
  <c r="H35" i="2"/>
  <c r="F35" i="2"/>
  <c r="E35" i="2"/>
  <c r="D35" i="2"/>
  <c r="C35" i="2"/>
  <c r="B35" i="2"/>
  <c r="A35" i="2"/>
  <c r="U34" i="2"/>
  <c r="T34" i="2"/>
  <c r="S34" i="2"/>
  <c r="R34" i="2"/>
  <c r="Q34" i="2"/>
  <c r="O34" i="2"/>
  <c r="N34" i="2"/>
  <c r="M34" i="2"/>
  <c r="L34" i="2"/>
  <c r="K34" i="2"/>
  <c r="J34" i="2"/>
  <c r="H34" i="2"/>
  <c r="F34" i="2"/>
  <c r="E34" i="2"/>
  <c r="D34" i="2"/>
  <c r="C34" i="2"/>
  <c r="B34" i="2"/>
  <c r="A34" i="2"/>
  <c r="T33" i="2"/>
  <c r="Q33" i="2"/>
  <c r="O33" i="2"/>
  <c r="N33" i="2"/>
  <c r="M33" i="2"/>
  <c r="L33" i="2"/>
  <c r="J33" i="2"/>
  <c r="H33" i="2"/>
  <c r="F33" i="2"/>
  <c r="E33" i="2"/>
  <c r="D33" i="2"/>
  <c r="C33" i="2"/>
  <c r="B33" i="2"/>
  <c r="A33" i="2"/>
  <c r="T30" i="2"/>
  <c r="Q30" i="2"/>
  <c r="O30" i="2"/>
  <c r="N30" i="2"/>
  <c r="M30" i="2"/>
  <c r="L30" i="2"/>
  <c r="J30" i="2"/>
  <c r="H30" i="2"/>
  <c r="F30" i="2"/>
  <c r="E30" i="2"/>
  <c r="D30" i="2"/>
  <c r="C30" i="2"/>
  <c r="B30" i="2"/>
  <c r="A30" i="2"/>
  <c r="T29" i="2"/>
  <c r="Q29" i="2"/>
  <c r="O29" i="2"/>
  <c r="N29" i="2"/>
  <c r="M29" i="2"/>
  <c r="L29" i="2"/>
  <c r="J29" i="2"/>
  <c r="H29" i="2"/>
  <c r="F29" i="2"/>
  <c r="E29" i="2"/>
  <c r="D29" i="2"/>
  <c r="C29" i="2"/>
  <c r="B29" i="2"/>
  <c r="A29" i="2"/>
  <c r="Q28" i="2"/>
  <c r="O28" i="2"/>
  <c r="N28" i="2"/>
  <c r="M28" i="2"/>
  <c r="L28" i="2"/>
  <c r="J28" i="2"/>
  <c r="H28" i="2"/>
  <c r="F28" i="2"/>
  <c r="E28" i="2"/>
  <c r="D28" i="2"/>
  <c r="C28" i="2"/>
  <c r="B28" i="2"/>
  <c r="A28" i="2"/>
  <c r="Q27" i="2"/>
  <c r="O27" i="2"/>
  <c r="N27" i="2"/>
  <c r="M27" i="2"/>
  <c r="L27" i="2"/>
  <c r="J27" i="2"/>
  <c r="H27" i="2"/>
  <c r="F27" i="2"/>
  <c r="E27" i="2"/>
  <c r="D27" i="2"/>
  <c r="C27" i="2"/>
  <c r="B27" i="2"/>
  <c r="A27" i="2"/>
  <c r="Q26" i="2"/>
  <c r="O26" i="2"/>
  <c r="M26" i="2"/>
  <c r="L26" i="2"/>
  <c r="J26" i="2"/>
  <c r="H26" i="2"/>
  <c r="F26" i="2"/>
  <c r="E26" i="2"/>
  <c r="D26" i="2"/>
  <c r="C26" i="2"/>
  <c r="B26" i="2"/>
  <c r="A26" i="2"/>
  <c r="Q25" i="2"/>
  <c r="O25" i="2"/>
  <c r="N25" i="2"/>
  <c r="M25" i="2"/>
  <c r="L25" i="2"/>
  <c r="J25" i="2"/>
  <c r="H25" i="2"/>
  <c r="F25" i="2"/>
  <c r="E25" i="2"/>
  <c r="D25" i="2"/>
  <c r="C25" i="2"/>
  <c r="B25" i="2"/>
  <c r="A25" i="2"/>
  <c r="U24" i="2"/>
  <c r="T24" i="2"/>
  <c r="S24" i="2"/>
  <c r="R24" i="2"/>
  <c r="Q24" i="2"/>
  <c r="P24" i="2"/>
  <c r="O24" i="2"/>
  <c r="N24" i="2"/>
  <c r="M24" i="2"/>
  <c r="L24" i="2"/>
  <c r="K24" i="2"/>
  <c r="J24" i="2"/>
  <c r="H24" i="2"/>
  <c r="F24" i="2"/>
  <c r="E24" i="2"/>
  <c r="D24" i="2"/>
  <c r="C24" i="2"/>
  <c r="B24" i="2"/>
  <c r="A24" i="2"/>
  <c r="Q23" i="2"/>
  <c r="O23" i="2"/>
  <c r="N23" i="2"/>
  <c r="M23" i="2"/>
  <c r="L23" i="2"/>
  <c r="J23" i="2"/>
  <c r="H23" i="2"/>
  <c r="F23" i="2"/>
  <c r="E23" i="2"/>
  <c r="D23" i="2"/>
  <c r="C23" i="2"/>
  <c r="B23" i="2"/>
  <c r="A23" i="2"/>
  <c r="T22" i="2"/>
  <c r="Q22" i="2"/>
  <c r="O22" i="2"/>
  <c r="N22" i="2"/>
  <c r="M22" i="2"/>
  <c r="L22" i="2"/>
  <c r="J22" i="2"/>
  <c r="H22" i="2"/>
  <c r="F22" i="2"/>
  <c r="E22" i="2"/>
  <c r="D22" i="2"/>
  <c r="C22" i="2"/>
  <c r="B22" i="2"/>
  <c r="A22" i="2"/>
  <c r="Q21" i="2"/>
  <c r="O21" i="2"/>
  <c r="N21" i="2"/>
  <c r="M21" i="2"/>
  <c r="L21" i="2"/>
  <c r="J21" i="2"/>
  <c r="H21" i="2"/>
  <c r="F21" i="2"/>
  <c r="E21" i="2"/>
  <c r="D21" i="2"/>
  <c r="C21" i="2"/>
  <c r="B21" i="2"/>
  <c r="A21" i="2"/>
  <c r="Q20" i="2"/>
  <c r="O20" i="2"/>
  <c r="N20" i="2"/>
  <c r="M20" i="2"/>
  <c r="L20" i="2"/>
  <c r="J20" i="2"/>
  <c r="H20" i="2"/>
  <c r="F20" i="2"/>
  <c r="E20" i="2"/>
  <c r="D20" i="2"/>
  <c r="C20" i="2"/>
  <c r="B20" i="2"/>
  <c r="A20" i="2"/>
  <c r="U19" i="2"/>
  <c r="T19" i="2"/>
  <c r="R19" i="2"/>
  <c r="Q19" i="2"/>
  <c r="O19" i="2"/>
  <c r="N19" i="2"/>
  <c r="M19" i="2"/>
  <c r="L19" i="2"/>
  <c r="K19" i="2"/>
  <c r="J19" i="2"/>
  <c r="H19" i="2"/>
  <c r="F17" i="2" s="1"/>
  <c r="F19" i="2"/>
  <c r="E19" i="2"/>
  <c r="D19" i="2"/>
  <c r="C19" i="2"/>
  <c r="B19" i="2"/>
  <c r="A19" i="2"/>
  <c r="Q16" i="2"/>
  <c r="O16" i="2"/>
  <c r="N16" i="2"/>
  <c r="M16" i="2"/>
  <c r="L16" i="2"/>
  <c r="J16" i="2"/>
  <c r="H16" i="2"/>
  <c r="F16" i="2"/>
  <c r="E16" i="2"/>
  <c r="D16" i="2"/>
  <c r="C16" i="2"/>
  <c r="B16" i="2"/>
  <c r="A16" i="2"/>
  <c r="Q15" i="2"/>
  <c r="O15" i="2"/>
  <c r="M15" i="2"/>
  <c r="L15" i="2"/>
  <c r="J15" i="2"/>
  <c r="H15" i="2"/>
  <c r="F15" i="2"/>
  <c r="E15" i="2"/>
  <c r="D15" i="2"/>
  <c r="C15" i="2"/>
  <c r="B15" i="2"/>
  <c r="A15" i="2"/>
  <c r="T14" i="2"/>
  <c r="Q14" i="2"/>
  <c r="O14" i="2"/>
  <c r="N14" i="2"/>
  <c r="M14" i="2"/>
  <c r="L14" i="2"/>
  <c r="J14" i="2"/>
  <c r="H14" i="2"/>
  <c r="F14" i="2"/>
  <c r="E14" i="2"/>
  <c r="D14" i="2"/>
  <c r="C14" i="2"/>
  <c r="B14" i="2"/>
  <c r="A14" i="2"/>
  <c r="Q13" i="2"/>
  <c r="O13" i="2"/>
  <c r="N13" i="2"/>
  <c r="M13" i="2"/>
  <c r="L13" i="2"/>
  <c r="J13" i="2"/>
  <c r="H13" i="2"/>
  <c r="F13" i="2"/>
  <c r="E13" i="2"/>
  <c r="D13" i="2"/>
  <c r="C13" i="2"/>
  <c r="B13" i="2"/>
  <c r="A13" i="2"/>
  <c r="Q12" i="2"/>
  <c r="O12" i="2"/>
  <c r="M12" i="2"/>
  <c r="L12" i="2"/>
  <c r="J12" i="2"/>
  <c r="H12" i="2"/>
  <c r="F12" i="2"/>
  <c r="E12" i="2"/>
  <c r="D12" i="2"/>
  <c r="C12" i="2"/>
  <c r="B12" i="2"/>
  <c r="A12" i="2"/>
  <c r="Q11" i="2"/>
  <c r="O11" i="2"/>
  <c r="M11" i="2"/>
  <c r="L11" i="2"/>
  <c r="J11" i="2"/>
  <c r="H11" i="2"/>
  <c r="F11" i="2"/>
  <c r="E11" i="2"/>
  <c r="D11" i="2"/>
  <c r="C11" i="2"/>
  <c r="B11" i="2"/>
  <c r="A11" i="2"/>
  <c r="U9" i="2"/>
  <c r="T9" i="2"/>
  <c r="S9" i="2"/>
  <c r="R9" i="2"/>
  <c r="Q9" i="2"/>
  <c r="O9" i="2"/>
  <c r="N9" i="2"/>
  <c r="M9" i="2"/>
  <c r="L9" i="2"/>
  <c r="K9" i="2"/>
  <c r="J9" i="2"/>
  <c r="H9" i="2"/>
  <c r="F9" i="2"/>
  <c r="E9" i="2"/>
  <c r="D9" i="2"/>
  <c r="C9" i="2"/>
  <c r="B9" i="2"/>
  <c r="A9" i="2"/>
  <c r="T8" i="2"/>
  <c r="Q8" i="2"/>
  <c r="O8" i="2"/>
  <c r="N8" i="2"/>
  <c r="M8" i="2"/>
  <c r="L8" i="2"/>
  <c r="J8" i="2"/>
  <c r="H8" i="2"/>
  <c r="F8" i="2"/>
  <c r="E8" i="2"/>
  <c r="D8" i="2"/>
  <c r="C8" i="2"/>
  <c r="B8" i="2"/>
  <c r="A8" i="2"/>
  <c r="Q7" i="2"/>
  <c r="O7" i="2"/>
  <c r="N7" i="2"/>
  <c r="M7" i="2"/>
  <c r="L7" i="2"/>
  <c r="J7" i="2"/>
  <c r="H7" i="2"/>
  <c r="F7" i="2"/>
  <c r="E7" i="2"/>
  <c r="D7" i="2"/>
  <c r="C7" i="2"/>
  <c r="B7" i="2"/>
  <c r="A7" i="2"/>
  <c r="T6" i="2"/>
  <c r="Q6" i="2"/>
  <c r="O6" i="2"/>
  <c r="N6" i="2"/>
  <c r="M6" i="2"/>
  <c r="L6" i="2"/>
  <c r="J6" i="2"/>
  <c r="H6" i="2"/>
  <c r="F6" i="2"/>
  <c r="E6" i="2"/>
  <c r="D6" i="2"/>
  <c r="C6" i="2"/>
  <c r="B6" i="2"/>
  <c r="A6" i="2"/>
  <c r="T5" i="2"/>
  <c r="Q5" i="2"/>
  <c r="O5" i="2"/>
  <c r="N5" i="2"/>
  <c r="M5" i="2"/>
  <c r="L5" i="2"/>
  <c r="J5" i="2"/>
  <c r="H5" i="2"/>
  <c r="F5" i="2"/>
  <c r="E5" i="2"/>
  <c r="D5" i="2"/>
  <c r="C5" i="2"/>
  <c r="B5" i="2"/>
  <c r="A5" i="2"/>
  <c r="U4" i="2"/>
  <c r="T4" i="2"/>
  <c r="S4" i="2"/>
  <c r="R4" i="2"/>
  <c r="Q4" i="2"/>
  <c r="O4" i="2"/>
  <c r="N4" i="2"/>
  <c r="M4" i="2"/>
  <c r="L4" i="2"/>
  <c r="K4" i="2"/>
  <c r="J4" i="2"/>
  <c r="H4" i="2"/>
  <c r="F3" i="2" s="1"/>
  <c r="F4" i="2"/>
  <c r="E4" i="2"/>
  <c r="D4" i="2"/>
  <c r="C4" i="2"/>
  <c r="B4" i="2"/>
  <c r="A4" i="2"/>
  <c r="X848" i="1"/>
  <c r="V848" i="1"/>
  <c r="X652" i="1"/>
  <c r="V652" i="1"/>
  <c r="X784" i="1"/>
  <c r="V784" i="1"/>
  <c r="X592" i="1"/>
  <c r="V592" i="1"/>
  <c r="X847" i="1"/>
  <c r="V847" i="1"/>
  <c r="X717" i="1"/>
  <c r="V717" i="1"/>
  <c r="X591" i="1"/>
  <c r="V591" i="1"/>
  <c r="X317" i="1"/>
  <c r="V317" i="1"/>
  <c r="X490" i="1"/>
  <c r="V490" i="1"/>
  <c r="V543" i="1"/>
  <c r="X590" i="1"/>
  <c r="V590" i="1"/>
  <c r="X249" i="1"/>
  <c r="V249" i="1"/>
  <c r="X542" i="1"/>
  <c r="V542" i="1"/>
  <c r="X650" i="1"/>
  <c r="V650" i="1"/>
  <c r="X380" i="1"/>
  <c r="V380" i="1"/>
  <c r="X379" i="1"/>
  <c r="V379" i="1"/>
  <c r="X86" i="1"/>
  <c r="V86" i="1"/>
  <c r="X649" i="1"/>
  <c r="V649" i="1"/>
  <c r="X436" i="1"/>
  <c r="V436" i="1"/>
  <c r="X785" i="1"/>
  <c r="V785" i="1"/>
  <c r="X489" i="1"/>
  <c r="V489" i="1"/>
  <c r="X715" i="1"/>
  <c r="V715" i="1"/>
  <c r="X247" i="1"/>
  <c r="V247" i="1"/>
  <c r="X541" i="1"/>
  <c r="V541" i="1"/>
  <c r="X648" i="1"/>
  <c r="V648" i="1"/>
  <c r="X714" i="1"/>
  <c r="V714" i="1"/>
  <c r="X434" i="1"/>
  <c r="V434" i="1"/>
  <c r="X488" i="1"/>
  <c r="V488" i="1"/>
  <c r="X846" i="1"/>
  <c r="V846" i="1"/>
  <c r="X778" i="1"/>
  <c r="V778" i="1"/>
  <c r="X487" i="1"/>
  <c r="V487" i="1"/>
  <c r="X647" i="1"/>
  <c r="V647" i="1"/>
  <c r="X845" i="1"/>
  <c r="V845" i="1"/>
  <c r="X433" i="1"/>
  <c r="V433" i="1"/>
  <c r="X245" i="1"/>
  <c r="V245" i="1"/>
  <c r="X713" i="1"/>
  <c r="V713" i="1"/>
  <c r="X432" i="1"/>
  <c r="V432" i="1"/>
  <c r="X486" i="1"/>
  <c r="V486" i="1"/>
  <c r="X173" i="1"/>
  <c r="V173" i="1"/>
  <c r="X589" i="1"/>
  <c r="V589" i="1"/>
  <c r="X712" i="1"/>
  <c r="V712" i="1"/>
  <c r="X244" i="1"/>
  <c r="V244" i="1"/>
  <c r="X376" i="1"/>
  <c r="V376" i="1"/>
  <c r="X588" i="1"/>
  <c r="V588" i="1"/>
  <c r="X309" i="1"/>
  <c r="V309" i="1"/>
  <c r="X776" i="1"/>
  <c r="V776" i="1"/>
  <c r="X711" i="1"/>
  <c r="V711" i="1"/>
  <c r="X375" i="1"/>
  <c r="V375" i="1"/>
  <c r="X431" i="1"/>
  <c r="V431" i="1"/>
  <c r="X540" i="1"/>
  <c r="V540" i="1"/>
  <c r="X844" i="1"/>
  <c r="V844" i="1"/>
  <c r="X307" i="1"/>
  <c r="V307" i="1"/>
  <c r="X645" i="1"/>
  <c r="V645" i="1"/>
  <c r="X430" i="1"/>
  <c r="V430" i="1"/>
  <c r="X644" i="1"/>
  <c r="V644" i="1"/>
  <c r="X660" i="1"/>
  <c r="V660" i="1"/>
  <c r="X539" i="1"/>
  <c r="V539" i="1"/>
  <c r="X774" i="1"/>
  <c r="V774" i="1"/>
  <c r="X485" i="1"/>
  <c r="V485" i="1"/>
  <c r="X241" i="1"/>
  <c r="V241" i="1"/>
  <c r="X842" i="1"/>
  <c r="V842" i="1"/>
  <c r="X167" i="1"/>
  <c r="V167" i="1"/>
  <c r="X773" i="1"/>
  <c r="V773" i="1"/>
  <c r="X709" i="1"/>
  <c r="V709" i="1"/>
  <c r="X840" i="1"/>
  <c r="V840" i="1"/>
  <c r="X707" i="1"/>
  <c r="V707" i="1"/>
  <c r="X239" i="1"/>
  <c r="V239" i="1"/>
  <c r="X706" i="1"/>
  <c r="V706" i="1"/>
  <c r="X166" i="1"/>
  <c r="V166" i="1"/>
  <c r="X427" i="1"/>
  <c r="V427" i="1"/>
  <c r="X254" i="1"/>
  <c r="V254" i="1"/>
  <c r="X641" i="1"/>
  <c r="V641" i="1"/>
  <c r="X838" i="1"/>
  <c r="V838" i="1"/>
  <c r="X370" i="1"/>
  <c r="V370" i="1"/>
  <c r="X238" i="1"/>
  <c r="V238" i="1"/>
  <c r="X598" i="1"/>
  <c r="V598" i="1"/>
  <c r="X369" i="1"/>
  <c r="V369" i="1"/>
  <c r="X585" i="1"/>
  <c r="V585" i="1"/>
  <c r="X491" i="1"/>
  <c r="V491" i="1"/>
  <c r="X836" i="1"/>
  <c r="V836" i="1"/>
  <c r="X546" i="1"/>
  <c r="V546" i="1"/>
  <c r="X300" i="1"/>
  <c r="V300" i="1"/>
  <c r="X367" i="1"/>
  <c r="V367" i="1"/>
  <c r="X703" i="1"/>
  <c r="V703" i="1"/>
  <c r="X299" i="1"/>
  <c r="V299" i="1"/>
  <c r="X601" i="1"/>
  <c r="V601" i="1"/>
  <c r="X768" i="1"/>
  <c r="V768" i="1"/>
  <c r="X480" i="1"/>
  <c r="V480" i="1"/>
  <c r="X702" i="1"/>
  <c r="V702" i="1"/>
  <c r="X479" i="1"/>
  <c r="V479" i="1"/>
  <c r="X235" i="1"/>
  <c r="V235" i="1"/>
  <c r="X366" i="1"/>
  <c r="V366" i="1"/>
  <c r="X640" i="1"/>
  <c r="V640" i="1"/>
  <c r="X323" i="1"/>
  <c r="V323" i="1"/>
  <c r="X425" i="1"/>
  <c r="V425" i="1"/>
  <c r="X583" i="1"/>
  <c r="V583" i="1"/>
  <c r="X767" i="1"/>
  <c r="V767" i="1"/>
  <c r="X701" i="1"/>
  <c r="V701" i="1"/>
  <c r="X639" i="1"/>
  <c r="V639" i="1"/>
  <c r="X161" i="1"/>
  <c r="V161" i="1"/>
  <c r="X424" i="1"/>
  <c r="V424" i="1"/>
  <c r="X535" i="1"/>
  <c r="V535" i="1"/>
  <c r="X423" i="1"/>
  <c r="V423" i="1"/>
  <c r="X834" i="1"/>
  <c r="V834" i="1"/>
  <c r="X662" i="1"/>
  <c r="V662" i="1"/>
  <c r="X365" i="1"/>
  <c r="V365" i="1"/>
  <c r="X478" i="1"/>
  <c r="V478" i="1"/>
  <c r="X298" i="1"/>
  <c r="V298" i="1"/>
  <c r="X833" i="1"/>
  <c r="V833" i="1"/>
  <c r="X534" i="1"/>
  <c r="V534" i="1"/>
  <c r="X700" i="1"/>
  <c r="V700" i="1"/>
  <c r="X699" i="1"/>
  <c r="V699" i="1"/>
  <c r="X766" i="1"/>
  <c r="V766" i="1"/>
  <c r="X533" i="1"/>
  <c r="V533" i="1"/>
  <c r="X364" i="1"/>
  <c r="V364" i="1"/>
  <c r="X832" i="1"/>
  <c r="V832" i="1"/>
  <c r="X297" i="1"/>
  <c r="V297" i="1"/>
  <c r="X637" i="1"/>
  <c r="V637" i="1"/>
  <c r="X477" i="1"/>
  <c r="V477" i="1"/>
  <c r="X582" i="1"/>
  <c r="V582" i="1"/>
  <c r="X532" i="1"/>
  <c r="V532" i="1"/>
  <c r="X796" i="1"/>
  <c r="V796" i="1"/>
  <c r="X765" i="1"/>
  <c r="V765" i="1"/>
  <c r="X581" i="1"/>
  <c r="V581" i="1"/>
  <c r="X296" i="1"/>
  <c r="V296" i="1"/>
  <c r="X422" i="1"/>
  <c r="V422" i="1"/>
  <c r="X295" i="1"/>
  <c r="V295" i="1"/>
  <c r="X636" i="1"/>
  <c r="V636" i="1"/>
  <c r="X66" i="1"/>
  <c r="V66" i="1"/>
  <c r="X763" i="1"/>
  <c r="V763" i="1"/>
  <c r="X580" i="1"/>
  <c r="V580" i="1"/>
  <c r="X363" i="1"/>
  <c r="V363" i="1"/>
  <c r="X791" i="1"/>
  <c r="V791" i="1"/>
  <c r="X531" i="1"/>
  <c r="V531" i="1"/>
  <c r="X362" i="1"/>
  <c r="V362" i="1"/>
  <c r="X762" i="1"/>
  <c r="V762" i="1"/>
  <c r="X181" i="1"/>
  <c r="V181" i="1"/>
  <c r="X294" i="1"/>
  <c r="V294" i="1"/>
  <c r="X635" i="1"/>
  <c r="V635" i="1"/>
  <c r="X420" i="1"/>
  <c r="V420" i="1"/>
  <c r="X322" i="1"/>
  <c r="V322" i="1"/>
  <c r="X831" i="1"/>
  <c r="V831" i="1"/>
  <c r="X663" i="1"/>
  <c r="V663" i="1"/>
  <c r="X476" i="1"/>
  <c r="V476" i="1"/>
  <c r="X385" i="1"/>
  <c r="V385" i="1"/>
  <c r="X579" i="1"/>
  <c r="V579" i="1"/>
  <c r="X830" i="1"/>
  <c r="V830" i="1"/>
  <c r="X634" i="1"/>
  <c r="V634" i="1"/>
  <c r="X633" i="1"/>
  <c r="V633" i="1"/>
  <c r="X698" i="1"/>
  <c r="V698" i="1"/>
  <c r="X530" i="1"/>
  <c r="V530" i="1"/>
  <c r="X419" i="1"/>
  <c r="V419" i="1"/>
  <c r="X48" i="1"/>
  <c r="V48" i="1"/>
  <c r="X829" i="1"/>
  <c r="V829" i="1"/>
  <c r="X418" i="1"/>
  <c r="V418" i="1"/>
  <c r="X227" i="1"/>
  <c r="V227" i="1"/>
  <c r="X725" i="1"/>
  <c r="V725" i="1"/>
  <c r="X529" i="1"/>
  <c r="V529" i="1"/>
  <c r="X155" i="1"/>
  <c r="V155" i="1"/>
  <c r="X760" i="1"/>
  <c r="V760" i="1"/>
  <c r="X384" i="1"/>
  <c r="V384" i="1"/>
  <c r="X697" i="1"/>
  <c r="V697" i="1"/>
  <c r="X578" i="1"/>
  <c r="V578" i="1"/>
  <c r="X696" i="1"/>
  <c r="V696" i="1"/>
  <c r="X759" i="1"/>
  <c r="V759" i="1"/>
  <c r="X475" i="1"/>
  <c r="V475" i="1"/>
  <c r="X798" i="1"/>
  <c r="V798" i="1"/>
  <c r="X474" i="1"/>
  <c r="V474" i="1"/>
  <c r="X577" i="1"/>
  <c r="V577" i="1"/>
  <c r="X632" i="1"/>
  <c r="V632" i="1"/>
  <c r="X59" i="1"/>
  <c r="V59" i="1"/>
  <c r="X695" i="1"/>
  <c r="V695" i="1"/>
  <c r="X473" i="1"/>
  <c r="V473" i="1"/>
  <c r="X794" i="1"/>
  <c r="V794" i="1"/>
  <c r="X528" i="1"/>
  <c r="V528" i="1"/>
  <c r="X787" i="1"/>
  <c r="V787" i="1"/>
  <c r="X321" i="1"/>
  <c r="V321" i="1"/>
  <c r="X417" i="1"/>
  <c r="V417" i="1"/>
  <c r="X576" i="1"/>
  <c r="V576" i="1"/>
  <c r="X631" i="1"/>
  <c r="V631" i="1"/>
  <c r="X694" i="1"/>
  <c r="V694" i="1"/>
  <c r="X257" i="1"/>
  <c r="V257" i="1"/>
  <c r="X361" i="1"/>
  <c r="V361" i="1"/>
  <c r="X758" i="1"/>
  <c r="V758" i="1"/>
  <c r="X527" i="1"/>
  <c r="V527" i="1"/>
  <c r="X790" i="1"/>
  <c r="V790" i="1"/>
  <c r="X224" i="1"/>
  <c r="V224" i="1"/>
  <c r="X658" i="1"/>
  <c r="V658" i="1"/>
  <c r="X416" i="1"/>
  <c r="V416" i="1"/>
  <c r="X150" i="1"/>
  <c r="V150" i="1"/>
  <c r="X575" i="1"/>
  <c r="V575" i="1"/>
  <c r="X359" i="1"/>
  <c r="V359" i="1"/>
  <c r="X719" i="1"/>
  <c r="V719" i="1"/>
  <c r="X655" i="1"/>
  <c r="V655" i="1"/>
  <c r="X594" i="1"/>
  <c r="V594" i="1"/>
  <c r="X828" i="1"/>
  <c r="V828" i="1"/>
  <c r="X415" i="1"/>
  <c r="V415" i="1"/>
  <c r="X414" i="1"/>
  <c r="V414" i="1"/>
  <c r="X595" i="1"/>
  <c r="V595" i="1"/>
  <c r="X654" i="1"/>
  <c r="V654" i="1"/>
  <c r="X413" i="1"/>
  <c r="V413" i="1"/>
  <c r="X826" i="1"/>
  <c r="V826" i="1"/>
  <c r="X358" i="1"/>
  <c r="V358" i="1"/>
  <c r="X524" i="1"/>
  <c r="V524" i="1"/>
  <c r="X470" i="1"/>
  <c r="V470" i="1"/>
  <c r="X357" i="1"/>
  <c r="V357" i="1"/>
  <c r="X789" i="1"/>
  <c r="V789" i="1"/>
  <c r="X720" i="1"/>
  <c r="V720" i="1"/>
  <c r="X412" i="1"/>
  <c r="V412" i="1"/>
  <c r="X356" i="1"/>
  <c r="V356" i="1"/>
  <c r="X825" i="1"/>
  <c r="V825" i="1"/>
  <c r="X411" i="1"/>
  <c r="V411" i="1"/>
  <c r="X757" i="1"/>
  <c r="V757" i="1"/>
  <c r="X469" i="1"/>
  <c r="V469" i="1"/>
  <c r="X656" i="1"/>
  <c r="V656" i="1"/>
  <c r="X145" i="1"/>
  <c r="V145" i="1"/>
  <c r="X355" i="1"/>
  <c r="V355" i="1"/>
  <c r="X521" i="1"/>
  <c r="V521" i="1"/>
  <c r="X574" i="1"/>
  <c r="V574" i="1"/>
  <c r="X354" i="1"/>
  <c r="V354" i="1"/>
  <c r="X466" i="1"/>
  <c r="V466" i="1"/>
  <c r="X519" i="1"/>
  <c r="V519" i="1"/>
  <c r="X465" i="1"/>
  <c r="V465" i="1"/>
  <c r="X11" i="1"/>
  <c r="V11" i="1"/>
  <c r="X287" i="1"/>
  <c r="V287" i="1"/>
  <c r="X573" i="1"/>
  <c r="V573" i="1"/>
  <c r="X410" i="1"/>
  <c r="V410" i="1"/>
  <c r="X824" i="1"/>
  <c r="V824" i="1"/>
  <c r="X143" i="1"/>
  <c r="V143" i="1"/>
  <c r="X599" i="1"/>
  <c r="V599" i="1"/>
  <c r="X352" i="1"/>
  <c r="V352" i="1"/>
  <c r="X318" i="1"/>
  <c r="V318" i="1"/>
  <c r="X141" i="1"/>
  <c r="V141" i="1"/>
  <c r="X351" i="1"/>
  <c r="V351" i="1"/>
  <c r="X753" i="1"/>
  <c r="V753" i="1"/>
  <c r="X629" i="1"/>
  <c r="V629" i="1"/>
  <c r="X691" i="1"/>
  <c r="V691" i="1"/>
  <c r="X285" i="1"/>
  <c r="V285" i="1"/>
  <c r="X9" i="1"/>
  <c r="V9" i="1"/>
  <c r="X139" i="1"/>
  <c r="V139" i="1"/>
  <c r="X516" i="1"/>
  <c r="V516" i="1"/>
  <c r="X256" i="1"/>
  <c r="V256" i="1"/>
  <c r="X408" i="1"/>
  <c r="V408" i="1"/>
  <c r="X822" i="1"/>
  <c r="V822" i="1"/>
  <c r="X515" i="1"/>
  <c r="V515" i="1"/>
  <c r="X690" i="1"/>
  <c r="V690" i="1"/>
  <c r="X628" i="1"/>
  <c r="V628" i="1"/>
  <c r="X751" i="1"/>
  <c r="V751" i="1"/>
  <c r="X514" i="1"/>
  <c r="V514" i="1"/>
  <c r="X627" i="1"/>
  <c r="V627" i="1"/>
  <c r="X689" i="1"/>
  <c r="V689" i="1"/>
  <c r="X597" i="1"/>
  <c r="V597" i="1"/>
  <c r="X750" i="1"/>
  <c r="V750" i="1"/>
  <c r="X569" i="1"/>
  <c r="V569" i="1"/>
  <c r="X348" i="1"/>
  <c r="V348" i="1"/>
  <c r="X82" i="1"/>
  <c r="V82" i="1"/>
  <c r="X821" i="1"/>
  <c r="V821" i="1"/>
  <c r="X459" i="1"/>
  <c r="V459" i="1"/>
  <c r="X626" i="1"/>
  <c r="V626" i="1"/>
  <c r="X458" i="1"/>
  <c r="V458" i="1"/>
  <c r="X320" i="1"/>
  <c r="V320" i="1"/>
  <c r="X688" i="1"/>
  <c r="V688" i="1"/>
  <c r="X749" i="1"/>
  <c r="V749" i="1"/>
  <c r="X406" i="1"/>
  <c r="V406" i="1"/>
  <c r="X820" i="1"/>
  <c r="V820" i="1"/>
  <c r="X513" i="1"/>
  <c r="V513" i="1"/>
  <c r="X819" i="1"/>
  <c r="V819" i="1"/>
  <c r="X687" i="1"/>
  <c r="V687" i="1"/>
  <c r="X818" i="1"/>
  <c r="V818" i="1"/>
  <c r="X8" i="1"/>
  <c r="V8" i="1"/>
  <c r="X568" i="1"/>
  <c r="V568" i="1"/>
  <c r="X567" i="1"/>
  <c r="V567" i="1"/>
  <c r="X686" i="1"/>
  <c r="V686" i="1"/>
  <c r="X748" i="1"/>
  <c r="V748" i="1"/>
  <c r="X133" i="1"/>
  <c r="V133" i="1"/>
  <c r="X440" i="1"/>
  <c r="V440" i="1"/>
  <c r="X512" i="1"/>
  <c r="V512" i="1"/>
  <c r="X283" i="1"/>
  <c r="V283" i="1"/>
  <c r="X817" i="1"/>
  <c r="V817" i="1"/>
  <c r="X685" i="1"/>
  <c r="V685" i="1"/>
  <c r="X132" i="1"/>
  <c r="V132" i="1"/>
  <c r="X566" i="1"/>
  <c r="V566" i="1"/>
  <c r="X346" i="1"/>
  <c r="V346" i="1"/>
  <c r="U261" i="17" l="1"/>
  <c r="R549" i="17"/>
  <c r="S312" i="15"/>
  <c r="R473" i="17"/>
  <c r="U602" i="17"/>
  <c r="U324" i="15"/>
  <c r="U436" i="17" s="1"/>
  <c r="U212" i="15"/>
  <c r="R146" i="17"/>
  <c r="R563" i="17"/>
  <c r="P549" i="17"/>
  <c r="R544" i="17"/>
  <c r="N113" i="8"/>
  <c r="N29" i="5"/>
  <c r="N127" i="5"/>
  <c r="T100" i="6"/>
  <c r="T44" i="8"/>
  <c r="T30" i="12"/>
  <c r="S218" i="15"/>
  <c r="U327" i="15"/>
  <c r="U601" i="17"/>
  <c r="U281" i="17"/>
  <c r="R53" i="17"/>
  <c r="S317" i="15"/>
  <c r="S588" i="17" s="1"/>
  <c r="U317" i="15"/>
  <c r="P511" i="17"/>
  <c r="P58" i="17"/>
  <c r="U299" i="17"/>
  <c r="U220" i="15"/>
  <c r="S220" i="15"/>
  <c r="S544" i="17" s="1"/>
  <c r="U508" i="17"/>
  <c r="P602" i="17"/>
  <c r="P450" i="17"/>
  <c r="P507" i="17"/>
  <c r="P35" i="17"/>
  <c r="U55" i="17"/>
  <c r="U283" i="15"/>
  <c r="P280" i="17"/>
  <c r="P204" i="17"/>
  <c r="P340" i="17"/>
  <c r="P188" i="17"/>
  <c r="U295" i="15"/>
  <c r="U566" i="17"/>
  <c r="U529" i="17"/>
  <c r="U605" i="17"/>
  <c r="S298" i="15"/>
  <c r="S264" i="17" s="1"/>
  <c r="U298" i="15"/>
  <c r="S281" i="15"/>
  <c r="S339" i="17" s="1"/>
  <c r="U281" i="15"/>
  <c r="U109" i="17"/>
  <c r="U412" i="17"/>
  <c r="U73" i="17"/>
  <c r="P53" i="17"/>
  <c r="U525" i="17"/>
  <c r="S525" i="17"/>
  <c r="U127" i="17"/>
  <c r="T204" i="17"/>
  <c r="T280" i="17"/>
  <c r="T35" i="17"/>
  <c r="T507" i="17"/>
  <c r="N72" i="9"/>
  <c r="U223" i="17"/>
  <c r="S229" i="15"/>
  <c r="S280" i="17" s="1"/>
  <c r="U229" i="15"/>
  <c r="T165" i="17"/>
  <c r="T449" i="17"/>
  <c r="T260" i="17"/>
  <c r="T506" i="17"/>
  <c r="N260" i="17"/>
  <c r="N506" i="17"/>
  <c r="P224" i="15"/>
  <c r="U218" i="15"/>
  <c r="P184" i="17"/>
  <c r="P91" i="17"/>
  <c r="S217" i="15"/>
  <c r="R184" i="17"/>
  <c r="U217" i="15"/>
  <c r="R91" i="17"/>
  <c r="N143" i="9"/>
  <c r="N113" i="12"/>
  <c r="N29" i="12"/>
  <c r="T58" i="9"/>
  <c r="U210" i="15"/>
  <c r="U449" i="17" s="1"/>
  <c r="T170" i="8"/>
  <c r="R800" i="1"/>
  <c r="S800" i="1" s="1"/>
  <c r="S101" i="2" s="1"/>
  <c r="R792" i="1"/>
  <c r="S792" i="1" s="1"/>
  <c r="S131" i="3" s="1"/>
  <c r="R813" i="1"/>
  <c r="S813" i="1" s="1"/>
  <c r="R820" i="1"/>
  <c r="S820" i="1" s="1"/>
  <c r="S102" i="6" s="1"/>
  <c r="T820" i="1"/>
  <c r="R827" i="1"/>
  <c r="S827" i="1" s="1"/>
  <c r="S16" i="8" s="1"/>
  <c r="R831" i="1"/>
  <c r="S831" i="1" s="1"/>
  <c r="R837" i="1"/>
  <c r="S837" i="1" s="1"/>
  <c r="R845" i="1"/>
  <c r="S845" i="1" s="1"/>
  <c r="T845" i="1"/>
  <c r="R801" i="1"/>
  <c r="S801" i="1" s="1"/>
  <c r="T801" i="1"/>
  <c r="R814" i="1"/>
  <c r="S814" i="1" s="1"/>
  <c r="R821" i="1"/>
  <c r="U821" i="1" s="1"/>
  <c r="U88" i="6" s="1"/>
  <c r="K87" i="3"/>
  <c r="R802" i="1"/>
  <c r="R129" i="2" s="1"/>
  <c r="R808" i="1"/>
  <c r="S808" i="1" s="1"/>
  <c r="S31" i="4" s="1"/>
  <c r="T808" i="1"/>
  <c r="R815" i="1"/>
  <c r="S815" i="1" s="1"/>
  <c r="T815" i="1"/>
  <c r="R822" i="1"/>
  <c r="S822" i="1" s="1"/>
  <c r="T822" i="1"/>
  <c r="R790" i="1"/>
  <c r="U790" i="1" s="1"/>
  <c r="R796" i="1"/>
  <c r="U796" i="1" s="1"/>
  <c r="R839" i="1"/>
  <c r="S839" i="1" s="1"/>
  <c r="S100" i="11" s="1"/>
  <c r="T839" i="1"/>
  <c r="R785" i="1"/>
  <c r="R128" i="12" s="1"/>
  <c r="R803" i="1"/>
  <c r="S803" i="1" s="1"/>
  <c r="S16" i="3" s="1"/>
  <c r="T803" i="1"/>
  <c r="R795" i="1"/>
  <c r="U795" i="1" s="1"/>
  <c r="R816" i="1"/>
  <c r="S816" i="1" s="1"/>
  <c r="T816" i="1"/>
  <c r="R823" i="1"/>
  <c r="S823" i="1" s="1"/>
  <c r="R787" i="1"/>
  <c r="U787" i="1" s="1"/>
  <c r="R832" i="1"/>
  <c r="S832" i="1" s="1"/>
  <c r="T832" i="1"/>
  <c r="R840" i="1"/>
  <c r="U840" i="1" s="1"/>
  <c r="R793" i="1"/>
  <c r="S793" i="1" s="1"/>
  <c r="R804" i="1"/>
  <c r="R156" i="12" s="1"/>
  <c r="T804" i="1"/>
  <c r="R809" i="1"/>
  <c r="S809" i="1" s="1"/>
  <c r="T809" i="1"/>
  <c r="R788" i="1"/>
  <c r="U788" i="1" s="1"/>
  <c r="R824" i="1"/>
  <c r="S824" i="1" s="1"/>
  <c r="S74" i="7" s="1"/>
  <c r="T824" i="1"/>
  <c r="R794" i="1"/>
  <c r="S794" i="1" s="1"/>
  <c r="S44" i="9" s="1"/>
  <c r="R833" i="1"/>
  <c r="S833" i="1" s="1"/>
  <c r="T833" i="1"/>
  <c r="R841" i="1"/>
  <c r="S841" i="1" s="1"/>
  <c r="T847" i="1"/>
  <c r="T805" i="1"/>
  <c r="K72" i="5"/>
  <c r="T834" i="1"/>
  <c r="K184" i="11"/>
  <c r="R786" i="1"/>
  <c r="U786" i="1" s="1"/>
  <c r="K59" i="3"/>
  <c r="R811" i="1"/>
  <c r="U811" i="1" s="1"/>
  <c r="R818" i="1"/>
  <c r="S818" i="1" s="1"/>
  <c r="T818" i="1"/>
  <c r="K86" i="8"/>
  <c r="K128" i="11"/>
  <c r="R799" i="1"/>
  <c r="S799" i="1" s="1"/>
  <c r="T799" i="1"/>
  <c r="R806" i="1"/>
  <c r="S806" i="1" s="1"/>
  <c r="R812" i="1"/>
  <c r="S812" i="1" s="1"/>
  <c r="T812" i="1"/>
  <c r="U812" i="1" s="1"/>
  <c r="R819" i="1"/>
  <c r="R31" i="6" s="1"/>
  <c r="T819" i="1"/>
  <c r="R826" i="1"/>
  <c r="R830" i="1"/>
  <c r="S830" i="1" s="1"/>
  <c r="S73" i="9" s="1"/>
  <c r="T830" i="1"/>
  <c r="R836" i="1"/>
  <c r="S836" i="1" s="1"/>
  <c r="T836" i="1"/>
  <c r="K16" i="12"/>
  <c r="T844" i="1"/>
  <c r="N16" i="6"/>
  <c r="N58" i="6"/>
  <c r="N169" i="8"/>
  <c r="S169" i="12"/>
  <c r="N85" i="8"/>
  <c r="N99" i="8"/>
  <c r="R506" i="17"/>
  <c r="U224" i="15"/>
  <c r="N44" i="6"/>
  <c r="N116" i="6"/>
  <c r="N719" i="1"/>
  <c r="R719" i="1" s="1"/>
  <c r="P720" i="1"/>
  <c r="P169" i="8" s="1"/>
  <c r="N755" i="1"/>
  <c r="R755" i="1" s="1"/>
  <c r="N100" i="4"/>
  <c r="P740" i="1"/>
  <c r="P44" i="4" s="1"/>
  <c r="N739" i="1"/>
  <c r="N43" i="2"/>
  <c r="N57" i="2"/>
  <c r="N85" i="2"/>
  <c r="N15" i="2"/>
  <c r="T87" i="9"/>
  <c r="U71" i="12"/>
  <c r="T733" i="1"/>
  <c r="N733" i="1"/>
  <c r="R733" i="1" s="1"/>
  <c r="T99" i="11"/>
  <c r="R744" i="1"/>
  <c r="S744" i="1" s="1"/>
  <c r="S99" i="5" s="1"/>
  <c r="T744" i="1"/>
  <c r="T721" i="1"/>
  <c r="R724" i="1"/>
  <c r="S724" i="1" s="1"/>
  <c r="S156" i="2" s="1"/>
  <c r="T724" i="1"/>
  <c r="R745" i="1"/>
  <c r="S745" i="1" s="1"/>
  <c r="S127" i="5" s="1"/>
  <c r="R753" i="1"/>
  <c r="S753" i="1" s="1"/>
  <c r="S45" i="7" s="1"/>
  <c r="T753" i="1"/>
  <c r="R722" i="1"/>
  <c r="S722" i="1" s="1"/>
  <c r="S127" i="8" s="1"/>
  <c r="T722" i="1"/>
  <c r="R738" i="1"/>
  <c r="S738" i="1" s="1"/>
  <c r="T738" i="1"/>
  <c r="R746" i="1"/>
  <c r="S746" i="1" s="1"/>
  <c r="T746" i="1"/>
  <c r="R765" i="1"/>
  <c r="S765" i="1" s="1"/>
  <c r="T765" i="1"/>
  <c r="R731" i="1"/>
  <c r="S731" i="1" s="1"/>
  <c r="T731" i="1"/>
  <c r="R747" i="1"/>
  <c r="S747" i="1" s="1"/>
  <c r="S71" i="5" s="1"/>
  <c r="T747" i="1"/>
  <c r="R758" i="1"/>
  <c r="S758" i="1" s="1"/>
  <c r="S15" i="9" s="1"/>
  <c r="T758" i="1"/>
  <c r="R740" i="1"/>
  <c r="S740" i="1" s="1"/>
  <c r="S100" i="4" s="1"/>
  <c r="T740" i="1"/>
  <c r="R748" i="1"/>
  <c r="S748" i="1" s="1"/>
  <c r="T748" i="1"/>
  <c r="R756" i="1"/>
  <c r="S756" i="1" s="1"/>
  <c r="T756" i="1"/>
  <c r="R759" i="1"/>
  <c r="R143" i="9" s="1"/>
  <c r="T759" i="1"/>
  <c r="R767" i="1"/>
  <c r="S767" i="1" s="1"/>
  <c r="T767" i="1"/>
  <c r="K113" i="12"/>
  <c r="T776" i="1"/>
  <c r="R726" i="1"/>
  <c r="S726" i="1" s="1"/>
  <c r="S85" i="2" s="1"/>
  <c r="T726" i="1"/>
  <c r="R749" i="1"/>
  <c r="S749" i="1" s="1"/>
  <c r="T749" i="1"/>
  <c r="R727" i="1"/>
  <c r="S727" i="1" s="1"/>
  <c r="T727" i="1"/>
  <c r="R734" i="1"/>
  <c r="S734" i="1" s="1"/>
  <c r="T734" i="1"/>
  <c r="R751" i="1"/>
  <c r="S751" i="1" s="1"/>
  <c r="S116" i="6" s="1"/>
  <c r="T751" i="1"/>
  <c r="R720" i="1"/>
  <c r="S720" i="1" s="1"/>
  <c r="S169" i="8" s="1"/>
  <c r="T720" i="1"/>
  <c r="R762" i="1"/>
  <c r="S762" i="1" s="1"/>
  <c r="T762" i="1"/>
  <c r="T779" i="1"/>
  <c r="N84" i="11"/>
  <c r="S766" i="1"/>
  <c r="S141" i="10" s="1"/>
  <c r="U766" i="1"/>
  <c r="S736" i="1"/>
  <c r="S200" i="3" s="1"/>
  <c r="U736" i="1"/>
  <c r="R773" i="1"/>
  <c r="S773" i="1" s="1"/>
  <c r="T773" i="1"/>
  <c r="U131" i="6"/>
  <c r="S770" i="1"/>
  <c r="S57" i="11" s="1"/>
  <c r="U770" i="1"/>
  <c r="S777" i="1"/>
  <c r="S43" i="12" s="1"/>
  <c r="U777" i="1"/>
  <c r="N14" i="11"/>
  <c r="S772" i="1"/>
  <c r="S141" i="11" s="1"/>
  <c r="U772" i="1"/>
  <c r="S774" i="1"/>
  <c r="S196" i="11" s="1"/>
  <c r="U774" i="1"/>
  <c r="S732" i="1"/>
  <c r="S86" i="3" s="1"/>
  <c r="U732" i="1"/>
  <c r="S57" i="8"/>
  <c r="S741" i="1"/>
  <c r="S200" i="4" s="1"/>
  <c r="U741" i="1"/>
  <c r="S769" i="1"/>
  <c r="S113" i="11" s="1"/>
  <c r="U769" i="1"/>
  <c r="S764" i="1"/>
  <c r="S85" i="10" s="1"/>
  <c r="U764" i="1"/>
  <c r="S750" i="1"/>
  <c r="S87" i="6" s="1"/>
  <c r="U750" i="1"/>
  <c r="S729" i="1"/>
  <c r="S29" i="2" s="1"/>
  <c r="U729" i="1"/>
  <c r="S730" i="1"/>
  <c r="S29" i="3" s="1"/>
  <c r="U730" i="1"/>
  <c r="S743" i="1"/>
  <c r="S158" i="4" s="1"/>
  <c r="U743" i="1"/>
  <c r="S737" i="1"/>
  <c r="S144" i="4" s="1"/>
  <c r="U737" i="1"/>
  <c r="S742" i="1"/>
  <c r="S172" i="4" s="1"/>
  <c r="U742" i="1"/>
  <c r="T13" i="3"/>
  <c r="N195" i="11"/>
  <c r="N70" i="11"/>
  <c r="P258" i="17"/>
  <c r="P353" i="17"/>
  <c r="S179" i="15"/>
  <c r="R220" i="17"/>
  <c r="R163" i="17"/>
  <c r="S177" i="15"/>
  <c r="R428" i="17"/>
  <c r="R503" i="17"/>
  <c r="S180" i="15"/>
  <c r="R13" i="17"/>
  <c r="R334" i="17"/>
  <c r="S178" i="15"/>
  <c r="R258" i="17"/>
  <c r="R353" i="17"/>
  <c r="U178" i="15"/>
  <c r="P428" i="17"/>
  <c r="P503" i="17"/>
  <c r="U523" i="17"/>
  <c r="U315" i="17"/>
  <c r="P220" i="17"/>
  <c r="P163" i="17"/>
  <c r="P334" i="17"/>
  <c r="P13" i="17"/>
  <c r="S315" i="17"/>
  <c r="S523" i="17"/>
  <c r="U177" i="15"/>
  <c r="U179" i="15"/>
  <c r="U180" i="15"/>
  <c r="S725" i="1"/>
  <c r="S115" i="9" s="1"/>
  <c r="U725" i="1"/>
  <c r="S723" i="1"/>
  <c r="S100" i="2" s="1"/>
  <c r="U723" i="1"/>
  <c r="N27" i="7"/>
  <c r="N97" i="8"/>
  <c r="N27" i="8"/>
  <c r="N128" i="3"/>
  <c r="N198" i="3"/>
  <c r="T14" i="12"/>
  <c r="T157" i="9"/>
  <c r="T113" i="4"/>
  <c r="N13" i="5"/>
  <c r="N69" i="5"/>
  <c r="T28" i="2"/>
  <c r="T86" i="9"/>
  <c r="R686" i="1"/>
  <c r="T686" i="1"/>
  <c r="R672" i="1"/>
  <c r="T672" i="1"/>
  <c r="K14" i="11"/>
  <c r="T707" i="1"/>
  <c r="R674" i="1"/>
  <c r="T674" i="1"/>
  <c r="R676" i="1"/>
  <c r="T676" i="1"/>
  <c r="R677" i="1"/>
  <c r="R114" i="4" s="1"/>
  <c r="T677" i="1"/>
  <c r="R653" i="1"/>
  <c r="S653" i="1" s="1"/>
  <c r="S84" i="8" s="1"/>
  <c r="T653" i="1"/>
  <c r="R660" i="1"/>
  <c r="T660" i="1"/>
  <c r="T711" i="1"/>
  <c r="U687" i="1"/>
  <c r="R657" i="1"/>
  <c r="S657" i="1" s="1"/>
  <c r="T657" i="1"/>
  <c r="R680" i="1"/>
  <c r="S680" i="1" s="1"/>
  <c r="S29" i="4" s="1"/>
  <c r="T680" i="1"/>
  <c r="T713" i="1"/>
  <c r="T665" i="1"/>
  <c r="K154" i="8"/>
  <c r="T655" i="1"/>
  <c r="T714" i="1"/>
  <c r="R666" i="1"/>
  <c r="T666" i="1"/>
  <c r="R658" i="1"/>
  <c r="T658" i="1"/>
  <c r="R675" i="1"/>
  <c r="R171" i="4" s="1"/>
  <c r="R716" i="1"/>
  <c r="T716" i="1"/>
  <c r="S671" i="1"/>
  <c r="S129" i="3" s="1"/>
  <c r="U671" i="1"/>
  <c r="R696" i="1"/>
  <c r="R71" i="9" s="1"/>
  <c r="R702" i="1"/>
  <c r="R98" i="10" s="1"/>
  <c r="T702" i="1"/>
  <c r="S691" i="1"/>
  <c r="S159" i="6" s="1"/>
  <c r="U691" i="1"/>
  <c r="S698" i="1"/>
  <c r="S114" i="9" s="1"/>
  <c r="U698" i="1"/>
  <c r="S700" i="1"/>
  <c r="S84" i="10" s="1"/>
  <c r="U700" i="1"/>
  <c r="S712" i="1"/>
  <c r="S42" i="12" s="1"/>
  <c r="U712" i="1"/>
  <c r="S684" i="1"/>
  <c r="S98" i="5" s="1"/>
  <c r="U684" i="1"/>
  <c r="R685" i="1"/>
  <c r="R126" i="5" s="1"/>
  <c r="T685" i="1"/>
  <c r="S682" i="1"/>
  <c r="S56" i="5" s="1"/>
  <c r="U682" i="1"/>
  <c r="S695" i="1"/>
  <c r="S172" i="9" s="1"/>
  <c r="U695" i="1"/>
  <c r="S709" i="1"/>
  <c r="S140" i="11" s="1"/>
  <c r="U709" i="1"/>
  <c r="S679" i="1"/>
  <c r="S129" i="4" s="1"/>
  <c r="U679" i="1"/>
  <c r="S667" i="1"/>
  <c r="S141" i="2" s="1"/>
  <c r="U667" i="1"/>
  <c r="S668" i="1"/>
  <c r="S85" i="3" s="1"/>
  <c r="U668" i="1"/>
  <c r="S670" i="1"/>
  <c r="S99" i="3" s="1"/>
  <c r="U670" i="1"/>
  <c r="S690" i="1"/>
  <c r="S43" i="6" s="1"/>
  <c r="U690" i="1"/>
  <c r="S688" i="1"/>
  <c r="S115" i="6" s="1"/>
  <c r="U688" i="1"/>
  <c r="S694" i="1"/>
  <c r="S100" i="9" s="1"/>
  <c r="U694" i="1"/>
  <c r="S683" i="1"/>
  <c r="S84" i="5" s="1"/>
  <c r="U683" i="1"/>
  <c r="S710" i="1"/>
  <c r="S14" i="7" s="1"/>
  <c r="U710" i="1"/>
  <c r="N56" i="6"/>
  <c r="S704" i="1"/>
  <c r="S28" i="11" s="1"/>
  <c r="U704" i="1"/>
  <c r="S664" i="1"/>
  <c r="S56" i="2" s="1"/>
  <c r="U664" i="1"/>
  <c r="N55" i="8"/>
  <c r="S708" i="1"/>
  <c r="S98" i="11" s="1"/>
  <c r="U708" i="1"/>
  <c r="R692" i="1"/>
  <c r="R58" i="7" s="1"/>
  <c r="T692" i="1"/>
  <c r="R717" i="1"/>
  <c r="R140" i="12" s="1"/>
  <c r="T717" i="1"/>
  <c r="S678" i="1"/>
  <c r="S85" i="4" s="1"/>
  <c r="U678" i="1"/>
  <c r="S669" i="1"/>
  <c r="S185" i="3" s="1"/>
  <c r="U669" i="1"/>
  <c r="S662" i="1"/>
  <c r="S56" i="10" s="1"/>
  <c r="U662" i="1"/>
  <c r="S659" i="1"/>
  <c r="S70" i="2" s="1"/>
  <c r="U659" i="1"/>
  <c r="S701" i="1"/>
  <c r="S14" i="10" s="1"/>
  <c r="U701" i="1"/>
  <c r="N27" i="9"/>
  <c r="N125" i="11"/>
  <c r="N69" i="11"/>
  <c r="N57" i="7"/>
  <c r="T598" i="1"/>
  <c r="T41" i="11" s="1"/>
  <c r="N598" i="1"/>
  <c r="R598" i="1" s="1"/>
  <c r="N28" i="7"/>
  <c r="N27" i="12"/>
  <c r="N126" i="2"/>
  <c r="T648" i="1"/>
  <c r="T97" i="12" s="1"/>
  <c r="N648" i="1"/>
  <c r="R648" i="1" s="1"/>
  <c r="T651" i="1"/>
  <c r="N651" i="1"/>
  <c r="R651" i="1" s="1"/>
  <c r="N27" i="3"/>
  <c r="T125" i="5"/>
  <c r="T56" i="3"/>
  <c r="N100" i="7"/>
  <c r="T138" i="11"/>
  <c r="N42" i="6"/>
  <c r="T96" i="5"/>
  <c r="N139" i="8"/>
  <c r="N41" i="5"/>
  <c r="N83" i="5"/>
  <c r="N112" i="2"/>
  <c r="N595" i="1"/>
  <c r="R595" i="1" s="1"/>
  <c r="U595" i="1" s="1"/>
  <c r="T83" i="10"/>
  <c r="T55" i="9"/>
  <c r="T13" i="9"/>
  <c r="T617" i="1"/>
  <c r="N617" i="1"/>
  <c r="R617" i="1" s="1"/>
  <c r="T69" i="12"/>
  <c r="T613" i="1"/>
  <c r="N613" i="1"/>
  <c r="R613" i="1" s="1"/>
  <c r="T184" i="4"/>
  <c r="N26" i="6"/>
  <c r="N81" i="11"/>
  <c r="N26" i="2"/>
  <c r="T27" i="2"/>
  <c r="N112" i="6"/>
  <c r="T83" i="12"/>
  <c r="T111" i="11"/>
  <c r="N12" i="2"/>
  <c r="N40" i="2"/>
  <c r="T142" i="3"/>
  <c r="N95" i="11"/>
  <c r="T85" i="7"/>
  <c r="T41" i="4"/>
  <c r="N184" i="3"/>
  <c r="T127" i="4"/>
  <c r="T138" i="5"/>
  <c r="T70" i="7"/>
  <c r="N70" i="3"/>
  <c r="N67" i="8"/>
  <c r="T603" i="1"/>
  <c r="T611" i="1"/>
  <c r="T627" i="1"/>
  <c r="T621" i="1"/>
  <c r="T628" i="1"/>
  <c r="T637" i="1"/>
  <c r="T593" i="1"/>
  <c r="T97" i="4"/>
  <c r="T183" i="4"/>
  <c r="R661" i="1"/>
  <c r="N138" i="12"/>
  <c r="N84" i="6"/>
  <c r="R600" i="1"/>
  <c r="R614" i="1"/>
  <c r="R622" i="1"/>
  <c r="R615" i="1"/>
  <c r="R623" i="1"/>
  <c r="R599" i="1"/>
  <c r="R43" i="7" s="1"/>
  <c r="R633" i="1"/>
  <c r="R113" i="9" s="1"/>
  <c r="R601" i="1"/>
  <c r="R647" i="1"/>
  <c r="R608" i="1"/>
  <c r="R630" i="1"/>
  <c r="R100" i="7" s="1"/>
  <c r="R602" i="1"/>
  <c r="R83" i="2" s="1"/>
  <c r="R609" i="1"/>
  <c r="R625" i="1"/>
  <c r="R56" i="6" s="1"/>
  <c r="K41" i="8"/>
  <c r="R634" i="1"/>
  <c r="T70" i="6"/>
  <c r="N152" i="12"/>
  <c r="R603" i="1"/>
  <c r="R69" i="2" s="1"/>
  <c r="R610" i="1"/>
  <c r="R618" i="1"/>
  <c r="R626" i="1"/>
  <c r="R28" i="6" s="1"/>
  <c r="R593" i="1"/>
  <c r="R97" i="8" s="1"/>
  <c r="R636" i="1"/>
  <c r="R642" i="1"/>
  <c r="R650" i="1"/>
  <c r="K56" i="4"/>
  <c r="K125" i="8"/>
  <c r="K55" i="10"/>
  <c r="K125" i="11"/>
  <c r="R624" i="1"/>
  <c r="N113" i="6"/>
  <c r="R605" i="1"/>
  <c r="R112" i="2" s="1"/>
  <c r="R612" i="1"/>
  <c r="R620" i="1"/>
  <c r="R627" i="1"/>
  <c r="R594" i="1"/>
  <c r="R638" i="1"/>
  <c r="R644" i="1"/>
  <c r="R652" i="1"/>
  <c r="R616" i="1"/>
  <c r="R128" i="4" s="1"/>
  <c r="R606" i="1"/>
  <c r="R621" i="1"/>
  <c r="R41" i="5" s="1"/>
  <c r="R628" i="1"/>
  <c r="R114" i="6" s="1"/>
  <c r="R631" i="1"/>
  <c r="R639" i="1"/>
  <c r="R645" i="1"/>
  <c r="C312" i="17"/>
  <c r="C539" i="17"/>
  <c r="P587" i="1"/>
  <c r="P82" i="11" s="1"/>
  <c r="N40" i="11"/>
  <c r="T572" i="1"/>
  <c r="T12" i="3" s="1"/>
  <c r="N572" i="1"/>
  <c r="R572" i="1" s="1"/>
  <c r="T568" i="1"/>
  <c r="N568" i="1"/>
  <c r="R568" i="1" s="1"/>
  <c r="T570" i="1"/>
  <c r="N570" i="1"/>
  <c r="R570" i="1" s="1"/>
  <c r="T566" i="1"/>
  <c r="N566" i="1"/>
  <c r="R566" i="1" s="1"/>
  <c r="T157" i="6"/>
  <c r="T69" i="9"/>
  <c r="T26" i="11"/>
  <c r="T170" i="9"/>
  <c r="N53" i="11"/>
  <c r="T555" i="1"/>
  <c r="N555" i="1"/>
  <c r="N557" i="1"/>
  <c r="R557" i="1" s="1"/>
  <c r="T54" i="2"/>
  <c r="T111" i="2"/>
  <c r="N109" i="11"/>
  <c r="T552" i="1"/>
  <c r="N552" i="1"/>
  <c r="R552" i="1" s="1"/>
  <c r="T560" i="1"/>
  <c r="T589" i="1"/>
  <c r="T569" i="1"/>
  <c r="T546" i="1"/>
  <c r="T590" i="1"/>
  <c r="T591" i="1"/>
  <c r="T592" i="1"/>
  <c r="T550" i="1"/>
  <c r="T549" i="1"/>
  <c r="T579" i="1"/>
  <c r="T586" i="1"/>
  <c r="T581" i="1"/>
  <c r="N39" i="8"/>
  <c r="P440" i="1"/>
  <c r="P136" i="5" s="1"/>
  <c r="P490" i="1"/>
  <c r="P10" i="12" s="1"/>
  <c r="P502" i="1"/>
  <c r="P39" i="3" s="1"/>
  <c r="P452" i="1"/>
  <c r="P81" i="4" s="1"/>
  <c r="N179" i="12"/>
  <c r="P488" i="1"/>
  <c r="P80" i="12" s="1"/>
  <c r="N96" i="3"/>
  <c r="P525" i="1"/>
  <c r="P123" i="8" s="1"/>
  <c r="P68" i="9"/>
  <c r="P543" i="1"/>
  <c r="P151" i="12" s="1"/>
  <c r="P151" i="10"/>
  <c r="N137" i="8"/>
  <c r="N123" i="8"/>
  <c r="N165" i="11"/>
  <c r="N137" i="11"/>
  <c r="N11" i="9"/>
  <c r="N25" i="9"/>
  <c r="N151" i="12"/>
  <c r="N151" i="8"/>
  <c r="N53" i="8"/>
  <c r="N521" i="1"/>
  <c r="N26" i="7"/>
  <c r="N55" i="7"/>
  <c r="N526" i="1"/>
  <c r="N516" i="1"/>
  <c r="R516" i="1" s="1"/>
  <c r="N513" i="1"/>
  <c r="T154" i="3"/>
  <c r="T111" i="9"/>
  <c r="N510" i="1"/>
  <c r="N496" i="1"/>
  <c r="N94" i="10"/>
  <c r="N97" i="7"/>
  <c r="N52" i="11"/>
  <c r="N94" i="11"/>
  <c r="N492" i="1"/>
  <c r="S350" i="17"/>
  <c r="S236" i="17"/>
  <c r="U350" i="17"/>
  <c r="U236" i="17"/>
  <c r="R494" i="1"/>
  <c r="T494" i="1"/>
  <c r="R520" i="1"/>
  <c r="R140" i="9" s="1"/>
  <c r="T520" i="1"/>
  <c r="R529" i="1"/>
  <c r="T529" i="1"/>
  <c r="T125" i="9"/>
  <c r="R523" i="1"/>
  <c r="S523" i="1" s="1"/>
  <c r="S67" i="8" s="1"/>
  <c r="T523" i="1"/>
  <c r="R531" i="1"/>
  <c r="S531" i="1" s="1"/>
  <c r="S169" i="9" s="1"/>
  <c r="T531" i="1"/>
  <c r="R524" i="1"/>
  <c r="S524" i="1" s="1"/>
  <c r="S95" i="8" s="1"/>
  <c r="T524" i="1"/>
  <c r="R539" i="1"/>
  <c r="S539" i="1" s="1"/>
  <c r="S25" i="11" s="1"/>
  <c r="T539" i="1"/>
  <c r="R525" i="1"/>
  <c r="S525" i="1" s="1"/>
  <c r="S137" i="8" s="1"/>
  <c r="T525" i="1"/>
  <c r="R499" i="1"/>
  <c r="U499" i="1" s="1"/>
  <c r="R514" i="1"/>
  <c r="S514" i="1" s="1"/>
  <c r="S26" i="6" s="1"/>
  <c r="T514" i="1"/>
  <c r="R517" i="1"/>
  <c r="R192" i="11" s="1"/>
  <c r="T517" i="1"/>
  <c r="R518" i="1"/>
  <c r="S518" i="1" s="1"/>
  <c r="R511" i="1"/>
  <c r="T511" i="1"/>
  <c r="R528" i="1"/>
  <c r="T528" i="1"/>
  <c r="T496" i="1"/>
  <c r="T510" i="1"/>
  <c r="R532" i="1"/>
  <c r="R151" i="10" s="1"/>
  <c r="T532" i="1"/>
  <c r="K123" i="5"/>
  <c r="T512" i="1"/>
  <c r="R534" i="1"/>
  <c r="S534" i="1" s="1"/>
  <c r="K96" i="2"/>
  <c r="T498" i="1"/>
  <c r="R536" i="1"/>
  <c r="S536" i="1" s="1"/>
  <c r="R500" i="1"/>
  <c r="S500" i="1" s="1"/>
  <c r="R501" i="1"/>
  <c r="T501" i="1"/>
  <c r="R502" i="1"/>
  <c r="R39" i="3" s="1"/>
  <c r="T502" i="1"/>
  <c r="R533" i="1"/>
  <c r="T533" i="1"/>
  <c r="R543" i="1"/>
  <c r="T543" i="1"/>
  <c r="R540" i="1"/>
  <c r="S540" i="1" s="1"/>
  <c r="T540" i="1"/>
  <c r="R541" i="1"/>
  <c r="S541" i="1" s="1"/>
  <c r="S109" i="12" s="1"/>
  <c r="T541" i="1"/>
  <c r="R505" i="1"/>
  <c r="S505" i="1" s="1"/>
  <c r="T505" i="1"/>
  <c r="R506" i="1"/>
  <c r="R96" i="4" s="1"/>
  <c r="T506" i="1"/>
  <c r="R508" i="1"/>
  <c r="S508" i="1" s="1"/>
  <c r="S168" i="4" s="1"/>
  <c r="T508" i="1"/>
  <c r="R491" i="1"/>
  <c r="S491" i="1" s="1"/>
  <c r="S67" i="11" s="1"/>
  <c r="T491" i="1"/>
  <c r="U515" i="1"/>
  <c r="S503" i="1"/>
  <c r="S11" i="3" s="1"/>
  <c r="U503" i="1"/>
  <c r="S497" i="1"/>
  <c r="S53" i="2" s="1"/>
  <c r="U497" i="1"/>
  <c r="S509" i="1"/>
  <c r="S11" i="5" s="1"/>
  <c r="U509" i="1"/>
  <c r="S495" i="1"/>
  <c r="S156" i="6" s="1"/>
  <c r="U495" i="1"/>
  <c r="N166" i="4"/>
  <c r="N52" i="4"/>
  <c r="R493" i="1"/>
  <c r="K137" i="11"/>
  <c r="K165" i="11"/>
  <c r="P123" i="11"/>
  <c r="P165" i="11"/>
  <c r="P137" i="11"/>
  <c r="N474" i="1"/>
  <c r="N475" i="1"/>
  <c r="R475" i="1" s="1"/>
  <c r="N80" i="12"/>
  <c r="N122" i="12"/>
  <c r="N108" i="11"/>
  <c r="N38" i="11"/>
  <c r="N195" i="4"/>
  <c r="N81" i="4"/>
  <c r="N164" i="12"/>
  <c r="N10" i="12"/>
  <c r="N486" i="1"/>
  <c r="N122" i="8"/>
  <c r="N80" i="8"/>
  <c r="N477" i="1"/>
  <c r="N10" i="5"/>
  <c r="N136" i="5"/>
  <c r="N469" i="1"/>
  <c r="R469" i="1" s="1"/>
  <c r="T465" i="1"/>
  <c r="N465" i="1"/>
  <c r="R465" i="1" s="1"/>
  <c r="T67" i="4"/>
  <c r="N449" i="1"/>
  <c r="R464" i="1"/>
  <c r="T464" i="1"/>
  <c r="K108" i="11"/>
  <c r="T481" i="1"/>
  <c r="K53" i="3"/>
  <c r="R468" i="1"/>
  <c r="S468" i="1" s="1"/>
  <c r="T468" i="1"/>
  <c r="R484" i="1"/>
  <c r="S484" i="1" s="1"/>
  <c r="T484" i="1"/>
  <c r="R454" i="1"/>
  <c r="S454" i="1" s="1"/>
  <c r="S66" i="5" s="1"/>
  <c r="T454" i="1"/>
  <c r="T478" i="1"/>
  <c r="R447" i="1"/>
  <c r="T447" i="1"/>
  <c r="R455" i="1"/>
  <c r="S455" i="1" s="1"/>
  <c r="S80" i="5" s="1"/>
  <c r="T455" i="1"/>
  <c r="R456" i="1"/>
  <c r="R108" i="5" s="1"/>
  <c r="T456" i="1"/>
  <c r="R480" i="1"/>
  <c r="T480" i="1"/>
  <c r="R440" i="1"/>
  <c r="U440" i="1" s="1"/>
  <c r="R443" i="1"/>
  <c r="R66" i="2" s="1"/>
  <c r="T443" i="1"/>
  <c r="R457" i="1"/>
  <c r="S457" i="1" s="1"/>
  <c r="T457" i="1"/>
  <c r="R466" i="1"/>
  <c r="S466" i="1" s="1"/>
  <c r="S94" i="10" s="1"/>
  <c r="T466" i="1"/>
  <c r="R482" i="1"/>
  <c r="S482" i="1" s="1"/>
  <c r="S94" i="11" s="1"/>
  <c r="T441" i="1"/>
  <c r="R442" i="1"/>
  <c r="S442" i="1" s="1"/>
  <c r="T442" i="1"/>
  <c r="T10" i="2"/>
  <c r="T123" i="2"/>
  <c r="R452" i="1"/>
  <c r="S452" i="1" s="1"/>
  <c r="S195" i="4" s="1"/>
  <c r="T452" i="1"/>
  <c r="R458" i="1"/>
  <c r="S458" i="1" s="1"/>
  <c r="T458" i="1"/>
  <c r="R476" i="1"/>
  <c r="S476" i="1" s="1"/>
  <c r="S139" i="9" s="1"/>
  <c r="T476" i="1"/>
  <c r="R453" i="1"/>
  <c r="U453" i="1" s="1"/>
  <c r="R459" i="1"/>
  <c r="S459" i="1" s="1"/>
  <c r="T459" i="1"/>
  <c r="R588" i="17"/>
  <c r="R555" i="1"/>
  <c r="R562" i="1"/>
  <c r="K26" i="9"/>
  <c r="P12" i="2"/>
  <c r="P54" i="5"/>
  <c r="P27" i="7"/>
  <c r="P126" i="9"/>
  <c r="P110" i="11"/>
  <c r="R556" i="1"/>
  <c r="R563" i="1"/>
  <c r="R577" i="1"/>
  <c r="P111" i="2"/>
  <c r="P97" i="3"/>
  <c r="P12" i="10"/>
  <c r="R545" i="1"/>
  <c r="R564" i="1"/>
  <c r="R571" i="1"/>
  <c r="R578" i="1"/>
  <c r="R585" i="1"/>
  <c r="R592" i="1"/>
  <c r="P127" i="4"/>
  <c r="P138" i="5"/>
  <c r="P70" i="7"/>
  <c r="P68" i="10"/>
  <c r="P180" i="11"/>
  <c r="R550" i="1"/>
  <c r="K155" i="3"/>
  <c r="R565" i="1"/>
  <c r="P97" i="2"/>
  <c r="P69" i="4"/>
  <c r="P110" i="8"/>
  <c r="P54" i="10"/>
  <c r="R551" i="1"/>
  <c r="R558" i="1"/>
  <c r="R580" i="1"/>
  <c r="R587" i="1"/>
  <c r="P55" i="3"/>
  <c r="P97" i="4"/>
  <c r="P41" i="6"/>
  <c r="P152" i="8"/>
  <c r="P124" i="10"/>
  <c r="P68" i="12"/>
  <c r="R559" i="1"/>
  <c r="R567" i="1"/>
  <c r="R573" i="1"/>
  <c r="R581" i="1"/>
  <c r="R547" i="1"/>
  <c r="P112" i="4"/>
  <c r="P113" i="6"/>
  <c r="P26" i="9"/>
  <c r="P166" i="10"/>
  <c r="P152" i="12"/>
  <c r="R553" i="1"/>
  <c r="R560" i="1"/>
  <c r="R574" i="1"/>
  <c r="R582" i="1"/>
  <c r="R588" i="1"/>
  <c r="P113" i="3"/>
  <c r="P141" i="4"/>
  <c r="P12" i="11"/>
  <c r="R561" i="1"/>
  <c r="R548" i="1"/>
  <c r="K82" i="8"/>
  <c r="K124" i="10"/>
  <c r="P127" i="3"/>
  <c r="P26" i="5"/>
  <c r="P157" i="6"/>
  <c r="P170" i="9"/>
  <c r="P26" i="11"/>
  <c r="T462" i="1"/>
  <c r="R487" i="1"/>
  <c r="R193" i="12" s="1"/>
  <c r="T487" i="1"/>
  <c r="K122" i="12"/>
  <c r="T488" i="1"/>
  <c r="R438" i="1"/>
  <c r="S438" i="1" s="1"/>
  <c r="T438" i="1"/>
  <c r="T490" i="1"/>
  <c r="S445" i="1"/>
  <c r="S38" i="3" s="1"/>
  <c r="U445" i="1"/>
  <c r="S479" i="1"/>
  <c r="S136" i="10" s="1"/>
  <c r="U479" i="1"/>
  <c r="S446" i="1"/>
  <c r="S24" i="3" s="1"/>
  <c r="U446" i="1"/>
  <c r="U137" i="2"/>
  <c r="U109" i="2"/>
  <c r="S472" i="1"/>
  <c r="S136" i="8" s="1"/>
  <c r="U472" i="1"/>
  <c r="S460" i="1"/>
  <c r="S96" i="6" s="1"/>
  <c r="U460" i="1"/>
  <c r="S471" i="1"/>
  <c r="S150" i="8" s="1"/>
  <c r="U471" i="1"/>
  <c r="S450" i="1"/>
  <c r="S25" i="4" s="1"/>
  <c r="U450" i="1"/>
  <c r="S448" i="1"/>
  <c r="S95" i="3" s="1"/>
  <c r="U448" i="1"/>
  <c r="S467" i="1"/>
  <c r="S66" i="8" s="1"/>
  <c r="U467" i="1"/>
  <c r="S489" i="1"/>
  <c r="S38" i="12" s="1"/>
  <c r="U489" i="1"/>
  <c r="N135" i="10"/>
  <c r="N121" i="10"/>
  <c r="N428" i="1"/>
  <c r="N434" i="1"/>
  <c r="N422" i="1"/>
  <c r="P420" i="1"/>
  <c r="P153" i="9" s="1"/>
  <c r="N94" i="3"/>
  <c r="N384" i="1"/>
  <c r="N153" i="9"/>
  <c r="N110" i="3"/>
  <c r="N412" i="1"/>
  <c r="N413" i="1"/>
  <c r="N416" i="1"/>
  <c r="N51" i="2"/>
  <c r="N65" i="2"/>
  <c r="P92" i="3"/>
  <c r="T23" i="3"/>
  <c r="N390" i="1"/>
  <c r="N387" i="1"/>
  <c r="R386" i="1"/>
  <c r="T386" i="1"/>
  <c r="R411" i="1"/>
  <c r="T411" i="1"/>
  <c r="R418" i="1"/>
  <c r="T418" i="1"/>
  <c r="R429" i="1"/>
  <c r="R163" i="11" s="1"/>
  <c r="T429" i="1"/>
  <c r="R382" i="1"/>
  <c r="T382" i="1"/>
  <c r="R394" i="1"/>
  <c r="T394" i="1"/>
  <c r="K109" i="9"/>
  <c r="T419" i="1"/>
  <c r="R392" i="1"/>
  <c r="S392" i="1" s="1"/>
  <c r="S124" i="3" s="1"/>
  <c r="T423" i="1"/>
  <c r="R424" i="1"/>
  <c r="S424" i="1" s="1"/>
  <c r="S93" i="10" s="1"/>
  <c r="T424" i="1"/>
  <c r="R425" i="1"/>
  <c r="S425" i="1" s="1"/>
  <c r="S121" i="10" s="1"/>
  <c r="T425" i="1"/>
  <c r="R407" i="1"/>
  <c r="T407" i="1"/>
  <c r="R401" i="1"/>
  <c r="S401" i="1" s="1"/>
  <c r="S23" i="5" s="1"/>
  <c r="R408" i="1"/>
  <c r="U408" i="1" s="1"/>
  <c r="R402" i="1"/>
  <c r="T402" i="1"/>
  <c r="R432" i="1"/>
  <c r="T432" i="1"/>
  <c r="T433" i="1"/>
  <c r="R436" i="1"/>
  <c r="R121" i="12" s="1"/>
  <c r="T436" i="1"/>
  <c r="R399" i="1"/>
  <c r="T399" i="1"/>
  <c r="R396" i="1"/>
  <c r="S396" i="1" s="1"/>
  <c r="T396" i="1"/>
  <c r="R398" i="1"/>
  <c r="T398" i="1"/>
  <c r="S388" i="1"/>
  <c r="S136" i="2" s="1"/>
  <c r="U388" i="1"/>
  <c r="K51" i="9"/>
  <c r="T417" i="1"/>
  <c r="S421" i="1"/>
  <c r="S9" i="10" s="1"/>
  <c r="U421" i="1"/>
  <c r="R431" i="1"/>
  <c r="T431" i="1"/>
  <c r="S395" i="1"/>
  <c r="S9" i="7" s="1"/>
  <c r="U395" i="1"/>
  <c r="S405" i="1"/>
  <c r="S24" i="6" s="1"/>
  <c r="U405" i="1"/>
  <c r="U406" i="1"/>
  <c r="R391" i="1"/>
  <c r="S391" i="1" s="1"/>
  <c r="T391" i="1"/>
  <c r="S437" i="1"/>
  <c r="S192" i="12" s="1"/>
  <c r="U437" i="1"/>
  <c r="S410" i="1"/>
  <c r="S67" i="7" s="1"/>
  <c r="U410" i="1"/>
  <c r="S393" i="1"/>
  <c r="S180" i="3" s="1"/>
  <c r="U393" i="1"/>
  <c r="S400" i="1"/>
  <c r="S124" i="4" s="1"/>
  <c r="U400" i="1"/>
  <c r="S404" i="1"/>
  <c r="S121" i="5" s="1"/>
  <c r="U404" i="1"/>
  <c r="S415" i="1"/>
  <c r="S135" i="8" s="1"/>
  <c r="U415" i="1"/>
  <c r="S427" i="1"/>
  <c r="S51" i="11" s="1"/>
  <c r="U427" i="1"/>
  <c r="R403" i="1"/>
  <c r="S403" i="1" s="1"/>
  <c r="T403" i="1"/>
  <c r="R383" i="1"/>
  <c r="R180" i="4" s="1"/>
  <c r="T383" i="1"/>
  <c r="R385" i="1"/>
  <c r="S385" i="1" s="1"/>
  <c r="T385" i="1"/>
  <c r="S353" i="1"/>
  <c r="U353" i="1"/>
  <c r="S380" i="1"/>
  <c r="U380" i="1"/>
  <c r="S376" i="1"/>
  <c r="U376" i="1"/>
  <c r="S369" i="1"/>
  <c r="S189" i="11" s="1"/>
  <c r="U369" i="1"/>
  <c r="S336" i="1"/>
  <c r="U336" i="1"/>
  <c r="S370" i="1"/>
  <c r="S50" i="11" s="1"/>
  <c r="U370" i="1"/>
  <c r="S339" i="1"/>
  <c r="U339" i="1"/>
  <c r="P99" i="10"/>
  <c r="P110" i="10"/>
  <c r="P97" i="10"/>
  <c r="P169" i="3"/>
  <c r="S375" i="1"/>
  <c r="U375" i="1"/>
  <c r="S366" i="1"/>
  <c r="U366" i="1"/>
  <c r="S371" i="1"/>
  <c r="U371" i="1"/>
  <c r="S361" i="1"/>
  <c r="U361" i="1"/>
  <c r="S378" i="1"/>
  <c r="S78" i="12" s="1"/>
  <c r="U378" i="1"/>
  <c r="S320" i="1"/>
  <c r="U320" i="1"/>
  <c r="K143" i="4"/>
  <c r="R96" i="6"/>
  <c r="K43" i="7"/>
  <c r="R115" i="6"/>
  <c r="K71" i="7"/>
  <c r="R318" i="1"/>
  <c r="R23" i="7" s="1"/>
  <c r="R359" i="1"/>
  <c r="R329" i="1"/>
  <c r="R338" i="1"/>
  <c r="R108" i="4" s="1"/>
  <c r="R346" i="1"/>
  <c r="R106" i="5" s="1"/>
  <c r="R352" i="1"/>
  <c r="R50" i="9" s="1"/>
  <c r="R323" i="1"/>
  <c r="R148" i="10" s="1"/>
  <c r="R337" i="1"/>
  <c r="R330" i="1"/>
  <c r="R36" i="3" s="1"/>
  <c r="R324" i="1"/>
  <c r="R331" i="1"/>
  <c r="R193" i="3" s="1"/>
  <c r="R340" i="1"/>
  <c r="R151" i="4" s="1"/>
  <c r="R347" i="1"/>
  <c r="R9" i="6" s="1"/>
  <c r="R354" i="1"/>
  <c r="R8" i="8" s="1"/>
  <c r="R321" i="1"/>
  <c r="R108" i="9" s="1"/>
  <c r="R367" i="1"/>
  <c r="R345" i="1"/>
  <c r="R64" i="5" s="1"/>
  <c r="R319" i="1"/>
  <c r="R332" i="1"/>
  <c r="R179" i="3" s="1"/>
  <c r="R341" i="1"/>
  <c r="R9" i="4" s="1"/>
  <c r="R348" i="1"/>
  <c r="R80" i="6" s="1"/>
  <c r="R355" i="1"/>
  <c r="R120" i="8" s="1"/>
  <c r="R322" i="1"/>
  <c r="R136" i="9" s="1"/>
  <c r="K79" i="3"/>
  <c r="R328" i="1"/>
  <c r="R325" i="1"/>
  <c r="R121" i="2" s="1"/>
  <c r="R333" i="1"/>
  <c r="R342" i="1"/>
  <c r="R349" i="1"/>
  <c r="R356" i="1"/>
  <c r="R50" i="8" s="1"/>
  <c r="R362" i="1"/>
  <c r="R379" i="1"/>
  <c r="R365" i="1"/>
  <c r="R326" i="1"/>
  <c r="R335" i="1"/>
  <c r="R37" i="4" s="1"/>
  <c r="R343" i="1"/>
  <c r="R36" i="5" s="1"/>
  <c r="R350" i="1"/>
  <c r="R162" i="11" s="1"/>
  <c r="R357" i="1"/>
  <c r="R78" i="8" s="1"/>
  <c r="R363" i="1"/>
  <c r="R327" i="1"/>
  <c r="K120" i="5"/>
  <c r="R344" i="1"/>
  <c r="K64" i="11"/>
  <c r="R351" i="1"/>
  <c r="K134" i="8"/>
  <c r="R358" i="1"/>
  <c r="K64" i="10"/>
  <c r="R364" i="1"/>
  <c r="P154" i="2"/>
  <c r="P64" i="4"/>
  <c r="P51" i="7"/>
  <c r="P11" i="8"/>
  <c r="P27" i="9"/>
  <c r="P25" i="11"/>
  <c r="P54" i="2"/>
  <c r="P124" i="3"/>
  <c r="P158" i="6"/>
  <c r="P81" i="7"/>
  <c r="P29" i="11"/>
  <c r="P159" i="3"/>
  <c r="P35" i="5"/>
  <c r="P97" i="6"/>
  <c r="P111" i="6"/>
  <c r="P135" i="8"/>
  <c r="P14" i="10"/>
  <c r="P153" i="11"/>
  <c r="P24" i="3"/>
  <c r="P82" i="3"/>
  <c r="P10" i="9"/>
  <c r="P35" i="2"/>
  <c r="P193" i="3"/>
  <c r="P194" i="4"/>
  <c r="P51" i="6"/>
  <c r="P52" i="6"/>
  <c r="P60" i="7"/>
  <c r="P39" i="10"/>
  <c r="P78" i="10"/>
  <c r="K119" i="6"/>
  <c r="K61" i="6"/>
  <c r="P103" i="4"/>
  <c r="P118" i="4"/>
  <c r="K118" i="4"/>
  <c r="K103" i="4"/>
  <c r="P119" i="6"/>
  <c r="P61" i="6"/>
  <c r="K47" i="3"/>
  <c r="K88" i="12"/>
  <c r="P60" i="9"/>
  <c r="P186" i="12"/>
  <c r="P60" i="10"/>
  <c r="P60" i="12"/>
  <c r="P47" i="3"/>
  <c r="P88" i="12"/>
  <c r="P158" i="11"/>
  <c r="P102" i="12"/>
  <c r="P60" i="2"/>
  <c r="P116" i="12"/>
  <c r="K60" i="2"/>
  <c r="K116" i="12"/>
  <c r="P33" i="6"/>
  <c r="P130" i="12"/>
  <c r="K33" i="6"/>
  <c r="K130" i="12"/>
  <c r="P147" i="9"/>
  <c r="P4" i="12"/>
  <c r="P60" i="11"/>
  <c r="P144" i="12"/>
  <c r="K18" i="2"/>
  <c r="K18" i="12"/>
  <c r="K18" i="8"/>
  <c r="K158" i="12"/>
  <c r="P130" i="10"/>
  <c r="P46" i="12"/>
  <c r="K130" i="10"/>
  <c r="K46" i="12"/>
  <c r="P102" i="8"/>
  <c r="P74" i="12"/>
  <c r="K88" i="5"/>
  <c r="K46" i="10"/>
  <c r="R56" i="1"/>
  <c r="U56" i="1" s="1"/>
  <c r="K60" i="10"/>
  <c r="P88" i="5"/>
  <c r="P46" i="10"/>
  <c r="K18" i="9"/>
  <c r="K74" i="10"/>
  <c r="K76" i="6"/>
  <c r="K102" i="10"/>
  <c r="P18" i="9"/>
  <c r="P74" i="10"/>
  <c r="K32" i="8"/>
  <c r="K116" i="10"/>
  <c r="P32" i="8"/>
  <c r="P116" i="10"/>
  <c r="K104" i="9"/>
  <c r="K4" i="10"/>
  <c r="P76" i="7"/>
  <c r="P75" i="9"/>
  <c r="P4" i="4"/>
  <c r="P161" i="9"/>
  <c r="P61" i="4"/>
  <c r="P32" i="9"/>
  <c r="T12" i="1"/>
  <c r="K60" i="9"/>
  <c r="P144" i="11"/>
  <c r="P76" i="9"/>
  <c r="P104" i="9"/>
  <c r="K145" i="2"/>
  <c r="K162" i="9"/>
  <c r="K74" i="5"/>
  <c r="K60" i="8"/>
  <c r="P74" i="5"/>
  <c r="P60" i="8"/>
  <c r="P47" i="4"/>
  <c r="P46" i="8"/>
  <c r="P18" i="8"/>
  <c r="P88" i="8"/>
  <c r="K47" i="4"/>
  <c r="K46" i="8"/>
  <c r="K102" i="8"/>
  <c r="T11" i="1"/>
  <c r="K76" i="7"/>
  <c r="P133" i="4"/>
  <c r="P91" i="7"/>
  <c r="P116" i="11"/>
  <c r="P48" i="7"/>
  <c r="K89" i="4"/>
  <c r="K77" i="7"/>
  <c r="K116" i="11"/>
  <c r="K48" i="7"/>
  <c r="P146" i="9"/>
  <c r="P33" i="7"/>
  <c r="P32" i="11"/>
  <c r="P4" i="7"/>
  <c r="K103" i="2"/>
  <c r="K19" i="7"/>
  <c r="K131" i="2"/>
  <c r="K62" i="7"/>
  <c r="K32" i="11"/>
  <c r="K4" i="7"/>
  <c r="P76" i="6"/>
  <c r="P4" i="6"/>
  <c r="P104" i="6"/>
  <c r="P88" i="11"/>
  <c r="P47" i="6"/>
  <c r="T8" i="1"/>
  <c r="K104" i="6"/>
  <c r="K60" i="5"/>
  <c r="K120" i="6"/>
  <c r="K88" i="11"/>
  <c r="K47" i="6"/>
  <c r="P60" i="5"/>
  <c r="P120" i="6"/>
  <c r="K89" i="2"/>
  <c r="K62" i="6"/>
  <c r="P89" i="2"/>
  <c r="P62" i="6"/>
  <c r="K46" i="2"/>
  <c r="K134" i="6"/>
  <c r="T9" i="1"/>
  <c r="T91" i="5"/>
  <c r="R285" i="1"/>
  <c r="S285" i="1" s="1"/>
  <c r="T285" i="1"/>
  <c r="R303" i="1"/>
  <c r="K107" i="9"/>
  <c r="T292" i="1"/>
  <c r="R301" i="1"/>
  <c r="S301" i="1" s="1"/>
  <c r="S7" i="11" s="1"/>
  <c r="T301" i="1"/>
  <c r="R264" i="1"/>
  <c r="R120" i="2" s="1"/>
  <c r="T264" i="1"/>
  <c r="R289" i="1"/>
  <c r="S289" i="1" s="1"/>
  <c r="T289" i="1"/>
  <c r="K175" i="3"/>
  <c r="K102" i="11"/>
  <c r="P4" i="11"/>
  <c r="K4" i="11"/>
  <c r="K34" i="8"/>
  <c r="R63" i="1"/>
  <c r="K158" i="11"/>
  <c r="R65" i="1"/>
  <c r="K144" i="11"/>
  <c r="R87" i="1"/>
  <c r="U87" i="1" s="1"/>
  <c r="K60" i="11"/>
  <c r="R270" i="1"/>
  <c r="S270" i="1" s="1"/>
  <c r="S37" i="7" s="1"/>
  <c r="T270" i="1"/>
  <c r="R280" i="1"/>
  <c r="T280" i="1"/>
  <c r="R258" i="1"/>
  <c r="T258" i="1"/>
  <c r="R274" i="1"/>
  <c r="T274" i="1"/>
  <c r="K128" i="2"/>
  <c r="P144" i="4"/>
  <c r="P49" i="4"/>
  <c r="K56" i="8"/>
  <c r="P118" i="8"/>
  <c r="P68" i="6"/>
  <c r="P112" i="2"/>
  <c r="P121" i="8"/>
  <c r="K173" i="9"/>
  <c r="P103" i="11"/>
  <c r="P34" i="5"/>
  <c r="R309" i="1"/>
  <c r="S309" i="1" s="1"/>
  <c r="S175" i="12" s="1"/>
  <c r="T309" i="1"/>
  <c r="R317" i="1"/>
  <c r="T63" i="10"/>
  <c r="R255" i="1"/>
  <c r="T255" i="1"/>
  <c r="T310" i="1"/>
  <c r="R279" i="1"/>
  <c r="S279" i="1" s="1"/>
  <c r="S178" i="4" s="1"/>
  <c r="T279" i="1"/>
  <c r="R311" i="1"/>
  <c r="S311" i="1" s="1"/>
  <c r="S63" i="12" s="1"/>
  <c r="T311" i="1"/>
  <c r="R296" i="1"/>
  <c r="S296" i="1" s="1"/>
  <c r="S35" i="10" s="1"/>
  <c r="T296" i="1"/>
  <c r="R312" i="1"/>
  <c r="T312" i="1"/>
  <c r="R266" i="1"/>
  <c r="S266" i="1" s="1"/>
  <c r="T266" i="1"/>
  <c r="R273" i="1"/>
  <c r="T273" i="1"/>
  <c r="R269" i="1"/>
  <c r="S269" i="1" s="1"/>
  <c r="S94" i="7" s="1"/>
  <c r="R259" i="1"/>
  <c r="R21" i="2" s="1"/>
  <c r="T259" i="1"/>
  <c r="R267" i="1"/>
  <c r="S267" i="1" s="1"/>
  <c r="S78" i="3" s="1"/>
  <c r="R314" i="1"/>
  <c r="T314" i="1"/>
  <c r="R268" i="1"/>
  <c r="R92" i="3" s="1"/>
  <c r="T268" i="1"/>
  <c r="S297" i="1"/>
  <c r="S49" i="10" s="1"/>
  <c r="U297" i="1"/>
  <c r="S299" i="1"/>
  <c r="S91" i="10" s="1"/>
  <c r="U299" i="1"/>
  <c r="U295" i="1"/>
  <c r="S293" i="1"/>
  <c r="S161" i="8" s="1"/>
  <c r="U293" i="1"/>
  <c r="S286" i="1"/>
  <c r="S165" i="9" s="1"/>
  <c r="U286" i="1"/>
  <c r="U307" i="1"/>
  <c r="S287" i="1"/>
  <c r="S64" i="9" s="1"/>
  <c r="U287" i="1"/>
  <c r="S282" i="1"/>
  <c r="S63" i="5" s="1"/>
  <c r="U282" i="1"/>
  <c r="S276" i="1"/>
  <c r="S136" i="4" s="1"/>
  <c r="U276" i="1"/>
  <c r="S275" i="1"/>
  <c r="S105" i="8" s="1"/>
  <c r="U275" i="1"/>
  <c r="U278" i="1"/>
  <c r="S316" i="1"/>
  <c r="S147" i="12" s="1"/>
  <c r="U316" i="1"/>
  <c r="S308" i="1"/>
  <c r="S7" i="12" s="1"/>
  <c r="U308" i="1"/>
  <c r="S304" i="1"/>
  <c r="S133" i="11" s="1"/>
  <c r="U304" i="1"/>
  <c r="S294" i="1"/>
  <c r="S135" i="9" s="1"/>
  <c r="U294" i="1"/>
  <c r="S306" i="1"/>
  <c r="S161" i="11" s="1"/>
  <c r="U306" i="1"/>
  <c r="S261" i="1"/>
  <c r="S79" i="6" s="1"/>
  <c r="U261" i="1"/>
  <c r="S302" i="1"/>
  <c r="S49" i="11" s="1"/>
  <c r="U302" i="1"/>
  <c r="S260" i="1"/>
  <c r="S77" i="2" s="1"/>
  <c r="U260" i="1"/>
  <c r="S262" i="1"/>
  <c r="S65" i="6" s="1"/>
  <c r="U262" i="1"/>
  <c r="S283" i="1"/>
  <c r="S119" i="5" s="1"/>
  <c r="U283" i="1"/>
  <c r="S281" i="1"/>
  <c r="S35" i="5" s="1"/>
  <c r="U281" i="1"/>
  <c r="S277" i="1"/>
  <c r="S150" i="4" s="1"/>
  <c r="U277" i="1"/>
  <c r="S272" i="1"/>
  <c r="S21" i="3" s="1"/>
  <c r="U272" i="1"/>
  <c r="S256" i="1"/>
  <c r="S21" i="9" s="1"/>
  <c r="U256" i="1"/>
  <c r="S252" i="1"/>
  <c r="S178" i="3" s="1"/>
  <c r="U252" i="1"/>
  <c r="P100" i="3"/>
  <c r="P38" i="5"/>
  <c r="P39" i="5"/>
  <c r="P41" i="5"/>
  <c r="P42" i="5"/>
  <c r="P43" i="5"/>
  <c r="P71" i="4"/>
  <c r="P72" i="4"/>
  <c r="P14" i="7"/>
  <c r="K23" i="8"/>
  <c r="P8" i="9"/>
  <c r="R24" i="3"/>
  <c r="P42" i="3"/>
  <c r="P21" i="10"/>
  <c r="P168" i="12"/>
  <c r="R57" i="6"/>
  <c r="P40" i="7"/>
  <c r="P42" i="9"/>
  <c r="P35" i="11"/>
  <c r="R70" i="2"/>
  <c r="K141" i="3"/>
  <c r="P179" i="4"/>
  <c r="P88" i="7"/>
  <c r="K142" i="2"/>
  <c r="P35" i="12"/>
  <c r="P65" i="10"/>
  <c r="K5" i="11"/>
  <c r="K57" i="11"/>
  <c r="T194" i="1"/>
  <c r="T247" i="1"/>
  <c r="T215" i="1"/>
  <c r="T196" i="1"/>
  <c r="T185" i="1"/>
  <c r="T62" i="2" s="1"/>
  <c r="T220" i="1"/>
  <c r="T230" i="1"/>
  <c r="T198" i="1"/>
  <c r="T231" i="1"/>
  <c r="T223" i="1"/>
  <c r="T189" i="12" s="1"/>
  <c r="T236" i="1"/>
  <c r="T146" i="10" s="1"/>
  <c r="T182" i="1"/>
  <c r="K75" i="4"/>
  <c r="P147" i="4"/>
  <c r="P161" i="4"/>
  <c r="T80" i="1"/>
  <c r="K133" i="4"/>
  <c r="K147" i="4"/>
  <c r="K161" i="4"/>
  <c r="P75" i="4"/>
  <c r="P89" i="4"/>
  <c r="P4" i="3"/>
  <c r="P175" i="4"/>
  <c r="K4" i="3"/>
  <c r="K175" i="4"/>
  <c r="K133" i="3"/>
  <c r="K130" i="5"/>
  <c r="R90" i="1"/>
  <c r="K102" i="5"/>
  <c r="P102" i="5"/>
  <c r="K40" i="12"/>
  <c r="T210" i="1"/>
  <c r="T184" i="1"/>
  <c r="K16" i="8"/>
  <c r="K108" i="3"/>
  <c r="P91" i="9"/>
  <c r="K23" i="4"/>
  <c r="K50" i="9"/>
  <c r="P131" i="8"/>
  <c r="K22" i="3"/>
  <c r="R42" i="3"/>
  <c r="K143" i="6"/>
  <c r="R160" i="6"/>
  <c r="P117" i="8"/>
  <c r="P5" i="2"/>
  <c r="K97" i="6"/>
  <c r="K158" i="9"/>
  <c r="K160" i="6"/>
  <c r="K117" i="3"/>
  <c r="R136" i="4"/>
  <c r="K182" i="11"/>
  <c r="P20" i="2"/>
  <c r="R131" i="3"/>
  <c r="K108" i="4"/>
  <c r="K14" i="8"/>
  <c r="R72" i="2"/>
  <c r="K101" i="2"/>
  <c r="K126" i="2"/>
  <c r="K94" i="7"/>
  <c r="R30" i="11"/>
  <c r="P66" i="2"/>
  <c r="K18" i="3"/>
  <c r="K61" i="3"/>
  <c r="P117" i="2"/>
  <c r="P32" i="3"/>
  <c r="K75" i="3"/>
  <c r="K147" i="3"/>
  <c r="P18" i="3"/>
  <c r="P61" i="3"/>
  <c r="P133" i="3"/>
  <c r="P37" i="2"/>
  <c r="P65" i="5"/>
  <c r="P16" i="12"/>
  <c r="P198" i="3"/>
  <c r="P39" i="9"/>
  <c r="P40" i="9"/>
  <c r="K32" i="2"/>
  <c r="K119" i="3"/>
  <c r="P32" i="2"/>
  <c r="P119" i="3"/>
  <c r="P68" i="5"/>
  <c r="P75" i="3"/>
  <c r="P175" i="3"/>
  <c r="P42" i="6"/>
  <c r="P65" i="4"/>
  <c r="P130" i="4"/>
  <c r="P87" i="6"/>
  <c r="P135" i="12"/>
  <c r="P38" i="4"/>
  <c r="P22" i="2"/>
  <c r="P159" i="4"/>
  <c r="P84" i="6"/>
  <c r="P73" i="9"/>
  <c r="P66" i="12"/>
  <c r="P58" i="2"/>
  <c r="P164" i="3"/>
  <c r="P63" i="8"/>
  <c r="P91" i="10"/>
  <c r="P113" i="11"/>
  <c r="P145" i="2"/>
  <c r="P87" i="2"/>
  <c r="P43" i="3"/>
  <c r="P136" i="8"/>
  <c r="P158" i="3"/>
  <c r="P151" i="8"/>
  <c r="P183" i="3"/>
  <c r="P52" i="4"/>
  <c r="P182" i="4"/>
  <c r="P148" i="8"/>
  <c r="P101" i="6"/>
  <c r="P69" i="9"/>
  <c r="P112" i="11"/>
  <c r="P38" i="12"/>
  <c r="P100" i="2"/>
  <c r="P105" i="2"/>
  <c r="S137" i="2"/>
  <c r="S109" i="2"/>
  <c r="R26" i="1"/>
  <c r="U26" i="1" s="1"/>
  <c r="K117" i="2"/>
  <c r="P103" i="2"/>
  <c r="P131" i="2"/>
  <c r="R184" i="1"/>
  <c r="S184" i="1" s="1"/>
  <c r="S34" i="5" s="1"/>
  <c r="R192" i="1"/>
  <c r="S192" i="1" s="1"/>
  <c r="S121" i="3" s="1"/>
  <c r="R201" i="1"/>
  <c r="S201" i="1" s="1"/>
  <c r="T201" i="1"/>
  <c r="R214" i="1"/>
  <c r="R234" i="1"/>
  <c r="R244" i="1"/>
  <c r="S244" i="1" s="1"/>
  <c r="S34" i="12" s="1"/>
  <c r="R223" i="1"/>
  <c r="R185" i="1"/>
  <c r="R193" i="1"/>
  <c r="S193" i="1" s="1"/>
  <c r="S163" i="4" s="1"/>
  <c r="R202" i="1"/>
  <c r="R215" i="1"/>
  <c r="S215" i="1" s="1"/>
  <c r="S92" i="6" s="1"/>
  <c r="R227" i="1"/>
  <c r="R236" i="1"/>
  <c r="S236" i="1" s="1"/>
  <c r="R245" i="1"/>
  <c r="R242" i="1"/>
  <c r="S242" i="1" s="1"/>
  <c r="R212" i="1"/>
  <c r="R7" i="6" s="1"/>
  <c r="R186" i="1"/>
  <c r="S186" i="1" s="1"/>
  <c r="S119" i="2" s="1"/>
  <c r="R194" i="1"/>
  <c r="R228" i="1"/>
  <c r="S228" i="1" s="1"/>
  <c r="S64" i="6" s="1"/>
  <c r="R237" i="1"/>
  <c r="R247" i="1"/>
  <c r="S247" i="1" s="1"/>
  <c r="S118" i="12" s="1"/>
  <c r="R191" i="1"/>
  <c r="R180" i="1"/>
  <c r="S180" i="1" s="1"/>
  <c r="S77" i="3" s="1"/>
  <c r="K135" i="3"/>
  <c r="R196" i="1"/>
  <c r="R206" i="1"/>
  <c r="S206" i="1" s="1"/>
  <c r="S146" i="11" s="1"/>
  <c r="R218" i="1"/>
  <c r="S218" i="1" s="1"/>
  <c r="S34" i="10" s="1"/>
  <c r="R181" i="1"/>
  <c r="S181" i="1" s="1"/>
  <c r="S164" i="9" s="1"/>
  <c r="R199" i="1"/>
  <c r="R197" i="1"/>
  <c r="S197" i="1" s="1"/>
  <c r="S151" i="6" s="1"/>
  <c r="R207" i="1"/>
  <c r="R220" i="1"/>
  <c r="S220" i="1" s="1"/>
  <c r="R239" i="1"/>
  <c r="S239" i="1" s="1"/>
  <c r="K62" i="12"/>
  <c r="R210" i="1"/>
  <c r="S210" i="1" s="1"/>
  <c r="K72" i="12"/>
  <c r="R198" i="1"/>
  <c r="R35" i="4" s="1"/>
  <c r="R208" i="1"/>
  <c r="S208" i="1" s="1"/>
  <c r="R231" i="1"/>
  <c r="S231" i="1" s="1"/>
  <c r="R250" i="1"/>
  <c r="U250" i="1" s="1"/>
  <c r="T200" i="1"/>
  <c r="R189" i="1"/>
  <c r="S189" i="1" s="1"/>
  <c r="T189" i="1"/>
  <c r="K91" i="3"/>
  <c r="R204" i="1"/>
  <c r="S204" i="1" s="1"/>
  <c r="T204" i="1"/>
  <c r="T19" i="9"/>
  <c r="K16" i="7"/>
  <c r="R192" i="3"/>
  <c r="R144" i="4"/>
  <c r="K85" i="10"/>
  <c r="K26" i="11"/>
  <c r="K45" i="7"/>
  <c r="K68" i="5"/>
  <c r="K114" i="5"/>
  <c r="K107" i="8"/>
  <c r="K22" i="11"/>
  <c r="K7" i="5"/>
  <c r="K74" i="7"/>
  <c r="K122" i="9"/>
  <c r="K153" i="3"/>
  <c r="K37" i="3"/>
  <c r="K58" i="4"/>
  <c r="K144" i="4"/>
  <c r="K187" i="4"/>
  <c r="K98" i="7"/>
  <c r="K41" i="9"/>
  <c r="K68" i="9"/>
  <c r="K102" i="9"/>
  <c r="K127" i="9"/>
  <c r="K7" i="10"/>
  <c r="K35" i="10"/>
  <c r="K19" i="11"/>
  <c r="R65" i="11"/>
  <c r="K127" i="11"/>
  <c r="K142" i="11"/>
  <c r="K189" i="11"/>
  <c r="R59" i="4"/>
  <c r="K66" i="3"/>
  <c r="K149" i="3"/>
  <c r="K183" i="3"/>
  <c r="K192" i="3"/>
  <c r="K8" i="5"/>
  <c r="P91" i="6"/>
  <c r="R39" i="7"/>
  <c r="K100" i="7"/>
  <c r="K113" i="8"/>
  <c r="K44" i="9"/>
  <c r="K69" i="9"/>
  <c r="K123" i="9"/>
  <c r="K86" i="10"/>
  <c r="K118" i="10"/>
  <c r="K120" i="12"/>
  <c r="K124" i="2"/>
  <c r="K27" i="3"/>
  <c r="K16" i="5"/>
  <c r="K26" i="5"/>
  <c r="K29" i="5"/>
  <c r="K59" i="4"/>
  <c r="K109" i="6"/>
  <c r="K124" i="6"/>
  <c r="R150" i="8"/>
  <c r="K166" i="9"/>
  <c r="R29" i="10"/>
  <c r="K13" i="11"/>
  <c r="K41" i="11"/>
  <c r="K65" i="11"/>
  <c r="K127" i="3"/>
  <c r="K21" i="5"/>
  <c r="K125" i="3"/>
  <c r="R21" i="3"/>
  <c r="K30" i="3"/>
  <c r="K78" i="6"/>
  <c r="K39" i="7"/>
  <c r="R73" i="7"/>
  <c r="K93" i="8"/>
  <c r="R94" i="8"/>
  <c r="K127" i="8"/>
  <c r="P47" i="10"/>
  <c r="K72" i="10"/>
  <c r="R114" i="11"/>
  <c r="K56" i="3"/>
  <c r="K114" i="2"/>
  <c r="K121" i="2"/>
  <c r="S73" i="7"/>
  <c r="K150" i="8"/>
  <c r="K137" i="9"/>
  <c r="K29" i="10"/>
  <c r="R51" i="11"/>
  <c r="K105" i="11"/>
  <c r="R141" i="11"/>
  <c r="K13" i="12"/>
  <c r="K98" i="3"/>
  <c r="K78" i="5"/>
  <c r="K127" i="5"/>
  <c r="K40" i="4"/>
  <c r="K140" i="4"/>
  <c r="R24" i="6"/>
  <c r="K15" i="7"/>
  <c r="R16" i="7"/>
  <c r="K73" i="7"/>
  <c r="R74" i="7"/>
  <c r="K94" i="8"/>
  <c r="K106" i="8"/>
  <c r="K170" i="9"/>
  <c r="R85" i="10"/>
  <c r="K21" i="11"/>
  <c r="R22" i="11"/>
  <c r="K114" i="11"/>
  <c r="K6" i="12"/>
  <c r="P131" i="12"/>
  <c r="K152" i="2"/>
  <c r="K156" i="2"/>
  <c r="K21" i="3"/>
  <c r="K52" i="4"/>
  <c r="R58" i="4"/>
  <c r="K163" i="4"/>
  <c r="K166" i="4"/>
  <c r="R187" i="4"/>
  <c r="K50" i="8"/>
  <c r="K39" i="9"/>
  <c r="K51" i="11"/>
  <c r="R127" i="11"/>
  <c r="K132" i="11"/>
  <c r="K138" i="11"/>
  <c r="K141" i="11"/>
  <c r="R142" i="11"/>
  <c r="R189" i="11"/>
  <c r="K153" i="12"/>
  <c r="K23" i="12"/>
  <c r="T159" i="10"/>
  <c r="T33" i="12"/>
  <c r="T173" i="12"/>
  <c r="T146" i="2"/>
  <c r="P14" i="2"/>
  <c r="R29" i="2"/>
  <c r="P106" i="3"/>
  <c r="P123" i="3"/>
  <c r="P154" i="3"/>
  <c r="P173" i="3"/>
  <c r="P15" i="5"/>
  <c r="P36" i="4"/>
  <c r="P56" i="4"/>
  <c r="P22" i="7"/>
  <c r="P23" i="7"/>
  <c r="P97" i="7"/>
  <c r="K170" i="8"/>
  <c r="P22" i="10"/>
  <c r="P30" i="10"/>
  <c r="K44" i="10"/>
  <c r="R44" i="11"/>
  <c r="P52" i="11"/>
  <c r="P53" i="11"/>
  <c r="K122" i="11"/>
  <c r="P7" i="2"/>
  <c r="P16" i="2"/>
  <c r="P7" i="3"/>
  <c r="P170" i="3"/>
  <c r="P64" i="5"/>
  <c r="P131" i="5"/>
  <c r="P15" i="4"/>
  <c r="P165" i="4"/>
  <c r="P30" i="6"/>
  <c r="P53" i="6"/>
  <c r="P69" i="6"/>
  <c r="P70" i="6"/>
  <c r="P85" i="6"/>
  <c r="P86" i="6"/>
  <c r="P88" i="6"/>
  <c r="P92" i="6"/>
  <c r="P126" i="8"/>
  <c r="P123" i="9"/>
  <c r="P15" i="10"/>
  <c r="P55" i="10"/>
  <c r="P84" i="10"/>
  <c r="P160" i="10"/>
  <c r="P58" i="11"/>
  <c r="P138" i="11"/>
  <c r="P7" i="12"/>
  <c r="P55" i="2"/>
  <c r="P84" i="5"/>
  <c r="P108" i="6"/>
  <c r="K132" i="6"/>
  <c r="P39" i="7"/>
  <c r="P132" i="8"/>
  <c r="K44" i="11"/>
  <c r="P125" i="11"/>
  <c r="P14" i="12"/>
  <c r="K114" i="12"/>
  <c r="P44" i="5"/>
  <c r="P62" i="4"/>
  <c r="P20" i="7"/>
  <c r="P44" i="8"/>
  <c r="K156" i="8"/>
  <c r="P7" i="11"/>
  <c r="P99" i="11"/>
  <c r="P49" i="3"/>
  <c r="K172" i="3"/>
  <c r="P87" i="3"/>
  <c r="K31" i="4"/>
  <c r="R173" i="4"/>
  <c r="P161" i="8"/>
  <c r="P83" i="9"/>
  <c r="P192" i="3"/>
  <c r="K173" i="4"/>
  <c r="K146" i="6"/>
  <c r="P85" i="8"/>
  <c r="P51" i="11"/>
  <c r="K128" i="10"/>
  <c r="K85" i="11"/>
  <c r="K100" i="11"/>
  <c r="K128" i="12"/>
  <c r="R151" i="1"/>
  <c r="S151" i="1" s="1"/>
  <c r="S47" i="10" s="1"/>
  <c r="T151" i="1"/>
  <c r="R152" i="1"/>
  <c r="S152" i="1" s="1"/>
  <c r="S33" i="9" s="1"/>
  <c r="T152" i="1"/>
  <c r="R169" i="1"/>
  <c r="S169" i="1" s="1"/>
  <c r="T169" i="1"/>
  <c r="R143" i="1"/>
  <c r="T143" i="1"/>
  <c r="R171" i="1"/>
  <c r="S171" i="1" s="1"/>
  <c r="S145" i="12" s="1"/>
  <c r="T171" i="1"/>
  <c r="T190" i="4"/>
  <c r="T123" i="1"/>
  <c r="K6" i="4"/>
  <c r="R173" i="1"/>
  <c r="S173" i="1" s="1"/>
  <c r="S75" i="12" s="1"/>
  <c r="T173" i="1"/>
  <c r="K34" i="4"/>
  <c r="T116" i="1"/>
  <c r="R177" i="1"/>
  <c r="S177" i="1" s="1"/>
  <c r="T177" i="1"/>
  <c r="K62" i="4"/>
  <c r="T117" i="1"/>
  <c r="R127" i="1"/>
  <c r="R47" i="5" s="1"/>
  <c r="T127" i="1"/>
  <c r="R178" i="1"/>
  <c r="R5" i="11" s="1"/>
  <c r="T119" i="9"/>
  <c r="R120" i="1"/>
  <c r="S120" i="1" s="1"/>
  <c r="T120" i="1"/>
  <c r="R121" i="1"/>
  <c r="S121" i="1" s="1"/>
  <c r="S33" i="3" s="1"/>
  <c r="T121" i="1"/>
  <c r="R132" i="1"/>
  <c r="T132" i="1"/>
  <c r="P184" i="11"/>
  <c r="R141" i="1"/>
  <c r="T141" i="1"/>
  <c r="S153" i="1"/>
  <c r="S75" i="10" s="1"/>
  <c r="U153" i="1"/>
  <c r="S161" i="1"/>
  <c r="S89" i="10" s="1"/>
  <c r="S129" i="1"/>
  <c r="S128" i="1"/>
  <c r="S89" i="8" s="1"/>
  <c r="U128" i="1"/>
  <c r="S133" i="1"/>
  <c r="S33" i="5" s="1"/>
  <c r="U133" i="1"/>
  <c r="S159" i="1"/>
  <c r="S33" i="10" s="1"/>
  <c r="S138" i="1"/>
  <c r="S48" i="4" s="1"/>
  <c r="U138" i="1"/>
  <c r="K118" i="12"/>
  <c r="S144" i="1"/>
  <c r="S75" i="11" s="1"/>
  <c r="U144" i="1"/>
  <c r="S145" i="1"/>
  <c r="S19" i="8" s="1"/>
  <c r="U145" i="1"/>
  <c r="S148" i="1"/>
  <c r="S131" i="11" s="1"/>
  <c r="U148" i="1"/>
  <c r="R122" i="1"/>
  <c r="S122" i="1" s="1"/>
  <c r="T122" i="1"/>
  <c r="S140" i="1"/>
  <c r="S5" i="7" s="1"/>
  <c r="U140" i="1"/>
  <c r="S166" i="1"/>
  <c r="S106" i="3" s="1"/>
  <c r="U166" i="1"/>
  <c r="S179" i="1"/>
  <c r="S188" i="12" s="1"/>
  <c r="U179" i="1"/>
  <c r="U99" i="1"/>
  <c r="R84" i="1"/>
  <c r="K147" i="9"/>
  <c r="K167" i="10"/>
  <c r="R150" i="4"/>
  <c r="K95" i="4"/>
  <c r="K58" i="3"/>
  <c r="K142" i="3"/>
  <c r="K141" i="2"/>
  <c r="K147" i="10"/>
  <c r="P100" i="10"/>
  <c r="K123" i="3"/>
  <c r="K114" i="4"/>
  <c r="P140" i="4"/>
  <c r="R101" i="2"/>
  <c r="P148" i="2"/>
  <c r="P152" i="2"/>
  <c r="P98" i="3"/>
  <c r="R117" i="3"/>
  <c r="K140" i="3"/>
  <c r="P22" i="5"/>
  <c r="K27" i="5"/>
  <c r="P21" i="4"/>
  <c r="P25" i="4"/>
  <c r="K71" i="4"/>
  <c r="P191" i="4"/>
  <c r="R108" i="6"/>
  <c r="K123" i="6"/>
  <c r="K154" i="6"/>
  <c r="P160" i="6"/>
  <c r="K38" i="7"/>
  <c r="P72" i="7"/>
  <c r="K5" i="9"/>
  <c r="R21" i="9"/>
  <c r="P95" i="9"/>
  <c r="K41" i="10"/>
  <c r="P36" i="11"/>
  <c r="R61" i="11"/>
  <c r="P70" i="11"/>
  <c r="K170" i="11"/>
  <c r="R72" i="12"/>
  <c r="K6" i="9"/>
  <c r="K105" i="2"/>
  <c r="K126" i="5"/>
  <c r="P13" i="4"/>
  <c r="K35" i="4"/>
  <c r="P30" i="2"/>
  <c r="K85" i="2"/>
  <c r="K97" i="2"/>
  <c r="K70" i="3"/>
  <c r="K73" i="3"/>
  <c r="P101" i="3"/>
  <c r="P171" i="3"/>
  <c r="P37" i="5"/>
  <c r="K44" i="4"/>
  <c r="R192" i="4"/>
  <c r="P31" i="6"/>
  <c r="R45" i="6"/>
  <c r="K108" i="6"/>
  <c r="K135" i="6"/>
  <c r="P15" i="8"/>
  <c r="K39" i="8"/>
  <c r="P78" i="8"/>
  <c r="P114" i="8"/>
  <c r="K139" i="8"/>
  <c r="K21" i="9"/>
  <c r="K62" i="9"/>
  <c r="P106" i="9"/>
  <c r="K144" i="9"/>
  <c r="P50" i="10"/>
  <c r="P138" i="10"/>
  <c r="P150" i="10"/>
  <c r="P156" i="10"/>
  <c r="P11" i="11"/>
  <c r="K61" i="11"/>
  <c r="P77" i="11"/>
  <c r="P162" i="11"/>
  <c r="K181" i="11"/>
  <c r="P56" i="12"/>
  <c r="P64" i="6"/>
  <c r="P100" i="6"/>
  <c r="P78" i="7"/>
  <c r="P98" i="7"/>
  <c r="K114" i="8"/>
  <c r="K128" i="8"/>
  <c r="P41" i="9"/>
  <c r="K47" i="10"/>
  <c r="K98" i="10"/>
  <c r="K111" i="10"/>
  <c r="P121" i="10"/>
  <c r="K140" i="10"/>
  <c r="K148" i="10"/>
  <c r="K30" i="11"/>
  <c r="P138" i="12"/>
  <c r="P176" i="12"/>
  <c r="K72" i="2"/>
  <c r="R49" i="2"/>
  <c r="P84" i="2"/>
  <c r="K106" i="3"/>
  <c r="K131" i="3"/>
  <c r="K184" i="3"/>
  <c r="K39" i="5"/>
  <c r="P11" i="6"/>
  <c r="R79" i="6"/>
  <c r="R102" i="6"/>
  <c r="P123" i="6"/>
  <c r="K5" i="7"/>
  <c r="K84" i="8"/>
  <c r="K110" i="8"/>
  <c r="K71" i="9"/>
  <c r="K88" i="9"/>
  <c r="P119" i="9"/>
  <c r="K23" i="10"/>
  <c r="S123" i="11"/>
  <c r="K90" i="12"/>
  <c r="K131" i="12"/>
  <c r="P174" i="12"/>
  <c r="K196" i="12"/>
  <c r="R106" i="3"/>
  <c r="K51" i="5"/>
  <c r="R115" i="4"/>
  <c r="P157" i="4"/>
  <c r="K58" i="2"/>
  <c r="K153" i="2"/>
  <c r="R185" i="3"/>
  <c r="K82" i="3"/>
  <c r="K11" i="5"/>
  <c r="P103" i="5"/>
  <c r="P123" i="5"/>
  <c r="P125" i="5"/>
  <c r="K83" i="4"/>
  <c r="K99" i="6"/>
  <c r="P106" i="6"/>
  <c r="P68" i="7"/>
  <c r="K12" i="8"/>
  <c r="P37" i="8"/>
  <c r="K55" i="8"/>
  <c r="P82" i="8"/>
  <c r="P112" i="8"/>
  <c r="K132" i="8"/>
  <c r="P115" i="9"/>
  <c r="P142" i="9"/>
  <c r="K54" i="10"/>
  <c r="K120" i="10"/>
  <c r="R126" i="10"/>
  <c r="K167" i="11"/>
  <c r="R168" i="11"/>
  <c r="K26" i="12"/>
  <c r="K52" i="11"/>
  <c r="K15" i="2"/>
  <c r="K42" i="3"/>
  <c r="K47" i="5"/>
  <c r="K112" i="2"/>
  <c r="P120" i="2"/>
  <c r="R73" i="3"/>
  <c r="K185" i="3"/>
  <c r="K20" i="5"/>
  <c r="K42" i="5"/>
  <c r="K139" i="5"/>
  <c r="K69" i="4"/>
  <c r="R123" i="6"/>
  <c r="R135" i="6"/>
  <c r="K26" i="10"/>
  <c r="K56" i="11"/>
  <c r="P125" i="12"/>
  <c r="K69" i="2"/>
  <c r="K78" i="3"/>
  <c r="R49" i="5"/>
  <c r="P51" i="5"/>
  <c r="R86" i="6"/>
  <c r="R71" i="10"/>
  <c r="K21" i="2"/>
  <c r="K22" i="2"/>
  <c r="K135" i="8"/>
  <c r="K83" i="11"/>
  <c r="K10" i="5"/>
  <c r="P131" i="4"/>
  <c r="K169" i="3"/>
  <c r="K191" i="3"/>
  <c r="K70" i="4"/>
  <c r="K97" i="8"/>
  <c r="R77" i="11"/>
  <c r="K111" i="11"/>
  <c r="K13" i="2"/>
  <c r="K14" i="2"/>
  <c r="K54" i="2"/>
  <c r="K162" i="3"/>
  <c r="R63" i="5"/>
  <c r="R61" i="8"/>
  <c r="K43" i="9"/>
  <c r="K77" i="11"/>
  <c r="P46" i="2"/>
  <c r="R71" i="1"/>
  <c r="R62" i="7" s="1"/>
  <c r="T71" i="1"/>
  <c r="T33" i="1"/>
  <c r="T51" i="1"/>
  <c r="R73" i="1"/>
  <c r="R4" i="7" s="1"/>
  <c r="T73" i="1"/>
  <c r="R91" i="1"/>
  <c r="R74" i="10" s="1"/>
  <c r="T91" i="1"/>
  <c r="T16" i="1"/>
  <c r="R21" i="1"/>
  <c r="T21" i="1"/>
  <c r="P43" i="2"/>
  <c r="P57" i="3"/>
  <c r="K168" i="3"/>
  <c r="K180" i="3"/>
  <c r="K86" i="3"/>
  <c r="K19" i="5"/>
  <c r="K57" i="5"/>
  <c r="P91" i="5"/>
  <c r="P6" i="4"/>
  <c r="R87" i="4"/>
  <c r="P16" i="6"/>
  <c r="P17" i="6"/>
  <c r="P115" i="6"/>
  <c r="K139" i="6"/>
  <c r="P29" i="8"/>
  <c r="P56" i="8"/>
  <c r="P146" i="8"/>
  <c r="K42" i="9"/>
  <c r="K52" i="9"/>
  <c r="R91" i="10"/>
  <c r="P29" i="12"/>
  <c r="K140" i="12"/>
  <c r="T18" i="1"/>
  <c r="P6" i="2"/>
  <c r="K157" i="2"/>
  <c r="K15" i="3"/>
  <c r="P59" i="3"/>
  <c r="R130" i="3"/>
  <c r="P20" i="3"/>
  <c r="R112" i="5"/>
  <c r="K43" i="4"/>
  <c r="P73" i="4"/>
  <c r="P192" i="4"/>
  <c r="P27" i="6"/>
  <c r="P50" i="7"/>
  <c r="K143" i="9"/>
  <c r="K91" i="10"/>
  <c r="R147" i="10"/>
  <c r="K121" i="11"/>
  <c r="R123" i="11"/>
  <c r="K151" i="11"/>
  <c r="K168" i="12"/>
  <c r="P194" i="12"/>
  <c r="T22" i="1"/>
  <c r="K82" i="2"/>
  <c r="P96" i="2"/>
  <c r="P155" i="2"/>
  <c r="K130" i="3"/>
  <c r="P190" i="3"/>
  <c r="K28" i="3"/>
  <c r="K6" i="5"/>
  <c r="R53" i="4"/>
  <c r="P54" i="4"/>
  <c r="P115" i="4"/>
  <c r="P183" i="4"/>
  <c r="K97" i="7"/>
  <c r="K102" i="7"/>
  <c r="R30" i="8"/>
  <c r="K148" i="8"/>
  <c r="P25" i="9"/>
  <c r="K155" i="9"/>
  <c r="P25" i="10"/>
  <c r="P57" i="10"/>
  <c r="K94" i="10"/>
  <c r="K126" i="10"/>
  <c r="K123" i="11"/>
  <c r="K168" i="11"/>
  <c r="K48" i="12"/>
  <c r="K23" i="2"/>
  <c r="K108" i="2"/>
  <c r="K125" i="2"/>
  <c r="P69" i="3"/>
  <c r="R138" i="3"/>
  <c r="K20" i="3"/>
  <c r="P8" i="5"/>
  <c r="K92" i="5"/>
  <c r="K53" i="4"/>
  <c r="P128" i="4"/>
  <c r="R17" i="7"/>
  <c r="K30" i="8"/>
  <c r="K67" i="8"/>
  <c r="K34" i="9"/>
  <c r="P114" i="9"/>
  <c r="P116" i="9"/>
  <c r="P125" i="9"/>
  <c r="P197" i="11"/>
  <c r="T7" i="1"/>
  <c r="R19" i="1"/>
  <c r="P27" i="3"/>
  <c r="R25" i="4"/>
  <c r="P134" i="4"/>
  <c r="R14" i="7"/>
  <c r="K17" i="7"/>
  <c r="S17" i="7"/>
  <c r="P72" i="8"/>
  <c r="P57" i="9"/>
  <c r="P79" i="9"/>
  <c r="K124" i="9"/>
  <c r="R14" i="10"/>
  <c r="K113" i="10"/>
  <c r="K163" i="11"/>
  <c r="R108" i="12"/>
  <c r="R35" i="2"/>
  <c r="R87" i="2"/>
  <c r="K68" i="3"/>
  <c r="K138" i="3"/>
  <c r="K145" i="3"/>
  <c r="R180" i="3"/>
  <c r="R86" i="3"/>
  <c r="K141" i="5"/>
  <c r="K25" i="4"/>
  <c r="P29" i="4"/>
  <c r="K35" i="6"/>
  <c r="K14" i="7"/>
  <c r="K93" i="7"/>
  <c r="P6" i="8"/>
  <c r="K79" i="8"/>
  <c r="K72" i="9"/>
  <c r="R172" i="9"/>
  <c r="K14" i="10"/>
  <c r="K127" i="10"/>
  <c r="R38" i="12"/>
  <c r="K108" i="12"/>
  <c r="T31" i="1"/>
  <c r="P18" i="2"/>
  <c r="K87" i="2"/>
  <c r="K101" i="3"/>
  <c r="K85" i="3"/>
  <c r="K64" i="5"/>
  <c r="K100" i="4"/>
  <c r="R159" i="4"/>
  <c r="K23" i="7"/>
  <c r="P34" i="8"/>
  <c r="K163" i="8"/>
  <c r="R42" i="9"/>
  <c r="K169" i="9"/>
  <c r="K172" i="9"/>
  <c r="P93" i="10"/>
  <c r="K149" i="10"/>
  <c r="K160" i="10"/>
  <c r="K94" i="11"/>
  <c r="R151" i="11"/>
  <c r="K38" i="12"/>
  <c r="K161" i="11"/>
  <c r="K148" i="2"/>
  <c r="K52" i="3"/>
  <c r="R28" i="5"/>
  <c r="K49" i="5"/>
  <c r="K85" i="5"/>
  <c r="K86" i="6"/>
  <c r="R106" i="6"/>
  <c r="K42" i="7"/>
  <c r="K50" i="7"/>
  <c r="P102" i="7"/>
  <c r="K134" i="9"/>
  <c r="R141" i="10"/>
  <c r="R169" i="11"/>
  <c r="R196" i="11"/>
  <c r="K124" i="3"/>
  <c r="K186" i="3"/>
  <c r="K28" i="5"/>
  <c r="K63" i="5"/>
  <c r="K106" i="6"/>
  <c r="R9" i="8"/>
  <c r="K27" i="8"/>
  <c r="K71" i="10"/>
  <c r="K183" i="11"/>
  <c r="K83" i="12"/>
  <c r="P122" i="3"/>
  <c r="K156" i="3"/>
  <c r="K71" i="5"/>
  <c r="K124" i="5"/>
  <c r="K15" i="4"/>
  <c r="K30" i="4"/>
  <c r="K9" i="8"/>
  <c r="K27" i="10"/>
  <c r="K110" i="10"/>
  <c r="K141" i="10"/>
  <c r="K169" i="11"/>
  <c r="K196" i="11"/>
  <c r="K111" i="2"/>
  <c r="K149" i="2"/>
  <c r="K12" i="5"/>
  <c r="K22" i="4"/>
  <c r="K15" i="9"/>
  <c r="K40" i="11"/>
  <c r="K82" i="11"/>
  <c r="R84" i="5"/>
  <c r="R48" i="4"/>
  <c r="R124" i="4"/>
  <c r="R159" i="6"/>
  <c r="K59" i="7"/>
  <c r="K136" i="5"/>
  <c r="R14" i="2"/>
  <c r="P64" i="2"/>
  <c r="K106" i="2"/>
  <c r="R141" i="2"/>
  <c r="K12" i="3"/>
  <c r="K97" i="3"/>
  <c r="K84" i="5"/>
  <c r="K11" i="4"/>
  <c r="K48" i="4"/>
  <c r="K86" i="4"/>
  <c r="K171" i="4"/>
  <c r="K184" i="4"/>
  <c r="R194" i="4"/>
  <c r="K159" i="6"/>
  <c r="K12" i="10"/>
  <c r="K125" i="10"/>
  <c r="R161" i="11"/>
  <c r="R43" i="11"/>
  <c r="K56" i="2"/>
  <c r="R186" i="4"/>
  <c r="K128" i="9"/>
  <c r="S43" i="11"/>
  <c r="R150" i="9"/>
  <c r="K43" i="11"/>
  <c r="K29" i="9"/>
  <c r="R128" i="2"/>
  <c r="R72" i="7"/>
  <c r="K47" i="9"/>
  <c r="R173" i="9"/>
  <c r="K49" i="3"/>
  <c r="R196" i="3"/>
  <c r="K72" i="7"/>
  <c r="K36" i="8"/>
  <c r="K70" i="8"/>
  <c r="R85" i="11"/>
  <c r="R99" i="4"/>
  <c r="R158" i="4"/>
  <c r="R29" i="9"/>
  <c r="R57" i="11"/>
  <c r="K53" i="2"/>
  <c r="R172" i="3"/>
  <c r="K29" i="2"/>
  <c r="K71" i="8"/>
  <c r="K169" i="8"/>
  <c r="K34" i="12"/>
  <c r="K105" i="12"/>
  <c r="S198" i="12"/>
  <c r="K139" i="12"/>
  <c r="P50" i="2"/>
  <c r="K146" i="8"/>
  <c r="K8" i="10"/>
  <c r="K112" i="11"/>
  <c r="K100" i="3"/>
  <c r="P36" i="10"/>
  <c r="R131" i="5"/>
  <c r="P8" i="8"/>
  <c r="P33" i="9"/>
  <c r="P43" i="9"/>
  <c r="P13" i="10"/>
  <c r="P27" i="12"/>
  <c r="P58" i="3"/>
  <c r="K64" i="3"/>
  <c r="K128" i="3"/>
  <c r="P70" i="5"/>
  <c r="P114" i="5"/>
  <c r="K26" i="2"/>
  <c r="K113" i="5"/>
  <c r="R84" i="10"/>
  <c r="K66" i="12"/>
  <c r="R42" i="10"/>
  <c r="P114" i="11"/>
  <c r="P109" i="3"/>
  <c r="P134" i="3"/>
  <c r="P138" i="3"/>
  <c r="P41" i="3"/>
  <c r="K14" i="5"/>
  <c r="P49" i="5"/>
  <c r="K131" i="5"/>
  <c r="P28" i="4"/>
  <c r="P109" i="4"/>
  <c r="K177" i="4"/>
  <c r="P14" i="8"/>
  <c r="K81" i="8"/>
  <c r="K159" i="8"/>
  <c r="K42" i="10"/>
  <c r="K84" i="10"/>
  <c r="K95" i="11"/>
  <c r="R57" i="12"/>
  <c r="P156" i="12"/>
  <c r="K198" i="12"/>
  <c r="K7" i="2"/>
  <c r="K33" i="2"/>
  <c r="P71" i="3"/>
  <c r="K22" i="5"/>
  <c r="K54" i="5"/>
  <c r="P94" i="5"/>
  <c r="K66" i="7"/>
  <c r="P92" i="7"/>
  <c r="K49" i="8"/>
  <c r="K77" i="8"/>
  <c r="P70" i="9"/>
  <c r="P24" i="11"/>
  <c r="R36" i="11"/>
  <c r="K48" i="11"/>
  <c r="P163" i="3"/>
  <c r="R33" i="5"/>
  <c r="P96" i="5"/>
  <c r="P104" i="5"/>
  <c r="P92" i="4"/>
  <c r="P9" i="6"/>
  <c r="K122" i="6"/>
  <c r="P16" i="7"/>
  <c r="P93" i="7"/>
  <c r="K168" i="8"/>
  <c r="P44" i="9"/>
  <c r="P71" i="9"/>
  <c r="K10" i="10"/>
  <c r="P40" i="10"/>
  <c r="P86" i="10"/>
  <c r="K36" i="11"/>
  <c r="R50" i="11"/>
  <c r="K162" i="11"/>
  <c r="P163" i="11"/>
  <c r="P182" i="11"/>
  <c r="K57" i="12"/>
  <c r="P28" i="2"/>
  <c r="K67" i="2"/>
  <c r="P108" i="2"/>
  <c r="K7" i="3"/>
  <c r="K50" i="3"/>
  <c r="P125" i="3"/>
  <c r="K24" i="5"/>
  <c r="K33" i="5"/>
  <c r="P111" i="5"/>
  <c r="K37" i="4"/>
  <c r="K65" i="4"/>
  <c r="P151" i="4"/>
  <c r="K153" i="6"/>
  <c r="P154" i="6"/>
  <c r="K68" i="7"/>
  <c r="R19" i="8"/>
  <c r="K78" i="8"/>
  <c r="K126" i="8"/>
  <c r="P98" i="10"/>
  <c r="K150" i="10"/>
  <c r="K50" i="11"/>
  <c r="R98" i="11"/>
  <c r="K119" i="2"/>
  <c r="K5" i="3"/>
  <c r="P105" i="4"/>
  <c r="P106" i="4"/>
  <c r="P185" i="4"/>
  <c r="K92" i="6"/>
  <c r="P13" i="7"/>
  <c r="P89" i="8"/>
  <c r="R164" i="8"/>
  <c r="P22" i="9"/>
  <c r="P89" i="10"/>
  <c r="K98" i="11"/>
  <c r="P183" i="12"/>
  <c r="K138" i="2"/>
  <c r="K110" i="3"/>
  <c r="K36" i="2"/>
  <c r="P59" i="4"/>
  <c r="K19" i="8"/>
  <c r="K25" i="8"/>
  <c r="K52" i="8"/>
  <c r="R136" i="8"/>
  <c r="K164" i="8"/>
  <c r="K97" i="9"/>
  <c r="P117" i="12"/>
  <c r="K107" i="2"/>
  <c r="K36" i="5"/>
  <c r="P75" i="8"/>
  <c r="K136" i="8"/>
  <c r="R159" i="8"/>
  <c r="K53" i="9"/>
  <c r="K92" i="9"/>
  <c r="K50" i="10"/>
  <c r="K81" i="11"/>
  <c r="R112" i="11"/>
  <c r="K193" i="12"/>
  <c r="R198" i="12"/>
  <c r="R14" i="1"/>
  <c r="R33" i="7" s="1"/>
  <c r="T14" i="1"/>
  <c r="K190" i="3"/>
  <c r="K49" i="4"/>
  <c r="K21" i="7"/>
  <c r="K63" i="8"/>
  <c r="K123" i="10"/>
  <c r="R71" i="3"/>
  <c r="R53" i="7"/>
  <c r="K10" i="9"/>
  <c r="K4" i="4"/>
  <c r="T6" i="1"/>
  <c r="K5" i="4"/>
  <c r="K88" i="6"/>
  <c r="K28" i="2"/>
  <c r="K144" i="3"/>
  <c r="K84" i="4"/>
  <c r="R185" i="4"/>
  <c r="S488" i="17"/>
  <c r="S451" i="17"/>
  <c r="U488" i="17"/>
  <c r="U451" i="17"/>
  <c r="U336" i="17"/>
  <c r="U298" i="17"/>
  <c r="BQ15" i="17"/>
  <c r="U15" i="17"/>
  <c r="U317" i="17"/>
  <c r="S317" i="17"/>
  <c r="S15" i="17"/>
  <c r="W15" i="17"/>
  <c r="W317" i="17"/>
  <c r="R260" i="17"/>
  <c r="S224" i="15"/>
  <c r="S260" i="17" s="1"/>
  <c r="R280" i="17"/>
  <c r="S287" i="15"/>
  <c r="S302" i="17" s="1"/>
  <c r="R283" i="17"/>
  <c r="S210" i="15"/>
  <c r="S165" i="17" s="1"/>
  <c r="R472" i="17"/>
  <c r="R321" i="17"/>
  <c r="R302" i="17"/>
  <c r="R264" i="17"/>
  <c r="R204" i="17"/>
  <c r="R225" i="17"/>
  <c r="R339" i="17"/>
  <c r="R165" i="17"/>
  <c r="R492" i="17"/>
  <c r="R455" i="17"/>
  <c r="D196" i="15"/>
  <c r="D447" i="17"/>
  <c r="D239" i="17"/>
  <c r="C91" i="15"/>
  <c r="C498" i="17"/>
  <c r="C65" i="17"/>
  <c r="D484" i="17"/>
  <c r="D238" i="17"/>
  <c r="C101" i="15"/>
  <c r="C329" i="17"/>
  <c r="C158" i="17"/>
  <c r="C112" i="15"/>
  <c r="C462" i="17"/>
  <c r="C216" i="17"/>
  <c r="D89" i="17"/>
  <c r="D32" i="17"/>
  <c r="C597" i="17"/>
  <c r="C256" i="17"/>
  <c r="R190" i="17"/>
  <c r="C120" i="17"/>
  <c r="C46" i="17"/>
  <c r="C96" i="15"/>
  <c r="C461" i="17"/>
  <c r="C367" i="17"/>
  <c r="D175" i="15"/>
  <c r="D389" i="17"/>
  <c r="D598" i="17"/>
  <c r="D142" i="17"/>
  <c r="D123" i="17"/>
  <c r="R323" i="17"/>
  <c r="D197" i="15"/>
  <c r="D503" i="17"/>
  <c r="D428" i="17"/>
  <c r="C90" i="15"/>
  <c r="C215" i="17"/>
  <c r="C442" i="17"/>
  <c r="A213" i="15"/>
  <c r="A563" i="17"/>
  <c r="A146" i="17"/>
  <c r="C102" i="15"/>
  <c r="C480" i="17"/>
  <c r="C8" i="17"/>
  <c r="C100" i="15"/>
  <c r="C518" i="17"/>
  <c r="C84" i="17"/>
  <c r="C87" i="15"/>
  <c r="C328" i="17"/>
  <c r="C517" i="17"/>
  <c r="D173" i="15"/>
  <c r="D408" i="17"/>
  <c r="D257" i="17"/>
  <c r="C89" i="15"/>
  <c r="C253" i="17"/>
  <c r="C177" i="17"/>
  <c r="C94" i="15"/>
  <c r="C404" i="17"/>
  <c r="C196" i="17"/>
  <c r="C97" i="15"/>
  <c r="C556" i="17"/>
  <c r="C27" i="17"/>
  <c r="D194" i="15"/>
  <c r="D296" i="17"/>
  <c r="D277" i="17"/>
  <c r="C95" i="15"/>
  <c r="C537" i="17"/>
  <c r="C423" i="17"/>
  <c r="D172" i="15"/>
  <c r="D219" i="17"/>
  <c r="D200" i="17"/>
  <c r="C93" i="15"/>
  <c r="C385" i="17"/>
  <c r="C102" i="17"/>
  <c r="D191" i="15"/>
  <c r="D390" i="17"/>
  <c r="D70" i="17"/>
  <c r="C98" i="15"/>
  <c r="C575" i="17"/>
  <c r="C594" i="17"/>
  <c r="U113" i="17"/>
  <c r="R226" i="17"/>
  <c r="R377" i="17"/>
  <c r="S454" i="17"/>
  <c r="S265" i="17"/>
  <c r="S587" i="17"/>
  <c r="S170" i="17"/>
  <c r="U377" i="17"/>
  <c r="U226" i="17"/>
  <c r="U355" i="17"/>
  <c r="U378" i="17"/>
  <c r="U416" i="17"/>
  <c r="U266" i="17"/>
  <c r="U247" i="17"/>
  <c r="S78" i="17"/>
  <c r="S417" i="17"/>
  <c r="S94" i="17"/>
  <c r="S207" i="17"/>
  <c r="U607" i="17"/>
  <c r="U171" i="17"/>
  <c r="S108" i="17"/>
  <c r="S468" i="17"/>
  <c r="S72" i="17"/>
  <c r="S203" i="17"/>
  <c r="U530" i="17"/>
  <c r="U360" i="17"/>
  <c r="U129" i="17"/>
  <c r="S416" i="17"/>
  <c r="S378" i="17"/>
  <c r="S526" i="17"/>
  <c r="S374" i="17"/>
  <c r="S323" i="17"/>
  <c r="S190" i="17"/>
  <c r="S358" i="17"/>
  <c r="S414" i="17"/>
  <c r="S319" i="17"/>
  <c r="S375" i="17"/>
  <c r="U487" i="17"/>
  <c r="U583" i="17"/>
  <c r="U585" i="17"/>
  <c r="U320" i="17"/>
  <c r="U356" i="17"/>
  <c r="U318" i="17"/>
  <c r="U471" i="17"/>
  <c r="U206" i="17"/>
  <c r="S415" i="17"/>
  <c r="U491" i="17"/>
  <c r="U435" i="17"/>
  <c r="S266" i="17"/>
  <c r="S247" i="17"/>
  <c r="S75" i="17"/>
  <c r="S376" i="17"/>
  <c r="S73" i="17"/>
  <c r="S412" i="17"/>
  <c r="S283" i="17"/>
  <c r="S472" i="17"/>
  <c r="S452" i="17"/>
  <c r="S604" i="17"/>
  <c r="S491" i="17"/>
  <c r="S435" i="17"/>
  <c r="S304" i="17"/>
  <c r="S361" i="17"/>
  <c r="S261" i="17"/>
  <c r="S166" i="17"/>
  <c r="U108" i="17"/>
  <c r="U468" i="17"/>
  <c r="S469" i="17"/>
  <c r="S393" i="17"/>
  <c r="S583" i="17"/>
  <c r="S487" i="17"/>
  <c r="S111" i="17"/>
  <c r="S489" i="17"/>
  <c r="S377" i="17"/>
  <c r="S226" i="17"/>
  <c r="U323" i="17"/>
  <c r="U190" i="17"/>
  <c r="U21" i="17"/>
  <c r="U531" i="17"/>
  <c r="S19" i="17"/>
  <c r="S567" i="17"/>
  <c r="S37" i="17"/>
  <c r="S433" i="17"/>
  <c r="U547" i="17"/>
  <c r="U528" i="17"/>
  <c r="U411" i="17"/>
  <c r="U392" i="17"/>
  <c r="S127" i="17"/>
  <c r="S582" i="17"/>
  <c r="U606" i="17"/>
  <c r="U151" i="17"/>
  <c r="S93" i="17"/>
  <c r="S509" i="17"/>
  <c r="S130" i="17"/>
  <c r="S566" i="17"/>
  <c r="S606" i="17"/>
  <c r="S151" i="17"/>
  <c r="S301" i="17"/>
  <c r="S244" i="17"/>
  <c r="S34" i="17"/>
  <c r="S601" i="17"/>
  <c r="S360" i="17"/>
  <c r="S530" i="17"/>
  <c r="S547" i="17"/>
  <c r="S528" i="17"/>
  <c r="U473" i="17"/>
  <c r="U549" i="17"/>
  <c r="S359" i="17"/>
  <c r="S510" i="17"/>
  <c r="S586" i="17"/>
  <c r="S245" i="17"/>
  <c r="U111" i="17"/>
  <c r="U489" i="17"/>
  <c r="U302" i="17"/>
  <c r="U548" i="17"/>
  <c r="U54" i="17"/>
  <c r="U185" i="17"/>
  <c r="U94" i="17"/>
  <c r="U207" i="17"/>
  <c r="U512" i="17"/>
  <c r="U152" i="17"/>
  <c r="U341" i="17"/>
  <c r="U322" i="17"/>
  <c r="S53" i="17"/>
  <c r="S279" i="17"/>
  <c r="S100" i="17"/>
  <c r="S232" i="17"/>
  <c r="S607" i="17"/>
  <c r="S171" i="17"/>
  <c r="U75" i="17"/>
  <c r="U376" i="17"/>
  <c r="S284" i="17"/>
  <c r="S246" i="17"/>
  <c r="S549" i="17"/>
  <c r="S473" i="17"/>
  <c r="S147" i="17"/>
  <c r="S242" i="17"/>
  <c r="S585" i="17"/>
  <c r="S320" i="17"/>
  <c r="S40" i="17"/>
  <c r="S569" i="17"/>
  <c r="U452" i="17"/>
  <c r="U604" i="17"/>
  <c r="U340" i="17"/>
  <c r="U188" i="17"/>
  <c r="U397" i="17"/>
  <c r="U227" i="17"/>
  <c r="U342" i="17"/>
  <c r="U550" i="17"/>
  <c r="S114" i="17"/>
  <c r="S398" i="17"/>
  <c r="S58" i="17"/>
  <c r="S511" i="17"/>
  <c r="S56" i="17"/>
  <c r="S149" i="17"/>
  <c r="U492" i="17"/>
  <c r="U455" i="17"/>
  <c r="S96" i="17"/>
  <c r="S436" i="17"/>
  <c r="S17" i="17"/>
  <c r="S413" i="17"/>
  <c r="S109" i="17"/>
  <c r="S223" i="17"/>
  <c r="S303" i="17"/>
  <c r="S189" i="17"/>
  <c r="S474" i="17"/>
  <c r="S379" i="17"/>
  <c r="S322" i="17"/>
  <c r="S341" i="17"/>
  <c r="S340" i="17"/>
  <c r="S188" i="17"/>
  <c r="S146" i="17"/>
  <c r="S563" i="17"/>
  <c r="S512" i="17"/>
  <c r="S152" i="17"/>
  <c r="S357" i="17"/>
  <c r="S338" i="17"/>
  <c r="U361" i="17"/>
  <c r="U304" i="17"/>
  <c r="U394" i="17"/>
  <c r="U205" i="17"/>
  <c r="U300" i="17"/>
  <c r="U186" i="17"/>
  <c r="S18" i="17"/>
  <c r="S187" i="17"/>
  <c r="S342" i="17"/>
  <c r="S550" i="17"/>
  <c r="S21" i="17"/>
  <c r="S531" i="17"/>
  <c r="S95" i="17"/>
  <c r="S568" i="17"/>
  <c r="S336" i="17"/>
  <c r="U147" i="17"/>
  <c r="U242" i="17"/>
  <c r="S486" i="17"/>
  <c r="S222" i="17"/>
  <c r="S584" i="17"/>
  <c r="S281" i="17"/>
  <c r="S300" i="17"/>
  <c r="S186" i="17"/>
  <c r="S394" i="17"/>
  <c r="S205" i="17"/>
  <c r="S411" i="17"/>
  <c r="S392" i="17"/>
  <c r="S356" i="17"/>
  <c r="S318" i="17"/>
  <c r="S228" i="17"/>
  <c r="S209" i="17"/>
  <c r="U469" i="17"/>
  <c r="U393" i="17"/>
  <c r="S492" i="17"/>
  <c r="S455" i="17"/>
  <c r="U510" i="17"/>
  <c r="U359" i="17"/>
  <c r="U454" i="17"/>
  <c r="U265" i="17"/>
  <c r="S113" i="17"/>
  <c r="S208" i="17"/>
  <c r="S55" i="17"/>
  <c r="S508" i="17"/>
  <c r="S54" i="17"/>
  <c r="S185" i="17"/>
  <c r="U100" i="17"/>
  <c r="U232" i="17"/>
  <c r="U357" i="17"/>
  <c r="U338" i="17"/>
  <c r="S129" i="17"/>
  <c r="S148" i="17"/>
  <c r="U453" i="17"/>
  <c r="U396" i="17"/>
  <c r="U282" i="17"/>
  <c r="U168" i="17"/>
  <c r="U93" i="17"/>
  <c r="U509" i="17"/>
  <c r="U563" i="17"/>
  <c r="U146" i="17"/>
  <c r="U284" i="17"/>
  <c r="U246" i="17"/>
  <c r="U526" i="17"/>
  <c r="U374" i="17"/>
  <c r="S397" i="17"/>
  <c r="S227" i="17"/>
  <c r="S565" i="17"/>
  <c r="S527" i="17"/>
  <c r="S545" i="17"/>
  <c r="S337" i="17"/>
  <c r="S434" i="17"/>
  <c r="S150" i="17"/>
  <c r="S243" i="17"/>
  <c r="S167" i="17"/>
  <c r="U78" i="17"/>
  <c r="U417" i="17"/>
  <c r="S282" i="17"/>
  <c r="S168" i="17"/>
  <c r="S396" i="17"/>
  <c r="S453" i="17"/>
  <c r="S490" i="17"/>
  <c r="S169" i="17"/>
  <c r="S605" i="17"/>
  <c r="S529" i="17"/>
  <c r="U131" i="17"/>
  <c r="AC298" i="17"/>
  <c r="U17" i="17"/>
  <c r="S255" i="15"/>
  <c r="R92" i="17"/>
  <c r="U255" i="15"/>
  <c r="U546" i="17" s="1"/>
  <c r="S227" i="15"/>
  <c r="R35" i="17"/>
  <c r="U227" i="15"/>
  <c r="S64" i="17"/>
  <c r="S45" i="17"/>
  <c r="S291" i="15"/>
  <c r="R57" i="17"/>
  <c r="R38" i="17"/>
  <c r="U291" i="15"/>
  <c r="U95" i="17"/>
  <c r="S284" i="15"/>
  <c r="R112" i="17"/>
  <c r="R76" i="17"/>
  <c r="U284" i="15"/>
  <c r="U37" i="17"/>
  <c r="R77" i="17"/>
  <c r="R132" i="17"/>
  <c r="U20" i="17"/>
  <c r="U39" i="17"/>
  <c r="U18" i="17"/>
  <c r="U64" i="17"/>
  <c r="U45" i="17"/>
  <c r="U56" i="17"/>
  <c r="S128" i="17"/>
  <c r="S133" i="17"/>
  <c r="S59" i="17"/>
  <c r="S20" i="17"/>
  <c r="S39" i="17"/>
  <c r="S131" i="17"/>
  <c r="U72" i="17"/>
  <c r="AC451" i="17"/>
  <c r="K6" i="2"/>
  <c r="P129" i="2"/>
  <c r="K155" i="2"/>
  <c r="P156" i="2"/>
  <c r="K16" i="3"/>
  <c r="K157" i="3"/>
  <c r="K33" i="3"/>
  <c r="P142" i="5"/>
  <c r="K36" i="4"/>
  <c r="K178" i="4"/>
  <c r="K94" i="6"/>
  <c r="K111" i="6"/>
  <c r="K65" i="7"/>
  <c r="K94" i="9"/>
  <c r="K97" i="12"/>
  <c r="K121" i="12"/>
  <c r="K158" i="3"/>
  <c r="R200" i="3"/>
  <c r="P26" i="2"/>
  <c r="R53" i="3"/>
  <c r="K113" i="3"/>
  <c r="P28" i="3"/>
  <c r="P38" i="3"/>
  <c r="K49" i="7"/>
  <c r="P80" i="7"/>
  <c r="P66" i="8"/>
  <c r="K48" i="10"/>
  <c r="K24" i="3"/>
  <c r="K96" i="6"/>
  <c r="P132" i="6"/>
  <c r="P63" i="7"/>
  <c r="R80" i="7"/>
  <c r="K65" i="8"/>
  <c r="R64" i="9"/>
  <c r="K57" i="3"/>
  <c r="R79" i="5"/>
  <c r="K7" i="6"/>
  <c r="P40" i="2"/>
  <c r="P106" i="2"/>
  <c r="P133" i="2"/>
  <c r="K109" i="3"/>
  <c r="P165" i="3"/>
  <c r="P29" i="5"/>
  <c r="P134" i="5"/>
  <c r="P139" i="5"/>
  <c r="P23" i="4"/>
  <c r="R60" i="7"/>
  <c r="K80" i="7"/>
  <c r="K6" i="8"/>
  <c r="K54" i="9"/>
  <c r="K79" i="12"/>
  <c r="K110" i="12"/>
  <c r="K156" i="12"/>
  <c r="R169" i="12"/>
  <c r="P21" i="2"/>
  <c r="K120" i="2"/>
  <c r="K159" i="3"/>
  <c r="K13" i="5"/>
  <c r="K38" i="5"/>
  <c r="K66" i="5"/>
  <c r="P98" i="5"/>
  <c r="P118" i="5"/>
  <c r="K60" i="7"/>
  <c r="P170" i="8"/>
  <c r="K64" i="9"/>
  <c r="P61" i="2"/>
  <c r="P62" i="2"/>
  <c r="R16" i="3"/>
  <c r="P135" i="3"/>
  <c r="K179" i="3"/>
  <c r="K69" i="5"/>
  <c r="R121" i="5"/>
  <c r="K29" i="4"/>
  <c r="K120" i="4"/>
  <c r="P138" i="4"/>
  <c r="P173" i="4"/>
  <c r="P99" i="6"/>
  <c r="K89" i="7"/>
  <c r="K149" i="12"/>
  <c r="K70" i="2"/>
  <c r="R155" i="2"/>
  <c r="P43" i="4"/>
  <c r="K91" i="6"/>
  <c r="R111" i="6"/>
  <c r="P58" i="7"/>
  <c r="P55" i="8"/>
  <c r="K91" i="8"/>
  <c r="P84" i="9"/>
  <c r="K113" i="9"/>
  <c r="K63" i="12"/>
  <c r="K11" i="2"/>
  <c r="K42" i="2"/>
  <c r="K154" i="2"/>
  <c r="K63" i="3"/>
  <c r="K71" i="3"/>
  <c r="P73" i="3"/>
  <c r="K96" i="3"/>
  <c r="R99" i="3"/>
  <c r="K194" i="3"/>
  <c r="K83" i="5"/>
  <c r="K93" i="5"/>
  <c r="P5" i="4"/>
  <c r="K14" i="4"/>
  <c r="R85" i="4"/>
  <c r="K9" i="7"/>
  <c r="R67" i="7"/>
  <c r="R15" i="8"/>
  <c r="R115" i="9"/>
  <c r="K139" i="9"/>
  <c r="K79" i="10"/>
  <c r="K93" i="10"/>
  <c r="K62" i="11"/>
  <c r="R136" i="11"/>
  <c r="K153" i="11"/>
  <c r="K192" i="11"/>
  <c r="K150" i="2"/>
  <c r="K99" i="3"/>
  <c r="K165" i="3"/>
  <c r="K39" i="3"/>
  <c r="K43" i="3"/>
  <c r="K37" i="5"/>
  <c r="K41" i="5"/>
  <c r="R61" i="5"/>
  <c r="R130" i="4"/>
  <c r="P155" i="4"/>
  <c r="R145" i="6"/>
  <c r="K28" i="7"/>
  <c r="K53" i="7"/>
  <c r="K15" i="8"/>
  <c r="S15" i="8"/>
  <c r="P38" i="9"/>
  <c r="K62" i="10"/>
  <c r="K136" i="11"/>
  <c r="S136" i="11"/>
  <c r="K9" i="12"/>
  <c r="K123" i="12"/>
  <c r="K188" i="12"/>
  <c r="K61" i="5"/>
  <c r="K145" i="6"/>
  <c r="K67" i="7"/>
  <c r="K11" i="12"/>
  <c r="P84" i="12"/>
  <c r="S130" i="4"/>
  <c r="K63" i="2"/>
  <c r="K115" i="2"/>
  <c r="K36" i="3"/>
  <c r="K140" i="5"/>
  <c r="R172" i="4"/>
  <c r="R87" i="6"/>
  <c r="K114" i="6"/>
  <c r="K40" i="7"/>
  <c r="K37" i="9"/>
  <c r="K121" i="9"/>
  <c r="K140" i="2"/>
  <c r="K39" i="2"/>
  <c r="P80" i="2"/>
  <c r="P79" i="3"/>
  <c r="K70" i="5"/>
  <c r="K87" i="6"/>
  <c r="K158" i="6"/>
  <c r="K20" i="7"/>
  <c r="K81" i="9"/>
  <c r="K67" i="10"/>
  <c r="K97" i="10"/>
  <c r="K21" i="12"/>
  <c r="P131" i="3"/>
  <c r="K5" i="5"/>
  <c r="P120" i="5"/>
  <c r="P121" i="5"/>
  <c r="P24" i="4"/>
  <c r="P25" i="6"/>
  <c r="K107" i="6"/>
  <c r="K11" i="7"/>
  <c r="K57" i="8"/>
  <c r="K79" i="2"/>
  <c r="K91" i="2"/>
  <c r="R190" i="3"/>
  <c r="R194" i="3"/>
  <c r="R9" i="7"/>
  <c r="K24" i="8"/>
  <c r="R63" i="8"/>
  <c r="K89" i="8"/>
  <c r="K123" i="8"/>
  <c r="K137" i="8"/>
  <c r="K27" i="9"/>
  <c r="K177" i="12"/>
  <c r="R37" i="2"/>
  <c r="R81" i="2"/>
  <c r="K75" i="5"/>
  <c r="K55" i="7"/>
  <c r="K8" i="8"/>
  <c r="R21" i="8"/>
  <c r="K22" i="9"/>
  <c r="K165" i="9"/>
  <c r="R19" i="10"/>
  <c r="K52" i="10"/>
  <c r="K75" i="10"/>
  <c r="K162" i="10"/>
  <c r="R9" i="1"/>
  <c r="R45" i="1"/>
  <c r="R134" i="6" s="1"/>
  <c r="R51" i="1"/>
  <c r="R162" i="9" s="1"/>
  <c r="R37" i="1"/>
  <c r="K117" i="8"/>
  <c r="R107" i="1"/>
  <c r="R118" i="1"/>
  <c r="K81" i="2"/>
  <c r="R136" i="2"/>
  <c r="K26" i="7"/>
  <c r="K21" i="8"/>
  <c r="K109" i="8"/>
  <c r="K165" i="8"/>
  <c r="R135" i="9"/>
  <c r="K19" i="10"/>
  <c r="K81" i="10"/>
  <c r="R12" i="1"/>
  <c r="R95" i="1"/>
  <c r="R36" i="1"/>
  <c r="R32" i="9" s="1"/>
  <c r="R44" i="1"/>
  <c r="R70" i="1"/>
  <c r="R47" i="6" s="1"/>
  <c r="R78" i="1"/>
  <c r="K51" i="8"/>
  <c r="K108" i="9"/>
  <c r="K150" i="9"/>
  <c r="K53" i="10"/>
  <c r="K95" i="12"/>
  <c r="K109" i="12"/>
  <c r="R23" i="1"/>
  <c r="R18" i="1"/>
  <c r="R68" i="1"/>
  <c r="R112" i="1"/>
  <c r="R94" i="1"/>
  <c r="R89" i="11"/>
  <c r="R111" i="3"/>
  <c r="K53" i="5"/>
  <c r="K107" i="5"/>
  <c r="K37" i="8"/>
  <c r="K135" i="9"/>
  <c r="K38" i="10"/>
  <c r="K24" i="11"/>
  <c r="R49" i="11"/>
  <c r="K145" i="12"/>
  <c r="R32" i="1"/>
  <c r="R119" i="3" s="1"/>
  <c r="R16" i="1"/>
  <c r="R22" i="1"/>
  <c r="R93" i="1"/>
  <c r="R69" i="1"/>
  <c r="R102" i="10" s="1"/>
  <c r="R25" i="1"/>
  <c r="R86" i="1"/>
  <c r="R116" i="12" s="1"/>
  <c r="R101" i="1"/>
  <c r="R113" i="1"/>
  <c r="R34" i="1"/>
  <c r="R31" i="1"/>
  <c r="K136" i="2"/>
  <c r="K13" i="3"/>
  <c r="R11" i="3"/>
  <c r="R22" i="7"/>
  <c r="K169" i="12"/>
  <c r="K180" i="12"/>
  <c r="R183" i="12"/>
  <c r="R6" i="1"/>
  <c r="R161" i="9" s="1"/>
  <c r="R61" i="1"/>
  <c r="R19" i="7" s="1"/>
  <c r="R89" i="1"/>
  <c r="R74" i="1"/>
  <c r="R48" i="7" s="1"/>
  <c r="R102" i="1"/>
  <c r="R114" i="1"/>
  <c r="R76" i="1"/>
  <c r="K196" i="3"/>
  <c r="R75" i="5"/>
  <c r="K22" i="7"/>
  <c r="K38" i="8"/>
  <c r="K118" i="8"/>
  <c r="K36" i="10"/>
  <c r="R75" i="10"/>
  <c r="K49" i="11"/>
  <c r="K89" i="11"/>
  <c r="K183" i="12"/>
  <c r="R188" i="12"/>
  <c r="R7" i="1"/>
  <c r="R80" i="1"/>
  <c r="R91" i="7" s="1"/>
  <c r="R82" i="1"/>
  <c r="R62" i="6" s="1"/>
  <c r="R48" i="1"/>
  <c r="R4" i="10" s="1"/>
  <c r="R43" i="1"/>
  <c r="R116" i="1"/>
  <c r="R11" i="1"/>
  <c r="R75" i="9" s="1"/>
  <c r="K37" i="2"/>
  <c r="R53" i="2"/>
  <c r="K11" i="3"/>
  <c r="K150" i="3"/>
  <c r="K164" i="3"/>
  <c r="K77" i="3"/>
  <c r="K95" i="5"/>
  <c r="K108" i="8"/>
  <c r="R47" i="9"/>
  <c r="R8" i="1"/>
  <c r="R33" i="1"/>
  <c r="R175" i="4" s="1"/>
  <c r="R20" i="1"/>
  <c r="R161" i="4" s="1"/>
  <c r="R92" i="1"/>
  <c r="R144" i="10" s="1"/>
  <c r="R60" i="1"/>
  <c r="R18" i="12" s="1"/>
  <c r="R117" i="1"/>
  <c r="R187" i="11"/>
  <c r="R200" i="1"/>
  <c r="K36" i="7"/>
  <c r="R230" i="1"/>
  <c r="K76" i="8"/>
  <c r="K20" i="10"/>
  <c r="S295" i="1"/>
  <c r="R133" i="10"/>
  <c r="R21" i="10"/>
  <c r="R179" i="4"/>
  <c r="K78" i="10"/>
  <c r="K134" i="10"/>
  <c r="R409" i="1"/>
  <c r="K24" i="7"/>
  <c r="K96" i="7"/>
  <c r="R579" i="1"/>
  <c r="K126" i="9"/>
  <c r="R635" i="1"/>
  <c r="U635" i="1" s="1"/>
  <c r="K99" i="9"/>
  <c r="R791" i="1"/>
  <c r="U791" i="1" s="1"/>
  <c r="K30" i="10"/>
  <c r="K16" i="10"/>
  <c r="P109" i="9"/>
  <c r="P66" i="9"/>
  <c r="P166" i="12"/>
  <c r="P82" i="12"/>
  <c r="P83" i="12"/>
  <c r="P139" i="12"/>
  <c r="P28" i="8"/>
  <c r="P154" i="8"/>
  <c r="K35" i="2"/>
  <c r="P69" i="2"/>
  <c r="P128" i="2"/>
  <c r="K92" i="3"/>
  <c r="R173" i="3"/>
  <c r="R187" i="3"/>
  <c r="K193" i="3"/>
  <c r="K200" i="3"/>
  <c r="P6" i="5"/>
  <c r="R56" i="5"/>
  <c r="K118" i="5"/>
  <c r="P26" i="6"/>
  <c r="K74" i="6"/>
  <c r="P97" i="9"/>
  <c r="R33" i="10"/>
  <c r="P146" i="10"/>
  <c r="K20" i="11"/>
  <c r="P23" i="11"/>
  <c r="R44" i="5"/>
  <c r="K56" i="5"/>
  <c r="R137" i="4"/>
  <c r="P158" i="4"/>
  <c r="P8" i="6"/>
  <c r="P43" i="6"/>
  <c r="K5" i="8"/>
  <c r="P97" i="8"/>
  <c r="K90" i="9"/>
  <c r="K133" i="10"/>
  <c r="P84" i="11"/>
  <c r="K146" i="9"/>
  <c r="K74" i="8"/>
  <c r="R126" i="1"/>
  <c r="K159" i="10"/>
  <c r="R238" i="1"/>
  <c r="K48" i="8"/>
  <c r="K34" i="11"/>
  <c r="R254" i="1"/>
  <c r="K63" i="11"/>
  <c r="R51" i="6"/>
  <c r="R430" i="1"/>
  <c r="K37" i="11"/>
  <c r="K190" i="11"/>
  <c r="K170" i="4"/>
  <c r="K42" i="4"/>
  <c r="R721" i="1"/>
  <c r="K99" i="8"/>
  <c r="R763" i="1"/>
  <c r="U763" i="1" s="1"/>
  <c r="K169" i="10"/>
  <c r="K15" i="10"/>
  <c r="R771" i="1"/>
  <c r="U771" i="1" s="1"/>
  <c r="K71" i="11"/>
  <c r="K99" i="11"/>
  <c r="R779" i="1"/>
  <c r="K99" i="12"/>
  <c r="K101" i="6"/>
  <c r="R828" i="1"/>
  <c r="U828" i="1" s="1"/>
  <c r="K44" i="8"/>
  <c r="K142" i="8"/>
  <c r="P5" i="7"/>
  <c r="P135" i="6"/>
  <c r="P75" i="12"/>
  <c r="P47" i="12"/>
  <c r="P188" i="11"/>
  <c r="P175" i="11"/>
  <c r="P51" i="4"/>
  <c r="P79" i="4"/>
  <c r="P148" i="11"/>
  <c r="P92" i="11"/>
  <c r="P65" i="12"/>
  <c r="P37" i="12"/>
  <c r="P108" i="11"/>
  <c r="P38" i="11"/>
  <c r="P70" i="10"/>
  <c r="P154" i="10"/>
  <c r="P57" i="11"/>
  <c r="P85" i="11"/>
  <c r="P134" i="2"/>
  <c r="S173" i="3"/>
  <c r="K187" i="3"/>
  <c r="K12" i="2"/>
  <c r="K27" i="2"/>
  <c r="P67" i="2"/>
  <c r="R77" i="2"/>
  <c r="K133" i="2"/>
  <c r="P9" i="3"/>
  <c r="P141" i="3"/>
  <c r="K198" i="3"/>
  <c r="P199" i="3"/>
  <c r="R35" i="3"/>
  <c r="K15" i="5"/>
  <c r="K44" i="5"/>
  <c r="K48" i="5"/>
  <c r="R116" i="5"/>
  <c r="P117" i="5"/>
  <c r="P133" i="5"/>
  <c r="R33" i="4"/>
  <c r="K50" i="4"/>
  <c r="P44" i="6"/>
  <c r="P61" i="8"/>
  <c r="P29" i="9"/>
  <c r="K84" i="9"/>
  <c r="K157" i="9"/>
  <c r="K33" i="10"/>
  <c r="R150" i="1"/>
  <c r="K63" i="7"/>
  <c r="K145" i="8"/>
  <c r="R310" i="1"/>
  <c r="K133" i="12"/>
  <c r="R423" i="1"/>
  <c r="K107" i="10"/>
  <c r="K163" i="10"/>
  <c r="R507" i="1"/>
  <c r="K182" i="4"/>
  <c r="R537" i="1"/>
  <c r="K109" i="11"/>
  <c r="K53" i="11"/>
  <c r="R641" i="1"/>
  <c r="U641" i="1" s="1"/>
  <c r="K139" i="11"/>
  <c r="K55" i="11"/>
  <c r="R649" i="1"/>
  <c r="U649" i="1" s="1"/>
  <c r="K125" i="12"/>
  <c r="K41" i="12"/>
  <c r="R846" i="1"/>
  <c r="U846" i="1" s="1"/>
  <c r="K86" i="12"/>
  <c r="P107" i="9"/>
  <c r="P147" i="8"/>
  <c r="P8" i="7"/>
  <c r="P64" i="11"/>
  <c r="P134" i="12"/>
  <c r="P64" i="12"/>
  <c r="K8" i="2"/>
  <c r="K61" i="2"/>
  <c r="K77" i="2"/>
  <c r="K93" i="2"/>
  <c r="R100" i="2"/>
  <c r="K51" i="3"/>
  <c r="P63" i="3"/>
  <c r="P172" i="3"/>
  <c r="K80" i="3"/>
  <c r="K25" i="3"/>
  <c r="K35" i="3"/>
  <c r="K23" i="5"/>
  <c r="K99" i="5"/>
  <c r="K116" i="5"/>
  <c r="K33" i="4"/>
  <c r="P34" i="4"/>
  <c r="R43" i="6"/>
  <c r="P78" i="6"/>
  <c r="P88" i="9"/>
  <c r="R133" i="9"/>
  <c r="P95" i="11"/>
  <c r="K117" i="11"/>
  <c r="R142" i="1"/>
  <c r="K35" i="7"/>
  <c r="R224" i="1"/>
  <c r="K160" i="8"/>
  <c r="R522" i="1"/>
  <c r="K151" i="8"/>
  <c r="K53" i="8"/>
  <c r="K99" i="7"/>
  <c r="R699" i="1"/>
  <c r="K154" i="10"/>
  <c r="K70" i="10"/>
  <c r="R714" i="1"/>
  <c r="K84" i="12"/>
  <c r="K197" i="12"/>
  <c r="R838" i="1"/>
  <c r="U838" i="1" s="1"/>
  <c r="K58" i="11"/>
  <c r="K16" i="11"/>
  <c r="P164" i="9"/>
  <c r="P6" i="9"/>
  <c r="P119" i="12"/>
  <c r="P35" i="8"/>
  <c r="P92" i="8"/>
  <c r="P134" i="8"/>
  <c r="P111" i="11"/>
  <c r="P83" i="11"/>
  <c r="P85" i="12"/>
  <c r="P71" i="12"/>
  <c r="P170" i="11"/>
  <c r="P30" i="11"/>
  <c r="P72" i="2"/>
  <c r="K99" i="2"/>
  <c r="K113" i="2"/>
  <c r="K100" i="2"/>
  <c r="K148" i="3"/>
  <c r="K154" i="3"/>
  <c r="P14" i="5"/>
  <c r="R35" i="5"/>
  <c r="K63" i="4"/>
  <c r="P70" i="4"/>
  <c r="P201" i="4"/>
  <c r="P22" i="6"/>
  <c r="P28" i="6"/>
  <c r="P45" i="6"/>
  <c r="K50" i="6"/>
  <c r="P27" i="10"/>
  <c r="P63" i="10"/>
  <c r="P64" i="10"/>
  <c r="K35" i="12"/>
  <c r="S6" i="6"/>
  <c r="R6" i="6"/>
  <c r="K8" i="9"/>
  <c r="R655" i="1"/>
  <c r="K28" i="8"/>
  <c r="P16" i="8"/>
  <c r="P128" i="8"/>
  <c r="K16" i="2"/>
  <c r="K83" i="2"/>
  <c r="K121" i="3"/>
  <c r="P142" i="3"/>
  <c r="K166" i="3"/>
  <c r="K199" i="3"/>
  <c r="K35" i="5"/>
  <c r="R58" i="5"/>
  <c r="K64" i="4"/>
  <c r="P153" i="4"/>
  <c r="P154" i="4"/>
  <c r="R138" i="6"/>
  <c r="K133" i="9"/>
  <c r="K21" i="10"/>
  <c r="S90" i="9"/>
  <c r="R90" i="9"/>
  <c r="R167" i="1"/>
  <c r="K145" i="11"/>
  <c r="K89" i="12"/>
  <c r="K6" i="7"/>
  <c r="K76" i="12"/>
  <c r="R288" i="1"/>
  <c r="K7" i="8"/>
  <c r="K51" i="7"/>
  <c r="K81" i="7"/>
  <c r="K92" i="12"/>
  <c r="K36" i="12"/>
  <c r="R417" i="1"/>
  <c r="K23" i="9"/>
  <c r="R473" i="1"/>
  <c r="K38" i="9"/>
  <c r="S515" i="1"/>
  <c r="R141" i="6"/>
  <c r="R69" i="6"/>
  <c r="R530" i="1"/>
  <c r="K83" i="9"/>
  <c r="K111" i="9"/>
  <c r="R549" i="1"/>
  <c r="K27" i="7"/>
  <c r="R586" i="1"/>
  <c r="K110" i="11"/>
  <c r="K68" i="11"/>
  <c r="R596" i="1"/>
  <c r="U596" i="1" s="1"/>
  <c r="K167" i="8"/>
  <c r="R707" i="1"/>
  <c r="K84" i="11"/>
  <c r="S752" i="1"/>
  <c r="R30" i="6"/>
  <c r="R131" i="6"/>
  <c r="P34" i="12"/>
  <c r="P149" i="4"/>
  <c r="P54" i="9"/>
  <c r="P112" i="9"/>
  <c r="K115" i="3"/>
  <c r="K173" i="3"/>
  <c r="K62" i="2"/>
  <c r="K75" i="2"/>
  <c r="K78" i="2"/>
  <c r="P99" i="2"/>
  <c r="R142" i="2"/>
  <c r="K90" i="3"/>
  <c r="R158" i="3"/>
  <c r="R14" i="5"/>
  <c r="K58" i="5"/>
  <c r="K82" i="5"/>
  <c r="K26" i="4"/>
  <c r="P35" i="4"/>
  <c r="R189" i="4"/>
  <c r="R144" i="6"/>
  <c r="K85" i="8"/>
  <c r="K35" i="11"/>
  <c r="K64" i="8"/>
  <c r="R101" i="9"/>
  <c r="R114" i="9"/>
  <c r="R65" i="10"/>
  <c r="K108" i="10"/>
  <c r="K160" i="12"/>
  <c r="K167" i="12"/>
  <c r="K182" i="12"/>
  <c r="R161" i="8"/>
  <c r="K101" i="9"/>
  <c r="K114" i="9"/>
  <c r="K141" i="9"/>
  <c r="K65" i="10"/>
  <c r="K153" i="10"/>
  <c r="K11" i="11"/>
  <c r="K61" i="8"/>
  <c r="R114" i="8"/>
  <c r="K161" i="8"/>
  <c r="K129" i="9"/>
  <c r="P77" i="10"/>
  <c r="K149" i="11"/>
  <c r="K152" i="9"/>
  <c r="R42" i="12"/>
  <c r="K147" i="12"/>
  <c r="R57" i="8"/>
  <c r="R90" i="8"/>
  <c r="R135" i="8"/>
  <c r="K78" i="9"/>
  <c r="K112" i="9"/>
  <c r="K115" i="9"/>
  <c r="K28" i="11"/>
  <c r="K91" i="11"/>
  <c r="K34" i="7"/>
  <c r="K73" i="9"/>
  <c r="P93" i="9"/>
  <c r="R121" i="9"/>
  <c r="R128" i="9"/>
  <c r="K140" i="9"/>
  <c r="K176" i="12"/>
  <c r="K192" i="12"/>
  <c r="R63" i="2"/>
  <c r="R147" i="2"/>
  <c r="K89" i="3"/>
  <c r="P90" i="3"/>
  <c r="P94" i="3"/>
  <c r="P184" i="3"/>
  <c r="K18" i="5"/>
  <c r="K43" i="5"/>
  <c r="P63" i="4"/>
  <c r="P76" i="4"/>
  <c r="P196" i="4"/>
  <c r="K199" i="4"/>
  <c r="K65" i="6"/>
  <c r="R156" i="6"/>
  <c r="R30" i="7"/>
  <c r="K44" i="7"/>
  <c r="P45" i="7"/>
  <c r="K70" i="7"/>
  <c r="R89" i="7"/>
  <c r="R10" i="8"/>
  <c r="P48" i="8"/>
  <c r="K155" i="8"/>
  <c r="R118" i="11"/>
  <c r="K32" i="12"/>
  <c r="K147" i="2"/>
  <c r="R28" i="3"/>
  <c r="P7" i="5"/>
  <c r="K30" i="5"/>
  <c r="K116" i="4"/>
  <c r="P38" i="6"/>
  <c r="R97" i="6"/>
  <c r="K156" i="6"/>
  <c r="K30" i="7"/>
  <c r="K10" i="8"/>
  <c r="P21" i="8"/>
  <c r="P113" i="8"/>
  <c r="K47" i="11"/>
  <c r="P127" i="11"/>
  <c r="K64" i="2"/>
  <c r="K104" i="2"/>
  <c r="K65" i="3"/>
  <c r="K111" i="3"/>
  <c r="K122" i="3"/>
  <c r="P148" i="3"/>
  <c r="K163" i="3"/>
  <c r="R29" i="3"/>
  <c r="P82" i="5"/>
  <c r="K100" i="5"/>
  <c r="P110" i="4"/>
  <c r="P38" i="7"/>
  <c r="K11" i="8"/>
  <c r="R66" i="8"/>
  <c r="R63" i="9"/>
  <c r="P133" i="9"/>
  <c r="R49" i="10"/>
  <c r="K88" i="10"/>
  <c r="K172" i="12"/>
  <c r="K173" i="12"/>
  <c r="K137" i="3"/>
  <c r="K29" i="3"/>
  <c r="R38" i="3"/>
  <c r="R98" i="5"/>
  <c r="R105" i="5"/>
  <c r="K9" i="4"/>
  <c r="K16" i="4"/>
  <c r="K38" i="4"/>
  <c r="R122" i="4"/>
  <c r="K4" i="6"/>
  <c r="K80" i="6"/>
  <c r="K37" i="7"/>
  <c r="P39" i="8"/>
  <c r="K66" i="8"/>
  <c r="K105" i="8"/>
  <c r="R133" i="8"/>
  <c r="R140" i="11"/>
  <c r="K155" i="11"/>
  <c r="K179" i="11"/>
  <c r="R100" i="3"/>
  <c r="R159" i="3"/>
  <c r="R85" i="3"/>
  <c r="K38" i="3"/>
  <c r="R11" i="5"/>
  <c r="R39" i="5"/>
  <c r="K62" i="5"/>
  <c r="K65" i="5"/>
  <c r="R119" i="5"/>
  <c r="K41" i="4"/>
  <c r="K106" i="4"/>
  <c r="P190" i="4"/>
  <c r="K193" i="4"/>
  <c r="P20" i="6"/>
  <c r="R65" i="6"/>
  <c r="K58" i="7"/>
  <c r="R88" i="7"/>
  <c r="R92" i="7"/>
  <c r="P76" i="8"/>
  <c r="K95" i="8"/>
  <c r="P14" i="9"/>
  <c r="P155" i="9"/>
  <c r="K5" i="10"/>
  <c r="R112" i="10"/>
  <c r="K124" i="11"/>
  <c r="P93" i="12"/>
  <c r="R18" i="5"/>
  <c r="K10" i="4"/>
  <c r="K45" i="4"/>
  <c r="K72" i="4"/>
  <c r="K127" i="4"/>
  <c r="R36" i="6"/>
  <c r="K85" i="7"/>
  <c r="K88" i="7"/>
  <c r="S88" i="7"/>
  <c r="K92" i="7"/>
  <c r="K22" i="8"/>
  <c r="K43" i="8"/>
  <c r="K75" i="8"/>
  <c r="K133" i="8"/>
  <c r="R30" i="9"/>
  <c r="K161" i="12"/>
  <c r="K175" i="12"/>
  <c r="K189" i="12"/>
  <c r="K133" i="5"/>
  <c r="K49" i="12"/>
  <c r="R439" i="1"/>
  <c r="K123" i="2"/>
  <c r="K10" i="2"/>
  <c r="P10" i="2"/>
  <c r="P123" i="2"/>
  <c r="K120" i="8"/>
  <c r="K14" i="9"/>
  <c r="K33" i="9"/>
  <c r="K34" i="10"/>
  <c r="R76" i="10"/>
  <c r="K89" i="10"/>
  <c r="R103" i="10"/>
  <c r="P111" i="10"/>
  <c r="P120" i="10"/>
  <c r="R8" i="11"/>
  <c r="K29" i="11"/>
  <c r="R75" i="11"/>
  <c r="P178" i="11"/>
  <c r="K180" i="11"/>
  <c r="P21" i="12"/>
  <c r="K78" i="12"/>
  <c r="P114" i="12"/>
  <c r="R132" i="12"/>
  <c r="R100" i="9"/>
  <c r="K136" i="9"/>
  <c r="P150" i="9"/>
  <c r="R159" i="9"/>
  <c r="K40" i="10"/>
  <c r="K68" i="10"/>
  <c r="K76" i="10"/>
  <c r="K103" i="10"/>
  <c r="K119" i="10"/>
  <c r="K75" i="11"/>
  <c r="R154" i="11"/>
  <c r="K173" i="11"/>
  <c r="P49" i="12"/>
  <c r="P70" i="12"/>
  <c r="K132" i="12"/>
  <c r="K82" i="9"/>
  <c r="K100" i="9"/>
  <c r="K43" i="10"/>
  <c r="P44" i="10"/>
  <c r="K58" i="10"/>
  <c r="K8" i="11"/>
  <c r="K104" i="11"/>
  <c r="R133" i="11"/>
  <c r="K154" i="11"/>
  <c r="P8" i="12"/>
  <c r="K51" i="12"/>
  <c r="R106" i="12"/>
  <c r="R141" i="12"/>
  <c r="K30" i="9"/>
  <c r="R118" i="9"/>
  <c r="K159" i="9"/>
  <c r="K99" i="10"/>
  <c r="P112" i="10"/>
  <c r="P68" i="11"/>
  <c r="P140" i="11"/>
  <c r="P167" i="11"/>
  <c r="K178" i="11"/>
  <c r="K30" i="12"/>
  <c r="R32" i="12"/>
  <c r="K141" i="12"/>
  <c r="R172" i="12"/>
  <c r="R89" i="8"/>
  <c r="K118" i="9"/>
  <c r="P29" i="10"/>
  <c r="R88" i="10"/>
  <c r="K135" i="10"/>
  <c r="P44" i="11"/>
  <c r="K72" i="11"/>
  <c r="K80" i="11"/>
  <c r="K133" i="11"/>
  <c r="K70" i="12"/>
  <c r="K106" i="12"/>
  <c r="K119" i="8"/>
  <c r="K63" i="9"/>
  <c r="K39" i="10"/>
  <c r="R56" i="10"/>
  <c r="K112" i="10"/>
  <c r="K121" i="10"/>
  <c r="K142" i="10"/>
  <c r="K151" i="10"/>
  <c r="K25" i="11"/>
  <c r="K86" i="11"/>
  <c r="K118" i="11"/>
  <c r="K140" i="11"/>
  <c r="P151" i="11"/>
  <c r="K77" i="12"/>
  <c r="R78" i="12"/>
  <c r="K126" i="12"/>
  <c r="K142" i="12"/>
  <c r="P153" i="12"/>
  <c r="R105" i="8"/>
  <c r="R14" i="9"/>
  <c r="K67" i="9"/>
  <c r="K95" i="9"/>
  <c r="K167" i="9"/>
  <c r="K49" i="10"/>
  <c r="K56" i="10"/>
  <c r="R89" i="10"/>
  <c r="R119" i="10"/>
  <c r="R29" i="11"/>
  <c r="K135" i="12"/>
  <c r="R182" i="1"/>
  <c r="K104" i="8"/>
  <c r="S49" i="6"/>
  <c r="R49" i="6"/>
  <c r="S278" i="1"/>
  <c r="R8" i="6"/>
  <c r="R420" i="1"/>
  <c r="K153" i="9"/>
  <c r="K9" i="9"/>
  <c r="R470" i="1"/>
  <c r="K122" i="8"/>
  <c r="R546" i="1"/>
  <c r="K138" i="10"/>
  <c r="K166" i="10"/>
  <c r="R629" i="1"/>
  <c r="U629" i="1" s="1"/>
  <c r="K13" i="9"/>
  <c r="R646" i="1"/>
  <c r="U646" i="1" s="1"/>
  <c r="K27" i="12"/>
  <c r="K57" i="7"/>
  <c r="R656" i="1"/>
  <c r="K98" i="8"/>
  <c r="R829" i="1"/>
  <c r="U829" i="1" s="1"/>
  <c r="K16" i="9"/>
  <c r="K116" i="9"/>
  <c r="P190" i="11"/>
  <c r="P37" i="11"/>
  <c r="P58" i="8"/>
  <c r="P100" i="8"/>
  <c r="K20" i="2"/>
  <c r="R14" i="3"/>
  <c r="P181" i="3"/>
  <c r="P196" i="3"/>
  <c r="P69" i="5"/>
  <c r="P72" i="5"/>
  <c r="P105" i="5"/>
  <c r="P108" i="5"/>
  <c r="K21" i="4"/>
  <c r="P83" i="4"/>
  <c r="P113" i="4"/>
  <c r="P122" i="4"/>
  <c r="P94" i="6"/>
  <c r="P96" i="7"/>
  <c r="R62" i="8"/>
  <c r="P26" i="10"/>
  <c r="P83" i="10"/>
  <c r="P164" i="10"/>
  <c r="K32" i="10"/>
  <c r="R191" i="11"/>
  <c r="R478" i="1"/>
  <c r="K164" i="10"/>
  <c r="K80" i="10"/>
  <c r="R576" i="1"/>
  <c r="K40" i="9"/>
  <c r="R640" i="1"/>
  <c r="U640" i="1" s="1"/>
  <c r="K139" i="10"/>
  <c r="K13" i="10"/>
  <c r="R835" i="1"/>
  <c r="U835" i="1" s="1"/>
  <c r="K31" i="7"/>
  <c r="K100" i="10"/>
  <c r="P163" i="10"/>
  <c r="P107" i="10"/>
  <c r="P141" i="9"/>
  <c r="P113" i="9"/>
  <c r="P127" i="10"/>
  <c r="P113" i="10"/>
  <c r="P51" i="2"/>
  <c r="K94" i="3"/>
  <c r="P166" i="3"/>
  <c r="R178" i="3"/>
  <c r="R34" i="3"/>
  <c r="P57" i="5"/>
  <c r="P95" i="5"/>
  <c r="K28" i="4"/>
  <c r="K112" i="4"/>
  <c r="R164" i="4"/>
  <c r="P25" i="7"/>
  <c r="K62" i="8"/>
  <c r="K158" i="10"/>
  <c r="R205" i="1"/>
  <c r="K79" i="7"/>
  <c r="R300" i="1"/>
  <c r="K63" i="10"/>
  <c r="K161" i="10"/>
  <c r="R697" i="1"/>
  <c r="K86" i="9"/>
  <c r="K28" i="9"/>
  <c r="R848" i="1"/>
  <c r="U848" i="1" s="1"/>
  <c r="K199" i="12"/>
  <c r="K170" i="12"/>
  <c r="P36" i="6"/>
  <c r="P133" i="11"/>
  <c r="P120" i="8"/>
  <c r="P22" i="8"/>
  <c r="P55" i="7"/>
  <c r="P26" i="7"/>
  <c r="K30" i="2"/>
  <c r="R127" i="2"/>
  <c r="K14" i="3"/>
  <c r="K178" i="3"/>
  <c r="R181" i="3"/>
  <c r="K34" i="3"/>
  <c r="K111" i="5"/>
  <c r="R73" i="4"/>
  <c r="K151" i="6"/>
  <c r="P43" i="7"/>
  <c r="P69" i="12"/>
  <c r="R235" i="1"/>
  <c r="K106" i="9"/>
  <c r="K132" i="10"/>
  <c r="R414" i="1"/>
  <c r="K149" i="8"/>
  <c r="R462" i="1"/>
  <c r="K24" i="12"/>
  <c r="K25" i="7"/>
  <c r="R569" i="1"/>
  <c r="K113" i="6"/>
  <c r="K84" i="6"/>
  <c r="R590" i="1"/>
  <c r="K152" i="12"/>
  <c r="K138" i="12"/>
  <c r="R632" i="1"/>
  <c r="U632" i="1" s="1"/>
  <c r="K70" i="9"/>
  <c r="S687" i="1"/>
  <c r="R29" i="6"/>
  <c r="R703" i="1"/>
  <c r="K168" i="10"/>
  <c r="K28" i="10"/>
  <c r="R797" i="1"/>
  <c r="U797" i="1" s="1"/>
  <c r="K58" i="12"/>
  <c r="P146" i="12"/>
  <c r="P62" i="12"/>
  <c r="P106" i="12"/>
  <c r="P78" i="12"/>
  <c r="P98" i="8"/>
  <c r="P42" i="8"/>
  <c r="P85" i="2"/>
  <c r="K143" i="2"/>
  <c r="R95" i="3"/>
  <c r="K181" i="3"/>
  <c r="P86" i="3"/>
  <c r="P44" i="3"/>
  <c r="K108" i="5"/>
  <c r="K73" i="4"/>
  <c r="P65" i="6"/>
  <c r="K42" i="8"/>
  <c r="P143" i="9"/>
  <c r="P53" i="10"/>
  <c r="P6" i="11"/>
  <c r="P198" i="12"/>
  <c r="R265" i="1"/>
  <c r="K119" i="11"/>
  <c r="R292" i="1"/>
  <c r="K147" i="8"/>
  <c r="R789" i="1"/>
  <c r="U789" i="1" s="1"/>
  <c r="K72" i="8"/>
  <c r="P104" i="10"/>
  <c r="P48" i="9"/>
  <c r="P119" i="10"/>
  <c r="P49" i="10"/>
  <c r="P109" i="12"/>
  <c r="P95" i="12"/>
  <c r="P40" i="12"/>
  <c r="P26" i="12"/>
  <c r="P114" i="10"/>
  <c r="P103" i="7"/>
  <c r="P81" i="2"/>
  <c r="K127" i="2"/>
  <c r="P153" i="2"/>
  <c r="P65" i="3"/>
  <c r="K95" i="3"/>
  <c r="R129" i="3"/>
  <c r="R161" i="3"/>
  <c r="K13" i="4"/>
  <c r="P120" i="4"/>
  <c r="K46" i="9"/>
  <c r="K130" i="11"/>
  <c r="S307" i="1"/>
  <c r="S175" i="11" s="1"/>
  <c r="R188" i="11"/>
  <c r="S406" i="1"/>
  <c r="R125" i="6"/>
  <c r="R485" i="1"/>
  <c r="K164" i="11"/>
  <c r="K150" i="11"/>
  <c r="R711" i="1"/>
  <c r="K98" i="12"/>
  <c r="K28" i="12"/>
  <c r="P92" i="9"/>
  <c r="P122" i="6"/>
  <c r="P136" i="9"/>
  <c r="P94" i="9"/>
  <c r="P23" i="9"/>
  <c r="P51" i="9"/>
  <c r="P100" i="12"/>
  <c r="P184" i="12"/>
  <c r="R56" i="2"/>
  <c r="K83" i="3"/>
  <c r="R104" i="4"/>
  <c r="R129" i="4"/>
  <c r="R145" i="4"/>
  <c r="R200" i="4"/>
  <c r="R15" i="6"/>
  <c r="R38" i="6"/>
  <c r="K13" i="7"/>
  <c r="K80" i="8"/>
  <c r="P122" i="8"/>
  <c r="P58" i="9"/>
  <c r="P150" i="11"/>
  <c r="R843" i="1"/>
  <c r="U843" i="1" s="1"/>
  <c r="K197" i="11"/>
  <c r="K129" i="3"/>
  <c r="K161" i="3"/>
  <c r="K197" i="3"/>
  <c r="K41" i="3"/>
  <c r="K55" i="5"/>
  <c r="R133" i="5"/>
  <c r="P9" i="4"/>
  <c r="K145" i="4"/>
  <c r="K156" i="4"/>
  <c r="P12" i="8"/>
  <c r="P119" i="8"/>
  <c r="K121" i="8"/>
  <c r="K55" i="9"/>
  <c r="K9" i="11"/>
  <c r="R12" i="11"/>
  <c r="K174" i="11"/>
  <c r="K42" i="12"/>
  <c r="K52" i="12"/>
  <c r="K94" i="12"/>
  <c r="R148" i="12"/>
  <c r="R190" i="12"/>
  <c r="K105" i="9"/>
  <c r="K22" i="10"/>
  <c r="K83" i="10"/>
  <c r="K106" i="10"/>
  <c r="K12" i="11"/>
  <c r="R15" i="11"/>
  <c r="R33" i="11"/>
  <c r="R113" i="11"/>
  <c r="P19" i="12"/>
  <c r="K47" i="12"/>
  <c r="P54" i="12"/>
  <c r="K69" i="12"/>
  <c r="R107" i="12"/>
  <c r="K148" i="12"/>
  <c r="K151" i="12"/>
  <c r="K179" i="12"/>
  <c r="P199" i="12"/>
  <c r="P118" i="10"/>
  <c r="K146" i="10"/>
  <c r="K170" i="10"/>
  <c r="K7" i="11"/>
  <c r="K15" i="11"/>
  <c r="K33" i="11"/>
  <c r="K113" i="11"/>
  <c r="R7" i="12"/>
  <c r="R43" i="12"/>
  <c r="K190" i="12"/>
  <c r="K164" i="9"/>
  <c r="P96" i="10"/>
  <c r="R136" i="10"/>
  <c r="R78" i="11"/>
  <c r="R131" i="11"/>
  <c r="K146" i="11"/>
  <c r="K7" i="12"/>
  <c r="K43" i="12"/>
  <c r="K104" i="12"/>
  <c r="K107" i="12"/>
  <c r="P182" i="12"/>
  <c r="R9" i="10"/>
  <c r="K78" i="11"/>
  <c r="K131" i="11"/>
  <c r="K75" i="12"/>
  <c r="R192" i="12"/>
  <c r="R165" i="9"/>
  <c r="K9" i="10"/>
  <c r="R108" i="10"/>
  <c r="K136" i="10"/>
  <c r="K156" i="10"/>
  <c r="R28" i="11"/>
  <c r="K67" i="11"/>
  <c r="R147" i="12"/>
  <c r="R182" i="12"/>
  <c r="K61" i="12"/>
  <c r="R251" i="1"/>
  <c r="K174" i="12"/>
  <c r="R315" i="1"/>
  <c r="K119" i="12"/>
  <c r="K22" i="12"/>
  <c r="K162" i="12"/>
  <c r="R435" i="1"/>
  <c r="K93" i="12"/>
  <c r="K163" i="12"/>
  <c r="R490" i="1"/>
  <c r="K164" i="12"/>
  <c r="K165" i="12"/>
  <c r="S67" i="12"/>
  <c r="R67" i="12"/>
  <c r="R591" i="1"/>
  <c r="K82" i="12"/>
  <c r="K166" i="12"/>
  <c r="K195" i="12"/>
  <c r="R715" i="1"/>
  <c r="K112" i="12"/>
  <c r="S778" i="1"/>
  <c r="R85" i="12"/>
  <c r="R71" i="12"/>
  <c r="R844" i="1"/>
  <c r="K44" i="12"/>
  <c r="P36" i="12"/>
  <c r="P92" i="12"/>
  <c r="P107" i="12"/>
  <c r="P192" i="12"/>
  <c r="P180" i="12"/>
  <c r="P110" i="12"/>
  <c r="K188" i="11"/>
  <c r="K191" i="11"/>
  <c r="K8" i="12"/>
  <c r="K10" i="12"/>
  <c r="R175" i="11"/>
  <c r="K194" i="11"/>
  <c r="R20" i="12"/>
  <c r="K67" i="12"/>
  <c r="K85" i="12"/>
  <c r="K175" i="11"/>
  <c r="K20" i="12"/>
  <c r="K14" i="12"/>
  <c r="K71" i="12"/>
  <c r="K187" i="12"/>
  <c r="K117" i="12"/>
  <c r="R150" i="12"/>
  <c r="K159" i="12"/>
  <c r="K19" i="4"/>
  <c r="K4" i="8"/>
  <c r="K18" i="11"/>
  <c r="K172" i="11"/>
  <c r="K76" i="3"/>
  <c r="K146" i="2"/>
  <c r="K20" i="4"/>
  <c r="K131" i="8"/>
  <c r="R123" i="1"/>
  <c r="K5" i="12"/>
  <c r="R131" i="1"/>
  <c r="K78" i="7"/>
  <c r="R139" i="1"/>
  <c r="K47" i="8"/>
  <c r="K91" i="9"/>
  <c r="R155" i="1"/>
  <c r="K145" i="10"/>
  <c r="K119" i="9"/>
  <c r="R172" i="1"/>
  <c r="K48" i="3"/>
  <c r="K6" i="3"/>
  <c r="K177" i="3"/>
  <c r="K132" i="5"/>
  <c r="K20" i="8"/>
  <c r="K48" i="9"/>
  <c r="R233" i="1"/>
  <c r="K160" i="11"/>
  <c r="R241" i="1"/>
  <c r="K146" i="12"/>
  <c r="R249" i="1"/>
  <c r="K120" i="9"/>
  <c r="K91" i="5"/>
  <c r="R263" i="1"/>
  <c r="K136" i="3"/>
  <c r="K137" i="6"/>
  <c r="K79" i="9"/>
  <c r="R257" i="1"/>
  <c r="K77" i="10"/>
  <c r="R298" i="1"/>
  <c r="K147" i="11"/>
  <c r="K93" i="9"/>
  <c r="R313" i="1"/>
  <c r="K77" i="5"/>
  <c r="K8" i="3"/>
  <c r="K79" i="4"/>
  <c r="K50" i="5"/>
  <c r="K8" i="7"/>
  <c r="K92" i="8"/>
  <c r="K92" i="10"/>
  <c r="K92" i="11"/>
  <c r="K64" i="12"/>
  <c r="K23" i="3"/>
  <c r="R389" i="1"/>
  <c r="K66" i="4"/>
  <c r="R397" i="1"/>
  <c r="K66" i="9"/>
  <c r="R419" i="1"/>
  <c r="K93" i="11"/>
  <c r="R426" i="1"/>
  <c r="K37" i="12"/>
  <c r="R433" i="1"/>
  <c r="K94" i="2"/>
  <c r="K95" i="2"/>
  <c r="R441" i="1"/>
  <c r="K153" i="4"/>
  <c r="R451" i="1"/>
  <c r="K96" i="9"/>
  <c r="K38" i="11"/>
  <c r="R481" i="1"/>
  <c r="K80" i="12"/>
  <c r="R488" i="1"/>
  <c r="K66" i="11"/>
  <c r="K151" i="2"/>
  <c r="K25" i="2"/>
  <c r="R498" i="1"/>
  <c r="K126" i="4"/>
  <c r="R504" i="1"/>
  <c r="K137" i="5"/>
  <c r="R512" i="1"/>
  <c r="K125" i="9"/>
  <c r="K25" i="9"/>
  <c r="R527" i="1"/>
  <c r="K25" i="10"/>
  <c r="R535" i="1"/>
  <c r="K194" i="12"/>
  <c r="R542" i="1"/>
  <c r="K55" i="3"/>
  <c r="R554" i="1"/>
  <c r="K152" i="8"/>
  <c r="R575" i="1"/>
  <c r="K96" i="10"/>
  <c r="R583" i="1"/>
  <c r="K54" i="12"/>
  <c r="R589" i="1"/>
  <c r="K40" i="5"/>
  <c r="K124" i="8"/>
  <c r="K55" i="2"/>
  <c r="R604" i="1"/>
  <c r="K170" i="3"/>
  <c r="R611" i="1"/>
  <c r="K198" i="4"/>
  <c r="R619" i="1"/>
  <c r="U619" i="1" s="1"/>
  <c r="K129" i="6"/>
  <c r="R597" i="1"/>
  <c r="U597" i="1" s="1"/>
  <c r="K69" i="8"/>
  <c r="K69" i="10"/>
  <c r="R637" i="1"/>
  <c r="K69" i="11"/>
  <c r="R643" i="1"/>
  <c r="U643" i="1" s="1"/>
  <c r="K181" i="12"/>
  <c r="K111" i="12"/>
  <c r="K101" i="7"/>
  <c r="R665" i="1"/>
  <c r="K171" i="3"/>
  <c r="R673" i="1"/>
  <c r="K57" i="4"/>
  <c r="R681" i="1"/>
  <c r="K72" i="6"/>
  <c r="R689" i="1"/>
  <c r="K112" i="8"/>
  <c r="R654" i="1"/>
  <c r="K56" i="9"/>
  <c r="R663" i="1"/>
  <c r="K195" i="11"/>
  <c r="R706" i="1"/>
  <c r="K56" i="12"/>
  <c r="R713" i="1"/>
  <c r="K116" i="3"/>
  <c r="K141" i="8"/>
  <c r="R718" i="1"/>
  <c r="U718" i="1" s="1"/>
  <c r="K87" i="9"/>
  <c r="R760" i="1"/>
  <c r="U760" i="1" s="1"/>
  <c r="K57" i="10"/>
  <c r="R768" i="1"/>
  <c r="U768" i="1" s="1"/>
  <c r="K29" i="12"/>
  <c r="R776" i="1"/>
  <c r="K201" i="3"/>
  <c r="R805" i="1"/>
  <c r="K17" i="4"/>
  <c r="R810" i="1"/>
  <c r="U810" i="1" s="1"/>
  <c r="K128" i="5"/>
  <c r="R817" i="1"/>
  <c r="U817" i="1" s="1"/>
  <c r="K100" i="8"/>
  <c r="R825" i="1"/>
  <c r="U825" i="1" s="1"/>
  <c r="K174" i="9"/>
  <c r="R798" i="1"/>
  <c r="U798" i="1" s="1"/>
  <c r="K103" i="7"/>
  <c r="R834" i="1"/>
  <c r="U834" i="1" s="1"/>
  <c r="K156" i="11"/>
  <c r="R842" i="1"/>
  <c r="U842" i="1" s="1"/>
  <c r="K100" i="12"/>
  <c r="R847" i="1"/>
  <c r="P49" i="2"/>
  <c r="P127" i="2"/>
  <c r="P85" i="5"/>
  <c r="P21" i="7"/>
  <c r="P94" i="8"/>
  <c r="P159" i="9"/>
  <c r="P28" i="10"/>
  <c r="P142" i="10"/>
  <c r="P149" i="3"/>
  <c r="P176" i="3"/>
  <c r="P100" i="5"/>
  <c r="P45" i="4"/>
  <c r="P49" i="8"/>
  <c r="P28" i="9"/>
  <c r="P166" i="9"/>
  <c r="P108" i="10"/>
  <c r="P22" i="11"/>
  <c r="P9" i="12"/>
  <c r="P108" i="3"/>
  <c r="P129" i="4"/>
  <c r="P85" i="7"/>
  <c r="P41" i="8"/>
  <c r="P91" i="8"/>
  <c r="P48" i="10"/>
  <c r="P67" i="10"/>
  <c r="P72" i="11"/>
  <c r="P23" i="12"/>
  <c r="P119" i="2"/>
  <c r="P194" i="3"/>
  <c r="P109" i="6"/>
  <c r="P19" i="8"/>
  <c r="P141" i="10"/>
  <c r="P5" i="11"/>
  <c r="P62" i="11"/>
  <c r="P124" i="11"/>
  <c r="P192" i="11"/>
  <c r="P11" i="12"/>
  <c r="P28" i="12"/>
  <c r="P83" i="2"/>
  <c r="P129" i="3"/>
  <c r="P15" i="6"/>
  <c r="P53" i="7"/>
  <c r="P7" i="10"/>
  <c r="P19" i="10"/>
  <c r="P75" i="10"/>
  <c r="P21" i="11"/>
  <c r="P169" i="11"/>
  <c r="P30" i="12"/>
  <c r="P118" i="12"/>
  <c r="P36" i="2"/>
  <c r="P41" i="4"/>
  <c r="P55" i="11"/>
  <c r="P50" i="8"/>
  <c r="P99" i="9"/>
  <c r="K5" i="2"/>
  <c r="K98" i="2"/>
  <c r="K9" i="3"/>
  <c r="K69" i="3"/>
  <c r="K44" i="3"/>
  <c r="K24" i="4"/>
  <c r="K67" i="4"/>
  <c r="K157" i="4"/>
  <c r="K85" i="6"/>
  <c r="K100" i="6"/>
  <c r="K83" i="7"/>
  <c r="K29" i="8"/>
  <c r="K140" i="8"/>
  <c r="K19" i="9"/>
  <c r="K142" i="9"/>
  <c r="K105" i="10"/>
  <c r="K70" i="11"/>
  <c r="K148" i="11"/>
  <c r="K68" i="12"/>
  <c r="K137" i="12"/>
  <c r="K154" i="12"/>
  <c r="K80" i="2"/>
  <c r="K72" i="3"/>
  <c r="K114" i="3"/>
  <c r="K131" i="4"/>
  <c r="K7" i="9"/>
  <c r="K58" i="9"/>
  <c r="K6" i="11"/>
  <c r="K23" i="11"/>
  <c r="K65" i="12"/>
  <c r="K91" i="12"/>
  <c r="K134" i="12"/>
  <c r="K51" i="4"/>
  <c r="K95" i="10"/>
  <c r="K104" i="10"/>
  <c r="K155" i="10"/>
  <c r="K33" i="12"/>
  <c r="K54" i="4"/>
  <c r="K58" i="8"/>
  <c r="K57" i="9"/>
  <c r="K55" i="12"/>
  <c r="K184" i="12"/>
  <c r="K84" i="2"/>
  <c r="K84" i="7"/>
  <c r="K11" i="9"/>
  <c r="K114" i="10"/>
  <c r="K92" i="2"/>
  <c r="K121" i="6"/>
  <c r="X684" i="1"/>
  <c r="V684" i="1"/>
  <c r="X456" i="1"/>
  <c r="V456" i="1"/>
  <c r="X788" i="1"/>
  <c r="V788" i="1"/>
  <c r="X624" i="1"/>
  <c r="V624" i="1"/>
  <c r="X455" i="1"/>
  <c r="V455" i="1"/>
  <c r="X345" i="1"/>
  <c r="V345" i="1"/>
  <c r="X511" i="1"/>
  <c r="V511" i="1"/>
  <c r="X816" i="1"/>
  <c r="V816" i="1"/>
  <c r="X815" i="1"/>
  <c r="V815" i="1"/>
  <c r="X404" i="1"/>
  <c r="V404" i="1"/>
  <c r="X510" i="1"/>
  <c r="V510" i="1"/>
  <c r="X683" i="1"/>
  <c r="V683" i="1"/>
  <c r="X403" i="1"/>
  <c r="V403" i="1"/>
  <c r="X747" i="1"/>
  <c r="V747" i="1"/>
  <c r="X282" i="1"/>
  <c r="V282" i="1"/>
  <c r="X454" i="1"/>
  <c r="V454" i="1"/>
  <c r="X623" i="1"/>
  <c r="V623" i="1"/>
  <c r="X344" i="1"/>
  <c r="V344" i="1"/>
  <c r="X622" i="1"/>
  <c r="V622" i="1"/>
  <c r="X565" i="1"/>
  <c r="V565" i="1"/>
  <c r="X814" i="1"/>
  <c r="V814" i="1"/>
  <c r="X42" i="1"/>
  <c r="V42" i="1"/>
  <c r="X746" i="1"/>
  <c r="V746" i="1"/>
  <c r="X402" i="1"/>
  <c r="V402" i="1"/>
  <c r="X621" i="1"/>
  <c r="V621" i="1"/>
  <c r="X343" i="1"/>
  <c r="V343" i="1"/>
  <c r="X281" i="1"/>
  <c r="V281" i="1"/>
  <c r="X620" i="1"/>
  <c r="V620" i="1"/>
  <c r="X745" i="1"/>
  <c r="V745" i="1"/>
  <c r="X564" i="1"/>
  <c r="V564" i="1"/>
  <c r="X401" i="1"/>
  <c r="V401" i="1"/>
  <c r="X280" i="1"/>
  <c r="V280" i="1"/>
  <c r="X744" i="1"/>
  <c r="V744" i="1"/>
  <c r="X342" i="1"/>
  <c r="V342" i="1"/>
  <c r="X682" i="1"/>
  <c r="V682" i="1"/>
  <c r="X509" i="1"/>
  <c r="V509" i="1"/>
  <c r="X508" i="1"/>
  <c r="V508" i="1"/>
  <c r="X813" i="1"/>
  <c r="V813" i="1"/>
  <c r="X341" i="1"/>
  <c r="V341" i="1"/>
  <c r="X743" i="1"/>
  <c r="V743" i="1"/>
  <c r="X618" i="1"/>
  <c r="V618" i="1"/>
  <c r="X507" i="1"/>
  <c r="V507" i="1"/>
  <c r="X742" i="1"/>
  <c r="V742" i="1"/>
  <c r="X453" i="1"/>
  <c r="V453" i="1"/>
  <c r="X617" i="1"/>
  <c r="V617" i="1"/>
  <c r="X563" i="1"/>
  <c r="V563" i="1"/>
  <c r="X812" i="1"/>
  <c r="V812" i="1"/>
  <c r="X681" i="1"/>
  <c r="V681" i="1"/>
  <c r="X339" i="1"/>
  <c r="V339" i="1"/>
  <c r="X811" i="1"/>
  <c r="V811" i="1"/>
  <c r="X680" i="1"/>
  <c r="V680" i="1"/>
  <c r="X400" i="1"/>
  <c r="V400" i="1"/>
  <c r="X810" i="1"/>
  <c r="V810" i="1"/>
  <c r="X121" i="1"/>
  <c r="V121" i="1"/>
  <c r="X741" i="1"/>
  <c r="V741" i="1"/>
  <c r="X7" i="1"/>
  <c r="V7" i="1"/>
  <c r="X615" i="1"/>
  <c r="V615" i="1"/>
  <c r="X562" i="1"/>
  <c r="V562" i="1"/>
  <c r="X337" i="1"/>
  <c r="V337" i="1"/>
  <c r="X679" i="1"/>
  <c r="V679" i="1"/>
  <c r="X740" i="1"/>
  <c r="V740" i="1"/>
  <c r="X201" i="1"/>
  <c r="V201" i="1"/>
  <c r="X678" i="1"/>
  <c r="V678" i="1"/>
  <c r="X399" i="1"/>
  <c r="V399" i="1"/>
  <c r="X739" i="1"/>
  <c r="V739" i="1"/>
  <c r="X451" i="1"/>
  <c r="V451" i="1"/>
  <c r="X677" i="1"/>
  <c r="V677" i="1"/>
  <c r="X560" i="1"/>
  <c r="V560" i="1"/>
  <c r="X273" i="1"/>
  <c r="V273" i="1"/>
  <c r="X809" i="1"/>
  <c r="V809" i="1"/>
  <c r="X737" i="1"/>
  <c r="V737" i="1"/>
  <c r="X336" i="1"/>
  <c r="V336" i="1"/>
  <c r="X676" i="1"/>
  <c r="V676" i="1"/>
  <c r="X559" i="1"/>
  <c r="V559" i="1"/>
  <c r="X795" i="1"/>
  <c r="V795" i="1"/>
  <c r="X335" i="1"/>
  <c r="V335" i="1"/>
  <c r="X116" i="1"/>
  <c r="V116" i="1"/>
  <c r="X197" i="1"/>
  <c r="V197" i="1"/>
  <c r="X808" i="1"/>
  <c r="V808" i="1"/>
  <c r="X614" i="1"/>
  <c r="V614" i="1"/>
  <c r="X397" i="1"/>
  <c r="V397" i="1"/>
  <c r="X450" i="1"/>
  <c r="V450" i="1"/>
  <c r="X115" i="1"/>
  <c r="V115" i="1"/>
  <c r="X114" i="1"/>
  <c r="V114" i="1"/>
  <c r="X675" i="1"/>
  <c r="V675" i="1"/>
  <c r="X449" i="1"/>
  <c r="V449" i="1"/>
  <c r="X396" i="1"/>
  <c r="V396" i="1"/>
  <c r="X736" i="1"/>
  <c r="V736" i="1"/>
  <c r="X674" i="1"/>
  <c r="V674" i="1"/>
  <c r="X272" i="1"/>
  <c r="V272" i="1"/>
  <c r="X503" i="1"/>
  <c r="V503" i="1"/>
  <c r="X807" i="1"/>
  <c r="V807" i="1"/>
  <c r="X448" i="1"/>
  <c r="V448" i="1"/>
  <c r="X612" i="1"/>
  <c r="V612" i="1"/>
  <c r="X113" i="1"/>
  <c r="V113" i="1"/>
  <c r="X673" i="1"/>
  <c r="V673" i="1"/>
  <c r="X611" i="1"/>
  <c r="V611" i="1"/>
  <c r="X558" i="1"/>
  <c r="V558" i="1"/>
  <c r="X394" i="1"/>
  <c r="V394" i="1"/>
  <c r="X89" i="1"/>
  <c r="V89" i="1"/>
  <c r="X672" i="1"/>
  <c r="V672" i="1"/>
  <c r="X393" i="1"/>
  <c r="V393" i="1"/>
  <c r="X112" i="1"/>
  <c r="V112" i="1"/>
  <c r="X610" i="1"/>
  <c r="V610" i="1"/>
  <c r="X333" i="1"/>
  <c r="V333" i="1"/>
  <c r="X734" i="1"/>
  <c r="V734" i="1"/>
  <c r="X609" i="1"/>
  <c r="V609" i="1"/>
  <c r="X392" i="1"/>
  <c r="V392" i="1"/>
  <c r="X671" i="1"/>
  <c r="V671" i="1"/>
  <c r="X332" i="1"/>
  <c r="V332" i="1"/>
  <c r="X556" i="1"/>
  <c r="V556" i="1"/>
  <c r="X269" i="1"/>
  <c r="V269" i="1"/>
  <c r="X792" i="1"/>
  <c r="V792" i="1"/>
  <c r="X733" i="1"/>
  <c r="V733" i="1"/>
  <c r="X806" i="1"/>
  <c r="V806" i="1"/>
  <c r="X391" i="1"/>
  <c r="V391" i="1"/>
  <c r="X608" i="1"/>
  <c r="V608" i="1"/>
  <c r="X502" i="1"/>
  <c r="V502" i="1"/>
  <c r="X555" i="1"/>
  <c r="V555" i="1"/>
  <c r="X501" i="1"/>
  <c r="V501" i="1"/>
  <c r="X180" i="1"/>
  <c r="V180" i="1"/>
  <c r="X492" i="1"/>
  <c r="V492" i="1"/>
  <c r="X670" i="1"/>
  <c r="V670" i="1"/>
  <c r="X390" i="1"/>
  <c r="V390" i="1"/>
  <c r="X95" i="1"/>
  <c r="V95" i="1"/>
  <c r="X331" i="1"/>
  <c r="V331" i="1"/>
  <c r="X797" i="1"/>
  <c r="V797" i="1"/>
  <c r="X446" i="1"/>
  <c r="V446" i="1"/>
  <c r="X266" i="1"/>
  <c r="V266" i="1"/>
  <c r="X805" i="1"/>
  <c r="V805" i="1"/>
  <c r="X669" i="1"/>
  <c r="V669" i="1"/>
  <c r="X330" i="1"/>
  <c r="V330" i="1"/>
  <c r="X445" i="1"/>
  <c r="V445" i="1"/>
  <c r="X500" i="1"/>
  <c r="V500" i="1"/>
  <c r="X804" i="1"/>
  <c r="V804" i="1"/>
  <c r="X329" i="1"/>
  <c r="V329" i="1"/>
  <c r="X668" i="1"/>
  <c r="V668" i="1"/>
  <c r="X803" i="1"/>
  <c r="V803" i="1"/>
  <c r="X328" i="1"/>
  <c r="V328" i="1"/>
  <c r="X389" i="1"/>
  <c r="V389" i="1"/>
  <c r="X606" i="1"/>
  <c r="V606" i="1"/>
  <c r="X724" i="1"/>
  <c r="V724" i="1"/>
  <c r="X553" i="1"/>
  <c r="V553" i="1"/>
  <c r="X327" i="1"/>
  <c r="V327" i="1"/>
  <c r="X723" i="1"/>
  <c r="V723" i="1"/>
  <c r="X499" i="1"/>
  <c r="V499" i="1"/>
  <c r="X388" i="1"/>
  <c r="V388" i="1"/>
  <c r="X667" i="1"/>
  <c r="V667" i="1"/>
  <c r="X494" i="1"/>
  <c r="V494" i="1"/>
  <c r="X605" i="1"/>
  <c r="V605" i="1"/>
  <c r="X186" i="1"/>
  <c r="V186" i="1"/>
  <c r="X802" i="1"/>
  <c r="V802" i="1"/>
  <c r="X729" i="1"/>
  <c r="V729" i="1"/>
  <c r="X439" i="1"/>
  <c r="V439" i="1"/>
  <c r="X666" i="1"/>
  <c r="V666" i="1"/>
  <c r="X326" i="1"/>
  <c r="V326" i="1"/>
  <c r="X801" i="1"/>
  <c r="V801" i="1"/>
  <c r="X61" i="1"/>
  <c r="V61" i="1"/>
  <c r="X263" i="1"/>
  <c r="V263" i="1"/>
  <c r="X441" i="1"/>
  <c r="V441" i="1"/>
  <c r="X800" i="1"/>
  <c r="V800" i="1"/>
  <c r="X604" i="1"/>
  <c r="V604" i="1"/>
  <c r="X387" i="1"/>
  <c r="V387" i="1"/>
  <c r="X552" i="1"/>
  <c r="V552" i="1"/>
  <c r="X665" i="1"/>
  <c r="V665" i="1"/>
  <c r="X102" i="1"/>
  <c r="V102" i="1"/>
  <c r="X497" i="1"/>
  <c r="V497" i="1"/>
  <c r="X851" i="1"/>
  <c r="V851" i="1"/>
  <c r="X659" i="1"/>
  <c r="V659" i="1"/>
  <c r="X325" i="1"/>
  <c r="V325" i="1"/>
  <c r="X382" i="1"/>
  <c r="V382" i="1"/>
  <c r="X603" i="1"/>
  <c r="V603" i="1"/>
  <c r="X185" i="1"/>
  <c r="V185" i="1"/>
  <c r="X799" i="1"/>
  <c r="V799" i="1"/>
  <c r="X319" i="1"/>
  <c r="V319" i="1"/>
  <c r="X664" i="1"/>
  <c r="V664" i="1"/>
  <c r="X551" i="1"/>
  <c r="V551" i="1"/>
  <c r="X261" i="1"/>
  <c r="V261" i="1"/>
  <c r="X260" i="1"/>
  <c r="V260" i="1"/>
  <c r="X443" i="1"/>
  <c r="V443" i="1"/>
  <c r="X727" i="1"/>
  <c r="V727" i="1"/>
  <c r="X496" i="1"/>
  <c r="V496" i="1"/>
  <c r="X786" i="1"/>
  <c r="V786" i="1"/>
  <c r="X386" i="1"/>
  <c r="V386" i="1"/>
  <c r="X602" i="1"/>
  <c r="V602" i="1"/>
  <c r="X182" i="1"/>
  <c r="V182" i="1"/>
  <c r="X259" i="1"/>
  <c r="V259" i="1"/>
  <c r="X661" i="1"/>
  <c r="V661" i="1"/>
  <c r="X324" i="1"/>
  <c r="V324" i="1"/>
  <c r="X726" i="1"/>
  <c r="V726" i="1"/>
  <c r="X99" i="1"/>
  <c r="V99" i="1"/>
  <c r="X550" i="1"/>
  <c r="V550" i="1"/>
  <c r="G195" i="12"/>
  <c r="I195" i="12"/>
  <c r="I191" i="12"/>
  <c r="G191" i="12"/>
  <c r="I187" i="12"/>
  <c r="G187" i="12"/>
  <c r="I178" i="12"/>
  <c r="G178" i="12"/>
  <c r="I172" i="12"/>
  <c r="G172" i="12"/>
  <c r="I165" i="12"/>
  <c r="G165" i="12"/>
  <c r="I162" i="12"/>
  <c r="G162" i="12"/>
  <c r="I150" i="12"/>
  <c r="G150" i="12"/>
  <c r="I148" i="12"/>
  <c r="G148" i="12"/>
  <c r="I136" i="12"/>
  <c r="G136" i="12"/>
  <c r="I132" i="12"/>
  <c r="G132" i="12"/>
  <c r="I127" i="12"/>
  <c r="G127" i="12"/>
  <c r="I124" i="12"/>
  <c r="G124" i="12"/>
  <c r="G25" i="12"/>
  <c r="I111" i="12"/>
  <c r="G111" i="12"/>
  <c r="I103" i="12"/>
  <c r="G103" i="12"/>
  <c r="I96" i="12"/>
  <c r="G96" i="12"/>
  <c r="I89" i="12"/>
  <c r="G89" i="12"/>
  <c r="I81" i="12"/>
  <c r="G81" i="12"/>
  <c r="I76" i="12"/>
  <c r="G76" i="12"/>
  <c r="I67" i="12"/>
  <c r="G67" i="12"/>
  <c r="I61" i="12"/>
  <c r="G61" i="12"/>
  <c r="I53" i="12"/>
  <c r="G53" i="12"/>
  <c r="I50" i="12"/>
  <c r="G50" i="12"/>
  <c r="I39" i="12"/>
  <c r="G39" i="12"/>
  <c r="I32" i="12"/>
  <c r="G32" i="12"/>
  <c r="I25" i="12"/>
  <c r="I20" i="12"/>
  <c r="G20" i="12"/>
  <c r="I15" i="12"/>
  <c r="G15" i="12"/>
  <c r="I12" i="12"/>
  <c r="G12" i="12"/>
  <c r="I193" i="11"/>
  <c r="G193" i="11"/>
  <c r="I187" i="11"/>
  <c r="G187" i="11"/>
  <c r="I177" i="11"/>
  <c r="G177" i="11"/>
  <c r="I172" i="11"/>
  <c r="G172" i="11"/>
  <c r="I166" i="11"/>
  <c r="G166" i="11"/>
  <c r="I159" i="11"/>
  <c r="G159" i="11"/>
  <c r="I152" i="11"/>
  <c r="G152" i="11"/>
  <c r="I147" i="11"/>
  <c r="G147" i="11"/>
  <c r="I130" i="11"/>
  <c r="G130" i="11"/>
  <c r="I120" i="11"/>
  <c r="G120" i="11"/>
  <c r="I118" i="11"/>
  <c r="G118" i="11"/>
  <c r="I107" i="11"/>
  <c r="G107" i="11"/>
  <c r="I90" i="11"/>
  <c r="G90" i="11"/>
  <c r="I89" i="11"/>
  <c r="G89" i="11"/>
  <c r="I66" i="11"/>
  <c r="G66" i="11"/>
  <c r="I54" i="11"/>
  <c r="G54" i="11"/>
  <c r="I46" i="11"/>
  <c r="G46" i="11"/>
  <c r="I39" i="11"/>
  <c r="G39" i="11"/>
  <c r="I33" i="11"/>
  <c r="G33" i="11"/>
  <c r="I27" i="11"/>
  <c r="G27" i="11"/>
  <c r="I18" i="11"/>
  <c r="G18" i="11"/>
  <c r="S355" i="17" l="1"/>
  <c r="R100" i="11"/>
  <c r="U776" i="1"/>
  <c r="R88" i="9"/>
  <c r="R143" i="2"/>
  <c r="P71" i="8"/>
  <c r="R30" i="3"/>
  <c r="R30" i="2"/>
  <c r="U588" i="17"/>
  <c r="U132" i="17"/>
  <c r="U77" i="17"/>
  <c r="U165" i="17"/>
  <c r="U544" i="17"/>
  <c r="U283" i="17"/>
  <c r="U472" i="17"/>
  <c r="S321" i="17"/>
  <c r="S225" i="17"/>
  <c r="U225" i="17"/>
  <c r="U339" i="17"/>
  <c r="U321" i="17"/>
  <c r="U264" i="17"/>
  <c r="S204" i="17"/>
  <c r="R17" i="6"/>
  <c r="R161" i="6"/>
  <c r="U847" i="1"/>
  <c r="U100" i="12" s="1"/>
  <c r="R45" i="4"/>
  <c r="R129" i="9"/>
  <c r="R142" i="12"/>
  <c r="R30" i="12"/>
  <c r="R57" i="2"/>
  <c r="R73" i="9"/>
  <c r="R74" i="6"/>
  <c r="R43" i="2"/>
  <c r="R157" i="2"/>
  <c r="U280" i="17"/>
  <c r="U204" i="17"/>
  <c r="P506" i="17"/>
  <c r="P260" i="17"/>
  <c r="U91" i="17"/>
  <c r="U184" i="17"/>
  <c r="U53" i="17"/>
  <c r="S91" i="17"/>
  <c r="S184" i="17"/>
  <c r="U279" i="17"/>
  <c r="P100" i="4"/>
  <c r="R100" i="4"/>
  <c r="R183" i="11"/>
  <c r="R156" i="2"/>
  <c r="R156" i="10"/>
  <c r="R116" i="6"/>
  <c r="S169" i="11"/>
  <c r="R44" i="6"/>
  <c r="R170" i="11"/>
  <c r="R44" i="10"/>
  <c r="R170" i="10"/>
  <c r="R72" i="4"/>
  <c r="R16" i="4"/>
  <c r="R58" i="3"/>
  <c r="U805" i="1"/>
  <c r="U201" i="3" s="1"/>
  <c r="R201" i="4"/>
  <c r="R58" i="10"/>
  <c r="R71" i="8"/>
  <c r="R169" i="8"/>
  <c r="U844" i="1"/>
  <c r="U16" i="12" s="1"/>
  <c r="R142" i="10"/>
  <c r="R101" i="4"/>
  <c r="R16" i="2"/>
  <c r="R114" i="12"/>
  <c r="R115" i="2"/>
  <c r="R142" i="5"/>
  <c r="R59" i="6"/>
  <c r="R86" i="5"/>
  <c r="U841" i="1"/>
  <c r="U142" i="11" s="1"/>
  <c r="R72" i="11"/>
  <c r="R86" i="11"/>
  <c r="R72" i="10"/>
  <c r="R86" i="10"/>
  <c r="R128" i="10"/>
  <c r="R144" i="9"/>
  <c r="R102" i="9"/>
  <c r="R44" i="9"/>
  <c r="R16" i="8"/>
  <c r="R128" i="8"/>
  <c r="R156" i="8"/>
  <c r="R170" i="8"/>
  <c r="U823" i="1"/>
  <c r="U89" i="7" s="1"/>
  <c r="U839" i="1"/>
  <c r="U100" i="11" s="1"/>
  <c r="U845" i="1"/>
  <c r="U73" i="3" s="1"/>
  <c r="R132" i="6"/>
  <c r="R146" i="6"/>
  <c r="U822" i="1"/>
  <c r="U132" i="6" s="1"/>
  <c r="R88" i="6"/>
  <c r="S821" i="1"/>
  <c r="S88" i="6" s="1"/>
  <c r="U820" i="1"/>
  <c r="U45" i="6" s="1"/>
  <c r="S132" i="6"/>
  <c r="S146" i="6"/>
  <c r="U814" i="1"/>
  <c r="U44" i="5" s="1"/>
  <c r="U794" i="1"/>
  <c r="U102" i="9" s="1"/>
  <c r="S796" i="1"/>
  <c r="S44" i="10" s="1"/>
  <c r="U837" i="1"/>
  <c r="U170" i="11" s="1"/>
  <c r="U74" i="6"/>
  <c r="R31" i="4"/>
  <c r="U808" i="1"/>
  <c r="U173" i="4" s="1"/>
  <c r="S811" i="1"/>
  <c r="R116" i="4"/>
  <c r="S72" i="10"/>
  <c r="S86" i="10"/>
  <c r="S58" i="10"/>
  <c r="S142" i="10"/>
  <c r="U830" i="1"/>
  <c r="U129" i="9" s="1"/>
  <c r="U832" i="1"/>
  <c r="U58" i="10" s="1"/>
  <c r="S786" i="1"/>
  <c r="S787" i="1"/>
  <c r="S159" i="9" s="1"/>
  <c r="U836" i="1"/>
  <c r="U170" i="10" s="1"/>
  <c r="R30" i="5"/>
  <c r="R100" i="5"/>
  <c r="R114" i="5"/>
  <c r="R16" i="5"/>
  <c r="S114" i="11"/>
  <c r="S142" i="11"/>
  <c r="S59" i="4"/>
  <c r="S187" i="4"/>
  <c r="S156" i="10"/>
  <c r="S170" i="10"/>
  <c r="S170" i="11"/>
  <c r="S30" i="11"/>
  <c r="U804" i="1"/>
  <c r="U30" i="3" s="1"/>
  <c r="U819" i="1"/>
  <c r="U59" i="6" s="1"/>
  <c r="U809" i="1"/>
  <c r="U59" i="4" s="1"/>
  <c r="R58" i="2"/>
  <c r="S157" i="2"/>
  <c r="S58" i="2"/>
  <c r="U802" i="1"/>
  <c r="U129" i="2" s="1"/>
  <c r="S802" i="1"/>
  <c r="R44" i="2"/>
  <c r="U801" i="1"/>
  <c r="U115" i="2" s="1"/>
  <c r="S16" i="2"/>
  <c r="S115" i="2"/>
  <c r="S58" i="5"/>
  <c r="S44" i="5"/>
  <c r="S87" i="4"/>
  <c r="S159" i="4"/>
  <c r="S72" i="12"/>
  <c r="S73" i="3"/>
  <c r="S790" i="1"/>
  <c r="U815" i="1"/>
  <c r="U142" i="5" s="1"/>
  <c r="S840" i="1"/>
  <c r="S72" i="11" s="1"/>
  <c r="U831" i="1"/>
  <c r="U144" i="9" s="1"/>
  <c r="U792" i="1"/>
  <c r="U117" i="3" s="1"/>
  <c r="U816" i="1"/>
  <c r="U30" i="5" s="1"/>
  <c r="U799" i="1"/>
  <c r="U58" i="2" s="1"/>
  <c r="S795" i="1"/>
  <c r="U813" i="1"/>
  <c r="U101" i="4" s="1"/>
  <c r="U824" i="1"/>
  <c r="U16" i="7" s="1"/>
  <c r="U803" i="1"/>
  <c r="U159" i="3" s="1"/>
  <c r="S819" i="1"/>
  <c r="S804" i="1"/>
  <c r="S156" i="12" s="1"/>
  <c r="R101" i="3"/>
  <c r="U806" i="1"/>
  <c r="U145" i="3" s="1"/>
  <c r="R145" i="3"/>
  <c r="S159" i="3"/>
  <c r="S101" i="3"/>
  <c r="S145" i="3"/>
  <c r="S30" i="5"/>
  <c r="S100" i="5"/>
  <c r="S88" i="9"/>
  <c r="S144" i="9"/>
  <c r="S142" i="5"/>
  <c r="S86" i="5"/>
  <c r="S201" i="4"/>
  <c r="S101" i="4"/>
  <c r="S89" i="7"/>
  <c r="S60" i="7"/>
  <c r="S788" i="1"/>
  <c r="S114" i="5" s="1"/>
  <c r="U800" i="1"/>
  <c r="U101" i="2" s="1"/>
  <c r="U833" i="1"/>
  <c r="U72" i="10" s="1"/>
  <c r="U827" i="1"/>
  <c r="U128" i="8" s="1"/>
  <c r="U142" i="8"/>
  <c r="U44" i="8"/>
  <c r="S826" i="1"/>
  <c r="U826" i="1"/>
  <c r="S785" i="1"/>
  <c r="U785" i="1"/>
  <c r="S30" i="12"/>
  <c r="S142" i="12"/>
  <c r="T44" i="3"/>
  <c r="T201" i="3"/>
  <c r="T59" i="4"/>
  <c r="T187" i="4"/>
  <c r="T173" i="4"/>
  <c r="T31" i="4"/>
  <c r="T102" i="6"/>
  <c r="T45" i="6"/>
  <c r="T100" i="5"/>
  <c r="T30" i="5"/>
  <c r="T156" i="10"/>
  <c r="T170" i="10"/>
  <c r="T59" i="6"/>
  <c r="T31" i="6"/>
  <c r="T58" i="2"/>
  <c r="T157" i="2"/>
  <c r="T161" i="6"/>
  <c r="T17" i="6"/>
  <c r="T142" i="10"/>
  <c r="T58" i="10"/>
  <c r="U818" i="1"/>
  <c r="T184" i="12"/>
  <c r="T100" i="12"/>
  <c r="T44" i="11"/>
  <c r="T100" i="11"/>
  <c r="T132" i="6"/>
  <c r="T146" i="6"/>
  <c r="U793" i="1"/>
  <c r="U30" i="12" s="1"/>
  <c r="T16" i="7"/>
  <c r="T74" i="7"/>
  <c r="T30" i="3"/>
  <c r="T156" i="12"/>
  <c r="T16" i="2"/>
  <c r="T115" i="2"/>
  <c r="T103" i="7"/>
  <c r="T114" i="10"/>
  <c r="T142" i="5"/>
  <c r="T86" i="5"/>
  <c r="T73" i="9"/>
  <c r="T129" i="9"/>
  <c r="T159" i="4"/>
  <c r="T87" i="4"/>
  <c r="T86" i="10"/>
  <c r="T72" i="10"/>
  <c r="T16" i="3"/>
  <c r="T159" i="3"/>
  <c r="T16" i="12"/>
  <c r="T44" i="12"/>
  <c r="T73" i="3"/>
  <c r="T72" i="12"/>
  <c r="S129" i="9"/>
  <c r="U31" i="7"/>
  <c r="U100" i="10"/>
  <c r="U16" i="9"/>
  <c r="U116" i="9"/>
  <c r="U128" i="5"/>
  <c r="U72" i="5"/>
  <c r="R58" i="6"/>
  <c r="U199" i="12"/>
  <c r="U170" i="12"/>
  <c r="U103" i="7"/>
  <c r="U114" i="10"/>
  <c r="R16" i="6"/>
  <c r="S16" i="7"/>
  <c r="S102" i="9"/>
  <c r="R127" i="5"/>
  <c r="S45" i="6"/>
  <c r="S71" i="10"/>
  <c r="R141" i="5"/>
  <c r="R29" i="5"/>
  <c r="S130" i="3"/>
  <c r="U58" i="11"/>
  <c r="U16" i="11"/>
  <c r="R99" i="10"/>
  <c r="R15" i="9"/>
  <c r="S72" i="2"/>
  <c r="R127" i="8"/>
  <c r="R43" i="10"/>
  <c r="S44" i="11"/>
  <c r="R144" i="3"/>
  <c r="R43" i="3"/>
  <c r="R43" i="9"/>
  <c r="R155" i="11"/>
  <c r="S128" i="8"/>
  <c r="U197" i="11"/>
  <c r="U128" i="11"/>
  <c r="U184" i="11"/>
  <c r="U156" i="11"/>
  <c r="U159" i="4"/>
  <c r="U87" i="4"/>
  <c r="S173" i="4"/>
  <c r="U17" i="4"/>
  <c r="U131" i="4"/>
  <c r="U87" i="3"/>
  <c r="U86" i="12"/>
  <c r="U58" i="8"/>
  <c r="U100" i="8"/>
  <c r="U169" i="12"/>
  <c r="U86" i="11"/>
  <c r="U72" i="11"/>
  <c r="U73" i="4"/>
  <c r="U145" i="4"/>
  <c r="U58" i="9"/>
  <c r="U174" i="9"/>
  <c r="U59" i="3"/>
  <c r="U58" i="12"/>
  <c r="U128" i="10"/>
  <c r="U44" i="10"/>
  <c r="U45" i="4"/>
  <c r="U116" i="4"/>
  <c r="S117" i="3"/>
  <c r="U30" i="10"/>
  <c r="U16" i="10"/>
  <c r="U156" i="8"/>
  <c r="U170" i="8"/>
  <c r="U86" i="8"/>
  <c r="U72" i="8"/>
  <c r="U30" i="9"/>
  <c r="U159" i="9"/>
  <c r="U143" i="2"/>
  <c r="U30" i="2"/>
  <c r="U114" i="5"/>
  <c r="U16" i="5"/>
  <c r="S100" i="3"/>
  <c r="S28" i="5"/>
  <c r="S71" i="3"/>
  <c r="S15" i="11"/>
  <c r="S154" i="11"/>
  <c r="S112" i="5"/>
  <c r="S186" i="4"/>
  <c r="S127" i="11"/>
  <c r="U260" i="17"/>
  <c r="U506" i="17"/>
  <c r="S85" i="11"/>
  <c r="S29" i="10"/>
  <c r="S755" i="1"/>
  <c r="S59" i="7" s="1"/>
  <c r="R59" i="7"/>
  <c r="R186" i="3"/>
  <c r="S719" i="1"/>
  <c r="S155" i="8" s="1"/>
  <c r="U719" i="1"/>
  <c r="U155" i="8" s="1"/>
  <c r="R155" i="8"/>
  <c r="R43" i="8"/>
  <c r="U755" i="1"/>
  <c r="U59" i="7" s="1"/>
  <c r="R72" i="9"/>
  <c r="P719" i="1"/>
  <c r="N155" i="8"/>
  <c r="N43" i="8"/>
  <c r="R113" i="8"/>
  <c r="U733" i="1"/>
  <c r="U116" i="3" s="1"/>
  <c r="P755" i="1"/>
  <c r="N59" i="7"/>
  <c r="N186" i="3"/>
  <c r="R45" i="7"/>
  <c r="R15" i="7"/>
  <c r="U756" i="1"/>
  <c r="U102" i="7" s="1"/>
  <c r="R15" i="3"/>
  <c r="R102" i="7"/>
  <c r="N86" i="4"/>
  <c r="N30" i="4"/>
  <c r="P739" i="1"/>
  <c r="R739" i="1"/>
  <c r="R44" i="4"/>
  <c r="S72" i="4"/>
  <c r="S16" i="4"/>
  <c r="S29" i="9"/>
  <c r="S173" i="9"/>
  <c r="U762" i="1"/>
  <c r="U173" i="9" s="1"/>
  <c r="R127" i="10"/>
  <c r="R113" i="10"/>
  <c r="R113" i="5"/>
  <c r="R43" i="5"/>
  <c r="R85" i="5"/>
  <c r="R71" i="5"/>
  <c r="R57" i="5"/>
  <c r="R99" i="5"/>
  <c r="R15" i="5"/>
  <c r="U744" i="1"/>
  <c r="U15" i="5" s="1"/>
  <c r="U753" i="1"/>
  <c r="U45" i="7" s="1"/>
  <c r="U758" i="1"/>
  <c r="U43" i="9" s="1"/>
  <c r="U722" i="1"/>
  <c r="U113" i="8" s="1"/>
  <c r="S15" i="3"/>
  <c r="S102" i="7"/>
  <c r="S99" i="10"/>
  <c r="S43" i="10"/>
  <c r="S57" i="5"/>
  <c r="S141" i="5"/>
  <c r="S58" i="3"/>
  <c r="S183" i="11"/>
  <c r="U779" i="1"/>
  <c r="U101" i="6" s="1"/>
  <c r="U721" i="1"/>
  <c r="U85" i="8" s="1"/>
  <c r="U759" i="1"/>
  <c r="U143" i="9" s="1"/>
  <c r="S759" i="1"/>
  <c r="S128" i="2"/>
  <c r="U731" i="1"/>
  <c r="U58" i="3" s="1"/>
  <c r="U727" i="1"/>
  <c r="U57" i="2" s="1"/>
  <c r="S43" i="2"/>
  <c r="S57" i="2"/>
  <c r="R85" i="2"/>
  <c r="U726" i="1"/>
  <c r="U85" i="2" s="1"/>
  <c r="R15" i="2"/>
  <c r="R114" i="2"/>
  <c r="U749" i="1"/>
  <c r="U16" i="6" s="1"/>
  <c r="U740" i="1"/>
  <c r="U100" i="4" s="1"/>
  <c r="U724" i="1"/>
  <c r="U156" i="2" s="1"/>
  <c r="N116" i="3"/>
  <c r="P733" i="1"/>
  <c r="N72" i="3"/>
  <c r="U738" i="1"/>
  <c r="U16" i="4" s="1"/>
  <c r="T72" i="3"/>
  <c r="T116" i="3"/>
  <c r="S158" i="3"/>
  <c r="S43" i="3"/>
  <c r="S144" i="3"/>
  <c r="U734" i="1"/>
  <c r="U144" i="3" s="1"/>
  <c r="S127" i="10"/>
  <c r="S113" i="10"/>
  <c r="U765" i="1"/>
  <c r="U43" i="10" s="1"/>
  <c r="U767" i="1"/>
  <c r="U127" i="10" s="1"/>
  <c r="U748" i="1"/>
  <c r="U141" i="5" s="1"/>
  <c r="S43" i="5"/>
  <c r="S113" i="5"/>
  <c r="T116" i="6"/>
  <c r="T44" i="6"/>
  <c r="T58" i="3"/>
  <c r="T183" i="11"/>
  <c r="T16" i="4"/>
  <c r="T72" i="4"/>
  <c r="T100" i="4"/>
  <c r="T44" i="4"/>
  <c r="T156" i="2"/>
  <c r="T114" i="2"/>
  <c r="T85" i="2"/>
  <c r="T15" i="2"/>
  <c r="T72" i="9"/>
  <c r="T143" i="9"/>
  <c r="U751" i="1"/>
  <c r="U116" i="6" s="1"/>
  <c r="U745" i="1"/>
  <c r="U127" i="5" s="1"/>
  <c r="T101" i="6"/>
  <c r="T99" i="12"/>
  <c r="T43" i="3"/>
  <c r="T144" i="3"/>
  <c r="T43" i="9"/>
  <c r="T15" i="9"/>
  <c r="T99" i="10"/>
  <c r="T43" i="10"/>
  <c r="T113" i="8"/>
  <c r="T127" i="8"/>
  <c r="T99" i="8"/>
  <c r="T85" i="8"/>
  <c r="U720" i="1"/>
  <c r="U169" i="8" s="1"/>
  <c r="T173" i="9"/>
  <c r="T29" i="9"/>
  <c r="U746" i="1"/>
  <c r="U43" i="5" s="1"/>
  <c r="U747" i="1"/>
  <c r="U71" i="5" s="1"/>
  <c r="T57" i="2"/>
  <c r="T43" i="2"/>
  <c r="T29" i="12"/>
  <c r="T113" i="12"/>
  <c r="T102" i="7"/>
  <c r="T15" i="3"/>
  <c r="T85" i="5"/>
  <c r="T71" i="5"/>
  <c r="T113" i="5"/>
  <c r="T43" i="5"/>
  <c r="T15" i="7"/>
  <c r="T45" i="7"/>
  <c r="T99" i="5"/>
  <c r="T15" i="5"/>
  <c r="T169" i="8"/>
  <c r="T71" i="8"/>
  <c r="T16" i="6"/>
  <c r="T58" i="6"/>
  <c r="T113" i="10"/>
  <c r="T127" i="10"/>
  <c r="T141" i="5"/>
  <c r="T57" i="5"/>
  <c r="U99" i="11"/>
  <c r="U71" i="11"/>
  <c r="S43" i="9"/>
  <c r="S115" i="4"/>
  <c r="R44" i="7"/>
  <c r="S15" i="5"/>
  <c r="P10" i="5"/>
  <c r="S42" i="10"/>
  <c r="S15" i="2"/>
  <c r="S112" i="10"/>
  <c r="S145" i="6"/>
  <c r="S29" i="5"/>
  <c r="S44" i="6"/>
  <c r="S44" i="4"/>
  <c r="S58" i="4"/>
  <c r="S160" i="6"/>
  <c r="U773" i="1"/>
  <c r="U29" i="11" s="1"/>
  <c r="U57" i="9"/>
  <c r="U87" i="9"/>
  <c r="U71" i="10"/>
  <c r="U141" i="10"/>
  <c r="U200" i="3"/>
  <c r="U158" i="3"/>
  <c r="S29" i="11"/>
  <c r="S155" i="11"/>
  <c r="S114" i="2"/>
  <c r="S85" i="5"/>
  <c r="T155" i="11"/>
  <c r="T29" i="11"/>
  <c r="U85" i="11"/>
  <c r="U57" i="11"/>
  <c r="U72" i="3"/>
  <c r="U43" i="12"/>
  <c r="U160" i="6"/>
  <c r="U127" i="11"/>
  <c r="U141" i="11"/>
  <c r="U196" i="11"/>
  <c r="U169" i="11"/>
  <c r="U86" i="3"/>
  <c r="U130" i="3"/>
  <c r="U57" i="8"/>
  <c r="U15" i="8"/>
  <c r="U113" i="12"/>
  <c r="U29" i="12"/>
  <c r="R126" i="12"/>
  <c r="S142" i="2"/>
  <c r="R70" i="12"/>
  <c r="U115" i="4"/>
  <c r="U200" i="4"/>
  <c r="U169" i="10"/>
  <c r="U15" i="10"/>
  <c r="U15" i="11"/>
  <c r="U113" i="11"/>
  <c r="U29" i="10"/>
  <c r="U85" i="10"/>
  <c r="U155" i="10"/>
  <c r="U57" i="10"/>
  <c r="U145" i="6"/>
  <c r="U87" i="6"/>
  <c r="U29" i="2"/>
  <c r="U128" i="2"/>
  <c r="U100" i="3"/>
  <c r="U29" i="3"/>
  <c r="U158" i="4"/>
  <c r="U186" i="4"/>
  <c r="U144" i="4"/>
  <c r="U58" i="4"/>
  <c r="R56" i="11"/>
  <c r="R70" i="5"/>
  <c r="R199" i="4"/>
  <c r="R168" i="8"/>
  <c r="S101" i="9"/>
  <c r="R43" i="4"/>
  <c r="R126" i="8"/>
  <c r="R140" i="5"/>
  <c r="R182" i="11"/>
  <c r="S113" i="8"/>
  <c r="S71" i="8"/>
  <c r="S99" i="4"/>
  <c r="S15" i="7"/>
  <c r="U130" i="4"/>
  <c r="U172" i="4"/>
  <c r="S428" i="17"/>
  <c r="S503" i="17"/>
  <c r="U163" i="17"/>
  <c r="U220" i="17"/>
  <c r="U258" i="17"/>
  <c r="U353" i="17"/>
  <c r="U503" i="17"/>
  <c r="U428" i="17"/>
  <c r="S258" i="17"/>
  <c r="S353" i="17"/>
  <c r="S220" i="17"/>
  <c r="S163" i="17"/>
  <c r="U334" i="17"/>
  <c r="U13" i="17"/>
  <c r="S334" i="17"/>
  <c r="S13" i="17"/>
  <c r="U101" i="9"/>
  <c r="U115" i="9"/>
  <c r="U142" i="2"/>
  <c r="U100" i="2"/>
  <c r="U29" i="8"/>
  <c r="U141" i="8"/>
  <c r="U651" i="1"/>
  <c r="U55" i="12" s="1"/>
  <c r="S182" i="12"/>
  <c r="S155" i="2"/>
  <c r="R29" i="4"/>
  <c r="R143" i="4"/>
  <c r="R140" i="10"/>
  <c r="R57" i="3"/>
  <c r="R157" i="3"/>
  <c r="S127" i="2"/>
  <c r="R158" i="9"/>
  <c r="R56" i="8"/>
  <c r="R70" i="8"/>
  <c r="S14" i="3"/>
  <c r="R126" i="2"/>
  <c r="R15" i="4"/>
  <c r="R71" i="4"/>
  <c r="S144" i="6"/>
  <c r="S86" i="6"/>
  <c r="R42" i="5"/>
  <c r="S112" i="11"/>
  <c r="S168" i="11"/>
  <c r="U686" i="1"/>
  <c r="U140" i="5" s="1"/>
  <c r="S126" i="10"/>
  <c r="S42" i="3"/>
  <c r="U672" i="1"/>
  <c r="U57" i="3" s="1"/>
  <c r="S672" i="1"/>
  <c r="R115" i="3"/>
  <c r="R199" i="3"/>
  <c r="U680" i="1"/>
  <c r="U29" i="4" s="1"/>
  <c r="U674" i="1"/>
  <c r="U199" i="3" s="1"/>
  <c r="S674" i="1"/>
  <c r="T199" i="3"/>
  <c r="T115" i="3"/>
  <c r="T14" i="11"/>
  <c r="T84" i="11"/>
  <c r="S686" i="1"/>
  <c r="S716" i="1"/>
  <c r="T57" i="3"/>
  <c r="T157" i="3"/>
  <c r="T140" i="5"/>
  <c r="T70" i="5"/>
  <c r="S14" i="9"/>
  <c r="S70" i="8"/>
  <c r="S56" i="8"/>
  <c r="R168" i="12"/>
  <c r="U657" i="1"/>
  <c r="U70" i="8" s="1"/>
  <c r="U660" i="1"/>
  <c r="U56" i="11" s="1"/>
  <c r="S57" i="6"/>
  <c r="S14" i="2"/>
  <c r="S660" i="1"/>
  <c r="R113" i="2"/>
  <c r="R14" i="8"/>
  <c r="R84" i="8"/>
  <c r="R99" i="2"/>
  <c r="S658" i="1"/>
  <c r="S676" i="1"/>
  <c r="S14" i="5"/>
  <c r="U653" i="1"/>
  <c r="U84" i="8" s="1"/>
  <c r="S42" i="9"/>
  <c r="S72" i="7"/>
  <c r="U658" i="1"/>
  <c r="U126" i="8" s="1"/>
  <c r="U711" i="1"/>
  <c r="U98" i="12" s="1"/>
  <c r="S717" i="1"/>
  <c r="S168" i="12" s="1"/>
  <c r="S677" i="1"/>
  <c r="T70" i="8"/>
  <c r="T56" i="8"/>
  <c r="T84" i="8"/>
  <c r="T14" i="8"/>
  <c r="U663" i="1"/>
  <c r="U142" i="9" s="1"/>
  <c r="U673" i="1"/>
  <c r="U171" i="3" s="1"/>
  <c r="U697" i="1"/>
  <c r="U86" i="9" s="1"/>
  <c r="T99" i="2"/>
  <c r="T113" i="2"/>
  <c r="T101" i="7"/>
  <c r="T84" i="2"/>
  <c r="S692" i="1"/>
  <c r="S58" i="7" s="1"/>
  <c r="S685" i="1"/>
  <c r="S42" i="5" s="1"/>
  <c r="T70" i="12"/>
  <c r="T126" i="12"/>
  <c r="T56" i="12"/>
  <c r="T154" i="12"/>
  <c r="U665" i="1"/>
  <c r="U84" i="2" s="1"/>
  <c r="U715" i="1"/>
  <c r="U14" i="12" s="1"/>
  <c r="U714" i="1"/>
  <c r="U197" i="12" s="1"/>
  <c r="U675" i="1"/>
  <c r="U171" i="4" s="1"/>
  <c r="U702" i="1"/>
  <c r="U140" i="10" s="1"/>
  <c r="U15" i="6"/>
  <c r="U29" i="6"/>
  <c r="T114" i="4"/>
  <c r="T71" i="4"/>
  <c r="S675" i="1"/>
  <c r="T84" i="12"/>
  <c r="T197" i="12"/>
  <c r="T29" i="4"/>
  <c r="T143" i="4"/>
  <c r="T28" i="12"/>
  <c r="T98" i="12"/>
  <c r="U713" i="1"/>
  <c r="U56" i="12" s="1"/>
  <c r="U689" i="1"/>
  <c r="U100" i="6" s="1"/>
  <c r="S696" i="1"/>
  <c r="S71" i="9" s="1"/>
  <c r="U703" i="1"/>
  <c r="U28" i="10" s="1"/>
  <c r="U699" i="1"/>
  <c r="U154" i="10" s="1"/>
  <c r="U666" i="1"/>
  <c r="U99" i="2" s="1"/>
  <c r="T168" i="8"/>
  <c r="T126" i="8"/>
  <c r="T154" i="8"/>
  <c r="T28" i="8"/>
  <c r="T56" i="11"/>
  <c r="T182" i="11"/>
  <c r="T199" i="4"/>
  <c r="T43" i="4"/>
  <c r="U706" i="1"/>
  <c r="U195" i="11" s="1"/>
  <c r="U681" i="1"/>
  <c r="U57" i="4" s="1"/>
  <c r="U707" i="1"/>
  <c r="U84" i="11" s="1"/>
  <c r="U676" i="1"/>
  <c r="U199" i="4" s="1"/>
  <c r="U677" i="1"/>
  <c r="U114" i="4" s="1"/>
  <c r="U716" i="1"/>
  <c r="U126" i="12" s="1"/>
  <c r="U696" i="1"/>
  <c r="U158" i="9" s="1"/>
  <c r="S666" i="1"/>
  <c r="U656" i="1"/>
  <c r="U42" i="8" s="1"/>
  <c r="U655" i="1"/>
  <c r="U28" i="8" s="1"/>
  <c r="U654" i="1"/>
  <c r="U112" i="8" s="1"/>
  <c r="U14" i="3"/>
  <c r="U129" i="3"/>
  <c r="S128" i="9"/>
  <c r="S702" i="1"/>
  <c r="T98" i="10"/>
  <c r="T140" i="10"/>
  <c r="T71" i="9"/>
  <c r="T158" i="9"/>
  <c r="U86" i="6"/>
  <c r="U159" i="6"/>
  <c r="U114" i="9"/>
  <c r="U128" i="9"/>
  <c r="U84" i="10"/>
  <c r="U42" i="10"/>
  <c r="R13" i="2"/>
  <c r="R27" i="3"/>
  <c r="U182" i="12"/>
  <c r="U42" i="12"/>
  <c r="U98" i="5"/>
  <c r="U112" i="5"/>
  <c r="S14" i="8"/>
  <c r="S143" i="4"/>
  <c r="U685" i="1"/>
  <c r="U126" i="5" s="1"/>
  <c r="U692" i="1"/>
  <c r="U44" i="7" s="1"/>
  <c r="T42" i="5"/>
  <c r="T126" i="5"/>
  <c r="U56" i="5"/>
  <c r="U14" i="5"/>
  <c r="U172" i="9"/>
  <c r="U42" i="9"/>
  <c r="U154" i="11"/>
  <c r="U140" i="11"/>
  <c r="U99" i="4"/>
  <c r="U129" i="4"/>
  <c r="U141" i="2"/>
  <c r="U14" i="2"/>
  <c r="S28" i="3"/>
  <c r="U28" i="3"/>
  <c r="U85" i="3"/>
  <c r="U71" i="3"/>
  <c r="U99" i="3"/>
  <c r="U43" i="6"/>
  <c r="U144" i="6"/>
  <c r="U57" i="6"/>
  <c r="U115" i="6"/>
  <c r="U14" i="9"/>
  <c r="U100" i="9"/>
  <c r="U84" i="5"/>
  <c r="U28" i="5"/>
  <c r="U168" i="11"/>
  <c r="U14" i="7"/>
  <c r="U72" i="7"/>
  <c r="U28" i="11"/>
  <c r="U127" i="2"/>
  <c r="U56" i="2"/>
  <c r="U717" i="1"/>
  <c r="U140" i="12" s="1"/>
  <c r="S185" i="4"/>
  <c r="U98" i="11"/>
  <c r="U112" i="11"/>
  <c r="T140" i="12"/>
  <c r="T168" i="12"/>
  <c r="T44" i="7"/>
  <c r="T58" i="7"/>
  <c r="U85" i="4"/>
  <c r="U185" i="4"/>
  <c r="U42" i="3"/>
  <c r="U185" i="3"/>
  <c r="R142" i="4"/>
  <c r="U112" i="10"/>
  <c r="U56" i="10"/>
  <c r="S661" i="1"/>
  <c r="S42" i="2" s="1"/>
  <c r="U661" i="1"/>
  <c r="U155" i="2"/>
  <c r="U70" i="2"/>
  <c r="U126" i="10"/>
  <c r="U14" i="10"/>
  <c r="T13" i="11"/>
  <c r="U617" i="1"/>
  <c r="U42" i="4" s="1"/>
  <c r="R13" i="11"/>
  <c r="R41" i="11"/>
  <c r="T13" i="12"/>
  <c r="P122" i="12"/>
  <c r="R28" i="2"/>
  <c r="R42" i="2"/>
  <c r="N41" i="11"/>
  <c r="P598" i="1"/>
  <c r="N13" i="11"/>
  <c r="P164" i="12"/>
  <c r="N181" i="12"/>
  <c r="P651" i="1"/>
  <c r="N55" i="12"/>
  <c r="P648" i="1"/>
  <c r="N13" i="12"/>
  <c r="N97" i="12"/>
  <c r="U637" i="1"/>
  <c r="U69" i="10" s="1"/>
  <c r="P595" i="1"/>
  <c r="N125" i="8"/>
  <c r="N69" i="8"/>
  <c r="R158" i="6"/>
  <c r="N84" i="4"/>
  <c r="P613" i="1"/>
  <c r="N14" i="4"/>
  <c r="T14" i="4"/>
  <c r="T84" i="4"/>
  <c r="N42" i="4"/>
  <c r="N170" i="4"/>
  <c r="P617" i="1"/>
  <c r="T170" i="4"/>
  <c r="T42" i="4"/>
  <c r="U611" i="1"/>
  <c r="U114" i="3" s="1"/>
  <c r="T55" i="12"/>
  <c r="T181" i="12"/>
  <c r="T158" i="6"/>
  <c r="T114" i="6"/>
  <c r="T170" i="3"/>
  <c r="T114" i="3"/>
  <c r="T69" i="2"/>
  <c r="T13" i="2"/>
  <c r="T41" i="5"/>
  <c r="T83" i="5"/>
  <c r="T99" i="6"/>
  <c r="T143" i="6"/>
  <c r="T41" i="12"/>
  <c r="T125" i="12"/>
  <c r="U41" i="12"/>
  <c r="U125" i="12"/>
  <c r="S631" i="1"/>
  <c r="S27" i="9" s="1"/>
  <c r="U631" i="1"/>
  <c r="U70" i="9"/>
  <c r="U55" i="9"/>
  <c r="S634" i="1"/>
  <c r="S127" i="9" s="1"/>
  <c r="U634" i="1"/>
  <c r="S636" i="1"/>
  <c r="S125" i="10" s="1"/>
  <c r="U636" i="1"/>
  <c r="S638" i="1"/>
  <c r="S41" i="10" s="1"/>
  <c r="U638" i="1"/>
  <c r="S609" i="1"/>
  <c r="S128" i="3" s="1"/>
  <c r="U609" i="1"/>
  <c r="S652" i="1"/>
  <c r="S196" i="12" s="1"/>
  <c r="U652" i="1"/>
  <c r="S608" i="1"/>
  <c r="S98" i="3" s="1"/>
  <c r="U608" i="1"/>
  <c r="U139" i="10"/>
  <c r="U13" i="10"/>
  <c r="S630" i="1"/>
  <c r="U630" i="1"/>
  <c r="S618" i="1"/>
  <c r="S184" i="4" s="1"/>
  <c r="U618" i="1"/>
  <c r="R184" i="4"/>
  <c r="U604" i="1"/>
  <c r="S633" i="1"/>
  <c r="U633" i="1"/>
  <c r="S622" i="1"/>
  <c r="S55" i="5" s="1"/>
  <c r="U622" i="1"/>
  <c r="S648" i="1"/>
  <c r="S97" i="12" s="1"/>
  <c r="U648" i="1"/>
  <c r="R42" i="6"/>
  <c r="R71" i="7"/>
  <c r="U139" i="11"/>
  <c r="U55" i="11"/>
  <c r="S644" i="1"/>
  <c r="S167" i="11" s="1"/>
  <c r="U644" i="1"/>
  <c r="S645" i="1"/>
  <c r="U645" i="1"/>
  <c r="S626" i="1"/>
  <c r="U626" i="1"/>
  <c r="R71" i="6"/>
  <c r="U27" i="12"/>
  <c r="U57" i="7"/>
  <c r="S602" i="1"/>
  <c r="S83" i="2" s="1"/>
  <c r="U602" i="1"/>
  <c r="T69" i="10"/>
  <c r="T55" i="10"/>
  <c r="S620" i="1"/>
  <c r="S27" i="5" s="1"/>
  <c r="U620" i="1"/>
  <c r="S627" i="1"/>
  <c r="S99" i="6" s="1"/>
  <c r="U627" i="1"/>
  <c r="S639" i="1"/>
  <c r="S97" i="10" s="1"/>
  <c r="U639" i="1"/>
  <c r="S603" i="1"/>
  <c r="U603" i="1"/>
  <c r="U157" i="9"/>
  <c r="U99" i="9"/>
  <c r="S610" i="1"/>
  <c r="S142" i="3" s="1"/>
  <c r="U610" i="1"/>
  <c r="S621" i="1"/>
  <c r="U621" i="1"/>
  <c r="S614" i="1"/>
  <c r="S156" i="4" s="1"/>
  <c r="U614" i="1"/>
  <c r="S613" i="1"/>
  <c r="S14" i="4" s="1"/>
  <c r="U613" i="1"/>
  <c r="S647" i="1"/>
  <c r="S69" i="12" s="1"/>
  <c r="U647" i="1"/>
  <c r="R141" i="9"/>
  <c r="U69" i="11"/>
  <c r="U125" i="11"/>
  <c r="S625" i="1"/>
  <c r="U625" i="1"/>
  <c r="S623" i="1"/>
  <c r="S69" i="5" s="1"/>
  <c r="U623" i="1"/>
  <c r="S642" i="1"/>
  <c r="S111" i="11" s="1"/>
  <c r="U642" i="1"/>
  <c r="S605" i="1"/>
  <c r="U605" i="1"/>
  <c r="R27" i="10"/>
  <c r="S612" i="1"/>
  <c r="S184" i="3" s="1"/>
  <c r="U612" i="1"/>
  <c r="S606" i="1"/>
  <c r="S140" i="2" s="1"/>
  <c r="U606" i="1"/>
  <c r="S628" i="1"/>
  <c r="U628" i="1"/>
  <c r="S616" i="1"/>
  <c r="U616" i="1"/>
  <c r="U198" i="4"/>
  <c r="U56" i="4"/>
  <c r="S650" i="1"/>
  <c r="S83" i="12" s="1"/>
  <c r="U650" i="1"/>
  <c r="S615" i="1"/>
  <c r="U615" i="1"/>
  <c r="S624" i="1"/>
  <c r="U624" i="1"/>
  <c r="U13" i="9"/>
  <c r="U13" i="7"/>
  <c r="R99" i="6"/>
  <c r="R83" i="5"/>
  <c r="R143" i="6"/>
  <c r="T97" i="8"/>
  <c r="T27" i="8"/>
  <c r="S601" i="1"/>
  <c r="S83" i="10" s="1"/>
  <c r="U601" i="1"/>
  <c r="S599" i="1"/>
  <c r="U599" i="1"/>
  <c r="S600" i="1"/>
  <c r="S41" i="3" s="1"/>
  <c r="U600" i="1"/>
  <c r="S598" i="1"/>
  <c r="U598" i="1"/>
  <c r="U85" i="6"/>
  <c r="U129" i="6"/>
  <c r="U167" i="8"/>
  <c r="U41" i="8"/>
  <c r="U125" i="8"/>
  <c r="U69" i="8"/>
  <c r="S594" i="1"/>
  <c r="S55" i="8" s="1"/>
  <c r="U594" i="1"/>
  <c r="R139" i="8"/>
  <c r="S593" i="1"/>
  <c r="U593" i="1"/>
  <c r="R98" i="3"/>
  <c r="R153" i="12"/>
  <c r="R56" i="3"/>
  <c r="R194" i="11"/>
  <c r="R153" i="11"/>
  <c r="R139" i="12"/>
  <c r="R83" i="12"/>
  <c r="R55" i="5"/>
  <c r="R111" i="5"/>
  <c r="R196" i="12"/>
  <c r="R13" i="3"/>
  <c r="R41" i="3"/>
  <c r="R27" i="9"/>
  <c r="R127" i="9"/>
  <c r="R97" i="10"/>
  <c r="R153" i="10"/>
  <c r="R125" i="10"/>
  <c r="R41" i="10"/>
  <c r="R167" i="11"/>
  <c r="R83" i="10"/>
  <c r="R28" i="4"/>
  <c r="R28" i="7"/>
  <c r="R41" i="9"/>
  <c r="R125" i="5"/>
  <c r="R111" i="10"/>
  <c r="R156" i="4"/>
  <c r="R97" i="5"/>
  <c r="R69" i="12"/>
  <c r="R167" i="12"/>
  <c r="R97" i="12"/>
  <c r="R111" i="11"/>
  <c r="R167" i="10"/>
  <c r="R83" i="11"/>
  <c r="R13" i="12"/>
  <c r="R181" i="11"/>
  <c r="R55" i="8"/>
  <c r="R27" i="8"/>
  <c r="R128" i="3"/>
  <c r="R154" i="2"/>
  <c r="R27" i="2"/>
  <c r="R140" i="2"/>
  <c r="R113" i="4"/>
  <c r="R69" i="5"/>
  <c r="R14" i="4"/>
  <c r="R142" i="3"/>
  <c r="R139" i="5"/>
  <c r="R198" i="3"/>
  <c r="R156" i="3"/>
  <c r="R70" i="3"/>
  <c r="R84" i="4"/>
  <c r="R13" i="5"/>
  <c r="R70" i="4"/>
  <c r="R27" i="5"/>
  <c r="R98" i="4"/>
  <c r="R184" i="3"/>
  <c r="P40" i="11"/>
  <c r="T12" i="5"/>
  <c r="T13" i="6"/>
  <c r="T42" i="7"/>
  <c r="N42" i="7"/>
  <c r="P572" i="1"/>
  <c r="N12" i="3"/>
  <c r="T98" i="6"/>
  <c r="P570" i="1"/>
  <c r="N55" i="6"/>
  <c r="N128" i="6"/>
  <c r="T128" i="6"/>
  <c r="T55" i="6"/>
  <c r="N98" i="6"/>
  <c r="P568" i="1"/>
  <c r="N13" i="6"/>
  <c r="T124" i="5"/>
  <c r="N124" i="5"/>
  <c r="N12" i="5"/>
  <c r="P566" i="1"/>
  <c r="P557" i="1"/>
  <c r="N99" i="7"/>
  <c r="N155" i="3"/>
  <c r="N83" i="3"/>
  <c r="P555" i="1"/>
  <c r="N197" i="3"/>
  <c r="T197" i="3"/>
  <c r="T83" i="3"/>
  <c r="N82" i="2"/>
  <c r="P552" i="1"/>
  <c r="N125" i="2"/>
  <c r="T125" i="2"/>
  <c r="T82" i="2"/>
  <c r="T113" i="6"/>
  <c r="T84" i="6"/>
  <c r="T26" i="2"/>
  <c r="T12" i="2"/>
  <c r="T152" i="12"/>
  <c r="T138" i="12"/>
  <c r="T68" i="11"/>
  <c r="T110" i="11"/>
  <c r="T54" i="12"/>
  <c r="T68" i="12"/>
  <c r="T180" i="12"/>
  <c r="T110" i="12"/>
  <c r="T126" i="9"/>
  <c r="T84" i="9"/>
  <c r="T166" i="12"/>
  <c r="T82" i="12"/>
  <c r="T166" i="10"/>
  <c r="T138" i="10"/>
  <c r="T40" i="2"/>
  <c r="T27" i="7"/>
  <c r="T83" i="4"/>
  <c r="T69" i="4"/>
  <c r="T68" i="10"/>
  <c r="T40" i="10"/>
  <c r="P96" i="3"/>
  <c r="R53" i="10"/>
  <c r="R11" i="12"/>
  <c r="P137" i="8"/>
  <c r="R81" i="10"/>
  <c r="R123" i="12"/>
  <c r="R154" i="4"/>
  <c r="R96" i="3"/>
  <c r="P195" i="4"/>
  <c r="R55" i="7"/>
  <c r="R152" i="2"/>
  <c r="R510" i="1"/>
  <c r="R109" i="5" s="1"/>
  <c r="P179" i="12"/>
  <c r="R170" i="9"/>
  <c r="U578" i="1"/>
  <c r="R54" i="9"/>
  <c r="U577" i="1"/>
  <c r="U579" i="1"/>
  <c r="U583" i="1"/>
  <c r="R128" i="6"/>
  <c r="U570" i="1"/>
  <c r="R113" i="3"/>
  <c r="U556" i="1"/>
  <c r="R26" i="10"/>
  <c r="U582" i="1"/>
  <c r="R124" i="5"/>
  <c r="U566" i="1"/>
  <c r="R110" i="12"/>
  <c r="U592" i="1"/>
  <c r="R83" i="4"/>
  <c r="U560" i="1"/>
  <c r="R98" i="6"/>
  <c r="U568" i="1"/>
  <c r="R40" i="11"/>
  <c r="U587" i="1"/>
  <c r="U576" i="1"/>
  <c r="R12" i="10"/>
  <c r="U580" i="1"/>
  <c r="U591" i="1"/>
  <c r="U590" i="1"/>
  <c r="R138" i="11"/>
  <c r="U585" i="1"/>
  <c r="R183" i="4"/>
  <c r="U561" i="1"/>
  <c r="R85" i="7"/>
  <c r="U573" i="1"/>
  <c r="R97" i="2"/>
  <c r="U553" i="1"/>
  <c r="R70" i="6"/>
  <c r="U571" i="1"/>
  <c r="R82" i="2"/>
  <c r="U552" i="1"/>
  <c r="R26" i="2"/>
  <c r="U550" i="1"/>
  <c r="R83" i="3"/>
  <c r="U555" i="1"/>
  <c r="R54" i="5"/>
  <c r="U565" i="1"/>
  <c r="R127" i="4"/>
  <c r="U559" i="1"/>
  <c r="R13" i="4"/>
  <c r="U562" i="1"/>
  <c r="U589" i="1"/>
  <c r="R68" i="10"/>
  <c r="U581" i="1"/>
  <c r="U586" i="1"/>
  <c r="U569" i="1"/>
  <c r="R54" i="2"/>
  <c r="U551" i="1"/>
  <c r="R40" i="12"/>
  <c r="U588" i="1"/>
  <c r="R97" i="3"/>
  <c r="U558" i="1"/>
  <c r="R110" i="8"/>
  <c r="U574" i="1"/>
  <c r="R42" i="7"/>
  <c r="U572" i="1"/>
  <c r="U575" i="1"/>
  <c r="R68" i="5"/>
  <c r="U564" i="1"/>
  <c r="U554" i="1"/>
  <c r="R96" i="5"/>
  <c r="U567" i="1"/>
  <c r="U557" i="1"/>
  <c r="R141" i="4"/>
  <c r="U563" i="1"/>
  <c r="R27" i="6"/>
  <c r="U548" i="1"/>
  <c r="U549" i="1"/>
  <c r="U546" i="1"/>
  <c r="R180" i="11"/>
  <c r="U547" i="1"/>
  <c r="R183" i="3"/>
  <c r="U545" i="1"/>
  <c r="S511" i="1"/>
  <c r="S95" i="5" s="1"/>
  <c r="S532" i="1"/>
  <c r="S151" i="10" s="1"/>
  <c r="R496" i="1"/>
  <c r="S496" i="1" s="1"/>
  <c r="S39" i="2" s="1"/>
  <c r="S501" i="1"/>
  <c r="S140" i="3" s="1"/>
  <c r="S528" i="1"/>
  <c r="S68" i="9" s="1"/>
  <c r="R124" i="2"/>
  <c r="R67" i="11"/>
  <c r="R95" i="12"/>
  <c r="R39" i="10"/>
  <c r="R26" i="7"/>
  <c r="R10" i="9"/>
  <c r="R139" i="9"/>
  <c r="R67" i="2"/>
  <c r="R155" i="9"/>
  <c r="R140" i="6"/>
  <c r="R138" i="2"/>
  <c r="R169" i="9"/>
  <c r="R95" i="8"/>
  <c r="N165" i="8"/>
  <c r="P526" i="1"/>
  <c r="N109" i="8"/>
  <c r="R526" i="1"/>
  <c r="R95" i="5"/>
  <c r="R53" i="5"/>
  <c r="P521" i="1"/>
  <c r="N81" i="8"/>
  <c r="N25" i="8"/>
  <c r="R521" i="1"/>
  <c r="S516" i="1"/>
  <c r="S12" i="6" s="1"/>
  <c r="R12" i="6"/>
  <c r="U516" i="1"/>
  <c r="U12" i="6" s="1"/>
  <c r="R127" i="6"/>
  <c r="P513" i="1"/>
  <c r="N40" i="6"/>
  <c r="N83" i="6"/>
  <c r="R513" i="1"/>
  <c r="N12" i="6"/>
  <c r="N127" i="6"/>
  <c r="P516" i="1"/>
  <c r="N109" i="5"/>
  <c r="N81" i="5"/>
  <c r="P510" i="1"/>
  <c r="N39" i="2"/>
  <c r="N11" i="2"/>
  <c r="P496" i="1"/>
  <c r="R98" i="7"/>
  <c r="R53" i="9"/>
  <c r="R97" i="9"/>
  <c r="R168" i="4"/>
  <c r="N168" i="3"/>
  <c r="N68" i="3"/>
  <c r="P492" i="1"/>
  <c r="R492" i="1"/>
  <c r="R141" i="3"/>
  <c r="R123" i="10"/>
  <c r="R81" i="11"/>
  <c r="R196" i="4"/>
  <c r="R95" i="11"/>
  <c r="R67" i="10"/>
  <c r="R97" i="4"/>
  <c r="S181" i="3"/>
  <c r="R125" i="2"/>
  <c r="R112" i="9"/>
  <c r="R179" i="11"/>
  <c r="R112" i="4"/>
  <c r="R25" i="11"/>
  <c r="R25" i="3"/>
  <c r="S196" i="3"/>
  <c r="R127" i="3"/>
  <c r="R124" i="11"/>
  <c r="R112" i="6"/>
  <c r="R26" i="11"/>
  <c r="R153" i="2"/>
  <c r="S94" i="8"/>
  <c r="R12" i="5"/>
  <c r="R41" i="4"/>
  <c r="R68" i="9"/>
  <c r="R54" i="10"/>
  <c r="R39" i="9"/>
  <c r="R26" i="6"/>
  <c r="R109" i="12"/>
  <c r="R11" i="8"/>
  <c r="R123" i="8"/>
  <c r="R40" i="7"/>
  <c r="R67" i="8"/>
  <c r="R82" i="3"/>
  <c r="R137" i="8"/>
  <c r="R39" i="8"/>
  <c r="R11" i="11"/>
  <c r="R140" i="3"/>
  <c r="U524" i="1"/>
  <c r="U11" i="8" s="1"/>
  <c r="U494" i="1"/>
  <c r="U124" i="2" s="1"/>
  <c r="U531" i="1"/>
  <c r="U169" i="9" s="1"/>
  <c r="U525" i="1"/>
  <c r="U123" i="8" s="1"/>
  <c r="U520" i="1"/>
  <c r="U98" i="7" s="1"/>
  <c r="U514" i="1"/>
  <c r="U26" i="6" s="1"/>
  <c r="U502" i="1"/>
  <c r="U96" i="3" s="1"/>
  <c r="S494" i="1"/>
  <c r="S520" i="1"/>
  <c r="S140" i="9" s="1"/>
  <c r="S529" i="1"/>
  <c r="S499" i="1"/>
  <c r="S138" i="2" s="1"/>
  <c r="U523" i="1"/>
  <c r="U67" i="8" s="1"/>
  <c r="R154" i="3"/>
  <c r="U529" i="1"/>
  <c r="U53" i="9" s="1"/>
  <c r="U518" i="1"/>
  <c r="U26" i="7" s="1"/>
  <c r="T179" i="11"/>
  <c r="T25" i="11"/>
  <c r="T53" i="9"/>
  <c r="T97" i="9"/>
  <c r="T11" i="8"/>
  <c r="T95" i="8"/>
  <c r="T98" i="7"/>
  <c r="T140" i="9"/>
  <c r="U539" i="1"/>
  <c r="U25" i="11" s="1"/>
  <c r="T169" i="9"/>
  <c r="T155" i="9"/>
  <c r="T152" i="2"/>
  <c r="T124" i="2"/>
  <c r="T123" i="8"/>
  <c r="T137" i="8"/>
  <c r="T39" i="8"/>
  <c r="T67" i="8"/>
  <c r="R11" i="7"/>
  <c r="S517" i="1"/>
  <c r="U532" i="1"/>
  <c r="U39" i="10" s="1"/>
  <c r="S55" i="7"/>
  <c r="S26" i="7"/>
  <c r="S533" i="1"/>
  <c r="T192" i="11"/>
  <c r="T11" i="7"/>
  <c r="U517" i="1"/>
  <c r="U11" i="7" s="1"/>
  <c r="U528" i="1"/>
  <c r="U39" i="9" s="1"/>
  <c r="T112" i="6"/>
  <c r="T26" i="6"/>
  <c r="S123" i="8"/>
  <c r="S39" i="5"/>
  <c r="U536" i="1"/>
  <c r="U95" i="11" s="1"/>
  <c r="S81" i="11"/>
  <c r="S95" i="11"/>
  <c r="U511" i="1"/>
  <c r="U95" i="5" s="1"/>
  <c r="U491" i="1"/>
  <c r="U11" i="11" s="1"/>
  <c r="U533" i="1"/>
  <c r="U123" i="10" s="1"/>
  <c r="T95" i="5"/>
  <c r="T53" i="5"/>
  <c r="S11" i="12"/>
  <c r="S123" i="12"/>
  <c r="T81" i="5"/>
  <c r="T109" i="5"/>
  <c r="T39" i="2"/>
  <c r="T11" i="2"/>
  <c r="U508" i="1"/>
  <c r="U196" i="4" s="1"/>
  <c r="T39" i="9"/>
  <c r="T68" i="9"/>
  <c r="U534" i="1"/>
  <c r="U53" i="10" s="1"/>
  <c r="U501" i="1"/>
  <c r="U140" i="3" s="1"/>
  <c r="U543" i="1"/>
  <c r="U151" i="12" s="1"/>
  <c r="T151" i="10"/>
  <c r="T39" i="10"/>
  <c r="U540" i="1"/>
  <c r="U11" i="12" s="1"/>
  <c r="T137" i="5"/>
  <c r="T123" i="5"/>
  <c r="S154" i="3"/>
  <c r="S25" i="3"/>
  <c r="S140" i="4"/>
  <c r="S40" i="4"/>
  <c r="S53" i="10"/>
  <c r="S81" i="10"/>
  <c r="S543" i="1"/>
  <c r="U500" i="1"/>
  <c r="U154" i="3" s="1"/>
  <c r="S112" i="6"/>
  <c r="R140" i="4"/>
  <c r="U505" i="1"/>
  <c r="U40" i="4" s="1"/>
  <c r="R179" i="12"/>
  <c r="R40" i="4"/>
  <c r="U506" i="1"/>
  <c r="U96" i="4" s="1"/>
  <c r="R151" i="12"/>
  <c r="S502" i="1"/>
  <c r="S506" i="1"/>
  <c r="T82" i="3"/>
  <c r="T140" i="3"/>
  <c r="T123" i="10"/>
  <c r="T67" i="10"/>
  <c r="T95" i="11"/>
  <c r="T81" i="11"/>
  <c r="T39" i="3"/>
  <c r="T96" i="3"/>
  <c r="T25" i="2"/>
  <c r="T96" i="2"/>
  <c r="T11" i="12"/>
  <c r="T123" i="12"/>
  <c r="S155" i="9"/>
  <c r="T95" i="12"/>
  <c r="T109" i="12"/>
  <c r="T179" i="12"/>
  <c r="T151" i="12"/>
  <c r="U541" i="1"/>
  <c r="U95" i="12" s="1"/>
  <c r="T154" i="4"/>
  <c r="T96" i="4"/>
  <c r="T140" i="4"/>
  <c r="T40" i="4"/>
  <c r="T196" i="4"/>
  <c r="T168" i="4"/>
  <c r="T67" i="11"/>
  <c r="T11" i="11"/>
  <c r="S179" i="11"/>
  <c r="S65" i="10"/>
  <c r="R24" i="8"/>
  <c r="S11" i="8"/>
  <c r="U530" i="1"/>
  <c r="R12" i="2"/>
  <c r="R138" i="5"/>
  <c r="R94" i="10"/>
  <c r="R12" i="3"/>
  <c r="R26" i="5"/>
  <c r="S95" i="12"/>
  <c r="S81" i="2"/>
  <c r="R26" i="12"/>
  <c r="R97" i="7"/>
  <c r="S11" i="11"/>
  <c r="R180" i="12"/>
  <c r="R69" i="4"/>
  <c r="U527" i="1"/>
  <c r="S196" i="4"/>
  <c r="R167" i="4"/>
  <c r="R110" i="4"/>
  <c r="S111" i="3"/>
  <c r="S39" i="8"/>
  <c r="R41" i="6"/>
  <c r="U535" i="1"/>
  <c r="U542" i="1"/>
  <c r="U69" i="6"/>
  <c r="U141" i="6"/>
  <c r="U537" i="1"/>
  <c r="U138" i="2"/>
  <c r="U67" i="2"/>
  <c r="U196" i="3"/>
  <c r="U11" i="3"/>
  <c r="U504" i="1"/>
  <c r="U512" i="1"/>
  <c r="U522" i="1"/>
  <c r="U507" i="1"/>
  <c r="U53" i="2"/>
  <c r="U81" i="2"/>
  <c r="U11" i="5"/>
  <c r="U39" i="5"/>
  <c r="U498" i="1"/>
  <c r="U156" i="6"/>
  <c r="U97" i="6"/>
  <c r="S97" i="6"/>
  <c r="U493" i="1"/>
  <c r="R37" i="8"/>
  <c r="R24" i="5"/>
  <c r="R81" i="4"/>
  <c r="R195" i="4"/>
  <c r="S108" i="10"/>
  <c r="S453" i="1"/>
  <c r="S110" i="4" s="1"/>
  <c r="R110" i="10"/>
  <c r="U466" i="1"/>
  <c r="U94" i="10" s="1"/>
  <c r="R66" i="5"/>
  <c r="R79" i="10"/>
  <c r="R38" i="5"/>
  <c r="P9" i="9"/>
  <c r="R10" i="5"/>
  <c r="R136" i="5"/>
  <c r="S111" i="6"/>
  <c r="R51" i="8"/>
  <c r="R93" i="10"/>
  <c r="S107" i="12"/>
  <c r="R51" i="12"/>
  <c r="R40" i="10"/>
  <c r="R55" i="6"/>
  <c r="R69" i="9"/>
  <c r="R66" i="12"/>
  <c r="R169" i="3"/>
  <c r="R82" i="11"/>
  <c r="R197" i="3"/>
  <c r="R82" i="5"/>
  <c r="R12" i="8"/>
  <c r="S493" i="1"/>
  <c r="R137" i="11"/>
  <c r="R165" i="11"/>
  <c r="R67" i="9"/>
  <c r="S475" i="1"/>
  <c r="S67" i="9" s="1"/>
  <c r="U475" i="1"/>
  <c r="U67" i="9" s="1"/>
  <c r="R82" i="9"/>
  <c r="N67" i="9"/>
  <c r="P475" i="1"/>
  <c r="N82" i="9"/>
  <c r="N52" i="9"/>
  <c r="P474" i="1"/>
  <c r="N124" i="9"/>
  <c r="R474" i="1"/>
  <c r="S10" i="9"/>
  <c r="R13" i="6"/>
  <c r="R70" i="7"/>
  <c r="R155" i="4"/>
  <c r="R157" i="6"/>
  <c r="S53" i="7"/>
  <c r="U476" i="1"/>
  <c r="U139" i="9" s="1"/>
  <c r="R94" i="11"/>
  <c r="U482" i="1"/>
  <c r="U52" i="11" s="1"/>
  <c r="R52" i="11"/>
  <c r="N52" i="12"/>
  <c r="P486" i="1"/>
  <c r="N94" i="12"/>
  <c r="R486" i="1"/>
  <c r="S440" i="1"/>
  <c r="S136" i="5" s="1"/>
  <c r="N52" i="10"/>
  <c r="N38" i="10"/>
  <c r="P477" i="1"/>
  <c r="R477" i="1"/>
  <c r="U464" i="1"/>
  <c r="U68" i="7" s="1"/>
  <c r="U469" i="1"/>
  <c r="U108" i="8" s="1"/>
  <c r="R38" i="8"/>
  <c r="S469" i="1"/>
  <c r="S108" i="8" s="1"/>
  <c r="R108" i="8"/>
  <c r="U447" i="1"/>
  <c r="U153" i="3" s="1"/>
  <c r="N108" i="8"/>
  <c r="P469" i="1"/>
  <c r="N38" i="8"/>
  <c r="S10" i="8"/>
  <c r="P465" i="1"/>
  <c r="N96" i="9"/>
  <c r="N83" i="7"/>
  <c r="T96" i="9"/>
  <c r="T83" i="7"/>
  <c r="S464" i="1"/>
  <c r="S52" i="8" s="1"/>
  <c r="R68" i="7"/>
  <c r="R52" i="8"/>
  <c r="U442" i="1"/>
  <c r="U140" i="6" s="1"/>
  <c r="R11" i="6"/>
  <c r="R82" i="6"/>
  <c r="R68" i="6"/>
  <c r="R39" i="6"/>
  <c r="R155" i="6"/>
  <c r="R53" i="6"/>
  <c r="R25" i="6"/>
  <c r="N95" i="4"/>
  <c r="N11" i="4"/>
  <c r="P449" i="1"/>
  <c r="R449" i="1"/>
  <c r="S53" i="4"/>
  <c r="S24" i="8"/>
  <c r="S40" i="7"/>
  <c r="S108" i="12"/>
  <c r="U458" i="1"/>
  <c r="U155" i="6" s="1"/>
  <c r="U480" i="1"/>
  <c r="U10" i="10" s="1"/>
  <c r="U468" i="1"/>
  <c r="U40" i="7" s="1"/>
  <c r="U459" i="1"/>
  <c r="U68" i="6" s="1"/>
  <c r="U456" i="1"/>
  <c r="U24" i="5" s="1"/>
  <c r="U454" i="1"/>
  <c r="U38" i="5" s="1"/>
  <c r="S456" i="1"/>
  <c r="S108" i="5" s="1"/>
  <c r="R80" i="5"/>
  <c r="R94" i="5"/>
  <c r="U455" i="1"/>
  <c r="U80" i="5" s="1"/>
  <c r="S53" i="6"/>
  <c r="S155" i="6"/>
  <c r="S11" i="6"/>
  <c r="S82" i="6"/>
  <c r="U457" i="1"/>
  <c r="U11" i="6" s="1"/>
  <c r="R111" i="2"/>
  <c r="S97" i="7"/>
  <c r="R153" i="3"/>
  <c r="R125" i="3"/>
  <c r="S447" i="1"/>
  <c r="S153" i="3" s="1"/>
  <c r="U452" i="1"/>
  <c r="U195" i="4" s="1"/>
  <c r="U443" i="1"/>
  <c r="U66" i="2" s="1"/>
  <c r="R38" i="2"/>
  <c r="S443" i="1"/>
  <c r="R121" i="10"/>
  <c r="R135" i="10"/>
  <c r="S68" i="6"/>
  <c r="S39" i="6"/>
  <c r="S24" i="11"/>
  <c r="S122" i="11"/>
  <c r="S480" i="1"/>
  <c r="T40" i="7"/>
  <c r="T24" i="8"/>
  <c r="R109" i="3"/>
  <c r="S81" i="4"/>
  <c r="R150" i="10"/>
  <c r="T38" i="11"/>
  <c r="T108" i="11"/>
  <c r="R24" i="11"/>
  <c r="R122" i="11"/>
  <c r="R10" i="10"/>
  <c r="U484" i="1"/>
  <c r="U24" i="11" s="1"/>
  <c r="T68" i="7"/>
  <c r="T52" i="8"/>
  <c r="T122" i="11"/>
  <c r="T24" i="11"/>
  <c r="T11" i="6"/>
  <c r="T82" i="6"/>
  <c r="T150" i="10"/>
  <c r="T10" i="10"/>
  <c r="T125" i="3"/>
  <c r="T153" i="3"/>
  <c r="T53" i="6"/>
  <c r="T155" i="6"/>
  <c r="T39" i="6"/>
  <c r="T68" i="6"/>
  <c r="T95" i="2"/>
  <c r="T80" i="2"/>
  <c r="T81" i="4"/>
  <c r="T195" i="4"/>
  <c r="T66" i="2"/>
  <c r="T38" i="2"/>
  <c r="T24" i="5"/>
  <c r="T108" i="5"/>
  <c r="T164" i="10"/>
  <c r="T80" i="10"/>
  <c r="T94" i="10"/>
  <c r="T97" i="7"/>
  <c r="T94" i="5"/>
  <c r="T80" i="5"/>
  <c r="T38" i="5"/>
  <c r="T66" i="5"/>
  <c r="T10" i="9"/>
  <c r="T139" i="9"/>
  <c r="T140" i="6"/>
  <c r="T25" i="6"/>
  <c r="U487" i="1"/>
  <c r="U66" i="12" s="1"/>
  <c r="R135" i="12"/>
  <c r="R52" i="6"/>
  <c r="R65" i="5"/>
  <c r="S164" i="8"/>
  <c r="R95" i="6"/>
  <c r="R107" i="5"/>
  <c r="R52" i="3"/>
  <c r="R124" i="3"/>
  <c r="S487" i="1"/>
  <c r="S193" i="12" s="1"/>
  <c r="S561" i="1"/>
  <c r="S588" i="1"/>
  <c r="S560" i="1"/>
  <c r="S547" i="1"/>
  <c r="S559" i="1"/>
  <c r="S587" i="1"/>
  <c r="S558" i="1"/>
  <c r="S550" i="1"/>
  <c r="S585" i="1"/>
  <c r="S545" i="1"/>
  <c r="S570" i="1"/>
  <c r="S582" i="1"/>
  <c r="S553" i="1"/>
  <c r="S581" i="1"/>
  <c r="S552" i="1"/>
  <c r="S580" i="1"/>
  <c r="S551" i="1"/>
  <c r="S578" i="1"/>
  <c r="S563" i="1"/>
  <c r="S574" i="1"/>
  <c r="S573" i="1"/>
  <c r="S572" i="1"/>
  <c r="S565" i="1"/>
  <c r="S571" i="1"/>
  <c r="S556" i="1"/>
  <c r="S562" i="1"/>
  <c r="S548" i="1"/>
  <c r="S568" i="1"/>
  <c r="S567" i="1"/>
  <c r="S566" i="1"/>
  <c r="S592" i="1"/>
  <c r="S564" i="1"/>
  <c r="S577" i="1"/>
  <c r="S555" i="1"/>
  <c r="S94" i="5"/>
  <c r="R80" i="11"/>
  <c r="S38" i="5"/>
  <c r="R178" i="11"/>
  <c r="R121" i="11"/>
  <c r="S80" i="11"/>
  <c r="S178" i="11"/>
  <c r="U438" i="1"/>
  <c r="U80" i="11" s="1"/>
  <c r="S53" i="3"/>
  <c r="T122" i="12"/>
  <c r="T80" i="12"/>
  <c r="T66" i="12"/>
  <c r="T193" i="12"/>
  <c r="T10" i="12"/>
  <c r="T164" i="12"/>
  <c r="T178" i="11"/>
  <c r="T80" i="11"/>
  <c r="T25" i="7"/>
  <c r="T24" i="12"/>
  <c r="U465" i="1"/>
  <c r="U478" i="1"/>
  <c r="U38" i="3"/>
  <c r="U111" i="3"/>
  <c r="U136" i="10"/>
  <c r="U108" i="10"/>
  <c r="U488" i="1"/>
  <c r="U167" i="4"/>
  <c r="U110" i="4"/>
  <c r="U53" i="3"/>
  <c r="U24" i="3"/>
  <c r="U473" i="1"/>
  <c r="S52" i="11"/>
  <c r="U136" i="8"/>
  <c r="U164" i="8"/>
  <c r="U111" i="6"/>
  <c r="U96" i="6"/>
  <c r="U485" i="1"/>
  <c r="U94" i="8"/>
  <c r="U150" i="8"/>
  <c r="U462" i="1"/>
  <c r="U470" i="1"/>
  <c r="U25" i="4"/>
  <c r="U53" i="4"/>
  <c r="U490" i="1"/>
  <c r="U95" i="3"/>
  <c r="U181" i="3"/>
  <c r="U481" i="1"/>
  <c r="U10" i="8"/>
  <c r="U66" i="8"/>
  <c r="U108" i="12"/>
  <c r="U38" i="12"/>
  <c r="U451" i="1"/>
  <c r="U441" i="1"/>
  <c r="U439" i="1"/>
  <c r="U136" i="5"/>
  <c r="U10" i="5"/>
  <c r="R95" i="9"/>
  <c r="N149" i="11"/>
  <c r="P428" i="1"/>
  <c r="N9" i="11"/>
  <c r="R428" i="1"/>
  <c r="S65" i="11"/>
  <c r="N149" i="12"/>
  <c r="N79" i="12"/>
  <c r="P434" i="1"/>
  <c r="R434" i="1"/>
  <c r="U429" i="1"/>
  <c r="U163" i="11" s="1"/>
  <c r="N149" i="10"/>
  <c r="P422" i="1"/>
  <c r="N23" i="10"/>
  <c r="R422" i="1"/>
  <c r="N37" i="9"/>
  <c r="P384" i="1"/>
  <c r="N81" i="9"/>
  <c r="S429" i="1"/>
  <c r="S163" i="11" s="1"/>
  <c r="R384" i="1"/>
  <c r="R167" i="9"/>
  <c r="P416" i="1"/>
  <c r="N79" i="8"/>
  <c r="N163" i="8"/>
  <c r="R416" i="1"/>
  <c r="N107" i="8"/>
  <c r="P413" i="1"/>
  <c r="N93" i="8"/>
  <c r="R413" i="1"/>
  <c r="N65" i="8"/>
  <c r="N23" i="8"/>
  <c r="P412" i="1"/>
  <c r="R412" i="1"/>
  <c r="R10" i="4"/>
  <c r="R177" i="12"/>
  <c r="R9" i="12"/>
  <c r="R23" i="5"/>
  <c r="R51" i="5"/>
  <c r="R51" i="2"/>
  <c r="R65" i="2"/>
  <c r="R38" i="4"/>
  <c r="R37" i="5"/>
  <c r="R93" i="5"/>
  <c r="N37" i="3"/>
  <c r="P390" i="1"/>
  <c r="N66" i="3"/>
  <c r="R390" i="1"/>
  <c r="S138" i="3"/>
  <c r="R80" i="3"/>
  <c r="R166" i="3"/>
  <c r="N79" i="2"/>
  <c r="P387" i="1"/>
  <c r="N150" i="2"/>
  <c r="S194" i="3"/>
  <c r="R387" i="1"/>
  <c r="R108" i="2"/>
  <c r="R23" i="2"/>
  <c r="U382" i="1"/>
  <c r="U51" i="2" s="1"/>
  <c r="S411" i="1"/>
  <c r="S37" i="8" s="1"/>
  <c r="S386" i="1"/>
  <c r="U418" i="1"/>
  <c r="U167" i="9" s="1"/>
  <c r="T121" i="11"/>
  <c r="T163" i="11"/>
  <c r="S418" i="1"/>
  <c r="S167" i="9" s="1"/>
  <c r="T167" i="9"/>
  <c r="T95" i="9"/>
  <c r="T37" i="8"/>
  <c r="T51" i="8"/>
  <c r="T108" i="2"/>
  <c r="T23" i="2"/>
  <c r="U411" i="1"/>
  <c r="U37" i="8" s="1"/>
  <c r="U386" i="1"/>
  <c r="U108" i="2" s="1"/>
  <c r="U425" i="1"/>
  <c r="U135" i="10" s="1"/>
  <c r="U394" i="1"/>
  <c r="U166" i="3" s="1"/>
  <c r="U392" i="1"/>
  <c r="U124" i="3" s="1"/>
  <c r="U424" i="1"/>
  <c r="U93" i="10" s="1"/>
  <c r="S394" i="1"/>
  <c r="S382" i="1"/>
  <c r="T109" i="9"/>
  <c r="T66" i="9"/>
  <c r="T166" i="3"/>
  <c r="T80" i="3"/>
  <c r="T65" i="2"/>
  <c r="T51" i="2"/>
  <c r="R23" i="12"/>
  <c r="R139" i="6"/>
  <c r="R154" i="6"/>
  <c r="R22" i="8"/>
  <c r="T79" i="10"/>
  <c r="T93" i="10"/>
  <c r="R94" i="3"/>
  <c r="R110" i="3"/>
  <c r="R52" i="4"/>
  <c r="T163" i="10"/>
  <c r="T107" i="10"/>
  <c r="T52" i="3"/>
  <c r="T124" i="3"/>
  <c r="R166" i="4"/>
  <c r="T121" i="10"/>
  <c r="T135" i="10"/>
  <c r="S407" i="1"/>
  <c r="S52" i="6" s="1"/>
  <c r="S432" i="1"/>
  <c r="U407" i="1"/>
  <c r="U52" i="6" s="1"/>
  <c r="T52" i="6"/>
  <c r="T95" i="6"/>
  <c r="S402" i="1"/>
  <c r="U401" i="1"/>
  <c r="U23" i="5" s="1"/>
  <c r="S79" i="5"/>
  <c r="S399" i="1"/>
  <c r="R138" i="4"/>
  <c r="R80" i="4"/>
  <c r="R65" i="7"/>
  <c r="S408" i="1"/>
  <c r="S135" i="10"/>
  <c r="S79" i="10"/>
  <c r="U402" i="1"/>
  <c r="U37" i="5" s="1"/>
  <c r="R66" i="7"/>
  <c r="S37" i="2"/>
  <c r="S52" i="3"/>
  <c r="S51" i="5"/>
  <c r="R36" i="8"/>
  <c r="S398" i="1"/>
  <c r="S52" i="4" s="1"/>
  <c r="R78" i="5"/>
  <c r="R22" i="3"/>
  <c r="U432" i="1"/>
  <c r="U135" i="12" s="1"/>
  <c r="R153" i="6"/>
  <c r="U396" i="1"/>
  <c r="U10" i="4" s="1"/>
  <c r="S255" i="1"/>
  <c r="S164" i="3" s="1"/>
  <c r="U436" i="1"/>
  <c r="U121" i="12" s="1"/>
  <c r="S436" i="1"/>
  <c r="U399" i="1"/>
  <c r="U138" i="4" s="1"/>
  <c r="S9" i="8"/>
  <c r="T51" i="12"/>
  <c r="T135" i="12"/>
  <c r="T93" i="5"/>
  <c r="T37" i="5"/>
  <c r="T37" i="12"/>
  <c r="T65" i="12"/>
  <c r="T121" i="12"/>
  <c r="T23" i="12"/>
  <c r="S10" i="4"/>
  <c r="S38" i="4"/>
  <c r="T52" i="4"/>
  <c r="T166" i="4"/>
  <c r="R94" i="6"/>
  <c r="R66" i="6"/>
  <c r="T10" i="4"/>
  <c r="T38" i="4"/>
  <c r="U398" i="1"/>
  <c r="U166" i="4" s="1"/>
  <c r="T80" i="4"/>
  <c r="T138" i="4"/>
  <c r="U37" i="2"/>
  <c r="U136" i="2"/>
  <c r="S431" i="1"/>
  <c r="R109" i="4"/>
  <c r="U431" i="1"/>
  <c r="U177" i="12" s="1"/>
  <c r="T23" i="9"/>
  <c r="T51" i="9"/>
  <c r="U419" i="1"/>
  <c r="U417" i="1"/>
  <c r="U9" i="10"/>
  <c r="U65" i="10"/>
  <c r="T9" i="12"/>
  <c r="T177" i="12"/>
  <c r="U430" i="1"/>
  <c r="U409" i="1"/>
  <c r="U194" i="3"/>
  <c r="U9" i="7"/>
  <c r="U389" i="1"/>
  <c r="U423" i="1"/>
  <c r="S39" i="7"/>
  <c r="U24" i="6"/>
  <c r="U39" i="7"/>
  <c r="U38" i="6"/>
  <c r="U125" i="6"/>
  <c r="U420" i="1"/>
  <c r="U426" i="1"/>
  <c r="R123" i="9"/>
  <c r="R137" i="9"/>
  <c r="U385" i="1"/>
  <c r="U137" i="9" s="1"/>
  <c r="U154" i="6"/>
  <c r="U139" i="6"/>
  <c r="S94" i="3"/>
  <c r="S110" i="3"/>
  <c r="U391" i="1"/>
  <c r="U94" i="3" s="1"/>
  <c r="T94" i="3"/>
  <c r="T110" i="3"/>
  <c r="U192" i="12"/>
  <c r="U107" i="12"/>
  <c r="U414" i="1"/>
  <c r="U67" i="7"/>
  <c r="U53" i="7"/>
  <c r="U138" i="3"/>
  <c r="U180" i="3"/>
  <c r="S194" i="4"/>
  <c r="U194" i="4"/>
  <c r="U124" i="4"/>
  <c r="U121" i="5"/>
  <c r="U79" i="5"/>
  <c r="U433" i="1"/>
  <c r="U383" i="1"/>
  <c r="U180" i="4" s="1"/>
  <c r="S383" i="1"/>
  <c r="U9" i="8"/>
  <c r="U135" i="8"/>
  <c r="U51" i="11"/>
  <c r="U65" i="11"/>
  <c r="S65" i="5"/>
  <c r="S107" i="5"/>
  <c r="U403" i="1"/>
  <c r="U107" i="5" s="1"/>
  <c r="T65" i="5"/>
  <c r="T107" i="5"/>
  <c r="U435" i="1"/>
  <c r="U397" i="1"/>
  <c r="S137" i="9"/>
  <c r="S123" i="9"/>
  <c r="T137" i="9"/>
  <c r="T123" i="9"/>
  <c r="T109" i="4"/>
  <c r="T180" i="4"/>
  <c r="R51" i="3"/>
  <c r="S22" i="11"/>
  <c r="R106" i="8"/>
  <c r="R49" i="8"/>
  <c r="S106" i="12"/>
  <c r="R65" i="4"/>
  <c r="R152" i="6"/>
  <c r="U65" i="1"/>
  <c r="U76" i="9" s="1"/>
  <c r="R22" i="6"/>
  <c r="R50" i="6"/>
  <c r="S268" i="1"/>
  <c r="S92" i="3" s="1"/>
  <c r="R22" i="4"/>
  <c r="S317" i="1"/>
  <c r="S161" i="12" s="1"/>
  <c r="S312" i="1"/>
  <c r="S119" i="8" s="1"/>
  <c r="S314" i="1"/>
  <c r="S105" i="12" s="1"/>
  <c r="S274" i="1"/>
  <c r="S78" i="4" s="1"/>
  <c r="R161" i="12"/>
  <c r="R123" i="4"/>
  <c r="S36" i="11"/>
  <c r="R94" i="7"/>
  <c r="R77" i="12"/>
  <c r="R178" i="4"/>
  <c r="R119" i="8"/>
  <c r="R36" i="4"/>
  <c r="S352" i="1"/>
  <c r="U352" i="1"/>
  <c r="U23" i="6"/>
  <c r="U81" i="7"/>
  <c r="S326" i="1"/>
  <c r="U326" i="1"/>
  <c r="S327" i="1"/>
  <c r="S149" i="2" s="1"/>
  <c r="U327" i="1"/>
  <c r="S364" i="1"/>
  <c r="U364" i="1"/>
  <c r="S365" i="1"/>
  <c r="S106" i="10" s="1"/>
  <c r="U365" i="1"/>
  <c r="S363" i="1"/>
  <c r="S50" i="10" s="1"/>
  <c r="U363" i="1"/>
  <c r="S333" i="1"/>
  <c r="S137" i="3" s="1"/>
  <c r="U333" i="1"/>
  <c r="S348" i="1"/>
  <c r="U348" i="1"/>
  <c r="S362" i="1"/>
  <c r="S122" i="9" s="1"/>
  <c r="U362" i="1"/>
  <c r="S330" i="1"/>
  <c r="S36" i="3" s="1"/>
  <c r="U330" i="1"/>
  <c r="S338" i="1"/>
  <c r="U338" i="1"/>
  <c r="S346" i="1"/>
  <c r="S106" i="5" s="1"/>
  <c r="U346" i="1"/>
  <c r="U64" i="12"/>
  <c r="U134" i="12"/>
  <c r="S329" i="1"/>
  <c r="S123" i="3" s="1"/>
  <c r="U329" i="1"/>
  <c r="U36" i="12"/>
  <c r="U92" i="12"/>
  <c r="U22" i="11"/>
  <c r="U189" i="11"/>
  <c r="S350" i="1"/>
  <c r="S153" i="6" s="1"/>
  <c r="U350" i="1"/>
  <c r="S359" i="1"/>
  <c r="S64" i="8" s="1"/>
  <c r="U359" i="1"/>
  <c r="S367" i="1"/>
  <c r="S36" i="10" s="1"/>
  <c r="U367" i="1"/>
  <c r="S349" i="1"/>
  <c r="U349" i="1"/>
  <c r="U51" i="4"/>
  <c r="U79" i="4"/>
  <c r="S354" i="1"/>
  <c r="U354" i="1"/>
  <c r="S347" i="1"/>
  <c r="U347" i="1"/>
  <c r="U36" i="11"/>
  <c r="U50" i="11"/>
  <c r="S379" i="1"/>
  <c r="S176" i="12" s="1"/>
  <c r="U379" i="1"/>
  <c r="S356" i="1"/>
  <c r="U356" i="1"/>
  <c r="S324" i="1"/>
  <c r="S93" i="2" s="1"/>
  <c r="U324" i="1"/>
  <c r="S358" i="1"/>
  <c r="U358" i="1"/>
  <c r="S332" i="1"/>
  <c r="U332" i="1"/>
  <c r="U179" i="4"/>
  <c r="U137" i="4"/>
  <c r="S343" i="1"/>
  <c r="S36" i="5" s="1"/>
  <c r="U343" i="1"/>
  <c r="S342" i="1"/>
  <c r="U342" i="1"/>
  <c r="S331" i="1"/>
  <c r="U331" i="1"/>
  <c r="S340" i="1"/>
  <c r="U340" i="1"/>
  <c r="R123" i="3"/>
  <c r="R94" i="9"/>
  <c r="R120" i="10"/>
  <c r="R8" i="10"/>
  <c r="R50" i="10"/>
  <c r="R122" i="9"/>
  <c r="R106" i="10"/>
  <c r="R165" i="3"/>
  <c r="R22" i="10"/>
  <c r="R152" i="9"/>
  <c r="R92" i="5"/>
  <c r="U8" i="12"/>
  <c r="U22" i="12"/>
  <c r="S355" i="1"/>
  <c r="U355" i="1"/>
  <c r="S357" i="1"/>
  <c r="U357" i="1"/>
  <c r="U78" i="10"/>
  <c r="U134" i="10"/>
  <c r="U92" i="11"/>
  <c r="U148" i="11"/>
  <c r="S351" i="1"/>
  <c r="U351" i="1"/>
  <c r="S344" i="1"/>
  <c r="U344" i="1"/>
  <c r="S325" i="1"/>
  <c r="S64" i="2" s="1"/>
  <c r="U325" i="1"/>
  <c r="U8" i="9"/>
  <c r="U78" i="2"/>
  <c r="S328" i="1"/>
  <c r="U328" i="1"/>
  <c r="U106" i="12"/>
  <c r="U78" i="12"/>
  <c r="S345" i="1"/>
  <c r="U345" i="1"/>
  <c r="R193" i="4"/>
  <c r="S341" i="1"/>
  <c r="U341" i="1"/>
  <c r="S337" i="1"/>
  <c r="S93" i="4" s="1"/>
  <c r="U337" i="1"/>
  <c r="S335" i="1"/>
  <c r="U335" i="1"/>
  <c r="S322" i="1"/>
  <c r="U322" i="1"/>
  <c r="S323" i="1"/>
  <c r="U323" i="1"/>
  <c r="R22" i="9"/>
  <c r="S321" i="1"/>
  <c r="U321" i="1"/>
  <c r="U138" i="6"/>
  <c r="U51" i="6"/>
  <c r="S319" i="1"/>
  <c r="S50" i="2" s="1"/>
  <c r="U319" i="1"/>
  <c r="S318" i="1"/>
  <c r="U318" i="1"/>
  <c r="R148" i="8"/>
  <c r="R93" i="2"/>
  <c r="R107" i="2"/>
  <c r="R8" i="2"/>
  <c r="R50" i="2"/>
  <c r="R135" i="2"/>
  <c r="R36" i="2"/>
  <c r="R64" i="2"/>
  <c r="R120" i="12"/>
  <c r="R124" i="6"/>
  <c r="R22" i="2"/>
  <c r="R165" i="4"/>
  <c r="S150" i="9"/>
  <c r="R91" i="8"/>
  <c r="R176" i="12"/>
  <c r="R162" i="10"/>
  <c r="R149" i="2"/>
  <c r="R36" i="10"/>
  <c r="R63" i="12"/>
  <c r="R50" i="3"/>
  <c r="R7" i="3"/>
  <c r="R93" i="4"/>
  <c r="R38" i="7"/>
  <c r="R23" i="4"/>
  <c r="R65" i="3"/>
  <c r="R109" i="6"/>
  <c r="R8" i="5"/>
  <c r="R22" i="5"/>
  <c r="R64" i="8"/>
  <c r="R137" i="3"/>
  <c r="R166" i="9"/>
  <c r="R134" i="5"/>
  <c r="R108" i="3"/>
  <c r="R119" i="6"/>
  <c r="R61" i="6"/>
  <c r="T118" i="4"/>
  <c r="T103" i="4"/>
  <c r="T119" i="6"/>
  <c r="T61" i="6"/>
  <c r="R118" i="4"/>
  <c r="R103" i="4"/>
  <c r="R4" i="11"/>
  <c r="R105" i="3"/>
  <c r="U60" i="10"/>
  <c r="U60" i="12"/>
  <c r="R47" i="3"/>
  <c r="R88" i="12"/>
  <c r="R122" i="3"/>
  <c r="S119" i="10"/>
  <c r="S121" i="9"/>
  <c r="R60" i="10"/>
  <c r="R60" i="12"/>
  <c r="R164" i="3"/>
  <c r="R60" i="9"/>
  <c r="R186" i="12"/>
  <c r="R150" i="3"/>
  <c r="R37" i="7"/>
  <c r="T60" i="9"/>
  <c r="T186" i="12"/>
  <c r="R102" i="8"/>
  <c r="R74" i="12"/>
  <c r="R18" i="8"/>
  <c r="R158" i="12"/>
  <c r="R60" i="11"/>
  <c r="R144" i="12"/>
  <c r="R130" i="10"/>
  <c r="R46" i="12"/>
  <c r="U60" i="11"/>
  <c r="U144" i="12"/>
  <c r="T33" i="6"/>
  <c r="T130" i="12"/>
  <c r="R33" i="6"/>
  <c r="R130" i="12"/>
  <c r="R147" i="9"/>
  <c r="R4" i="12"/>
  <c r="R158" i="11"/>
  <c r="R102" i="12"/>
  <c r="R32" i="8"/>
  <c r="R116" i="10"/>
  <c r="R88" i="5"/>
  <c r="R46" i="10"/>
  <c r="T88" i="5"/>
  <c r="T46" i="10"/>
  <c r="T18" i="9"/>
  <c r="T74" i="10"/>
  <c r="T76" i="7"/>
  <c r="T75" i="9"/>
  <c r="T4" i="4"/>
  <c r="T161" i="9"/>
  <c r="R18" i="9"/>
  <c r="R104" i="9"/>
  <c r="T145" i="2"/>
  <c r="T162" i="9"/>
  <c r="R144" i="11"/>
  <c r="R76" i="9"/>
  <c r="T74" i="5"/>
  <c r="T60" i="8"/>
  <c r="R88" i="8"/>
  <c r="R47" i="4"/>
  <c r="R46" i="8"/>
  <c r="R74" i="5"/>
  <c r="R60" i="8"/>
  <c r="R75" i="4"/>
  <c r="R158" i="8"/>
  <c r="R130" i="8"/>
  <c r="R76" i="7"/>
  <c r="R89" i="4"/>
  <c r="R77" i="7"/>
  <c r="T89" i="4"/>
  <c r="T77" i="7"/>
  <c r="T32" i="11"/>
  <c r="T4" i="7"/>
  <c r="T131" i="2"/>
  <c r="T62" i="7"/>
  <c r="T146" i="9"/>
  <c r="T33" i="7"/>
  <c r="T133" i="4"/>
  <c r="T91" i="7"/>
  <c r="T4" i="6"/>
  <c r="T104" i="6"/>
  <c r="R4" i="6"/>
  <c r="R104" i="6"/>
  <c r="R76" i="6"/>
  <c r="R60" i="5"/>
  <c r="R120" i="6"/>
  <c r="R149" i="6"/>
  <c r="R21" i="11"/>
  <c r="R77" i="8"/>
  <c r="R105" i="11"/>
  <c r="R105" i="12"/>
  <c r="R7" i="11"/>
  <c r="R91" i="11"/>
  <c r="S22" i="7"/>
  <c r="R21" i="5"/>
  <c r="U285" i="1"/>
  <c r="U22" i="6" s="1"/>
  <c r="U289" i="1"/>
  <c r="U77" i="8" s="1"/>
  <c r="U303" i="1"/>
  <c r="U105" i="11" s="1"/>
  <c r="S303" i="1"/>
  <c r="S21" i="11" s="1"/>
  <c r="U264" i="1"/>
  <c r="U120" i="2" s="1"/>
  <c r="S264" i="1"/>
  <c r="S120" i="2" s="1"/>
  <c r="R148" i="2"/>
  <c r="R7" i="5"/>
  <c r="U301" i="1"/>
  <c r="U7" i="11" s="1"/>
  <c r="T22" i="6"/>
  <c r="T152" i="6"/>
  <c r="S77" i="8"/>
  <c r="S49" i="8"/>
  <c r="T91" i="11"/>
  <c r="T7" i="11"/>
  <c r="T49" i="8"/>
  <c r="T77" i="8"/>
  <c r="T147" i="8"/>
  <c r="T107" i="9"/>
  <c r="T65" i="7"/>
  <c r="T120" i="2"/>
  <c r="U280" i="1"/>
  <c r="U7" i="5" s="1"/>
  <c r="S280" i="1"/>
  <c r="S7" i="5" s="1"/>
  <c r="U273" i="1"/>
  <c r="U50" i="4" s="1"/>
  <c r="U268" i="1"/>
  <c r="U50" i="6" s="1"/>
  <c r="R116" i="11"/>
  <c r="U63" i="1"/>
  <c r="R175" i="3"/>
  <c r="R102" i="11"/>
  <c r="R88" i="11"/>
  <c r="R32" i="11"/>
  <c r="R92" i="4"/>
  <c r="R102" i="5"/>
  <c r="R186" i="11"/>
  <c r="U274" i="1"/>
  <c r="U78" i="4" s="1"/>
  <c r="S80" i="7"/>
  <c r="U270" i="1"/>
  <c r="U37" i="7" s="1"/>
  <c r="R78" i="4"/>
  <c r="S50" i="3"/>
  <c r="S7" i="3"/>
  <c r="R49" i="12"/>
  <c r="U269" i="1"/>
  <c r="U94" i="7" s="1"/>
  <c r="S258" i="1"/>
  <c r="S7" i="2" s="1"/>
  <c r="T7" i="2"/>
  <c r="T64" i="3"/>
  <c r="U279" i="1"/>
  <c r="U36" i="4" s="1"/>
  <c r="U317" i="1"/>
  <c r="U161" i="12" s="1"/>
  <c r="T21" i="5"/>
  <c r="T7" i="5"/>
  <c r="S122" i="3"/>
  <c r="R64" i="3"/>
  <c r="R7" i="2"/>
  <c r="U258" i="1"/>
  <c r="U7" i="2" s="1"/>
  <c r="T92" i="4"/>
  <c r="T78" i="4"/>
  <c r="T122" i="3"/>
  <c r="T37" i="7"/>
  <c r="S259" i="1"/>
  <c r="S21" i="2" s="1"/>
  <c r="R50" i="4"/>
  <c r="S122" i="4"/>
  <c r="S273" i="1"/>
  <c r="S50" i="4" s="1"/>
  <c r="R35" i="10"/>
  <c r="R7" i="10"/>
  <c r="U309" i="1"/>
  <c r="U21" i="12" s="1"/>
  <c r="R64" i="4"/>
  <c r="R175" i="12"/>
  <c r="R21" i="12"/>
  <c r="U312" i="1"/>
  <c r="U119" i="8" s="1"/>
  <c r="U259" i="1"/>
  <c r="U22" i="4" s="1"/>
  <c r="R78" i="3"/>
  <c r="R106" i="2"/>
  <c r="T7" i="3"/>
  <c r="T50" i="3"/>
  <c r="T63" i="12"/>
  <c r="T91" i="8"/>
  <c r="T164" i="3"/>
  <c r="T150" i="3"/>
  <c r="U314" i="1"/>
  <c r="U148" i="2" s="1"/>
  <c r="U266" i="1"/>
  <c r="U50" i="3" s="1"/>
  <c r="U296" i="1"/>
  <c r="U35" i="10" s="1"/>
  <c r="T92" i="3"/>
  <c r="T50" i="6"/>
  <c r="T21" i="2"/>
  <c r="T22" i="4"/>
  <c r="U311" i="1"/>
  <c r="U63" i="12" s="1"/>
  <c r="T119" i="8"/>
  <c r="T77" i="12"/>
  <c r="T36" i="4"/>
  <c r="T178" i="4"/>
  <c r="T148" i="2"/>
  <c r="T105" i="12"/>
  <c r="T21" i="12"/>
  <c r="T175" i="12"/>
  <c r="U267" i="1"/>
  <c r="U78" i="3" s="1"/>
  <c r="T64" i="4"/>
  <c r="T50" i="4"/>
  <c r="T35" i="10"/>
  <c r="T7" i="10"/>
  <c r="T133" i="12"/>
  <c r="T35" i="12"/>
  <c r="U255" i="1"/>
  <c r="U150" i="3" s="1"/>
  <c r="U119" i="10"/>
  <c r="U49" i="10"/>
  <c r="S190" i="12"/>
  <c r="S147" i="10"/>
  <c r="U147" i="10"/>
  <c r="U91" i="10"/>
  <c r="U133" i="10"/>
  <c r="U21" i="10"/>
  <c r="U121" i="9"/>
  <c r="U161" i="8"/>
  <c r="U22" i="7"/>
  <c r="U165" i="9"/>
  <c r="S36" i="4"/>
  <c r="S63" i="8"/>
  <c r="S21" i="8"/>
  <c r="S105" i="5"/>
  <c r="S7" i="10"/>
  <c r="U298" i="1"/>
  <c r="S35" i="2"/>
  <c r="S36" i="6"/>
  <c r="U188" i="11"/>
  <c r="U175" i="11"/>
  <c r="U80" i="7"/>
  <c r="U64" i="9"/>
  <c r="S49" i="5"/>
  <c r="U49" i="5"/>
  <c r="U63" i="5"/>
  <c r="S192" i="4"/>
  <c r="U136" i="4"/>
  <c r="U192" i="4"/>
  <c r="U313" i="1"/>
  <c r="U122" i="4"/>
  <c r="U105" i="8"/>
  <c r="U164" i="4"/>
  <c r="U8" i="6"/>
  <c r="S108" i="6"/>
  <c r="U108" i="6"/>
  <c r="U147" i="12"/>
  <c r="U7" i="12"/>
  <c r="U190" i="12"/>
  <c r="S91" i="11"/>
  <c r="S21" i="12"/>
  <c r="U133" i="11"/>
  <c r="U36" i="6"/>
  <c r="U135" i="9"/>
  <c r="U150" i="9"/>
  <c r="U265" i="1"/>
  <c r="S77" i="11"/>
  <c r="U161" i="11"/>
  <c r="U77" i="11"/>
  <c r="S63" i="2"/>
  <c r="S91" i="8"/>
  <c r="S49" i="2"/>
  <c r="U79" i="6"/>
  <c r="U49" i="2"/>
  <c r="U49" i="11"/>
  <c r="U21" i="8"/>
  <c r="U288" i="1"/>
  <c r="U35" i="2"/>
  <c r="U77" i="2"/>
  <c r="U300" i="1"/>
  <c r="U292" i="1"/>
  <c r="U63" i="2"/>
  <c r="U65" i="6"/>
  <c r="S108" i="3"/>
  <c r="U119" i="5"/>
  <c r="U105" i="5"/>
  <c r="U263" i="1"/>
  <c r="U315" i="1"/>
  <c r="U310" i="1"/>
  <c r="S106" i="2"/>
  <c r="R49" i="3"/>
  <c r="S35" i="3"/>
  <c r="S133" i="5"/>
  <c r="U35" i="3"/>
  <c r="U35" i="5"/>
  <c r="U150" i="4"/>
  <c r="U63" i="8"/>
  <c r="S192" i="3"/>
  <c r="U21" i="3"/>
  <c r="U192" i="3"/>
  <c r="U21" i="9"/>
  <c r="U123" i="6"/>
  <c r="S123" i="6"/>
  <c r="U257" i="1"/>
  <c r="U254" i="1"/>
  <c r="U178" i="3"/>
  <c r="U133" i="5"/>
  <c r="U90" i="1"/>
  <c r="U185" i="1"/>
  <c r="R78" i="9"/>
  <c r="U223" i="1"/>
  <c r="U189" i="12" s="1"/>
  <c r="U196" i="1"/>
  <c r="T50" i="7"/>
  <c r="T191" i="3"/>
  <c r="T62" i="10"/>
  <c r="T21" i="7"/>
  <c r="T48" i="11"/>
  <c r="T92" i="6"/>
  <c r="T104" i="8"/>
  <c r="T20" i="2"/>
  <c r="T35" i="4"/>
  <c r="T78" i="9"/>
  <c r="T20" i="11"/>
  <c r="T77" i="4"/>
  <c r="T20" i="10"/>
  <c r="T76" i="8"/>
  <c r="T118" i="12"/>
  <c r="T90" i="12"/>
  <c r="T34" i="8"/>
  <c r="T76" i="11"/>
  <c r="T104" i="11"/>
  <c r="T163" i="3"/>
  <c r="T118" i="8"/>
  <c r="R106" i="4"/>
  <c r="R48" i="11"/>
  <c r="R92" i="6"/>
  <c r="R133" i="4"/>
  <c r="R61" i="4"/>
  <c r="R146" i="8"/>
  <c r="R118" i="8"/>
  <c r="R135" i="4"/>
  <c r="R147" i="4"/>
  <c r="R62" i="10"/>
  <c r="R189" i="12"/>
  <c r="T4" i="3"/>
  <c r="T175" i="4"/>
  <c r="T133" i="3"/>
  <c r="T130" i="5"/>
  <c r="R133" i="3"/>
  <c r="R130" i="5"/>
  <c r="R174" i="11"/>
  <c r="R164" i="9"/>
  <c r="T34" i="5"/>
  <c r="T48" i="2"/>
  <c r="T104" i="5"/>
  <c r="T136" i="6"/>
  <c r="S198" i="1"/>
  <c r="S78" i="9" s="1"/>
  <c r="R34" i="10"/>
  <c r="R64" i="6"/>
  <c r="R134" i="9"/>
  <c r="R104" i="5"/>
  <c r="R132" i="8"/>
  <c r="R93" i="7"/>
  <c r="R77" i="3"/>
  <c r="R136" i="6"/>
  <c r="S6" i="12"/>
  <c r="R146" i="10"/>
  <c r="R107" i="6"/>
  <c r="R62" i="11"/>
  <c r="R119" i="2"/>
  <c r="R77" i="4"/>
  <c r="R163" i="4"/>
  <c r="R50" i="7"/>
  <c r="R133" i="2"/>
  <c r="R191" i="3"/>
  <c r="R91" i="2"/>
  <c r="R118" i="5"/>
  <c r="R177" i="4"/>
  <c r="R48" i="5"/>
  <c r="R90" i="12"/>
  <c r="U208" i="1"/>
  <c r="R121" i="3"/>
  <c r="R49" i="4"/>
  <c r="R118" i="12"/>
  <c r="R132" i="11"/>
  <c r="S223" i="1"/>
  <c r="U234" i="1"/>
  <c r="R104" i="12"/>
  <c r="R104" i="11"/>
  <c r="R4" i="3"/>
  <c r="U117" i="2"/>
  <c r="U32" i="3"/>
  <c r="R117" i="2"/>
  <c r="R32" i="3"/>
  <c r="R151" i="6"/>
  <c r="R21" i="4"/>
  <c r="R62" i="5"/>
  <c r="R35" i="6"/>
  <c r="R146" i="11"/>
  <c r="R34" i="12"/>
  <c r="R75" i="3"/>
  <c r="R147" i="3"/>
  <c r="R48" i="10"/>
  <c r="R91" i="4"/>
  <c r="R149" i="4"/>
  <c r="R20" i="3"/>
  <c r="R105" i="2"/>
  <c r="R48" i="12"/>
  <c r="R18" i="3"/>
  <c r="R61" i="3"/>
  <c r="R63" i="3"/>
  <c r="R163" i="3"/>
  <c r="R6" i="5"/>
  <c r="U202" i="1"/>
  <c r="R21" i="7"/>
  <c r="R6" i="12"/>
  <c r="S194" i="1"/>
  <c r="S104" i="11" s="1"/>
  <c r="R145" i="2"/>
  <c r="U180" i="1"/>
  <c r="U231" i="1"/>
  <c r="R20" i="5"/>
  <c r="S234" i="1"/>
  <c r="S132" i="11" s="1"/>
  <c r="R62" i="2"/>
  <c r="R118" i="10"/>
  <c r="U192" i="1"/>
  <c r="R6" i="9"/>
  <c r="R48" i="2"/>
  <c r="U220" i="1"/>
  <c r="R89" i="2"/>
  <c r="R92" i="9"/>
  <c r="R76" i="11"/>
  <c r="S214" i="1"/>
  <c r="S174" i="11" s="1"/>
  <c r="R20" i="11"/>
  <c r="R60" i="2"/>
  <c r="R6" i="2"/>
  <c r="R34" i="8"/>
  <c r="U181" i="1"/>
  <c r="U237" i="1"/>
  <c r="U160" i="10" s="1"/>
  <c r="S185" i="1"/>
  <c r="S62" i="2" s="1"/>
  <c r="R122" i="6"/>
  <c r="R160" i="10"/>
  <c r="R34" i="9"/>
  <c r="S237" i="1"/>
  <c r="U212" i="1"/>
  <c r="U184" i="1"/>
  <c r="R34" i="5"/>
  <c r="S212" i="1"/>
  <c r="S6" i="2" s="1"/>
  <c r="R78" i="6"/>
  <c r="S21" i="7"/>
  <c r="S62" i="10"/>
  <c r="U245" i="1"/>
  <c r="U206" i="1"/>
  <c r="U215" i="1"/>
  <c r="S227" i="1"/>
  <c r="S92" i="9" s="1"/>
  <c r="U193" i="1"/>
  <c r="U199" i="1"/>
  <c r="U207" i="1"/>
  <c r="S207" i="1"/>
  <c r="S20" i="5" s="1"/>
  <c r="S133" i="2"/>
  <c r="S48" i="5"/>
  <c r="S202" i="1"/>
  <c r="U191" i="1"/>
  <c r="S245" i="1"/>
  <c r="S48" i="12" s="1"/>
  <c r="S191" i="1"/>
  <c r="S104" i="12" s="1"/>
  <c r="U197" i="1"/>
  <c r="U244" i="1"/>
  <c r="U194" i="1"/>
  <c r="S71" i="1"/>
  <c r="R131" i="2"/>
  <c r="S196" i="1"/>
  <c r="R103" i="2"/>
  <c r="S107" i="6"/>
  <c r="S62" i="11"/>
  <c r="S146" i="10"/>
  <c r="S77" i="4"/>
  <c r="U186" i="1"/>
  <c r="S199" i="1"/>
  <c r="R149" i="3"/>
  <c r="U239" i="1"/>
  <c r="U236" i="1"/>
  <c r="U214" i="1"/>
  <c r="U227" i="1"/>
  <c r="U247" i="1"/>
  <c r="U198" i="1"/>
  <c r="S250" i="1"/>
  <c r="S160" i="12" s="1"/>
  <c r="S104" i="5"/>
  <c r="S136" i="6"/>
  <c r="T91" i="4"/>
  <c r="T48" i="10"/>
  <c r="R160" i="12"/>
  <c r="U218" i="1"/>
  <c r="U228" i="1"/>
  <c r="U201" i="1"/>
  <c r="U189" i="1"/>
  <c r="S48" i="2"/>
  <c r="S149" i="4"/>
  <c r="R6" i="8"/>
  <c r="U210" i="1"/>
  <c r="T63" i="4"/>
  <c r="T36" i="7"/>
  <c r="S93" i="7"/>
  <c r="S146" i="8"/>
  <c r="S135" i="4"/>
  <c r="U204" i="1"/>
  <c r="U230" i="1"/>
  <c r="U233" i="1"/>
  <c r="U235" i="1"/>
  <c r="S35" i="6"/>
  <c r="S20" i="3"/>
  <c r="S90" i="12"/>
  <c r="S118" i="5"/>
  <c r="T35" i="6"/>
  <c r="T20" i="3"/>
  <c r="L174" i="12"/>
  <c r="L91" i="3"/>
  <c r="U251" i="1"/>
  <c r="S177" i="4"/>
  <c r="T146" i="8"/>
  <c r="T135" i="4"/>
  <c r="U224" i="1"/>
  <c r="U6" i="8"/>
  <c r="U160" i="12"/>
  <c r="R120" i="4"/>
  <c r="S134" i="9"/>
  <c r="S21" i="4"/>
  <c r="S34" i="8"/>
  <c r="S76" i="11"/>
  <c r="S6" i="9"/>
  <c r="U205" i="1"/>
  <c r="S48" i="11"/>
  <c r="S48" i="10"/>
  <c r="S91" i="4"/>
  <c r="U241" i="1"/>
  <c r="S6" i="5"/>
  <c r="S149" i="3"/>
  <c r="U238" i="1"/>
  <c r="S49" i="3"/>
  <c r="U182" i="1"/>
  <c r="U200" i="1"/>
  <c r="U249" i="1"/>
  <c r="R105" i="4"/>
  <c r="R19" i="12"/>
  <c r="R47" i="12"/>
  <c r="R145" i="12"/>
  <c r="R47" i="11"/>
  <c r="R75" i="12"/>
  <c r="R48" i="6"/>
  <c r="R33" i="9"/>
  <c r="R5" i="5"/>
  <c r="R5" i="9"/>
  <c r="R173" i="11"/>
  <c r="R117" i="12"/>
  <c r="R5" i="10"/>
  <c r="R91" i="6"/>
  <c r="R49" i="7"/>
  <c r="S159" i="8"/>
  <c r="S133" i="9"/>
  <c r="S47" i="9"/>
  <c r="R33" i="3"/>
  <c r="S143" i="1"/>
  <c r="S91" i="6" s="1"/>
  <c r="U152" i="1"/>
  <c r="R75" i="8"/>
  <c r="U171" i="1"/>
  <c r="U145" i="12" s="1"/>
  <c r="S173" i="11"/>
  <c r="S75" i="8"/>
  <c r="U169" i="1"/>
  <c r="S117" i="12"/>
  <c r="S5" i="10"/>
  <c r="R173" i="12"/>
  <c r="U151" i="1"/>
  <c r="U143" i="1"/>
  <c r="S132" i="1"/>
  <c r="S47" i="2" s="1"/>
  <c r="S61" i="5"/>
  <c r="S103" i="10"/>
  <c r="T49" i="7"/>
  <c r="T91" i="6"/>
  <c r="T159" i="1"/>
  <c r="T173" i="11"/>
  <c r="T75" i="8"/>
  <c r="T33" i="9"/>
  <c r="T48" i="6"/>
  <c r="S75" i="5"/>
  <c r="T129" i="1"/>
  <c r="T145" i="12"/>
  <c r="T19" i="12"/>
  <c r="T5" i="9"/>
  <c r="T47" i="10"/>
  <c r="R47" i="10"/>
  <c r="R20" i="7"/>
  <c r="U132" i="1"/>
  <c r="S19" i="10"/>
  <c r="U177" i="1"/>
  <c r="R131" i="12"/>
  <c r="U141" i="1"/>
  <c r="U120" i="1"/>
  <c r="U173" i="1"/>
  <c r="U121" i="1"/>
  <c r="U178" i="1"/>
  <c r="S141" i="1"/>
  <c r="S5" i="9"/>
  <c r="U127" i="1"/>
  <c r="S178" i="1"/>
  <c r="S173" i="12" s="1"/>
  <c r="S127" i="1"/>
  <c r="S47" i="5" s="1"/>
  <c r="S47" i="11"/>
  <c r="S105" i="4"/>
  <c r="T47" i="5"/>
  <c r="T131" i="12"/>
  <c r="T105" i="4"/>
  <c r="T47" i="11"/>
  <c r="T47" i="12"/>
  <c r="T75" i="12"/>
  <c r="T62" i="4"/>
  <c r="T62" i="9"/>
  <c r="T117" i="5"/>
  <c r="T47" i="2"/>
  <c r="T117" i="12"/>
  <c r="T5" i="10"/>
  <c r="R117" i="5"/>
  <c r="R47" i="2"/>
  <c r="T34" i="4"/>
  <c r="T19" i="5"/>
  <c r="T131" i="8"/>
  <c r="T148" i="4"/>
  <c r="T120" i="4"/>
  <c r="T33" i="3"/>
  <c r="U172" i="1"/>
  <c r="T20" i="7"/>
  <c r="T5" i="5"/>
  <c r="U75" i="10"/>
  <c r="U47" i="9"/>
  <c r="S47" i="12"/>
  <c r="U139" i="1"/>
  <c r="S113" i="1"/>
  <c r="S5" i="3" s="1"/>
  <c r="U113" i="1"/>
  <c r="S117" i="1"/>
  <c r="S62" i="9" s="1"/>
  <c r="U117" i="1"/>
  <c r="S48" i="6"/>
  <c r="U150" i="1"/>
  <c r="U107" i="1"/>
  <c r="U167" i="1"/>
  <c r="U89" i="8"/>
  <c r="U61" i="5"/>
  <c r="U142" i="1"/>
  <c r="U101" i="1"/>
  <c r="S131" i="5"/>
  <c r="U131" i="5"/>
  <c r="U33" i="5"/>
  <c r="S116" i="1"/>
  <c r="S19" i="5" s="1"/>
  <c r="U116" i="1"/>
  <c r="U122" i="1"/>
  <c r="S114" i="1"/>
  <c r="S6" i="4" s="1"/>
  <c r="U114" i="1"/>
  <c r="R5" i="8"/>
  <c r="U118" i="1"/>
  <c r="S106" i="6"/>
  <c r="R61" i="2"/>
  <c r="U102" i="1"/>
  <c r="U106" i="6"/>
  <c r="U48" i="4"/>
  <c r="U126" i="1"/>
  <c r="S61" i="8"/>
  <c r="S190" i="3"/>
  <c r="S92" i="7"/>
  <c r="S112" i="1"/>
  <c r="S159" i="12" s="1"/>
  <c r="U112" i="1"/>
  <c r="U92" i="7"/>
  <c r="U75" i="11"/>
  <c r="U159" i="8"/>
  <c r="U19" i="8"/>
  <c r="S19" i="12"/>
  <c r="S120" i="4"/>
  <c r="U61" i="8"/>
  <c r="U131" i="11"/>
  <c r="S61" i="11"/>
  <c r="T134" i="4"/>
  <c r="T19" i="11"/>
  <c r="S135" i="6"/>
  <c r="R134" i="4"/>
  <c r="R19" i="11"/>
  <c r="U135" i="6"/>
  <c r="U5" i="7"/>
  <c r="S19" i="11"/>
  <c r="S134" i="4"/>
  <c r="U61" i="11"/>
  <c r="U106" i="3"/>
  <c r="U188" i="12"/>
  <c r="U190" i="3"/>
  <c r="U123" i="1"/>
  <c r="U131" i="1"/>
  <c r="U155" i="1"/>
  <c r="U76" i="3"/>
  <c r="U5" i="2"/>
  <c r="U84" i="1"/>
  <c r="U71" i="1"/>
  <c r="U73" i="1"/>
  <c r="U91" i="1"/>
  <c r="R46" i="2"/>
  <c r="R159" i="12"/>
  <c r="R32" i="2"/>
  <c r="U23" i="1"/>
  <c r="U76" i="1"/>
  <c r="U46" i="12" s="1"/>
  <c r="U25" i="1"/>
  <c r="U78" i="1"/>
  <c r="U74" i="12" s="1"/>
  <c r="U94" i="1"/>
  <c r="U44" i="1"/>
  <c r="R18" i="2"/>
  <c r="U89" i="1"/>
  <c r="U21" i="1"/>
  <c r="U43" i="1"/>
  <c r="U34" i="1"/>
  <c r="U16" i="1"/>
  <c r="U95" i="1"/>
  <c r="U19" i="1"/>
  <c r="S74" i="1"/>
  <c r="U74" i="1"/>
  <c r="S60" i="1"/>
  <c r="S18" i="12" s="1"/>
  <c r="U60" i="1"/>
  <c r="S51" i="1"/>
  <c r="U51" i="1"/>
  <c r="S92" i="1"/>
  <c r="U92" i="1"/>
  <c r="S61" i="1"/>
  <c r="U61" i="1"/>
  <c r="S68" i="1"/>
  <c r="S130" i="8" s="1"/>
  <c r="U68" i="1"/>
  <c r="U130" i="8" s="1"/>
  <c r="S36" i="1"/>
  <c r="U36" i="1"/>
  <c r="S45" i="1"/>
  <c r="U45" i="1"/>
  <c r="S22" i="1"/>
  <c r="U22" i="1"/>
  <c r="R134" i="3"/>
  <c r="S20" i="1"/>
  <c r="U20" i="1"/>
  <c r="S48" i="1"/>
  <c r="U48" i="1"/>
  <c r="S32" i="1"/>
  <c r="S119" i="3" s="1"/>
  <c r="U32" i="1"/>
  <c r="U18" i="1"/>
  <c r="U93" i="1"/>
  <c r="U149" i="6" s="1"/>
  <c r="S33" i="1"/>
  <c r="U33" i="1"/>
  <c r="U82" i="1"/>
  <c r="S80" i="1"/>
  <c r="U80" i="1"/>
  <c r="U86" i="1"/>
  <c r="U116" i="12" s="1"/>
  <c r="U37" i="1"/>
  <c r="U105" i="3" s="1"/>
  <c r="U31" i="1"/>
  <c r="S69" i="1"/>
  <c r="U69" i="1"/>
  <c r="S70" i="1"/>
  <c r="U70" i="1"/>
  <c r="U14" i="1"/>
  <c r="R4" i="4"/>
  <c r="U6" i="1"/>
  <c r="S7" i="1"/>
  <c r="U7" i="1"/>
  <c r="S12" i="1"/>
  <c r="U12" i="1"/>
  <c r="S9" i="1"/>
  <c r="U9" i="1"/>
  <c r="S11" i="1"/>
  <c r="U11" i="1"/>
  <c r="S86" i="1"/>
  <c r="S116" i="12" s="1"/>
  <c r="S8" i="1"/>
  <c r="U8" i="1"/>
  <c r="S506" i="17"/>
  <c r="BP15" i="17"/>
  <c r="BP317" i="17"/>
  <c r="AC15" i="17"/>
  <c r="AC317" i="17"/>
  <c r="BO317" i="17"/>
  <c r="BO15" i="17"/>
  <c r="S548" i="17"/>
  <c r="S449" i="17"/>
  <c r="D192" i="15"/>
  <c r="D106" i="17"/>
  <c r="D201" i="17"/>
  <c r="D335" i="17"/>
  <c r="D429" i="17"/>
  <c r="C109" i="15"/>
  <c r="C595" i="17"/>
  <c r="C103" i="17"/>
  <c r="C110" i="15"/>
  <c r="C519" i="17"/>
  <c r="C28" i="17"/>
  <c r="C116" i="15"/>
  <c r="C443" i="17"/>
  <c r="C47" i="17"/>
  <c r="D71" i="17"/>
  <c r="D145" i="17"/>
  <c r="C348" i="17"/>
  <c r="C291" i="17"/>
  <c r="C111" i="15"/>
  <c r="C405" i="17"/>
  <c r="C140" i="17"/>
  <c r="C117" i="15"/>
  <c r="C557" i="17"/>
  <c r="C499" i="17"/>
  <c r="C122" i="15"/>
  <c r="C311" i="17"/>
  <c r="C178" i="17"/>
  <c r="D600" i="17"/>
  <c r="D240" i="17"/>
  <c r="C113" i="15"/>
  <c r="C273" i="17"/>
  <c r="C254" i="17"/>
  <c r="C115" i="15"/>
  <c r="C424" i="17"/>
  <c r="C121" i="17"/>
  <c r="C120" i="15"/>
  <c r="C66" i="17"/>
  <c r="C292" i="17"/>
  <c r="C121" i="15"/>
  <c r="C481" i="17"/>
  <c r="C159" i="17"/>
  <c r="C114" i="15"/>
  <c r="C368" i="17"/>
  <c r="C386" i="17"/>
  <c r="A214" i="15"/>
  <c r="A582" i="17"/>
  <c r="A127" i="17"/>
  <c r="D195" i="15"/>
  <c r="D371" i="17"/>
  <c r="D144" i="17"/>
  <c r="C132" i="15"/>
  <c r="C577" i="17"/>
  <c r="C255" i="17"/>
  <c r="C118" i="15"/>
  <c r="C330" i="17"/>
  <c r="C85" i="17"/>
  <c r="D193" i="15"/>
  <c r="D182" i="17"/>
  <c r="D580" i="17"/>
  <c r="D90" i="17"/>
  <c r="D52" i="17"/>
  <c r="S35" i="17"/>
  <c r="S507" i="17"/>
  <c r="S92" i="17"/>
  <c r="S546" i="17"/>
  <c r="U35" i="17"/>
  <c r="U507" i="17"/>
  <c r="U38" i="17"/>
  <c r="U57" i="17"/>
  <c r="U92" i="17"/>
  <c r="S112" i="17"/>
  <c r="S76" i="17"/>
  <c r="U112" i="17"/>
  <c r="U76" i="17"/>
  <c r="S57" i="17"/>
  <c r="S38" i="17"/>
  <c r="S132" i="17"/>
  <c r="S77" i="17"/>
  <c r="R5" i="6"/>
  <c r="S31" i="1"/>
  <c r="S89" i="11"/>
  <c r="S18" i="1"/>
  <c r="S5" i="6"/>
  <c r="S82" i="1"/>
  <c r="S102" i="1"/>
  <c r="S6" i="1"/>
  <c r="S118" i="1"/>
  <c r="R76" i="4"/>
  <c r="R62" i="4"/>
  <c r="R62" i="9"/>
  <c r="R19" i="5"/>
  <c r="R34" i="4"/>
  <c r="S34" i="1"/>
  <c r="S25" i="1"/>
  <c r="S16" i="1"/>
  <c r="S23" i="1"/>
  <c r="R176" i="3"/>
  <c r="R5" i="3"/>
  <c r="R75" i="2"/>
  <c r="S43" i="1"/>
  <c r="S76" i="1"/>
  <c r="S89" i="1"/>
  <c r="R103" i="11"/>
  <c r="R33" i="2"/>
  <c r="S78" i="1"/>
  <c r="S95" i="1"/>
  <c r="S37" i="1"/>
  <c r="S105" i="3" s="1"/>
  <c r="R6" i="4"/>
  <c r="R162" i="3"/>
  <c r="S101" i="1"/>
  <c r="S93" i="1"/>
  <c r="S149" i="6" s="1"/>
  <c r="S596" i="1"/>
  <c r="R41" i="8"/>
  <c r="R167" i="8"/>
  <c r="S530" i="1"/>
  <c r="R83" i="9"/>
  <c r="R111" i="9"/>
  <c r="S522" i="1"/>
  <c r="R151" i="8"/>
  <c r="R53" i="8"/>
  <c r="S142" i="1"/>
  <c r="R35" i="7"/>
  <c r="R148" i="3"/>
  <c r="S91" i="1"/>
  <c r="S138" i="6"/>
  <c r="S51" i="6"/>
  <c r="S14" i="1"/>
  <c r="R146" i="9"/>
  <c r="S76" i="12"/>
  <c r="R76" i="12"/>
  <c r="R8" i="9"/>
  <c r="R78" i="2"/>
  <c r="S699" i="1"/>
  <c r="R154" i="10"/>
  <c r="R70" i="10"/>
  <c r="S649" i="1"/>
  <c r="R125" i="12"/>
  <c r="R41" i="12"/>
  <c r="S507" i="1"/>
  <c r="R26" i="4"/>
  <c r="R182" i="4"/>
  <c r="S771" i="1"/>
  <c r="R71" i="11"/>
  <c r="R99" i="11"/>
  <c r="S126" i="1"/>
  <c r="R190" i="4"/>
  <c r="R159" i="10"/>
  <c r="S579" i="1"/>
  <c r="R84" i="9"/>
  <c r="R126" i="9"/>
  <c r="S137" i="4"/>
  <c r="S179" i="4"/>
  <c r="S200" i="1"/>
  <c r="R36" i="7"/>
  <c r="R63" i="4"/>
  <c r="S417" i="1"/>
  <c r="R23" i="9"/>
  <c r="R51" i="9"/>
  <c r="S655" i="1"/>
  <c r="R154" i="8"/>
  <c r="R28" i="8"/>
  <c r="S238" i="1"/>
  <c r="R48" i="8"/>
  <c r="R34" i="11"/>
  <c r="R134" i="10"/>
  <c r="R78" i="10"/>
  <c r="R92" i="12"/>
  <c r="R36" i="12"/>
  <c r="S25" i="6"/>
  <c r="S140" i="6"/>
  <c r="S110" i="1"/>
  <c r="R117" i="11"/>
  <c r="R90" i="3"/>
  <c r="S94" i="1"/>
  <c r="S254" i="1"/>
  <c r="R35" i="11"/>
  <c r="R63" i="11"/>
  <c r="S167" i="1"/>
  <c r="R145" i="11"/>
  <c r="R20" i="6"/>
  <c r="S230" i="1"/>
  <c r="R76" i="8"/>
  <c r="R20" i="10"/>
  <c r="S586" i="1"/>
  <c r="R110" i="11"/>
  <c r="R68" i="11"/>
  <c r="S69" i="6"/>
  <c r="S141" i="6"/>
  <c r="S6" i="7"/>
  <c r="R6" i="7"/>
  <c r="S838" i="1"/>
  <c r="R58" i="11"/>
  <c r="R16" i="11"/>
  <c r="S828" i="1"/>
  <c r="R142" i="8"/>
  <c r="R44" i="8"/>
  <c r="S617" i="1"/>
  <c r="R170" i="4"/>
  <c r="R42" i="4"/>
  <c r="S537" i="1"/>
  <c r="R109" i="11"/>
  <c r="R53" i="11"/>
  <c r="S131" i="6"/>
  <c r="S30" i="6"/>
  <c r="R81" i="7"/>
  <c r="R23" i="6"/>
  <c r="S224" i="1"/>
  <c r="R160" i="8"/>
  <c r="R135" i="3"/>
  <c r="S641" i="1"/>
  <c r="R55" i="11"/>
  <c r="R139" i="11"/>
  <c r="S423" i="1"/>
  <c r="R107" i="10"/>
  <c r="R163" i="10"/>
  <c r="S150" i="1"/>
  <c r="R145" i="8"/>
  <c r="R63" i="7"/>
  <c r="S763" i="1"/>
  <c r="R169" i="10"/>
  <c r="R15" i="10"/>
  <c r="S84" i="1"/>
  <c r="S409" i="1"/>
  <c r="R96" i="7"/>
  <c r="R24" i="7"/>
  <c r="S21" i="10"/>
  <c r="S133" i="10"/>
  <c r="S549" i="1"/>
  <c r="R27" i="7"/>
  <c r="R40" i="2"/>
  <c r="S473" i="1"/>
  <c r="R154" i="9"/>
  <c r="R38" i="9"/>
  <c r="S89" i="12"/>
  <c r="R89" i="12"/>
  <c r="S557" i="1"/>
  <c r="R99" i="7"/>
  <c r="R155" i="3"/>
  <c r="S87" i="1"/>
  <c r="S791" i="1"/>
  <c r="R30" i="10"/>
  <c r="R16" i="10"/>
  <c r="S288" i="1"/>
  <c r="R7" i="8"/>
  <c r="R51" i="7"/>
  <c r="S635" i="1"/>
  <c r="R99" i="9"/>
  <c r="R157" i="9"/>
  <c r="S707" i="1"/>
  <c r="R14" i="11"/>
  <c r="R84" i="11"/>
  <c r="S714" i="1"/>
  <c r="R84" i="12"/>
  <c r="R197" i="12"/>
  <c r="S846" i="1"/>
  <c r="R86" i="12"/>
  <c r="R87" i="3"/>
  <c r="S310" i="1"/>
  <c r="R35" i="12"/>
  <c r="R133" i="12"/>
  <c r="S779" i="1"/>
  <c r="R99" i="12"/>
  <c r="R101" i="6"/>
  <c r="S721" i="1"/>
  <c r="R85" i="8"/>
  <c r="R99" i="8"/>
  <c r="S430" i="1"/>
  <c r="R37" i="11"/>
  <c r="R190" i="11"/>
  <c r="S74" i="8"/>
  <c r="R74" i="8"/>
  <c r="S73" i="1"/>
  <c r="S439" i="1"/>
  <c r="R10" i="2"/>
  <c r="R123" i="2"/>
  <c r="S188" i="11"/>
  <c r="S632" i="1"/>
  <c r="R70" i="9"/>
  <c r="R55" i="9"/>
  <c r="S848" i="1"/>
  <c r="R199" i="12"/>
  <c r="R170" i="12"/>
  <c r="S205" i="1"/>
  <c r="R79" i="7"/>
  <c r="R191" i="4"/>
  <c r="S835" i="1"/>
  <c r="R31" i="7"/>
  <c r="R100" i="10"/>
  <c r="S478" i="1"/>
  <c r="R164" i="10"/>
  <c r="R80" i="10"/>
  <c r="S829" i="1"/>
  <c r="R16" i="9"/>
  <c r="R116" i="9"/>
  <c r="S485" i="1"/>
  <c r="R164" i="11"/>
  <c r="R150" i="11"/>
  <c r="S46" i="9"/>
  <c r="R46" i="9"/>
  <c r="S789" i="1"/>
  <c r="R86" i="8"/>
  <c r="R72" i="8"/>
  <c r="S44" i="1"/>
  <c r="S797" i="1"/>
  <c r="R58" i="12"/>
  <c r="R59" i="3"/>
  <c r="S462" i="1"/>
  <c r="R24" i="12"/>
  <c r="R25" i="7"/>
  <c r="S235" i="1"/>
  <c r="R106" i="9"/>
  <c r="R132" i="10"/>
  <c r="S629" i="1"/>
  <c r="R13" i="7"/>
  <c r="R13" i="9"/>
  <c r="S420" i="1"/>
  <c r="R153" i="9"/>
  <c r="R9" i="9"/>
  <c r="S158" i="10"/>
  <c r="R158" i="10"/>
  <c r="S16" i="6"/>
  <c r="S58" i="6"/>
  <c r="S161" i="6"/>
  <c r="S17" i="6"/>
  <c r="S125" i="6"/>
  <c r="S38" i="6"/>
  <c r="S292" i="1"/>
  <c r="R147" i="8"/>
  <c r="R107" i="9"/>
  <c r="S590" i="1"/>
  <c r="R152" i="12"/>
  <c r="R138" i="12"/>
  <c r="S414" i="1"/>
  <c r="R149" i="8"/>
  <c r="R121" i="8"/>
  <c r="S63" i="1"/>
  <c r="S697" i="1"/>
  <c r="R86" i="9"/>
  <c r="R28" i="9"/>
  <c r="S640" i="1"/>
  <c r="R139" i="10"/>
  <c r="R13" i="10"/>
  <c r="S8" i="6"/>
  <c r="S164" i="4"/>
  <c r="S703" i="1"/>
  <c r="R168" i="10"/>
  <c r="R28" i="10"/>
  <c r="S32" i="10"/>
  <c r="R32" i="10"/>
  <c r="S656" i="1"/>
  <c r="R42" i="8"/>
  <c r="R98" i="8"/>
  <c r="S546" i="1"/>
  <c r="R138" i="10"/>
  <c r="R166" i="10"/>
  <c r="S843" i="1"/>
  <c r="R128" i="11"/>
  <c r="R197" i="11"/>
  <c r="S265" i="1"/>
  <c r="R119" i="11"/>
  <c r="R134" i="2"/>
  <c r="S576" i="1"/>
  <c r="R26" i="9"/>
  <c r="R40" i="9"/>
  <c r="S711" i="1"/>
  <c r="R98" i="12"/>
  <c r="R28" i="12"/>
  <c r="S29" i="6"/>
  <c r="S15" i="6"/>
  <c r="S569" i="1"/>
  <c r="R113" i="6"/>
  <c r="R84" i="6"/>
  <c r="S152" i="6"/>
  <c r="S22" i="6"/>
  <c r="S300" i="1"/>
  <c r="R63" i="10"/>
  <c r="R161" i="10"/>
  <c r="S470" i="1"/>
  <c r="R80" i="8"/>
  <c r="R122" i="8"/>
  <c r="S130" i="11"/>
  <c r="R130" i="11"/>
  <c r="S646" i="1"/>
  <c r="R27" i="12"/>
  <c r="R57" i="7"/>
  <c r="S182" i="1"/>
  <c r="R104" i="8"/>
  <c r="R20" i="2"/>
  <c r="G105" i="11"/>
  <c r="G21" i="11"/>
  <c r="I179" i="11"/>
  <c r="I25" i="11"/>
  <c r="I71" i="11"/>
  <c r="I99" i="11"/>
  <c r="I124" i="11"/>
  <c r="I180" i="11"/>
  <c r="I156" i="11"/>
  <c r="I184" i="11"/>
  <c r="I196" i="11"/>
  <c r="I169" i="11"/>
  <c r="G188" i="11"/>
  <c r="G175" i="11"/>
  <c r="I22" i="12"/>
  <c r="I8" i="12"/>
  <c r="I44" i="12"/>
  <c r="I16" i="12"/>
  <c r="I121" i="12"/>
  <c r="I23" i="12"/>
  <c r="G30" i="12"/>
  <c r="G142" i="12"/>
  <c r="G37" i="12"/>
  <c r="G65" i="12"/>
  <c r="G182" i="12"/>
  <c r="G42" i="12"/>
  <c r="G51" i="12"/>
  <c r="G135" i="12"/>
  <c r="G181" i="12"/>
  <c r="G55" i="12"/>
  <c r="G62" i="12"/>
  <c r="G146" i="12"/>
  <c r="G69" i="12"/>
  <c r="G167" i="12"/>
  <c r="G78" i="12"/>
  <c r="G106" i="12"/>
  <c r="G166" i="12"/>
  <c r="G82" i="12"/>
  <c r="G118" i="12"/>
  <c r="G90" i="12"/>
  <c r="G184" i="12"/>
  <c r="G100" i="12"/>
  <c r="G168" i="12"/>
  <c r="G140" i="12"/>
  <c r="G196" i="12"/>
  <c r="G153" i="12"/>
  <c r="G199" i="12"/>
  <c r="G170" i="12"/>
  <c r="I173" i="12"/>
  <c r="I5" i="11"/>
  <c r="S842" i="1"/>
  <c r="R156" i="11"/>
  <c r="R184" i="11"/>
  <c r="S817" i="1"/>
  <c r="R128" i="5"/>
  <c r="R72" i="5"/>
  <c r="S768" i="1"/>
  <c r="R155" i="10"/>
  <c r="R57" i="10"/>
  <c r="S713" i="1"/>
  <c r="R154" i="12"/>
  <c r="R56" i="12"/>
  <c r="S689" i="1"/>
  <c r="R100" i="6"/>
  <c r="R72" i="6"/>
  <c r="S111" i="12"/>
  <c r="R111" i="12"/>
  <c r="S595" i="1"/>
  <c r="R125" i="8"/>
  <c r="R69" i="8"/>
  <c r="S604" i="1"/>
  <c r="R98" i="2"/>
  <c r="R55" i="2"/>
  <c r="S583" i="1"/>
  <c r="R96" i="10"/>
  <c r="R124" i="10"/>
  <c r="S535" i="1"/>
  <c r="R25" i="10"/>
  <c r="R95" i="10"/>
  <c r="S504" i="1"/>
  <c r="R126" i="4"/>
  <c r="R54" i="4"/>
  <c r="S488" i="1"/>
  <c r="R80" i="12"/>
  <c r="R122" i="12"/>
  <c r="S441" i="1"/>
  <c r="R95" i="2"/>
  <c r="R80" i="2"/>
  <c r="S419" i="1"/>
  <c r="R109" i="9"/>
  <c r="R66" i="9"/>
  <c r="R134" i="12"/>
  <c r="R64" i="12"/>
  <c r="R64" i="11"/>
  <c r="R8" i="7"/>
  <c r="S77" i="5"/>
  <c r="R77" i="5"/>
  <c r="S257" i="1"/>
  <c r="R79" i="9"/>
  <c r="R7" i="9"/>
  <c r="S120" i="9"/>
  <c r="R120" i="9"/>
  <c r="S20" i="8"/>
  <c r="R20" i="8"/>
  <c r="S48" i="3"/>
  <c r="R48" i="3"/>
  <c r="S47" i="8"/>
  <c r="R47" i="8"/>
  <c r="S20" i="4"/>
  <c r="R20" i="4"/>
  <c r="S172" i="11"/>
  <c r="R172" i="11"/>
  <c r="S4" i="8"/>
  <c r="R4" i="8"/>
  <c r="S844" i="1"/>
  <c r="R44" i="12"/>
  <c r="R16" i="12"/>
  <c r="S490" i="1"/>
  <c r="R164" i="12"/>
  <c r="R10" i="12"/>
  <c r="I56" i="11"/>
  <c r="I182" i="11"/>
  <c r="G190" i="11"/>
  <c r="G37" i="11"/>
  <c r="I190" i="11"/>
  <c r="I37" i="11"/>
  <c r="G26" i="11"/>
  <c r="G138" i="11"/>
  <c r="G108" i="11"/>
  <c r="G38" i="11"/>
  <c r="G51" i="11"/>
  <c r="G65" i="11"/>
  <c r="G55" i="11"/>
  <c r="G139" i="11"/>
  <c r="G110" i="11"/>
  <c r="G68" i="11"/>
  <c r="G98" i="11"/>
  <c r="G112" i="11"/>
  <c r="G141" i="11"/>
  <c r="G127" i="11"/>
  <c r="G191" i="11"/>
  <c r="G150" i="11"/>
  <c r="G164" i="11"/>
  <c r="G177" i="12"/>
  <c r="G9" i="12"/>
  <c r="G13" i="12"/>
  <c r="G97" i="12"/>
  <c r="G145" i="12"/>
  <c r="G19" i="12"/>
  <c r="I142" i="12"/>
  <c r="I30" i="12"/>
  <c r="I65" i="12"/>
  <c r="I37" i="12"/>
  <c r="I182" i="12"/>
  <c r="I42" i="12"/>
  <c r="I135" i="12"/>
  <c r="I51" i="12"/>
  <c r="I55" i="12"/>
  <c r="I181" i="12"/>
  <c r="I146" i="12"/>
  <c r="I62" i="12"/>
  <c r="I69" i="12"/>
  <c r="I167" i="12"/>
  <c r="I78" i="12"/>
  <c r="I106" i="12"/>
  <c r="I166" i="12"/>
  <c r="I82" i="12"/>
  <c r="I90" i="12"/>
  <c r="I118" i="12"/>
  <c r="I184" i="12"/>
  <c r="I100" i="12"/>
  <c r="I140" i="12"/>
  <c r="I168" i="12"/>
  <c r="I153" i="12"/>
  <c r="I196" i="12"/>
  <c r="I199" i="12"/>
  <c r="I170" i="12"/>
  <c r="S315" i="1"/>
  <c r="R119" i="12"/>
  <c r="R35" i="8"/>
  <c r="G179" i="11"/>
  <c r="G25" i="11"/>
  <c r="I105" i="11"/>
  <c r="I21" i="11"/>
  <c r="I170" i="11"/>
  <c r="I30" i="11"/>
  <c r="G22" i="11"/>
  <c r="G189" i="11"/>
  <c r="I22" i="11"/>
  <c r="I189" i="11"/>
  <c r="I138" i="11"/>
  <c r="I26" i="11"/>
  <c r="I108" i="11"/>
  <c r="I38" i="11"/>
  <c r="I51" i="11"/>
  <c r="I65" i="11"/>
  <c r="I139" i="11"/>
  <c r="I55" i="11"/>
  <c r="I68" i="11"/>
  <c r="I110" i="11"/>
  <c r="I112" i="11"/>
  <c r="I98" i="11"/>
  <c r="I141" i="11"/>
  <c r="I127" i="11"/>
  <c r="I191" i="11"/>
  <c r="I164" i="11"/>
  <c r="I150" i="11"/>
  <c r="I9" i="12"/>
  <c r="I177" i="12"/>
  <c r="I97" i="12"/>
  <c r="I13" i="12"/>
  <c r="I145" i="12"/>
  <c r="I19" i="12"/>
  <c r="G40" i="12"/>
  <c r="G26" i="12"/>
  <c r="G38" i="12"/>
  <c r="G108" i="12"/>
  <c r="G75" i="12"/>
  <c r="G47" i="12"/>
  <c r="G52" i="12"/>
  <c r="G94" i="12"/>
  <c r="G154" i="12"/>
  <c r="G56" i="12"/>
  <c r="G64" i="12"/>
  <c r="G134" i="12"/>
  <c r="G126" i="12"/>
  <c r="G70" i="12"/>
  <c r="G149" i="12"/>
  <c r="G79" i="12"/>
  <c r="G83" i="12"/>
  <c r="G139" i="12"/>
  <c r="G163" i="12"/>
  <c r="G93" i="12"/>
  <c r="I6" i="12"/>
  <c r="G169" i="12"/>
  <c r="S834" i="1"/>
  <c r="R114" i="10"/>
  <c r="R103" i="7"/>
  <c r="S810" i="1"/>
  <c r="R17" i="4"/>
  <c r="R131" i="4"/>
  <c r="S760" i="1"/>
  <c r="R87" i="9"/>
  <c r="R57" i="9"/>
  <c r="S706" i="1"/>
  <c r="R70" i="11"/>
  <c r="R195" i="11"/>
  <c r="S681" i="1"/>
  <c r="R157" i="4"/>
  <c r="R57" i="4"/>
  <c r="S651" i="1"/>
  <c r="R55" i="12"/>
  <c r="R181" i="12"/>
  <c r="S597" i="1"/>
  <c r="R129" i="6"/>
  <c r="R85" i="6"/>
  <c r="S124" i="8"/>
  <c r="R124" i="8"/>
  <c r="S575" i="1"/>
  <c r="R82" i="8"/>
  <c r="R152" i="8"/>
  <c r="S527" i="1"/>
  <c r="R11" i="9"/>
  <c r="R25" i="9"/>
  <c r="S498" i="1"/>
  <c r="R96" i="2"/>
  <c r="R25" i="2"/>
  <c r="S481" i="1"/>
  <c r="R38" i="11"/>
  <c r="R108" i="11"/>
  <c r="S94" i="2"/>
  <c r="R94" i="2"/>
  <c r="S397" i="1"/>
  <c r="R24" i="4"/>
  <c r="R66" i="4"/>
  <c r="R92" i="11"/>
  <c r="R148" i="11"/>
  <c r="R50" i="5"/>
  <c r="R120" i="5"/>
  <c r="S313" i="1"/>
  <c r="R91" i="12"/>
  <c r="R93" i="9"/>
  <c r="S137" i="6"/>
  <c r="R137" i="6"/>
  <c r="S249" i="1"/>
  <c r="R146" i="12"/>
  <c r="R62" i="12"/>
  <c r="S132" i="5"/>
  <c r="R132" i="5"/>
  <c r="S172" i="1"/>
  <c r="R33" i="12"/>
  <c r="R119" i="9"/>
  <c r="S139" i="1"/>
  <c r="R78" i="7"/>
  <c r="R121" i="6"/>
  <c r="S107" i="1"/>
  <c r="R117" i="8"/>
  <c r="R146" i="2"/>
  <c r="S18" i="11"/>
  <c r="R18" i="11"/>
  <c r="S90" i="1"/>
  <c r="S591" i="1"/>
  <c r="R82" i="12"/>
  <c r="R166" i="12"/>
  <c r="I93" i="11"/>
  <c r="I23" i="11"/>
  <c r="G93" i="11"/>
  <c r="G23" i="11"/>
  <c r="G35" i="11"/>
  <c r="G63" i="11"/>
  <c r="G94" i="11"/>
  <c r="G52" i="11"/>
  <c r="G182" i="11"/>
  <c r="G56" i="11"/>
  <c r="G69" i="11"/>
  <c r="G125" i="11"/>
  <c r="G121" i="11"/>
  <c r="G163" i="11"/>
  <c r="G197" i="11"/>
  <c r="G128" i="11"/>
  <c r="G136" i="11"/>
  <c r="G164" i="12"/>
  <c r="G10" i="12"/>
  <c r="G112" i="12"/>
  <c r="G14" i="12"/>
  <c r="I26" i="12"/>
  <c r="I40" i="12"/>
  <c r="I108" i="12"/>
  <c r="I38" i="12"/>
  <c r="I47" i="12"/>
  <c r="I75" i="12"/>
  <c r="I94" i="12"/>
  <c r="I52" i="12"/>
  <c r="I154" i="12"/>
  <c r="I56" i="12"/>
  <c r="I134" i="12"/>
  <c r="I64" i="12"/>
  <c r="I126" i="12"/>
  <c r="I70" i="12"/>
  <c r="I79" i="12"/>
  <c r="I149" i="12"/>
  <c r="I83" i="12"/>
  <c r="I139" i="12"/>
  <c r="I93" i="12"/>
  <c r="I163" i="12"/>
  <c r="I169" i="12"/>
  <c r="I128" i="12"/>
  <c r="I114" i="12"/>
  <c r="S71" i="12"/>
  <c r="S85" i="12"/>
  <c r="S435" i="1"/>
  <c r="R163" i="12"/>
  <c r="R93" i="12"/>
  <c r="S251" i="1"/>
  <c r="R174" i="12"/>
  <c r="R91" i="3"/>
  <c r="I69" i="11"/>
  <c r="I125" i="11"/>
  <c r="I121" i="11"/>
  <c r="I163" i="11"/>
  <c r="I164" i="12"/>
  <c r="I10" i="12"/>
  <c r="I112" i="12"/>
  <c r="I14" i="12"/>
  <c r="G28" i="12"/>
  <c r="G98" i="12"/>
  <c r="G133" i="12"/>
  <c r="G35" i="12"/>
  <c r="G49" i="12"/>
  <c r="G161" i="12"/>
  <c r="G198" i="12"/>
  <c r="G57" i="12"/>
  <c r="G66" i="12"/>
  <c r="G193" i="12"/>
  <c r="G85" i="12"/>
  <c r="G71" i="12"/>
  <c r="G80" i="12"/>
  <c r="G122" i="12"/>
  <c r="G197" i="12"/>
  <c r="G84" i="12"/>
  <c r="G109" i="12"/>
  <c r="G95" i="12"/>
  <c r="G107" i="12"/>
  <c r="G192" i="12"/>
  <c r="G176" i="12"/>
  <c r="G120" i="12"/>
  <c r="G114" i="12"/>
  <c r="G128" i="12"/>
  <c r="S798" i="1"/>
  <c r="R174" i="9"/>
  <c r="R58" i="9"/>
  <c r="S805" i="1"/>
  <c r="R44" i="3"/>
  <c r="R201" i="3"/>
  <c r="S718" i="1"/>
  <c r="R141" i="8"/>
  <c r="R29" i="8"/>
  <c r="S663" i="1"/>
  <c r="R142" i="9"/>
  <c r="R56" i="9"/>
  <c r="S673" i="1"/>
  <c r="R171" i="3"/>
  <c r="R143" i="3"/>
  <c r="S643" i="1"/>
  <c r="R125" i="11"/>
  <c r="R69" i="11"/>
  <c r="S619" i="1"/>
  <c r="R198" i="4"/>
  <c r="R56" i="4"/>
  <c r="S40" i="5"/>
  <c r="R40" i="5"/>
  <c r="S554" i="1"/>
  <c r="R69" i="3"/>
  <c r="R55" i="3"/>
  <c r="R125" i="9"/>
  <c r="R84" i="7"/>
  <c r="S151" i="2"/>
  <c r="R151" i="2"/>
  <c r="S465" i="1"/>
  <c r="R96" i="9"/>
  <c r="R83" i="7"/>
  <c r="S433" i="1"/>
  <c r="R65" i="12"/>
  <c r="R37" i="12"/>
  <c r="S389" i="1"/>
  <c r="R23" i="3"/>
  <c r="R9" i="3"/>
  <c r="R64" i="10"/>
  <c r="R92" i="10"/>
  <c r="R79" i="4"/>
  <c r="R51" i="4"/>
  <c r="S147" i="11"/>
  <c r="R147" i="11"/>
  <c r="S136" i="3"/>
  <c r="R136" i="3"/>
  <c r="S241" i="1"/>
  <c r="R6" i="11"/>
  <c r="R160" i="11"/>
  <c r="S177" i="3"/>
  <c r="R177" i="3"/>
  <c r="S145" i="10"/>
  <c r="R145" i="10"/>
  <c r="S131" i="1"/>
  <c r="R5" i="12"/>
  <c r="R103" i="5"/>
  <c r="S99" i="1"/>
  <c r="R76" i="3"/>
  <c r="R5" i="2"/>
  <c r="S56" i="1"/>
  <c r="S29" i="1"/>
  <c r="T29" i="1" s="1"/>
  <c r="R19" i="4"/>
  <c r="R5" i="4"/>
  <c r="S187" i="12"/>
  <c r="R187" i="12"/>
  <c r="I197" i="11"/>
  <c r="I128" i="11"/>
  <c r="G29" i="11"/>
  <c r="G155" i="11"/>
  <c r="G50" i="11"/>
  <c r="G36" i="11"/>
  <c r="G44" i="11"/>
  <c r="G100" i="11"/>
  <c r="G53" i="11"/>
  <c r="G109" i="11"/>
  <c r="G195" i="11"/>
  <c r="G70" i="11"/>
  <c r="G148" i="11"/>
  <c r="G92" i="11"/>
  <c r="G114" i="11"/>
  <c r="G142" i="11"/>
  <c r="G151" i="11"/>
  <c r="G123" i="11"/>
  <c r="G140" i="11"/>
  <c r="G154" i="11"/>
  <c r="G153" i="11"/>
  <c r="G194" i="11"/>
  <c r="G167" i="11"/>
  <c r="G181" i="11"/>
  <c r="G190" i="12"/>
  <c r="G7" i="12"/>
  <c r="G123" i="12"/>
  <c r="G11" i="12"/>
  <c r="G175" i="12"/>
  <c r="G21" i="12"/>
  <c r="I98" i="12"/>
  <c r="I28" i="12"/>
  <c r="I35" i="12"/>
  <c r="I133" i="12"/>
  <c r="I161" i="12"/>
  <c r="I49" i="12"/>
  <c r="I57" i="12"/>
  <c r="I198" i="12"/>
  <c r="I193" i="12"/>
  <c r="I66" i="12"/>
  <c r="I85" i="12"/>
  <c r="I71" i="12"/>
  <c r="I122" i="12"/>
  <c r="I80" i="12"/>
  <c r="I197" i="12"/>
  <c r="I84" i="12"/>
  <c r="I109" i="12"/>
  <c r="I95" i="12"/>
  <c r="I107" i="12"/>
  <c r="I192" i="12"/>
  <c r="I120" i="12"/>
  <c r="I176" i="12"/>
  <c r="I152" i="12"/>
  <c r="I138" i="12"/>
  <c r="I79" i="8"/>
  <c r="I163" i="8"/>
  <c r="S715" i="1"/>
  <c r="R14" i="12"/>
  <c r="R112" i="12"/>
  <c r="S162" i="12"/>
  <c r="R162" i="12"/>
  <c r="S61" i="12"/>
  <c r="R61" i="12"/>
  <c r="I63" i="11"/>
  <c r="I35" i="11"/>
  <c r="I136" i="11"/>
  <c r="G122" i="11"/>
  <c r="G24" i="11"/>
  <c r="I24" i="11"/>
  <c r="I122" i="11"/>
  <c r="I29" i="11"/>
  <c r="I155" i="11"/>
  <c r="I36" i="11"/>
  <c r="I50" i="11"/>
  <c r="I44" i="11"/>
  <c r="I100" i="11"/>
  <c r="I53" i="11"/>
  <c r="I109" i="11"/>
  <c r="I70" i="11"/>
  <c r="I195" i="11"/>
  <c r="I92" i="11"/>
  <c r="I148" i="11"/>
  <c r="I114" i="11"/>
  <c r="I142" i="11"/>
  <c r="I151" i="11"/>
  <c r="I123" i="11"/>
  <c r="I154" i="11"/>
  <c r="I140" i="11"/>
  <c r="I194" i="11"/>
  <c r="I153" i="11"/>
  <c r="I167" i="11"/>
  <c r="I181" i="11"/>
  <c r="I190" i="12"/>
  <c r="I7" i="12"/>
  <c r="I123" i="12"/>
  <c r="I11" i="12"/>
  <c r="I175" i="12"/>
  <c r="I21" i="12"/>
  <c r="G113" i="12"/>
  <c r="G29" i="12"/>
  <c r="G36" i="12"/>
  <c r="G92" i="12"/>
  <c r="G125" i="12"/>
  <c r="G41" i="12"/>
  <c r="G54" i="12"/>
  <c r="G68" i="12"/>
  <c r="G180" i="12"/>
  <c r="G110" i="12"/>
  <c r="G194" i="12"/>
  <c r="G137" i="12"/>
  <c r="G179" i="12"/>
  <c r="G151" i="12"/>
  <c r="G138" i="12"/>
  <c r="G152" i="12"/>
  <c r="S847" i="1"/>
  <c r="R184" i="12"/>
  <c r="R100" i="12"/>
  <c r="S825" i="1"/>
  <c r="R100" i="8"/>
  <c r="R58" i="8"/>
  <c r="S776" i="1"/>
  <c r="R113" i="12"/>
  <c r="R29" i="12"/>
  <c r="S733" i="1"/>
  <c r="R72" i="3"/>
  <c r="R116" i="3"/>
  <c r="S654" i="1"/>
  <c r="R140" i="8"/>
  <c r="R112" i="8"/>
  <c r="S665" i="1"/>
  <c r="R101" i="7"/>
  <c r="R84" i="2"/>
  <c r="S637" i="1"/>
  <c r="R69" i="10"/>
  <c r="R55" i="10"/>
  <c r="S611" i="1"/>
  <c r="R114" i="3"/>
  <c r="R170" i="3"/>
  <c r="S589" i="1"/>
  <c r="R54" i="12"/>
  <c r="R68" i="12"/>
  <c r="S542" i="1"/>
  <c r="R194" i="12"/>
  <c r="R137" i="12"/>
  <c r="S512" i="1"/>
  <c r="R137" i="5"/>
  <c r="R123" i="5"/>
  <c r="S66" i="11"/>
  <c r="R66" i="11"/>
  <c r="S451" i="1"/>
  <c r="R153" i="4"/>
  <c r="R67" i="4"/>
  <c r="S426" i="1"/>
  <c r="R93" i="11"/>
  <c r="R23" i="11"/>
  <c r="R134" i="8"/>
  <c r="R92" i="8"/>
  <c r="R79" i="3"/>
  <c r="R8" i="3"/>
  <c r="S298" i="1"/>
  <c r="R77" i="10"/>
  <c r="R105" i="10"/>
  <c r="S263" i="1"/>
  <c r="R92" i="2"/>
  <c r="R91" i="5"/>
  <c r="S233" i="1"/>
  <c r="R104" i="10"/>
  <c r="R48" i="9"/>
  <c r="S6" i="3"/>
  <c r="R6" i="3"/>
  <c r="S155" i="1"/>
  <c r="R19" i="9"/>
  <c r="R91" i="9"/>
  <c r="S123" i="1"/>
  <c r="R131" i="8"/>
  <c r="R148" i="4"/>
  <c r="S21" i="1"/>
  <c r="S65" i="1"/>
  <c r="S26" i="1"/>
  <c r="S165" i="12"/>
  <c r="R165" i="12"/>
  <c r="I94" i="11"/>
  <c r="I52" i="11"/>
  <c r="G170" i="11"/>
  <c r="G30" i="11"/>
  <c r="G71" i="11"/>
  <c r="G99" i="11"/>
  <c r="G180" i="11"/>
  <c r="G124" i="11"/>
  <c r="G156" i="11"/>
  <c r="G184" i="11"/>
  <c r="G169" i="11"/>
  <c r="G196" i="11"/>
  <c r="I188" i="11"/>
  <c r="I175" i="11"/>
  <c r="G8" i="12"/>
  <c r="G22" i="12"/>
  <c r="G44" i="12"/>
  <c r="G16" i="12"/>
  <c r="G121" i="12"/>
  <c r="G23" i="12"/>
  <c r="I113" i="12"/>
  <c r="I29" i="12"/>
  <c r="I36" i="12"/>
  <c r="I92" i="12"/>
  <c r="I125" i="12"/>
  <c r="I41" i="12"/>
  <c r="I54" i="12"/>
  <c r="I68" i="12"/>
  <c r="I180" i="12"/>
  <c r="I110" i="12"/>
  <c r="I194" i="12"/>
  <c r="I137" i="12"/>
  <c r="I151" i="12"/>
  <c r="I179" i="12"/>
  <c r="G173" i="12"/>
  <c r="G5" i="11"/>
  <c r="S195" i="12"/>
  <c r="R195" i="12"/>
  <c r="R22" i="12"/>
  <c r="R8" i="12"/>
  <c r="S19" i="1"/>
  <c r="U44" i="12" l="1"/>
  <c r="U15" i="3"/>
  <c r="S74" i="6"/>
  <c r="U72" i="12"/>
  <c r="U184" i="12"/>
  <c r="U114" i="11"/>
  <c r="U44" i="3"/>
  <c r="U146" i="6"/>
  <c r="U31" i="4"/>
  <c r="U156" i="12"/>
  <c r="U44" i="9"/>
  <c r="U142" i="10"/>
  <c r="U30" i="11"/>
  <c r="U44" i="11"/>
  <c r="U102" i="6"/>
  <c r="U156" i="10"/>
  <c r="S128" i="10"/>
  <c r="U31" i="6"/>
  <c r="U157" i="2"/>
  <c r="U74" i="7"/>
  <c r="S30" i="9"/>
  <c r="U73" i="9"/>
  <c r="U58" i="5"/>
  <c r="U201" i="4"/>
  <c r="U16" i="8"/>
  <c r="U60" i="7"/>
  <c r="U44" i="2"/>
  <c r="S30" i="3"/>
  <c r="U131" i="3"/>
  <c r="U142" i="12"/>
  <c r="U187" i="4"/>
  <c r="S145" i="4"/>
  <c r="S73" i="4"/>
  <c r="S143" i="2"/>
  <c r="S30" i="2"/>
  <c r="U86" i="5"/>
  <c r="U100" i="5"/>
  <c r="U88" i="9"/>
  <c r="U16" i="2"/>
  <c r="S16" i="5"/>
  <c r="U72" i="2"/>
  <c r="S44" i="2"/>
  <c r="S129" i="2"/>
  <c r="S86" i="11"/>
  <c r="S170" i="8"/>
  <c r="S156" i="8"/>
  <c r="S45" i="4"/>
  <c r="S116" i="4"/>
  <c r="U16" i="3"/>
  <c r="S31" i="6"/>
  <c r="S59" i="6"/>
  <c r="U101" i="3"/>
  <c r="U86" i="10"/>
  <c r="U114" i="8"/>
  <c r="U30" i="8"/>
  <c r="S30" i="8"/>
  <c r="S114" i="8"/>
  <c r="U128" i="12"/>
  <c r="U114" i="12"/>
  <c r="S128" i="12"/>
  <c r="S114" i="12"/>
  <c r="U161" i="6"/>
  <c r="U17" i="6"/>
  <c r="S50" i="6"/>
  <c r="U144" i="11"/>
  <c r="U186" i="3"/>
  <c r="U43" i="8"/>
  <c r="S43" i="8"/>
  <c r="S186" i="3"/>
  <c r="U99" i="5"/>
  <c r="U183" i="11"/>
  <c r="P155" i="8"/>
  <c r="P43" i="8"/>
  <c r="U29" i="9"/>
  <c r="P186" i="3"/>
  <c r="P59" i="7"/>
  <c r="U15" i="7"/>
  <c r="U15" i="9"/>
  <c r="U71" i="8"/>
  <c r="R30" i="4"/>
  <c r="R86" i="4"/>
  <c r="S739" i="1"/>
  <c r="U739" i="1"/>
  <c r="P86" i="4"/>
  <c r="P30" i="4"/>
  <c r="U44" i="4"/>
  <c r="U44" i="6"/>
  <c r="U127" i="8"/>
  <c r="U57" i="5"/>
  <c r="U72" i="4"/>
  <c r="U113" i="10"/>
  <c r="U99" i="8"/>
  <c r="U85" i="5"/>
  <c r="U99" i="12"/>
  <c r="U72" i="9"/>
  <c r="U58" i="6"/>
  <c r="S72" i="9"/>
  <c r="S143" i="9"/>
  <c r="U43" i="2"/>
  <c r="U15" i="2"/>
  <c r="U114" i="2"/>
  <c r="U155" i="11"/>
  <c r="P72" i="3"/>
  <c r="P116" i="3"/>
  <c r="U29" i="5"/>
  <c r="U99" i="10"/>
  <c r="U43" i="3"/>
  <c r="U113" i="5"/>
  <c r="U181" i="12"/>
  <c r="U157" i="3"/>
  <c r="U70" i="5"/>
  <c r="U143" i="4"/>
  <c r="S57" i="3"/>
  <c r="S157" i="3"/>
  <c r="U70" i="11"/>
  <c r="U115" i="3"/>
  <c r="S70" i="12"/>
  <c r="S126" i="12"/>
  <c r="S70" i="5"/>
  <c r="S140" i="5"/>
  <c r="U168" i="8"/>
  <c r="S199" i="3"/>
  <c r="S115" i="3"/>
  <c r="U143" i="3"/>
  <c r="S140" i="12"/>
  <c r="U56" i="8"/>
  <c r="U43" i="4"/>
  <c r="U140" i="8"/>
  <c r="U98" i="10"/>
  <c r="U72" i="6"/>
  <c r="U113" i="2"/>
  <c r="U56" i="9"/>
  <c r="U28" i="9"/>
  <c r="U182" i="11"/>
  <c r="U101" i="7"/>
  <c r="S126" i="5"/>
  <c r="U71" i="4"/>
  <c r="S126" i="8"/>
  <c r="S168" i="8"/>
  <c r="U14" i="8"/>
  <c r="U84" i="12"/>
  <c r="U157" i="4"/>
  <c r="U71" i="9"/>
  <c r="S56" i="11"/>
  <c r="S182" i="11"/>
  <c r="U112" i="12"/>
  <c r="S199" i="4"/>
  <c r="S43" i="4"/>
  <c r="U28" i="12"/>
  <c r="U70" i="10"/>
  <c r="U154" i="12"/>
  <c r="U98" i="8"/>
  <c r="U14" i="11"/>
  <c r="U15" i="4"/>
  <c r="S44" i="7"/>
  <c r="S158" i="9"/>
  <c r="U42" i="5"/>
  <c r="S113" i="2"/>
  <c r="S99" i="2"/>
  <c r="U168" i="10"/>
  <c r="S114" i="4"/>
  <c r="S71" i="4"/>
  <c r="U70" i="12"/>
  <c r="S171" i="4"/>
  <c r="S15" i="4"/>
  <c r="U154" i="8"/>
  <c r="U168" i="12"/>
  <c r="S140" i="10"/>
  <c r="S98" i="10"/>
  <c r="U58" i="7"/>
  <c r="S28" i="2"/>
  <c r="U28" i="2"/>
  <c r="U42" i="2"/>
  <c r="U170" i="4"/>
  <c r="U496" i="1"/>
  <c r="U11" i="2" s="1"/>
  <c r="U55" i="10"/>
  <c r="P41" i="11"/>
  <c r="P13" i="11"/>
  <c r="P97" i="12"/>
  <c r="P13" i="12"/>
  <c r="P55" i="12"/>
  <c r="P181" i="12"/>
  <c r="S13" i="12"/>
  <c r="U170" i="3"/>
  <c r="P69" i="8"/>
  <c r="P125" i="8"/>
  <c r="S11" i="2"/>
  <c r="P170" i="4"/>
  <c r="P42" i="4"/>
  <c r="P14" i="4"/>
  <c r="P84" i="4"/>
  <c r="S83" i="11"/>
  <c r="S167" i="12"/>
  <c r="S56" i="3"/>
  <c r="S198" i="3"/>
  <c r="S28" i="7"/>
  <c r="U27" i="9"/>
  <c r="U28" i="7"/>
  <c r="S70" i="3"/>
  <c r="S111" i="10"/>
  <c r="S153" i="12"/>
  <c r="S154" i="2"/>
  <c r="S13" i="5"/>
  <c r="S41" i="9"/>
  <c r="U127" i="9"/>
  <c r="U41" i="9"/>
  <c r="S27" i="10"/>
  <c r="U27" i="10"/>
  <c r="U125" i="10"/>
  <c r="U41" i="10"/>
  <c r="U111" i="10"/>
  <c r="U128" i="3"/>
  <c r="U198" i="3"/>
  <c r="S139" i="12"/>
  <c r="S28" i="4"/>
  <c r="S139" i="8"/>
  <c r="S111" i="5"/>
  <c r="U153" i="12"/>
  <c r="U196" i="12"/>
  <c r="U56" i="3"/>
  <c r="U98" i="3"/>
  <c r="U100" i="7"/>
  <c r="U27" i="3"/>
  <c r="S27" i="3"/>
  <c r="S100" i="7"/>
  <c r="S70" i="4"/>
  <c r="U184" i="4"/>
  <c r="U70" i="4"/>
  <c r="U98" i="2"/>
  <c r="U55" i="2"/>
  <c r="U141" i="9"/>
  <c r="U113" i="9"/>
  <c r="S113" i="9"/>
  <c r="S141" i="9"/>
  <c r="U111" i="5"/>
  <c r="U55" i="5"/>
  <c r="U97" i="12"/>
  <c r="U13" i="12"/>
  <c r="S181" i="11"/>
  <c r="U167" i="11"/>
  <c r="U181" i="11"/>
  <c r="U194" i="11"/>
  <c r="U153" i="11"/>
  <c r="S194" i="11"/>
  <c r="S153" i="11"/>
  <c r="U71" i="6"/>
  <c r="U28" i="6"/>
  <c r="S28" i="6"/>
  <c r="S71" i="6"/>
  <c r="S27" i="2"/>
  <c r="U27" i="2"/>
  <c r="U83" i="2"/>
  <c r="S153" i="10"/>
  <c r="S139" i="5"/>
  <c r="U27" i="5"/>
  <c r="U139" i="5"/>
  <c r="S143" i="6"/>
  <c r="U99" i="6"/>
  <c r="U143" i="6"/>
  <c r="S167" i="10"/>
  <c r="U97" i="10"/>
  <c r="U167" i="10"/>
  <c r="U69" i="2"/>
  <c r="U13" i="2"/>
  <c r="S69" i="2"/>
  <c r="S13" i="2"/>
  <c r="S156" i="3"/>
  <c r="U156" i="3"/>
  <c r="U142" i="3"/>
  <c r="U41" i="5"/>
  <c r="U83" i="5"/>
  <c r="S41" i="5"/>
  <c r="S83" i="5"/>
  <c r="U28" i="4"/>
  <c r="U156" i="4"/>
  <c r="S84" i="4"/>
  <c r="U84" i="4"/>
  <c r="U14" i="4"/>
  <c r="U69" i="12"/>
  <c r="U167" i="12"/>
  <c r="U56" i="6"/>
  <c r="U42" i="6"/>
  <c r="S42" i="6"/>
  <c r="S56" i="6"/>
  <c r="U69" i="5"/>
  <c r="U13" i="5"/>
  <c r="U111" i="11"/>
  <c r="U83" i="11"/>
  <c r="U126" i="2"/>
  <c r="U112" i="2"/>
  <c r="S112" i="2"/>
  <c r="S126" i="2"/>
  <c r="U184" i="3"/>
  <c r="U70" i="3"/>
  <c r="U154" i="2"/>
  <c r="U140" i="2"/>
  <c r="U158" i="6"/>
  <c r="U114" i="6"/>
  <c r="S158" i="6"/>
  <c r="S114" i="6"/>
  <c r="U128" i="4"/>
  <c r="U142" i="4"/>
  <c r="S128" i="4"/>
  <c r="S142" i="4"/>
  <c r="U83" i="12"/>
  <c r="U139" i="12"/>
  <c r="U113" i="4"/>
  <c r="U98" i="4"/>
  <c r="S113" i="4"/>
  <c r="S98" i="4"/>
  <c r="U125" i="5"/>
  <c r="U97" i="5"/>
  <c r="S125" i="5"/>
  <c r="S97" i="5"/>
  <c r="U153" i="10"/>
  <c r="U83" i="10"/>
  <c r="U43" i="7"/>
  <c r="U71" i="7"/>
  <c r="S71" i="7"/>
  <c r="S43" i="7"/>
  <c r="S13" i="3"/>
  <c r="U13" i="3"/>
  <c r="U41" i="3"/>
  <c r="U41" i="11"/>
  <c r="U13" i="11"/>
  <c r="S41" i="11"/>
  <c r="S13" i="11"/>
  <c r="U139" i="8"/>
  <c r="U55" i="8"/>
  <c r="U27" i="8"/>
  <c r="U97" i="8"/>
  <c r="S97" i="8"/>
  <c r="S27" i="8"/>
  <c r="P12" i="3"/>
  <c r="P42" i="7"/>
  <c r="P13" i="6"/>
  <c r="P98" i="6"/>
  <c r="P55" i="6"/>
  <c r="P128" i="6"/>
  <c r="P124" i="5"/>
  <c r="P12" i="5"/>
  <c r="P197" i="3"/>
  <c r="P83" i="3"/>
  <c r="P155" i="3"/>
  <c r="P99" i="7"/>
  <c r="P125" i="2"/>
  <c r="P82" i="2"/>
  <c r="U127" i="6"/>
  <c r="U510" i="1"/>
  <c r="U81" i="5" s="1"/>
  <c r="R39" i="2"/>
  <c r="R81" i="5"/>
  <c r="R11" i="2"/>
  <c r="S510" i="1"/>
  <c r="S81" i="5" s="1"/>
  <c r="S53" i="5"/>
  <c r="U69" i="9"/>
  <c r="U170" i="9"/>
  <c r="U54" i="9"/>
  <c r="U112" i="9"/>
  <c r="U126" i="9"/>
  <c r="U84" i="9"/>
  <c r="U96" i="10"/>
  <c r="U124" i="10"/>
  <c r="U55" i="6"/>
  <c r="U128" i="6"/>
  <c r="U113" i="3"/>
  <c r="U141" i="3"/>
  <c r="U26" i="10"/>
  <c r="U54" i="10"/>
  <c r="U12" i="5"/>
  <c r="U124" i="5"/>
  <c r="U180" i="12"/>
  <c r="U110" i="12"/>
  <c r="U83" i="4"/>
  <c r="U69" i="4"/>
  <c r="U98" i="6"/>
  <c r="U13" i="6"/>
  <c r="U40" i="11"/>
  <c r="U82" i="11"/>
  <c r="U40" i="9"/>
  <c r="U26" i="9"/>
  <c r="U12" i="10"/>
  <c r="U110" i="10"/>
  <c r="U82" i="12"/>
  <c r="U166" i="12"/>
  <c r="U138" i="12"/>
  <c r="U152" i="12"/>
  <c r="U138" i="11"/>
  <c r="U26" i="11"/>
  <c r="U97" i="4"/>
  <c r="U183" i="4"/>
  <c r="U70" i="7"/>
  <c r="U85" i="7"/>
  <c r="U153" i="2"/>
  <c r="U97" i="2"/>
  <c r="S39" i="10"/>
  <c r="U157" i="6"/>
  <c r="U70" i="6"/>
  <c r="U82" i="2"/>
  <c r="U125" i="2"/>
  <c r="U12" i="2"/>
  <c r="U26" i="2"/>
  <c r="U83" i="3"/>
  <c r="U197" i="3"/>
  <c r="U82" i="5"/>
  <c r="U54" i="5"/>
  <c r="U127" i="4"/>
  <c r="U41" i="4"/>
  <c r="U112" i="4"/>
  <c r="U13" i="4"/>
  <c r="U54" i="12"/>
  <c r="U68" i="12"/>
  <c r="U68" i="10"/>
  <c r="U40" i="10"/>
  <c r="S82" i="3"/>
  <c r="U110" i="11"/>
  <c r="U68" i="11"/>
  <c r="U84" i="6"/>
  <c r="U113" i="6"/>
  <c r="U54" i="2"/>
  <c r="U111" i="2"/>
  <c r="U26" i="12"/>
  <c r="U40" i="12"/>
  <c r="U169" i="3"/>
  <c r="U97" i="3"/>
  <c r="U12" i="8"/>
  <c r="U110" i="8"/>
  <c r="U42" i="7"/>
  <c r="U12" i="3"/>
  <c r="U82" i="8"/>
  <c r="U152" i="8"/>
  <c r="U68" i="5"/>
  <c r="U26" i="5"/>
  <c r="U69" i="3"/>
  <c r="U55" i="3"/>
  <c r="U138" i="5"/>
  <c r="U96" i="5"/>
  <c r="U99" i="7"/>
  <c r="U155" i="3"/>
  <c r="U155" i="4"/>
  <c r="U141" i="4"/>
  <c r="S39" i="9"/>
  <c r="U41" i="6"/>
  <c r="U27" i="6"/>
  <c r="U40" i="2"/>
  <c r="U27" i="7"/>
  <c r="U166" i="10"/>
  <c r="U138" i="10"/>
  <c r="U124" i="11"/>
  <c r="U180" i="11"/>
  <c r="U183" i="3"/>
  <c r="U127" i="3"/>
  <c r="S127" i="6"/>
  <c r="P81" i="8"/>
  <c r="P25" i="8"/>
  <c r="R165" i="8"/>
  <c r="R109" i="8"/>
  <c r="S526" i="1"/>
  <c r="U526" i="1"/>
  <c r="R25" i="8"/>
  <c r="R81" i="8"/>
  <c r="S521" i="1"/>
  <c r="U521" i="1"/>
  <c r="P109" i="8"/>
  <c r="P165" i="8"/>
  <c r="P127" i="6"/>
  <c r="P12" i="6"/>
  <c r="S513" i="1"/>
  <c r="U513" i="1"/>
  <c r="R83" i="6"/>
  <c r="R40" i="6"/>
  <c r="P40" i="6"/>
  <c r="P83" i="6"/>
  <c r="P81" i="5"/>
  <c r="P109" i="5"/>
  <c r="P11" i="2"/>
  <c r="P39" i="2"/>
  <c r="U492" i="1"/>
  <c r="R68" i="3"/>
  <c r="R168" i="3"/>
  <c r="S492" i="1"/>
  <c r="P168" i="3"/>
  <c r="P68" i="3"/>
  <c r="S167" i="4"/>
  <c r="U95" i="8"/>
  <c r="S67" i="2"/>
  <c r="U152" i="2"/>
  <c r="U68" i="9"/>
  <c r="U140" i="9"/>
  <c r="U39" i="3"/>
  <c r="U137" i="8"/>
  <c r="S98" i="7"/>
  <c r="U97" i="9"/>
  <c r="U82" i="3"/>
  <c r="U155" i="9"/>
  <c r="U39" i="8"/>
  <c r="U112" i="6"/>
  <c r="U55" i="7"/>
  <c r="U67" i="11"/>
  <c r="U140" i="4"/>
  <c r="S53" i="9"/>
  <c r="S97" i="9"/>
  <c r="S152" i="2"/>
  <c r="S124" i="2"/>
  <c r="U192" i="11"/>
  <c r="U179" i="11"/>
  <c r="U151" i="10"/>
  <c r="U81" i="10"/>
  <c r="U67" i="10"/>
  <c r="U123" i="12"/>
  <c r="U81" i="11"/>
  <c r="U39" i="2"/>
  <c r="U168" i="4"/>
  <c r="S11" i="7"/>
  <c r="S192" i="11"/>
  <c r="U154" i="4"/>
  <c r="S123" i="10"/>
  <c r="S67" i="10"/>
  <c r="U25" i="3"/>
  <c r="U53" i="5"/>
  <c r="U109" i="12"/>
  <c r="U179" i="12"/>
  <c r="S179" i="12"/>
  <c r="S151" i="12"/>
  <c r="S154" i="4"/>
  <c r="S96" i="4"/>
  <c r="S39" i="3"/>
  <c r="S96" i="3"/>
  <c r="U111" i="9"/>
  <c r="U83" i="9"/>
  <c r="U11" i="9"/>
  <c r="U25" i="9"/>
  <c r="U84" i="7"/>
  <c r="U125" i="9"/>
  <c r="U95" i="10"/>
  <c r="U25" i="10"/>
  <c r="U137" i="12"/>
  <c r="U194" i="12"/>
  <c r="U53" i="11"/>
  <c r="U109" i="11"/>
  <c r="U126" i="4"/>
  <c r="U54" i="4"/>
  <c r="U123" i="5"/>
  <c r="U137" i="5"/>
  <c r="U97" i="7"/>
  <c r="U151" i="8"/>
  <c r="U53" i="8"/>
  <c r="U26" i="4"/>
  <c r="U182" i="4"/>
  <c r="U96" i="2"/>
  <c r="U25" i="2"/>
  <c r="U165" i="11"/>
  <c r="U137" i="11"/>
  <c r="U94" i="11"/>
  <c r="S82" i="9"/>
  <c r="U108" i="5"/>
  <c r="U82" i="9"/>
  <c r="S151" i="11"/>
  <c r="S137" i="11"/>
  <c r="S165" i="11"/>
  <c r="U25" i="6"/>
  <c r="P124" i="9"/>
  <c r="P52" i="9"/>
  <c r="S474" i="1"/>
  <c r="U474" i="1"/>
  <c r="R124" i="9"/>
  <c r="R52" i="9"/>
  <c r="P82" i="9"/>
  <c r="P67" i="9"/>
  <c r="U10" i="9"/>
  <c r="S10" i="5"/>
  <c r="U38" i="8"/>
  <c r="U125" i="3"/>
  <c r="R52" i="12"/>
  <c r="R94" i="12"/>
  <c r="S486" i="1"/>
  <c r="U486" i="1"/>
  <c r="U52" i="8"/>
  <c r="P52" i="12"/>
  <c r="P94" i="12"/>
  <c r="S38" i="8"/>
  <c r="S477" i="1"/>
  <c r="R38" i="10"/>
  <c r="U477" i="1"/>
  <c r="R52" i="10"/>
  <c r="P38" i="10"/>
  <c r="P52" i="10"/>
  <c r="U39" i="6"/>
  <c r="U150" i="10"/>
  <c r="S68" i="7"/>
  <c r="U193" i="12"/>
  <c r="S24" i="5"/>
  <c r="U81" i="4"/>
  <c r="P38" i="8"/>
  <c r="P108" i="8"/>
  <c r="U82" i="6"/>
  <c r="P96" i="9"/>
  <c r="P83" i="7"/>
  <c r="U53" i="6"/>
  <c r="U449" i="1"/>
  <c r="R11" i="4"/>
  <c r="R95" i="4"/>
  <c r="S449" i="1"/>
  <c r="P95" i="4"/>
  <c r="P11" i="4"/>
  <c r="U24" i="8"/>
  <c r="U66" i="5"/>
  <c r="U94" i="5"/>
  <c r="S125" i="3"/>
  <c r="U178" i="11"/>
  <c r="U38" i="2"/>
  <c r="S38" i="2"/>
  <c r="S66" i="2"/>
  <c r="U122" i="11"/>
  <c r="S150" i="10"/>
  <c r="S10" i="10"/>
  <c r="S66" i="12"/>
  <c r="S26" i="5"/>
  <c r="S68" i="5"/>
  <c r="S13" i="6"/>
  <c r="S98" i="6"/>
  <c r="S70" i="6"/>
  <c r="S157" i="6"/>
  <c r="S12" i="8"/>
  <c r="S110" i="8"/>
  <c r="S12" i="10"/>
  <c r="S110" i="10"/>
  <c r="S26" i="10"/>
  <c r="S54" i="10"/>
  <c r="S12" i="2"/>
  <c r="S26" i="2"/>
  <c r="S180" i="11"/>
  <c r="S124" i="11"/>
  <c r="S180" i="12"/>
  <c r="S110" i="12"/>
  <c r="S41" i="6"/>
  <c r="S27" i="6"/>
  <c r="S54" i="5"/>
  <c r="S82" i="5"/>
  <c r="S141" i="4"/>
  <c r="S155" i="4"/>
  <c r="S82" i="2"/>
  <c r="S125" i="2"/>
  <c r="S128" i="6"/>
  <c r="S55" i="6"/>
  <c r="S97" i="3"/>
  <c r="S169" i="3"/>
  <c r="S69" i="4"/>
  <c r="S83" i="4"/>
  <c r="S197" i="3"/>
  <c r="S83" i="3"/>
  <c r="S12" i="5"/>
  <c r="S124" i="5"/>
  <c r="S13" i="4"/>
  <c r="S112" i="4"/>
  <c r="S12" i="3"/>
  <c r="S42" i="7"/>
  <c r="S170" i="9"/>
  <c r="S69" i="9"/>
  <c r="S68" i="10"/>
  <c r="S40" i="10"/>
  <c r="S183" i="3"/>
  <c r="S127" i="3"/>
  <c r="S82" i="11"/>
  <c r="S40" i="11"/>
  <c r="S26" i="12"/>
  <c r="S40" i="12"/>
  <c r="S112" i="9"/>
  <c r="S54" i="9"/>
  <c r="S96" i="5"/>
  <c r="S138" i="5"/>
  <c r="S141" i="3"/>
  <c r="S113" i="3"/>
  <c r="S70" i="7"/>
  <c r="S85" i="7"/>
  <c r="S111" i="2"/>
  <c r="S54" i="2"/>
  <c r="S153" i="2"/>
  <c r="S97" i="2"/>
  <c r="S26" i="11"/>
  <c r="S138" i="11"/>
  <c r="S127" i="4"/>
  <c r="S41" i="4"/>
  <c r="S183" i="4"/>
  <c r="S97" i="4"/>
  <c r="U96" i="9"/>
  <c r="U83" i="7"/>
  <c r="U80" i="10"/>
  <c r="U164" i="10"/>
  <c r="U80" i="12"/>
  <c r="U122" i="12"/>
  <c r="U38" i="9"/>
  <c r="U154" i="9"/>
  <c r="U150" i="11"/>
  <c r="U164" i="11"/>
  <c r="U24" i="12"/>
  <c r="U25" i="7"/>
  <c r="U80" i="8"/>
  <c r="U122" i="8"/>
  <c r="U164" i="12"/>
  <c r="U10" i="12"/>
  <c r="U38" i="11"/>
  <c r="U108" i="11"/>
  <c r="U153" i="4"/>
  <c r="U67" i="4"/>
  <c r="U95" i="2"/>
  <c r="U80" i="2"/>
  <c r="U10" i="2"/>
  <c r="U123" i="2"/>
  <c r="S428" i="1"/>
  <c r="R9" i="11"/>
  <c r="U428" i="1"/>
  <c r="R149" i="11"/>
  <c r="P149" i="11"/>
  <c r="P9" i="11"/>
  <c r="U121" i="11"/>
  <c r="U23" i="2"/>
  <c r="S434" i="1"/>
  <c r="U434" i="1"/>
  <c r="R79" i="12"/>
  <c r="R149" i="12"/>
  <c r="P149" i="12"/>
  <c r="P79" i="12"/>
  <c r="S422" i="1"/>
  <c r="U422" i="1"/>
  <c r="R149" i="10"/>
  <c r="R23" i="10"/>
  <c r="P149" i="10"/>
  <c r="P23" i="10"/>
  <c r="U384" i="1"/>
  <c r="R37" i="9"/>
  <c r="R81" i="9"/>
  <c r="S384" i="1"/>
  <c r="P81" i="9"/>
  <c r="P37" i="9"/>
  <c r="S121" i="11"/>
  <c r="U95" i="9"/>
  <c r="S413" i="1"/>
  <c r="R93" i="8"/>
  <c r="U413" i="1"/>
  <c r="R107" i="8"/>
  <c r="P93" i="8"/>
  <c r="P107" i="8"/>
  <c r="R65" i="8"/>
  <c r="S412" i="1"/>
  <c r="U412" i="1"/>
  <c r="R23" i="8"/>
  <c r="R163" i="8"/>
  <c r="S416" i="1"/>
  <c r="U416" i="1"/>
  <c r="R79" i="8"/>
  <c r="P65" i="8"/>
  <c r="P23" i="8"/>
  <c r="P79" i="8"/>
  <c r="P163" i="8"/>
  <c r="U51" i="8"/>
  <c r="S148" i="2"/>
  <c r="U52" i="3"/>
  <c r="S95" i="9"/>
  <c r="U65" i="2"/>
  <c r="U121" i="10"/>
  <c r="U79" i="10"/>
  <c r="S390" i="1"/>
  <c r="U390" i="1"/>
  <c r="R66" i="3"/>
  <c r="R37" i="3"/>
  <c r="P66" i="3"/>
  <c r="P37" i="3"/>
  <c r="U80" i="3"/>
  <c r="S387" i="1"/>
  <c r="R150" i="2"/>
  <c r="U387" i="1"/>
  <c r="R79" i="2"/>
  <c r="P150" i="2"/>
  <c r="P79" i="2"/>
  <c r="U51" i="12"/>
  <c r="S51" i="8"/>
  <c r="S108" i="2"/>
  <c r="S23" i="2"/>
  <c r="S166" i="3"/>
  <c r="S80" i="3"/>
  <c r="U52" i="4"/>
  <c r="S51" i="2"/>
  <c r="S65" i="2"/>
  <c r="S95" i="6"/>
  <c r="U95" i="6"/>
  <c r="S135" i="12"/>
  <c r="S51" i="12"/>
  <c r="U38" i="4"/>
  <c r="U93" i="5"/>
  <c r="S166" i="4"/>
  <c r="U51" i="5"/>
  <c r="S37" i="5"/>
  <c r="S93" i="5"/>
  <c r="S138" i="4"/>
  <c r="S80" i="4"/>
  <c r="S150" i="3"/>
  <c r="S139" i="6"/>
  <c r="S154" i="6"/>
  <c r="U23" i="12"/>
  <c r="U80" i="4"/>
  <c r="S121" i="12"/>
  <c r="S23" i="12"/>
  <c r="U9" i="12"/>
  <c r="U123" i="9"/>
  <c r="S177" i="12"/>
  <c r="S9" i="12"/>
  <c r="U66" i="9"/>
  <c r="U109" i="9"/>
  <c r="U23" i="9"/>
  <c r="U51" i="9"/>
  <c r="U109" i="4"/>
  <c r="U37" i="11"/>
  <c r="U190" i="11"/>
  <c r="U24" i="7"/>
  <c r="U96" i="7"/>
  <c r="U23" i="3"/>
  <c r="U9" i="3"/>
  <c r="U163" i="10"/>
  <c r="U107" i="10"/>
  <c r="U110" i="3"/>
  <c r="U153" i="9"/>
  <c r="U9" i="9"/>
  <c r="U23" i="11"/>
  <c r="U93" i="11"/>
  <c r="U121" i="8"/>
  <c r="U149" i="8"/>
  <c r="U37" i="12"/>
  <c r="U65" i="12"/>
  <c r="U65" i="5"/>
  <c r="S109" i="4"/>
  <c r="S180" i="4"/>
  <c r="U93" i="12"/>
  <c r="U163" i="12"/>
  <c r="U24" i="4"/>
  <c r="U66" i="4"/>
  <c r="S92" i="4"/>
  <c r="S77" i="12"/>
  <c r="S120" i="12"/>
  <c r="S22" i="2"/>
  <c r="S49" i="12"/>
  <c r="S22" i="10"/>
  <c r="U50" i="9"/>
  <c r="U38" i="7"/>
  <c r="S38" i="7"/>
  <c r="S50" i="9"/>
  <c r="S165" i="3"/>
  <c r="U36" i="2"/>
  <c r="U107" i="2"/>
  <c r="S36" i="2"/>
  <c r="S107" i="2"/>
  <c r="U22" i="2"/>
  <c r="U149" i="2"/>
  <c r="U92" i="10"/>
  <c r="U64" i="10"/>
  <c r="S22" i="3"/>
  <c r="S166" i="9"/>
  <c r="U106" i="10"/>
  <c r="U22" i="10"/>
  <c r="S8" i="10"/>
  <c r="U8" i="10"/>
  <c r="U50" i="10"/>
  <c r="S65" i="3"/>
  <c r="U137" i="3"/>
  <c r="U65" i="3"/>
  <c r="U80" i="6"/>
  <c r="U94" i="6"/>
  <c r="S80" i="6"/>
  <c r="S94" i="6"/>
  <c r="U166" i="9"/>
  <c r="U122" i="9"/>
  <c r="U165" i="3"/>
  <c r="U36" i="3"/>
  <c r="U23" i="4"/>
  <c r="U108" i="4"/>
  <c r="S23" i="4"/>
  <c r="S108" i="4"/>
  <c r="S134" i="5"/>
  <c r="U134" i="5"/>
  <c r="U106" i="5"/>
  <c r="U22" i="3"/>
  <c r="U123" i="3"/>
  <c r="S162" i="11"/>
  <c r="U153" i="6"/>
  <c r="U162" i="11"/>
  <c r="S148" i="8"/>
  <c r="U64" i="8"/>
  <c r="U148" i="8"/>
  <c r="S162" i="10"/>
  <c r="U162" i="10"/>
  <c r="U36" i="10"/>
  <c r="U124" i="6"/>
  <c r="U109" i="6"/>
  <c r="S124" i="6"/>
  <c r="S109" i="6"/>
  <c r="U8" i="8"/>
  <c r="U36" i="8"/>
  <c r="S8" i="8"/>
  <c r="S36" i="8"/>
  <c r="U66" i="6"/>
  <c r="U9" i="6"/>
  <c r="S9" i="6"/>
  <c r="S66" i="6"/>
  <c r="U120" i="12"/>
  <c r="U176" i="12"/>
  <c r="U50" i="8"/>
  <c r="U106" i="8"/>
  <c r="S50" i="8"/>
  <c r="S106" i="8"/>
  <c r="S8" i="2"/>
  <c r="U93" i="2"/>
  <c r="U8" i="2"/>
  <c r="U134" i="8"/>
  <c r="U92" i="8"/>
  <c r="U109" i="3"/>
  <c r="U179" i="3"/>
  <c r="S179" i="3"/>
  <c r="S109" i="3"/>
  <c r="S22" i="5"/>
  <c r="U36" i="5"/>
  <c r="U22" i="5"/>
  <c r="U8" i="5"/>
  <c r="U78" i="5"/>
  <c r="S78" i="5"/>
  <c r="S8" i="5"/>
  <c r="U51" i="3"/>
  <c r="U193" i="3"/>
  <c r="S51" i="3"/>
  <c r="S193" i="3"/>
  <c r="U123" i="4"/>
  <c r="U151" i="4"/>
  <c r="S123" i="4"/>
  <c r="S151" i="4"/>
  <c r="S121" i="2"/>
  <c r="S165" i="4"/>
  <c r="U120" i="8"/>
  <c r="U22" i="8"/>
  <c r="S120" i="8"/>
  <c r="S22" i="8"/>
  <c r="U66" i="7"/>
  <c r="U78" i="8"/>
  <c r="S78" i="8"/>
  <c r="S66" i="7"/>
  <c r="U64" i="11"/>
  <c r="U8" i="7"/>
  <c r="U120" i="5"/>
  <c r="U50" i="5"/>
  <c r="U121" i="2"/>
  <c r="U64" i="2"/>
  <c r="U79" i="3"/>
  <c r="U8" i="3"/>
  <c r="U92" i="5"/>
  <c r="U64" i="5"/>
  <c r="S64" i="5"/>
  <c r="S92" i="5"/>
  <c r="U9" i="4"/>
  <c r="U193" i="4"/>
  <c r="S193" i="4"/>
  <c r="S9" i="4"/>
  <c r="U165" i="4"/>
  <c r="U93" i="4"/>
  <c r="U37" i="4"/>
  <c r="U65" i="4"/>
  <c r="S65" i="4"/>
  <c r="S37" i="4"/>
  <c r="S135" i="2"/>
  <c r="U136" i="9"/>
  <c r="U94" i="9"/>
  <c r="S94" i="9"/>
  <c r="S136" i="9"/>
  <c r="U120" i="10"/>
  <c r="U148" i="10"/>
  <c r="S120" i="10"/>
  <c r="S148" i="10"/>
  <c r="U22" i="9"/>
  <c r="U108" i="9"/>
  <c r="S108" i="9"/>
  <c r="S22" i="9"/>
  <c r="U50" i="2"/>
  <c r="U135" i="2"/>
  <c r="U152" i="9"/>
  <c r="U23" i="7"/>
  <c r="S152" i="9"/>
  <c r="S23" i="7"/>
  <c r="S119" i="6"/>
  <c r="S61" i="6"/>
  <c r="U118" i="4"/>
  <c r="U103" i="4"/>
  <c r="S118" i="4"/>
  <c r="S103" i="4"/>
  <c r="U119" i="6"/>
  <c r="U61" i="6"/>
  <c r="S60" i="10"/>
  <c r="S60" i="12"/>
  <c r="S47" i="3"/>
  <c r="S88" i="12"/>
  <c r="U60" i="9"/>
  <c r="U186" i="12"/>
  <c r="S60" i="9"/>
  <c r="S186" i="12"/>
  <c r="U47" i="3"/>
  <c r="U88" i="12"/>
  <c r="U147" i="9"/>
  <c r="U4" i="12"/>
  <c r="S158" i="11"/>
  <c r="S102" i="12"/>
  <c r="U18" i="8"/>
  <c r="U158" i="12"/>
  <c r="S147" i="9"/>
  <c r="S4" i="12"/>
  <c r="S33" i="6"/>
  <c r="S130" i="12"/>
  <c r="S18" i="8"/>
  <c r="S158" i="12"/>
  <c r="S102" i="8"/>
  <c r="S74" i="12"/>
  <c r="U33" i="6"/>
  <c r="U130" i="12"/>
  <c r="S60" i="11"/>
  <c r="S144" i="12"/>
  <c r="U18" i="2"/>
  <c r="U18" i="12"/>
  <c r="U158" i="11"/>
  <c r="U102" i="12"/>
  <c r="S130" i="10"/>
  <c r="S46" i="12"/>
  <c r="U32" i="8"/>
  <c r="U116" i="10"/>
  <c r="U88" i="8"/>
  <c r="U144" i="10"/>
  <c r="U18" i="9"/>
  <c r="U74" i="10"/>
  <c r="S88" i="5"/>
  <c r="S46" i="10"/>
  <c r="U76" i="6"/>
  <c r="U102" i="10"/>
  <c r="S18" i="9"/>
  <c r="S74" i="10"/>
  <c r="S32" i="8"/>
  <c r="S116" i="10"/>
  <c r="S76" i="6"/>
  <c r="S102" i="10"/>
  <c r="S88" i="8"/>
  <c r="S144" i="10"/>
  <c r="U88" i="5"/>
  <c r="U46" i="10"/>
  <c r="U104" i="9"/>
  <c r="U4" i="10"/>
  <c r="S104" i="9"/>
  <c r="S4" i="10"/>
  <c r="U130" i="10"/>
  <c r="U61" i="4"/>
  <c r="U32" i="9"/>
  <c r="S4" i="4"/>
  <c r="S161" i="9"/>
  <c r="S61" i="4"/>
  <c r="S32" i="9"/>
  <c r="U76" i="7"/>
  <c r="U75" i="9"/>
  <c r="U4" i="4"/>
  <c r="U161" i="9"/>
  <c r="S76" i="7"/>
  <c r="S75" i="9"/>
  <c r="U145" i="2"/>
  <c r="U162" i="9"/>
  <c r="S145" i="2"/>
  <c r="S162" i="9"/>
  <c r="S144" i="11"/>
  <c r="S76" i="9"/>
  <c r="S75" i="4"/>
  <c r="S158" i="8"/>
  <c r="S74" i="5"/>
  <c r="S60" i="8"/>
  <c r="U75" i="4"/>
  <c r="U158" i="8"/>
  <c r="U102" i="8"/>
  <c r="U74" i="5"/>
  <c r="U60" i="8"/>
  <c r="S47" i="4"/>
  <c r="S46" i="8"/>
  <c r="U47" i="4"/>
  <c r="U46" i="8"/>
  <c r="S131" i="2"/>
  <c r="S62" i="7"/>
  <c r="S32" i="11"/>
  <c r="S4" i="7"/>
  <c r="U32" i="11"/>
  <c r="U4" i="7"/>
  <c r="U131" i="2"/>
  <c r="U62" i="7"/>
  <c r="S146" i="9"/>
  <c r="S33" i="7"/>
  <c r="U146" i="9"/>
  <c r="U33" i="7"/>
  <c r="U89" i="4"/>
  <c r="U77" i="7"/>
  <c r="U103" i="2"/>
  <c r="U19" i="7"/>
  <c r="U116" i="11"/>
  <c r="U48" i="7"/>
  <c r="S89" i="4"/>
  <c r="S77" i="7"/>
  <c r="S103" i="2"/>
  <c r="S19" i="7"/>
  <c r="S116" i="11"/>
  <c r="S48" i="7"/>
  <c r="U133" i="4"/>
  <c r="U91" i="7"/>
  <c r="S133" i="4"/>
  <c r="S91" i="7"/>
  <c r="U4" i="6"/>
  <c r="U104" i="6"/>
  <c r="S4" i="6"/>
  <c r="S104" i="6"/>
  <c r="U88" i="11"/>
  <c r="U47" i="6"/>
  <c r="U60" i="5"/>
  <c r="U120" i="6"/>
  <c r="S88" i="11"/>
  <c r="S47" i="6"/>
  <c r="S60" i="5"/>
  <c r="S120" i="6"/>
  <c r="U46" i="2"/>
  <c r="U134" i="6"/>
  <c r="U89" i="2"/>
  <c r="U62" i="6"/>
  <c r="S46" i="2"/>
  <c r="S134" i="6"/>
  <c r="S89" i="2"/>
  <c r="S62" i="6"/>
  <c r="U91" i="11"/>
  <c r="U152" i="6"/>
  <c r="U21" i="11"/>
  <c r="U49" i="8"/>
  <c r="S65" i="7"/>
  <c r="S64" i="4"/>
  <c r="U65" i="7"/>
  <c r="S105" i="11"/>
  <c r="U21" i="5"/>
  <c r="U108" i="3"/>
  <c r="U122" i="3"/>
  <c r="U92" i="4"/>
  <c r="S21" i="5"/>
  <c r="U64" i="4"/>
  <c r="U178" i="4"/>
  <c r="S22" i="4"/>
  <c r="U175" i="12"/>
  <c r="U92" i="3"/>
  <c r="U4" i="11"/>
  <c r="U175" i="3"/>
  <c r="U102" i="11"/>
  <c r="S4" i="11"/>
  <c r="S175" i="3"/>
  <c r="S102" i="11"/>
  <c r="U21" i="2"/>
  <c r="S102" i="5"/>
  <c r="S186" i="11"/>
  <c r="U91" i="8"/>
  <c r="U49" i="12"/>
  <c r="S64" i="3"/>
  <c r="U102" i="5"/>
  <c r="U186" i="11"/>
  <c r="U7" i="3"/>
  <c r="U164" i="3"/>
  <c r="U106" i="2"/>
  <c r="U7" i="10"/>
  <c r="U64" i="3"/>
  <c r="U77" i="12"/>
  <c r="U105" i="12"/>
  <c r="U77" i="10"/>
  <c r="U105" i="10"/>
  <c r="U91" i="12"/>
  <c r="U93" i="9"/>
  <c r="U134" i="2"/>
  <c r="U119" i="11"/>
  <c r="U51" i="7"/>
  <c r="U7" i="8"/>
  <c r="U161" i="10"/>
  <c r="U63" i="10"/>
  <c r="U107" i="9"/>
  <c r="U147" i="8"/>
  <c r="U91" i="5"/>
  <c r="U92" i="2"/>
  <c r="U119" i="12"/>
  <c r="U35" i="8"/>
  <c r="U35" i="12"/>
  <c r="U133" i="12"/>
  <c r="U79" i="9"/>
  <c r="U7" i="9"/>
  <c r="U35" i="11"/>
  <c r="U63" i="11"/>
  <c r="U33" i="3"/>
  <c r="U117" i="5"/>
  <c r="U35" i="6"/>
  <c r="U118" i="12"/>
  <c r="U48" i="12"/>
  <c r="U76" i="11"/>
  <c r="U133" i="2"/>
  <c r="U47" i="12"/>
  <c r="U62" i="2"/>
  <c r="U48" i="10"/>
  <c r="U92" i="9"/>
  <c r="U119" i="2"/>
  <c r="U62" i="10"/>
  <c r="U105" i="4"/>
  <c r="U48" i="6"/>
  <c r="U20" i="11"/>
  <c r="U135" i="4"/>
  <c r="U136" i="6"/>
  <c r="U64" i="6"/>
  <c r="U174" i="11"/>
  <c r="U132" i="8"/>
  <c r="U34" i="5"/>
  <c r="U49" i="3"/>
  <c r="U191" i="3"/>
  <c r="U47" i="5"/>
  <c r="U20" i="7"/>
  <c r="U173" i="11"/>
  <c r="U146" i="10"/>
  <c r="U49" i="4"/>
  <c r="U7" i="6"/>
  <c r="U118" i="5"/>
  <c r="U106" i="4"/>
  <c r="U118" i="8"/>
  <c r="U134" i="4"/>
  <c r="U107" i="6"/>
  <c r="U163" i="3"/>
  <c r="U104" i="12"/>
  <c r="U163" i="4"/>
  <c r="U6" i="9"/>
  <c r="U117" i="12"/>
  <c r="U35" i="4"/>
  <c r="U173" i="12"/>
  <c r="U91" i="6"/>
  <c r="U93" i="7"/>
  <c r="U34" i="12"/>
  <c r="U92" i="6"/>
  <c r="U47" i="10"/>
  <c r="U19" i="12"/>
  <c r="U21" i="4"/>
  <c r="U146" i="11"/>
  <c r="U118" i="10"/>
  <c r="U50" i="7"/>
  <c r="S35" i="4"/>
  <c r="U147" i="4"/>
  <c r="U161" i="4"/>
  <c r="S147" i="4"/>
  <c r="S161" i="4"/>
  <c r="U4" i="3"/>
  <c r="U175" i="4"/>
  <c r="S4" i="3"/>
  <c r="S175" i="4"/>
  <c r="U133" i="3"/>
  <c r="U130" i="5"/>
  <c r="S133" i="3"/>
  <c r="S130" i="5"/>
  <c r="U6" i="5"/>
  <c r="U132" i="11"/>
  <c r="U77" i="3"/>
  <c r="U21" i="7"/>
  <c r="U48" i="5"/>
  <c r="S20" i="11"/>
  <c r="U177" i="4"/>
  <c r="U151" i="6"/>
  <c r="S7" i="6"/>
  <c r="U149" i="3"/>
  <c r="U48" i="11"/>
  <c r="S163" i="3"/>
  <c r="S189" i="12"/>
  <c r="S118" i="8"/>
  <c r="U34" i="8"/>
  <c r="U121" i="3"/>
  <c r="U62" i="5"/>
  <c r="U105" i="2"/>
  <c r="S105" i="2"/>
  <c r="U122" i="6"/>
  <c r="S132" i="8"/>
  <c r="S75" i="3"/>
  <c r="S147" i="3"/>
  <c r="S117" i="2"/>
  <c r="S32" i="3"/>
  <c r="S18" i="3"/>
  <c r="S61" i="3"/>
  <c r="U75" i="3"/>
  <c r="U147" i="3"/>
  <c r="U104" i="5"/>
  <c r="U104" i="11"/>
  <c r="S6" i="8"/>
  <c r="U62" i="11"/>
  <c r="U164" i="9"/>
  <c r="U63" i="3"/>
  <c r="S63" i="3"/>
  <c r="U20" i="5"/>
  <c r="U32" i="2"/>
  <c r="U119" i="3"/>
  <c r="U34" i="9"/>
  <c r="U6" i="2"/>
  <c r="U18" i="3"/>
  <c r="S78" i="6"/>
  <c r="U78" i="6"/>
  <c r="S118" i="10"/>
  <c r="U48" i="2"/>
  <c r="S60" i="2"/>
  <c r="U60" i="2"/>
  <c r="U91" i="2"/>
  <c r="U20" i="3"/>
  <c r="U149" i="4"/>
  <c r="U77" i="4"/>
  <c r="S160" i="10"/>
  <c r="S34" i="9"/>
  <c r="U146" i="8"/>
  <c r="U78" i="9"/>
  <c r="S122" i="6"/>
  <c r="U34" i="10"/>
  <c r="S50" i="7"/>
  <c r="S191" i="3"/>
  <c r="U91" i="4"/>
  <c r="U90" i="12"/>
  <c r="S106" i="4"/>
  <c r="S62" i="5"/>
  <c r="S91" i="2"/>
  <c r="S49" i="4"/>
  <c r="U134" i="9"/>
  <c r="U76" i="8"/>
  <c r="U20" i="10"/>
  <c r="U104" i="10"/>
  <c r="U48" i="9"/>
  <c r="U106" i="9"/>
  <c r="U132" i="10"/>
  <c r="U91" i="3"/>
  <c r="U174" i="12"/>
  <c r="U135" i="3"/>
  <c r="U160" i="8"/>
  <c r="U191" i="4"/>
  <c r="U79" i="7"/>
  <c r="U160" i="11"/>
  <c r="U6" i="11"/>
  <c r="U48" i="8"/>
  <c r="U34" i="11"/>
  <c r="U104" i="8"/>
  <c r="U20" i="2"/>
  <c r="U63" i="4"/>
  <c r="U36" i="7"/>
  <c r="U62" i="12"/>
  <c r="U146" i="12"/>
  <c r="U33" i="9"/>
  <c r="S62" i="4"/>
  <c r="S117" i="5"/>
  <c r="U75" i="12"/>
  <c r="S49" i="7"/>
  <c r="U5" i="11"/>
  <c r="U75" i="8"/>
  <c r="U5" i="10"/>
  <c r="U5" i="9"/>
  <c r="U5" i="5"/>
  <c r="U49" i="7"/>
  <c r="U131" i="12"/>
  <c r="T33" i="10"/>
  <c r="T133" i="9"/>
  <c r="U159" i="1"/>
  <c r="T19" i="10"/>
  <c r="T75" i="5"/>
  <c r="U129" i="1"/>
  <c r="T110" i="1"/>
  <c r="T103" i="10"/>
  <c r="T89" i="10"/>
  <c r="U161" i="1"/>
  <c r="U47" i="2"/>
  <c r="S131" i="12"/>
  <c r="S5" i="11"/>
  <c r="U120" i="4"/>
  <c r="U47" i="11"/>
  <c r="S162" i="3"/>
  <c r="S5" i="5"/>
  <c r="S20" i="7"/>
  <c r="U33" i="12"/>
  <c r="U119" i="9"/>
  <c r="S176" i="3"/>
  <c r="S134" i="3"/>
  <c r="U78" i="7"/>
  <c r="U121" i="6"/>
  <c r="U5" i="3"/>
  <c r="U176" i="3"/>
  <c r="U62" i="4"/>
  <c r="U62" i="9"/>
  <c r="U19" i="11"/>
  <c r="U145" i="8"/>
  <c r="U63" i="7"/>
  <c r="U146" i="2"/>
  <c r="U117" i="8"/>
  <c r="U145" i="11"/>
  <c r="U20" i="6"/>
  <c r="U148" i="3"/>
  <c r="U35" i="7"/>
  <c r="S34" i="4"/>
  <c r="U103" i="11"/>
  <c r="U33" i="2"/>
  <c r="U34" i="4"/>
  <c r="U19" i="5"/>
  <c r="U6" i="4"/>
  <c r="U162" i="3"/>
  <c r="U5" i="8"/>
  <c r="U76" i="4"/>
  <c r="U75" i="2"/>
  <c r="U61" i="2"/>
  <c r="U159" i="10"/>
  <c r="U190" i="4"/>
  <c r="U134" i="3"/>
  <c r="U159" i="12"/>
  <c r="U148" i="4"/>
  <c r="U131" i="8"/>
  <c r="U5" i="12"/>
  <c r="U103" i="5"/>
  <c r="U91" i="9"/>
  <c r="U19" i="9"/>
  <c r="S32" i="2"/>
  <c r="S18" i="2"/>
  <c r="U29" i="1"/>
  <c r="T19" i="4"/>
  <c r="T5" i="4"/>
  <c r="D448" i="17"/>
  <c r="D202" i="17"/>
  <c r="C141" i="15"/>
  <c r="C369" i="17"/>
  <c r="C500" i="17"/>
  <c r="A215" i="15"/>
  <c r="A373" i="17"/>
  <c r="A241" i="17"/>
  <c r="C138" i="15"/>
  <c r="C350" i="17"/>
  <c r="C236" i="17"/>
  <c r="C133" i="15"/>
  <c r="C596" i="17"/>
  <c r="C217" i="17"/>
  <c r="C129" i="15"/>
  <c r="C425" i="17"/>
  <c r="C10" i="17"/>
  <c r="C140" i="15"/>
  <c r="C293" i="17"/>
  <c r="C520" i="17"/>
  <c r="C136" i="15"/>
  <c r="C141" i="17"/>
  <c r="C48" i="17"/>
  <c r="C137" i="15"/>
  <c r="C463" i="17"/>
  <c r="C179" i="17"/>
  <c r="C105" i="17"/>
  <c r="C161" i="17"/>
  <c r="C131" i="15"/>
  <c r="C198" i="17"/>
  <c r="C160" i="17"/>
  <c r="C134" i="15"/>
  <c r="C558" i="17"/>
  <c r="C86" i="17"/>
  <c r="D410" i="17"/>
  <c r="D467" i="17"/>
  <c r="C135" i="15"/>
  <c r="C444" i="17"/>
  <c r="C274" i="17"/>
  <c r="C142" i="15"/>
  <c r="C406" i="17"/>
  <c r="C104" i="17"/>
  <c r="C130" i="15"/>
  <c r="C122" i="17"/>
  <c r="C29" i="17"/>
  <c r="D485" i="17"/>
  <c r="D259" i="17"/>
  <c r="S5" i="8"/>
  <c r="S76" i="4"/>
  <c r="S103" i="11"/>
  <c r="S33" i="2"/>
  <c r="S75" i="2"/>
  <c r="S61" i="2"/>
  <c r="S37" i="11"/>
  <c r="S190" i="11"/>
  <c r="S139" i="11"/>
  <c r="S55" i="11"/>
  <c r="S28" i="8"/>
  <c r="S154" i="8"/>
  <c r="S151" i="8"/>
  <c r="S53" i="8"/>
  <c r="S24" i="7"/>
  <c r="S96" i="7"/>
  <c r="S133" i="12"/>
  <c r="S35" i="12"/>
  <c r="S84" i="12"/>
  <c r="S197" i="12"/>
  <c r="S44" i="8"/>
  <c r="S142" i="8"/>
  <c r="S20" i="6"/>
  <c r="S145" i="11"/>
  <c r="S71" i="11"/>
  <c r="S99" i="11"/>
  <c r="S125" i="12"/>
  <c r="S41" i="12"/>
  <c r="S7" i="8"/>
  <c r="S51" i="7"/>
  <c r="S155" i="3"/>
  <c r="S99" i="7"/>
  <c r="S27" i="7"/>
  <c r="S40" i="2"/>
  <c r="S63" i="7"/>
  <c r="S145" i="8"/>
  <c r="S117" i="11"/>
  <c r="S90" i="3"/>
  <c r="S78" i="10"/>
  <c r="S134" i="10"/>
  <c r="S157" i="9"/>
  <c r="S99" i="9"/>
  <c r="S92" i="12"/>
  <c r="S36" i="12"/>
  <c r="S8" i="9"/>
  <c r="S78" i="2"/>
  <c r="S99" i="8"/>
  <c r="S85" i="8"/>
  <c r="S160" i="8"/>
  <c r="S135" i="3"/>
  <c r="S109" i="11"/>
  <c r="S53" i="11"/>
  <c r="S110" i="11"/>
  <c r="S68" i="11"/>
  <c r="S51" i="9"/>
  <c r="S23" i="9"/>
  <c r="S126" i="9"/>
  <c r="S84" i="9"/>
  <c r="S83" i="9"/>
  <c r="S111" i="9"/>
  <c r="S86" i="12"/>
  <c r="S87" i="3"/>
  <c r="S84" i="11"/>
  <c r="S14" i="11"/>
  <c r="S58" i="11"/>
  <c r="S16" i="11"/>
  <c r="S63" i="11"/>
  <c r="S35" i="11"/>
  <c r="S154" i="10"/>
  <c r="S70" i="10"/>
  <c r="S38" i="9"/>
  <c r="S154" i="9"/>
  <c r="S30" i="10"/>
  <c r="S16" i="10"/>
  <c r="S163" i="10"/>
  <c r="S107" i="10"/>
  <c r="S34" i="11"/>
  <c r="S48" i="8"/>
  <c r="S35" i="7"/>
  <c r="S148" i="3"/>
  <c r="S169" i="10"/>
  <c r="S15" i="10"/>
  <c r="S99" i="12"/>
  <c r="S101" i="6"/>
  <c r="S81" i="7"/>
  <c r="S23" i="6"/>
  <c r="S42" i="4"/>
  <c r="S170" i="4"/>
  <c r="S76" i="8"/>
  <c r="S20" i="10"/>
  <c r="S36" i="7"/>
  <c r="S63" i="4"/>
  <c r="S159" i="10"/>
  <c r="S190" i="4"/>
  <c r="S182" i="4"/>
  <c r="S26" i="4"/>
  <c r="S41" i="8"/>
  <c r="S167" i="8"/>
  <c r="S10" i="2"/>
  <c r="S123" i="2"/>
  <c r="S104" i="8"/>
  <c r="S20" i="2"/>
  <c r="S147" i="8"/>
  <c r="S107" i="9"/>
  <c r="S13" i="9"/>
  <c r="S13" i="7"/>
  <c r="S113" i="6"/>
  <c r="S84" i="6"/>
  <c r="S40" i="9"/>
  <c r="S26" i="9"/>
  <c r="S197" i="11"/>
  <c r="S128" i="11"/>
  <c r="S139" i="10"/>
  <c r="S13" i="10"/>
  <c r="S58" i="12"/>
  <c r="S59" i="3"/>
  <c r="S122" i="8"/>
  <c r="S80" i="8"/>
  <c r="S98" i="8"/>
  <c r="S42" i="8"/>
  <c r="S191" i="11"/>
  <c r="S79" i="7"/>
  <c r="S191" i="4"/>
  <c r="S27" i="12"/>
  <c r="S57" i="7"/>
  <c r="S149" i="8"/>
  <c r="S121" i="8"/>
  <c r="S164" i="10"/>
  <c r="S80" i="10"/>
  <c r="S16" i="9"/>
  <c r="S116" i="9"/>
  <c r="S106" i="9"/>
  <c r="S132" i="10"/>
  <c r="S199" i="12"/>
  <c r="S170" i="12"/>
  <c r="S72" i="8"/>
  <c r="S86" i="8"/>
  <c r="S63" i="10"/>
  <c r="S161" i="10"/>
  <c r="S138" i="10"/>
  <c r="S166" i="10"/>
  <c r="S168" i="10"/>
  <c r="S28" i="10"/>
  <c r="S86" i="9"/>
  <c r="S28" i="9"/>
  <c r="S164" i="11"/>
  <c r="S150" i="11"/>
  <c r="S152" i="12"/>
  <c r="S138" i="12"/>
  <c r="S153" i="9"/>
  <c r="S9" i="9"/>
  <c r="S31" i="7"/>
  <c r="S100" i="10"/>
  <c r="S98" i="12"/>
  <c r="S28" i="12"/>
  <c r="S119" i="11"/>
  <c r="S134" i="2"/>
  <c r="S24" i="12"/>
  <c r="S25" i="7"/>
  <c r="S70" i="9"/>
  <c r="S55" i="9"/>
  <c r="S79" i="4"/>
  <c r="S51" i="4"/>
  <c r="S201" i="3"/>
  <c r="S44" i="3"/>
  <c r="S174" i="12"/>
  <c r="S91" i="3"/>
  <c r="S82" i="12"/>
  <c r="S166" i="12"/>
  <c r="S117" i="8"/>
  <c r="S146" i="2"/>
  <c r="S91" i="12"/>
  <c r="S93" i="9"/>
  <c r="S87" i="9"/>
  <c r="S57" i="9"/>
  <c r="S164" i="12"/>
  <c r="S10" i="12"/>
  <c r="S54" i="4"/>
  <c r="S126" i="4"/>
  <c r="S68" i="12"/>
  <c r="S54" i="12"/>
  <c r="S100" i="12"/>
  <c r="S184" i="12"/>
  <c r="S19" i="4"/>
  <c r="S5" i="4"/>
  <c r="S6" i="11"/>
  <c r="S160" i="11"/>
  <c r="S65" i="12"/>
  <c r="S37" i="12"/>
  <c r="S125" i="9"/>
  <c r="S84" i="7"/>
  <c r="S198" i="4"/>
  <c r="S56" i="4"/>
  <c r="S24" i="4"/>
  <c r="S66" i="4"/>
  <c r="S25" i="2"/>
  <c r="S96" i="2"/>
  <c r="S64" i="11"/>
  <c r="S8" i="7"/>
  <c r="S98" i="2"/>
  <c r="S55" i="2"/>
  <c r="S72" i="6"/>
  <c r="S100" i="6"/>
  <c r="S22" i="12"/>
  <c r="S8" i="12"/>
  <c r="S77" i="10"/>
  <c r="S105" i="10"/>
  <c r="S131" i="8"/>
  <c r="S148" i="4"/>
  <c r="S104" i="10"/>
  <c r="S48" i="9"/>
  <c r="S101" i="7"/>
  <c r="S84" i="2"/>
  <c r="S5" i="12"/>
  <c r="S103" i="5"/>
  <c r="S142" i="9"/>
  <c r="S56" i="9"/>
  <c r="S157" i="4"/>
  <c r="S57" i="4"/>
  <c r="S95" i="2"/>
  <c r="S80" i="2"/>
  <c r="S128" i="5"/>
  <c r="S72" i="5"/>
  <c r="S72" i="3"/>
  <c r="S116" i="3"/>
  <c r="S79" i="3"/>
  <c r="S8" i="3"/>
  <c r="S23" i="11"/>
  <c r="S93" i="11"/>
  <c r="S137" i="5"/>
  <c r="S123" i="5"/>
  <c r="S113" i="12"/>
  <c r="S29" i="12"/>
  <c r="S64" i="10"/>
  <c r="S92" i="10"/>
  <c r="S174" i="9"/>
  <c r="S58" i="9"/>
  <c r="S93" i="12"/>
  <c r="S163" i="12"/>
  <c r="S78" i="7"/>
  <c r="S121" i="6"/>
  <c r="S146" i="12"/>
  <c r="S62" i="12"/>
  <c r="S120" i="5"/>
  <c r="S50" i="5"/>
  <c r="S17" i="4"/>
  <c r="S131" i="4"/>
  <c r="S119" i="12"/>
  <c r="S35" i="8"/>
  <c r="S44" i="12"/>
  <c r="S16" i="12"/>
  <c r="S25" i="10"/>
  <c r="S95" i="10"/>
  <c r="S114" i="3"/>
  <c r="S170" i="3"/>
  <c r="S83" i="7"/>
  <c r="S96" i="9"/>
  <c r="S69" i="3"/>
  <c r="S55" i="3"/>
  <c r="S125" i="11"/>
  <c r="S69" i="11"/>
  <c r="S11" i="9"/>
  <c r="S25" i="9"/>
  <c r="S129" i="6"/>
  <c r="S85" i="6"/>
  <c r="S79" i="9"/>
  <c r="S7" i="9"/>
  <c r="S134" i="12"/>
  <c r="S64" i="12"/>
  <c r="S125" i="8"/>
  <c r="S69" i="8"/>
  <c r="S154" i="12"/>
  <c r="S56" i="12"/>
  <c r="S112" i="12"/>
  <c r="S14" i="12"/>
  <c r="S91" i="9"/>
  <c r="S19" i="9"/>
  <c r="S92" i="2"/>
  <c r="S91" i="5"/>
  <c r="S112" i="8"/>
  <c r="S140" i="8"/>
  <c r="S141" i="8"/>
  <c r="S29" i="8"/>
  <c r="S70" i="11"/>
  <c r="S195" i="11"/>
  <c r="S122" i="12"/>
  <c r="S80" i="12"/>
  <c r="S184" i="11"/>
  <c r="S156" i="11"/>
  <c r="S134" i="8"/>
  <c r="S92" i="8"/>
  <c r="S153" i="4"/>
  <c r="S67" i="4"/>
  <c r="S137" i="12"/>
  <c r="S194" i="12"/>
  <c r="S100" i="8"/>
  <c r="S58" i="8"/>
  <c r="S9" i="3"/>
  <c r="S23" i="3"/>
  <c r="S33" i="12"/>
  <c r="S119" i="9"/>
  <c r="S92" i="11"/>
  <c r="S148" i="11"/>
  <c r="S108" i="11"/>
  <c r="S38" i="11"/>
  <c r="S114" i="10"/>
  <c r="S103" i="7"/>
  <c r="S96" i="10"/>
  <c r="S124" i="10"/>
  <c r="S69" i="10"/>
  <c r="S55" i="10"/>
  <c r="S76" i="3"/>
  <c r="S5" i="2"/>
  <c r="S171" i="3"/>
  <c r="S143" i="3"/>
  <c r="S82" i="8"/>
  <c r="S152" i="8"/>
  <c r="S55" i="12"/>
  <c r="S181" i="12"/>
  <c r="S109" i="9"/>
  <c r="S66" i="9"/>
  <c r="S155" i="10"/>
  <c r="S57" i="10"/>
  <c r="G171" i="9"/>
  <c r="G156" i="9"/>
  <c r="I63" i="9"/>
  <c r="G63" i="9"/>
  <c r="I12" i="11"/>
  <c r="G12" i="11"/>
  <c r="I10" i="11"/>
  <c r="G10" i="11"/>
  <c r="I8" i="11"/>
  <c r="G8" i="11"/>
  <c r="I165" i="10"/>
  <c r="G165" i="10"/>
  <c r="I158" i="10"/>
  <c r="G158" i="10"/>
  <c r="I152" i="10"/>
  <c r="G152" i="10"/>
  <c r="I145" i="10"/>
  <c r="G145" i="10"/>
  <c r="I137" i="10"/>
  <c r="G137" i="10"/>
  <c r="I131" i="10"/>
  <c r="G131" i="10"/>
  <c r="I122" i="10"/>
  <c r="G122" i="10"/>
  <c r="I117" i="10"/>
  <c r="G117" i="10"/>
  <c r="I109" i="10"/>
  <c r="G109" i="10"/>
  <c r="I90" i="10"/>
  <c r="G90" i="10"/>
  <c r="I88" i="10"/>
  <c r="G88" i="10"/>
  <c r="I82" i="10"/>
  <c r="G82" i="10"/>
  <c r="I76" i="10"/>
  <c r="G76" i="10"/>
  <c r="I66" i="10"/>
  <c r="G66" i="10"/>
  <c r="I61" i="10"/>
  <c r="G61" i="10"/>
  <c r="I51" i="10"/>
  <c r="G51" i="10"/>
  <c r="I37" i="10"/>
  <c r="G37" i="10"/>
  <c r="I32" i="10"/>
  <c r="G32" i="10"/>
  <c r="I24" i="10"/>
  <c r="G24" i="10"/>
  <c r="I18" i="10"/>
  <c r="G18" i="10"/>
  <c r="I11" i="10"/>
  <c r="G11" i="10"/>
  <c r="I6" i="10"/>
  <c r="G6" i="10"/>
  <c r="I171" i="9"/>
  <c r="I168" i="9"/>
  <c r="G168" i="9"/>
  <c r="I163" i="9"/>
  <c r="G163" i="9"/>
  <c r="I156" i="9"/>
  <c r="I151" i="9"/>
  <c r="G151" i="9"/>
  <c r="I138" i="9"/>
  <c r="G138" i="9"/>
  <c r="I120" i="9"/>
  <c r="G120" i="9"/>
  <c r="I118" i="9"/>
  <c r="G118" i="9"/>
  <c r="I110" i="9"/>
  <c r="G110" i="9"/>
  <c r="I105" i="9"/>
  <c r="G105" i="9"/>
  <c r="I98" i="9"/>
  <c r="G98" i="9"/>
  <c r="I90" i="9"/>
  <c r="G90" i="9"/>
  <c r="I85" i="9"/>
  <c r="G85" i="9"/>
  <c r="I80" i="9"/>
  <c r="G80" i="9"/>
  <c r="I77" i="9"/>
  <c r="G77" i="9"/>
  <c r="I65" i="9"/>
  <c r="G65" i="9"/>
  <c r="I49" i="9"/>
  <c r="G49" i="9"/>
  <c r="I46" i="9"/>
  <c r="G46" i="9"/>
  <c r="I36" i="9"/>
  <c r="G36" i="9"/>
  <c r="I35" i="9"/>
  <c r="G35" i="9"/>
  <c r="I24" i="9"/>
  <c r="G24" i="9"/>
  <c r="I20" i="9"/>
  <c r="G20" i="9"/>
  <c r="I12" i="9"/>
  <c r="G12" i="9"/>
  <c r="I4" i="9"/>
  <c r="G4" i="9"/>
  <c r="I166" i="8"/>
  <c r="G166" i="8"/>
  <c r="I162" i="8"/>
  <c r="G162" i="8"/>
  <c r="I153" i="8"/>
  <c r="G153" i="8"/>
  <c r="I144" i="8"/>
  <c r="G144" i="8"/>
  <c r="I138" i="8"/>
  <c r="G138" i="8"/>
  <c r="I133" i="8"/>
  <c r="G133" i="8"/>
  <c r="I124" i="8"/>
  <c r="G124" i="8"/>
  <c r="I116" i="8"/>
  <c r="G116" i="8"/>
  <c r="I111" i="8"/>
  <c r="G111" i="8"/>
  <c r="I103" i="8"/>
  <c r="G103" i="8"/>
  <c r="I96" i="8"/>
  <c r="G96" i="8"/>
  <c r="I90" i="8"/>
  <c r="G90" i="8"/>
  <c r="I83" i="8"/>
  <c r="G83" i="8"/>
  <c r="I74" i="8"/>
  <c r="G74" i="8"/>
  <c r="I68" i="8"/>
  <c r="G68" i="8"/>
  <c r="I62" i="8"/>
  <c r="G62" i="8"/>
  <c r="I54" i="8"/>
  <c r="G54" i="8"/>
  <c r="I47" i="8"/>
  <c r="G47" i="8"/>
  <c r="I40" i="8"/>
  <c r="G40" i="8"/>
  <c r="I33" i="8"/>
  <c r="G33" i="8"/>
  <c r="G86" i="7"/>
  <c r="G130" i="6"/>
  <c r="I26" i="8"/>
  <c r="G26" i="8"/>
  <c r="I20" i="8"/>
  <c r="G20" i="8"/>
  <c r="I13" i="8"/>
  <c r="G13" i="8"/>
  <c r="I4" i="8"/>
  <c r="G4" i="8"/>
  <c r="I95" i="7"/>
  <c r="G95" i="7"/>
  <c r="I87" i="7"/>
  <c r="G87" i="7"/>
  <c r="I86" i="7"/>
  <c r="I82" i="7"/>
  <c r="G82" i="7"/>
  <c r="I69" i="7"/>
  <c r="G69" i="7"/>
  <c r="I64" i="7"/>
  <c r="G64" i="7"/>
  <c r="I46" i="7"/>
  <c r="G46" i="7"/>
  <c r="I41" i="7"/>
  <c r="G41" i="7"/>
  <c r="I34" i="7"/>
  <c r="G34" i="7"/>
  <c r="I146" i="9"/>
  <c r="G146" i="9"/>
  <c r="I56" i="7"/>
  <c r="G56" i="7"/>
  <c r="I54" i="7"/>
  <c r="G54" i="7"/>
  <c r="I30" i="7"/>
  <c r="G30" i="7"/>
  <c r="I29" i="7"/>
  <c r="G29" i="7"/>
  <c r="I12" i="7"/>
  <c r="G12" i="7"/>
  <c r="I10" i="7"/>
  <c r="G10" i="7"/>
  <c r="I7" i="7"/>
  <c r="G7" i="7"/>
  <c r="I6" i="7"/>
  <c r="G6" i="7"/>
  <c r="I162" i="11"/>
  <c r="G162" i="11"/>
  <c r="I150" i="6"/>
  <c r="G150" i="6"/>
  <c r="I142" i="6"/>
  <c r="G142" i="6"/>
  <c r="I137" i="6"/>
  <c r="G137" i="6"/>
  <c r="I5" i="7"/>
  <c r="G5" i="7"/>
  <c r="I130" i="6"/>
  <c r="I126" i="6"/>
  <c r="G126" i="6"/>
  <c r="I117" i="6"/>
  <c r="G117" i="6"/>
  <c r="I110" i="6"/>
  <c r="G110" i="6"/>
  <c r="I105" i="6"/>
  <c r="G105" i="6"/>
  <c r="I93" i="6"/>
  <c r="G93" i="6"/>
  <c r="I49" i="7"/>
  <c r="I90" i="6"/>
  <c r="G90" i="6"/>
  <c r="G73" i="6"/>
  <c r="K67" i="6"/>
  <c r="K64" i="6"/>
  <c r="K63" i="6"/>
  <c r="K54" i="6"/>
  <c r="K49" i="6"/>
  <c r="K48" i="6"/>
  <c r="K37" i="6"/>
  <c r="K36" i="6"/>
  <c r="K34" i="6"/>
  <c r="K24" i="6"/>
  <c r="K23" i="6"/>
  <c r="K21" i="6"/>
  <c r="K20" i="6"/>
  <c r="K19" i="6"/>
  <c r="K14" i="6"/>
  <c r="K10" i="6"/>
  <c r="I4" i="6"/>
  <c r="G4" i="6"/>
  <c r="K6" i="6"/>
  <c r="K5" i="6"/>
  <c r="K197" i="4"/>
  <c r="I197" i="4"/>
  <c r="G197" i="4"/>
  <c r="K191" i="4"/>
  <c r="K190" i="4"/>
  <c r="I81" i="6"/>
  <c r="I77" i="6"/>
  <c r="I73" i="6"/>
  <c r="I67" i="6"/>
  <c r="I63" i="6"/>
  <c r="I54" i="6"/>
  <c r="I49" i="6"/>
  <c r="I79" i="11"/>
  <c r="I78" i="11"/>
  <c r="I74" i="11"/>
  <c r="I37" i="6"/>
  <c r="I34" i="6"/>
  <c r="I21" i="6"/>
  <c r="I19" i="6"/>
  <c r="I14" i="6"/>
  <c r="I10" i="6"/>
  <c r="I6" i="6"/>
  <c r="I189" i="4"/>
  <c r="I181" i="4"/>
  <c r="G189" i="4"/>
  <c r="G6" i="6"/>
  <c r="G10" i="6"/>
  <c r="G14" i="6"/>
  <c r="G19" i="6"/>
  <c r="G21" i="6"/>
  <c r="G34" i="6"/>
  <c r="G37" i="6"/>
  <c r="G74" i="11"/>
  <c r="G78" i="11"/>
  <c r="G79" i="11"/>
  <c r="G49" i="6"/>
  <c r="G54" i="6"/>
  <c r="G63" i="6"/>
  <c r="G67" i="6"/>
  <c r="G77" i="6"/>
  <c r="G81" i="6"/>
  <c r="K189" i="4"/>
  <c r="K181" i="4"/>
  <c r="K176" i="4"/>
  <c r="K169" i="4"/>
  <c r="K162" i="4"/>
  <c r="K152" i="4"/>
  <c r="K125" i="4"/>
  <c r="K122" i="4"/>
  <c r="K121" i="4"/>
  <c r="K111" i="4"/>
  <c r="K107" i="4"/>
  <c r="I107" i="4"/>
  <c r="G107" i="4"/>
  <c r="K105" i="4"/>
  <c r="K104" i="4"/>
  <c r="K94" i="4"/>
  <c r="K91" i="4"/>
  <c r="K90" i="4"/>
  <c r="I12" i="4"/>
  <c r="G12" i="4"/>
  <c r="U30" i="4" l="1"/>
  <c r="U86" i="4"/>
  <c r="S86" i="4"/>
  <c r="S30" i="4"/>
  <c r="U109" i="5"/>
  <c r="S109" i="5"/>
  <c r="U165" i="8"/>
  <c r="U109" i="8"/>
  <c r="S109" i="8"/>
  <c r="S165" i="8"/>
  <c r="U25" i="8"/>
  <c r="U81" i="8"/>
  <c r="S25" i="8"/>
  <c r="S81" i="8"/>
  <c r="U40" i="6"/>
  <c r="U83" i="6"/>
  <c r="S83" i="6"/>
  <c r="S40" i="6"/>
  <c r="S168" i="3"/>
  <c r="S68" i="3"/>
  <c r="U168" i="3"/>
  <c r="U68" i="3"/>
  <c r="U52" i="9"/>
  <c r="U124" i="9"/>
  <c r="S124" i="9"/>
  <c r="S52" i="9"/>
  <c r="U94" i="12"/>
  <c r="U52" i="12"/>
  <c r="S94" i="12"/>
  <c r="S52" i="12"/>
  <c r="U38" i="10"/>
  <c r="U52" i="10"/>
  <c r="S38" i="10"/>
  <c r="S52" i="10"/>
  <c r="S11" i="4"/>
  <c r="S95" i="4"/>
  <c r="U95" i="4"/>
  <c r="U11" i="4"/>
  <c r="U9" i="11"/>
  <c r="U149" i="11"/>
  <c r="S9" i="11"/>
  <c r="S149" i="11"/>
  <c r="U149" i="12"/>
  <c r="U79" i="12"/>
  <c r="S149" i="12"/>
  <c r="S79" i="12"/>
  <c r="U23" i="10"/>
  <c r="U149" i="10"/>
  <c r="S149" i="10"/>
  <c r="S23" i="10"/>
  <c r="S81" i="9"/>
  <c r="S37" i="9"/>
  <c r="U37" i="9"/>
  <c r="U81" i="9"/>
  <c r="S163" i="8"/>
  <c r="S79" i="8"/>
  <c r="U23" i="8"/>
  <c r="U65" i="8"/>
  <c r="U93" i="8"/>
  <c r="U107" i="8"/>
  <c r="S23" i="8"/>
  <c r="S65" i="8"/>
  <c r="S107" i="8"/>
  <c r="S93" i="8"/>
  <c r="U79" i="8"/>
  <c r="U163" i="8"/>
  <c r="U66" i="3"/>
  <c r="U37" i="3"/>
  <c r="S37" i="3"/>
  <c r="S66" i="3"/>
  <c r="U79" i="2"/>
  <c r="U150" i="2"/>
  <c r="S79" i="2"/>
  <c r="S150" i="2"/>
  <c r="T90" i="3"/>
  <c r="T117" i="11"/>
  <c r="U110" i="1"/>
  <c r="U19" i="10"/>
  <c r="U75" i="5"/>
  <c r="U103" i="10"/>
  <c r="U89" i="10"/>
  <c r="U33" i="10"/>
  <c r="U133" i="9"/>
  <c r="U19" i="4"/>
  <c r="U5" i="4"/>
  <c r="C143" i="15"/>
  <c r="C218" i="17"/>
  <c r="C68" i="17"/>
  <c r="C388" i="17"/>
  <c r="C11" i="17"/>
  <c r="C501" i="17"/>
  <c r="C483" i="17"/>
  <c r="C148" i="15"/>
  <c r="C559" i="17"/>
  <c r="C49" i="17"/>
  <c r="A216" i="15"/>
  <c r="A468" i="17"/>
  <c r="A108" i="17"/>
  <c r="C521" i="17"/>
  <c r="C332" i="17"/>
  <c r="C351" i="17"/>
  <c r="C426" i="17"/>
  <c r="C87" i="17"/>
  <c r="C30" i="17"/>
  <c r="C464" i="17"/>
  <c r="C407" i="17"/>
  <c r="C370" i="17"/>
  <c r="C199" i="17"/>
  <c r="C180" i="17"/>
  <c r="C275" i="17"/>
  <c r="C540" i="17"/>
  <c r="C445" i="17"/>
  <c r="C578" i="17"/>
  <c r="C237" i="17"/>
  <c r="G78" i="6"/>
  <c r="G174" i="11"/>
  <c r="G96" i="7"/>
  <c r="G24" i="7"/>
  <c r="I84" i="8"/>
  <c r="I14" i="8"/>
  <c r="I98" i="8"/>
  <c r="I42" i="8"/>
  <c r="G148" i="10"/>
  <c r="G120" i="10"/>
  <c r="G6" i="11"/>
  <c r="G160" i="11"/>
  <c r="G113" i="11"/>
  <c r="G15" i="11"/>
  <c r="G50" i="9"/>
  <c r="G38" i="7"/>
  <c r="I10" i="8"/>
  <c r="I66" i="8"/>
  <c r="G153" i="9"/>
  <c r="G9" i="9"/>
  <c r="G172" i="9"/>
  <c r="G42" i="9"/>
  <c r="G67" i="9"/>
  <c r="G82" i="9"/>
  <c r="G110" i="10"/>
  <c r="G12" i="10"/>
  <c r="G44" i="10"/>
  <c r="G128" i="10"/>
  <c r="G80" i="10"/>
  <c r="G164" i="10"/>
  <c r="G95" i="11"/>
  <c r="G81" i="11"/>
  <c r="G36" i="6"/>
  <c r="G133" i="11"/>
  <c r="I36" i="6"/>
  <c r="I133" i="11"/>
  <c r="I81" i="11"/>
  <c r="I95" i="11"/>
  <c r="G92" i="6"/>
  <c r="G48" i="11"/>
  <c r="G121" i="6"/>
  <c r="G78" i="7"/>
  <c r="I74" i="7"/>
  <c r="I16" i="7"/>
  <c r="I96" i="7"/>
  <c r="I24" i="7"/>
  <c r="I67" i="7"/>
  <c r="I53" i="7"/>
  <c r="I44" i="7"/>
  <c r="I58" i="7"/>
  <c r="I50" i="9"/>
  <c r="I38" i="7"/>
  <c r="I68" i="7"/>
  <c r="I52" i="8"/>
  <c r="I183" i="12"/>
  <c r="I73" i="7"/>
  <c r="G94" i="10"/>
  <c r="G97" i="7"/>
  <c r="G160" i="12"/>
  <c r="G6" i="8"/>
  <c r="G95" i="8"/>
  <c r="G11" i="8"/>
  <c r="G15" i="8"/>
  <c r="G57" i="8"/>
  <c r="G81" i="8"/>
  <c r="G25" i="8"/>
  <c r="G141" i="8"/>
  <c r="G29" i="8"/>
  <c r="G67" i="8"/>
  <c r="G39" i="8"/>
  <c r="G155" i="8"/>
  <c r="G43" i="8"/>
  <c r="G49" i="8"/>
  <c r="G77" i="8"/>
  <c r="G55" i="8"/>
  <c r="G139" i="8"/>
  <c r="G169" i="8"/>
  <c r="G71" i="8"/>
  <c r="G20" i="10"/>
  <c r="G76" i="8"/>
  <c r="I63" i="12"/>
  <c r="I91" i="8"/>
  <c r="I189" i="12"/>
  <c r="I118" i="8"/>
  <c r="I156" i="8"/>
  <c r="I170" i="8"/>
  <c r="I153" i="9"/>
  <c r="I9" i="9"/>
  <c r="I100" i="9"/>
  <c r="I14" i="9"/>
  <c r="I19" i="9"/>
  <c r="I91" i="9"/>
  <c r="I159" i="9"/>
  <c r="I30" i="9"/>
  <c r="I81" i="9"/>
  <c r="I37" i="9"/>
  <c r="I42" i="9"/>
  <c r="I172" i="9"/>
  <c r="I104" i="10"/>
  <c r="I48" i="9"/>
  <c r="I112" i="9"/>
  <c r="I54" i="9"/>
  <c r="I174" i="9"/>
  <c r="I58" i="9"/>
  <c r="I82" i="9"/>
  <c r="I67" i="9"/>
  <c r="I129" i="9"/>
  <c r="I73" i="9"/>
  <c r="I126" i="9"/>
  <c r="I84" i="9"/>
  <c r="I94" i="9"/>
  <c r="I136" i="9"/>
  <c r="I115" i="9"/>
  <c r="I101" i="9"/>
  <c r="I33" i="12"/>
  <c r="I119" i="9"/>
  <c r="I8" i="10"/>
  <c r="I50" i="10"/>
  <c r="I12" i="10"/>
  <c r="I110" i="10"/>
  <c r="I16" i="10"/>
  <c r="I30" i="10"/>
  <c r="I149" i="10"/>
  <c r="I23" i="10"/>
  <c r="I125" i="10"/>
  <c r="I27" i="10"/>
  <c r="I162" i="10"/>
  <c r="I36" i="10"/>
  <c r="I40" i="10"/>
  <c r="I68" i="10"/>
  <c r="I128" i="10"/>
  <c r="I44" i="10"/>
  <c r="I69" i="10"/>
  <c r="I55" i="10"/>
  <c r="I67" i="10"/>
  <c r="I123" i="10"/>
  <c r="I80" i="10"/>
  <c r="I164" i="10"/>
  <c r="I89" i="10"/>
  <c r="I103" i="10"/>
  <c r="I167" i="10"/>
  <c r="I97" i="10"/>
  <c r="I148" i="10"/>
  <c r="I120" i="10"/>
  <c r="I6" i="11"/>
  <c r="I160" i="11"/>
  <c r="I15" i="11"/>
  <c r="I113" i="11"/>
  <c r="G88" i="9"/>
  <c r="G144" i="9"/>
  <c r="I178" i="11"/>
  <c r="I80" i="11"/>
  <c r="G16" i="7"/>
  <c r="G74" i="7"/>
  <c r="G68" i="7"/>
  <c r="G52" i="8"/>
  <c r="I159" i="8"/>
  <c r="I19" i="8"/>
  <c r="I34" i="11"/>
  <c r="I48" i="8"/>
  <c r="G125" i="10"/>
  <c r="G27" i="10"/>
  <c r="G167" i="10"/>
  <c r="G97" i="10"/>
  <c r="G48" i="6"/>
  <c r="G33" i="9"/>
  <c r="G24" i="6"/>
  <c r="G39" i="7"/>
  <c r="G191" i="4"/>
  <c r="G79" i="7"/>
  <c r="I40" i="11"/>
  <c r="I82" i="11"/>
  <c r="I64" i="6"/>
  <c r="I134" i="9"/>
  <c r="I92" i="6"/>
  <c r="I48" i="11"/>
  <c r="I121" i="6"/>
  <c r="I78" i="7"/>
  <c r="G160" i="6"/>
  <c r="G43" i="12"/>
  <c r="G64" i="11"/>
  <c r="G8" i="7"/>
  <c r="G13" i="9"/>
  <c r="G13" i="7"/>
  <c r="G62" i="10"/>
  <c r="G21" i="7"/>
  <c r="G24" i="12"/>
  <c r="G25" i="7"/>
  <c r="G89" i="7"/>
  <c r="G60" i="7"/>
  <c r="G24" i="8"/>
  <c r="G40" i="7"/>
  <c r="G145" i="8"/>
  <c r="G63" i="7"/>
  <c r="G64" i="9"/>
  <c r="G80" i="7"/>
  <c r="I94" i="10"/>
  <c r="I97" i="7"/>
  <c r="I160" i="12"/>
  <c r="I6" i="8"/>
  <c r="I95" i="8"/>
  <c r="I11" i="8"/>
  <c r="I57" i="8"/>
  <c r="I15" i="8"/>
  <c r="I81" i="8"/>
  <c r="I25" i="8"/>
  <c r="I141" i="8"/>
  <c r="I29" i="8"/>
  <c r="I39" i="8"/>
  <c r="I67" i="8"/>
  <c r="I155" i="8"/>
  <c r="I43" i="8"/>
  <c r="I49" i="8"/>
  <c r="I77" i="8"/>
  <c r="I139" i="8"/>
  <c r="I55" i="8"/>
  <c r="I169" i="8"/>
  <c r="I71" i="8"/>
  <c r="I76" i="8"/>
  <c r="I20" i="10"/>
  <c r="G99" i="8"/>
  <c r="G85" i="8"/>
  <c r="G92" i="8"/>
  <c r="G134" i="8"/>
  <c r="G140" i="8"/>
  <c r="G112" i="8"/>
  <c r="G77" i="12"/>
  <c r="G119" i="8"/>
  <c r="G126" i="8"/>
  <c r="G168" i="8"/>
  <c r="G121" i="9"/>
  <c r="G161" i="8"/>
  <c r="G5" i="9"/>
  <c r="G47" i="10"/>
  <c r="G139" i="9"/>
  <c r="G10" i="9"/>
  <c r="G15" i="9"/>
  <c r="G43" i="9"/>
  <c r="G26" i="9"/>
  <c r="G40" i="9"/>
  <c r="G160" i="10"/>
  <c r="G34" i="9"/>
  <c r="G154" i="9"/>
  <c r="G38" i="9"/>
  <c r="G102" i="9"/>
  <c r="G44" i="9"/>
  <c r="G70" i="9"/>
  <c r="G55" i="9"/>
  <c r="G69" i="9"/>
  <c r="G170" i="9"/>
  <c r="G167" i="9"/>
  <c r="G95" i="9"/>
  <c r="G141" i="9"/>
  <c r="G113" i="9"/>
  <c r="G133" i="9"/>
  <c r="G33" i="10"/>
  <c r="G117" i="12"/>
  <c r="G5" i="10"/>
  <c r="G9" i="10"/>
  <c r="G65" i="10"/>
  <c r="G139" i="10"/>
  <c r="G13" i="10"/>
  <c r="G168" i="10"/>
  <c r="G28" i="10"/>
  <c r="G41" i="10"/>
  <c r="G111" i="10"/>
  <c r="G119" i="10"/>
  <c r="G49" i="10"/>
  <c r="G56" i="10"/>
  <c r="G112" i="10"/>
  <c r="G161" i="10"/>
  <c r="G63" i="10"/>
  <c r="G154" i="10"/>
  <c r="G70" i="10"/>
  <c r="G77" i="10"/>
  <c r="G105" i="10"/>
  <c r="G140" i="10"/>
  <c r="G98" i="10"/>
  <c r="G113" i="10"/>
  <c r="G127" i="10"/>
  <c r="G135" i="10"/>
  <c r="G121" i="10"/>
  <c r="G156" i="10"/>
  <c r="G170" i="10"/>
  <c r="G91" i="11"/>
  <c r="G7" i="11"/>
  <c r="G11" i="11"/>
  <c r="G67" i="11"/>
  <c r="G58" i="11"/>
  <c r="G16" i="11"/>
  <c r="I88" i="9"/>
  <c r="I144" i="9"/>
  <c r="I191" i="4"/>
  <c r="I79" i="7"/>
  <c r="I125" i="8"/>
  <c r="I69" i="8"/>
  <c r="G63" i="12"/>
  <c r="G91" i="8"/>
  <c r="G100" i="9"/>
  <c r="G14" i="9"/>
  <c r="G104" i="10"/>
  <c r="G48" i="9"/>
  <c r="G126" i="9"/>
  <c r="G84" i="9"/>
  <c r="G33" i="12"/>
  <c r="G119" i="9"/>
  <c r="G16" i="10"/>
  <c r="G30" i="10"/>
  <c r="G55" i="10"/>
  <c r="G69" i="10"/>
  <c r="G103" i="10"/>
  <c r="G89" i="10"/>
  <c r="G178" i="11"/>
  <c r="G80" i="11"/>
  <c r="G23" i="6"/>
  <c r="G81" i="7"/>
  <c r="G190" i="4"/>
  <c r="G159" i="10"/>
  <c r="I75" i="11"/>
  <c r="I92" i="7"/>
  <c r="I111" i="11"/>
  <c r="I83" i="11"/>
  <c r="I78" i="6"/>
  <c r="I174" i="11"/>
  <c r="G101" i="6"/>
  <c r="G99" i="12"/>
  <c r="G122" i="6"/>
  <c r="G92" i="9"/>
  <c r="I160" i="6"/>
  <c r="I43" i="12"/>
  <c r="I64" i="11"/>
  <c r="I8" i="7"/>
  <c r="I13" i="9"/>
  <c r="I13" i="7"/>
  <c r="I62" i="10"/>
  <c r="I21" i="7"/>
  <c r="I24" i="12"/>
  <c r="I25" i="7"/>
  <c r="I89" i="7"/>
  <c r="I60" i="7"/>
  <c r="I24" i="8"/>
  <c r="I40" i="7"/>
  <c r="I145" i="8"/>
  <c r="I63" i="7"/>
  <c r="I80" i="7"/>
  <c r="I64" i="9"/>
  <c r="G141" i="12"/>
  <c r="G88" i="7"/>
  <c r="G140" i="9"/>
  <c r="G98" i="7"/>
  <c r="G36" i="8"/>
  <c r="G8" i="8"/>
  <c r="G12" i="8"/>
  <c r="G110" i="8"/>
  <c r="G16" i="8"/>
  <c r="G128" i="8"/>
  <c r="G49" i="11"/>
  <c r="G21" i="8"/>
  <c r="G30" i="8"/>
  <c r="G114" i="8"/>
  <c r="G119" i="12"/>
  <c r="G35" i="8"/>
  <c r="G142" i="8"/>
  <c r="G44" i="8"/>
  <c r="G106" i="8"/>
  <c r="G50" i="8"/>
  <c r="G56" i="8"/>
  <c r="G70" i="8"/>
  <c r="G64" i="8"/>
  <c r="G148" i="8"/>
  <c r="G86" i="8"/>
  <c r="G72" i="8"/>
  <c r="G79" i="8"/>
  <c r="G163" i="8"/>
  <c r="I85" i="8"/>
  <c r="I99" i="8"/>
  <c r="I134" i="8"/>
  <c r="I92" i="8"/>
  <c r="I140" i="8"/>
  <c r="I112" i="8"/>
  <c r="I77" i="12"/>
  <c r="I119" i="8"/>
  <c r="I168" i="8"/>
  <c r="I126" i="8"/>
  <c r="I121" i="9"/>
  <c r="I161" i="8"/>
  <c r="I47" i="10"/>
  <c r="I5" i="9"/>
  <c r="I139" i="9"/>
  <c r="I10" i="9"/>
  <c r="I43" i="9"/>
  <c r="I15" i="9"/>
  <c r="I26" i="9"/>
  <c r="I40" i="9"/>
  <c r="I160" i="10"/>
  <c r="I34" i="9"/>
  <c r="I154" i="9"/>
  <c r="I38" i="9"/>
  <c r="I102" i="9"/>
  <c r="I44" i="9"/>
  <c r="I70" i="9"/>
  <c r="I55" i="9"/>
  <c r="I69" i="9"/>
  <c r="I170" i="9"/>
  <c r="I167" i="9"/>
  <c r="I95" i="9"/>
  <c r="I141" i="9"/>
  <c r="I113" i="9"/>
  <c r="I133" i="9"/>
  <c r="I33" i="10"/>
  <c r="I117" i="12"/>
  <c r="I5" i="10"/>
  <c r="I9" i="10"/>
  <c r="I65" i="10"/>
  <c r="I139" i="10"/>
  <c r="I13" i="10"/>
  <c r="I168" i="10"/>
  <c r="I28" i="10"/>
  <c r="I111" i="10"/>
  <c r="I41" i="10"/>
  <c r="I119" i="10"/>
  <c r="I49" i="10"/>
  <c r="I56" i="10"/>
  <c r="I112" i="10"/>
  <c r="I161" i="10"/>
  <c r="I63" i="10"/>
  <c r="I154" i="10"/>
  <c r="I70" i="10"/>
  <c r="I77" i="10"/>
  <c r="I105" i="10"/>
  <c r="I98" i="10"/>
  <c r="I140" i="10"/>
  <c r="I127" i="10"/>
  <c r="I113" i="10"/>
  <c r="I135" i="10"/>
  <c r="I121" i="10"/>
  <c r="I170" i="10"/>
  <c r="I156" i="10"/>
  <c r="I91" i="11"/>
  <c r="I7" i="11"/>
  <c r="I11" i="11"/>
  <c r="I67" i="11"/>
  <c r="I58" i="11"/>
  <c r="I16" i="11"/>
  <c r="G82" i="11"/>
  <c r="G40" i="11"/>
  <c r="I24" i="6"/>
  <c r="I39" i="7"/>
  <c r="I108" i="6"/>
  <c r="I147" i="12"/>
  <c r="I65" i="8"/>
  <c r="I23" i="8"/>
  <c r="I131" i="11"/>
  <c r="I61" i="8"/>
  <c r="G189" i="12"/>
  <c r="G118" i="8"/>
  <c r="G91" i="9"/>
  <c r="G19" i="9"/>
  <c r="G81" i="9"/>
  <c r="G37" i="9"/>
  <c r="G129" i="9"/>
  <c r="G73" i="9"/>
  <c r="G149" i="10"/>
  <c r="G23" i="10"/>
  <c r="G67" i="10"/>
  <c r="G123" i="10"/>
  <c r="I20" i="5"/>
  <c r="I132" i="8"/>
  <c r="G86" i="11"/>
  <c r="G72" i="11"/>
  <c r="I20" i="6"/>
  <c r="I145" i="11"/>
  <c r="I76" i="11"/>
  <c r="I34" i="8"/>
  <c r="I14" i="11"/>
  <c r="I84" i="11"/>
  <c r="I101" i="6"/>
  <c r="I99" i="12"/>
  <c r="I122" i="6"/>
  <c r="I92" i="9"/>
  <c r="G168" i="11"/>
  <c r="G14" i="7"/>
  <c r="G165" i="9"/>
  <c r="G22" i="7"/>
  <c r="G55" i="7"/>
  <c r="G26" i="7"/>
  <c r="G100" i="10"/>
  <c r="G31" i="7"/>
  <c r="G70" i="7"/>
  <c r="G85" i="7"/>
  <c r="I141" i="12"/>
  <c r="I88" i="7"/>
  <c r="I98" i="7"/>
  <c r="I140" i="9"/>
  <c r="I36" i="8"/>
  <c r="I8" i="8"/>
  <c r="I110" i="8"/>
  <c r="I12" i="8"/>
  <c r="I16" i="8"/>
  <c r="I128" i="8"/>
  <c r="I49" i="11"/>
  <c r="I21" i="8"/>
  <c r="I30" i="8"/>
  <c r="I114" i="8"/>
  <c r="I125" i="9"/>
  <c r="I84" i="7"/>
  <c r="I119" i="12"/>
  <c r="I35" i="8"/>
  <c r="I142" i="8"/>
  <c r="I44" i="8"/>
  <c r="I106" i="8"/>
  <c r="I50" i="8"/>
  <c r="I56" i="8"/>
  <c r="I70" i="8"/>
  <c r="I64" i="8"/>
  <c r="I148" i="8"/>
  <c r="I86" i="8"/>
  <c r="I72" i="8"/>
  <c r="G122" i="8"/>
  <c r="G80" i="8"/>
  <c r="G107" i="8"/>
  <c r="G93" i="8"/>
  <c r="G113" i="8"/>
  <c r="G127" i="8"/>
  <c r="G121" i="8"/>
  <c r="G149" i="8"/>
  <c r="G107" i="9"/>
  <c r="G147" i="8"/>
  <c r="G164" i="9"/>
  <c r="G6" i="9"/>
  <c r="G11" i="9"/>
  <c r="G25" i="9"/>
  <c r="G116" i="9"/>
  <c r="G16" i="9"/>
  <c r="G108" i="9"/>
  <c r="G22" i="9"/>
  <c r="G86" i="9"/>
  <c r="G28" i="9"/>
  <c r="G39" i="9"/>
  <c r="G68" i="9"/>
  <c r="G124" i="9"/>
  <c r="G52" i="9"/>
  <c r="G56" i="9"/>
  <c r="G142" i="9"/>
  <c r="G71" i="9"/>
  <c r="G158" i="9"/>
  <c r="G128" i="9"/>
  <c r="G114" i="9"/>
  <c r="G166" i="9"/>
  <c r="G122" i="9"/>
  <c r="G150" i="9"/>
  <c r="G135" i="9"/>
  <c r="G150" i="10"/>
  <c r="G10" i="10"/>
  <c r="G126" i="10"/>
  <c r="G14" i="10"/>
  <c r="G133" i="10"/>
  <c r="G21" i="10"/>
  <c r="G25" i="10"/>
  <c r="G95" i="10"/>
  <c r="G85" i="10"/>
  <c r="G29" i="10"/>
  <c r="G52" i="10"/>
  <c r="G38" i="10"/>
  <c r="G84" i="10"/>
  <c r="G42" i="10"/>
  <c r="G155" i="10"/>
  <c r="G57" i="10"/>
  <c r="G64" i="10"/>
  <c r="G92" i="10"/>
  <c r="G141" i="10"/>
  <c r="G71" i="10"/>
  <c r="G78" i="10"/>
  <c r="G134" i="10"/>
  <c r="G83" i="10"/>
  <c r="G153" i="10"/>
  <c r="G147" i="10"/>
  <c r="G91" i="10"/>
  <c r="G163" i="10"/>
  <c r="G107" i="10"/>
  <c r="G138" i="10"/>
  <c r="G166" i="10"/>
  <c r="G64" i="6"/>
  <c r="G134" i="9"/>
  <c r="I48" i="6"/>
  <c r="I33" i="9"/>
  <c r="G53" i="7"/>
  <c r="G67" i="7"/>
  <c r="G183" i="12"/>
  <c r="G73" i="7"/>
  <c r="I28" i="8"/>
  <c r="I154" i="8"/>
  <c r="I173" i="11"/>
  <c r="I75" i="8"/>
  <c r="G159" i="9"/>
  <c r="G30" i="9"/>
  <c r="G174" i="9"/>
  <c r="G58" i="9"/>
  <c r="G115" i="9"/>
  <c r="G101" i="9"/>
  <c r="G8" i="10"/>
  <c r="G50" i="10"/>
  <c r="G68" i="10"/>
  <c r="G40" i="10"/>
  <c r="G20" i="5"/>
  <c r="G132" i="8"/>
  <c r="G161" i="11"/>
  <c r="G77" i="11"/>
  <c r="I77" i="11"/>
  <c r="I161" i="11"/>
  <c r="I85" i="11"/>
  <c r="I57" i="11"/>
  <c r="G123" i="6"/>
  <c r="G21" i="9"/>
  <c r="I168" i="11"/>
  <c r="I14" i="7"/>
  <c r="I165" i="9"/>
  <c r="I22" i="7"/>
  <c r="I26" i="7"/>
  <c r="I55" i="7"/>
  <c r="I100" i="10"/>
  <c r="I31" i="7"/>
  <c r="I85" i="7"/>
  <c r="I70" i="7"/>
  <c r="G34" i="10"/>
  <c r="G93" i="7"/>
  <c r="G114" i="10"/>
  <c r="G103" i="7"/>
  <c r="G135" i="8"/>
  <c r="G9" i="8"/>
  <c r="G22" i="8"/>
  <c r="G120" i="8"/>
  <c r="G27" i="8"/>
  <c r="G97" i="8"/>
  <c r="G107" i="6"/>
  <c r="G62" i="11"/>
  <c r="G125" i="9"/>
  <c r="G84" i="7"/>
  <c r="G51" i="8"/>
  <c r="G37" i="8"/>
  <c r="G41" i="8"/>
  <c r="G167" i="8"/>
  <c r="G53" i="8"/>
  <c r="G151" i="8"/>
  <c r="G58" i="8"/>
  <c r="G100" i="8"/>
  <c r="I122" i="8"/>
  <c r="I80" i="8"/>
  <c r="I93" i="8"/>
  <c r="I107" i="8"/>
  <c r="I113" i="8"/>
  <c r="I127" i="8"/>
  <c r="I149" i="8"/>
  <c r="I121" i="8"/>
  <c r="I107" i="9"/>
  <c r="I147" i="8"/>
  <c r="I164" i="9"/>
  <c r="I6" i="9"/>
  <c r="I11" i="9"/>
  <c r="I25" i="9"/>
  <c r="I116" i="9"/>
  <c r="I16" i="9"/>
  <c r="I108" i="9"/>
  <c r="I22" i="9"/>
  <c r="I86" i="9"/>
  <c r="I28" i="9"/>
  <c r="I68" i="9"/>
  <c r="I39" i="9"/>
  <c r="I124" i="9"/>
  <c r="I52" i="9"/>
  <c r="I142" i="9"/>
  <c r="I56" i="9"/>
  <c r="I158" i="9"/>
  <c r="I71" i="9"/>
  <c r="I128" i="9"/>
  <c r="I114" i="9"/>
  <c r="I166" i="9"/>
  <c r="I122" i="9"/>
  <c r="I150" i="9"/>
  <c r="I135" i="9"/>
  <c r="I150" i="10"/>
  <c r="I10" i="10"/>
  <c r="I14" i="10"/>
  <c r="I126" i="10"/>
  <c r="I133" i="10"/>
  <c r="I21" i="10"/>
  <c r="I25" i="10"/>
  <c r="I95" i="10"/>
  <c r="I85" i="10"/>
  <c r="I29" i="10"/>
  <c r="I52" i="10"/>
  <c r="I38" i="10"/>
  <c r="I84" i="10"/>
  <c r="I42" i="10"/>
  <c r="I155" i="10"/>
  <c r="I57" i="10"/>
  <c r="I64" i="10"/>
  <c r="I92" i="10"/>
  <c r="I141" i="10"/>
  <c r="I71" i="10"/>
  <c r="I134" i="10"/>
  <c r="I78" i="10"/>
  <c r="I153" i="10"/>
  <c r="I83" i="10"/>
  <c r="I147" i="10"/>
  <c r="I91" i="10"/>
  <c r="I163" i="10"/>
  <c r="I107" i="10"/>
  <c r="I166" i="10"/>
  <c r="I138" i="10"/>
  <c r="I169" i="9"/>
  <c r="I155" i="9"/>
  <c r="G58" i="7"/>
  <c r="G44" i="7"/>
  <c r="I108" i="8"/>
  <c r="I38" i="8"/>
  <c r="G156" i="8"/>
  <c r="G170" i="8"/>
  <c r="G112" i="9"/>
  <c r="G54" i="9"/>
  <c r="G94" i="9"/>
  <c r="G136" i="9"/>
  <c r="G162" i="10"/>
  <c r="G36" i="10"/>
  <c r="G85" i="11"/>
  <c r="G57" i="11"/>
  <c r="G14" i="11"/>
  <c r="G84" i="11"/>
  <c r="G76" i="11"/>
  <c r="G34" i="8"/>
  <c r="G20" i="6"/>
  <c r="G145" i="11"/>
  <c r="I86" i="11"/>
  <c r="I72" i="11"/>
  <c r="I123" i="6"/>
  <c r="I21" i="9"/>
  <c r="G192" i="11"/>
  <c r="G11" i="7"/>
  <c r="G15" i="7"/>
  <c r="G45" i="7"/>
  <c r="G152" i="9"/>
  <c r="G23" i="7"/>
  <c r="G27" i="9"/>
  <c r="G28" i="7"/>
  <c r="G7" i="8"/>
  <c r="G51" i="7"/>
  <c r="G27" i="12"/>
  <c r="G57" i="7"/>
  <c r="G71" i="7"/>
  <c r="G43" i="7"/>
  <c r="G78" i="8"/>
  <c r="G66" i="7"/>
  <c r="G28" i="11"/>
  <c r="G72" i="7"/>
  <c r="G96" i="9"/>
  <c r="G83" i="7"/>
  <c r="I34" i="10"/>
  <c r="I93" i="7"/>
  <c r="I114" i="10"/>
  <c r="I103" i="7"/>
  <c r="I135" i="8"/>
  <c r="I9" i="8"/>
  <c r="I22" i="8"/>
  <c r="I120" i="8"/>
  <c r="I97" i="8"/>
  <c r="I27" i="8"/>
  <c r="I107" i="6"/>
  <c r="I62" i="11"/>
  <c r="I51" i="8"/>
  <c r="I37" i="8"/>
  <c r="I167" i="8"/>
  <c r="I41" i="8"/>
  <c r="I151" i="8"/>
  <c r="I53" i="8"/>
  <c r="I100" i="8"/>
  <c r="I58" i="8"/>
  <c r="G82" i="8"/>
  <c r="G152" i="8"/>
  <c r="G94" i="8"/>
  <c r="G150" i="8"/>
  <c r="G165" i="8"/>
  <c r="G109" i="8"/>
  <c r="G137" i="8"/>
  <c r="G123" i="8"/>
  <c r="G164" i="8"/>
  <c r="G136" i="8"/>
  <c r="G79" i="9"/>
  <c r="G7" i="9"/>
  <c r="G23" i="9"/>
  <c r="G51" i="9"/>
  <c r="G173" i="9"/>
  <c r="G29" i="9"/>
  <c r="G127" i="9"/>
  <c r="G41" i="9"/>
  <c r="G75" i="10"/>
  <c r="G47" i="9"/>
  <c r="G97" i="9"/>
  <c r="G53" i="9"/>
  <c r="G57" i="9"/>
  <c r="G87" i="9"/>
  <c r="G109" i="9"/>
  <c r="G66" i="9"/>
  <c r="G143" i="9"/>
  <c r="G72" i="9"/>
  <c r="G83" i="9"/>
  <c r="G111" i="9"/>
  <c r="G91" i="12"/>
  <c r="G93" i="9"/>
  <c r="G99" i="9"/>
  <c r="G157" i="9"/>
  <c r="G106" i="9"/>
  <c r="G132" i="10"/>
  <c r="G137" i="9"/>
  <c r="G123" i="9"/>
  <c r="G7" i="10"/>
  <c r="G35" i="10"/>
  <c r="G15" i="10"/>
  <c r="G169" i="10"/>
  <c r="G106" i="10"/>
  <c r="G22" i="10"/>
  <c r="G26" i="10"/>
  <c r="G54" i="10"/>
  <c r="G151" i="10"/>
  <c r="G39" i="10"/>
  <c r="G43" i="10"/>
  <c r="G99" i="10"/>
  <c r="G81" i="10"/>
  <c r="G53" i="10"/>
  <c r="G58" i="10"/>
  <c r="G142" i="10"/>
  <c r="G86" i="10"/>
  <c r="G72" i="10"/>
  <c r="G93" i="10"/>
  <c r="G79" i="10"/>
  <c r="G124" i="10"/>
  <c r="G96" i="10"/>
  <c r="G108" i="10"/>
  <c r="G136" i="10"/>
  <c r="G132" i="11"/>
  <c r="G118" i="10"/>
  <c r="G149" i="11"/>
  <c r="G9" i="11"/>
  <c r="G13" i="11"/>
  <c r="G41" i="11"/>
  <c r="G169" i="9"/>
  <c r="G155" i="9"/>
  <c r="G111" i="11"/>
  <c r="G83" i="11"/>
  <c r="G75" i="11"/>
  <c r="G92" i="7"/>
  <c r="I190" i="4"/>
  <c r="I159" i="10"/>
  <c r="I23" i="6"/>
  <c r="I81" i="7"/>
  <c r="G91" i="6"/>
  <c r="G49" i="7"/>
  <c r="G108" i="6"/>
  <c r="G147" i="12"/>
  <c r="I192" i="11"/>
  <c r="I11" i="7"/>
  <c r="I45" i="7"/>
  <c r="I15" i="7"/>
  <c r="I152" i="9"/>
  <c r="I23" i="7"/>
  <c r="I27" i="9"/>
  <c r="I28" i="7"/>
  <c r="I51" i="7"/>
  <c r="I7" i="8"/>
  <c r="I27" i="12"/>
  <c r="I57" i="7"/>
  <c r="I71" i="7"/>
  <c r="I43" i="7"/>
  <c r="I78" i="8"/>
  <c r="I66" i="7"/>
  <c r="I28" i="11"/>
  <c r="I72" i="7"/>
  <c r="I96" i="9"/>
  <c r="I83" i="7"/>
  <c r="G10" i="8"/>
  <c r="G66" i="8"/>
  <c r="G84" i="8"/>
  <c r="G14" i="8"/>
  <c r="G159" i="8"/>
  <c r="G19" i="8"/>
  <c r="G65" i="8"/>
  <c r="G23" i="8"/>
  <c r="G28" i="8"/>
  <c r="G154" i="8"/>
  <c r="G38" i="8"/>
  <c r="G108" i="8"/>
  <c r="G98" i="8"/>
  <c r="G42" i="8"/>
  <c r="G34" i="11"/>
  <c r="G48" i="8"/>
  <c r="G131" i="11"/>
  <c r="G61" i="8"/>
  <c r="G125" i="8"/>
  <c r="G69" i="8"/>
  <c r="G173" i="11"/>
  <c r="G75" i="8"/>
  <c r="I82" i="8"/>
  <c r="I152" i="8"/>
  <c r="I150" i="8"/>
  <c r="I94" i="8"/>
  <c r="I165" i="8"/>
  <c r="I109" i="8"/>
  <c r="I123" i="8"/>
  <c r="I137" i="8"/>
  <c r="I164" i="8"/>
  <c r="I136" i="8"/>
  <c r="I79" i="9"/>
  <c r="I7" i="9"/>
  <c r="I51" i="9"/>
  <c r="I23" i="9"/>
  <c r="I173" i="9"/>
  <c r="I29" i="9"/>
  <c r="I127" i="9"/>
  <c r="I41" i="9"/>
  <c r="I75" i="10"/>
  <c r="I47" i="9"/>
  <c r="I97" i="9"/>
  <c r="I53" i="9"/>
  <c r="I87" i="9"/>
  <c r="I57" i="9"/>
  <c r="I109" i="9"/>
  <c r="I66" i="9"/>
  <c r="I143" i="9"/>
  <c r="I72" i="9"/>
  <c r="I83" i="9"/>
  <c r="I111" i="9"/>
  <c r="I91" i="12"/>
  <c r="I93" i="9"/>
  <c r="I99" i="9"/>
  <c r="I157" i="9"/>
  <c r="I132" i="10"/>
  <c r="I106" i="9"/>
  <c r="I123" i="9"/>
  <c r="I137" i="9"/>
  <c r="I7" i="10"/>
  <c r="I35" i="10"/>
  <c r="I15" i="10"/>
  <c r="I169" i="10"/>
  <c r="I106" i="10"/>
  <c r="I22" i="10"/>
  <c r="I26" i="10"/>
  <c r="I54" i="10"/>
  <c r="I39" i="10"/>
  <c r="I151" i="10"/>
  <c r="I43" i="10"/>
  <c r="I99" i="10"/>
  <c r="I53" i="10"/>
  <c r="I81" i="10"/>
  <c r="I58" i="10"/>
  <c r="I142" i="10"/>
  <c r="I72" i="10"/>
  <c r="I86" i="10"/>
  <c r="I93" i="10"/>
  <c r="I79" i="10"/>
  <c r="I124" i="10"/>
  <c r="I96" i="10"/>
  <c r="I136" i="10"/>
  <c r="I108" i="10"/>
  <c r="I132" i="11"/>
  <c r="I118" i="10"/>
  <c r="I149" i="11"/>
  <c r="I9" i="11"/>
  <c r="I41" i="11"/>
  <c r="I13" i="11"/>
  <c r="G19" i="4"/>
  <c r="G5" i="4"/>
  <c r="K151" i="4"/>
  <c r="K123" i="4"/>
  <c r="G140" i="6"/>
  <c r="G25" i="6"/>
  <c r="K152" i="6"/>
  <c r="K22" i="6"/>
  <c r="G116" i="6"/>
  <c r="G44" i="6"/>
  <c r="G29" i="6"/>
  <c r="G15" i="6"/>
  <c r="I161" i="6"/>
  <c r="I17" i="6"/>
  <c r="K43" i="6"/>
  <c r="K144" i="6"/>
  <c r="K113" i="4"/>
  <c r="K98" i="4"/>
  <c r="G86" i="6"/>
  <c r="G159" i="6"/>
  <c r="G57" i="6"/>
  <c r="G115" i="6"/>
  <c r="K129" i="4"/>
  <c r="K99" i="4"/>
  <c r="K142" i="4"/>
  <c r="K128" i="4"/>
  <c r="K8" i="6"/>
  <c r="K164" i="4"/>
  <c r="G129" i="6"/>
  <c r="G85" i="6"/>
  <c r="G100" i="6"/>
  <c r="G72" i="6"/>
  <c r="G128" i="6"/>
  <c r="G55" i="6"/>
  <c r="G56" i="6"/>
  <c r="G42" i="6"/>
  <c r="G59" i="6"/>
  <c r="G31" i="6"/>
  <c r="G22" i="6"/>
  <c r="G152" i="6"/>
  <c r="G13" i="6"/>
  <c r="G98" i="6"/>
  <c r="I11" i="6"/>
  <c r="I82" i="6"/>
  <c r="I28" i="6"/>
  <c r="I71" i="6"/>
  <c r="I68" i="6"/>
  <c r="I39" i="6"/>
  <c r="I53" i="6"/>
  <c r="I155" i="6"/>
  <c r="I141" i="6"/>
  <c r="I69" i="6"/>
  <c r="I94" i="6"/>
  <c r="I80" i="6"/>
  <c r="K58" i="6"/>
  <c r="K16" i="6"/>
  <c r="K140" i="6"/>
  <c r="K25" i="6"/>
  <c r="K102" i="6"/>
  <c r="K45" i="6"/>
  <c r="K52" i="6"/>
  <c r="K95" i="6"/>
  <c r="I111" i="6"/>
  <c r="I96" i="6"/>
  <c r="I114" i="6"/>
  <c r="I158" i="6"/>
  <c r="K154" i="4"/>
  <c r="K96" i="4"/>
  <c r="K13" i="6"/>
  <c r="K98" i="6"/>
  <c r="I146" i="6"/>
  <c r="I132" i="6"/>
  <c r="G145" i="6"/>
  <c r="G87" i="6"/>
  <c r="I26" i="6"/>
  <c r="I112" i="6"/>
  <c r="K134" i="5"/>
  <c r="K106" i="5"/>
  <c r="G87" i="4"/>
  <c r="G159" i="4"/>
  <c r="K201" i="4"/>
  <c r="K101" i="4"/>
  <c r="K115" i="4"/>
  <c r="K200" i="4"/>
  <c r="K196" i="4"/>
  <c r="K168" i="4"/>
  <c r="G113" i="6"/>
  <c r="G84" i="6"/>
  <c r="G70" i="6"/>
  <c r="G157" i="6"/>
  <c r="G83" i="6"/>
  <c r="G40" i="6"/>
  <c r="G30" i="6"/>
  <c r="G131" i="6"/>
  <c r="G127" i="6"/>
  <c r="G12" i="6"/>
  <c r="I127" i="6"/>
  <c r="I12" i="6"/>
  <c r="I131" i="6"/>
  <c r="I30" i="6"/>
  <c r="I40" i="6"/>
  <c r="I83" i="6"/>
  <c r="I70" i="6"/>
  <c r="I157" i="6"/>
  <c r="K9" i="6"/>
  <c r="K66" i="6"/>
  <c r="K17" i="6"/>
  <c r="K161" i="6"/>
  <c r="K26" i="6"/>
  <c r="K112" i="6"/>
  <c r="K53" i="6"/>
  <c r="K155" i="6"/>
  <c r="K141" i="6"/>
  <c r="K69" i="6"/>
  <c r="G156" i="6"/>
  <c r="G97" i="6"/>
  <c r="I72" i="6"/>
  <c r="I100" i="6"/>
  <c r="I84" i="6"/>
  <c r="I113" i="6"/>
  <c r="K41" i="6"/>
  <c r="K27" i="6"/>
  <c r="K38" i="6"/>
  <c r="K125" i="6"/>
  <c r="K70" i="6"/>
  <c r="K157" i="6"/>
  <c r="I91" i="6"/>
  <c r="I156" i="6"/>
  <c r="I97" i="6"/>
  <c r="G154" i="6"/>
  <c r="G139" i="6"/>
  <c r="G153" i="6"/>
  <c r="G16" i="6"/>
  <c r="G58" i="6"/>
  <c r="K56" i="6"/>
  <c r="K42" i="6"/>
  <c r="G136" i="6"/>
  <c r="G104" i="5"/>
  <c r="G155" i="6"/>
  <c r="G53" i="6"/>
  <c r="G28" i="6"/>
  <c r="G71" i="6"/>
  <c r="G11" i="6"/>
  <c r="G82" i="6"/>
  <c r="I98" i="6"/>
  <c r="I13" i="6"/>
  <c r="I152" i="6"/>
  <c r="I22" i="6"/>
  <c r="I56" i="6"/>
  <c r="I42" i="6"/>
  <c r="I136" i="6"/>
  <c r="I104" i="5"/>
  <c r="K165" i="4"/>
  <c r="K93" i="4"/>
  <c r="G95" i="6"/>
  <c r="G52" i="6"/>
  <c r="G38" i="6"/>
  <c r="G125" i="6"/>
  <c r="G41" i="6"/>
  <c r="G27" i="6"/>
  <c r="I43" i="6"/>
  <c r="I144" i="6"/>
  <c r="I57" i="6"/>
  <c r="I115" i="6"/>
  <c r="I129" i="6"/>
  <c r="I85" i="6"/>
  <c r="K82" i="6"/>
  <c r="K11" i="6"/>
  <c r="K71" i="6"/>
  <c r="K28" i="6"/>
  <c r="K68" i="6"/>
  <c r="K39" i="6"/>
  <c r="K55" i="6"/>
  <c r="K128" i="6"/>
  <c r="G143" i="6"/>
  <c r="G99" i="6"/>
  <c r="G124" i="6"/>
  <c r="G109" i="6"/>
  <c r="I154" i="6"/>
  <c r="I139" i="6"/>
  <c r="I153" i="6"/>
  <c r="K158" i="4"/>
  <c r="K186" i="4"/>
  <c r="I87" i="6"/>
  <c r="I145" i="6"/>
  <c r="I159" i="4"/>
  <c r="I87" i="4"/>
  <c r="G69" i="6"/>
  <c r="G141" i="6"/>
  <c r="G39" i="6"/>
  <c r="G68" i="6"/>
  <c r="I31" i="6"/>
  <c r="I59" i="6"/>
  <c r="I55" i="6"/>
  <c r="I128" i="6"/>
  <c r="G185" i="4"/>
  <c r="G85" i="4"/>
  <c r="G80" i="6"/>
  <c r="G94" i="6"/>
  <c r="I5" i="4"/>
  <c r="I19" i="4"/>
  <c r="I185" i="4"/>
  <c r="I85" i="4"/>
  <c r="G51" i="6"/>
  <c r="G138" i="6"/>
  <c r="G26" i="6"/>
  <c r="G112" i="6"/>
  <c r="G161" i="6"/>
  <c r="G17" i="6"/>
  <c r="G66" i="6"/>
  <c r="G9" i="6"/>
  <c r="I29" i="6"/>
  <c r="I15" i="6"/>
  <c r="I116" i="6"/>
  <c r="I44" i="6"/>
  <c r="I88" i="6"/>
  <c r="I74" i="6"/>
  <c r="I159" i="6"/>
  <c r="I86" i="6"/>
  <c r="K127" i="6"/>
  <c r="K12" i="6"/>
  <c r="K30" i="6"/>
  <c r="K131" i="6"/>
  <c r="K83" i="6"/>
  <c r="K40" i="6"/>
  <c r="K115" i="6"/>
  <c r="K57" i="6"/>
  <c r="I143" i="6"/>
  <c r="I99" i="6"/>
  <c r="I124" i="6"/>
  <c r="I109" i="6"/>
  <c r="G146" i="6"/>
  <c r="G132" i="6"/>
  <c r="G45" i="6"/>
  <c r="G102" i="6"/>
  <c r="I25" i="6"/>
  <c r="I140" i="6"/>
  <c r="I45" i="6"/>
  <c r="I102" i="6"/>
  <c r="I58" i="6"/>
  <c r="I16" i="6"/>
  <c r="G135" i="6"/>
  <c r="K59" i="6"/>
  <c r="K31" i="6"/>
  <c r="K185" i="4"/>
  <c r="K85" i="4"/>
  <c r="K183" i="4"/>
  <c r="K97" i="4"/>
  <c r="K109" i="4"/>
  <c r="K180" i="4"/>
  <c r="K194" i="4"/>
  <c r="K124" i="4"/>
  <c r="I9" i="6"/>
  <c r="I66" i="6"/>
  <c r="I138" i="6"/>
  <c r="I51" i="6"/>
  <c r="K105" i="5"/>
  <c r="K119" i="5"/>
  <c r="K159" i="4"/>
  <c r="K87" i="4"/>
  <c r="K167" i="4"/>
  <c r="K110" i="4"/>
  <c r="G74" i="6"/>
  <c r="G88" i="6"/>
  <c r="G43" i="6"/>
  <c r="G144" i="6"/>
  <c r="I41" i="6"/>
  <c r="I27" i="6"/>
  <c r="I38" i="6"/>
  <c r="I125" i="6"/>
  <c r="I52" i="6"/>
  <c r="I95" i="6"/>
  <c r="K29" i="6"/>
  <c r="K15" i="6"/>
  <c r="K44" i="6"/>
  <c r="K116" i="6"/>
  <c r="K51" i="6"/>
  <c r="K138" i="6"/>
  <c r="G111" i="6"/>
  <c r="G96" i="6"/>
  <c r="G158" i="6"/>
  <c r="G114" i="6"/>
  <c r="I135" i="6"/>
  <c r="I32" i="5"/>
  <c r="G32" i="5"/>
  <c r="I25" i="5"/>
  <c r="G25" i="5"/>
  <c r="I18" i="5"/>
  <c r="G18" i="5"/>
  <c r="I151" i="2"/>
  <c r="G151" i="2"/>
  <c r="G110" i="2"/>
  <c r="I110" i="2"/>
  <c r="K110" i="2"/>
  <c r="K52" i="2"/>
  <c r="G9" i="2"/>
  <c r="I9" i="2"/>
  <c r="F102" i="3"/>
  <c r="I112" i="3"/>
  <c r="G112" i="3"/>
  <c r="C5" i="1"/>
  <c r="C104" i="3" s="1"/>
  <c r="G181" i="4"/>
  <c r="I176" i="4"/>
  <c r="G176" i="4"/>
  <c r="I169" i="4"/>
  <c r="G169" i="4"/>
  <c r="I162" i="4"/>
  <c r="G162" i="4"/>
  <c r="I152" i="4"/>
  <c r="G152" i="4"/>
  <c r="I125" i="4"/>
  <c r="G125" i="4"/>
  <c r="I121" i="4"/>
  <c r="G121" i="4"/>
  <c r="I111" i="4"/>
  <c r="G111" i="4"/>
  <c r="I104" i="4"/>
  <c r="G104" i="4"/>
  <c r="I94" i="4"/>
  <c r="G94" i="4"/>
  <c r="I90" i="4"/>
  <c r="G90" i="4"/>
  <c r="I68" i="4"/>
  <c r="G68" i="4"/>
  <c r="I62" i="9"/>
  <c r="G62" i="9"/>
  <c r="I55" i="4"/>
  <c r="G55" i="4"/>
  <c r="I8" i="4"/>
  <c r="G8" i="4"/>
  <c r="I7" i="4"/>
  <c r="G7" i="4"/>
  <c r="I4" i="4"/>
  <c r="G4" i="4"/>
  <c r="I135" i="5"/>
  <c r="G135" i="5"/>
  <c r="I132" i="5"/>
  <c r="G132" i="5"/>
  <c r="I122" i="5"/>
  <c r="G122" i="5"/>
  <c r="I116" i="5"/>
  <c r="G116" i="5"/>
  <c r="I110" i="5"/>
  <c r="G110" i="5"/>
  <c r="I77" i="5"/>
  <c r="G77" i="5"/>
  <c r="I76" i="5"/>
  <c r="G76" i="5"/>
  <c r="I67" i="5"/>
  <c r="G67" i="5"/>
  <c r="I52" i="5"/>
  <c r="G52" i="5"/>
  <c r="I46" i="5"/>
  <c r="G46" i="5"/>
  <c r="I40" i="5"/>
  <c r="G40" i="5"/>
  <c r="I9" i="5"/>
  <c r="G9" i="5"/>
  <c r="I4" i="5"/>
  <c r="G4" i="5"/>
  <c r="I147" i="2"/>
  <c r="G147" i="2"/>
  <c r="I117" i="8"/>
  <c r="G117" i="8"/>
  <c r="I139" i="2"/>
  <c r="G139" i="2"/>
  <c r="I132" i="2"/>
  <c r="G132" i="2"/>
  <c r="I122" i="2"/>
  <c r="G122" i="2"/>
  <c r="I118" i="2"/>
  <c r="G118" i="2"/>
  <c r="I104" i="2"/>
  <c r="G104" i="2"/>
  <c r="I94" i="2"/>
  <c r="G94" i="2"/>
  <c r="I90" i="2"/>
  <c r="G90" i="2"/>
  <c r="I17" i="7"/>
  <c r="G17" i="7"/>
  <c r="I86" i="2"/>
  <c r="G86" i="2"/>
  <c r="I76" i="2"/>
  <c r="G76" i="2"/>
  <c r="I74" i="2"/>
  <c r="G74" i="2"/>
  <c r="I71" i="2"/>
  <c r="G71" i="2"/>
  <c r="I68" i="2"/>
  <c r="G68" i="2"/>
  <c r="I52" i="2"/>
  <c r="G52" i="2"/>
  <c r="I34" i="2"/>
  <c r="G34" i="2"/>
  <c r="I4" i="2"/>
  <c r="G4" i="2"/>
  <c r="I24" i="2"/>
  <c r="G24" i="2"/>
  <c r="I19" i="2"/>
  <c r="G19" i="2"/>
  <c r="I195" i="3"/>
  <c r="G195" i="3"/>
  <c r="I9" i="7"/>
  <c r="G9" i="7"/>
  <c r="I189" i="3"/>
  <c r="G189" i="3"/>
  <c r="I182" i="3"/>
  <c r="G182" i="3"/>
  <c r="I177" i="3"/>
  <c r="G177" i="3"/>
  <c r="I161" i="3"/>
  <c r="G161" i="3"/>
  <c r="I152" i="3"/>
  <c r="G152" i="3"/>
  <c r="I151" i="3"/>
  <c r="G151" i="3"/>
  <c r="I139" i="3"/>
  <c r="G139" i="3"/>
  <c r="I136" i="3"/>
  <c r="G136" i="3"/>
  <c r="I126" i="3"/>
  <c r="G126" i="3"/>
  <c r="I120" i="3"/>
  <c r="G120" i="3"/>
  <c r="I107" i="3"/>
  <c r="G107" i="3"/>
  <c r="I93" i="3"/>
  <c r="G93" i="3"/>
  <c r="I89" i="3"/>
  <c r="G89" i="3"/>
  <c r="I81" i="3"/>
  <c r="G81" i="3"/>
  <c r="I67" i="3"/>
  <c r="G67" i="3"/>
  <c r="I62" i="3"/>
  <c r="G62" i="3"/>
  <c r="I54" i="3"/>
  <c r="G54" i="3"/>
  <c r="I48" i="3"/>
  <c r="G48" i="3"/>
  <c r="I40" i="3"/>
  <c r="G40" i="3"/>
  <c r="I34" i="3"/>
  <c r="G34" i="3"/>
  <c r="I26" i="3"/>
  <c r="G26" i="3"/>
  <c r="I19" i="3"/>
  <c r="G19" i="3"/>
  <c r="I10" i="3"/>
  <c r="G10" i="3"/>
  <c r="G6" i="3"/>
  <c r="I6" i="3"/>
  <c r="U117" i="11" l="1"/>
  <c r="U90" i="3"/>
  <c r="C484" i="17"/>
  <c r="C238" i="17"/>
  <c r="C149" i="15"/>
  <c r="C169" i="15"/>
  <c r="A217" i="15"/>
  <c r="A601" i="17"/>
  <c r="A34" i="17"/>
  <c r="C123" i="17"/>
  <c r="C142" i="17"/>
  <c r="I15" i="3"/>
  <c r="I102" i="7"/>
  <c r="G20" i="2"/>
  <c r="G104" i="8"/>
  <c r="G134" i="2"/>
  <c r="G119" i="11"/>
  <c r="I73" i="3"/>
  <c r="I72" i="12"/>
  <c r="I90" i="3"/>
  <c r="I117" i="11"/>
  <c r="I108" i="3"/>
  <c r="I94" i="7"/>
  <c r="G15" i="3"/>
  <c r="G102" i="7"/>
  <c r="G58" i="3"/>
  <c r="G183" i="11"/>
  <c r="G91" i="3"/>
  <c r="G174" i="12"/>
  <c r="G122" i="3"/>
  <c r="G37" i="7"/>
  <c r="G191" i="3"/>
  <c r="G50" i="7"/>
  <c r="G33" i="2"/>
  <c r="G103" i="11"/>
  <c r="G47" i="5"/>
  <c r="G131" i="12"/>
  <c r="G91" i="4"/>
  <c r="G48" i="10"/>
  <c r="G59" i="3"/>
  <c r="G58" i="12"/>
  <c r="G148" i="3"/>
  <c r="G35" i="7"/>
  <c r="G12" i="3"/>
  <c r="G42" i="7"/>
  <c r="I27" i="3"/>
  <c r="I100" i="7"/>
  <c r="I12" i="3"/>
  <c r="I42" i="7"/>
  <c r="I58" i="3"/>
  <c r="I183" i="11"/>
  <c r="I91" i="3"/>
  <c r="I174" i="12"/>
  <c r="I122" i="3"/>
  <c r="I37" i="7"/>
  <c r="I191" i="3"/>
  <c r="I50" i="7"/>
  <c r="I33" i="2"/>
  <c r="I103" i="11"/>
  <c r="I47" i="5"/>
  <c r="I131" i="12"/>
  <c r="I91" i="4"/>
  <c r="I48" i="10"/>
  <c r="G84" i="2"/>
  <c r="G101" i="7"/>
  <c r="G5" i="5"/>
  <c r="G20" i="7"/>
  <c r="G122" i="4"/>
  <c r="G105" i="8"/>
  <c r="G30" i="3"/>
  <c r="G156" i="12"/>
  <c r="I30" i="3"/>
  <c r="I156" i="12"/>
  <c r="I59" i="3"/>
  <c r="I58" i="12"/>
  <c r="I87" i="3"/>
  <c r="I86" i="12"/>
  <c r="I106" i="3"/>
  <c r="I61" i="11"/>
  <c r="I148" i="3"/>
  <c r="I35" i="7"/>
  <c r="I186" i="3"/>
  <c r="I59" i="7"/>
  <c r="I20" i="2"/>
  <c r="I104" i="8"/>
  <c r="I78" i="2"/>
  <c r="I8" i="9"/>
  <c r="I84" i="2"/>
  <c r="I101" i="7"/>
  <c r="I134" i="2"/>
  <c r="I119" i="11"/>
  <c r="I5" i="5"/>
  <c r="I20" i="7"/>
  <c r="I61" i="5"/>
  <c r="I89" i="8"/>
  <c r="I122" i="4"/>
  <c r="I105" i="8"/>
  <c r="G78" i="2"/>
  <c r="G8" i="9"/>
  <c r="G61" i="5"/>
  <c r="G89" i="8"/>
  <c r="G27" i="3"/>
  <c r="G100" i="7"/>
  <c r="G134" i="3"/>
  <c r="G159" i="12"/>
  <c r="G155" i="3"/>
  <c r="G99" i="7"/>
  <c r="G163" i="3"/>
  <c r="G104" i="11"/>
  <c r="G105" i="2"/>
  <c r="G48" i="12"/>
  <c r="G6" i="5"/>
  <c r="G146" i="11"/>
  <c r="G75" i="5"/>
  <c r="G19" i="10"/>
  <c r="G105" i="4"/>
  <c r="G47" i="11"/>
  <c r="I155" i="3"/>
  <c r="I99" i="7"/>
  <c r="I105" i="2"/>
  <c r="I48" i="12"/>
  <c r="I6" i="5"/>
  <c r="I146" i="11"/>
  <c r="I75" i="5"/>
  <c r="I19" i="10"/>
  <c r="I105" i="4"/>
  <c r="I47" i="11"/>
  <c r="G106" i="3"/>
  <c r="G61" i="11"/>
  <c r="I134" i="3"/>
  <c r="I159" i="12"/>
  <c r="I163" i="3"/>
  <c r="I104" i="11"/>
  <c r="G63" i="3"/>
  <c r="G104" i="12"/>
  <c r="G73" i="3"/>
  <c r="G72" i="12"/>
  <c r="G90" i="3"/>
  <c r="G117" i="11"/>
  <c r="G108" i="3"/>
  <c r="G94" i="7"/>
  <c r="G135" i="3"/>
  <c r="G160" i="8"/>
  <c r="G172" i="3"/>
  <c r="G43" i="11"/>
  <c r="G190" i="3"/>
  <c r="G188" i="12"/>
  <c r="G62" i="2"/>
  <c r="G20" i="11"/>
  <c r="G120" i="2"/>
  <c r="G65" i="7"/>
  <c r="G148" i="2"/>
  <c r="G105" i="12"/>
  <c r="G63" i="4"/>
  <c r="G36" i="7"/>
  <c r="G87" i="3"/>
  <c r="G86" i="12"/>
  <c r="G186" i="3"/>
  <c r="G59" i="7"/>
  <c r="I63" i="3"/>
  <c r="I104" i="12"/>
  <c r="I135" i="3"/>
  <c r="I160" i="8"/>
  <c r="I172" i="3"/>
  <c r="I43" i="11"/>
  <c r="I190" i="3"/>
  <c r="I188" i="12"/>
  <c r="I62" i="2"/>
  <c r="I20" i="11"/>
  <c r="I120" i="2"/>
  <c r="I65" i="7"/>
  <c r="I148" i="2"/>
  <c r="I105" i="12"/>
  <c r="I63" i="4"/>
  <c r="I36" i="7"/>
  <c r="I11" i="3"/>
  <c r="I196" i="3"/>
  <c r="G120" i="4"/>
  <c r="G33" i="3"/>
  <c r="G156" i="3"/>
  <c r="G142" i="3"/>
  <c r="G47" i="2"/>
  <c r="G117" i="5"/>
  <c r="G92" i="2"/>
  <c r="G91" i="5"/>
  <c r="G39" i="5"/>
  <c r="G11" i="5"/>
  <c r="G71" i="5"/>
  <c r="G85" i="5"/>
  <c r="G124" i="4"/>
  <c r="G194" i="4"/>
  <c r="I36" i="5"/>
  <c r="I22" i="5"/>
  <c r="I24" i="3"/>
  <c r="I53" i="3"/>
  <c r="I52" i="3"/>
  <c r="I124" i="3"/>
  <c r="G154" i="3"/>
  <c r="G25" i="3"/>
  <c r="G144" i="3"/>
  <c r="G43" i="3"/>
  <c r="G70" i="3"/>
  <c r="G184" i="3"/>
  <c r="I159" i="3"/>
  <c r="I16" i="3"/>
  <c r="G5" i="3"/>
  <c r="G176" i="3"/>
  <c r="G196" i="3"/>
  <c r="G11" i="3"/>
  <c r="I23" i="3"/>
  <c r="I9" i="3"/>
  <c r="G123" i="3"/>
  <c r="G22" i="3"/>
  <c r="G165" i="3"/>
  <c r="G36" i="3"/>
  <c r="G51" i="3"/>
  <c r="G193" i="3"/>
  <c r="G98" i="3"/>
  <c r="G56" i="3"/>
  <c r="G116" i="3"/>
  <c r="G72" i="3"/>
  <c r="G106" i="2"/>
  <c r="G78" i="3"/>
  <c r="G83" i="3"/>
  <c r="G197" i="3"/>
  <c r="G145" i="3"/>
  <c r="G101" i="3"/>
  <c r="G170" i="3"/>
  <c r="G114" i="3"/>
  <c r="G163" i="4"/>
  <c r="G149" i="3"/>
  <c r="G21" i="2"/>
  <c r="G22" i="4"/>
  <c r="G91" i="2"/>
  <c r="G49" i="4"/>
  <c r="G119" i="2"/>
  <c r="G177" i="4"/>
  <c r="G136" i="5"/>
  <c r="G10" i="5"/>
  <c r="G14" i="5"/>
  <c r="G56" i="5"/>
  <c r="G58" i="5"/>
  <c r="G44" i="5"/>
  <c r="G50" i="5"/>
  <c r="G120" i="5"/>
  <c r="G55" i="5"/>
  <c r="G111" i="5"/>
  <c r="G106" i="4"/>
  <c r="G62" i="5"/>
  <c r="G70" i="5"/>
  <c r="G140" i="5"/>
  <c r="G112" i="4"/>
  <c r="G13" i="4"/>
  <c r="G170" i="4"/>
  <c r="G42" i="4"/>
  <c r="G166" i="4"/>
  <c r="G52" i="4"/>
  <c r="G157" i="4"/>
  <c r="G57" i="4"/>
  <c r="G62" i="4"/>
  <c r="G83" i="4"/>
  <c r="G69" i="4"/>
  <c r="G129" i="4"/>
  <c r="G99" i="4"/>
  <c r="G200" i="4"/>
  <c r="G115" i="4"/>
  <c r="G123" i="4"/>
  <c r="G151" i="4"/>
  <c r="G196" i="4"/>
  <c r="G168" i="4"/>
  <c r="I34" i="4"/>
  <c r="I19" i="5"/>
  <c r="I29" i="5"/>
  <c r="I127" i="5"/>
  <c r="I93" i="5"/>
  <c r="I37" i="5"/>
  <c r="G41" i="3"/>
  <c r="G13" i="3"/>
  <c r="G185" i="3"/>
  <c r="G42" i="3"/>
  <c r="G68" i="3"/>
  <c r="G168" i="3"/>
  <c r="G118" i="5"/>
  <c r="G121" i="3"/>
  <c r="G133" i="5"/>
  <c r="G178" i="3"/>
  <c r="G87" i="2"/>
  <c r="G21" i="5"/>
  <c r="G7" i="5"/>
  <c r="G92" i="5"/>
  <c r="G64" i="5"/>
  <c r="G106" i="6"/>
  <c r="G48" i="4"/>
  <c r="K47" i="2"/>
  <c r="K117" i="5"/>
  <c r="I5" i="3"/>
  <c r="I176" i="3"/>
  <c r="I123" i="3"/>
  <c r="I22" i="3"/>
  <c r="I36" i="3"/>
  <c r="I165" i="3"/>
  <c r="I193" i="3"/>
  <c r="I51" i="3"/>
  <c r="I98" i="3"/>
  <c r="I56" i="3"/>
  <c r="I116" i="3"/>
  <c r="I72" i="3"/>
  <c r="I106" i="2"/>
  <c r="I78" i="3"/>
  <c r="I83" i="3"/>
  <c r="I197" i="3"/>
  <c r="I145" i="3"/>
  <c r="I101" i="3"/>
  <c r="I114" i="3"/>
  <c r="I170" i="3"/>
  <c r="I163" i="4"/>
  <c r="I149" i="3"/>
  <c r="I21" i="2"/>
  <c r="I22" i="4"/>
  <c r="I91" i="2"/>
  <c r="I49" i="4"/>
  <c r="I119" i="2"/>
  <c r="I177" i="4"/>
  <c r="I136" i="5"/>
  <c r="I10" i="5"/>
  <c r="I56" i="5"/>
  <c r="I14" i="5"/>
  <c r="I58" i="5"/>
  <c r="I44" i="5"/>
  <c r="I50" i="5"/>
  <c r="I120" i="5"/>
  <c r="I55" i="5"/>
  <c r="I111" i="5"/>
  <c r="I62" i="5"/>
  <c r="I106" i="4"/>
  <c r="I70" i="5"/>
  <c r="I140" i="5"/>
  <c r="I112" i="4"/>
  <c r="I13" i="4"/>
  <c r="I170" i="4"/>
  <c r="I42" i="4"/>
  <c r="I166" i="4"/>
  <c r="I52" i="4"/>
  <c r="I157" i="4"/>
  <c r="I57" i="4"/>
  <c r="I62" i="4"/>
  <c r="I83" i="4"/>
  <c r="I69" i="4"/>
  <c r="I129" i="4"/>
  <c r="I99" i="4"/>
  <c r="I115" i="4"/>
  <c r="I200" i="4"/>
  <c r="I151" i="4"/>
  <c r="I123" i="4"/>
  <c r="I196" i="4"/>
  <c r="I168" i="4"/>
  <c r="G36" i="5"/>
  <c r="G22" i="5"/>
  <c r="G26" i="5"/>
  <c r="G68" i="5"/>
  <c r="G100" i="5"/>
  <c r="G30" i="5"/>
  <c r="G66" i="3"/>
  <c r="G37" i="3"/>
  <c r="G199" i="4"/>
  <c r="G43" i="4"/>
  <c r="G154" i="4"/>
  <c r="G96" i="4"/>
  <c r="G129" i="3"/>
  <c r="G14" i="3"/>
  <c r="I66" i="3"/>
  <c r="I37" i="3"/>
  <c r="I57" i="3"/>
  <c r="I157" i="3"/>
  <c r="I110" i="3"/>
  <c r="I94" i="3"/>
  <c r="I115" i="3"/>
  <c r="I199" i="3"/>
  <c r="I118" i="5"/>
  <c r="I121" i="3"/>
  <c r="I183" i="3"/>
  <c r="I127" i="3"/>
  <c r="I142" i="3"/>
  <c r="I156" i="3"/>
  <c r="I164" i="3"/>
  <c r="I150" i="3"/>
  <c r="I200" i="3"/>
  <c r="I158" i="3"/>
  <c r="I133" i="5"/>
  <c r="I178" i="3"/>
  <c r="I47" i="2"/>
  <c r="I117" i="5"/>
  <c r="I87" i="2"/>
  <c r="I92" i="2"/>
  <c r="I91" i="5"/>
  <c r="I21" i="5"/>
  <c r="I7" i="5"/>
  <c r="I39" i="5"/>
  <c r="I11" i="5"/>
  <c r="I15" i="5"/>
  <c r="I99" i="5"/>
  <c r="I41" i="5"/>
  <c r="I83" i="5"/>
  <c r="I141" i="5"/>
  <c r="I57" i="5"/>
  <c r="I64" i="5"/>
  <c r="I92" i="5"/>
  <c r="I85" i="5"/>
  <c r="I71" i="5"/>
  <c r="I193" i="4"/>
  <c r="I9" i="4"/>
  <c r="I14" i="4"/>
  <c r="I84" i="4"/>
  <c r="I199" i="4"/>
  <c r="I43" i="4"/>
  <c r="I106" i="6"/>
  <c r="I48" i="4"/>
  <c r="I54" i="4"/>
  <c r="I126" i="4"/>
  <c r="I144" i="4"/>
  <c r="I58" i="4"/>
  <c r="I184" i="4"/>
  <c r="I70" i="4"/>
  <c r="I154" i="4"/>
  <c r="I96" i="4"/>
  <c r="I101" i="4"/>
  <c r="I201" i="4"/>
  <c r="I109" i="4"/>
  <c r="I180" i="4"/>
  <c r="I194" i="4"/>
  <c r="I124" i="4"/>
  <c r="I186" i="4"/>
  <c r="I158" i="4"/>
  <c r="K48" i="2"/>
  <c r="K34" i="5"/>
  <c r="G23" i="5"/>
  <c r="G51" i="5"/>
  <c r="G139" i="5"/>
  <c r="G27" i="5"/>
  <c r="G24" i="3"/>
  <c r="G53" i="3"/>
  <c r="G57" i="3"/>
  <c r="G157" i="3"/>
  <c r="G200" i="3"/>
  <c r="G158" i="3"/>
  <c r="G83" i="5"/>
  <c r="G41" i="5"/>
  <c r="G54" i="4"/>
  <c r="G126" i="4"/>
  <c r="G101" i="4"/>
  <c r="G201" i="4"/>
  <c r="I68" i="5"/>
  <c r="I26" i="5"/>
  <c r="I120" i="4"/>
  <c r="I33" i="3"/>
  <c r="G7" i="3"/>
  <c r="G50" i="3"/>
  <c r="G29" i="3"/>
  <c r="G100" i="3"/>
  <c r="G95" i="3"/>
  <c r="G181" i="3"/>
  <c r="G179" i="3"/>
  <c r="G109" i="3"/>
  <c r="G131" i="3"/>
  <c r="G117" i="3"/>
  <c r="G128" i="3"/>
  <c r="G198" i="3"/>
  <c r="G171" i="3"/>
  <c r="G143" i="3"/>
  <c r="G187" i="3"/>
  <c r="G173" i="3"/>
  <c r="G48" i="2"/>
  <c r="G34" i="5"/>
  <c r="G63" i="2"/>
  <c r="G65" i="6"/>
  <c r="G133" i="2"/>
  <c r="G48" i="5"/>
  <c r="G78" i="5"/>
  <c r="G8" i="5"/>
  <c r="G124" i="5"/>
  <c r="G12" i="5"/>
  <c r="G114" i="5"/>
  <c r="G16" i="5"/>
  <c r="G126" i="5"/>
  <c r="G42" i="5"/>
  <c r="G95" i="5"/>
  <c r="G53" i="5"/>
  <c r="G107" i="5"/>
  <c r="G65" i="5"/>
  <c r="G72" i="5"/>
  <c r="G128" i="5"/>
  <c r="G10" i="4"/>
  <c r="G38" i="4"/>
  <c r="G140" i="4"/>
  <c r="G40" i="4"/>
  <c r="G44" i="4"/>
  <c r="G100" i="4"/>
  <c r="G50" i="4"/>
  <c r="G64" i="4"/>
  <c r="G187" i="4"/>
  <c r="G59" i="4"/>
  <c r="G153" i="4"/>
  <c r="G67" i="4"/>
  <c r="G114" i="4"/>
  <c r="G71" i="4"/>
  <c r="G183" i="4"/>
  <c r="G97" i="4"/>
  <c r="G167" i="4"/>
  <c r="G110" i="4"/>
  <c r="K49" i="2"/>
  <c r="K79" i="6"/>
  <c r="I51" i="5"/>
  <c r="I23" i="5"/>
  <c r="I139" i="5"/>
  <c r="I27" i="5"/>
  <c r="G199" i="3"/>
  <c r="G115" i="3"/>
  <c r="G164" i="3"/>
  <c r="G150" i="3"/>
  <c r="G193" i="4"/>
  <c r="G9" i="4"/>
  <c r="G184" i="4"/>
  <c r="G70" i="4"/>
  <c r="G186" i="4"/>
  <c r="G158" i="4"/>
  <c r="I30" i="5"/>
  <c r="I100" i="5"/>
  <c r="I185" i="3"/>
  <c r="I42" i="3"/>
  <c r="I168" i="3"/>
  <c r="I68" i="3"/>
  <c r="G8" i="3"/>
  <c r="G79" i="3"/>
  <c r="I129" i="3"/>
  <c r="I14" i="3"/>
  <c r="I35" i="6"/>
  <c r="I20" i="3"/>
  <c r="I154" i="3"/>
  <c r="I25" i="3"/>
  <c r="I29" i="3"/>
  <c r="I100" i="3"/>
  <c r="I38" i="3"/>
  <c r="I111" i="3"/>
  <c r="I144" i="3"/>
  <c r="I43" i="3"/>
  <c r="I7" i="2"/>
  <c r="I64" i="3"/>
  <c r="I70" i="3"/>
  <c r="I184" i="3"/>
  <c r="I86" i="3"/>
  <c r="I130" i="3"/>
  <c r="I95" i="3"/>
  <c r="I181" i="3"/>
  <c r="I109" i="3"/>
  <c r="I179" i="3"/>
  <c r="I131" i="3"/>
  <c r="I117" i="3"/>
  <c r="I128" i="3"/>
  <c r="I198" i="3"/>
  <c r="I171" i="3"/>
  <c r="I143" i="3"/>
  <c r="I187" i="3"/>
  <c r="I173" i="3"/>
  <c r="I48" i="2"/>
  <c r="I34" i="5"/>
  <c r="I63" i="2"/>
  <c r="I65" i="6"/>
  <c r="I133" i="2"/>
  <c r="I48" i="5"/>
  <c r="I8" i="5"/>
  <c r="I78" i="5"/>
  <c r="I124" i="5"/>
  <c r="I12" i="5"/>
  <c r="I16" i="5"/>
  <c r="I114" i="5"/>
  <c r="I42" i="5"/>
  <c r="I126" i="5"/>
  <c r="I53" i="5"/>
  <c r="I95" i="5"/>
  <c r="I107" i="5"/>
  <c r="I65" i="5"/>
  <c r="I72" i="5"/>
  <c r="I128" i="5"/>
  <c r="I38" i="4"/>
  <c r="I10" i="4"/>
  <c r="I40" i="4"/>
  <c r="I140" i="4"/>
  <c r="I100" i="4"/>
  <c r="I44" i="4"/>
  <c r="I64" i="4"/>
  <c r="I50" i="4"/>
  <c r="I187" i="4"/>
  <c r="I59" i="4"/>
  <c r="I153" i="4"/>
  <c r="I67" i="4"/>
  <c r="I114" i="4"/>
  <c r="I71" i="4"/>
  <c r="I97" i="4"/>
  <c r="I183" i="4"/>
  <c r="I167" i="4"/>
  <c r="I110" i="4"/>
  <c r="G24" i="5"/>
  <c r="G108" i="5"/>
  <c r="G84" i="5"/>
  <c r="G28" i="5"/>
  <c r="G33" i="5"/>
  <c r="G131" i="5"/>
  <c r="G85" i="3"/>
  <c r="G28" i="3"/>
  <c r="G52" i="3"/>
  <c r="G124" i="3"/>
  <c r="G80" i="3"/>
  <c r="G166" i="3"/>
  <c r="G127" i="3"/>
  <c r="G183" i="3"/>
  <c r="G15" i="5"/>
  <c r="G99" i="5"/>
  <c r="G144" i="4"/>
  <c r="G58" i="4"/>
  <c r="I28" i="3"/>
  <c r="I85" i="3"/>
  <c r="G35" i="6"/>
  <c r="G20" i="3"/>
  <c r="G159" i="3"/>
  <c r="G16" i="3"/>
  <c r="G23" i="3"/>
  <c r="G9" i="3"/>
  <c r="I7" i="3"/>
  <c r="I50" i="3"/>
  <c r="G21" i="3"/>
  <c r="G192" i="3"/>
  <c r="G35" i="5"/>
  <c r="G35" i="3"/>
  <c r="G39" i="3"/>
  <c r="G96" i="3"/>
  <c r="G44" i="3"/>
  <c r="G201" i="3"/>
  <c r="G77" i="3"/>
  <c r="G49" i="3"/>
  <c r="G69" i="3"/>
  <c r="G55" i="3"/>
  <c r="G137" i="3"/>
  <c r="G65" i="3"/>
  <c r="G99" i="3"/>
  <c r="G71" i="3"/>
  <c r="G5" i="2"/>
  <c r="G76" i="3"/>
  <c r="G140" i="3"/>
  <c r="G82" i="3"/>
  <c r="G50" i="6"/>
  <c r="G92" i="3"/>
  <c r="G97" i="3"/>
  <c r="G169" i="3"/>
  <c r="G113" i="3"/>
  <c r="G141" i="3"/>
  <c r="G153" i="3"/>
  <c r="G125" i="3"/>
  <c r="G180" i="3"/>
  <c r="G138" i="3"/>
  <c r="G6" i="4"/>
  <c r="G162" i="3"/>
  <c r="G194" i="3"/>
  <c r="G6" i="2"/>
  <c r="G7" i="6"/>
  <c r="G49" i="2"/>
  <c r="G79" i="6"/>
  <c r="G69" i="5"/>
  <c r="G13" i="5"/>
  <c r="G66" i="5"/>
  <c r="G38" i="5"/>
  <c r="G43" i="5"/>
  <c r="G113" i="5"/>
  <c r="G49" i="5"/>
  <c r="G63" i="5"/>
  <c r="G82" i="5"/>
  <c r="G54" i="5"/>
  <c r="G134" i="5"/>
  <c r="G106" i="5"/>
  <c r="G137" i="5"/>
  <c r="G123" i="5"/>
  <c r="G11" i="4"/>
  <c r="G95" i="4"/>
  <c r="G127" i="4"/>
  <c r="G41" i="4"/>
  <c r="G116" i="4"/>
  <c r="G45" i="4"/>
  <c r="G79" i="4"/>
  <c r="G51" i="4"/>
  <c r="G198" i="4"/>
  <c r="G56" i="4"/>
  <c r="G145" i="4"/>
  <c r="G73" i="4"/>
  <c r="G93" i="4"/>
  <c r="G165" i="4"/>
  <c r="G113" i="4"/>
  <c r="G98" i="4"/>
  <c r="G128" i="4"/>
  <c r="G142" i="4"/>
  <c r="G8" i="6"/>
  <c r="G164" i="4"/>
  <c r="I24" i="5"/>
  <c r="I108" i="5"/>
  <c r="I84" i="5"/>
  <c r="I28" i="5"/>
  <c r="I33" i="5"/>
  <c r="I131" i="5"/>
  <c r="G110" i="3"/>
  <c r="G94" i="3"/>
  <c r="G57" i="5"/>
  <c r="G141" i="5"/>
  <c r="G84" i="4"/>
  <c r="G14" i="4"/>
  <c r="G180" i="4"/>
  <c r="G109" i="4"/>
  <c r="I166" i="3"/>
  <c r="I80" i="3"/>
  <c r="I41" i="3"/>
  <c r="I13" i="3"/>
  <c r="G38" i="3"/>
  <c r="G111" i="3"/>
  <c r="G7" i="2"/>
  <c r="G64" i="3"/>
  <c r="G130" i="3"/>
  <c r="G86" i="3"/>
  <c r="I8" i="3"/>
  <c r="I79" i="3"/>
  <c r="I21" i="3"/>
  <c r="I192" i="3"/>
  <c r="I35" i="5"/>
  <c r="I35" i="3"/>
  <c r="I39" i="3"/>
  <c r="I96" i="3"/>
  <c r="I44" i="3"/>
  <c r="I201" i="3"/>
  <c r="I49" i="3"/>
  <c r="I77" i="3"/>
  <c r="I69" i="3"/>
  <c r="I55" i="3"/>
  <c r="I137" i="3"/>
  <c r="I65" i="3"/>
  <c r="I99" i="3"/>
  <c r="I71" i="3"/>
  <c r="I5" i="2"/>
  <c r="I76" i="3"/>
  <c r="I140" i="3"/>
  <c r="I82" i="3"/>
  <c r="I50" i="6"/>
  <c r="I92" i="3"/>
  <c r="I97" i="3"/>
  <c r="I169" i="3"/>
  <c r="I141" i="3"/>
  <c r="I113" i="3"/>
  <c r="I125" i="3"/>
  <c r="I153" i="3"/>
  <c r="I180" i="3"/>
  <c r="I138" i="3"/>
  <c r="I6" i="4"/>
  <c r="I162" i="3"/>
  <c r="I194" i="3"/>
  <c r="I6" i="2"/>
  <c r="I7" i="6"/>
  <c r="I49" i="2"/>
  <c r="I79" i="6"/>
  <c r="I13" i="5"/>
  <c r="I69" i="5"/>
  <c r="I38" i="5"/>
  <c r="I66" i="5"/>
  <c r="I113" i="5"/>
  <c r="I43" i="5"/>
  <c r="I63" i="5"/>
  <c r="I49" i="5"/>
  <c r="I82" i="5"/>
  <c r="I54" i="5"/>
  <c r="I134" i="5"/>
  <c r="I106" i="5"/>
  <c r="I137" i="5"/>
  <c r="I123" i="5"/>
  <c r="I11" i="4"/>
  <c r="I95" i="4"/>
  <c r="I127" i="4"/>
  <c r="I41" i="4"/>
  <c r="I116" i="4"/>
  <c r="I45" i="4"/>
  <c r="I51" i="4"/>
  <c r="I79" i="4"/>
  <c r="I198" i="4"/>
  <c r="I56" i="4"/>
  <c r="I73" i="4"/>
  <c r="I145" i="4"/>
  <c r="I165" i="4"/>
  <c r="I93" i="4"/>
  <c r="I113" i="4"/>
  <c r="I98" i="4"/>
  <c r="I142" i="4"/>
  <c r="I128" i="4"/>
  <c r="I164" i="4"/>
  <c r="I8" i="6"/>
  <c r="G34" i="4"/>
  <c r="G19" i="5"/>
  <c r="G29" i="5"/>
  <c r="G127" i="5"/>
  <c r="G93" i="5"/>
  <c r="G37" i="5"/>
  <c r="I79" i="2"/>
  <c r="I150" i="2"/>
  <c r="G37" i="2"/>
  <c r="G136" i="2"/>
  <c r="G58" i="2"/>
  <c r="G157" i="2"/>
  <c r="G70" i="2"/>
  <c r="G155" i="2"/>
  <c r="G114" i="2"/>
  <c r="G156" i="2"/>
  <c r="I37" i="2"/>
  <c r="I136" i="2"/>
  <c r="I58" i="2"/>
  <c r="I157" i="2"/>
  <c r="I70" i="2"/>
  <c r="I155" i="2"/>
  <c r="I114" i="2"/>
  <c r="I156" i="2"/>
  <c r="I67" i="2"/>
  <c r="I138" i="2"/>
  <c r="G14" i="2"/>
  <c r="G141" i="2"/>
  <c r="G97" i="2"/>
  <c r="G153" i="2"/>
  <c r="G124" i="2"/>
  <c r="G152" i="2"/>
  <c r="G146" i="2"/>
  <c r="K50" i="2"/>
  <c r="K135" i="2"/>
  <c r="I50" i="2"/>
  <c r="I135" i="2"/>
  <c r="I14" i="2"/>
  <c r="I141" i="2"/>
  <c r="I97" i="2"/>
  <c r="I153" i="2"/>
  <c r="I124" i="2"/>
  <c r="I152" i="2"/>
  <c r="I146" i="2"/>
  <c r="G50" i="2"/>
  <c r="G135" i="2"/>
  <c r="G67" i="2"/>
  <c r="G138" i="2"/>
  <c r="G79" i="2"/>
  <c r="G150" i="2"/>
  <c r="G22" i="2"/>
  <c r="G149" i="2"/>
  <c r="G30" i="2"/>
  <c r="G143" i="2"/>
  <c r="G100" i="2"/>
  <c r="G142" i="2"/>
  <c r="G154" i="2"/>
  <c r="G140" i="2"/>
  <c r="I22" i="2"/>
  <c r="I149" i="2"/>
  <c r="I30" i="2"/>
  <c r="I143" i="2"/>
  <c r="I100" i="2"/>
  <c r="I142" i="2"/>
  <c r="I154" i="2"/>
  <c r="I140" i="2"/>
  <c r="G96" i="2"/>
  <c r="G25" i="2"/>
  <c r="G85" i="2"/>
  <c r="G15" i="2"/>
  <c r="G98" i="2"/>
  <c r="G55" i="2"/>
  <c r="I96" i="2"/>
  <c r="I25" i="2"/>
  <c r="I29" i="2"/>
  <c r="I128" i="2"/>
  <c r="I8" i="2"/>
  <c r="I93" i="2"/>
  <c r="I85" i="2"/>
  <c r="I15" i="2"/>
  <c r="I77" i="2"/>
  <c r="I35" i="2"/>
  <c r="I98" i="2"/>
  <c r="I55" i="2"/>
  <c r="I75" i="2"/>
  <c r="I61" i="2"/>
  <c r="I72" i="2"/>
  <c r="I101" i="2"/>
  <c r="I113" i="2"/>
  <c r="I99" i="2"/>
  <c r="G65" i="2"/>
  <c r="G51" i="2"/>
  <c r="G129" i="2"/>
  <c r="G44" i="2"/>
  <c r="G64" i="2"/>
  <c r="G121" i="2"/>
  <c r="G93" i="2"/>
  <c r="G8" i="2"/>
  <c r="G72" i="2"/>
  <c r="G101" i="2"/>
  <c r="G113" i="2"/>
  <c r="G99" i="2"/>
  <c r="G12" i="2"/>
  <c r="G26" i="2"/>
  <c r="G39" i="2"/>
  <c r="G11" i="2"/>
  <c r="G115" i="2"/>
  <c r="G16" i="2"/>
  <c r="G107" i="2"/>
  <c r="G36" i="2"/>
  <c r="G56" i="2"/>
  <c r="G127" i="2"/>
  <c r="G80" i="2"/>
  <c r="G95" i="2"/>
  <c r="G126" i="2"/>
  <c r="G112" i="2"/>
  <c r="I65" i="2"/>
  <c r="I51" i="2"/>
  <c r="G42" i="2"/>
  <c r="G28" i="2"/>
  <c r="G111" i="2"/>
  <c r="G54" i="2"/>
  <c r="G77" i="2"/>
  <c r="G35" i="2"/>
  <c r="G75" i="2"/>
  <c r="G61" i="2"/>
  <c r="I12" i="2"/>
  <c r="I26" i="2"/>
  <c r="I39" i="2"/>
  <c r="I11" i="2"/>
  <c r="I16" i="2"/>
  <c r="I115" i="2"/>
  <c r="I36" i="2"/>
  <c r="I107" i="2"/>
  <c r="I56" i="2"/>
  <c r="I127" i="2"/>
  <c r="I80" i="2"/>
  <c r="I95" i="2"/>
  <c r="I126" i="2"/>
  <c r="I112" i="2"/>
  <c r="G29" i="2"/>
  <c r="G128" i="2"/>
  <c r="G108" i="2"/>
  <c r="G23" i="2"/>
  <c r="G27" i="2"/>
  <c r="G83" i="2"/>
  <c r="G13" i="2"/>
  <c r="G69" i="2"/>
  <c r="G53" i="2"/>
  <c r="G81" i="2"/>
  <c r="G125" i="2"/>
  <c r="G82" i="2"/>
  <c r="I108" i="2"/>
  <c r="I23" i="2"/>
  <c r="I27" i="2"/>
  <c r="I83" i="2"/>
  <c r="I13" i="2"/>
  <c r="I69" i="2"/>
  <c r="I53" i="2"/>
  <c r="I81" i="2"/>
  <c r="I125" i="2"/>
  <c r="I82" i="2"/>
  <c r="K129" i="2"/>
  <c r="K44" i="2"/>
  <c r="I28" i="2"/>
  <c r="I42" i="2"/>
  <c r="I129" i="2"/>
  <c r="I44" i="2"/>
  <c r="I111" i="2"/>
  <c r="I54" i="2"/>
  <c r="I121" i="2"/>
  <c r="I64" i="2"/>
  <c r="K51" i="2"/>
  <c r="K65" i="2"/>
  <c r="A218" i="15" l="1"/>
  <c r="A184" i="17"/>
  <c r="A91" i="17"/>
  <c r="C189" i="15"/>
  <c r="C32" i="17"/>
  <c r="C89" i="17"/>
  <c r="C314" i="17"/>
  <c r="C31" i="17"/>
  <c r="C170" i="15"/>
  <c r="C150" i="15"/>
  <c r="P44" i="13"/>
  <c r="C209" i="15" l="1"/>
  <c r="C581" i="17"/>
  <c r="C221" i="17"/>
  <c r="C124" i="17"/>
  <c r="C88" i="17"/>
  <c r="C151" i="15"/>
  <c r="C171" i="15"/>
  <c r="C190" i="15"/>
  <c r="C542" i="17"/>
  <c r="C561" i="17"/>
  <c r="A219" i="15"/>
  <c r="A298" i="17" s="1"/>
  <c r="A279" i="17"/>
  <c r="A53" i="17"/>
  <c r="C33" i="17" l="1"/>
  <c r="C107" i="17"/>
  <c r="C191" i="15"/>
  <c r="C390" i="17"/>
  <c r="C70" i="17"/>
  <c r="C219" i="17"/>
  <c r="C200" i="17"/>
  <c r="C152" i="15"/>
  <c r="C172" i="15"/>
  <c r="A220" i="15"/>
  <c r="A336" i="17"/>
  <c r="C203" i="17"/>
  <c r="C72" i="17"/>
  <c r="C210" i="15"/>
  <c r="C226" i="15"/>
  <c r="T7" i="18"/>
  <c r="T6" i="18"/>
  <c r="D8" i="18"/>
  <c r="C7" i="18"/>
  <c r="C408" i="17" l="1"/>
  <c r="C257" i="17"/>
  <c r="C173" i="15"/>
  <c r="C153" i="15"/>
  <c r="C412" i="17"/>
  <c r="C73" i="17"/>
  <c r="C245" i="15"/>
  <c r="C227" i="15"/>
  <c r="C211" i="15"/>
  <c r="C449" i="17"/>
  <c r="C165" i="17"/>
  <c r="C71" i="17"/>
  <c r="C145" i="17"/>
  <c r="A221" i="15"/>
  <c r="A544" i="17"/>
  <c r="A355" i="17"/>
  <c r="C192" i="15"/>
  <c r="C106" i="17"/>
  <c r="C201" i="17"/>
  <c r="A317" i="17" l="1"/>
  <c r="A15" i="17"/>
  <c r="C212" i="15"/>
  <c r="C411" i="17"/>
  <c r="C392" i="17"/>
  <c r="C228" i="15"/>
  <c r="C507" i="17"/>
  <c r="C35" i="17"/>
  <c r="C193" i="15"/>
  <c r="C580" i="17"/>
  <c r="C182" i="17"/>
  <c r="C485" i="17"/>
  <c r="C259" i="17"/>
  <c r="C338" i="17"/>
  <c r="C357" i="17"/>
  <c r="C246" i="15"/>
  <c r="C266" i="15"/>
  <c r="A222" i="15"/>
  <c r="C465" i="17"/>
  <c r="C69" i="17"/>
  <c r="C174" i="15"/>
  <c r="C154" i="15"/>
  <c r="C155" i="15" s="1"/>
  <c r="R10" i="18"/>
  <c r="K3" i="13"/>
  <c r="K4" i="13"/>
  <c r="AR4" i="13" s="1"/>
  <c r="BA4" i="13" s="1"/>
  <c r="K5" i="13"/>
  <c r="K8" i="13"/>
  <c r="K7" i="13"/>
  <c r="K9" i="13"/>
  <c r="AR9" i="13" s="1"/>
  <c r="BA9" i="13" s="1"/>
  <c r="K10" i="13"/>
  <c r="K13" i="13"/>
  <c r="K15" i="13"/>
  <c r="AF15" i="13" s="1"/>
  <c r="K16" i="13"/>
  <c r="AR16" i="13" s="1"/>
  <c r="BA16" i="13" s="1"/>
  <c r="K17" i="13"/>
  <c r="AF17" i="13" s="1"/>
  <c r="K18" i="13"/>
  <c r="K19" i="13"/>
  <c r="K20" i="13"/>
  <c r="K22" i="13"/>
  <c r="P22" i="13" s="1"/>
  <c r="K21" i="13"/>
  <c r="P21" i="13" s="1"/>
  <c r="K23" i="13"/>
  <c r="AD23" i="13" s="1"/>
  <c r="K24" i="13"/>
  <c r="AD24" i="13" s="1"/>
  <c r="K25" i="13"/>
  <c r="K28" i="13"/>
  <c r="K29" i="13"/>
  <c r="P29" i="13" s="1"/>
  <c r="K30" i="13"/>
  <c r="AF30" i="13" s="1"/>
  <c r="K37" i="13"/>
  <c r="AD37" i="13" s="1"/>
  <c r="K39" i="13"/>
  <c r="P39" i="13" s="1"/>
  <c r="K33" i="13"/>
  <c r="K32" i="13"/>
  <c r="K35" i="13"/>
  <c r="K34" i="13"/>
  <c r="AF34" i="13" s="1"/>
  <c r="K41" i="13"/>
  <c r="P41" i="13" s="1"/>
  <c r="K38" i="13"/>
  <c r="K43" i="13"/>
  <c r="AR43" i="13" s="1"/>
  <c r="BA43" i="13" s="1"/>
  <c r="K36" i="13"/>
  <c r="K27" i="13"/>
  <c r="BI36" i="13"/>
  <c r="BB36" i="13"/>
  <c r="BI27" i="13"/>
  <c r="BB27" i="13"/>
  <c r="BI43" i="13"/>
  <c r="BB43" i="13"/>
  <c r="BS43" i="13" s="1"/>
  <c r="CE43" i="13" s="1"/>
  <c r="S10" i="18" l="1"/>
  <c r="T10" i="18" s="1"/>
  <c r="U10" i="18" s="1"/>
  <c r="AH37" i="13"/>
  <c r="AV37" i="13" s="1"/>
  <c r="AT37" i="13"/>
  <c r="AJ30" i="13"/>
  <c r="AW30" i="13" s="1"/>
  <c r="AU30" i="13"/>
  <c r="AJ34" i="13"/>
  <c r="AW34" i="13" s="1"/>
  <c r="AU34" i="13"/>
  <c r="AJ17" i="13"/>
  <c r="AW17" i="13" s="1"/>
  <c r="AU17" i="13"/>
  <c r="AH24" i="13"/>
  <c r="AV24" i="13" s="1"/>
  <c r="AT24" i="13"/>
  <c r="AH23" i="13"/>
  <c r="AV23" i="13" s="1"/>
  <c r="AT23" i="13"/>
  <c r="AJ15" i="13"/>
  <c r="AW15" i="13" s="1"/>
  <c r="AU15" i="13"/>
  <c r="AF36" i="13"/>
  <c r="AR36" i="13"/>
  <c r="BA36" i="13" s="1"/>
  <c r="T13" i="13"/>
  <c r="AR13" i="13"/>
  <c r="BA13" i="13" s="1"/>
  <c r="AD35" i="13"/>
  <c r="AR35" i="13"/>
  <c r="BA35" i="13" s="1"/>
  <c r="AF5" i="13"/>
  <c r="AR5" i="13"/>
  <c r="BA5" i="13" s="1"/>
  <c r="P32" i="13"/>
  <c r="AR32" i="13"/>
  <c r="BA32" i="13" s="1"/>
  <c r="AD27" i="13"/>
  <c r="AR27" i="13"/>
  <c r="BA27" i="13" s="1"/>
  <c r="P43" i="13"/>
  <c r="AF43" i="13"/>
  <c r="AF38" i="13"/>
  <c r="AD38" i="13"/>
  <c r="P20" i="13"/>
  <c r="AF20" i="13"/>
  <c r="T9" i="13"/>
  <c r="AD9" i="13"/>
  <c r="P19" i="13"/>
  <c r="AF19" i="13"/>
  <c r="T7" i="13"/>
  <c r="AF7" i="13"/>
  <c r="P28" i="13"/>
  <c r="AF28" i="13"/>
  <c r="P18" i="13"/>
  <c r="AF18" i="13"/>
  <c r="P25" i="13"/>
  <c r="AF25" i="13"/>
  <c r="T4" i="13"/>
  <c r="AD4" i="13"/>
  <c r="AT4" i="13" s="1"/>
  <c r="P33" i="13"/>
  <c r="AF33" i="13"/>
  <c r="P35" i="13"/>
  <c r="T35" i="13"/>
  <c r="P37" i="13"/>
  <c r="T37" i="13"/>
  <c r="P27" i="13"/>
  <c r="T27" i="13"/>
  <c r="P24" i="13"/>
  <c r="T24" i="13"/>
  <c r="P30" i="13"/>
  <c r="T30" i="13"/>
  <c r="BW27" i="13"/>
  <c r="BP27" i="13"/>
  <c r="BP36" i="13"/>
  <c r="BW36" i="13" s="1"/>
  <c r="BW43" i="13"/>
  <c r="BP43" i="13"/>
  <c r="P34" i="13"/>
  <c r="T34" i="13"/>
  <c r="P38" i="13"/>
  <c r="T38" i="13"/>
  <c r="P36" i="13"/>
  <c r="T36" i="13"/>
  <c r="P23" i="13"/>
  <c r="T23" i="13"/>
  <c r="C213" i="15"/>
  <c r="C563" i="17"/>
  <c r="C146" i="17"/>
  <c r="A223" i="15"/>
  <c r="A525" i="17"/>
  <c r="A430" i="17"/>
  <c r="C528" i="17"/>
  <c r="C547" i="17"/>
  <c r="C267" i="15"/>
  <c r="C283" i="15"/>
  <c r="C410" i="17"/>
  <c r="C467" i="17"/>
  <c r="C389" i="17"/>
  <c r="C598" i="17"/>
  <c r="C175" i="15"/>
  <c r="C156" i="15"/>
  <c r="C247" i="15"/>
  <c r="C470" i="17"/>
  <c r="C74" i="17"/>
  <c r="C194" i="15"/>
  <c r="C277" i="17"/>
  <c r="C296" i="17"/>
  <c r="C229" i="15"/>
  <c r="C223" i="17"/>
  <c r="C109" i="17"/>
  <c r="K12" i="13"/>
  <c r="K42" i="13"/>
  <c r="AR42" i="13" s="1"/>
  <c r="BA42" i="13" s="1"/>
  <c r="K11" i="13"/>
  <c r="K14" i="13"/>
  <c r="BA45" i="13" l="1"/>
  <c r="BA46" i="13" s="1"/>
  <c r="AJ7" i="13"/>
  <c r="AW7" i="13" s="1"/>
  <c r="AU7" i="13"/>
  <c r="AH38" i="13"/>
  <c r="AV38" i="13" s="1"/>
  <c r="AT38" i="13"/>
  <c r="AJ20" i="13"/>
  <c r="AW20" i="13" s="1"/>
  <c r="AU20" i="13"/>
  <c r="AJ38" i="13"/>
  <c r="AW38" i="13" s="1"/>
  <c r="AU38" i="13"/>
  <c r="AJ5" i="13"/>
  <c r="AW5" i="13" s="1"/>
  <c r="AU5" i="13"/>
  <c r="AJ33" i="13"/>
  <c r="AW33" i="13" s="1"/>
  <c r="AU33" i="13"/>
  <c r="AJ36" i="13"/>
  <c r="AW36" i="13" s="1"/>
  <c r="AU36" i="13"/>
  <c r="AJ25" i="13"/>
  <c r="AW25" i="13" s="1"/>
  <c r="AU25" i="13"/>
  <c r="AJ19" i="13"/>
  <c r="AW19" i="13" s="1"/>
  <c r="AU19" i="13"/>
  <c r="AJ43" i="13"/>
  <c r="AW43" i="13" s="1"/>
  <c r="AU43" i="13"/>
  <c r="AJ28" i="13"/>
  <c r="AW28" i="13" s="1"/>
  <c r="AU28" i="13"/>
  <c r="AH35" i="13"/>
  <c r="AV35" i="13" s="1"/>
  <c r="AT35" i="13"/>
  <c r="AJ18" i="13"/>
  <c r="AW18" i="13" s="1"/>
  <c r="AU18" i="13"/>
  <c r="AH9" i="13"/>
  <c r="AV9" i="13" s="1"/>
  <c r="AT9" i="13"/>
  <c r="AH27" i="13"/>
  <c r="AV27" i="13" s="1"/>
  <c r="AT27" i="13"/>
  <c r="P42" i="13"/>
  <c r="AD42" i="13"/>
  <c r="T11" i="13"/>
  <c r="AF11" i="13"/>
  <c r="AD11" i="13"/>
  <c r="C283" i="17"/>
  <c r="C472" i="17"/>
  <c r="C284" i="15"/>
  <c r="C300" i="15"/>
  <c r="C248" i="15"/>
  <c r="C148" i="17"/>
  <c r="C129" i="17"/>
  <c r="C268" i="15"/>
  <c r="C376" i="17"/>
  <c r="C75" i="17"/>
  <c r="C214" i="15"/>
  <c r="C582" i="17"/>
  <c r="C127" i="17"/>
  <c r="C352" i="17"/>
  <c r="C276" i="17"/>
  <c r="C157" i="15"/>
  <c r="C176" i="15"/>
  <c r="C230" i="15"/>
  <c r="C280" i="17"/>
  <c r="C204" i="17"/>
  <c r="C195" i="15"/>
  <c r="C144" i="17"/>
  <c r="C371" i="17"/>
  <c r="C335" i="17"/>
  <c r="C429" i="17"/>
  <c r="A224" i="15"/>
  <c r="A486" i="17"/>
  <c r="A222" i="17"/>
  <c r="R27" i="13"/>
  <c r="R43" i="13"/>
  <c r="U44" i="13"/>
  <c r="R36" i="13"/>
  <c r="W36" i="13" s="1"/>
  <c r="AH42" i="13" l="1"/>
  <c r="AV42" i="13" s="1"/>
  <c r="AT42" i="13"/>
  <c r="AH11" i="13"/>
  <c r="AV11" i="13" s="1"/>
  <c r="AV45" i="13" s="1"/>
  <c r="AV46" i="13" s="1"/>
  <c r="AT11" i="13"/>
  <c r="AT45" i="13" s="1"/>
  <c r="AT46" i="13" s="1"/>
  <c r="AJ11" i="13"/>
  <c r="AW11" i="13" s="1"/>
  <c r="AW45" i="13" s="1"/>
  <c r="AW46" i="13" s="1"/>
  <c r="AU11" i="13"/>
  <c r="AU45" i="13" s="1"/>
  <c r="AU46" i="13" s="1"/>
  <c r="S43" i="13"/>
  <c r="W43" i="13"/>
  <c r="U27" i="13"/>
  <c r="W27" i="13"/>
  <c r="C215" i="15"/>
  <c r="C373" i="17"/>
  <c r="C241" i="17"/>
  <c r="C112" i="17"/>
  <c r="C76" i="17"/>
  <c r="C285" i="15"/>
  <c r="A226" i="15"/>
  <c r="A506" i="17"/>
  <c r="A260" i="17"/>
  <c r="C231" i="15"/>
  <c r="C469" i="17"/>
  <c r="C393" i="17"/>
  <c r="C196" i="15"/>
  <c r="C447" i="17"/>
  <c r="C239" i="17"/>
  <c r="C541" i="17"/>
  <c r="C12" i="17"/>
  <c r="C177" i="15"/>
  <c r="C158" i="15"/>
  <c r="C269" i="15"/>
  <c r="C149" i="17"/>
  <c r="C56" i="17"/>
  <c r="C448" i="17"/>
  <c r="C202" i="17"/>
  <c r="C249" i="15"/>
  <c r="C243" i="17"/>
  <c r="C167" i="17"/>
  <c r="C587" i="17"/>
  <c r="C170" i="17"/>
  <c r="C301" i="15"/>
  <c r="S27" i="13"/>
  <c r="U43" i="13"/>
  <c r="S36" i="13"/>
  <c r="U36" i="13"/>
  <c r="N14" i="17"/>
  <c r="C197" i="15" l="1"/>
  <c r="C503" i="17"/>
  <c r="C428" i="17"/>
  <c r="C232" i="15"/>
  <c r="C450" i="17"/>
  <c r="C602" i="17"/>
  <c r="C250" i="15"/>
  <c r="C394" i="17"/>
  <c r="C205" i="17"/>
  <c r="C216" i="15"/>
  <c r="C468" i="17"/>
  <c r="C108" i="17"/>
  <c r="A227" i="15"/>
  <c r="A73" i="17"/>
  <c r="A412" i="17"/>
  <c r="C302" i="15"/>
  <c r="C39" i="17"/>
  <c r="C20" i="17"/>
  <c r="C286" i="15"/>
  <c r="C434" i="17"/>
  <c r="C150" i="17"/>
  <c r="C90" i="17"/>
  <c r="C52" i="17"/>
  <c r="C270" i="15"/>
  <c r="C263" i="17"/>
  <c r="C395" i="17"/>
  <c r="C333" i="17"/>
  <c r="C560" i="17"/>
  <c r="C159" i="15"/>
  <c r="C178" i="15"/>
  <c r="C271" i="15" l="1"/>
  <c r="C433" i="17"/>
  <c r="C37" i="17"/>
  <c r="C600" i="17"/>
  <c r="C240" i="17"/>
  <c r="C303" i="15"/>
  <c r="C208" i="17"/>
  <c r="C113" i="17"/>
  <c r="C217" i="15"/>
  <c r="C601" i="17"/>
  <c r="C34" i="17"/>
  <c r="C198" i="15"/>
  <c r="C353" i="17"/>
  <c r="C258" i="17"/>
  <c r="C251" i="15"/>
  <c r="C451" i="17" s="1"/>
  <c r="C281" i="17"/>
  <c r="C584" i="17"/>
  <c r="A228" i="15"/>
  <c r="A507" i="17"/>
  <c r="A35" i="17"/>
  <c r="C295" i="17"/>
  <c r="C579" i="17"/>
  <c r="C160" i="15"/>
  <c r="C179" i="15"/>
  <c r="C287" i="15"/>
  <c r="C586" i="17"/>
  <c r="C245" i="17"/>
  <c r="C233" i="15"/>
  <c r="C583" i="17"/>
  <c r="C487" i="17"/>
  <c r="C569" i="17"/>
  <c r="C40" i="17"/>
  <c r="A229" i="15" l="1"/>
  <c r="A223" i="17"/>
  <c r="A109" i="17"/>
  <c r="C417" i="17"/>
  <c r="C78" i="17"/>
  <c r="C288" i="15"/>
  <c r="C548" i="17"/>
  <c r="C302" i="17"/>
  <c r="C218" i="15"/>
  <c r="C184" i="17"/>
  <c r="C91" i="17"/>
  <c r="C272" i="15"/>
  <c r="C452" i="17"/>
  <c r="C604" i="17"/>
  <c r="C220" i="17"/>
  <c r="C163" i="17"/>
  <c r="C180" i="15"/>
  <c r="C199" i="15"/>
  <c r="C427" i="17"/>
  <c r="C50" i="17"/>
  <c r="C252" i="15"/>
  <c r="C488" i="17"/>
  <c r="C304" i="15"/>
  <c r="C303" i="17"/>
  <c r="C189" i="17"/>
  <c r="C234" i="15"/>
  <c r="C185" i="17"/>
  <c r="C54" i="17"/>
  <c r="C354" i="17"/>
  <c r="C183" i="17"/>
  <c r="N71" i="17"/>
  <c r="C200" i="15" l="1"/>
  <c r="C391" i="17"/>
  <c r="C164" i="17"/>
  <c r="C181" i="15"/>
  <c r="C13" i="17"/>
  <c r="C334" i="17"/>
  <c r="C219" i="15"/>
  <c r="C298" i="17" s="1"/>
  <c r="C279" i="17"/>
  <c r="C53" i="17"/>
  <c r="A230" i="15"/>
  <c r="A280" i="17"/>
  <c r="A204" i="17"/>
  <c r="C305" i="15"/>
  <c r="C416" i="17"/>
  <c r="C378" i="17"/>
  <c r="C235" i="15"/>
  <c r="C242" i="17"/>
  <c r="C147" i="17"/>
  <c r="C289" i="15"/>
  <c r="C453" i="17"/>
  <c r="C396" i="17"/>
  <c r="C253" i="15"/>
  <c r="C508" i="17"/>
  <c r="C55" i="17"/>
  <c r="C398" i="17"/>
  <c r="C114" i="17"/>
  <c r="C273" i="15"/>
  <c r="C489" i="17"/>
  <c r="C111" i="17"/>
  <c r="C290" i="15" l="1"/>
  <c r="C415" i="17"/>
  <c r="C131" i="17"/>
  <c r="A231" i="15"/>
  <c r="A393" i="17"/>
  <c r="A469" i="17"/>
  <c r="C59" i="17"/>
  <c r="C133" i="17"/>
  <c r="C201" i="15"/>
  <c r="C316" i="17"/>
  <c r="C297" i="17"/>
  <c r="C236" i="15"/>
  <c r="C337" i="17"/>
  <c r="C545" i="17"/>
  <c r="C220" i="15"/>
  <c r="C336" i="17"/>
  <c r="C254" i="15"/>
  <c r="C319" i="17"/>
  <c r="C375" i="17"/>
  <c r="C306" i="15"/>
  <c r="C454" i="17"/>
  <c r="C265" i="17"/>
  <c r="C274" i="15"/>
  <c r="C471" i="17"/>
  <c r="C206" i="17"/>
  <c r="C182" i="15"/>
  <c r="C523" i="17"/>
  <c r="C315" i="17"/>
  <c r="C275" i="15" l="1"/>
  <c r="C509" i="17"/>
  <c r="C93" i="17"/>
  <c r="C291" i="15"/>
  <c r="C207" i="17"/>
  <c r="C94" i="17"/>
  <c r="C221" i="15"/>
  <c r="C544" i="17"/>
  <c r="C355" i="17"/>
  <c r="C323" i="17"/>
  <c r="C190" i="17"/>
  <c r="C307" i="15"/>
  <c r="C491" i="17"/>
  <c r="C435" i="17"/>
  <c r="C599" i="17"/>
  <c r="C504" i="17"/>
  <c r="A232" i="15"/>
  <c r="A450" i="17"/>
  <c r="A602" i="17"/>
  <c r="C237" i="15"/>
  <c r="C526" i="17"/>
  <c r="C374" i="17"/>
  <c r="C255" i="15"/>
  <c r="C565" i="17"/>
  <c r="C527" i="17"/>
  <c r="C202" i="15"/>
  <c r="C505" i="17"/>
  <c r="C126" i="17"/>
  <c r="C317" i="17" l="1"/>
  <c r="C15" i="17"/>
  <c r="C256" i="15"/>
  <c r="C546" i="17"/>
  <c r="C92" i="17"/>
  <c r="C222" i="15"/>
  <c r="C238" i="15"/>
  <c r="C239" i="15" s="1"/>
  <c r="C240" i="15" s="1"/>
  <c r="C299" i="17"/>
  <c r="C128" i="17"/>
  <c r="C308" i="15"/>
  <c r="C568" i="17"/>
  <c r="C95" i="17"/>
  <c r="C292" i="15"/>
  <c r="C57" i="17"/>
  <c r="C38" i="17"/>
  <c r="C524" i="17"/>
  <c r="C14" i="17"/>
  <c r="A233" i="15"/>
  <c r="A583" i="17"/>
  <c r="A487" i="17"/>
  <c r="C209" i="17"/>
  <c r="C228" i="17"/>
  <c r="C276" i="15"/>
  <c r="C282" i="17"/>
  <c r="C168" i="17"/>
  <c r="C564" i="17" l="1"/>
  <c r="C431" i="17"/>
  <c r="C356" i="17"/>
  <c r="C318" i="17"/>
  <c r="C266" i="17"/>
  <c r="C247" i="17"/>
  <c r="C293" i="15"/>
  <c r="C529" i="17"/>
  <c r="C605" i="17"/>
  <c r="C223" i="15"/>
  <c r="C525" i="17"/>
  <c r="C430" i="17"/>
  <c r="C277" i="15"/>
  <c r="C301" i="17"/>
  <c r="C244" i="17"/>
  <c r="A234" i="15"/>
  <c r="A185" i="17"/>
  <c r="A54" i="17"/>
  <c r="C309" i="15"/>
  <c r="C606" i="17"/>
  <c r="C151" i="17"/>
  <c r="C257" i="15"/>
  <c r="C186" i="17"/>
  <c r="C300" i="17"/>
  <c r="A235" i="15" l="1"/>
  <c r="A147" i="17"/>
  <c r="A242" i="17"/>
  <c r="C294" i="15"/>
  <c r="C490" i="17"/>
  <c r="C169" i="17"/>
  <c r="C413" i="17"/>
  <c r="C17" i="17"/>
  <c r="C278" i="15"/>
  <c r="C187" i="17"/>
  <c r="C18" i="17"/>
  <c r="C361" i="17"/>
  <c r="C304" i="17"/>
  <c r="C310" i="15"/>
  <c r="C511" i="17"/>
  <c r="C58" i="17"/>
  <c r="C224" i="15"/>
  <c r="C486" i="17"/>
  <c r="C222" i="17"/>
  <c r="C261" i="17"/>
  <c r="C166" i="17"/>
  <c r="C311" i="15" l="1"/>
  <c r="C284" i="17"/>
  <c r="C246" i="17"/>
  <c r="C474" i="17"/>
  <c r="C379" i="17"/>
  <c r="C359" i="17"/>
  <c r="C510" i="17"/>
  <c r="C295" i="15"/>
  <c r="C506" i="17"/>
  <c r="C260" i="17"/>
  <c r="C279" i="15"/>
  <c r="C320" i="17"/>
  <c r="C585" i="17"/>
  <c r="A236" i="15"/>
  <c r="A337" i="17"/>
  <c r="A545" i="17"/>
  <c r="A237" i="15" l="1"/>
  <c r="A374" i="17"/>
  <c r="A526" i="17"/>
  <c r="C280" i="15"/>
  <c r="C566" i="17"/>
  <c r="C130" i="17"/>
  <c r="C436" i="17"/>
  <c r="C96" i="17"/>
  <c r="C377" i="17"/>
  <c r="C226" i="17"/>
  <c r="C296" i="15"/>
  <c r="C312" i="15"/>
  <c r="C530" i="17"/>
  <c r="C360" i="17"/>
  <c r="N31" i="17"/>
  <c r="N123" i="17"/>
  <c r="C313" i="15" l="1"/>
  <c r="C549" i="17"/>
  <c r="C473" i="17"/>
  <c r="C455" i="17"/>
  <c r="C492" i="17"/>
  <c r="C340" i="17"/>
  <c r="C188" i="17"/>
  <c r="C297" i="15"/>
  <c r="C281" i="15"/>
  <c r="C358" i="17"/>
  <c r="C414" i="17"/>
  <c r="A245" i="15"/>
  <c r="A299" i="17"/>
  <c r="A128" i="17"/>
  <c r="A238" i="15"/>
  <c r="C512" i="17" l="1"/>
  <c r="C152" i="17"/>
  <c r="A239" i="15"/>
  <c r="A240" i="15" s="1"/>
  <c r="A356" i="17"/>
  <c r="A318" i="17"/>
  <c r="C339" i="17"/>
  <c r="C225" i="17"/>
  <c r="A246" i="15"/>
  <c r="A338" i="17"/>
  <c r="A357" i="17"/>
  <c r="C298" i="15"/>
  <c r="C567" i="17"/>
  <c r="C19" i="17"/>
  <c r="C314" i="15"/>
  <c r="C397" i="17"/>
  <c r="C227" i="17"/>
  <c r="A431" i="17" l="1"/>
  <c r="A564" i="17"/>
  <c r="C321" i="17"/>
  <c r="C264" i="17"/>
  <c r="A166" i="17"/>
  <c r="A261" i="17"/>
  <c r="C341" i="17"/>
  <c r="C322" i="17"/>
  <c r="A247" i="15"/>
  <c r="A74" i="17"/>
  <c r="A470" i="17"/>
  <c r="C531" i="17"/>
  <c r="C21" i="17"/>
  <c r="C132" i="17" l="1"/>
  <c r="C77" i="17"/>
  <c r="A248" i="15"/>
  <c r="A129" i="17"/>
  <c r="A148" i="17"/>
  <c r="C342" i="17"/>
  <c r="C550" i="17"/>
  <c r="C588" i="17" l="1"/>
  <c r="C607" i="17"/>
  <c r="C171" i="17"/>
  <c r="A249" i="15"/>
  <c r="A167" i="17"/>
  <c r="A243" i="17"/>
  <c r="A250" i="15" l="1"/>
  <c r="A394" i="17"/>
  <c r="A205" i="17"/>
  <c r="A251" i="15" l="1"/>
  <c r="A451" i="17" s="1"/>
  <c r="A584" i="17"/>
  <c r="A281" i="17"/>
  <c r="A252" i="15" l="1"/>
  <c r="A488" i="17"/>
  <c r="A253" i="15" l="1"/>
  <c r="A508" i="17"/>
  <c r="A55" i="17"/>
  <c r="P98" i="15"/>
  <c r="P95" i="15"/>
  <c r="P94" i="15"/>
  <c r="P93" i="15"/>
  <c r="P89" i="15"/>
  <c r="A254" i="15" l="1"/>
  <c r="A375" i="17"/>
  <c r="A319" i="17"/>
  <c r="P254" i="17"/>
  <c r="P273" i="17"/>
  <c r="P368" i="17"/>
  <c r="P386" i="17"/>
  <c r="P424" i="17"/>
  <c r="P121" i="17"/>
  <c r="P595" i="17"/>
  <c r="P103" i="17"/>
  <c r="P330" i="17"/>
  <c r="P85" i="17"/>
  <c r="K135" i="15"/>
  <c r="N135" i="15" s="1"/>
  <c r="N426" i="17" l="1"/>
  <c r="N351" i="17"/>
  <c r="A255" i="15"/>
  <c r="A565" i="17"/>
  <c r="A527" i="17"/>
  <c r="K426" i="17"/>
  <c r="K351" i="17"/>
  <c r="A256" i="15" l="1"/>
  <c r="A546" i="17"/>
  <c r="A92" i="17"/>
  <c r="A257" i="15" l="1"/>
  <c r="A300" i="17"/>
  <c r="A186" i="17"/>
  <c r="A258" i="15" l="1"/>
  <c r="A259" i="15" s="1"/>
  <c r="A413" i="17"/>
  <c r="A17" i="17"/>
  <c r="I27" i="4"/>
  <c r="G27" i="4"/>
  <c r="A36" i="17" l="1"/>
  <c r="A260" i="15"/>
  <c r="A261" i="15" l="1"/>
  <c r="A110" i="17"/>
  <c r="A266" i="15"/>
  <c r="A267" i="15" l="1"/>
  <c r="A528" i="17"/>
  <c r="A547" i="17"/>
  <c r="A262" i="15"/>
  <c r="A224" i="17"/>
  <c r="K70" i="15"/>
  <c r="N119" i="17"/>
  <c r="A263" i="15" l="1"/>
  <c r="A262" i="17"/>
  <c r="A268" i="15"/>
  <c r="A376" i="17"/>
  <c r="A75" i="17"/>
  <c r="K517" i="17"/>
  <c r="K328" i="17"/>
  <c r="A269" i="15" l="1"/>
  <c r="A149" i="17"/>
  <c r="A56" i="17"/>
  <c r="A264" i="15"/>
  <c r="A603" i="17" s="1"/>
  <c r="A432" i="17"/>
  <c r="A270" i="15" l="1"/>
  <c r="A395" i="17"/>
  <c r="A263" i="17"/>
  <c r="A271" i="15" l="1"/>
  <c r="A433" i="17"/>
  <c r="A37" i="17"/>
  <c r="A272" i="15" l="1"/>
  <c r="A452" i="17"/>
  <c r="A604" i="17"/>
  <c r="A273" i="15" l="1"/>
  <c r="A489" i="17"/>
  <c r="A111" i="17"/>
  <c r="A274" i="15" l="1"/>
  <c r="A206" i="17"/>
  <c r="A471" i="17"/>
  <c r="A275" i="15" l="1"/>
  <c r="A509" i="17"/>
  <c r="A93" i="17"/>
  <c r="A276" i="15" l="1"/>
  <c r="A282" i="17"/>
  <c r="A168" i="17"/>
  <c r="X66" i="21"/>
  <c r="X67" i="21" s="1"/>
  <c r="X64" i="21"/>
  <c r="A277" i="15" l="1"/>
  <c r="A301" i="17"/>
  <c r="A244" i="17"/>
  <c r="K50" i="15"/>
  <c r="A211" i="17"/>
  <c r="F3" i="4"/>
  <c r="N50" i="15" l="1"/>
  <c r="R50" i="15" s="1"/>
  <c r="R535" i="17" s="1"/>
  <c r="T50" i="15"/>
  <c r="A278" i="15"/>
  <c r="A187" i="17"/>
  <c r="A18" i="17"/>
  <c r="K25" i="17"/>
  <c r="K535" i="17"/>
  <c r="T25" i="17" l="1"/>
  <c r="T535" i="17"/>
  <c r="N535" i="17"/>
  <c r="N25" i="17"/>
  <c r="P50" i="15"/>
  <c r="A279" i="15"/>
  <c r="A585" i="17"/>
  <c r="A320" i="17"/>
  <c r="U50" i="15"/>
  <c r="R25" i="17"/>
  <c r="S50" i="15"/>
  <c r="S535" i="17" s="1"/>
  <c r="P25" i="17" l="1"/>
  <c r="P535" i="17"/>
  <c r="A280" i="15"/>
  <c r="A566" i="17"/>
  <c r="A130" i="17"/>
  <c r="U25" i="17"/>
  <c r="U535" i="17"/>
  <c r="S25" i="17"/>
  <c r="A281" i="15" l="1"/>
  <c r="A358" i="17"/>
  <c r="A414" i="17"/>
  <c r="A283" i="15" l="1"/>
  <c r="A339" i="17"/>
  <c r="A225" i="17"/>
  <c r="P196" i="15"/>
  <c r="P194" i="15"/>
  <c r="P193" i="15"/>
  <c r="P192" i="15"/>
  <c r="P191" i="15"/>
  <c r="K189" i="15"/>
  <c r="N189" i="15" s="1"/>
  <c r="N581" i="17" l="1"/>
  <c r="N221" i="17"/>
  <c r="P189" i="15"/>
  <c r="T189" i="15"/>
  <c r="A284" i="15"/>
  <c r="A283" i="17"/>
  <c r="A472" i="17"/>
  <c r="K221" i="17"/>
  <c r="K581" i="17"/>
  <c r="P581" i="17"/>
  <c r="P221" i="17"/>
  <c r="P485" i="17"/>
  <c r="P259" i="17"/>
  <c r="P429" i="17"/>
  <c r="P335" i="17"/>
  <c r="P71" i="17"/>
  <c r="P145" i="17"/>
  <c r="P410" i="17"/>
  <c r="P467" i="17"/>
  <c r="P90" i="17"/>
  <c r="P52" i="17"/>
  <c r="R189" i="15"/>
  <c r="K191" i="15"/>
  <c r="K192" i="15"/>
  <c r="K193" i="15"/>
  <c r="K194" i="15"/>
  <c r="K195" i="15"/>
  <c r="N195" i="15" s="1"/>
  <c r="K190" i="15"/>
  <c r="P181" i="17"/>
  <c r="N448" i="17" l="1"/>
  <c r="N202" i="17"/>
  <c r="P195" i="15"/>
  <c r="T190" i="15"/>
  <c r="T195" i="15"/>
  <c r="T194" i="15"/>
  <c r="T581" i="17"/>
  <c r="T221" i="17"/>
  <c r="A285" i="15"/>
  <c r="A112" i="17"/>
  <c r="A76" i="17"/>
  <c r="K429" i="17"/>
  <c r="K335" i="17"/>
  <c r="K467" i="17"/>
  <c r="K410" i="17"/>
  <c r="K259" i="17"/>
  <c r="K485" i="17"/>
  <c r="K71" i="17"/>
  <c r="K145" i="17"/>
  <c r="K448" i="17"/>
  <c r="K202" i="17"/>
  <c r="R581" i="17"/>
  <c r="R221" i="17"/>
  <c r="K33" i="17"/>
  <c r="K107" i="17"/>
  <c r="K90" i="17"/>
  <c r="K52" i="17"/>
  <c r="P190" i="15"/>
  <c r="U189" i="15"/>
  <c r="S189" i="15"/>
  <c r="R196" i="15"/>
  <c r="R193" i="15"/>
  <c r="R192" i="15"/>
  <c r="R195" i="15"/>
  <c r="R194" i="15"/>
  <c r="K70" i="17"/>
  <c r="R182" i="15"/>
  <c r="K106" i="17"/>
  <c r="R190" i="15"/>
  <c r="R191" i="15"/>
  <c r="R145" i="17" s="1"/>
  <c r="P448" i="17" l="1"/>
  <c r="P202" i="17"/>
  <c r="T429" i="17"/>
  <c r="T335" i="17"/>
  <c r="T448" i="17"/>
  <c r="T202" i="17"/>
  <c r="T33" i="17"/>
  <c r="T107" i="17"/>
  <c r="U194" i="15"/>
  <c r="U193" i="15"/>
  <c r="U190" i="15"/>
  <c r="U195" i="15"/>
  <c r="U192" i="15"/>
  <c r="U196" i="15"/>
  <c r="U182" i="15"/>
  <c r="A286" i="15"/>
  <c r="A434" i="17"/>
  <c r="A150" i="17"/>
  <c r="K181" i="17"/>
  <c r="U581" i="17"/>
  <c r="U221" i="17"/>
  <c r="R429" i="17"/>
  <c r="R335" i="17"/>
  <c r="R448" i="17"/>
  <c r="R202" i="17"/>
  <c r="R410" i="17"/>
  <c r="R467" i="17"/>
  <c r="R485" i="17"/>
  <c r="R259" i="17"/>
  <c r="R504" i="17"/>
  <c r="R599" i="17"/>
  <c r="S446" i="17"/>
  <c r="R446" i="17"/>
  <c r="S581" i="17"/>
  <c r="S221" i="17"/>
  <c r="R33" i="17"/>
  <c r="R107" i="17"/>
  <c r="R71" i="17"/>
  <c r="R90" i="17"/>
  <c r="R52" i="17"/>
  <c r="P107" i="17"/>
  <c r="P33" i="17"/>
  <c r="N33" i="17"/>
  <c r="N107" i="17"/>
  <c r="K89" i="17"/>
  <c r="K32" i="17"/>
  <c r="R173" i="15"/>
  <c r="R176" i="15"/>
  <c r="U446" i="17"/>
  <c r="R170" i="15"/>
  <c r="S196" i="15"/>
  <c r="S182" i="15"/>
  <c r="R502" i="17"/>
  <c r="S191" i="15"/>
  <c r="U191" i="15"/>
  <c r="U145" i="17" s="1"/>
  <c r="S192" i="15"/>
  <c r="S195" i="15"/>
  <c r="R175" i="15"/>
  <c r="R174" i="15"/>
  <c r="S190" i="15"/>
  <c r="S194" i="15"/>
  <c r="S193" i="15"/>
  <c r="R181" i="17"/>
  <c r="R522" i="17"/>
  <c r="P138" i="15"/>
  <c r="A287" i="15" l="1"/>
  <c r="A586" i="17"/>
  <c r="A245" i="17"/>
  <c r="S485" i="17"/>
  <c r="S259" i="17"/>
  <c r="S599" i="17"/>
  <c r="S504" i="17"/>
  <c r="U485" i="17"/>
  <c r="U259" i="17"/>
  <c r="R296" i="17"/>
  <c r="R277" i="17"/>
  <c r="R580" i="17"/>
  <c r="R182" i="17"/>
  <c r="U429" i="17"/>
  <c r="U335" i="17"/>
  <c r="R371" i="17"/>
  <c r="R144" i="17"/>
  <c r="S448" i="17"/>
  <c r="S202" i="17"/>
  <c r="S170" i="15"/>
  <c r="R561" i="17"/>
  <c r="R542" i="17"/>
  <c r="R447" i="17"/>
  <c r="R239" i="17"/>
  <c r="U467" i="17"/>
  <c r="U410" i="17"/>
  <c r="S467" i="17"/>
  <c r="S410" i="17"/>
  <c r="S71" i="17"/>
  <c r="S145" i="17"/>
  <c r="P578" i="17"/>
  <c r="P237" i="17"/>
  <c r="U448" i="17"/>
  <c r="U202" i="17"/>
  <c r="S429" i="17"/>
  <c r="S335" i="17"/>
  <c r="U599" i="17"/>
  <c r="U504" i="17"/>
  <c r="S33" i="17"/>
  <c r="S107" i="17"/>
  <c r="U52" i="17"/>
  <c r="U90" i="17"/>
  <c r="S52" i="17"/>
  <c r="S90" i="17"/>
  <c r="U33" i="17"/>
  <c r="U107" i="17"/>
  <c r="U71" i="17"/>
  <c r="R171" i="15"/>
  <c r="S171" i="15" s="1"/>
  <c r="N70" i="17"/>
  <c r="R172" i="15"/>
  <c r="R201" i="17" s="1"/>
  <c r="N106" i="17"/>
  <c r="R169" i="15"/>
  <c r="S169" i="15" s="1"/>
  <c r="N89" i="17"/>
  <c r="N32" i="17"/>
  <c r="P106" i="17"/>
  <c r="P70" i="17"/>
  <c r="U176" i="15"/>
  <c r="U170" i="15"/>
  <c r="S522" i="17"/>
  <c r="U522" i="17"/>
  <c r="K138" i="15"/>
  <c r="S174" i="15"/>
  <c r="U174" i="15"/>
  <c r="K132" i="15"/>
  <c r="S173" i="15"/>
  <c r="U173" i="15"/>
  <c r="S181" i="17"/>
  <c r="U181" i="17"/>
  <c r="S175" i="15"/>
  <c r="U175" i="15"/>
  <c r="U502" i="17"/>
  <c r="S502" i="17"/>
  <c r="S176" i="15"/>
  <c r="K131" i="15"/>
  <c r="U171" i="15" l="1"/>
  <c r="U172" i="15"/>
  <c r="U201" i="17" s="1"/>
  <c r="U169" i="15"/>
  <c r="S172" i="15"/>
  <c r="S201" i="17" s="1"/>
  <c r="A288" i="15"/>
  <c r="A548" i="17"/>
  <c r="A302" i="17"/>
  <c r="K237" i="17"/>
  <c r="K578" i="17"/>
  <c r="K105" i="17"/>
  <c r="K161" i="17"/>
  <c r="U296" i="17"/>
  <c r="U277" i="17"/>
  <c r="S296" i="17"/>
  <c r="S277" i="17"/>
  <c r="U561" i="17"/>
  <c r="U542" i="17"/>
  <c r="R70" i="17"/>
  <c r="R390" i="17"/>
  <c r="S371" i="17"/>
  <c r="S144" i="17"/>
  <c r="U580" i="17"/>
  <c r="U182" i="17"/>
  <c r="U447" i="17"/>
  <c r="U239" i="17"/>
  <c r="U371" i="17"/>
  <c r="U144" i="17"/>
  <c r="S580" i="17"/>
  <c r="S182" i="17"/>
  <c r="S447" i="17"/>
  <c r="S239" i="17"/>
  <c r="S70" i="17"/>
  <c r="S390" i="17"/>
  <c r="S542" i="17"/>
  <c r="S561" i="17"/>
  <c r="K87" i="17"/>
  <c r="K30" i="17"/>
  <c r="R89" i="17"/>
  <c r="R32" i="17"/>
  <c r="R106" i="17"/>
  <c r="S89" i="17"/>
  <c r="S32" i="17"/>
  <c r="P89" i="17"/>
  <c r="P32" i="17"/>
  <c r="R138" i="15"/>
  <c r="U106" i="17" l="1"/>
  <c r="U390" i="17"/>
  <c r="U32" i="17"/>
  <c r="U70" i="17"/>
  <c r="U89" i="17"/>
  <c r="S106" i="17"/>
  <c r="A289" i="15"/>
  <c r="A453" i="17"/>
  <c r="A396" i="17"/>
  <c r="R578" i="17"/>
  <c r="R237" i="17"/>
  <c r="R131" i="15"/>
  <c r="S131" i="15" s="1"/>
  <c r="N30" i="17"/>
  <c r="N87" i="17"/>
  <c r="R132" i="15"/>
  <c r="R161" i="17" s="1"/>
  <c r="N105" i="17"/>
  <c r="P131" i="15"/>
  <c r="P132" i="15"/>
  <c r="S138" i="15"/>
  <c r="U138" i="15"/>
  <c r="P81" i="15"/>
  <c r="U132" i="15" l="1"/>
  <c r="U161" i="17" s="1"/>
  <c r="U131" i="15"/>
  <c r="A290" i="15"/>
  <c r="A131" i="17"/>
  <c r="A415" i="17"/>
  <c r="S578" i="17"/>
  <c r="S237" i="17"/>
  <c r="U578" i="17"/>
  <c r="U237" i="17"/>
  <c r="P575" i="17"/>
  <c r="P594" i="17"/>
  <c r="P105" i="17"/>
  <c r="P161" i="17"/>
  <c r="P87" i="17"/>
  <c r="P30" i="17"/>
  <c r="R105" i="17"/>
  <c r="S87" i="17"/>
  <c r="S30" i="17"/>
  <c r="S132" i="15"/>
  <c r="R87" i="17"/>
  <c r="R30" i="17"/>
  <c r="K81" i="15"/>
  <c r="U87" i="17" l="1"/>
  <c r="U30" i="17"/>
  <c r="U105" i="17"/>
  <c r="A291" i="15"/>
  <c r="A207" i="17"/>
  <c r="A94" i="17"/>
  <c r="K594" i="17"/>
  <c r="K575" i="17"/>
  <c r="S105" i="17"/>
  <c r="S161" i="17"/>
  <c r="R81" i="15"/>
  <c r="P62" i="15"/>
  <c r="A292" i="15" l="1"/>
  <c r="A38" i="17"/>
  <c r="A57" i="17"/>
  <c r="P479" i="17"/>
  <c r="P271" i="17"/>
  <c r="R594" i="17"/>
  <c r="R575" i="17"/>
  <c r="S81" i="15"/>
  <c r="U81" i="15"/>
  <c r="K62" i="15"/>
  <c r="A293" i="15" l="1"/>
  <c r="A529" i="17"/>
  <c r="A605" i="17"/>
  <c r="K479" i="17"/>
  <c r="K271" i="17"/>
  <c r="S575" i="17"/>
  <c r="S594" i="17"/>
  <c r="U594" i="17"/>
  <c r="U575" i="17"/>
  <c r="R62" i="15"/>
  <c r="A294" i="15" l="1"/>
  <c r="A490" i="17"/>
  <c r="A169" i="17"/>
  <c r="R479" i="17"/>
  <c r="R271" i="17"/>
  <c r="S62" i="15"/>
  <c r="U62" i="15"/>
  <c r="P13" i="15"/>
  <c r="P12" i="15"/>
  <c r="P11" i="15"/>
  <c r="P10" i="15"/>
  <c r="A295" i="15" l="1"/>
  <c r="A510" i="17"/>
  <c r="A359" i="17"/>
  <c r="P135" i="17"/>
  <c r="P80" i="17"/>
  <c r="U479" i="17"/>
  <c r="U271" i="17"/>
  <c r="P590" i="17"/>
  <c r="P268" i="17"/>
  <c r="S479" i="17"/>
  <c r="S271" i="17"/>
  <c r="P249" i="17"/>
  <c r="P230" i="17"/>
  <c r="P457" i="17"/>
  <c r="P42" i="17" a="1"/>
  <c r="P42" i="17" s="1"/>
  <c r="K12" i="15"/>
  <c r="K10" i="15"/>
  <c r="K13" i="15"/>
  <c r="K11" i="15"/>
  <c r="T12" i="15" l="1"/>
  <c r="T13" i="15"/>
  <c r="T11" i="15"/>
  <c r="A296" i="15"/>
  <c r="A377" i="17"/>
  <c r="A226" i="17"/>
  <c r="K230" i="17"/>
  <c r="K249" i="17"/>
  <c r="K268" i="17"/>
  <c r="K590" i="17"/>
  <c r="K42" i="17" a="1"/>
  <c r="K42" i="17" s="1"/>
  <c r="K457" i="17"/>
  <c r="K80" i="17"/>
  <c r="K135" i="17"/>
  <c r="R11" i="15"/>
  <c r="R13" i="15"/>
  <c r="R10" i="15"/>
  <c r="R457" i="17" s="1"/>
  <c r="R12" i="15"/>
  <c r="R135" i="17" s="1"/>
  <c r="T268" i="17" l="1"/>
  <c r="T590" i="17"/>
  <c r="T135" i="17"/>
  <c r="T80" i="17"/>
  <c r="T249" i="17"/>
  <c r="T230" i="17"/>
  <c r="A297" i="15"/>
  <c r="A340" i="17"/>
  <c r="A188" i="17"/>
  <c r="R249" i="17"/>
  <c r="R230" i="17"/>
  <c r="R590" i="17"/>
  <c r="R268" i="17"/>
  <c r="R42" i="17" a="1"/>
  <c r="R42" i="17" s="1"/>
  <c r="R80" i="17"/>
  <c r="U12" i="15"/>
  <c r="U135" i="17" s="1"/>
  <c r="S12" i="15"/>
  <c r="U10" i="15"/>
  <c r="U457" i="17" s="1"/>
  <c r="S10" i="15"/>
  <c r="S13" i="15"/>
  <c r="U13" i="15"/>
  <c r="S11" i="15"/>
  <c r="U11" i="15"/>
  <c r="A298" i="15" l="1"/>
  <c r="A567" i="17"/>
  <c r="A19" i="17"/>
  <c r="U590" i="17"/>
  <c r="U268" i="17"/>
  <c r="S80" i="17"/>
  <c r="S135" i="17"/>
  <c r="U249" i="17"/>
  <c r="U230" i="17"/>
  <c r="S590" i="17"/>
  <c r="S268" i="17"/>
  <c r="S230" i="17"/>
  <c r="S249" i="17"/>
  <c r="S42" i="17" a="1"/>
  <c r="S42" i="17" s="1"/>
  <c r="S457" i="17"/>
  <c r="U42" i="17" a="1"/>
  <c r="U42" i="17" s="1"/>
  <c r="U80" i="17"/>
  <c r="A300" i="15" l="1"/>
  <c r="A321" i="17"/>
  <c r="A264" i="17"/>
  <c r="A301" i="15" l="1"/>
  <c r="A587" i="17"/>
  <c r="A170" i="17"/>
  <c r="P862" i="1"/>
  <c r="Q862" i="1" s="1"/>
  <c r="R862" i="1" s="1"/>
  <c r="S862" i="1" s="1"/>
  <c r="U862" i="1" s="1"/>
  <c r="I20" i="4"/>
  <c r="G20" i="4"/>
  <c r="A302" i="15" l="1"/>
  <c r="A39" i="17"/>
  <c r="A20" i="17"/>
  <c r="K79" i="5"/>
  <c r="K121" i="5"/>
  <c r="G171" i="4"/>
  <c r="G15" i="4"/>
  <c r="G119" i="5"/>
  <c r="G105" i="5"/>
  <c r="G16" i="4"/>
  <c r="G72" i="4"/>
  <c r="I79" i="5"/>
  <c r="I121" i="5"/>
  <c r="I16" i="4"/>
  <c r="I72" i="4"/>
  <c r="I119" i="5"/>
  <c r="I105" i="5"/>
  <c r="I171" i="4"/>
  <c r="I15" i="4"/>
  <c r="K136" i="6"/>
  <c r="K104" i="5"/>
  <c r="G121" i="5"/>
  <c r="G79" i="5"/>
  <c r="A303" i="15" l="1"/>
  <c r="A113" i="17"/>
  <c r="A208" i="17"/>
  <c r="K82" i="4"/>
  <c r="I82" i="4"/>
  <c r="G82" i="4"/>
  <c r="K103" i="5"/>
  <c r="K167" i="3"/>
  <c r="I167" i="3"/>
  <c r="G167" i="3"/>
  <c r="A304" i="15" l="1"/>
  <c r="A303" i="17"/>
  <c r="A189" i="17"/>
  <c r="I103" i="5"/>
  <c r="I5" i="12"/>
  <c r="G103" i="5"/>
  <c r="G5" i="12"/>
  <c r="G125" i="5"/>
  <c r="G97" i="5"/>
  <c r="I125" i="5"/>
  <c r="I97" i="5"/>
  <c r="K142" i="5"/>
  <c r="K86" i="5"/>
  <c r="K125" i="5"/>
  <c r="K97" i="5"/>
  <c r="G86" i="5"/>
  <c r="G142" i="5"/>
  <c r="I142" i="5"/>
  <c r="I86" i="5"/>
  <c r="A305" i="15" l="1"/>
  <c r="A378" i="17"/>
  <c r="A416" i="17"/>
  <c r="A306" i="15" l="1"/>
  <c r="A454" i="17"/>
  <c r="A265" i="17"/>
  <c r="A307" i="15" l="1"/>
  <c r="A491" i="17"/>
  <c r="A435" i="17"/>
  <c r="I39" i="4"/>
  <c r="G39" i="4"/>
  <c r="K40" i="2"/>
  <c r="I27" i="7"/>
  <c r="G27" i="7"/>
  <c r="K89" i="5"/>
  <c r="I89" i="5"/>
  <c r="G89" i="5"/>
  <c r="I78" i="9"/>
  <c r="G78" i="9"/>
  <c r="I33" i="4"/>
  <c r="G33" i="4"/>
  <c r="A308" i="15" l="1"/>
  <c r="A568" i="17"/>
  <c r="A95" i="17"/>
  <c r="G131" i="4"/>
  <c r="G17" i="4"/>
  <c r="I131" i="4"/>
  <c r="I17" i="4"/>
  <c r="G138" i="5"/>
  <c r="G96" i="5"/>
  <c r="G35" i="4"/>
  <c r="I96" i="5"/>
  <c r="I138" i="5"/>
  <c r="I35" i="4"/>
  <c r="K96" i="5"/>
  <c r="K138" i="5"/>
  <c r="G172" i="4"/>
  <c r="G130" i="4"/>
  <c r="I178" i="4"/>
  <c r="I36" i="4"/>
  <c r="I172" i="4"/>
  <c r="I130" i="4"/>
  <c r="K130" i="4"/>
  <c r="K172" i="4"/>
  <c r="K38" i="2"/>
  <c r="K66" i="2"/>
  <c r="G40" i="2"/>
  <c r="I40" i="2"/>
  <c r="I38" i="2"/>
  <c r="I66" i="2"/>
  <c r="G38" i="2"/>
  <c r="G66" i="2"/>
  <c r="A309" i="15" l="1"/>
  <c r="A606" i="17"/>
  <c r="A151" i="17"/>
  <c r="A310" i="15" l="1"/>
  <c r="A511" i="17"/>
  <c r="A58" i="17"/>
  <c r="A163" i="6"/>
  <c r="A311" i="15" l="1"/>
  <c r="A284" i="17"/>
  <c r="A246" i="17"/>
  <c r="P202" i="15"/>
  <c r="P200" i="15"/>
  <c r="P154" i="15"/>
  <c r="P152" i="15"/>
  <c r="P149" i="15"/>
  <c r="P136" i="15"/>
  <c r="P135" i="15"/>
  <c r="P133" i="15"/>
  <c r="P128" i="15"/>
  <c r="P116" i="15"/>
  <c r="P112" i="15"/>
  <c r="P111" i="15"/>
  <c r="P110" i="15"/>
  <c r="P109" i="15"/>
  <c r="K109" i="15"/>
  <c r="P235" i="17"/>
  <c r="P87" i="15"/>
  <c r="P86" i="15"/>
  <c r="P85" i="15"/>
  <c r="P83" i="15"/>
  <c r="P80" i="15"/>
  <c r="P78" i="15"/>
  <c r="P77" i="15"/>
  <c r="P76" i="15"/>
  <c r="P75" i="15"/>
  <c r="P74" i="15"/>
  <c r="P70" i="15"/>
  <c r="P69" i="15"/>
  <c r="P68" i="15"/>
  <c r="P67" i="15"/>
  <c r="P56" i="15"/>
  <c r="P55" i="15"/>
  <c r="P49" i="15"/>
  <c r="P48" i="15"/>
  <c r="P46" i="15"/>
  <c r="P45" i="15"/>
  <c r="P44" i="15"/>
  <c r="P43" i="15"/>
  <c r="P38" i="15"/>
  <c r="P36" i="15"/>
  <c r="P35" i="15"/>
  <c r="P34" i="15"/>
  <c r="P32" i="15"/>
  <c r="P30" i="15"/>
  <c r="P29" i="15"/>
  <c r="K27" i="15"/>
  <c r="P26" i="15"/>
  <c r="K26" i="15"/>
  <c r="P25" i="15"/>
  <c r="P23" i="15"/>
  <c r="P21" i="15"/>
  <c r="P19" i="15"/>
  <c r="P18" i="15"/>
  <c r="P17" i="15"/>
  <c r="P16" i="15"/>
  <c r="P15" i="15"/>
  <c r="P14" i="15"/>
  <c r="P9" i="15"/>
  <c r="P8" i="15"/>
  <c r="P7" i="15"/>
  <c r="P6" i="15"/>
  <c r="P5" i="15"/>
  <c r="I131" i="8"/>
  <c r="G131" i="8"/>
  <c r="I146" i="8"/>
  <c r="G146" i="8"/>
  <c r="I19" i="11"/>
  <c r="G19" i="11"/>
  <c r="I5" i="8"/>
  <c r="G5" i="8"/>
  <c r="K139" i="4"/>
  <c r="I139" i="4"/>
  <c r="G139" i="4"/>
  <c r="I63" i="8"/>
  <c r="G63" i="8"/>
  <c r="K41" i="2"/>
  <c r="I41" i="2"/>
  <c r="G41" i="2"/>
  <c r="I34" i="12"/>
  <c r="G34" i="12"/>
  <c r="K90" i="5"/>
  <c r="I90" i="5"/>
  <c r="G90" i="5"/>
  <c r="I146" i="10"/>
  <c r="G146" i="10"/>
  <c r="N27" i="15" l="1"/>
  <c r="R27" i="15" s="1"/>
  <c r="T27" i="15"/>
  <c r="A312" i="15"/>
  <c r="A530" i="17"/>
  <c r="A360" i="17"/>
  <c r="K401" i="17"/>
  <c r="K495" i="17"/>
  <c r="K10" i="17"/>
  <c r="K425" i="17"/>
  <c r="K269" i="17"/>
  <c r="K250" i="17"/>
  <c r="P496" i="17"/>
  <c r="P137" i="17"/>
  <c r="P517" i="17"/>
  <c r="P328" i="17"/>
  <c r="P419" i="17"/>
  <c r="P23" i="17"/>
  <c r="P344" i="17"/>
  <c r="P306" i="17"/>
  <c r="P591" i="17"/>
  <c r="P193" i="17"/>
  <c r="P495" i="17"/>
  <c r="P401" i="17"/>
  <c r="P326" i="17"/>
  <c r="P24" i="17"/>
  <c r="P402" i="17"/>
  <c r="P44" i="17"/>
  <c r="P403" i="17"/>
  <c r="P214" i="17"/>
  <c r="P141" i="17"/>
  <c r="P48" i="17"/>
  <c r="P370" i="17"/>
  <c r="P199" i="17"/>
  <c r="P14" i="17"/>
  <c r="P524" i="17"/>
  <c r="P438" i="17"/>
  <c r="P571" i="17"/>
  <c r="P212" i="17"/>
  <c r="P99" i="17"/>
  <c r="P327" i="17"/>
  <c r="P6" i="17"/>
  <c r="P422" i="17"/>
  <c r="P384" i="17"/>
  <c r="P537" i="17"/>
  <c r="P423" i="17"/>
  <c r="P291" i="17"/>
  <c r="P348" i="17"/>
  <c r="P351" i="17"/>
  <c r="P426" i="17"/>
  <c r="P31" i="17"/>
  <c r="P314" i="17"/>
  <c r="P598" i="17"/>
  <c r="P389" i="17"/>
  <c r="P494" i="17"/>
  <c r="P116" i="17"/>
  <c r="P173" i="17"/>
  <c r="P533" i="17"/>
  <c r="P439" i="17"/>
  <c r="P81" i="17"/>
  <c r="P592" i="17"/>
  <c r="P478" i="17"/>
  <c r="P555" i="17"/>
  <c r="P290" i="17"/>
  <c r="P310" i="17"/>
  <c r="P139" i="17"/>
  <c r="P122" i="17"/>
  <c r="P29" i="17"/>
  <c r="P316" i="17"/>
  <c r="P297" i="17"/>
  <c r="P287" i="17"/>
  <c r="P4" i="17"/>
  <c r="P477" i="17"/>
  <c r="P382" i="17"/>
  <c r="P383" i="17"/>
  <c r="P194" i="17"/>
  <c r="P556" i="17"/>
  <c r="P27" i="17"/>
  <c r="P174" i="17"/>
  <c r="P231" i="17"/>
  <c r="P198" i="17"/>
  <c r="P160" i="17"/>
  <c r="P363" i="17"/>
  <c r="P400" i="17"/>
  <c r="P308" i="17"/>
  <c r="P270" i="17"/>
  <c r="P119" i="17"/>
  <c r="P366" i="17"/>
  <c r="P404" i="17"/>
  <c r="P196" i="17"/>
  <c r="P120" i="17"/>
  <c r="P46" i="17"/>
  <c r="P577" i="17"/>
  <c r="P255" i="17"/>
  <c r="P123" i="17"/>
  <c r="P142" i="17"/>
  <c r="P476" i="17"/>
  <c r="P192" i="17"/>
  <c r="P385" i="17"/>
  <c r="P102" i="17"/>
  <c r="P514" i="17"/>
  <c r="P98" i="17"/>
  <c r="P552" i="17"/>
  <c r="P154" i="17"/>
  <c r="P515" i="17"/>
  <c r="P534" i="17"/>
  <c r="P459" i="17"/>
  <c r="P118" i="17"/>
  <c r="P347" i="17"/>
  <c r="P176" i="17"/>
  <c r="P498" i="17"/>
  <c r="P65" i="17"/>
  <c r="P518" i="17"/>
  <c r="P84" i="17"/>
  <c r="P425" i="17"/>
  <c r="P10" i="17"/>
  <c r="P480" i="17"/>
  <c r="P8" i="17"/>
  <c r="P408" i="17"/>
  <c r="P257" i="17"/>
  <c r="P381" i="17"/>
  <c r="P211" i="17"/>
  <c r="P307" i="17"/>
  <c r="P288" i="17"/>
  <c r="P572" i="17"/>
  <c r="P62" i="17"/>
  <c r="P464" i="17"/>
  <c r="P407" i="17"/>
  <c r="G10" i="2"/>
  <c r="G123" i="2"/>
  <c r="I10" i="2"/>
  <c r="I123" i="2"/>
  <c r="G149" i="4"/>
  <c r="I81" i="5"/>
  <c r="I109" i="5"/>
  <c r="G24" i="4"/>
  <c r="G66" i="4"/>
  <c r="G151" i="6"/>
  <c r="G21" i="4"/>
  <c r="K149" i="4"/>
  <c r="I150" i="4"/>
  <c r="G94" i="5"/>
  <c r="G80" i="5"/>
  <c r="I30" i="4"/>
  <c r="I86" i="4"/>
  <c r="I134" i="4"/>
  <c r="K92" i="4"/>
  <c r="K78" i="4"/>
  <c r="K112" i="5"/>
  <c r="K98" i="5"/>
  <c r="I151" i="6"/>
  <c r="I21" i="4"/>
  <c r="G77" i="4"/>
  <c r="G173" i="4"/>
  <c r="G31" i="4"/>
  <c r="G138" i="4"/>
  <c r="G80" i="4"/>
  <c r="G143" i="4"/>
  <c r="G29" i="4"/>
  <c r="K150" i="4"/>
  <c r="I94" i="5"/>
  <c r="I80" i="5"/>
  <c r="K134" i="4"/>
  <c r="K179" i="4"/>
  <c r="K137" i="4"/>
  <c r="I66" i="4"/>
  <c r="I24" i="4"/>
  <c r="G53" i="4"/>
  <c r="G25" i="4"/>
  <c r="I77" i="4"/>
  <c r="I173" i="4"/>
  <c r="I31" i="4"/>
  <c r="I138" i="4"/>
  <c r="I80" i="4"/>
  <c r="I143" i="4"/>
  <c r="I29" i="4"/>
  <c r="K94" i="5"/>
  <c r="K80" i="5"/>
  <c r="G182" i="4"/>
  <c r="G26" i="4"/>
  <c r="G135" i="4"/>
  <c r="G148" i="4"/>
  <c r="I98" i="5"/>
  <c r="I112" i="5"/>
  <c r="I76" i="4"/>
  <c r="K109" i="5"/>
  <c r="K81" i="5"/>
  <c r="G28" i="4"/>
  <c r="G156" i="4"/>
  <c r="I25" i="4"/>
  <c r="I53" i="4"/>
  <c r="K77" i="4"/>
  <c r="K80" i="4"/>
  <c r="K138" i="4"/>
  <c r="I182" i="4"/>
  <c r="I26" i="4"/>
  <c r="G192" i="4"/>
  <c r="G136" i="4"/>
  <c r="I135" i="4"/>
  <c r="I148" i="4"/>
  <c r="G109" i="5"/>
  <c r="G81" i="5"/>
  <c r="G92" i="4"/>
  <c r="G78" i="4"/>
  <c r="G23" i="4"/>
  <c r="G108" i="4"/>
  <c r="I156" i="4"/>
  <c r="I28" i="4"/>
  <c r="G65" i="4"/>
  <c r="G37" i="4"/>
  <c r="I136" i="4"/>
  <c r="I192" i="4"/>
  <c r="K135" i="4"/>
  <c r="G179" i="4"/>
  <c r="G137" i="4"/>
  <c r="K148" i="4"/>
  <c r="I92" i="4"/>
  <c r="I78" i="4"/>
  <c r="G112" i="5"/>
  <c r="G98" i="5"/>
  <c r="I23" i="4"/>
  <c r="I108" i="4"/>
  <c r="G195" i="4"/>
  <c r="G81" i="4"/>
  <c r="I65" i="4"/>
  <c r="I37" i="4"/>
  <c r="K136" i="4"/>
  <c r="K192" i="4"/>
  <c r="G76" i="4"/>
  <c r="I179" i="4"/>
  <c r="I137" i="4"/>
  <c r="G155" i="4"/>
  <c r="G141" i="4"/>
  <c r="I195" i="4"/>
  <c r="I81" i="4"/>
  <c r="I155" i="4"/>
  <c r="I141" i="4"/>
  <c r="K81" i="4"/>
  <c r="K195" i="4"/>
  <c r="I149" i="4"/>
  <c r="G150" i="4"/>
  <c r="G30" i="4"/>
  <c r="G86" i="4"/>
  <c r="K76" i="4"/>
  <c r="G134" i="4"/>
  <c r="K141" i="4"/>
  <c r="K155" i="4"/>
  <c r="I43" i="2"/>
  <c r="I57" i="2"/>
  <c r="K43" i="2"/>
  <c r="K57" i="2"/>
  <c r="G43" i="2"/>
  <c r="G57" i="2"/>
  <c r="R26" i="15"/>
  <c r="R109" i="15"/>
  <c r="R425" i="17" s="1"/>
  <c r="K7" i="15"/>
  <c r="K15" i="15"/>
  <c r="K19" i="15"/>
  <c r="K23" i="15"/>
  <c r="K30" i="15"/>
  <c r="K31" i="15"/>
  <c r="N31" i="15" s="1"/>
  <c r="K34" i="15"/>
  <c r="K35" i="15"/>
  <c r="K38" i="15"/>
  <c r="K84" i="15"/>
  <c r="K85" i="15"/>
  <c r="K91" i="15"/>
  <c r="N91" i="15" s="1"/>
  <c r="K128" i="15"/>
  <c r="K133" i="15"/>
  <c r="K136" i="15"/>
  <c r="K149" i="15"/>
  <c r="K153" i="15"/>
  <c r="K505" i="17"/>
  <c r="K113" i="15"/>
  <c r="N113" i="15" s="1"/>
  <c r="K117" i="15"/>
  <c r="N117" i="15" s="1"/>
  <c r="K86" i="15"/>
  <c r="K130" i="15"/>
  <c r="N130" i="15" s="1"/>
  <c r="K148" i="15"/>
  <c r="K55" i="15"/>
  <c r="K56" i="15"/>
  <c r="K63" i="15"/>
  <c r="K65" i="15"/>
  <c r="K69" i="15"/>
  <c r="K110" i="15"/>
  <c r="K41" i="15"/>
  <c r="K78" i="15"/>
  <c r="K129" i="15"/>
  <c r="K73" i="15"/>
  <c r="N73" i="15" s="1"/>
  <c r="K82" i="15"/>
  <c r="N82" i="15" s="1"/>
  <c r="K137" i="15"/>
  <c r="K47" i="15"/>
  <c r="K49" i="15"/>
  <c r="K51" i="15"/>
  <c r="K52" i="15"/>
  <c r="K114" i="15"/>
  <c r="N114" i="15" s="1"/>
  <c r="K66" i="15"/>
  <c r="K60" i="15"/>
  <c r="K59" i="15"/>
  <c r="K43" i="15"/>
  <c r="K42" i="15"/>
  <c r="N42" i="15" s="1"/>
  <c r="K36" i="15"/>
  <c r="K24" i="15"/>
  <c r="K21" i="15"/>
  <c r="K18" i="15"/>
  <c r="K17" i="15"/>
  <c r="K8" i="15"/>
  <c r="K29" i="15"/>
  <c r="K46" i="15"/>
  <c r="T46" i="15" s="1"/>
  <c r="K68" i="15"/>
  <c r="K77" i="15"/>
  <c r="K89" i="15"/>
  <c r="K524" i="17"/>
  <c r="K22" i="15"/>
  <c r="N22" i="15" s="1"/>
  <c r="K25" i="15"/>
  <c r="K45" i="15"/>
  <c r="K72" i="15"/>
  <c r="K97" i="15"/>
  <c r="N97" i="15" s="1"/>
  <c r="K139" i="15"/>
  <c r="N139" i="15" s="1"/>
  <c r="K33" i="15"/>
  <c r="K58" i="15"/>
  <c r="K83" i="15"/>
  <c r="K111" i="15"/>
  <c r="K74" i="15"/>
  <c r="T74" i="15" s="1"/>
  <c r="K76" i="15"/>
  <c r="K87" i="15"/>
  <c r="K101" i="15"/>
  <c r="R101" i="15" s="1"/>
  <c r="K116" i="15"/>
  <c r="K157" i="15"/>
  <c r="K80" i="15"/>
  <c r="T80" i="15" s="1"/>
  <c r="K134" i="15"/>
  <c r="K115" i="15"/>
  <c r="N115" i="15" s="1"/>
  <c r="K44" i="15"/>
  <c r="K61" i="15"/>
  <c r="K441" i="17" s="1"/>
  <c r="K67" i="15"/>
  <c r="K6" i="15"/>
  <c r="T6" i="15" s="1"/>
  <c r="K14" i="15"/>
  <c r="K28" i="15"/>
  <c r="K5" i="15"/>
  <c r="K9" i="15"/>
  <c r="K16" i="15"/>
  <c r="K32" i="15"/>
  <c r="K75" i="15"/>
  <c r="K48" i="15"/>
  <c r="T48" i="15" s="1"/>
  <c r="K40" i="15"/>
  <c r="N40" i="15" s="1"/>
  <c r="K53" i="15"/>
  <c r="N53" i="15" s="1"/>
  <c r="K57" i="15"/>
  <c r="K79" i="15"/>
  <c r="N79" i="15" s="1"/>
  <c r="K99" i="15"/>
  <c r="N99" i="15" s="1"/>
  <c r="N538" i="17" s="1"/>
  <c r="K94" i="15"/>
  <c r="K150" i="15"/>
  <c r="K93" i="15"/>
  <c r="K95" i="15"/>
  <c r="T95" i="15" s="1"/>
  <c r="K100" i="15"/>
  <c r="K292" i="17" s="1"/>
  <c r="K235" i="17"/>
  <c r="K90" i="15"/>
  <c r="K92" i="15"/>
  <c r="N92" i="15" s="1"/>
  <c r="K112" i="15"/>
  <c r="K96" i="15"/>
  <c r="N96" i="15" s="1"/>
  <c r="K98" i="15"/>
  <c r="T98" i="15" s="1"/>
  <c r="K102" i="15"/>
  <c r="K151" i="15"/>
  <c r="K152" i="15"/>
  <c r="T152" i="15" s="1"/>
  <c r="K154" i="15"/>
  <c r="K156" i="15"/>
  <c r="N157" i="15" l="1"/>
  <c r="N541" i="17" s="1"/>
  <c r="T151" i="15"/>
  <c r="N151" i="15"/>
  <c r="T150" i="15"/>
  <c r="N156" i="15"/>
  <c r="R156" i="15" s="1"/>
  <c r="T156" i="15"/>
  <c r="T154" i="15"/>
  <c r="N153" i="15"/>
  <c r="R153" i="15" s="1"/>
  <c r="T153" i="15"/>
  <c r="T257" i="17"/>
  <c r="T408" i="17"/>
  <c r="T149" i="15"/>
  <c r="N275" i="17"/>
  <c r="N180" i="17"/>
  <c r="P130" i="15"/>
  <c r="N597" i="17"/>
  <c r="N256" i="17"/>
  <c r="P139" i="15"/>
  <c r="N444" i="17"/>
  <c r="N274" i="17"/>
  <c r="P115" i="15"/>
  <c r="N596" i="17"/>
  <c r="N217" i="17"/>
  <c r="P113" i="15"/>
  <c r="N558" i="17"/>
  <c r="N86" i="17"/>
  <c r="P114" i="15"/>
  <c r="N463" i="17"/>
  <c r="N179" i="17"/>
  <c r="P117" i="15"/>
  <c r="T111" i="15"/>
  <c r="T116" i="15"/>
  <c r="N216" i="17"/>
  <c r="N462" i="17"/>
  <c r="P92" i="15"/>
  <c r="N499" i="17"/>
  <c r="N557" i="17"/>
  <c r="P97" i="15"/>
  <c r="N90" i="15"/>
  <c r="R90" i="15" s="1"/>
  <c r="R519" i="17" s="1"/>
  <c r="N443" i="17"/>
  <c r="N47" i="17"/>
  <c r="P96" i="15"/>
  <c r="N405" i="17"/>
  <c r="N140" i="17"/>
  <c r="P91" i="15"/>
  <c r="T97" i="15"/>
  <c r="T93" i="15"/>
  <c r="T273" i="17" s="1"/>
  <c r="K443" i="17"/>
  <c r="T96" i="15"/>
  <c r="T94" i="15"/>
  <c r="T368" i="17" s="1"/>
  <c r="T56" i="15"/>
  <c r="N461" i="17"/>
  <c r="N367" i="17"/>
  <c r="P79" i="15"/>
  <c r="N57" i="15"/>
  <c r="R57" i="15" s="1"/>
  <c r="T57" i="15"/>
  <c r="T7" i="15"/>
  <c r="N156" i="17"/>
  <c r="N440" i="17"/>
  <c r="P53" i="15"/>
  <c r="N28" i="15"/>
  <c r="T28" i="15"/>
  <c r="T556" i="17"/>
  <c r="T27" i="17"/>
  <c r="T25" i="15"/>
  <c r="N24" i="15"/>
  <c r="R24" i="15" s="1"/>
  <c r="T24" i="15"/>
  <c r="N52" i="15"/>
  <c r="T52" i="15"/>
  <c r="T35" i="15"/>
  <c r="T424" i="17"/>
  <c r="T121" i="17"/>
  <c r="N346" i="17"/>
  <c r="N573" i="17"/>
  <c r="P40" i="15"/>
  <c r="T14" i="15"/>
  <c r="N136" i="17"/>
  <c r="N458" i="17"/>
  <c r="P22" i="15"/>
  <c r="N51" i="15"/>
  <c r="R51" i="15" s="1"/>
  <c r="T51" i="15"/>
  <c r="N41" i="15"/>
  <c r="T41" i="15"/>
  <c r="N442" i="17"/>
  <c r="N215" i="17"/>
  <c r="P73" i="15"/>
  <c r="T254" i="17"/>
  <c r="T308" i="17"/>
  <c r="T270" i="17"/>
  <c r="T98" i="17"/>
  <c r="T514" i="17"/>
  <c r="N365" i="17"/>
  <c r="N63" i="17"/>
  <c r="P42" i="15"/>
  <c r="T86" i="15"/>
  <c r="N155" i="17"/>
  <c r="N117" i="17"/>
  <c r="P31" i="15"/>
  <c r="T478" i="17"/>
  <c r="T592" i="17"/>
  <c r="N84" i="15"/>
  <c r="T84" i="15"/>
  <c r="T498" i="17"/>
  <c r="T65" i="17"/>
  <c r="T85" i="17"/>
  <c r="T330" i="17"/>
  <c r="T75" i="15"/>
  <c r="T67" i="15"/>
  <c r="N33" i="15"/>
  <c r="R33" i="15" s="1"/>
  <c r="T33" i="15"/>
  <c r="T43" i="15"/>
  <c r="N47" i="15"/>
  <c r="R47" i="15" s="1"/>
  <c r="T47" i="15"/>
  <c r="T9" i="15"/>
  <c r="T386" i="17"/>
  <c r="U101" i="15"/>
  <c r="S101" i="15"/>
  <c r="R481" i="17"/>
  <c r="R159" i="17"/>
  <c r="T77" i="15"/>
  <c r="T8" i="15"/>
  <c r="N59" i="15"/>
  <c r="T23" i="15"/>
  <c r="T269" i="17"/>
  <c r="T250" i="17"/>
  <c r="N72" i="15"/>
  <c r="R72" i="15" s="1"/>
  <c r="T72" i="15"/>
  <c r="N66" i="15"/>
  <c r="R66" i="15" s="1"/>
  <c r="T66" i="15"/>
  <c r="T21" i="15"/>
  <c r="R102" i="15"/>
  <c r="S102" i="15" s="1"/>
  <c r="T87" i="15"/>
  <c r="T68" i="15"/>
  <c r="T17" i="15"/>
  <c r="N60" i="15"/>
  <c r="R60" i="15" s="1"/>
  <c r="T60" i="15"/>
  <c r="N272" i="17"/>
  <c r="N234" i="17"/>
  <c r="P82" i="15"/>
  <c r="N63" i="15"/>
  <c r="R63" i="15" s="1"/>
  <c r="T63" i="15"/>
  <c r="T85" i="15"/>
  <c r="N269" i="17"/>
  <c r="N250" i="17"/>
  <c r="P27" i="15"/>
  <c r="T22" i="15"/>
  <c r="A313" i="15"/>
  <c r="A549" i="17"/>
  <c r="A473" i="17"/>
  <c r="K389" i="17"/>
  <c r="K598" i="17"/>
  <c r="K99" i="17"/>
  <c r="K212" i="17"/>
  <c r="K408" i="17"/>
  <c r="K257" i="17"/>
  <c r="K28" i="17"/>
  <c r="K519" i="17"/>
  <c r="K386" i="17"/>
  <c r="K368" i="17"/>
  <c r="K139" i="17"/>
  <c r="K310" i="17"/>
  <c r="K214" i="17"/>
  <c r="K403" i="17"/>
  <c r="K63" i="17"/>
  <c r="K365" i="17"/>
  <c r="K289" i="17"/>
  <c r="K251" i="17"/>
  <c r="K596" i="17"/>
  <c r="K217" i="17"/>
  <c r="K405" i="17"/>
  <c r="K140" i="17"/>
  <c r="K117" i="17"/>
  <c r="K155" i="17"/>
  <c r="K462" i="17"/>
  <c r="K216" i="17"/>
  <c r="K98" i="17"/>
  <c r="K514" i="17"/>
  <c r="K65" i="17"/>
  <c r="K498" i="17"/>
  <c r="K82" i="17"/>
  <c r="K421" i="17"/>
  <c r="K200" i="17"/>
  <c r="K219" i="17"/>
  <c r="K9" i="17"/>
  <c r="K538" i="17"/>
  <c r="K174" i="17"/>
  <c r="K231" i="17"/>
  <c r="K444" i="17"/>
  <c r="K274" i="17"/>
  <c r="K12" i="17"/>
  <c r="K541" i="17"/>
  <c r="K597" i="17"/>
  <c r="K256" i="17"/>
  <c r="K103" i="17"/>
  <c r="K595" i="17"/>
  <c r="K383" i="17"/>
  <c r="K194" i="17"/>
  <c r="K175" i="17"/>
  <c r="K516" i="17"/>
  <c r="K484" i="17"/>
  <c r="K238" i="17"/>
  <c r="K515" i="17"/>
  <c r="K534" i="17"/>
  <c r="K8" i="17"/>
  <c r="K480" i="17"/>
  <c r="K591" i="17"/>
  <c r="K193" i="17"/>
  <c r="K119" i="17"/>
  <c r="K366" i="17"/>
  <c r="K367" i="17"/>
  <c r="K461" i="17"/>
  <c r="K557" i="17"/>
  <c r="K499" i="17"/>
  <c r="K85" i="17"/>
  <c r="K330" i="17"/>
  <c r="K26" i="17"/>
  <c r="K138" i="17"/>
  <c r="K363" i="17"/>
  <c r="K400" i="17"/>
  <c r="K48" i="17"/>
  <c r="K141" i="17"/>
  <c r="K84" i="17"/>
  <c r="K518" i="17"/>
  <c r="K253" i="17"/>
  <c r="K177" i="17"/>
  <c r="K347" i="17"/>
  <c r="K176" i="17"/>
  <c r="K306" i="17"/>
  <c r="K344" i="17"/>
  <c r="K195" i="17"/>
  <c r="K536" i="17"/>
  <c r="K483" i="17"/>
  <c r="K501" i="17"/>
  <c r="K555" i="17"/>
  <c r="K290" i="17"/>
  <c r="K275" i="17"/>
  <c r="K180" i="17"/>
  <c r="K69" i="17"/>
  <c r="K465" i="17"/>
  <c r="K329" i="17"/>
  <c r="K158" i="17"/>
  <c r="K533" i="17"/>
  <c r="K173" i="17"/>
  <c r="K308" i="17"/>
  <c r="K270" i="17"/>
  <c r="K311" i="17"/>
  <c r="K178" i="17"/>
  <c r="K4" i="17"/>
  <c r="K287" i="17"/>
  <c r="K123" i="17"/>
  <c r="K142" i="17"/>
  <c r="K404" i="17"/>
  <c r="K196" i="17"/>
  <c r="K192" i="17"/>
  <c r="K476" i="17"/>
  <c r="K23" i="17"/>
  <c r="K419" i="17"/>
  <c r="K159" i="17"/>
  <c r="K481" i="17"/>
  <c r="K157" i="17"/>
  <c r="K593" i="17"/>
  <c r="K118" i="17"/>
  <c r="K459" i="17"/>
  <c r="K478" i="17"/>
  <c r="K592" i="17"/>
  <c r="K552" i="17"/>
  <c r="K154" i="17"/>
  <c r="K252" i="17"/>
  <c r="K574" i="17"/>
  <c r="K272" i="17"/>
  <c r="K234" i="17"/>
  <c r="K309" i="17"/>
  <c r="K233" i="17"/>
  <c r="K31" i="17"/>
  <c r="K314" i="17"/>
  <c r="K137" i="17"/>
  <c r="K496" i="17"/>
  <c r="K381" i="17"/>
  <c r="K211" i="17"/>
  <c r="K477" i="17"/>
  <c r="K382" i="17"/>
  <c r="K179" i="17"/>
  <c r="K463" i="17"/>
  <c r="K44" i="17"/>
  <c r="K402" i="17"/>
  <c r="K160" i="17"/>
  <c r="K198" i="17"/>
  <c r="K316" i="17"/>
  <c r="K297" i="17"/>
  <c r="K121" i="17"/>
  <c r="K424" i="17"/>
  <c r="K156" i="17"/>
  <c r="K440" i="17"/>
  <c r="K43" i="17"/>
  <c r="K364" i="17"/>
  <c r="K11" i="17"/>
  <c r="K388" i="17"/>
  <c r="K348" i="17"/>
  <c r="K291" i="17"/>
  <c r="K5" i="17"/>
  <c r="K345" i="17"/>
  <c r="K81" i="17"/>
  <c r="K439" i="17"/>
  <c r="K24" i="17"/>
  <c r="K326" i="17"/>
  <c r="K288" i="17"/>
  <c r="K307" i="17"/>
  <c r="K554" i="17"/>
  <c r="K213" i="17"/>
  <c r="K442" i="17"/>
  <c r="K215" i="17"/>
  <c r="K460" i="17"/>
  <c r="K497" i="17"/>
  <c r="K407" i="17"/>
  <c r="K464" i="17"/>
  <c r="K116" i="17"/>
  <c r="K494" i="17"/>
  <c r="K423" i="17"/>
  <c r="K537" i="17"/>
  <c r="K352" i="17"/>
  <c r="K276" i="17"/>
  <c r="K577" i="17"/>
  <c r="K255" i="17"/>
  <c r="K254" i="17"/>
  <c r="K273" i="17"/>
  <c r="K346" i="17"/>
  <c r="K573" i="17"/>
  <c r="K438" i="17"/>
  <c r="K571" i="17"/>
  <c r="K27" i="17"/>
  <c r="K556" i="17"/>
  <c r="K102" i="17"/>
  <c r="K385" i="17"/>
  <c r="K136" i="17"/>
  <c r="K458" i="17"/>
  <c r="K553" i="17"/>
  <c r="K420" i="17"/>
  <c r="K86" i="17"/>
  <c r="K558" i="17"/>
  <c r="K6" i="17"/>
  <c r="K327" i="17"/>
  <c r="K49" i="17"/>
  <c r="K559" i="17"/>
  <c r="K422" i="17"/>
  <c r="K384" i="17"/>
  <c r="K370" i="17"/>
  <c r="K199" i="17"/>
  <c r="K62" i="17"/>
  <c r="K572" i="17"/>
  <c r="R269" i="17"/>
  <c r="R250" i="17"/>
  <c r="U26" i="15"/>
  <c r="R495" i="17"/>
  <c r="R401" i="17"/>
  <c r="N101" i="17"/>
  <c r="K101" i="17"/>
  <c r="N126" i="17"/>
  <c r="K126" i="17"/>
  <c r="K83" i="17"/>
  <c r="K7" i="17"/>
  <c r="K29" i="17"/>
  <c r="K122" i="17"/>
  <c r="R100" i="15"/>
  <c r="K66" i="17"/>
  <c r="K124" i="17"/>
  <c r="K88" i="17"/>
  <c r="K14" i="17"/>
  <c r="K46" i="17"/>
  <c r="K120" i="17"/>
  <c r="U109" i="15"/>
  <c r="R10" i="17"/>
  <c r="K47" i="17"/>
  <c r="U27" i="15"/>
  <c r="N49" i="17"/>
  <c r="P148" i="15"/>
  <c r="P137" i="15"/>
  <c r="P150" i="15"/>
  <c r="N11" i="17"/>
  <c r="N12" i="17"/>
  <c r="P201" i="15"/>
  <c r="P61" i="15"/>
  <c r="P58" i="15"/>
  <c r="P65" i="15"/>
  <c r="R38" i="15"/>
  <c r="R98" i="15"/>
  <c r="R330" i="17" s="1"/>
  <c r="R86" i="15"/>
  <c r="S26" i="15"/>
  <c r="R117" i="15"/>
  <c r="S27" i="15"/>
  <c r="R75" i="15"/>
  <c r="R112" i="15"/>
  <c r="R17" i="15"/>
  <c r="R148" i="15"/>
  <c r="R76" i="15"/>
  <c r="R25" i="15"/>
  <c r="R439" i="17" s="1"/>
  <c r="R137" i="15"/>
  <c r="S109" i="15"/>
  <c r="S425" i="17" s="1"/>
  <c r="R87" i="15"/>
  <c r="R110" i="15"/>
  <c r="R151" i="15"/>
  <c r="R32" i="15"/>
  <c r="R14" i="15"/>
  <c r="R29" i="15"/>
  <c r="R326" i="17" s="1"/>
  <c r="R8" i="15"/>
  <c r="R114" i="15"/>
  <c r="R558" i="17" s="1"/>
  <c r="R113" i="15"/>
  <c r="R85" i="15"/>
  <c r="R31" i="15"/>
  <c r="R155" i="17" s="1"/>
  <c r="R115" i="15"/>
  <c r="R235" i="17"/>
  <c r="R94" i="15"/>
  <c r="R6" i="15"/>
  <c r="R514" i="17" s="1"/>
  <c r="R35" i="15"/>
  <c r="R15" i="15"/>
  <c r="R134" i="15"/>
  <c r="R388" i="17" s="1"/>
  <c r="R16" i="15"/>
  <c r="R287" i="17" s="1"/>
  <c r="R18" i="15"/>
  <c r="R82" i="15"/>
  <c r="R133" i="15"/>
  <c r="R30" i="15"/>
  <c r="R201" i="15"/>
  <c r="R84" i="15"/>
  <c r="R202" i="15"/>
  <c r="R200" i="15"/>
  <c r="R96" i="15"/>
  <c r="R443" i="17" s="1"/>
  <c r="R79" i="15"/>
  <c r="R5" i="15"/>
  <c r="R419" i="17" s="1"/>
  <c r="R80" i="15"/>
  <c r="R556" i="17" s="1"/>
  <c r="R143" i="15"/>
  <c r="R142" i="17" s="1"/>
  <c r="R97" i="15"/>
  <c r="R89" i="15"/>
  <c r="R595" i="17" s="1"/>
  <c r="R21" i="15"/>
  <c r="R149" i="15"/>
  <c r="R314" i="17" s="1"/>
  <c r="R128" i="15"/>
  <c r="R34" i="15"/>
  <c r="R78" i="15"/>
  <c r="R95" i="15"/>
  <c r="R424" i="17" s="1"/>
  <c r="R28" i="15"/>
  <c r="R364" i="17" s="1"/>
  <c r="R116" i="15"/>
  <c r="R74" i="15"/>
  <c r="R498" i="17" s="1"/>
  <c r="R83" i="15"/>
  <c r="R518" i="17" s="1"/>
  <c r="R77" i="15"/>
  <c r="R70" i="15"/>
  <c r="R41" i="15"/>
  <c r="R136" i="15"/>
  <c r="R19" i="15"/>
  <c r="R7" i="15"/>
  <c r="R494" i="17" s="1"/>
  <c r="R9" i="15"/>
  <c r="R139" i="15"/>
  <c r="R154" i="15"/>
  <c r="R93" i="15"/>
  <c r="R111" i="15"/>
  <c r="R22" i="15"/>
  <c r="R129" i="15"/>
  <c r="R91" i="15"/>
  <c r="R130" i="15"/>
  <c r="R152" i="15"/>
  <c r="R92" i="15"/>
  <c r="R150" i="15"/>
  <c r="R73" i="15"/>
  <c r="R135" i="15"/>
  <c r="R23" i="15"/>
  <c r="R58" i="15"/>
  <c r="R65" i="15"/>
  <c r="R67" i="15"/>
  <c r="R61" i="15"/>
  <c r="R68" i="15"/>
  <c r="R56" i="15"/>
  <c r="R59" i="15"/>
  <c r="R53" i="15"/>
  <c r="R69" i="15"/>
  <c r="R55" i="15"/>
  <c r="R48" i="15"/>
  <c r="R45" i="15"/>
  <c r="R459" i="17" s="1"/>
  <c r="R52" i="15"/>
  <c r="R49" i="15"/>
  <c r="R40" i="15"/>
  <c r="R42" i="15"/>
  <c r="R44" i="15"/>
  <c r="R402" i="17" s="1"/>
  <c r="R36" i="15"/>
  <c r="R46" i="15"/>
  <c r="R43" i="15"/>
  <c r="P66" i="15" l="1"/>
  <c r="R524" i="17"/>
  <c r="U202" i="15"/>
  <c r="R505" i="17"/>
  <c r="U201" i="15"/>
  <c r="U505" i="17" s="1"/>
  <c r="U200" i="15"/>
  <c r="T88" i="17"/>
  <c r="T124" i="17"/>
  <c r="T465" i="17"/>
  <c r="T69" i="17"/>
  <c r="N465" i="17"/>
  <c r="N69" i="17"/>
  <c r="P153" i="15"/>
  <c r="N200" i="17"/>
  <c r="N219" i="17"/>
  <c r="P151" i="15"/>
  <c r="T219" i="17"/>
  <c r="T200" i="17"/>
  <c r="N276" i="17"/>
  <c r="N352" i="17"/>
  <c r="P156" i="15"/>
  <c r="T314" i="17"/>
  <c r="T31" i="17"/>
  <c r="T389" i="17"/>
  <c r="T598" i="17"/>
  <c r="T276" i="17"/>
  <c r="T352" i="17"/>
  <c r="P597" i="17"/>
  <c r="P256" i="17"/>
  <c r="P275" i="17"/>
  <c r="P180" i="17"/>
  <c r="U137" i="15"/>
  <c r="U501" i="17" s="1"/>
  <c r="P596" i="17"/>
  <c r="P217" i="17"/>
  <c r="P463" i="17"/>
  <c r="P179" i="17"/>
  <c r="P444" i="17"/>
  <c r="P274" i="17"/>
  <c r="P558" i="17"/>
  <c r="P86" i="17"/>
  <c r="P60" i="15"/>
  <c r="P574" i="17" s="1"/>
  <c r="T141" i="17"/>
  <c r="T48" i="17"/>
  <c r="T160" i="17"/>
  <c r="T198" i="17"/>
  <c r="P405" i="17"/>
  <c r="P140" i="17"/>
  <c r="P557" i="17"/>
  <c r="P499" i="17"/>
  <c r="N519" i="17"/>
  <c r="N28" i="17"/>
  <c r="P90" i="15"/>
  <c r="P443" i="17"/>
  <c r="P47" i="17"/>
  <c r="P462" i="17"/>
  <c r="P216" i="17"/>
  <c r="P63" i="15"/>
  <c r="T443" i="17"/>
  <c r="T47" i="17"/>
  <c r="T499" i="17"/>
  <c r="T557" i="17"/>
  <c r="S311" i="17"/>
  <c r="S178" i="17"/>
  <c r="T348" i="17"/>
  <c r="T291" i="17"/>
  <c r="T214" i="17"/>
  <c r="T403" i="17"/>
  <c r="P573" i="17"/>
  <c r="P346" i="17"/>
  <c r="N536" i="17"/>
  <c r="N195" i="17"/>
  <c r="P59" i="15"/>
  <c r="S481" i="17"/>
  <c r="S159" i="17"/>
  <c r="N82" i="17"/>
  <c r="N421" i="17"/>
  <c r="P47" i="15"/>
  <c r="N158" i="17"/>
  <c r="N329" i="17"/>
  <c r="P84" i="15"/>
  <c r="P365" i="17"/>
  <c r="P63" i="17"/>
  <c r="T213" i="17"/>
  <c r="T554" i="17"/>
  <c r="N175" i="17"/>
  <c r="N516" i="17"/>
  <c r="P52" i="15"/>
  <c r="T43" i="17"/>
  <c r="T364" i="17"/>
  <c r="T138" i="17"/>
  <c r="T26" i="17"/>
  <c r="T480" i="17"/>
  <c r="T8" i="17"/>
  <c r="T574" i="17"/>
  <c r="T252" i="17"/>
  <c r="U102" i="15"/>
  <c r="R311" i="17"/>
  <c r="R178" i="17"/>
  <c r="T253" i="17"/>
  <c r="T177" i="17"/>
  <c r="T476" i="17"/>
  <c r="T192" i="17"/>
  <c r="U481" i="17"/>
  <c r="U159" i="17"/>
  <c r="T383" i="17"/>
  <c r="T194" i="17"/>
  <c r="T310" i="17"/>
  <c r="T139" i="17"/>
  <c r="P442" i="17"/>
  <c r="P215" i="17"/>
  <c r="N554" i="17"/>
  <c r="N213" i="17"/>
  <c r="P51" i="15"/>
  <c r="T420" i="17"/>
  <c r="T553" i="17"/>
  <c r="N138" i="17"/>
  <c r="N26" i="17"/>
  <c r="P57" i="15"/>
  <c r="T497" i="17"/>
  <c r="T460" i="17"/>
  <c r="N252" i="17"/>
  <c r="N574" i="17"/>
  <c r="N253" i="17"/>
  <c r="N177" i="17"/>
  <c r="P72" i="15"/>
  <c r="P458" i="17"/>
  <c r="P136" i="17"/>
  <c r="N364" i="17"/>
  <c r="N43" i="17"/>
  <c r="P28" i="15"/>
  <c r="P367" i="17"/>
  <c r="P461" i="17"/>
  <c r="T306" i="17"/>
  <c r="T344" i="17"/>
  <c r="P117" i="17"/>
  <c r="P155" i="17"/>
  <c r="N420" i="17"/>
  <c r="N553" i="17"/>
  <c r="P24" i="15"/>
  <c r="P440" i="17"/>
  <c r="P156" i="17"/>
  <c r="N460" i="17"/>
  <c r="N497" i="17"/>
  <c r="T307" i="17"/>
  <c r="T288" i="17"/>
  <c r="T196" i="17"/>
  <c r="T404" i="17"/>
  <c r="T363" i="17"/>
  <c r="T400" i="17"/>
  <c r="T5" i="17"/>
  <c r="T345" i="17"/>
  <c r="T289" i="17"/>
  <c r="T251" i="17"/>
  <c r="T81" i="17"/>
  <c r="T439" i="17"/>
  <c r="P269" i="17"/>
  <c r="P250" i="17"/>
  <c r="P234" i="17"/>
  <c r="P272" i="17"/>
  <c r="T83" i="17"/>
  <c r="T7" i="17"/>
  <c r="T193" i="17"/>
  <c r="T591" i="17"/>
  <c r="N345" i="17"/>
  <c r="N5" i="17"/>
  <c r="P33" i="15"/>
  <c r="T572" i="17"/>
  <c r="T62" i="17"/>
  <c r="T422" i="17"/>
  <c r="T384" i="17"/>
  <c r="T347" i="17"/>
  <c r="T176" i="17"/>
  <c r="T421" i="17"/>
  <c r="T82" i="17"/>
  <c r="T158" i="17"/>
  <c r="T329" i="17"/>
  <c r="T120" i="17"/>
  <c r="T46" i="17"/>
  <c r="N289" i="17"/>
  <c r="N251" i="17"/>
  <c r="P41" i="15"/>
  <c r="T571" i="17"/>
  <c r="T438" i="17"/>
  <c r="T516" i="17"/>
  <c r="T175" i="17"/>
  <c r="T116" i="17"/>
  <c r="T494" i="17"/>
  <c r="R292" i="17"/>
  <c r="U100" i="15"/>
  <c r="T136" i="17"/>
  <c r="T458" i="17"/>
  <c r="A314" i="15"/>
  <c r="A397" i="17"/>
  <c r="A227" i="17"/>
  <c r="R26" i="17"/>
  <c r="R138" i="17"/>
  <c r="R534" i="17"/>
  <c r="R515" i="17"/>
  <c r="R554" i="17"/>
  <c r="R213" i="17"/>
  <c r="R6" i="17"/>
  <c r="R327" i="17"/>
  <c r="R536" i="17"/>
  <c r="R195" i="17"/>
  <c r="R233" i="17"/>
  <c r="R309" i="17"/>
  <c r="R442" i="17"/>
  <c r="R215" i="17"/>
  <c r="R458" i="17"/>
  <c r="R136" i="17"/>
  <c r="R48" i="17"/>
  <c r="R141" i="17"/>
  <c r="R370" i="17"/>
  <c r="R199" i="17"/>
  <c r="R348" i="17"/>
  <c r="R291" i="17"/>
  <c r="R344" i="17"/>
  <c r="R306" i="17"/>
  <c r="P126" i="17"/>
  <c r="P505" i="17"/>
  <c r="U72" i="15"/>
  <c r="R177" i="17"/>
  <c r="R253" i="17"/>
  <c r="R477" i="17"/>
  <c r="R382" i="17"/>
  <c r="R422" i="17"/>
  <c r="R384" i="17"/>
  <c r="R593" i="17"/>
  <c r="R157" i="17"/>
  <c r="R160" i="17"/>
  <c r="R198" i="17"/>
  <c r="R464" i="17"/>
  <c r="R407" i="17"/>
  <c r="R461" i="17"/>
  <c r="R367" i="17"/>
  <c r="R272" i="17"/>
  <c r="R234" i="17"/>
  <c r="R368" i="17"/>
  <c r="R386" i="17"/>
  <c r="R476" i="17"/>
  <c r="R192" i="17"/>
  <c r="R5" i="17"/>
  <c r="R345" i="17"/>
  <c r="P593" i="17"/>
  <c r="P157" i="17"/>
  <c r="P501" i="17"/>
  <c r="P483" i="17"/>
  <c r="U495" i="17"/>
  <c r="U401" i="17"/>
  <c r="R478" i="17"/>
  <c r="R592" i="17"/>
  <c r="R49" i="17"/>
  <c r="R559" i="17"/>
  <c r="R596" i="17"/>
  <c r="R217" i="17"/>
  <c r="R516" i="17"/>
  <c r="R175" i="17"/>
  <c r="R497" i="17"/>
  <c r="R460" i="17"/>
  <c r="R273" i="17"/>
  <c r="R254" i="17"/>
  <c r="R289" i="17"/>
  <c r="R251" i="17"/>
  <c r="U18" i="15"/>
  <c r="R552" i="17"/>
  <c r="R154" i="17"/>
  <c r="R577" i="17"/>
  <c r="R255" i="17"/>
  <c r="P101" i="17"/>
  <c r="P441" i="17"/>
  <c r="P484" i="17"/>
  <c r="P238" i="17"/>
  <c r="R119" i="17"/>
  <c r="R366" i="17"/>
  <c r="R462" i="17"/>
  <c r="R216" i="17"/>
  <c r="R598" i="17"/>
  <c r="R389" i="17"/>
  <c r="R517" i="17"/>
  <c r="R328" i="17"/>
  <c r="R352" i="17"/>
  <c r="R276" i="17"/>
  <c r="U21" i="15"/>
  <c r="R307" i="17"/>
  <c r="R288" i="17"/>
  <c r="R316" i="17"/>
  <c r="R297" i="17"/>
  <c r="R444" i="17"/>
  <c r="R274" i="17"/>
  <c r="U14" i="15"/>
  <c r="R438" i="17"/>
  <c r="R571" i="17"/>
  <c r="R501" i="17"/>
  <c r="R483" i="17"/>
  <c r="R310" i="17"/>
  <c r="R139" i="17"/>
  <c r="R573" i="17"/>
  <c r="R346" i="17"/>
  <c r="R533" i="17"/>
  <c r="R173" i="17"/>
  <c r="U10" i="17"/>
  <c r="U425" i="17"/>
  <c r="R555" i="17"/>
  <c r="R290" i="17"/>
  <c r="R347" i="17"/>
  <c r="R176" i="17"/>
  <c r="R408" i="17"/>
  <c r="R257" i="17"/>
  <c r="R597" i="17"/>
  <c r="R256" i="17"/>
  <c r="R553" i="17"/>
  <c r="R420" i="17"/>
  <c r="R537" i="17"/>
  <c r="R423" i="17"/>
  <c r="U32" i="15"/>
  <c r="R174" i="17"/>
  <c r="R231" i="17"/>
  <c r="S269" i="17"/>
  <c r="S250" i="17"/>
  <c r="R496" i="17"/>
  <c r="R137" i="17"/>
  <c r="U250" i="17"/>
  <c r="U269" i="17"/>
  <c r="S495" i="17"/>
  <c r="S401" i="17"/>
  <c r="R82" i="17"/>
  <c r="R421" i="17"/>
  <c r="R308" i="17"/>
  <c r="R270" i="17"/>
  <c r="R574" i="17"/>
  <c r="R252" i="17"/>
  <c r="R101" i="17"/>
  <c r="R441" i="17"/>
  <c r="R591" i="17"/>
  <c r="R193" i="17"/>
  <c r="R275" i="17"/>
  <c r="R180" i="17"/>
  <c r="R363" i="17"/>
  <c r="R400" i="17"/>
  <c r="R404" i="17"/>
  <c r="R196" i="17"/>
  <c r="R557" i="17"/>
  <c r="R499" i="17"/>
  <c r="R329" i="17"/>
  <c r="R158" i="17"/>
  <c r="R381" i="17"/>
  <c r="R211" i="17"/>
  <c r="R8" i="17"/>
  <c r="R480" i="17"/>
  <c r="R102" i="17"/>
  <c r="R385" i="17"/>
  <c r="R463" i="17"/>
  <c r="R179" i="17"/>
  <c r="P497" i="17"/>
  <c r="P460" i="17"/>
  <c r="R403" i="17"/>
  <c r="R214" i="17"/>
  <c r="R383" i="17"/>
  <c r="R194" i="17"/>
  <c r="R63" i="17"/>
  <c r="R365" i="17"/>
  <c r="R440" i="17"/>
  <c r="R156" i="17"/>
  <c r="R351" i="17"/>
  <c r="R426" i="17"/>
  <c r="R405" i="17"/>
  <c r="R140" i="17"/>
  <c r="R99" i="17"/>
  <c r="R212" i="17"/>
  <c r="R62" i="17"/>
  <c r="R572" i="17"/>
  <c r="R69" i="17"/>
  <c r="R465" i="17"/>
  <c r="R219" i="17"/>
  <c r="R200" i="17"/>
  <c r="R484" i="17"/>
  <c r="R238" i="17"/>
  <c r="P309" i="17"/>
  <c r="P233" i="17"/>
  <c r="R116" i="17"/>
  <c r="R43" i="17"/>
  <c r="R103" i="17"/>
  <c r="R14" i="17"/>
  <c r="R4" i="17"/>
  <c r="R117" i="17"/>
  <c r="R84" i="17"/>
  <c r="R24" i="17"/>
  <c r="U90" i="15"/>
  <c r="R28" i="17"/>
  <c r="P124" i="17"/>
  <c r="P88" i="17"/>
  <c r="R65" i="17"/>
  <c r="R31" i="17"/>
  <c r="R23" i="17"/>
  <c r="P83" i="17"/>
  <c r="P7" i="17"/>
  <c r="N83" i="17"/>
  <c r="N7" i="17"/>
  <c r="R27" i="17"/>
  <c r="R44" i="17"/>
  <c r="R121" i="17"/>
  <c r="N88" i="17"/>
  <c r="N124" i="17"/>
  <c r="R29" i="17"/>
  <c r="R122" i="17"/>
  <c r="R123" i="17"/>
  <c r="R126" i="17"/>
  <c r="R99" i="15"/>
  <c r="R538" i="17" s="1"/>
  <c r="N9" i="17"/>
  <c r="R7" i="17"/>
  <c r="R83" i="17"/>
  <c r="R118" i="17"/>
  <c r="R98" i="17"/>
  <c r="U114" i="15"/>
  <c r="R86" i="17"/>
  <c r="U86" i="15"/>
  <c r="R46" i="17"/>
  <c r="R120" i="17"/>
  <c r="U98" i="15"/>
  <c r="R85" i="17"/>
  <c r="S100" i="15"/>
  <c r="R66" i="17"/>
  <c r="R124" i="17"/>
  <c r="R88" i="17"/>
  <c r="R47" i="17"/>
  <c r="R11" i="17"/>
  <c r="S10" i="17"/>
  <c r="R81" i="17"/>
  <c r="U156" i="15"/>
  <c r="R157" i="15"/>
  <c r="R541" i="17" s="1"/>
  <c r="P99" i="15"/>
  <c r="P129" i="15"/>
  <c r="P134" i="15"/>
  <c r="P157" i="15"/>
  <c r="U33" i="15"/>
  <c r="U345" i="17" s="1"/>
  <c r="U75" i="15"/>
  <c r="U95" i="15"/>
  <c r="U424" i="17" s="1"/>
  <c r="U134" i="15"/>
  <c r="U151" i="15"/>
  <c r="U139" i="15"/>
  <c r="U143" i="15"/>
  <c r="U142" i="17" s="1"/>
  <c r="U112" i="15"/>
  <c r="U79" i="15"/>
  <c r="U89" i="15"/>
  <c r="U595" i="17" s="1"/>
  <c r="U92" i="15"/>
  <c r="U154" i="15"/>
  <c r="U148" i="15"/>
  <c r="U96" i="15"/>
  <c r="U443" i="17" s="1"/>
  <c r="U524" i="17"/>
  <c r="U116" i="15"/>
  <c r="U141" i="17" s="1"/>
  <c r="U76" i="15"/>
  <c r="U385" i="17" s="1"/>
  <c r="U110" i="15"/>
  <c r="U152" i="15"/>
  <c r="U150" i="15"/>
  <c r="U97" i="15"/>
  <c r="U94" i="15"/>
  <c r="U130" i="15"/>
  <c r="U80" i="15"/>
  <c r="U556" i="17" s="1"/>
  <c r="U111" i="15"/>
  <c r="U78" i="15"/>
  <c r="U29" i="15"/>
  <c r="U326" i="17" s="1"/>
  <c r="U17" i="15"/>
  <c r="U117" i="15"/>
  <c r="U115" i="15"/>
  <c r="U83" i="15"/>
  <c r="U518" i="17" s="1"/>
  <c r="U5" i="15"/>
  <c r="U419" i="17" s="1"/>
  <c r="U93" i="15"/>
  <c r="U87" i="15"/>
  <c r="U24" i="15"/>
  <c r="U41" i="15"/>
  <c r="S38" i="15"/>
  <c r="U16" i="15"/>
  <c r="U287" i="17" s="1"/>
  <c r="U38" i="15"/>
  <c r="U82" i="15"/>
  <c r="U74" i="15"/>
  <c r="U498" i="17" s="1"/>
  <c r="U70" i="15"/>
  <c r="U22" i="15"/>
  <c r="U28" i="15"/>
  <c r="U364" i="17" s="1"/>
  <c r="S8" i="15"/>
  <c r="U25" i="15"/>
  <c r="U439" i="17" s="1"/>
  <c r="U8" i="15"/>
  <c r="U9" i="15"/>
  <c r="U6" i="15"/>
  <c r="U514" i="17" s="1"/>
  <c r="S43" i="15"/>
  <c r="U73" i="15"/>
  <c r="S137" i="15"/>
  <c r="S25" i="15"/>
  <c r="S60" i="15"/>
  <c r="S61" i="15"/>
  <c r="S112" i="15"/>
  <c r="S75" i="15"/>
  <c r="S148" i="15"/>
  <c r="S117" i="15"/>
  <c r="S86" i="15"/>
  <c r="S76" i="15"/>
  <c r="S33" i="15"/>
  <c r="U48" i="15"/>
  <c r="S17" i="15"/>
  <c r="S98" i="15"/>
  <c r="S330" i="17" s="1"/>
  <c r="U77" i="15"/>
  <c r="U129" i="15"/>
  <c r="U559" i="17" s="1"/>
  <c r="S46" i="15"/>
  <c r="S53" i="15"/>
  <c r="S73" i="15"/>
  <c r="S129" i="15"/>
  <c r="S77" i="15"/>
  <c r="S116" i="15"/>
  <c r="S128" i="15"/>
  <c r="U128" i="15"/>
  <c r="S133" i="15"/>
  <c r="U133" i="15"/>
  <c r="S35" i="15"/>
  <c r="U35" i="15"/>
  <c r="S72" i="15"/>
  <c r="S110" i="15"/>
  <c r="S57" i="15"/>
  <c r="S91" i="15"/>
  <c r="U91" i="15"/>
  <c r="S111" i="15"/>
  <c r="S136" i="15"/>
  <c r="U136" i="15"/>
  <c r="S21" i="15"/>
  <c r="S200" i="15"/>
  <c r="S235" i="17"/>
  <c r="S115" i="15"/>
  <c r="S153" i="15"/>
  <c r="U153" i="15"/>
  <c r="S59" i="15"/>
  <c r="S66" i="15"/>
  <c r="S93" i="15"/>
  <c r="S139" i="15"/>
  <c r="S7" i="15"/>
  <c r="U7" i="15"/>
  <c r="U494" i="17" s="1"/>
  <c r="S83" i="15"/>
  <c r="S149" i="15"/>
  <c r="U149" i="15"/>
  <c r="U314" i="17" s="1"/>
  <c r="S143" i="15"/>
  <c r="S142" i="17" s="1"/>
  <c r="S5" i="15"/>
  <c r="S202" i="15"/>
  <c r="S6" i="15"/>
  <c r="S67" i="15"/>
  <c r="S150" i="15"/>
  <c r="S95" i="15"/>
  <c r="S424" i="17" s="1"/>
  <c r="S30" i="15"/>
  <c r="U30" i="15"/>
  <c r="S18" i="15"/>
  <c r="S134" i="15"/>
  <c r="S388" i="17" s="1"/>
  <c r="S31" i="15"/>
  <c r="U31" i="15"/>
  <c r="U155" i="17" s="1"/>
  <c r="S44" i="15"/>
  <c r="S154" i="15"/>
  <c r="S19" i="15"/>
  <c r="U19" i="15"/>
  <c r="S70" i="15"/>
  <c r="S89" i="15"/>
  <c r="S79" i="15"/>
  <c r="S113" i="15"/>
  <c r="U113" i="15"/>
  <c r="S29" i="15"/>
  <c r="S14" i="15"/>
  <c r="S90" i="15"/>
  <c r="S519" i="17" s="1"/>
  <c r="S40" i="15"/>
  <c r="S45" i="15"/>
  <c r="S58" i="15"/>
  <c r="S23" i="15"/>
  <c r="U23" i="15"/>
  <c r="S92" i="15"/>
  <c r="S156" i="15"/>
  <c r="S84" i="15"/>
  <c r="U84" i="15"/>
  <c r="S16" i="15"/>
  <c r="S15" i="15"/>
  <c r="U15" i="15"/>
  <c r="S87" i="15"/>
  <c r="S69" i="15"/>
  <c r="S22" i="15"/>
  <c r="S9" i="15"/>
  <c r="S41" i="15"/>
  <c r="S24" i="15"/>
  <c r="S74" i="15"/>
  <c r="S28" i="15"/>
  <c r="S34" i="15"/>
  <c r="U34" i="15"/>
  <c r="S97" i="15"/>
  <c r="S96" i="15"/>
  <c r="S82" i="15"/>
  <c r="S85" i="15"/>
  <c r="U85" i="15"/>
  <c r="S151" i="15"/>
  <c r="S135" i="15"/>
  <c r="U135" i="15"/>
  <c r="S152" i="15"/>
  <c r="S130" i="15"/>
  <c r="S78" i="15"/>
  <c r="S80" i="15"/>
  <c r="S201" i="15"/>
  <c r="S94" i="15"/>
  <c r="S114" i="15"/>
  <c r="S558" i="17" s="1"/>
  <c r="S32" i="15"/>
  <c r="U67" i="15"/>
  <c r="U57" i="15"/>
  <c r="U66" i="15"/>
  <c r="U69" i="15"/>
  <c r="U60" i="15"/>
  <c r="U53" i="15"/>
  <c r="U59" i="15"/>
  <c r="U61" i="15"/>
  <c r="U58" i="15"/>
  <c r="S55" i="15"/>
  <c r="U55" i="15"/>
  <c r="S68" i="15"/>
  <c r="U68" i="15"/>
  <c r="S65" i="15"/>
  <c r="U65" i="15"/>
  <c r="S56" i="15"/>
  <c r="U56" i="15"/>
  <c r="S63" i="15"/>
  <c r="U63" i="15"/>
  <c r="U43" i="15"/>
  <c r="U45" i="15"/>
  <c r="U459" i="17" s="1"/>
  <c r="U40" i="15"/>
  <c r="U46" i="15"/>
  <c r="S47" i="15"/>
  <c r="U47" i="15"/>
  <c r="S52" i="15"/>
  <c r="U52" i="15"/>
  <c r="S48" i="15"/>
  <c r="S42" i="15"/>
  <c r="U42" i="15"/>
  <c r="S49" i="15"/>
  <c r="U49" i="15"/>
  <c r="S36" i="15"/>
  <c r="U36" i="15"/>
  <c r="U44" i="15"/>
  <c r="S51" i="15"/>
  <c r="U51" i="15"/>
  <c r="P252" i="17" l="1"/>
  <c r="U483" i="17"/>
  <c r="P352" i="17"/>
  <c r="P276" i="17"/>
  <c r="P69" i="17"/>
  <c r="P465" i="17"/>
  <c r="P219" i="17"/>
  <c r="P200" i="17"/>
  <c r="P28" i="17"/>
  <c r="P519" i="17"/>
  <c r="P345" i="17"/>
  <c r="P5" i="17"/>
  <c r="P26" i="17"/>
  <c r="P138" i="17"/>
  <c r="P82" i="17"/>
  <c r="P421" i="17"/>
  <c r="P251" i="17"/>
  <c r="P289" i="17"/>
  <c r="P253" i="17"/>
  <c r="P177" i="17"/>
  <c r="P553" i="17"/>
  <c r="P420" i="17"/>
  <c r="P43" i="17"/>
  <c r="P364" i="17"/>
  <c r="P213" i="17"/>
  <c r="P554" i="17"/>
  <c r="U178" i="17"/>
  <c r="U311" i="17"/>
  <c r="P329" i="17"/>
  <c r="P158" i="17"/>
  <c r="P516" i="17"/>
  <c r="P175" i="17"/>
  <c r="P536" i="17"/>
  <c r="P195" i="17"/>
  <c r="U292" i="17"/>
  <c r="U66" i="17"/>
  <c r="S99" i="15"/>
  <c r="S538" i="17" s="1"/>
  <c r="A341" i="17"/>
  <c r="A322" i="17"/>
  <c r="U6" i="17"/>
  <c r="U327" i="17"/>
  <c r="U119" i="17"/>
  <c r="U366" i="17"/>
  <c r="S420" i="17"/>
  <c r="S553" i="17"/>
  <c r="U461" i="17"/>
  <c r="U367" i="17"/>
  <c r="U346" i="17"/>
  <c r="U573" i="17"/>
  <c r="S422" i="17"/>
  <c r="S384" i="17"/>
  <c r="S119" i="17"/>
  <c r="S366" i="17"/>
  <c r="U101" i="17"/>
  <c r="U441" i="17"/>
  <c r="U574" i="17"/>
  <c r="U252" i="17"/>
  <c r="S537" i="17"/>
  <c r="S423" i="17"/>
  <c r="S351" i="17"/>
  <c r="S426" i="17"/>
  <c r="S557" i="17"/>
  <c r="S499" i="17"/>
  <c r="S289" i="17"/>
  <c r="S251" i="17"/>
  <c r="S381" i="17"/>
  <c r="S211" i="17"/>
  <c r="S533" i="17"/>
  <c r="S173" i="17"/>
  <c r="S552" i="17"/>
  <c r="S154" i="17"/>
  <c r="S444" i="17"/>
  <c r="S274" i="17"/>
  <c r="S160" i="17"/>
  <c r="S198" i="17"/>
  <c r="S463" i="17"/>
  <c r="S179" i="17"/>
  <c r="S501" i="17"/>
  <c r="S483" i="17"/>
  <c r="U442" i="17"/>
  <c r="U215" i="17"/>
  <c r="S476" i="17"/>
  <c r="S192" i="17"/>
  <c r="S496" i="17"/>
  <c r="S137" i="17"/>
  <c r="U463" i="17"/>
  <c r="U179" i="17"/>
  <c r="U160" i="17"/>
  <c r="U198" i="17"/>
  <c r="U275" i="17"/>
  <c r="U180" i="17"/>
  <c r="U219" i="17"/>
  <c r="U200" i="17"/>
  <c r="U86" i="17"/>
  <c r="U558" i="17"/>
  <c r="U552" i="17"/>
  <c r="U154" i="17"/>
  <c r="U177" i="17"/>
  <c r="U253" i="17"/>
  <c r="U516" i="17"/>
  <c r="U175" i="17"/>
  <c r="U591" i="17"/>
  <c r="U193" i="17"/>
  <c r="S69" i="17"/>
  <c r="S465" i="17"/>
  <c r="P9" i="17"/>
  <c r="P538" i="17"/>
  <c r="S6" i="17"/>
  <c r="S327" i="17"/>
  <c r="S516" i="17"/>
  <c r="S175" i="17"/>
  <c r="S174" i="17"/>
  <c r="S231" i="17"/>
  <c r="S363" i="17"/>
  <c r="S400" i="17"/>
  <c r="S4" i="17"/>
  <c r="S287" i="17"/>
  <c r="S591" i="17"/>
  <c r="S193" i="17"/>
  <c r="U596" i="17"/>
  <c r="U217" i="17"/>
  <c r="S598" i="17"/>
  <c r="S389" i="17"/>
  <c r="S403" i="17"/>
  <c r="S214" i="17"/>
  <c r="S31" i="17"/>
  <c r="S314" i="17"/>
  <c r="U405" i="17"/>
  <c r="U140" i="17"/>
  <c r="U62" i="17"/>
  <c r="U572" i="17"/>
  <c r="S48" i="17"/>
  <c r="S141" i="17"/>
  <c r="S440" i="17"/>
  <c r="S156" i="17"/>
  <c r="S484" i="17"/>
  <c r="S238" i="17"/>
  <c r="S383" i="17"/>
  <c r="S194" i="17"/>
  <c r="U289" i="17"/>
  <c r="U251" i="17"/>
  <c r="U273" i="17"/>
  <c r="U254" i="17"/>
  <c r="U235" i="17"/>
  <c r="U462" i="17"/>
  <c r="U216" i="17"/>
  <c r="U577" i="17"/>
  <c r="U255" i="17"/>
  <c r="U352" i="17"/>
  <c r="U276" i="17"/>
  <c r="S66" i="17"/>
  <c r="S292" i="17"/>
  <c r="U444" i="17"/>
  <c r="U274" i="17"/>
  <c r="U597" i="17"/>
  <c r="U256" i="17"/>
  <c r="U309" i="17"/>
  <c r="U233" i="17"/>
  <c r="U593" i="17"/>
  <c r="U157" i="17"/>
  <c r="U536" i="17"/>
  <c r="U195" i="17"/>
  <c r="S219" i="17"/>
  <c r="S200" i="17"/>
  <c r="U99" i="17"/>
  <c r="U212" i="17"/>
  <c r="S458" i="17"/>
  <c r="S136" i="17"/>
  <c r="S593" i="17"/>
  <c r="S157" i="17"/>
  <c r="S596" i="17"/>
  <c r="S217" i="17"/>
  <c r="U534" i="17"/>
  <c r="U515" i="17"/>
  <c r="S84" i="17"/>
  <c r="S518" i="17"/>
  <c r="S62" i="17"/>
  <c r="S572" i="17"/>
  <c r="S404" i="17"/>
  <c r="S196" i="17"/>
  <c r="S478" i="17"/>
  <c r="S592" i="17"/>
  <c r="S310" i="17"/>
  <c r="S139" i="17"/>
  <c r="U234" i="17"/>
  <c r="U272" i="17"/>
  <c r="U344" i="17"/>
  <c r="U306" i="17"/>
  <c r="U386" i="17"/>
  <c r="U368" i="17"/>
  <c r="U11" i="17"/>
  <c r="U388" i="17"/>
  <c r="U316" i="17"/>
  <c r="U297" i="17"/>
  <c r="U478" i="17"/>
  <c r="U592" i="17"/>
  <c r="U351" i="17"/>
  <c r="U426" i="17"/>
  <c r="S24" i="17"/>
  <c r="S326" i="17"/>
  <c r="S177" i="17"/>
  <c r="S253" i="17"/>
  <c r="U537" i="17"/>
  <c r="U423" i="17"/>
  <c r="S554" i="17"/>
  <c r="S213" i="17"/>
  <c r="U63" i="17"/>
  <c r="U365" i="17"/>
  <c r="S309" i="17"/>
  <c r="S233" i="17"/>
  <c r="U440" i="17"/>
  <c r="U156" i="17"/>
  <c r="S386" i="17"/>
  <c r="S368" i="17"/>
  <c r="U329" i="17"/>
  <c r="U158" i="17"/>
  <c r="S118" i="17"/>
  <c r="S459" i="17"/>
  <c r="S461" i="17"/>
  <c r="S367" i="17"/>
  <c r="S44" i="17"/>
  <c r="S402" i="17"/>
  <c r="S515" i="17"/>
  <c r="S534" i="17"/>
  <c r="S98" i="17"/>
  <c r="S514" i="17"/>
  <c r="S316" i="17"/>
  <c r="S297" i="17"/>
  <c r="S405" i="17"/>
  <c r="S140" i="17"/>
  <c r="U370" i="17"/>
  <c r="U199" i="17"/>
  <c r="S344" i="17"/>
  <c r="S306" i="17"/>
  <c r="S577" i="17"/>
  <c r="S255" i="17"/>
  <c r="U420" i="17"/>
  <c r="U553" i="17"/>
  <c r="U499" i="17"/>
  <c r="U557" i="17"/>
  <c r="U85" i="17"/>
  <c r="U330" i="17"/>
  <c r="U231" i="17"/>
  <c r="U174" i="17"/>
  <c r="U383" i="17"/>
  <c r="U194" i="17"/>
  <c r="S47" i="17"/>
  <c r="S443" i="17"/>
  <c r="U533" i="17"/>
  <c r="U173" i="17"/>
  <c r="S464" i="17"/>
  <c r="S407" i="17"/>
  <c r="S81" i="17"/>
  <c r="S439" i="17"/>
  <c r="U598" i="17"/>
  <c r="U389" i="17"/>
  <c r="U44" i="17"/>
  <c r="U402" i="17"/>
  <c r="S63" i="17"/>
  <c r="S365" i="17"/>
  <c r="U82" i="17"/>
  <c r="U421" i="17"/>
  <c r="U497" i="17"/>
  <c r="U460" i="17"/>
  <c r="U347" i="17"/>
  <c r="U176" i="17"/>
  <c r="U403" i="17"/>
  <c r="U214" i="17"/>
  <c r="S275" i="17"/>
  <c r="S180" i="17"/>
  <c r="U8" i="17"/>
  <c r="U480" i="17"/>
  <c r="S99" i="17"/>
  <c r="S212" i="17"/>
  <c r="S555" i="17"/>
  <c r="S290" i="17"/>
  <c r="S329" i="17"/>
  <c r="S158" i="17"/>
  <c r="S346" i="17"/>
  <c r="S573" i="17"/>
  <c r="S103" i="17"/>
  <c r="S595" i="17"/>
  <c r="S14" i="17"/>
  <c r="S524" i="17"/>
  <c r="S536" i="17"/>
  <c r="S195" i="17"/>
  <c r="S288" i="17"/>
  <c r="S307" i="17"/>
  <c r="S26" i="17"/>
  <c r="S138" i="17"/>
  <c r="S49" i="17"/>
  <c r="S559" i="17"/>
  <c r="U308" i="17"/>
  <c r="U270" i="17"/>
  <c r="S101" i="17"/>
  <c r="S441" i="17"/>
  <c r="U363" i="17"/>
  <c r="U400" i="17"/>
  <c r="U458" i="17"/>
  <c r="U136" i="17"/>
  <c r="U496" i="17"/>
  <c r="U137" i="17"/>
  <c r="P12" i="17"/>
  <c r="P541" i="17"/>
  <c r="U28" i="17"/>
  <c r="U519" i="17"/>
  <c r="U408" i="17"/>
  <c r="U257" i="17"/>
  <c r="U554" i="17"/>
  <c r="U213" i="17"/>
  <c r="U382" i="17"/>
  <c r="U477" i="17"/>
  <c r="S460" i="17"/>
  <c r="S497" i="17"/>
  <c r="S347" i="17"/>
  <c r="S176" i="17"/>
  <c r="U555" i="17"/>
  <c r="U290" i="17"/>
  <c r="S408" i="17"/>
  <c r="S257" i="17"/>
  <c r="S8" i="17"/>
  <c r="S480" i="17"/>
  <c r="S43" i="17"/>
  <c r="S364" i="17"/>
  <c r="S348" i="17"/>
  <c r="S291" i="17"/>
  <c r="S352" i="17"/>
  <c r="S276" i="17"/>
  <c r="S517" i="17"/>
  <c r="S328" i="17"/>
  <c r="S23" i="17"/>
  <c r="S419" i="17"/>
  <c r="S116" i="17"/>
  <c r="S494" i="17"/>
  <c r="U69" i="17"/>
  <c r="U465" i="17"/>
  <c r="S370" i="17"/>
  <c r="S199" i="17"/>
  <c r="S5" i="17"/>
  <c r="S345" i="17"/>
  <c r="S574" i="17"/>
  <c r="S252" i="17"/>
  <c r="U476" i="17"/>
  <c r="U192" i="17"/>
  <c r="U484" i="17"/>
  <c r="U238" i="17"/>
  <c r="P11" i="17"/>
  <c r="P388" i="17"/>
  <c r="U438" i="17"/>
  <c r="U571" i="17"/>
  <c r="U307" i="17"/>
  <c r="U288" i="17"/>
  <c r="S27" i="17"/>
  <c r="S556" i="17"/>
  <c r="S273" i="17"/>
  <c r="S254" i="17"/>
  <c r="U517" i="17"/>
  <c r="U328" i="17"/>
  <c r="S382" i="17"/>
  <c r="S477" i="17"/>
  <c r="S308" i="17"/>
  <c r="S270" i="17"/>
  <c r="S82" i="17"/>
  <c r="S421" i="17"/>
  <c r="U384" i="17"/>
  <c r="U422" i="17"/>
  <c r="U26" i="17"/>
  <c r="U138" i="17"/>
  <c r="S126" i="17"/>
  <c r="S505" i="17"/>
  <c r="S272" i="17"/>
  <c r="S234" i="17"/>
  <c r="S65" i="17"/>
  <c r="S498" i="17"/>
  <c r="U381" i="17"/>
  <c r="U211" i="17"/>
  <c r="S462" i="17"/>
  <c r="S216" i="17"/>
  <c r="S571" i="17"/>
  <c r="S438" i="17"/>
  <c r="S117" i="17"/>
  <c r="S155" i="17"/>
  <c r="S597" i="17"/>
  <c r="S256" i="17"/>
  <c r="U464" i="17"/>
  <c r="U407" i="17"/>
  <c r="S442" i="17"/>
  <c r="S215" i="17"/>
  <c r="U404" i="17"/>
  <c r="U196" i="17"/>
  <c r="S102" i="17"/>
  <c r="S385" i="17"/>
  <c r="U348" i="17"/>
  <c r="U291" i="17"/>
  <c r="U139" i="17"/>
  <c r="U310" i="17"/>
  <c r="P49" i="17"/>
  <c r="P559" i="17"/>
  <c r="S28" i="17"/>
  <c r="U117" i="17"/>
  <c r="S85" i="17"/>
  <c r="U120" i="17"/>
  <c r="U46" i="17"/>
  <c r="S124" i="17"/>
  <c r="S88" i="17"/>
  <c r="U31" i="17"/>
  <c r="S29" i="17"/>
  <c r="S122" i="17"/>
  <c r="U49" i="17"/>
  <c r="U81" i="17"/>
  <c r="U14" i="17"/>
  <c r="U118" i="17"/>
  <c r="S86" i="17"/>
  <c r="U43" i="17"/>
  <c r="U4" i="17"/>
  <c r="U23" i="17"/>
  <c r="U88" i="17"/>
  <c r="U124" i="17"/>
  <c r="U122" i="17"/>
  <c r="U29" i="17"/>
  <c r="U123" i="17"/>
  <c r="U5" i="17"/>
  <c r="R12" i="17"/>
  <c r="U99" i="15"/>
  <c r="R9" i="17"/>
  <c r="U126" i="17"/>
  <c r="S121" i="17"/>
  <c r="U84" i="17"/>
  <c r="U102" i="17"/>
  <c r="U48" i="17"/>
  <c r="U103" i="17"/>
  <c r="U24" i="17"/>
  <c r="S83" i="17"/>
  <c r="S7" i="17"/>
  <c r="U47" i="17"/>
  <c r="S123" i="17"/>
  <c r="U98" i="17"/>
  <c r="U121" i="17"/>
  <c r="U83" i="17"/>
  <c r="U7" i="17"/>
  <c r="U116" i="17"/>
  <c r="S11" i="17"/>
  <c r="S46" i="17"/>
  <c r="S120" i="17"/>
  <c r="U65" i="17"/>
  <c r="U27" i="17"/>
  <c r="S157" i="15"/>
  <c r="U157" i="15"/>
  <c r="U541" i="17" s="1"/>
  <c r="S9" i="17" l="1"/>
  <c r="A132" i="17"/>
  <c r="A77" i="17"/>
  <c r="S12" i="17"/>
  <c r="S541" i="17"/>
  <c r="U538" i="17"/>
  <c r="U12" i="17"/>
  <c r="U9" i="17"/>
  <c r="R7" i="13"/>
  <c r="R35" i="13"/>
  <c r="W35" i="13" s="1"/>
  <c r="R11" i="13"/>
  <c r="W7" i="13" l="1"/>
  <c r="U7" i="13"/>
  <c r="W11" i="13"/>
  <c r="U11" i="13"/>
  <c r="R41" i="13"/>
  <c r="R17" i="13"/>
  <c r="R32" i="13"/>
  <c r="R25" i="13"/>
  <c r="R13" i="13"/>
  <c r="W13" i="13" s="1"/>
  <c r="R15" i="13"/>
  <c r="W15" i="13" s="1"/>
  <c r="R12" i="13"/>
  <c r="W12" i="13" s="1"/>
  <c r="R5" i="13"/>
  <c r="R33" i="13"/>
  <c r="W33" i="13" s="1"/>
  <c r="S7" i="13"/>
  <c r="P14" i="13"/>
  <c r="R14" i="13"/>
  <c r="W14" i="13" s="1"/>
  <c r="P16" i="13"/>
  <c r="R16" i="13"/>
  <c r="W16" i="13" s="1"/>
  <c r="R18" i="13"/>
  <c r="W18" i="13" s="1"/>
  <c r="R20" i="13"/>
  <c r="W20" i="13" s="1"/>
  <c r="S35" i="13"/>
  <c r="U35" i="13"/>
  <c r="R28" i="13"/>
  <c r="W28" i="13" s="1"/>
  <c r="R29" i="13"/>
  <c r="W29" i="13" s="1"/>
  <c r="R23" i="13"/>
  <c r="W23" i="13" s="1"/>
  <c r="W24" i="13"/>
  <c r="R30" i="13"/>
  <c r="W30" i="13" s="1"/>
  <c r="R42" i="13"/>
  <c r="W42" i="13" s="1"/>
  <c r="P3" i="13"/>
  <c r="R3" i="13"/>
  <c r="S11" i="13"/>
  <c r="R37" i="13"/>
  <c r="W37" i="13" s="1"/>
  <c r="R22" i="13"/>
  <c r="W22" i="13" s="1"/>
  <c r="R34" i="13"/>
  <c r="W34" i="13" s="1"/>
  <c r="R38" i="13"/>
  <c r="W38" i="13" s="1"/>
  <c r="R21" i="13"/>
  <c r="W21" i="13" s="1"/>
  <c r="R19" i="13"/>
  <c r="W19" i="13" s="1"/>
  <c r="P10" i="13"/>
  <c r="R10" i="13"/>
  <c r="R39" i="13"/>
  <c r="W39" i="13" s="1"/>
  <c r="P4" i="13"/>
  <c r="R4" i="13"/>
  <c r="R9" i="13"/>
  <c r="P8" i="13"/>
  <c r="R8" i="13"/>
  <c r="P13" i="13"/>
  <c r="P7" i="13"/>
  <c r="P15" i="13"/>
  <c r="P12" i="13"/>
  <c r="P9" i="13"/>
  <c r="P5" i="13"/>
  <c r="P11" i="13"/>
  <c r="BI28" i="13"/>
  <c r="BB18" i="13"/>
  <c r="BI9" i="13"/>
  <c r="BI34" i="13"/>
  <c r="BB34" i="13"/>
  <c r="BI42" i="13"/>
  <c r="BB42" i="13"/>
  <c r="BI35" i="13"/>
  <c r="BB35" i="13"/>
  <c r="BI39" i="13"/>
  <c r="BB39" i="13"/>
  <c r="BI37" i="13"/>
  <c r="BB37" i="13"/>
  <c r="BI25" i="13"/>
  <c r="BB25" i="13"/>
  <c r="BI24" i="13"/>
  <c r="BB24" i="13"/>
  <c r="BI20" i="13"/>
  <c r="BB20" i="13"/>
  <c r="BI19" i="13"/>
  <c r="BB19" i="13"/>
  <c r="BI18" i="13"/>
  <c r="BI14" i="13"/>
  <c r="BB14" i="13"/>
  <c r="BI13" i="13"/>
  <c r="BB13" i="13"/>
  <c r="BI12" i="13"/>
  <c r="BB12" i="13"/>
  <c r="BI7" i="13"/>
  <c r="BB7" i="13"/>
  <c r="BP7" i="13" s="1"/>
  <c r="BW7" i="13" s="1"/>
  <c r="BI8" i="13"/>
  <c r="BB8" i="13"/>
  <c r="BI38" i="13"/>
  <c r="BB38" i="13"/>
  <c r="BI41" i="13"/>
  <c r="BB41" i="13"/>
  <c r="BI32" i="13"/>
  <c r="BB32" i="13"/>
  <c r="BI33" i="13"/>
  <c r="BB33" i="13"/>
  <c r="BI30" i="13"/>
  <c r="BB30" i="13"/>
  <c r="BI29" i="13"/>
  <c r="BB29" i="13"/>
  <c r="BB28" i="13"/>
  <c r="BI23" i="13"/>
  <c r="BB23" i="13"/>
  <c r="BI21" i="13"/>
  <c r="BB21" i="13"/>
  <c r="BI22" i="13"/>
  <c r="BB22" i="13"/>
  <c r="BI17" i="13"/>
  <c r="BB17" i="13"/>
  <c r="BI16" i="13"/>
  <c r="BB16" i="13"/>
  <c r="BI15" i="13"/>
  <c r="BB15" i="13"/>
  <c r="BI11" i="13"/>
  <c r="BB11" i="13"/>
  <c r="BI10" i="13"/>
  <c r="BB10" i="13"/>
  <c r="BB9" i="13"/>
  <c r="BI5" i="13"/>
  <c r="BI4" i="13"/>
  <c r="BB5" i="13"/>
  <c r="BB4" i="13"/>
  <c r="BI3" i="13"/>
  <c r="BB3" i="13"/>
  <c r="BP13" i="13" l="1"/>
  <c r="BP8" i="13"/>
  <c r="BP5" i="13"/>
  <c r="BP42" i="13"/>
  <c r="BP23" i="13"/>
  <c r="BP18" i="13"/>
  <c r="BP32" i="13"/>
  <c r="BP29" i="13"/>
  <c r="BP12" i="13"/>
  <c r="BP9" i="13"/>
  <c r="BW9" i="13" s="1"/>
  <c r="BW22" i="13"/>
  <c r="BP22" i="13"/>
  <c r="BP30" i="13"/>
  <c r="BW30" i="13" s="1"/>
  <c r="BW39" i="13"/>
  <c r="BP39" i="13"/>
  <c r="BP15" i="13"/>
  <c r="BW15" i="13" s="1"/>
  <c r="BP21" i="13"/>
  <c r="BW21" i="13" s="1"/>
  <c r="BW38" i="13"/>
  <c r="BP38" i="13"/>
  <c r="BP24" i="13"/>
  <c r="BW24" i="13" s="1"/>
  <c r="BP35" i="13"/>
  <c r="BW35" i="13" s="1"/>
  <c r="BW28" i="13"/>
  <c r="BP28" i="13"/>
  <c r="BP4" i="13"/>
  <c r="BW4" i="13" s="1"/>
  <c r="BP33" i="13"/>
  <c r="BW33" i="13" s="1"/>
  <c r="BW23" i="13"/>
  <c r="BP14" i="13"/>
  <c r="BW14" i="13" s="1"/>
  <c r="BW25" i="13"/>
  <c r="BP25" i="13"/>
  <c r="BP17" i="13"/>
  <c r="BW17" i="13" s="1"/>
  <c r="BP37" i="13"/>
  <c r="BW37" i="13" s="1"/>
  <c r="BP34" i="13"/>
  <c r="BW34" i="13" s="1"/>
  <c r="BW16" i="13"/>
  <c r="BP16" i="13"/>
  <c r="BW10" i="13"/>
  <c r="BP10" i="13"/>
  <c r="BP41" i="13"/>
  <c r="BW41" i="13" s="1"/>
  <c r="BP19" i="13"/>
  <c r="BW3" i="13"/>
  <c r="BP3" i="13"/>
  <c r="BP11" i="13"/>
  <c r="BW11" i="13" s="1"/>
  <c r="BP20" i="13"/>
  <c r="BW20" i="13" s="1"/>
  <c r="U8" i="13"/>
  <c r="W8" i="13"/>
  <c r="S41" i="13"/>
  <c r="W41" i="13"/>
  <c r="S32" i="13"/>
  <c r="W32" i="13"/>
  <c r="U32" i="13"/>
  <c r="S25" i="13"/>
  <c r="W25" i="13"/>
  <c r="U17" i="13"/>
  <c r="W17" i="13"/>
  <c r="U10" i="13"/>
  <c r="W10" i="13"/>
  <c r="W9" i="13"/>
  <c r="U9" i="13"/>
  <c r="S5" i="13"/>
  <c r="U5" i="13"/>
  <c r="W5" i="13"/>
  <c r="U4" i="13"/>
  <c r="W4" i="13"/>
  <c r="U3" i="13"/>
  <c r="W3" i="13"/>
  <c r="S17" i="13"/>
  <c r="U41" i="13"/>
  <c r="S15" i="13"/>
  <c r="U15" i="13"/>
  <c r="U13" i="13"/>
  <c r="S13" i="13"/>
  <c r="U12" i="13"/>
  <c r="U25" i="13"/>
  <c r="S12" i="13"/>
  <c r="U29" i="13"/>
  <c r="U39" i="13"/>
  <c r="S18" i="13"/>
  <c r="U18" i="13"/>
  <c r="U21" i="13"/>
  <c r="S28" i="13"/>
  <c r="U28" i="13"/>
  <c r="S14" i="13"/>
  <c r="U14" i="13"/>
  <c r="S9" i="13"/>
  <c r="S19" i="13"/>
  <c r="U19" i="13"/>
  <c r="S21" i="13"/>
  <c r="S34" i="13"/>
  <c r="U34" i="13"/>
  <c r="S3" i="13"/>
  <c r="S8" i="13"/>
  <c r="S10" i="13"/>
  <c r="S24" i="13"/>
  <c r="U24" i="13"/>
  <c r="S4" i="13"/>
  <c r="S22" i="13"/>
  <c r="S37" i="13"/>
  <c r="U37" i="13"/>
  <c r="S42" i="13"/>
  <c r="U42" i="13"/>
  <c r="U22" i="13"/>
  <c r="S23" i="13"/>
  <c r="U23" i="13"/>
  <c r="S16" i="13"/>
  <c r="U16" i="13"/>
  <c r="S38" i="13"/>
  <c r="S39" i="13"/>
  <c r="S30" i="13"/>
  <c r="U30" i="13"/>
  <c r="S20" i="13"/>
  <c r="U20" i="13"/>
  <c r="S33" i="13"/>
  <c r="U33" i="13"/>
  <c r="U38" i="13"/>
  <c r="S29" i="13"/>
  <c r="BW29" i="13"/>
  <c r="BW32" i="13"/>
  <c r="BW8" i="13"/>
  <c r="BW13" i="13"/>
  <c r="BW18" i="13"/>
  <c r="BW5" i="13"/>
  <c r="BW19" i="13"/>
  <c r="BW12" i="13"/>
  <c r="BW42" i="13" l="1"/>
  <c r="V594" i="17" l="1"/>
  <c r="V348" i="17"/>
  <c r="V347" i="17"/>
  <c r="N61" i="17"/>
  <c r="W461" i="17"/>
  <c r="BC114" i="17"/>
  <c r="BC549" i="17"/>
  <c r="BC492" i="17"/>
  <c r="BC455" i="17"/>
  <c r="BC588" i="17"/>
  <c r="BC247" i="17"/>
  <c r="BC474" i="17"/>
  <c r="BC322" i="17"/>
  <c r="BC530" i="17"/>
  <c r="BC491" i="17"/>
  <c r="BC454" i="17"/>
  <c r="BC303" i="17"/>
  <c r="BC473" i="17"/>
  <c r="BC547" i="17"/>
  <c r="BC510" i="17"/>
  <c r="BC359" i="17"/>
  <c r="BC264" i="17"/>
  <c r="BC529" i="17"/>
  <c r="BC605" i="17"/>
  <c r="BC131" i="17"/>
  <c r="BC168" i="17"/>
  <c r="BC546" i="17"/>
  <c r="BC415" i="17"/>
  <c r="BC509" i="17"/>
  <c r="BC339" i="17"/>
  <c r="BC604" i="17"/>
  <c r="BC377" i="17"/>
  <c r="BC206" i="17"/>
  <c r="BC545" i="17"/>
  <c r="BC527" i="17"/>
  <c r="BC584" i="17"/>
  <c r="BC603" i="17"/>
  <c r="BC432" i="17"/>
  <c r="BC508" i="17"/>
  <c r="BC450" i="17"/>
  <c r="BC337" i="17"/>
  <c r="BC487" i="17"/>
  <c r="BC356" i="17"/>
  <c r="BC526" i="17"/>
  <c r="BC91" i="17"/>
  <c r="BC602" i="17"/>
  <c r="BC185" i="17"/>
  <c r="BC375" i="17"/>
  <c r="BC261" i="17"/>
  <c r="BC525" i="17"/>
  <c r="BC260" i="17"/>
  <c r="BC429" i="17"/>
  <c r="BC203" i="17"/>
  <c r="BC411" i="17"/>
  <c r="BC560" i="17"/>
  <c r="BC581" i="17"/>
  <c r="BC505" i="17"/>
  <c r="BC467" i="17"/>
  <c r="BC600" i="17"/>
  <c r="BC524" i="17"/>
  <c r="BC504" i="17"/>
  <c r="BC258" i="17"/>
  <c r="BC353" i="17"/>
  <c r="BC427" i="17"/>
  <c r="BC335" i="17"/>
  <c r="BC314" i="17"/>
  <c r="BC541" i="17"/>
  <c r="BC599" i="17"/>
  <c r="BC409" i="17"/>
  <c r="BC161" i="17"/>
  <c r="BC579" i="17"/>
  <c r="BC598" i="17"/>
  <c r="BC445" i="17"/>
  <c r="BC219" i="17"/>
  <c r="BC200" i="17"/>
  <c r="BC334" i="17"/>
  <c r="BC160" i="17"/>
  <c r="BC578" i="17"/>
  <c r="BC482" i="17"/>
  <c r="BC237" i="17"/>
  <c r="BC145" i="17"/>
  <c r="BC520" i="17"/>
  <c r="BC236" i="17"/>
  <c r="BC274" i="17"/>
  <c r="BC596" i="17"/>
  <c r="BC481" i="17"/>
  <c r="BC557" i="17"/>
  <c r="BC577" i="17"/>
  <c r="BC10" i="17"/>
  <c r="BC556" i="17"/>
  <c r="BC235" i="17"/>
  <c r="BC595" i="17"/>
  <c r="BC292" i="17"/>
  <c r="BC576" i="17"/>
  <c r="BC480" i="17"/>
  <c r="BC594" i="17"/>
  <c r="BC8" i="17"/>
  <c r="BC479" i="17"/>
  <c r="BC121" i="17"/>
  <c r="BC575" i="17"/>
  <c r="BC347" i="17"/>
  <c r="BC7" i="17"/>
  <c r="BC156" i="17"/>
  <c r="BC120" i="17"/>
  <c r="BC554" i="17"/>
  <c r="AQ492" i="17"/>
  <c r="AQ209" i="17"/>
  <c r="AQ607" i="17"/>
  <c r="AQ588" i="17"/>
  <c r="AQ568" i="17"/>
  <c r="AQ435" i="17"/>
  <c r="AQ95" i="17"/>
  <c r="AQ606" i="17"/>
  <c r="AQ511" i="17"/>
  <c r="AQ587" i="17"/>
  <c r="AQ113" i="17"/>
  <c r="AQ567" i="17"/>
  <c r="AQ417" i="17"/>
  <c r="AQ473" i="17"/>
  <c r="AQ416" i="17"/>
  <c r="AQ359" i="17"/>
  <c r="AQ245" i="17"/>
  <c r="AQ264" i="17"/>
  <c r="AQ529" i="17"/>
  <c r="AQ605" i="17"/>
  <c r="AQ131" i="17"/>
  <c r="AQ40" i="17"/>
  <c r="AQ112" i="17"/>
  <c r="AQ339" i="17"/>
  <c r="AQ528" i="17"/>
  <c r="AQ565" i="17"/>
  <c r="AQ604" i="17"/>
  <c r="AQ489" i="17"/>
  <c r="AQ358" i="17"/>
  <c r="AQ585" i="17"/>
  <c r="AQ471" i="17"/>
  <c r="AQ433" i="17"/>
  <c r="AQ167" i="17"/>
  <c r="AQ111" i="17"/>
  <c r="BJ300" i="17"/>
  <c r="AQ488" i="17"/>
  <c r="AQ224" i="17"/>
  <c r="AQ414" i="17"/>
  <c r="AQ584" i="17"/>
  <c r="AQ357" i="17"/>
  <c r="AQ432" i="17"/>
  <c r="AQ508" i="17"/>
  <c r="AQ110" i="17"/>
  <c r="AQ563" i="17"/>
  <c r="AQ583" i="17"/>
  <c r="AQ526" i="17"/>
  <c r="AQ37" i="17"/>
  <c r="AQ469" i="17"/>
  <c r="AQ165" i="17"/>
  <c r="AQ507" i="17"/>
  <c r="AQ241" i="17"/>
  <c r="BC601" i="17"/>
  <c r="AQ543" i="17"/>
  <c r="AQ164" i="17"/>
  <c r="AQ506" i="17"/>
  <c r="AQ429" i="17"/>
  <c r="AQ582" i="17"/>
  <c r="AQ149" i="17"/>
  <c r="AQ428" i="17"/>
  <c r="AQ447" i="17"/>
  <c r="AQ148" i="17"/>
  <c r="AQ560" i="17"/>
  <c r="AQ354" i="17"/>
  <c r="AQ581" i="17"/>
  <c r="AQ259" i="17"/>
  <c r="AQ600" i="17"/>
  <c r="AQ240" i="17"/>
  <c r="AQ524" i="17"/>
  <c r="AQ410" i="17"/>
  <c r="AQ523" i="17"/>
  <c r="AQ277" i="17"/>
  <c r="AQ427" i="17"/>
  <c r="AQ335" i="17"/>
  <c r="AQ484" i="17"/>
  <c r="AQ541" i="17"/>
  <c r="AQ599" i="17"/>
  <c r="AQ409" i="17"/>
  <c r="AQ483" i="17"/>
  <c r="AQ540" i="17"/>
  <c r="AQ105" i="17"/>
  <c r="AQ579" i="17"/>
  <c r="AQ352" i="17"/>
  <c r="AQ371" i="17"/>
  <c r="AQ33" i="17"/>
  <c r="AQ218" i="17"/>
  <c r="AQ502" i="17"/>
  <c r="AQ521" i="17"/>
  <c r="AQ425" i="17"/>
  <c r="AQ482" i="17"/>
  <c r="AQ597" i="17"/>
  <c r="AQ408" i="17"/>
  <c r="AQ144" i="17"/>
  <c r="AQ274" i="17"/>
  <c r="AQ596" i="17"/>
  <c r="AQ501" i="17"/>
  <c r="AQ463" i="17"/>
  <c r="AQ443" i="17"/>
  <c r="AQ577" i="17"/>
  <c r="BC519" i="17"/>
  <c r="AQ556" i="17"/>
  <c r="AQ235" i="17"/>
  <c r="AQ292" i="17"/>
  <c r="AQ576" i="17"/>
  <c r="AQ216" i="17"/>
  <c r="AQ234" i="17"/>
  <c r="AQ83" i="17"/>
  <c r="AQ479" i="17"/>
  <c r="AQ121" i="17"/>
  <c r="AQ575" i="17"/>
  <c r="AQ347" i="17"/>
  <c r="AQ48" i="17"/>
  <c r="AQ593" i="17"/>
  <c r="AQ574" i="17"/>
  <c r="AQ120" i="17"/>
  <c r="AQ554" i="17"/>
  <c r="BB607" i="17"/>
  <c r="BA607" i="17"/>
  <c r="AZ607" i="17"/>
  <c r="AY607" i="17"/>
  <c r="AX607" i="17"/>
  <c r="AP607" i="17"/>
  <c r="AO607" i="17"/>
  <c r="AN607" i="17"/>
  <c r="AM607" i="17"/>
  <c r="AL607" i="17"/>
  <c r="AK607" i="17"/>
  <c r="AJ607" i="17"/>
  <c r="AI607" i="17"/>
  <c r="AH607" i="17"/>
  <c r="AG607" i="17"/>
  <c r="AF607" i="17"/>
  <c r="AE607" i="17"/>
  <c r="AD607" i="17"/>
  <c r="AB607" i="17"/>
  <c r="AA607" i="17"/>
  <c r="Z607" i="17"/>
  <c r="Y607" i="17"/>
  <c r="X607" i="17"/>
  <c r="V607" i="17"/>
  <c r="BB606" i="17"/>
  <c r="BA606" i="17"/>
  <c r="AZ606" i="17"/>
  <c r="AY606" i="17"/>
  <c r="AX606" i="17"/>
  <c r="AP606" i="17"/>
  <c r="AO606" i="17"/>
  <c r="AN606" i="17"/>
  <c r="AM606" i="17"/>
  <c r="AL606" i="17"/>
  <c r="AK606" i="17"/>
  <c r="AJ606" i="17"/>
  <c r="AI606" i="17"/>
  <c r="AH606" i="17"/>
  <c r="AG606" i="17"/>
  <c r="AF606" i="17"/>
  <c r="AE606" i="17"/>
  <c r="AD606" i="17"/>
  <c r="AB606" i="17"/>
  <c r="AA606" i="17"/>
  <c r="Z606" i="17"/>
  <c r="Y606" i="17"/>
  <c r="X606" i="17"/>
  <c r="V606" i="17"/>
  <c r="BB605" i="17"/>
  <c r="BA605" i="17"/>
  <c r="AZ605" i="17"/>
  <c r="AY605" i="17"/>
  <c r="AX605" i="17"/>
  <c r="AP605" i="17"/>
  <c r="AO605" i="17"/>
  <c r="AN605" i="17"/>
  <c r="AM605" i="17"/>
  <c r="AL605" i="17"/>
  <c r="AK605" i="17"/>
  <c r="AJ605" i="17"/>
  <c r="AI605" i="17"/>
  <c r="AH605" i="17"/>
  <c r="AG605" i="17"/>
  <c r="AF605" i="17"/>
  <c r="AE605" i="17"/>
  <c r="AD605" i="17"/>
  <c r="AB605" i="17"/>
  <c r="AA605" i="17"/>
  <c r="Z605" i="17"/>
  <c r="Y605" i="17"/>
  <c r="X605" i="17"/>
  <c r="V605" i="17"/>
  <c r="BB604" i="17"/>
  <c r="BA604" i="17"/>
  <c r="AZ604" i="17"/>
  <c r="AY604" i="17"/>
  <c r="AX604" i="17"/>
  <c r="AP604" i="17"/>
  <c r="AO604" i="17"/>
  <c r="AN604" i="17"/>
  <c r="AM604" i="17"/>
  <c r="AL604" i="17"/>
  <c r="AK604" i="17"/>
  <c r="AJ604" i="17"/>
  <c r="AI604" i="17"/>
  <c r="AH604" i="17"/>
  <c r="AG604" i="17"/>
  <c r="AF604" i="17"/>
  <c r="AE604" i="17"/>
  <c r="AD604" i="17"/>
  <c r="AB604" i="17"/>
  <c r="AA604" i="17"/>
  <c r="Z604" i="17"/>
  <c r="Y604" i="17"/>
  <c r="X604" i="17"/>
  <c r="V604" i="17"/>
  <c r="BB603" i="17"/>
  <c r="BA603" i="17"/>
  <c r="AZ603" i="17"/>
  <c r="AY603" i="17"/>
  <c r="AX603" i="17"/>
  <c r="AP603" i="17"/>
  <c r="AO603" i="17"/>
  <c r="AN603" i="17"/>
  <c r="AM603" i="17"/>
  <c r="AL603" i="17"/>
  <c r="AK603" i="17"/>
  <c r="AJ603" i="17"/>
  <c r="AI603" i="17"/>
  <c r="AH603" i="17"/>
  <c r="AG603" i="17"/>
  <c r="AF603" i="17"/>
  <c r="AE603" i="17"/>
  <c r="AD603" i="17"/>
  <c r="AB603" i="17"/>
  <c r="AA603" i="17"/>
  <c r="Z603" i="17"/>
  <c r="Y603" i="17"/>
  <c r="X603" i="17"/>
  <c r="BB602" i="17"/>
  <c r="BA602" i="17"/>
  <c r="AZ602" i="17"/>
  <c r="AY602" i="17"/>
  <c r="AX602" i="17"/>
  <c r="AP602" i="17"/>
  <c r="AO602" i="17"/>
  <c r="AN602" i="17"/>
  <c r="AM602" i="17"/>
  <c r="AL602" i="17"/>
  <c r="AK602" i="17"/>
  <c r="AJ602" i="17"/>
  <c r="AI602" i="17"/>
  <c r="AH602" i="17"/>
  <c r="AG602" i="17"/>
  <c r="AF602" i="17"/>
  <c r="AE602" i="17"/>
  <c r="AD602" i="17"/>
  <c r="AB602" i="17"/>
  <c r="AA602" i="17"/>
  <c r="Z602" i="17"/>
  <c r="Y602" i="17"/>
  <c r="X602" i="17"/>
  <c r="V602" i="17"/>
  <c r="BK601" i="17"/>
  <c r="BB601" i="17"/>
  <c r="BA601" i="17"/>
  <c r="AZ601" i="17"/>
  <c r="AY601" i="17"/>
  <c r="AX601" i="17"/>
  <c r="AP601" i="17"/>
  <c r="AO601" i="17"/>
  <c r="AN601" i="17"/>
  <c r="AM601" i="17"/>
  <c r="AL601" i="17"/>
  <c r="AK601" i="17"/>
  <c r="AJ601" i="17"/>
  <c r="AI601" i="17"/>
  <c r="AH601" i="17"/>
  <c r="AG601" i="17"/>
  <c r="AF601" i="17"/>
  <c r="AE601" i="17"/>
  <c r="AD601" i="17"/>
  <c r="AC601" i="17"/>
  <c r="AB601" i="17"/>
  <c r="AA601" i="17"/>
  <c r="Z601" i="17"/>
  <c r="Y601" i="17"/>
  <c r="X601" i="17"/>
  <c r="W601" i="17"/>
  <c r="V601" i="17"/>
  <c r="BB600" i="17"/>
  <c r="BA600" i="17"/>
  <c r="AZ600" i="17"/>
  <c r="AY600" i="17"/>
  <c r="AX600" i="17"/>
  <c r="AP600" i="17"/>
  <c r="AO600" i="17"/>
  <c r="AN600" i="17"/>
  <c r="AM600" i="17"/>
  <c r="AL600" i="17"/>
  <c r="AK600" i="17"/>
  <c r="AJ600" i="17"/>
  <c r="AI600" i="17"/>
  <c r="AH600" i="17"/>
  <c r="AG600" i="17"/>
  <c r="AF600" i="17"/>
  <c r="AE600" i="17"/>
  <c r="AD600" i="17"/>
  <c r="AB600" i="17"/>
  <c r="AA600" i="17"/>
  <c r="Z600" i="17"/>
  <c r="Y600" i="17"/>
  <c r="X600" i="17"/>
  <c r="BB599" i="17"/>
  <c r="BA599" i="17"/>
  <c r="AZ599" i="17"/>
  <c r="AY599" i="17"/>
  <c r="AX599" i="17"/>
  <c r="AP599" i="17"/>
  <c r="AO599" i="17"/>
  <c r="AN599" i="17"/>
  <c r="AM599" i="17"/>
  <c r="AL599" i="17"/>
  <c r="AK599" i="17"/>
  <c r="AJ599" i="17"/>
  <c r="AI599" i="17"/>
  <c r="AH599" i="17"/>
  <c r="AG599" i="17"/>
  <c r="AF599" i="17"/>
  <c r="AE599" i="17"/>
  <c r="AD599" i="17"/>
  <c r="AB599" i="17"/>
  <c r="AA599" i="17"/>
  <c r="Z599" i="17"/>
  <c r="Y599" i="17"/>
  <c r="X599" i="17"/>
  <c r="V599" i="17"/>
  <c r="BB598" i="17"/>
  <c r="BA598" i="17"/>
  <c r="AZ598" i="17"/>
  <c r="AY598" i="17"/>
  <c r="AX598" i="17"/>
  <c r="AQ598" i="17"/>
  <c r="AP598" i="17"/>
  <c r="AO598" i="17"/>
  <c r="AN598" i="17"/>
  <c r="AM598" i="17"/>
  <c r="AL598" i="17"/>
  <c r="AK598" i="17"/>
  <c r="AJ598" i="17"/>
  <c r="AI598" i="17"/>
  <c r="AH598" i="17"/>
  <c r="AG598" i="17"/>
  <c r="AF598" i="17"/>
  <c r="AE598" i="17"/>
  <c r="AD598" i="17"/>
  <c r="AB598" i="17"/>
  <c r="AA598" i="17"/>
  <c r="Z598" i="17"/>
  <c r="Y598" i="17"/>
  <c r="X598" i="17"/>
  <c r="V598" i="17"/>
  <c r="BB597" i="17"/>
  <c r="BA597" i="17"/>
  <c r="AZ597" i="17"/>
  <c r="AY597" i="17"/>
  <c r="AX597" i="17"/>
  <c r="AP597" i="17"/>
  <c r="AO597" i="17"/>
  <c r="AN597" i="17"/>
  <c r="AM597" i="17"/>
  <c r="AL597" i="17"/>
  <c r="AK597" i="17"/>
  <c r="AJ597" i="17"/>
  <c r="AI597" i="17"/>
  <c r="AH597" i="17"/>
  <c r="AG597" i="17"/>
  <c r="AF597" i="17"/>
  <c r="AE597" i="17"/>
  <c r="AD597" i="17"/>
  <c r="AB597" i="17"/>
  <c r="AA597" i="17"/>
  <c r="Z597" i="17"/>
  <c r="Y597" i="17"/>
  <c r="X597" i="17"/>
  <c r="V597" i="17"/>
  <c r="BB596" i="17"/>
  <c r="BA596" i="17"/>
  <c r="AZ596" i="17"/>
  <c r="AY596" i="17"/>
  <c r="AX596" i="17"/>
  <c r="AP596" i="17"/>
  <c r="AO596" i="17"/>
  <c r="AN596" i="17"/>
  <c r="AM596" i="17"/>
  <c r="AL596" i="17"/>
  <c r="AK596" i="17"/>
  <c r="AJ596" i="17"/>
  <c r="AI596" i="17"/>
  <c r="AH596" i="17"/>
  <c r="AG596" i="17"/>
  <c r="AF596" i="17"/>
  <c r="AE596" i="17"/>
  <c r="AD596" i="17"/>
  <c r="AB596" i="17"/>
  <c r="AA596" i="17"/>
  <c r="Z596" i="17"/>
  <c r="Y596" i="17"/>
  <c r="X596" i="17"/>
  <c r="V596" i="17"/>
  <c r="BB595" i="17"/>
  <c r="BA595" i="17"/>
  <c r="AZ595" i="17"/>
  <c r="AY595" i="17"/>
  <c r="AX595" i="17"/>
  <c r="AQ595" i="17"/>
  <c r="AP595" i="17"/>
  <c r="AO595" i="17"/>
  <c r="AN595" i="17"/>
  <c r="AM595" i="17"/>
  <c r="AL595" i="17"/>
  <c r="AK595" i="17"/>
  <c r="AJ595" i="17"/>
  <c r="AI595" i="17"/>
  <c r="AH595" i="17"/>
  <c r="AG595" i="17"/>
  <c r="AF595" i="17"/>
  <c r="AE595" i="17"/>
  <c r="AD595" i="17"/>
  <c r="AB595" i="17"/>
  <c r="AA595" i="17"/>
  <c r="Z595" i="17"/>
  <c r="Y595" i="17"/>
  <c r="X595" i="17"/>
  <c r="BB594" i="17"/>
  <c r="BA594" i="17"/>
  <c r="AZ594" i="17"/>
  <c r="AY594" i="17"/>
  <c r="AX594" i="17"/>
  <c r="AQ594" i="17"/>
  <c r="AP594" i="17"/>
  <c r="AO594" i="17"/>
  <c r="AN594" i="17"/>
  <c r="AM594" i="17"/>
  <c r="AL594" i="17"/>
  <c r="AK594" i="17"/>
  <c r="AJ594" i="17"/>
  <c r="AI594" i="17"/>
  <c r="AH594" i="17"/>
  <c r="AG594" i="17"/>
  <c r="AF594" i="17"/>
  <c r="AE594" i="17"/>
  <c r="AD594" i="17"/>
  <c r="AB594" i="17"/>
  <c r="AA594" i="17"/>
  <c r="Z594" i="17"/>
  <c r="Y594" i="17"/>
  <c r="X594" i="17"/>
  <c r="BB593" i="17"/>
  <c r="BA593" i="17"/>
  <c r="AZ593" i="17"/>
  <c r="AY593" i="17"/>
  <c r="AX593" i="17"/>
  <c r="AP593" i="17"/>
  <c r="AO593" i="17"/>
  <c r="AN593" i="17"/>
  <c r="AM593" i="17"/>
  <c r="AL593" i="17"/>
  <c r="AK593" i="17"/>
  <c r="AJ593" i="17"/>
  <c r="AI593" i="17"/>
  <c r="AH593" i="17"/>
  <c r="AG593" i="17"/>
  <c r="AF593" i="17"/>
  <c r="AE593" i="17"/>
  <c r="AD593" i="17"/>
  <c r="AB593" i="17"/>
  <c r="AA593" i="17"/>
  <c r="Z593" i="17"/>
  <c r="Y593" i="17"/>
  <c r="X593" i="17"/>
  <c r="BB588" i="17"/>
  <c r="BA588" i="17"/>
  <c r="AZ588" i="17"/>
  <c r="AY588" i="17"/>
  <c r="AX588" i="17"/>
  <c r="AP588" i="17"/>
  <c r="AO588" i="17"/>
  <c r="AN588" i="17"/>
  <c r="AM588" i="17"/>
  <c r="AL588" i="17"/>
  <c r="AK588" i="17"/>
  <c r="AJ588" i="17"/>
  <c r="AI588" i="17"/>
  <c r="AH588" i="17"/>
  <c r="AG588" i="17"/>
  <c r="AF588" i="17"/>
  <c r="AE588" i="17"/>
  <c r="AD588" i="17"/>
  <c r="AB588" i="17"/>
  <c r="AA588" i="17"/>
  <c r="Z588" i="17"/>
  <c r="Y588" i="17"/>
  <c r="X588" i="17"/>
  <c r="V588" i="17"/>
  <c r="BC587" i="17"/>
  <c r="BB587" i="17"/>
  <c r="BA587" i="17"/>
  <c r="AZ587" i="17"/>
  <c r="AY587" i="17"/>
  <c r="AX587" i="17"/>
  <c r="AP587" i="17"/>
  <c r="AO587" i="17"/>
  <c r="AN587" i="17"/>
  <c r="AM587" i="17"/>
  <c r="AL587" i="17"/>
  <c r="AK587" i="17"/>
  <c r="AJ587" i="17"/>
  <c r="AI587" i="17"/>
  <c r="AH587" i="17"/>
  <c r="AG587" i="17"/>
  <c r="AF587" i="17"/>
  <c r="AE587" i="17"/>
  <c r="AD587" i="17"/>
  <c r="AB587" i="17"/>
  <c r="AA587" i="17"/>
  <c r="Z587" i="17"/>
  <c r="Y587" i="17"/>
  <c r="X587" i="17"/>
  <c r="V587" i="17"/>
  <c r="BB586" i="17"/>
  <c r="BA586" i="17"/>
  <c r="AZ586" i="17"/>
  <c r="AY586" i="17"/>
  <c r="AX586" i="17"/>
  <c r="AP586" i="17"/>
  <c r="AO586" i="17"/>
  <c r="AN586" i="17"/>
  <c r="AM586" i="17"/>
  <c r="AL586" i="17"/>
  <c r="AK586" i="17"/>
  <c r="AJ586" i="17"/>
  <c r="AI586" i="17"/>
  <c r="AH586" i="17"/>
  <c r="AG586" i="17"/>
  <c r="AF586" i="17"/>
  <c r="AE586" i="17"/>
  <c r="AD586" i="17"/>
  <c r="AB586" i="17"/>
  <c r="AA586" i="17"/>
  <c r="Z586" i="17"/>
  <c r="Y586" i="17"/>
  <c r="X586" i="17"/>
  <c r="V586" i="17"/>
  <c r="BC585" i="17"/>
  <c r="BB585" i="17"/>
  <c r="BA585" i="17"/>
  <c r="AZ585" i="17"/>
  <c r="AY585" i="17"/>
  <c r="AX585" i="17"/>
  <c r="AP585" i="17"/>
  <c r="AO585" i="17"/>
  <c r="AN585" i="17"/>
  <c r="AM585" i="17"/>
  <c r="AL585" i="17"/>
  <c r="AK585" i="17"/>
  <c r="AJ585" i="17"/>
  <c r="AI585" i="17"/>
  <c r="AH585" i="17"/>
  <c r="AG585" i="17"/>
  <c r="AF585" i="17"/>
  <c r="AE585" i="17"/>
  <c r="AD585" i="17"/>
  <c r="AB585" i="17"/>
  <c r="AA585" i="17"/>
  <c r="Z585" i="17"/>
  <c r="Y585" i="17"/>
  <c r="X585" i="17"/>
  <c r="V585" i="17"/>
  <c r="BB584" i="17"/>
  <c r="BA584" i="17"/>
  <c r="AZ584" i="17"/>
  <c r="AY584" i="17"/>
  <c r="AX584" i="17"/>
  <c r="AP584" i="17"/>
  <c r="AO584" i="17"/>
  <c r="AN584" i="17"/>
  <c r="AM584" i="17"/>
  <c r="AL584" i="17"/>
  <c r="AK584" i="17"/>
  <c r="AJ584" i="17"/>
  <c r="AI584" i="17"/>
  <c r="AH584" i="17"/>
  <c r="AG584" i="17"/>
  <c r="AF584" i="17"/>
  <c r="AE584" i="17"/>
  <c r="AD584" i="17"/>
  <c r="AB584" i="17"/>
  <c r="AA584" i="17"/>
  <c r="Z584" i="17"/>
  <c r="Y584" i="17"/>
  <c r="X584" i="17"/>
  <c r="V584" i="17"/>
  <c r="BK583" i="17"/>
  <c r="BC583" i="17"/>
  <c r="BB583" i="17"/>
  <c r="BA583" i="17"/>
  <c r="AZ583" i="17"/>
  <c r="AY583" i="17"/>
  <c r="AX583" i="17"/>
  <c r="AP583" i="17"/>
  <c r="AO583" i="17"/>
  <c r="AN583" i="17"/>
  <c r="AM583" i="17"/>
  <c r="AL583" i="17"/>
  <c r="AK583" i="17"/>
  <c r="AJ583" i="17"/>
  <c r="AI583" i="17"/>
  <c r="AH583" i="17"/>
  <c r="AG583" i="17"/>
  <c r="AF583" i="17"/>
  <c r="AE583" i="17"/>
  <c r="AD583" i="17"/>
  <c r="AC583" i="17"/>
  <c r="AB583" i="17"/>
  <c r="AA583" i="17"/>
  <c r="Z583" i="17"/>
  <c r="Y583" i="17"/>
  <c r="X583" i="17"/>
  <c r="W583" i="17"/>
  <c r="V583" i="17"/>
  <c r="BC582" i="17"/>
  <c r="BB582" i="17"/>
  <c r="BA582" i="17"/>
  <c r="AZ582" i="17"/>
  <c r="AY582" i="17"/>
  <c r="AX582" i="17"/>
  <c r="AP582" i="17"/>
  <c r="AO582" i="17"/>
  <c r="AN582" i="17"/>
  <c r="AM582" i="17"/>
  <c r="AL582" i="17"/>
  <c r="AK582" i="17"/>
  <c r="AJ582" i="17"/>
  <c r="AI582" i="17"/>
  <c r="AH582" i="17"/>
  <c r="AG582" i="17"/>
  <c r="AF582" i="17"/>
  <c r="AE582" i="17"/>
  <c r="AD582" i="17"/>
  <c r="AB582" i="17"/>
  <c r="AA582" i="17"/>
  <c r="Z582" i="17"/>
  <c r="Y582" i="17"/>
  <c r="X582" i="17"/>
  <c r="V582" i="17"/>
  <c r="BB581" i="17"/>
  <c r="BA581" i="17"/>
  <c r="AZ581" i="17"/>
  <c r="AY581" i="17"/>
  <c r="AX581" i="17"/>
  <c r="AP581" i="17"/>
  <c r="AO581" i="17"/>
  <c r="AN581" i="17"/>
  <c r="AM581" i="17"/>
  <c r="AL581" i="17"/>
  <c r="AK581" i="17"/>
  <c r="AJ581" i="17"/>
  <c r="AI581" i="17"/>
  <c r="AH581" i="17"/>
  <c r="AG581" i="17"/>
  <c r="AF581" i="17"/>
  <c r="AE581" i="17"/>
  <c r="AD581" i="17"/>
  <c r="AB581" i="17"/>
  <c r="AA581" i="17"/>
  <c r="Z581" i="17"/>
  <c r="Y581" i="17"/>
  <c r="X581" i="17"/>
  <c r="V581" i="17"/>
  <c r="BC580" i="17"/>
  <c r="BB580" i="17"/>
  <c r="BA580" i="17"/>
  <c r="AZ580" i="17"/>
  <c r="AY580" i="17"/>
  <c r="AX580" i="17"/>
  <c r="AP580" i="17"/>
  <c r="AO580" i="17"/>
  <c r="AN580" i="17"/>
  <c r="AM580" i="17"/>
  <c r="AL580" i="17"/>
  <c r="AK580" i="17"/>
  <c r="AJ580" i="17"/>
  <c r="AI580" i="17"/>
  <c r="AH580" i="17"/>
  <c r="AG580" i="17"/>
  <c r="AF580" i="17"/>
  <c r="AE580" i="17"/>
  <c r="AD580" i="17"/>
  <c r="AB580" i="17"/>
  <c r="AA580" i="17"/>
  <c r="Z580" i="17"/>
  <c r="Y580" i="17"/>
  <c r="X580" i="17"/>
  <c r="V580" i="17"/>
  <c r="BB579" i="17"/>
  <c r="BA579" i="17"/>
  <c r="AZ579" i="17"/>
  <c r="AY579" i="17"/>
  <c r="AX579" i="17"/>
  <c r="AP579" i="17"/>
  <c r="AO579" i="17"/>
  <c r="AN579" i="17"/>
  <c r="AM579" i="17"/>
  <c r="AL579" i="17"/>
  <c r="AK579" i="17"/>
  <c r="AJ579" i="17"/>
  <c r="AI579" i="17"/>
  <c r="AH579" i="17"/>
  <c r="AG579" i="17"/>
  <c r="AF579" i="17"/>
  <c r="AE579" i="17"/>
  <c r="AD579" i="17"/>
  <c r="AB579" i="17"/>
  <c r="AA579" i="17"/>
  <c r="Z579" i="17"/>
  <c r="Y579" i="17"/>
  <c r="X579" i="17"/>
  <c r="V579" i="17"/>
  <c r="BB578" i="17"/>
  <c r="BA578" i="17"/>
  <c r="AZ578" i="17"/>
  <c r="AY578" i="17"/>
  <c r="AX578" i="17"/>
  <c r="AP578" i="17"/>
  <c r="AO578" i="17"/>
  <c r="AN578" i="17"/>
  <c r="AM578" i="17"/>
  <c r="AL578" i="17"/>
  <c r="AK578" i="17"/>
  <c r="AJ578" i="17"/>
  <c r="AI578" i="17"/>
  <c r="AH578" i="17"/>
  <c r="AG578" i="17"/>
  <c r="AF578" i="17"/>
  <c r="AE578" i="17"/>
  <c r="AD578" i="17"/>
  <c r="AB578" i="17"/>
  <c r="AA578" i="17"/>
  <c r="Z578" i="17"/>
  <c r="Y578" i="17"/>
  <c r="X578" i="17"/>
  <c r="BB577" i="17"/>
  <c r="BA577" i="17"/>
  <c r="AZ577" i="17"/>
  <c r="AY577" i="17"/>
  <c r="AX577" i="17"/>
  <c r="AP577" i="17"/>
  <c r="AO577" i="17"/>
  <c r="AN577" i="17"/>
  <c r="AM577" i="17"/>
  <c r="AL577" i="17"/>
  <c r="AK577" i="17"/>
  <c r="AJ577" i="17"/>
  <c r="AI577" i="17"/>
  <c r="AH577" i="17"/>
  <c r="AG577" i="17"/>
  <c r="AF577" i="17"/>
  <c r="AE577" i="17"/>
  <c r="AD577" i="17"/>
  <c r="AB577" i="17"/>
  <c r="AA577" i="17"/>
  <c r="Z577" i="17"/>
  <c r="Y577" i="17"/>
  <c r="X577" i="17"/>
  <c r="V577" i="17"/>
  <c r="BB576" i="17"/>
  <c r="BA576" i="17"/>
  <c r="AZ576" i="17"/>
  <c r="AY576" i="17"/>
  <c r="AX576" i="17"/>
  <c r="AP576" i="17"/>
  <c r="AO576" i="17"/>
  <c r="AN576" i="17"/>
  <c r="AM576" i="17"/>
  <c r="AL576" i="17"/>
  <c r="AK576" i="17"/>
  <c r="AJ576" i="17"/>
  <c r="AI576" i="17"/>
  <c r="AH576" i="17"/>
  <c r="AG576" i="17"/>
  <c r="AF576" i="17"/>
  <c r="AE576" i="17"/>
  <c r="AD576" i="17"/>
  <c r="AB576" i="17"/>
  <c r="AA576" i="17"/>
  <c r="Z576" i="17"/>
  <c r="Y576" i="17"/>
  <c r="X576" i="17"/>
  <c r="BB575" i="17"/>
  <c r="BA575" i="17"/>
  <c r="AZ575" i="17"/>
  <c r="AY575" i="17"/>
  <c r="AX575" i="17"/>
  <c r="AP575" i="17"/>
  <c r="AO575" i="17"/>
  <c r="AN575" i="17"/>
  <c r="AM575" i="17"/>
  <c r="AL575" i="17"/>
  <c r="AK575" i="17"/>
  <c r="AJ575" i="17"/>
  <c r="AI575" i="17"/>
  <c r="AH575" i="17"/>
  <c r="AG575" i="17"/>
  <c r="AF575" i="17"/>
  <c r="AE575" i="17"/>
  <c r="AD575" i="17"/>
  <c r="AB575" i="17"/>
  <c r="AA575" i="17"/>
  <c r="Z575" i="17"/>
  <c r="Y575" i="17"/>
  <c r="X575" i="17"/>
  <c r="V575" i="17"/>
  <c r="BC574" i="17"/>
  <c r="BB574" i="17"/>
  <c r="BA574" i="17"/>
  <c r="AZ574" i="17"/>
  <c r="AY574" i="17"/>
  <c r="AX574" i="17"/>
  <c r="AP574" i="17"/>
  <c r="AO574" i="17"/>
  <c r="AN574" i="17"/>
  <c r="AM574" i="17"/>
  <c r="AL574" i="17"/>
  <c r="AK574" i="17"/>
  <c r="AJ574" i="17"/>
  <c r="AI574" i="17"/>
  <c r="AH574" i="17"/>
  <c r="AG574" i="17"/>
  <c r="AF574" i="17"/>
  <c r="AE574" i="17"/>
  <c r="AD574" i="17"/>
  <c r="AB574" i="17"/>
  <c r="AA574" i="17"/>
  <c r="Z574" i="17"/>
  <c r="Y574" i="17"/>
  <c r="X574" i="17"/>
  <c r="BB569" i="17"/>
  <c r="BA569" i="17"/>
  <c r="AZ569" i="17"/>
  <c r="AY569" i="17"/>
  <c r="AX569" i="17"/>
  <c r="AP569" i="17"/>
  <c r="AO569" i="17"/>
  <c r="AN569" i="17"/>
  <c r="AM569" i="17"/>
  <c r="AL569" i="17"/>
  <c r="AK569" i="17"/>
  <c r="AJ569" i="17"/>
  <c r="AI569" i="17"/>
  <c r="AH569" i="17"/>
  <c r="AG569" i="17"/>
  <c r="AF569" i="17"/>
  <c r="AE569" i="17"/>
  <c r="AD569" i="17"/>
  <c r="AB569" i="17"/>
  <c r="AA569" i="17"/>
  <c r="Z569" i="17"/>
  <c r="Y569" i="17"/>
  <c r="X569" i="17"/>
  <c r="V569" i="17"/>
  <c r="BC568" i="17"/>
  <c r="BB568" i="17"/>
  <c r="BA568" i="17"/>
  <c r="AZ568" i="17"/>
  <c r="AY568" i="17"/>
  <c r="AX568" i="17"/>
  <c r="AP568" i="17"/>
  <c r="AO568" i="17"/>
  <c r="AN568" i="17"/>
  <c r="AM568" i="17"/>
  <c r="AL568" i="17"/>
  <c r="AK568" i="17"/>
  <c r="AJ568" i="17"/>
  <c r="AI568" i="17"/>
  <c r="AH568" i="17"/>
  <c r="AG568" i="17"/>
  <c r="AF568" i="17"/>
  <c r="AE568" i="17"/>
  <c r="AD568" i="17"/>
  <c r="AB568" i="17"/>
  <c r="AA568" i="17"/>
  <c r="Z568" i="17"/>
  <c r="Y568" i="17"/>
  <c r="X568" i="17"/>
  <c r="V568" i="17"/>
  <c r="BC567" i="17"/>
  <c r="BB567" i="17"/>
  <c r="BA567" i="17"/>
  <c r="AZ567" i="17"/>
  <c r="AY567" i="17"/>
  <c r="AX567" i="17"/>
  <c r="AP567" i="17"/>
  <c r="AO567" i="17"/>
  <c r="AN567" i="17"/>
  <c r="AM567" i="17"/>
  <c r="AL567" i="17"/>
  <c r="AK567" i="17"/>
  <c r="AJ567" i="17"/>
  <c r="AI567" i="17"/>
  <c r="AH567" i="17"/>
  <c r="AG567" i="17"/>
  <c r="AF567" i="17"/>
  <c r="AE567" i="17"/>
  <c r="AD567" i="17"/>
  <c r="AB567" i="17"/>
  <c r="AA567" i="17"/>
  <c r="Z567" i="17"/>
  <c r="Y567" i="17"/>
  <c r="X567" i="17"/>
  <c r="V567" i="17"/>
  <c r="BB566" i="17"/>
  <c r="BA566" i="17"/>
  <c r="AZ566" i="17"/>
  <c r="AY566" i="17"/>
  <c r="AX566" i="17"/>
  <c r="AP566" i="17"/>
  <c r="AO566" i="17"/>
  <c r="AN566" i="17"/>
  <c r="AM566" i="17"/>
  <c r="AL566" i="17"/>
  <c r="AK566" i="17"/>
  <c r="AJ566" i="17"/>
  <c r="AI566" i="17"/>
  <c r="AH566" i="17"/>
  <c r="AG566" i="17"/>
  <c r="AF566" i="17"/>
  <c r="AE566" i="17"/>
  <c r="AD566" i="17"/>
  <c r="AB566" i="17"/>
  <c r="AA566" i="17"/>
  <c r="Z566" i="17"/>
  <c r="Y566" i="17"/>
  <c r="X566" i="17"/>
  <c r="V566" i="17"/>
  <c r="BB565" i="17"/>
  <c r="BA565" i="17"/>
  <c r="AZ565" i="17"/>
  <c r="AY565" i="17"/>
  <c r="AX565" i="17"/>
  <c r="AP565" i="17"/>
  <c r="AO565" i="17"/>
  <c r="AN565" i="17"/>
  <c r="AM565" i="17"/>
  <c r="AL565" i="17"/>
  <c r="AK565" i="17"/>
  <c r="AJ565" i="17"/>
  <c r="AI565" i="17"/>
  <c r="AH565" i="17"/>
  <c r="AG565" i="17"/>
  <c r="AF565" i="17"/>
  <c r="AE565" i="17"/>
  <c r="AD565" i="17"/>
  <c r="AB565" i="17"/>
  <c r="AA565" i="17"/>
  <c r="Z565" i="17"/>
  <c r="Y565" i="17"/>
  <c r="X565" i="17"/>
  <c r="BB563" i="17"/>
  <c r="BA563" i="17"/>
  <c r="AZ563" i="17"/>
  <c r="AY563" i="17"/>
  <c r="AX563" i="17"/>
  <c r="AP563" i="17"/>
  <c r="AO563" i="17"/>
  <c r="AN563" i="17"/>
  <c r="AM563" i="17"/>
  <c r="AL563" i="17"/>
  <c r="AK563" i="17"/>
  <c r="AJ563" i="17"/>
  <c r="AI563" i="17"/>
  <c r="AH563" i="17"/>
  <c r="AG563" i="17"/>
  <c r="AF563" i="17"/>
  <c r="AE563" i="17"/>
  <c r="AD563" i="17"/>
  <c r="AB563" i="17"/>
  <c r="AA563" i="17"/>
  <c r="Z563" i="17"/>
  <c r="Y563" i="17"/>
  <c r="X563" i="17"/>
  <c r="BB562" i="17"/>
  <c r="BA562" i="17"/>
  <c r="AZ562" i="17"/>
  <c r="AY562" i="17"/>
  <c r="AX562" i="17"/>
  <c r="AP562" i="17"/>
  <c r="AO562" i="17"/>
  <c r="AN562" i="17"/>
  <c r="AM562" i="17"/>
  <c r="AL562" i="17"/>
  <c r="AK562" i="17"/>
  <c r="AJ562" i="17"/>
  <c r="AI562" i="17"/>
  <c r="AH562" i="17"/>
  <c r="AG562" i="17"/>
  <c r="AF562" i="17"/>
  <c r="AE562" i="17"/>
  <c r="AD562" i="17"/>
  <c r="AB562" i="17"/>
  <c r="AA562" i="17"/>
  <c r="Z562" i="17"/>
  <c r="Y562" i="17"/>
  <c r="X562" i="17"/>
  <c r="V562" i="17"/>
  <c r="BC561" i="17"/>
  <c r="BB561" i="17"/>
  <c r="BA561" i="17"/>
  <c r="AZ561" i="17"/>
  <c r="AY561" i="17"/>
  <c r="AX561" i="17"/>
  <c r="AP561" i="17"/>
  <c r="AO561" i="17"/>
  <c r="AN561" i="17"/>
  <c r="AM561" i="17"/>
  <c r="AL561" i="17"/>
  <c r="AK561" i="17"/>
  <c r="AJ561" i="17"/>
  <c r="AI561" i="17"/>
  <c r="AH561" i="17"/>
  <c r="AG561" i="17"/>
  <c r="AF561" i="17"/>
  <c r="AE561" i="17"/>
  <c r="AD561" i="17"/>
  <c r="AB561" i="17"/>
  <c r="AA561" i="17"/>
  <c r="Z561" i="17"/>
  <c r="Y561" i="17"/>
  <c r="X561" i="17"/>
  <c r="BB560" i="17"/>
  <c r="BA560" i="17"/>
  <c r="AZ560" i="17"/>
  <c r="AY560" i="17"/>
  <c r="AX560" i="17"/>
  <c r="AP560" i="17"/>
  <c r="AO560" i="17"/>
  <c r="AN560" i="17"/>
  <c r="AM560" i="17"/>
  <c r="AL560" i="17"/>
  <c r="AK560" i="17"/>
  <c r="AJ560" i="17"/>
  <c r="AI560" i="17"/>
  <c r="AH560" i="17"/>
  <c r="AG560" i="17"/>
  <c r="AF560" i="17"/>
  <c r="AE560" i="17"/>
  <c r="AD560" i="17"/>
  <c r="AB560" i="17"/>
  <c r="AA560" i="17"/>
  <c r="Z560" i="17"/>
  <c r="Y560" i="17"/>
  <c r="X560" i="17"/>
  <c r="BC559" i="17"/>
  <c r="BB559" i="17"/>
  <c r="BA559" i="17"/>
  <c r="AZ559" i="17"/>
  <c r="AY559" i="17"/>
  <c r="AX559" i="17"/>
  <c r="AP559" i="17"/>
  <c r="AO559" i="17"/>
  <c r="AN559" i="17"/>
  <c r="AM559" i="17"/>
  <c r="AL559" i="17"/>
  <c r="AK559" i="17"/>
  <c r="AJ559" i="17"/>
  <c r="AI559" i="17"/>
  <c r="AH559" i="17"/>
  <c r="AG559" i="17"/>
  <c r="AF559" i="17"/>
  <c r="AE559" i="17"/>
  <c r="AD559" i="17"/>
  <c r="AB559" i="17"/>
  <c r="AA559" i="17"/>
  <c r="Z559" i="17"/>
  <c r="Y559" i="17"/>
  <c r="X559" i="17"/>
  <c r="V559" i="17"/>
  <c r="BC558" i="17"/>
  <c r="BB558" i="17"/>
  <c r="BA558" i="17"/>
  <c r="AZ558" i="17"/>
  <c r="AY558" i="17"/>
  <c r="AX558" i="17"/>
  <c r="AQ558" i="17"/>
  <c r="AP558" i="17"/>
  <c r="AO558" i="17"/>
  <c r="AN558" i="17"/>
  <c r="AM558" i="17"/>
  <c r="AL558" i="17"/>
  <c r="AK558" i="17"/>
  <c r="AJ558" i="17"/>
  <c r="AI558" i="17"/>
  <c r="AH558" i="17"/>
  <c r="AG558" i="17"/>
  <c r="AF558" i="17"/>
  <c r="AE558" i="17"/>
  <c r="AD558" i="17"/>
  <c r="AB558" i="17"/>
  <c r="AA558" i="17"/>
  <c r="Z558" i="17"/>
  <c r="Y558" i="17"/>
  <c r="X558" i="17"/>
  <c r="BB557" i="17"/>
  <c r="BA557" i="17"/>
  <c r="AZ557" i="17"/>
  <c r="AY557" i="17"/>
  <c r="AX557" i="17"/>
  <c r="AP557" i="17"/>
  <c r="AO557" i="17"/>
  <c r="AN557" i="17"/>
  <c r="AM557" i="17"/>
  <c r="AL557" i="17"/>
  <c r="AK557" i="17"/>
  <c r="AJ557" i="17"/>
  <c r="AI557" i="17"/>
  <c r="AH557" i="17"/>
  <c r="AG557" i="17"/>
  <c r="AF557" i="17"/>
  <c r="AE557" i="17"/>
  <c r="AD557" i="17"/>
  <c r="AB557" i="17"/>
  <c r="AA557" i="17"/>
  <c r="Z557" i="17"/>
  <c r="Y557" i="17"/>
  <c r="X557" i="17"/>
  <c r="V557" i="17"/>
  <c r="BB556" i="17"/>
  <c r="BA556" i="17"/>
  <c r="AZ556" i="17"/>
  <c r="AY556" i="17"/>
  <c r="AX556" i="17"/>
  <c r="AP556" i="17"/>
  <c r="AO556" i="17"/>
  <c r="AN556" i="17"/>
  <c r="AM556" i="17"/>
  <c r="AL556" i="17"/>
  <c r="AK556" i="17"/>
  <c r="AJ556" i="17"/>
  <c r="AI556" i="17"/>
  <c r="AH556" i="17"/>
  <c r="AG556" i="17"/>
  <c r="AF556" i="17"/>
  <c r="AE556" i="17"/>
  <c r="AD556" i="17"/>
  <c r="AB556" i="17"/>
  <c r="AA556" i="17"/>
  <c r="Z556" i="17"/>
  <c r="Y556" i="17"/>
  <c r="X556" i="17"/>
  <c r="BC555" i="17"/>
  <c r="BB555" i="17"/>
  <c r="BA555" i="17"/>
  <c r="AZ555" i="17"/>
  <c r="AY555" i="17"/>
  <c r="AX555" i="17"/>
  <c r="AQ555" i="17"/>
  <c r="AP555" i="17"/>
  <c r="AO555" i="17"/>
  <c r="AN555" i="17"/>
  <c r="AM555" i="17"/>
  <c r="AL555" i="17"/>
  <c r="AK555" i="17"/>
  <c r="AJ555" i="17"/>
  <c r="AI555" i="17"/>
  <c r="AH555" i="17"/>
  <c r="AG555" i="17"/>
  <c r="AF555" i="17"/>
  <c r="AE555" i="17"/>
  <c r="AD555" i="17"/>
  <c r="AB555" i="17"/>
  <c r="AA555" i="17"/>
  <c r="Z555" i="17"/>
  <c r="Y555" i="17"/>
  <c r="X555" i="17"/>
  <c r="V555" i="17"/>
  <c r="BB554" i="17"/>
  <c r="BA554" i="17"/>
  <c r="AZ554" i="17"/>
  <c r="AY554" i="17"/>
  <c r="AX554" i="17"/>
  <c r="AP554" i="17"/>
  <c r="AO554" i="17"/>
  <c r="AN554" i="17"/>
  <c r="AM554" i="17"/>
  <c r="AL554" i="17"/>
  <c r="AK554" i="17"/>
  <c r="AJ554" i="17"/>
  <c r="AI554" i="17"/>
  <c r="AH554" i="17"/>
  <c r="AG554" i="17"/>
  <c r="AF554" i="17"/>
  <c r="AE554" i="17"/>
  <c r="AD554" i="17"/>
  <c r="AB554" i="17"/>
  <c r="AA554" i="17"/>
  <c r="Z554" i="17"/>
  <c r="Y554" i="17"/>
  <c r="X554" i="17"/>
  <c r="BC550" i="17"/>
  <c r="BB550" i="17"/>
  <c r="BA550" i="17"/>
  <c r="AZ550" i="17"/>
  <c r="AY550" i="17"/>
  <c r="AX550" i="17"/>
  <c r="AQ550" i="17"/>
  <c r="AP550" i="17"/>
  <c r="AO550" i="17"/>
  <c r="AN550" i="17"/>
  <c r="AM550" i="17"/>
  <c r="AL550" i="17"/>
  <c r="AK550" i="17"/>
  <c r="AJ550" i="17"/>
  <c r="AI550" i="17"/>
  <c r="AH550" i="17"/>
  <c r="AG550" i="17"/>
  <c r="AF550" i="17"/>
  <c r="AE550" i="17"/>
  <c r="AD550" i="17"/>
  <c r="AB550" i="17"/>
  <c r="AA550" i="17"/>
  <c r="Z550" i="17"/>
  <c r="Y550" i="17"/>
  <c r="X550" i="17"/>
  <c r="V550" i="17"/>
  <c r="BB549" i="17"/>
  <c r="BA549" i="17"/>
  <c r="AZ549" i="17"/>
  <c r="AY549" i="17"/>
  <c r="AX549" i="17"/>
  <c r="AP549" i="17"/>
  <c r="AO549" i="17"/>
  <c r="AN549" i="17"/>
  <c r="AM549" i="17"/>
  <c r="AL549" i="17"/>
  <c r="AK549" i="17"/>
  <c r="AJ549" i="17"/>
  <c r="AI549" i="17"/>
  <c r="AH549" i="17"/>
  <c r="AG549" i="17"/>
  <c r="AF549" i="17"/>
  <c r="AE549" i="17"/>
  <c r="AD549" i="17"/>
  <c r="AB549" i="17"/>
  <c r="AA549" i="17"/>
  <c r="Z549" i="17"/>
  <c r="Y549" i="17"/>
  <c r="X549" i="17"/>
  <c r="V549" i="17"/>
  <c r="BB548" i="17"/>
  <c r="BA548" i="17"/>
  <c r="AZ548" i="17"/>
  <c r="AY548" i="17"/>
  <c r="AX548" i="17"/>
  <c r="AP548" i="17"/>
  <c r="AO548" i="17"/>
  <c r="AN548" i="17"/>
  <c r="AM548" i="17"/>
  <c r="AL548" i="17"/>
  <c r="AK548" i="17"/>
  <c r="AJ548" i="17"/>
  <c r="AI548" i="17"/>
  <c r="AH548" i="17"/>
  <c r="AG548" i="17"/>
  <c r="AF548" i="17"/>
  <c r="AE548" i="17"/>
  <c r="AD548" i="17"/>
  <c r="AB548" i="17"/>
  <c r="AA548" i="17"/>
  <c r="Z548" i="17"/>
  <c r="Y548" i="17"/>
  <c r="X548" i="17"/>
  <c r="V548" i="17"/>
  <c r="BB547" i="17"/>
  <c r="BA547" i="17"/>
  <c r="AZ547" i="17"/>
  <c r="AY547" i="17"/>
  <c r="AX547" i="17"/>
  <c r="AQ547" i="17"/>
  <c r="AP547" i="17"/>
  <c r="AO547" i="17"/>
  <c r="AN547" i="17"/>
  <c r="AM547" i="17"/>
  <c r="AL547" i="17"/>
  <c r="AK547" i="17"/>
  <c r="AJ547" i="17"/>
  <c r="AI547" i="17"/>
  <c r="AH547" i="17"/>
  <c r="AG547" i="17"/>
  <c r="AF547" i="17"/>
  <c r="AE547" i="17"/>
  <c r="AD547" i="17"/>
  <c r="AB547" i="17"/>
  <c r="AA547" i="17"/>
  <c r="Z547" i="17"/>
  <c r="Y547" i="17"/>
  <c r="X547" i="17"/>
  <c r="V547" i="17"/>
  <c r="BB546" i="17"/>
  <c r="BA546" i="17"/>
  <c r="AZ546" i="17"/>
  <c r="AY546" i="17"/>
  <c r="AX546" i="17"/>
  <c r="AQ546" i="17"/>
  <c r="AP546" i="17"/>
  <c r="AO546" i="17"/>
  <c r="AN546" i="17"/>
  <c r="AM546" i="17"/>
  <c r="AL546" i="17"/>
  <c r="AK546" i="17"/>
  <c r="AJ546" i="17"/>
  <c r="AI546" i="17"/>
  <c r="AH546" i="17"/>
  <c r="AG546" i="17"/>
  <c r="AF546" i="17"/>
  <c r="AE546" i="17"/>
  <c r="AD546" i="17"/>
  <c r="AB546" i="17"/>
  <c r="AA546" i="17"/>
  <c r="Z546" i="17"/>
  <c r="Y546" i="17"/>
  <c r="X546" i="17"/>
  <c r="BB545" i="17"/>
  <c r="BA545" i="17"/>
  <c r="AZ545" i="17"/>
  <c r="AY545" i="17"/>
  <c r="AX545" i="17"/>
  <c r="AP545" i="17"/>
  <c r="AO545" i="17"/>
  <c r="AN545" i="17"/>
  <c r="AM545" i="17"/>
  <c r="AL545" i="17"/>
  <c r="AK545" i="17"/>
  <c r="AJ545" i="17"/>
  <c r="AI545" i="17"/>
  <c r="AH545" i="17"/>
  <c r="AG545" i="17"/>
  <c r="AF545" i="17"/>
  <c r="AE545" i="17"/>
  <c r="AD545" i="17"/>
  <c r="AB545" i="17"/>
  <c r="AA545" i="17"/>
  <c r="Z545" i="17"/>
  <c r="Y545" i="17"/>
  <c r="X545" i="17"/>
  <c r="V545" i="17"/>
  <c r="BK544" i="17"/>
  <c r="BC544" i="17"/>
  <c r="BB544" i="17"/>
  <c r="BA544" i="17"/>
  <c r="AZ544" i="17"/>
  <c r="AY544" i="17"/>
  <c r="AX544" i="17"/>
  <c r="AQ544" i="17"/>
  <c r="AP544" i="17"/>
  <c r="AO544" i="17"/>
  <c r="AN544" i="17"/>
  <c r="AM544" i="17"/>
  <c r="AL544" i="17"/>
  <c r="AK544" i="17"/>
  <c r="AJ544" i="17"/>
  <c r="AI544" i="17"/>
  <c r="AH544" i="17"/>
  <c r="AG544" i="17"/>
  <c r="AF544" i="17"/>
  <c r="AE544" i="17"/>
  <c r="AD544" i="17"/>
  <c r="AC544" i="17"/>
  <c r="AB544" i="17"/>
  <c r="AA544" i="17"/>
  <c r="Z544" i="17"/>
  <c r="Y544" i="17"/>
  <c r="X544" i="17"/>
  <c r="W544" i="17"/>
  <c r="V544" i="17"/>
  <c r="BB543" i="17"/>
  <c r="BA543" i="17"/>
  <c r="AZ543" i="17"/>
  <c r="AY543" i="17"/>
  <c r="AX543" i="17"/>
  <c r="AP543" i="17"/>
  <c r="AO543" i="17"/>
  <c r="AN543" i="17"/>
  <c r="AM543" i="17"/>
  <c r="AL543" i="17"/>
  <c r="AK543" i="17"/>
  <c r="AJ543" i="17"/>
  <c r="AI543" i="17"/>
  <c r="AH543" i="17"/>
  <c r="AG543" i="17"/>
  <c r="AF543" i="17"/>
  <c r="AE543" i="17"/>
  <c r="AD543" i="17"/>
  <c r="AB543" i="17"/>
  <c r="AA543" i="17"/>
  <c r="Z543" i="17"/>
  <c r="Y543" i="17"/>
  <c r="X543" i="17"/>
  <c r="V543" i="17"/>
  <c r="BC542" i="17"/>
  <c r="BB542" i="17"/>
  <c r="BA542" i="17"/>
  <c r="AZ542" i="17"/>
  <c r="AY542" i="17"/>
  <c r="AX542" i="17"/>
  <c r="AP542" i="17"/>
  <c r="AO542" i="17"/>
  <c r="AN542" i="17"/>
  <c r="AM542" i="17"/>
  <c r="AL542" i="17"/>
  <c r="AK542" i="17"/>
  <c r="AJ542" i="17"/>
  <c r="AI542" i="17"/>
  <c r="AH542" i="17"/>
  <c r="AG542" i="17"/>
  <c r="AF542" i="17"/>
  <c r="AE542" i="17"/>
  <c r="AD542" i="17"/>
  <c r="AB542" i="17"/>
  <c r="AA542" i="17"/>
  <c r="Z542" i="17"/>
  <c r="Y542" i="17"/>
  <c r="X542" i="17"/>
  <c r="BB541" i="17"/>
  <c r="BA541" i="17"/>
  <c r="AZ541" i="17"/>
  <c r="AY541" i="17"/>
  <c r="AX541" i="17"/>
  <c r="AP541" i="17"/>
  <c r="AO541" i="17"/>
  <c r="AN541" i="17"/>
  <c r="AM541" i="17"/>
  <c r="AL541" i="17"/>
  <c r="AK541" i="17"/>
  <c r="AJ541" i="17"/>
  <c r="AI541" i="17"/>
  <c r="AH541" i="17"/>
  <c r="AG541" i="17"/>
  <c r="AF541" i="17"/>
  <c r="AE541" i="17"/>
  <c r="AD541" i="17"/>
  <c r="AB541" i="17"/>
  <c r="AA541" i="17"/>
  <c r="Z541" i="17"/>
  <c r="Y541" i="17"/>
  <c r="X541" i="17"/>
  <c r="V541" i="17"/>
  <c r="BC540" i="17"/>
  <c r="BB540" i="17"/>
  <c r="BA540" i="17"/>
  <c r="AZ540" i="17"/>
  <c r="AY540" i="17"/>
  <c r="AX540" i="17"/>
  <c r="AP540" i="17"/>
  <c r="AO540" i="17"/>
  <c r="AN540" i="17"/>
  <c r="AM540" i="17"/>
  <c r="AL540" i="17"/>
  <c r="AK540" i="17"/>
  <c r="AJ540" i="17"/>
  <c r="AI540" i="17"/>
  <c r="AH540" i="17"/>
  <c r="AG540" i="17"/>
  <c r="AF540" i="17"/>
  <c r="AE540" i="17"/>
  <c r="AD540" i="17"/>
  <c r="AB540" i="17"/>
  <c r="AA540" i="17"/>
  <c r="Z540" i="17"/>
  <c r="Y540" i="17"/>
  <c r="X540" i="17"/>
  <c r="V540" i="17"/>
  <c r="BB539" i="17"/>
  <c r="BA539" i="17"/>
  <c r="AZ539" i="17"/>
  <c r="AY539" i="17"/>
  <c r="AX539" i="17"/>
  <c r="AP539" i="17"/>
  <c r="AO539" i="17"/>
  <c r="AN539" i="17"/>
  <c r="AM539" i="17"/>
  <c r="AL539" i="17"/>
  <c r="AK539" i="17"/>
  <c r="AJ539" i="17"/>
  <c r="AI539" i="17"/>
  <c r="AH539" i="17"/>
  <c r="AG539" i="17"/>
  <c r="AF539" i="17"/>
  <c r="AE539" i="17"/>
  <c r="AD539" i="17"/>
  <c r="AB539" i="17"/>
  <c r="AA539" i="17"/>
  <c r="Z539" i="17"/>
  <c r="Y539" i="17"/>
  <c r="X539" i="17"/>
  <c r="V539" i="17"/>
  <c r="BC538" i="17"/>
  <c r="BB538" i="17"/>
  <c r="BA538" i="17"/>
  <c r="AZ538" i="17"/>
  <c r="AY538" i="17"/>
  <c r="AX538" i="17"/>
  <c r="AQ538" i="17"/>
  <c r="AP538" i="17"/>
  <c r="AO538" i="17"/>
  <c r="AN538" i="17"/>
  <c r="AM538" i="17"/>
  <c r="AL538" i="17"/>
  <c r="AK538" i="17"/>
  <c r="AJ538" i="17"/>
  <c r="AI538" i="17"/>
  <c r="AH538" i="17"/>
  <c r="AG538" i="17"/>
  <c r="AF538" i="17"/>
  <c r="AE538" i="17"/>
  <c r="AD538" i="17"/>
  <c r="AB538" i="17"/>
  <c r="AA538" i="17"/>
  <c r="Z538" i="17"/>
  <c r="Y538" i="17"/>
  <c r="X538" i="17"/>
  <c r="V538" i="17"/>
  <c r="BC537" i="17"/>
  <c r="BB537" i="17"/>
  <c r="BA537" i="17"/>
  <c r="AZ537" i="17"/>
  <c r="AY537" i="17"/>
  <c r="AX537" i="17"/>
  <c r="AQ537" i="17"/>
  <c r="AP537" i="17"/>
  <c r="AO537" i="17"/>
  <c r="AN537" i="17"/>
  <c r="AM537" i="17"/>
  <c r="AL537" i="17"/>
  <c r="AK537" i="17"/>
  <c r="AJ537" i="17"/>
  <c r="AI537" i="17"/>
  <c r="AH537" i="17"/>
  <c r="AG537" i="17"/>
  <c r="AF537" i="17"/>
  <c r="AE537" i="17"/>
  <c r="AD537" i="17"/>
  <c r="AB537" i="17"/>
  <c r="AA537" i="17"/>
  <c r="Z537" i="17"/>
  <c r="Y537" i="17"/>
  <c r="X537" i="17"/>
  <c r="BC536" i="17"/>
  <c r="BB536" i="17"/>
  <c r="BA536" i="17"/>
  <c r="AZ536" i="17"/>
  <c r="AY536" i="17"/>
  <c r="AX536" i="17"/>
  <c r="AQ536" i="17"/>
  <c r="AP536" i="17"/>
  <c r="AO536" i="17"/>
  <c r="AN536" i="17"/>
  <c r="AM536" i="17"/>
  <c r="AL536" i="17"/>
  <c r="AK536" i="17"/>
  <c r="AJ536" i="17"/>
  <c r="AI536" i="17"/>
  <c r="AH536" i="17"/>
  <c r="AG536" i="17"/>
  <c r="AF536" i="17"/>
  <c r="AE536" i="17"/>
  <c r="AD536" i="17"/>
  <c r="AB536" i="17"/>
  <c r="AA536" i="17"/>
  <c r="Z536" i="17"/>
  <c r="Y536" i="17"/>
  <c r="X536" i="17"/>
  <c r="V536" i="17"/>
  <c r="BC535" i="17"/>
  <c r="BB535" i="17"/>
  <c r="BA535" i="17"/>
  <c r="AZ535" i="17"/>
  <c r="AY535" i="17"/>
  <c r="AX535" i="17"/>
  <c r="AQ535" i="17"/>
  <c r="AP535" i="17"/>
  <c r="AO535" i="17"/>
  <c r="AN535" i="17"/>
  <c r="AM535" i="17"/>
  <c r="AL535" i="17"/>
  <c r="AK535" i="17"/>
  <c r="AJ535" i="17"/>
  <c r="AI535" i="17"/>
  <c r="AH535" i="17"/>
  <c r="AG535" i="17"/>
  <c r="AF535" i="17"/>
  <c r="AE535" i="17"/>
  <c r="AD535" i="17"/>
  <c r="AB535" i="17"/>
  <c r="AA535" i="17"/>
  <c r="Z535" i="17"/>
  <c r="Y535" i="17"/>
  <c r="X535" i="17"/>
  <c r="BC531" i="17"/>
  <c r="BB531" i="17"/>
  <c r="BA531" i="17"/>
  <c r="AZ531" i="17"/>
  <c r="AY531" i="17"/>
  <c r="AX531" i="17"/>
  <c r="AQ531" i="17"/>
  <c r="AP531" i="17"/>
  <c r="AO531" i="17"/>
  <c r="AN531" i="17"/>
  <c r="AM531" i="17"/>
  <c r="AL531" i="17"/>
  <c r="AK531" i="17"/>
  <c r="AJ531" i="17"/>
  <c r="AI531" i="17"/>
  <c r="AH531" i="17"/>
  <c r="AG531" i="17"/>
  <c r="AF531" i="17"/>
  <c r="AE531" i="17"/>
  <c r="AD531" i="17"/>
  <c r="AB531" i="17"/>
  <c r="AA531" i="17"/>
  <c r="Z531" i="17"/>
  <c r="Y531" i="17"/>
  <c r="X531" i="17"/>
  <c r="V531" i="17"/>
  <c r="BB530" i="17"/>
  <c r="BA530" i="17"/>
  <c r="AZ530" i="17"/>
  <c r="AY530" i="17"/>
  <c r="AX530" i="17"/>
  <c r="AP530" i="17"/>
  <c r="AO530" i="17"/>
  <c r="AN530" i="17"/>
  <c r="AM530" i="17"/>
  <c r="AL530" i="17"/>
  <c r="AK530" i="17"/>
  <c r="AJ530" i="17"/>
  <c r="AI530" i="17"/>
  <c r="AH530" i="17"/>
  <c r="AG530" i="17"/>
  <c r="AF530" i="17"/>
  <c r="AE530" i="17"/>
  <c r="AD530" i="17"/>
  <c r="AB530" i="17"/>
  <c r="AA530" i="17"/>
  <c r="Z530" i="17"/>
  <c r="Y530" i="17"/>
  <c r="X530" i="17"/>
  <c r="V530" i="17"/>
  <c r="BB529" i="17"/>
  <c r="BA529" i="17"/>
  <c r="AZ529" i="17"/>
  <c r="AY529" i="17"/>
  <c r="AX529" i="17"/>
  <c r="AP529" i="17"/>
  <c r="AO529" i="17"/>
  <c r="AN529" i="17"/>
  <c r="AM529" i="17"/>
  <c r="AL529" i="17"/>
  <c r="AK529" i="17"/>
  <c r="AJ529" i="17"/>
  <c r="AI529" i="17"/>
  <c r="AH529" i="17"/>
  <c r="AG529" i="17"/>
  <c r="AF529" i="17"/>
  <c r="AE529" i="17"/>
  <c r="AD529" i="17"/>
  <c r="AB529" i="17"/>
  <c r="AA529" i="17"/>
  <c r="Z529" i="17"/>
  <c r="Y529" i="17"/>
  <c r="X529" i="17"/>
  <c r="V529" i="17"/>
  <c r="BC528" i="17"/>
  <c r="BB528" i="17"/>
  <c r="BA528" i="17"/>
  <c r="AZ528" i="17"/>
  <c r="AY528" i="17"/>
  <c r="AX528" i="17"/>
  <c r="AP528" i="17"/>
  <c r="AO528" i="17"/>
  <c r="AN528" i="17"/>
  <c r="AM528" i="17"/>
  <c r="AL528" i="17"/>
  <c r="AK528" i="17"/>
  <c r="AJ528" i="17"/>
  <c r="AI528" i="17"/>
  <c r="AH528" i="17"/>
  <c r="AG528" i="17"/>
  <c r="AF528" i="17"/>
  <c r="AE528" i="17"/>
  <c r="AD528" i="17"/>
  <c r="AB528" i="17"/>
  <c r="AA528" i="17"/>
  <c r="Z528" i="17"/>
  <c r="Y528" i="17"/>
  <c r="X528" i="17"/>
  <c r="BB527" i="17"/>
  <c r="BA527" i="17"/>
  <c r="AZ527" i="17"/>
  <c r="AY527" i="17"/>
  <c r="AX527" i="17"/>
  <c r="AP527" i="17"/>
  <c r="AO527" i="17"/>
  <c r="AN527" i="17"/>
  <c r="AM527" i="17"/>
  <c r="AL527" i="17"/>
  <c r="AK527" i="17"/>
  <c r="AJ527" i="17"/>
  <c r="AI527" i="17"/>
  <c r="AH527" i="17"/>
  <c r="AG527" i="17"/>
  <c r="AF527" i="17"/>
  <c r="AE527" i="17"/>
  <c r="AD527" i="17"/>
  <c r="AB527" i="17"/>
  <c r="AA527" i="17"/>
  <c r="Z527" i="17"/>
  <c r="Y527" i="17"/>
  <c r="X527" i="17"/>
  <c r="V527" i="17"/>
  <c r="BB526" i="17"/>
  <c r="BA526" i="17"/>
  <c r="AZ526" i="17"/>
  <c r="AY526" i="17"/>
  <c r="AX526" i="17"/>
  <c r="AP526" i="17"/>
  <c r="AO526" i="17"/>
  <c r="AN526" i="17"/>
  <c r="AM526" i="17"/>
  <c r="AL526" i="17"/>
  <c r="AK526" i="17"/>
  <c r="AJ526" i="17"/>
  <c r="AI526" i="17"/>
  <c r="AH526" i="17"/>
  <c r="AG526" i="17"/>
  <c r="AF526" i="17"/>
  <c r="AE526" i="17"/>
  <c r="AD526" i="17"/>
  <c r="AB526" i="17"/>
  <c r="AA526" i="17"/>
  <c r="Z526" i="17"/>
  <c r="Y526" i="17"/>
  <c r="X526" i="17"/>
  <c r="V526" i="17"/>
  <c r="BB525" i="17"/>
  <c r="BA525" i="17"/>
  <c r="AZ525" i="17"/>
  <c r="AY525" i="17"/>
  <c r="AX525" i="17"/>
  <c r="AP525" i="17"/>
  <c r="AO525" i="17"/>
  <c r="AN525" i="17"/>
  <c r="AM525" i="17"/>
  <c r="AL525" i="17"/>
  <c r="AK525" i="17"/>
  <c r="AJ525" i="17"/>
  <c r="AI525" i="17"/>
  <c r="AH525" i="17"/>
  <c r="AG525" i="17"/>
  <c r="AF525" i="17"/>
  <c r="AE525" i="17"/>
  <c r="AD525" i="17"/>
  <c r="AB525" i="17"/>
  <c r="AA525" i="17"/>
  <c r="Z525" i="17"/>
  <c r="Y525" i="17"/>
  <c r="X525" i="17"/>
  <c r="V525" i="17"/>
  <c r="BB524" i="17"/>
  <c r="BA524" i="17"/>
  <c r="AZ524" i="17"/>
  <c r="AY524" i="17"/>
  <c r="AX524" i="17"/>
  <c r="AP524" i="17"/>
  <c r="AO524" i="17"/>
  <c r="AN524" i="17"/>
  <c r="AM524" i="17"/>
  <c r="AL524" i="17"/>
  <c r="AK524" i="17"/>
  <c r="AJ524" i="17"/>
  <c r="AI524" i="17"/>
  <c r="AH524" i="17"/>
  <c r="AG524" i="17"/>
  <c r="AF524" i="17"/>
  <c r="AE524" i="17"/>
  <c r="AD524" i="17"/>
  <c r="AB524" i="17"/>
  <c r="AA524" i="17"/>
  <c r="Z524" i="17"/>
  <c r="Y524" i="17"/>
  <c r="X524" i="17"/>
  <c r="V524" i="17"/>
  <c r="BC523" i="17"/>
  <c r="BB523" i="17"/>
  <c r="BA523" i="17"/>
  <c r="AZ523" i="17"/>
  <c r="AY523" i="17"/>
  <c r="AX523" i="17"/>
  <c r="AP523" i="17"/>
  <c r="AO523" i="17"/>
  <c r="AN523" i="17"/>
  <c r="AM523" i="17"/>
  <c r="AL523" i="17"/>
  <c r="AK523" i="17"/>
  <c r="AJ523" i="17"/>
  <c r="AI523" i="17"/>
  <c r="AH523" i="17"/>
  <c r="AG523" i="17"/>
  <c r="AF523" i="17"/>
  <c r="AE523" i="17"/>
  <c r="AD523" i="17"/>
  <c r="AB523" i="17"/>
  <c r="AA523" i="17"/>
  <c r="Z523" i="17"/>
  <c r="Y523" i="17"/>
  <c r="X523" i="17"/>
  <c r="BC522" i="17"/>
  <c r="BB522" i="17"/>
  <c r="BA522" i="17"/>
  <c r="AZ522" i="17"/>
  <c r="AY522" i="17"/>
  <c r="AX522" i="17"/>
  <c r="AQ522" i="17"/>
  <c r="AP522" i="17"/>
  <c r="AO522" i="17"/>
  <c r="AN522" i="17"/>
  <c r="AM522" i="17"/>
  <c r="AL522" i="17"/>
  <c r="AK522" i="17"/>
  <c r="AJ522" i="17"/>
  <c r="AI522" i="17"/>
  <c r="AH522" i="17"/>
  <c r="AG522" i="17"/>
  <c r="AF522" i="17"/>
  <c r="AE522" i="17"/>
  <c r="AD522" i="17"/>
  <c r="AB522" i="17"/>
  <c r="AA522" i="17"/>
  <c r="Z522" i="17"/>
  <c r="Y522" i="17"/>
  <c r="X522" i="17"/>
  <c r="V522" i="17"/>
  <c r="BC521" i="17"/>
  <c r="BB521" i="17"/>
  <c r="BA521" i="17"/>
  <c r="AZ521" i="17"/>
  <c r="AY521" i="17"/>
  <c r="AX521" i="17"/>
  <c r="AP521" i="17"/>
  <c r="AO521" i="17"/>
  <c r="AN521" i="17"/>
  <c r="AM521" i="17"/>
  <c r="AL521" i="17"/>
  <c r="AK521" i="17"/>
  <c r="AJ521" i="17"/>
  <c r="AI521" i="17"/>
  <c r="AH521" i="17"/>
  <c r="AG521" i="17"/>
  <c r="AF521" i="17"/>
  <c r="AE521" i="17"/>
  <c r="AD521" i="17"/>
  <c r="AB521" i="17"/>
  <c r="AA521" i="17"/>
  <c r="Z521" i="17"/>
  <c r="Y521" i="17"/>
  <c r="X521" i="17"/>
  <c r="BB520" i="17"/>
  <c r="BA520" i="17"/>
  <c r="AZ520" i="17"/>
  <c r="AY520" i="17"/>
  <c r="AX520" i="17"/>
  <c r="AP520" i="17"/>
  <c r="AO520" i="17"/>
  <c r="AN520" i="17"/>
  <c r="AM520" i="17"/>
  <c r="AL520" i="17"/>
  <c r="AK520" i="17"/>
  <c r="AJ520" i="17"/>
  <c r="AI520" i="17"/>
  <c r="AH520" i="17"/>
  <c r="AG520" i="17"/>
  <c r="AF520" i="17"/>
  <c r="AE520" i="17"/>
  <c r="AD520" i="17"/>
  <c r="AB520" i="17"/>
  <c r="AA520" i="17"/>
  <c r="Z520" i="17"/>
  <c r="Y520" i="17"/>
  <c r="X520" i="17"/>
  <c r="BK519" i="17"/>
  <c r="BB519" i="17"/>
  <c r="BA519" i="17"/>
  <c r="AZ519" i="17"/>
  <c r="AY519" i="17"/>
  <c r="AX519" i="17"/>
  <c r="AP519" i="17"/>
  <c r="AO519" i="17"/>
  <c r="AN519" i="17"/>
  <c r="AM519" i="17"/>
  <c r="AL519" i="17"/>
  <c r="AK519" i="17"/>
  <c r="AJ519" i="17"/>
  <c r="AI519" i="17"/>
  <c r="AH519" i="17"/>
  <c r="AG519" i="17"/>
  <c r="AF519" i="17"/>
  <c r="AE519" i="17"/>
  <c r="AD519" i="17"/>
  <c r="AC519" i="17"/>
  <c r="AB519" i="17"/>
  <c r="AA519" i="17"/>
  <c r="Z519" i="17"/>
  <c r="Y519" i="17"/>
  <c r="X519" i="17"/>
  <c r="W519" i="17"/>
  <c r="V519" i="17"/>
  <c r="BC518" i="17"/>
  <c r="BB518" i="17"/>
  <c r="BA518" i="17"/>
  <c r="AZ518" i="17"/>
  <c r="AY518" i="17"/>
  <c r="AX518" i="17"/>
  <c r="AQ518" i="17"/>
  <c r="AP518" i="17"/>
  <c r="AO518" i="17"/>
  <c r="AN518" i="17"/>
  <c r="AM518" i="17"/>
  <c r="AL518" i="17"/>
  <c r="AK518" i="17"/>
  <c r="AJ518" i="17"/>
  <c r="AI518" i="17"/>
  <c r="AH518" i="17"/>
  <c r="AG518" i="17"/>
  <c r="AF518" i="17"/>
  <c r="AE518" i="17"/>
  <c r="AD518" i="17"/>
  <c r="AB518" i="17"/>
  <c r="AA518" i="17"/>
  <c r="Z518" i="17"/>
  <c r="Y518" i="17"/>
  <c r="X518" i="17"/>
  <c r="V518" i="17"/>
  <c r="BB517" i="17"/>
  <c r="BA517" i="17"/>
  <c r="AZ517" i="17"/>
  <c r="AY517" i="17"/>
  <c r="AX517" i="17"/>
  <c r="AP517" i="17"/>
  <c r="AO517" i="17"/>
  <c r="AN517" i="17"/>
  <c r="AM517" i="17"/>
  <c r="AL517" i="17"/>
  <c r="AK517" i="17"/>
  <c r="AJ517" i="17"/>
  <c r="AI517" i="17"/>
  <c r="AH517" i="17"/>
  <c r="AG517" i="17"/>
  <c r="AF517" i="17"/>
  <c r="AE517" i="17"/>
  <c r="AD517" i="17"/>
  <c r="AB517" i="17"/>
  <c r="AA517" i="17"/>
  <c r="Z517" i="17"/>
  <c r="Y517" i="17"/>
  <c r="X517" i="17"/>
  <c r="BB512" i="17"/>
  <c r="BA512" i="17"/>
  <c r="AZ512" i="17"/>
  <c r="AY512" i="17"/>
  <c r="AX512" i="17"/>
  <c r="AP512" i="17"/>
  <c r="AO512" i="17"/>
  <c r="AN512" i="17"/>
  <c r="AM512" i="17"/>
  <c r="AL512" i="17"/>
  <c r="AK512" i="17"/>
  <c r="AJ512" i="17"/>
  <c r="AI512" i="17"/>
  <c r="AH512" i="17"/>
  <c r="AG512" i="17"/>
  <c r="AF512" i="17"/>
  <c r="AE512" i="17"/>
  <c r="AD512" i="17"/>
  <c r="AB512" i="17"/>
  <c r="AA512" i="17"/>
  <c r="Z512" i="17"/>
  <c r="Y512" i="17"/>
  <c r="X512" i="17"/>
  <c r="V512" i="17"/>
  <c r="BC511" i="17"/>
  <c r="BB511" i="17"/>
  <c r="BA511" i="17"/>
  <c r="AZ511" i="17"/>
  <c r="AY511" i="17"/>
  <c r="AX511" i="17"/>
  <c r="AP511" i="17"/>
  <c r="AO511" i="17"/>
  <c r="AN511" i="17"/>
  <c r="AM511" i="17"/>
  <c r="AL511" i="17"/>
  <c r="AK511" i="17"/>
  <c r="AJ511" i="17"/>
  <c r="AI511" i="17"/>
  <c r="AH511" i="17"/>
  <c r="AG511" i="17"/>
  <c r="AF511" i="17"/>
  <c r="AE511" i="17"/>
  <c r="AD511" i="17"/>
  <c r="AB511" i="17"/>
  <c r="AA511" i="17"/>
  <c r="Z511" i="17"/>
  <c r="Y511" i="17"/>
  <c r="X511" i="17"/>
  <c r="V511" i="17"/>
  <c r="BB510" i="17"/>
  <c r="BA510" i="17"/>
  <c r="AZ510" i="17"/>
  <c r="AY510" i="17"/>
  <c r="AX510" i="17"/>
  <c r="AP510" i="17"/>
  <c r="AO510" i="17"/>
  <c r="AN510" i="17"/>
  <c r="AM510" i="17"/>
  <c r="AL510" i="17"/>
  <c r="AK510" i="17"/>
  <c r="AJ510" i="17"/>
  <c r="AI510" i="17"/>
  <c r="AH510" i="17"/>
  <c r="AG510" i="17"/>
  <c r="AF510" i="17"/>
  <c r="AE510" i="17"/>
  <c r="AD510" i="17"/>
  <c r="AB510" i="17"/>
  <c r="AA510" i="17"/>
  <c r="Z510" i="17"/>
  <c r="Y510" i="17"/>
  <c r="X510" i="17"/>
  <c r="V510" i="17"/>
  <c r="BB509" i="17"/>
  <c r="BA509" i="17"/>
  <c r="AZ509" i="17"/>
  <c r="AY509" i="17"/>
  <c r="AX509" i="17"/>
  <c r="AP509" i="17"/>
  <c r="AO509" i="17"/>
  <c r="AN509" i="17"/>
  <c r="AM509" i="17"/>
  <c r="AL509" i="17"/>
  <c r="AK509" i="17"/>
  <c r="AJ509" i="17"/>
  <c r="AI509" i="17"/>
  <c r="AH509" i="17"/>
  <c r="AG509" i="17"/>
  <c r="AF509" i="17"/>
  <c r="AE509" i="17"/>
  <c r="AD509" i="17"/>
  <c r="AB509" i="17"/>
  <c r="AA509" i="17"/>
  <c r="Z509" i="17"/>
  <c r="Y509" i="17"/>
  <c r="X509" i="17"/>
  <c r="BB508" i="17"/>
  <c r="BA508" i="17"/>
  <c r="AZ508" i="17"/>
  <c r="AY508" i="17"/>
  <c r="AX508" i="17"/>
  <c r="AP508" i="17"/>
  <c r="AO508" i="17"/>
  <c r="AN508" i="17"/>
  <c r="AM508" i="17"/>
  <c r="AL508" i="17"/>
  <c r="AK508" i="17"/>
  <c r="AJ508" i="17"/>
  <c r="AI508" i="17"/>
  <c r="AH508" i="17"/>
  <c r="AG508" i="17"/>
  <c r="AF508" i="17"/>
  <c r="AE508" i="17"/>
  <c r="AD508" i="17"/>
  <c r="AB508" i="17"/>
  <c r="AA508" i="17"/>
  <c r="Z508" i="17"/>
  <c r="Y508" i="17"/>
  <c r="X508" i="17"/>
  <c r="V508" i="17"/>
  <c r="BC507" i="17"/>
  <c r="BB507" i="17"/>
  <c r="BA507" i="17"/>
  <c r="AZ507" i="17"/>
  <c r="AY507" i="17"/>
  <c r="AX507" i="17"/>
  <c r="AP507" i="17"/>
  <c r="AO507" i="17"/>
  <c r="AN507" i="17"/>
  <c r="AM507" i="17"/>
  <c r="AL507" i="17"/>
  <c r="AK507" i="17"/>
  <c r="AJ507" i="17"/>
  <c r="AI507" i="17"/>
  <c r="AH507" i="17"/>
  <c r="AG507" i="17"/>
  <c r="AF507" i="17"/>
  <c r="AE507" i="17"/>
  <c r="AD507" i="17"/>
  <c r="AB507" i="17"/>
  <c r="AA507" i="17"/>
  <c r="Z507" i="17"/>
  <c r="Y507" i="17"/>
  <c r="X507" i="17"/>
  <c r="V507" i="17"/>
  <c r="BB506" i="17"/>
  <c r="BA506" i="17"/>
  <c r="AZ506" i="17"/>
  <c r="AY506" i="17"/>
  <c r="AX506" i="17"/>
  <c r="AP506" i="17"/>
  <c r="AO506" i="17"/>
  <c r="AN506" i="17"/>
  <c r="AM506" i="17"/>
  <c r="AL506" i="17"/>
  <c r="AK506" i="17"/>
  <c r="AJ506" i="17"/>
  <c r="AI506" i="17"/>
  <c r="AH506" i="17"/>
  <c r="AG506" i="17"/>
  <c r="AF506" i="17"/>
  <c r="AE506" i="17"/>
  <c r="AD506" i="17"/>
  <c r="AB506" i="17"/>
  <c r="AA506" i="17"/>
  <c r="Z506" i="17"/>
  <c r="Y506" i="17"/>
  <c r="X506" i="17"/>
  <c r="BB505" i="17"/>
  <c r="BA505" i="17"/>
  <c r="AZ505" i="17"/>
  <c r="AY505" i="17"/>
  <c r="AX505" i="17"/>
  <c r="AP505" i="17"/>
  <c r="AO505" i="17"/>
  <c r="AN505" i="17"/>
  <c r="AM505" i="17"/>
  <c r="AL505" i="17"/>
  <c r="AK505" i="17"/>
  <c r="AJ505" i="17"/>
  <c r="AI505" i="17"/>
  <c r="AH505" i="17"/>
  <c r="AG505" i="17"/>
  <c r="AF505" i="17"/>
  <c r="AE505" i="17"/>
  <c r="AD505" i="17"/>
  <c r="AB505" i="17"/>
  <c r="AA505" i="17"/>
  <c r="Z505" i="17"/>
  <c r="Y505" i="17"/>
  <c r="X505" i="17"/>
  <c r="BB504" i="17"/>
  <c r="BA504" i="17"/>
  <c r="AZ504" i="17"/>
  <c r="AY504" i="17"/>
  <c r="AX504" i="17"/>
  <c r="AQ504" i="17"/>
  <c r="AP504" i="17"/>
  <c r="AO504" i="17"/>
  <c r="AN504" i="17"/>
  <c r="AM504" i="17"/>
  <c r="AL504" i="17"/>
  <c r="AK504" i="17"/>
  <c r="AJ504" i="17"/>
  <c r="AI504" i="17"/>
  <c r="AH504" i="17"/>
  <c r="AG504" i="17"/>
  <c r="AF504" i="17"/>
  <c r="AE504" i="17"/>
  <c r="AD504" i="17"/>
  <c r="AB504" i="17"/>
  <c r="AA504" i="17"/>
  <c r="Z504" i="17"/>
  <c r="Y504" i="17"/>
  <c r="X504" i="17"/>
  <c r="V504" i="17"/>
  <c r="BK503" i="17"/>
  <c r="BC503" i="17"/>
  <c r="BB503" i="17"/>
  <c r="BA503" i="17"/>
  <c r="AZ503" i="17"/>
  <c r="AY503" i="17"/>
  <c r="AX503" i="17"/>
  <c r="AQ503" i="17"/>
  <c r="AP503" i="17"/>
  <c r="AO503" i="17"/>
  <c r="AN503" i="17"/>
  <c r="AM503" i="17"/>
  <c r="AL503" i="17"/>
  <c r="AK503" i="17"/>
  <c r="AJ503" i="17"/>
  <c r="AI503" i="17"/>
  <c r="AH503" i="17"/>
  <c r="AG503" i="17"/>
  <c r="AF503" i="17"/>
  <c r="AE503" i="17"/>
  <c r="AD503" i="17"/>
  <c r="AC503" i="17"/>
  <c r="AB503" i="17"/>
  <c r="AA503" i="17"/>
  <c r="Z503" i="17"/>
  <c r="Y503" i="17"/>
  <c r="X503" i="17"/>
  <c r="W503" i="17"/>
  <c r="V503" i="17"/>
  <c r="BB502" i="17"/>
  <c r="BA502" i="17"/>
  <c r="AZ502" i="17"/>
  <c r="AY502" i="17"/>
  <c r="AX502" i="17"/>
  <c r="AP502" i="17"/>
  <c r="AO502" i="17"/>
  <c r="AN502" i="17"/>
  <c r="AM502" i="17"/>
  <c r="AL502" i="17"/>
  <c r="AK502" i="17"/>
  <c r="AJ502" i="17"/>
  <c r="AI502" i="17"/>
  <c r="AH502" i="17"/>
  <c r="AG502" i="17"/>
  <c r="AF502" i="17"/>
  <c r="AE502" i="17"/>
  <c r="AD502" i="17"/>
  <c r="AB502" i="17"/>
  <c r="AA502" i="17"/>
  <c r="Z502" i="17"/>
  <c r="Y502" i="17"/>
  <c r="X502" i="17"/>
  <c r="BC501" i="17"/>
  <c r="BB501" i="17"/>
  <c r="BA501" i="17"/>
  <c r="AZ501" i="17"/>
  <c r="AY501" i="17"/>
  <c r="AX501" i="17"/>
  <c r="AP501" i="17"/>
  <c r="AO501" i="17"/>
  <c r="AN501" i="17"/>
  <c r="AM501" i="17"/>
  <c r="AL501" i="17"/>
  <c r="AK501" i="17"/>
  <c r="AJ501" i="17"/>
  <c r="AI501" i="17"/>
  <c r="AH501" i="17"/>
  <c r="AG501" i="17"/>
  <c r="AF501" i="17"/>
  <c r="AE501" i="17"/>
  <c r="AD501" i="17"/>
  <c r="AB501" i="17"/>
  <c r="AA501" i="17"/>
  <c r="Z501" i="17"/>
  <c r="Y501" i="17"/>
  <c r="X501" i="17"/>
  <c r="BC500" i="17"/>
  <c r="BB500" i="17"/>
  <c r="BA500" i="17"/>
  <c r="AZ500" i="17"/>
  <c r="AY500" i="17"/>
  <c r="AX500" i="17"/>
  <c r="AQ500" i="17"/>
  <c r="AP500" i="17"/>
  <c r="AO500" i="17"/>
  <c r="AN500" i="17"/>
  <c r="AM500" i="17"/>
  <c r="AL500" i="17"/>
  <c r="AK500" i="17"/>
  <c r="AJ500" i="17"/>
  <c r="AI500" i="17"/>
  <c r="AH500" i="17"/>
  <c r="AG500" i="17"/>
  <c r="AF500" i="17"/>
  <c r="AE500" i="17"/>
  <c r="AD500" i="17"/>
  <c r="AB500" i="17"/>
  <c r="AA500" i="17"/>
  <c r="Z500" i="17"/>
  <c r="Y500" i="17"/>
  <c r="X500" i="17"/>
  <c r="V500" i="17"/>
  <c r="BC499" i="17"/>
  <c r="BB499" i="17"/>
  <c r="BA499" i="17"/>
  <c r="AZ499" i="17"/>
  <c r="AY499" i="17"/>
  <c r="AX499" i="17"/>
  <c r="AQ499" i="17"/>
  <c r="AP499" i="17"/>
  <c r="AO499" i="17"/>
  <c r="AN499" i="17"/>
  <c r="AM499" i="17"/>
  <c r="AL499" i="17"/>
  <c r="AK499" i="17"/>
  <c r="AJ499" i="17"/>
  <c r="AI499" i="17"/>
  <c r="AH499" i="17"/>
  <c r="AG499" i="17"/>
  <c r="AF499" i="17"/>
  <c r="AE499" i="17"/>
  <c r="AD499" i="17"/>
  <c r="AB499" i="17"/>
  <c r="AA499" i="17"/>
  <c r="Z499" i="17"/>
  <c r="Y499" i="17"/>
  <c r="X499" i="17"/>
  <c r="V499" i="17"/>
  <c r="BC498" i="17"/>
  <c r="BB498" i="17"/>
  <c r="BA498" i="17"/>
  <c r="AZ498" i="17"/>
  <c r="AY498" i="17"/>
  <c r="AX498" i="17"/>
  <c r="AQ498" i="17"/>
  <c r="AP498" i="17"/>
  <c r="AO498" i="17"/>
  <c r="AN498" i="17"/>
  <c r="AM498" i="17"/>
  <c r="AL498" i="17"/>
  <c r="AK498" i="17"/>
  <c r="AJ498" i="17"/>
  <c r="AI498" i="17"/>
  <c r="AH498" i="17"/>
  <c r="AG498" i="17"/>
  <c r="AF498" i="17"/>
  <c r="AE498" i="17"/>
  <c r="AD498" i="17"/>
  <c r="AB498" i="17"/>
  <c r="AA498" i="17"/>
  <c r="Z498" i="17"/>
  <c r="Y498" i="17"/>
  <c r="X498" i="17"/>
  <c r="BB492" i="17"/>
  <c r="BA492" i="17"/>
  <c r="AZ492" i="17"/>
  <c r="AY492" i="17"/>
  <c r="AX492" i="17"/>
  <c r="AP492" i="17"/>
  <c r="AO492" i="17"/>
  <c r="AN492" i="17"/>
  <c r="AM492" i="17"/>
  <c r="AL492" i="17"/>
  <c r="AK492" i="17"/>
  <c r="AJ492" i="17"/>
  <c r="AI492" i="17"/>
  <c r="AH492" i="17"/>
  <c r="AG492" i="17"/>
  <c r="AF492" i="17"/>
  <c r="AE492" i="17"/>
  <c r="AD492" i="17"/>
  <c r="AB492" i="17"/>
  <c r="AA492" i="17"/>
  <c r="Z492" i="17"/>
  <c r="Y492" i="17"/>
  <c r="X492" i="17"/>
  <c r="V492" i="17"/>
  <c r="BB491" i="17"/>
  <c r="BA491" i="17"/>
  <c r="AZ491" i="17"/>
  <c r="AY491" i="17"/>
  <c r="AX491" i="17"/>
  <c r="AP491" i="17"/>
  <c r="AO491" i="17"/>
  <c r="AN491" i="17"/>
  <c r="AM491" i="17"/>
  <c r="AL491" i="17"/>
  <c r="AK491" i="17"/>
  <c r="AJ491" i="17"/>
  <c r="AI491" i="17"/>
  <c r="AH491" i="17"/>
  <c r="AG491" i="17"/>
  <c r="AF491" i="17"/>
  <c r="AE491" i="17"/>
  <c r="AD491" i="17"/>
  <c r="AB491" i="17"/>
  <c r="AA491" i="17"/>
  <c r="Z491" i="17"/>
  <c r="Y491" i="17"/>
  <c r="X491" i="17"/>
  <c r="V491" i="17"/>
  <c r="BB490" i="17"/>
  <c r="BA490" i="17"/>
  <c r="AZ490" i="17"/>
  <c r="AY490" i="17"/>
  <c r="AX490" i="17"/>
  <c r="AQ490" i="17"/>
  <c r="AP490" i="17"/>
  <c r="AO490" i="17"/>
  <c r="AN490" i="17"/>
  <c r="AM490" i="17"/>
  <c r="AL490" i="17"/>
  <c r="AK490" i="17"/>
  <c r="AJ490" i="17"/>
  <c r="AI490" i="17"/>
  <c r="AH490" i="17"/>
  <c r="AG490" i="17"/>
  <c r="AF490" i="17"/>
  <c r="AE490" i="17"/>
  <c r="AD490" i="17"/>
  <c r="AB490" i="17"/>
  <c r="AA490" i="17"/>
  <c r="Z490" i="17"/>
  <c r="Y490" i="17"/>
  <c r="X490" i="17"/>
  <c r="V490" i="17"/>
  <c r="BB489" i="17"/>
  <c r="BA489" i="17"/>
  <c r="AZ489" i="17"/>
  <c r="AY489" i="17"/>
  <c r="AX489" i="17"/>
  <c r="AP489" i="17"/>
  <c r="AO489" i="17"/>
  <c r="AN489" i="17"/>
  <c r="AM489" i="17"/>
  <c r="AL489" i="17"/>
  <c r="AK489" i="17"/>
  <c r="AJ489" i="17"/>
  <c r="AI489" i="17"/>
  <c r="AH489" i="17"/>
  <c r="AG489" i="17"/>
  <c r="AF489" i="17"/>
  <c r="AE489" i="17"/>
  <c r="AD489" i="17"/>
  <c r="AB489" i="17"/>
  <c r="AA489" i="17"/>
  <c r="Z489" i="17"/>
  <c r="Y489" i="17"/>
  <c r="X489" i="17"/>
  <c r="V489" i="17"/>
  <c r="BC488" i="17"/>
  <c r="BB488" i="17"/>
  <c r="BA488" i="17"/>
  <c r="AZ488" i="17"/>
  <c r="AY488" i="17"/>
  <c r="AX488" i="17"/>
  <c r="AP488" i="17"/>
  <c r="AO488" i="17"/>
  <c r="AN488" i="17"/>
  <c r="AM488" i="17"/>
  <c r="AL488" i="17"/>
  <c r="AK488" i="17"/>
  <c r="AJ488" i="17"/>
  <c r="AI488" i="17"/>
  <c r="AH488" i="17"/>
  <c r="AG488" i="17"/>
  <c r="AF488" i="17"/>
  <c r="AE488" i="17"/>
  <c r="AD488" i="17"/>
  <c r="AB488" i="17"/>
  <c r="AA488" i="17"/>
  <c r="Z488" i="17"/>
  <c r="Y488" i="17"/>
  <c r="X488" i="17"/>
  <c r="V488" i="17"/>
  <c r="BB487" i="17"/>
  <c r="BA487" i="17"/>
  <c r="AZ487" i="17"/>
  <c r="AY487" i="17"/>
  <c r="AX487" i="17"/>
  <c r="AP487" i="17"/>
  <c r="AO487" i="17"/>
  <c r="AN487" i="17"/>
  <c r="AM487" i="17"/>
  <c r="AL487" i="17"/>
  <c r="AK487" i="17"/>
  <c r="AJ487" i="17"/>
  <c r="AI487" i="17"/>
  <c r="AH487" i="17"/>
  <c r="AG487" i="17"/>
  <c r="AF487" i="17"/>
  <c r="AE487" i="17"/>
  <c r="AD487" i="17"/>
  <c r="AB487" i="17"/>
  <c r="AA487" i="17"/>
  <c r="Z487" i="17"/>
  <c r="Y487" i="17"/>
  <c r="X487" i="17"/>
  <c r="V487" i="17"/>
  <c r="BK486" i="17"/>
  <c r="BC486" i="17"/>
  <c r="BB486" i="17"/>
  <c r="BA486" i="17"/>
  <c r="AZ486" i="17"/>
  <c r="AY486" i="17"/>
  <c r="AX486" i="17"/>
  <c r="AQ486" i="17"/>
  <c r="AP486" i="17"/>
  <c r="AO486" i="17"/>
  <c r="AN486" i="17"/>
  <c r="AM486" i="17"/>
  <c r="AL486" i="17"/>
  <c r="AK486" i="17"/>
  <c r="AJ486" i="17"/>
  <c r="AI486" i="17"/>
  <c r="AH486" i="17"/>
  <c r="AG486" i="17"/>
  <c r="AF486" i="17"/>
  <c r="AE486" i="17"/>
  <c r="AD486" i="17"/>
  <c r="AC486" i="17"/>
  <c r="AB486" i="17"/>
  <c r="AA486" i="17"/>
  <c r="Z486" i="17"/>
  <c r="Y486" i="17"/>
  <c r="X486" i="17"/>
  <c r="W486" i="17"/>
  <c r="V486" i="17"/>
  <c r="BC485" i="17"/>
  <c r="BB485" i="17"/>
  <c r="BA485" i="17"/>
  <c r="AZ485" i="17"/>
  <c r="AY485" i="17"/>
  <c r="AX485" i="17"/>
  <c r="AP485" i="17"/>
  <c r="AO485" i="17"/>
  <c r="AN485" i="17"/>
  <c r="AM485" i="17"/>
  <c r="AL485" i="17"/>
  <c r="AK485" i="17"/>
  <c r="AJ485" i="17"/>
  <c r="AI485" i="17"/>
  <c r="AH485" i="17"/>
  <c r="AG485" i="17"/>
  <c r="AF485" i="17"/>
  <c r="AE485" i="17"/>
  <c r="AD485" i="17"/>
  <c r="AB485" i="17"/>
  <c r="AA485" i="17"/>
  <c r="Z485" i="17"/>
  <c r="Y485" i="17"/>
  <c r="X485" i="17"/>
  <c r="BC484" i="17"/>
  <c r="BB484" i="17"/>
  <c r="BA484" i="17"/>
  <c r="AZ484" i="17"/>
  <c r="AY484" i="17"/>
  <c r="AX484" i="17"/>
  <c r="AP484" i="17"/>
  <c r="AO484" i="17"/>
  <c r="AN484" i="17"/>
  <c r="AM484" i="17"/>
  <c r="AL484" i="17"/>
  <c r="AK484" i="17"/>
  <c r="AJ484" i="17"/>
  <c r="AI484" i="17"/>
  <c r="AH484" i="17"/>
  <c r="AG484" i="17"/>
  <c r="AF484" i="17"/>
  <c r="AE484" i="17"/>
  <c r="AD484" i="17"/>
  <c r="AB484" i="17"/>
  <c r="AA484" i="17"/>
  <c r="Z484" i="17"/>
  <c r="Y484" i="17"/>
  <c r="X484" i="17"/>
  <c r="BB483" i="17"/>
  <c r="BA483" i="17"/>
  <c r="AZ483" i="17"/>
  <c r="AY483" i="17"/>
  <c r="AX483" i="17"/>
  <c r="AP483" i="17"/>
  <c r="AO483" i="17"/>
  <c r="AN483" i="17"/>
  <c r="AM483" i="17"/>
  <c r="AL483" i="17"/>
  <c r="AK483" i="17"/>
  <c r="AJ483" i="17"/>
  <c r="AI483" i="17"/>
  <c r="AH483" i="17"/>
  <c r="AG483" i="17"/>
  <c r="AF483" i="17"/>
  <c r="AE483" i="17"/>
  <c r="AD483" i="17"/>
  <c r="AB483" i="17"/>
  <c r="AA483" i="17"/>
  <c r="Z483" i="17"/>
  <c r="Y483" i="17"/>
  <c r="X483" i="17"/>
  <c r="V483" i="17"/>
  <c r="BB482" i="17"/>
  <c r="BA482" i="17"/>
  <c r="AZ482" i="17"/>
  <c r="AY482" i="17"/>
  <c r="AX482" i="17"/>
  <c r="AP482" i="17"/>
  <c r="AO482" i="17"/>
  <c r="AN482" i="17"/>
  <c r="AM482" i="17"/>
  <c r="AL482" i="17"/>
  <c r="AK482" i="17"/>
  <c r="AJ482" i="17"/>
  <c r="AI482" i="17"/>
  <c r="AH482" i="17"/>
  <c r="AG482" i="17"/>
  <c r="AF482" i="17"/>
  <c r="AE482" i="17"/>
  <c r="AD482" i="17"/>
  <c r="AB482" i="17"/>
  <c r="AA482" i="17"/>
  <c r="Z482" i="17"/>
  <c r="Y482" i="17"/>
  <c r="X482" i="17"/>
  <c r="V482" i="17"/>
  <c r="BB481" i="17"/>
  <c r="BA481" i="17"/>
  <c r="AZ481" i="17"/>
  <c r="AY481" i="17"/>
  <c r="AX481" i="17"/>
  <c r="AP481" i="17"/>
  <c r="AO481" i="17"/>
  <c r="AN481" i="17"/>
  <c r="AM481" i="17"/>
  <c r="AL481" i="17"/>
  <c r="AK481" i="17"/>
  <c r="AJ481" i="17"/>
  <c r="AI481" i="17"/>
  <c r="AH481" i="17"/>
  <c r="AG481" i="17"/>
  <c r="AF481" i="17"/>
  <c r="AE481" i="17"/>
  <c r="AD481" i="17"/>
  <c r="AB481" i="17"/>
  <c r="AA481" i="17"/>
  <c r="Z481" i="17"/>
  <c r="Y481" i="17"/>
  <c r="X481" i="17"/>
  <c r="V481" i="17"/>
  <c r="BB480" i="17"/>
  <c r="BA480" i="17"/>
  <c r="AZ480" i="17"/>
  <c r="AY480" i="17"/>
  <c r="AX480" i="17"/>
  <c r="AP480" i="17"/>
  <c r="AO480" i="17"/>
  <c r="AN480" i="17"/>
  <c r="AM480" i="17"/>
  <c r="AL480" i="17"/>
  <c r="AK480" i="17"/>
  <c r="AJ480" i="17"/>
  <c r="AI480" i="17"/>
  <c r="AH480" i="17"/>
  <c r="AG480" i="17"/>
  <c r="AF480" i="17"/>
  <c r="AE480" i="17"/>
  <c r="AD480" i="17"/>
  <c r="AB480" i="17"/>
  <c r="AA480" i="17"/>
  <c r="Z480" i="17"/>
  <c r="Y480" i="17"/>
  <c r="X480" i="17"/>
  <c r="BB479" i="17"/>
  <c r="BA479" i="17"/>
  <c r="AZ479" i="17"/>
  <c r="AY479" i="17"/>
  <c r="AX479" i="17"/>
  <c r="AP479" i="17"/>
  <c r="AO479" i="17"/>
  <c r="AN479" i="17"/>
  <c r="AM479" i="17"/>
  <c r="AL479" i="17"/>
  <c r="AK479" i="17"/>
  <c r="AJ479" i="17"/>
  <c r="AI479" i="17"/>
  <c r="AH479" i="17"/>
  <c r="AG479" i="17"/>
  <c r="AF479" i="17"/>
  <c r="AE479" i="17"/>
  <c r="AD479" i="17"/>
  <c r="AB479" i="17"/>
  <c r="AA479" i="17"/>
  <c r="Z479" i="17"/>
  <c r="Y479" i="17"/>
  <c r="X479" i="17"/>
  <c r="V479" i="17"/>
  <c r="BC478" i="17"/>
  <c r="BB478" i="17"/>
  <c r="BA478" i="17"/>
  <c r="AZ478" i="17"/>
  <c r="AY478" i="17"/>
  <c r="AX478" i="17"/>
  <c r="AQ478" i="17"/>
  <c r="AP478" i="17"/>
  <c r="AO478" i="17"/>
  <c r="AN478" i="17"/>
  <c r="AM478" i="17"/>
  <c r="AL478" i="17"/>
  <c r="AK478" i="17"/>
  <c r="AJ478" i="17"/>
  <c r="AI478" i="17"/>
  <c r="AH478" i="17"/>
  <c r="AG478" i="17"/>
  <c r="AF478" i="17"/>
  <c r="AE478" i="17"/>
  <c r="AD478" i="17"/>
  <c r="AB478" i="17"/>
  <c r="AA478" i="17"/>
  <c r="Z478" i="17"/>
  <c r="Y478" i="17"/>
  <c r="X478" i="17"/>
  <c r="BC361" i="17"/>
  <c r="BB361" i="17"/>
  <c r="BA361" i="17"/>
  <c r="AZ361" i="17"/>
  <c r="AY361" i="17"/>
  <c r="AX361" i="17"/>
  <c r="AQ361" i="17"/>
  <c r="AP361" i="17"/>
  <c r="AO361" i="17"/>
  <c r="AN361" i="17"/>
  <c r="AM361" i="17"/>
  <c r="AL361" i="17"/>
  <c r="AK361" i="17"/>
  <c r="AJ361" i="17"/>
  <c r="AI361" i="17"/>
  <c r="AH361" i="17"/>
  <c r="AG361" i="17"/>
  <c r="AF361" i="17"/>
  <c r="AE361" i="17"/>
  <c r="AD361" i="17"/>
  <c r="AB361" i="17"/>
  <c r="AA361" i="17"/>
  <c r="Z361" i="17"/>
  <c r="Y361" i="17"/>
  <c r="X361" i="17"/>
  <c r="V361" i="17"/>
  <c r="BC360" i="17"/>
  <c r="BB360" i="17"/>
  <c r="BA360" i="17"/>
  <c r="AZ360" i="17"/>
  <c r="AY360" i="17"/>
  <c r="AX360" i="17"/>
  <c r="AQ360" i="17"/>
  <c r="AP360" i="17"/>
  <c r="AO360" i="17"/>
  <c r="AN360" i="17"/>
  <c r="AM360" i="17"/>
  <c r="AL360" i="17"/>
  <c r="AK360" i="17"/>
  <c r="AJ360" i="17"/>
  <c r="AI360" i="17"/>
  <c r="AH360" i="17"/>
  <c r="AG360" i="17"/>
  <c r="AF360" i="17"/>
  <c r="AE360" i="17"/>
  <c r="AD360" i="17"/>
  <c r="AB360" i="17"/>
  <c r="AA360" i="17"/>
  <c r="Z360" i="17"/>
  <c r="Y360" i="17"/>
  <c r="X360" i="17"/>
  <c r="V360" i="17"/>
  <c r="BB359" i="17"/>
  <c r="BA359" i="17"/>
  <c r="AZ359" i="17"/>
  <c r="AY359" i="17"/>
  <c r="AX359" i="17"/>
  <c r="AP359" i="17"/>
  <c r="AO359" i="17"/>
  <c r="AN359" i="17"/>
  <c r="AM359" i="17"/>
  <c r="AL359" i="17"/>
  <c r="AK359" i="17"/>
  <c r="AJ359" i="17"/>
  <c r="AI359" i="17"/>
  <c r="AH359" i="17"/>
  <c r="AG359" i="17"/>
  <c r="AF359" i="17"/>
  <c r="AE359" i="17"/>
  <c r="AD359" i="17"/>
  <c r="AB359" i="17"/>
  <c r="AA359" i="17"/>
  <c r="Z359" i="17"/>
  <c r="Y359" i="17"/>
  <c r="X359" i="17"/>
  <c r="V359" i="17"/>
  <c r="BC358" i="17"/>
  <c r="BB358" i="17"/>
  <c r="BA358" i="17"/>
  <c r="AZ358" i="17"/>
  <c r="AY358" i="17"/>
  <c r="AX358" i="17"/>
  <c r="AP358" i="17"/>
  <c r="AO358" i="17"/>
  <c r="AN358" i="17"/>
  <c r="AM358" i="17"/>
  <c r="AL358" i="17"/>
  <c r="AK358" i="17"/>
  <c r="AJ358" i="17"/>
  <c r="AI358" i="17"/>
  <c r="AH358" i="17"/>
  <c r="AG358" i="17"/>
  <c r="AF358" i="17"/>
  <c r="AE358" i="17"/>
  <c r="AD358" i="17"/>
  <c r="AB358" i="17"/>
  <c r="AA358" i="17"/>
  <c r="Z358" i="17"/>
  <c r="Y358" i="17"/>
  <c r="X358" i="17"/>
  <c r="V358" i="17"/>
  <c r="BB357" i="17"/>
  <c r="BA357" i="17"/>
  <c r="AZ357" i="17"/>
  <c r="AY357" i="17"/>
  <c r="AX357" i="17"/>
  <c r="AP357" i="17"/>
  <c r="AO357" i="17"/>
  <c r="AN357" i="17"/>
  <c r="AM357" i="17"/>
  <c r="AL357" i="17"/>
  <c r="AK357" i="17"/>
  <c r="AJ357" i="17"/>
  <c r="AI357" i="17"/>
  <c r="AH357" i="17"/>
  <c r="AG357" i="17"/>
  <c r="AF357" i="17"/>
  <c r="AE357" i="17"/>
  <c r="AD357" i="17"/>
  <c r="AB357" i="17"/>
  <c r="AA357" i="17"/>
  <c r="Z357" i="17"/>
  <c r="Y357" i="17"/>
  <c r="X357" i="17"/>
  <c r="BB356" i="17"/>
  <c r="BA356" i="17"/>
  <c r="AZ356" i="17"/>
  <c r="AY356" i="17"/>
  <c r="AX356" i="17"/>
  <c r="AQ356" i="17"/>
  <c r="AP356" i="17"/>
  <c r="AO356" i="17"/>
  <c r="AN356" i="17"/>
  <c r="AM356" i="17"/>
  <c r="AL356" i="17"/>
  <c r="AK356" i="17"/>
  <c r="AJ356" i="17"/>
  <c r="AI356" i="17"/>
  <c r="AH356" i="17"/>
  <c r="AG356" i="17"/>
  <c r="AF356" i="17"/>
  <c r="AE356" i="17"/>
  <c r="AD356" i="17"/>
  <c r="AB356" i="17"/>
  <c r="AA356" i="17"/>
  <c r="Z356" i="17"/>
  <c r="Y356" i="17"/>
  <c r="X356" i="17"/>
  <c r="V356" i="17"/>
  <c r="BC355" i="17"/>
  <c r="BB355" i="17"/>
  <c r="BA355" i="17"/>
  <c r="AZ355" i="17"/>
  <c r="AY355" i="17"/>
  <c r="AX355" i="17"/>
  <c r="AP355" i="17"/>
  <c r="AO355" i="17"/>
  <c r="AN355" i="17"/>
  <c r="AM355" i="17"/>
  <c r="AL355" i="17"/>
  <c r="AK355" i="17"/>
  <c r="AJ355" i="17"/>
  <c r="AI355" i="17"/>
  <c r="AH355" i="17"/>
  <c r="AG355" i="17"/>
  <c r="AF355" i="17"/>
  <c r="AE355" i="17"/>
  <c r="AD355" i="17"/>
  <c r="AB355" i="17"/>
  <c r="AA355" i="17"/>
  <c r="Z355" i="17"/>
  <c r="Y355" i="17"/>
  <c r="X355" i="17"/>
  <c r="V355" i="17"/>
  <c r="BB354" i="17"/>
  <c r="BA354" i="17"/>
  <c r="AZ354" i="17"/>
  <c r="AY354" i="17"/>
  <c r="AX354" i="17"/>
  <c r="AP354" i="17"/>
  <c r="AO354" i="17"/>
  <c r="AN354" i="17"/>
  <c r="AM354" i="17"/>
  <c r="AL354" i="17"/>
  <c r="AK354" i="17"/>
  <c r="AJ354" i="17"/>
  <c r="AI354" i="17"/>
  <c r="AH354" i="17"/>
  <c r="AG354" i="17"/>
  <c r="AF354" i="17"/>
  <c r="AE354" i="17"/>
  <c r="AD354" i="17"/>
  <c r="AB354" i="17"/>
  <c r="AA354" i="17"/>
  <c r="Z354" i="17"/>
  <c r="Y354" i="17"/>
  <c r="X354" i="17"/>
  <c r="V354" i="17"/>
  <c r="BB353" i="17"/>
  <c r="BA353" i="17"/>
  <c r="AZ353" i="17"/>
  <c r="AY353" i="17"/>
  <c r="AX353" i="17"/>
  <c r="AQ353" i="17"/>
  <c r="AP353" i="17"/>
  <c r="AO353" i="17"/>
  <c r="AN353" i="17"/>
  <c r="AM353" i="17"/>
  <c r="AL353" i="17"/>
  <c r="AK353" i="17"/>
  <c r="AJ353" i="17"/>
  <c r="AI353" i="17"/>
  <c r="AH353" i="17"/>
  <c r="AG353" i="17"/>
  <c r="AF353" i="17"/>
  <c r="AE353" i="17"/>
  <c r="AD353" i="17"/>
  <c r="AB353" i="17"/>
  <c r="AA353" i="17"/>
  <c r="Z353" i="17"/>
  <c r="Y353" i="17"/>
  <c r="X353" i="17"/>
  <c r="V353" i="17"/>
  <c r="BB352" i="17"/>
  <c r="BA352" i="17"/>
  <c r="AZ352" i="17"/>
  <c r="AY352" i="17"/>
  <c r="AX352" i="17"/>
  <c r="AP352" i="17"/>
  <c r="AO352" i="17"/>
  <c r="AN352" i="17"/>
  <c r="AM352" i="17"/>
  <c r="AL352" i="17"/>
  <c r="AK352" i="17"/>
  <c r="AJ352" i="17"/>
  <c r="AI352" i="17"/>
  <c r="AH352" i="17"/>
  <c r="AG352" i="17"/>
  <c r="AF352" i="17"/>
  <c r="AE352" i="17"/>
  <c r="AD352" i="17"/>
  <c r="AB352" i="17"/>
  <c r="AA352" i="17"/>
  <c r="Z352" i="17"/>
  <c r="Y352" i="17"/>
  <c r="X352" i="17"/>
  <c r="V352" i="17"/>
  <c r="BK351" i="17"/>
  <c r="BC351" i="17"/>
  <c r="BB351" i="17"/>
  <c r="BA351" i="17"/>
  <c r="AZ351" i="17"/>
  <c r="AY351" i="17"/>
  <c r="AX351" i="17"/>
  <c r="AP351" i="17"/>
  <c r="AO351" i="17"/>
  <c r="AN351" i="17"/>
  <c r="AM351" i="17"/>
  <c r="AL351" i="17"/>
  <c r="AK351" i="17"/>
  <c r="AJ351" i="17"/>
  <c r="AI351" i="17"/>
  <c r="AH351" i="17"/>
  <c r="AG351" i="17"/>
  <c r="AF351" i="17"/>
  <c r="AE351" i="17"/>
  <c r="AD351" i="17"/>
  <c r="AC351" i="17"/>
  <c r="AB351" i="17"/>
  <c r="AA351" i="17"/>
  <c r="Z351" i="17"/>
  <c r="Y351" i="17"/>
  <c r="X351" i="17"/>
  <c r="W351" i="17"/>
  <c r="V351" i="17"/>
  <c r="BB350" i="17"/>
  <c r="BA350" i="17"/>
  <c r="AZ350" i="17"/>
  <c r="AY350" i="17"/>
  <c r="AX350" i="17"/>
  <c r="AQ350" i="17"/>
  <c r="AP350" i="17"/>
  <c r="AO350" i="17"/>
  <c r="AN350" i="17"/>
  <c r="AM350" i="17"/>
  <c r="AL350" i="17"/>
  <c r="AK350" i="17"/>
  <c r="AJ350" i="17"/>
  <c r="AI350" i="17"/>
  <c r="AH350" i="17"/>
  <c r="AG350" i="17"/>
  <c r="AF350" i="17"/>
  <c r="AE350" i="17"/>
  <c r="AD350" i="17"/>
  <c r="AB350" i="17"/>
  <c r="AA350" i="17"/>
  <c r="Z350" i="17"/>
  <c r="Y350" i="17"/>
  <c r="X350" i="17"/>
  <c r="V350" i="17"/>
  <c r="BC349" i="17"/>
  <c r="BB349" i="17"/>
  <c r="BA349" i="17"/>
  <c r="AZ349" i="17"/>
  <c r="AY349" i="17"/>
  <c r="AX349" i="17"/>
  <c r="AQ349" i="17"/>
  <c r="AP349" i="17"/>
  <c r="AO349" i="17"/>
  <c r="AN349" i="17"/>
  <c r="AM349" i="17"/>
  <c r="AL349" i="17"/>
  <c r="AK349" i="17"/>
  <c r="AJ349" i="17"/>
  <c r="AI349" i="17"/>
  <c r="AH349" i="17"/>
  <c r="AG349" i="17"/>
  <c r="AF349" i="17"/>
  <c r="AE349" i="17"/>
  <c r="AD349" i="17"/>
  <c r="AB349" i="17"/>
  <c r="AA349" i="17"/>
  <c r="Z349" i="17"/>
  <c r="Y349" i="17"/>
  <c r="X349" i="17"/>
  <c r="BC348" i="17"/>
  <c r="BB348" i="17"/>
  <c r="BA348" i="17"/>
  <c r="AZ348" i="17"/>
  <c r="AY348" i="17"/>
  <c r="AX348" i="17"/>
  <c r="AQ348" i="17"/>
  <c r="AP348" i="17"/>
  <c r="AO348" i="17"/>
  <c r="AN348" i="17"/>
  <c r="AM348" i="17"/>
  <c r="AL348" i="17"/>
  <c r="AK348" i="17"/>
  <c r="AJ348" i="17"/>
  <c r="AI348" i="17"/>
  <c r="AH348" i="17"/>
  <c r="AG348" i="17"/>
  <c r="AF348" i="17"/>
  <c r="AE348" i="17"/>
  <c r="AD348" i="17"/>
  <c r="AB348" i="17"/>
  <c r="AA348" i="17"/>
  <c r="Z348" i="17"/>
  <c r="Y348" i="17"/>
  <c r="X348" i="17"/>
  <c r="BB347" i="17"/>
  <c r="BA347" i="17"/>
  <c r="AZ347" i="17"/>
  <c r="AY347" i="17"/>
  <c r="AX347" i="17"/>
  <c r="AP347" i="17"/>
  <c r="AO347" i="17"/>
  <c r="AN347" i="17"/>
  <c r="AM347" i="17"/>
  <c r="AL347" i="17"/>
  <c r="AK347" i="17"/>
  <c r="AJ347" i="17"/>
  <c r="AI347" i="17"/>
  <c r="AH347" i="17"/>
  <c r="AG347" i="17"/>
  <c r="AF347" i="17"/>
  <c r="AE347" i="17"/>
  <c r="AD347" i="17"/>
  <c r="AB347" i="17"/>
  <c r="AA347" i="17"/>
  <c r="Z347" i="17"/>
  <c r="Y347" i="17"/>
  <c r="X347" i="17"/>
  <c r="BB474" i="17"/>
  <c r="BA474" i="17"/>
  <c r="AZ474" i="17"/>
  <c r="AY474" i="17"/>
  <c r="AX474" i="17"/>
  <c r="AP474" i="17"/>
  <c r="AO474" i="17"/>
  <c r="AN474" i="17"/>
  <c r="AM474" i="17"/>
  <c r="AL474" i="17"/>
  <c r="AK474" i="17"/>
  <c r="AJ474" i="17"/>
  <c r="AI474" i="17"/>
  <c r="AH474" i="17"/>
  <c r="AG474" i="17"/>
  <c r="AF474" i="17"/>
  <c r="AE474" i="17"/>
  <c r="AD474" i="17"/>
  <c r="AB474" i="17"/>
  <c r="AA474" i="17"/>
  <c r="Z474" i="17"/>
  <c r="Y474" i="17"/>
  <c r="X474" i="17"/>
  <c r="V474" i="17"/>
  <c r="BB473" i="17"/>
  <c r="BA473" i="17"/>
  <c r="AZ473" i="17"/>
  <c r="AY473" i="17"/>
  <c r="AX473" i="17"/>
  <c r="AP473" i="17"/>
  <c r="AO473" i="17"/>
  <c r="AN473" i="17"/>
  <c r="AM473" i="17"/>
  <c r="AL473" i="17"/>
  <c r="AK473" i="17"/>
  <c r="AJ473" i="17"/>
  <c r="AI473" i="17"/>
  <c r="AH473" i="17"/>
  <c r="AG473" i="17"/>
  <c r="AF473" i="17"/>
  <c r="AE473" i="17"/>
  <c r="AD473" i="17"/>
  <c r="AB473" i="17"/>
  <c r="AA473" i="17"/>
  <c r="Z473" i="17"/>
  <c r="Y473" i="17"/>
  <c r="X473" i="17"/>
  <c r="V473" i="17"/>
  <c r="BC472" i="17"/>
  <c r="BB472" i="17"/>
  <c r="BA472" i="17"/>
  <c r="AZ472" i="17"/>
  <c r="AY472" i="17"/>
  <c r="AX472" i="17"/>
  <c r="AP472" i="17"/>
  <c r="AO472" i="17"/>
  <c r="AN472" i="17"/>
  <c r="AM472" i="17"/>
  <c r="AL472" i="17"/>
  <c r="AK472" i="17"/>
  <c r="AJ472" i="17"/>
  <c r="AI472" i="17"/>
  <c r="AH472" i="17"/>
  <c r="AG472" i="17"/>
  <c r="AF472" i="17"/>
  <c r="AE472" i="17"/>
  <c r="AD472" i="17"/>
  <c r="AB472" i="17"/>
  <c r="AA472" i="17"/>
  <c r="Z472" i="17"/>
  <c r="Y472" i="17"/>
  <c r="X472" i="17"/>
  <c r="V472" i="17"/>
  <c r="BB471" i="17"/>
  <c r="BA471" i="17"/>
  <c r="AZ471" i="17"/>
  <c r="AY471" i="17"/>
  <c r="AX471" i="17"/>
  <c r="AP471" i="17"/>
  <c r="AO471" i="17"/>
  <c r="AN471" i="17"/>
  <c r="AM471" i="17"/>
  <c r="AL471" i="17"/>
  <c r="AK471" i="17"/>
  <c r="AJ471" i="17"/>
  <c r="AI471" i="17"/>
  <c r="AH471" i="17"/>
  <c r="AG471" i="17"/>
  <c r="AF471" i="17"/>
  <c r="AE471" i="17"/>
  <c r="AD471" i="17"/>
  <c r="AB471" i="17"/>
  <c r="AA471" i="17"/>
  <c r="Z471" i="17"/>
  <c r="Y471" i="17"/>
  <c r="X471" i="17"/>
  <c r="BB470" i="17"/>
  <c r="BA470" i="17"/>
  <c r="AZ470" i="17"/>
  <c r="AY470" i="17"/>
  <c r="AX470" i="17"/>
  <c r="AP470" i="17"/>
  <c r="AO470" i="17"/>
  <c r="AN470" i="17"/>
  <c r="AM470" i="17"/>
  <c r="AL470" i="17"/>
  <c r="AK470" i="17"/>
  <c r="AJ470" i="17"/>
  <c r="AI470" i="17"/>
  <c r="AH470" i="17"/>
  <c r="AG470" i="17"/>
  <c r="AF470" i="17"/>
  <c r="AE470" i="17"/>
  <c r="AD470" i="17"/>
  <c r="AB470" i="17"/>
  <c r="AA470" i="17"/>
  <c r="Z470" i="17"/>
  <c r="Y470" i="17"/>
  <c r="X470" i="17"/>
  <c r="BB469" i="17"/>
  <c r="BA469" i="17"/>
  <c r="AZ469" i="17"/>
  <c r="AY469" i="17"/>
  <c r="AX469" i="17"/>
  <c r="AP469" i="17"/>
  <c r="AO469" i="17"/>
  <c r="AN469" i="17"/>
  <c r="AM469" i="17"/>
  <c r="AL469" i="17"/>
  <c r="AK469" i="17"/>
  <c r="AJ469" i="17"/>
  <c r="AI469" i="17"/>
  <c r="AH469" i="17"/>
  <c r="AG469" i="17"/>
  <c r="AF469" i="17"/>
  <c r="AE469" i="17"/>
  <c r="AD469" i="17"/>
  <c r="AB469" i="17"/>
  <c r="AA469" i="17"/>
  <c r="Z469" i="17"/>
  <c r="Y469" i="17"/>
  <c r="X469" i="17"/>
  <c r="V469" i="17"/>
  <c r="BB468" i="17"/>
  <c r="BA468" i="17"/>
  <c r="AZ468" i="17"/>
  <c r="AY468" i="17"/>
  <c r="AX468" i="17"/>
  <c r="AP468" i="17"/>
  <c r="AO468" i="17"/>
  <c r="AN468" i="17"/>
  <c r="AM468" i="17"/>
  <c r="AL468" i="17"/>
  <c r="AK468" i="17"/>
  <c r="AJ468" i="17"/>
  <c r="AI468" i="17"/>
  <c r="AH468" i="17"/>
  <c r="AG468" i="17"/>
  <c r="AF468" i="17"/>
  <c r="AE468" i="17"/>
  <c r="AD468" i="17"/>
  <c r="AB468" i="17"/>
  <c r="AA468" i="17"/>
  <c r="Z468" i="17"/>
  <c r="Y468" i="17"/>
  <c r="X468" i="17"/>
  <c r="BB467" i="17"/>
  <c r="BA467" i="17"/>
  <c r="AZ467" i="17"/>
  <c r="AY467" i="17"/>
  <c r="AX467" i="17"/>
  <c r="AQ467" i="17"/>
  <c r="AP467" i="17"/>
  <c r="AO467" i="17"/>
  <c r="AN467" i="17"/>
  <c r="AM467" i="17"/>
  <c r="AL467" i="17"/>
  <c r="AK467" i="17"/>
  <c r="AJ467" i="17"/>
  <c r="AI467" i="17"/>
  <c r="AH467" i="17"/>
  <c r="AG467" i="17"/>
  <c r="AF467" i="17"/>
  <c r="AE467" i="17"/>
  <c r="AD467" i="17"/>
  <c r="AB467" i="17"/>
  <c r="AA467" i="17"/>
  <c r="Z467" i="17"/>
  <c r="Y467" i="17"/>
  <c r="X467" i="17"/>
  <c r="V467" i="17"/>
  <c r="BB466" i="17"/>
  <c r="BA466" i="17"/>
  <c r="AZ466" i="17"/>
  <c r="AY466" i="17"/>
  <c r="AX466" i="17"/>
  <c r="AP466" i="17"/>
  <c r="AO466" i="17"/>
  <c r="AN466" i="17"/>
  <c r="AM466" i="17"/>
  <c r="AL466" i="17"/>
  <c r="AK466" i="17"/>
  <c r="AJ466" i="17"/>
  <c r="AI466" i="17"/>
  <c r="AH466" i="17"/>
  <c r="AG466" i="17"/>
  <c r="AF466" i="17"/>
  <c r="AE466" i="17"/>
  <c r="AD466" i="17"/>
  <c r="AB466" i="17"/>
  <c r="AA466" i="17"/>
  <c r="Z466" i="17"/>
  <c r="Y466" i="17"/>
  <c r="X466" i="17"/>
  <c r="V466" i="17"/>
  <c r="BB465" i="17"/>
  <c r="BA465" i="17"/>
  <c r="AZ465" i="17"/>
  <c r="AY465" i="17"/>
  <c r="AX465" i="17"/>
  <c r="AQ465" i="17"/>
  <c r="AP465" i="17"/>
  <c r="AO465" i="17"/>
  <c r="AN465" i="17"/>
  <c r="AM465" i="17"/>
  <c r="AL465" i="17"/>
  <c r="AK465" i="17"/>
  <c r="AJ465" i="17"/>
  <c r="AI465" i="17"/>
  <c r="AH465" i="17"/>
  <c r="AG465" i="17"/>
  <c r="AF465" i="17"/>
  <c r="AE465" i="17"/>
  <c r="AD465" i="17"/>
  <c r="AB465" i="17"/>
  <c r="AA465" i="17"/>
  <c r="Z465" i="17"/>
  <c r="Y465" i="17"/>
  <c r="X465" i="17"/>
  <c r="BB464" i="17"/>
  <c r="BA464" i="17"/>
  <c r="AZ464" i="17"/>
  <c r="AY464" i="17"/>
  <c r="AX464" i="17"/>
  <c r="AQ464" i="17"/>
  <c r="AP464" i="17"/>
  <c r="AO464" i="17"/>
  <c r="AN464" i="17"/>
  <c r="AM464" i="17"/>
  <c r="AL464" i="17"/>
  <c r="AK464" i="17"/>
  <c r="AJ464" i="17"/>
  <c r="AI464" i="17"/>
  <c r="AH464" i="17"/>
  <c r="AG464" i="17"/>
  <c r="AF464" i="17"/>
  <c r="AE464" i="17"/>
  <c r="AD464" i="17"/>
  <c r="AB464" i="17"/>
  <c r="AA464" i="17"/>
  <c r="Z464" i="17"/>
  <c r="Y464" i="17"/>
  <c r="X464" i="17"/>
  <c r="BC463" i="17"/>
  <c r="BB463" i="17"/>
  <c r="BA463" i="17"/>
  <c r="AZ463" i="17"/>
  <c r="AY463" i="17"/>
  <c r="AX463" i="17"/>
  <c r="AP463" i="17"/>
  <c r="AO463" i="17"/>
  <c r="AN463" i="17"/>
  <c r="AM463" i="17"/>
  <c r="AL463" i="17"/>
  <c r="AK463" i="17"/>
  <c r="AJ463" i="17"/>
  <c r="AI463" i="17"/>
  <c r="AH463" i="17"/>
  <c r="AG463" i="17"/>
  <c r="AF463" i="17"/>
  <c r="AE463" i="17"/>
  <c r="AD463" i="17"/>
  <c r="AB463" i="17"/>
  <c r="AA463" i="17"/>
  <c r="Z463" i="17"/>
  <c r="Y463" i="17"/>
  <c r="X463" i="17"/>
  <c r="V463" i="17"/>
  <c r="BK462" i="17"/>
  <c r="BB462" i="17"/>
  <c r="BA462" i="17"/>
  <c r="AZ462" i="17"/>
  <c r="AY462" i="17"/>
  <c r="AX462" i="17"/>
  <c r="AP462" i="17"/>
  <c r="AO462" i="17"/>
  <c r="AN462" i="17"/>
  <c r="AM462" i="17"/>
  <c r="AL462" i="17"/>
  <c r="AK462" i="17"/>
  <c r="AJ462" i="17"/>
  <c r="AI462" i="17"/>
  <c r="AH462" i="17"/>
  <c r="AG462" i="17"/>
  <c r="AF462" i="17"/>
  <c r="AE462" i="17"/>
  <c r="AD462" i="17"/>
  <c r="AA462" i="17"/>
  <c r="Z462" i="17"/>
  <c r="Y462" i="17"/>
  <c r="X462" i="17"/>
  <c r="W462" i="17"/>
  <c r="V462" i="17"/>
  <c r="BC461" i="17"/>
  <c r="BB461" i="17"/>
  <c r="BA461" i="17"/>
  <c r="AZ461" i="17"/>
  <c r="AY461" i="17"/>
  <c r="AX461" i="17"/>
  <c r="AQ461" i="17"/>
  <c r="AP461" i="17"/>
  <c r="AO461" i="17"/>
  <c r="AN461" i="17"/>
  <c r="AM461" i="17"/>
  <c r="AL461" i="17"/>
  <c r="AK461" i="17"/>
  <c r="AJ461" i="17"/>
  <c r="AI461" i="17"/>
  <c r="AH461" i="17"/>
  <c r="AG461" i="17"/>
  <c r="AF461" i="17"/>
  <c r="AE461" i="17"/>
  <c r="AD461" i="17"/>
  <c r="AB461" i="17"/>
  <c r="AA461" i="17"/>
  <c r="Z461" i="17"/>
  <c r="Y461" i="17"/>
  <c r="X461" i="17"/>
  <c r="V461" i="17"/>
  <c r="BC460" i="17"/>
  <c r="BB460" i="17"/>
  <c r="BA460" i="17"/>
  <c r="AZ460" i="17"/>
  <c r="AY460" i="17"/>
  <c r="AX460" i="17"/>
  <c r="AQ460" i="17"/>
  <c r="AP460" i="17"/>
  <c r="AO460" i="17"/>
  <c r="AN460" i="17"/>
  <c r="AM460" i="17"/>
  <c r="AL460" i="17"/>
  <c r="AK460" i="17"/>
  <c r="AJ460" i="17"/>
  <c r="AI460" i="17"/>
  <c r="AH460" i="17"/>
  <c r="AG460" i="17"/>
  <c r="AF460" i="17"/>
  <c r="AE460" i="17"/>
  <c r="AD460" i="17"/>
  <c r="AB460" i="17"/>
  <c r="AA460" i="17"/>
  <c r="Z460" i="17"/>
  <c r="Y460" i="17"/>
  <c r="X460" i="17"/>
  <c r="BB455" i="17"/>
  <c r="BA455" i="17"/>
  <c r="AZ455" i="17"/>
  <c r="AY455" i="17"/>
  <c r="AX455" i="17"/>
  <c r="AP455" i="17"/>
  <c r="AO455" i="17"/>
  <c r="AN455" i="17"/>
  <c r="AM455" i="17"/>
  <c r="AL455" i="17"/>
  <c r="AK455" i="17"/>
  <c r="AJ455" i="17"/>
  <c r="AI455" i="17"/>
  <c r="AH455" i="17"/>
  <c r="AG455" i="17"/>
  <c r="AF455" i="17"/>
  <c r="AE455" i="17"/>
  <c r="AD455" i="17"/>
  <c r="AB455" i="17"/>
  <c r="AA455" i="17"/>
  <c r="Z455" i="17"/>
  <c r="Y455" i="17"/>
  <c r="X455" i="17"/>
  <c r="V455" i="17"/>
  <c r="BB454" i="17"/>
  <c r="BA454" i="17"/>
  <c r="AZ454" i="17"/>
  <c r="AY454" i="17"/>
  <c r="AX454" i="17"/>
  <c r="AQ454" i="17"/>
  <c r="AP454" i="17"/>
  <c r="AO454" i="17"/>
  <c r="AN454" i="17"/>
  <c r="AM454" i="17"/>
  <c r="AL454" i="17"/>
  <c r="AK454" i="17"/>
  <c r="AJ454" i="17"/>
  <c r="AI454" i="17"/>
  <c r="AH454" i="17"/>
  <c r="AG454" i="17"/>
  <c r="AF454" i="17"/>
  <c r="AE454" i="17"/>
  <c r="AD454" i="17"/>
  <c r="AB454" i="17"/>
  <c r="AA454" i="17"/>
  <c r="Z454" i="17"/>
  <c r="Y454" i="17"/>
  <c r="X454" i="17"/>
  <c r="V454" i="17"/>
  <c r="BB453" i="17"/>
  <c r="BA453" i="17"/>
  <c r="AZ453" i="17"/>
  <c r="AY453" i="17"/>
  <c r="AX453" i="17"/>
  <c r="AQ453" i="17"/>
  <c r="AP453" i="17"/>
  <c r="AO453" i="17"/>
  <c r="AN453" i="17"/>
  <c r="AM453" i="17"/>
  <c r="AL453" i="17"/>
  <c r="AK453" i="17"/>
  <c r="AJ453" i="17"/>
  <c r="AI453" i="17"/>
  <c r="AH453" i="17"/>
  <c r="AG453" i="17"/>
  <c r="AF453" i="17"/>
  <c r="AE453" i="17"/>
  <c r="AD453" i="17"/>
  <c r="AB453" i="17"/>
  <c r="AA453" i="17"/>
  <c r="Z453" i="17"/>
  <c r="Y453" i="17"/>
  <c r="X453" i="17"/>
  <c r="V453" i="17"/>
  <c r="BC452" i="17"/>
  <c r="BB452" i="17"/>
  <c r="BA452" i="17"/>
  <c r="AZ452" i="17"/>
  <c r="AY452" i="17"/>
  <c r="AX452" i="17"/>
  <c r="AQ452" i="17"/>
  <c r="AP452" i="17"/>
  <c r="AO452" i="17"/>
  <c r="AN452" i="17"/>
  <c r="AM452" i="17"/>
  <c r="AL452" i="17"/>
  <c r="AK452" i="17"/>
  <c r="AJ452" i="17"/>
  <c r="AI452" i="17"/>
  <c r="AH452" i="17"/>
  <c r="AG452" i="17"/>
  <c r="AF452" i="17"/>
  <c r="AE452" i="17"/>
  <c r="AD452" i="17"/>
  <c r="AB452" i="17"/>
  <c r="AA452" i="17"/>
  <c r="Z452" i="17"/>
  <c r="Y452" i="17"/>
  <c r="X452" i="17"/>
  <c r="V452" i="17"/>
  <c r="BB450" i="17"/>
  <c r="BA450" i="17"/>
  <c r="AZ450" i="17"/>
  <c r="AY450" i="17"/>
  <c r="AX450" i="17"/>
  <c r="AP450" i="17"/>
  <c r="AO450" i="17"/>
  <c r="AN450" i="17"/>
  <c r="AM450" i="17"/>
  <c r="AL450" i="17"/>
  <c r="AK450" i="17"/>
  <c r="AJ450" i="17"/>
  <c r="AI450" i="17"/>
  <c r="AH450" i="17"/>
  <c r="AG450" i="17"/>
  <c r="AF450" i="17"/>
  <c r="AE450" i="17"/>
  <c r="AD450" i="17"/>
  <c r="AB450" i="17"/>
  <c r="AA450" i="17"/>
  <c r="Z450" i="17"/>
  <c r="Y450" i="17"/>
  <c r="X450" i="17"/>
  <c r="BK449" i="17"/>
  <c r="BB449" i="17"/>
  <c r="BA449" i="17"/>
  <c r="AZ449" i="17"/>
  <c r="AY449" i="17"/>
  <c r="AX449" i="17"/>
  <c r="AP449" i="17"/>
  <c r="AO449" i="17"/>
  <c r="AN449" i="17"/>
  <c r="AM449" i="17"/>
  <c r="AL449" i="17"/>
  <c r="AK449" i="17"/>
  <c r="AJ449" i="17"/>
  <c r="AI449" i="17"/>
  <c r="AH449" i="17"/>
  <c r="AG449" i="17"/>
  <c r="AF449" i="17"/>
  <c r="AE449" i="17"/>
  <c r="AD449" i="17"/>
  <c r="AC449" i="17"/>
  <c r="AB449" i="17"/>
  <c r="AA449" i="17"/>
  <c r="Z449" i="17"/>
  <c r="Y449" i="17"/>
  <c r="X449" i="17"/>
  <c r="W449" i="17"/>
  <c r="V449" i="17"/>
  <c r="BB448" i="17"/>
  <c r="BA448" i="17"/>
  <c r="AZ448" i="17"/>
  <c r="AY448" i="17"/>
  <c r="AX448" i="17"/>
  <c r="AP448" i="17"/>
  <c r="AO448" i="17"/>
  <c r="AN448" i="17"/>
  <c r="AM448" i="17"/>
  <c r="AL448" i="17"/>
  <c r="AK448" i="17"/>
  <c r="AJ448" i="17"/>
  <c r="AI448" i="17"/>
  <c r="AH448" i="17"/>
  <c r="AG448" i="17"/>
  <c r="AF448" i="17"/>
  <c r="AE448" i="17"/>
  <c r="AD448" i="17"/>
  <c r="AB448" i="17"/>
  <c r="AA448" i="17"/>
  <c r="Z448" i="17"/>
  <c r="Y448" i="17"/>
  <c r="X448" i="17"/>
  <c r="BC447" i="17"/>
  <c r="BB447" i="17"/>
  <c r="BA447" i="17"/>
  <c r="AZ447" i="17"/>
  <c r="AY447" i="17"/>
  <c r="AX447" i="17"/>
  <c r="AP447" i="17"/>
  <c r="AO447" i="17"/>
  <c r="AN447" i="17"/>
  <c r="AM447" i="17"/>
  <c r="AL447" i="17"/>
  <c r="AK447" i="17"/>
  <c r="AJ447" i="17"/>
  <c r="AI447" i="17"/>
  <c r="AH447" i="17"/>
  <c r="AG447" i="17"/>
  <c r="AF447" i="17"/>
  <c r="AE447" i="17"/>
  <c r="AD447" i="17"/>
  <c r="AB447" i="17"/>
  <c r="AA447" i="17"/>
  <c r="Z447" i="17"/>
  <c r="Y447" i="17"/>
  <c r="X447" i="17"/>
  <c r="BC446" i="17"/>
  <c r="BB446" i="17"/>
  <c r="BA446" i="17"/>
  <c r="AZ446" i="17"/>
  <c r="AY446" i="17"/>
  <c r="AX446" i="17"/>
  <c r="AQ446" i="17"/>
  <c r="AP446" i="17"/>
  <c r="AO446" i="17"/>
  <c r="AN446" i="17"/>
  <c r="AM446" i="17"/>
  <c r="AL446" i="17"/>
  <c r="AK446" i="17"/>
  <c r="AJ446" i="17"/>
  <c r="AI446" i="17"/>
  <c r="AH446" i="17"/>
  <c r="AG446" i="17"/>
  <c r="AF446" i="17"/>
  <c r="AE446" i="17"/>
  <c r="AD446" i="17"/>
  <c r="AB446" i="17"/>
  <c r="AA446" i="17"/>
  <c r="Z446" i="17"/>
  <c r="Y446" i="17"/>
  <c r="X446" i="17"/>
  <c r="V446" i="17"/>
  <c r="BB445" i="17"/>
  <c r="BA445" i="17"/>
  <c r="AZ445" i="17"/>
  <c r="AY445" i="17"/>
  <c r="AX445" i="17"/>
  <c r="AP445" i="17"/>
  <c r="AO445" i="17"/>
  <c r="AN445" i="17"/>
  <c r="AM445" i="17"/>
  <c r="AL445" i="17"/>
  <c r="AK445" i="17"/>
  <c r="AJ445" i="17"/>
  <c r="AI445" i="17"/>
  <c r="AH445" i="17"/>
  <c r="AG445" i="17"/>
  <c r="AF445" i="17"/>
  <c r="AE445" i="17"/>
  <c r="AD445" i="17"/>
  <c r="AB445" i="17"/>
  <c r="AA445" i="17"/>
  <c r="Z445" i="17"/>
  <c r="Y445" i="17"/>
  <c r="X445" i="17"/>
  <c r="V445" i="17"/>
  <c r="BC444" i="17"/>
  <c r="BB444" i="17"/>
  <c r="BA444" i="17"/>
  <c r="AZ444" i="17"/>
  <c r="AY444" i="17"/>
  <c r="AX444" i="17"/>
  <c r="AQ444" i="17"/>
  <c r="AP444" i="17"/>
  <c r="AO444" i="17"/>
  <c r="AN444" i="17"/>
  <c r="AM444" i="17"/>
  <c r="AL444" i="17"/>
  <c r="AK444" i="17"/>
  <c r="AJ444" i="17"/>
  <c r="AI444" i="17"/>
  <c r="AH444" i="17"/>
  <c r="AG444" i="17"/>
  <c r="AF444" i="17"/>
  <c r="AE444" i="17"/>
  <c r="AD444" i="17"/>
  <c r="AB444" i="17"/>
  <c r="AA444" i="17"/>
  <c r="Z444" i="17"/>
  <c r="Y444" i="17"/>
  <c r="X444" i="17"/>
  <c r="V444" i="17"/>
  <c r="BC443" i="17"/>
  <c r="BB443" i="17"/>
  <c r="BA443" i="17"/>
  <c r="AZ443" i="17"/>
  <c r="AY443" i="17"/>
  <c r="AX443" i="17"/>
  <c r="AP443" i="17"/>
  <c r="AO443" i="17"/>
  <c r="AN443" i="17"/>
  <c r="AM443" i="17"/>
  <c r="AL443" i="17"/>
  <c r="AK443" i="17"/>
  <c r="AJ443" i="17"/>
  <c r="AI443" i="17"/>
  <c r="AH443" i="17"/>
  <c r="AG443" i="17"/>
  <c r="AF443" i="17"/>
  <c r="AE443" i="17"/>
  <c r="AD443" i="17"/>
  <c r="AB443" i="17"/>
  <c r="AA443" i="17"/>
  <c r="Z443" i="17"/>
  <c r="Y443" i="17"/>
  <c r="X443" i="17"/>
  <c r="BC442" i="17"/>
  <c r="BB442" i="17"/>
  <c r="BA442" i="17"/>
  <c r="AZ442" i="17"/>
  <c r="AY442" i="17"/>
  <c r="AX442" i="17"/>
  <c r="AQ442" i="17"/>
  <c r="AP442" i="17"/>
  <c r="AO442" i="17"/>
  <c r="AN442" i="17"/>
  <c r="AM442" i="17"/>
  <c r="AL442" i="17"/>
  <c r="AK442" i="17"/>
  <c r="AJ442" i="17"/>
  <c r="AI442" i="17"/>
  <c r="AH442" i="17"/>
  <c r="AG442" i="17"/>
  <c r="AF442" i="17"/>
  <c r="AE442" i="17"/>
  <c r="AD442" i="17"/>
  <c r="AB442" i="17"/>
  <c r="AA442" i="17"/>
  <c r="Z442" i="17"/>
  <c r="Y442" i="17"/>
  <c r="X442" i="17"/>
  <c r="BC441" i="17"/>
  <c r="BB441" i="17"/>
  <c r="BA441" i="17"/>
  <c r="AZ441" i="17"/>
  <c r="AY441" i="17"/>
  <c r="AX441" i="17"/>
  <c r="AQ441" i="17"/>
  <c r="AP441" i="17"/>
  <c r="AO441" i="17"/>
  <c r="AN441" i="17"/>
  <c r="AM441" i="17"/>
  <c r="AL441" i="17"/>
  <c r="AK441" i="17"/>
  <c r="AJ441" i="17"/>
  <c r="AI441" i="17"/>
  <c r="AH441" i="17"/>
  <c r="AG441" i="17"/>
  <c r="AF441" i="17"/>
  <c r="AE441" i="17"/>
  <c r="AD441" i="17"/>
  <c r="AB441" i="17"/>
  <c r="AA441" i="17"/>
  <c r="Z441" i="17"/>
  <c r="Y441" i="17"/>
  <c r="X441" i="17"/>
  <c r="V441" i="17"/>
  <c r="BC440" i="17"/>
  <c r="BB440" i="17"/>
  <c r="BA440" i="17"/>
  <c r="AZ440" i="17"/>
  <c r="AY440" i="17"/>
  <c r="AX440" i="17"/>
  <c r="AQ440" i="17"/>
  <c r="AP440" i="17"/>
  <c r="AO440" i="17"/>
  <c r="AN440" i="17"/>
  <c r="AM440" i="17"/>
  <c r="AL440" i="17"/>
  <c r="AK440" i="17"/>
  <c r="AJ440" i="17"/>
  <c r="AI440" i="17"/>
  <c r="AH440" i="17"/>
  <c r="AG440" i="17"/>
  <c r="AF440" i="17"/>
  <c r="AE440" i="17"/>
  <c r="AD440" i="17"/>
  <c r="AB440" i="17"/>
  <c r="AA440" i="17"/>
  <c r="Z440" i="17"/>
  <c r="Y440" i="17"/>
  <c r="X440" i="17"/>
  <c r="BC436" i="17"/>
  <c r="BB436" i="17"/>
  <c r="BA436" i="17"/>
  <c r="AZ436" i="17"/>
  <c r="AY436" i="17"/>
  <c r="AX436" i="17"/>
  <c r="AQ436" i="17"/>
  <c r="AP436" i="17"/>
  <c r="AO436" i="17"/>
  <c r="AN436" i="17"/>
  <c r="AM436" i="17"/>
  <c r="AL436" i="17"/>
  <c r="AK436" i="17"/>
  <c r="AJ436" i="17"/>
  <c r="AI436" i="17"/>
  <c r="AH436" i="17"/>
  <c r="AG436" i="17"/>
  <c r="AF436" i="17"/>
  <c r="AE436" i="17"/>
  <c r="AD436" i="17"/>
  <c r="AB436" i="17"/>
  <c r="AA436" i="17"/>
  <c r="Z436" i="17"/>
  <c r="Y436" i="17"/>
  <c r="X436" i="17"/>
  <c r="V436" i="17"/>
  <c r="BC435" i="17"/>
  <c r="BB435" i="17"/>
  <c r="BA435" i="17"/>
  <c r="AZ435" i="17"/>
  <c r="AY435" i="17"/>
  <c r="AX435" i="17"/>
  <c r="AP435" i="17"/>
  <c r="AO435" i="17"/>
  <c r="AN435" i="17"/>
  <c r="AM435" i="17"/>
  <c r="AL435" i="17"/>
  <c r="AK435" i="17"/>
  <c r="AJ435" i="17"/>
  <c r="AI435" i="17"/>
  <c r="AH435" i="17"/>
  <c r="AG435" i="17"/>
  <c r="AF435" i="17"/>
  <c r="AE435" i="17"/>
  <c r="AD435" i="17"/>
  <c r="AB435" i="17"/>
  <c r="AA435" i="17"/>
  <c r="Z435" i="17"/>
  <c r="Y435" i="17"/>
  <c r="X435" i="17"/>
  <c r="V435" i="17"/>
  <c r="BB434" i="17"/>
  <c r="BA434" i="17"/>
  <c r="AZ434" i="17"/>
  <c r="AY434" i="17"/>
  <c r="AX434" i="17"/>
  <c r="AQ434" i="17"/>
  <c r="AP434" i="17"/>
  <c r="AO434" i="17"/>
  <c r="AN434" i="17"/>
  <c r="AM434" i="17"/>
  <c r="AL434" i="17"/>
  <c r="AK434" i="17"/>
  <c r="AJ434" i="17"/>
  <c r="AI434" i="17"/>
  <c r="AH434" i="17"/>
  <c r="AG434" i="17"/>
  <c r="AF434" i="17"/>
  <c r="AE434" i="17"/>
  <c r="AD434" i="17"/>
  <c r="AB434" i="17"/>
  <c r="AA434" i="17"/>
  <c r="Z434" i="17"/>
  <c r="Y434" i="17"/>
  <c r="X434" i="17"/>
  <c r="V434" i="17"/>
  <c r="BC433" i="17"/>
  <c r="BB433" i="17"/>
  <c r="BA433" i="17"/>
  <c r="AZ433" i="17"/>
  <c r="AY433" i="17"/>
  <c r="AX433" i="17"/>
  <c r="AP433" i="17"/>
  <c r="AO433" i="17"/>
  <c r="AN433" i="17"/>
  <c r="AM433" i="17"/>
  <c r="AL433" i="17"/>
  <c r="AK433" i="17"/>
  <c r="AJ433" i="17"/>
  <c r="AI433" i="17"/>
  <c r="AH433" i="17"/>
  <c r="AG433" i="17"/>
  <c r="AF433" i="17"/>
  <c r="AE433" i="17"/>
  <c r="AD433" i="17"/>
  <c r="AB433" i="17"/>
  <c r="AA433" i="17"/>
  <c r="Z433" i="17"/>
  <c r="Y433" i="17"/>
  <c r="X433" i="17"/>
  <c r="V433" i="17"/>
  <c r="BB432" i="17"/>
  <c r="BA432" i="17"/>
  <c r="AZ432" i="17"/>
  <c r="AY432" i="17"/>
  <c r="AX432" i="17"/>
  <c r="AP432" i="17"/>
  <c r="AO432" i="17"/>
  <c r="AN432" i="17"/>
  <c r="AM432" i="17"/>
  <c r="AL432" i="17"/>
  <c r="AK432" i="17"/>
  <c r="AJ432" i="17"/>
  <c r="AI432" i="17"/>
  <c r="AH432" i="17"/>
  <c r="AG432" i="17"/>
  <c r="AF432" i="17"/>
  <c r="AE432" i="17"/>
  <c r="AD432" i="17"/>
  <c r="AB432" i="17"/>
  <c r="AA432" i="17"/>
  <c r="Z432" i="17"/>
  <c r="Y432" i="17"/>
  <c r="X432" i="17"/>
  <c r="BB430" i="17"/>
  <c r="BA430" i="17"/>
  <c r="AZ430" i="17"/>
  <c r="AY430" i="17"/>
  <c r="AX430" i="17"/>
  <c r="AP430" i="17"/>
  <c r="AO430" i="17"/>
  <c r="AN430" i="17"/>
  <c r="AM430" i="17"/>
  <c r="AL430" i="17"/>
  <c r="AK430" i="17"/>
  <c r="AJ430" i="17"/>
  <c r="AI430" i="17"/>
  <c r="AH430" i="17"/>
  <c r="AG430" i="17"/>
  <c r="AF430" i="17"/>
  <c r="AE430" i="17"/>
  <c r="AD430" i="17"/>
  <c r="AB430" i="17"/>
  <c r="AA430" i="17"/>
  <c r="Z430" i="17"/>
  <c r="Y430" i="17"/>
  <c r="X430" i="17"/>
  <c r="V430" i="17"/>
  <c r="BB429" i="17"/>
  <c r="BA429" i="17"/>
  <c r="AZ429" i="17"/>
  <c r="AY429" i="17"/>
  <c r="AX429" i="17"/>
  <c r="AP429" i="17"/>
  <c r="AO429" i="17"/>
  <c r="AN429" i="17"/>
  <c r="AM429" i="17"/>
  <c r="AL429" i="17"/>
  <c r="AK429" i="17"/>
  <c r="AJ429" i="17"/>
  <c r="AI429" i="17"/>
  <c r="AH429" i="17"/>
  <c r="AG429" i="17"/>
  <c r="AF429" i="17"/>
  <c r="AE429" i="17"/>
  <c r="AD429" i="17"/>
  <c r="AB429" i="17"/>
  <c r="AA429" i="17"/>
  <c r="Z429" i="17"/>
  <c r="Y429" i="17"/>
  <c r="X429" i="17"/>
  <c r="BK428" i="17"/>
  <c r="BC428" i="17"/>
  <c r="BB428" i="17"/>
  <c r="BA428" i="17"/>
  <c r="AZ428" i="17"/>
  <c r="AY428" i="17"/>
  <c r="AX428" i="17"/>
  <c r="AP428" i="17"/>
  <c r="AO428" i="17"/>
  <c r="AN428" i="17"/>
  <c r="AM428" i="17"/>
  <c r="AL428" i="17"/>
  <c r="AK428" i="17"/>
  <c r="AJ428" i="17"/>
  <c r="AI428" i="17"/>
  <c r="AH428" i="17"/>
  <c r="AG428" i="17"/>
  <c r="AF428" i="17"/>
  <c r="AE428" i="17"/>
  <c r="AD428" i="17"/>
  <c r="AC428" i="17"/>
  <c r="AB428" i="17"/>
  <c r="AA428" i="17"/>
  <c r="Z428" i="17"/>
  <c r="Y428" i="17"/>
  <c r="X428" i="17"/>
  <c r="W428" i="17"/>
  <c r="V428" i="17"/>
  <c r="BB427" i="17"/>
  <c r="BA427" i="17"/>
  <c r="AZ427" i="17"/>
  <c r="AY427" i="17"/>
  <c r="AX427" i="17"/>
  <c r="AP427" i="17"/>
  <c r="AO427" i="17"/>
  <c r="AN427" i="17"/>
  <c r="AM427" i="17"/>
  <c r="AL427" i="17"/>
  <c r="AK427" i="17"/>
  <c r="AJ427" i="17"/>
  <c r="AI427" i="17"/>
  <c r="AH427" i="17"/>
  <c r="AG427" i="17"/>
  <c r="AF427" i="17"/>
  <c r="AE427" i="17"/>
  <c r="AD427" i="17"/>
  <c r="AB427" i="17"/>
  <c r="AA427" i="17"/>
  <c r="Z427" i="17"/>
  <c r="Y427" i="17"/>
  <c r="X427" i="17"/>
  <c r="V427" i="17"/>
  <c r="BC426" i="17"/>
  <c r="BB426" i="17"/>
  <c r="BA426" i="17"/>
  <c r="AZ426" i="17"/>
  <c r="AY426" i="17"/>
  <c r="AX426" i="17"/>
  <c r="AP426" i="17"/>
  <c r="AO426" i="17"/>
  <c r="AN426" i="17"/>
  <c r="AM426" i="17"/>
  <c r="AL426" i="17"/>
  <c r="AK426" i="17"/>
  <c r="AJ426" i="17"/>
  <c r="AI426" i="17"/>
  <c r="AH426" i="17"/>
  <c r="AG426" i="17"/>
  <c r="AF426" i="17"/>
  <c r="AE426" i="17"/>
  <c r="AD426" i="17"/>
  <c r="AB426" i="17"/>
  <c r="AA426" i="17"/>
  <c r="Z426" i="17"/>
  <c r="Y426" i="17"/>
  <c r="X426" i="17"/>
  <c r="V426" i="17"/>
  <c r="BC425" i="17"/>
  <c r="BB425" i="17"/>
  <c r="BA425" i="17"/>
  <c r="AZ425" i="17"/>
  <c r="AY425" i="17"/>
  <c r="AX425" i="17"/>
  <c r="AP425" i="17"/>
  <c r="AO425" i="17"/>
  <c r="AN425" i="17"/>
  <c r="AM425" i="17"/>
  <c r="AL425" i="17"/>
  <c r="AK425" i="17"/>
  <c r="AJ425" i="17"/>
  <c r="AI425" i="17"/>
  <c r="AH425" i="17"/>
  <c r="AG425" i="17"/>
  <c r="AF425" i="17"/>
  <c r="AE425" i="17"/>
  <c r="AD425" i="17"/>
  <c r="AB425" i="17"/>
  <c r="AA425" i="17"/>
  <c r="Z425" i="17"/>
  <c r="Y425" i="17"/>
  <c r="X425" i="17"/>
  <c r="V425" i="17"/>
  <c r="BB424" i="17"/>
  <c r="BA424" i="17"/>
  <c r="AZ424" i="17"/>
  <c r="AY424" i="17"/>
  <c r="AX424" i="17"/>
  <c r="AP424" i="17"/>
  <c r="AO424" i="17"/>
  <c r="AN424" i="17"/>
  <c r="AM424" i="17"/>
  <c r="AL424" i="17"/>
  <c r="AK424" i="17"/>
  <c r="AJ424" i="17"/>
  <c r="AI424" i="17"/>
  <c r="AH424" i="17"/>
  <c r="AG424" i="17"/>
  <c r="AF424" i="17"/>
  <c r="AE424" i="17"/>
  <c r="AD424" i="17"/>
  <c r="AB424" i="17"/>
  <c r="AA424" i="17"/>
  <c r="Z424" i="17"/>
  <c r="Y424" i="17"/>
  <c r="X424" i="17"/>
  <c r="V424" i="17"/>
  <c r="BC423" i="17"/>
  <c r="BB423" i="17"/>
  <c r="BA423" i="17"/>
  <c r="AZ423" i="17"/>
  <c r="AY423" i="17"/>
  <c r="AX423" i="17"/>
  <c r="AQ423" i="17"/>
  <c r="AP423" i="17"/>
  <c r="AO423" i="17"/>
  <c r="AN423" i="17"/>
  <c r="AM423" i="17"/>
  <c r="AL423" i="17"/>
  <c r="AK423" i="17"/>
  <c r="AJ423" i="17"/>
  <c r="AI423" i="17"/>
  <c r="AH423" i="17"/>
  <c r="AG423" i="17"/>
  <c r="AF423" i="17"/>
  <c r="AE423" i="17"/>
  <c r="AD423" i="17"/>
  <c r="AB423" i="17"/>
  <c r="AA423" i="17"/>
  <c r="Z423" i="17"/>
  <c r="Y423" i="17"/>
  <c r="X423" i="17"/>
  <c r="BC422" i="17"/>
  <c r="BB422" i="17"/>
  <c r="BA422" i="17"/>
  <c r="AZ422" i="17"/>
  <c r="AY422" i="17"/>
  <c r="AX422" i="17"/>
  <c r="AQ422" i="17"/>
  <c r="AP422" i="17"/>
  <c r="AO422" i="17"/>
  <c r="AN422" i="17"/>
  <c r="AM422" i="17"/>
  <c r="AL422" i="17"/>
  <c r="AK422" i="17"/>
  <c r="AJ422" i="17"/>
  <c r="AI422" i="17"/>
  <c r="AH422" i="17"/>
  <c r="AG422" i="17"/>
  <c r="AF422" i="17"/>
  <c r="AE422" i="17"/>
  <c r="AD422" i="17"/>
  <c r="AB422" i="17"/>
  <c r="AA422" i="17"/>
  <c r="Z422" i="17"/>
  <c r="Y422" i="17"/>
  <c r="X422" i="17"/>
  <c r="V422" i="17"/>
  <c r="BC421" i="17"/>
  <c r="BB421" i="17"/>
  <c r="BA421" i="17"/>
  <c r="AZ421" i="17"/>
  <c r="AY421" i="17"/>
  <c r="AX421" i="17"/>
  <c r="AQ421" i="17"/>
  <c r="AP421" i="17"/>
  <c r="AO421" i="17"/>
  <c r="AN421" i="17"/>
  <c r="AM421" i="17"/>
  <c r="AL421" i="17"/>
  <c r="AK421" i="17"/>
  <c r="AJ421" i="17"/>
  <c r="AI421" i="17"/>
  <c r="AH421" i="17"/>
  <c r="AG421" i="17"/>
  <c r="AF421" i="17"/>
  <c r="AE421" i="17"/>
  <c r="AD421" i="17"/>
  <c r="AB421" i="17"/>
  <c r="AA421" i="17"/>
  <c r="Z421" i="17"/>
  <c r="Y421" i="17"/>
  <c r="X421" i="17"/>
  <c r="BB417" i="17"/>
  <c r="BA417" i="17"/>
  <c r="AZ417" i="17"/>
  <c r="AY417" i="17"/>
  <c r="AX417" i="17"/>
  <c r="AP417" i="17"/>
  <c r="AO417" i="17"/>
  <c r="AN417" i="17"/>
  <c r="AM417" i="17"/>
  <c r="AL417" i="17"/>
  <c r="AK417" i="17"/>
  <c r="AJ417" i="17"/>
  <c r="AI417" i="17"/>
  <c r="AH417" i="17"/>
  <c r="AG417" i="17"/>
  <c r="AF417" i="17"/>
  <c r="AE417" i="17"/>
  <c r="AD417" i="17"/>
  <c r="AB417" i="17"/>
  <c r="AA417" i="17"/>
  <c r="Z417" i="17"/>
  <c r="Y417" i="17"/>
  <c r="X417" i="17"/>
  <c r="V417" i="17"/>
  <c r="BC416" i="17"/>
  <c r="BB416" i="17"/>
  <c r="BA416" i="17"/>
  <c r="AZ416" i="17"/>
  <c r="AY416" i="17"/>
  <c r="AX416" i="17"/>
  <c r="AP416" i="17"/>
  <c r="AO416" i="17"/>
  <c r="AN416" i="17"/>
  <c r="AM416" i="17"/>
  <c r="AL416" i="17"/>
  <c r="AK416" i="17"/>
  <c r="AJ416" i="17"/>
  <c r="AI416" i="17"/>
  <c r="AH416" i="17"/>
  <c r="AG416" i="17"/>
  <c r="AF416" i="17"/>
  <c r="AE416" i="17"/>
  <c r="AD416" i="17"/>
  <c r="AB416" i="17"/>
  <c r="AA416" i="17"/>
  <c r="Z416" i="17"/>
  <c r="Y416" i="17"/>
  <c r="X416" i="17"/>
  <c r="V416" i="17"/>
  <c r="BB415" i="17"/>
  <c r="BA415" i="17"/>
  <c r="AZ415" i="17"/>
  <c r="AY415" i="17"/>
  <c r="AX415" i="17"/>
  <c r="AQ415" i="17"/>
  <c r="AP415" i="17"/>
  <c r="AO415" i="17"/>
  <c r="AN415" i="17"/>
  <c r="AM415" i="17"/>
  <c r="AL415" i="17"/>
  <c r="AK415" i="17"/>
  <c r="AJ415" i="17"/>
  <c r="AI415" i="17"/>
  <c r="AH415" i="17"/>
  <c r="AG415" i="17"/>
  <c r="AF415" i="17"/>
  <c r="AE415" i="17"/>
  <c r="AD415" i="17"/>
  <c r="AB415" i="17"/>
  <c r="AA415" i="17"/>
  <c r="Z415" i="17"/>
  <c r="Y415" i="17"/>
  <c r="X415" i="17"/>
  <c r="V415" i="17"/>
  <c r="BC414" i="17"/>
  <c r="BB414" i="17"/>
  <c r="BA414" i="17"/>
  <c r="AZ414" i="17"/>
  <c r="AY414" i="17"/>
  <c r="AX414" i="17"/>
  <c r="AP414" i="17"/>
  <c r="AO414" i="17"/>
  <c r="AN414" i="17"/>
  <c r="AM414" i="17"/>
  <c r="AL414" i="17"/>
  <c r="AK414" i="17"/>
  <c r="AJ414" i="17"/>
  <c r="AI414" i="17"/>
  <c r="AH414" i="17"/>
  <c r="AG414" i="17"/>
  <c r="AF414" i="17"/>
  <c r="AE414" i="17"/>
  <c r="AD414" i="17"/>
  <c r="AB414" i="17"/>
  <c r="AA414" i="17"/>
  <c r="Z414" i="17"/>
  <c r="Y414" i="17"/>
  <c r="X414" i="17"/>
  <c r="BC413" i="17"/>
  <c r="BB413" i="17"/>
  <c r="BA413" i="17"/>
  <c r="AZ413" i="17"/>
  <c r="AY413" i="17"/>
  <c r="AX413" i="17"/>
  <c r="AP413" i="17"/>
  <c r="AO413" i="17"/>
  <c r="AN413" i="17"/>
  <c r="AM413" i="17"/>
  <c r="AL413" i="17"/>
  <c r="AK413" i="17"/>
  <c r="AJ413" i="17"/>
  <c r="AI413" i="17"/>
  <c r="AH413" i="17"/>
  <c r="AG413" i="17"/>
  <c r="AF413" i="17"/>
  <c r="AE413" i="17"/>
  <c r="AD413" i="17"/>
  <c r="AB413" i="17"/>
  <c r="AA413" i="17"/>
  <c r="Z413" i="17"/>
  <c r="Y413" i="17"/>
  <c r="X413" i="17"/>
  <c r="V413" i="17"/>
  <c r="BK412" i="17"/>
  <c r="BC412" i="17"/>
  <c r="BB412" i="17"/>
  <c r="BA412" i="17"/>
  <c r="AZ412" i="17"/>
  <c r="AY412" i="17"/>
  <c r="AX412" i="17"/>
  <c r="AQ412" i="17"/>
  <c r="AP412" i="17"/>
  <c r="AO412" i="17"/>
  <c r="AN412" i="17"/>
  <c r="AM412" i="17"/>
  <c r="AL412" i="17"/>
  <c r="AK412" i="17"/>
  <c r="AJ412" i="17"/>
  <c r="AI412" i="17"/>
  <c r="AH412" i="17"/>
  <c r="AG412" i="17"/>
  <c r="AF412" i="17"/>
  <c r="AE412" i="17"/>
  <c r="AD412" i="17"/>
  <c r="AC412" i="17"/>
  <c r="AB412" i="17"/>
  <c r="AA412" i="17"/>
  <c r="Z412" i="17"/>
  <c r="Y412" i="17"/>
  <c r="X412" i="17"/>
  <c r="W412" i="17"/>
  <c r="V412" i="17"/>
  <c r="BB411" i="17"/>
  <c r="BA411" i="17"/>
  <c r="AZ411" i="17"/>
  <c r="AY411" i="17"/>
  <c r="AX411" i="17"/>
  <c r="AQ411" i="17"/>
  <c r="AP411" i="17"/>
  <c r="AO411" i="17"/>
  <c r="AN411" i="17"/>
  <c r="AM411" i="17"/>
  <c r="AL411" i="17"/>
  <c r="AK411" i="17"/>
  <c r="AJ411" i="17"/>
  <c r="AI411" i="17"/>
  <c r="AH411" i="17"/>
  <c r="AG411" i="17"/>
  <c r="AF411" i="17"/>
  <c r="AE411" i="17"/>
  <c r="AD411" i="17"/>
  <c r="AB411" i="17"/>
  <c r="AA411" i="17"/>
  <c r="Z411" i="17"/>
  <c r="Y411" i="17"/>
  <c r="X411" i="17"/>
  <c r="V411" i="17"/>
  <c r="BC410" i="17"/>
  <c r="BB410" i="17"/>
  <c r="BA410" i="17"/>
  <c r="AZ410" i="17"/>
  <c r="AY410" i="17"/>
  <c r="AX410" i="17"/>
  <c r="AP410" i="17"/>
  <c r="AO410" i="17"/>
  <c r="AN410" i="17"/>
  <c r="AM410" i="17"/>
  <c r="AL410" i="17"/>
  <c r="AK410" i="17"/>
  <c r="AJ410" i="17"/>
  <c r="AI410" i="17"/>
  <c r="AH410" i="17"/>
  <c r="AG410" i="17"/>
  <c r="AF410" i="17"/>
  <c r="AE410" i="17"/>
  <c r="AD410" i="17"/>
  <c r="AB410" i="17"/>
  <c r="AA410" i="17"/>
  <c r="Z410" i="17"/>
  <c r="Y410" i="17"/>
  <c r="X410" i="17"/>
  <c r="V410" i="17"/>
  <c r="BB409" i="17"/>
  <c r="BA409" i="17"/>
  <c r="AZ409" i="17"/>
  <c r="AY409" i="17"/>
  <c r="AX409" i="17"/>
  <c r="AP409" i="17"/>
  <c r="AO409" i="17"/>
  <c r="AN409" i="17"/>
  <c r="AM409" i="17"/>
  <c r="AL409" i="17"/>
  <c r="AK409" i="17"/>
  <c r="AJ409" i="17"/>
  <c r="AI409" i="17"/>
  <c r="AH409" i="17"/>
  <c r="AG409" i="17"/>
  <c r="AF409" i="17"/>
  <c r="AE409" i="17"/>
  <c r="AD409" i="17"/>
  <c r="AB409" i="17"/>
  <c r="AA409" i="17"/>
  <c r="Z409" i="17"/>
  <c r="Y409" i="17"/>
  <c r="X409" i="17"/>
  <c r="BC408" i="17"/>
  <c r="BB408" i="17"/>
  <c r="BA408" i="17"/>
  <c r="AZ408" i="17"/>
  <c r="AY408" i="17"/>
  <c r="AX408" i="17"/>
  <c r="AP408" i="17"/>
  <c r="AO408" i="17"/>
  <c r="AN408" i="17"/>
  <c r="AM408" i="17"/>
  <c r="AL408" i="17"/>
  <c r="AK408" i="17"/>
  <c r="AJ408" i="17"/>
  <c r="AI408" i="17"/>
  <c r="AH408" i="17"/>
  <c r="AG408" i="17"/>
  <c r="AF408" i="17"/>
  <c r="AE408" i="17"/>
  <c r="AD408" i="17"/>
  <c r="AB408" i="17"/>
  <c r="AA408" i="17"/>
  <c r="Z408" i="17"/>
  <c r="Y408" i="17"/>
  <c r="X408" i="17"/>
  <c r="V408" i="17"/>
  <c r="BC407" i="17"/>
  <c r="BB407" i="17"/>
  <c r="BA407" i="17"/>
  <c r="AZ407" i="17"/>
  <c r="AY407" i="17"/>
  <c r="AX407" i="17"/>
  <c r="AQ407" i="17"/>
  <c r="AP407" i="17"/>
  <c r="AO407" i="17"/>
  <c r="AN407" i="17"/>
  <c r="AM407" i="17"/>
  <c r="AL407" i="17"/>
  <c r="AK407" i="17"/>
  <c r="AJ407" i="17"/>
  <c r="AI407" i="17"/>
  <c r="AH407" i="17"/>
  <c r="AG407" i="17"/>
  <c r="AF407" i="17"/>
  <c r="AE407" i="17"/>
  <c r="AD407" i="17"/>
  <c r="AB407" i="17"/>
  <c r="AA407" i="17"/>
  <c r="Z407" i="17"/>
  <c r="Y407" i="17"/>
  <c r="X407" i="17"/>
  <c r="V407" i="17"/>
  <c r="BC406" i="17"/>
  <c r="BB406" i="17"/>
  <c r="BA406" i="17"/>
  <c r="AZ406" i="17"/>
  <c r="AY406" i="17"/>
  <c r="AX406" i="17"/>
  <c r="AQ406" i="17"/>
  <c r="AP406" i="17"/>
  <c r="AO406" i="17"/>
  <c r="AN406" i="17"/>
  <c r="AM406" i="17"/>
  <c r="AL406" i="17"/>
  <c r="AK406" i="17"/>
  <c r="AJ406" i="17"/>
  <c r="AI406" i="17"/>
  <c r="AH406" i="17"/>
  <c r="AG406" i="17"/>
  <c r="AF406" i="17"/>
  <c r="AE406" i="17"/>
  <c r="AD406" i="17"/>
  <c r="AB406" i="17"/>
  <c r="AA406" i="17"/>
  <c r="Z406" i="17"/>
  <c r="Y406" i="17"/>
  <c r="X406" i="17"/>
  <c r="BC405" i="17"/>
  <c r="BB405" i="17"/>
  <c r="BA405" i="17"/>
  <c r="AZ405" i="17"/>
  <c r="AY405" i="17"/>
  <c r="AX405" i="17"/>
  <c r="AQ405" i="17"/>
  <c r="AP405" i="17"/>
  <c r="AO405" i="17"/>
  <c r="AN405" i="17"/>
  <c r="AM405" i="17"/>
  <c r="AL405" i="17"/>
  <c r="AK405" i="17"/>
  <c r="AJ405" i="17"/>
  <c r="AI405" i="17"/>
  <c r="AH405" i="17"/>
  <c r="AG405" i="17"/>
  <c r="AF405" i="17"/>
  <c r="AE405" i="17"/>
  <c r="AD405" i="17"/>
  <c r="AB405" i="17"/>
  <c r="AA405" i="17"/>
  <c r="Z405" i="17"/>
  <c r="Y405" i="17"/>
  <c r="X405" i="17"/>
  <c r="W405" i="17"/>
  <c r="V405" i="17"/>
  <c r="BC404" i="17"/>
  <c r="BB404" i="17"/>
  <c r="BA404" i="17"/>
  <c r="AZ404" i="17"/>
  <c r="AY404" i="17"/>
  <c r="AX404" i="17"/>
  <c r="AQ404" i="17"/>
  <c r="AP404" i="17"/>
  <c r="AO404" i="17"/>
  <c r="AN404" i="17"/>
  <c r="AM404" i="17"/>
  <c r="AL404" i="17"/>
  <c r="AK404" i="17"/>
  <c r="AJ404" i="17"/>
  <c r="AI404" i="17"/>
  <c r="AH404" i="17"/>
  <c r="AG404" i="17"/>
  <c r="AF404" i="17"/>
  <c r="AE404" i="17"/>
  <c r="AD404" i="17"/>
  <c r="AB404" i="17"/>
  <c r="AA404" i="17"/>
  <c r="Z404" i="17"/>
  <c r="Y404" i="17"/>
  <c r="X404" i="17"/>
  <c r="BA398" i="17"/>
  <c r="AZ398" i="17"/>
  <c r="AY398" i="17"/>
  <c r="AO398" i="17"/>
  <c r="AN398" i="17"/>
  <c r="AM398" i="17"/>
  <c r="AL398" i="17"/>
  <c r="AK398" i="17"/>
  <c r="AJ398" i="17"/>
  <c r="AI398" i="17"/>
  <c r="AH398" i="17"/>
  <c r="AG398" i="17"/>
  <c r="AF398" i="17"/>
  <c r="AE398" i="17"/>
  <c r="AD398" i="17"/>
  <c r="AB398" i="17"/>
  <c r="AA398" i="17"/>
  <c r="Z398" i="17"/>
  <c r="Y398" i="17"/>
  <c r="X398" i="17"/>
  <c r="V398" i="17"/>
  <c r="BC398" i="17"/>
  <c r="AQ398" i="17"/>
  <c r="BA397" i="17"/>
  <c r="AZ397" i="17"/>
  <c r="AY397" i="17"/>
  <c r="AO397" i="17"/>
  <c r="AN397" i="17"/>
  <c r="AM397" i="17"/>
  <c r="AL397" i="17"/>
  <c r="AK397" i="17"/>
  <c r="AJ397" i="17"/>
  <c r="AI397" i="17"/>
  <c r="AH397" i="17"/>
  <c r="AG397" i="17"/>
  <c r="AF397" i="17"/>
  <c r="AE397" i="17"/>
  <c r="AD397" i="17"/>
  <c r="AB397" i="17"/>
  <c r="AA397" i="17"/>
  <c r="Z397" i="17"/>
  <c r="Y397" i="17"/>
  <c r="X397" i="17"/>
  <c r="V397" i="17"/>
  <c r="BC397" i="17"/>
  <c r="AQ397" i="17"/>
  <c r="BA396" i="17"/>
  <c r="AZ396" i="17"/>
  <c r="AY396" i="17"/>
  <c r="AO396" i="17"/>
  <c r="AN396" i="17"/>
  <c r="AM396" i="17"/>
  <c r="AL396" i="17"/>
  <c r="AK396" i="17"/>
  <c r="AJ396" i="17"/>
  <c r="AI396" i="17"/>
  <c r="AH396" i="17"/>
  <c r="AG396" i="17"/>
  <c r="AF396" i="17"/>
  <c r="AE396" i="17"/>
  <c r="AD396" i="17"/>
  <c r="AB396" i="17"/>
  <c r="AA396" i="17"/>
  <c r="Z396" i="17"/>
  <c r="Y396" i="17"/>
  <c r="X396" i="17"/>
  <c r="V396" i="17"/>
  <c r="BC396" i="17"/>
  <c r="AQ396" i="17"/>
  <c r="BA395" i="17"/>
  <c r="AZ395" i="17"/>
  <c r="AY395" i="17"/>
  <c r="AO395" i="17"/>
  <c r="AN395" i="17"/>
  <c r="AM395" i="17"/>
  <c r="AL395" i="17"/>
  <c r="AK395" i="17"/>
  <c r="AJ395" i="17"/>
  <c r="AI395" i="17"/>
  <c r="AH395" i="17"/>
  <c r="AG395" i="17"/>
  <c r="AF395" i="17"/>
  <c r="AE395" i="17"/>
  <c r="AD395" i="17"/>
  <c r="AB395" i="17"/>
  <c r="AA395" i="17"/>
  <c r="Z395" i="17"/>
  <c r="Y395" i="17"/>
  <c r="X395" i="17"/>
  <c r="BC395" i="17"/>
  <c r="AQ395" i="17"/>
  <c r="BK394" i="17"/>
  <c r="BA394" i="17"/>
  <c r="AZ394" i="17"/>
  <c r="AY394" i="17"/>
  <c r="AO394" i="17"/>
  <c r="AN394" i="17"/>
  <c r="AM394" i="17"/>
  <c r="AL394" i="17"/>
  <c r="AK394" i="17"/>
  <c r="AJ394" i="17"/>
  <c r="AI394" i="17"/>
  <c r="AH394" i="17"/>
  <c r="AG394" i="17"/>
  <c r="AF394" i="17"/>
  <c r="AE394" i="17"/>
  <c r="AD394" i="17"/>
  <c r="AC394" i="17"/>
  <c r="AB394" i="17"/>
  <c r="AA394" i="17"/>
  <c r="Z394" i="17"/>
  <c r="Y394" i="17"/>
  <c r="X394" i="17"/>
  <c r="W394" i="17"/>
  <c r="V394" i="17"/>
  <c r="BC394" i="17"/>
  <c r="AQ394" i="17"/>
  <c r="BA393" i="17"/>
  <c r="AZ393" i="17"/>
  <c r="AY393" i="17"/>
  <c r="AO393" i="17"/>
  <c r="AN393" i="17"/>
  <c r="AM393" i="17"/>
  <c r="AL393" i="17"/>
  <c r="AK393" i="17"/>
  <c r="AJ393" i="17"/>
  <c r="AI393" i="17"/>
  <c r="AH393" i="17"/>
  <c r="AG393" i="17"/>
  <c r="AF393" i="17"/>
  <c r="AE393" i="17"/>
  <c r="AD393" i="17"/>
  <c r="AB393" i="17"/>
  <c r="AA393" i="17"/>
  <c r="Z393" i="17"/>
  <c r="Y393" i="17"/>
  <c r="X393" i="17"/>
  <c r="V393" i="17"/>
  <c r="BC393" i="17"/>
  <c r="AQ393" i="17"/>
  <c r="BA392" i="17"/>
  <c r="AZ392" i="17"/>
  <c r="AY392" i="17"/>
  <c r="AO392" i="17"/>
  <c r="AN392" i="17"/>
  <c r="AM392" i="17"/>
  <c r="AL392" i="17"/>
  <c r="AK392" i="17"/>
  <c r="AJ392" i="17"/>
  <c r="AI392" i="17"/>
  <c r="AH392" i="17"/>
  <c r="AG392" i="17"/>
  <c r="AF392" i="17"/>
  <c r="AE392" i="17"/>
  <c r="AD392" i="17"/>
  <c r="AB392" i="17"/>
  <c r="AA392" i="17"/>
  <c r="Z392" i="17"/>
  <c r="Y392" i="17"/>
  <c r="X392" i="17"/>
  <c r="V392" i="17"/>
  <c r="BC392" i="17"/>
  <c r="AQ392" i="17"/>
  <c r="BA391" i="17"/>
  <c r="AZ391" i="17"/>
  <c r="AY391" i="17"/>
  <c r="AO391" i="17"/>
  <c r="AN391" i="17"/>
  <c r="AM391" i="17"/>
  <c r="AL391" i="17"/>
  <c r="AK391" i="17"/>
  <c r="AJ391" i="17"/>
  <c r="AI391" i="17"/>
  <c r="AH391" i="17"/>
  <c r="AG391" i="17"/>
  <c r="AF391" i="17"/>
  <c r="AE391" i="17"/>
  <c r="AD391" i="17"/>
  <c r="AB391" i="17"/>
  <c r="AA391" i="17"/>
  <c r="Z391" i="17"/>
  <c r="Y391" i="17"/>
  <c r="X391" i="17"/>
  <c r="V391" i="17"/>
  <c r="BC391" i="17"/>
  <c r="AQ391" i="17"/>
  <c r="BA390" i="17"/>
  <c r="AZ390" i="17"/>
  <c r="AY390" i="17"/>
  <c r="AO390" i="17"/>
  <c r="AN390" i="17"/>
  <c r="AM390" i="17"/>
  <c r="AL390" i="17"/>
  <c r="AK390" i="17"/>
  <c r="AJ390" i="17"/>
  <c r="AI390" i="17"/>
  <c r="AH390" i="17"/>
  <c r="AG390" i="17"/>
  <c r="AF390" i="17"/>
  <c r="AE390" i="17"/>
  <c r="AD390" i="17"/>
  <c r="AB390" i="17"/>
  <c r="AA390" i="17"/>
  <c r="Z390" i="17"/>
  <c r="Y390" i="17"/>
  <c r="X390" i="17"/>
  <c r="V390" i="17"/>
  <c r="BC390" i="17"/>
  <c r="AQ390" i="17"/>
  <c r="BA389" i="17"/>
  <c r="AZ389" i="17"/>
  <c r="AY389" i="17"/>
  <c r="AO389" i="17"/>
  <c r="AN389" i="17"/>
  <c r="AM389" i="17"/>
  <c r="AL389" i="17"/>
  <c r="AK389" i="17"/>
  <c r="AJ389" i="17"/>
  <c r="AI389" i="17"/>
  <c r="AH389" i="17"/>
  <c r="AG389" i="17"/>
  <c r="AF389" i="17"/>
  <c r="AE389" i="17"/>
  <c r="AD389" i="17"/>
  <c r="AB389" i="17"/>
  <c r="AA389" i="17"/>
  <c r="Z389" i="17"/>
  <c r="Y389" i="17"/>
  <c r="X389" i="17"/>
  <c r="BC389" i="17"/>
  <c r="AQ389" i="17"/>
  <c r="BA388" i="17"/>
  <c r="AZ388" i="17"/>
  <c r="AY388" i="17"/>
  <c r="AO388" i="17"/>
  <c r="AN388" i="17"/>
  <c r="AM388" i="17"/>
  <c r="AL388" i="17"/>
  <c r="AK388" i="17"/>
  <c r="AJ388" i="17"/>
  <c r="AI388" i="17"/>
  <c r="AH388" i="17"/>
  <c r="AG388" i="17"/>
  <c r="AF388" i="17"/>
  <c r="AE388" i="17"/>
  <c r="AD388" i="17"/>
  <c r="AB388" i="17"/>
  <c r="AA388" i="17"/>
  <c r="Z388" i="17"/>
  <c r="Y388" i="17"/>
  <c r="X388" i="17"/>
  <c r="V388" i="17"/>
  <c r="BC388" i="17"/>
  <c r="AQ388" i="17"/>
  <c r="BA387" i="17"/>
  <c r="AZ387" i="17"/>
  <c r="AY387" i="17"/>
  <c r="AO387" i="17"/>
  <c r="AN387" i="17"/>
  <c r="AM387" i="17"/>
  <c r="AL387" i="17"/>
  <c r="AK387" i="17"/>
  <c r="AJ387" i="17"/>
  <c r="AI387" i="17"/>
  <c r="AH387" i="17"/>
  <c r="AG387" i="17"/>
  <c r="AF387" i="17"/>
  <c r="AE387" i="17"/>
  <c r="AD387" i="17"/>
  <c r="AB387" i="17"/>
  <c r="AA387" i="17"/>
  <c r="Z387" i="17"/>
  <c r="Y387" i="17"/>
  <c r="X387" i="17"/>
  <c r="BC387" i="17"/>
  <c r="AQ387" i="17"/>
  <c r="BA386" i="17"/>
  <c r="AZ386" i="17"/>
  <c r="AY386" i="17"/>
  <c r="AO386" i="17"/>
  <c r="AN386" i="17"/>
  <c r="AM386" i="17"/>
  <c r="AL386" i="17"/>
  <c r="AK386" i="17"/>
  <c r="AJ386" i="17"/>
  <c r="AI386" i="17"/>
  <c r="AH386" i="17"/>
  <c r="AG386" i="17"/>
  <c r="AF386" i="17"/>
  <c r="AE386" i="17"/>
  <c r="AD386" i="17"/>
  <c r="AB386" i="17"/>
  <c r="AA386" i="17"/>
  <c r="Z386" i="17"/>
  <c r="Y386" i="17"/>
  <c r="X386" i="17"/>
  <c r="V386" i="17"/>
  <c r="BC386" i="17"/>
  <c r="AQ386" i="17"/>
  <c r="BA385" i="17"/>
  <c r="AZ385" i="17"/>
  <c r="AY385" i="17"/>
  <c r="AO385" i="17"/>
  <c r="AN385" i="17"/>
  <c r="AM385" i="17"/>
  <c r="AL385" i="17"/>
  <c r="AK385" i="17"/>
  <c r="AJ385" i="17"/>
  <c r="AI385" i="17"/>
  <c r="AH385" i="17"/>
  <c r="AG385" i="17"/>
  <c r="AF385" i="17"/>
  <c r="AE385" i="17"/>
  <c r="AD385" i="17"/>
  <c r="AB385" i="17"/>
  <c r="AA385" i="17"/>
  <c r="Z385" i="17"/>
  <c r="Y385" i="17"/>
  <c r="X385" i="17"/>
  <c r="BC385" i="17"/>
  <c r="AQ385" i="17"/>
  <c r="BA384" i="17"/>
  <c r="AZ384" i="17"/>
  <c r="AY384" i="17"/>
  <c r="AO384" i="17"/>
  <c r="AN384" i="17"/>
  <c r="AM384" i="17"/>
  <c r="AL384" i="17"/>
  <c r="AK384" i="17"/>
  <c r="AJ384" i="17"/>
  <c r="AI384" i="17"/>
  <c r="AH384" i="17"/>
  <c r="AG384" i="17"/>
  <c r="AF384" i="17"/>
  <c r="AE384" i="17"/>
  <c r="AD384" i="17"/>
  <c r="AB384" i="17"/>
  <c r="AA384" i="17"/>
  <c r="Z384" i="17"/>
  <c r="Y384" i="17"/>
  <c r="X384" i="17"/>
  <c r="BC384" i="17"/>
  <c r="AQ384" i="17"/>
  <c r="BC379" i="17"/>
  <c r="BB379" i="17"/>
  <c r="BA379" i="17"/>
  <c r="AZ379" i="17"/>
  <c r="AY379" i="17"/>
  <c r="AX379" i="17"/>
  <c r="AQ379" i="17"/>
  <c r="AP379" i="17"/>
  <c r="AO379" i="17"/>
  <c r="AN379" i="17"/>
  <c r="AM379" i="17"/>
  <c r="AL379" i="17"/>
  <c r="AK379" i="17"/>
  <c r="AJ379" i="17"/>
  <c r="AI379" i="17"/>
  <c r="AH379" i="17"/>
  <c r="AG379" i="17"/>
  <c r="AF379" i="17"/>
  <c r="AE379" i="17"/>
  <c r="AD379" i="17"/>
  <c r="AB379" i="17"/>
  <c r="AA379" i="17"/>
  <c r="Z379" i="17"/>
  <c r="Y379" i="17"/>
  <c r="X379" i="17"/>
  <c r="V379" i="17"/>
  <c r="BC378" i="17"/>
  <c r="BB378" i="17"/>
  <c r="BA378" i="17"/>
  <c r="AZ378" i="17"/>
  <c r="AY378" i="17"/>
  <c r="AX378" i="17"/>
  <c r="AP378" i="17"/>
  <c r="AO378" i="17"/>
  <c r="AN378" i="17"/>
  <c r="AM378" i="17"/>
  <c r="AL378" i="17"/>
  <c r="AK378" i="17"/>
  <c r="AJ378" i="17"/>
  <c r="AI378" i="17"/>
  <c r="AH378" i="17"/>
  <c r="AG378" i="17"/>
  <c r="AF378" i="17"/>
  <c r="AE378" i="17"/>
  <c r="AD378" i="17"/>
  <c r="AB378" i="17"/>
  <c r="AA378" i="17"/>
  <c r="Z378" i="17"/>
  <c r="Y378" i="17"/>
  <c r="X378" i="17"/>
  <c r="V378" i="17"/>
  <c r="BB377" i="17"/>
  <c r="BA377" i="17"/>
  <c r="AZ377" i="17"/>
  <c r="AY377" i="17"/>
  <c r="AX377" i="17"/>
  <c r="AQ377" i="17"/>
  <c r="AP377" i="17"/>
  <c r="AO377" i="17"/>
  <c r="AN377" i="17"/>
  <c r="AM377" i="17"/>
  <c r="AL377" i="17"/>
  <c r="AK377" i="17"/>
  <c r="AJ377" i="17"/>
  <c r="AI377" i="17"/>
  <c r="AH377" i="17"/>
  <c r="AG377" i="17"/>
  <c r="AF377" i="17"/>
  <c r="AE377" i="17"/>
  <c r="AD377" i="17"/>
  <c r="AB377" i="17"/>
  <c r="AA377" i="17"/>
  <c r="Z377" i="17"/>
  <c r="Y377" i="17"/>
  <c r="X377" i="17"/>
  <c r="V377" i="17"/>
  <c r="BC376" i="17"/>
  <c r="BB376" i="17"/>
  <c r="BA376" i="17"/>
  <c r="AZ376" i="17"/>
  <c r="AY376" i="17"/>
  <c r="AX376" i="17"/>
  <c r="AQ376" i="17"/>
  <c r="AP376" i="17"/>
  <c r="AO376" i="17"/>
  <c r="AN376" i="17"/>
  <c r="AM376" i="17"/>
  <c r="AL376" i="17"/>
  <c r="AK376" i="17"/>
  <c r="AJ376" i="17"/>
  <c r="AI376" i="17"/>
  <c r="AH376" i="17"/>
  <c r="AG376" i="17"/>
  <c r="AF376" i="17"/>
  <c r="AE376" i="17"/>
  <c r="AD376" i="17"/>
  <c r="AB376" i="17"/>
  <c r="AA376" i="17"/>
  <c r="Z376" i="17"/>
  <c r="Y376" i="17"/>
  <c r="X376" i="17"/>
  <c r="V376" i="17"/>
  <c r="BB375" i="17"/>
  <c r="BA375" i="17"/>
  <c r="AZ375" i="17"/>
  <c r="AY375" i="17"/>
  <c r="AX375" i="17"/>
  <c r="AP375" i="17"/>
  <c r="AO375" i="17"/>
  <c r="AN375" i="17"/>
  <c r="AM375" i="17"/>
  <c r="AL375" i="17"/>
  <c r="AK375" i="17"/>
  <c r="AJ375" i="17"/>
  <c r="AI375" i="17"/>
  <c r="AH375" i="17"/>
  <c r="AG375" i="17"/>
  <c r="AF375" i="17"/>
  <c r="AE375" i="17"/>
  <c r="AD375" i="17"/>
  <c r="AB375" i="17"/>
  <c r="AA375" i="17"/>
  <c r="Z375" i="17"/>
  <c r="Y375" i="17"/>
  <c r="X375" i="17"/>
  <c r="V375" i="17"/>
  <c r="BB374" i="17"/>
  <c r="BA374" i="17"/>
  <c r="AZ374" i="17"/>
  <c r="AY374" i="17"/>
  <c r="AX374" i="17"/>
  <c r="AQ374" i="17"/>
  <c r="AP374" i="17"/>
  <c r="AO374" i="17"/>
  <c r="AN374" i="17"/>
  <c r="AM374" i="17"/>
  <c r="AL374" i="17"/>
  <c r="AK374" i="17"/>
  <c r="AJ374" i="17"/>
  <c r="AI374" i="17"/>
  <c r="AH374" i="17"/>
  <c r="AG374" i="17"/>
  <c r="AF374" i="17"/>
  <c r="AE374" i="17"/>
  <c r="AD374" i="17"/>
  <c r="AB374" i="17"/>
  <c r="AA374" i="17"/>
  <c r="Z374" i="17"/>
  <c r="Y374" i="17"/>
  <c r="X374" i="17"/>
  <c r="V374" i="17"/>
  <c r="BB373" i="17"/>
  <c r="BA373" i="17"/>
  <c r="AZ373" i="17"/>
  <c r="AY373" i="17"/>
  <c r="AX373" i="17"/>
  <c r="AQ373" i="17"/>
  <c r="AP373" i="17"/>
  <c r="AO373" i="17"/>
  <c r="AN373" i="17"/>
  <c r="AM373" i="17"/>
  <c r="AL373" i="17"/>
  <c r="AK373" i="17"/>
  <c r="AJ373" i="17"/>
  <c r="AI373" i="17"/>
  <c r="AH373" i="17"/>
  <c r="AG373" i="17"/>
  <c r="AF373" i="17"/>
  <c r="AE373" i="17"/>
  <c r="AD373" i="17"/>
  <c r="AB373" i="17"/>
  <c r="AA373" i="17"/>
  <c r="Z373" i="17"/>
  <c r="Y373" i="17"/>
  <c r="X373" i="17"/>
  <c r="V373" i="17"/>
  <c r="BB372" i="17"/>
  <c r="BA372" i="17"/>
  <c r="AZ372" i="17"/>
  <c r="AY372" i="17"/>
  <c r="AX372" i="17"/>
  <c r="AQ372" i="17"/>
  <c r="AP372" i="17"/>
  <c r="AO372" i="17"/>
  <c r="AN372" i="17"/>
  <c r="AM372" i="17"/>
  <c r="AL372" i="17"/>
  <c r="AK372" i="17"/>
  <c r="AJ372" i="17"/>
  <c r="AI372" i="17"/>
  <c r="AH372" i="17"/>
  <c r="AG372" i="17"/>
  <c r="AF372" i="17"/>
  <c r="AE372" i="17"/>
  <c r="AD372" i="17"/>
  <c r="AB372" i="17"/>
  <c r="AA372" i="17"/>
  <c r="Z372" i="17"/>
  <c r="Y372" i="17"/>
  <c r="X372" i="17"/>
  <c r="V372" i="17"/>
  <c r="BC371" i="17"/>
  <c r="BB371" i="17"/>
  <c r="BA371" i="17"/>
  <c r="AZ371" i="17"/>
  <c r="AY371" i="17"/>
  <c r="AX371" i="17"/>
  <c r="AP371" i="17"/>
  <c r="AO371" i="17"/>
  <c r="AN371" i="17"/>
  <c r="AM371" i="17"/>
  <c r="AL371" i="17"/>
  <c r="AK371" i="17"/>
  <c r="AJ371" i="17"/>
  <c r="AI371" i="17"/>
  <c r="AH371" i="17"/>
  <c r="AG371" i="17"/>
  <c r="AF371" i="17"/>
  <c r="AE371" i="17"/>
  <c r="AD371" i="17"/>
  <c r="AB371" i="17"/>
  <c r="AA371" i="17"/>
  <c r="Z371" i="17"/>
  <c r="Y371" i="17"/>
  <c r="X371" i="17"/>
  <c r="V371" i="17"/>
  <c r="BB370" i="17"/>
  <c r="BA370" i="17"/>
  <c r="AZ370" i="17"/>
  <c r="AY370" i="17"/>
  <c r="AX370" i="17"/>
  <c r="AP370" i="17"/>
  <c r="AO370" i="17"/>
  <c r="AN370" i="17"/>
  <c r="AM370" i="17"/>
  <c r="AL370" i="17"/>
  <c r="AK370" i="17"/>
  <c r="AJ370" i="17"/>
  <c r="AI370" i="17"/>
  <c r="AH370" i="17"/>
  <c r="AG370" i="17"/>
  <c r="AF370" i="17"/>
  <c r="AE370" i="17"/>
  <c r="AD370" i="17"/>
  <c r="AB370" i="17"/>
  <c r="AA370" i="17"/>
  <c r="Z370" i="17"/>
  <c r="Y370" i="17"/>
  <c r="X370" i="17"/>
  <c r="V370" i="17"/>
  <c r="BK369" i="17"/>
  <c r="BB369" i="17"/>
  <c r="BA369" i="17"/>
  <c r="AZ369" i="17"/>
  <c r="AY369" i="17"/>
  <c r="AX369" i="17"/>
  <c r="AP369" i="17"/>
  <c r="AO369" i="17"/>
  <c r="AN369" i="17"/>
  <c r="AM369" i="17"/>
  <c r="AL369" i="17"/>
  <c r="AK369" i="17"/>
  <c r="AJ369" i="17"/>
  <c r="AI369" i="17"/>
  <c r="AH369" i="17"/>
  <c r="AG369" i="17"/>
  <c r="AF369" i="17"/>
  <c r="AE369" i="17"/>
  <c r="AD369" i="17"/>
  <c r="AC369" i="17"/>
  <c r="AB369" i="17"/>
  <c r="AA369" i="17"/>
  <c r="Z369" i="17"/>
  <c r="Y369" i="17"/>
  <c r="X369" i="17"/>
  <c r="W369" i="17"/>
  <c r="V369" i="17"/>
  <c r="BC368" i="17"/>
  <c r="BB368" i="17"/>
  <c r="BA368" i="17"/>
  <c r="AZ368" i="17"/>
  <c r="AY368" i="17"/>
  <c r="AX368" i="17"/>
  <c r="AQ368" i="17"/>
  <c r="AP368" i="17"/>
  <c r="AO368" i="17"/>
  <c r="AN368" i="17"/>
  <c r="AM368" i="17"/>
  <c r="AL368" i="17"/>
  <c r="AK368" i="17"/>
  <c r="AJ368" i="17"/>
  <c r="AI368" i="17"/>
  <c r="AH368" i="17"/>
  <c r="AG368" i="17"/>
  <c r="AF368" i="17"/>
  <c r="AE368" i="17"/>
  <c r="AD368" i="17"/>
  <c r="AB368" i="17"/>
  <c r="AA368" i="17"/>
  <c r="Z368" i="17"/>
  <c r="Y368" i="17"/>
  <c r="X368" i="17"/>
  <c r="V368" i="17"/>
  <c r="BC367" i="17"/>
  <c r="BB367" i="17"/>
  <c r="BA367" i="17"/>
  <c r="AZ367" i="17"/>
  <c r="AY367" i="17"/>
  <c r="AX367" i="17"/>
  <c r="AQ367" i="17"/>
  <c r="AP367" i="17"/>
  <c r="AO367" i="17"/>
  <c r="AN367" i="17"/>
  <c r="AM367" i="17"/>
  <c r="AL367" i="17"/>
  <c r="AK367" i="17"/>
  <c r="AJ367" i="17"/>
  <c r="AI367" i="17"/>
  <c r="AH367" i="17"/>
  <c r="AG367" i="17"/>
  <c r="AF367" i="17"/>
  <c r="AE367" i="17"/>
  <c r="AD367" i="17"/>
  <c r="AB367" i="17"/>
  <c r="AA367" i="17"/>
  <c r="Z367" i="17"/>
  <c r="Y367" i="17"/>
  <c r="X367" i="17"/>
  <c r="V367" i="17"/>
  <c r="BC366" i="17"/>
  <c r="BB366" i="17"/>
  <c r="BA366" i="17"/>
  <c r="AZ366" i="17"/>
  <c r="AY366" i="17"/>
  <c r="AX366" i="17"/>
  <c r="AQ366" i="17"/>
  <c r="AP366" i="17"/>
  <c r="AO366" i="17"/>
  <c r="AN366" i="17"/>
  <c r="AM366" i="17"/>
  <c r="AL366" i="17"/>
  <c r="AK366" i="17"/>
  <c r="AJ366" i="17"/>
  <c r="AI366" i="17"/>
  <c r="AH366" i="17"/>
  <c r="AG366" i="17"/>
  <c r="AF366" i="17"/>
  <c r="AE366" i="17"/>
  <c r="AD366" i="17"/>
  <c r="AB366" i="17"/>
  <c r="AA366" i="17"/>
  <c r="Z366" i="17"/>
  <c r="Y366" i="17"/>
  <c r="X366" i="17"/>
  <c r="BC342" i="17"/>
  <c r="BB342" i="17"/>
  <c r="BA342" i="17"/>
  <c r="AZ342" i="17"/>
  <c r="AY342" i="17"/>
  <c r="AX342" i="17"/>
  <c r="AQ342" i="17"/>
  <c r="AP342" i="17"/>
  <c r="AO342" i="17"/>
  <c r="AN342" i="17"/>
  <c r="AM342" i="17"/>
  <c r="AL342" i="17"/>
  <c r="AK342" i="17"/>
  <c r="AJ342" i="17"/>
  <c r="AI342" i="17"/>
  <c r="AH342" i="17"/>
  <c r="AG342" i="17"/>
  <c r="AF342" i="17"/>
  <c r="AE342" i="17"/>
  <c r="AD342" i="17"/>
  <c r="AB342" i="17"/>
  <c r="AA342" i="17"/>
  <c r="Z342" i="17"/>
  <c r="Y342" i="17"/>
  <c r="X342" i="17"/>
  <c r="V342" i="17"/>
  <c r="BC341" i="17"/>
  <c r="BB341" i="17"/>
  <c r="BA341" i="17"/>
  <c r="AZ341" i="17"/>
  <c r="AY341" i="17"/>
  <c r="AX341" i="17"/>
  <c r="AQ341" i="17"/>
  <c r="AP341" i="17"/>
  <c r="AO341" i="17"/>
  <c r="AN341" i="17"/>
  <c r="AM341" i="17"/>
  <c r="AL341" i="17"/>
  <c r="AK341" i="17"/>
  <c r="AJ341" i="17"/>
  <c r="AI341" i="17"/>
  <c r="AH341" i="17"/>
  <c r="AG341" i="17"/>
  <c r="AF341" i="17"/>
  <c r="AE341" i="17"/>
  <c r="AD341" i="17"/>
  <c r="AB341" i="17"/>
  <c r="AA341" i="17"/>
  <c r="Z341" i="17"/>
  <c r="Y341" i="17"/>
  <c r="X341" i="17"/>
  <c r="V341" i="17"/>
  <c r="BC340" i="17"/>
  <c r="BB340" i="17"/>
  <c r="BA340" i="17"/>
  <c r="AZ340" i="17"/>
  <c r="AY340" i="17"/>
  <c r="AX340" i="17"/>
  <c r="AQ340" i="17"/>
  <c r="AP340" i="17"/>
  <c r="AO340" i="17"/>
  <c r="AN340" i="17"/>
  <c r="AM340" i="17"/>
  <c r="AL340" i="17"/>
  <c r="AK340" i="17"/>
  <c r="AJ340" i="17"/>
  <c r="AI340" i="17"/>
  <c r="AH340" i="17"/>
  <c r="AG340" i="17"/>
  <c r="AF340" i="17"/>
  <c r="AE340" i="17"/>
  <c r="AD340" i="17"/>
  <c r="AB340" i="17"/>
  <c r="AA340" i="17"/>
  <c r="Z340" i="17"/>
  <c r="Y340" i="17"/>
  <c r="X340" i="17"/>
  <c r="V340" i="17"/>
  <c r="BB339" i="17"/>
  <c r="BA339" i="17"/>
  <c r="AZ339" i="17"/>
  <c r="AY339" i="17"/>
  <c r="AX339" i="17"/>
  <c r="AP339" i="17"/>
  <c r="AO339" i="17"/>
  <c r="AN339" i="17"/>
  <c r="AM339" i="17"/>
  <c r="AL339" i="17"/>
  <c r="AK339" i="17"/>
  <c r="AJ339" i="17"/>
  <c r="AI339" i="17"/>
  <c r="AH339" i="17"/>
  <c r="AG339" i="17"/>
  <c r="AF339" i="17"/>
  <c r="AE339" i="17"/>
  <c r="AD339" i="17"/>
  <c r="AB339" i="17"/>
  <c r="AA339" i="17"/>
  <c r="Z339" i="17"/>
  <c r="Y339" i="17"/>
  <c r="X339" i="17"/>
  <c r="BC338" i="17"/>
  <c r="BB338" i="17"/>
  <c r="BA338" i="17"/>
  <c r="AZ338" i="17"/>
  <c r="AY338" i="17"/>
  <c r="AX338" i="17"/>
  <c r="AQ338" i="17"/>
  <c r="AP338" i="17"/>
  <c r="AO338" i="17"/>
  <c r="AN338" i="17"/>
  <c r="AM338" i="17"/>
  <c r="AL338" i="17"/>
  <c r="AK338" i="17"/>
  <c r="AJ338" i="17"/>
  <c r="AI338" i="17"/>
  <c r="AH338" i="17"/>
  <c r="AG338" i="17"/>
  <c r="AF338" i="17"/>
  <c r="AE338" i="17"/>
  <c r="AD338" i="17"/>
  <c r="AB338" i="17"/>
  <c r="AA338" i="17"/>
  <c r="Z338" i="17"/>
  <c r="Y338" i="17"/>
  <c r="X338" i="17"/>
  <c r="V338" i="17"/>
  <c r="BB337" i="17"/>
  <c r="BA337" i="17"/>
  <c r="AZ337" i="17"/>
  <c r="AY337" i="17"/>
  <c r="AX337" i="17"/>
  <c r="AQ337" i="17"/>
  <c r="AP337" i="17"/>
  <c r="AO337" i="17"/>
  <c r="AN337" i="17"/>
  <c r="AM337" i="17"/>
  <c r="AL337" i="17"/>
  <c r="AK337" i="17"/>
  <c r="AJ337" i="17"/>
  <c r="AI337" i="17"/>
  <c r="AH337" i="17"/>
  <c r="AG337" i="17"/>
  <c r="AF337" i="17"/>
  <c r="AE337" i="17"/>
  <c r="AD337" i="17"/>
  <c r="AB337" i="17"/>
  <c r="AA337" i="17"/>
  <c r="Z337" i="17"/>
  <c r="Y337" i="17"/>
  <c r="X337" i="17"/>
  <c r="V337" i="17"/>
  <c r="BK336" i="17"/>
  <c r="BC336" i="17"/>
  <c r="BB336" i="17"/>
  <c r="BA336" i="17"/>
  <c r="AZ336" i="17"/>
  <c r="AY336" i="17"/>
  <c r="AX336" i="17"/>
  <c r="AQ336" i="17"/>
  <c r="AP336" i="17"/>
  <c r="AO336" i="17"/>
  <c r="AN336" i="17"/>
  <c r="AM336" i="17"/>
  <c r="AL336" i="17"/>
  <c r="AK336" i="17"/>
  <c r="AJ336" i="17"/>
  <c r="AI336" i="17"/>
  <c r="AH336" i="17"/>
  <c r="AG336" i="17"/>
  <c r="AF336" i="17"/>
  <c r="AE336" i="17"/>
  <c r="AD336" i="17"/>
  <c r="AC336" i="17"/>
  <c r="AB336" i="17"/>
  <c r="AA336" i="17"/>
  <c r="Z336" i="17"/>
  <c r="Y336" i="17"/>
  <c r="X336" i="17"/>
  <c r="W336" i="17"/>
  <c r="V336" i="17"/>
  <c r="BB335" i="17"/>
  <c r="BA335" i="17"/>
  <c r="AZ335" i="17"/>
  <c r="AY335" i="17"/>
  <c r="AX335" i="17"/>
  <c r="AP335" i="17"/>
  <c r="AO335" i="17"/>
  <c r="AN335" i="17"/>
  <c r="AM335" i="17"/>
  <c r="AL335" i="17"/>
  <c r="AK335" i="17"/>
  <c r="AJ335" i="17"/>
  <c r="AI335" i="17"/>
  <c r="AH335" i="17"/>
  <c r="AG335" i="17"/>
  <c r="AF335" i="17"/>
  <c r="AE335" i="17"/>
  <c r="AD335" i="17"/>
  <c r="AB335" i="17"/>
  <c r="AA335" i="17"/>
  <c r="Z335" i="17"/>
  <c r="Y335" i="17"/>
  <c r="X335" i="17"/>
  <c r="V335" i="17"/>
  <c r="BB334" i="17"/>
  <c r="BA334" i="17"/>
  <c r="AZ334" i="17"/>
  <c r="AY334" i="17"/>
  <c r="AX334" i="17"/>
  <c r="AQ334" i="17"/>
  <c r="AP334" i="17"/>
  <c r="AO334" i="17"/>
  <c r="AN334" i="17"/>
  <c r="AM334" i="17"/>
  <c r="AL334" i="17"/>
  <c r="AK334" i="17"/>
  <c r="AJ334" i="17"/>
  <c r="AI334" i="17"/>
  <c r="AH334" i="17"/>
  <c r="AG334" i="17"/>
  <c r="AF334" i="17"/>
  <c r="AE334" i="17"/>
  <c r="AD334" i="17"/>
  <c r="AB334" i="17"/>
  <c r="AA334" i="17"/>
  <c r="Z334" i="17"/>
  <c r="Y334" i="17"/>
  <c r="X334" i="17"/>
  <c r="V334" i="17"/>
  <c r="BC333" i="17"/>
  <c r="BB333" i="17"/>
  <c r="BA333" i="17"/>
  <c r="AZ333" i="17"/>
  <c r="AY333" i="17"/>
  <c r="AX333" i="17"/>
  <c r="AP333" i="17"/>
  <c r="AO333" i="17"/>
  <c r="AN333" i="17"/>
  <c r="AM333" i="17"/>
  <c r="AL333" i="17"/>
  <c r="AK333" i="17"/>
  <c r="AJ333" i="17"/>
  <c r="AI333" i="17"/>
  <c r="AH333" i="17"/>
  <c r="AG333" i="17"/>
  <c r="AF333" i="17"/>
  <c r="AE333" i="17"/>
  <c r="AD333" i="17"/>
  <c r="AB333" i="17"/>
  <c r="AA333" i="17"/>
  <c r="Z333" i="17"/>
  <c r="Y333" i="17"/>
  <c r="X333" i="17"/>
  <c r="BC332" i="17"/>
  <c r="BB332" i="17"/>
  <c r="BA332" i="17"/>
  <c r="AZ332" i="17"/>
  <c r="AY332" i="17"/>
  <c r="AX332" i="17"/>
  <c r="AQ332" i="17"/>
  <c r="AP332" i="17"/>
  <c r="AO332" i="17"/>
  <c r="AN332" i="17"/>
  <c r="AM332" i="17"/>
  <c r="AL332" i="17"/>
  <c r="AK332" i="17"/>
  <c r="AJ332" i="17"/>
  <c r="AI332" i="17"/>
  <c r="AH332" i="17"/>
  <c r="AG332" i="17"/>
  <c r="AF332" i="17"/>
  <c r="AE332" i="17"/>
  <c r="AD332" i="17"/>
  <c r="AB332" i="17"/>
  <c r="AA332" i="17"/>
  <c r="Z332" i="17"/>
  <c r="Y332" i="17"/>
  <c r="X332" i="17"/>
  <c r="V332" i="17"/>
  <c r="BB331" i="17"/>
  <c r="BA331" i="17"/>
  <c r="AZ331" i="17"/>
  <c r="AY331" i="17"/>
  <c r="AX331" i="17"/>
  <c r="AP331" i="17"/>
  <c r="AO331" i="17"/>
  <c r="AN331" i="17"/>
  <c r="AM331" i="17"/>
  <c r="AL331" i="17"/>
  <c r="AK331" i="17"/>
  <c r="AJ331" i="17"/>
  <c r="AI331" i="17"/>
  <c r="AH331" i="17"/>
  <c r="AG331" i="17"/>
  <c r="AF331" i="17"/>
  <c r="AE331" i="17"/>
  <c r="AD331" i="17"/>
  <c r="AB331" i="17"/>
  <c r="AA331" i="17"/>
  <c r="Z331" i="17"/>
  <c r="Y331" i="17"/>
  <c r="X331" i="17"/>
  <c r="BC330" i="17"/>
  <c r="BB330" i="17"/>
  <c r="BA330" i="17"/>
  <c r="AZ330" i="17"/>
  <c r="AY330" i="17"/>
  <c r="AX330" i="17"/>
  <c r="AQ330" i="17"/>
  <c r="AP330" i="17"/>
  <c r="AO330" i="17"/>
  <c r="AN330" i="17"/>
  <c r="AM330" i="17"/>
  <c r="AL330" i="17"/>
  <c r="AK330" i="17"/>
  <c r="AJ330" i="17"/>
  <c r="AI330" i="17"/>
  <c r="AH330" i="17"/>
  <c r="AG330" i="17"/>
  <c r="AF330" i="17"/>
  <c r="AE330" i="17"/>
  <c r="AD330" i="17"/>
  <c r="AB330" i="17"/>
  <c r="AA330" i="17"/>
  <c r="Z330" i="17"/>
  <c r="Y330" i="17"/>
  <c r="X330" i="17"/>
  <c r="V330" i="17"/>
  <c r="BC327" i="17"/>
  <c r="BB327" i="17"/>
  <c r="BA327" i="17"/>
  <c r="AZ327" i="17"/>
  <c r="AY327" i="17"/>
  <c r="AX327" i="17"/>
  <c r="AQ327" i="17"/>
  <c r="AP327" i="17"/>
  <c r="AO327" i="17"/>
  <c r="AN327" i="17"/>
  <c r="AM327" i="17"/>
  <c r="AL327" i="17"/>
  <c r="AK327" i="17"/>
  <c r="AJ327" i="17"/>
  <c r="AI327" i="17"/>
  <c r="AH327" i="17"/>
  <c r="AG327" i="17"/>
  <c r="AF327" i="17"/>
  <c r="AE327" i="17"/>
  <c r="AD327" i="17"/>
  <c r="AB327" i="17"/>
  <c r="AA327" i="17"/>
  <c r="Z327" i="17"/>
  <c r="Y327" i="17"/>
  <c r="X327" i="17"/>
  <c r="BC323" i="17"/>
  <c r="BB323" i="17"/>
  <c r="BA323" i="17"/>
  <c r="AZ323" i="17"/>
  <c r="AY323" i="17"/>
  <c r="AX323" i="17"/>
  <c r="AQ323" i="17"/>
  <c r="AP323" i="17"/>
  <c r="AO323" i="17"/>
  <c r="AN323" i="17"/>
  <c r="AM323" i="17"/>
  <c r="AL323" i="17"/>
  <c r="AK323" i="17"/>
  <c r="AJ323" i="17"/>
  <c r="AI323" i="17"/>
  <c r="AH323" i="17"/>
  <c r="AG323" i="17"/>
  <c r="AF323" i="17"/>
  <c r="AE323" i="17"/>
  <c r="AD323" i="17"/>
  <c r="AB323" i="17"/>
  <c r="AA323" i="17"/>
  <c r="Z323" i="17"/>
  <c r="Y323" i="17"/>
  <c r="X323" i="17"/>
  <c r="V323" i="17"/>
  <c r="BB322" i="17"/>
  <c r="BA322" i="17"/>
  <c r="AZ322" i="17"/>
  <c r="AY322" i="17"/>
  <c r="AX322" i="17"/>
  <c r="AQ322" i="17"/>
  <c r="AP322" i="17"/>
  <c r="AO322" i="17"/>
  <c r="AN322" i="17"/>
  <c r="AM322" i="17"/>
  <c r="AL322" i="17"/>
  <c r="AK322" i="17"/>
  <c r="AJ322" i="17"/>
  <c r="AI322" i="17"/>
  <c r="AH322" i="17"/>
  <c r="AG322" i="17"/>
  <c r="AF322" i="17"/>
  <c r="AE322" i="17"/>
  <c r="AD322" i="17"/>
  <c r="AB322" i="17"/>
  <c r="AA322" i="17"/>
  <c r="Z322" i="17"/>
  <c r="Y322" i="17"/>
  <c r="X322" i="17"/>
  <c r="V322" i="17"/>
  <c r="BC321" i="17"/>
  <c r="BB321" i="17"/>
  <c r="BA321" i="17"/>
  <c r="AZ321" i="17"/>
  <c r="AY321" i="17"/>
  <c r="AX321" i="17"/>
  <c r="AQ321" i="17"/>
  <c r="AP321" i="17"/>
  <c r="AO321" i="17"/>
  <c r="AN321" i="17"/>
  <c r="AM321" i="17"/>
  <c r="AL321" i="17"/>
  <c r="AK321" i="17"/>
  <c r="AJ321" i="17"/>
  <c r="AI321" i="17"/>
  <c r="AH321" i="17"/>
  <c r="AG321" i="17"/>
  <c r="AF321" i="17"/>
  <c r="AE321" i="17"/>
  <c r="AD321" i="17"/>
  <c r="AB321" i="17"/>
  <c r="AA321" i="17"/>
  <c r="Z321" i="17"/>
  <c r="Y321" i="17"/>
  <c r="X321" i="17"/>
  <c r="V321" i="17"/>
  <c r="BC320" i="17"/>
  <c r="BB320" i="17"/>
  <c r="BA320" i="17"/>
  <c r="AZ320" i="17"/>
  <c r="AY320" i="17"/>
  <c r="AX320" i="17"/>
  <c r="AQ320" i="17"/>
  <c r="AP320" i="17"/>
  <c r="AO320" i="17"/>
  <c r="AN320" i="17"/>
  <c r="AM320" i="17"/>
  <c r="AL320" i="17"/>
  <c r="AK320" i="17"/>
  <c r="AJ320" i="17"/>
  <c r="AI320" i="17"/>
  <c r="AH320" i="17"/>
  <c r="AG320" i="17"/>
  <c r="AF320" i="17"/>
  <c r="AE320" i="17"/>
  <c r="AD320" i="17"/>
  <c r="AB320" i="17"/>
  <c r="AA320" i="17"/>
  <c r="Z320" i="17"/>
  <c r="Y320" i="17"/>
  <c r="X320" i="17"/>
  <c r="V320" i="17"/>
  <c r="BK319" i="17"/>
  <c r="BC319" i="17"/>
  <c r="BB319" i="17"/>
  <c r="BA319" i="17"/>
  <c r="AZ319" i="17"/>
  <c r="AY319" i="17"/>
  <c r="AX319" i="17"/>
  <c r="AQ319" i="17"/>
  <c r="AP319" i="17"/>
  <c r="AO319" i="17"/>
  <c r="AN319" i="17"/>
  <c r="AM319" i="17"/>
  <c r="AL319" i="17"/>
  <c r="AK319" i="17"/>
  <c r="AJ319" i="17"/>
  <c r="AI319" i="17"/>
  <c r="AH319" i="17"/>
  <c r="AG319" i="17"/>
  <c r="AF319" i="17"/>
  <c r="AE319" i="17"/>
  <c r="AD319" i="17"/>
  <c r="AC319" i="17"/>
  <c r="AB319" i="17"/>
  <c r="AA319" i="17"/>
  <c r="Z319" i="17"/>
  <c r="Y319" i="17"/>
  <c r="X319" i="17"/>
  <c r="W319" i="17"/>
  <c r="V319" i="17"/>
  <c r="BB318" i="17"/>
  <c r="BA318" i="17"/>
  <c r="AZ318" i="17"/>
  <c r="AY318" i="17"/>
  <c r="AX318" i="17"/>
  <c r="AQ318" i="17"/>
  <c r="AP318" i="17"/>
  <c r="AO318" i="17"/>
  <c r="AN318" i="17"/>
  <c r="AM318" i="17"/>
  <c r="AL318" i="17"/>
  <c r="AK318" i="17"/>
  <c r="AJ318" i="17"/>
  <c r="AI318" i="17"/>
  <c r="AH318" i="17"/>
  <c r="AG318" i="17"/>
  <c r="AF318" i="17"/>
  <c r="AE318" i="17"/>
  <c r="AD318" i="17"/>
  <c r="AB318" i="17"/>
  <c r="AA318" i="17"/>
  <c r="Z318" i="17"/>
  <c r="Y318" i="17"/>
  <c r="X318" i="17"/>
  <c r="V318" i="17"/>
  <c r="BC316" i="17"/>
  <c r="BB316" i="17"/>
  <c r="BA316" i="17"/>
  <c r="AZ316" i="17"/>
  <c r="AY316" i="17"/>
  <c r="AX316" i="17"/>
  <c r="AP316" i="17"/>
  <c r="AO316" i="17"/>
  <c r="AN316" i="17"/>
  <c r="AM316" i="17"/>
  <c r="AL316" i="17"/>
  <c r="AK316" i="17"/>
  <c r="AJ316" i="17"/>
  <c r="AI316" i="17"/>
  <c r="AH316" i="17"/>
  <c r="AG316" i="17"/>
  <c r="AF316" i="17"/>
  <c r="AE316" i="17"/>
  <c r="AD316" i="17"/>
  <c r="AB316" i="17"/>
  <c r="AA316" i="17"/>
  <c r="Z316" i="17"/>
  <c r="Y316" i="17"/>
  <c r="X316" i="17"/>
  <c r="V316" i="17"/>
  <c r="BC315" i="17"/>
  <c r="BB315" i="17"/>
  <c r="BA315" i="17"/>
  <c r="AZ315" i="17"/>
  <c r="AY315" i="17"/>
  <c r="AX315" i="17"/>
  <c r="AP315" i="17"/>
  <c r="AO315" i="17"/>
  <c r="AN315" i="17"/>
  <c r="AM315" i="17"/>
  <c r="AL315" i="17"/>
  <c r="AK315" i="17"/>
  <c r="AJ315" i="17"/>
  <c r="AI315" i="17"/>
  <c r="AH315" i="17"/>
  <c r="AG315" i="17"/>
  <c r="AF315" i="17"/>
  <c r="AE315" i="17"/>
  <c r="AD315" i="17"/>
  <c r="AB315" i="17"/>
  <c r="AA315" i="17"/>
  <c r="Z315" i="17"/>
  <c r="Y315" i="17"/>
  <c r="X315" i="17"/>
  <c r="V315" i="17"/>
  <c r="BB314" i="17"/>
  <c r="BA314" i="17"/>
  <c r="AZ314" i="17"/>
  <c r="AY314" i="17"/>
  <c r="AX314" i="17"/>
  <c r="AQ314" i="17"/>
  <c r="AP314" i="17"/>
  <c r="AO314" i="17"/>
  <c r="AN314" i="17"/>
  <c r="AM314" i="17"/>
  <c r="AL314" i="17"/>
  <c r="AK314" i="17"/>
  <c r="AJ314" i="17"/>
  <c r="AI314" i="17"/>
  <c r="AH314" i="17"/>
  <c r="AG314" i="17"/>
  <c r="AF314" i="17"/>
  <c r="AE314" i="17"/>
  <c r="AD314" i="17"/>
  <c r="AB314" i="17"/>
  <c r="AA314" i="17"/>
  <c r="Z314" i="17"/>
  <c r="Y314" i="17"/>
  <c r="X314" i="17"/>
  <c r="BB313" i="17"/>
  <c r="BA313" i="17"/>
  <c r="AZ313" i="17"/>
  <c r="AY313" i="17"/>
  <c r="AX313" i="17"/>
  <c r="AP313" i="17"/>
  <c r="AO313" i="17"/>
  <c r="AN313" i="17"/>
  <c r="AM313" i="17"/>
  <c r="AL313" i="17"/>
  <c r="AK313" i="17"/>
  <c r="AJ313" i="17"/>
  <c r="AI313" i="17"/>
  <c r="AH313" i="17"/>
  <c r="AG313" i="17"/>
  <c r="AF313" i="17"/>
  <c r="AE313" i="17"/>
  <c r="AD313" i="17"/>
  <c r="AB313" i="17"/>
  <c r="AA313" i="17"/>
  <c r="Z313" i="17"/>
  <c r="Y313" i="17"/>
  <c r="X313" i="17"/>
  <c r="V313" i="17"/>
  <c r="BB312" i="17"/>
  <c r="BA312" i="17"/>
  <c r="AZ312" i="17"/>
  <c r="AY312" i="17"/>
  <c r="AX312" i="17"/>
  <c r="AP312" i="17"/>
  <c r="AO312" i="17"/>
  <c r="AN312" i="17"/>
  <c r="AM312" i="17"/>
  <c r="AL312" i="17"/>
  <c r="AK312" i="17"/>
  <c r="AJ312" i="17"/>
  <c r="AI312" i="17"/>
  <c r="AH312" i="17"/>
  <c r="AG312" i="17"/>
  <c r="AF312" i="17"/>
  <c r="AE312" i="17"/>
  <c r="AD312" i="17"/>
  <c r="AB312" i="17"/>
  <c r="AA312" i="17"/>
  <c r="Z312" i="17"/>
  <c r="Y312" i="17"/>
  <c r="X312" i="17"/>
  <c r="BC311" i="17"/>
  <c r="BB311" i="17"/>
  <c r="BA311" i="17"/>
  <c r="AZ311" i="17"/>
  <c r="AY311" i="17"/>
  <c r="AX311" i="17"/>
  <c r="AQ311" i="17"/>
  <c r="AP311" i="17"/>
  <c r="AO311" i="17"/>
  <c r="AN311" i="17"/>
  <c r="AM311" i="17"/>
  <c r="AL311" i="17"/>
  <c r="AK311" i="17"/>
  <c r="AJ311" i="17"/>
  <c r="AI311" i="17"/>
  <c r="AH311" i="17"/>
  <c r="AG311" i="17"/>
  <c r="AF311" i="17"/>
  <c r="AE311" i="17"/>
  <c r="AD311" i="17"/>
  <c r="AB311" i="17"/>
  <c r="AA311" i="17"/>
  <c r="Z311" i="17"/>
  <c r="Y311" i="17"/>
  <c r="X311" i="17"/>
  <c r="BC310" i="17"/>
  <c r="BB310" i="17"/>
  <c r="BA310" i="17"/>
  <c r="AZ310" i="17"/>
  <c r="AY310" i="17"/>
  <c r="AX310" i="17"/>
  <c r="AQ310" i="17"/>
  <c r="AP310" i="17"/>
  <c r="AO310" i="17"/>
  <c r="AN310" i="17"/>
  <c r="AM310" i="17"/>
  <c r="AL310" i="17"/>
  <c r="AK310" i="17"/>
  <c r="AJ310" i="17"/>
  <c r="AI310" i="17"/>
  <c r="AH310" i="17"/>
  <c r="AG310" i="17"/>
  <c r="AF310" i="17"/>
  <c r="AE310" i="17"/>
  <c r="AD310" i="17"/>
  <c r="AB310" i="17"/>
  <c r="AA310" i="17"/>
  <c r="Z310" i="17"/>
  <c r="Y310" i="17"/>
  <c r="X310" i="17"/>
  <c r="V310" i="17"/>
  <c r="BC309" i="17"/>
  <c r="BB309" i="17"/>
  <c r="BA309" i="17"/>
  <c r="AZ309" i="17"/>
  <c r="AY309" i="17"/>
  <c r="AX309" i="17"/>
  <c r="AQ309" i="17"/>
  <c r="AP309" i="17"/>
  <c r="AO309" i="17"/>
  <c r="AN309" i="17"/>
  <c r="AM309" i="17"/>
  <c r="AL309" i="17"/>
  <c r="AK309" i="17"/>
  <c r="AJ309" i="17"/>
  <c r="AI309" i="17"/>
  <c r="AH309" i="17"/>
  <c r="AG309" i="17"/>
  <c r="AF309" i="17"/>
  <c r="AE309" i="17"/>
  <c r="AD309" i="17"/>
  <c r="AB309" i="17"/>
  <c r="AA309" i="17"/>
  <c r="Z309" i="17"/>
  <c r="Y309" i="17"/>
  <c r="X309" i="17"/>
  <c r="BB304" i="17"/>
  <c r="BA304" i="17"/>
  <c r="AZ304" i="17"/>
  <c r="AY304" i="17"/>
  <c r="AX304" i="17"/>
  <c r="AQ304" i="17"/>
  <c r="AP304" i="17"/>
  <c r="AO304" i="17"/>
  <c r="AN304" i="17"/>
  <c r="AM304" i="17"/>
  <c r="AL304" i="17"/>
  <c r="AK304" i="17"/>
  <c r="AJ304" i="17"/>
  <c r="AI304" i="17"/>
  <c r="AH304" i="17"/>
  <c r="AG304" i="17"/>
  <c r="AF304" i="17"/>
  <c r="AE304" i="17"/>
  <c r="AD304" i="17"/>
  <c r="AB304" i="17"/>
  <c r="AA304" i="17"/>
  <c r="Z304" i="17"/>
  <c r="Y304" i="17"/>
  <c r="X304" i="17"/>
  <c r="V304" i="17"/>
  <c r="BB303" i="17"/>
  <c r="BA303" i="17"/>
  <c r="AZ303" i="17"/>
  <c r="AY303" i="17"/>
  <c r="AX303" i="17"/>
  <c r="AP303" i="17"/>
  <c r="AO303" i="17"/>
  <c r="AN303" i="17"/>
  <c r="AM303" i="17"/>
  <c r="AL303" i="17"/>
  <c r="AK303" i="17"/>
  <c r="AJ303" i="17"/>
  <c r="AI303" i="17"/>
  <c r="AH303" i="17"/>
  <c r="AG303" i="17"/>
  <c r="AF303" i="17"/>
  <c r="AE303" i="17"/>
  <c r="AD303" i="17"/>
  <c r="AB303" i="17"/>
  <c r="AA303" i="17"/>
  <c r="Z303" i="17"/>
  <c r="Y303" i="17"/>
  <c r="X303" i="17"/>
  <c r="V303" i="17"/>
  <c r="BC302" i="17"/>
  <c r="BB302" i="17"/>
  <c r="BA302" i="17"/>
  <c r="AZ302" i="17"/>
  <c r="AY302" i="17"/>
  <c r="AX302" i="17"/>
  <c r="AQ302" i="17"/>
  <c r="AP302" i="17"/>
  <c r="AO302" i="17"/>
  <c r="AN302" i="17"/>
  <c r="AM302" i="17"/>
  <c r="AL302" i="17"/>
  <c r="AK302" i="17"/>
  <c r="AJ302" i="17"/>
  <c r="AI302" i="17"/>
  <c r="AH302" i="17"/>
  <c r="AG302" i="17"/>
  <c r="AF302" i="17"/>
  <c r="AE302" i="17"/>
  <c r="AD302" i="17"/>
  <c r="AB302" i="17"/>
  <c r="AA302" i="17"/>
  <c r="Z302" i="17"/>
  <c r="Y302" i="17"/>
  <c r="X302" i="17"/>
  <c r="V302" i="17"/>
  <c r="BC301" i="17"/>
  <c r="BB301" i="17"/>
  <c r="BA301" i="17"/>
  <c r="AZ301" i="17"/>
  <c r="AY301" i="17"/>
  <c r="AX301" i="17"/>
  <c r="AP301" i="17"/>
  <c r="AO301" i="17"/>
  <c r="AN301" i="17"/>
  <c r="AM301" i="17"/>
  <c r="AL301" i="17"/>
  <c r="AK301" i="17"/>
  <c r="AJ301" i="17"/>
  <c r="AI301" i="17"/>
  <c r="AH301" i="17"/>
  <c r="AG301" i="17"/>
  <c r="AF301" i="17"/>
  <c r="AE301" i="17"/>
  <c r="AD301" i="17"/>
  <c r="AB301" i="17"/>
  <c r="AA301" i="17"/>
  <c r="Z301" i="17"/>
  <c r="Y301" i="17"/>
  <c r="X301" i="17"/>
  <c r="V301" i="17"/>
  <c r="BK300" i="17"/>
  <c r="BC300" i="17"/>
  <c r="BB300" i="17"/>
  <c r="BA300" i="17"/>
  <c r="AZ300" i="17"/>
  <c r="AY300" i="17"/>
  <c r="AX300" i="17"/>
  <c r="AP300" i="17"/>
  <c r="AO300" i="17"/>
  <c r="AN300" i="17"/>
  <c r="AM300" i="17"/>
  <c r="AL300" i="17"/>
  <c r="AK300" i="17"/>
  <c r="AJ300" i="17"/>
  <c r="AI300" i="17"/>
  <c r="AH300" i="17"/>
  <c r="AG300" i="17"/>
  <c r="AF300" i="17"/>
  <c r="AE300" i="17"/>
  <c r="AD300" i="17"/>
  <c r="AC300" i="17"/>
  <c r="AB300" i="17"/>
  <c r="AA300" i="17"/>
  <c r="Z300" i="17"/>
  <c r="Y300" i="17"/>
  <c r="X300" i="17"/>
  <c r="W300" i="17"/>
  <c r="V300" i="17"/>
  <c r="BB299" i="17"/>
  <c r="BA299" i="17"/>
  <c r="AZ299" i="17"/>
  <c r="AY299" i="17"/>
  <c r="AX299" i="17"/>
  <c r="AQ299" i="17"/>
  <c r="AP299" i="17"/>
  <c r="AO299" i="17"/>
  <c r="AN299" i="17"/>
  <c r="AM299" i="17"/>
  <c r="AL299" i="17"/>
  <c r="AK299" i="17"/>
  <c r="AJ299" i="17"/>
  <c r="AI299" i="17"/>
  <c r="AH299" i="17"/>
  <c r="AG299" i="17"/>
  <c r="AF299" i="17"/>
  <c r="AE299" i="17"/>
  <c r="AD299" i="17"/>
  <c r="AB299" i="17"/>
  <c r="AA299" i="17"/>
  <c r="Z299" i="17"/>
  <c r="Y299" i="17"/>
  <c r="X299" i="17"/>
  <c r="V299" i="17"/>
  <c r="BC297" i="17"/>
  <c r="BB297" i="17"/>
  <c r="BA297" i="17"/>
  <c r="AZ297" i="17"/>
  <c r="AY297" i="17"/>
  <c r="AX297" i="17"/>
  <c r="AP297" i="17"/>
  <c r="AO297" i="17"/>
  <c r="AN297" i="17"/>
  <c r="AM297" i="17"/>
  <c r="AL297" i="17"/>
  <c r="AK297" i="17"/>
  <c r="AJ297" i="17"/>
  <c r="AI297" i="17"/>
  <c r="AH297" i="17"/>
  <c r="AG297" i="17"/>
  <c r="AF297" i="17"/>
  <c r="AE297" i="17"/>
  <c r="AD297" i="17"/>
  <c r="AB297" i="17"/>
  <c r="AA297" i="17"/>
  <c r="Z297" i="17"/>
  <c r="Y297" i="17"/>
  <c r="X297" i="17"/>
  <c r="V297" i="17"/>
  <c r="BC296" i="17"/>
  <c r="BB296" i="17"/>
  <c r="BA296" i="17"/>
  <c r="AZ296" i="17"/>
  <c r="AY296" i="17"/>
  <c r="AX296" i="17"/>
  <c r="AP296" i="17"/>
  <c r="AO296" i="17"/>
  <c r="AN296" i="17"/>
  <c r="AM296" i="17"/>
  <c r="AL296" i="17"/>
  <c r="AK296" i="17"/>
  <c r="AJ296" i="17"/>
  <c r="AI296" i="17"/>
  <c r="AH296" i="17"/>
  <c r="AG296" i="17"/>
  <c r="AF296" i="17"/>
  <c r="AE296" i="17"/>
  <c r="AD296" i="17"/>
  <c r="AB296" i="17"/>
  <c r="AA296" i="17"/>
  <c r="Z296" i="17"/>
  <c r="Y296" i="17"/>
  <c r="X296" i="17"/>
  <c r="V296" i="17"/>
  <c r="BC295" i="17"/>
  <c r="BB295" i="17"/>
  <c r="BA295" i="17"/>
  <c r="AZ295" i="17"/>
  <c r="AY295" i="17"/>
  <c r="AX295" i="17"/>
  <c r="AQ295" i="17"/>
  <c r="AP295" i="17"/>
  <c r="AO295" i="17"/>
  <c r="AN295" i="17"/>
  <c r="AM295" i="17"/>
  <c r="AL295" i="17"/>
  <c r="AK295" i="17"/>
  <c r="AJ295" i="17"/>
  <c r="AI295" i="17"/>
  <c r="AH295" i="17"/>
  <c r="AG295" i="17"/>
  <c r="AF295" i="17"/>
  <c r="AE295" i="17"/>
  <c r="AD295" i="17"/>
  <c r="AB295" i="17"/>
  <c r="AA295" i="17"/>
  <c r="Z295" i="17"/>
  <c r="Y295" i="17"/>
  <c r="X295" i="17"/>
  <c r="BB294" i="17"/>
  <c r="BA294" i="17"/>
  <c r="AZ294" i="17"/>
  <c r="AY294" i="17"/>
  <c r="AX294" i="17"/>
  <c r="AQ294" i="17"/>
  <c r="AP294" i="17"/>
  <c r="AO294" i="17"/>
  <c r="AN294" i="17"/>
  <c r="AM294" i="17"/>
  <c r="AL294" i="17"/>
  <c r="AK294" i="17"/>
  <c r="AJ294" i="17"/>
  <c r="AI294" i="17"/>
  <c r="AH294" i="17"/>
  <c r="AG294" i="17"/>
  <c r="AF294" i="17"/>
  <c r="AE294" i="17"/>
  <c r="AD294" i="17"/>
  <c r="AB294" i="17"/>
  <c r="AA294" i="17"/>
  <c r="Z294" i="17"/>
  <c r="Y294" i="17"/>
  <c r="X294" i="17"/>
  <c r="V294" i="17"/>
  <c r="BB293" i="17"/>
  <c r="BA293" i="17"/>
  <c r="AZ293" i="17"/>
  <c r="AY293" i="17"/>
  <c r="AX293" i="17"/>
  <c r="AQ293" i="17"/>
  <c r="AP293" i="17"/>
  <c r="AO293" i="17"/>
  <c r="AN293" i="17"/>
  <c r="AM293" i="17"/>
  <c r="AL293" i="17"/>
  <c r="AK293" i="17"/>
  <c r="AJ293" i="17"/>
  <c r="AI293" i="17"/>
  <c r="AH293" i="17"/>
  <c r="AG293" i="17"/>
  <c r="AF293" i="17"/>
  <c r="AE293" i="17"/>
  <c r="AD293" i="17"/>
  <c r="AB293" i="17"/>
  <c r="AA293" i="17"/>
  <c r="Z293" i="17"/>
  <c r="Y293" i="17"/>
  <c r="X293" i="17"/>
  <c r="V293" i="17"/>
  <c r="BB292" i="17"/>
  <c r="BA292" i="17"/>
  <c r="AZ292" i="17"/>
  <c r="AY292" i="17"/>
  <c r="AX292" i="17"/>
  <c r="AP292" i="17"/>
  <c r="AO292" i="17"/>
  <c r="AN292" i="17"/>
  <c r="AM292" i="17"/>
  <c r="AL292" i="17"/>
  <c r="AK292" i="17"/>
  <c r="AJ292" i="17"/>
  <c r="AI292" i="17"/>
  <c r="AH292" i="17"/>
  <c r="AG292" i="17"/>
  <c r="AF292" i="17"/>
  <c r="AE292" i="17"/>
  <c r="AD292" i="17"/>
  <c r="AB292" i="17"/>
  <c r="AA292" i="17"/>
  <c r="Z292" i="17"/>
  <c r="Y292" i="17"/>
  <c r="X292" i="17"/>
  <c r="BC291" i="17"/>
  <c r="BB291" i="17"/>
  <c r="BA291" i="17"/>
  <c r="AZ291" i="17"/>
  <c r="AY291" i="17"/>
  <c r="AX291" i="17"/>
  <c r="AQ291" i="17"/>
  <c r="AP291" i="17"/>
  <c r="AO291" i="17"/>
  <c r="AN291" i="17"/>
  <c r="AM291" i="17"/>
  <c r="AL291" i="17"/>
  <c r="AK291" i="17"/>
  <c r="AJ291" i="17"/>
  <c r="AI291" i="17"/>
  <c r="AH291" i="17"/>
  <c r="AG291" i="17"/>
  <c r="AF291" i="17"/>
  <c r="AE291" i="17"/>
  <c r="AD291" i="17"/>
  <c r="AB291" i="17"/>
  <c r="AA291" i="17"/>
  <c r="Z291" i="17"/>
  <c r="Y291" i="17"/>
  <c r="X291" i="17"/>
  <c r="V291" i="17"/>
  <c r="BB290" i="17"/>
  <c r="BA290" i="17"/>
  <c r="AZ290" i="17"/>
  <c r="AY290" i="17"/>
  <c r="AX290" i="17"/>
  <c r="AP290" i="17"/>
  <c r="AO290" i="17"/>
  <c r="AN290" i="17"/>
  <c r="AM290" i="17"/>
  <c r="AL290" i="17"/>
  <c r="AK290" i="17"/>
  <c r="AJ290" i="17"/>
  <c r="AI290" i="17"/>
  <c r="AH290" i="17"/>
  <c r="AG290" i="17"/>
  <c r="AF290" i="17"/>
  <c r="AE290" i="17"/>
  <c r="AD290" i="17"/>
  <c r="AB290" i="17"/>
  <c r="AA290" i="17"/>
  <c r="Z290" i="17"/>
  <c r="Y290" i="17"/>
  <c r="X290" i="17"/>
  <c r="V290" i="17"/>
  <c r="BC285" i="17"/>
  <c r="BB285" i="17"/>
  <c r="BA285" i="17"/>
  <c r="AZ285" i="17"/>
  <c r="AY285" i="17"/>
  <c r="AX285" i="17"/>
  <c r="AQ285" i="17"/>
  <c r="AP285" i="17"/>
  <c r="AO285" i="17"/>
  <c r="AN285" i="17"/>
  <c r="AM285" i="17"/>
  <c r="AL285" i="17"/>
  <c r="AK285" i="17"/>
  <c r="AJ285" i="17"/>
  <c r="AI285" i="17"/>
  <c r="AH285" i="17"/>
  <c r="AG285" i="17"/>
  <c r="AF285" i="17"/>
  <c r="AE285" i="17"/>
  <c r="AD285" i="17"/>
  <c r="AB285" i="17"/>
  <c r="AA285" i="17"/>
  <c r="Z285" i="17"/>
  <c r="Y285" i="17"/>
  <c r="X285" i="17"/>
  <c r="V285" i="17"/>
  <c r="BC284" i="17"/>
  <c r="BB284" i="17"/>
  <c r="BA284" i="17"/>
  <c r="AZ284" i="17"/>
  <c r="AY284" i="17"/>
  <c r="AX284" i="17"/>
  <c r="AQ284" i="17"/>
  <c r="AP284" i="17"/>
  <c r="AO284" i="17"/>
  <c r="AN284" i="17"/>
  <c r="AM284" i="17"/>
  <c r="AL284" i="17"/>
  <c r="AK284" i="17"/>
  <c r="AJ284" i="17"/>
  <c r="AI284" i="17"/>
  <c r="AH284" i="17"/>
  <c r="AG284" i="17"/>
  <c r="AF284" i="17"/>
  <c r="AE284" i="17"/>
  <c r="AD284" i="17"/>
  <c r="AB284" i="17"/>
  <c r="AA284" i="17"/>
  <c r="Z284" i="17"/>
  <c r="Y284" i="17"/>
  <c r="X284" i="17"/>
  <c r="V284" i="17"/>
  <c r="BC283" i="17"/>
  <c r="BB283" i="17"/>
  <c r="BA283" i="17"/>
  <c r="AZ283" i="17"/>
  <c r="AY283" i="17"/>
  <c r="AX283" i="17"/>
  <c r="AQ283" i="17"/>
  <c r="AP283" i="17"/>
  <c r="AO283" i="17"/>
  <c r="AN283" i="17"/>
  <c r="AM283" i="17"/>
  <c r="AL283" i="17"/>
  <c r="AK283" i="17"/>
  <c r="AJ283" i="17"/>
  <c r="AI283" i="17"/>
  <c r="AH283" i="17"/>
  <c r="AG283" i="17"/>
  <c r="AF283" i="17"/>
  <c r="AE283" i="17"/>
  <c r="AD283" i="17"/>
  <c r="AB283" i="17"/>
  <c r="AA283" i="17"/>
  <c r="Z283" i="17"/>
  <c r="Y283" i="17"/>
  <c r="X283" i="17"/>
  <c r="V283" i="17"/>
  <c r="BB282" i="17"/>
  <c r="BA282" i="17"/>
  <c r="AZ282" i="17"/>
  <c r="AY282" i="17"/>
  <c r="AX282" i="17"/>
  <c r="AP282" i="17"/>
  <c r="AO282" i="17"/>
  <c r="AN282" i="17"/>
  <c r="AM282" i="17"/>
  <c r="AL282" i="17"/>
  <c r="AK282" i="17"/>
  <c r="AJ282" i="17"/>
  <c r="AI282" i="17"/>
  <c r="AH282" i="17"/>
  <c r="AG282" i="17"/>
  <c r="AF282" i="17"/>
  <c r="AE282" i="17"/>
  <c r="AD282" i="17"/>
  <c r="AB282" i="17"/>
  <c r="AA282" i="17"/>
  <c r="Z282" i="17"/>
  <c r="Y282" i="17"/>
  <c r="X282" i="17"/>
  <c r="BB281" i="17"/>
  <c r="BA281" i="17"/>
  <c r="AZ281" i="17"/>
  <c r="AY281" i="17"/>
  <c r="AX281" i="17"/>
  <c r="AQ281" i="17"/>
  <c r="AP281" i="17"/>
  <c r="AO281" i="17"/>
  <c r="AN281" i="17"/>
  <c r="AM281" i="17"/>
  <c r="AL281" i="17"/>
  <c r="AK281" i="17"/>
  <c r="AJ281" i="17"/>
  <c r="AI281" i="17"/>
  <c r="AH281" i="17"/>
  <c r="AG281" i="17"/>
  <c r="AF281" i="17"/>
  <c r="AE281" i="17"/>
  <c r="AD281" i="17"/>
  <c r="AB281" i="17"/>
  <c r="AA281" i="17"/>
  <c r="Z281" i="17"/>
  <c r="Y281" i="17"/>
  <c r="X281" i="17"/>
  <c r="V281" i="17"/>
  <c r="BB280" i="17"/>
  <c r="BA280" i="17"/>
  <c r="AZ280" i="17"/>
  <c r="AY280" i="17"/>
  <c r="AX280" i="17"/>
  <c r="AQ280" i="17"/>
  <c r="AP280" i="17"/>
  <c r="AO280" i="17"/>
  <c r="AN280" i="17"/>
  <c r="AM280" i="17"/>
  <c r="AL280" i="17"/>
  <c r="AK280" i="17"/>
  <c r="AJ280" i="17"/>
  <c r="AI280" i="17"/>
  <c r="AH280" i="17"/>
  <c r="AG280" i="17"/>
  <c r="AF280" i="17"/>
  <c r="AE280" i="17"/>
  <c r="AD280" i="17"/>
  <c r="AB280" i="17"/>
  <c r="AA280" i="17"/>
  <c r="Z280" i="17"/>
  <c r="Y280" i="17"/>
  <c r="X280" i="17"/>
  <c r="V280" i="17"/>
  <c r="BK279" i="17"/>
  <c r="BB279" i="17"/>
  <c r="BA279" i="17"/>
  <c r="AZ279" i="17"/>
  <c r="AY279" i="17"/>
  <c r="AX279" i="17"/>
  <c r="AP279" i="17"/>
  <c r="AO279" i="17"/>
  <c r="AN279" i="17"/>
  <c r="AM279" i="17"/>
  <c r="AL279" i="17"/>
  <c r="AK279" i="17"/>
  <c r="AJ279" i="17"/>
  <c r="AI279" i="17"/>
  <c r="AH279" i="17"/>
  <c r="AG279" i="17"/>
  <c r="AF279" i="17"/>
  <c r="AE279" i="17"/>
  <c r="AD279" i="17"/>
  <c r="AC279" i="17"/>
  <c r="AB279" i="17"/>
  <c r="AA279" i="17"/>
  <c r="Z279" i="17"/>
  <c r="Y279" i="17"/>
  <c r="X279" i="17"/>
  <c r="W279" i="17"/>
  <c r="V279" i="17"/>
  <c r="BB278" i="17"/>
  <c r="BA278" i="17"/>
  <c r="AZ278" i="17"/>
  <c r="AY278" i="17"/>
  <c r="AX278" i="17"/>
  <c r="AQ278" i="17"/>
  <c r="AP278" i="17"/>
  <c r="AO278" i="17"/>
  <c r="AN278" i="17"/>
  <c r="AM278" i="17"/>
  <c r="AL278" i="17"/>
  <c r="AK278" i="17"/>
  <c r="AJ278" i="17"/>
  <c r="AI278" i="17"/>
  <c r="AH278" i="17"/>
  <c r="AG278" i="17"/>
  <c r="AF278" i="17"/>
  <c r="AE278" i="17"/>
  <c r="AD278" i="17"/>
  <c r="AB278" i="17"/>
  <c r="AA278" i="17"/>
  <c r="Z278" i="17"/>
  <c r="Y278" i="17"/>
  <c r="X278" i="17"/>
  <c r="BB277" i="17"/>
  <c r="BA277" i="17"/>
  <c r="AZ277" i="17"/>
  <c r="AY277" i="17"/>
  <c r="AX277" i="17"/>
  <c r="AP277" i="17"/>
  <c r="AO277" i="17"/>
  <c r="AN277" i="17"/>
  <c r="AM277" i="17"/>
  <c r="AL277" i="17"/>
  <c r="AK277" i="17"/>
  <c r="AJ277" i="17"/>
  <c r="AI277" i="17"/>
  <c r="AH277" i="17"/>
  <c r="AG277" i="17"/>
  <c r="AF277" i="17"/>
  <c r="AE277" i="17"/>
  <c r="AD277" i="17"/>
  <c r="AB277" i="17"/>
  <c r="AA277" i="17"/>
  <c r="Z277" i="17"/>
  <c r="Y277" i="17"/>
  <c r="X277" i="17"/>
  <c r="V277" i="17"/>
  <c r="BC276" i="17"/>
  <c r="BB276" i="17"/>
  <c r="BA276" i="17"/>
  <c r="AZ276" i="17"/>
  <c r="AY276" i="17"/>
  <c r="AX276" i="17"/>
  <c r="AQ276" i="17"/>
  <c r="AP276" i="17"/>
  <c r="AO276" i="17"/>
  <c r="AN276" i="17"/>
  <c r="AM276" i="17"/>
  <c r="AL276" i="17"/>
  <c r="AK276" i="17"/>
  <c r="AJ276" i="17"/>
  <c r="AI276" i="17"/>
  <c r="AH276" i="17"/>
  <c r="AG276" i="17"/>
  <c r="AF276" i="17"/>
  <c r="AE276" i="17"/>
  <c r="AD276" i="17"/>
  <c r="AB276" i="17"/>
  <c r="AA276" i="17"/>
  <c r="Z276" i="17"/>
  <c r="Y276" i="17"/>
  <c r="X276" i="17"/>
  <c r="BC275" i="17"/>
  <c r="BB275" i="17"/>
  <c r="BA275" i="17"/>
  <c r="AZ275" i="17"/>
  <c r="AY275" i="17"/>
  <c r="AX275" i="17"/>
  <c r="AP275" i="17"/>
  <c r="AO275" i="17"/>
  <c r="AN275" i="17"/>
  <c r="AM275" i="17"/>
  <c r="AL275" i="17"/>
  <c r="AK275" i="17"/>
  <c r="AJ275" i="17"/>
  <c r="AI275" i="17"/>
  <c r="AH275" i="17"/>
  <c r="AG275" i="17"/>
  <c r="AF275" i="17"/>
  <c r="AE275" i="17"/>
  <c r="AD275" i="17"/>
  <c r="AB275" i="17"/>
  <c r="AA275" i="17"/>
  <c r="Z275" i="17"/>
  <c r="Y275" i="17"/>
  <c r="X275" i="17"/>
  <c r="V275" i="17"/>
  <c r="BB274" i="17"/>
  <c r="BA274" i="17"/>
  <c r="AZ274" i="17"/>
  <c r="AY274" i="17"/>
  <c r="AX274" i="17"/>
  <c r="AP274" i="17"/>
  <c r="AO274" i="17"/>
  <c r="AN274" i="17"/>
  <c r="AM274" i="17"/>
  <c r="AL274" i="17"/>
  <c r="AK274" i="17"/>
  <c r="AJ274" i="17"/>
  <c r="AI274" i="17"/>
  <c r="AH274" i="17"/>
  <c r="AG274" i="17"/>
  <c r="AF274" i="17"/>
  <c r="AE274" i="17"/>
  <c r="AD274" i="17"/>
  <c r="AB274" i="17"/>
  <c r="AA274" i="17"/>
  <c r="Z274" i="17"/>
  <c r="Y274" i="17"/>
  <c r="X274" i="17"/>
  <c r="V274" i="17"/>
  <c r="BC273" i="17"/>
  <c r="BB273" i="17"/>
  <c r="BA273" i="17"/>
  <c r="AZ273" i="17"/>
  <c r="AY273" i="17"/>
  <c r="AX273" i="17"/>
  <c r="AQ273" i="17"/>
  <c r="AP273" i="17"/>
  <c r="AO273" i="17"/>
  <c r="AN273" i="17"/>
  <c r="AM273" i="17"/>
  <c r="AL273" i="17"/>
  <c r="AK273" i="17"/>
  <c r="AJ273" i="17"/>
  <c r="AI273" i="17"/>
  <c r="AH273" i="17"/>
  <c r="AG273" i="17"/>
  <c r="AF273" i="17"/>
  <c r="AE273" i="17"/>
  <c r="AD273" i="17"/>
  <c r="AB273" i="17"/>
  <c r="AA273" i="17"/>
  <c r="Z273" i="17"/>
  <c r="Y273" i="17"/>
  <c r="X273" i="17"/>
  <c r="V273" i="17"/>
  <c r="BB272" i="17"/>
  <c r="BA272" i="17"/>
  <c r="AZ272" i="17"/>
  <c r="AY272" i="17"/>
  <c r="AX272" i="17"/>
  <c r="AP272" i="17"/>
  <c r="AO272" i="17"/>
  <c r="AN272" i="17"/>
  <c r="AM272" i="17"/>
  <c r="AL272" i="17"/>
  <c r="AK272" i="17"/>
  <c r="AJ272" i="17"/>
  <c r="AI272" i="17"/>
  <c r="AH272" i="17"/>
  <c r="AG272" i="17"/>
  <c r="AF272" i="17"/>
  <c r="AE272" i="17"/>
  <c r="AD272" i="17"/>
  <c r="AB272" i="17"/>
  <c r="AA272" i="17"/>
  <c r="Z272" i="17"/>
  <c r="Y272" i="17"/>
  <c r="X272" i="17"/>
  <c r="V272" i="17"/>
  <c r="BC271" i="17"/>
  <c r="BB271" i="17"/>
  <c r="BA271" i="17"/>
  <c r="AZ271" i="17"/>
  <c r="AY271" i="17"/>
  <c r="AX271" i="17"/>
  <c r="AQ271" i="17"/>
  <c r="AP271" i="17"/>
  <c r="AO271" i="17"/>
  <c r="AN271" i="17"/>
  <c r="AM271" i="17"/>
  <c r="AL271" i="17"/>
  <c r="AK271" i="17"/>
  <c r="AJ271" i="17"/>
  <c r="AI271" i="17"/>
  <c r="AH271" i="17"/>
  <c r="AG271" i="17"/>
  <c r="AF271" i="17"/>
  <c r="AE271" i="17"/>
  <c r="AD271" i="17"/>
  <c r="AB271" i="17"/>
  <c r="AA271" i="17"/>
  <c r="Z271" i="17"/>
  <c r="Y271" i="17"/>
  <c r="X271" i="17"/>
  <c r="BC266" i="17"/>
  <c r="BB266" i="17"/>
  <c r="BA266" i="17"/>
  <c r="AZ266" i="17"/>
  <c r="AY266" i="17"/>
  <c r="AX266" i="17"/>
  <c r="AQ266" i="17"/>
  <c r="AP266" i="17"/>
  <c r="AO266" i="17"/>
  <c r="AN266" i="17"/>
  <c r="AM266" i="17"/>
  <c r="AL266" i="17"/>
  <c r="AK266" i="17"/>
  <c r="AJ266" i="17"/>
  <c r="AI266" i="17"/>
  <c r="AH266" i="17"/>
  <c r="AG266" i="17"/>
  <c r="AF266" i="17"/>
  <c r="AE266" i="17"/>
  <c r="AD266" i="17"/>
  <c r="AB266" i="17"/>
  <c r="AA266" i="17"/>
  <c r="Z266" i="17"/>
  <c r="Y266" i="17"/>
  <c r="X266" i="17"/>
  <c r="V266" i="17"/>
  <c r="BC265" i="17"/>
  <c r="BB265" i="17"/>
  <c r="BA265" i="17"/>
  <c r="AZ265" i="17"/>
  <c r="AY265" i="17"/>
  <c r="AX265" i="17"/>
  <c r="AQ265" i="17"/>
  <c r="AP265" i="17"/>
  <c r="AO265" i="17"/>
  <c r="AN265" i="17"/>
  <c r="AM265" i="17"/>
  <c r="AL265" i="17"/>
  <c r="AK265" i="17"/>
  <c r="AJ265" i="17"/>
  <c r="AI265" i="17"/>
  <c r="AH265" i="17"/>
  <c r="AG265" i="17"/>
  <c r="AF265" i="17"/>
  <c r="AE265" i="17"/>
  <c r="AD265" i="17"/>
  <c r="AB265" i="17"/>
  <c r="AA265" i="17"/>
  <c r="Z265" i="17"/>
  <c r="Y265" i="17"/>
  <c r="X265" i="17"/>
  <c r="V265" i="17"/>
  <c r="BB264" i="17"/>
  <c r="BA264" i="17"/>
  <c r="AZ264" i="17"/>
  <c r="AY264" i="17"/>
  <c r="AX264" i="17"/>
  <c r="AP264" i="17"/>
  <c r="AO264" i="17"/>
  <c r="AN264" i="17"/>
  <c r="AM264" i="17"/>
  <c r="AL264" i="17"/>
  <c r="AK264" i="17"/>
  <c r="AJ264" i="17"/>
  <c r="AI264" i="17"/>
  <c r="AH264" i="17"/>
  <c r="AG264" i="17"/>
  <c r="AF264" i="17"/>
  <c r="AE264" i="17"/>
  <c r="AD264" i="17"/>
  <c r="AB264" i="17"/>
  <c r="AA264" i="17"/>
  <c r="Z264" i="17"/>
  <c r="Y264" i="17"/>
  <c r="X264" i="17"/>
  <c r="V264" i="17"/>
  <c r="BC263" i="17"/>
  <c r="BB263" i="17"/>
  <c r="BA263" i="17"/>
  <c r="AZ263" i="17"/>
  <c r="AY263" i="17"/>
  <c r="AX263" i="17"/>
  <c r="AQ263" i="17"/>
  <c r="AP263" i="17"/>
  <c r="AO263" i="17"/>
  <c r="AN263" i="17"/>
  <c r="AM263" i="17"/>
  <c r="AL263" i="17"/>
  <c r="AK263" i="17"/>
  <c r="AJ263" i="17"/>
  <c r="AI263" i="17"/>
  <c r="AH263" i="17"/>
  <c r="AG263" i="17"/>
  <c r="AF263" i="17"/>
  <c r="AE263" i="17"/>
  <c r="AD263" i="17"/>
  <c r="AB263" i="17"/>
  <c r="AA263" i="17"/>
  <c r="Z263" i="17"/>
  <c r="Y263" i="17"/>
  <c r="X263" i="17"/>
  <c r="V263" i="17"/>
  <c r="BC262" i="17"/>
  <c r="BB262" i="17"/>
  <c r="BA262" i="17"/>
  <c r="AZ262" i="17"/>
  <c r="AY262" i="17"/>
  <c r="AX262" i="17"/>
  <c r="AQ262" i="17"/>
  <c r="AP262" i="17"/>
  <c r="AO262" i="17"/>
  <c r="AN262" i="17"/>
  <c r="AM262" i="17"/>
  <c r="AL262" i="17"/>
  <c r="AK262" i="17"/>
  <c r="AJ262" i="17"/>
  <c r="AI262" i="17"/>
  <c r="AH262" i="17"/>
  <c r="AG262" i="17"/>
  <c r="AF262" i="17"/>
  <c r="AE262" i="17"/>
  <c r="AD262" i="17"/>
  <c r="AB262" i="17"/>
  <c r="AA262" i="17"/>
  <c r="Z262" i="17"/>
  <c r="Y262" i="17"/>
  <c r="X262" i="17"/>
  <c r="BB261" i="17"/>
  <c r="BA261" i="17"/>
  <c r="AZ261" i="17"/>
  <c r="AY261" i="17"/>
  <c r="AX261" i="17"/>
  <c r="AQ261" i="17"/>
  <c r="AP261" i="17"/>
  <c r="AO261" i="17"/>
  <c r="AN261" i="17"/>
  <c r="AM261" i="17"/>
  <c r="AL261" i="17"/>
  <c r="AK261" i="17"/>
  <c r="AJ261" i="17"/>
  <c r="AI261" i="17"/>
  <c r="AH261" i="17"/>
  <c r="AG261" i="17"/>
  <c r="AF261" i="17"/>
  <c r="AE261" i="17"/>
  <c r="AD261" i="17"/>
  <c r="AB261" i="17"/>
  <c r="AA261" i="17"/>
  <c r="Z261" i="17"/>
  <c r="Y261" i="17"/>
  <c r="X261" i="17"/>
  <c r="V261" i="17"/>
  <c r="BB260" i="17"/>
  <c r="BA260" i="17"/>
  <c r="AZ260" i="17"/>
  <c r="AY260" i="17"/>
  <c r="AX260" i="17"/>
  <c r="AQ260" i="17"/>
  <c r="AP260" i="17"/>
  <c r="AO260" i="17"/>
  <c r="AN260" i="17"/>
  <c r="AM260" i="17"/>
  <c r="AL260" i="17"/>
  <c r="AK260" i="17"/>
  <c r="AJ260" i="17"/>
  <c r="AI260" i="17"/>
  <c r="AH260" i="17"/>
  <c r="AG260" i="17"/>
  <c r="AF260" i="17"/>
  <c r="AE260" i="17"/>
  <c r="AD260" i="17"/>
  <c r="AB260" i="17"/>
  <c r="AA260" i="17"/>
  <c r="Z260" i="17"/>
  <c r="Y260" i="17"/>
  <c r="X260" i="17"/>
  <c r="V260" i="17"/>
  <c r="BC259" i="17"/>
  <c r="BB259" i="17"/>
  <c r="BA259" i="17"/>
  <c r="AZ259" i="17"/>
  <c r="AY259" i="17"/>
  <c r="AX259" i="17"/>
  <c r="AP259" i="17"/>
  <c r="AO259" i="17"/>
  <c r="AN259" i="17"/>
  <c r="AM259" i="17"/>
  <c r="AL259" i="17"/>
  <c r="AK259" i="17"/>
  <c r="AJ259" i="17"/>
  <c r="AI259" i="17"/>
  <c r="AH259" i="17"/>
  <c r="AG259" i="17"/>
  <c r="AF259" i="17"/>
  <c r="AE259" i="17"/>
  <c r="AD259" i="17"/>
  <c r="AB259" i="17"/>
  <c r="AA259" i="17"/>
  <c r="Z259" i="17"/>
  <c r="Y259" i="17"/>
  <c r="X259" i="17"/>
  <c r="BB258" i="17"/>
  <c r="BA258" i="17"/>
  <c r="AZ258" i="17"/>
  <c r="AY258" i="17"/>
  <c r="AX258" i="17"/>
  <c r="AQ258" i="17"/>
  <c r="AP258" i="17"/>
  <c r="AO258" i="17"/>
  <c r="AN258" i="17"/>
  <c r="AM258" i="17"/>
  <c r="AL258" i="17"/>
  <c r="AK258" i="17"/>
  <c r="AJ258" i="17"/>
  <c r="AI258" i="17"/>
  <c r="AH258" i="17"/>
  <c r="AG258" i="17"/>
  <c r="AF258" i="17"/>
  <c r="AE258" i="17"/>
  <c r="AD258" i="17"/>
  <c r="AB258" i="17"/>
  <c r="AA258" i="17"/>
  <c r="Z258" i="17"/>
  <c r="Y258" i="17"/>
  <c r="X258" i="17"/>
  <c r="BB257" i="17"/>
  <c r="BA257" i="17"/>
  <c r="AZ257" i="17"/>
  <c r="AY257" i="17"/>
  <c r="AX257" i="17"/>
  <c r="AQ257" i="17"/>
  <c r="AP257" i="17"/>
  <c r="AO257" i="17"/>
  <c r="AN257" i="17"/>
  <c r="AM257" i="17"/>
  <c r="AL257" i="17"/>
  <c r="AK257" i="17"/>
  <c r="AJ257" i="17"/>
  <c r="AI257" i="17"/>
  <c r="AH257" i="17"/>
  <c r="AG257" i="17"/>
  <c r="AF257" i="17"/>
  <c r="AE257" i="17"/>
  <c r="AD257" i="17"/>
  <c r="AB257" i="17"/>
  <c r="AA257" i="17"/>
  <c r="Z257" i="17"/>
  <c r="Y257" i="17"/>
  <c r="X257" i="17"/>
  <c r="V257" i="17"/>
  <c r="BK256" i="17"/>
  <c r="BC256" i="17"/>
  <c r="BB256" i="17"/>
  <c r="BA256" i="17"/>
  <c r="AZ256" i="17"/>
  <c r="AY256" i="17"/>
  <c r="AX256" i="17"/>
  <c r="AQ256" i="17"/>
  <c r="AP256" i="17"/>
  <c r="AO256" i="17"/>
  <c r="AN256" i="17"/>
  <c r="AM256" i="17"/>
  <c r="AL256" i="17"/>
  <c r="AK256" i="17"/>
  <c r="AJ256" i="17"/>
  <c r="AI256" i="17"/>
  <c r="AH256" i="17"/>
  <c r="AG256" i="17"/>
  <c r="AF256" i="17"/>
  <c r="AE256" i="17"/>
  <c r="AD256" i="17"/>
  <c r="AC256" i="17"/>
  <c r="AB256" i="17"/>
  <c r="AA256" i="17"/>
  <c r="Z256" i="17"/>
  <c r="Y256" i="17"/>
  <c r="X256" i="17"/>
  <c r="W256" i="17"/>
  <c r="V256" i="17"/>
  <c r="BB255" i="17"/>
  <c r="BA255" i="17"/>
  <c r="AZ255" i="17"/>
  <c r="AY255" i="17"/>
  <c r="AX255" i="17"/>
  <c r="AQ255" i="17"/>
  <c r="AP255" i="17"/>
  <c r="AO255" i="17"/>
  <c r="AN255" i="17"/>
  <c r="AM255" i="17"/>
  <c r="AL255" i="17"/>
  <c r="AK255" i="17"/>
  <c r="AJ255" i="17"/>
  <c r="AI255" i="17"/>
  <c r="AH255" i="17"/>
  <c r="AG255" i="17"/>
  <c r="AF255" i="17"/>
  <c r="AE255" i="17"/>
  <c r="AD255" i="17"/>
  <c r="AB255" i="17"/>
  <c r="AA255" i="17"/>
  <c r="Z255" i="17"/>
  <c r="Y255" i="17"/>
  <c r="X255" i="17"/>
  <c r="V255" i="17"/>
  <c r="BC254" i="17"/>
  <c r="BB254" i="17"/>
  <c r="BA254" i="17"/>
  <c r="AZ254" i="17"/>
  <c r="AY254" i="17"/>
  <c r="AX254" i="17"/>
  <c r="AQ254" i="17"/>
  <c r="AP254" i="17"/>
  <c r="AO254" i="17"/>
  <c r="AN254" i="17"/>
  <c r="AM254" i="17"/>
  <c r="AL254" i="17"/>
  <c r="AK254" i="17"/>
  <c r="AJ254" i="17"/>
  <c r="AI254" i="17"/>
  <c r="AH254" i="17"/>
  <c r="AG254" i="17"/>
  <c r="AF254" i="17"/>
  <c r="AE254" i="17"/>
  <c r="AD254" i="17"/>
  <c r="AB254" i="17"/>
  <c r="AA254" i="17"/>
  <c r="Z254" i="17"/>
  <c r="Y254" i="17"/>
  <c r="X254" i="17"/>
  <c r="BC253" i="17"/>
  <c r="BB253" i="17"/>
  <c r="BA253" i="17"/>
  <c r="AZ253" i="17"/>
  <c r="AY253" i="17"/>
  <c r="AX253" i="17"/>
  <c r="AQ253" i="17"/>
  <c r="AP253" i="17"/>
  <c r="AO253" i="17"/>
  <c r="AN253" i="17"/>
  <c r="AM253" i="17"/>
  <c r="AL253" i="17"/>
  <c r="AK253" i="17"/>
  <c r="AJ253" i="17"/>
  <c r="AI253" i="17"/>
  <c r="AH253" i="17"/>
  <c r="AG253" i="17"/>
  <c r="AF253" i="17"/>
  <c r="AE253" i="17"/>
  <c r="AD253" i="17"/>
  <c r="AB253" i="17"/>
  <c r="AA253" i="17"/>
  <c r="Z253" i="17"/>
  <c r="Y253" i="17"/>
  <c r="X253" i="17"/>
  <c r="V253" i="17"/>
  <c r="BC252" i="17"/>
  <c r="BB252" i="17"/>
  <c r="BA252" i="17"/>
  <c r="AZ252" i="17"/>
  <c r="AY252" i="17"/>
  <c r="AX252" i="17"/>
  <c r="AQ252" i="17"/>
  <c r="AP252" i="17"/>
  <c r="AO252" i="17"/>
  <c r="AN252" i="17"/>
  <c r="AM252" i="17"/>
  <c r="AL252" i="17"/>
  <c r="AK252" i="17"/>
  <c r="AJ252" i="17"/>
  <c r="AI252" i="17"/>
  <c r="AH252" i="17"/>
  <c r="AG252" i="17"/>
  <c r="AF252" i="17"/>
  <c r="AE252" i="17"/>
  <c r="AD252" i="17"/>
  <c r="AB252" i="17"/>
  <c r="AA252" i="17"/>
  <c r="Z252" i="17"/>
  <c r="Y252" i="17"/>
  <c r="X252" i="17"/>
  <c r="BB247" i="17"/>
  <c r="BA247" i="17"/>
  <c r="AZ247" i="17"/>
  <c r="AY247" i="17"/>
  <c r="AX247" i="17"/>
  <c r="AQ247" i="17"/>
  <c r="AP247" i="17"/>
  <c r="AO247" i="17"/>
  <c r="AN247" i="17"/>
  <c r="AM247" i="17"/>
  <c r="AL247" i="17"/>
  <c r="AK247" i="17"/>
  <c r="AJ247" i="17"/>
  <c r="AI247" i="17"/>
  <c r="AH247" i="17"/>
  <c r="AG247" i="17"/>
  <c r="AF247" i="17"/>
  <c r="AE247" i="17"/>
  <c r="AD247" i="17"/>
  <c r="AB247" i="17"/>
  <c r="AA247" i="17"/>
  <c r="Z247" i="17"/>
  <c r="Y247" i="17"/>
  <c r="X247" i="17"/>
  <c r="V247" i="17"/>
  <c r="BC246" i="17"/>
  <c r="BB246" i="17"/>
  <c r="BA246" i="17"/>
  <c r="AZ246" i="17"/>
  <c r="AY246" i="17"/>
  <c r="AX246" i="17"/>
  <c r="AQ246" i="17"/>
  <c r="AP246" i="17"/>
  <c r="AO246" i="17"/>
  <c r="AN246" i="17"/>
  <c r="AM246" i="17"/>
  <c r="AL246" i="17"/>
  <c r="AK246" i="17"/>
  <c r="AJ246" i="17"/>
  <c r="AI246" i="17"/>
  <c r="AH246" i="17"/>
  <c r="AG246" i="17"/>
  <c r="AF246" i="17"/>
  <c r="AE246" i="17"/>
  <c r="AD246" i="17"/>
  <c r="AB246" i="17"/>
  <c r="AA246" i="17"/>
  <c r="Z246" i="17"/>
  <c r="Y246" i="17"/>
  <c r="X246" i="17"/>
  <c r="V246" i="17"/>
  <c r="BB245" i="17"/>
  <c r="BA245" i="17"/>
  <c r="AZ245" i="17"/>
  <c r="AY245" i="17"/>
  <c r="AX245" i="17"/>
  <c r="AP245" i="17"/>
  <c r="AO245" i="17"/>
  <c r="AN245" i="17"/>
  <c r="AM245" i="17"/>
  <c r="AL245" i="17"/>
  <c r="AK245" i="17"/>
  <c r="AJ245" i="17"/>
  <c r="AI245" i="17"/>
  <c r="AH245" i="17"/>
  <c r="AG245" i="17"/>
  <c r="AF245" i="17"/>
  <c r="AE245" i="17"/>
  <c r="AD245" i="17"/>
  <c r="AB245" i="17"/>
  <c r="AA245" i="17"/>
  <c r="Z245" i="17"/>
  <c r="Y245" i="17"/>
  <c r="X245" i="17"/>
  <c r="V245" i="17"/>
  <c r="BB244" i="17"/>
  <c r="BA244" i="17"/>
  <c r="AZ244" i="17"/>
  <c r="AY244" i="17"/>
  <c r="AX244" i="17"/>
  <c r="AQ244" i="17"/>
  <c r="AP244" i="17"/>
  <c r="AO244" i="17"/>
  <c r="AN244" i="17"/>
  <c r="AM244" i="17"/>
  <c r="AL244" i="17"/>
  <c r="AK244" i="17"/>
  <c r="AJ244" i="17"/>
  <c r="AI244" i="17"/>
  <c r="AH244" i="17"/>
  <c r="AG244" i="17"/>
  <c r="AF244" i="17"/>
  <c r="AE244" i="17"/>
  <c r="AD244" i="17"/>
  <c r="AB244" i="17"/>
  <c r="AA244" i="17"/>
  <c r="Z244" i="17"/>
  <c r="Y244" i="17"/>
  <c r="X244" i="17"/>
  <c r="V244" i="17"/>
  <c r="BC243" i="17"/>
  <c r="BB243" i="17"/>
  <c r="BA243" i="17"/>
  <c r="AZ243" i="17"/>
  <c r="AY243" i="17"/>
  <c r="AX243" i="17"/>
  <c r="AP243" i="17"/>
  <c r="AO243" i="17"/>
  <c r="AN243" i="17"/>
  <c r="AM243" i="17"/>
  <c r="AL243" i="17"/>
  <c r="AK243" i="17"/>
  <c r="AJ243" i="17"/>
  <c r="AI243" i="17"/>
  <c r="AH243" i="17"/>
  <c r="AG243" i="17"/>
  <c r="AF243" i="17"/>
  <c r="AE243" i="17"/>
  <c r="AD243" i="17"/>
  <c r="AB243" i="17"/>
  <c r="AA243" i="17"/>
  <c r="Z243" i="17"/>
  <c r="Y243" i="17"/>
  <c r="X243" i="17"/>
  <c r="BC242" i="17"/>
  <c r="BB242" i="17"/>
  <c r="BA242" i="17"/>
  <c r="AZ242" i="17"/>
  <c r="AY242" i="17"/>
  <c r="AX242" i="17"/>
  <c r="AQ242" i="17"/>
  <c r="AP242" i="17"/>
  <c r="AO242" i="17"/>
  <c r="AN242" i="17"/>
  <c r="AM242" i="17"/>
  <c r="AL242" i="17"/>
  <c r="AK242" i="17"/>
  <c r="AJ242" i="17"/>
  <c r="AI242" i="17"/>
  <c r="AH242" i="17"/>
  <c r="AG242" i="17"/>
  <c r="AF242" i="17"/>
  <c r="AE242" i="17"/>
  <c r="AD242" i="17"/>
  <c r="AB242" i="17"/>
  <c r="AA242" i="17"/>
  <c r="Z242" i="17"/>
  <c r="Y242" i="17"/>
  <c r="X242" i="17"/>
  <c r="V242" i="17"/>
  <c r="BK241" i="17"/>
  <c r="BB241" i="17"/>
  <c r="BA241" i="17"/>
  <c r="AZ241" i="17"/>
  <c r="AY241" i="17"/>
  <c r="AX241" i="17"/>
  <c r="AP241" i="17"/>
  <c r="AO241" i="17"/>
  <c r="AN241" i="17"/>
  <c r="AM241" i="17"/>
  <c r="AL241" i="17"/>
  <c r="AK241" i="17"/>
  <c r="AJ241" i="17"/>
  <c r="AI241" i="17"/>
  <c r="AH241" i="17"/>
  <c r="AG241" i="17"/>
  <c r="AF241" i="17"/>
  <c r="AE241" i="17"/>
  <c r="AD241" i="17"/>
  <c r="AC241" i="17"/>
  <c r="AB241" i="17"/>
  <c r="AA241" i="17"/>
  <c r="Z241" i="17"/>
  <c r="Y241" i="17"/>
  <c r="X241" i="17"/>
  <c r="W241" i="17"/>
  <c r="V241" i="17"/>
  <c r="BB240" i="17"/>
  <c r="BA240" i="17"/>
  <c r="AZ240" i="17"/>
  <c r="AY240" i="17"/>
  <c r="AX240" i="17"/>
  <c r="AP240" i="17"/>
  <c r="AO240" i="17"/>
  <c r="AN240" i="17"/>
  <c r="AM240" i="17"/>
  <c r="AL240" i="17"/>
  <c r="AK240" i="17"/>
  <c r="AJ240" i="17"/>
  <c r="AI240" i="17"/>
  <c r="AH240" i="17"/>
  <c r="AG240" i="17"/>
  <c r="AF240" i="17"/>
  <c r="AE240" i="17"/>
  <c r="AD240" i="17"/>
  <c r="AB240" i="17"/>
  <c r="AA240" i="17"/>
  <c r="Z240" i="17"/>
  <c r="Y240" i="17"/>
  <c r="X240" i="17"/>
  <c r="BB239" i="17"/>
  <c r="BA239" i="17"/>
  <c r="AZ239" i="17"/>
  <c r="AY239" i="17"/>
  <c r="AX239" i="17"/>
  <c r="AQ239" i="17"/>
  <c r="AP239" i="17"/>
  <c r="AO239" i="17"/>
  <c r="AN239" i="17"/>
  <c r="AM239" i="17"/>
  <c r="AL239" i="17"/>
  <c r="AK239" i="17"/>
  <c r="AJ239" i="17"/>
  <c r="AI239" i="17"/>
  <c r="AH239" i="17"/>
  <c r="AG239" i="17"/>
  <c r="AF239" i="17"/>
  <c r="AE239" i="17"/>
  <c r="AD239" i="17"/>
  <c r="AB239" i="17"/>
  <c r="AA239" i="17"/>
  <c r="Z239" i="17"/>
  <c r="Y239" i="17"/>
  <c r="X239" i="17"/>
  <c r="V239" i="17"/>
  <c r="BB238" i="17"/>
  <c r="BA238" i="17"/>
  <c r="AZ238" i="17"/>
  <c r="AY238" i="17"/>
  <c r="AX238" i="17"/>
  <c r="AQ238" i="17"/>
  <c r="AP238" i="17"/>
  <c r="AO238" i="17"/>
  <c r="AN238" i="17"/>
  <c r="AM238" i="17"/>
  <c r="AL238" i="17"/>
  <c r="AK238" i="17"/>
  <c r="AJ238" i="17"/>
  <c r="AI238" i="17"/>
  <c r="AH238" i="17"/>
  <c r="AG238" i="17"/>
  <c r="AF238" i="17"/>
  <c r="AE238" i="17"/>
  <c r="AD238" i="17"/>
  <c r="AB238" i="17"/>
  <c r="AA238" i="17"/>
  <c r="Z238" i="17"/>
  <c r="Y238" i="17"/>
  <c r="X238" i="17"/>
  <c r="V238" i="17"/>
  <c r="BB237" i="17"/>
  <c r="BA237" i="17"/>
  <c r="AZ237" i="17"/>
  <c r="AY237" i="17"/>
  <c r="AX237" i="17"/>
  <c r="AQ237" i="17"/>
  <c r="AP237" i="17"/>
  <c r="AO237" i="17"/>
  <c r="AN237" i="17"/>
  <c r="AM237" i="17"/>
  <c r="AL237" i="17"/>
  <c r="AK237" i="17"/>
  <c r="AJ237" i="17"/>
  <c r="AI237" i="17"/>
  <c r="AH237" i="17"/>
  <c r="AG237" i="17"/>
  <c r="AF237" i="17"/>
  <c r="AE237" i="17"/>
  <c r="AD237" i="17"/>
  <c r="AB237" i="17"/>
  <c r="AA237" i="17"/>
  <c r="Z237" i="17"/>
  <c r="Y237" i="17"/>
  <c r="X237" i="17"/>
  <c r="V237" i="17"/>
  <c r="BB236" i="17"/>
  <c r="BA236" i="17"/>
  <c r="AZ236" i="17"/>
  <c r="AY236" i="17"/>
  <c r="AX236" i="17"/>
  <c r="AQ236" i="17"/>
  <c r="AP236" i="17"/>
  <c r="AO236" i="17"/>
  <c r="AN236" i="17"/>
  <c r="AM236" i="17"/>
  <c r="AL236" i="17"/>
  <c r="AK236" i="17"/>
  <c r="AJ236" i="17"/>
  <c r="AI236" i="17"/>
  <c r="AH236" i="17"/>
  <c r="AG236" i="17"/>
  <c r="AF236" i="17"/>
  <c r="AE236" i="17"/>
  <c r="AD236" i="17"/>
  <c r="AB236" i="17"/>
  <c r="AA236" i="17"/>
  <c r="Z236" i="17"/>
  <c r="Y236" i="17"/>
  <c r="X236" i="17"/>
  <c r="V236" i="17"/>
  <c r="BB235" i="17"/>
  <c r="BA235" i="17"/>
  <c r="AZ235" i="17"/>
  <c r="AY235" i="17"/>
  <c r="AX235" i="17"/>
  <c r="AP235" i="17"/>
  <c r="AO235" i="17"/>
  <c r="AN235" i="17"/>
  <c r="AM235" i="17"/>
  <c r="AL235" i="17"/>
  <c r="AK235" i="17"/>
  <c r="AJ235" i="17"/>
  <c r="AI235" i="17"/>
  <c r="AH235" i="17"/>
  <c r="AG235" i="17"/>
  <c r="AF235" i="17"/>
  <c r="AE235" i="17"/>
  <c r="AD235" i="17"/>
  <c r="AB235" i="17"/>
  <c r="AA235" i="17"/>
  <c r="Z235" i="17"/>
  <c r="Y235" i="17"/>
  <c r="X235" i="17"/>
  <c r="V235" i="17"/>
  <c r="BC234" i="17"/>
  <c r="BB234" i="17"/>
  <c r="BA234" i="17"/>
  <c r="AZ234" i="17"/>
  <c r="AY234" i="17"/>
  <c r="AX234" i="17"/>
  <c r="AP234" i="17"/>
  <c r="AO234" i="17"/>
  <c r="AN234" i="17"/>
  <c r="AM234" i="17"/>
  <c r="AL234" i="17"/>
  <c r="AK234" i="17"/>
  <c r="AJ234" i="17"/>
  <c r="AI234" i="17"/>
  <c r="AH234" i="17"/>
  <c r="AG234" i="17"/>
  <c r="AF234" i="17"/>
  <c r="AE234" i="17"/>
  <c r="AD234" i="17"/>
  <c r="AB234" i="17"/>
  <c r="AA234" i="17"/>
  <c r="Z234" i="17"/>
  <c r="Y234" i="17"/>
  <c r="X234" i="17"/>
  <c r="V234" i="17"/>
  <c r="BC233" i="17"/>
  <c r="BB233" i="17"/>
  <c r="BA233" i="17"/>
  <c r="AZ233" i="17"/>
  <c r="AY233" i="17"/>
  <c r="AX233" i="17"/>
  <c r="AQ233" i="17"/>
  <c r="AP233" i="17"/>
  <c r="AO233" i="17"/>
  <c r="AN233" i="17"/>
  <c r="AM233" i="17"/>
  <c r="AL233" i="17"/>
  <c r="AK233" i="17"/>
  <c r="AJ233" i="17"/>
  <c r="AI233" i="17"/>
  <c r="AH233" i="17"/>
  <c r="AG233" i="17"/>
  <c r="AF233" i="17"/>
  <c r="AE233" i="17"/>
  <c r="AD233" i="17"/>
  <c r="AB233" i="17"/>
  <c r="AA233" i="17"/>
  <c r="Z233" i="17"/>
  <c r="Y233" i="17"/>
  <c r="X233" i="17"/>
  <c r="BC228" i="17"/>
  <c r="BB228" i="17"/>
  <c r="BA228" i="17"/>
  <c r="AZ228" i="17"/>
  <c r="AY228" i="17"/>
  <c r="AX228" i="17"/>
  <c r="AQ228" i="17"/>
  <c r="AP228" i="17"/>
  <c r="AO228" i="17"/>
  <c r="AN228" i="17"/>
  <c r="AM228" i="17"/>
  <c r="AL228" i="17"/>
  <c r="AK228" i="17"/>
  <c r="AJ228" i="17"/>
  <c r="AI228" i="17"/>
  <c r="AH228" i="17"/>
  <c r="AG228" i="17"/>
  <c r="AF228" i="17"/>
  <c r="AE228" i="17"/>
  <c r="AD228" i="17"/>
  <c r="AB228" i="17"/>
  <c r="AA228" i="17"/>
  <c r="Z228" i="17"/>
  <c r="Y228" i="17"/>
  <c r="X228" i="17"/>
  <c r="V228" i="17"/>
  <c r="BB227" i="17"/>
  <c r="BA227" i="17"/>
  <c r="AZ227" i="17"/>
  <c r="AY227" i="17"/>
  <c r="AX227" i="17"/>
  <c r="AP227" i="17"/>
  <c r="AO227" i="17"/>
  <c r="AN227" i="17"/>
  <c r="AM227" i="17"/>
  <c r="AL227" i="17"/>
  <c r="AK227" i="17"/>
  <c r="AJ227" i="17"/>
  <c r="AI227" i="17"/>
  <c r="AH227" i="17"/>
  <c r="AG227" i="17"/>
  <c r="AF227" i="17"/>
  <c r="AE227" i="17"/>
  <c r="AD227" i="17"/>
  <c r="AB227" i="17"/>
  <c r="AA227" i="17"/>
  <c r="Z227" i="17"/>
  <c r="Y227" i="17"/>
  <c r="X227" i="17"/>
  <c r="V227" i="17"/>
  <c r="BC226" i="17"/>
  <c r="BB226" i="17"/>
  <c r="BA226" i="17"/>
  <c r="AZ226" i="17"/>
  <c r="AY226" i="17"/>
  <c r="AX226" i="17"/>
  <c r="AQ226" i="17"/>
  <c r="AP226" i="17"/>
  <c r="AO226" i="17"/>
  <c r="AN226" i="17"/>
  <c r="AM226" i="17"/>
  <c r="AL226" i="17"/>
  <c r="AK226" i="17"/>
  <c r="AJ226" i="17"/>
  <c r="AI226" i="17"/>
  <c r="AH226" i="17"/>
  <c r="AG226" i="17"/>
  <c r="AF226" i="17"/>
  <c r="AE226" i="17"/>
  <c r="AD226" i="17"/>
  <c r="AB226" i="17"/>
  <c r="AA226" i="17"/>
  <c r="Z226" i="17"/>
  <c r="Y226" i="17"/>
  <c r="X226" i="17"/>
  <c r="V226" i="17"/>
  <c r="BC225" i="17"/>
  <c r="BB225" i="17"/>
  <c r="BA225" i="17"/>
  <c r="AZ225" i="17"/>
  <c r="AY225" i="17"/>
  <c r="AX225" i="17"/>
  <c r="AQ225" i="17"/>
  <c r="AP225" i="17"/>
  <c r="AO225" i="17"/>
  <c r="AN225" i="17"/>
  <c r="AM225" i="17"/>
  <c r="AL225" i="17"/>
  <c r="AK225" i="17"/>
  <c r="AJ225" i="17"/>
  <c r="AI225" i="17"/>
  <c r="AH225" i="17"/>
  <c r="AG225" i="17"/>
  <c r="AF225" i="17"/>
  <c r="AE225" i="17"/>
  <c r="AD225" i="17"/>
  <c r="AB225" i="17"/>
  <c r="AA225" i="17"/>
  <c r="Z225" i="17"/>
  <c r="Y225" i="17"/>
  <c r="X225" i="17"/>
  <c r="V225" i="17"/>
  <c r="BC224" i="17"/>
  <c r="BB224" i="17"/>
  <c r="BA224" i="17"/>
  <c r="AZ224" i="17"/>
  <c r="AY224" i="17"/>
  <c r="AX224" i="17"/>
  <c r="AP224" i="17"/>
  <c r="AO224" i="17"/>
  <c r="AN224" i="17"/>
  <c r="AM224" i="17"/>
  <c r="AL224" i="17"/>
  <c r="AK224" i="17"/>
  <c r="AJ224" i="17"/>
  <c r="AI224" i="17"/>
  <c r="AH224" i="17"/>
  <c r="AG224" i="17"/>
  <c r="AF224" i="17"/>
  <c r="AE224" i="17"/>
  <c r="AD224" i="17"/>
  <c r="AB224" i="17"/>
  <c r="AA224" i="17"/>
  <c r="Z224" i="17"/>
  <c r="Y224" i="17"/>
  <c r="X224" i="17"/>
  <c r="V224" i="17"/>
  <c r="BK223" i="17"/>
  <c r="BB223" i="17"/>
  <c r="BA223" i="17"/>
  <c r="AZ223" i="17"/>
  <c r="AY223" i="17"/>
  <c r="AX223" i="17"/>
  <c r="AP223" i="17"/>
  <c r="AO223" i="17"/>
  <c r="AN223" i="17"/>
  <c r="AM223" i="17"/>
  <c r="AL223" i="17"/>
  <c r="AK223" i="17"/>
  <c r="AJ223" i="17"/>
  <c r="AI223" i="17"/>
  <c r="AH223" i="17"/>
  <c r="AG223" i="17"/>
  <c r="AF223" i="17"/>
  <c r="AE223" i="17"/>
  <c r="AD223" i="17"/>
  <c r="AC223" i="17"/>
  <c r="AB223" i="17"/>
  <c r="AA223" i="17"/>
  <c r="Z223" i="17"/>
  <c r="Y223" i="17"/>
  <c r="X223" i="17"/>
  <c r="W223" i="17"/>
  <c r="V223" i="17"/>
  <c r="BC222" i="17"/>
  <c r="BB222" i="17"/>
  <c r="BA222" i="17"/>
  <c r="AZ222" i="17"/>
  <c r="AY222" i="17"/>
  <c r="AX222" i="17"/>
  <c r="AQ222" i="17"/>
  <c r="AP222" i="17"/>
  <c r="AO222" i="17"/>
  <c r="AN222" i="17"/>
  <c r="AM222" i="17"/>
  <c r="AL222" i="17"/>
  <c r="AK222" i="17"/>
  <c r="AJ222" i="17"/>
  <c r="AI222" i="17"/>
  <c r="AH222" i="17"/>
  <c r="AG222" i="17"/>
  <c r="AF222" i="17"/>
  <c r="AE222" i="17"/>
  <c r="AD222" i="17"/>
  <c r="AB222" i="17"/>
  <c r="AA222" i="17"/>
  <c r="Z222" i="17"/>
  <c r="Y222" i="17"/>
  <c r="X222" i="17"/>
  <c r="V222" i="17"/>
  <c r="BC221" i="17"/>
  <c r="BB221" i="17"/>
  <c r="BA221" i="17"/>
  <c r="AZ221" i="17"/>
  <c r="AY221" i="17"/>
  <c r="AX221" i="17"/>
  <c r="AQ221" i="17"/>
  <c r="AP221" i="17"/>
  <c r="AO221" i="17"/>
  <c r="AN221" i="17"/>
  <c r="AM221" i="17"/>
  <c r="AL221" i="17"/>
  <c r="AK221" i="17"/>
  <c r="AJ221" i="17"/>
  <c r="AI221" i="17"/>
  <c r="AH221" i="17"/>
  <c r="AG221" i="17"/>
  <c r="AF221" i="17"/>
  <c r="AE221" i="17"/>
  <c r="AD221" i="17"/>
  <c r="AB221" i="17"/>
  <c r="AA221" i="17"/>
  <c r="Z221" i="17"/>
  <c r="Y221" i="17"/>
  <c r="X221" i="17"/>
  <c r="V221" i="17"/>
  <c r="BC220" i="17"/>
  <c r="BB220" i="17"/>
  <c r="BA220" i="17"/>
  <c r="AZ220" i="17"/>
  <c r="AY220" i="17"/>
  <c r="AX220" i="17"/>
  <c r="AP220" i="17"/>
  <c r="AO220" i="17"/>
  <c r="AN220" i="17"/>
  <c r="AM220" i="17"/>
  <c r="AL220" i="17"/>
  <c r="AK220" i="17"/>
  <c r="AJ220" i="17"/>
  <c r="AI220" i="17"/>
  <c r="AH220" i="17"/>
  <c r="AG220" i="17"/>
  <c r="AF220" i="17"/>
  <c r="AE220" i="17"/>
  <c r="AD220" i="17"/>
  <c r="AB220" i="17"/>
  <c r="AA220" i="17"/>
  <c r="Z220" i="17"/>
  <c r="Y220" i="17"/>
  <c r="X220" i="17"/>
  <c r="V220" i="17"/>
  <c r="BB219" i="17"/>
  <c r="BA219" i="17"/>
  <c r="AZ219" i="17"/>
  <c r="AY219" i="17"/>
  <c r="AX219" i="17"/>
  <c r="AQ219" i="17"/>
  <c r="AP219" i="17"/>
  <c r="AO219" i="17"/>
  <c r="AN219" i="17"/>
  <c r="AM219" i="17"/>
  <c r="AL219" i="17"/>
  <c r="AK219" i="17"/>
  <c r="AJ219" i="17"/>
  <c r="AI219" i="17"/>
  <c r="AH219" i="17"/>
  <c r="AG219" i="17"/>
  <c r="AF219" i="17"/>
  <c r="AE219" i="17"/>
  <c r="AD219" i="17"/>
  <c r="AB219" i="17"/>
  <c r="AA219" i="17"/>
  <c r="Z219" i="17"/>
  <c r="Y219" i="17"/>
  <c r="X219" i="17"/>
  <c r="V219" i="17"/>
  <c r="BC218" i="17"/>
  <c r="BB218" i="17"/>
  <c r="BA218" i="17"/>
  <c r="AZ218" i="17"/>
  <c r="AY218" i="17"/>
  <c r="AX218" i="17"/>
  <c r="AP218" i="17"/>
  <c r="AO218" i="17"/>
  <c r="AN218" i="17"/>
  <c r="AM218" i="17"/>
  <c r="AL218" i="17"/>
  <c r="AK218" i="17"/>
  <c r="AJ218" i="17"/>
  <c r="AI218" i="17"/>
  <c r="AH218" i="17"/>
  <c r="AG218" i="17"/>
  <c r="AF218" i="17"/>
  <c r="AE218" i="17"/>
  <c r="AD218" i="17"/>
  <c r="AB218" i="17"/>
  <c r="AA218" i="17"/>
  <c r="Z218" i="17"/>
  <c r="Y218" i="17"/>
  <c r="X218" i="17"/>
  <c r="BC217" i="17"/>
  <c r="BB217" i="17"/>
  <c r="BA217" i="17"/>
  <c r="AZ217" i="17"/>
  <c r="AY217" i="17"/>
  <c r="AX217" i="17"/>
  <c r="AP217" i="17"/>
  <c r="AO217" i="17"/>
  <c r="AN217" i="17"/>
  <c r="AM217" i="17"/>
  <c r="AL217" i="17"/>
  <c r="AK217" i="17"/>
  <c r="AJ217" i="17"/>
  <c r="AI217" i="17"/>
  <c r="AH217" i="17"/>
  <c r="AG217" i="17"/>
  <c r="AF217" i="17"/>
  <c r="AE217" i="17"/>
  <c r="AD217" i="17"/>
  <c r="AB217" i="17"/>
  <c r="AA217" i="17"/>
  <c r="Z217" i="17"/>
  <c r="Y217" i="17"/>
  <c r="X217" i="17"/>
  <c r="BB216" i="17"/>
  <c r="BA216" i="17"/>
  <c r="AZ216" i="17"/>
  <c r="AY216" i="17"/>
  <c r="AX216" i="17"/>
  <c r="AP216" i="17"/>
  <c r="AO216" i="17"/>
  <c r="AN216" i="17"/>
  <c r="AM216" i="17"/>
  <c r="AL216" i="17"/>
  <c r="AK216" i="17"/>
  <c r="AJ216" i="17"/>
  <c r="AI216" i="17"/>
  <c r="AH216" i="17"/>
  <c r="AG216" i="17"/>
  <c r="AF216" i="17"/>
  <c r="AE216" i="17"/>
  <c r="AD216" i="17"/>
  <c r="AB216" i="17"/>
  <c r="AA216" i="17"/>
  <c r="Z216" i="17"/>
  <c r="Y216" i="17"/>
  <c r="X216" i="17"/>
  <c r="BC215" i="17"/>
  <c r="BB215" i="17"/>
  <c r="BA215" i="17"/>
  <c r="AZ215" i="17"/>
  <c r="AY215" i="17"/>
  <c r="AX215" i="17"/>
  <c r="AQ215" i="17"/>
  <c r="AP215" i="17"/>
  <c r="AO215" i="17"/>
  <c r="AN215" i="17"/>
  <c r="AM215" i="17"/>
  <c r="AL215" i="17"/>
  <c r="AK215" i="17"/>
  <c r="AJ215" i="17"/>
  <c r="AI215" i="17"/>
  <c r="AH215" i="17"/>
  <c r="AG215" i="17"/>
  <c r="AF215" i="17"/>
  <c r="AE215" i="17"/>
  <c r="AD215" i="17"/>
  <c r="AB215" i="17"/>
  <c r="AA215" i="17"/>
  <c r="Z215" i="17"/>
  <c r="Y215" i="17"/>
  <c r="X215" i="17"/>
  <c r="BC214" i="17"/>
  <c r="BB214" i="17"/>
  <c r="BA214" i="17"/>
  <c r="AZ214" i="17"/>
  <c r="AY214" i="17"/>
  <c r="AX214" i="17"/>
  <c r="AQ214" i="17"/>
  <c r="AP214" i="17"/>
  <c r="AO214" i="17"/>
  <c r="AN214" i="17"/>
  <c r="AM214" i="17"/>
  <c r="AL214" i="17"/>
  <c r="AK214" i="17"/>
  <c r="AJ214" i="17"/>
  <c r="AI214" i="17"/>
  <c r="AH214" i="17"/>
  <c r="AG214" i="17"/>
  <c r="AF214" i="17"/>
  <c r="AE214" i="17"/>
  <c r="AD214" i="17"/>
  <c r="AB214" i="17"/>
  <c r="AA214" i="17"/>
  <c r="Z214" i="17"/>
  <c r="Y214" i="17"/>
  <c r="X214" i="17"/>
  <c r="BB209" i="17"/>
  <c r="BA209" i="17"/>
  <c r="AZ209" i="17"/>
  <c r="AY209" i="17"/>
  <c r="AX209" i="17"/>
  <c r="AP209" i="17"/>
  <c r="AO209" i="17"/>
  <c r="AN209" i="17"/>
  <c r="AM209" i="17"/>
  <c r="AL209" i="17"/>
  <c r="AK209" i="17"/>
  <c r="AJ209" i="17"/>
  <c r="AI209" i="17"/>
  <c r="AH209" i="17"/>
  <c r="AG209" i="17"/>
  <c r="AF209" i="17"/>
  <c r="AE209" i="17"/>
  <c r="AD209" i="17"/>
  <c r="AB209" i="17"/>
  <c r="AA209" i="17"/>
  <c r="Z209" i="17"/>
  <c r="Y209" i="17"/>
  <c r="X209" i="17"/>
  <c r="V209" i="17"/>
  <c r="BC208" i="17"/>
  <c r="BB208" i="17"/>
  <c r="BA208" i="17"/>
  <c r="AZ208" i="17"/>
  <c r="AY208" i="17"/>
  <c r="AX208" i="17"/>
  <c r="AQ208" i="17"/>
  <c r="AP208" i="17"/>
  <c r="AO208" i="17"/>
  <c r="AN208" i="17"/>
  <c r="AM208" i="17"/>
  <c r="AL208" i="17"/>
  <c r="AK208" i="17"/>
  <c r="AJ208" i="17"/>
  <c r="AI208" i="17"/>
  <c r="AH208" i="17"/>
  <c r="AG208" i="17"/>
  <c r="AF208" i="17"/>
  <c r="AE208" i="17"/>
  <c r="AD208" i="17"/>
  <c r="AB208" i="17"/>
  <c r="AA208" i="17"/>
  <c r="Z208" i="17"/>
  <c r="Y208" i="17"/>
  <c r="X208" i="17"/>
  <c r="V208" i="17"/>
  <c r="BC207" i="17"/>
  <c r="BB207" i="17"/>
  <c r="BA207" i="17"/>
  <c r="AZ207" i="17"/>
  <c r="AY207" i="17"/>
  <c r="AX207" i="17"/>
  <c r="AQ207" i="17"/>
  <c r="AP207" i="17"/>
  <c r="AO207" i="17"/>
  <c r="AN207" i="17"/>
  <c r="AM207" i="17"/>
  <c r="AL207" i="17"/>
  <c r="AK207" i="17"/>
  <c r="AJ207" i="17"/>
  <c r="AI207" i="17"/>
  <c r="AH207" i="17"/>
  <c r="AG207" i="17"/>
  <c r="AF207" i="17"/>
  <c r="AE207" i="17"/>
  <c r="AD207" i="17"/>
  <c r="AB207" i="17"/>
  <c r="AA207" i="17"/>
  <c r="Z207" i="17"/>
  <c r="Y207" i="17"/>
  <c r="X207" i="17"/>
  <c r="V207" i="17"/>
  <c r="BB206" i="17"/>
  <c r="BA206" i="17"/>
  <c r="AZ206" i="17"/>
  <c r="AY206" i="17"/>
  <c r="AX206" i="17"/>
  <c r="AP206" i="17"/>
  <c r="AO206" i="17"/>
  <c r="AN206" i="17"/>
  <c r="AM206" i="17"/>
  <c r="AL206" i="17"/>
  <c r="AK206" i="17"/>
  <c r="AJ206" i="17"/>
  <c r="AI206" i="17"/>
  <c r="AH206" i="17"/>
  <c r="AG206" i="17"/>
  <c r="AF206" i="17"/>
  <c r="AE206" i="17"/>
  <c r="AD206" i="17"/>
  <c r="AB206" i="17"/>
  <c r="AA206" i="17"/>
  <c r="Z206" i="17"/>
  <c r="Y206" i="17"/>
  <c r="X206" i="17"/>
  <c r="V206" i="17"/>
  <c r="BC205" i="17"/>
  <c r="BB205" i="17"/>
  <c r="BA205" i="17"/>
  <c r="AZ205" i="17"/>
  <c r="AY205" i="17"/>
  <c r="AX205" i="17"/>
  <c r="AP205" i="17"/>
  <c r="AO205" i="17"/>
  <c r="AN205" i="17"/>
  <c r="AM205" i="17"/>
  <c r="AL205" i="17"/>
  <c r="AK205" i="17"/>
  <c r="AJ205" i="17"/>
  <c r="AI205" i="17"/>
  <c r="AH205" i="17"/>
  <c r="AG205" i="17"/>
  <c r="AF205" i="17"/>
  <c r="AE205" i="17"/>
  <c r="AD205" i="17"/>
  <c r="AB205" i="17"/>
  <c r="AA205" i="17"/>
  <c r="Z205" i="17"/>
  <c r="Y205" i="17"/>
  <c r="X205" i="17"/>
  <c r="BC204" i="17"/>
  <c r="BB204" i="17"/>
  <c r="BA204" i="17"/>
  <c r="AZ204" i="17"/>
  <c r="AY204" i="17"/>
  <c r="AX204" i="17"/>
  <c r="AP204" i="17"/>
  <c r="AO204" i="17"/>
  <c r="AN204" i="17"/>
  <c r="AM204" i="17"/>
  <c r="AL204" i="17"/>
  <c r="AK204" i="17"/>
  <c r="AJ204" i="17"/>
  <c r="AI204" i="17"/>
  <c r="AH204" i="17"/>
  <c r="AG204" i="17"/>
  <c r="AF204" i="17"/>
  <c r="AE204" i="17"/>
  <c r="AD204" i="17"/>
  <c r="AB204" i="17"/>
  <c r="AA204" i="17"/>
  <c r="Z204" i="17"/>
  <c r="Y204" i="17"/>
  <c r="X204" i="17"/>
  <c r="V204" i="17"/>
  <c r="BB203" i="17"/>
  <c r="BA203" i="17"/>
  <c r="AZ203" i="17"/>
  <c r="AY203" i="17"/>
  <c r="AX203" i="17"/>
  <c r="AQ203" i="17"/>
  <c r="AP203" i="17"/>
  <c r="AO203" i="17"/>
  <c r="AN203" i="17"/>
  <c r="AM203" i="17"/>
  <c r="AL203" i="17"/>
  <c r="AK203" i="17"/>
  <c r="AJ203" i="17"/>
  <c r="AI203" i="17"/>
  <c r="AH203" i="17"/>
  <c r="AG203" i="17"/>
  <c r="AF203" i="17"/>
  <c r="AE203" i="17"/>
  <c r="AD203" i="17"/>
  <c r="AB203" i="17"/>
  <c r="AA203" i="17"/>
  <c r="Z203" i="17"/>
  <c r="Y203" i="17"/>
  <c r="X203" i="17"/>
  <c r="V203" i="17"/>
  <c r="BB202" i="17"/>
  <c r="BA202" i="17"/>
  <c r="AZ202" i="17"/>
  <c r="AY202" i="17"/>
  <c r="AX202" i="17"/>
  <c r="AQ202" i="17"/>
  <c r="AP202" i="17"/>
  <c r="AO202" i="17"/>
  <c r="AN202" i="17"/>
  <c r="AM202" i="17"/>
  <c r="AL202" i="17"/>
  <c r="AK202" i="17"/>
  <c r="AJ202" i="17"/>
  <c r="AI202" i="17"/>
  <c r="AH202" i="17"/>
  <c r="AG202" i="17"/>
  <c r="AF202" i="17"/>
  <c r="AE202" i="17"/>
  <c r="AD202" i="17"/>
  <c r="AB202" i="17"/>
  <c r="AA202" i="17"/>
  <c r="Z202" i="17"/>
  <c r="Y202" i="17"/>
  <c r="X202" i="17"/>
  <c r="V202" i="17"/>
  <c r="BC201" i="17"/>
  <c r="BB201" i="17"/>
  <c r="BA201" i="17"/>
  <c r="AZ201" i="17"/>
  <c r="AY201" i="17"/>
  <c r="AX201" i="17"/>
  <c r="AQ201" i="17"/>
  <c r="AP201" i="17"/>
  <c r="AO201" i="17"/>
  <c r="AN201" i="17"/>
  <c r="AM201" i="17"/>
  <c r="AL201" i="17"/>
  <c r="AK201" i="17"/>
  <c r="AJ201" i="17"/>
  <c r="AI201" i="17"/>
  <c r="AH201" i="17"/>
  <c r="AG201" i="17"/>
  <c r="AF201" i="17"/>
  <c r="AE201" i="17"/>
  <c r="AD201" i="17"/>
  <c r="AB201" i="17"/>
  <c r="AA201" i="17"/>
  <c r="Z201" i="17"/>
  <c r="Y201" i="17"/>
  <c r="X201" i="17"/>
  <c r="V201" i="17"/>
  <c r="BB200" i="17"/>
  <c r="BA200" i="17"/>
  <c r="AZ200" i="17"/>
  <c r="AY200" i="17"/>
  <c r="AX200" i="17"/>
  <c r="AQ200" i="17"/>
  <c r="AP200" i="17"/>
  <c r="AO200" i="17"/>
  <c r="AN200" i="17"/>
  <c r="AM200" i="17"/>
  <c r="AL200" i="17"/>
  <c r="AK200" i="17"/>
  <c r="AJ200" i="17"/>
  <c r="AI200" i="17"/>
  <c r="AH200" i="17"/>
  <c r="AG200" i="17"/>
  <c r="AF200" i="17"/>
  <c r="AE200" i="17"/>
  <c r="AD200" i="17"/>
  <c r="AB200" i="17"/>
  <c r="AA200" i="17"/>
  <c r="Z200" i="17"/>
  <c r="Y200" i="17"/>
  <c r="X200" i="17"/>
  <c r="BC199" i="17"/>
  <c r="BB199" i="17"/>
  <c r="BA199" i="17"/>
  <c r="AZ199" i="17"/>
  <c r="AY199" i="17"/>
  <c r="AX199" i="17"/>
  <c r="AP199" i="17"/>
  <c r="AO199" i="17"/>
  <c r="AN199" i="17"/>
  <c r="AM199" i="17"/>
  <c r="AL199" i="17"/>
  <c r="AK199" i="17"/>
  <c r="AJ199" i="17"/>
  <c r="AI199" i="17"/>
  <c r="AH199" i="17"/>
  <c r="AG199" i="17"/>
  <c r="AF199" i="17"/>
  <c r="AE199" i="17"/>
  <c r="AD199" i="17"/>
  <c r="AB199" i="17"/>
  <c r="AA199" i="17"/>
  <c r="Z199" i="17"/>
  <c r="Y199" i="17"/>
  <c r="X199" i="17"/>
  <c r="BK198" i="17"/>
  <c r="BC198" i="17"/>
  <c r="BB198" i="17"/>
  <c r="BA198" i="17"/>
  <c r="AZ198" i="17"/>
  <c r="AY198" i="17"/>
  <c r="AX198" i="17"/>
  <c r="AQ198" i="17"/>
  <c r="AP198" i="17"/>
  <c r="AO198" i="17"/>
  <c r="AN198" i="17"/>
  <c r="AM198" i="17"/>
  <c r="AL198" i="17"/>
  <c r="AK198" i="17"/>
  <c r="AJ198" i="17"/>
  <c r="AI198" i="17"/>
  <c r="AH198" i="17"/>
  <c r="AG198" i="17"/>
  <c r="AF198" i="17"/>
  <c r="AE198" i="17"/>
  <c r="AD198" i="17"/>
  <c r="AA198" i="17"/>
  <c r="Z198" i="17"/>
  <c r="Y198" i="17"/>
  <c r="X198" i="17"/>
  <c r="W198" i="17"/>
  <c r="V198" i="17"/>
  <c r="BC197" i="17"/>
  <c r="BB197" i="17"/>
  <c r="BA197" i="17"/>
  <c r="AZ197" i="17"/>
  <c r="AY197" i="17"/>
  <c r="AX197" i="17"/>
  <c r="AQ197" i="17"/>
  <c r="AP197" i="17"/>
  <c r="AO197" i="17"/>
  <c r="AN197" i="17"/>
  <c r="AM197" i="17"/>
  <c r="AL197" i="17"/>
  <c r="AK197" i="17"/>
  <c r="AJ197" i="17"/>
  <c r="AI197" i="17"/>
  <c r="AH197" i="17"/>
  <c r="AG197" i="17"/>
  <c r="AF197" i="17"/>
  <c r="AE197" i="17"/>
  <c r="AD197" i="17"/>
  <c r="AB197" i="17"/>
  <c r="AA197" i="17"/>
  <c r="Z197" i="17"/>
  <c r="Y197" i="17"/>
  <c r="X197" i="17"/>
  <c r="BB196" i="17"/>
  <c r="BA196" i="17"/>
  <c r="AZ196" i="17"/>
  <c r="AY196" i="17"/>
  <c r="AX196" i="17"/>
  <c r="AQ196" i="17"/>
  <c r="AP196" i="17"/>
  <c r="AO196" i="17"/>
  <c r="AN196" i="17"/>
  <c r="AM196" i="17"/>
  <c r="AL196" i="17"/>
  <c r="AK196" i="17"/>
  <c r="AJ196" i="17"/>
  <c r="AI196" i="17"/>
  <c r="AH196" i="17"/>
  <c r="AG196" i="17"/>
  <c r="AF196" i="17"/>
  <c r="AE196" i="17"/>
  <c r="AD196" i="17"/>
  <c r="AB196" i="17"/>
  <c r="AA196" i="17"/>
  <c r="Z196" i="17"/>
  <c r="Y196" i="17"/>
  <c r="X196" i="17"/>
  <c r="V196" i="17"/>
  <c r="BC195" i="17"/>
  <c r="BB195" i="17"/>
  <c r="BA195" i="17"/>
  <c r="AZ195" i="17"/>
  <c r="AY195" i="17"/>
  <c r="AX195" i="17"/>
  <c r="AQ195" i="17"/>
  <c r="AP195" i="17"/>
  <c r="AO195" i="17"/>
  <c r="AN195" i="17"/>
  <c r="AM195" i="17"/>
  <c r="AL195" i="17"/>
  <c r="AK195" i="17"/>
  <c r="AJ195" i="17"/>
  <c r="AI195" i="17"/>
  <c r="AH195" i="17"/>
  <c r="AG195" i="17"/>
  <c r="AF195" i="17"/>
  <c r="AE195" i="17"/>
  <c r="AD195" i="17"/>
  <c r="AB195" i="17"/>
  <c r="AA195" i="17"/>
  <c r="Z195" i="17"/>
  <c r="Y195" i="17"/>
  <c r="X195" i="17"/>
  <c r="BB190" i="17"/>
  <c r="BA190" i="17"/>
  <c r="AZ190" i="17"/>
  <c r="AY190" i="17"/>
  <c r="AX190" i="17"/>
  <c r="AP190" i="17"/>
  <c r="AO190" i="17"/>
  <c r="AN190" i="17"/>
  <c r="AM190" i="17"/>
  <c r="AL190" i="17"/>
  <c r="AK190" i="17"/>
  <c r="AJ190" i="17"/>
  <c r="AI190" i="17"/>
  <c r="AH190" i="17"/>
  <c r="AG190" i="17"/>
  <c r="AF190" i="17"/>
  <c r="AE190" i="17"/>
  <c r="AD190" i="17"/>
  <c r="AB190" i="17"/>
  <c r="AA190" i="17"/>
  <c r="Z190" i="17"/>
  <c r="Y190" i="17"/>
  <c r="X190" i="17"/>
  <c r="V190" i="17"/>
  <c r="BC189" i="17"/>
  <c r="BB189" i="17"/>
  <c r="BA189" i="17"/>
  <c r="AZ189" i="17"/>
  <c r="AY189" i="17"/>
  <c r="AX189" i="17"/>
  <c r="AP189" i="17"/>
  <c r="AO189" i="17"/>
  <c r="AN189" i="17"/>
  <c r="AM189" i="17"/>
  <c r="AL189" i="17"/>
  <c r="AK189" i="17"/>
  <c r="AJ189" i="17"/>
  <c r="AI189" i="17"/>
  <c r="AH189" i="17"/>
  <c r="AG189" i="17"/>
  <c r="AF189" i="17"/>
  <c r="AE189" i="17"/>
  <c r="AD189" i="17"/>
  <c r="AB189" i="17"/>
  <c r="AA189" i="17"/>
  <c r="Z189" i="17"/>
  <c r="Y189" i="17"/>
  <c r="X189" i="17"/>
  <c r="V189" i="17"/>
  <c r="BB188" i="17"/>
  <c r="BA188" i="17"/>
  <c r="AZ188" i="17"/>
  <c r="AY188" i="17"/>
  <c r="AX188" i="17"/>
  <c r="AP188" i="17"/>
  <c r="AO188" i="17"/>
  <c r="AN188" i="17"/>
  <c r="AM188" i="17"/>
  <c r="AL188" i="17"/>
  <c r="AK188" i="17"/>
  <c r="AJ188" i="17"/>
  <c r="AI188" i="17"/>
  <c r="AH188" i="17"/>
  <c r="AG188" i="17"/>
  <c r="AF188" i="17"/>
  <c r="AE188" i="17"/>
  <c r="AD188" i="17"/>
  <c r="AB188" i="17"/>
  <c r="AA188" i="17"/>
  <c r="Z188" i="17"/>
  <c r="Y188" i="17"/>
  <c r="X188" i="17"/>
  <c r="V188" i="17"/>
  <c r="BC187" i="17"/>
  <c r="BB187" i="17"/>
  <c r="BA187" i="17"/>
  <c r="AZ187" i="17"/>
  <c r="AY187" i="17"/>
  <c r="AX187" i="17"/>
  <c r="AQ187" i="17"/>
  <c r="AP187" i="17"/>
  <c r="AO187" i="17"/>
  <c r="AN187" i="17"/>
  <c r="AM187" i="17"/>
  <c r="AL187" i="17"/>
  <c r="AK187" i="17"/>
  <c r="AJ187" i="17"/>
  <c r="AI187" i="17"/>
  <c r="AH187" i="17"/>
  <c r="AG187" i="17"/>
  <c r="AF187" i="17"/>
  <c r="AE187" i="17"/>
  <c r="AD187" i="17"/>
  <c r="AB187" i="17"/>
  <c r="AA187" i="17"/>
  <c r="Z187" i="17"/>
  <c r="Y187" i="17"/>
  <c r="X187" i="17"/>
  <c r="V187" i="17"/>
  <c r="BC186" i="17"/>
  <c r="BB186" i="17"/>
  <c r="BA186" i="17"/>
  <c r="AZ186" i="17"/>
  <c r="AY186" i="17"/>
  <c r="AX186" i="17"/>
  <c r="AQ186" i="17"/>
  <c r="AP186" i="17"/>
  <c r="AO186" i="17"/>
  <c r="AN186" i="17"/>
  <c r="AM186" i="17"/>
  <c r="AL186" i="17"/>
  <c r="AK186" i="17"/>
  <c r="AJ186" i="17"/>
  <c r="AI186" i="17"/>
  <c r="AH186" i="17"/>
  <c r="AG186" i="17"/>
  <c r="AF186" i="17"/>
  <c r="AE186" i="17"/>
  <c r="AD186" i="17"/>
  <c r="AB186" i="17"/>
  <c r="AA186" i="17"/>
  <c r="Z186" i="17"/>
  <c r="Y186" i="17"/>
  <c r="X186" i="17"/>
  <c r="BB185" i="17"/>
  <c r="BA185" i="17"/>
  <c r="AZ185" i="17"/>
  <c r="AY185" i="17"/>
  <c r="AX185" i="17"/>
  <c r="AQ185" i="17"/>
  <c r="AP185" i="17"/>
  <c r="AO185" i="17"/>
  <c r="AN185" i="17"/>
  <c r="AM185" i="17"/>
  <c r="AL185" i="17"/>
  <c r="AK185" i="17"/>
  <c r="AJ185" i="17"/>
  <c r="AI185" i="17"/>
  <c r="AH185" i="17"/>
  <c r="AG185" i="17"/>
  <c r="AF185" i="17"/>
  <c r="AE185" i="17"/>
  <c r="AD185" i="17"/>
  <c r="AB185" i="17"/>
  <c r="AA185" i="17"/>
  <c r="Z185" i="17"/>
  <c r="Y185" i="17"/>
  <c r="X185" i="17"/>
  <c r="V185" i="17"/>
  <c r="BK184" i="17"/>
  <c r="BC184" i="17"/>
  <c r="BB184" i="17"/>
  <c r="BA184" i="17"/>
  <c r="AZ184" i="17"/>
  <c r="AY184" i="17"/>
  <c r="AX184" i="17"/>
  <c r="AQ184" i="17"/>
  <c r="AP184" i="17"/>
  <c r="AO184" i="17"/>
  <c r="AN184" i="17"/>
  <c r="AM184" i="17"/>
  <c r="AL184" i="17"/>
  <c r="AK184" i="17"/>
  <c r="AJ184" i="17"/>
  <c r="AI184" i="17"/>
  <c r="AH184" i="17"/>
  <c r="AG184" i="17"/>
  <c r="AF184" i="17"/>
  <c r="AE184" i="17"/>
  <c r="AD184" i="17"/>
  <c r="AC184" i="17"/>
  <c r="AB184" i="17"/>
  <c r="AA184" i="17"/>
  <c r="Z184" i="17"/>
  <c r="Y184" i="17"/>
  <c r="X184" i="17"/>
  <c r="W184" i="17"/>
  <c r="V184" i="17"/>
  <c r="BC183" i="17"/>
  <c r="BB183" i="17"/>
  <c r="BA183" i="17"/>
  <c r="AZ183" i="17"/>
  <c r="AY183" i="17"/>
  <c r="AX183" i="17"/>
  <c r="AP183" i="17"/>
  <c r="AO183" i="17"/>
  <c r="AN183" i="17"/>
  <c r="AM183" i="17"/>
  <c r="AL183" i="17"/>
  <c r="AK183" i="17"/>
  <c r="AJ183" i="17"/>
  <c r="AI183" i="17"/>
  <c r="AH183" i="17"/>
  <c r="AG183" i="17"/>
  <c r="AF183" i="17"/>
  <c r="AE183" i="17"/>
  <c r="AD183" i="17"/>
  <c r="AB183" i="17"/>
  <c r="AA183" i="17"/>
  <c r="Z183" i="17"/>
  <c r="Y183" i="17"/>
  <c r="X183" i="17"/>
  <c r="V183" i="17"/>
  <c r="BC182" i="17"/>
  <c r="BB182" i="17"/>
  <c r="BA182" i="17"/>
  <c r="AZ182" i="17"/>
  <c r="AY182" i="17"/>
  <c r="AX182" i="17"/>
  <c r="AQ182" i="17"/>
  <c r="AP182" i="17"/>
  <c r="AO182" i="17"/>
  <c r="AN182" i="17"/>
  <c r="AM182" i="17"/>
  <c r="AL182" i="17"/>
  <c r="AK182" i="17"/>
  <c r="AJ182" i="17"/>
  <c r="AI182" i="17"/>
  <c r="AH182" i="17"/>
  <c r="AG182" i="17"/>
  <c r="AF182" i="17"/>
  <c r="AE182" i="17"/>
  <c r="AD182" i="17"/>
  <c r="AB182" i="17"/>
  <c r="AA182" i="17"/>
  <c r="Z182" i="17"/>
  <c r="Y182" i="17"/>
  <c r="X182" i="17"/>
  <c r="BC181" i="17"/>
  <c r="BB181" i="17"/>
  <c r="BA181" i="17"/>
  <c r="AZ181" i="17"/>
  <c r="AY181" i="17"/>
  <c r="AX181" i="17"/>
  <c r="AQ181" i="17"/>
  <c r="AP181" i="17"/>
  <c r="AO181" i="17"/>
  <c r="AN181" i="17"/>
  <c r="AM181" i="17"/>
  <c r="AL181" i="17"/>
  <c r="AK181" i="17"/>
  <c r="AJ181" i="17"/>
  <c r="AI181" i="17"/>
  <c r="AH181" i="17"/>
  <c r="AG181" i="17"/>
  <c r="AF181" i="17"/>
  <c r="AE181" i="17"/>
  <c r="AD181" i="17"/>
  <c r="AB181" i="17"/>
  <c r="AA181" i="17"/>
  <c r="Z181" i="17"/>
  <c r="Y181" i="17"/>
  <c r="X181" i="17"/>
  <c r="BB180" i="17"/>
  <c r="BA180" i="17"/>
  <c r="AZ180" i="17"/>
  <c r="AY180" i="17"/>
  <c r="AX180" i="17"/>
  <c r="AP180" i="17"/>
  <c r="AO180" i="17"/>
  <c r="AN180" i="17"/>
  <c r="AM180" i="17"/>
  <c r="AL180" i="17"/>
  <c r="AK180" i="17"/>
  <c r="AJ180" i="17"/>
  <c r="AI180" i="17"/>
  <c r="AH180" i="17"/>
  <c r="AG180" i="17"/>
  <c r="AF180" i="17"/>
  <c r="AE180" i="17"/>
  <c r="AD180" i="17"/>
  <c r="AB180" i="17"/>
  <c r="AA180" i="17"/>
  <c r="Z180" i="17"/>
  <c r="Y180" i="17"/>
  <c r="X180" i="17"/>
  <c r="BB179" i="17"/>
  <c r="BA179" i="17"/>
  <c r="AZ179" i="17"/>
  <c r="AY179" i="17"/>
  <c r="AX179" i="17"/>
  <c r="AQ179" i="17"/>
  <c r="AP179" i="17"/>
  <c r="AO179" i="17"/>
  <c r="AN179" i="17"/>
  <c r="AM179" i="17"/>
  <c r="AL179" i="17"/>
  <c r="AK179" i="17"/>
  <c r="AJ179" i="17"/>
  <c r="AI179" i="17"/>
  <c r="AH179" i="17"/>
  <c r="AG179" i="17"/>
  <c r="AF179" i="17"/>
  <c r="AE179" i="17"/>
  <c r="AD179" i="17"/>
  <c r="AB179" i="17"/>
  <c r="AA179" i="17"/>
  <c r="Z179" i="17"/>
  <c r="Y179" i="17"/>
  <c r="X179" i="17"/>
  <c r="BC178" i="17"/>
  <c r="BB178" i="17"/>
  <c r="BA178" i="17"/>
  <c r="AZ178" i="17"/>
  <c r="AY178" i="17"/>
  <c r="AX178" i="17"/>
  <c r="AQ178" i="17"/>
  <c r="AP178" i="17"/>
  <c r="AO178" i="17"/>
  <c r="AN178" i="17"/>
  <c r="AM178" i="17"/>
  <c r="AL178" i="17"/>
  <c r="AK178" i="17"/>
  <c r="AJ178" i="17"/>
  <c r="AI178" i="17"/>
  <c r="AH178" i="17"/>
  <c r="AG178" i="17"/>
  <c r="AF178" i="17"/>
  <c r="AE178" i="17"/>
  <c r="AD178" i="17"/>
  <c r="AB178" i="17"/>
  <c r="AA178" i="17"/>
  <c r="Z178" i="17"/>
  <c r="Y178" i="17"/>
  <c r="X178" i="17"/>
  <c r="V178" i="17"/>
  <c r="BC177" i="17"/>
  <c r="BB177" i="17"/>
  <c r="BA177" i="17"/>
  <c r="AZ177" i="17"/>
  <c r="AY177" i="17"/>
  <c r="AX177" i="17"/>
  <c r="AQ177" i="17"/>
  <c r="AP177" i="17"/>
  <c r="AO177" i="17"/>
  <c r="AN177" i="17"/>
  <c r="AM177" i="17"/>
  <c r="AL177" i="17"/>
  <c r="AK177" i="17"/>
  <c r="AJ177" i="17"/>
  <c r="AI177" i="17"/>
  <c r="AH177" i="17"/>
  <c r="AG177" i="17"/>
  <c r="AF177" i="17"/>
  <c r="AE177" i="17"/>
  <c r="AD177" i="17"/>
  <c r="AB177" i="17"/>
  <c r="AA177" i="17"/>
  <c r="Z177" i="17"/>
  <c r="Y177" i="17"/>
  <c r="X177" i="17"/>
  <c r="BC176" i="17"/>
  <c r="BB176" i="17"/>
  <c r="BA176" i="17"/>
  <c r="AZ176" i="17"/>
  <c r="AY176" i="17"/>
  <c r="AX176" i="17"/>
  <c r="AQ176" i="17"/>
  <c r="AP176" i="17"/>
  <c r="AO176" i="17"/>
  <c r="AN176" i="17"/>
  <c r="AM176" i="17"/>
  <c r="AL176" i="17"/>
  <c r="AK176" i="17"/>
  <c r="AJ176" i="17"/>
  <c r="AI176" i="17"/>
  <c r="AH176" i="17"/>
  <c r="AG176" i="17"/>
  <c r="AF176" i="17"/>
  <c r="AE176" i="17"/>
  <c r="AD176" i="17"/>
  <c r="AB176" i="17"/>
  <c r="AA176" i="17"/>
  <c r="Z176" i="17"/>
  <c r="Y176" i="17"/>
  <c r="X176" i="17"/>
  <c r="BB171" i="17"/>
  <c r="BA171" i="17"/>
  <c r="AZ171" i="17"/>
  <c r="AY171" i="17"/>
  <c r="AX171" i="17"/>
  <c r="AP171" i="17"/>
  <c r="AO171" i="17"/>
  <c r="AN171" i="17"/>
  <c r="AM171" i="17"/>
  <c r="AL171" i="17"/>
  <c r="AK171" i="17"/>
  <c r="AJ171" i="17"/>
  <c r="AI171" i="17"/>
  <c r="AH171" i="17"/>
  <c r="AG171" i="17"/>
  <c r="AF171" i="17"/>
  <c r="AE171" i="17"/>
  <c r="AD171" i="17"/>
  <c r="AB171" i="17"/>
  <c r="AA171" i="17"/>
  <c r="Z171" i="17"/>
  <c r="Y171" i="17"/>
  <c r="X171" i="17"/>
  <c r="V171" i="17"/>
  <c r="BC169" i="17"/>
  <c r="BB169" i="17"/>
  <c r="BA169" i="17"/>
  <c r="AZ169" i="17"/>
  <c r="AY169" i="17"/>
  <c r="AX169" i="17"/>
  <c r="AQ169" i="17"/>
  <c r="AP169" i="17"/>
  <c r="AO169" i="17"/>
  <c r="AN169" i="17"/>
  <c r="AM169" i="17"/>
  <c r="AL169" i="17"/>
  <c r="AK169" i="17"/>
  <c r="AJ169" i="17"/>
  <c r="AI169" i="17"/>
  <c r="AH169" i="17"/>
  <c r="AG169" i="17"/>
  <c r="AF169" i="17"/>
  <c r="AE169" i="17"/>
  <c r="AD169" i="17"/>
  <c r="AB169" i="17"/>
  <c r="AA169" i="17"/>
  <c r="Z169" i="17"/>
  <c r="Y169" i="17"/>
  <c r="X169" i="17"/>
  <c r="V169" i="17"/>
  <c r="BB168" i="17"/>
  <c r="BA168" i="17"/>
  <c r="AZ168" i="17"/>
  <c r="AY168" i="17"/>
  <c r="AX168" i="17"/>
  <c r="AP168" i="17"/>
  <c r="AO168" i="17"/>
  <c r="AN168" i="17"/>
  <c r="AM168" i="17"/>
  <c r="AL168" i="17"/>
  <c r="AK168" i="17"/>
  <c r="AJ168" i="17"/>
  <c r="AI168" i="17"/>
  <c r="AH168" i="17"/>
  <c r="AG168" i="17"/>
  <c r="AF168" i="17"/>
  <c r="AE168" i="17"/>
  <c r="AD168" i="17"/>
  <c r="AB168" i="17"/>
  <c r="AA168" i="17"/>
  <c r="Z168" i="17"/>
  <c r="Y168" i="17"/>
  <c r="X168" i="17"/>
  <c r="V168" i="17"/>
  <c r="BB167" i="17"/>
  <c r="BA167" i="17"/>
  <c r="AZ167" i="17"/>
  <c r="AY167" i="17"/>
  <c r="AX167" i="17"/>
  <c r="AP167" i="17"/>
  <c r="AO167" i="17"/>
  <c r="AN167" i="17"/>
  <c r="AM167" i="17"/>
  <c r="AL167" i="17"/>
  <c r="AK167" i="17"/>
  <c r="AJ167" i="17"/>
  <c r="AI167" i="17"/>
  <c r="AH167" i="17"/>
  <c r="AG167" i="17"/>
  <c r="AF167" i="17"/>
  <c r="AE167" i="17"/>
  <c r="AD167" i="17"/>
  <c r="AB167" i="17"/>
  <c r="AA167" i="17"/>
  <c r="Z167" i="17"/>
  <c r="Y167" i="17"/>
  <c r="X167" i="17"/>
  <c r="BC166" i="17"/>
  <c r="BB166" i="17"/>
  <c r="BA166" i="17"/>
  <c r="AZ166" i="17"/>
  <c r="AY166" i="17"/>
  <c r="AX166" i="17"/>
  <c r="AQ166" i="17"/>
  <c r="AP166" i="17"/>
  <c r="AO166" i="17"/>
  <c r="AN166" i="17"/>
  <c r="AM166" i="17"/>
  <c r="AL166" i="17"/>
  <c r="AK166" i="17"/>
  <c r="AJ166" i="17"/>
  <c r="AI166" i="17"/>
  <c r="AH166" i="17"/>
  <c r="AG166" i="17"/>
  <c r="AF166" i="17"/>
  <c r="AE166" i="17"/>
  <c r="AD166" i="17"/>
  <c r="AB166" i="17"/>
  <c r="AA166" i="17"/>
  <c r="Z166" i="17"/>
  <c r="Y166" i="17"/>
  <c r="X166" i="17"/>
  <c r="BC165" i="17"/>
  <c r="BB165" i="17"/>
  <c r="BA165" i="17"/>
  <c r="AZ165" i="17"/>
  <c r="AY165" i="17"/>
  <c r="AX165" i="17"/>
  <c r="AP165" i="17"/>
  <c r="AO165" i="17"/>
  <c r="AN165" i="17"/>
  <c r="AM165" i="17"/>
  <c r="AL165" i="17"/>
  <c r="AK165" i="17"/>
  <c r="AJ165" i="17"/>
  <c r="AI165" i="17"/>
  <c r="AH165" i="17"/>
  <c r="AG165" i="17"/>
  <c r="AF165" i="17"/>
  <c r="AE165" i="17"/>
  <c r="AD165" i="17"/>
  <c r="AB165" i="17"/>
  <c r="AA165" i="17"/>
  <c r="Z165" i="17"/>
  <c r="Y165" i="17"/>
  <c r="X165" i="17"/>
  <c r="V165" i="17"/>
  <c r="BC164" i="17"/>
  <c r="BB164" i="17"/>
  <c r="BA164" i="17"/>
  <c r="AZ164" i="17"/>
  <c r="AY164" i="17"/>
  <c r="AX164" i="17"/>
  <c r="AP164" i="17"/>
  <c r="AO164" i="17"/>
  <c r="AN164" i="17"/>
  <c r="AM164" i="17"/>
  <c r="AL164" i="17"/>
  <c r="AK164" i="17"/>
  <c r="AJ164" i="17"/>
  <c r="AI164" i="17"/>
  <c r="AH164" i="17"/>
  <c r="AG164" i="17"/>
  <c r="AF164" i="17"/>
  <c r="AE164" i="17"/>
  <c r="AD164" i="17"/>
  <c r="AB164" i="17"/>
  <c r="AA164" i="17"/>
  <c r="Z164" i="17"/>
  <c r="Y164" i="17"/>
  <c r="X164" i="17"/>
  <c r="V164" i="17"/>
  <c r="BC163" i="17"/>
  <c r="BB163" i="17"/>
  <c r="BA163" i="17"/>
  <c r="AZ163" i="17"/>
  <c r="AY163" i="17"/>
  <c r="AX163" i="17"/>
  <c r="AP163" i="17"/>
  <c r="AO163" i="17"/>
  <c r="AN163" i="17"/>
  <c r="AM163" i="17"/>
  <c r="AL163" i="17"/>
  <c r="AK163" i="17"/>
  <c r="AJ163" i="17"/>
  <c r="AI163" i="17"/>
  <c r="AH163" i="17"/>
  <c r="AG163" i="17"/>
  <c r="AF163" i="17"/>
  <c r="AE163" i="17"/>
  <c r="AD163" i="17"/>
  <c r="AB163" i="17"/>
  <c r="AA163" i="17"/>
  <c r="Z163" i="17"/>
  <c r="Y163" i="17"/>
  <c r="X163" i="17"/>
  <c r="BK162" i="17"/>
  <c r="BB162" i="17"/>
  <c r="BA162" i="17"/>
  <c r="AZ162" i="17"/>
  <c r="AY162" i="17"/>
  <c r="AX162" i="17"/>
  <c r="AP162" i="17"/>
  <c r="AO162" i="17"/>
  <c r="AN162" i="17"/>
  <c r="AM162" i="17"/>
  <c r="AL162" i="17"/>
  <c r="AK162" i="17"/>
  <c r="AJ162" i="17"/>
  <c r="AI162" i="17"/>
  <c r="AH162" i="17"/>
  <c r="AG162" i="17"/>
  <c r="AF162" i="17"/>
  <c r="AE162" i="17"/>
  <c r="AD162" i="17"/>
  <c r="AA162" i="17"/>
  <c r="Z162" i="17"/>
  <c r="Y162" i="17"/>
  <c r="X162" i="17"/>
  <c r="W162" i="17"/>
  <c r="V162" i="17"/>
  <c r="BB161" i="17"/>
  <c r="BA161" i="17"/>
  <c r="AZ161" i="17"/>
  <c r="AY161" i="17"/>
  <c r="AX161" i="17"/>
  <c r="AQ161" i="17"/>
  <c r="AP161" i="17"/>
  <c r="AO161" i="17"/>
  <c r="AN161" i="17"/>
  <c r="AM161" i="17"/>
  <c r="AL161" i="17"/>
  <c r="AK161" i="17"/>
  <c r="AJ161" i="17"/>
  <c r="AI161" i="17"/>
  <c r="AH161" i="17"/>
  <c r="AG161" i="17"/>
  <c r="AF161" i="17"/>
  <c r="AE161" i="17"/>
  <c r="AD161" i="17"/>
  <c r="AB161" i="17"/>
  <c r="AA161" i="17"/>
  <c r="Z161" i="17"/>
  <c r="Y161" i="17"/>
  <c r="X161" i="17"/>
  <c r="V161" i="17"/>
  <c r="BB160" i="17"/>
  <c r="BA160" i="17"/>
  <c r="AZ160" i="17"/>
  <c r="AY160" i="17"/>
  <c r="AX160" i="17"/>
  <c r="AQ160" i="17"/>
  <c r="AP160" i="17"/>
  <c r="AO160" i="17"/>
  <c r="AN160" i="17"/>
  <c r="AM160" i="17"/>
  <c r="AL160" i="17"/>
  <c r="AK160" i="17"/>
  <c r="AJ160" i="17"/>
  <c r="AI160" i="17"/>
  <c r="AH160" i="17"/>
  <c r="AG160" i="17"/>
  <c r="AF160" i="17"/>
  <c r="AE160" i="17"/>
  <c r="AD160" i="17"/>
  <c r="AB160" i="17"/>
  <c r="AA160" i="17"/>
  <c r="Z160" i="17"/>
  <c r="Y160" i="17"/>
  <c r="X160" i="17"/>
  <c r="BC159" i="17"/>
  <c r="BB159" i="17"/>
  <c r="BA159" i="17"/>
  <c r="AZ159" i="17"/>
  <c r="AY159" i="17"/>
  <c r="AX159" i="17"/>
  <c r="AP159" i="17"/>
  <c r="AO159" i="17"/>
  <c r="AN159" i="17"/>
  <c r="AM159" i="17"/>
  <c r="AL159" i="17"/>
  <c r="AK159" i="17"/>
  <c r="AJ159" i="17"/>
  <c r="AI159" i="17"/>
  <c r="AH159" i="17"/>
  <c r="AG159" i="17"/>
  <c r="AF159" i="17"/>
  <c r="AE159" i="17"/>
  <c r="AD159" i="17"/>
  <c r="AB159" i="17"/>
  <c r="AA159" i="17"/>
  <c r="Z159" i="17"/>
  <c r="Y159" i="17"/>
  <c r="X159" i="17"/>
  <c r="BC158" i="17"/>
  <c r="BB158" i="17"/>
  <c r="BA158" i="17"/>
  <c r="AZ158" i="17"/>
  <c r="AY158" i="17"/>
  <c r="AX158" i="17"/>
  <c r="AQ158" i="17"/>
  <c r="AP158" i="17"/>
  <c r="AO158" i="17"/>
  <c r="AN158" i="17"/>
  <c r="AM158" i="17"/>
  <c r="AL158" i="17"/>
  <c r="AK158" i="17"/>
  <c r="AJ158" i="17"/>
  <c r="AI158" i="17"/>
  <c r="AH158" i="17"/>
  <c r="AG158" i="17"/>
  <c r="AF158" i="17"/>
  <c r="AE158" i="17"/>
  <c r="AD158" i="17"/>
  <c r="AB158" i="17"/>
  <c r="AA158" i="17"/>
  <c r="Z158" i="17"/>
  <c r="Y158" i="17"/>
  <c r="X158" i="17"/>
  <c r="BC157" i="17"/>
  <c r="BB157" i="17"/>
  <c r="BA157" i="17"/>
  <c r="AZ157" i="17"/>
  <c r="AY157" i="17"/>
  <c r="AX157" i="17"/>
  <c r="AQ157" i="17"/>
  <c r="AP157" i="17"/>
  <c r="AO157" i="17"/>
  <c r="AN157" i="17"/>
  <c r="AM157" i="17"/>
  <c r="AL157" i="17"/>
  <c r="AK157" i="17"/>
  <c r="AJ157" i="17"/>
  <c r="AI157" i="17"/>
  <c r="AH157" i="17"/>
  <c r="AG157" i="17"/>
  <c r="AF157" i="17"/>
  <c r="AE157" i="17"/>
  <c r="AD157" i="17"/>
  <c r="AB157" i="17"/>
  <c r="AA157" i="17"/>
  <c r="Z157" i="17"/>
  <c r="Y157" i="17"/>
  <c r="X157" i="17"/>
  <c r="V157" i="17"/>
  <c r="BB156" i="17"/>
  <c r="BA156" i="17"/>
  <c r="AZ156" i="17"/>
  <c r="AY156" i="17"/>
  <c r="AX156" i="17"/>
  <c r="AP156" i="17"/>
  <c r="AO156" i="17"/>
  <c r="AN156" i="17"/>
  <c r="AM156" i="17"/>
  <c r="AL156" i="17"/>
  <c r="AK156" i="17"/>
  <c r="AJ156" i="17"/>
  <c r="AI156" i="17"/>
  <c r="AH156" i="17"/>
  <c r="AG156" i="17"/>
  <c r="AF156" i="17"/>
  <c r="AE156" i="17"/>
  <c r="AD156" i="17"/>
  <c r="AB156" i="17"/>
  <c r="AA156" i="17"/>
  <c r="Z156" i="17"/>
  <c r="Y156" i="17"/>
  <c r="X156" i="17"/>
  <c r="BC152" i="17"/>
  <c r="BB152" i="17"/>
  <c r="BA152" i="17"/>
  <c r="AZ152" i="17"/>
  <c r="AY152" i="17"/>
  <c r="AX152" i="17"/>
  <c r="AP152" i="17"/>
  <c r="AO152" i="17"/>
  <c r="AN152" i="17"/>
  <c r="AM152" i="17"/>
  <c r="AL152" i="17"/>
  <c r="AK152" i="17"/>
  <c r="AJ152" i="17"/>
  <c r="AI152" i="17"/>
  <c r="AH152" i="17"/>
  <c r="AG152" i="17"/>
  <c r="AF152" i="17"/>
  <c r="AE152" i="17"/>
  <c r="AD152" i="17"/>
  <c r="AB152" i="17"/>
  <c r="AA152" i="17"/>
  <c r="Z152" i="17"/>
  <c r="Y152" i="17"/>
  <c r="X152" i="17"/>
  <c r="BC151" i="17"/>
  <c r="BB151" i="17"/>
  <c r="BA151" i="17"/>
  <c r="AZ151" i="17"/>
  <c r="AY151" i="17"/>
  <c r="AX151" i="17"/>
  <c r="AQ151" i="17"/>
  <c r="AP151" i="17"/>
  <c r="AO151" i="17"/>
  <c r="AN151" i="17"/>
  <c r="AM151" i="17"/>
  <c r="AL151" i="17"/>
  <c r="AK151" i="17"/>
  <c r="AJ151" i="17"/>
  <c r="AI151" i="17"/>
  <c r="AH151" i="17"/>
  <c r="AG151" i="17"/>
  <c r="AF151" i="17"/>
  <c r="AE151" i="17"/>
  <c r="AD151" i="17"/>
  <c r="AB151" i="17"/>
  <c r="AA151" i="17"/>
  <c r="Z151" i="17"/>
  <c r="Y151" i="17"/>
  <c r="X151" i="17"/>
  <c r="V151" i="17"/>
  <c r="BC150" i="17"/>
  <c r="BB150" i="17"/>
  <c r="BA150" i="17"/>
  <c r="AZ150" i="17"/>
  <c r="AY150" i="17"/>
  <c r="AX150" i="17"/>
  <c r="AQ150" i="17"/>
  <c r="AP150" i="17"/>
  <c r="AO150" i="17"/>
  <c r="AN150" i="17"/>
  <c r="AM150" i="17"/>
  <c r="AL150" i="17"/>
  <c r="AK150" i="17"/>
  <c r="AJ150" i="17"/>
  <c r="AI150" i="17"/>
  <c r="AH150" i="17"/>
  <c r="AG150" i="17"/>
  <c r="AF150" i="17"/>
  <c r="AE150" i="17"/>
  <c r="AD150" i="17"/>
  <c r="AB150" i="17"/>
  <c r="AA150" i="17"/>
  <c r="Z150" i="17"/>
  <c r="Y150" i="17"/>
  <c r="X150" i="17"/>
  <c r="V150" i="17"/>
  <c r="BC149" i="17"/>
  <c r="BB149" i="17"/>
  <c r="BA149" i="17"/>
  <c r="AZ149" i="17"/>
  <c r="AY149" i="17"/>
  <c r="AX149" i="17"/>
  <c r="AP149" i="17"/>
  <c r="AO149" i="17"/>
  <c r="AN149" i="17"/>
  <c r="AM149" i="17"/>
  <c r="AL149" i="17"/>
  <c r="AK149" i="17"/>
  <c r="AJ149" i="17"/>
  <c r="AI149" i="17"/>
  <c r="AH149" i="17"/>
  <c r="AG149" i="17"/>
  <c r="AF149" i="17"/>
  <c r="AE149" i="17"/>
  <c r="AD149" i="17"/>
  <c r="AB149" i="17"/>
  <c r="AA149" i="17"/>
  <c r="Z149" i="17"/>
  <c r="Y149" i="17"/>
  <c r="X149" i="17"/>
  <c r="V149" i="17"/>
  <c r="BC148" i="17"/>
  <c r="BB148" i="17"/>
  <c r="BA148" i="17"/>
  <c r="AZ148" i="17"/>
  <c r="AY148" i="17"/>
  <c r="AX148" i="17"/>
  <c r="AP148" i="17"/>
  <c r="AO148" i="17"/>
  <c r="AN148" i="17"/>
  <c r="AM148" i="17"/>
  <c r="AL148" i="17"/>
  <c r="AK148" i="17"/>
  <c r="AJ148" i="17"/>
  <c r="AI148" i="17"/>
  <c r="AH148" i="17"/>
  <c r="AG148" i="17"/>
  <c r="AF148" i="17"/>
  <c r="AE148" i="17"/>
  <c r="AD148" i="17"/>
  <c r="AB148" i="17"/>
  <c r="AA148" i="17"/>
  <c r="Z148" i="17"/>
  <c r="Y148" i="17"/>
  <c r="X148" i="17"/>
  <c r="V148" i="17"/>
  <c r="BC147" i="17"/>
  <c r="BB147" i="17"/>
  <c r="BA147" i="17"/>
  <c r="AZ147" i="17"/>
  <c r="AY147" i="17"/>
  <c r="AX147" i="17"/>
  <c r="AP147" i="17"/>
  <c r="AO147" i="17"/>
  <c r="AN147" i="17"/>
  <c r="AM147" i="17"/>
  <c r="AL147" i="17"/>
  <c r="AK147" i="17"/>
  <c r="AJ147" i="17"/>
  <c r="AI147" i="17"/>
  <c r="AH147" i="17"/>
  <c r="AG147" i="17"/>
  <c r="AF147" i="17"/>
  <c r="AE147" i="17"/>
  <c r="AD147" i="17"/>
  <c r="AB147" i="17"/>
  <c r="AA147" i="17"/>
  <c r="Z147" i="17"/>
  <c r="Y147" i="17"/>
  <c r="X147" i="17"/>
  <c r="V147" i="17"/>
  <c r="BK146" i="17"/>
  <c r="BC146" i="17"/>
  <c r="BB146" i="17"/>
  <c r="BA146" i="17"/>
  <c r="AZ146" i="17"/>
  <c r="AY146" i="17"/>
  <c r="AX146" i="17"/>
  <c r="AP146" i="17"/>
  <c r="AO146" i="17"/>
  <c r="AN146" i="17"/>
  <c r="AM146" i="17"/>
  <c r="AL146" i="17"/>
  <c r="AK146" i="17"/>
  <c r="AJ146" i="17"/>
  <c r="AI146" i="17"/>
  <c r="AH146" i="17"/>
  <c r="AG146" i="17"/>
  <c r="AF146" i="17"/>
  <c r="AE146" i="17"/>
  <c r="AD146" i="17"/>
  <c r="AA146" i="17"/>
  <c r="Z146" i="17"/>
  <c r="Y146" i="17"/>
  <c r="X146" i="17"/>
  <c r="W146" i="17"/>
  <c r="V146" i="17"/>
  <c r="BB145" i="17"/>
  <c r="BA145" i="17"/>
  <c r="AZ145" i="17"/>
  <c r="AY145" i="17"/>
  <c r="AX145" i="17"/>
  <c r="AP145" i="17"/>
  <c r="AO145" i="17"/>
  <c r="AN145" i="17"/>
  <c r="AM145" i="17"/>
  <c r="AL145" i="17"/>
  <c r="AK145" i="17"/>
  <c r="AJ145" i="17"/>
  <c r="AI145" i="17"/>
  <c r="AH145" i="17"/>
  <c r="AG145" i="17"/>
  <c r="AF145" i="17"/>
  <c r="AE145" i="17"/>
  <c r="AD145" i="17"/>
  <c r="AB145" i="17"/>
  <c r="AA145" i="17"/>
  <c r="Z145" i="17"/>
  <c r="Y145" i="17"/>
  <c r="X145" i="17"/>
  <c r="V145" i="17"/>
  <c r="BC144" i="17"/>
  <c r="BB144" i="17"/>
  <c r="BA144" i="17"/>
  <c r="AZ144" i="17"/>
  <c r="AY144" i="17"/>
  <c r="AX144" i="17"/>
  <c r="AP144" i="17"/>
  <c r="AO144" i="17"/>
  <c r="AN144" i="17"/>
  <c r="AM144" i="17"/>
  <c r="AL144" i="17"/>
  <c r="AK144" i="17"/>
  <c r="AJ144" i="17"/>
  <c r="AI144" i="17"/>
  <c r="AH144" i="17"/>
  <c r="AG144" i="17"/>
  <c r="AF144" i="17"/>
  <c r="AE144" i="17"/>
  <c r="AD144" i="17"/>
  <c r="AB144" i="17"/>
  <c r="AA144" i="17"/>
  <c r="Z144" i="17"/>
  <c r="Y144" i="17"/>
  <c r="X144" i="17"/>
  <c r="BC143" i="17"/>
  <c r="BB143" i="17"/>
  <c r="BA143" i="17"/>
  <c r="AZ143" i="17"/>
  <c r="AY143" i="17"/>
  <c r="AX143" i="17"/>
  <c r="AQ143" i="17"/>
  <c r="AP143" i="17"/>
  <c r="AO143" i="17"/>
  <c r="AN143" i="17"/>
  <c r="AM143" i="17"/>
  <c r="AL143" i="17"/>
  <c r="AK143" i="17"/>
  <c r="AJ143" i="17"/>
  <c r="AI143" i="17"/>
  <c r="AH143" i="17"/>
  <c r="AG143" i="17"/>
  <c r="AF143" i="17"/>
  <c r="AE143" i="17"/>
  <c r="AD143" i="17"/>
  <c r="AB143" i="17"/>
  <c r="AA143" i="17"/>
  <c r="Z143" i="17"/>
  <c r="Y143" i="17"/>
  <c r="X143" i="17"/>
  <c r="BC142" i="17"/>
  <c r="BB142" i="17"/>
  <c r="BA142" i="17"/>
  <c r="AZ142" i="17"/>
  <c r="AY142" i="17"/>
  <c r="AX142" i="17"/>
  <c r="AQ142" i="17"/>
  <c r="AP142" i="17"/>
  <c r="AO142" i="17"/>
  <c r="AN142" i="17"/>
  <c r="AM142" i="17"/>
  <c r="AL142" i="17"/>
  <c r="AK142" i="17"/>
  <c r="AJ142" i="17"/>
  <c r="AI142" i="17"/>
  <c r="AH142" i="17"/>
  <c r="AG142" i="17"/>
  <c r="AF142" i="17"/>
  <c r="AE142" i="17"/>
  <c r="AD142" i="17"/>
  <c r="AB142" i="17"/>
  <c r="AA142" i="17"/>
  <c r="Z142" i="17"/>
  <c r="Y142" i="17"/>
  <c r="X142" i="17"/>
  <c r="V142" i="17"/>
  <c r="BB133" i="17"/>
  <c r="BA133" i="17"/>
  <c r="AZ133" i="17"/>
  <c r="AY133" i="17"/>
  <c r="AX133" i="17"/>
  <c r="AQ133" i="17"/>
  <c r="AP133" i="17"/>
  <c r="AO133" i="17"/>
  <c r="AN133" i="17"/>
  <c r="AM133" i="17"/>
  <c r="AL133" i="17"/>
  <c r="AK133" i="17"/>
  <c r="AJ133" i="17"/>
  <c r="AI133" i="17"/>
  <c r="AH133" i="17"/>
  <c r="AG133" i="17"/>
  <c r="AF133" i="17"/>
  <c r="AE133" i="17"/>
  <c r="AD133" i="17"/>
  <c r="AB133" i="17"/>
  <c r="AA133" i="17"/>
  <c r="Z133" i="17"/>
  <c r="Y133" i="17"/>
  <c r="X133" i="17"/>
  <c r="V133" i="17"/>
  <c r="BB132" i="17"/>
  <c r="BA132" i="17"/>
  <c r="AZ132" i="17"/>
  <c r="AY132" i="17"/>
  <c r="AX132" i="17"/>
  <c r="AP132" i="17"/>
  <c r="AO132" i="17"/>
  <c r="AN132" i="17"/>
  <c r="AM132" i="17"/>
  <c r="AL132" i="17"/>
  <c r="AK132" i="17"/>
  <c r="AJ132" i="17"/>
  <c r="AI132" i="17"/>
  <c r="AH132" i="17"/>
  <c r="AG132" i="17"/>
  <c r="AF132" i="17"/>
  <c r="AE132" i="17"/>
  <c r="AD132" i="17"/>
  <c r="AB132" i="17"/>
  <c r="AA132" i="17"/>
  <c r="Z132" i="17"/>
  <c r="Y132" i="17"/>
  <c r="X132" i="17"/>
  <c r="V132" i="17"/>
  <c r="BB131" i="17"/>
  <c r="BA131" i="17"/>
  <c r="AZ131" i="17"/>
  <c r="AY131" i="17"/>
  <c r="AX131" i="17"/>
  <c r="AP131" i="17"/>
  <c r="AO131" i="17"/>
  <c r="AN131" i="17"/>
  <c r="AM131" i="17"/>
  <c r="AL131" i="17"/>
  <c r="AK131" i="17"/>
  <c r="AJ131" i="17"/>
  <c r="AI131" i="17"/>
  <c r="AH131" i="17"/>
  <c r="AG131" i="17"/>
  <c r="AF131" i="17"/>
  <c r="AE131" i="17"/>
  <c r="AD131" i="17"/>
  <c r="AB131" i="17"/>
  <c r="AA131" i="17"/>
  <c r="Z131" i="17"/>
  <c r="Y131" i="17"/>
  <c r="X131" i="17"/>
  <c r="V131" i="17"/>
  <c r="BB130" i="17"/>
  <c r="BA130" i="17"/>
  <c r="AZ130" i="17"/>
  <c r="AY130" i="17"/>
  <c r="AX130" i="17"/>
  <c r="AP130" i="17"/>
  <c r="AO130" i="17"/>
  <c r="AN130" i="17"/>
  <c r="AM130" i="17"/>
  <c r="AL130" i="17"/>
  <c r="AK130" i="17"/>
  <c r="AJ130" i="17"/>
  <c r="AI130" i="17"/>
  <c r="AH130" i="17"/>
  <c r="AG130" i="17"/>
  <c r="AF130" i="17"/>
  <c r="AE130" i="17"/>
  <c r="AD130" i="17"/>
  <c r="AB130" i="17"/>
  <c r="AA130" i="17"/>
  <c r="Z130" i="17"/>
  <c r="Y130" i="17"/>
  <c r="X130" i="17"/>
  <c r="BC129" i="17"/>
  <c r="BB129" i="17"/>
  <c r="BA129" i="17"/>
  <c r="AZ129" i="17"/>
  <c r="AY129" i="17"/>
  <c r="AX129" i="17"/>
  <c r="AP129" i="17"/>
  <c r="AO129" i="17"/>
  <c r="AN129" i="17"/>
  <c r="AM129" i="17"/>
  <c r="AL129" i="17"/>
  <c r="AK129" i="17"/>
  <c r="AJ129" i="17"/>
  <c r="AI129" i="17"/>
  <c r="AH129" i="17"/>
  <c r="AG129" i="17"/>
  <c r="AF129" i="17"/>
  <c r="AE129" i="17"/>
  <c r="AD129" i="17"/>
  <c r="AB129" i="17"/>
  <c r="AA129" i="17"/>
  <c r="Z129" i="17"/>
  <c r="Y129" i="17"/>
  <c r="X129" i="17"/>
  <c r="V129" i="17"/>
  <c r="BC128" i="17"/>
  <c r="BB128" i="17"/>
  <c r="BA128" i="17"/>
  <c r="AZ128" i="17"/>
  <c r="AY128" i="17"/>
  <c r="AX128" i="17"/>
  <c r="AQ128" i="17"/>
  <c r="AP128" i="17"/>
  <c r="AO128" i="17"/>
  <c r="AN128" i="17"/>
  <c r="AM128" i="17"/>
  <c r="AL128" i="17"/>
  <c r="AK128" i="17"/>
  <c r="AJ128" i="17"/>
  <c r="AI128" i="17"/>
  <c r="AH128" i="17"/>
  <c r="AG128" i="17"/>
  <c r="AF128" i="17"/>
  <c r="AE128" i="17"/>
  <c r="AD128" i="17"/>
  <c r="AB128" i="17"/>
  <c r="AA128" i="17"/>
  <c r="Z128" i="17"/>
  <c r="Y128" i="17"/>
  <c r="X128" i="17"/>
  <c r="V128" i="17"/>
  <c r="BK127" i="17"/>
  <c r="BC127" i="17"/>
  <c r="BB127" i="17"/>
  <c r="BA127" i="17"/>
  <c r="AZ127" i="17"/>
  <c r="AY127" i="17"/>
  <c r="AX127" i="17"/>
  <c r="AQ127" i="17"/>
  <c r="AP127" i="17"/>
  <c r="AO127" i="17"/>
  <c r="AN127" i="17"/>
  <c r="AM127" i="17"/>
  <c r="AL127" i="17"/>
  <c r="AK127" i="17"/>
  <c r="AJ127" i="17"/>
  <c r="AI127" i="17"/>
  <c r="AH127" i="17"/>
  <c r="AG127" i="17"/>
  <c r="AF127" i="17"/>
  <c r="AE127" i="17"/>
  <c r="AD127" i="17"/>
  <c r="AC127" i="17"/>
  <c r="AB127" i="17"/>
  <c r="AA127" i="17"/>
  <c r="Z127" i="17"/>
  <c r="Y127" i="17"/>
  <c r="X127" i="17"/>
  <c r="W127" i="17"/>
  <c r="V127" i="17"/>
  <c r="BB126" i="17"/>
  <c r="BA126" i="17"/>
  <c r="AZ126" i="17"/>
  <c r="AY126" i="17"/>
  <c r="AX126" i="17"/>
  <c r="AP126" i="17"/>
  <c r="AO126" i="17"/>
  <c r="AN126" i="17"/>
  <c r="AM126" i="17"/>
  <c r="AL126" i="17"/>
  <c r="AK126" i="17"/>
  <c r="AJ126" i="17"/>
  <c r="AI126" i="17"/>
  <c r="AH126" i="17"/>
  <c r="AG126" i="17"/>
  <c r="AF126" i="17"/>
  <c r="AE126" i="17"/>
  <c r="AD126" i="17"/>
  <c r="AB126" i="17"/>
  <c r="AA126" i="17"/>
  <c r="Z126" i="17"/>
  <c r="Y126" i="17"/>
  <c r="X126" i="17"/>
  <c r="V126" i="17"/>
  <c r="BC125" i="17"/>
  <c r="BB125" i="17"/>
  <c r="BA125" i="17"/>
  <c r="AZ125" i="17"/>
  <c r="AY125" i="17"/>
  <c r="AX125" i="17"/>
  <c r="AQ125" i="17"/>
  <c r="AP125" i="17"/>
  <c r="AO125" i="17"/>
  <c r="AN125" i="17"/>
  <c r="AM125" i="17"/>
  <c r="AL125" i="17"/>
  <c r="AK125" i="17"/>
  <c r="AJ125" i="17"/>
  <c r="AI125" i="17"/>
  <c r="AH125" i="17"/>
  <c r="AG125" i="17"/>
  <c r="AF125" i="17"/>
  <c r="AE125" i="17"/>
  <c r="AD125" i="17"/>
  <c r="AB125" i="17"/>
  <c r="AA125" i="17"/>
  <c r="Z125" i="17"/>
  <c r="Y125" i="17"/>
  <c r="X125" i="17"/>
  <c r="BC124" i="17"/>
  <c r="BB124" i="17"/>
  <c r="BA124" i="17"/>
  <c r="AZ124" i="17"/>
  <c r="AY124" i="17"/>
  <c r="AX124" i="17"/>
  <c r="AQ124" i="17"/>
  <c r="AP124" i="17"/>
  <c r="AO124" i="17"/>
  <c r="AN124" i="17"/>
  <c r="AM124" i="17"/>
  <c r="AL124" i="17"/>
  <c r="AK124" i="17"/>
  <c r="AJ124" i="17"/>
  <c r="AI124" i="17"/>
  <c r="AH124" i="17"/>
  <c r="AG124" i="17"/>
  <c r="AF124" i="17"/>
  <c r="AE124" i="17"/>
  <c r="AD124" i="17"/>
  <c r="AB124" i="17"/>
  <c r="AA124" i="17"/>
  <c r="Z124" i="17"/>
  <c r="Y124" i="17"/>
  <c r="X124" i="17"/>
  <c r="BB123" i="17"/>
  <c r="BA123" i="17"/>
  <c r="AZ123" i="17"/>
  <c r="AY123" i="17"/>
  <c r="AX123" i="17"/>
  <c r="AQ123" i="17"/>
  <c r="AP123" i="17"/>
  <c r="AO123" i="17"/>
  <c r="AN123" i="17"/>
  <c r="AM123" i="17"/>
  <c r="AL123" i="17"/>
  <c r="AK123" i="17"/>
  <c r="AJ123" i="17"/>
  <c r="AI123" i="17"/>
  <c r="AH123" i="17"/>
  <c r="AG123" i="17"/>
  <c r="AF123" i="17"/>
  <c r="AE123" i="17"/>
  <c r="AD123" i="17"/>
  <c r="AB123" i="17"/>
  <c r="AA123" i="17"/>
  <c r="Z123" i="17"/>
  <c r="Y123" i="17"/>
  <c r="X123" i="17"/>
  <c r="BC122" i="17"/>
  <c r="BB122" i="17"/>
  <c r="BA122" i="17"/>
  <c r="AZ122" i="17"/>
  <c r="AY122" i="17"/>
  <c r="AX122" i="17"/>
  <c r="AQ122" i="17"/>
  <c r="AP122" i="17"/>
  <c r="AO122" i="17"/>
  <c r="AN122" i="17"/>
  <c r="AM122" i="17"/>
  <c r="AL122" i="17"/>
  <c r="AK122" i="17"/>
  <c r="AJ122" i="17"/>
  <c r="AI122" i="17"/>
  <c r="AH122" i="17"/>
  <c r="AG122" i="17"/>
  <c r="AF122" i="17"/>
  <c r="AE122" i="17"/>
  <c r="AD122" i="17"/>
  <c r="AB122" i="17"/>
  <c r="AA122" i="17"/>
  <c r="Z122" i="17"/>
  <c r="Y122" i="17"/>
  <c r="X122" i="17"/>
  <c r="V122" i="17"/>
  <c r="BB121" i="17"/>
  <c r="BA121" i="17"/>
  <c r="AZ121" i="17"/>
  <c r="AY121" i="17"/>
  <c r="AX121" i="17"/>
  <c r="AP121" i="17"/>
  <c r="AO121" i="17"/>
  <c r="AN121" i="17"/>
  <c r="AM121" i="17"/>
  <c r="AL121" i="17"/>
  <c r="AK121" i="17"/>
  <c r="AJ121" i="17"/>
  <c r="AI121" i="17"/>
  <c r="AH121" i="17"/>
  <c r="AG121" i="17"/>
  <c r="AF121" i="17"/>
  <c r="AE121" i="17"/>
  <c r="AD121" i="17"/>
  <c r="AB121" i="17"/>
  <c r="AA121" i="17"/>
  <c r="Z121" i="17"/>
  <c r="Y121" i="17"/>
  <c r="X121" i="17"/>
  <c r="V121" i="17"/>
  <c r="BB120" i="17"/>
  <c r="BA120" i="17"/>
  <c r="AZ120" i="17"/>
  <c r="AY120" i="17"/>
  <c r="AX120" i="17"/>
  <c r="AP120" i="17"/>
  <c r="AO120" i="17"/>
  <c r="AN120" i="17"/>
  <c r="AM120" i="17"/>
  <c r="AL120" i="17"/>
  <c r="AK120" i="17"/>
  <c r="AJ120" i="17"/>
  <c r="AI120" i="17"/>
  <c r="AH120" i="17"/>
  <c r="AG120" i="17"/>
  <c r="AF120" i="17"/>
  <c r="AE120" i="17"/>
  <c r="AD120" i="17"/>
  <c r="AB120" i="17"/>
  <c r="AA120" i="17"/>
  <c r="Z120" i="17"/>
  <c r="Y120" i="17"/>
  <c r="X120" i="17"/>
  <c r="BB114" i="17"/>
  <c r="BA114" i="17"/>
  <c r="AZ114" i="17"/>
  <c r="AY114" i="17"/>
  <c r="AX114" i="17"/>
  <c r="AQ114" i="17"/>
  <c r="AP114" i="17"/>
  <c r="AO114" i="17"/>
  <c r="AN114" i="17"/>
  <c r="AM114" i="17"/>
  <c r="AL114" i="17"/>
  <c r="AK114" i="17"/>
  <c r="AJ114" i="17"/>
  <c r="AI114" i="17"/>
  <c r="AH114" i="17"/>
  <c r="AG114" i="17"/>
  <c r="AF114" i="17"/>
  <c r="AE114" i="17"/>
  <c r="AD114" i="17"/>
  <c r="AB114" i="17"/>
  <c r="AA114" i="17"/>
  <c r="Z114" i="17"/>
  <c r="Y114" i="17"/>
  <c r="X114" i="17"/>
  <c r="V114" i="17"/>
  <c r="BB113" i="17"/>
  <c r="BA113" i="17"/>
  <c r="AZ113" i="17"/>
  <c r="AY113" i="17"/>
  <c r="AX113" i="17"/>
  <c r="AP113" i="17"/>
  <c r="AO113" i="17"/>
  <c r="AN113" i="17"/>
  <c r="AM113" i="17"/>
  <c r="AL113" i="17"/>
  <c r="AK113" i="17"/>
  <c r="AJ113" i="17"/>
  <c r="AI113" i="17"/>
  <c r="AH113" i="17"/>
  <c r="AG113" i="17"/>
  <c r="AF113" i="17"/>
  <c r="AE113" i="17"/>
  <c r="AD113" i="17"/>
  <c r="AB113" i="17"/>
  <c r="AA113" i="17"/>
  <c r="Z113" i="17"/>
  <c r="Y113" i="17"/>
  <c r="X113" i="17"/>
  <c r="V113" i="17"/>
  <c r="BB112" i="17"/>
  <c r="BA112" i="17"/>
  <c r="AZ112" i="17"/>
  <c r="AY112" i="17"/>
  <c r="AX112" i="17"/>
  <c r="AP112" i="17"/>
  <c r="AO112" i="17"/>
  <c r="AN112" i="17"/>
  <c r="AM112" i="17"/>
  <c r="AL112" i="17"/>
  <c r="AK112" i="17"/>
  <c r="AJ112" i="17"/>
  <c r="AI112" i="17"/>
  <c r="AH112" i="17"/>
  <c r="AG112" i="17"/>
  <c r="AF112" i="17"/>
  <c r="AE112" i="17"/>
  <c r="AD112" i="17"/>
  <c r="AB112" i="17"/>
  <c r="AA112" i="17"/>
  <c r="Z112" i="17"/>
  <c r="Y112" i="17"/>
  <c r="X112" i="17"/>
  <c r="V112" i="17"/>
  <c r="BB111" i="17"/>
  <c r="BA111" i="17"/>
  <c r="AZ111" i="17"/>
  <c r="AY111" i="17"/>
  <c r="AX111" i="17"/>
  <c r="AP111" i="17"/>
  <c r="AO111" i="17"/>
  <c r="AN111" i="17"/>
  <c r="AM111" i="17"/>
  <c r="AL111" i="17"/>
  <c r="AK111" i="17"/>
  <c r="AJ111" i="17"/>
  <c r="AI111" i="17"/>
  <c r="AH111" i="17"/>
  <c r="AG111" i="17"/>
  <c r="AF111" i="17"/>
  <c r="AE111" i="17"/>
  <c r="AD111" i="17"/>
  <c r="AB111" i="17"/>
  <c r="AA111" i="17"/>
  <c r="Z111" i="17"/>
  <c r="Y111" i="17"/>
  <c r="X111" i="17"/>
  <c r="V111" i="17"/>
  <c r="BC110" i="17"/>
  <c r="BB110" i="17"/>
  <c r="BA110" i="17"/>
  <c r="AZ110" i="17"/>
  <c r="AY110" i="17"/>
  <c r="AX110" i="17"/>
  <c r="AP110" i="17"/>
  <c r="AO110" i="17"/>
  <c r="AN110" i="17"/>
  <c r="AM110" i="17"/>
  <c r="AL110" i="17"/>
  <c r="AK110" i="17"/>
  <c r="AJ110" i="17"/>
  <c r="AI110" i="17"/>
  <c r="AH110" i="17"/>
  <c r="AG110" i="17"/>
  <c r="AF110" i="17"/>
  <c r="AE110" i="17"/>
  <c r="AD110" i="17"/>
  <c r="AB110" i="17"/>
  <c r="AA110" i="17"/>
  <c r="Z110" i="17"/>
  <c r="Y110" i="17"/>
  <c r="X110" i="17"/>
  <c r="BB109" i="17"/>
  <c r="BA109" i="17"/>
  <c r="AZ109" i="17"/>
  <c r="AY109" i="17"/>
  <c r="AX109" i="17"/>
  <c r="AQ109" i="17"/>
  <c r="AP109" i="17"/>
  <c r="AO109" i="17"/>
  <c r="AN109" i="17"/>
  <c r="AM109" i="17"/>
  <c r="AL109" i="17"/>
  <c r="AK109" i="17"/>
  <c r="AJ109" i="17"/>
  <c r="AI109" i="17"/>
  <c r="AH109" i="17"/>
  <c r="AG109" i="17"/>
  <c r="AF109" i="17"/>
  <c r="AE109" i="17"/>
  <c r="AD109" i="17"/>
  <c r="AB109" i="17"/>
  <c r="AA109" i="17"/>
  <c r="Z109" i="17"/>
  <c r="Y109" i="17"/>
  <c r="X109" i="17"/>
  <c r="V109" i="17"/>
  <c r="BB108" i="17"/>
  <c r="BA108" i="17"/>
  <c r="AZ108" i="17"/>
  <c r="AY108" i="17"/>
  <c r="AX108" i="17"/>
  <c r="AQ108" i="17"/>
  <c r="AP108" i="17"/>
  <c r="AO108" i="17"/>
  <c r="AN108" i="17"/>
  <c r="AM108" i="17"/>
  <c r="AL108" i="17"/>
  <c r="AK108" i="17"/>
  <c r="AJ108" i="17"/>
  <c r="AI108" i="17"/>
  <c r="AH108" i="17"/>
  <c r="AG108" i="17"/>
  <c r="AF108" i="17"/>
  <c r="AE108" i="17"/>
  <c r="AD108" i="17"/>
  <c r="AB108" i="17"/>
  <c r="AA108" i="17"/>
  <c r="Z108" i="17"/>
  <c r="Y108" i="17"/>
  <c r="X108" i="17"/>
  <c r="V108" i="17"/>
  <c r="BC107" i="17"/>
  <c r="BB107" i="17"/>
  <c r="BA107" i="17"/>
  <c r="AZ107" i="17"/>
  <c r="AY107" i="17"/>
  <c r="AX107" i="17"/>
  <c r="AP107" i="17"/>
  <c r="AO107" i="17"/>
  <c r="AN107" i="17"/>
  <c r="AM107" i="17"/>
  <c r="AL107" i="17"/>
  <c r="AK107" i="17"/>
  <c r="AJ107" i="17"/>
  <c r="AI107" i="17"/>
  <c r="AH107" i="17"/>
  <c r="AG107" i="17"/>
  <c r="AF107" i="17"/>
  <c r="AE107" i="17"/>
  <c r="AD107" i="17"/>
  <c r="AB107" i="17"/>
  <c r="AA107" i="17"/>
  <c r="Z107" i="17"/>
  <c r="Y107" i="17"/>
  <c r="X107" i="17"/>
  <c r="BC106" i="17"/>
  <c r="BB106" i="17"/>
  <c r="BA106" i="17"/>
  <c r="AZ106" i="17"/>
  <c r="AY106" i="17"/>
  <c r="AX106" i="17"/>
  <c r="AQ106" i="17"/>
  <c r="AP106" i="17"/>
  <c r="AO106" i="17"/>
  <c r="AN106" i="17"/>
  <c r="AM106" i="17"/>
  <c r="AL106" i="17"/>
  <c r="AK106" i="17"/>
  <c r="AJ106" i="17"/>
  <c r="AI106" i="17"/>
  <c r="AH106" i="17"/>
  <c r="AG106" i="17"/>
  <c r="AF106" i="17"/>
  <c r="AE106" i="17"/>
  <c r="AD106" i="17"/>
  <c r="AB106" i="17"/>
  <c r="AA106" i="17"/>
  <c r="Z106" i="17"/>
  <c r="Y106" i="17"/>
  <c r="X106" i="17"/>
  <c r="BC105" i="17"/>
  <c r="BB105" i="17"/>
  <c r="BA105" i="17"/>
  <c r="AZ105" i="17"/>
  <c r="AY105" i="17"/>
  <c r="AX105" i="17"/>
  <c r="AP105" i="17"/>
  <c r="AO105" i="17"/>
  <c r="AN105" i="17"/>
  <c r="AM105" i="17"/>
  <c r="AL105" i="17"/>
  <c r="AK105" i="17"/>
  <c r="AJ105" i="17"/>
  <c r="AI105" i="17"/>
  <c r="AH105" i="17"/>
  <c r="AG105" i="17"/>
  <c r="AF105" i="17"/>
  <c r="AE105" i="17"/>
  <c r="AD105" i="17"/>
  <c r="AB105" i="17"/>
  <c r="AA105" i="17"/>
  <c r="Z105" i="17"/>
  <c r="Y105" i="17"/>
  <c r="X105" i="17"/>
  <c r="V105" i="17"/>
  <c r="BK104" i="17"/>
  <c r="BC104" i="17"/>
  <c r="BB104" i="17"/>
  <c r="BA104" i="17"/>
  <c r="AZ104" i="17"/>
  <c r="AY104" i="17"/>
  <c r="AX104" i="17"/>
  <c r="AQ104" i="17"/>
  <c r="AP104" i="17"/>
  <c r="AO104" i="17"/>
  <c r="AN104" i="17"/>
  <c r="AM104" i="17"/>
  <c r="AL104" i="17"/>
  <c r="AK104" i="17"/>
  <c r="AJ104" i="17"/>
  <c r="AI104" i="17"/>
  <c r="AH104" i="17"/>
  <c r="AG104" i="17"/>
  <c r="AF104" i="17"/>
  <c r="AE104" i="17"/>
  <c r="AD104" i="17"/>
  <c r="AC104" i="17"/>
  <c r="AB104" i="17"/>
  <c r="AA104" i="17"/>
  <c r="Z104" i="17"/>
  <c r="Y104" i="17"/>
  <c r="X104" i="17"/>
  <c r="W104" i="17"/>
  <c r="V104" i="17"/>
  <c r="BB103" i="17"/>
  <c r="BA103" i="17"/>
  <c r="AZ103" i="17"/>
  <c r="AY103" i="17"/>
  <c r="AX103" i="17"/>
  <c r="AQ103" i="17"/>
  <c r="AP103" i="17"/>
  <c r="AO103" i="17"/>
  <c r="AN103" i="17"/>
  <c r="AM103" i="17"/>
  <c r="AL103" i="17"/>
  <c r="AK103" i="17"/>
  <c r="AJ103" i="17"/>
  <c r="AI103" i="17"/>
  <c r="AH103" i="17"/>
  <c r="AG103" i="17"/>
  <c r="AF103" i="17"/>
  <c r="AE103" i="17"/>
  <c r="AD103" i="17"/>
  <c r="AB103" i="17"/>
  <c r="AA103" i="17"/>
  <c r="Z103" i="17"/>
  <c r="Y103" i="17"/>
  <c r="X103" i="17"/>
  <c r="V103" i="17"/>
  <c r="BC102" i="17"/>
  <c r="BB102" i="17"/>
  <c r="BA102" i="17"/>
  <c r="AZ102" i="17"/>
  <c r="AY102" i="17"/>
  <c r="AX102" i="17"/>
  <c r="AQ102" i="17"/>
  <c r="AP102" i="17"/>
  <c r="AO102" i="17"/>
  <c r="AN102" i="17"/>
  <c r="AM102" i="17"/>
  <c r="AL102" i="17"/>
  <c r="AK102" i="17"/>
  <c r="AJ102" i="17"/>
  <c r="AI102" i="17"/>
  <c r="AH102" i="17"/>
  <c r="AG102" i="17"/>
  <c r="AF102" i="17"/>
  <c r="AE102" i="17"/>
  <c r="AD102" i="17"/>
  <c r="AB102" i="17"/>
  <c r="AA102" i="17"/>
  <c r="Z102" i="17"/>
  <c r="Y102" i="17"/>
  <c r="X102" i="17"/>
  <c r="V102" i="17"/>
  <c r="BC101" i="17"/>
  <c r="BB101" i="17"/>
  <c r="BA101" i="17"/>
  <c r="AZ101" i="17"/>
  <c r="AY101" i="17"/>
  <c r="AX101" i="17"/>
  <c r="AQ101" i="17"/>
  <c r="AP101" i="17"/>
  <c r="AO101" i="17"/>
  <c r="AN101" i="17"/>
  <c r="AM101" i="17"/>
  <c r="AL101" i="17"/>
  <c r="AK101" i="17"/>
  <c r="AJ101" i="17"/>
  <c r="AI101" i="17"/>
  <c r="AH101" i="17"/>
  <c r="AG101" i="17"/>
  <c r="AF101" i="17"/>
  <c r="AE101" i="17"/>
  <c r="AD101" i="17"/>
  <c r="AB101" i="17"/>
  <c r="AA101" i="17"/>
  <c r="Z101" i="17"/>
  <c r="Y101" i="17"/>
  <c r="X101" i="17"/>
  <c r="BC100" i="17"/>
  <c r="BB100" i="17"/>
  <c r="BA100" i="17"/>
  <c r="AZ100" i="17"/>
  <c r="AY100" i="17"/>
  <c r="AX100" i="17"/>
  <c r="AQ100" i="17"/>
  <c r="AP100" i="17"/>
  <c r="AO100" i="17"/>
  <c r="AN100" i="17"/>
  <c r="AM100" i="17"/>
  <c r="AL100" i="17"/>
  <c r="AK100" i="17"/>
  <c r="AJ100" i="17"/>
  <c r="AI100" i="17"/>
  <c r="AH100" i="17"/>
  <c r="AG100" i="17"/>
  <c r="AF100" i="17"/>
  <c r="AE100" i="17"/>
  <c r="AD100" i="17"/>
  <c r="AB100" i="17"/>
  <c r="AA100" i="17"/>
  <c r="Z100" i="17"/>
  <c r="Y100" i="17"/>
  <c r="X100" i="17"/>
  <c r="BC96" i="17"/>
  <c r="BB96" i="17"/>
  <c r="BA96" i="17"/>
  <c r="AZ96" i="17"/>
  <c r="AY96" i="17"/>
  <c r="AX96" i="17"/>
  <c r="AQ96" i="17"/>
  <c r="AP96" i="17"/>
  <c r="AO96" i="17"/>
  <c r="AN96" i="17"/>
  <c r="AM96" i="17"/>
  <c r="AL96" i="17"/>
  <c r="AK96" i="17"/>
  <c r="AJ96" i="17"/>
  <c r="AI96" i="17"/>
  <c r="AH96" i="17"/>
  <c r="AG96" i="17"/>
  <c r="AF96" i="17"/>
  <c r="AE96" i="17"/>
  <c r="AD96" i="17"/>
  <c r="AB96" i="17"/>
  <c r="AA96" i="17"/>
  <c r="Z96" i="17"/>
  <c r="Y96" i="17"/>
  <c r="X96" i="17"/>
  <c r="V96" i="17"/>
  <c r="BB95" i="17"/>
  <c r="BA95" i="17"/>
  <c r="AZ95" i="17"/>
  <c r="AY95" i="17"/>
  <c r="AX95" i="17"/>
  <c r="AP95" i="17"/>
  <c r="AO95" i="17"/>
  <c r="AN95" i="17"/>
  <c r="AM95" i="17"/>
  <c r="AL95" i="17"/>
  <c r="AK95" i="17"/>
  <c r="AJ95" i="17"/>
  <c r="AI95" i="17"/>
  <c r="AH95" i="17"/>
  <c r="AG95" i="17"/>
  <c r="AF95" i="17"/>
  <c r="AE95" i="17"/>
  <c r="AD95" i="17"/>
  <c r="AB95" i="17"/>
  <c r="AA95" i="17"/>
  <c r="Z95" i="17"/>
  <c r="Y95" i="17"/>
  <c r="X95" i="17"/>
  <c r="V95" i="17"/>
  <c r="BB94" i="17"/>
  <c r="BA94" i="17"/>
  <c r="AZ94" i="17"/>
  <c r="AY94" i="17"/>
  <c r="AX94" i="17"/>
  <c r="AP94" i="17"/>
  <c r="AO94" i="17"/>
  <c r="AN94" i="17"/>
  <c r="AM94" i="17"/>
  <c r="AL94" i="17"/>
  <c r="AK94" i="17"/>
  <c r="AJ94" i="17"/>
  <c r="AI94" i="17"/>
  <c r="AH94" i="17"/>
  <c r="AG94" i="17"/>
  <c r="AF94" i="17"/>
  <c r="AE94" i="17"/>
  <c r="AD94" i="17"/>
  <c r="AB94" i="17"/>
  <c r="AA94" i="17"/>
  <c r="Z94" i="17"/>
  <c r="Y94" i="17"/>
  <c r="X94" i="17"/>
  <c r="V94" i="17"/>
  <c r="BB93" i="17"/>
  <c r="BA93" i="17"/>
  <c r="AZ93" i="17"/>
  <c r="AY93" i="17"/>
  <c r="AX93" i="17"/>
  <c r="AP93" i="17"/>
  <c r="AO93" i="17"/>
  <c r="AN93" i="17"/>
  <c r="AM93" i="17"/>
  <c r="AL93" i="17"/>
  <c r="AK93" i="17"/>
  <c r="AJ93" i="17"/>
  <c r="AI93" i="17"/>
  <c r="AH93" i="17"/>
  <c r="AG93" i="17"/>
  <c r="AF93" i="17"/>
  <c r="AE93" i="17"/>
  <c r="AD93" i="17"/>
  <c r="AB93" i="17"/>
  <c r="AA93" i="17"/>
  <c r="Z93" i="17"/>
  <c r="Y93" i="17"/>
  <c r="X93" i="17"/>
  <c r="V93" i="17"/>
  <c r="BB92" i="17"/>
  <c r="BA92" i="17"/>
  <c r="AZ92" i="17"/>
  <c r="AY92" i="17"/>
  <c r="AX92" i="17"/>
  <c r="AQ92" i="17"/>
  <c r="AP92" i="17"/>
  <c r="AO92" i="17"/>
  <c r="AN92" i="17"/>
  <c r="AM92" i="17"/>
  <c r="AL92" i="17"/>
  <c r="AK92" i="17"/>
  <c r="AJ92" i="17"/>
  <c r="AI92" i="17"/>
  <c r="AH92" i="17"/>
  <c r="AG92" i="17"/>
  <c r="AF92" i="17"/>
  <c r="AE92" i="17"/>
  <c r="AD92" i="17"/>
  <c r="AB92" i="17"/>
  <c r="AA92" i="17"/>
  <c r="Z92" i="17"/>
  <c r="Y92" i="17"/>
  <c r="X92" i="17"/>
  <c r="BB91" i="17"/>
  <c r="BA91" i="17"/>
  <c r="AZ91" i="17"/>
  <c r="AY91" i="17"/>
  <c r="AX91" i="17"/>
  <c r="AP91" i="17"/>
  <c r="AO91" i="17"/>
  <c r="AN91" i="17"/>
  <c r="AM91" i="17"/>
  <c r="AL91" i="17"/>
  <c r="AK91" i="17"/>
  <c r="AJ91" i="17"/>
  <c r="AI91" i="17"/>
  <c r="AH91" i="17"/>
  <c r="AG91" i="17"/>
  <c r="AF91" i="17"/>
  <c r="AE91" i="17"/>
  <c r="AD91" i="17"/>
  <c r="AB91" i="17"/>
  <c r="AA91" i="17"/>
  <c r="Z91" i="17"/>
  <c r="Y91" i="17"/>
  <c r="X91" i="17"/>
  <c r="V91" i="17"/>
  <c r="BC90" i="17"/>
  <c r="BB90" i="17"/>
  <c r="BA90" i="17"/>
  <c r="AZ90" i="17"/>
  <c r="AY90" i="17"/>
  <c r="AX90" i="17"/>
  <c r="AQ90" i="17"/>
  <c r="AP90" i="17"/>
  <c r="AO90" i="17"/>
  <c r="AN90" i="17"/>
  <c r="AM90" i="17"/>
  <c r="AL90" i="17"/>
  <c r="AK90" i="17"/>
  <c r="AJ90" i="17"/>
  <c r="AI90" i="17"/>
  <c r="AH90" i="17"/>
  <c r="AG90" i="17"/>
  <c r="AF90" i="17"/>
  <c r="AE90" i="17"/>
  <c r="AD90" i="17"/>
  <c r="AB90" i="17"/>
  <c r="AA90" i="17"/>
  <c r="Z90" i="17"/>
  <c r="Y90" i="17"/>
  <c r="X90" i="17"/>
  <c r="V90" i="17"/>
  <c r="BB89" i="17"/>
  <c r="BA89" i="17"/>
  <c r="AZ89" i="17"/>
  <c r="AY89" i="17"/>
  <c r="AX89" i="17"/>
  <c r="AQ89" i="17"/>
  <c r="AP89" i="17"/>
  <c r="AO89" i="17"/>
  <c r="AN89" i="17"/>
  <c r="AM89" i="17"/>
  <c r="AL89" i="17"/>
  <c r="AK89" i="17"/>
  <c r="AJ89" i="17"/>
  <c r="AI89" i="17"/>
  <c r="AH89" i="17"/>
  <c r="AG89" i="17"/>
  <c r="AF89" i="17"/>
  <c r="AE89" i="17"/>
  <c r="AD89" i="17"/>
  <c r="AB89" i="17"/>
  <c r="AA89" i="17"/>
  <c r="Z89" i="17"/>
  <c r="Y89" i="17"/>
  <c r="X89" i="17"/>
  <c r="V89" i="17"/>
  <c r="BC88" i="17"/>
  <c r="BB88" i="17"/>
  <c r="BA88" i="17"/>
  <c r="AZ88" i="17"/>
  <c r="AY88" i="17"/>
  <c r="AX88" i="17"/>
  <c r="AQ88" i="17"/>
  <c r="AP88" i="17"/>
  <c r="AO88" i="17"/>
  <c r="AN88" i="17"/>
  <c r="AM88" i="17"/>
  <c r="AL88" i="17"/>
  <c r="AK88" i="17"/>
  <c r="AJ88" i="17"/>
  <c r="AI88" i="17"/>
  <c r="AH88" i="17"/>
  <c r="AG88" i="17"/>
  <c r="AF88" i="17"/>
  <c r="AE88" i="17"/>
  <c r="AD88" i="17"/>
  <c r="AB88" i="17"/>
  <c r="AA88" i="17"/>
  <c r="Z88" i="17"/>
  <c r="Y88" i="17"/>
  <c r="X88" i="17"/>
  <c r="BK87" i="17"/>
  <c r="BB87" i="17"/>
  <c r="BA87" i="17"/>
  <c r="AZ87" i="17"/>
  <c r="AY87" i="17"/>
  <c r="AX87" i="17"/>
  <c r="AP87" i="17"/>
  <c r="AO87" i="17"/>
  <c r="AN87" i="17"/>
  <c r="AM87" i="17"/>
  <c r="AL87" i="17"/>
  <c r="AK87" i="17"/>
  <c r="AJ87" i="17"/>
  <c r="AI87" i="17"/>
  <c r="AH87" i="17"/>
  <c r="AG87" i="17"/>
  <c r="AF87" i="17"/>
  <c r="AE87" i="17"/>
  <c r="AD87" i="17"/>
  <c r="AC87" i="17"/>
  <c r="AB87" i="17"/>
  <c r="AA87" i="17"/>
  <c r="Z87" i="17"/>
  <c r="Y87" i="17"/>
  <c r="X87" i="17"/>
  <c r="W87" i="17"/>
  <c r="V87" i="17"/>
  <c r="BC86" i="17"/>
  <c r="BB86" i="17"/>
  <c r="BA86" i="17"/>
  <c r="AZ86" i="17"/>
  <c r="AY86" i="17"/>
  <c r="AX86" i="17"/>
  <c r="AQ86" i="17"/>
  <c r="AP86" i="17"/>
  <c r="AO86" i="17"/>
  <c r="AN86" i="17"/>
  <c r="AM86" i="17"/>
  <c r="AL86" i="17"/>
  <c r="AK86" i="17"/>
  <c r="AJ86" i="17"/>
  <c r="AI86" i="17"/>
  <c r="AH86" i="17"/>
  <c r="AG86" i="17"/>
  <c r="AF86" i="17"/>
  <c r="AE86" i="17"/>
  <c r="AD86" i="17"/>
  <c r="AB86" i="17"/>
  <c r="AA86" i="17"/>
  <c r="Z86" i="17"/>
  <c r="Y86" i="17"/>
  <c r="X86" i="17"/>
  <c r="BB85" i="17"/>
  <c r="BA85" i="17"/>
  <c r="AZ85" i="17"/>
  <c r="AY85" i="17"/>
  <c r="AX85" i="17"/>
  <c r="AQ85" i="17"/>
  <c r="AP85" i="17"/>
  <c r="AO85" i="17"/>
  <c r="AN85" i="17"/>
  <c r="AM85" i="17"/>
  <c r="AL85" i="17"/>
  <c r="AK85" i="17"/>
  <c r="AJ85" i="17"/>
  <c r="AI85" i="17"/>
  <c r="AH85" i="17"/>
  <c r="AG85" i="17"/>
  <c r="AF85" i="17"/>
  <c r="AE85" i="17"/>
  <c r="AD85" i="17"/>
  <c r="AB85" i="17"/>
  <c r="AA85" i="17"/>
  <c r="Z85" i="17"/>
  <c r="Y85" i="17"/>
  <c r="X85" i="17"/>
  <c r="V85" i="17"/>
  <c r="BB84" i="17"/>
  <c r="BA84" i="17"/>
  <c r="AZ84" i="17"/>
  <c r="AY84" i="17"/>
  <c r="AX84" i="17"/>
  <c r="AP84" i="17"/>
  <c r="AO84" i="17"/>
  <c r="AN84" i="17"/>
  <c r="AM84" i="17"/>
  <c r="AL84" i="17"/>
  <c r="AK84" i="17"/>
  <c r="AJ84" i="17"/>
  <c r="AI84" i="17"/>
  <c r="AH84" i="17"/>
  <c r="AG84" i="17"/>
  <c r="AF84" i="17"/>
  <c r="AE84" i="17"/>
  <c r="AD84" i="17"/>
  <c r="AB84" i="17"/>
  <c r="AA84" i="17"/>
  <c r="Z84" i="17"/>
  <c r="Y84" i="17"/>
  <c r="X84" i="17"/>
  <c r="V84" i="17"/>
  <c r="BB83" i="17"/>
  <c r="BA83" i="17"/>
  <c r="AZ83" i="17"/>
  <c r="AY83" i="17"/>
  <c r="AX83" i="17"/>
  <c r="AP83" i="17"/>
  <c r="AO83" i="17"/>
  <c r="AN83" i="17"/>
  <c r="AM83" i="17"/>
  <c r="AL83" i="17"/>
  <c r="AK83" i="17"/>
  <c r="AJ83" i="17"/>
  <c r="AI83" i="17"/>
  <c r="AH83" i="17"/>
  <c r="AG83" i="17"/>
  <c r="AF83" i="17"/>
  <c r="AE83" i="17"/>
  <c r="AD83" i="17"/>
  <c r="AB83" i="17"/>
  <c r="AA83" i="17"/>
  <c r="Z83" i="17"/>
  <c r="Y83" i="17"/>
  <c r="X83" i="17"/>
  <c r="V83" i="17"/>
  <c r="BB82" i="17"/>
  <c r="BA82" i="17"/>
  <c r="AZ82" i="17"/>
  <c r="AY82" i="17"/>
  <c r="AX82" i="17"/>
  <c r="AP82" i="17"/>
  <c r="AO82" i="17"/>
  <c r="AN82" i="17"/>
  <c r="AM82" i="17"/>
  <c r="AL82" i="17"/>
  <c r="AK82" i="17"/>
  <c r="AJ82" i="17"/>
  <c r="AI82" i="17"/>
  <c r="AH82" i="17"/>
  <c r="AG82" i="17"/>
  <c r="AF82" i="17"/>
  <c r="AE82" i="17"/>
  <c r="AD82" i="17"/>
  <c r="AB82" i="17"/>
  <c r="AA82" i="17"/>
  <c r="Z82" i="17"/>
  <c r="Y82" i="17"/>
  <c r="X82" i="17"/>
  <c r="BC78" i="17"/>
  <c r="BB78" i="17"/>
  <c r="BA78" i="17"/>
  <c r="AZ78" i="17"/>
  <c r="AY78" i="17"/>
  <c r="AX78" i="17"/>
  <c r="AQ78" i="17"/>
  <c r="AP78" i="17"/>
  <c r="AO78" i="17"/>
  <c r="AN78" i="17"/>
  <c r="AM78" i="17"/>
  <c r="AL78" i="17"/>
  <c r="AK78" i="17"/>
  <c r="AJ78" i="17"/>
  <c r="AI78" i="17"/>
  <c r="AH78" i="17"/>
  <c r="AG78" i="17"/>
  <c r="AF78" i="17"/>
  <c r="AE78" i="17"/>
  <c r="AD78" i="17"/>
  <c r="AB78" i="17"/>
  <c r="AA78" i="17"/>
  <c r="Z78" i="17"/>
  <c r="Y78" i="17"/>
  <c r="X78" i="17"/>
  <c r="V78" i="17"/>
  <c r="BB77" i="17"/>
  <c r="BA77" i="17"/>
  <c r="AZ77" i="17"/>
  <c r="AY77" i="17"/>
  <c r="AX77" i="17"/>
  <c r="AP77" i="17"/>
  <c r="AO77" i="17"/>
  <c r="AN77" i="17"/>
  <c r="AM77" i="17"/>
  <c r="AL77" i="17"/>
  <c r="AK77" i="17"/>
  <c r="AJ77" i="17"/>
  <c r="AI77" i="17"/>
  <c r="AH77" i="17"/>
  <c r="AG77" i="17"/>
  <c r="AF77" i="17"/>
  <c r="AE77" i="17"/>
  <c r="AD77" i="17"/>
  <c r="AB77" i="17"/>
  <c r="AA77" i="17"/>
  <c r="Z77" i="17"/>
  <c r="Y77" i="17"/>
  <c r="X77" i="17"/>
  <c r="BC76" i="17"/>
  <c r="BB76" i="17"/>
  <c r="BA76" i="17"/>
  <c r="AZ76" i="17"/>
  <c r="AY76" i="17"/>
  <c r="AX76" i="17"/>
  <c r="AQ76" i="17"/>
  <c r="AP76" i="17"/>
  <c r="AO76" i="17"/>
  <c r="AN76" i="17"/>
  <c r="AM76" i="17"/>
  <c r="AL76" i="17"/>
  <c r="AK76" i="17"/>
  <c r="AJ76" i="17"/>
  <c r="AI76" i="17"/>
  <c r="AH76" i="17"/>
  <c r="AG76" i="17"/>
  <c r="AF76" i="17"/>
  <c r="AE76" i="17"/>
  <c r="AD76" i="17"/>
  <c r="AB76" i="17"/>
  <c r="AA76" i="17"/>
  <c r="Z76" i="17"/>
  <c r="Y76" i="17"/>
  <c r="X76" i="17"/>
  <c r="BC75" i="17"/>
  <c r="BB75" i="17"/>
  <c r="BA75" i="17"/>
  <c r="AZ75" i="17"/>
  <c r="AY75" i="17"/>
  <c r="AX75" i="17"/>
  <c r="AP75" i="17"/>
  <c r="AO75" i="17"/>
  <c r="AN75" i="17"/>
  <c r="AM75" i="17"/>
  <c r="AL75" i="17"/>
  <c r="AK75" i="17"/>
  <c r="AJ75" i="17"/>
  <c r="AI75" i="17"/>
  <c r="AH75" i="17"/>
  <c r="AG75" i="17"/>
  <c r="AF75" i="17"/>
  <c r="AE75" i="17"/>
  <c r="AD75" i="17"/>
  <c r="AB75" i="17"/>
  <c r="AA75" i="17"/>
  <c r="Z75" i="17"/>
  <c r="Y75" i="17"/>
  <c r="X75" i="17"/>
  <c r="V75" i="17"/>
  <c r="BC74" i="17"/>
  <c r="BB74" i="17"/>
  <c r="BA74" i="17"/>
  <c r="AZ74" i="17"/>
  <c r="AY74" i="17"/>
  <c r="AX74" i="17"/>
  <c r="AP74" i="17"/>
  <c r="AO74" i="17"/>
  <c r="AN74" i="17"/>
  <c r="AM74" i="17"/>
  <c r="AL74" i="17"/>
  <c r="AK74" i="17"/>
  <c r="AJ74" i="17"/>
  <c r="AI74" i="17"/>
  <c r="AH74" i="17"/>
  <c r="AG74" i="17"/>
  <c r="AF74" i="17"/>
  <c r="AE74" i="17"/>
  <c r="AD74" i="17"/>
  <c r="AB74" i="17"/>
  <c r="AA74" i="17"/>
  <c r="Z74" i="17"/>
  <c r="Y74" i="17"/>
  <c r="X74" i="17"/>
  <c r="V74" i="17"/>
  <c r="BC73" i="17"/>
  <c r="BB73" i="17"/>
  <c r="BA73" i="17"/>
  <c r="AZ73" i="17"/>
  <c r="AY73" i="17"/>
  <c r="AX73" i="17"/>
  <c r="AP73" i="17"/>
  <c r="AO73" i="17"/>
  <c r="AN73" i="17"/>
  <c r="AM73" i="17"/>
  <c r="AL73" i="17"/>
  <c r="AK73" i="17"/>
  <c r="AJ73" i="17"/>
  <c r="AI73" i="17"/>
  <c r="AH73" i="17"/>
  <c r="AG73" i="17"/>
  <c r="AF73" i="17"/>
  <c r="AE73" i="17"/>
  <c r="AD73" i="17"/>
  <c r="AB73" i="17"/>
  <c r="AA73" i="17"/>
  <c r="Z73" i="17"/>
  <c r="Y73" i="17"/>
  <c r="X73" i="17"/>
  <c r="BC72" i="17"/>
  <c r="BB72" i="17"/>
  <c r="BA72" i="17"/>
  <c r="AZ72" i="17"/>
  <c r="AY72" i="17"/>
  <c r="AX72" i="17"/>
  <c r="AQ72" i="17"/>
  <c r="AP72" i="17"/>
  <c r="AO72" i="17"/>
  <c r="AN72" i="17"/>
  <c r="AM72" i="17"/>
  <c r="AL72" i="17"/>
  <c r="AK72" i="17"/>
  <c r="AJ72" i="17"/>
  <c r="AI72" i="17"/>
  <c r="AH72" i="17"/>
  <c r="AG72" i="17"/>
  <c r="AF72" i="17"/>
  <c r="AE72" i="17"/>
  <c r="AD72" i="17"/>
  <c r="AB72" i="17"/>
  <c r="AA72" i="17"/>
  <c r="Z72" i="17"/>
  <c r="Y72" i="17"/>
  <c r="X72" i="17"/>
  <c r="BC71" i="17"/>
  <c r="BB71" i="17"/>
  <c r="BA71" i="17"/>
  <c r="AZ71" i="17"/>
  <c r="AY71" i="17"/>
  <c r="AX71" i="17"/>
  <c r="AP71" i="17"/>
  <c r="AO71" i="17"/>
  <c r="AN71" i="17"/>
  <c r="AM71" i="17"/>
  <c r="AL71" i="17"/>
  <c r="AK71" i="17"/>
  <c r="AJ71" i="17"/>
  <c r="AI71" i="17"/>
  <c r="AH71" i="17"/>
  <c r="AG71" i="17"/>
  <c r="AF71" i="17"/>
  <c r="AE71" i="17"/>
  <c r="AD71" i="17"/>
  <c r="AB71" i="17"/>
  <c r="AA71" i="17"/>
  <c r="Z71" i="17"/>
  <c r="Y71" i="17"/>
  <c r="X71" i="17"/>
  <c r="V71" i="17"/>
  <c r="BK70" i="17"/>
  <c r="BC70" i="17"/>
  <c r="BB70" i="17"/>
  <c r="BA70" i="17"/>
  <c r="AZ70" i="17"/>
  <c r="AY70" i="17"/>
  <c r="AX70" i="17"/>
  <c r="AQ70" i="17"/>
  <c r="AP70" i="17"/>
  <c r="AO70" i="17"/>
  <c r="AN70" i="17"/>
  <c r="AM70" i="17"/>
  <c r="AL70" i="17"/>
  <c r="AK70" i="17"/>
  <c r="AJ70" i="17"/>
  <c r="AI70" i="17"/>
  <c r="AH70" i="17"/>
  <c r="AG70" i="17"/>
  <c r="AF70" i="17"/>
  <c r="AE70" i="17"/>
  <c r="AD70" i="17"/>
  <c r="AA70" i="17"/>
  <c r="Z70" i="17"/>
  <c r="Y70" i="17"/>
  <c r="X70" i="17"/>
  <c r="W70" i="17"/>
  <c r="V70" i="17"/>
  <c r="BB69" i="17"/>
  <c r="BA69" i="17"/>
  <c r="AZ69" i="17"/>
  <c r="AY69" i="17"/>
  <c r="AX69" i="17"/>
  <c r="AQ69" i="17"/>
  <c r="AP69" i="17"/>
  <c r="AO69" i="17"/>
  <c r="AN69" i="17"/>
  <c r="AM69" i="17"/>
  <c r="AL69" i="17"/>
  <c r="AK69" i="17"/>
  <c r="AJ69" i="17"/>
  <c r="AI69" i="17"/>
  <c r="AH69" i="17"/>
  <c r="AG69" i="17"/>
  <c r="AF69" i="17"/>
  <c r="AE69" i="17"/>
  <c r="AD69" i="17"/>
  <c r="AB69" i="17"/>
  <c r="AA69" i="17"/>
  <c r="Z69" i="17"/>
  <c r="Y69" i="17"/>
  <c r="X69" i="17"/>
  <c r="V69" i="17"/>
  <c r="BC68" i="17"/>
  <c r="BB68" i="17"/>
  <c r="BA68" i="17"/>
  <c r="AZ68" i="17"/>
  <c r="AY68" i="17"/>
  <c r="AX68" i="17"/>
  <c r="AQ68" i="17"/>
  <c r="AP68" i="17"/>
  <c r="AO68" i="17"/>
  <c r="AN68" i="17"/>
  <c r="AM68" i="17"/>
  <c r="AL68" i="17"/>
  <c r="AK68" i="17"/>
  <c r="AJ68" i="17"/>
  <c r="AI68" i="17"/>
  <c r="AH68" i="17"/>
  <c r="AG68" i="17"/>
  <c r="AF68" i="17"/>
  <c r="AE68" i="17"/>
  <c r="AD68" i="17"/>
  <c r="AB68" i="17"/>
  <c r="AA68" i="17"/>
  <c r="Z68" i="17"/>
  <c r="Y68" i="17"/>
  <c r="X68" i="17"/>
  <c r="BB67" i="17"/>
  <c r="BA67" i="17"/>
  <c r="AZ67" i="17"/>
  <c r="AY67" i="17"/>
  <c r="AX67" i="17"/>
  <c r="AP67" i="17"/>
  <c r="AO67" i="17"/>
  <c r="AN67" i="17"/>
  <c r="AM67" i="17"/>
  <c r="AL67" i="17"/>
  <c r="AK67" i="17"/>
  <c r="AJ67" i="17"/>
  <c r="AI67" i="17"/>
  <c r="AH67" i="17"/>
  <c r="AG67" i="17"/>
  <c r="AF67" i="17"/>
  <c r="AE67" i="17"/>
  <c r="AD67" i="17"/>
  <c r="AB67" i="17"/>
  <c r="AA67" i="17"/>
  <c r="Z67" i="17"/>
  <c r="Y67" i="17"/>
  <c r="X67" i="17"/>
  <c r="V67" i="17"/>
  <c r="BC66" i="17"/>
  <c r="BB66" i="17"/>
  <c r="BA66" i="17"/>
  <c r="AZ66" i="17"/>
  <c r="AY66" i="17"/>
  <c r="AX66" i="17"/>
  <c r="AQ66" i="17"/>
  <c r="AP66" i="17"/>
  <c r="AO66" i="17"/>
  <c r="AN66" i="17"/>
  <c r="AM66" i="17"/>
  <c r="AL66" i="17"/>
  <c r="AK66" i="17"/>
  <c r="AJ66" i="17"/>
  <c r="AI66" i="17"/>
  <c r="AH66" i="17"/>
  <c r="AG66" i="17"/>
  <c r="AF66" i="17"/>
  <c r="AE66" i="17"/>
  <c r="AD66" i="17"/>
  <c r="AB66" i="17"/>
  <c r="AA66" i="17"/>
  <c r="Z66" i="17"/>
  <c r="Y66" i="17"/>
  <c r="X66" i="17"/>
  <c r="BC59" i="17"/>
  <c r="BB59" i="17"/>
  <c r="BA59" i="17"/>
  <c r="AZ59" i="17"/>
  <c r="AY59" i="17"/>
  <c r="AX59" i="17"/>
  <c r="AP59" i="17"/>
  <c r="AO59" i="17"/>
  <c r="AN59" i="17"/>
  <c r="AM59" i="17"/>
  <c r="AL59" i="17"/>
  <c r="AK59" i="17"/>
  <c r="AJ59" i="17"/>
  <c r="AI59" i="17"/>
  <c r="AH59" i="17"/>
  <c r="AG59" i="17"/>
  <c r="AF59" i="17"/>
  <c r="AE59" i="17"/>
  <c r="AD59" i="17"/>
  <c r="AB59" i="17"/>
  <c r="AA59" i="17"/>
  <c r="Z59" i="17"/>
  <c r="Y59" i="17"/>
  <c r="X59" i="17"/>
  <c r="BC58" i="17"/>
  <c r="BB58" i="17"/>
  <c r="BA58" i="17"/>
  <c r="AZ58" i="17"/>
  <c r="AY58" i="17"/>
  <c r="AX58" i="17"/>
  <c r="AQ58" i="17"/>
  <c r="AP58" i="17"/>
  <c r="AO58" i="17"/>
  <c r="AN58" i="17"/>
  <c r="AM58" i="17"/>
  <c r="AL58" i="17"/>
  <c r="AK58" i="17"/>
  <c r="AJ58" i="17"/>
  <c r="AI58" i="17"/>
  <c r="AH58" i="17"/>
  <c r="AG58" i="17"/>
  <c r="AF58" i="17"/>
  <c r="AE58" i="17"/>
  <c r="AD58" i="17"/>
  <c r="AB58" i="17"/>
  <c r="AA58" i="17"/>
  <c r="Z58" i="17"/>
  <c r="Y58" i="17"/>
  <c r="X58" i="17"/>
  <c r="V58" i="17"/>
  <c r="BC57" i="17"/>
  <c r="BB57" i="17"/>
  <c r="BA57" i="17"/>
  <c r="AZ57" i="17"/>
  <c r="AY57" i="17"/>
  <c r="AX57" i="17"/>
  <c r="AQ57" i="17"/>
  <c r="AP57" i="17"/>
  <c r="AO57" i="17"/>
  <c r="AN57" i="17"/>
  <c r="AM57" i="17"/>
  <c r="AL57" i="17"/>
  <c r="AK57" i="17"/>
  <c r="AJ57" i="17"/>
  <c r="AI57" i="17"/>
  <c r="AH57" i="17"/>
  <c r="AG57" i="17"/>
  <c r="AF57" i="17"/>
  <c r="AE57" i="17"/>
  <c r="AD57" i="17"/>
  <c r="AB57" i="17"/>
  <c r="AA57" i="17"/>
  <c r="Z57" i="17"/>
  <c r="Y57" i="17"/>
  <c r="X57" i="17"/>
  <c r="V57" i="17"/>
  <c r="BB56" i="17"/>
  <c r="BA56" i="17"/>
  <c r="AZ56" i="17"/>
  <c r="AY56" i="17"/>
  <c r="AX56" i="17"/>
  <c r="AP56" i="17"/>
  <c r="AO56" i="17"/>
  <c r="AN56" i="17"/>
  <c r="AM56" i="17"/>
  <c r="AL56" i="17"/>
  <c r="AK56" i="17"/>
  <c r="AJ56" i="17"/>
  <c r="AI56" i="17"/>
  <c r="AH56" i="17"/>
  <c r="AG56" i="17"/>
  <c r="AF56" i="17"/>
  <c r="AE56" i="17"/>
  <c r="AD56" i="17"/>
  <c r="AB56" i="17"/>
  <c r="AA56" i="17"/>
  <c r="Z56" i="17"/>
  <c r="Y56" i="17"/>
  <c r="X56" i="17"/>
  <c r="BC55" i="17"/>
  <c r="BB55" i="17"/>
  <c r="BA55" i="17"/>
  <c r="AZ55" i="17"/>
  <c r="AY55" i="17"/>
  <c r="AX55" i="17"/>
  <c r="AQ55" i="17"/>
  <c r="AP55" i="17"/>
  <c r="AO55" i="17"/>
  <c r="AN55" i="17"/>
  <c r="AM55" i="17"/>
  <c r="AL55" i="17"/>
  <c r="AK55" i="17"/>
  <c r="AJ55" i="17"/>
  <c r="AI55" i="17"/>
  <c r="AH55" i="17"/>
  <c r="AG55" i="17"/>
  <c r="AF55" i="17"/>
  <c r="AE55" i="17"/>
  <c r="AD55" i="17"/>
  <c r="AB55" i="17"/>
  <c r="AA55" i="17"/>
  <c r="Z55" i="17"/>
  <c r="Y55" i="17"/>
  <c r="X55" i="17"/>
  <c r="V55" i="17"/>
  <c r="BK54" i="17"/>
  <c r="BC54" i="17"/>
  <c r="BB54" i="17"/>
  <c r="BA54" i="17"/>
  <c r="AZ54" i="17"/>
  <c r="AY54" i="17"/>
  <c r="AX54" i="17"/>
  <c r="AQ54" i="17"/>
  <c r="AP54" i="17"/>
  <c r="AO54" i="17"/>
  <c r="AN54" i="17"/>
  <c r="AM54" i="17"/>
  <c r="AL54" i="17"/>
  <c r="AK54" i="17"/>
  <c r="AJ54" i="17"/>
  <c r="AI54" i="17"/>
  <c r="AH54" i="17"/>
  <c r="AG54" i="17"/>
  <c r="AF54" i="17"/>
  <c r="AE54" i="17"/>
  <c r="AD54" i="17"/>
  <c r="AC54" i="17"/>
  <c r="AB54" i="17"/>
  <c r="AA54" i="17"/>
  <c r="Z54" i="17"/>
  <c r="Y54" i="17"/>
  <c r="X54" i="17"/>
  <c r="W54" i="17"/>
  <c r="V54" i="17"/>
  <c r="BC53" i="17"/>
  <c r="BB53" i="17"/>
  <c r="BA53" i="17"/>
  <c r="AZ53" i="17"/>
  <c r="AY53" i="17"/>
  <c r="AX53" i="17"/>
  <c r="AP53" i="17"/>
  <c r="AO53" i="17"/>
  <c r="AN53" i="17"/>
  <c r="AM53" i="17"/>
  <c r="AL53" i="17"/>
  <c r="AK53" i="17"/>
  <c r="AJ53" i="17"/>
  <c r="AI53" i="17"/>
  <c r="AH53" i="17"/>
  <c r="AG53" i="17"/>
  <c r="AF53" i="17"/>
  <c r="AE53" i="17"/>
  <c r="AD53" i="17"/>
  <c r="AB53" i="17"/>
  <c r="AA53" i="17"/>
  <c r="Z53" i="17"/>
  <c r="Y53" i="17"/>
  <c r="X53" i="17"/>
  <c r="V53" i="17"/>
  <c r="BC52" i="17"/>
  <c r="BB52" i="17"/>
  <c r="BA52" i="17"/>
  <c r="AZ52" i="17"/>
  <c r="AY52" i="17"/>
  <c r="AX52" i="17"/>
  <c r="AQ52" i="17"/>
  <c r="AP52" i="17"/>
  <c r="AO52" i="17"/>
  <c r="AN52" i="17"/>
  <c r="AM52" i="17"/>
  <c r="AL52" i="17"/>
  <c r="AK52" i="17"/>
  <c r="AJ52" i="17"/>
  <c r="AI52" i="17"/>
  <c r="AH52" i="17"/>
  <c r="AG52" i="17"/>
  <c r="AF52" i="17"/>
  <c r="AE52" i="17"/>
  <c r="AD52" i="17"/>
  <c r="AB52" i="17"/>
  <c r="AA52" i="17"/>
  <c r="Z52" i="17"/>
  <c r="Y52" i="17"/>
  <c r="X52" i="17"/>
  <c r="BC51" i="17"/>
  <c r="BB51" i="17"/>
  <c r="BA51" i="17"/>
  <c r="AZ51" i="17"/>
  <c r="AY51" i="17"/>
  <c r="AX51" i="17"/>
  <c r="AP51" i="17"/>
  <c r="AO51" i="17"/>
  <c r="AN51" i="17"/>
  <c r="AM51" i="17"/>
  <c r="AL51" i="17"/>
  <c r="AK51" i="17"/>
  <c r="AJ51" i="17"/>
  <c r="AI51" i="17"/>
  <c r="AH51" i="17"/>
  <c r="AG51" i="17"/>
  <c r="AF51" i="17"/>
  <c r="AE51" i="17"/>
  <c r="AD51" i="17"/>
  <c r="AB51" i="17"/>
  <c r="AA51" i="17"/>
  <c r="Z51" i="17"/>
  <c r="Y51" i="17"/>
  <c r="X51" i="17"/>
  <c r="BC50" i="17"/>
  <c r="BB50" i="17"/>
  <c r="BA50" i="17"/>
  <c r="AZ50" i="17"/>
  <c r="AY50" i="17"/>
  <c r="AX50" i="17"/>
  <c r="AQ50" i="17"/>
  <c r="AP50" i="17"/>
  <c r="AO50" i="17"/>
  <c r="AN50" i="17"/>
  <c r="AM50" i="17"/>
  <c r="AL50" i="17"/>
  <c r="AK50" i="17"/>
  <c r="AJ50" i="17"/>
  <c r="AI50" i="17"/>
  <c r="AH50" i="17"/>
  <c r="AG50" i="17"/>
  <c r="AF50" i="17"/>
  <c r="AE50" i="17"/>
  <c r="AD50" i="17"/>
  <c r="AB50" i="17"/>
  <c r="AA50" i="17"/>
  <c r="Z50" i="17"/>
  <c r="Y50" i="17"/>
  <c r="X50" i="17"/>
  <c r="BC49" i="17"/>
  <c r="BB49" i="17"/>
  <c r="BA49" i="17"/>
  <c r="AZ49" i="17"/>
  <c r="AY49" i="17"/>
  <c r="AX49" i="17"/>
  <c r="AQ49" i="17"/>
  <c r="AP49" i="17"/>
  <c r="AO49" i="17"/>
  <c r="AN49" i="17"/>
  <c r="AM49" i="17"/>
  <c r="AL49" i="17"/>
  <c r="AK49" i="17"/>
  <c r="AJ49" i="17"/>
  <c r="AI49" i="17"/>
  <c r="AH49" i="17"/>
  <c r="AG49" i="17"/>
  <c r="AF49" i="17"/>
  <c r="AE49" i="17"/>
  <c r="AD49" i="17"/>
  <c r="AB49" i="17"/>
  <c r="AA49" i="17"/>
  <c r="Z49" i="17"/>
  <c r="Y49" i="17"/>
  <c r="X49" i="17"/>
  <c r="V49" i="17"/>
  <c r="BB48" i="17"/>
  <c r="BA48" i="17"/>
  <c r="AZ48" i="17"/>
  <c r="AY48" i="17"/>
  <c r="AX48" i="17"/>
  <c r="AP48" i="17"/>
  <c r="AO48" i="17"/>
  <c r="AN48" i="17"/>
  <c r="AM48" i="17"/>
  <c r="AL48" i="17"/>
  <c r="AK48" i="17"/>
  <c r="AJ48" i="17"/>
  <c r="AI48" i="17"/>
  <c r="AH48" i="17"/>
  <c r="AG48" i="17"/>
  <c r="AF48" i="17"/>
  <c r="AE48" i="17"/>
  <c r="AD48" i="17"/>
  <c r="AB48" i="17"/>
  <c r="AA48" i="17"/>
  <c r="Z48" i="17"/>
  <c r="Y48" i="17"/>
  <c r="X48" i="17"/>
  <c r="V48" i="17"/>
  <c r="BB40" i="17"/>
  <c r="BA40" i="17"/>
  <c r="AZ40" i="17"/>
  <c r="AY40" i="17"/>
  <c r="AX40" i="17"/>
  <c r="AP40" i="17"/>
  <c r="AO40" i="17"/>
  <c r="AN40" i="17"/>
  <c r="AM40" i="17"/>
  <c r="AL40" i="17"/>
  <c r="AK40" i="17"/>
  <c r="AJ40" i="17"/>
  <c r="AI40" i="17"/>
  <c r="AH40" i="17"/>
  <c r="AG40" i="17"/>
  <c r="AF40" i="17"/>
  <c r="AE40" i="17"/>
  <c r="AD40" i="17"/>
  <c r="AB40" i="17"/>
  <c r="AA40" i="17"/>
  <c r="Z40" i="17"/>
  <c r="Y40" i="17"/>
  <c r="X40" i="17"/>
  <c r="V40" i="17"/>
  <c r="BC39" i="17"/>
  <c r="BB39" i="17"/>
  <c r="BA39" i="17"/>
  <c r="AZ39" i="17"/>
  <c r="AY39" i="17"/>
  <c r="AX39" i="17"/>
  <c r="AQ39" i="17"/>
  <c r="AP39" i="17"/>
  <c r="AO39" i="17"/>
  <c r="AN39" i="17"/>
  <c r="AM39" i="17"/>
  <c r="AL39" i="17"/>
  <c r="AK39" i="17"/>
  <c r="AJ39" i="17"/>
  <c r="AI39" i="17"/>
  <c r="AH39" i="17"/>
  <c r="AG39" i="17"/>
  <c r="AF39" i="17"/>
  <c r="AE39" i="17"/>
  <c r="AD39" i="17"/>
  <c r="AB39" i="17"/>
  <c r="AA39" i="17"/>
  <c r="Z39" i="17"/>
  <c r="Y39" i="17"/>
  <c r="X39" i="17"/>
  <c r="V39" i="17"/>
  <c r="BB38" i="17"/>
  <c r="BA38" i="17"/>
  <c r="AZ38" i="17"/>
  <c r="AY38" i="17"/>
  <c r="AX38" i="17"/>
  <c r="AQ38" i="17"/>
  <c r="AP38" i="17"/>
  <c r="AO38" i="17"/>
  <c r="AN38" i="17"/>
  <c r="AM38" i="17"/>
  <c r="AL38" i="17"/>
  <c r="AK38" i="17"/>
  <c r="AJ38" i="17"/>
  <c r="AI38" i="17"/>
  <c r="AH38" i="17"/>
  <c r="AG38" i="17"/>
  <c r="AF38" i="17"/>
  <c r="AE38" i="17"/>
  <c r="AD38" i="17"/>
  <c r="AB38" i="17"/>
  <c r="AA38" i="17"/>
  <c r="Z38" i="17"/>
  <c r="Y38" i="17"/>
  <c r="X38" i="17"/>
  <c r="BB37" i="17"/>
  <c r="BA37" i="17"/>
  <c r="AZ37" i="17"/>
  <c r="AY37" i="17"/>
  <c r="AX37" i="17"/>
  <c r="AP37" i="17"/>
  <c r="AO37" i="17"/>
  <c r="AN37" i="17"/>
  <c r="AM37" i="17"/>
  <c r="AL37" i="17"/>
  <c r="AK37" i="17"/>
  <c r="AJ37" i="17"/>
  <c r="AI37" i="17"/>
  <c r="AH37" i="17"/>
  <c r="AG37" i="17"/>
  <c r="AF37" i="17"/>
  <c r="AE37" i="17"/>
  <c r="AD37" i="17"/>
  <c r="AB37" i="17"/>
  <c r="AA37" i="17"/>
  <c r="Z37" i="17"/>
  <c r="Y37" i="17"/>
  <c r="X37" i="17"/>
  <c r="V37" i="17"/>
  <c r="BC36" i="17"/>
  <c r="BB36" i="17"/>
  <c r="BA36" i="17"/>
  <c r="AZ36" i="17"/>
  <c r="AY36" i="17"/>
  <c r="AX36" i="17"/>
  <c r="AQ36" i="17"/>
  <c r="AP36" i="17"/>
  <c r="AO36" i="17"/>
  <c r="AN36" i="17"/>
  <c r="AM36" i="17"/>
  <c r="AL36" i="17"/>
  <c r="AK36" i="17"/>
  <c r="AJ36" i="17"/>
  <c r="AI36" i="17"/>
  <c r="AH36" i="17"/>
  <c r="AG36" i="17"/>
  <c r="AF36" i="17"/>
  <c r="AE36" i="17"/>
  <c r="AD36" i="17"/>
  <c r="AB36" i="17"/>
  <c r="AA36" i="17"/>
  <c r="Z36" i="17"/>
  <c r="Y36" i="17"/>
  <c r="X36" i="17"/>
  <c r="BK35" i="17"/>
  <c r="BC35" i="17"/>
  <c r="BB35" i="17"/>
  <c r="BA35" i="17"/>
  <c r="AZ35" i="17"/>
  <c r="AY35" i="17"/>
  <c r="AX35" i="17"/>
  <c r="AQ35" i="17"/>
  <c r="AP35" i="17"/>
  <c r="AO35" i="17"/>
  <c r="AN35" i="17"/>
  <c r="AM35" i="17"/>
  <c r="AL35" i="17"/>
  <c r="AK35" i="17"/>
  <c r="AJ35" i="17"/>
  <c r="AI35" i="17"/>
  <c r="AH35" i="17"/>
  <c r="AG35" i="17"/>
  <c r="AF35" i="17"/>
  <c r="AE35" i="17"/>
  <c r="AD35" i="17"/>
  <c r="AC35" i="17"/>
  <c r="AB35" i="17"/>
  <c r="AA35" i="17"/>
  <c r="Z35" i="17"/>
  <c r="Y35" i="17"/>
  <c r="X35" i="17"/>
  <c r="W35" i="17"/>
  <c r="V35" i="17"/>
  <c r="BC34" i="17"/>
  <c r="BB34" i="17"/>
  <c r="BA34" i="17"/>
  <c r="AZ34" i="17"/>
  <c r="AY34" i="17"/>
  <c r="AX34" i="17"/>
  <c r="AP34" i="17"/>
  <c r="AO34" i="17"/>
  <c r="AN34" i="17"/>
  <c r="AM34" i="17"/>
  <c r="AL34" i="17"/>
  <c r="AK34" i="17"/>
  <c r="AJ34" i="17"/>
  <c r="AI34" i="17"/>
  <c r="AH34" i="17"/>
  <c r="AG34" i="17"/>
  <c r="AF34" i="17"/>
  <c r="AE34" i="17"/>
  <c r="AD34" i="17"/>
  <c r="AB34" i="17"/>
  <c r="AA34" i="17"/>
  <c r="Z34" i="17"/>
  <c r="Y34" i="17"/>
  <c r="X34" i="17"/>
  <c r="V34" i="17"/>
  <c r="BC33" i="17"/>
  <c r="BB33" i="17"/>
  <c r="BA33" i="17"/>
  <c r="AZ33" i="17"/>
  <c r="AY33" i="17"/>
  <c r="AX33" i="17"/>
  <c r="AP33" i="17"/>
  <c r="AO33" i="17"/>
  <c r="AN33" i="17"/>
  <c r="AM33" i="17"/>
  <c r="AL33" i="17"/>
  <c r="AK33" i="17"/>
  <c r="AJ33" i="17"/>
  <c r="AI33" i="17"/>
  <c r="AH33" i="17"/>
  <c r="AG33" i="17"/>
  <c r="AF33" i="17"/>
  <c r="AE33" i="17"/>
  <c r="AD33" i="17"/>
  <c r="AB33" i="17"/>
  <c r="AA33" i="17"/>
  <c r="Z33" i="17"/>
  <c r="Y33" i="17"/>
  <c r="X33" i="17"/>
  <c r="V33" i="17"/>
  <c r="BC32" i="17"/>
  <c r="BB32" i="17"/>
  <c r="BA32" i="17"/>
  <c r="AZ32" i="17"/>
  <c r="AY32" i="17"/>
  <c r="AX32" i="17"/>
  <c r="AQ32" i="17"/>
  <c r="AP32" i="17"/>
  <c r="AO32" i="17"/>
  <c r="AN32" i="17"/>
  <c r="AM32" i="17"/>
  <c r="AL32" i="17"/>
  <c r="AK32" i="17"/>
  <c r="AJ32" i="17"/>
  <c r="AI32" i="17"/>
  <c r="AH32" i="17"/>
  <c r="AG32" i="17"/>
  <c r="AF32" i="17"/>
  <c r="AE32" i="17"/>
  <c r="AD32" i="17"/>
  <c r="AB32" i="17"/>
  <c r="AA32" i="17"/>
  <c r="Z32" i="17"/>
  <c r="Y32" i="17"/>
  <c r="X32" i="17"/>
  <c r="BB31" i="17"/>
  <c r="BA31" i="17"/>
  <c r="AZ31" i="17"/>
  <c r="AY31" i="17"/>
  <c r="AX31" i="17"/>
  <c r="AQ31" i="17"/>
  <c r="AP31" i="17"/>
  <c r="AO31" i="17"/>
  <c r="AN31" i="17"/>
  <c r="AM31" i="17"/>
  <c r="AL31" i="17"/>
  <c r="AK31" i="17"/>
  <c r="AJ31" i="17"/>
  <c r="AI31" i="17"/>
  <c r="AH31" i="17"/>
  <c r="AG31" i="17"/>
  <c r="AF31" i="17"/>
  <c r="AE31" i="17"/>
  <c r="AD31" i="17"/>
  <c r="AB31" i="17"/>
  <c r="AA31" i="17"/>
  <c r="Z31" i="17"/>
  <c r="Y31" i="17"/>
  <c r="X31" i="17"/>
  <c r="V31" i="17"/>
  <c r="BB30" i="17"/>
  <c r="BA30" i="17"/>
  <c r="AZ30" i="17"/>
  <c r="AY30" i="17"/>
  <c r="AX30" i="17"/>
  <c r="AP30" i="17"/>
  <c r="AO30" i="17"/>
  <c r="AN30" i="17"/>
  <c r="AM30" i="17"/>
  <c r="AL30" i="17"/>
  <c r="AK30" i="17"/>
  <c r="AJ30" i="17"/>
  <c r="AI30" i="17"/>
  <c r="AH30" i="17"/>
  <c r="AG30" i="17"/>
  <c r="AF30" i="17"/>
  <c r="AE30" i="17"/>
  <c r="AD30" i="17"/>
  <c r="AB30" i="17"/>
  <c r="AA30" i="17"/>
  <c r="Z30" i="17"/>
  <c r="Y30" i="17"/>
  <c r="X30" i="17"/>
  <c r="BC29" i="17"/>
  <c r="BB29" i="17"/>
  <c r="BA29" i="17"/>
  <c r="AZ29" i="17"/>
  <c r="AY29" i="17"/>
  <c r="AX29" i="17"/>
  <c r="AQ29" i="17"/>
  <c r="AP29" i="17"/>
  <c r="AO29" i="17"/>
  <c r="AN29" i="17"/>
  <c r="AM29" i="17"/>
  <c r="AL29" i="17"/>
  <c r="AK29" i="17"/>
  <c r="AJ29" i="17"/>
  <c r="AI29" i="17"/>
  <c r="AH29" i="17"/>
  <c r="AG29" i="17"/>
  <c r="AF29" i="17"/>
  <c r="AE29" i="17"/>
  <c r="AD29" i="17"/>
  <c r="AB29" i="17"/>
  <c r="AA29" i="17"/>
  <c r="Z29" i="17"/>
  <c r="Y29" i="17"/>
  <c r="X29" i="17"/>
  <c r="V29" i="17"/>
  <c r="BC28" i="17"/>
  <c r="BB28" i="17"/>
  <c r="BA28" i="17"/>
  <c r="AZ28" i="17"/>
  <c r="AY28" i="17"/>
  <c r="AX28" i="17"/>
  <c r="AQ28" i="17"/>
  <c r="AP28" i="17"/>
  <c r="AO28" i="17"/>
  <c r="AN28" i="17"/>
  <c r="AM28" i="17"/>
  <c r="AL28" i="17"/>
  <c r="AK28" i="17"/>
  <c r="AJ28" i="17"/>
  <c r="AI28" i="17"/>
  <c r="AH28" i="17"/>
  <c r="AG28" i="17"/>
  <c r="AF28" i="17"/>
  <c r="AE28" i="17"/>
  <c r="AD28" i="17"/>
  <c r="AB28" i="17"/>
  <c r="AA28" i="17"/>
  <c r="Z28" i="17"/>
  <c r="Y28" i="17"/>
  <c r="X28" i="17"/>
  <c r="BC21" i="17"/>
  <c r="BB21" i="17"/>
  <c r="BA21" i="17"/>
  <c r="AZ21" i="17"/>
  <c r="AY21" i="17"/>
  <c r="AX21" i="17"/>
  <c r="AQ21" i="17"/>
  <c r="AP21" i="17"/>
  <c r="AO21" i="17"/>
  <c r="AN21" i="17"/>
  <c r="AM21" i="17"/>
  <c r="AL21" i="17"/>
  <c r="AK21" i="17"/>
  <c r="AJ21" i="17"/>
  <c r="AI21" i="17"/>
  <c r="AH21" i="17"/>
  <c r="AG21" i="17"/>
  <c r="AF21" i="17"/>
  <c r="AE21" i="17"/>
  <c r="AD21" i="17"/>
  <c r="AB21" i="17"/>
  <c r="AA21" i="17"/>
  <c r="Z21" i="17"/>
  <c r="Y21" i="17"/>
  <c r="X21" i="17"/>
  <c r="V21" i="17"/>
  <c r="BC20" i="17"/>
  <c r="BB20" i="17"/>
  <c r="BA20" i="17"/>
  <c r="AZ20" i="17"/>
  <c r="AY20" i="17"/>
  <c r="AX20" i="17"/>
  <c r="AP20" i="17"/>
  <c r="AO20" i="17"/>
  <c r="AN20" i="17"/>
  <c r="AM20" i="17"/>
  <c r="AL20" i="17"/>
  <c r="AK20" i="17"/>
  <c r="AJ20" i="17"/>
  <c r="AI20" i="17"/>
  <c r="AH20" i="17"/>
  <c r="AG20" i="17"/>
  <c r="AF20" i="17"/>
  <c r="AE20" i="17"/>
  <c r="AD20" i="17"/>
  <c r="AB20" i="17"/>
  <c r="AA20" i="17"/>
  <c r="Z20" i="17"/>
  <c r="Y20" i="17"/>
  <c r="X20" i="17"/>
  <c r="V20" i="17"/>
  <c r="BB19" i="17"/>
  <c r="BA19" i="17"/>
  <c r="AZ19" i="17"/>
  <c r="AY19" i="17"/>
  <c r="AX19" i="17"/>
  <c r="AQ19" i="17"/>
  <c r="AP19" i="17"/>
  <c r="AO19" i="17"/>
  <c r="AN19" i="17"/>
  <c r="AM19" i="17"/>
  <c r="AL19" i="17"/>
  <c r="AK19" i="17"/>
  <c r="AJ19" i="17"/>
  <c r="AI19" i="17"/>
  <c r="AH19" i="17"/>
  <c r="AG19" i="17"/>
  <c r="AF19" i="17"/>
  <c r="AE19" i="17"/>
  <c r="AD19" i="17"/>
  <c r="AB19" i="17"/>
  <c r="AA19" i="17"/>
  <c r="Z19" i="17"/>
  <c r="Y19" i="17"/>
  <c r="X19" i="17"/>
  <c r="BK18" i="17"/>
  <c r="BC18" i="17"/>
  <c r="BB18" i="17"/>
  <c r="BA18" i="17"/>
  <c r="AZ18" i="17"/>
  <c r="AY18" i="17"/>
  <c r="AX18" i="17"/>
  <c r="AQ18" i="17"/>
  <c r="AP18" i="17"/>
  <c r="AO18" i="17"/>
  <c r="AN18" i="17"/>
  <c r="AM18" i="17"/>
  <c r="AL18" i="17"/>
  <c r="AK18" i="17"/>
  <c r="AJ18" i="17"/>
  <c r="AI18" i="17"/>
  <c r="AH18" i="17"/>
  <c r="AG18" i="17"/>
  <c r="AF18" i="17"/>
  <c r="AE18" i="17"/>
  <c r="AD18" i="17"/>
  <c r="AC18" i="17"/>
  <c r="AB18" i="17"/>
  <c r="AA18" i="17"/>
  <c r="Z18" i="17"/>
  <c r="Y18" i="17"/>
  <c r="X18" i="17"/>
  <c r="W18" i="17"/>
  <c r="V18" i="17"/>
  <c r="BC17" i="17"/>
  <c r="BB17" i="17"/>
  <c r="BA17" i="17"/>
  <c r="AZ17" i="17"/>
  <c r="AY17" i="17"/>
  <c r="AX17" i="17"/>
  <c r="AQ17" i="17"/>
  <c r="AP17" i="17"/>
  <c r="AO17" i="17"/>
  <c r="AN17" i="17"/>
  <c r="AM17" i="17"/>
  <c r="AL17" i="17"/>
  <c r="AK17" i="17"/>
  <c r="AJ17" i="17"/>
  <c r="AI17" i="17"/>
  <c r="AH17" i="17"/>
  <c r="AG17" i="17"/>
  <c r="AF17" i="17"/>
  <c r="AE17" i="17"/>
  <c r="AD17" i="17"/>
  <c r="AB17" i="17"/>
  <c r="AA17" i="17"/>
  <c r="Z17" i="17"/>
  <c r="Y17" i="17"/>
  <c r="X17" i="17"/>
  <c r="V17" i="17"/>
  <c r="BB14" i="17"/>
  <c r="BA14" i="17"/>
  <c r="AZ14" i="17"/>
  <c r="AY14" i="17"/>
  <c r="AX14" i="17"/>
  <c r="AQ14" i="17"/>
  <c r="AP14" i="17"/>
  <c r="AO14" i="17"/>
  <c r="AN14" i="17"/>
  <c r="AM14" i="17"/>
  <c r="AL14" i="17"/>
  <c r="AK14" i="17"/>
  <c r="AJ14" i="17"/>
  <c r="AI14" i="17"/>
  <c r="AH14" i="17"/>
  <c r="AG14" i="17"/>
  <c r="AF14" i="17"/>
  <c r="AE14" i="17"/>
  <c r="AD14" i="17"/>
  <c r="AB14" i="17"/>
  <c r="AA14" i="17"/>
  <c r="Z14" i="17"/>
  <c r="Y14" i="17"/>
  <c r="X14" i="17"/>
  <c r="V14" i="17"/>
  <c r="BB13" i="17"/>
  <c r="BA13" i="17"/>
  <c r="AZ13" i="17"/>
  <c r="AY13" i="17"/>
  <c r="AX13" i="17"/>
  <c r="AQ13" i="17"/>
  <c r="AP13" i="17"/>
  <c r="AO13" i="17"/>
  <c r="AN13" i="17"/>
  <c r="AM13" i="17"/>
  <c r="AL13" i="17"/>
  <c r="AK13" i="17"/>
  <c r="AJ13" i="17"/>
  <c r="AI13" i="17"/>
  <c r="AH13" i="17"/>
  <c r="AG13" i="17"/>
  <c r="AF13" i="17"/>
  <c r="AE13" i="17"/>
  <c r="AD13" i="17"/>
  <c r="AB13" i="17"/>
  <c r="AA13" i="17"/>
  <c r="Z13" i="17"/>
  <c r="Y13" i="17"/>
  <c r="X13" i="17"/>
  <c r="V13" i="17"/>
  <c r="BC12" i="17"/>
  <c r="BB12" i="17"/>
  <c r="BA12" i="17"/>
  <c r="AZ12" i="17"/>
  <c r="AY12" i="17"/>
  <c r="AX12" i="17"/>
  <c r="AP12" i="17"/>
  <c r="AO12" i="17"/>
  <c r="AN12" i="17"/>
  <c r="AM12" i="17"/>
  <c r="AL12" i="17"/>
  <c r="AK12" i="17"/>
  <c r="AJ12" i="17"/>
  <c r="AI12" i="17"/>
  <c r="AH12" i="17"/>
  <c r="AG12" i="17"/>
  <c r="AF12" i="17"/>
  <c r="AE12" i="17"/>
  <c r="AD12" i="17"/>
  <c r="AB12" i="17"/>
  <c r="AA12" i="17"/>
  <c r="Z12" i="17"/>
  <c r="Y12" i="17"/>
  <c r="X12" i="17"/>
  <c r="V12" i="17"/>
  <c r="BC11" i="17"/>
  <c r="BB11" i="17"/>
  <c r="BA11" i="17"/>
  <c r="AZ11" i="17"/>
  <c r="AY11" i="17"/>
  <c r="AX11" i="17"/>
  <c r="AQ11" i="17"/>
  <c r="AP11" i="17"/>
  <c r="AO11" i="17"/>
  <c r="AN11" i="17"/>
  <c r="AM11" i="17"/>
  <c r="AL11" i="17"/>
  <c r="AK11" i="17"/>
  <c r="AJ11" i="17"/>
  <c r="AI11" i="17"/>
  <c r="AH11" i="17"/>
  <c r="AG11" i="17"/>
  <c r="AF11" i="17"/>
  <c r="AE11" i="17"/>
  <c r="AD11" i="17"/>
  <c r="AB11" i="17"/>
  <c r="AA11" i="17"/>
  <c r="Z11" i="17"/>
  <c r="Y11" i="17"/>
  <c r="X11" i="17"/>
  <c r="BB10" i="17"/>
  <c r="BA10" i="17"/>
  <c r="AZ10" i="17"/>
  <c r="AY10" i="17"/>
  <c r="AX10" i="17"/>
  <c r="AQ10" i="17"/>
  <c r="AP10" i="17"/>
  <c r="AO10" i="17"/>
  <c r="AN10" i="17"/>
  <c r="AM10" i="17"/>
  <c r="AL10" i="17"/>
  <c r="AK10" i="17"/>
  <c r="AJ10" i="17"/>
  <c r="AI10" i="17"/>
  <c r="AH10" i="17"/>
  <c r="AG10" i="17"/>
  <c r="AF10" i="17"/>
  <c r="AE10" i="17"/>
  <c r="AD10" i="17"/>
  <c r="AB10" i="17"/>
  <c r="AA10" i="17"/>
  <c r="Z10" i="17"/>
  <c r="Y10" i="17"/>
  <c r="X10" i="17"/>
  <c r="BC9" i="17"/>
  <c r="BB9" i="17"/>
  <c r="BA9" i="17"/>
  <c r="AZ9" i="17"/>
  <c r="AY9" i="17"/>
  <c r="AX9" i="17"/>
  <c r="AQ9" i="17"/>
  <c r="AP9" i="17"/>
  <c r="AO9" i="17"/>
  <c r="AN9" i="17"/>
  <c r="AM9" i="17"/>
  <c r="AL9" i="17"/>
  <c r="AK9" i="17"/>
  <c r="AJ9" i="17"/>
  <c r="AI9" i="17"/>
  <c r="AH9" i="17"/>
  <c r="AG9" i="17"/>
  <c r="AF9" i="17"/>
  <c r="AE9" i="17"/>
  <c r="AD9" i="17"/>
  <c r="AB9" i="17"/>
  <c r="AA9" i="17"/>
  <c r="Z9" i="17"/>
  <c r="Y9" i="17"/>
  <c r="X9" i="17"/>
  <c r="BB8" i="17"/>
  <c r="BA8" i="17"/>
  <c r="AZ8" i="17"/>
  <c r="AY8" i="17"/>
  <c r="AX8" i="17"/>
  <c r="AP8" i="17"/>
  <c r="AO8" i="17"/>
  <c r="AN8" i="17"/>
  <c r="AM8" i="17"/>
  <c r="AL8" i="17"/>
  <c r="AK8" i="17"/>
  <c r="AJ8" i="17"/>
  <c r="AI8" i="17"/>
  <c r="AH8" i="17"/>
  <c r="AG8" i="17"/>
  <c r="AF8" i="17"/>
  <c r="AE8" i="17"/>
  <c r="AD8" i="17"/>
  <c r="AB8" i="17"/>
  <c r="AA8" i="17"/>
  <c r="Z8" i="17"/>
  <c r="Y8" i="17"/>
  <c r="X8" i="17"/>
  <c r="V8" i="17"/>
  <c r="BB7" i="17"/>
  <c r="BA7" i="17"/>
  <c r="AZ7" i="17"/>
  <c r="AY7" i="17"/>
  <c r="AX7" i="17"/>
  <c r="AQ7" i="17"/>
  <c r="AP7" i="17"/>
  <c r="AO7" i="17"/>
  <c r="AN7" i="17"/>
  <c r="AM7" i="17"/>
  <c r="AL7" i="17"/>
  <c r="AK7" i="17"/>
  <c r="AJ7" i="17"/>
  <c r="AI7" i="17"/>
  <c r="AH7" i="17"/>
  <c r="AG7" i="17"/>
  <c r="AF7" i="17"/>
  <c r="AE7" i="17"/>
  <c r="AD7" i="17"/>
  <c r="AB7" i="17"/>
  <c r="AA7" i="17"/>
  <c r="Z7" i="17"/>
  <c r="Y7" i="17"/>
  <c r="X7" i="17"/>
  <c r="V7" i="17"/>
  <c r="L5" i="21"/>
  <c r="A19" i="18"/>
  <c r="K18" i="18"/>
  <c r="P18" i="18" s="1"/>
  <c r="K16" i="18"/>
  <c r="P16" i="18" s="1"/>
  <c r="BE606" i="17"/>
  <c r="BF562" i="17"/>
  <c r="BF550" i="17"/>
  <c r="BD549" i="17"/>
  <c r="BE485" i="17"/>
  <c r="BD490" i="17"/>
  <c r="BE356" i="17"/>
  <c r="BD464" i="17"/>
  <c r="BF452" i="17"/>
  <c r="BE445" i="17"/>
  <c r="BF416" i="17"/>
  <c r="BF489" i="17"/>
  <c r="BD489" i="17"/>
  <c r="BE361" i="17"/>
  <c r="BD227" i="17"/>
  <c r="BD295" i="17"/>
  <c r="BD483" i="17"/>
  <c r="BE507" i="17"/>
  <c r="BD581" i="17"/>
  <c r="BF242" i="17"/>
  <c r="BE510" i="17"/>
  <c r="AS429" i="17"/>
  <c r="AT236" i="17"/>
  <c r="AT337" i="17"/>
  <c r="AS162" i="17"/>
  <c r="AT204" i="17"/>
  <c r="AR241" i="17"/>
  <c r="AT242" i="17"/>
  <c r="AS566" i="17"/>
  <c r="AT584" i="17"/>
  <c r="AT416" i="17"/>
  <c r="AS342" i="17"/>
  <c r="AR397" i="17"/>
  <c r="AR409" i="17"/>
  <c r="AT411" i="17"/>
  <c r="AT433" i="17"/>
  <c r="AR507" i="17"/>
  <c r="AS524" i="17"/>
  <c r="AT586" i="17"/>
  <c r="AS526" i="17"/>
  <c r="K354" i="15"/>
  <c r="L354" i="15" s="1"/>
  <c r="M354" i="15" s="1"/>
  <c r="O354" i="15" s="1"/>
  <c r="P354" i="15" s="1"/>
  <c r="Q354" i="15" s="1"/>
  <c r="R354" i="15" s="1"/>
  <c r="S354" i="15" s="1"/>
  <c r="T354" i="15" s="1"/>
  <c r="U354" i="15" s="1"/>
  <c r="R14" i="18"/>
  <c r="A14" i="18"/>
  <c r="A15" i="18" s="1"/>
  <c r="A16" i="18" s="1"/>
  <c r="D7" i="18"/>
  <c r="D6" i="18"/>
  <c r="D5" i="18" s="1"/>
  <c r="L7" i="21"/>
  <c r="L8" i="21" s="1"/>
  <c r="C8" i="18"/>
  <c r="K15" i="18"/>
  <c r="K13" i="18"/>
  <c r="P13" i="18" s="1"/>
  <c r="R13" i="18" s="1"/>
  <c r="AQ491" i="17"/>
  <c r="AQ481" i="17"/>
  <c r="AQ480" i="17"/>
  <c r="BC543" i="17"/>
  <c r="BC464" i="17"/>
  <c r="AQ505" i="17"/>
  <c r="AQ30" i="17"/>
  <c r="AQ545" i="17"/>
  <c r="AQ548" i="17"/>
  <c r="AQ8" i="17"/>
  <c r="BC48" i="17"/>
  <c r="BF162" i="17"/>
  <c r="BE162" i="17"/>
  <c r="BD162" i="17"/>
  <c r="BI162" i="17"/>
  <c r="BG162" i="17"/>
  <c r="BH162" i="17"/>
  <c r="BI241" i="17"/>
  <c r="BH241" i="17"/>
  <c r="BG241" i="17"/>
  <c r="BF241" i="17"/>
  <c r="BE241" i="17"/>
  <c r="BD241" i="17"/>
  <c r="BG223" i="17"/>
  <c r="BH223" i="17"/>
  <c r="BF223" i="17"/>
  <c r="BD223" i="17"/>
  <c r="BI223" i="17"/>
  <c r="BE223" i="17"/>
  <c r="BC67" i="17"/>
  <c r="BC69" i="17"/>
  <c r="AQ91" i="17"/>
  <c r="AQ129" i="17"/>
  <c r="AQ132" i="17"/>
  <c r="AQ199" i="17"/>
  <c r="AQ282" i="17"/>
  <c r="BC294" i="17"/>
  <c r="BC331" i="17"/>
  <c r="BC517" i="17"/>
  <c r="BH198" i="17"/>
  <c r="BI198" i="17"/>
  <c r="BE198" i="17"/>
  <c r="BF198" i="17"/>
  <c r="BG198" i="17"/>
  <c r="BD198" i="17"/>
  <c r="BH54" i="17"/>
  <c r="BG54" i="17"/>
  <c r="BF54" i="17"/>
  <c r="BE54" i="17"/>
  <c r="BD54" i="17"/>
  <c r="BI54" i="17"/>
  <c r="BI35" i="17"/>
  <c r="BH35" i="17"/>
  <c r="BG35" i="17"/>
  <c r="BF35" i="17"/>
  <c r="BE35" i="17"/>
  <c r="BD35" i="17"/>
  <c r="BI583" i="17"/>
  <c r="BH583" i="17"/>
  <c r="BG583" i="17"/>
  <c r="BF583" i="17"/>
  <c r="BE583" i="17"/>
  <c r="BD583" i="17"/>
  <c r="AQ51" i="17"/>
  <c r="AQ426" i="17"/>
  <c r="AQ466" i="17"/>
  <c r="BC352" i="17"/>
  <c r="AQ369" i="17"/>
  <c r="BH70" i="17"/>
  <c r="BI70" i="17"/>
  <c r="BE70" i="17"/>
  <c r="BD70" i="17"/>
  <c r="BF70" i="17"/>
  <c r="BG70" i="17"/>
  <c r="BD127" i="17"/>
  <c r="BI127" i="17"/>
  <c r="BH127" i="17"/>
  <c r="BG127" i="17"/>
  <c r="BE127" i="17"/>
  <c r="BF127" i="17"/>
  <c r="AQ449" i="17"/>
  <c r="BI519" i="17"/>
  <c r="BE519" i="17"/>
  <c r="BD519" i="17"/>
  <c r="BF519" i="17"/>
  <c r="BG519" i="17"/>
  <c r="BH519" i="17"/>
  <c r="AQ67" i="17"/>
  <c r="AQ71" i="17"/>
  <c r="AQ74" i="17"/>
  <c r="AQ77" i="17"/>
  <c r="AQ331" i="17"/>
  <c r="AQ517" i="17"/>
  <c r="BI104" i="17"/>
  <c r="BH104" i="17"/>
  <c r="BG104" i="17"/>
  <c r="BF104" i="17"/>
  <c r="BE104" i="17"/>
  <c r="BD104" i="17"/>
  <c r="BG336" i="17"/>
  <c r="BH336" i="17"/>
  <c r="BD336" i="17"/>
  <c r="BI336" i="17"/>
  <c r="BE336" i="17"/>
  <c r="BF336" i="17"/>
  <c r="BG184" i="17"/>
  <c r="BF184" i="17"/>
  <c r="BE184" i="17"/>
  <c r="BD184" i="17"/>
  <c r="BH184" i="17"/>
  <c r="BI184" i="17"/>
  <c r="BF544" i="17"/>
  <c r="BE544" i="17"/>
  <c r="BG544" i="17"/>
  <c r="BD544" i="17"/>
  <c r="BI544" i="17"/>
  <c r="BH544" i="17"/>
  <c r="BH300" i="17"/>
  <c r="BG300" i="17"/>
  <c r="BF300" i="17"/>
  <c r="BI300" i="17"/>
  <c r="BE300" i="17"/>
  <c r="BD300" i="17"/>
  <c r="BC83" i="17"/>
  <c r="BC95" i="17"/>
  <c r="AQ519" i="17"/>
  <c r="AQ601" i="17"/>
  <c r="BE256" i="17"/>
  <c r="BD256" i="17"/>
  <c r="BI256" i="17"/>
  <c r="BH256" i="17"/>
  <c r="BF256" i="17"/>
  <c r="BG256" i="17"/>
  <c r="BE428" i="17"/>
  <c r="BD428" i="17"/>
  <c r="BI428" i="17"/>
  <c r="BH428" i="17"/>
  <c r="BF428" i="17"/>
  <c r="BG428" i="17"/>
  <c r="BI412" i="17"/>
  <c r="BH412" i="17"/>
  <c r="BG412" i="17"/>
  <c r="BF412" i="17"/>
  <c r="BE412" i="17"/>
  <c r="BD412" i="17"/>
  <c r="BI394" i="17"/>
  <c r="BH394" i="17"/>
  <c r="BG394" i="17"/>
  <c r="BF394" i="17"/>
  <c r="BE394" i="17"/>
  <c r="BD394" i="17"/>
  <c r="BC13" i="17"/>
  <c r="BC14" i="17"/>
  <c r="BC162" i="17"/>
  <c r="AQ188" i="17"/>
  <c r="AQ190" i="17"/>
  <c r="BC223" i="17"/>
  <c r="BG351" i="17"/>
  <c r="BF351" i="17"/>
  <c r="BE351" i="17"/>
  <c r="BD351" i="17"/>
  <c r="BH351" i="17"/>
  <c r="BI351" i="17"/>
  <c r="BG146" i="17"/>
  <c r="BH146" i="17"/>
  <c r="BD146" i="17"/>
  <c r="BI146" i="17"/>
  <c r="BE146" i="17"/>
  <c r="BF146" i="17"/>
  <c r="BI486" i="17"/>
  <c r="BH486" i="17"/>
  <c r="BG486" i="17"/>
  <c r="BF486" i="17"/>
  <c r="BD486" i="17"/>
  <c r="BE486" i="17"/>
  <c r="BD18" i="17"/>
  <c r="BI18" i="17"/>
  <c r="BE18" i="17"/>
  <c r="BH18" i="17"/>
  <c r="BG18" i="17"/>
  <c r="BF18" i="17"/>
  <c r="BC30" i="17"/>
  <c r="BC31" i="17"/>
  <c r="AQ94" i="17"/>
  <c r="BC241" i="17"/>
  <c r="BH503" i="17"/>
  <c r="BG503" i="17"/>
  <c r="BF503" i="17"/>
  <c r="BE503" i="17"/>
  <c r="BD503" i="17"/>
  <c r="BI503" i="17"/>
  <c r="BE601" i="17"/>
  <c r="BD601" i="17"/>
  <c r="BI601" i="17"/>
  <c r="BH601" i="17"/>
  <c r="BF601" i="17"/>
  <c r="BG601" i="17"/>
  <c r="BD319" i="17"/>
  <c r="BI319" i="17"/>
  <c r="BF319" i="17"/>
  <c r="BE319" i="17"/>
  <c r="BG319" i="17"/>
  <c r="BH319" i="17"/>
  <c r="BC132" i="17"/>
  <c r="AQ162" i="17"/>
  <c r="AQ223" i="17"/>
  <c r="AQ462" i="17"/>
  <c r="AQ87" i="17"/>
  <c r="AQ279" i="17"/>
  <c r="BC281" i="17"/>
  <c r="BC424" i="17"/>
  <c r="BC586" i="17"/>
  <c r="BC239" i="17"/>
  <c r="BC290" i="17"/>
  <c r="AQ586" i="17"/>
  <c r="AQ290" i="17"/>
  <c r="BC82" i="17"/>
  <c r="BC84" i="17"/>
  <c r="BC85" i="17"/>
  <c r="BC89" i="17"/>
  <c r="BC92" i="17"/>
  <c r="BC93" i="17"/>
  <c r="AQ156" i="17"/>
  <c r="AQ163" i="17"/>
  <c r="AQ168" i="17"/>
  <c r="AQ450" i="17"/>
  <c r="AQ455" i="17"/>
  <c r="BC539" i="17"/>
  <c r="BC606" i="17"/>
  <c r="BC123" i="17"/>
  <c r="BC126" i="17"/>
  <c r="BC272" i="17"/>
  <c r="BC372" i="17"/>
  <c r="BC374" i="17"/>
  <c r="BC566" i="17"/>
  <c r="BC569" i="17"/>
  <c r="BC593" i="17"/>
  <c r="AQ82" i="17"/>
  <c r="AQ84" i="17"/>
  <c r="AQ93" i="17"/>
  <c r="AQ602" i="17"/>
  <c r="AQ56" i="17"/>
  <c r="BC108" i="17"/>
  <c r="BC109" i="17"/>
  <c r="BC111" i="17"/>
  <c r="BC112" i="17"/>
  <c r="BC180" i="17"/>
  <c r="BC216" i="17"/>
  <c r="AQ272" i="17"/>
  <c r="AQ370" i="17"/>
  <c r="AQ566" i="17"/>
  <c r="AQ569" i="17"/>
  <c r="AQ312" i="17"/>
  <c r="AQ313" i="17"/>
  <c r="AQ520" i="17"/>
  <c r="AQ527" i="17"/>
  <c r="BC196" i="17"/>
  <c r="BC483" i="17"/>
  <c r="BJ574" i="17"/>
  <c r="BJ100" i="17"/>
  <c r="BJ253" i="17"/>
  <c r="BJ518" i="17"/>
  <c r="AR254" i="17"/>
  <c r="AT254" i="17"/>
  <c r="BJ349" i="17"/>
  <c r="AS273" i="17"/>
  <c r="AT273" i="17"/>
  <c r="BJ273" i="17"/>
  <c r="AU577" i="17"/>
  <c r="AS577" i="17"/>
  <c r="AR577" i="17"/>
  <c r="BJ577" i="17"/>
  <c r="AS236" i="17"/>
  <c r="AR31" i="17"/>
  <c r="AS444" i="17"/>
  <c r="AT444" i="17"/>
  <c r="BJ408" i="17"/>
  <c r="AT521" i="17"/>
  <c r="BJ521" i="17"/>
  <c r="AT104" i="17"/>
  <c r="BJ104" i="17"/>
  <c r="BJ352" i="17"/>
  <c r="BJ409" i="17"/>
  <c r="BJ278" i="17"/>
  <c r="BJ560" i="17"/>
  <c r="AR336" i="17"/>
  <c r="BJ336" i="17"/>
  <c r="AR429" i="17"/>
  <c r="BJ429" i="17"/>
  <c r="BJ184" i="17"/>
  <c r="AS261" i="17"/>
  <c r="BJ280" i="17"/>
  <c r="BJ356" i="17"/>
  <c r="BJ544" i="17"/>
  <c r="AS585" i="17"/>
  <c r="BJ263" i="17"/>
  <c r="BJ320" i="17"/>
  <c r="BJ605" i="17"/>
  <c r="BJ416" i="17"/>
  <c r="BJ587" i="17"/>
  <c r="BJ341" i="17"/>
  <c r="AR342" i="17"/>
  <c r="BJ531" i="17"/>
  <c r="BK176" i="17"/>
  <c r="BK253" i="17"/>
  <c r="BK518" i="17"/>
  <c r="BD349" i="17"/>
  <c r="BF349" i="17"/>
  <c r="BE349" i="17"/>
  <c r="BK254" i="17"/>
  <c r="BK273" i="17"/>
  <c r="BF443" i="17"/>
  <c r="BK443" i="17"/>
  <c r="BE255" i="17"/>
  <c r="BK275" i="17"/>
  <c r="BK295" i="17"/>
  <c r="BF522" i="17"/>
  <c r="BK522" i="17"/>
  <c r="BD523" i="17"/>
  <c r="BF391" i="17"/>
  <c r="BK221" i="17"/>
  <c r="BF507" i="17"/>
  <c r="BK507" i="17"/>
  <c r="BE57" i="17"/>
  <c r="BK242" i="17"/>
  <c r="BK186" i="17"/>
  <c r="BK166" i="17"/>
  <c r="BD585" i="17"/>
  <c r="BK585" i="17"/>
  <c r="BK320" i="17"/>
  <c r="BK226" i="17"/>
  <c r="BK416" i="17"/>
  <c r="BK246" i="17"/>
  <c r="BK169" i="17"/>
  <c r="BK531" i="17"/>
  <c r="BJ404" i="17"/>
  <c r="BJ327" i="17"/>
  <c r="BJ291" i="17"/>
  <c r="BJ536" i="17"/>
  <c r="BJ368" i="17"/>
  <c r="AV423" i="17"/>
  <c r="AS423" i="17"/>
  <c r="BJ158" i="17"/>
  <c r="AW350" i="17"/>
  <c r="AS311" i="17"/>
  <c r="BJ311" i="17"/>
  <c r="BJ558" i="17"/>
  <c r="AR11" i="17"/>
  <c r="BJ11" i="17"/>
  <c r="BJ256" i="17"/>
  <c r="AS201" i="17"/>
  <c r="BJ600" i="17"/>
  <c r="BJ148" i="17"/>
  <c r="BJ428" i="17"/>
  <c r="AS468" i="17"/>
  <c r="BJ468" i="17"/>
  <c r="BJ412" i="17"/>
  <c r="BJ262" i="17"/>
  <c r="BJ509" i="17"/>
  <c r="BJ510" i="17"/>
  <c r="BK404" i="17"/>
  <c r="BK421" i="17"/>
  <c r="BK291" i="17"/>
  <c r="BK536" i="17"/>
  <c r="BF368" i="17"/>
  <c r="BE368" i="17"/>
  <c r="BD368" i="17"/>
  <c r="BK368" i="17"/>
  <c r="BE423" i="17"/>
  <c r="BD158" i="17"/>
  <c r="BK423" i="17"/>
  <c r="BE481" i="17"/>
  <c r="BD520" i="17"/>
  <c r="BK520" i="17"/>
  <c r="BE52" i="17"/>
  <c r="BD124" i="17"/>
  <c r="BK124" i="17"/>
  <c r="BK334" i="17"/>
  <c r="BK579" i="17"/>
  <c r="BD314" i="17"/>
  <c r="BE467" i="17"/>
  <c r="BK467" i="17"/>
  <c r="BE411" i="17"/>
  <c r="BK411" i="17"/>
  <c r="BD429" i="17"/>
  <c r="BK429" i="17"/>
  <c r="BE165" i="17"/>
  <c r="BK204" i="17"/>
  <c r="BK526" i="17"/>
  <c r="BD110" i="17"/>
  <c r="BK450" i="17"/>
  <c r="BK527" i="17"/>
  <c r="BF301" i="17"/>
  <c r="BK358" i="17"/>
  <c r="BE509" i="17"/>
  <c r="BK509" i="17"/>
  <c r="BK396" i="17"/>
  <c r="BK510" i="17"/>
  <c r="BF303" i="17"/>
  <c r="BK303" i="17"/>
  <c r="BK530" i="17"/>
  <c r="BF512" i="17"/>
  <c r="BK512" i="17"/>
  <c r="BK549" i="17"/>
  <c r="BJ478" i="17"/>
  <c r="BJ385" i="17"/>
  <c r="BJ330" i="17"/>
  <c r="AT595" i="17"/>
  <c r="BJ442" i="17"/>
  <c r="AT122" i="17"/>
  <c r="BJ500" i="17"/>
  <c r="AR217" i="17"/>
  <c r="BJ445" i="17"/>
  <c r="BJ486" i="17"/>
  <c r="BJ393" i="17"/>
  <c r="BJ337" i="17"/>
  <c r="BJ563" i="17"/>
  <c r="BJ18" i="17"/>
  <c r="AR489" i="17"/>
  <c r="BJ377" i="17"/>
  <c r="BJ415" i="17"/>
  <c r="AT434" i="17"/>
  <c r="BJ434" i="17"/>
  <c r="BJ547" i="17"/>
  <c r="BJ454" i="17"/>
  <c r="AT322" i="17"/>
  <c r="BJ397" i="17"/>
  <c r="BJ568" i="17"/>
  <c r="BJ304" i="17"/>
  <c r="BK440" i="17"/>
  <c r="BK478" i="17"/>
  <c r="BK348" i="17"/>
  <c r="BF595" i="17"/>
  <c r="BK595" i="17"/>
  <c r="BD122" i="17"/>
  <c r="BF122" i="17"/>
  <c r="BK122" i="17"/>
  <c r="BF501" i="17"/>
  <c r="BE501" i="17"/>
  <c r="BF444" i="17"/>
  <c r="BK444" i="17"/>
  <c r="BK521" i="17"/>
  <c r="BK371" i="17"/>
  <c r="BD426" i="17"/>
  <c r="BK426" i="17"/>
  <c r="BE446" i="17"/>
  <c r="BK485" i="17"/>
  <c r="BK163" i="17"/>
  <c r="BF448" i="17"/>
  <c r="BK468" i="17"/>
  <c r="BD280" i="17"/>
  <c r="BK280" i="17"/>
  <c r="BK128" i="17"/>
  <c r="BK508" i="17"/>
  <c r="BK545" i="17"/>
  <c r="BE489" i="17"/>
  <c r="BK415" i="17"/>
  <c r="BD529" i="17"/>
  <c r="BK529" i="17"/>
  <c r="BK547" i="17"/>
  <c r="BK454" i="17"/>
  <c r="BK397" i="17"/>
  <c r="BD568" i="17"/>
  <c r="BK568" i="17"/>
  <c r="BD114" i="17"/>
  <c r="BK304" i="17"/>
  <c r="BJ498" i="17"/>
  <c r="BJ460" i="17"/>
  <c r="BJ461" i="17"/>
  <c r="BJ594" i="17"/>
  <c r="BJ143" i="17"/>
  <c r="AU443" i="17"/>
  <c r="AT443" i="17"/>
  <c r="BJ443" i="17"/>
  <c r="BJ293" i="17"/>
  <c r="AR294" i="17"/>
  <c r="BJ237" i="17"/>
  <c r="AS464" i="17"/>
  <c r="BJ464" i="17"/>
  <c r="BJ295" i="17"/>
  <c r="AT598" i="17"/>
  <c r="BJ522" i="17"/>
  <c r="BJ503" i="17"/>
  <c r="BJ467" i="17"/>
  <c r="BJ411" i="17"/>
  <c r="BJ108" i="17"/>
  <c r="BJ260" i="17"/>
  <c r="BJ601" i="17"/>
  <c r="BJ562" i="17"/>
  <c r="BJ318" i="17"/>
  <c r="BJ186" i="17"/>
  <c r="BJ414" i="17"/>
  <c r="BJ319" i="17"/>
  <c r="BJ452" i="17"/>
  <c r="AT546" i="17"/>
  <c r="BJ395" i="17"/>
  <c r="BJ472" i="17"/>
  <c r="AS490" i="17"/>
  <c r="BJ490" i="17"/>
  <c r="BJ511" i="17"/>
  <c r="BJ435" i="17"/>
  <c r="BJ588" i="17"/>
  <c r="BJ228" i="17"/>
  <c r="AT550" i="17"/>
  <c r="BJ550" i="17"/>
  <c r="BK498" i="17"/>
  <c r="BK460" i="17"/>
  <c r="BK461" i="17"/>
  <c r="BK594" i="17"/>
  <c r="BF50" i="17"/>
  <c r="BE143" i="17"/>
  <c r="BK50" i="17"/>
  <c r="BD332" i="17"/>
  <c r="BE407" i="17"/>
  <c r="BF596" i="17"/>
  <c r="BF558" i="17"/>
  <c r="BD558" i="17"/>
  <c r="BK558" i="17"/>
  <c r="BE32" i="17"/>
  <c r="BK32" i="17"/>
  <c r="BK276" i="17"/>
  <c r="BF540" i="17"/>
  <c r="BK53" i="17"/>
  <c r="BF296" i="17"/>
  <c r="BK505" i="17"/>
  <c r="BK355" i="17"/>
  <c r="BD561" i="17"/>
  <c r="BK561" i="17"/>
  <c r="BE375" i="17"/>
  <c r="BK375" i="17"/>
  <c r="BK413" i="17"/>
  <c r="BF376" i="17"/>
  <c r="BK376" i="17"/>
  <c r="BK338" i="17"/>
  <c r="BK452" i="17"/>
  <c r="BK546" i="17"/>
  <c r="BF472" i="17"/>
  <c r="BK472" i="17"/>
  <c r="BK490" i="17"/>
  <c r="BK435" i="17"/>
  <c r="BK588" i="17"/>
  <c r="BK398" i="17"/>
  <c r="BK550" i="17"/>
  <c r="BJ554" i="17"/>
  <c r="BJ593" i="17"/>
  <c r="BJ272" i="17"/>
  <c r="BJ196" i="17"/>
  <c r="AT480" i="17"/>
  <c r="BJ480" i="17"/>
  <c r="AT84" i="17"/>
  <c r="BJ235" i="17"/>
  <c r="AR462" i="17"/>
  <c r="AS462" i="17"/>
  <c r="BJ462" i="17"/>
  <c r="AS463" i="17"/>
  <c r="AR463" i="17"/>
  <c r="BJ481" i="17"/>
  <c r="AT520" i="17"/>
  <c r="BJ520" i="17"/>
  <c r="BJ597" i="17"/>
  <c r="AR502" i="17"/>
  <c r="BJ312" i="17"/>
  <c r="AR334" i="17"/>
  <c r="BJ33" i="17"/>
  <c r="BJ579" i="17"/>
  <c r="BJ87" i="17"/>
  <c r="BJ485" i="17"/>
  <c r="BJ447" i="17"/>
  <c r="AR506" i="17"/>
  <c r="BJ506" i="17"/>
  <c r="AS279" i="17"/>
  <c r="BJ279" i="17"/>
  <c r="AS110" i="17"/>
  <c r="BJ110" i="17"/>
  <c r="BJ527" i="17"/>
  <c r="BJ206" i="17"/>
  <c r="BJ604" i="17"/>
  <c r="BJ168" i="17"/>
  <c r="BJ473" i="17"/>
  <c r="AR606" i="17"/>
  <c r="BJ606" i="17"/>
  <c r="AS607" i="17"/>
  <c r="BJ607" i="17"/>
  <c r="BK554" i="17"/>
  <c r="BK156" i="17"/>
  <c r="BK575" i="17"/>
  <c r="BK479" i="17"/>
  <c r="BD480" i="17"/>
  <c r="BG216" i="17"/>
  <c r="BK216" i="17"/>
  <c r="BD84" i="17"/>
  <c r="BF235" i="17"/>
  <c r="BK235" i="17"/>
  <c r="BF10" i="17"/>
  <c r="BE123" i="17"/>
  <c r="BK10" i="17"/>
  <c r="BF274" i="17"/>
  <c r="BD85" i="17"/>
  <c r="BF539" i="17"/>
  <c r="BE539" i="17"/>
  <c r="BK539" i="17"/>
  <c r="BK180" i="17"/>
  <c r="BE389" i="17"/>
  <c r="BK389" i="17"/>
  <c r="BK483" i="17"/>
  <c r="BE504" i="17"/>
  <c r="BD504" i="17"/>
  <c r="BK89" i="17"/>
  <c r="BD203" i="17"/>
  <c r="BK108" i="17"/>
  <c r="BD374" i="17"/>
  <c r="BK260" i="17"/>
  <c r="BK185" i="17"/>
  <c r="BK337" i="17"/>
  <c r="BD432" i="17"/>
  <c r="BK432" i="17"/>
  <c r="BE206" i="17"/>
  <c r="BK111" i="17"/>
  <c r="BK93" i="17"/>
  <c r="BK112" i="17"/>
  <c r="BD566" i="17"/>
  <c r="BK566" i="17"/>
  <c r="BK473" i="17"/>
  <c r="BF606" i="17"/>
  <c r="BK606" i="17"/>
  <c r="BD569" i="17"/>
  <c r="BK569" i="17"/>
  <c r="BJ517" i="17"/>
  <c r="BJ48" i="17"/>
  <c r="BJ121" i="17"/>
  <c r="BJ83" i="17"/>
  <c r="BJ576" i="17"/>
  <c r="AW556" i="17"/>
  <c r="AT556" i="17"/>
  <c r="BJ556" i="17"/>
  <c r="AT519" i="17"/>
  <c r="AS519" i="17"/>
  <c r="BJ519" i="17"/>
  <c r="BJ51" i="17"/>
  <c r="BJ482" i="17"/>
  <c r="BJ218" i="17"/>
  <c r="AS371" i="17"/>
  <c r="BJ371" i="17"/>
  <c r="BJ426" i="17"/>
  <c r="BJ390" i="17"/>
  <c r="BJ162" i="17"/>
  <c r="BJ259" i="17"/>
  <c r="BJ149" i="17"/>
  <c r="AT392" i="17"/>
  <c r="BJ392" i="17"/>
  <c r="BJ241" i="17"/>
  <c r="AR91" i="17"/>
  <c r="BJ223" i="17"/>
  <c r="BJ508" i="17"/>
  <c r="BJ545" i="17"/>
  <c r="BJ167" i="17"/>
  <c r="BJ565" i="17"/>
  <c r="BJ40" i="17"/>
  <c r="BJ245" i="17"/>
  <c r="BJ95" i="17"/>
  <c r="BJ209" i="17"/>
  <c r="BK517" i="17"/>
  <c r="BK48" i="17"/>
  <c r="BK121" i="17"/>
  <c r="BK83" i="17"/>
  <c r="BE576" i="17"/>
  <c r="BK576" i="17"/>
  <c r="BH556" i="17"/>
  <c r="BK331" i="17"/>
  <c r="BI577" i="17"/>
  <c r="BF69" i="17"/>
  <c r="BK69" i="17"/>
  <c r="BD236" i="17"/>
  <c r="BF237" i="17"/>
  <c r="BK237" i="17"/>
  <c r="BE160" i="17"/>
  <c r="BK464" i="17"/>
  <c r="BK352" i="17"/>
  <c r="BK465" i="17"/>
  <c r="BD427" i="17"/>
  <c r="BK354" i="17"/>
  <c r="BF470" i="17"/>
  <c r="BK94" i="17"/>
  <c r="BK417" i="17"/>
  <c r="BK548" i="17"/>
  <c r="BK190" i="17"/>
  <c r="BJ195" i="17"/>
  <c r="BJ233" i="17"/>
  <c r="BJ157" i="17"/>
  <c r="BJ555" i="17"/>
  <c r="AU406" i="17"/>
  <c r="AR406" i="17"/>
  <c r="BJ406" i="17"/>
  <c r="AS537" i="17"/>
  <c r="AT537" i="17"/>
  <c r="BJ537" i="17"/>
  <c r="AS538" i="17"/>
  <c r="AV538" i="17"/>
  <c r="BJ538" i="17"/>
  <c r="AR596" i="17"/>
  <c r="AU596" i="17"/>
  <c r="AT596" i="17"/>
  <c r="AS198" i="17"/>
  <c r="BJ198" i="17"/>
  <c r="AS125" i="17"/>
  <c r="BJ276" i="17"/>
  <c r="BJ54" i="17"/>
  <c r="BJ581" i="17"/>
  <c r="AR35" i="17"/>
  <c r="BJ35" i="17"/>
  <c r="BJ222" i="17"/>
  <c r="BJ543" i="17"/>
  <c r="BJ507" i="17"/>
  <c r="BJ583" i="17"/>
  <c r="BJ376" i="17"/>
  <c r="BJ338" i="17"/>
  <c r="BJ433" i="17"/>
  <c r="BJ528" i="17"/>
  <c r="BJ567" i="17"/>
  <c r="BJ360" i="17"/>
  <c r="BJ266" i="17"/>
  <c r="BJ361" i="17"/>
  <c r="BJ285" i="17"/>
  <c r="BK309" i="17"/>
  <c r="BK233" i="17"/>
  <c r="BK367" i="17"/>
  <c r="BK555" i="17"/>
  <c r="BG406" i="17"/>
  <c r="BF406" i="17"/>
  <c r="BD406" i="17"/>
  <c r="BK406" i="17"/>
  <c r="BD537" i="17"/>
  <c r="BK537" i="17"/>
  <c r="BD179" i="17"/>
  <c r="BK597" i="17"/>
  <c r="BK502" i="17"/>
  <c r="BK240" i="17"/>
  <c r="BK542" i="17"/>
  <c r="BF74" i="17"/>
  <c r="BK149" i="17"/>
  <c r="BF602" i="17"/>
  <c r="BK602" i="17"/>
  <c r="BK262" i="17"/>
  <c r="BF603" i="17"/>
  <c r="BK603" i="17"/>
  <c r="BK433" i="17"/>
  <c r="BE59" i="17"/>
  <c r="BK528" i="17"/>
  <c r="BK78" i="17"/>
  <c r="BK321" i="17"/>
  <c r="BE567" i="17"/>
  <c r="BK208" i="17"/>
  <c r="BK360" i="17"/>
  <c r="BD96" i="17"/>
  <c r="BK96" i="17"/>
  <c r="BK361" i="17"/>
  <c r="BJ384" i="17"/>
  <c r="BJ347" i="17"/>
  <c r="BJ215" i="17"/>
  <c r="AS292" i="17"/>
  <c r="AW292" i="17"/>
  <c r="BJ292" i="17"/>
  <c r="AU386" i="17"/>
  <c r="AR386" i="17"/>
  <c r="BJ386" i="17"/>
  <c r="AT123" i="17"/>
  <c r="AT274" i="17"/>
  <c r="BJ85" i="17"/>
  <c r="AR369" i="17"/>
  <c r="BJ369" i="17"/>
  <c r="BJ124" i="17"/>
  <c r="AU70" i="17"/>
  <c r="AT70" i="17"/>
  <c r="AR70" i="17"/>
  <c r="BJ70" i="17"/>
  <c r="AT200" i="17"/>
  <c r="BJ389" i="17"/>
  <c r="AR483" i="17"/>
  <c r="BJ483" i="17"/>
  <c r="AR484" i="17"/>
  <c r="AT524" i="17"/>
  <c r="BJ524" i="17"/>
  <c r="BJ354" i="17"/>
  <c r="BJ127" i="17"/>
  <c r="BJ582" i="17"/>
  <c r="BJ165" i="17"/>
  <c r="BJ17" i="17"/>
  <c r="AS449" i="17"/>
  <c r="BJ449" i="17"/>
  <c r="BJ432" i="17"/>
  <c r="BJ130" i="17"/>
  <c r="AR339" i="17"/>
  <c r="BJ339" i="17"/>
  <c r="BJ131" i="17"/>
  <c r="AS586" i="17"/>
  <c r="BJ586" i="17"/>
  <c r="BJ492" i="17"/>
  <c r="BK384" i="17"/>
  <c r="BK347" i="17"/>
  <c r="BK215" i="17"/>
  <c r="BK234" i="17"/>
  <c r="BF292" i="17"/>
  <c r="BD292" i="17"/>
  <c r="BK292" i="17"/>
  <c r="BI386" i="17"/>
  <c r="BF386" i="17"/>
  <c r="BD386" i="17"/>
  <c r="BE386" i="17"/>
  <c r="BK386" i="17"/>
  <c r="BE557" i="17"/>
  <c r="BD424" i="17"/>
  <c r="BF557" i="17"/>
  <c r="BE217" i="17"/>
  <c r="BK217" i="17"/>
  <c r="BG388" i="17"/>
  <c r="BF388" i="17"/>
  <c r="BD482" i="17"/>
  <c r="BK482" i="17"/>
  <c r="BD199" i="17"/>
  <c r="BK218" i="17"/>
  <c r="BK445" i="17"/>
  <c r="BF353" i="17"/>
  <c r="BK600" i="17"/>
  <c r="BK183" i="17"/>
  <c r="BK222" i="17"/>
  <c r="BK91" i="17"/>
  <c r="BK563" i="17"/>
  <c r="BK281" i="17"/>
  <c r="BK471" i="17"/>
  <c r="BK19" i="17"/>
  <c r="BK586" i="17"/>
  <c r="BK227" i="17"/>
  <c r="BK492" i="17"/>
  <c r="AU501" i="17"/>
  <c r="BG157" i="17"/>
  <c r="AU83" i="17"/>
  <c r="AW237" i="17"/>
  <c r="BH255" i="17"/>
  <c r="BH215" i="17"/>
  <c r="BI236" i="17"/>
  <c r="AW121" i="17"/>
  <c r="BH253" i="17"/>
  <c r="BH330" i="17"/>
  <c r="AW122" i="17"/>
  <c r="AU291" i="17"/>
  <c r="BI123" i="17"/>
  <c r="BI84" i="17"/>
  <c r="BG575" i="17"/>
  <c r="AV215" i="17"/>
  <c r="BI575" i="17"/>
  <c r="AU575" i="17"/>
  <c r="AU348" i="17"/>
  <c r="AU369" i="17"/>
  <c r="AW537" i="17"/>
  <c r="BH479" i="17"/>
  <c r="BI461" i="17"/>
  <c r="AU555" i="17"/>
  <c r="AV461" i="17"/>
  <c r="AW499" i="17"/>
  <c r="BI536" i="17"/>
  <c r="BI369" i="17"/>
  <c r="BF369" i="17"/>
  <c r="BD369" i="17"/>
  <c r="BE369" i="17"/>
  <c r="BG369" i="17"/>
  <c r="BH369" i="17"/>
  <c r="BC369" i="17"/>
  <c r="BD462" i="17"/>
  <c r="BF462" i="17"/>
  <c r="BE462" i="17"/>
  <c r="BG462" i="17"/>
  <c r="BH462" i="17"/>
  <c r="BI462" i="17"/>
  <c r="BC462" i="17"/>
  <c r="BD449" i="17"/>
  <c r="BI449" i="17"/>
  <c r="BH449" i="17"/>
  <c r="BG449" i="17"/>
  <c r="BE449" i="17"/>
  <c r="BF449" i="17"/>
  <c r="BC449" i="17"/>
  <c r="BG279" i="17"/>
  <c r="BF279" i="17"/>
  <c r="BE279" i="17"/>
  <c r="BD279" i="17"/>
  <c r="BH279" i="17"/>
  <c r="BI279" i="17"/>
  <c r="BC279" i="17"/>
  <c r="BI87" i="17"/>
  <c r="BH87" i="17"/>
  <c r="BG87" i="17"/>
  <c r="BF87" i="17"/>
  <c r="BE87" i="17"/>
  <c r="BD87" i="17"/>
  <c r="BC87" i="17"/>
  <c r="BD215" i="17"/>
  <c r="BD177" i="17"/>
  <c r="AV234" i="17"/>
  <c r="AT347" i="17"/>
  <c r="AT290" i="17"/>
  <c r="AT384" i="17"/>
  <c r="AT214" i="17"/>
  <c r="BH555" i="17"/>
  <c r="BH441" i="17"/>
  <c r="BI367" i="17"/>
  <c r="BI157" i="17"/>
  <c r="AR555" i="17"/>
  <c r="AR441" i="17"/>
  <c r="AS367" i="17"/>
  <c r="AS157" i="17"/>
  <c r="AW233" i="17"/>
  <c r="AW271" i="17"/>
  <c r="AT309" i="17"/>
  <c r="AT195" i="17"/>
  <c r="BG8" i="17"/>
  <c r="BG83" i="17"/>
  <c r="BH121" i="17"/>
  <c r="BH67" i="17"/>
  <c r="AS83" i="17"/>
  <c r="AS8" i="17"/>
  <c r="AV121" i="17"/>
  <c r="AV67" i="17"/>
  <c r="AV48" i="17"/>
  <c r="AV7" i="17"/>
  <c r="AT517" i="17"/>
  <c r="AT120" i="17"/>
  <c r="BE479" i="17"/>
  <c r="BE196" i="17"/>
  <c r="BF575" i="17"/>
  <c r="BF272" i="17"/>
  <c r="AT479" i="17"/>
  <c r="AT196" i="17"/>
  <c r="AV575" i="17"/>
  <c r="AV272" i="17"/>
  <c r="AV593" i="17"/>
  <c r="AV156" i="17"/>
  <c r="AR554" i="17"/>
  <c r="AR82" i="17"/>
  <c r="BE461" i="17"/>
  <c r="BE405" i="17"/>
  <c r="BH460" i="17"/>
  <c r="BI535" i="17"/>
  <c r="BI498" i="17"/>
  <c r="AT594" i="17"/>
  <c r="AT101" i="17"/>
  <c r="AW461" i="17"/>
  <c r="AW405" i="17"/>
  <c r="AS460" i="17"/>
  <c r="BD348" i="17"/>
  <c r="BD385" i="17"/>
  <c r="BE478" i="17"/>
  <c r="BE28" i="17"/>
  <c r="BG440" i="17"/>
  <c r="BG66" i="17"/>
  <c r="AT330" i="17"/>
  <c r="AT142" i="17"/>
  <c r="AS348" i="17"/>
  <c r="AS385" i="17"/>
  <c r="AR478" i="17"/>
  <c r="AR28" i="17"/>
  <c r="AV440" i="17"/>
  <c r="AV66" i="17"/>
  <c r="BD536" i="17"/>
  <c r="BD422" i="17"/>
  <c r="BE291" i="17"/>
  <c r="BE49" i="17"/>
  <c r="BF421" i="17"/>
  <c r="BF327" i="17"/>
  <c r="BG404" i="17"/>
  <c r="BG366" i="17"/>
  <c r="AW536" i="17"/>
  <c r="AW422" i="17"/>
  <c r="AV366" i="17"/>
  <c r="AV404" i="17"/>
  <c r="BD499" i="17"/>
  <c r="BD518" i="17"/>
  <c r="BE253" i="17"/>
  <c r="BE29" i="17"/>
  <c r="BH100" i="17"/>
  <c r="BH176" i="17"/>
  <c r="AW176" i="17"/>
  <c r="AW100" i="17"/>
  <c r="AW574" i="17"/>
  <c r="AW252" i="17"/>
  <c r="BD234" i="17"/>
  <c r="BH384" i="17"/>
  <c r="BH214" i="17"/>
  <c r="BJ123" i="17"/>
  <c r="BJ10" i="17"/>
  <c r="AW234" i="17"/>
  <c r="AU215" i="17"/>
  <c r="AU177" i="17"/>
  <c r="AU347" i="17"/>
  <c r="AU290" i="17"/>
  <c r="AS384" i="17"/>
  <c r="AS214" i="17"/>
  <c r="BI555" i="17"/>
  <c r="BI441" i="17"/>
  <c r="BF309" i="17"/>
  <c r="BF195" i="17"/>
  <c r="AS555" i="17"/>
  <c r="AS441" i="17"/>
  <c r="AW367" i="17"/>
  <c r="AW157" i="17"/>
  <c r="AU233" i="17"/>
  <c r="AU271" i="17"/>
  <c r="AU309" i="17"/>
  <c r="AU195" i="17"/>
  <c r="BH83" i="17"/>
  <c r="BH8" i="17"/>
  <c r="BD517" i="17"/>
  <c r="BD120" i="17"/>
  <c r="AU121" i="17"/>
  <c r="AU67" i="17"/>
  <c r="AT48" i="17"/>
  <c r="AT7" i="17"/>
  <c r="AW517" i="17"/>
  <c r="AW120" i="17"/>
  <c r="BF479" i="17"/>
  <c r="BF196" i="17"/>
  <c r="BG554" i="17"/>
  <c r="BG82" i="17"/>
  <c r="AW479" i="17"/>
  <c r="AW196" i="17"/>
  <c r="AW575" i="17"/>
  <c r="AW272" i="17"/>
  <c r="AR593" i="17"/>
  <c r="AR156" i="17"/>
  <c r="AV554" i="17"/>
  <c r="AV82" i="17"/>
  <c r="BF594" i="17"/>
  <c r="BF101" i="17"/>
  <c r="BF461" i="17"/>
  <c r="BF405" i="17"/>
  <c r="BI460" i="17"/>
  <c r="BG535" i="17"/>
  <c r="BG498" i="17"/>
  <c r="AR443" i="17"/>
  <c r="AR387" i="17"/>
  <c r="AU594" i="17"/>
  <c r="AU101" i="17"/>
  <c r="AS461" i="17"/>
  <c r="AS405" i="17"/>
  <c r="BE330" i="17"/>
  <c r="BE142" i="17"/>
  <c r="BE348" i="17"/>
  <c r="BE385" i="17"/>
  <c r="BG478" i="17"/>
  <c r="BG28" i="17"/>
  <c r="BH440" i="17"/>
  <c r="BH66" i="17"/>
  <c r="AS330" i="17"/>
  <c r="AS142" i="17"/>
  <c r="AW348" i="17"/>
  <c r="AW385" i="17"/>
  <c r="AV478" i="17"/>
  <c r="AV28" i="17"/>
  <c r="BE536" i="17"/>
  <c r="BE422" i="17"/>
  <c r="BF291" i="17"/>
  <c r="BF49" i="17"/>
  <c r="BG421" i="17"/>
  <c r="BG327" i="17"/>
  <c r="BH366" i="17"/>
  <c r="BH404" i="17"/>
  <c r="AU421" i="17"/>
  <c r="AU327" i="17"/>
  <c r="AU366" i="17"/>
  <c r="AU404" i="17"/>
  <c r="BE499" i="17"/>
  <c r="BE518" i="17"/>
  <c r="BF253" i="17"/>
  <c r="BF29" i="17"/>
  <c r="AV253" i="17"/>
  <c r="AV29" i="17"/>
  <c r="AV176" i="17"/>
  <c r="AV100" i="17"/>
  <c r="AS574" i="17"/>
  <c r="AS252" i="17"/>
  <c r="BH347" i="17"/>
  <c r="BH290" i="17"/>
  <c r="BG384" i="17"/>
  <c r="BG214" i="17"/>
  <c r="AT234" i="17"/>
  <c r="AT215" i="17"/>
  <c r="AT177" i="17"/>
  <c r="AS347" i="17"/>
  <c r="AS290" i="17"/>
  <c r="BF233" i="17"/>
  <c r="BF271" i="17"/>
  <c r="BG309" i="17"/>
  <c r="BG195" i="17"/>
  <c r="BJ332" i="17"/>
  <c r="AW555" i="17"/>
  <c r="AW441" i="17"/>
  <c r="AT367" i="17"/>
  <c r="AT157" i="17"/>
  <c r="AT233" i="17"/>
  <c r="AT271" i="17"/>
  <c r="AV309" i="17"/>
  <c r="AV195" i="17"/>
  <c r="BD48" i="17"/>
  <c r="BD7" i="17"/>
  <c r="BI517" i="17"/>
  <c r="BI120" i="17"/>
  <c r="AV83" i="17"/>
  <c r="AV8" i="17"/>
  <c r="AT121" i="17"/>
  <c r="AT67" i="17"/>
  <c r="AW48" i="17"/>
  <c r="AW7" i="17"/>
  <c r="BI593" i="17"/>
  <c r="BI156" i="17"/>
  <c r="BI554" i="17"/>
  <c r="BI82" i="17"/>
  <c r="BJ463" i="17"/>
  <c r="AV479" i="17"/>
  <c r="AV196" i="17"/>
  <c r="AR575" i="17"/>
  <c r="AR272" i="17"/>
  <c r="AU593" i="17"/>
  <c r="AU156" i="17"/>
  <c r="BE594" i="17"/>
  <c r="BE101" i="17"/>
  <c r="BG461" i="17"/>
  <c r="BG405" i="17"/>
  <c r="BG460" i="17"/>
  <c r="BD535" i="17"/>
  <c r="BD498" i="17"/>
  <c r="AS594" i="17"/>
  <c r="AS101" i="17"/>
  <c r="AT535" i="17"/>
  <c r="AT498" i="17"/>
  <c r="BD330" i="17"/>
  <c r="BD142" i="17"/>
  <c r="BF348" i="17"/>
  <c r="BF385" i="17"/>
  <c r="BH478" i="17"/>
  <c r="BH28" i="17"/>
  <c r="BI440" i="17"/>
  <c r="BI66" i="17"/>
  <c r="AV330" i="17"/>
  <c r="AV142" i="17"/>
  <c r="AV348" i="17"/>
  <c r="AV385" i="17"/>
  <c r="BF536" i="17"/>
  <c r="BF422" i="17"/>
  <c r="BG291" i="17"/>
  <c r="BG49" i="17"/>
  <c r="BH421" i="17"/>
  <c r="BH327" i="17"/>
  <c r="AV421" i="17"/>
  <c r="AV327" i="17"/>
  <c r="AS366" i="17"/>
  <c r="AS404" i="17"/>
  <c r="BF518" i="17"/>
  <c r="BF499" i="17"/>
  <c r="BG574" i="17"/>
  <c r="BG252" i="17"/>
  <c r="AV499" i="17"/>
  <c r="AV518" i="17"/>
  <c r="AW253" i="17"/>
  <c r="AW29" i="17"/>
  <c r="AT176" i="17"/>
  <c r="AT100" i="17"/>
  <c r="AT574" i="17"/>
  <c r="AT252" i="17"/>
  <c r="BF177" i="17"/>
  <c r="BF215" i="17"/>
  <c r="BG347" i="17"/>
  <c r="BG290" i="17"/>
  <c r="BE384" i="17"/>
  <c r="BE214" i="17"/>
  <c r="AU234" i="17"/>
  <c r="AS215" i="17"/>
  <c r="AS177" i="17"/>
  <c r="BD367" i="17"/>
  <c r="BD157" i="17"/>
  <c r="BG271" i="17"/>
  <c r="BG233" i="17"/>
  <c r="BE309" i="17"/>
  <c r="BE195" i="17"/>
  <c r="BJ596" i="17"/>
  <c r="BJ407" i="17"/>
  <c r="AU367" i="17"/>
  <c r="AU157" i="17"/>
  <c r="AV271" i="17"/>
  <c r="AV233" i="17"/>
  <c r="BI121" i="17"/>
  <c r="BI67" i="17"/>
  <c r="BI48" i="17"/>
  <c r="BI7" i="17"/>
  <c r="BE517" i="17"/>
  <c r="BE120" i="17"/>
  <c r="AT83" i="17"/>
  <c r="AT8" i="17"/>
  <c r="AW67" i="17"/>
  <c r="BG593" i="17"/>
  <c r="BG156" i="17"/>
  <c r="BE554" i="17"/>
  <c r="BE82" i="17"/>
  <c r="BJ144" i="17"/>
  <c r="AR479" i="17"/>
  <c r="AR196" i="17"/>
  <c r="BK596" i="17"/>
  <c r="BK407" i="17"/>
  <c r="BG594" i="17"/>
  <c r="BG101" i="17"/>
  <c r="BH405" i="17"/>
  <c r="BH461" i="17"/>
  <c r="BD460" i="17"/>
  <c r="BF535" i="17"/>
  <c r="BF498" i="17"/>
  <c r="AT460" i="17"/>
  <c r="AU498" i="17"/>
  <c r="AU535" i="17"/>
  <c r="BK501" i="17"/>
  <c r="BK51" i="17"/>
  <c r="BF330" i="17"/>
  <c r="BF142" i="17"/>
  <c r="BG348" i="17"/>
  <c r="BG385" i="17"/>
  <c r="BI478" i="17"/>
  <c r="BI28" i="17"/>
  <c r="BD440" i="17"/>
  <c r="BD66" i="17"/>
  <c r="AW330" i="17"/>
  <c r="AW142" i="17"/>
  <c r="AT440" i="17"/>
  <c r="AT66" i="17"/>
  <c r="BG536" i="17"/>
  <c r="BG422" i="17"/>
  <c r="BH291" i="17"/>
  <c r="BH49" i="17"/>
  <c r="AV536" i="17"/>
  <c r="AV422" i="17"/>
  <c r="AV291" i="17"/>
  <c r="AV49" i="17"/>
  <c r="AR421" i="17"/>
  <c r="AR327" i="17"/>
  <c r="AR366" i="17"/>
  <c r="AR404" i="17"/>
  <c r="BG176" i="17"/>
  <c r="BG100" i="17"/>
  <c r="BI574" i="17"/>
  <c r="BI252" i="17"/>
  <c r="AS253" i="17"/>
  <c r="AS29" i="17"/>
  <c r="AS100" i="17"/>
  <c r="AS176" i="17"/>
  <c r="AR574" i="17"/>
  <c r="AR252" i="17"/>
  <c r="BE234" i="17"/>
  <c r="BG215" i="17"/>
  <c r="BG177" i="17"/>
  <c r="BE347" i="17"/>
  <c r="BE290" i="17"/>
  <c r="BI384" i="17"/>
  <c r="BI214" i="17"/>
  <c r="AS234" i="17"/>
  <c r="AR384" i="17"/>
  <c r="AR214" i="17"/>
  <c r="BE555" i="17"/>
  <c r="BE441" i="17"/>
  <c r="BE367" i="17"/>
  <c r="BE157" i="17"/>
  <c r="BE233" i="17"/>
  <c r="BE271" i="17"/>
  <c r="BH309" i="17"/>
  <c r="BH195" i="17"/>
  <c r="AT555" i="17"/>
  <c r="AT441" i="17"/>
  <c r="AV367" i="17"/>
  <c r="AV157" i="17"/>
  <c r="BI69" i="17"/>
  <c r="BI83" i="17"/>
  <c r="BI8" i="17"/>
  <c r="BD121" i="17"/>
  <c r="BD67" i="17"/>
  <c r="BE48" i="17"/>
  <c r="BE7" i="17"/>
  <c r="BF517" i="17"/>
  <c r="BF120" i="17"/>
  <c r="AW83" i="17"/>
  <c r="AW8" i="17"/>
  <c r="AR517" i="17"/>
  <c r="AR120" i="17"/>
  <c r="BF85" i="17"/>
  <c r="BI479" i="17"/>
  <c r="BI196" i="17"/>
  <c r="BI272" i="17"/>
  <c r="BD593" i="17"/>
  <c r="BD156" i="17"/>
  <c r="BF554" i="17"/>
  <c r="BF82" i="17"/>
  <c r="AU479" i="17"/>
  <c r="AU196" i="17"/>
  <c r="AW554" i="17"/>
  <c r="AW82" i="17"/>
  <c r="BH594" i="17"/>
  <c r="BH101" i="17"/>
  <c r="BF460" i="17"/>
  <c r="AU461" i="17"/>
  <c r="AU405" i="17"/>
  <c r="AU460" i="17"/>
  <c r="AR535" i="17"/>
  <c r="AR498" i="17"/>
  <c r="BG330" i="17"/>
  <c r="BG142" i="17"/>
  <c r="BH348" i="17"/>
  <c r="BH385" i="17"/>
  <c r="BD478" i="17"/>
  <c r="BD28" i="17"/>
  <c r="AT478" i="17"/>
  <c r="AT28" i="17"/>
  <c r="AU440" i="17"/>
  <c r="AU66" i="17"/>
  <c r="BH536" i="17"/>
  <c r="BH422" i="17"/>
  <c r="BD366" i="17"/>
  <c r="BD404" i="17"/>
  <c r="AR536" i="17"/>
  <c r="AR422" i="17"/>
  <c r="AS291" i="17"/>
  <c r="AS49" i="17"/>
  <c r="AS327" i="17"/>
  <c r="AS421" i="17"/>
  <c r="AT404" i="17"/>
  <c r="AT366" i="17"/>
  <c r="BH29" i="17"/>
  <c r="BI100" i="17"/>
  <c r="BI176" i="17"/>
  <c r="BD574" i="17"/>
  <c r="BD252" i="17"/>
  <c r="AT518" i="17"/>
  <c r="AT499" i="17"/>
  <c r="AT253" i="17"/>
  <c r="AT29" i="17"/>
  <c r="AR100" i="17"/>
  <c r="AR176" i="17"/>
  <c r="AU574" i="17"/>
  <c r="AU252" i="17"/>
  <c r="BG234" i="17"/>
  <c r="BE177" i="17"/>
  <c r="BE215" i="17"/>
  <c r="BI347" i="17"/>
  <c r="BI290" i="17"/>
  <c r="BD384" i="17"/>
  <c r="BD214" i="17"/>
  <c r="AR347" i="17"/>
  <c r="AR290" i="17"/>
  <c r="AV384" i="17"/>
  <c r="AV214" i="17"/>
  <c r="BD555" i="17"/>
  <c r="BD441" i="17"/>
  <c r="BF367" i="17"/>
  <c r="BF157" i="17"/>
  <c r="BH271" i="17"/>
  <c r="BH233" i="17"/>
  <c r="BI309" i="17"/>
  <c r="BI195" i="17"/>
  <c r="AV555" i="17"/>
  <c r="AV441" i="17"/>
  <c r="AS309" i="17"/>
  <c r="AS195" i="17"/>
  <c r="BD83" i="17"/>
  <c r="BD8" i="17"/>
  <c r="BE121" i="17"/>
  <c r="BE67" i="17"/>
  <c r="BF48" i="17"/>
  <c r="BF7" i="17"/>
  <c r="BG517" i="17"/>
  <c r="BG120" i="17"/>
  <c r="AS48" i="17"/>
  <c r="AS7" i="17"/>
  <c r="AS517" i="17"/>
  <c r="AS120" i="17"/>
  <c r="BG479" i="17"/>
  <c r="BG196" i="17"/>
  <c r="BH575" i="17"/>
  <c r="BH272" i="17"/>
  <c r="BE593" i="17"/>
  <c r="BE156" i="17"/>
  <c r="BH554" i="17"/>
  <c r="BH82" i="17"/>
  <c r="AS593" i="17"/>
  <c r="AS156" i="17"/>
  <c r="AS554" i="17"/>
  <c r="AS82" i="17"/>
  <c r="BI594" i="17"/>
  <c r="BI101" i="17"/>
  <c r="BD461" i="17"/>
  <c r="BD405" i="17"/>
  <c r="AT387" i="17"/>
  <c r="AR594" i="17"/>
  <c r="AR101" i="17"/>
  <c r="AT461" i="17"/>
  <c r="AT405" i="17"/>
  <c r="AW460" i="17"/>
  <c r="AV535" i="17"/>
  <c r="AV498" i="17"/>
  <c r="BH142" i="17"/>
  <c r="BI348" i="17"/>
  <c r="BI385" i="17"/>
  <c r="AT348" i="17"/>
  <c r="AT385" i="17"/>
  <c r="AU478" i="17"/>
  <c r="AU28" i="17"/>
  <c r="AR440" i="17"/>
  <c r="AR66" i="17"/>
  <c r="BD421" i="17"/>
  <c r="BD327" i="17"/>
  <c r="BE404" i="17"/>
  <c r="BE366" i="17"/>
  <c r="BJ350" i="17"/>
  <c r="BJ103" i="17"/>
  <c r="AS536" i="17"/>
  <c r="AS422" i="17"/>
  <c r="AR291" i="17"/>
  <c r="AR49" i="17"/>
  <c r="AT327" i="17"/>
  <c r="AT421" i="17"/>
  <c r="AW404" i="17"/>
  <c r="AW366" i="17"/>
  <c r="BH518" i="17"/>
  <c r="BH499" i="17"/>
  <c r="BG253" i="17"/>
  <c r="BG29" i="17"/>
  <c r="BD176" i="17"/>
  <c r="BD100" i="17"/>
  <c r="BE574" i="17"/>
  <c r="BE252" i="17"/>
  <c r="BJ236" i="17"/>
  <c r="BJ31" i="17"/>
  <c r="AS518" i="17"/>
  <c r="AS499" i="17"/>
  <c r="AR253" i="17"/>
  <c r="AR29" i="17"/>
  <c r="AU176" i="17"/>
  <c r="AU100" i="17"/>
  <c r="BK557" i="17"/>
  <c r="BK424" i="17"/>
  <c r="BF234" i="17"/>
  <c r="BD347" i="17"/>
  <c r="BD290" i="17"/>
  <c r="BF384" i="17"/>
  <c r="BF214" i="17"/>
  <c r="AW177" i="17"/>
  <c r="AW215" i="17"/>
  <c r="AV347" i="17"/>
  <c r="AV290" i="17"/>
  <c r="AW384" i="17"/>
  <c r="AW214" i="17"/>
  <c r="BK350" i="17"/>
  <c r="BK103" i="17"/>
  <c r="BE537" i="17"/>
  <c r="BE9" i="17"/>
  <c r="BF555" i="17"/>
  <c r="BF441" i="17"/>
  <c r="BI233" i="17"/>
  <c r="BI271" i="17"/>
  <c r="BD309" i="17"/>
  <c r="BD195" i="17"/>
  <c r="AR271" i="17"/>
  <c r="AR233" i="17"/>
  <c r="AW309" i="17"/>
  <c r="AW195" i="17"/>
  <c r="BH331" i="17"/>
  <c r="BE83" i="17"/>
  <c r="BE8" i="17"/>
  <c r="BF121" i="17"/>
  <c r="BF67" i="17"/>
  <c r="BG48" i="17"/>
  <c r="BG7" i="17"/>
  <c r="BH517" i="17"/>
  <c r="BH120" i="17"/>
  <c r="AR121" i="17"/>
  <c r="AR67" i="17"/>
  <c r="AR48" i="17"/>
  <c r="AR7" i="17"/>
  <c r="AV517" i="17"/>
  <c r="AV120" i="17"/>
  <c r="BK123" i="17"/>
  <c r="BH196" i="17"/>
  <c r="BD575" i="17"/>
  <c r="BD272" i="17"/>
  <c r="BF593" i="17"/>
  <c r="BF156" i="17"/>
  <c r="BD554" i="17"/>
  <c r="BD82" i="17"/>
  <c r="AT575" i="17"/>
  <c r="AT272" i="17"/>
  <c r="AT593" i="17"/>
  <c r="AT156" i="17"/>
  <c r="AT554" i="17"/>
  <c r="AT82" i="17"/>
  <c r="BD594" i="17"/>
  <c r="BD101" i="17"/>
  <c r="BE535" i="17"/>
  <c r="BE498" i="17"/>
  <c r="AV594" i="17"/>
  <c r="AV101" i="17"/>
  <c r="AR405" i="17"/>
  <c r="AR461" i="17"/>
  <c r="AR460" i="17"/>
  <c r="AW535" i="17"/>
  <c r="AW498" i="17"/>
  <c r="BI330" i="17"/>
  <c r="BI142" i="17"/>
  <c r="BF440" i="17"/>
  <c r="BF66" i="17"/>
  <c r="AR330" i="17"/>
  <c r="AR142" i="17"/>
  <c r="AU385" i="17"/>
  <c r="AS478" i="17"/>
  <c r="AS28" i="17"/>
  <c r="AS440" i="17"/>
  <c r="AS66" i="17"/>
  <c r="BI291" i="17"/>
  <c r="BI49" i="17"/>
  <c r="BE421" i="17"/>
  <c r="BE327" i="17"/>
  <c r="BI366" i="17"/>
  <c r="BI404" i="17"/>
  <c r="AT350" i="17"/>
  <c r="AT103" i="17"/>
  <c r="AT536" i="17"/>
  <c r="AT422" i="17"/>
  <c r="AT291" i="17"/>
  <c r="AT49" i="17"/>
  <c r="AW421" i="17"/>
  <c r="AW327" i="17"/>
  <c r="BI518" i="17"/>
  <c r="BI499" i="17"/>
  <c r="BI253" i="17"/>
  <c r="BI29" i="17"/>
  <c r="BE176" i="17"/>
  <c r="BE100" i="17"/>
  <c r="BF574" i="17"/>
  <c r="BF252" i="17"/>
  <c r="AR518" i="17"/>
  <c r="AR499" i="17"/>
  <c r="AU253" i="17"/>
  <c r="AU29" i="17"/>
  <c r="BH234" i="17"/>
  <c r="BI215" i="17"/>
  <c r="BI177" i="17"/>
  <c r="BF347" i="17"/>
  <c r="BF290" i="17"/>
  <c r="AR234" i="17"/>
  <c r="AR215" i="17"/>
  <c r="AR177" i="17"/>
  <c r="AW347" i="17"/>
  <c r="AW290" i="17"/>
  <c r="AU384" i="17"/>
  <c r="AU214" i="17"/>
  <c r="BG555" i="17"/>
  <c r="BG441" i="17"/>
  <c r="BH367" i="17"/>
  <c r="BH157" i="17"/>
  <c r="BD271" i="17"/>
  <c r="BD233" i="17"/>
  <c r="AR367" i="17"/>
  <c r="AR157" i="17"/>
  <c r="AS233" i="17"/>
  <c r="AS271" i="17"/>
  <c r="AR309" i="17"/>
  <c r="AR195" i="17"/>
  <c r="BK236" i="17"/>
  <c r="BK31" i="17"/>
  <c r="BF83" i="17"/>
  <c r="BF8" i="17"/>
  <c r="BG121" i="17"/>
  <c r="BG67" i="17"/>
  <c r="BH48" i="17"/>
  <c r="BH7" i="17"/>
  <c r="AR83" i="17"/>
  <c r="AR8" i="17"/>
  <c r="AS121" i="17"/>
  <c r="AS67" i="17"/>
  <c r="AU48" i="17"/>
  <c r="AU7" i="17"/>
  <c r="AU517" i="17"/>
  <c r="AU120" i="17"/>
  <c r="BK274" i="17"/>
  <c r="BK85" i="17"/>
  <c r="BD479" i="17"/>
  <c r="BD196" i="17"/>
  <c r="BE575" i="17"/>
  <c r="BE272" i="17"/>
  <c r="BH593" i="17"/>
  <c r="BH156" i="17"/>
  <c r="AS479" i="17"/>
  <c r="AS196" i="17"/>
  <c r="AS575" i="17"/>
  <c r="AS272" i="17"/>
  <c r="AW593" i="17"/>
  <c r="AW156" i="17"/>
  <c r="AU554" i="17"/>
  <c r="AU82" i="17"/>
  <c r="BE460" i="17"/>
  <c r="BH535" i="17"/>
  <c r="BH498" i="17"/>
  <c r="AW594" i="17"/>
  <c r="AW101" i="17"/>
  <c r="AV460" i="17"/>
  <c r="AS535" i="17"/>
  <c r="AS498" i="17"/>
  <c r="BF478" i="17"/>
  <c r="BF28" i="17"/>
  <c r="BE440" i="17"/>
  <c r="BE66" i="17"/>
  <c r="AU330" i="17"/>
  <c r="AU142" i="17"/>
  <c r="AR348" i="17"/>
  <c r="AR385" i="17"/>
  <c r="AW478" i="17"/>
  <c r="AW28" i="17"/>
  <c r="AW440" i="17"/>
  <c r="AW66" i="17"/>
  <c r="BD291" i="17"/>
  <c r="BD49" i="17"/>
  <c r="BI327" i="17"/>
  <c r="BI421" i="17"/>
  <c r="BF404" i="17"/>
  <c r="BF366" i="17"/>
  <c r="AU536" i="17"/>
  <c r="AU422" i="17"/>
  <c r="AW291" i="17"/>
  <c r="AW49" i="17"/>
  <c r="BG518" i="17"/>
  <c r="BG499" i="17"/>
  <c r="BD253" i="17"/>
  <c r="BD29" i="17"/>
  <c r="BF176" i="17"/>
  <c r="BF100" i="17"/>
  <c r="BH574" i="17"/>
  <c r="BH252" i="17"/>
  <c r="AU518" i="17"/>
  <c r="AU499" i="17"/>
  <c r="AV574" i="17"/>
  <c r="AV252" i="17"/>
  <c r="BI422" i="17"/>
  <c r="BH177" i="17"/>
  <c r="AV177" i="17"/>
  <c r="BI234" i="17"/>
  <c r="AU49" i="17"/>
  <c r="BG367" i="17"/>
  <c r="AU272" i="17"/>
  <c r="BG272" i="17"/>
  <c r="AU8" i="17"/>
  <c r="AV405" i="17"/>
  <c r="BI405" i="17"/>
  <c r="AW518" i="17"/>
  <c r="AU441" i="17"/>
  <c r="T13" i="18" l="1"/>
  <c r="U13" i="18" s="1"/>
  <c r="N15" i="18"/>
  <c r="R15" i="18" s="1"/>
  <c r="T14" i="18"/>
  <c r="U14" i="18" s="1"/>
  <c r="AC14" i="18" s="1"/>
  <c r="K5" i="18"/>
  <c r="P5" i="18" s="1"/>
  <c r="S14" i="18"/>
  <c r="R16" i="18"/>
  <c r="T16" i="18" s="1"/>
  <c r="P4" i="15"/>
  <c r="K4" i="15"/>
  <c r="AC150" i="17"/>
  <c r="W171" i="17"/>
  <c r="W492" i="17"/>
  <c r="W209" i="17"/>
  <c r="W511" i="17"/>
  <c r="W132" i="17"/>
  <c r="W548" i="17"/>
  <c r="W510" i="17"/>
  <c r="W131" i="17"/>
  <c r="W245" i="17"/>
  <c r="W94" i="17"/>
  <c r="W299" i="17"/>
  <c r="W602" i="17"/>
  <c r="W185" i="17"/>
  <c r="S13" i="18"/>
  <c r="R18" i="18"/>
  <c r="K19" i="18"/>
  <c r="P19" i="18" s="1"/>
  <c r="AQ183" i="17"/>
  <c r="BC563" i="17"/>
  <c r="BC38" i="17"/>
  <c r="BC471" i="17"/>
  <c r="BC130" i="17"/>
  <c r="BC227" i="17"/>
  <c r="BC113" i="17"/>
  <c r="BC133" i="17"/>
  <c r="BC37" i="17"/>
  <c r="BC171" i="17"/>
  <c r="BC19" i="17"/>
  <c r="AQ73" i="17"/>
  <c r="AQ204" i="17"/>
  <c r="AQ227" i="17"/>
  <c r="BC244" i="17"/>
  <c r="BC304" i="17"/>
  <c r="AQ171" i="17"/>
  <c r="AQ130" i="17"/>
  <c r="BC280" i="17"/>
  <c r="BC434" i="17"/>
  <c r="BC489" i="17"/>
  <c r="AC508" i="17"/>
  <c r="W222" i="17"/>
  <c r="W90" i="17"/>
  <c r="W56" i="17"/>
  <c r="BD226" i="17"/>
  <c r="W447" i="17"/>
  <c r="BK294" i="17"/>
  <c r="BK30" i="17"/>
  <c r="BJ599" i="17"/>
  <c r="BJ32" i="17"/>
  <c r="BJ302" i="17"/>
  <c r="BJ71" i="17"/>
  <c r="BJ282" i="17"/>
  <c r="BK353" i="17"/>
  <c r="BK147" i="17"/>
  <c r="BK427" i="17"/>
  <c r="BK446" i="17"/>
  <c r="BK484" i="17"/>
  <c r="BK541" i="17"/>
  <c r="BK335" i="17"/>
  <c r="BK220" i="17"/>
  <c r="BK559" i="17"/>
  <c r="BK599" i="17"/>
  <c r="BK314" i="17"/>
  <c r="BK372" i="17"/>
  <c r="BK523" i="17"/>
  <c r="BD55" i="17"/>
  <c r="BF414" i="17"/>
  <c r="BD511" i="17"/>
  <c r="BE74" i="17"/>
  <c r="BD473" i="17"/>
  <c r="AT450" i="17"/>
  <c r="AS393" i="17"/>
  <c r="AT127" i="17"/>
  <c r="BD201" i="17"/>
  <c r="BF415" i="17"/>
  <c r="BE391" i="17"/>
  <c r="BE376" i="17"/>
  <c r="BF549" i="17"/>
  <c r="AS184" i="17"/>
  <c r="AT239" i="17"/>
  <c r="AS228" i="17"/>
  <c r="AR124" i="17"/>
  <c r="BE106" i="17"/>
  <c r="BF446" i="17"/>
  <c r="BE585" i="17"/>
  <c r="BE529" i="17"/>
  <c r="BF504" i="17"/>
  <c r="BE472" i="17"/>
  <c r="AS18" i="17"/>
  <c r="AR228" i="17"/>
  <c r="BD186" i="17"/>
  <c r="BF314" i="17"/>
  <c r="BF374" i="17"/>
  <c r="BD185" i="17"/>
  <c r="BD526" i="17"/>
  <c r="AT133" i="17"/>
  <c r="BF243" i="17"/>
  <c r="BE512" i="17"/>
  <c r="AR394" i="17"/>
  <c r="AS341" i="17"/>
  <c r="AT526" i="17"/>
  <c r="AR417" i="17"/>
  <c r="AS454" i="17"/>
  <c r="AT148" i="17"/>
  <c r="BF72" i="17"/>
  <c r="BE240" i="17"/>
  <c r="BF543" i="17"/>
  <c r="BF37" i="17"/>
  <c r="AS601" i="17"/>
  <c r="AT547" i="17"/>
  <c r="AS373" i="17"/>
  <c r="AT87" i="17"/>
  <c r="BD262" i="17"/>
  <c r="BF283" i="17"/>
  <c r="BD166" i="17"/>
  <c r="BF584" i="17"/>
  <c r="BE359" i="17"/>
  <c r="AR55" i="17"/>
  <c r="AS336" i="17"/>
  <c r="AR604" i="17"/>
  <c r="AS545" i="17"/>
  <c r="AT491" i="17"/>
  <c r="AR602" i="17"/>
  <c r="BJ450" i="17"/>
  <c r="BK374" i="17"/>
  <c r="BJ398" i="17"/>
  <c r="BK540" i="17"/>
  <c r="BJ200" i="17"/>
  <c r="BJ128" i="17"/>
  <c r="BK284" i="17"/>
  <c r="BK20" i="17"/>
  <c r="BJ265" i="17"/>
  <c r="BK259" i="17"/>
  <c r="BK148" i="17"/>
  <c r="BJ190" i="17"/>
  <c r="BK126" i="17"/>
  <c r="BJ299" i="17"/>
  <c r="BK390" i="17"/>
  <c r="BK395" i="17"/>
  <c r="BK474" i="17"/>
  <c r="BD320" i="17"/>
  <c r="BD183" i="17"/>
  <c r="BJ353" i="17"/>
  <c r="BJ34" i="17"/>
  <c r="BJ220" i="17"/>
  <c r="BJ182" i="17"/>
  <c r="AT599" i="17"/>
  <c r="BF599" i="17"/>
  <c r="BJ580" i="17"/>
  <c r="BJ201" i="17"/>
  <c r="BJ314" i="17"/>
  <c r="BJ466" i="17"/>
  <c r="BJ427" i="17"/>
  <c r="BJ484" i="17"/>
  <c r="BJ504" i="17"/>
  <c r="BJ101" i="17"/>
  <c r="BK55" i="17"/>
  <c r="BJ529" i="17"/>
  <c r="BJ120" i="17"/>
  <c r="W352" i="17"/>
  <c r="W445" i="17"/>
  <c r="W12" i="17"/>
  <c r="BJ430" i="17"/>
  <c r="BK408" i="17"/>
  <c r="BJ20" i="17"/>
  <c r="BJ19" i="17"/>
  <c r="BK605" i="17"/>
  <c r="BJ74" i="17"/>
  <c r="BK488" i="17"/>
  <c r="BJ239" i="17"/>
  <c r="BK38" i="17"/>
  <c r="BK504" i="17"/>
  <c r="BJ546" i="17"/>
  <c r="BJ505" i="17"/>
  <c r="BK68" i="17"/>
  <c r="BK296" i="17"/>
  <c r="BJ388" i="17"/>
  <c r="BK145" i="17"/>
  <c r="BK487" i="17"/>
  <c r="BJ367" i="17"/>
  <c r="BJ465" i="17"/>
  <c r="BK261" i="17"/>
  <c r="BJ56" i="17"/>
  <c r="BK34" i="17"/>
  <c r="BK168" i="17"/>
  <c r="BJ502" i="17"/>
  <c r="BK436" i="17"/>
  <c r="BK75" i="17"/>
  <c r="BK95" i="17"/>
  <c r="BJ36" i="17"/>
  <c r="BK356" i="17"/>
  <c r="BJ8" i="17"/>
  <c r="BJ421" i="17"/>
  <c r="AT449" i="17"/>
  <c r="AT284" i="17"/>
  <c r="AS35" i="17"/>
  <c r="BF604" i="17"/>
  <c r="BD259" i="17"/>
  <c r="AR487" i="17"/>
  <c r="BD528" i="17"/>
  <c r="BF542" i="17"/>
  <c r="AR242" i="17"/>
  <c r="BE470" i="17"/>
  <c r="BD206" i="17"/>
  <c r="AT279" i="17"/>
  <c r="BF395" i="17"/>
  <c r="AT453" i="17"/>
  <c r="AS186" i="17"/>
  <c r="BD152" i="17"/>
  <c r="AR412" i="17"/>
  <c r="BE522" i="17"/>
  <c r="AS19" i="17"/>
  <c r="AS245" i="17"/>
  <c r="AS91" i="17"/>
  <c r="AS569" i="17"/>
  <c r="BE296" i="17"/>
  <c r="AT446" i="17"/>
  <c r="AS182" i="17"/>
  <c r="BE602" i="17"/>
  <c r="BD389" i="17"/>
  <c r="AS506" i="17"/>
  <c r="AT335" i="17"/>
  <c r="AR568" i="17"/>
  <c r="AR415" i="17"/>
  <c r="BD204" i="17"/>
  <c r="BD373" i="17"/>
  <c r="AT448" i="17"/>
  <c r="BD242" i="17"/>
  <c r="AR587" i="17"/>
  <c r="AT356" i="17"/>
  <c r="BD133" i="17"/>
  <c r="BD567" i="17"/>
  <c r="BE189" i="17"/>
  <c r="BE358" i="17"/>
  <c r="AR238" i="17"/>
  <c r="BE603" i="17"/>
  <c r="AT607" i="17"/>
  <c r="AS334" i="17"/>
  <c r="AS598" i="17"/>
  <c r="BD304" i="17"/>
  <c r="AT543" i="17"/>
  <c r="AT545" i="17"/>
  <c r="AS416" i="17"/>
  <c r="BE339" i="17"/>
  <c r="BD525" i="17"/>
  <c r="AS171" i="17"/>
  <c r="AS209" i="17"/>
  <c r="AR164" i="17"/>
  <c r="BF569" i="17"/>
  <c r="AT107" i="17"/>
  <c r="BD398" i="17"/>
  <c r="BF561" i="17"/>
  <c r="BE322" i="17"/>
  <c r="BF280" i="17"/>
  <c r="BE169" i="17"/>
  <c r="BD484" i="17"/>
  <c r="AT582" i="17"/>
  <c r="BE321" i="17"/>
  <c r="BE354" i="17"/>
  <c r="AR223" i="17"/>
  <c r="BF168" i="17"/>
  <c r="BF92" i="17"/>
  <c r="BI203" i="17"/>
  <c r="AR224" i="17"/>
  <c r="AR452" i="17"/>
  <c r="AT562" i="17"/>
  <c r="BD396" i="17"/>
  <c r="BD224" i="17"/>
  <c r="BF585" i="17"/>
  <c r="BI432" i="17"/>
  <c r="BD222" i="17"/>
  <c r="BF266" i="17"/>
  <c r="BE392" i="17"/>
  <c r="BD599" i="17"/>
  <c r="AS321" i="17"/>
  <c r="AS168" i="17"/>
  <c r="BD530" i="17"/>
  <c r="BE524" i="17"/>
  <c r="AR149" i="17"/>
  <c r="BF203" i="17"/>
  <c r="BE316" i="17"/>
  <c r="AT601" i="17"/>
  <c r="BF114" i="17"/>
  <c r="AS355" i="17"/>
  <c r="BF182" i="17"/>
  <c r="BE360" i="17"/>
  <c r="BD78" i="17"/>
  <c r="AR167" i="17"/>
  <c r="BE483" i="17"/>
  <c r="AT588" i="17"/>
  <c r="AS414" i="17"/>
  <c r="BF434" i="17"/>
  <c r="BF450" i="17"/>
  <c r="BF429" i="17"/>
  <c r="BD531" i="17"/>
  <c r="BD73" i="17"/>
  <c r="AT227" i="17"/>
  <c r="AR200" i="17"/>
  <c r="BF566" i="17"/>
  <c r="AT206" i="17"/>
  <c r="AS447" i="17"/>
  <c r="AR546" i="17"/>
  <c r="BF247" i="17"/>
  <c r="BF426" i="17"/>
  <c r="AT428" i="17"/>
  <c r="AS204" i="17"/>
  <c r="AR239" i="17"/>
  <c r="AS448" i="17"/>
  <c r="AT36" i="17"/>
  <c r="AT483" i="17"/>
  <c r="AT569" i="17"/>
  <c r="AT489" i="17"/>
  <c r="AR130" i="17"/>
  <c r="AW279" i="17"/>
  <c r="AR376" i="17"/>
  <c r="AR54" i="17"/>
  <c r="AR504" i="17"/>
  <c r="BD415" i="17"/>
  <c r="AT222" i="17"/>
  <c r="BE40" i="17"/>
  <c r="AR129" i="17"/>
  <c r="AT241" i="17"/>
  <c r="AT415" i="17"/>
  <c r="BE33" i="17"/>
  <c r="AS582" i="17"/>
  <c r="BF565" i="17"/>
  <c r="AR71" i="17"/>
  <c r="BD93" i="17"/>
  <c r="AS473" i="17"/>
  <c r="AS469" i="17"/>
  <c r="BF436" i="17"/>
  <c r="BF454" i="17"/>
  <c r="AT95" i="17"/>
  <c r="AR503" i="17"/>
  <c r="BE433" i="17"/>
  <c r="AR454" i="17"/>
  <c r="AT587" i="17"/>
  <c r="AS466" i="17"/>
  <c r="BF580" i="17"/>
  <c r="AT544" i="17"/>
  <c r="AW128" i="17"/>
  <c r="BE563" i="17"/>
  <c r="BE541" i="17"/>
  <c r="AS471" i="17"/>
  <c r="BD548" i="17"/>
  <c r="BD395" i="17"/>
  <c r="BF246" i="17"/>
  <c r="W237" i="17"/>
  <c r="BJ13" i="17"/>
  <c r="BK313" i="17"/>
  <c r="BK598" i="17"/>
  <c r="BJ423" i="17"/>
  <c r="BK8" i="17"/>
  <c r="BK187" i="17"/>
  <c r="BJ446" i="17"/>
  <c r="BK341" i="17"/>
  <c r="BK120" i="17"/>
  <c r="BJ585" i="17"/>
  <c r="BJ86" i="17"/>
  <c r="BK556" i="17"/>
  <c r="BJ489" i="17"/>
  <c r="BK425" i="17"/>
  <c r="BK582" i="17"/>
  <c r="BJ348" i="17"/>
  <c r="BK196" i="17"/>
  <c r="BJ372" i="17"/>
  <c r="BJ271" i="17"/>
  <c r="BJ322" i="17"/>
  <c r="BJ92" i="17"/>
  <c r="BK165" i="17"/>
  <c r="BK219" i="17"/>
  <c r="BK224" i="17"/>
  <c r="BJ243" i="17"/>
  <c r="BJ29" i="17"/>
  <c r="BK349" i="17"/>
  <c r="BJ244" i="17"/>
  <c r="BJ106" i="17"/>
  <c r="BJ82" i="17"/>
  <c r="BK107" i="17"/>
  <c r="BK604" i="17"/>
  <c r="BK33" i="17"/>
  <c r="BJ166" i="17"/>
  <c r="BJ444" i="17"/>
  <c r="BK28" i="17"/>
  <c r="BK535" i="17"/>
  <c r="BK225" i="17"/>
  <c r="BJ160" i="17"/>
  <c r="BJ169" i="17"/>
  <c r="BJ374" i="17"/>
  <c r="BK366" i="17"/>
  <c r="BJ548" i="17"/>
  <c r="BJ284" i="17"/>
  <c r="BJ164" i="17"/>
  <c r="BJ234" i="17"/>
  <c r="BJ252" i="17"/>
  <c r="BJ342" i="17"/>
  <c r="BK11" i="17"/>
  <c r="BK189" i="17"/>
  <c r="BK152" i="17"/>
  <c r="BJ569" i="17"/>
  <c r="BJ94" i="17"/>
  <c r="BK310" i="17"/>
  <c r="BJ203" i="17"/>
  <c r="BJ559" i="17"/>
  <c r="BK266" i="17"/>
  <c r="BJ38" i="17"/>
  <c r="BK206" i="17"/>
  <c r="BJ216" i="17"/>
  <c r="BK339" i="17"/>
  <c r="BK160" i="17"/>
  <c r="BK203" i="17"/>
  <c r="BK59" i="17"/>
  <c r="BJ78" i="17"/>
  <c r="BJ90" i="17"/>
  <c r="BK197" i="17"/>
  <c r="BK40" i="17"/>
  <c r="BK272" i="17"/>
  <c r="BJ309" i="17"/>
  <c r="BK581" i="17"/>
  <c r="BJ150" i="17"/>
  <c r="BJ109" i="17"/>
  <c r="BJ542" i="17"/>
  <c r="BJ125" i="17"/>
  <c r="BJ114" i="17"/>
  <c r="BJ49" i="17"/>
  <c r="BK86" i="17"/>
  <c r="BK278" i="17"/>
  <c r="BJ171" i="17"/>
  <c r="BK480" i="17"/>
  <c r="BJ52" i="17"/>
  <c r="AW227" i="17"/>
  <c r="AT361" i="17"/>
  <c r="AT352" i="17"/>
  <c r="AW337" i="17"/>
  <c r="BD339" i="17"/>
  <c r="AS529" i="17"/>
  <c r="BI450" i="17"/>
  <c r="BE429" i="17"/>
  <c r="AS375" i="17"/>
  <c r="AW104" i="17"/>
  <c r="BI168" i="17"/>
  <c r="AW107" i="17"/>
  <c r="BE435" i="17"/>
  <c r="BI304" i="17"/>
  <c r="BI106" i="17"/>
  <c r="BE280" i="17"/>
  <c r="BE55" i="17"/>
  <c r="AS446" i="17"/>
  <c r="BD446" i="17"/>
  <c r="BD492" i="17"/>
  <c r="AR505" i="17"/>
  <c r="AR566" i="17"/>
  <c r="BE559" i="17"/>
  <c r="AR351" i="17"/>
  <c r="AT605" i="17"/>
  <c r="AT353" i="17"/>
  <c r="BE471" i="17"/>
  <c r="AS354" i="17"/>
  <c r="AT597" i="17"/>
  <c r="AR435" i="17"/>
  <c r="BE584" i="17"/>
  <c r="BD578" i="17"/>
  <c r="AT512" i="17"/>
  <c r="AR256" i="17"/>
  <c r="AT300" i="17"/>
  <c r="BF600" i="17"/>
  <c r="BE285" i="17"/>
  <c r="AT507" i="17"/>
  <c r="AS218" i="17"/>
  <c r="AT604" i="17"/>
  <c r="AT600" i="17"/>
  <c r="AR357" i="17"/>
  <c r="AW145" i="17"/>
  <c r="BF222" i="17"/>
  <c r="BF218" i="17"/>
  <c r="AR361" i="17"/>
  <c r="AT508" i="17"/>
  <c r="BE276" i="17"/>
  <c r="AS203" i="17"/>
  <c r="AT503" i="17"/>
  <c r="BG218" i="17"/>
  <c r="AT318" i="17"/>
  <c r="BD221" i="17"/>
  <c r="AT183" i="17"/>
  <c r="AU472" i="17"/>
  <c r="AU376" i="17"/>
  <c r="BH358" i="17"/>
  <c r="AV295" i="17"/>
  <c r="BH391" i="17"/>
  <c r="AS160" i="17"/>
  <c r="AT72" i="17"/>
  <c r="BD560" i="17"/>
  <c r="AT96" i="17"/>
  <c r="AR338" i="17"/>
  <c r="AT417" i="17"/>
  <c r="AR466" i="17"/>
  <c r="BI569" i="17"/>
  <c r="BE566" i="17"/>
  <c r="BE203" i="17"/>
  <c r="BE58" i="17"/>
  <c r="BD355" i="17"/>
  <c r="AR374" i="17"/>
  <c r="AR467" i="17"/>
  <c r="BE568" i="17"/>
  <c r="BD410" i="17"/>
  <c r="BE105" i="17"/>
  <c r="BE521" i="17"/>
  <c r="BF425" i="17"/>
  <c r="AS453" i="17"/>
  <c r="BF445" i="17"/>
  <c r="BF285" i="17"/>
  <c r="BD502" i="17"/>
  <c r="BF506" i="17"/>
  <c r="BE432" i="17"/>
  <c r="BF511" i="17"/>
  <c r="BF375" i="17"/>
  <c r="BI558" i="17"/>
  <c r="AS318" i="17"/>
  <c r="AS374" i="17"/>
  <c r="BE340" i="17"/>
  <c r="AT568" i="17"/>
  <c r="AS145" i="17"/>
  <c r="BE258" i="17"/>
  <c r="BF579" i="17"/>
  <c r="AT238" i="17"/>
  <c r="AT558" i="17"/>
  <c r="BD416" i="17"/>
  <c r="BF186" i="17"/>
  <c r="AS70" i="17"/>
  <c r="BE266" i="17"/>
  <c r="BF208" i="17"/>
  <c r="BD392" i="17"/>
  <c r="BE427" i="17"/>
  <c r="AS149" i="17"/>
  <c r="BE335" i="17"/>
  <c r="BF389" i="17"/>
  <c r="AR472" i="17"/>
  <c r="AT237" i="17"/>
  <c r="BD356" i="17"/>
  <c r="AS340" i="17"/>
  <c r="AT412" i="17"/>
  <c r="AS544" i="17"/>
  <c r="BD586" i="17"/>
  <c r="AR131" i="17"/>
  <c r="AS167" i="17"/>
  <c r="BE374" i="17"/>
  <c r="AS511" i="17"/>
  <c r="BE304" i="17"/>
  <c r="AW563" i="17"/>
  <c r="BD169" i="17"/>
  <c r="BD264" i="17"/>
  <c r="BI125" i="17"/>
  <c r="BD21" i="17"/>
  <c r="BD91" i="17"/>
  <c r="BD239" i="17"/>
  <c r="AT583" i="17"/>
  <c r="AS543" i="17"/>
  <c r="AS548" i="17"/>
  <c r="AT40" i="17"/>
  <c r="BF206" i="17"/>
  <c r="BE337" i="17"/>
  <c r="BD11" i="17"/>
  <c r="AS295" i="17"/>
  <c r="BD322" i="17"/>
  <c r="AT563" i="17"/>
  <c r="BD510" i="17"/>
  <c r="BF152" i="17"/>
  <c r="BE450" i="17"/>
  <c r="BF165" i="17"/>
  <c r="BF411" i="17"/>
  <c r="BF582" i="17"/>
  <c r="AT560" i="17"/>
  <c r="AT465" i="17"/>
  <c r="AW335" i="17"/>
  <c r="AT492" i="17"/>
  <c r="AT432" i="17"/>
  <c r="AR127" i="17"/>
  <c r="AT88" i="17"/>
  <c r="BF528" i="17"/>
  <c r="AT581" i="17"/>
  <c r="AT482" i="17"/>
  <c r="BE112" i="17"/>
  <c r="BE487" i="17"/>
  <c r="AT295" i="17"/>
  <c r="AS114" i="17"/>
  <c r="BF52" i="17"/>
  <c r="AW238" i="17"/>
  <c r="BE492" i="17"/>
  <c r="BD361" i="17"/>
  <c r="AT567" i="17"/>
  <c r="BD299" i="17"/>
  <c r="AT565" i="17"/>
  <c r="BE569" i="17"/>
  <c r="BE561" i="17"/>
  <c r="BE545" i="17"/>
  <c r="BF371" i="17"/>
  <c r="AT304" i="17"/>
  <c r="BE246" i="17"/>
  <c r="AT585" i="17"/>
  <c r="W596" i="17"/>
  <c r="W407" i="17"/>
  <c r="BJ258" i="17"/>
  <c r="BJ9" i="17"/>
  <c r="BJ370" i="17"/>
  <c r="BJ225" i="17"/>
  <c r="BJ373" i="17"/>
  <c r="BK73" i="17"/>
  <c r="BJ176" i="17"/>
  <c r="BJ313" i="17"/>
  <c r="BK333" i="17"/>
  <c r="BJ129" i="17"/>
  <c r="BJ277" i="17"/>
  <c r="BK129" i="17"/>
  <c r="BJ142" i="17"/>
  <c r="BJ58" i="17"/>
  <c r="BK133" i="17"/>
  <c r="BJ93" i="17"/>
  <c r="BJ156" i="17"/>
  <c r="BK410" i="17"/>
  <c r="BF57" i="17"/>
  <c r="BD315" i="17"/>
  <c r="BF293" i="17"/>
  <c r="W500" i="17"/>
  <c r="W122" i="17"/>
  <c r="W556" i="17"/>
  <c r="BJ111" i="17"/>
  <c r="BK161" i="17"/>
  <c r="BC313" i="17"/>
  <c r="AQ542" i="17"/>
  <c r="BD546" i="17"/>
  <c r="AQ333" i="17"/>
  <c r="W469" i="17"/>
  <c r="BK109" i="17"/>
  <c r="BK202" i="17"/>
  <c r="BK205" i="17"/>
  <c r="BK584" i="17"/>
  <c r="BK244" i="17"/>
  <c r="BK578" i="17"/>
  <c r="BK312" i="17"/>
  <c r="BK101" i="17"/>
  <c r="BC373" i="17"/>
  <c r="AC579" i="17"/>
  <c r="BJ183" i="17"/>
  <c r="BC202" i="17"/>
  <c r="BC56" i="17"/>
  <c r="BC506" i="17"/>
  <c r="BE506" i="17"/>
  <c r="BD506" i="17"/>
  <c r="BK506" i="17"/>
  <c r="BC430" i="17"/>
  <c r="BE562" i="17"/>
  <c r="BD430" i="17"/>
  <c r="BC562" i="17"/>
  <c r="BC318" i="17"/>
  <c r="BC299" i="17"/>
  <c r="BE318" i="17"/>
  <c r="BK318" i="17"/>
  <c r="BC470" i="17"/>
  <c r="BK357" i="17"/>
  <c r="BC357" i="17"/>
  <c r="BC167" i="17"/>
  <c r="BC77" i="17"/>
  <c r="BE77" i="17"/>
  <c r="BD77" i="17"/>
  <c r="BK167" i="17"/>
  <c r="BC282" i="17"/>
  <c r="BC565" i="17"/>
  <c r="BC40" i="17"/>
  <c r="BC94" i="17"/>
  <c r="BC245" i="17"/>
  <c r="BC188" i="17"/>
  <c r="BF188" i="17"/>
  <c r="BD245" i="17"/>
  <c r="BC417" i="17"/>
  <c r="BE417" i="17"/>
  <c r="BC548" i="17"/>
  <c r="BF548" i="17"/>
  <c r="BC209" i="17"/>
  <c r="BC190" i="17"/>
  <c r="BD209" i="17"/>
  <c r="AC74" i="17"/>
  <c r="W537" i="17"/>
  <c r="W9" i="17"/>
  <c r="W597" i="17"/>
  <c r="W370" i="17"/>
  <c r="W257" i="17"/>
  <c r="W238" i="17"/>
  <c r="W466" i="17"/>
  <c r="W277" i="17"/>
  <c r="W560" i="17"/>
  <c r="W542" i="17"/>
  <c r="W149" i="17"/>
  <c r="W74" i="17"/>
  <c r="W164" i="17"/>
  <c r="W392" i="17"/>
  <c r="W78" i="17"/>
  <c r="W567" i="17"/>
  <c r="W208" i="17"/>
  <c r="W284" i="17"/>
  <c r="W360" i="17"/>
  <c r="W96" i="17"/>
  <c r="W266" i="17"/>
  <c r="AQ424" i="17"/>
  <c r="AW424" i="17"/>
  <c r="AQ557" i="17"/>
  <c r="AT557" i="17"/>
  <c r="AQ159" i="17"/>
  <c r="AU217" i="17"/>
  <c r="AQ217" i="17"/>
  <c r="BJ217" i="17"/>
  <c r="AT539" i="17"/>
  <c r="AQ539" i="17"/>
  <c r="AQ145" i="17"/>
  <c r="AQ578" i="17"/>
  <c r="AQ180" i="17"/>
  <c r="AQ351" i="17"/>
  <c r="AT351" i="17"/>
  <c r="BJ351" i="17"/>
  <c r="AQ445" i="17"/>
  <c r="AQ12" i="17"/>
  <c r="AT146" i="17"/>
  <c r="BJ146" i="17"/>
  <c r="AQ146" i="17"/>
  <c r="AQ559" i="17"/>
  <c r="AT559" i="17"/>
  <c r="AQ580" i="17"/>
  <c r="AQ296" i="17"/>
  <c r="AQ220" i="17"/>
  <c r="AR296" i="17"/>
  <c r="AR391" i="17"/>
  <c r="AU391" i="17"/>
  <c r="AT391" i="17"/>
  <c r="BJ391" i="17"/>
  <c r="AQ297" i="17"/>
  <c r="AQ315" i="17"/>
  <c r="AR315" i="17"/>
  <c r="BJ315" i="17"/>
  <c r="BJ355" i="17"/>
  <c r="AQ355" i="17"/>
  <c r="AQ316" i="17"/>
  <c r="AQ561" i="17"/>
  <c r="AT486" i="17"/>
  <c r="AR486" i="17"/>
  <c r="AR75" i="17"/>
  <c r="BJ375" i="17"/>
  <c r="AQ75" i="17"/>
  <c r="AQ375" i="17"/>
  <c r="AQ487" i="17"/>
  <c r="AQ413" i="17"/>
  <c r="AT487" i="17"/>
  <c r="AQ243" i="17"/>
  <c r="AR243" i="17"/>
  <c r="AQ603" i="17"/>
  <c r="BJ603" i="17"/>
  <c r="AQ205" i="17"/>
  <c r="AT394" i="17"/>
  <c r="BJ394" i="17"/>
  <c r="AQ509" i="17"/>
  <c r="AQ152" i="17"/>
  <c r="AT152" i="17"/>
  <c r="AS396" i="17"/>
  <c r="AQ20" i="17"/>
  <c r="AT510" i="17"/>
  <c r="AR510" i="17"/>
  <c r="AQ510" i="17"/>
  <c r="AQ189" i="17"/>
  <c r="AQ303" i="17"/>
  <c r="AS189" i="17"/>
  <c r="BJ189" i="17"/>
  <c r="AS530" i="17"/>
  <c r="AR530" i="17"/>
  <c r="AQ530" i="17"/>
  <c r="AQ512" i="17"/>
  <c r="AR512" i="17"/>
  <c r="AQ474" i="17"/>
  <c r="AQ549" i="17"/>
  <c r="BJ549" i="17"/>
  <c r="BE350" i="17"/>
  <c r="BC350" i="17"/>
  <c r="BC103" i="17"/>
  <c r="BK311" i="17"/>
  <c r="BC179" i="17"/>
  <c r="BC597" i="17"/>
  <c r="BC370" i="17"/>
  <c r="BE370" i="17"/>
  <c r="BD597" i="17"/>
  <c r="BC312" i="17"/>
  <c r="BC502" i="17"/>
  <c r="BF257" i="17"/>
  <c r="BE238" i="17"/>
  <c r="BD257" i="17"/>
  <c r="BK238" i="17"/>
  <c r="BC257" i="17"/>
  <c r="BC238" i="17"/>
  <c r="BF466" i="17"/>
  <c r="BE466" i="17"/>
  <c r="BC466" i="17"/>
  <c r="BC277" i="17"/>
  <c r="BC240" i="17"/>
  <c r="BF240" i="17"/>
  <c r="BC278" i="17"/>
  <c r="AT205" i="17"/>
  <c r="BE209" i="17"/>
  <c r="BE95" i="17"/>
  <c r="AC149" i="17"/>
  <c r="AC482" i="17"/>
  <c r="AC388" i="17"/>
  <c r="BC469" i="17"/>
  <c r="BC512" i="17"/>
  <c r="BJ204" i="17"/>
  <c r="BK388" i="17"/>
  <c r="BC354" i="17"/>
  <c r="AQ525" i="17"/>
  <c r="BK316" i="17"/>
  <c r="BK58" i="17"/>
  <c r="AS541" i="17"/>
  <c r="AC313" i="17"/>
  <c r="BK448" i="17"/>
  <c r="BK500" i="17"/>
  <c r="AT541" i="17"/>
  <c r="BC607" i="17"/>
  <c r="AQ53" i="17"/>
  <c r="BJ471" i="17"/>
  <c r="BK13" i="17"/>
  <c r="BK76" i="17"/>
  <c r="BJ499" i="17"/>
  <c r="BK150" i="17"/>
  <c r="BI108" i="17"/>
  <c r="BK228" i="17"/>
  <c r="BJ540" i="17"/>
  <c r="W430" i="17"/>
  <c r="W562" i="17"/>
  <c r="BJ73" i="17"/>
  <c r="BF372" i="17"/>
  <c r="BK340" i="17"/>
  <c r="BK378" i="17"/>
  <c r="AR540" i="17"/>
  <c r="BK607" i="17"/>
  <c r="BJ379" i="17"/>
  <c r="BK66" i="17"/>
  <c r="BF607" i="17"/>
  <c r="BJ30" i="17"/>
  <c r="BE145" i="17"/>
  <c r="BJ501" i="17"/>
  <c r="BE607" i="17"/>
  <c r="AQ107" i="17"/>
  <c r="AQ485" i="17"/>
  <c r="AQ430" i="17"/>
  <c r="AQ562" i="17"/>
  <c r="AC531" i="17"/>
  <c r="AQ34" i="17"/>
  <c r="BJ321" i="17"/>
  <c r="BJ283" i="17"/>
  <c r="BJ113" i="17"/>
  <c r="BJ227" i="17"/>
  <c r="BJ469" i="17"/>
  <c r="BJ602" i="17"/>
  <c r="BK330" i="17"/>
  <c r="BK142" i="17"/>
  <c r="BJ557" i="17"/>
  <c r="BJ424" i="17"/>
  <c r="BJ91" i="17"/>
  <c r="BJ37" i="17"/>
  <c r="BK574" i="17"/>
  <c r="BK252" i="17"/>
  <c r="BJ57" i="17"/>
  <c r="BJ242" i="17"/>
  <c r="BK377" i="17"/>
  <c r="BK489" i="17"/>
  <c r="BJ281" i="17"/>
  <c r="BJ584" i="17"/>
  <c r="AS528" i="17"/>
  <c r="AS300" i="17"/>
  <c r="V101" i="17"/>
  <c r="W188" i="17"/>
  <c r="W219" i="17"/>
  <c r="W294" i="17"/>
  <c r="W318" i="17"/>
  <c r="BJ425" i="17"/>
  <c r="BJ357" i="17"/>
  <c r="V385" i="17"/>
  <c r="W417" i="17"/>
  <c r="AQ470" i="17"/>
  <c r="BE131" i="17"/>
  <c r="AT425" i="17"/>
  <c r="AT357" i="17"/>
  <c r="AQ300" i="17"/>
  <c r="W40" i="17"/>
  <c r="W95" i="17"/>
  <c r="AQ126" i="17"/>
  <c r="W331" i="17"/>
  <c r="AQ59" i="17"/>
  <c r="AQ275" i="17"/>
  <c r="W190" i="17"/>
  <c r="BK392" i="17"/>
  <c r="BK164" i="17"/>
  <c r="BK538" i="17"/>
  <c r="BK332" i="17"/>
  <c r="BK481" i="17"/>
  <c r="BK463" i="17"/>
  <c r="BK525" i="17"/>
  <c r="BK543" i="17"/>
  <c r="BJ523" i="17"/>
  <c r="BJ88" i="17"/>
  <c r="AT105" i="17"/>
  <c r="AT426" i="17"/>
  <c r="BJ417" i="17"/>
  <c r="BJ132" i="17"/>
  <c r="BJ566" i="17"/>
  <c r="BJ264" i="17"/>
  <c r="BJ440" i="17"/>
  <c r="BJ66" i="17"/>
  <c r="BJ238" i="17"/>
  <c r="BJ257" i="17"/>
  <c r="BK293" i="17"/>
  <c r="BK255" i="17"/>
  <c r="BE465" i="17"/>
  <c r="AR240" i="17"/>
  <c r="BF465" i="17"/>
  <c r="AT410" i="17"/>
  <c r="AT240" i="17"/>
  <c r="BC293" i="17"/>
  <c r="AQ468" i="17"/>
  <c r="AQ448" i="17"/>
  <c r="BC453" i="17"/>
  <c r="BC490" i="17"/>
  <c r="AQ147" i="17"/>
  <c r="AQ206" i="17"/>
  <c r="AQ301" i="17"/>
  <c r="BD258" i="17"/>
  <c r="AT358" i="17"/>
  <c r="AQ378" i="17"/>
  <c r="AQ472" i="17"/>
  <c r="BC255" i="17"/>
  <c r="BC448" i="17"/>
  <c r="BC468" i="17"/>
  <c r="BC465" i="17"/>
  <c r="BJ535" i="17"/>
  <c r="BJ323" i="17"/>
  <c r="BJ102" i="17"/>
  <c r="BK74" i="17"/>
  <c r="BK102" i="17"/>
  <c r="BK90" i="17"/>
  <c r="BK157" i="17"/>
  <c r="BJ202" i="17"/>
  <c r="BK21" i="17"/>
  <c r="BK71" i="17"/>
  <c r="BJ290" i="17"/>
  <c r="BK130" i="17"/>
  <c r="BJ208" i="17"/>
  <c r="BK297" i="17"/>
  <c r="BJ334" i="17"/>
  <c r="BK560" i="17"/>
  <c r="BJ598" i="17"/>
  <c r="BK285" i="17"/>
  <c r="BJ274" i="17"/>
  <c r="BK567" i="17"/>
  <c r="BK385" i="17"/>
  <c r="BK179" i="17"/>
  <c r="BK391" i="17"/>
  <c r="BK110" i="17"/>
  <c r="BJ378" i="17"/>
  <c r="BK144" i="17"/>
  <c r="BK247" i="17"/>
  <c r="BJ197" i="17"/>
  <c r="BK263" i="17"/>
  <c r="BK379" i="17"/>
  <c r="BJ96" i="17"/>
  <c r="BJ178" i="17"/>
  <c r="BJ28" i="17"/>
  <c r="BJ366" i="17"/>
  <c r="BK405" i="17"/>
  <c r="BJ441" i="17"/>
  <c r="BK265" i="17"/>
  <c r="BJ488" i="17"/>
  <c r="BK453" i="17"/>
  <c r="BJ107" i="17"/>
  <c r="BJ105" i="17"/>
  <c r="BK105" i="17"/>
  <c r="BJ294" i="17"/>
  <c r="BK302" i="17"/>
  <c r="BJ84" i="17"/>
  <c r="BK359" i="17"/>
  <c r="BJ151" i="17"/>
  <c r="BK370" i="17"/>
  <c r="BJ72" i="17"/>
  <c r="BK283" i="17"/>
  <c r="BJ177" i="17"/>
  <c r="BK243" i="17"/>
  <c r="BJ133" i="17"/>
  <c r="BK441" i="17"/>
  <c r="BJ359" i="17"/>
  <c r="BJ59" i="17"/>
  <c r="BK12" i="17"/>
  <c r="BJ479" i="17"/>
  <c r="BK177" i="17"/>
  <c r="BK209" i="17"/>
  <c r="BK577" i="17"/>
  <c r="BK271" i="17"/>
  <c r="BK447" i="17"/>
  <c r="BK587" i="17"/>
  <c r="BJ387" i="17"/>
  <c r="BK72" i="17"/>
  <c r="BK17" i="17"/>
  <c r="BK100" i="17"/>
  <c r="BJ219" i="17"/>
  <c r="BK442" i="17"/>
  <c r="BK327" i="17"/>
  <c r="BJ187" i="17"/>
  <c r="BK315" i="17"/>
  <c r="BJ422" i="17"/>
  <c r="BK322" i="17"/>
  <c r="BJ575" i="17"/>
  <c r="BK580" i="17"/>
  <c r="BJ89" i="17"/>
  <c r="BK9" i="17"/>
  <c r="BK323" i="17"/>
  <c r="BK132" i="17"/>
  <c r="BJ340" i="17"/>
  <c r="BJ77" i="17"/>
  <c r="BK434" i="17"/>
  <c r="BK414" i="17"/>
  <c r="BK52" i="17"/>
  <c r="BK409" i="17"/>
  <c r="BK199" i="17"/>
  <c r="BK159" i="17"/>
  <c r="BJ595" i="17"/>
  <c r="BK511" i="17"/>
  <c r="BJ159" i="17"/>
  <c r="BJ69" i="17"/>
  <c r="BK171" i="17"/>
  <c r="BJ525" i="17"/>
  <c r="BJ214" i="17"/>
  <c r="BK67" i="17"/>
  <c r="BK393" i="17"/>
  <c r="BK593" i="17"/>
  <c r="BK151" i="17"/>
  <c r="BK342" i="17"/>
  <c r="BK37" i="17"/>
  <c r="BJ76" i="17"/>
  <c r="BK82" i="17"/>
  <c r="BJ161" i="17"/>
  <c r="BK239" i="17"/>
  <c r="BJ21" i="17"/>
  <c r="BK200" i="17"/>
  <c r="BJ541" i="17"/>
  <c r="BJ436" i="17"/>
  <c r="BK7" i="17"/>
  <c r="BJ199" i="17"/>
  <c r="BK49" i="17"/>
  <c r="BJ163" i="17"/>
  <c r="BK14" i="17"/>
  <c r="BK207" i="17"/>
  <c r="BK290" i="17"/>
  <c r="BK201" i="17"/>
  <c r="BK387" i="17"/>
  <c r="BJ7" i="17"/>
  <c r="BK29" i="17"/>
  <c r="BK92" i="17"/>
  <c r="BJ261" i="17"/>
  <c r="BJ453" i="17"/>
  <c r="BJ455" i="17"/>
  <c r="BJ310" i="17"/>
  <c r="BJ152" i="17"/>
  <c r="BK491" i="17"/>
  <c r="BK158" i="17"/>
  <c r="BJ179" i="17"/>
  <c r="BJ185" i="17"/>
  <c r="BJ240" i="17"/>
  <c r="BJ246" i="17"/>
  <c r="BK181" i="17"/>
  <c r="BJ526" i="17"/>
  <c r="BK125" i="17"/>
  <c r="BK88" i="17"/>
  <c r="BK524" i="17"/>
  <c r="BJ491" i="17"/>
  <c r="BK36" i="17"/>
  <c r="BJ14" i="17"/>
  <c r="BJ247" i="17"/>
  <c r="BK214" i="17"/>
  <c r="BK113" i="17"/>
  <c r="BJ39" i="17"/>
  <c r="BK499" i="17"/>
  <c r="BJ448" i="17"/>
  <c r="BJ255" i="17"/>
  <c r="BK373" i="17"/>
  <c r="BJ112" i="17"/>
  <c r="BK264" i="17"/>
  <c r="BK422" i="17"/>
  <c r="BK39" i="17"/>
  <c r="BJ405" i="17"/>
  <c r="BJ333" i="17"/>
  <c r="BK301" i="17"/>
  <c r="BJ12" i="17"/>
  <c r="BJ254" i="17"/>
  <c r="BK57" i="17"/>
  <c r="BJ226" i="17"/>
  <c r="BJ188" i="17"/>
  <c r="BJ296" i="17"/>
  <c r="BK106" i="17"/>
  <c r="BJ224" i="17"/>
  <c r="BJ67" i="17"/>
  <c r="BK143" i="17"/>
  <c r="BJ68" i="17"/>
  <c r="BK195" i="17"/>
  <c r="BJ181" i="17"/>
  <c r="BJ55" i="17"/>
  <c r="BK469" i="17"/>
  <c r="BK114" i="17"/>
  <c r="BJ331" i="17"/>
  <c r="BK84" i="17"/>
  <c r="BJ122" i="17"/>
  <c r="BJ50" i="17"/>
  <c r="BK178" i="17"/>
  <c r="AU371" i="17"/>
  <c r="BG143" i="17"/>
  <c r="AS523" i="17"/>
  <c r="AU374" i="17"/>
  <c r="BG368" i="17"/>
  <c r="AV464" i="17"/>
  <c r="AS595" i="17"/>
  <c r="BG375" i="17"/>
  <c r="BI538" i="17"/>
  <c r="AW520" i="17"/>
  <c r="AU454" i="17"/>
  <c r="AS578" i="17"/>
  <c r="BG489" i="17"/>
  <c r="AU372" i="17"/>
  <c r="BG133" i="17"/>
  <c r="AS583" i="17"/>
  <c r="AS235" i="17"/>
  <c r="AT185" i="17"/>
  <c r="AT303" i="17"/>
  <c r="BG467" i="17"/>
  <c r="BH159" i="17"/>
  <c r="AS576" i="17"/>
  <c r="AS199" i="17"/>
  <c r="AR132" i="17"/>
  <c r="AT128" i="17"/>
  <c r="BE150" i="17"/>
  <c r="BD260" i="17"/>
  <c r="BF200" i="17"/>
  <c r="AR481" i="17"/>
  <c r="BE310" i="17"/>
  <c r="BE333" i="17"/>
  <c r="AT500" i="17"/>
  <c r="AU353" i="17"/>
  <c r="BG354" i="17"/>
  <c r="BG356" i="17"/>
  <c r="AU361" i="17"/>
  <c r="BG586" i="17"/>
  <c r="BG350" i="17"/>
  <c r="AU349" i="17"/>
  <c r="AU352" i="17"/>
  <c r="BG355" i="17"/>
  <c r="AU470" i="17"/>
  <c r="AU301" i="17"/>
  <c r="AU351" i="17"/>
  <c r="BG360" i="17"/>
  <c r="AR425" i="17"/>
  <c r="AU426" i="17"/>
  <c r="AR428" i="17"/>
  <c r="BG423" i="17"/>
  <c r="AR433" i="17"/>
  <c r="AR588" i="17"/>
  <c r="AR430" i="17"/>
  <c r="BG557" i="17"/>
  <c r="AU425" i="17"/>
  <c r="AR426" i="17"/>
  <c r="BF482" i="17"/>
  <c r="AS9" i="17"/>
  <c r="AT110" i="17"/>
  <c r="AR389" i="17"/>
  <c r="AT409" i="17"/>
  <c r="BE464" i="17"/>
  <c r="BE158" i="17"/>
  <c r="AS31" i="17"/>
  <c r="BD52" i="17"/>
  <c r="AW539" i="17"/>
  <c r="BE580" i="17"/>
  <c r="AT235" i="17"/>
  <c r="AT219" i="17"/>
  <c r="BF151" i="17"/>
  <c r="AS112" i="17"/>
  <c r="BF131" i="17"/>
  <c r="AR102" i="17"/>
  <c r="BF577" i="17"/>
  <c r="BD605" i="17"/>
  <c r="AR322" i="17"/>
  <c r="AS169" i="17"/>
  <c r="BD311" i="17"/>
  <c r="AT349" i="17"/>
  <c r="AS179" i="17"/>
  <c r="AW331" i="17"/>
  <c r="BI86" i="17"/>
  <c r="BD334" i="17"/>
  <c r="BD33" i="17"/>
  <c r="BD541" i="17"/>
  <c r="AT408" i="17"/>
  <c r="BF275" i="17"/>
  <c r="AR36" i="17"/>
  <c r="BD576" i="17"/>
  <c r="BD72" i="17"/>
  <c r="BD39" i="17"/>
  <c r="AS69" i="17"/>
  <c r="BD76" i="17"/>
  <c r="AT359" i="17"/>
  <c r="AS258" i="17"/>
  <c r="BE434" i="17"/>
  <c r="AT294" i="17"/>
  <c r="BE528" i="17"/>
  <c r="AS472" i="17"/>
  <c r="AS372" i="17"/>
  <c r="AS369" i="17"/>
  <c r="AS376" i="17"/>
  <c r="AT285" i="17"/>
  <c r="AR150" i="17"/>
  <c r="BF468" i="17"/>
  <c r="AT389" i="17"/>
  <c r="AU387" i="17"/>
  <c r="BE11" i="17"/>
  <c r="BF484" i="17"/>
  <c r="AW557" i="17"/>
  <c r="BF500" i="17"/>
  <c r="BD509" i="17"/>
  <c r="BE314" i="17"/>
  <c r="AS531" i="17"/>
  <c r="AT9" i="17"/>
  <c r="BE424" i="17"/>
  <c r="AS17" i="17"/>
  <c r="BI10" i="17"/>
  <c r="BF239" i="17"/>
  <c r="AR68" i="17"/>
  <c r="BD312" i="17"/>
  <c r="AR57" i="17"/>
  <c r="BF205" i="17"/>
  <c r="AU407" i="17"/>
  <c r="BD19" i="17"/>
  <c r="BE148" i="17"/>
  <c r="AT442" i="17"/>
  <c r="BF86" i="17"/>
  <c r="AR465" i="17"/>
  <c r="BF358" i="17"/>
  <c r="BD274" i="17"/>
  <c r="BF220" i="17"/>
  <c r="BD557" i="17"/>
  <c r="AW500" i="17"/>
  <c r="BE596" i="17"/>
  <c r="AS450" i="17"/>
  <c r="BE204" i="17"/>
  <c r="AR52" i="17"/>
  <c r="AT331" i="17"/>
  <c r="AR407" i="17"/>
  <c r="BF390" i="17"/>
  <c r="AS522" i="17"/>
  <c r="AR377" i="17"/>
  <c r="BD450" i="17"/>
  <c r="BD500" i="17"/>
  <c r="AT216" i="17"/>
  <c r="AR349" i="17"/>
  <c r="BF377" i="17"/>
  <c r="BF106" i="17"/>
  <c r="BF310" i="17"/>
  <c r="BF124" i="17"/>
  <c r="BE201" i="17"/>
  <c r="BD411" i="17"/>
  <c r="BG482" i="17"/>
  <c r="BD423" i="17"/>
  <c r="BD453" i="17"/>
  <c r="AR69" i="17"/>
  <c r="AR237" i="17"/>
  <c r="AW103" i="17"/>
  <c r="AS488" i="17"/>
  <c r="BF408" i="17"/>
  <c r="AR277" i="17"/>
  <c r="BD197" i="17"/>
  <c r="BD187" i="17"/>
  <c r="BE111" i="17"/>
  <c r="AS280" i="17"/>
  <c r="BE152" i="17"/>
  <c r="BE128" i="17"/>
  <c r="AR32" i="17"/>
  <c r="BF294" i="17"/>
  <c r="AR72" i="17"/>
  <c r="AT55" i="17"/>
  <c r="BD32" i="17"/>
  <c r="BD68" i="17"/>
  <c r="BE12" i="17"/>
  <c r="BF123" i="17"/>
  <c r="BF387" i="17"/>
  <c r="BE242" i="17"/>
  <c r="BE511" i="17"/>
  <c r="AR511" i="17"/>
  <c r="BD388" i="17"/>
  <c r="BD14" i="17"/>
  <c r="BD181" i="17"/>
  <c r="BI102" i="17"/>
  <c r="BE30" i="17"/>
  <c r="AR531" i="17"/>
  <c r="BD524" i="17"/>
  <c r="AT57" i="17"/>
  <c r="BF424" i="17"/>
  <c r="AT424" i="17"/>
  <c r="BD106" i="17"/>
  <c r="AR312" i="17"/>
  <c r="BG480" i="17"/>
  <c r="BE151" i="17"/>
  <c r="AT407" i="17"/>
  <c r="AT397" i="17"/>
  <c r="BE463" i="17"/>
  <c r="BI235" i="17"/>
  <c r="BD9" i="17"/>
  <c r="AR236" i="17"/>
  <c r="AR398" i="17"/>
  <c r="BD254" i="17"/>
  <c r="AS276" i="17"/>
  <c r="BF149" i="17"/>
  <c r="BF244" i="17"/>
  <c r="BE277" i="17"/>
  <c r="BD144" i="17"/>
  <c r="AT606" i="17"/>
  <c r="BF51" i="17"/>
  <c r="AR159" i="17"/>
  <c r="AT178" i="17"/>
  <c r="BE75" i="17"/>
  <c r="BE200" i="17"/>
  <c r="AR353" i="17"/>
  <c r="AS33" i="17"/>
  <c r="BF378" i="17"/>
  <c r="BF197" i="17"/>
  <c r="BD218" i="17"/>
  <c r="BE323" i="17"/>
  <c r="BI31" i="17"/>
  <c r="BD263" i="17"/>
  <c r="BG50" i="17"/>
  <c r="BD538" i="17"/>
  <c r="BE293" i="17"/>
  <c r="AR508" i="17"/>
  <c r="AT302" i="17"/>
  <c r="BE220" i="17"/>
  <c r="AT86" i="17"/>
  <c r="AW9" i="17"/>
  <c r="BE598" i="17"/>
  <c r="BD261" i="17"/>
  <c r="AR413" i="17"/>
  <c r="AT144" i="17"/>
  <c r="BE586" i="17"/>
  <c r="AS442" i="17"/>
  <c r="BD266" i="17"/>
  <c r="BF258" i="17"/>
  <c r="BD235" i="17"/>
  <c r="BD108" i="17"/>
  <c r="BF84" i="17"/>
  <c r="AS158" i="17"/>
  <c r="BF201" i="17"/>
  <c r="BD393" i="17"/>
  <c r="AU69" i="17"/>
  <c r="BE254" i="17"/>
  <c r="BF297" i="17"/>
  <c r="AS36" i="17"/>
  <c r="BE20" i="17"/>
  <c r="AU68" i="17"/>
  <c r="AT10" i="17"/>
  <c r="AS197" i="17"/>
  <c r="BF474" i="17"/>
  <c r="AS408" i="17"/>
  <c r="AV332" i="17"/>
  <c r="AR257" i="17"/>
  <c r="BG68" i="17"/>
  <c r="BE491" i="17"/>
  <c r="BF150" i="17"/>
  <c r="BF145" i="17"/>
  <c r="BD372" i="17"/>
  <c r="BE124" i="17"/>
  <c r="BD247" i="17"/>
  <c r="BF357" i="17"/>
  <c r="BF442" i="17"/>
  <c r="BD200" i="17"/>
  <c r="AR161" i="17"/>
  <c r="AU159" i="17"/>
  <c r="AV158" i="17"/>
  <c r="BD86" i="17"/>
  <c r="BE159" i="17"/>
  <c r="BD370" i="17"/>
  <c r="BE149" i="17"/>
  <c r="BF254" i="17"/>
  <c r="BD36" i="17"/>
  <c r="AS263" i="17"/>
  <c r="BH293" i="17"/>
  <c r="AR19" i="17"/>
  <c r="BF302" i="17"/>
  <c r="BE372" i="17"/>
  <c r="BD238" i="17"/>
  <c r="BE208" i="17"/>
  <c r="AT360" i="17"/>
  <c r="BF491" i="17"/>
  <c r="AS37" i="17"/>
  <c r="AR313" i="17"/>
  <c r="AR579" i="17"/>
  <c r="AR560" i="17"/>
  <c r="AR162" i="17"/>
  <c r="AR492" i="17"/>
  <c r="AR464" i="17"/>
  <c r="AR204" i="17"/>
  <c r="BF427" i="17"/>
  <c r="BF13" i="17"/>
  <c r="BE373" i="17"/>
  <c r="AT280" i="17"/>
  <c r="AT261" i="17"/>
  <c r="BG258" i="17"/>
  <c r="BG349" i="17"/>
  <c r="AU256" i="17"/>
  <c r="AR601" i="17"/>
  <c r="AR597" i="17"/>
  <c r="AT369" i="17"/>
  <c r="AT376" i="17"/>
  <c r="AT502" i="17"/>
  <c r="AT312" i="17"/>
  <c r="BF410" i="17"/>
  <c r="BF147" i="17"/>
  <c r="AS547" i="17"/>
  <c r="AR319" i="17"/>
  <c r="BD102" i="17"/>
  <c r="BG504" i="17"/>
  <c r="BG501" i="17"/>
  <c r="BF227" i="17"/>
  <c r="BF113" i="17"/>
  <c r="AS11" i="17"/>
  <c r="AS32" i="17"/>
  <c r="AR341" i="17"/>
  <c r="AR169" i="17"/>
  <c r="BI557" i="17"/>
  <c r="AT258" i="17"/>
  <c r="AT182" i="17"/>
  <c r="AS432" i="17"/>
  <c r="AS92" i="17"/>
  <c r="BE540" i="17"/>
  <c r="BE53" i="17"/>
  <c r="BF352" i="17"/>
  <c r="BF219" i="17"/>
  <c r="AT602" i="17"/>
  <c r="AT471" i="17"/>
  <c r="AT198" i="17"/>
  <c r="AT396" i="17"/>
  <c r="BD360" i="17"/>
  <c r="BD284" i="17"/>
  <c r="BE473" i="17"/>
  <c r="BD168" i="17"/>
  <c r="BD112" i="17"/>
  <c r="BE558" i="17"/>
  <c r="BE86" i="17"/>
  <c r="BF538" i="17"/>
  <c r="BF332" i="17"/>
  <c r="AT580" i="17"/>
  <c r="AS521" i="17"/>
  <c r="AS333" i="17"/>
  <c r="BE500" i="17"/>
  <c r="BE122" i="17"/>
  <c r="AS428" i="17"/>
  <c r="AS433" i="17"/>
  <c r="AT54" i="17"/>
  <c r="AT292" i="17"/>
  <c r="AT197" i="17"/>
  <c r="AR56" i="17"/>
  <c r="AT462" i="17"/>
  <c r="BD375" i="17"/>
  <c r="BD75" i="17"/>
  <c r="BD540" i="17"/>
  <c r="BD53" i="17"/>
  <c r="BE425" i="17"/>
  <c r="BE275" i="17"/>
  <c r="BD273" i="17"/>
  <c r="BD178" i="17"/>
  <c r="AR352" i="17"/>
  <c r="AR219" i="17"/>
  <c r="BE468" i="17"/>
  <c r="BE448" i="17"/>
  <c r="AS150" i="17"/>
  <c r="AS503" i="17"/>
  <c r="AS508" i="17"/>
  <c r="AS337" i="17"/>
  <c r="AS104" i="17"/>
  <c r="BD310" i="17"/>
  <c r="AR283" i="17"/>
  <c r="AR501" i="17"/>
  <c r="AR51" i="17"/>
  <c r="AS256" i="17"/>
  <c r="AS285" i="17"/>
  <c r="AS293" i="17"/>
  <c r="BE237" i="17"/>
  <c r="BE294" i="17"/>
  <c r="AR143" i="17"/>
  <c r="AS94" i="17"/>
  <c r="AT35" i="17"/>
  <c r="BD465" i="17"/>
  <c r="AT184" i="17"/>
  <c r="AW273" i="17"/>
  <c r="AS87" i="17"/>
  <c r="AR146" i="17"/>
  <c r="BI425" i="17"/>
  <c r="BD159" i="17"/>
  <c r="BD217" i="17"/>
  <c r="AT102" i="17"/>
  <c r="AT386" i="17"/>
  <c r="AT377" i="17"/>
  <c r="BE292" i="17"/>
  <c r="BE197" i="17"/>
  <c r="AS579" i="17"/>
  <c r="AS313" i="17"/>
  <c r="BF471" i="17"/>
  <c r="BF130" i="17"/>
  <c r="BD563" i="17"/>
  <c r="BD38" i="17"/>
  <c r="AR482" i="17"/>
  <c r="AR388" i="17"/>
  <c r="AT30" i="17"/>
  <c r="AT576" i="17"/>
  <c r="BD143" i="17"/>
  <c r="BD50" i="17"/>
  <c r="AT124" i="17"/>
  <c r="AT52" i="17"/>
  <c r="AS274" i="17"/>
  <c r="AS85" i="17"/>
  <c r="AT89" i="17"/>
  <c r="AT276" i="17"/>
  <c r="AT125" i="17"/>
  <c r="AR538" i="17"/>
  <c r="AR332" i="17"/>
  <c r="AT406" i="17"/>
  <c r="AT68" i="17"/>
  <c r="AW462" i="17"/>
  <c r="BI596" i="17"/>
  <c r="AR18" i="17"/>
  <c r="BH386" i="17"/>
  <c r="BG597" i="17"/>
  <c r="BG370" i="17"/>
  <c r="BE133" i="17"/>
  <c r="AS360" i="17"/>
  <c r="AS284" i="17"/>
  <c r="BE505" i="17"/>
  <c r="BE259" i="17"/>
  <c r="BD501" i="17"/>
  <c r="BD51" i="17"/>
  <c r="BG236" i="17"/>
  <c r="BF464" i="17"/>
  <c r="BF160" i="17"/>
  <c r="BE303" i="17"/>
  <c r="BI197" i="17"/>
  <c r="BI444" i="17"/>
  <c r="AR480" i="17"/>
  <c r="AR216" i="17"/>
  <c r="BD435" i="17"/>
  <c r="BD265" i="17"/>
  <c r="BE453" i="17"/>
  <c r="BE490" i="17"/>
  <c r="BE107" i="17"/>
  <c r="BF313" i="17"/>
  <c r="BF158" i="17"/>
  <c r="BF423" i="17"/>
  <c r="BE278" i="17"/>
  <c r="BE502" i="17"/>
  <c r="BE312" i="17"/>
  <c r="BE556" i="17"/>
  <c r="BE331" i="17"/>
  <c r="BF480" i="17"/>
  <c r="BF216" i="17"/>
  <c r="AR569" i="17"/>
  <c r="BE508" i="17"/>
  <c r="BE129" i="17"/>
  <c r="BH292" i="17"/>
  <c r="BF236" i="17"/>
  <c r="BF31" i="17"/>
  <c r="BF581" i="17"/>
  <c r="BF89" i="17"/>
  <c r="AR293" i="17"/>
  <c r="AR255" i="17"/>
  <c r="AT143" i="17"/>
  <c r="AT50" i="17"/>
  <c r="AS281" i="17"/>
  <c r="AS584" i="17"/>
  <c r="AT390" i="17"/>
  <c r="AT150" i="17"/>
  <c r="BF36" i="17"/>
  <c r="BG199" i="17"/>
  <c r="BE50" i="17"/>
  <c r="AS264" i="17"/>
  <c r="BD89" i="17"/>
  <c r="AT14" i="17"/>
  <c r="AS332" i="17"/>
  <c r="AU102" i="17"/>
  <c r="BE265" i="17"/>
  <c r="BD180" i="17"/>
  <c r="BD377" i="17"/>
  <c r="AT85" i="17"/>
  <c r="BF407" i="17"/>
  <c r="BE10" i="17"/>
  <c r="AT395" i="17"/>
  <c r="AT388" i="17"/>
  <c r="BE51" i="17"/>
  <c r="BD17" i="17"/>
  <c r="BF225" i="17"/>
  <c r="BD31" i="17"/>
  <c r="BD105" i="17"/>
  <c r="BE102" i="17"/>
  <c r="AT281" i="17"/>
  <c r="BF430" i="17"/>
  <c r="BI332" i="17"/>
  <c r="BD160" i="17"/>
  <c r="BE34" i="17"/>
  <c r="BF255" i="17"/>
  <c r="AT109" i="17"/>
  <c r="AS481" i="17"/>
  <c r="AT165" i="17"/>
  <c r="BD88" i="17"/>
  <c r="AT164" i="17"/>
  <c r="AS178" i="17"/>
  <c r="AT126" i="17"/>
  <c r="BF282" i="17"/>
  <c r="BF469" i="17"/>
  <c r="AR491" i="17"/>
  <c r="AT522" i="17"/>
  <c r="BD161" i="17"/>
  <c r="AU51" i="17"/>
  <c r="BD216" i="17"/>
  <c r="BF598" i="17"/>
  <c r="AR33" i="17"/>
  <c r="BF143" i="17"/>
  <c r="BD92" i="17"/>
  <c r="BD113" i="17"/>
  <c r="BE377" i="17"/>
  <c r="AT39" i="17"/>
  <c r="AT529" i="17"/>
  <c r="AS14" i="17"/>
  <c r="AR37" i="17"/>
  <c r="AS71" i="17"/>
  <c r="AT31" i="17"/>
  <c r="BD13" i="17"/>
  <c r="BF68" i="17"/>
  <c r="BF189" i="17"/>
  <c r="AT333" i="17"/>
  <c r="BD434" i="17"/>
  <c r="BF53" i="17"/>
  <c r="AW294" i="17"/>
  <c r="BG310" i="17"/>
  <c r="AW197" i="17"/>
  <c r="AS455" i="17"/>
  <c r="BF102" i="17"/>
  <c r="BD359" i="17"/>
  <c r="BH160" i="17"/>
  <c r="AT171" i="17"/>
  <c r="AW124" i="17"/>
  <c r="AW52" i="17"/>
  <c r="AR583" i="17"/>
  <c r="AT336" i="17"/>
  <c r="AR300" i="17"/>
  <c r="AS241" i="17"/>
  <c r="AR198" i="17"/>
  <c r="AS146" i="17"/>
  <c r="AR104" i="17"/>
  <c r="AS54" i="17"/>
  <c r="BE311" i="17"/>
  <c r="BE179" i="17"/>
  <c r="BH465" i="17"/>
  <c r="BH409" i="17"/>
  <c r="AV462" i="17"/>
  <c r="AR519" i="17"/>
  <c r="AR59" i="17"/>
  <c r="AS351" i="17"/>
  <c r="AR449" i="17"/>
  <c r="AS394" i="17"/>
  <c r="AT319" i="17"/>
  <c r="AR279" i="17"/>
  <c r="AT223" i="17"/>
  <c r="AR184" i="17"/>
  <c r="AS127" i="17"/>
  <c r="AR87" i="17"/>
  <c r="AV503" i="17"/>
  <c r="AV198" i="17"/>
  <c r="AS486" i="17"/>
  <c r="AS412" i="17"/>
  <c r="BF321" i="17"/>
  <c r="AS359" i="17"/>
  <c r="AU198" i="17"/>
  <c r="AR544" i="17"/>
  <c r="AW503" i="17"/>
  <c r="AV300" i="17"/>
  <c r="BD350" i="17"/>
  <c r="BD103" i="17"/>
  <c r="AS581" i="17"/>
  <c r="AS89" i="17"/>
  <c r="AV256" i="17"/>
  <c r="AU503" i="17"/>
  <c r="AT18" i="17"/>
  <c r="AS319" i="17"/>
  <c r="AT256" i="17"/>
  <c r="AS223" i="17"/>
  <c r="AT162" i="17"/>
  <c r="AW336" i="17"/>
  <c r="S15" i="18" l="1"/>
  <c r="T15" i="18" s="1"/>
  <c r="U15" i="18" s="1"/>
  <c r="AC15" i="18" s="1"/>
  <c r="S18" i="18"/>
  <c r="T18" i="18"/>
  <c r="U18" i="18"/>
  <c r="T5" i="18"/>
  <c r="S16" i="18"/>
  <c r="U16" i="18"/>
  <c r="AC16" i="18" s="1"/>
  <c r="K325" i="17"/>
  <c r="T4" i="15"/>
  <c r="P61" i="17"/>
  <c r="P325" i="17"/>
  <c r="R4" i="15"/>
  <c r="S4" i="15" s="1"/>
  <c r="K61" i="17"/>
  <c r="R19" i="18"/>
  <c r="R5" i="18"/>
  <c r="S5" i="18" s="1"/>
  <c r="AC507" i="17"/>
  <c r="W150" i="17"/>
  <c r="W507" i="17"/>
  <c r="W550" i="17"/>
  <c r="W285" i="17"/>
  <c r="W569" i="17"/>
  <c r="W549" i="17"/>
  <c r="W398" i="17"/>
  <c r="W228" i="17"/>
  <c r="W361" i="17"/>
  <c r="W323" i="17"/>
  <c r="W436" i="17"/>
  <c r="W588" i="17"/>
  <c r="W455" i="17"/>
  <c r="W607" i="17"/>
  <c r="W512" i="17"/>
  <c r="W474" i="17"/>
  <c r="W133" i="17"/>
  <c r="W342" i="17"/>
  <c r="W531" i="17"/>
  <c r="W265" i="17"/>
  <c r="W435" i="17"/>
  <c r="W341" i="17"/>
  <c r="W169" i="17"/>
  <c r="W530" i="17"/>
  <c r="W21" i="17"/>
  <c r="W113" i="17"/>
  <c r="W227" i="17"/>
  <c r="W189" i="17"/>
  <c r="W303" i="17"/>
  <c r="AC587" i="17"/>
  <c r="AC246" i="17"/>
  <c r="W587" i="17"/>
  <c r="W246" i="17"/>
  <c r="W606" i="17"/>
  <c r="W491" i="17"/>
  <c r="W473" i="17"/>
  <c r="W20" i="17"/>
  <c r="W302" i="17"/>
  <c r="W416" i="17"/>
  <c r="W586" i="17"/>
  <c r="W359" i="17"/>
  <c r="W321" i="17"/>
  <c r="W283" i="17"/>
  <c r="W605" i="17"/>
  <c r="W226" i="17"/>
  <c r="W396" i="17"/>
  <c r="W207" i="17"/>
  <c r="W566" i="17"/>
  <c r="W264" i="17"/>
  <c r="W112" i="17"/>
  <c r="W168" i="17"/>
  <c r="W77" i="17"/>
  <c r="W109" i="17"/>
  <c r="W337" i="17"/>
  <c r="W526" i="17"/>
  <c r="W17" i="17"/>
  <c r="W242" i="17"/>
  <c r="W57" i="17"/>
  <c r="W91" i="17"/>
  <c r="W37" i="17"/>
  <c r="W393" i="17"/>
  <c r="W204" i="17"/>
  <c r="W165" i="17"/>
  <c r="AC392" i="17"/>
  <c r="W167" i="17"/>
  <c r="V130" i="17"/>
  <c r="V471" i="17"/>
  <c r="V278" i="17"/>
  <c r="V240" i="17"/>
  <c r="AC562" i="17"/>
  <c r="AC430" i="17"/>
  <c r="V468" i="17"/>
  <c r="V448" i="17"/>
  <c r="V167" i="17"/>
  <c r="V77" i="17"/>
  <c r="V92" i="17"/>
  <c r="V432" i="17"/>
  <c r="V314" i="17"/>
  <c r="V106" i="17"/>
  <c r="AC285" i="17"/>
  <c r="W448" i="17"/>
  <c r="V414" i="17"/>
  <c r="V166" i="17"/>
  <c r="V243" i="17"/>
  <c r="V262" i="17"/>
  <c r="V56" i="17"/>
  <c r="V395" i="17"/>
  <c r="V546" i="17"/>
  <c r="V152" i="17"/>
  <c r="V509" i="17"/>
  <c r="AC169" i="17"/>
  <c r="AC341" i="17"/>
  <c r="R6" i="18"/>
  <c r="AC489" i="17"/>
  <c r="V485" i="17"/>
  <c r="V107" i="17"/>
  <c r="W489" i="17"/>
  <c r="V563" i="17"/>
  <c r="V38" i="17"/>
  <c r="V600" i="17"/>
  <c r="V73" i="17"/>
  <c r="V528" i="17"/>
  <c r="V59" i="17"/>
  <c r="V470" i="17"/>
  <c r="V357" i="17"/>
  <c r="V88" i="17"/>
  <c r="V523" i="17"/>
  <c r="V542" i="17"/>
  <c r="V560" i="17"/>
  <c r="V565" i="17"/>
  <c r="V282" i="17"/>
  <c r="V561" i="17"/>
  <c r="V110" i="17"/>
  <c r="V450" i="17"/>
  <c r="AC416" i="17"/>
  <c r="AC302" i="17"/>
  <c r="AC226" i="17"/>
  <c r="AC605" i="17"/>
  <c r="V447" i="17"/>
  <c r="V163" i="17"/>
  <c r="R7" i="18"/>
  <c r="W130" i="17"/>
  <c r="V186" i="17"/>
  <c r="V76" i="17"/>
  <c r="V339" i="17"/>
  <c r="V19" i="17"/>
  <c r="V258" i="17"/>
  <c r="V182" i="17"/>
  <c r="V366" i="17"/>
  <c r="V404" i="17"/>
  <c r="R8" i="18"/>
  <c r="T8" i="18" s="1"/>
  <c r="V484" i="17"/>
  <c r="V72" i="17"/>
  <c r="V205" i="17"/>
  <c r="V603" i="17"/>
  <c r="V506" i="17"/>
  <c r="V505" i="17"/>
  <c r="V259" i="17"/>
  <c r="AC550" i="17"/>
  <c r="V36" i="17"/>
  <c r="V429" i="17"/>
  <c r="W415" i="17"/>
  <c r="W244" i="17"/>
  <c r="W320" i="17"/>
  <c r="W187" i="17"/>
  <c r="W358" i="17"/>
  <c r="W301" i="17"/>
  <c r="W19" i="17"/>
  <c r="W339" i="17"/>
  <c r="W509" i="17"/>
  <c r="W152" i="17"/>
  <c r="W471" i="17"/>
  <c r="W565" i="17"/>
  <c r="W282" i="17"/>
  <c r="W263" i="17"/>
  <c r="W585" i="17"/>
  <c r="W528" i="17"/>
  <c r="W59" i="17"/>
  <c r="W604" i="17"/>
  <c r="W93" i="17"/>
  <c r="W433" i="17"/>
  <c r="W39" i="17"/>
  <c r="W111" i="17"/>
  <c r="W206" i="17"/>
  <c r="AC129" i="17"/>
  <c r="W527" i="17"/>
  <c r="W224" i="17"/>
  <c r="W414" i="17"/>
  <c r="W166" i="17"/>
  <c r="W563" i="17"/>
  <c r="W38" i="17"/>
  <c r="W92" i="17"/>
  <c r="W432" i="17"/>
  <c r="W450" i="17"/>
  <c r="W110" i="17"/>
  <c r="W186" i="17"/>
  <c r="W76" i="17"/>
  <c r="W262" i="17"/>
  <c r="W243" i="17"/>
  <c r="W525" i="17"/>
  <c r="W543" i="17"/>
  <c r="AC506" i="17"/>
  <c r="W506" i="17"/>
  <c r="W260" i="17"/>
  <c r="W374" i="17"/>
  <c r="W36" i="17"/>
  <c r="W429" i="17"/>
  <c r="W582" i="17"/>
  <c r="W355" i="17"/>
  <c r="W316" i="17"/>
  <c r="BF93" i="17"/>
  <c r="AS166" i="17"/>
  <c r="BD527" i="17"/>
  <c r="AS165" i="17"/>
  <c r="BD111" i="17"/>
  <c r="BE548" i="17"/>
  <c r="BD318" i="17"/>
  <c r="BE341" i="17"/>
  <c r="BD414" i="17"/>
  <c r="AS207" i="17"/>
  <c r="AS303" i="17"/>
  <c r="BI262" i="17"/>
  <c r="AR474" i="17"/>
  <c r="BG393" i="17"/>
  <c r="BF166" i="17"/>
  <c r="BF262" i="17"/>
  <c r="BF432" i="17"/>
  <c r="BD57" i="17"/>
  <c r="BE378" i="17"/>
  <c r="W163" i="17"/>
  <c r="W315" i="17"/>
  <c r="W221" i="17"/>
  <c r="W183" i="17"/>
  <c r="W148" i="17"/>
  <c r="W259" i="17"/>
  <c r="W505" i="17"/>
  <c r="W373" i="17"/>
  <c r="W467" i="17"/>
  <c r="W485" i="17"/>
  <c r="W107" i="17"/>
  <c r="W600" i="17"/>
  <c r="W73" i="17"/>
  <c r="W240" i="17"/>
  <c r="W278" i="17"/>
  <c r="W524" i="17"/>
  <c r="W14" i="17"/>
  <c r="BK466" i="17"/>
  <c r="BI429" i="17"/>
  <c r="BD59" i="17"/>
  <c r="BE247" i="17"/>
  <c r="BF260" i="17"/>
  <c r="BE355" i="17"/>
  <c r="AW242" i="17"/>
  <c r="AU417" i="17"/>
  <c r="AW428" i="17"/>
  <c r="AR93" i="17"/>
  <c r="AS163" i="17"/>
  <c r="AR21" i="17"/>
  <c r="AS467" i="17"/>
  <c r="AS398" i="17"/>
  <c r="AR527" i="17"/>
  <c r="AR78" i="17"/>
  <c r="AS602" i="17"/>
  <c r="AT485" i="17"/>
  <c r="BE21" i="17"/>
  <c r="BE474" i="17"/>
  <c r="AW131" i="17"/>
  <c r="AT488" i="17"/>
  <c r="BI508" i="17"/>
  <c r="BH297" i="17"/>
  <c r="AR247" i="17"/>
  <c r="BE263" i="17"/>
  <c r="BI434" i="17"/>
  <c r="BE284" i="17"/>
  <c r="AT131" i="17"/>
  <c r="AT490" i="17"/>
  <c r="AW568" i="17"/>
  <c r="AT38" i="17"/>
  <c r="AS379" i="17"/>
  <c r="BF455" i="17"/>
  <c r="AS302" i="17"/>
  <c r="BG359" i="17"/>
  <c r="AR133" i="17"/>
  <c r="BI110" i="17"/>
  <c r="BF473" i="17"/>
  <c r="BD228" i="17"/>
  <c r="BE132" i="17"/>
  <c r="AR469" i="17"/>
  <c r="BF529" i="17"/>
  <c r="BD243" i="17"/>
  <c r="AU375" i="17"/>
  <c r="AW278" i="17"/>
  <c r="AU412" i="17"/>
  <c r="BH505" i="17"/>
  <c r="BF281" i="17"/>
  <c r="BF264" i="17"/>
  <c r="BF263" i="17"/>
  <c r="AU394" i="17"/>
  <c r="BI130" i="17"/>
  <c r="AW133" i="17"/>
  <c r="BF56" i="17"/>
  <c r="BH301" i="17"/>
  <c r="AT455" i="17"/>
  <c r="BD316" i="17"/>
  <c r="BI417" i="17"/>
  <c r="AW241" i="17"/>
  <c r="AT470" i="17"/>
  <c r="BG416" i="17"/>
  <c r="AW412" i="17"/>
  <c r="BF560" i="17"/>
  <c r="BF108" i="17"/>
  <c r="BE297" i="17"/>
  <c r="BF525" i="17"/>
  <c r="AR244" i="17"/>
  <c r="AW127" i="17"/>
  <c r="AT340" i="17"/>
  <c r="AU413" i="17"/>
  <c r="AR246" i="17"/>
  <c r="AW113" i="17"/>
  <c r="AS76" i="17"/>
  <c r="AR411" i="17"/>
  <c r="AR392" i="17"/>
  <c r="BD208" i="17"/>
  <c r="BD148" i="17"/>
  <c r="AT525" i="17"/>
  <c r="BI57" i="17"/>
  <c r="AR395" i="17"/>
  <c r="AS185" i="17"/>
  <c r="BI415" i="17"/>
  <c r="AW87" i="17"/>
  <c r="BI58" i="17"/>
  <c r="AV436" i="17"/>
  <c r="AU566" i="17"/>
  <c r="BG266" i="17"/>
  <c r="BE301" i="17"/>
  <c r="BF379" i="17"/>
  <c r="AV206" i="17"/>
  <c r="AV208" i="17"/>
  <c r="AW218" i="17"/>
  <c r="BG260" i="17"/>
  <c r="AT17" i="17"/>
  <c r="AW468" i="17"/>
  <c r="BI566" i="17"/>
  <c r="AU428" i="17"/>
  <c r="AU265" i="17"/>
  <c r="AU57" i="17"/>
  <c r="BE202" i="17"/>
  <c r="BE94" i="17"/>
  <c r="AU510" i="17"/>
  <c r="AU396" i="17"/>
  <c r="AS299" i="17"/>
  <c r="AU508" i="17"/>
  <c r="AR379" i="17"/>
  <c r="AW543" i="17"/>
  <c r="AV262" i="17"/>
  <c r="BE164" i="17"/>
  <c r="AU512" i="17"/>
  <c r="AU507" i="17"/>
  <c r="AU505" i="17"/>
  <c r="BG430" i="17"/>
  <c r="BE14" i="17"/>
  <c r="AW183" i="17"/>
  <c r="AU313" i="17"/>
  <c r="BH607" i="17"/>
  <c r="AU285" i="17"/>
  <c r="BF91" i="17"/>
  <c r="BD467" i="17"/>
  <c r="AV581" i="17"/>
  <c r="BK277" i="17"/>
  <c r="BE357" i="17"/>
  <c r="BG529" i="17"/>
  <c r="BG13" i="17"/>
  <c r="AU296" i="17"/>
  <c r="BI561" i="17"/>
  <c r="AT201" i="17"/>
  <c r="AU378" i="17"/>
  <c r="BF304" i="17"/>
  <c r="BG432" i="17"/>
  <c r="BI568" i="17"/>
  <c r="BE92" i="17"/>
  <c r="AT247" i="17"/>
  <c r="AT509" i="17"/>
  <c r="BF588" i="17"/>
  <c r="AU436" i="17"/>
  <c r="AW485" i="17"/>
  <c r="BE283" i="17"/>
  <c r="BG265" i="17"/>
  <c r="AW559" i="17"/>
  <c r="AW542" i="17"/>
  <c r="BG377" i="17"/>
  <c r="BF96" i="17"/>
  <c r="BD165" i="17"/>
  <c r="BG36" i="17"/>
  <c r="BI562" i="17"/>
  <c r="AT429" i="17"/>
  <c r="AU433" i="17"/>
  <c r="AR77" i="17"/>
  <c r="AT430" i="17"/>
  <c r="BE19" i="17"/>
  <c r="BF568" i="17"/>
  <c r="AU562" i="17"/>
  <c r="AS74" i="17"/>
  <c r="AT530" i="17"/>
  <c r="AT436" i="17"/>
  <c r="AV186" i="17"/>
  <c r="AV209" i="17"/>
  <c r="BD128" i="17"/>
  <c r="AV207" i="17"/>
  <c r="BH204" i="17"/>
  <c r="AV473" i="17"/>
  <c r="BI114" i="17"/>
  <c r="AT129" i="17"/>
  <c r="BE108" i="17"/>
  <c r="AS492" i="17"/>
  <c r="AT468" i="17"/>
  <c r="BD505" i="17"/>
  <c r="BH472" i="17"/>
  <c r="BH357" i="17"/>
  <c r="BE430" i="17"/>
  <c r="AS339" i="17"/>
  <c r="BE469" i="17"/>
  <c r="AS130" i="17"/>
  <c r="BH567" i="17"/>
  <c r="BF261" i="17"/>
  <c r="BD207" i="17"/>
  <c r="BD542" i="17"/>
  <c r="AT246" i="17"/>
  <c r="AT113" i="17"/>
  <c r="AV203" i="17"/>
  <c r="BE109" i="17"/>
  <c r="AC71" i="17"/>
  <c r="W255" i="17"/>
  <c r="AR390" i="17"/>
  <c r="AC299" i="17"/>
  <c r="AC318" i="17"/>
  <c r="BD390" i="17"/>
  <c r="BJ147" i="17"/>
  <c r="AC90" i="17"/>
  <c r="AC222" i="17"/>
  <c r="W220" i="17"/>
  <c r="W296" i="17"/>
  <c r="W258" i="17"/>
  <c r="W182" i="17"/>
  <c r="W353" i="17"/>
  <c r="W239" i="17"/>
  <c r="W72" i="17"/>
  <c r="W484" i="17"/>
  <c r="W541" i="17"/>
  <c r="W34" i="17"/>
  <c r="W314" i="17"/>
  <c r="W106" i="17"/>
  <c r="W446" i="17"/>
  <c r="W201" i="17"/>
  <c r="V537" i="17"/>
  <c r="V9" i="17"/>
  <c r="AC435" i="17"/>
  <c r="AC265" i="17"/>
  <c r="V595" i="17"/>
  <c r="V442" i="17"/>
  <c r="V217" i="17"/>
  <c r="V159" i="17"/>
  <c r="V311" i="17"/>
  <c r="V179" i="17"/>
  <c r="V443" i="17"/>
  <c r="V387" i="17"/>
  <c r="AB462" i="17"/>
  <c r="AC359" i="17"/>
  <c r="AC586" i="17"/>
  <c r="V30" i="17"/>
  <c r="V576" i="17"/>
  <c r="V389" i="17"/>
  <c r="V200" i="17"/>
  <c r="V480" i="17"/>
  <c r="V216" i="17"/>
  <c r="V558" i="17"/>
  <c r="V86" i="17"/>
  <c r="V333" i="17"/>
  <c r="V521" i="17"/>
  <c r="V406" i="17"/>
  <c r="V68" i="17"/>
  <c r="V578" i="17"/>
  <c r="V180" i="17"/>
  <c r="V465" i="17"/>
  <c r="V409" i="17"/>
  <c r="V10" i="17"/>
  <c r="V123" i="17"/>
  <c r="V125" i="17"/>
  <c r="V276" i="17"/>
  <c r="V501" i="17"/>
  <c r="V51" i="17"/>
  <c r="V158" i="17"/>
  <c r="V423" i="17"/>
  <c r="V181" i="17"/>
  <c r="V295" i="17"/>
  <c r="V218" i="17"/>
  <c r="V199" i="17"/>
  <c r="V197" i="17"/>
  <c r="V292" i="17"/>
  <c r="V556" i="17"/>
  <c r="V331" i="17"/>
  <c r="V143" i="17"/>
  <c r="V50" i="17"/>
  <c r="V502" i="17"/>
  <c r="V312" i="17"/>
  <c r="V160" i="17"/>
  <c r="V464" i="17"/>
  <c r="AC220" i="17"/>
  <c r="AC296" i="17"/>
  <c r="V11" i="17"/>
  <c r="V32" i="17"/>
  <c r="V52" i="17"/>
  <c r="V124" i="17"/>
  <c r="V349" i="17"/>
  <c r="V254" i="17"/>
  <c r="W483" i="17"/>
  <c r="W161" i="17"/>
  <c r="W313" i="17"/>
  <c r="W579" i="17"/>
  <c r="W334" i="17"/>
  <c r="W33" i="17"/>
  <c r="W276" i="17"/>
  <c r="W125" i="17"/>
  <c r="W371" i="17"/>
  <c r="W71" i="17"/>
  <c r="W181" i="17"/>
  <c r="W295" i="17"/>
  <c r="BK257" i="17"/>
  <c r="BJ205" i="17"/>
  <c r="BJ221" i="17"/>
  <c r="BK455" i="17"/>
  <c r="AU38" i="17"/>
  <c r="AR264" i="17"/>
  <c r="AS188" i="17"/>
  <c r="AU54" i="17"/>
  <c r="AW360" i="17"/>
  <c r="BI540" i="17"/>
  <c r="BI546" i="17"/>
  <c r="AS260" i="17"/>
  <c r="BI606" i="17"/>
  <c r="BI466" i="17"/>
  <c r="BG185" i="17"/>
  <c r="AU78" i="17"/>
  <c r="AU540" i="17"/>
  <c r="AU223" i="17"/>
  <c r="AW341" i="17"/>
  <c r="BI469" i="17"/>
  <c r="AW605" i="17"/>
  <c r="AW584" i="17"/>
  <c r="BD202" i="17"/>
  <c r="AW545" i="17"/>
  <c r="AW544" i="17"/>
  <c r="AW34" i="17"/>
  <c r="BI565" i="17"/>
  <c r="BG227" i="17"/>
  <c r="AW93" i="17"/>
  <c r="BD302" i="17"/>
  <c r="BI560" i="17"/>
  <c r="AW548" i="17"/>
  <c r="BI278" i="17"/>
  <c r="BI285" i="17"/>
  <c r="AU452" i="17"/>
  <c r="AU228" i="17"/>
  <c r="BI109" i="17"/>
  <c r="BD147" i="17"/>
  <c r="BI603" i="17"/>
  <c r="AW280" i="17"/>
  <c r="BG242" i="17"/>
  <c r="AW547" i="17"/>
  <c r="BG605" i="17"/>
  <c r="BI549" i="17"/>
  <c r="AU314" i="17"/>
  <c r="AS190" i="17"/>
  <c r="AW601" i="17"/>
  <c r="BE130" i="17"/>
  <c r="AU315" i="17"/>
  <c r="AU355" i="17"/>
  <c r="BE205" i="17"/>
  <c r="BF78" i="17"/>
  <c r="BF546" i="17"/>
  <c r="BD342" i="17"/>
  <c r="BI455" i="17"/>
  <c r="BI321" i="17"/>
  <c r="AW263" i="17"/>
  <c r="BD600" i="17"/>
  <c r="BD354" i="17"/>
  <c r="BE413" i="17"/>
  <c r="AT90" i="17"/>
  <c r="AW583" i="17"/>
  <c r="AW126" i="17"/>
  <c r="AU71" i="17"/>
  <c r="BF112" i="17"/>
  <c r="AS283" i="17"/>
  <c r="AW581" i="17"/>
  <c r="BE488" i="17"/>
  <c r="BE39" i="17"/>
  <c r="BF105" i="17"/>
  <c r="AT603" i="17"/>
  <c r="BD323" i="17"/>
  <c r="BD190" i="17"/>
  <c r="AV112" i="17"/>
  <c r="AV447" i="17"/>
  <c r="BI587" i="17"/>
  <c r="BF90" i="17"/>
  <c r="AS434" i="17"/>
  <c r="BE221" i="17"/>
  <c r="AR74" i="17"/>
  <c r="AS316" i="17"/>
  <c r="BF95" i="17"/>
  <c r="BD353" i="17"/>
  <c r="AS202" i="17"/>
  <c r="AR151" i="17"/>
  <c r="BF509" i="17"/>
  <c r="AV162" i="17"/>
  <c r="AT484" i="17"/>
  <c r="BE315" i="17"/>
  <c r="AT161" i="17"/>
  <c r="AS77" i="17"/>
  <c r="BE167" i="17"/>
  <c r="BH164" i="17"/>
  <c r="BE161" i="17"/>
  <c r="BE38" i="17"/>
  <c r="AT297" i="17"/>
  <c r="BH167" i="17"/>
  <c r="BI559" i="17"/>
  <c r="AW300" i="17"/>
  <c r="BD397" i="17"/>
  <c r="AR265" i="17"/>
  <c r="BI303" i="17"/>
  <c r="BF12" i="17"/>
  <c r="AR470" i="17"/>
  <c r="BI276" i="17"/>
  <c r="AW38" i="17"/>
  <c r="AR225" i="17"/>
  <c r="BE125" i="17"/>
  <c r="BF73" i="17"/>
  <c r="AR471" i="17"/>
  <c r="BI301" i="17"/>
  <c r="BH559" i="17"/>
  <c r="BH566" i="17"/>
  <c r="AT21" i="17"/>
  <c r="AW257" i="17"/>
  <c r="BF110" i="17"/>
  <c r="AT94" i="17"/>
  <c r="BD90" i="17"/>
  <c r="AR260" i="17"/>
  <c r="AT111" i="17"/>
  <c r="AW181" i="17"/>
  <c r="BE397" i="17"/>
  <c r="BD543" i="17"/>
  <c r="BD164" i="17"/>
  <c r="AV604" i="17"/>
  <c r="BH563" i="17"/>
  <c r="AV37" i="17"/>
  <c r="AV35" i="17"/>
  <c r="BD352" i="17"/>
  <c r="BD219" i="17"/>
  <c r="BD371" i="17"/>
  <c r="BD71" i="17"/>
  <c r="BH94" i="17"/>
  <c r="BF265" i="17"/>
  <c r="BF435" i="17"/>
  <c r="BH433" i="17"/>
  <c r="AR259" i="17"/>
  <c r="AR373" i="17"/>
  <c r="AT257" i="17"/>
  <c r="BF111" i="17"/>
  <c r="AW580" i="17"/>
  <c r="BE13" i="17"/>
  <c r="BF587" i="17"/>
  <c r="AU151" i="17"/>
  <c r="AT132" i="17"/>
  <c r="BI112" i="17"/>
  <c r="AS108" i="17"/>
  <c r="AT542" i="17"/>
  <c r="AU297" i="17"/>
  <c r="AT323" i="17"/>
  <c r="AT263" i="17"/>
  <c r="BD341" i="17"/>
  <c r="BE334" i="17"/>
  <c r="AW356" i="17"/>
  <c r="BE281" i="17"/>
  <c r="AR262" i="17"/>
  <c r="BF238" i="17"/>
  <c r="BI507" i="17"/>
  <c r="AV259" i="17"/>
  <c r="BF467" i="17"/>
  <c r="BD182" i="17"/>
  <c r="BH582" i="17"/>
  <c r="BH258" i="17"/>
  <c r="AR378" i="17"/>
  <c r="BE261" i="17"/>
  <c r="BG353" i="17"/>
  <c r="AT244" i="17"/>
  <c r="AT20" i="17"/>
  <c r="BD550" i="17"/>
  <c r="BI149" i="17"/>
  <c r="AR220" i="17"/>
  <c r="BF567" i="17"/>
  <c r="BF55" i="17"/>
  <c r="AS75" i="17"/>
  <c r="AR375" i="17"/>
  <c r="BG446" i="17"/>
  <c r="AW146" i="17"/>
  <c r="AS95" i="17"/>
  <c r="BF373" i="17"/>
  <c r="BF75" i="17"/>
  <c r="AV585" i="17"/>
  <c r="BH246" i="17"/>
  <c r="BH374" i="17"/>
  <c r="BI151" i="17"/>
  <c r="AV435" i="17"/>
  <c r="AT282" i="17"/>
  <c r="AV586" i="17"/>
  <c r="AV583" i="17"/>
  <c r="AR58" i="17"/>
  <c r="BE114" i="17"/>
  <c r="BD604" i="17"/>
  <c r="BE587" i="17"/>
  <c r="AW509" i="17"/>
  <c r="AT189" i="17"/>
  <c r="BD244" i="17"/>
  <c r="AS181" i="17"/>
  <c r="BE182" i="17"/>
  <c r="BH261" i="17"/>
  <c r="BH585" i="17"/>
  <c r="AW410" i="17"/>
  <c r="BH584" i="17"/>
  <c r="BF409" i="17"/>
  <c r="BF559" i="17"/>
  <c r="AS304" i="17"/>
  <c r="AT548" i="17"/>
  <c r="BF59" i="17"/>
  <c r="AR323" i="17"/>
  <c r="AT226" i="17"/>
  <c r="AR371" i="17"/>
  <c r="AS277" i="17"/>
  <c r="BH464" i="17"/>
  <c r="BD167" i="17"/>
  <c r="BD95" i="17"/>
  <c r="AR372" i="17"/>
  <c r="BE338" i="17"/>
  <c r="BE299" i="17"/>
  <c r="AW109" i="17"/>
  <c r="AS525" i="17"/>
  <c r="BF204" i="17"/>
  <c r="AT114" i="17"/>
  <c r="AR562" i="17"/>
  <c r="AT181" i="17"/>
  <c r="AR473" i="17"/>
  <c r="BD171" i="17"/>
  <c r="BG429" i="17"/>
  <c r="AC312" i="17"/>
  <c r="W482" i="17"/>
  <c r="W388" i="17"/>
  <c r="W425" i="17"/>
  <c r="W275" i="17"/>
  <c r="W124" i="17"/>
  <c r="W52" i="17"/>
  <c r="BJ75" i="17"/>
  <c r="BK299" i="17"/>
  <c r="BJ316" i="17"/>
  <c r="BK77" i="17"/>
  <c r="BJ297" i="17"/>
  <c r="BJ303" i="17"/>
  <c r="AV506" i="17"/>
  <c r="BI163" i="17"/>
  <c r="BH547" i="17"/>
  <c r="AW607" i="17"/>
  <c r="AU379" i="17"/>
  <c r="BG245" i="17"/>
  <c r="AS550" i="17"/>
  <c r="BE264" i="17"/>
  <c r="BI542" i="17"/>
  <c r="BD20" i="17"/>
  <c r="BE126" i="17"/>
  <c r="BI454" i="17"/>
  <c r="AV334" i="17"/>
  <c r="AW453" i="17"/>
  <c r="BI314" i="17"/>
  <c r="BF76" i="17"/>
  <c r="AR285" i="17"/>
  <c r="BI105" i="17"/>
  <c r="BI426" i="17"/>
  <c r="AV169" i="17"/>
  <c r="BI12" i="17"/>
  <c r="BF133" i="17"/>
  <c r="BF199" i="17"/>
  <c r="AW449" i="17"/>
  <c r="BD188" i="17"/>
  <c r="AU568" i="17"/>
  <c r="AU241" i="17"/>
  <c r="AT92" i="17"/>
  <c r="BE168" i="17"/>
  <c r="BE171" i="17"/>
  <c r="BG415" i="17"/>
  <c r="AT474" i="17"/>
  <c r="BE426" i="17"/>
  <c r="BH338" i="17"/>
  <c r="AV342" i="17"/>
  <c r="AW110" i="17"/>
  <c r="AT93" i="17"/>
  <c r="BE36" i="17"/>
  <c r="AU587" i="17"/>
  <c r="BE547" i="17"/>
  <c r="AV181" i="17"/>
  <c r="BD37" i="17"/>
  <c r="BI129" i="17"/>
  <c r="BE260" i="17"/>
  <c r="AU75" i="17"/>
  <c r="AT523" i="17"/>
  <c r="BI580" i="17"/>
  <c r="AT208" i="17"/>
  <c r="AT266" i="17"/>
  <c r="AT73" i="17"/>
  <c r="BF277" i="17"/>
  <c r="AW148" i="17"/>
  <c r="AR297" i="17"/>
  <c r="BF71" i="17"/>
  <c r="BE96" i="17"/>
  <c r="AT145" i="17"/>
  <c r="AW541" i="17"/>
  <c r="AR20" i="17"/>
  <c r="AT370" i="17"/>
  <c r="BE190" i="17"/>
  <c r="BE110" i="17"/>
  <c r="AS539" i="17"/>
  <c r="AT299" i="17"/>
  <c r="BG206" i="17"/>
  <c r="AU108" i="17"/>
  <c r="BG561" i="17"/>
  <c r="BF245" i="17"/>
  <c r="AU560" i="17"/>
  <c r="AU283" i="17"/>
  <c r="AW466" i="17"/>
  <c r="AV336" i="17"/>
  <c r="BD408" i="17"/>
  <c r="BD444" i="17"/>
  <c r="AU208" i="17"/>
  <c r="BF447" i="17"/>
  <c r="BF163" i="17"/>
  <c r="AU354" i="17"/>
  <c r="BG264" i="17"/>
  <c r="BG397" i="17"/>
  <c r="BG361" i="17"/>
  <c r="AU209" i="17"/>
  <c r="AU282" i="17"/>
  <c r="BG318" i="17"/>
  <c r="AU319" i="17"/>
  <c r="AU220" i="17"/>
  <c r="BE56" i="17"/>
  <c r="AT34" i="17"/>
  <c r="BG204" i="17"/>
  <c r="BF259" i="17"/>
  <c r="BF505" i="17"/>
  <c r="W424" i="17"/>
  <c r="W557" i="17"/>
  <c r="W293" i="17"/>
  <c r="W217" i="17"/>
  <c r="W159" i="17"/>
  <c r="W236" i="17"/>
  <c r="W31" i="17"/>
  <c r="W463" i="17"/>
  <c r="W481" i="17"/>
  <c r="W387" i="17"/>
  <c r="W443" i="17"/>
  <c r="W51" i="17"/>
  <c r="W501" i="17"/>
  <c r="W123" i="17"/>
  <c r="W10" i="17"/>
  <c r="W332" i="17"/>
  <c r="W538" i="17"/>
  <c r="BK470" i="17"/>
  <c r="BH112" i="17"/>
  <c r="BH430" i="17"/>
  <c r="AV560" i="17"/>
  <c r="BH304" i="17"/>
  <c r="BH203" i="17"/>
  <c r="AV565" i="17"/>
  <c r="BH569" i="17"/>
  <c r="BH415" i="17"/>
  <c r="BH561" i="17"/>
  <c r="AT301" i="17"/>
  <c r="AR53" i="17"/>
  <c r="BE257" i="17"/>
  <c r="BH426" i="17"/>
  <c r="AV246" i="17"/>
  <c r="AV247" i="17"/>
  <c r="BH568" i="17"/>
  <c r="AV485" i="17"/>
  <c r="BD562" i="17"/>
  <c r="AV580" i="17"/>
  <c r="AV104" i="17"/>
  <c r="AV113" i="17"/>
  <c r="BH450" i="17"/>
  <c r="AU53" i="17"/>
  <c r="AR221" i="17"/>
  <c r="AW190" i="17"/>
  <c r="AW602" i="17"/>
  <c r="AS34" i="17"/>
  <c r="BI160" i="17"/>
  <c r="BE103" i="17"/>
  <c r="BE597" i="17"/>
  <c r="BI204" i="17"/>
  <c r="BI567" i="17"/>
  <c r="AW467" i="17"/>
  <c r="BI472" i="17"/>
  <c r="BI111" i="17"/>
  <c r="BI389" i="17"/>
  <c r="BI474" i="17"/>
  <c r="BI446" i="17"/>
  <c r="AW198" i="17"/>
  <c r="AW471" i="17"/>
  <c r="AW463" i="17"/>
  <c r="AW108" i="17"/>
  <c r="BI470" i="17"/>
  <c r="BI468" i="17"/>
  <c r="AT413" i="17"/>
  <c r="BF278" i="17"/>
  <c r="AW396" i="17"/>
  <c r="BI465" i="17"/>
  <c r="AC537" i="17"/>
  <c r="AC406" i="17"/>
  <c r="AC50" i="17"/>
  <c r="W386" i="17"/>
  <c r="W102" i="17"/>
  <c r="W292" i="17"/>
  <c r="W197" i="17"/>
  <c r="W368" i="17"/>
  <c r="W310" i="17"/>
  <c r="W595" i="17"/>
  <c r="W442" i="17"/>
  <c r="W50" i="17"/>
  <c r="W143" i="17"/>
  <c r="AC143" i="17"/>
  <c r="AT278" i="17"/>
  <c r="AU358" i="17"/>
  <c r="AC106" i="17"/>
  <c r="AC314" i="17"/>
  <c r="AC182" i="17"/>
  <c r="AC258" i="17"/>
  <c r="AC481" i="17"/>
  <c r="AC463" i="17"/>
  <c r="AS205" i="17"/>
  <c r="AS603" i="17"/>
  <c r="BK188" i="17"/>
  <c r="BK245" i="17"/>
  <c r="BJ145" i="17"/>
  <c r="BJ539" i="17"/>
  <c r="AC502" i="17"/>
  <c r="BK56" i="17"/>
  <c r="BJ530" i="17"/>
  <c r="V593" i="17"/>
  <c r="V156" i="17"/>
  <c r="BJ413" i="17"/>
  <c r="BJ487" i="17"/>
  <c r="BJ578" i="17"/>
  <c r="BJ180" i="17"/>
  <c r="AC360" i="17"/>
  <c r="AC284" i="17"/>
  <c r="BJ512" i="17"/>
  <c r="BJ474" i="17"/>
  <c r="AT180" i="17"/>
  <c r="AT578" i="17"/>
  <c r="BJ53" i="17"/>
  <c r="BF597" i="17"/>
  <c r="BF370" i="17"/>
  <c r="BJ396" i="17"/>
  <c r="BJ207" i="17"/>
  <c r="BK562" i="17"/>
  <c r="BK430" i="17"/>
  <c r="BJ561" i="17"/>
  <c r="AC597" i="17"/>
  <c r="AC370" i="17"/>
  <c r="BK565" i="17"/>
  <c r="BK282" i="17"/>
  <c r="AC424" i="17"/>
  <c r="AC557" i="17"/>
  <c r="AC560" i="17"/>
  <c r="AC542" i="17"/>
  <c r="AC339" i="17"/>
  <c r="AC19" i="17"/>
  <c r="V384" i="17"/>
  <c r="V214" i="17"/>
  <c r="AC266" i="17"/>
  <c r="AC96" i="17"/>
  <c r="AC243" i="17"/>
  <c r="AC262" i="17"/>
  <c r="AC91" i="17"/>
  <c r="AC37" i="17"/>
  <c r="V176" i="17"/>
  <c r="V100" i="17"/>
  <c r="BK131" i="17"/>
  <c r="AC353" i="17"/>
  <c r="AC239" i="17"/>
  <c r="AC217" i="17"/>
  <c r="AC159" i="17"/>
  <c r="AC567" i="17"/>
  <c r="AC208" i="17"/>
  <c r="AC171" i="17"/>
  <c r="AC492" i="17"/>
  <c r="AU357" i="17"/>
  <c r="AU323" i="17"/>
  <c r="BH217" i="17"/>
  <c r="AC342" i="17"/>
  <c r="AR278" i="17"/>
  <c r="BG373" i="17"/>
  <c r="AW144" i="17"/>
  <c r="AT275" i="17"/>
  <c r="AU504" i="17"/>
  <c r="AU260" i="17"/>
  <c r="BD34" i="17"/>
  <c r="AC294" i="17"/>
  <c r="AC237" i="17"/>
  <c r="AC538" i="17"/>
  <c r="AC332" i="17"/>
  <c r="AC474" i="17"/>
  <c r="AC512" i="17"/>
  <c r="AC39" i="17"/>
  <c r="AC433" i="17"/>
  <c r="W330" i="17"/>
  <c r="AC277" i="17"/>
  <c r="AC466" i="17"/>
  <c r="V195" i="17"/>
  <c r="V309" i="17"/>
  <c r="AS59" i="17"/>
  <c r="BE409" i="17"/>
  <c r="AC584" i="17"/>
  <c r="AC281" i="17"/>
  <c r="AC582" i="17"/>
  <c r="AC511" i="17"/>
  <c r="AC133" i="17"/>
  <c r="W82" i="17"/>
  <c r="W554" i="17"/>
  <c r="BE455" i="17"/>
  <c r="BG75" i="17"/>
  <c r="BJ410" i="17"/>
  <c r="AC602" i="17"/>
  <c r="AC469" i="17"/>
  <c r="AC283" i="17"/>
  <c r="AC321" i="17"/>
  <c r="AC218" i="17"/>
  <c r="AC199" i="17"/>
  <c r="AC520" i="17"/>
  <c r="AC144" i="17"/>
  <c r="AC320" i="17"/>
  <c r="AC187" i="17"/>
  <c r="AC21" i="17"/>
  <c r="AC221" i="17"/>
  <c r="AC315" i="17"/>
  <c r="AC417" i="17"/>
  <c r="AC132" i="17"/>
  <c r="AC78" i="17"/>
  <c r="AC500" i="17"/>
  <c r="AC122" i="17"/>
  <c r="V554" i="17"/>
  <c r="V82" i="17"/>
  <c r="AC275" i="17"/>
  <c r="AC425" i="17"/>
  <c r="BG424" i="17"/>
  <c r="AC483" i="17"/>
  <c r="AC161" i="17"/>
  <c r="BG103" i="17"/>
  <c r="AC445" i="17"/>
  <c r="AC12" i="17"/>
  <c r="AC556" i="17"/>
  <c r="AC331" i="17"/>
  <c r="V535" i="17"/>
  <c r="V498" i="17"/>
  <c r="AC51" i="17"/>
  <c r="AC501" i="17"/>
  <c r="AC527" i="17"/>
  <c r="AC224" i="17"/>
  <c r="AC76" i="17"/>
  <c r="AC186" i="17"/>
  <c r="AC393" i="17"/>
  <c r="AC185" i="17"/>
  <c r="W291" i="17"/>
  <c r="W49" i="17"/>
  <c r="AC278" i="17"/>
  <c r="AC240" i="17"/>
  <c r="AC491" i="17"/>
  <c r="AC606" i="17"/>
  <c r="V460" i="17"/>
  <c r="BG284" i="17"/>
  <c r="AR39" i="17"/>
  <c r="AT393" i="17"/>
  <c r="W100" i="17"/>
  <c r="W176" i="17"/>
  <c r="W367" i="17"/>
  <c r="W157" i="17"/>
  <c r="AC543" i="17"/>
  <c r="AC525" i="17"/>
  <c r="AT528" i="17"/>
  <c r="AT59" i="17"/>
  <c r="AC398" i="17"/>
  <c r="AC228" i="17"/>
  <c r="BJ126" i="17"/>
  <c r="BJ335" i="17"/>
  <c r="AC124" i="17"/>
  <c r="AC52" i="17"/>
  <c r="V478" i="17"/>
  <c r="V28" i="17"/>
  <c r="AV160" i="17"/>
  <c r="AT147" i="17"/>
  <c r="AS180" i="17"/>
  <c r="AC94" i="17"/>
  <c r="AC40" i="17"/>
  <c r="AC201" i="17"/>
  <c r="AC446" i="17"/>
  <c r="AC368" i="17"/>
  <c r="AC310" i="17"/>
  <c r="AC113" i="17"/>
  <c r="AC227" i="17"/>
  <c r="W272" i="17"/>
  <c r="W575" i="17"/>
  <c r="W196" i="17"/>
  <c r="W479" i="17"/>
  <c r="AC361" i="17"/>
  <c r="AC323" i="17"/>
  <c r="W121" i="17"/>
  <c r="W67" i="17"/>
  <c r="AC301" i="17"/>
  <c r="AC358" i="17"/>
  <c r="AW21" i="17"/>
  <c r="BJ275" i="17"/>
  <c r="BJ470" i="17"/>
  <c r="BD131" i="17"/>
  <c r="V252" i="17"/>
  <c r="V574" i="17"/>
  <c r="V66" i="17"/>
  <c r="V440" i="17"/>
  <c r="W8" i="17"/>
  <c r="W83" i="17"/>
  <c r="AR301" i="17"/>
  <c r="AR358" i="17"/>
  <c r="BK258" i="17"/>
  <c r="BK182" i="17"/>
  <c r="W214" i="17"/>
  <c r="W384" i="17"/>
  <c r="W177" i="17"/>
  <c r="W215" i="17"/>
  <c r="AW340" i="17"/>
  <c r="V271" i="17"/>
  <c r="V233" i="17"/>
  <c r="V177" i="17"/>
  <c r="V215" i="17"/>
  <c r="BJ358" i="17"/>
  <c r="BJ301" i="17"/>
  <c r="W422" i="17"/>
  <c r="W536" i="17"/>
  <c r="V517" i="17"/>
  <c r="V120" i="17"/>
  <c r="W234" i="17"/>
  <c r="W555" i="17"/>
  <c r="W441" i="17"/>
  <c r="W348" i="17"/>
  <c r="W385" i="17"/>
  <c r="AT188" i="17"/>
  <c r="AT245" i="17"/>
  <c r="AV238" i="17"/>
  <c r="AV188" i="17"/>
  <c r="AS84" i="17"/>
  <c r="AS88" i="17"/>
  <c r="BI604" i="17"/>
  <c r="AV241" i="17"/>
  <c r="AV393" i="17"/>
  <c r="AS30" i="17"/>
  <c r="AW558" i="17"/>
  <c r="AV258" i="17"/>
  <c r="AS226" i="17"/>
  <c r="AS605" i="17"/>
  <c r="BH578" i="17"/>
  <c r="AU56" i="17"/>
  <c r="BH148" i="17"/>
  <c r="BH320" i="17"/>
  <c r="BD30" i="17"/>
  <c r="AR105" i="17"/>
  <c r="BG316" i="17"/>
  <c r="AU254" i="17"/>
  <c r="BG92" i="17"/>
  <c r="BG434" i="17"/>
  <c r="AR436" i="17"/>
  <c r="BG202" i="17"/>
  <c r="BG427" i="17"/>
  <c r="AU275" i="17"/>
  <c r="AU239" i="17"/>
  <c r="AR275" i="17"/>
  <c r="AU105" i="17"/>
  <c r="BG128" i="17"/>
  <c r="AU219" i="17"/>
  <c r="BG158" i="17"/>
  <c r="BD433" i="17"/>
  <c r="AS151" i="17"/>
  <c r="AS378" i="17"/>
  <c r="AS504" i="17"/>
  <c r="BD94" i="17"/>
  <c r="BD40" i="17"/>
  <c r="AU35" i="17"/>
  <c r="AV369" i="17"/>
  <c r="BE183" i="17"/>
  <c r="AV184" i="17"/>
  <c r="BG182" i="17"/>
  <c r="AW199" i="17"/>
  <c r="AR542" i="17"/>
  <c r="AT207" i="17"/>
  <c r="AT151" i="17"/>
  <c r="AT130" i="17"/>
  <c r="AR370" i="17"/>
  <c r="BG31" i="17"/>
  <c r="AR599" i="17"/>
  <c r="BG254" i="17"/>
  <c r="BI424" i="17"/>
  <c r="BI275" i="17"/>
  <c r="AS109" i="17"/>
  <c r="AR50" i="17"/>
  <c r="AS507" i="17"/>
  <c r="BI407" i="17"/>
  <c r="AR321" i="17"/>
  <c r="AR165" i="17"/>
  <c r="BI277" i="17"/>
  <c r="BG372" i="17"/>
  <c r="AS39" i="17"/>
  <c r="BG51" i="17"/>
  <c r="AR171" i="17"/>
  <c r="AW178" i="17"/>
  <c r="BI408" i="17"/>
  <c r="BD409" i="17"/>
  <c r="AR160" i="17"/>
  <c r="BI165" i="17"/>
  <c r="AU579" i="17"/>
  <c r="AR528" i="17"/>
  <c r="AS40" i="17"/>
  <c r="BI92" i="17"/>
  <c r="BI292" i="17"/>
  <c r="AS129" i="17"/>
  <c r="BH102" i="17"/>
  <c r="AS255" i="17"/>
  <c r="BH197" i="17"/>
  <c r="AT469" i="17"/>
  <c r="AR144" i="17"/>
  <c r="AR520" i="17"/>
  <c r="AW274" i="17"/>
  <c r="AW85" i="17"/>
  <c r="AS206" i="17"/>
  <c r="AS111" i="17"/>
  <c r="AT463" i="17"/>
  <c r="AT481" i="17"/>
  <c r="BG585" i="17"/>
  <c r="BG263" i="17"/>
  <c r="AR38" i="17"/>
  <c r="AR563" i="17"/>
  <c r="AT311" i="17"/>
  <c r="AT179" i="17"/>
  <c r="AV311" i="17"/>
  <c r="AV179" i="17"/>
  <c r="AS259" i="17"/>
  <c r="AS505" i="17"/>
  <c r="AS502" i="17"/>
  <c r="AS312" i="17"/>
  <c r="AT540" i="17"/>
  <c r="AT53" i="17"/>
  <c r="AS436" i="17"/>
  <c r="AS588" i="17"/>
  <c r="BG506" i="17"/>
  <c r="AR595" i="17"/>
  <c r="AR442" i="17"/>
  <c r="AR447" i="17"/>
  <c r="AR163" i="17"/>
  <c r="AS222" i="17"/>
  <c r="AS90" i="17"/>
  <c r="AR410" i="17"/>
  <c r="AR147" i="17"/>
  <c r="AT11" i="17"/>
  <c r="AT32" i="17"/>
  <c r="AR423" i="17"/>
  <c r="AR158" i="17"/>
  <c r="AS265" i="17"/>
  <c r="AS435" i="17"/>
  <c r="AS485" i="17"/>
  <c r="AS107" i="17"/>
  <c r="AS510" i="17"/>
  <c r="AS20" i="17"/>
  <c r="AT338" i="17"/>
  <c r="AT58" i="17"/>
  <c r="AV428" i="17"/>
  <c r="BG511" i="17"/>
  <c r="AR600" i="17"/>
  <c r="AR73" i="17"/>
  <c r="AR567" i="17"/>
  <c r="AR208" i="17"/>
  <c r="AS96" i="17"/>
  <c r="AS266" i="17"/>
  <c r="AR148" i="17"/>
  <c r="AR183" i="17"/>
  <c r="AS243" i="17"/>
  <c r="AS262" i="17"/>
  <c r="AT218" i="17"/>
  <c r="AT199" i="17"/>
  <c r="AT466" i="17"/>
  <c r="AT277" i="17"/>
  <c r="AU502" i="17"/>
  <c r="AU312" i="17"/>
  <c r="AU243" i="17"/>
  <c r="AU262" i="17"/>
  <c r="AR166" i="17"/>
  <c r="AR414" i="17"/>
  <c r="AR565" i="17"/>
  <c r="AR282" i="17"/>
  <c r="AT37" i="17"/>
  <c r="AT91" i="17"/>
  <c r="AT186" i="17"/>
  <c r="AT76" i="17"/>
  <c r="AT190" i="17"/>
  <c r="AT209" i="17"/>
  <c r="AT467" i="17"/>
  <c r="AT373" i="17"/>
  <c r="AR355" i="17"/>
  <c r="AR316" i="17"/>
  <c r="AT472" i="17"/>
  <c r="AT378" i="17"/>
  <c r="BG280" i="17"/>
  <c r="BG261" i="17"/>
  <c r="AU162" i="17"/>
  <c r="AS86" i="17"/>
  <c r="AS558" i="17"/>
  <c r="AS227" i="17"/>
  <c r="AS113" i="17"/>
  <c r="AT51" i="17"/>
  <c r="AT501" i="17"/>
  <c r="AS430" i="17"/>
  <c r="AS562" i="17"/>
  <c r="AT354" i="17"/>
  <c r="AT202" i="17"/>
  <c r="AT473" i="17"/>
  <c r="AW562" i="17"/>
  <c r="AW430" i="17"/>
  <c r="AR314" i="17"/>
  <c r="AR106" i="17"/>
  <c r="AR331" i="17"/>
  <c r="AR556" i="17"/>
  <c r="AR152" i="17"/>
  <c r="AR509" i="17"/>
  <c r="AS350" i="17"/>
  <c r="AS103" i="17"/>
  <c r="AT56" i="17"/>
  <c r="AS426" i="17"/>
  <c r="AS105" i="17"/>
  <c r="AT203" i="17"/>
  <c r="AT108" i="17"/>
  <c r="BG259" i="17"/>
  <c r="BG505" i="17"/>
  <c r="AR368" i="17"/>
  <c r="AR310" i="17"/>
  <c r="AR605" i="17"/>
  <c r="AR226" i="17"/>
  <c r="AR112" i="17"/>
  <c r="AR168" i="17"/>
  <c r="AR559" i="17"/>
  <c r="AR580" i="17"/>
  <c r="AS474" i="17"/>
  <c r="AS512" i="17"/>
  <c r="AT78" i="17"/>
  <c r="AS425" i="17"/>
  <c r="AS275" i="17"/>
  <c r="AU150" i="17"/>
  <c r="AR320" i="17"/>
  <c r="AR187" i="17"/>
  <c r="AR424" i="17"/>
  <c r="AR557" i="17"/>
  <c r="AU293" i="17"/>
  <c r="AU255" i="17"/>
  <c r="BG238" i="17"/>
  <c r="BG257" i="17"/>
  <c r="AV199" i="17"/>
  <c r="AV218" i="17"/>
  <c r="BI147" i="17"/>
  <c r="BI410" i="17"/>
  <c r="AW603" i="17"/>
  <c r="AW205" i="17"/>
  <c r="BG235" i="17"/>
  <c r="BG84" i="17"/>
  <c r="AV350" i="17"/>
  <c r="AV103" i="17"/>
  <c r="AR561" i="17"/>
  <c r="AW599" i="17"/>
  <c r="AW390" i="17"/>
  <c r="AV603" i="17"/>
  <c r="AV205" i="17"/>
  <c r="AW354" i="17"/>
  <c r="AW202" i="17"/>
  <c r="AU237" i="17"/>
  <c r="AU294" i="17"/>
  <c r="AW473" i="17"/>
  <c r="AV396" i="17"/>
  <c r="AU238" i="17"/>
  <c r="AU257" i="17"/>
  <c r="AV337" i="17"/>
  <c r="AV109" i="17"/>
  <c r="AW597" i="17"/>
  <c r="AW370" i="17"/>
  <c r="AW226" i="17"/>
  <c r="BH106" i="17"/>
  <c r="BH314" i="17"/>
  <c r="AR445" i="17"/>
  <c r="AR12" i="17"/>
  <c r="BI200" i="17"/>
  <c r="AU246" i="17"/>
  <c r="AU18" i="17"/>
  <c r="AV227" i="17"/>
  <c r="AR13" i="17"/>
  <c r="AR427" i="17"/>
  <c r="AR549" i="17"/>
  <c r="AW595" i="17"/>
  <c r="AW442" i="17"/>
  <c r="AU240" i="17"/>
  <c r="AU278" i="17"/>
  <c r="AR526" i="17"/>
  <c r="AR17" i="17"/>
  <c r="AV202" i="17"/>
  <c r="AV354" i="17"/>
  <c r="AW406" i="17"/>
  <c r="AW68" i="17"/>
  <c r="AR123" i="17"/>
  <c r="AR10" i="17"/>
  <c r="BI598" i="17"/>
  <c r="BI522" i="17"/>
  <c r="BF21" i="17"/>
  <c r="AS599" i="17"/>
  <c r="AS390" i="17"/>
  <c r="BI158" i="17"/>
  <c r="BI423" i="17"/>
  <c r="AS12" i="17"/>
  <c r="AS445" i="17"/>
  <c r="BH435" i="17"/>
  <c r="BH265" i="17"/>
  <c r="BH259" i="17"/>
  <c r="BH501" i="17"/>
  <c r="BH51" i="17"/>
  <c r="BD602" i="17"/>
  <c r="BD469" i="17"/>
  <c r="BE550" i="17"/>
  <c r="AW486" i="17"/>
  <c r="BE408" i="17"/>
  <c r="BE444" i="17"/>
  <c r="BF547" i="17"/>
  <c r="BF340" i="17"/>
  <c r="AU146" i="17"/>
  <c r="BF94" i="17"/>
  <c r="BF40" i="17"/>
  <c r="AR266" i="17"/>
  <c r="AR96" i="17"/>
  <c r="AS133" i="17"/>
  <c r="AR393" i="17"/>
  <c r="AR185" i="17"/>
  <c r="AT221" i="17"/>
  <c r="AT315" i="17"/>
  <c r="AR280" i="17"/>
  <c r="AR261" i="17"/>
  <c r="AT314" i="17"/>
  <c r="AT106" i="17"/>
  <c r="AS387" i="17"/>
  <c r="AS443" i="17"/>
  <c r="AR450" i="17"/>
  <c r="AR110" i="17"/>
  <c r="AS358" i="17"/>
  <c r="AS301" i="17"/>
  <c r="BH512" i="17"/>
  <c r="BH474" i="17"/>
  <c r="AU583" i="17"/>
  <c r="BE543" i="17"/>
  <c r="BE525" i="17"/>
  <c r="BF356" i="17"/>
  <c r="BF128" i="17"/>
  <c r="BD595" i="17"/>
  <c r="BD442" i="17"/>
  <c r="BE393" i="17"/>
  <c r="BE185" i="17"/>
  <c r="BF315" i="17"/>
  <c r="BF221" i="17"/>
  <c r="BD282" i="17"/>
  <c r="BD565" i="17"/>
  <c r="BE480" i="17"/>
  <c r="BE216" i="17"/>
  <c r="BF392" i="17"/>
  <c r="BF164" i="17"/>
  <c r="BD508" i="17"/>
  <c r="BD129" i="17"/>
  <c r="BE78" i="17"/>
  <c r="BF20" i="17"/>
  <c r="BF510" i="17"/>
  <c r="AU104" i="17"/>
  <c r="AV146" i="17"/>
  <c r="AS57" i="17"/>
  <c r="AS242" i="17"/>
  <c r="AR582" i="17"/>
  <c r="AT531" i="17"/>
  <c r="AT342" i="17"/>
  <c r="AR585" i="17"/>
  <c r="AR263" i="17"/>
  <c r="AW578" i="17"/>
  <c r="AW180" i="17"/>
  <c r="BH389" i="17"/>
  <c r="BH200" i="17"/>
  <c r="AS93" i="17"/>
  <c r="AS604" i="17"/>
  <c r="BI427" i="17"/>
  <c r="BI13" i="17"/>
  <c r="AS123" i="17"/>
  <c r="AS10" i="17"/>
  <c r="BH557" i="17"/>
  <c r="BH424" i="17"/>
  <c r="BH295" i="17"/>
  <c r="BH181" i="17"/>
  <c r="BH372" i="17"/>
  <c r="BH504" i="17"/>
  <c r="AV510" i="17"/>
  <c r="AV20" i="17"/>
  <c r="AU601" i="17"/>
  <c r="BE538" i="17"/>
  <c r="BE332" i="17"/>
  <c r="BF463" i="17"/>
  <c r="BF481" i="17"/>
  <c r="BE416" i="17"/>
  <c r="BE302" i="17"/>
  <c r="BF335" i="17"/>
  <c r="BF126" i="17"/>
  <c r="BD294" i="17"/>
  <c r="BD237" i="17"/>
  <c r="BE188" i="17"/>
  <c r="BE245" i="17"/>
  <c r="BF295" i="17"/>
  <c r="BF181" i="17"/>
  <c r="BF576" i="17"/>
  <c r="BF30" i="17"/>
  <c r="AR235" i="17"/>
  <c r="AR84" i="17"/>
  <c r="AS124" i="17"/>
  <c r="AS52" i="17"/>
  <c r="AR303" i="17"/>
  <c r="AR189" i="17"/>
  <c r="AR360" i="17"/>
  <c r="AR284" i="17"/>
  <c r="AT368" i="17"/>
  <c r="AT310" i="17"/>
  <c r="AR468" i="17"/>
  <c r="AR448" i="17"/>
  <c r="AS357" i="17"/>
  <c r="AS470" i="17"/>
  <c r="AU519" i="17"/>
  <c r="AS563" i="17"/>
  <c r="AS38" i="17"/>
  <c r="AV469" i="17"/>
  <c r="AV602" i="17"/>
  <c r="BG315" i="17"/>
  <c r="BG221" i="17"/>
  <c r="BD246" i="17"/>
  <c r="BD587" i="17"/>
  <c r="BF359" i="17"/>
  <c r="BF586" i="17"/>
  <c r="BD445" i="17"/>
  <c r="BD12" i="17"/>
  <c r="BF312" i="17"/>
  <c r="BF502" i="17"/>
  <c r="AU279" i="17"/>
  <c r="BE218" i="17"/>
  <c r="BE199" i="17"/>
  <c r="AW162" i="17"/>
  <c r="BD417" i="17"/>
  <c r="BD132" i="17"/>
  <c r="AV70" i="17"/>
  <c r="BF11" i="17"/>
  <c r="BF32" i="17"/>
  <c r="AS53" i="17"/>
  <c r="AS540" i="17"/>
  <c r="AR206" i="17"/>
  <c r="AR111" i="17"/>
  <c r="AS21" i="17"/>
  <c r="AR354" i="17"/>
  <c r="AR202" i="17"/>
  <c r="AS237" i="17"/>
  <c r="AS294" i="17"/>
  <c r="AR295" i="17"/>
  <c r="AR181" i="17"/>
  <c r="AT169" i="17"/>
  <c r="AT341" i="17"/>
  <c r="AR578" i="17"/>
  <c r="AR180" i="17"/>
  <c r="BH446" i="17"/>
  <c r="BH201" i="17"/>
  <c r="AS600" i="17"/>
  <c r="AS73" i="17"/>
  <c r="BI265" i="17"/>
  <c r="BI435" i="17"/>
  <c r="AS13" i="17"/>
  <c r="AS427" i="17"/>
  <c r="BG569" i="17"/>
  <c r="BH511" i="17"/>
  <c r="AV508" i="17"/>
  <c r="AV129" i="17"/>
  <c r="BD606" i="17"/>
  <c r="BD491" i="17"/>
  <c r="BE549" i="17"/>
  <c r="BD512" i="17"/>
  <c r="BD474" i="17"/>
  <c r="BF521" i="17"/>
  <c r="BF333" i="17"/>
  <c r="AW184" i="17"/>
  <c r="BD507" i="17"/>
  <c r="BD150" i="17"/>
  <c r="BF433" i="17"/>
  <c r="BF39" i="17"/>
  <c r="AR432" i="17"/>
  <c r="AR92" i="17"/>
  <c r="AS500" i="17"/>
  <c r="AS122" i="17"/>
  <c r="AU184" i="17"/>
  <c r="AT220" i="17"/>
  <c r="AT296" i="17"/>
  <c r="AS386" i="17"/>
  <c r="AS102" i="17"/>
  <c r="AR490" i="17"/>
  <c r="AR453" i="17"/>
  <c r="AS361" i="17"/>
  <c r="AS323" i="17"/>
  <c r="AR598" i="17"/>
  <c r="AR522" i="17"/>
  <c r="AS565" i="17"/>
  <c r="AS282" i="17"/>
  <c r="AV467" i="17"/>
  <c r="AV373" i="17"/>
  <c r="AU310" i="17"/>
  <c r="AU368" i="17"/>
  <c r="AV293" i="17"/>
  <c r="AV255" i="17"/>
  <c r="BD584" i="17"/>
  <c r="BD281" i="17"/>
  <c r="BE530" i="17"/>
  <c r="BD163" i="17"/>
  <c r="BD447" i="17"/>
  <c r="BE482" i="17"/>
  <c r="BE388" i="17"/>
  <c r="BD283" i="17"/>
  <c r="BD321" i="17"/>
  <c r="BE227" i="17"/>
  <c r="BE113" i="17"/>
  <c r="BE186" i="17"/>
  <c r="BE76" i="17"/>
  <c r="BF537" i="17"/>
  <c r="BF9" i="17"/>
  <c r="AS78" i="17"/>
  <c r="AS509" i="17"/>
  <c r="AS152" i="17"/>
  <c r="AR199" i="17"/>
  <c r="AR218" i="17"/>
  <c r="AR304" i="17"/>
  <c r="AR114" i="17"/>
  <c r="AT506" i="17"/>
  <c r="AR581" i="17"/>
  <c r="AR89" i="17"/>
  <c r="AW54" i="17"/>
  <c r="AW436" i="17"/>
  <c r="AW588" i="17"/>
  <c r="AS561" i="17"/>
  <c r="AU557" i="17"/>
  <c r="AU424" i="17"/>
  <c r="BG558" i="17"/>
  <c r="BG86" i="17"/>
  <c r="AV512" i="17"/>
  <c r="AV474" i="17"/>
  <c r="BD407" i="17"/>
  <c r="BD596" i="17"/>
  <c r="BF492" i="17"/>
  <c r="BF171" i="17"/>
  <c r="AU462" i="17"/>
  <c r="BE410" i="17"/>
  <c r="BE147" i="17"/>
  <c r="BD391" i="17"/>
  <c r="BD297" i="17"/>
  <c r="BE84" i="17"/>
  <c r="BE235" i="17"/>
  <c r="BD151" i="17"/>
  <c r="BD376" i="17"/>
  <c r="AR558" i="17"/>
  <c r="AR86" i="17"/>
  <c r="AS356" i="17"/>
  <c r="AS128" i="17"/>
  <c r="AR186" i="17"/>
  <c r="AR76" i="17"/>
  <c r="AT159" i="17"/>
  <c r="AT217" i="17"/>
  <c r="AR273" i="17"/>
  <c r="AR178" i="17"/>
  <c r="AT320" i="17"/>
  <c r="AT187" i="17"/>
  <c r="AS546" i="17"/>
  <c r="AS395" i="17"/>
  <c r="AS352" i="17"/>
  <c r="AS219" i="17"/>
  <c r="AS331" i="17"/>
  <c r="AS556" i="17"/>
  <c r="BH257" i="17"/>
  <c r="BH238" i="17"/>
  <c r="BD582" i="17"/>
  <c r="BE526" i="17"/>
  <c r="BE17" i="17"/>
  <c r="AW351" i="17"/>
  <c r="BE396" i="17"/>
  <c r="BE207" i="17"/>
  <c r="BF322" i="17"/>
  <c r="BF397" i="17"/>
  <c r="AV223" i="17"/>
  <c r="BF217" i="17"/>
  <c r="BF159" i="17"/>
  <c r="AU127" i="17"/>
  <c r="BE68" i="17"/>
  <c r="BE406" i="17"/>
  <c r="BF14" i="17"/>
  <c r="BF524" i="17"/>
  <c r="AR337" i="17"/>
  <c r="AR109" i="17"/>
  <c r="AR108" i="17"/>
  <c r="AR203" i="17"/>
  <c r="AS246" i="17"/>
  <c r="AS587" i="17"/>
  <c r="AR292" i="17"/>
  <c r="AR197" i="17"/>
  <c r="AV601" i="17"/>
  <c r="AW576" i="17"/>
  <c r="AW30" i="17"/>
  <c r="BH206" i="17"/>
  <c r="BH111" i="17"/>
  <c r="AS597" i="17"/>
  <c r="AS370" i="17"/>
  <c r="BH529" i="17"/>
  <c r="BH434" i="17"/>
  <c r="BH273" i="17"/>
  <c r="BH178" i="17"/>
  <c r="BD598" i="17"/>
  <c r="BD522" i="17"/>
  <c r="AV544" i="17"/>
  <c r="BF490" i="17"/>
  <c r="BF453" i="17"/>
  <c r="BD448" i="17"/>
  <c r="BD468" i="17"/>
  <c r="BE414" i="17"/>
  <c r="BE166" i="17"/>
  <c r="BD358" i="17"/>
  <c r="BD301" i="17"/>
  <c r="AU300" i="17"/>
  <c r="BE244" i="17"/>
  <c r="BE415" i="17"/>
  <c r="BF320" i="17"/>
  <c r="BF187" i="17"/>
  <c r="BE91" i="17"/>
  <c r="BE37" i="17"/>
  <c r="AU87" i="17"/>
  <c r="AV127" i="17"/>
  <c r="AR258" i="17"/>
  <c r="AR182" i="17"/>
  <c r="AT527" i="17"/>
  <c r="AT224" i="17"/>
  <c r="AT579" i="17"/>
  <c r="AT313" i="17"/>
  <c r="AS389" i="17"/>
  <c r="AS200" i="17"/>
  <c r="AR607" i="17"/>
  <c r="AR455" i="17"/>
  <c r="AV351" i="17"/>
  <c r="AR434" i="17"/>
  <c r="AR529" i="17"/>
  <c r="AS424" i="17"/>
  <c r="AS557" i="17"/>
  <c r="BI539" i="17"/>
  <c r="BI145" i="17"/>
  <c r="AU320" i="17"/>
  <c r="AU187" i="17"/>
  <c r="AV243" i="17"/>
  <c r="BD579" i="17"/>
  <c r="BD313" i="17"/>
  <c r="BE520" i="17"/>
  <c r="BE144" i="17"/>
  <c r="BF316" i="17"/>
  <c r="BF355" i="17"/>
  <c r="AU449" i="17"/>
  <c r="AV394" i="17"/>
  <c r="AW319" i="17"/>
  <c r="BD466" i="17"/>
  <c r="BD277" i="17"/>
  <c r="BE219" i="17"/>
  <c r="BE352" i="17"/>
  <c r="BF161" i="17"/>
  <c r="BF483" i="17"/>
  <c r="BD276" i="17"/>
  <c r="BD125" i="17"/>
  <c r="BE73" i="17"/>
  <c r="BE600" i="17"/>
  <c r="AS56" i="17"/>
  <c r="AV54" i="17"/>
  <c r="AR350" i="17"/>
  <c r="AR103" i="17"/>
  <c r="AS143" i="17"/>
  <c r="AS50" i="17"/>
  <c r="AR209" i="17"/>
  <c r="AR190" i="17"/>
  <c r="AS568" i="17"/>
  <c r="AS247" i="17"/>
  <c r="AR416" i="17"/>
  <c r="AR302" i="17"/>
  <c r="AT334" i="17"/>
  <c r="AT33" i="17"/>
  <c r="BI579" i="17"/>
  <c r="BI313" i="17"/>
  <c r="BH427" i="17"/>
  <c r="BH13" i="17"/>
  <c r="AV507" i="17"/>
  <c r="AV150" i="17"/>
  <c r="BE542" i="17"/>
  <c r="BE560" i="17"/>
  <c r="BF488" i="17"/>
  <c r="BF545" i="17"/>
  <c r="BF338" i="17"/>
  <c r="BF58" i="17"/>
  <c r="BD296" i="17"/>
  <c r="BD220" i="17"/>
  <c r="BE353" i="17"/>
  <c r="BE239" i="17"/>
  <c r="BF148" i="17"/>
  <c r="BF183" i="17"/>
  <c r="BF578" i="17"/>
  <c r="BF180" i="17"/>
  <c r="AR523" i="17"/>
  <c r="AR88" i="17"/>
  <c r="AS131" i="17"/>
  <c r="AR276" i="17"/>
  <c r="AR125" i="17"/>
  <c r="AS392" i="17"/>
  <c r="AS164" i="17"/>
  <c r="AR14" i="17"/>
  <c r="AR524" i="17"/>
  <c r="AS542" i="17"/>
  <c r="AS560" i="17"/>
  <c r="BH468" i="17"/>
  <c r="BH448" i="17"/>
  <c r="BG179" i="17"/>
  <c r="BG311" i="17"/>
  <c r="BD577" i="17"/>
  <c r="BD69" i="17"/>
  <c r="BE523" i="17"/>
  <c r="BE88" i="17"/>
  <c r="BF360" i="17"/>
  <c r="BF284" i="17"/>
  <c r="BD454" i="17"/>
  <c r="BD379" i="17"/>
  <c r="BF361" i="17"/>
  <c r="BF323" i="17"/>
  <c r="BD240" i="17"/>
  <c r="BD278" i="17"/>
  <c r="BD471" i="17"/>
  <c r="BD130" i="17"/>
  <c r="BE484" i="17"/>
  <c r="BE72" i="17"/>
  <c r="AR107" i="17"/>
  <c r="AR485" i="17"/>
  <c r="AS410" i="17"/>
  <c r="AS147" i="17"/>
  <c r="AR396" i="17"/>
  <c r="AR207" i="17"/>
  <c r="AS257" i="17"/>
  <c r="AS238" i="17"/>
  <c r="AR299" i="17"/>
  <c r="AR318" i="17"/>
  <c r="AR30" i="17"/>
  <c r="AR576" i="17"/>
  <c r="BI436" i="17"/>
  <c r="BI588" i="17"/>
  <c r="BH165" i="17"/>
  <c r="AW426" i="17"/>
  <c r="AW105" i="17"/>
  <c r="AW275" i="17"/>
  <c r="AW425" i="17"/>
  <c r="AV18" i="17"/>
  <c r="AV76" i="17"/>
  <c r="BH506" i="17"/>
  <c r="AV502" i="17"/>
  <c r="AV312" i="17"/>
  <c r="BD603" i="17"/>
  <c r="BD205" i="17"/>
  <c r="BE395" i="17"/>
  <c r="BE546" i="17"/>
  <c r="BF487" i="17"/>
  <c r="BF413" i="17"/>
  <c r="BD472" i="17"/>
  <c r="BD378" i="17"/>
  <c r="BF337" i="17"/>
  <c r="BF109" i="17"/>
  <c r="BD255" i="17"/>
  <c r="BD293" i="17"/>
  <c r="BE243" i="17"/>
  <c r="BE262" i="17"/>
  <c r="BF190" i="17"/>
  <c r="BF209" i="17"/>
  <c r="BD539" i="17"/>
  <c r="BD145" i="17"/>
  <c r="BF563" i="17"/>
  <c r="BF38" i="17"/>
  <c r="BH34" i="17"/>
  <c r="BH541" i="17"/>
  <c r="AR222" i="17"/>
  <c r="AR90" i="17"/>
  <c r="AS335" i="17"/>
  <c r="AS126" i="17"/>
  <c r="AR245" i="17"/>
  <c r="AR188" i="17"/>
  <c r="AT228" i="17"/>
  <c r="AT398" i="17"/>
  <c r="AR274" i="17"/>
  <c r="AR85" i="17"/>
  <c r="AT316" i="17"/>
  <c r="AT355" i="17"/>
  <c r="AS322" i="17"/>
  <c r="AS397" i="17"/>
  <c r="AR446" i="17"/>
  <c r="AR201" i="17"/>
  <c r="AS353" i="17"/>
  <c r="AS239" i="17"/>
  <c r="AR550" i="17"/>
  <c r="AS567" i="17"/>
  <c r="AS208" i="17"/>
  <c r="AV463" i="17"/>
  <c r="AV481" i="17"/>
  <c r="AW143" i="17"/>
  <c r="AW50" i="17"/>
  <c r="BD580" i="17"/>
  <c r="BD559" i="17"/>
  <c r="BD588" i="17"/>
  <c r="BD436" i="17"/>
  <c r="BE531" i="17"/>
  <c r="BE342" i="17"/>
  <c r="BF202" i="17"/>
  <c r="BF354" i="17"/>
  <c r="BD452" i="17"/>
  <c r="BD225" i="17"/>
  <c r="BE599" i="17"/>
  <c r="BE390" i="17"/>
  <c r="BF311" i="17"/>
  <c r="BF179" i="17"/>
  <c r="BD275" i="17"/>
  <c r="BD425" i="17"/>
  <c r="BE222" i="17"/>
  <c r="BE90" i="17"/>
  <c r="BF167" i="17"/>
  <c r="BF77" i="17"/>
  <c r="BD123" i="17"/>
  <c r="BD10" i="17"/>
  <c r="BF339" i="17"/>
  <c r="BF19" i="17"/>
  <c r="AS501" i="17"/>
  <c r="AS51" i="17"/>
  <c r="AR227" i="17"/>
  <c r="AR113" i="17"/>
  <c r="AS144" i="17"/>
  <c r="AS520" i="17"/>
  <c r="AR603" i="17"/>
  <c r="AR205" i="17"/>
  <c r="AS240" i="17"/>
  <c r="AS278" i="17"/>
  <c r="AT339" i="17"/>
  <c r="AT19" i="17"/>
  <c r="AR586" i="17"/>
  <c r="AR359" i="17"/>
  <c r="AS549" i="17"/>
  <c r="AV426" i="17"/>
  <c r="AV105" i="17"/>
  <c r="BH152" i="17"/>
  <c r="BH509" i="17"/>
  <c r="BH500" i="17"/>
  <c r="BH122" i="17"/>
  <c r="BD607" i="17"/>
  <c r="BD455" i="17"/>
  <c r="BF107" i="17"/>
  <c r="BF485" i="17"/>
  <c r="BD470" i="17"/>
  <c r="BD357" i="17"/>
  <c r="BF331" i="17"/>
  <c r="BF556" i="17"/>
  <c r="BD303" i="17"/>
  <c r="BD189" i="17"/>
  <c r="BE236" i="17"/>
  <c r="BE31" i="17"/>
  <c r="BF273" i="17"/>
  <c r="BF178" i="17"/>
  <c r="BD149" i="17"/>
  <c r="BD74" i="17"/>
  <c r="BF541" i="17"/>
  <c r="BF34" i="17"/>
  <c r="AR40" i="17"/>
  <c r="AR94" i="17"/>
  <c r="AR311" i="17"/>
  <c r="AR179" i="17"/>
  <c r="AT225" i="17"/>
  <c r="AT452" i="17"/>
  <c r="AR584" i="17"/>
  <c r="AR281" i="17"/>
  <c r="AT283" i="17"/>
  <c r="AT321" i="17"/>
  <c r="AS297" i="17"/>
  <c r="AS391" i="17"/>
  <c r="AR408" i="17"/>
  <c r="AR444" i="17"/>
  <c r="AS349" i="17"/>
  <c r="AS254" i="17"/>
  <c r="AR521" i="17"/>
  <c r="AR333" i="17"/>
  <c r="AS559" i="17"/>
  <c r="AS580" i="17"/>
  <c r="BI131" i="17"/>
  <c r="BG312" i="17"/>
  <c r="BG502" i="17"/>
  <c r="AV519" i="17"/>
  <c r="BE527" i="17"/>
  <c r="BE224" i="17"/>
  <c r="BF350" i="17"/>
  <c r="BF103" i="17"/>
  <c r="BD443" i="17"/>
  <c r="BD387" i="17"/>
  <c r="BE398" i="17"/>
  <c r="BE228" i="17"/>
  <c r="BF299" i="17"/>
  <c r="BF318" i="17"/>
  <c r="BD285" i="17"/>
  <c r="BE605" i="17"/>
  <c r="BE226" i="17"/>
  <c r="BF341" i="17"/>
  <c r="BF169" i="17"/>
  <c r="BD56" i="17"/>
  <c r="BE371" i="17"/>
  <c r="BE71" i="17"/>
  <c r="AW18" i="17"/>
  <c r="AS338" i="17"/>
  <c r="AS58" i="17"/>
  <c r="AS148" i="17"/>
  <c r="AS183" i="17"/>
  <c r="AT332" i="17"/>
  <c r="AT538" i="17"/>
  <c r="BI143" i="17"/>
  <c r="BI50" i="17"/>
  <c r="BI296" i="17"/>
  <c r="BI220" i="17"/>
  <c r="AV599" i="17"/>
  <c r="AV390" i="17"/>
  <c r="AV605" i="17"/>
  <c r="AV226" i="17"/>
  <c r="AT149" i="17"/>
  <c r="AT74" i="17"/>
  <c r="AS159" i="17"/>
  <c r="AS217" i="17"/>
  <c r="BH235" i="17"/>
  <c r="BH84" i="17"/>
  <c r="BE604" i="17"/>
  <c r="BE93" i="17"/>
  <c r="BH30" i="17"/>
  <c r="BH576" i="17"/>
  <c r="BE273" i="17"/>
  <c r="BE178" i="17"/>
  <c r="BH580" i="17"/>
  <c r="BE579" i="17"/>
  <c r="BE313" i="17"/>
  <c r="BF526" i="17"/>
  <c r="BF17" i="17"/>
  <c r="BD413" i="17"/>
  <c r="BD487" i="17"/>
  <c r="BE447" i="17"/>
  <c r="BE163" i="17"/>
  <c r="BD338" i="17"/>
  <c r="BD58" i="17"/>
  <c r="BD521" i="17"/>
  <c r="BD333" i="17"/>
  <c r="AU465" i="17"/>
  <c r="AU409" i="17"/>
  <c r="AT549" i="17"/>
  <c r="BH96" i="17"/>
  <c r="BH266" i="17"/>
  <c r="BI122" i="17"/>
  <c r="BI500" i="17"/>
  <c r="AW129" i="17"/>
  <c r="AW508" i="17"/>
  <c r="BI166" i="17"/>
  <c r="BI414" i="17"/>
  <c r="AR34" i="17"/>
  <c r="AR541" i="17"/>
  <c r="AU207" i="17"/>
  <c r="AW201" i="17"/>
  <c r="AW446" i="17"/>
  <c r="AT374" i="17"/>
  <c r="AT260" i="17"/>
  <c r="AV73" i="17"/>
  <c r="AV600" i="17"/>
  <c r="BI274" i="17"/>
  <c r="BI85" i="17"/>
  <c r="AT163" i="17"/>
  <c r="AT447" i="17"/>
  <c r="AS452" i="17"/>
  <c r="AS225" i="17"/>
  <c r="AT566" i="17"/>
  <c r="AT264" i="17"/>
  <c r="AW35" i="17"/>
  <c r="BH334" i="17"/>
  <c r="BH33" i="17"/>
  <c r="BE578" i="17"/>
  <c r="BE180" i="17"/>
  <c r="AV578" i="17"/>
  <c r="AV180" i="17"/>
  <c r="BE577" i="17"/>
  <c r="BE69" i="17"/>
  <c r="AW519" i="17"/>
  <c r="BD463" i="17"/>
  <c r="BD481" i="17"/>
  <c r="AV449" i="17"/>
  <c r="AV279" i="17"/>
  <c r="AU487" i="17"/>
  <c r="AV566" i="17"/>
  <c r="AV264" i="17"/>
  <c r="AV114" i="17"/>
  <c r="AV304" i="17"/>
  <c r="AW502" i="17"/>
  <c r="AW312" i="17"/>
  <c r="BI501" i="17"/>
  <c r="BI51" i="17"/>
  <c r="AW415" i="17"/>
  <c r="AW244" i="17"/>
  <c r="AR548" i="17"/>
  <c r="AR95" i="17"/>
  <c r="BI443" i="17"/>
  <c r="BI387" i="17"/>
  <c r="AS415" i="17"/>
  <c r="AS244" i="17"/>
  <c r="AV486" i="17"/>
  <c r="BI297" i="17"/>
  <c r="BI391" i="17"/>
  <c r="AW318" i="17"/>
  <c r="AW299" i="17"/>
  <c r="BI547" i="17"/>
  <c r="BI340" i="17"/>
  <c r="AT504" i="17"/>
  <c r="AT372" i="17"/>
  <c r="BH598" i="17"/>
  <c r="BH522" i="17"/>
  <c r="AT75" i="17"/>
  <c r="AT375" i="17"/>
  <c r="AT464" i="17"/>
  <c r="AT160" i="17"/>
  <c r="AS315" i="17"/>
  <c r="AS221" i="17"/>
  <c r="AT265" i="17"/>
  <c r="AT435" i="17"/>
  <c r="AV319" i="17"/>
  <c r="AV294" i="17"/>
  <c r="AV237" i="17"/>
  <c r="BF33" i="17"/>
  <c r="BF334" i="17"/>
  <c r="AV576" i="17"/>
  <c r="AV30" i="17"/>
  <c r="BE588" i="17"/>
  <c r="BE436" i="17"/>
  <c r="BF531" i="17"/>
  <c r="BF342" i="17"/>
  <c r="BE452" i="17"/>
  <c r="BE225" i="17"/>
  <c r="BF398" i="17"/>
  <c r="BF228" i="17"/>
  <c r="BD337" i="17"/>
  <c r="BD109" i="17"/>
  <c r="BE565" i="17"/>
  <c r="BE282" i="17"/>
  <c r="AU411" i="17"/>
  <c r="AU55" i="17"/>
  <c r="BG414" i="17"/>
  <c r="BG166" i="17"/>
  <c r="AV582" i="17"/>
  <c r="AW512" i="17"/>
  <c r="AW474" i="17"/>
  <c r="BI259" i="17"/>
  <c r="BI505" i="17"/>
  <c r="BH558" i="17"/>
  <c r="BH86" i="17"/>
  <c r="BI416" i="17"/>
  <c r="BI302" i="17"/>
  <c r="AR340" i="17"/>
  <c r="AR547" i="17"/>
  <c r="BG389" i="17"/>
  <c r="BG200" i="17"/>
  <c r="BI452" i="17"/>
  <c r="BI225" i="17"/>
  <c r="AS406" i="17"/>
  <c r="AS68" i="17"/>
  <c r="AS487" i="17"/>
  <c r="AS413" i="17"/>
  <c r="BI124" i="17"/>
  <c r="BI52" i="17"/>
  <c r="BI237" i="17"/>
  <c r="BI294" i="17"/>
  <c r="AW295" i="17"/>
  <c r="BI521" i="17"/>
  <c r="BI333" i="17"/>
  <c r="AT454" i="17"/>
  <c r="AT379" i="17"/>
  <c r="AT167" i="17"/>
  <c r="AT77" i="17"/>
  <c r="AT166" i="17"/>
  <c r="AT414" i="17"/>
  <c r="AS224" i="17"/>
  <c r="AS527" i="17"/>
  <c r="AT293" i="17"/>
  <c r="AT255" i="17"/>
  <c r="BF417" i="17"/>
  <c r="BF132" i="17"/>
  <c r="BE582" i="17"/>
  <c r="BF523" i="17"/>
  <c r="BF88" i="17"/>
  <c r="BE595" i="17"/>
  <c r="BE442" i="17"/>
  <c r="BF393" i="17"/>
  <c r="BF185" i="17"/>
  <c r="BH333" i="17"/>
  <c r="BH521" i="17"/>
  <c r="BG147" i="17"/>
  <c r="BG410" i="17"/>
  <c r="AT561" i="17"/>
  <c r="BG500" i="17"/>
  <c r="BG122" i="17"/>
  <c r="BH349" i="17"/>
  <c r="BH254" i="17"/>
  <c r="BH303" i="17"/>
  <c r="BH189" i="17"/>
  <c r="BI504" i="17"/>
  <c r="BI372" i="17"/>
  <c r="AW487" i="17"/>
  <c r="AW413" i="17"/>
  <c r="AW411" i="17"/>
  <c r="AW55" i="17"/>
  <c r="AW444" i="17"/>
  <c r="AW408" i="17"/>
  <c r="AV412" i="17"/>
  <c r="AS489" i="17"/>
  <c r="AS377" i="17"/>
  <c r="AW51" i="17"/>
  <c r="AW501" i="17"/>
  <c r="AT71" i="17"/>
  <c r="AT371" i="17"/>
  <c r="AV597" i="17"/>
  <c r="AV370" i="17"/>
  <c r="AT168" i="17"/>
  <c r="AT112" i="17"/>
  <c r="AW256" i="17"/>
  <c r="BE581" i="17"/>
  <c r="BE89" i="17"/>
  <c r="AV11" i="17"/>
  <c r="AV32" i="17"/>
  <c r="BF129" i="17"/>
  <c r="BF508" i="17"/>
  <c r="BF527" i="17"/>
  <c r="BF224" i="17"/>
  <c r="BF396" i="17"/>
  <c r="BF207" i="17"/>
  <c r="BD340" i="17"/>
  <c r="BD547" i="17"/>
  <c r="AV302" i="17"/>
  <c r="AV416" i="17"/>
  <c r="AW510" i="17"/>
  <c r="AW20" i="17"/>
  <c r="AW465" i="17"/>
  <c r="AW409" i="17"/>
  <c r="BG197" i="17"/>
  <c r="BG292" i="17"/>
  <c r="BG165" i="17"/>
  <c r="AS596" i="17"/>
  <c r="AS407" i="17"/>
  <c r="AS132" i="17"/>
  <c r="AS417" i="17"/>
  <c r="AS482" i="17"/>
  <c r="AS388" i="17"/>
  <c r="AW506" i="17"/>
  <c r="AV595" i="17"/>
  <c r="AV442" i="17"/>
  <c r="AT69" i="17"/>
  <c r="AT577" i="17"/>
  <c r="AR356" i="17"/>
  <c r="AR128" i="17"/>
  <c r="AT423" i="17"/>
  <c r="AT158" i="17"/>
  <c r="AT505" i="17"/>
  <c r="AT259" i="17"/>
  <c r="AS368" i="17"/>
  <c r="AS310" i="17"/>
  <c r="BE274" i="17"/>
  <c r="BE85" i="17"/>
  <c r="AV429" i="17"/>
  <c r="AV36" i="17"/>
  <c r="AV236" i="17"/>
  <c r="AV31" i="17"/>
  <c r="BF276" i="17"/>
  <c r="BF125" i="17"/>
  <c r="BF520" i="17"/>
  <c r="BF144" i="17"/>
  <c r="BD545" i="17"/>
  <c r="BD488" i="17"/>
  <c r="BE454" i="17"/>
  <c r="BE379" i="17"/>
  <c r="AU336" i="17"/>
  <c r="AW223" i="17"/>
  <c r="BH126" i="17"/>
  <c r="BH335" i="17"/>
  <c r="AT427" i="17"/>
  <c r="AT13" i="17"/>
  <c r="AV299" i="17"/>
  <c r="AV318" i="17"/>
  <c r="BH296" i="17"/>
  <c r="BH220" i="17"/>
  <c r="AV556" i="17"/>
  <c r="AV331" i="17"/>
  <c r="AR145" i="17"/>
  <c r="AR539" i="17"/>
  <c r="AU603" i="17"/>
  <c r="AU205" i="17"/>
  <c r="AS465" i="17"/>
  <c r="AS409" i="17"/>
  <c r="AS606" i="17"/>
  <c r="AS491" i="17"/>
  <c r="BI335" i="17"/>
  <c r="BI126" i="17"/>
  <c r="AW334" i="17"/>
  <c r="AW33" i="17"/>
  <c r="AT511" i="17"/>
  <c r="AR500" i="17"/>
  <c r="AR122" i="17"/>
  <c r="AT262" i="17"/>
  <c r="AT243" i="17"/>
  <c r="AS320" i="17"/>
  <c r="AS187" i="17"/>
  <c r="AV587" i="17"/>
  <c r="BE320" i="17"/>
  <c r="BE187" i="17"/>
  <c r="BH577" i="17"/>
  <c r="BH69" i="17"/>
  <c r="AU486" i="17"/>
  <c r="BE387" i="17"/>
  <c r="BE443" i="17"/>
  <c r="AW394" i="17"/>
  <c r="BD556" i="17"/>
  <c r="BD331" i="17"/>
  <c r="BF605" i="17"/>
  <c r="BF226" i="17"/>
  <c r="AV197" i="17"/>
  <c r="AV292" i="17"/>
  <c r="AW507" i="17"/>
  <c r="AW150" i="17"/>
  <c r="AV557" i="17"/>
  <c r="AV424" i="17"/>
  <c r="AW417" i="17"/>
  <c r="AW132" i="17"/>
  <c r="AR525" i="17"/>
  <c r="AR543" i="17"/>
  <c r="AR488" i="17"/>
  <c r="AR545" i="17"/>
  <c r="BG567" i="17"/>
  <c r="BG208" i="17"/>
  <c r="AS411" i="17"/>
  <c r="AS55" i="17"/>
  <c r="AS484" i="17"/>
  <c r="AS72" i="17"/>
  <c r="AW56" i="17"/>
  <c r="BI293" i="17"/>
  <c r="BI255" i="17"/>
  <c r="BI556" i="17"/>
  <c r="BI331" i="17"/>
  <c r="AW369" i="17"/>
  <c r="BH606" i="17"/>
  <c r="BH491" i="17"/>
  <c r="AW70" i="17"/>
  <c r="AR335" i="17"/>
  <c r="AR126" i="17"/>
  <c r="AS220" i="17"/>
  <c r="AS296" i="17"/>
  <c r="AS314" i="17"/>
  <c r="AS106" i="17"/>
  <c r="AV87" i="17"/>
  <c r="BE181" i="17"/>
  <c r="BE295" i="17"/>
  <c r="BH588" i="17"/>
  <c r="BH436" i="17"/>
  <c r="BH579" i="17"/>
  <c r="BH313" i="17"/>
  <c r="BF530" i="17"/>
  <c r="BD485" i="17"/>
  <c r="BD107" i="17"/>
  <c r="BD335" i="17"/>
  <c r="BD126" i="17"/>
  <c r="BH58" i="17"/>
  <c r="BG444" i="17"/>
  <c r="BG408" i="17"/>
  <c r="AT445" i="17"/>
  <c r="AT12" i="17"/>
  <c r="BH294" i="17"/>
  <c r="BH237" i="17"/>
  <c r="BI506" i="17"/>
  <c r="AV563" i="17"/>
  <c r="AV38" i="17"/>
  <c r="AW596" i="17"/>
  <c r="AW407" i="17"/>
  <c r="AR537" i="17"/>
  <c r="AR9" i="17"/>
  <c r="AU544" i="17"/>
  <c r="AU199" i="17"/>
  <c r="AU218" i="17"/>
  <c r="BI595" i="17"/>
  <c r="BI442" i="17"/>
  <c r="AS483" i="17"/>
  <c r="AS161" i="17"/>
  <c r="AS480" i="17"/>
  <c r="AS216" i="17"/>
  <c r="AC594" i="17"/>
  <c r="AC101" i="17"/>
  <c r="W594" i="17"/>
  <c r="W101" i="17"/>
  <c r="S7" i="18" l="1"/>
  <c r="U7" i="18"/>
  <c r="U6" i="18"/>
  <c r="S8" i="18"/>
  <c r="U8" i="18"/>
  <c r="U5" i="18"/>
  <c r="U4" i="15"/>
  <c r="U325" i="17" s="1"/>
  <c r="T61" i="17"/>
  <c r="T325" i="17"/>
  <c r="S61" i="17"/>
  <c r="S325" i="17"/>
  <c r="R61" i="17"/>
  <c r="R325" i="17"/>
  <c r="S19" i="18"/>
  <c r="T19" i="18" s="1"/>
  <c r="U19" i="18" s="1"/>
  <c r="AC569" i="17"/>
  <c r="AC549" i="17"/>
  <c r="W304" i="17"/>
  <c r="W114" i="17"/>
  <c r="AC190" i="17"/>
  <c r="AC209" i="17"/>
  <c r="AC588" i="17"/>
  <c r="AC436" i="17"/>
  <c r="AC607" i="17"/>
  <c r="AC455" i="17"/>
  <c r="W568" i="17"/>
  <c r="W247" i="17"/>
  <c r="AC530" i="17"/>
  <c r="W397" i="17"/>
  <c r="W322" i="17"/>
  <c r="AC189" i="17"/>
  <c r="AC303" i="17"/>
  <c r="W454" i="17"/>
  <c r="W379" i="17"/>
  <c r="AC548" i="17"/>
  <c r="AC95" i="17"/>
  <c r="AC473" i="17"/>
  <c r="W490" i="17"/>
  <c r="W453" i="17"/>
  <c r="W340" i="17"/>
  <c r="W547" i="17"/>
  <c r="AC510" i="17"/>
  <c r="AC20" i="17"/>
  <c r="AC131" i="17"/>
  <c r="AC245" i="17"/>
  <c r="AC188" i="17"/>
  <c r="AC396" i="17"/>
  <c r="AC207" i="17"/>
  <c r="W529" i="17"/>
  <c r="W434" i="17"/>
  <c r="W472" i="17"/>
  <c r="W378" i="17"/>
  <c r="AC566" i="17"/>
  <c r="AC264" i="17"/>
  <c r="AC168" i="17"/>
  <c r="AC112" i="17"/>
  <c r="AC377" i="17"/>
  <c r="W377" i="17"/>
  <c r="AC337" i="17"/>
  <c r="AC109" i="17"/>
  <c r="W413" i="17"/>
  <c r="W487" i="17"/>
  <c r="W128" i="17"/>
  <c r="W356" i="17"/>
  <c r="AC526" i="17"/>
  <c r="AC17" i="17"/>
  <c r="AC57" i="17"/>
  <c r="AC242" i="17"/>
  <c r="W75" i="17"/>
  <c r="W375" i="17"/>
  <c r="W261" i="17"/>
  <c r="W280" i="17"/>
  <c r="AC165" i="17"/>
  <c r="AC204" i="17"/>
  <c r="AC164" i="17"/>
  <c r="W468" i="17"/>
  <c r="AC316" i="17"/>
  <c r="AC355" i="17"/>
  <c r="S6" i="18"/>
  <c r="W142" i="17"/>
  <c r="W508" i="17"/>
  <c r="W129" i="17"/>
  <c r="W333" i="17"/>
  <c r="W521" i="17"/>
  <c r="W32" i="17"/>
  <c r="W11" i="17"/>
  <c r="AC371" i="17"/>
  <c r="W281" i="17"/>
  <c r="W584" i="17"/>
  <c r="W395" i="17"/>
  <c r="W546" i="17"/>
  <c r="AC244" i="17"/>
  <c r="AC415" i="17"/>
  <c r="AC509" i="17"/>
  <c r="AC152" i="17"/>
  <c r="AC565" i="17"/>
  <c r="AC282" i="17"/>
  <c r="AC263" i="17"/>
  <c r="AC585" i="17"/>
  <c r="AC604" i="17"/>
  <c r="AC93" i="17"/>
  <c r="W225" i="17"/>
  <c r="W452" i="17"/>
  <c r="AC77" i="17"/>
  <c r="AC167" i="17"/>
  <c r="AC206" i="17"/>
  <c r="AC111" i="17"/>
  <c r="W58" i="17"/>
  <c r="W338" i="17"/>
  <c r="AC414" i="17"/>
  <c r="AC166" i="17"/>
  <c r="W205" i="17"/>
  <c r="W603" i="17"/>
  <c r="AC92" i="17"/>
  <c r="AC432" i="17"/>
  <c r="W470" i="17"/>
  <c r="W357" i="17"/>
  <c r="AC450" i="17"/>
  <c r="AC110" i="17"/>
  <c r="W376" i="17"/>
  <c r="W151" i="17"/>
  <c r="AC260" i="17"/>
  <c r="AC374" i="17"/>
  <c r="W203" i="17"/>
  <c r="W108" i="17"/>
  <c r="AC56" i="17"/>
  <c r="AC429" i="17"/>
  <c r="AC36" i="17"/>
  <c r="W561" i="17"/>
  <c r="BH260" i="17"/>
  <c r="AW95" i="17"/>
  <c r="BH114" i="17"/>
  <c r="BG562" i="17"/>
  <c r="AW281" i="17"/>
  <c r="AW261" i="17"/>
  <c r="BG113" i="17"/>
  <c r="BI244" i="17"/>
  <c r="BI132" i="17"/>
  <c r="BI430" i="17"/>
  <c r="BI56" i="17"/>
  <c r="AW57" i="17"/>
  <c r="BI264" i="17"/>
  <c r="BG302" i="17"/>
  <c r="BI337" i="17"/>
  <c r="BG96" i="17"/>
  <c r="AV567" i="17"/>
  <c r="AW525" i="17"/>
  <c r="BI242" i="17"/>
  <c r="BH587" i="17"/>
  <c r="AU316" i="17"/>
  <c r="AU435" i="17"/>
  <c r="BI243" i="17"/>
  <c r="BI471" i="17"/>
  <c r="AV568" i="17"/>
  <c r="AU132" i="17"/>
  <c r="BH340" i="17"/>
  <c r="AU39" i="17"/>
  <c r="BH455" i="17"/>
  <c r="BI358" i="17"/>
  <c r="BI529" i="17"/>
  <c r="AU20" i="17"/>
  <c r="BI512" i="17"/>
  <c r="BI36" i="17"/>
  <c r="W354" i="17"/>
  <c r="W202" i="17"/>
  <c r="AC467" i="17"/>
  <c r="AC373" i="17"/>
  <c r="W297" i="17"/>
  <c r="W391" i="17"/>
  <c r="AC485" i="17"/>
  <c r="AC107" i="17"/>
  <c r="W581" i="17"/>
  <c r="W89" i="17"/>
  <c r="AC73" i="17"/>
  <c r="AC600" i="17"/>
  <c r="AC524" i="17"/>
  <c r="AC14" i="17"/>
  <c r="AU221" i="17"/>
  <c r="AW247" i="17"/>
  <c r="BI189" i="17"/>
  <c r="BH264" i="17"/>
  <c r="BI376" i="17"/>
  <c r="BI283" i="17"/>
  <c r="AV530" i="17"/>
  <c r="AW206" i="17"/>
  <c r="AW111" i="17"/>
  <c r="AV359" i="17"/>
  <c r="BG374" i="17"/>
  <c r="AU225" i="17"/>
  <c r="BG111" i="17"/>
  <c r="AV89" i="17"/>
  <c r="AU264" i="17"/>
  <c r="AU430" i="17"/>
  <c r="AW240" i="17"/>
  <c r="AW169" i="17"/>
  <c r="AV190" i="17"/>
  <c r="AV505" i="17"/>
  <c r="BH110" i="17"/>
  <c r="BH77" i="17"/>
  <c r="AW560" i="17"/>
  <c r="BI338" i="17"/>
  <c r="AW448" i="17"/>
  <c r="BI602" i="17"/>
  <c r="AV111" i="17"/>
  <c r="AW246" i="17"/>
  <c r="AW587" i="17"/>
  <c r="BG244" i="17"/>
  <c r="AU474" i="17"/>
  <c r="AW585" i="17"/>
  <c r="AU242" i="17"/>
  <c r="AU259" i="17"/>
  <c r="AV588" i="17"/>
  <c r="BI245" i="17"/>
  <c r="BI188" i="17"/>
  <c r="AV107" i="17"/>
  <c r="BI74" i="17"/>
  <c r="BI208" i="17"/>
  <c r="BG435" i="17"/>
  <c r="BH470" i="17"/>
  <c r="AW39" i="17"/>
  <c r="AW433" i="17"/>
  <c r="AU415" i="17"/>
  <c r="AU244" i="17"/>
  <c r="BI379" i="17"/>
  <c r="AU129" i="17"/>
  <c r="BI247" i="17"/>
  <c r="AW600" i="17"/>
  <c r="AW73" i="17"/>
  <c r="BH378" i="17"/>
  <c r="BG226" i="17"/>
  <c r="BG152" i="17"/>
  <c r="BG509" i="17"/>
  <c r="BG57" i="17"/>
  <c r="AW567" i="17"/>
  <c r="AW208" i="17"/>
  <c r="AU563" i="17"/>
  <c r="BH208" i="17"/>
  <c r="AU588" i="17"/>
  <c r="BH280" i="17"/>
  <c r="AU321" i="17"/>
  <c r="BG323" i="17"/>
  <c r="BI395" i="17"/>
  <c r="BI240" i="17"/>
  <c r="BG188" i="17"/>
  <c r="BG239" i="17"/>
  <c r="BH281" i="17"/>
  <c r="AW89" i="17"/>
  <c r="BI205" i="17"/>
  <c r="AW284" i="17"/>
  <c r="AU106" i="17"/>
  <c r="AU567" i="17"/>
  <c r="AV93" i="17"/>
  <c r="AU202" i="17"/>
  <c r="BH562" i="17"/>
  <c r="AV108" i="17"/>
  <c r="BH40" i="17"/>
  <c r="BI282" i="17"/>
  <c r="AU247" i="17"/>
  <c r="AC238" i="17"/>
  <c r="AC257" i="17"/>
  <c r="W311" i="17"/>
  <c r="W179" i="17"/>
  <c r="W312" i="17"/>
  <c r="W502" i="17"/>
  <c r="W68" i="17"/>
  <c r="W406" i="17"/>
  <c r="W504" i="17"/>
  <c r="W372" i="17"/>
  <c r="W147" i="17"/>
  <c r="W410" i="17"/>
  <c r="W88" i="17"/>
  <c r="W523" i="17"/>
  <c r="W335" i="17"/>
  <c r="W126" i="17"/>
  <c r="AC484" i="17"/>
  <c r="AC72" i="17"/>
  <c r="AC541" i="17"/>
  <c r="AC34" i="17"/>
  <c r="W580" i="17"/>
  <c r="W559" i="17"/>
  <c r="W599" i="17"/>
  <c r="W390" i="17"/>
  <c r="AB198" i="17"/>
  <c r="W86" i="17"/>
  <c r="W558" i="17"/>
  <c r="W426" i="17"/>
  <c r="W105" i="17"/>
  <c r="V520" i="17"/>
  <c r="V144" i="17"/>
  <c r="W218" i="17"/>
  <c r="W199" i="17"/>
  <c r="W160" i="17"/>
  <c r="W464" i="17"/>
  <c r="W465" i="17"/>
  <c r="W409" i="17"/>
  <c r="W53" i="17"/>
  <c r="W540" i="17"/>
  <c r="AC426" i="17"/>
  <c r="AC105" i="17"/>
  <c r="W522" i="17"/>
  <c r="W598" i="17"/>
  <c r="AC334" i="17"/>
  <c r="AC33" i="17"/>
  <c r="AC125" i="17"/>
  <c r="AC276" i="17"/>
  <c r="AC219" i="17"/>
  <c r="AC352" i="17"/>
  <c r="W200" i="17"/>
  <c r="W389" i="17"/>
  <c r="BI53" i="17"/>
  <c r="BI607" i="17"/>
  <c r="BI491" i="17"/>
  <c r="BH392" i="17"/>
  <c r="AW604" i="17"/>
  <c r="AU398" i="17"/>
  <c r="BG222" i="17"/>
  <c r="BG90" i="17"/>
  <c r="AV91" i="17"/>
  <c r="AV168" i="17"/>
  <c r="AW125" i="17"/>
  <c r="AW276" i="17"/>
  <c r="AW488" i="17"/>
  <c r="AV163" i="17"/>
  <c r="BI246" i="17"/>
  <c r="AV265" i="17"/>
  <c r="AW130" i="17"/>
  <c r="AV171" i="17"/>
  <c r="AV492" i="17"/>
  <c r="AV204" i="17"/>
  <c r="AV165" i="17"/>
  <c r="AV414" i="17"/>
  <c r="AV166" i="17"/>
  <c r="AU389" i="17"/>
  <c r="AU200" i="17"/>
  <c r="BH341" i="17"/>
  <c r="BH169" i="17"/>
  <c r="AU395" i="17"/>
  <c r="AU546" i="17"/>
  <c r="AU397" i="17"/>
  <c r="AU322" i="17"/>
  <c r="AW359" i="17"/>
  <c r="AW586" i="17"/>
  <c r="BH105" i="17"/>
  <c r="BH38" i="17"/>
  <c r="AV569" i="17"/>
  <c r="BH483" i="17"/>
  <c r="BH161" i="17"/>
  <c r="BG398" i="17"/>
  <c r="BG228" i="17"/>
  <c r="AW455" i="17"/>
  <c r="AW147" i="17"/>
  <c r="AW209" i="17"/>
  <c r="BG600" i="17"/>
  <c r="BG73" i="17"/>
  <c r="AU527" i="17"/>
  <c r="AU224" i="17"/>
  <c r="AW203" i="17"/>
  <c r="BH108" i="17"/>
  <c r="AU511" i="17"/>
  <c r="BG186" i="17"/>
  <c r="BG76" i="17"/>
  <c r="BG352" i="17"/>
  <c r="BG219" i="17"/>
  <c r="BH39" i="17"/>
  <c r="BG72" i="17"/>
  <c r="BG484" i="17"/>
  <c r="BG599" i="17"/>
  <c r="BG390" i="17"/>
  <c r="BG371" i="17"/>
  <c r="BG71" i="17"/>
  <c r="AU164" i="17"/>
  <c r="AU392" i="17"/>
  <c r="BG78" i="17"/>
  <c r="BG396" i="17"/>
  <c r="BG207" i="17"/>
  <c r="AU190" i="17"/>
  <c r="AU542" i="17"/>
  <c r="BG322" i="17"/>
  <c r="AU167" i="17"/>
  <c r="AU77" i="17"/>
  <c r="AW565" i="17"/>
  <c r="AW282" i="17"/>
  <c r="AU74" i="17"/>
  <c r="AU149" i="17"/>
  <c r="BI150" i="17"/>
  <c r="BH263" i="17"/>
  <c r="BH182" i="17"/>
  <c r="AW152" i="17"/>
  <c r="AV33" i="17"/>
  <c r="AV285" i="17"/>
  <c r="AV341" i="17"/>
  <c r="BI445" i="17"/>
  <c r="AU565" i="17"/>
  <c r="BI357" i="17"/>
  <c r="BG299" i="17"/>
  <c r="BI201" i="17"/>
  <c r="AW469" i="17"/>
  <c r="AV531" i="17"/>
  <c r="AW490" i="17"/>
  <c r="AV263" i="17"/>
  <c r="BG201" i="17"/>
  <c r="BI550" i="17"/>
  <c r="BI447" i="17"/>
  <c r="BH247" i="17"/>
  <c r="AW450" i="17"/>
  <c r="AW207" i="17"/>
  <c r="AV542" i="17"/>
  <c r="BI473" i="17"/>
  <c r="BI206" i="17"/>
  <c r="BI582" i="17"/>
  <c r="AV466" i="17"/>
  <c r="AV277" i="17"/>
  <c r="BI411" i="17"/>
  <c r="BH187" i="17"/>
  <c r="AW277" i="17"/>
  <c r="BI239" i="17"/>
  <c r="BI353" i="17"/>
  <c r="BI281" i="17"/>
  <c r="BI584" i="17"/>
  <c r="AV471" i="17"/>
  <c r="AV130" i="17"/>
  <c r="W578" i="17"/>
  <c r="W180" i="17"/>
  <c r="AC160" i="17"/>
  <c r="AC464" i="17"/>
  <c r="AC32" i="17"/>
  <c r="AC11" i="17"/>
  <c r="AC333" i="17"/>
  <c r="AC521" i="17"/>
  <c r="W539" i="17"/>
  <c r="W145" i="17"/>
  <c r="AC558" i="17"/>
  <c r="AC86" i="17"/>
  <c r="W444" i="17"/>
  <c r="W408" i="17"/>
  <c r="BH180" i="17"/>
  <c r="AV257" i="17"/>
  <c r="BG566" i="17"/>
  <c r="BI409" i="17"/>
  <c r="BI55" i="17"/>
  <c r="BH244" i="17"/>
  <c r="AW373" i="17"/>
  <c r="BH168" i="17"/>
  <c r="BI448" i="17"/>
  <c r="AW582" i="17"/>
  <c r="AU203" i="17"/>
  <c r="AW304" i="17"/>
  <c r="AW114" i="17"/>
  <c r="AW416" i="17"/>
  <c r="AW302" i="17"/>
  <c r="BI511" i="17"/>
  <c r="BG473" i="17"/>
  <c r="BG124" i="17"/>
  <c r="BG52" i="17"/>
  <c r="BH337" i="17"/>
  <c r="BH109" i="17"/>
  <c r="BG59" i="17"/>
  <c r="BG528" i="17"/>
  <c r="AV339" i="17"/>
  <c r="AV19" i="17"/>
  <c r="AU338" i="17"/>
  <c r="AU58" i="17"/>
  <c r="BG411" i="17"/>
  <c r="BG55" i="17"/>
  <c r="BI509" i="17"/>
  <c r="BI152" i="17"/>
  <c r="AC236" i="17"/>
  <c r="AC31" i="17"/>
  <c r="AC596" i="17"/>
  <c r="AC407" i="17"/>
  <c r="W274" i="17"/>
  <c r="W85" i="17"/>
  <c r="AV559" i="17"/>
  <c r="AV282" i="17"/>
  <c r="AV245" i="17"/>
  <c r="BI378" i="17"/>
  <c r="BI464" i="17"/>
  <c r="AW481" i="17"/>
  <c r="AC9" i="17"/>
  <c r="AC68" i="17"/>
  <c r="W576" i="17"/>
  <c r="W30" i="17"/>
  <c r="AC197" i="17"/>
  <c r="AC292" i="17"/>
  <c r="AC442" i="17"/>
  <c r="AC595" i="17"/>
  <c r="W84" i="17"/>
  <c r="W235" i="17"/>
  <c r="W216" i="17"/>
  <c r="W480" i="17"/>
  <c r="AV185" i="17"/>
  <c r="V421" i="17"/>
  <c r="V327" i="17"/>
  <c r="W593" i="17"/>
  <c r="W156" i="17"/>
  <c r="AC83" i="17"/>
  <c r="AC8" i="17"/>
  <c r="AC196" i="17"/>
  <c r="AC479" i="17"/>
  <c r="AC291" i="17"/>
  <c r="AC49" i="17"/>
  <c r="W7" i="17"/>
  <c r="W48" i="17"/>
  <c r="W460" i="17"/>
  <c r="AV182" i="17"/>
  <c r="AC555" i="17"/>
  <c r="AC441" i="17"/>
  <c r="AC234" i="17"/>
  <c r="AC142" i="17"/>
  <c r="AC330" i="17"/>
  <c r="W517" i="17"/>
  <c r="W120" i="17"/>
  <c r="W498" i="17"/>
  <c r="W535" i="17"/>
  <c r="AC367" i="17"/>
  <c r="AC157" i="17"/>
  <c r="W404" i="17"/>
  <c r="W366" i="17"/>
  <c r="AC121" i="17"/>
  <c r="AC67" i="17"/>
  <c r="W66" i="17"/>
  <c r="W440" i="17"/>
  <c r="BI93" i="17"/>
  <c r="W347" i="17"/>
  <c r="W290" i="17"/>
  <c r="W271" i="17"/>
  <c r="W233" i="17"/>
  <c r="W574" i="17"/>
  <c r="W252" i="17"/>
  <c r="AC384" i="17"/>
  <c r="AC214" i="17"/>
  <c r="AC536" i="17"/>
  <c r="AC422" i="17"/>
  <c r="AC405" i="17"/>
  <c r="AC461" i="17"/>
  <c r="AC215" i="17"/>
  <c r="AC177" i="17"/>
  <c r="AW86" i="17"/>
  <c r="BH183" i="17"/>
  <c r="AU37" i="17"/>
  <c r="AU91" i="17"/>
  <c r="BG433" i="17"/>
  <c r="BG39" i="17"/>
  <c r="AU530" i="17"/>
  <c r="AU236" i="17"/>
  <c r="AU31" i="17"/>
  <c r="BG541" i="17"/>
  <c r="BG34" i="17"/>
  <c r="AU32" i="17"/>
  <c r="AU11" i="17"/>
  <c r="BG40" i="17"/>
  <c r="BG94" i="17"/>
  <c r="BG576" i="17"/>
  <c r="BG30" i="17"/>
  <c r="BG33" i="17"/>
  <c r="BG334" i="17"/>
  <c r="AU429" i="17"/>
  <c r="AU36" i="17"/>
  <c r="BG563" i="17"/>
  <c r="BG38" i="17"/>
  <c r="AU569" i="17"/>
  <c r="BH368" i="17"/>
  <c r="BH310" i="17"/>
  <c r="BH375" i="17"/>
  <c r="BH75" i="17"/>
  <c r="AV454" i="17"/>
  <c r="AV379" i="17"/>
  <c r="AV374" i="17"/>
  <c r="AV260" i="17"/>
  <c r="AV504" i="17"/>
  <c r="AV372" i="17"/>
  <c r="BH133" i="17"/>
  <c r="BH597" i="17"/>
  <c r="BH370" i="17"/>
  <c r="BH467" i="17"/>
  <c r="BH373" i="17"/>
  <c r="AV376" i="17"/>
  <c r="AV151" i="17"/>
  <c r="AV71" i="17"/>
  <c r="AV371" i="17"/>
  <c r="AV472" i="17"/>
  <c r="AV378" i="17"/>
  <c r="BH489" i="17"/>
  <c r="BH377" i="17"/>
  <c r="AV189" i="17"/>
  <c r="AV303" i="17"/>
  <c r="BH209" i="17"/>
  <c r="BH190" i="17"/>
  <c r="BG243" i="17"/>
  <c r="BG262" i="17"/>
  <c r="AU171" i="17"/>
  <c r="AU492" i="17"/>
  <c r="BG167" i="17"/>
  <c r="BG77" i="17"/>
  <c r="BH429" i="17"/>
  <c r="BH36" i="17"/>
  <c r="AU556" i="17"/>
  <c r="AU331" i="17"/>
  <c r="BG483" i="17"/>
  <c r="BG161" i="17"/>
  <c r="BG169" i="17"/>
  <c r="BG341" i="17"/>
  <c r="AV425" i="17"/>
  <c r="AV275" i="17"/>
  <c r="AU580" i="17"/>
  <c r="AU559" i="17"/>
  <c r="AU414" i="17"/>
  <c r="AU166" i="17"/>
  <c r="AV562" i="17"/>
  <c r="AV430" i="17"/>
  <c r="BG247" i="17"/>
  <c r="BG568" i="17"/>
  <c r="AU112" i="17"/>
  <c r="AU168" i="17"/>
  <c r="BH423" i="17"/>
  <c r="BH158" i="17"/>
  <c r="AU165" i="17"/>
  <c r="AU204" i="17"/>
  <c r="BG392" i="17"/>
  <c r="BG164" i="17"/>
  <c r="BG159" i="17"/>
  <c r="BG217" i="17"/>
  <c r="BH432" i="17"/>
  <c r="BH92" i="17"/>
  <c r="AU447" i="17"/>
  <c r="AU163" i="17"/>
  <c r="AU423" i="17"/>
  <c r="AU158" i="17"/>
  <c r="AU160" i="17"/>
  <c r="AU464" i="17"/>
  <c r="AV433" i="17"/>
  <c r="AV39" i="17"/>
  <c r="AU526" i="17"/>
  <c r="AU17" i="17"/>
  <c r="AU561" i="17"/>
  <c r="BG537" i="17"/>
  <c r="BG9" i="17"/>
  <c r="AU549" i="17"/>
  <c r="BG19" i="17"/>
  <c r="BG339" i="17"/>
  <c r="BG524" i="17"/>
  <c r="BG14" i="17"/>
  <c r="AU123" i="17"/>
  <c r="AU10" i="17"/>
  <c r="AU427" i="17"/>
  <c r="AU13" i="17"/>
  <c r="AU445" i="17"/>
  <c r="AU12" i="17"/>
  <c r="BG32" i="17"/>
  <c r="BG11" i="17"/>
  <c r="BG510" i="17"/>
  <c r="BG20" i="17"/>
  <c r="BG21" i="17"/>
  <c r="AW526" i="17"/>
  <c r="AW17" i="17"/>
  <c r="AW13" i="17"/>
  <c r="AW427" i="17"/>
  <c r="AV521" i="17"/>
  <c r="AV333" i="17"/>
  <c r="BH224" i="17"/>
  <c r="BH527" i="17"/>
  <c r="BH339" i="17"/>
  <c r="BH19" i="17"/>
  <c r="AW94" i="17"/>
  <c r="AW40" i="17"/>
  <c r="AV540" i="17"/>
  <c r="AV53" i="17"/>
  <c r="AW579" i="17"/>
  <c r="AW313" i="17"/>
  <c r="AV102" i="17"/>
  <c r="AV386" i="17"/>
  <c r="BH185" i="17"/>
  <c r="BH393" i="17"/>
  <c r="BG443" i="17"/>
  <c r="BG387" i="17"/>
  <c r="BG452" i="17"/>
  <c r="BG225" i="17"/>
  <c r="BH284" i="17"/>
  <c r="BH360" i="17"/>
  <c r="AV353" i="17"/>
  <c r="AV239" i="17"/>
  <c r="AV133" i="17"/>
  <c r="BH508" i="17"/>
  <c r="BH129" i="17"/>
  <c r="AU558" i="17"/>
  <c r="AU86" i="17"/>
  <c r="AU94" i="17"/>
  <c r="AU40" i="17"/>
  <c r="BG255" i="17"/>
  <c r="BG293" i="17"/>
  <c r="AV539" i="17"/>
  <c r="AV145" i="17"/>
  <c r="BH550" i="17"/>
  <c r="BG56" i="17"/>
  <c r="BG417" i="17"/>
  <c r="BG132" i="17"/>
  <c r="BH605" i="17"/>
  <c r="BH226" i="17"/>
  <c r="AV398" i="17"/>
  <c r="AV228" i="17"/>
  <c r="AW357" i="17"/>
  <c r="AW470" i="17"/>
  <c r="BI356" i="17"/>
  <c r="BI128" i="17"/>
  <c r="BG357" i="17"/>
  <c r="BG470" i="17"/>
  <c r="AU473" i="17"/>
  <c r="AW78" i="17"/>
  <c r="AU186" i="17"/>
  <c r="AU76" i="17"/>
  <c r="AU245" i="17"/>
  <c r="AU188" i="17"/>
  <c r="AW303" i="17"/>
  <c r="AW189" i="17"/>
  <c r="BH353" i="17"/>
  <c r="BH239" i="17"/>
  <c r="BH76" i="17"/>
  <c r="BH186" i="17"/>
  <c r="AW165" i="17"/>
  <c r="AW204" i="17"/>
  <c r="BG275" i="17"/>
  <c r="BG425" i="17"/>
  <c r="BG565" i="17"/>
  <c r="BG282" i="17"/>
  <c r="AU529" i="17"/>
  <c r="AU434" i="17"/>
  <c r="AU550" i="17"/>
  <c r="BG607" i="17"/>
  <c r="BG455" i="17"/>
  <c r="AU595" i="17"/>
  <c r="AU442" i="17"/>
  <c r="BG450" i="17"/>
  <c r="BG110" i="17"/>
  <c r="AU581" i="17"/>
  <c r="AU89" i="17"/>
  <c r="BG150" i="17"/>
  <c r="BG507" i="17"/>
  <c r="BG376" i="17"/>
  <c r="BG151" i="17"/>
  <c r="BI413" i="17"/>
  <c r="BI487" i="17"/>
  <c r="AW123" i="17"/>
  <c r="AW10" i="17"/>
  <c r="BI510" i="17"/>
  <c r="BI20" i="17"/>
  <c r="BH520" i="17"/>
  <c r="BH144" i="17"/>
  <c r="AV526" i="17"/>
  <c r="AV17" i="17"/>
  <c r="AV549" i="17"/>
  <c r="BI91" i="17"/>
  <c r="BI37" i="17"/>
  <c r="BI89" i="17"/>
  <c r="BI581" i="17"/>
  <c r="BH242" i="17"/>
  <c r="BH57" i="17"/>
  <c r="BH52" i="17"/>
  <c r="BH124" i="17"/>
  <c r="BI312" i="17"/>
  <c r="BI502" i="17"/>
  <c r="AW355" i="17"/>
  <c r="AW316" i="17"/>
  <c r="AV397" i="17"/>
  <c r="AV322" i="17"/>
  <c r="BH599" i="17"/>
  <c r="BH390" i="17"/>
  <c r="BG445" i="17"/>
  <c r="BG12" i="17"/>
  <c r="AU444" i="17"/>
  <c r="AU408" i="17"/>
  <c r="BH202" i="17"/>
  <c r="BH354" i="17"/>
  <c r="BH417" i="17"/>
  <c r="BH132" i="17"/>
  <c r="BH56" i="17"/>
  <c r="BG548" i="17"/>
  <c r="BG95" i="17"/>
  <c r="BG358" i="17"/>
  <c r="BG301" i="17"/>
  <c r="AU318" i="17"/>
  <c r="AU299" i="17"/>
  <c r="BH542" i="17"/>
  <c r="BH560" i="17"/>
  <c r="BH53" i="17"/>
  <c r="BH540" i="17"/>
  <c r="BG508" i="17"/>
  <c r="BG129" i="17"/>
  <c r="AV296" i="17"/>
  <c r="AV220" i="17"/>
  <c r="AW349" i="17"/>
  <c r="AW254" i="17"/>
  <c r="BI360" i="17"/>
  <c r="BI284" i="17"/>
  <c r="AW19" i="17"/>
  <c r="AW339" i="17"/>
  <c r="AU602" i="17"/>
  <c r="AU469" i="17"/>
  <c r="BG474" i="17"/>
  <c r="BG512" i="17"/>
  <c r="BG209" i="17"/>
  <c r="BG190" i="17"/>
  <c r="AW186" i="17"/>
  <c r="AW76" i="17"/>
  <c r="BI190" i="17"/>
  <c r="BI209" i="17"/>
  <c r="AV278" i="17"/>
  <c r="AV240" i="17"/>
  <c r="BH78" i="17"/>
  <c r="AV375" i="17"/>
  <c r="AV75" i="17"/>
  <c r="AW112" i="17"/>
  <c r="AW168" i="17"/>
  <c r="BG240" i="17"/>
  <c r="BG278" i="17"/>
  <c r="BG530" i="17"/>
  <c r="BG527" i="17"/>
  <c r="BG224" i="17"/>
  <c r="AU597" i="17"/>
  <c r="AU370" i="17"/>
  <c r="BG598" i="17"/>
  <c r="BG522" i="17"/>
  <c r="BH149" i="17"/>
  <c r="BH74" i="17"/>
  <c r="AV183" i="17"/>
  <c r="AV148" i="17"/>
  <c r="BG102" i="17"/>
  <c r="BG386" i="17"/>
  <c r="BG582" i="17"/>
  <c r="BG584" i="17"/>
  <c r="BG281" i="17"/>
  <c r="BG131" i="17"/>
  <c r="BI545" i="17"/>
  <c r="BI488" i="17"/>
  <c r="AW561" i="17"/>
  <c r="BH523" i="17"/>
  <c r="BH88" i="17"/>
  <c r="BH531" i="17"/>
  <c r="BH342" i="17"/>
  <c r="AW92" i="17"/>
  <c r="AW432" i="17"/>
  <c r="BH528" i="17"/>
  <c r="BH59" i="17"/>
  <c r="BH482" i="17"/>
  <c r="BH388" i="17"/>
  <c r="BG379" i="17"/>
  <c r="BG454" i="17"/>
  <c r="BH128" i="17"/>
  <c r="BH356" i="17"/>
  <c r="AV357" i="17"/>
  <c r="AV470" i="17"/>
  <c r="AV124" i="17"/>
  <c r="AV52" i="17"/>
  <c r="AV122" i="17"/>
  <c r="AV500" i="17"/>
  <c r="AU266" i="17"/>
  <c r="AU96" i="17"/>
  <c r="AU582" i="17"/>
  <c r="AU292" i="17"/>
  <c r="AU197" i="17"/>
  <c r="AV541" i="17"/>
  <c r="AV34" i="17"/>
  <c r="BH407" i="17"/>
  <c r="BH596" i="17"/>
  <c r="BG123" i="17"/>
  <c r="BG10" i="17"/>
  <c r="AU356" i="17"/>
  <c r="AU128" i="17"/>
  <c r="BH216" i="17"/>
  <c r="BH480" i="17"/>
  <c r="BI202" i="17"/>
  <c r="BI354" i="17"/>
  <c r="AW352" i="17"/>
  <c r="AW219" i="17"/>
  <c r="AW538" i="17"/>
  <c r="AW332" i="17"/>
  <c r="BG465" i="17"/>
  <c r="BG409" i="17"/>
  <c r="BG160" i="17"/>
  <c r="BG464" i="17"/>
  <c r="AU393" i="17"/>
  <c r="AU185" i="17"/>
  <c r="BI183" i="17"/>
  <c r="BI148" i="17"/>
  <c r="BI578" i="17"/>
  <c r="BI180" i="17"/>
  <c r="BH31" i="17"/>
  <c r="BH236" i="17"/>
  <c r="BH600" i="17"/>
  <c r="BH73" i="17"/>
  <c r="AV149" i="17"/>
  <c r="AV74" i="17"/>
  <c r="AW464" i="17"/>
  <c r="AW160" i="17"/>
  <c r="BG466" i="17"/>
  <c r="BG277" i="17"/>
  <c r="BG526" i="17"/>
  <c r="BG17" i="17"/>
  <c r="AU599" i="17"/>
  <c r="AU390" i="17"/>
  <c r="BG606" i="17"/>
  <c r="BG491" i="17"/>
  <c r="BH131" i="17"/>
  <c r="AV143" i="17"/>
  <c r="AV50" i="17"/>
  <c r="AU206" i="17"/>
  <c r="AU111" i="17"/>
  <c r="AU485" i="17"/>
  <c r="AU107" i="17"/>
  <c r="AU576" i="17"/>
  <c r="AU30" i="17"/>
  <c r="BG559" i="17"/>
  <c r="BG580" i="17"/>
  <c r="AU50" i="17"/>
  <c r="AU143" i="17"/>
  <c r="AU144" i="17"/>
  <c r="AU520" i="17"/>
  <c r="BI492" i="17"/>
  <c r="BI171" i="17"/>
  <c r="BI21" i="17"/>
  <c r="BH543" i="17"/>
  <c r="BH525" i="17"/>
  <c r="AV528" i="17"/>
  <c r="AV59" i="17"/>
  <c r="BH32" i="17"/>
  <c r="BH11" i="17"/>
  <c r="AW266" i="17"/>
  <c r="AW96" i="17"/>
  <c r="AV501" i="17"/>
  <c r="AV51" i="17"/>
  <c r="BH411" i="17"/>
  <c r="BH55" i="17"/>
  <c r="AW320" i="17"/>
  <c r="AW187" i="17"/>
  <c r="AW368" i="17"/>
  <c r="AW310" i="17"/>
  <c r="AV387" i="17"/>
  <c r="AV443" i="17"/>
  <c r="AV395" i="17"/>
  <c r="AV546" i="17"/>
  <c r="AU453" i="17"/>
  <c r="AU490" i="17"/>
  <c r="BH316" i="17"/>
  <c r="BH355" i="17"/>
  <c r="BG604" i="17"/>
  <c r="BG93" i="17"/>
  <c r="AU523" i="17"/>
  <c r="AU88" i="17"/>
  <c r="AU416" i="17"/>
  <c r="AU302" i="17"/>
  <c r="BH538" i="17"/>
  <c r="BH332" i="17"/>
  <c r="BH602" i="17"/>
  <c r="BH469" i="17"/>
  <c r="AU500" i="17"/>
  <c r="AU122" i="17"/>
  <c r="BG471" i="17"/>
  <c r="BG130" i="17"/>
  <c r="AV217" i="17"/>
  <c r="AV159" i="17"/>
  <c r="BH352" i="17"/>
  <c r="BH219" i="17"/>
  <c r="BI355" i="17"/>
  <c r="BI316" i="17"/>
  <c r="AW361" i="17"/>
  <c r="AW323" i="17"/>
  <c r="AW531" i="17"/>
  <c r="AW342" i="17"/>
  <c r="BG472" i="17"/>
  <c r="BG378" i="17"/>
  <c r="BI528" i="17"/>
  <c r="BI59" i="17"/>
  <c r="BG578" i="17"/>
  <c r="BG180" i="17"/>
  <c r="BG273" i="17"/>
  <c r="BG178" i="17"/>
  <c r="BI273" i="17"/>
  <c r="BI178" i="17"/>
  <c r="AV57" i="17"/>
  <c r="AV242" i="17"/>
  <c r="BH371" i="17"/>
  <c r="BH71" i="17"/>
  <c r="AW163" i="17"/>
  <c r="AW447" i="17"/>
  <c r="AW171" i="17"/>
  <c r="AW492" i="17"/>
  <c r="AU281" i="17"/>
  <c r="AU584" i="17"/>
  <c r="BG531" i="17"/>
  <c r="BG342" i="17"/>
  <c r="BG407" i="17"/>
  <c r="BG596" i="17"/>
  <c r="BH150" i="17"/>
  <c r="BH507" i="17"/>
  <c r="BG314" i="17"/>
  <c r="BG106" i="17"/>
  <c r="BG112" i="17"/>
  <c r="BG168" i="17"/>
  <c r="AU586" i="17"/>
  <c r="AU359" i="17"/>
  <c r="AU578" i="17"/>
  <c r="AU180" i="17"/>
  <c r="BG539" i="17"/>
  <c r="BG145" i="17"/>
  <c r="AU147" i="17"/>
  <c r="AU410" i="17"/>
  <c r="BI481" i="17"/>
  <c r="BI463" i="17"/>
  <c r="AW483" i="17"/>
  <c r="AW161" i="17"/>
  <c r="BI9" i="17"/>
  <c r="BI537" i="17"/>
  <c r="AV598" i="17"/>
  <c r="AV522" i="17"/>
  <c r="BH530" i="17"/>
  <c r="AV123" i="17"/>
  <c r="AV10" i="17"/>
  <c r="AV561" i="17"/>
  <c r="AW235" i="17"/>
  <c r="AW84" i="17"/>
  <c r="AV78" i="17"/>
  <c r="BI323" i="17"/>
  <c r="BI361" i="17"/>
  <c r="BI315" i="17"/>
  <c r="BI221" i="17"/>
  <c r="BH228" i="17"/>
  <c r="BH398" i="17"/>
  <c r="AU450" i="17"/>
  <c r="AU110" i="17"/>
  <c r="AV352" i="17"/>
  <c r="AV219" i="17"/>
  <c r="BH123" i="17"/>
  <c r="BH10" i="17"/>
  <c r="BG89" i="17"/>
  <c r="BG581" i="17"/>
  <c r="BG37" i="17"/>
  <c r="BG91" i="17"/>
  <c r="BG294" i="17"/>
  <c r="BG237" i="17"/>
  <c r="BG189" i="17"/>
  <c r="BG303" i="17"/>
  <c r="BH546" i="17"/>
  <c r="BH395" i="17"/>
  <c r="BH199" i="17"/>
  <c r="BH218" i="17"/>
  <c r="BI350" i="17"/>
  <c r="BI103" i="17"/>
  <c r="AU481" i="17"/>
  <c r="AU463" i="17"/>
  <c r="AW540" i="17"/>
  <c r="AW53" i="17"/>
  <c r="BG183" i="17"/>
  <c r="BG148" i="17"/>
  <c r="AU303" i="17"/>
  <c r="AU189" i="17"/>
  <c r="BI295" i="17"/>
  <c r="BI181" i="17"/>
  <c r="BI187" i="17"/>
  <c r="BI320" i="17"/>
  <c r="BH245" i="17"/>
  <c r="BH188" i="17"/>
  <c r="AV577" i="17"/>
  <c r="AV69" i="17"/>
  <c r="BH484" i="17"/>
  <c r="BH72" i="17"/>
  <c r="BI483" i="17"/>
  <c r="BI161" i="17"/>
  <c r="AW166" i="17"/>
  <c r="AW414" i="17"/>
  <c r="BG321" i="17"/>
  <c r="BG283" i="17"/>
  <c r="AU273" i="17"/>
  <c r="AU178" i="17"/>
  <c r="BG523" i="17"/>
  <c r="BG88" i="17"/>
  <c r="BG520" i="17"/>
  <c r="BG144" i="17"/>
  <c r="AU605" i="17"/>
  <c r="AU226" i="17"/>
  <c r="BH151" i="17"/>
  <c r="BH376" i="17"/>
  <c r="AV152" i="17"/>
  <c r="AV509" i="17"/>
  <c r="BG203" i="17"/>
  <c r="BG108" i="17"/>
  <c r="AU337" i="17"/>
  <c r="AU109" i="17"/>
  <c r="BG436" i="17"/>
  <c r="BG588" i="17"/>
  <c r="AU183" i="17"/>
  <c r="AU148" i="17"/>
  <c r="AW480" i="17"/>
  <c r="AW216" i="17"/>
  <c r="BI11" i="17"/>
  <c r="BI32" i="17"/>
  <c r="AV524" i="17"/>
  <c r="AV14" i="17"/>
  <c r="AV427" i="17"/>
  <c r="AV13" i="17"/>
  <c r="BH9" i="17"/>
  <c r="BH537" i="17"/>
  <c r="AW222" i="17"/>
  <c r="AW90" i="17"/>
  <c r="BH473" i="17"/>
  <c r="AW314" i="17"/>
  <c r="AW106" i="17"/>
  <c r="AW321" i="17"/>
  <c r="AW283" i="17"/>
  <c r="AV164" i="17"/>
  <c r="AV392" i="17"/>
  <c r="AU446" i="17"/>
  <c r="AU201" i="17"/>
  <c r="AU448" i="17"/>
  <c r="AU468" i="17"/>
  <c r="AV358" i="17"/>
  <c r="AV301" i="17"/>
  <c r="AV349" i="17"/>
  <c r="AV254" i="17"/>
  <c r="AV356" i="17"/>
  <c r="AV128" i="17"/>
  <c r="BH276" i="17"/>
  <c r="BH125" i="17"/>
  <c r="AU432" i="17"/>
  <c r="AU92" i="17"/>
  <c r="AU235" i="17"/>
  <c r="AU84" i="17"/>
  <c r="BG296" i="17"/>
  <c r="BG220" i="17"/>
  <c r="AV547" i="17"/>
  <c r="AV340" i="17"/>
  <c r="BH549" i="17"/>
  <c r="AU131" i="17"/>
  <c r="AV527" i="17"/>
  <c r="AV224" i="17"/>
  <c r="AW353" i="17"/>
  <c r="AW239" i="17"/>
  <c r="BI586" i="17"/>
  <c r="BI359" i="17"/>
  <c r="AU311" i="17"/>
  <c r="AU179" i="17"/>
  <c r="AW245" i="17"/>
  <c r="AW188" i="17"/>
  <c r="AW258" i="17"/>
  <c r="AW182" i="17"/>
  <c r="AV167" i="17"/>
  <c r="AV77" i="17"/>
  <c r="BI169" i="17"/>
  <c r="BI341" i="17"/>
  <c r="BI392" i="17"/>
  <c r="BI164" i="17"/>
  <c r="BG285" i="17"/>
  <c r="AU14" i="17"/>
  <c r="AU524" i="17"/>
  <c r="AU522" i="17"/>
  <c r="AU598" i="17"/>
  <c r="BG205" i="17"/>
  <c r="BG603" i="17"/>
  <c r="AU93" i="17"/>
  <c r="AU604" i="17"/>
  <c r="AV21" i="17"/>
  <c r="AV520" i="17"/>
  <c r="AV144" i="17"/>
  <c r="BG105" i="17"/>
  <c r="BG426" i="17"/>
  <c r="BG577" i="17"/>
  <c r="BG69" i="17"/>
  <c r="BG74" i="17"/>
  <c r="BG149" i="17"/>
  <c r="AW72" i="17"/>
  <c r="AW484" i="17"/>
  <c r="BI485" i="17"/>
  <c r="BI107" i="17"/>
  <c r="BI14" i="17"/>
  <c r="BI524" i="17"/>
  <c r="AW549" i="17"/>
  <c r="BH526" i="17"/>
  <c r="BH17" i="17"/>
  <c r="AV445" i="17"/>
  <c r="AV12" i="17"/>
  <c r="BH510" i="17"/>
  <c r="BH20" i="17"/>
  <c r="AV58" i="17"/>
  <c r="AV338" i="17"/>
  <c r="BI311" i="17"/>
  <c r="BI179" i="17"/>
  <c r="BI397" i="17"/>
  <c r="BI322" i="17"/>
  <c r="AV391" i="17"/>
  <c r="AV297" i="17"/>
  <c r="BG447" i="17"/>
  <c r="BG163" i="17"/>
  <c r="BG442" i="17"/>
  <c r="BG595" i="17"/>
  <c r="BH103" i="17"/>
  <c r="BH350" i="17"/>
  <c r="AV131" i="17"/>
  <c r="AV335" i="17"/>
  <c r="AV126" i="17"/>
  <c r="BG85" i="17"/>
  <c r="BG274" i="17"/>
  <c r="AU295" i="17"/>
  <c r="AU181" i="17"/>
  <c r="AV525" i="17"/>
  <c r="AV543" i="17"/>
  <c r="AV537" i="17"/>
  <c r="AV9" i="17"/>
  <c r="BG125" i="17"/>
  <c r="BG276" i="17"/>
  <c r="AU133" i="17"/>
  <c r="BH227" i="17"/>
  <c r="BH113" i="17"/>
  <c r="AV221" i="17"/>
  <c r="AV315" i="17"/>
  <c r="AU130" i="17"/>
  <c r="AU471" i="17"/>
  <c r="BG448" i="17"/>
  <c r="BG468" i="17"/>
  <c r="AW338" i="17"/>
  <c r="AW58" i="17"/>
  <c r="BG320" i="17"/>
  <c r="BG187" i="17"/>
  <c r="AW393" i="17"/>
  <c r="AW185" i="17"/>
  <c r="AW179" i="17"/>
  <c r="AW311" i="17"/>
  <c r="BH68" i="17"/>
  <c r="BH406" i="17"/>
  <c r="AW423" i="17"/>
  <c r="AW158" i="17"/>
  <c r="AU274" i="17"/>
  <c r="AU85" i="17"/>
  <c r="AU360" i="17"/>
  <c r="AU284" i="17"/>
  <c r="AU521" i="17"/>
  <c r="AU333" i="17"/>
  <c r="BG602" i="17"/>
  <c r="BG469" i="17"/>
  <c r="AV147" i="17"/>
  <c r="AV410" i="17"/>
  <c r="AU103" i="17"/>
  <c r="AU350" i="17"/>
  <c r="BG579" i="17"/>
  <c r="BG313" i="17"/>
  <c r="AU263" i="17"/>
  <c r="AU585" i="17"/>
  <c r="AW491" i="17"/>
  <c r="AW606" i="17"/>
  <c r="BI490" i="17"/>
  <c r="BI453" i="17"/>
  <c r="AW445" i="17"/>
  <c r="AW12" i="17"/>
  <c r="BI339" i="17"/>
  <c r="BI19" i="17"/>
  <c r="AV529" i="17"/>
  <c r="AV434" i="17"/>
  <c r="AV550" i="17"/>
  <c r="BH21" i="17"/>
  <c r="BH524" i="17"/>
  <c r="BH14" i="17"/>
  <c r="AW88" i="17"/>
  <c r="AW523" i="17"/>
  <c r="BI548" i="17"/>
  <c r="BI95" i="17"/>
  <c r="BH143" i="17"/>
  <c r="BH50" i="17"/>
  <c r="AV56" i="17"/>
  <c r="BI318" i="17"/>
  <c r="BI299" i="17"/>
  <c r="BH396" i="17"/>
  <c r="BH207" i="17"/>
  <c r="AV389" i="17"/>
  <c r="AV200" i="17"/>
  <c r="AU607" i="17"/>
  <c r="AU455" i="17"/>
  <c r="BH586" i="17"/>
  <c r="BH359" i="17"/>
  <c r="AV361" i="17"/>
  <c r="AV323" i="17"/>
  <c r="BH471" i="17"/>
  <c r="BH130" i="17"/>
  <c r="AU90" i="17"/>
  <c r="AU222" i="17"/>
  <c r="AU304" i="17"/>
  <c r="AU114" i="17"/>
  <c r="BG297" i="17"/>
  <c r="BG391" i="17"/>
  <c r="AV545" i="17"/>
  <c r="AV488" i="17"/>
  <c r="AV548" i="17"/>
  <c r="AV95" i="17"/>
  <c r="BH205" i="17"/>
  <c r="BH603" i="17"/>
  <c r="AU335" i="17"/>
  <c r="AU126" i="17"/>
  <c r="AU52" i="17"/>
  <c r="AU124" i="17"/>
  <c r="BH90" i="17"/>
  <c r="BH222" i="17"/>
  <c r="AV452" i="17"/>
  <c r="AV225" i="17"/>
  <c r="AW301" i="17"/>
  <c r="AW358" i="17"/>
  <c r="AU467" i="17"/>
  <c r="AU373" i="17"/>
  <c r="AU277" i="17"/>
  <c r="AU466" i="17"/>
  <c r="BG295" i="17"/>
  <c r="BG181" i="17"/>
  <c r="AU258" i="17"/>
  <c r="AU182" i="17"/>
  <c r="BH243" i="17"/>
  <c r="BH262" i="17"/>
  <c r="AV511" i="17"/>
  <c r="BI167" i="17"/>
  <c r="BI77" i="17"/>
  <c r="BI217" i="17"/>
  <c r="BI159" i="17"/>
  <c r="AU125" i="17"/>
  <c r="AU276" i="17"/>
  <c r="AU280" i="17"/>
  <c r="AU261" i="17"/>
  <c r="BG543" i="17"/>
  <c r="BG525" i="17"/>
  <c r="AU528" i="17"/>
  <c r="AU59" i="17"/>
  <c r="AU73" i="17"/>
  <c r="AU600" i="17"/>
  <c r="BH145" i="17"/>
  <c r="BH539" i="17"/>
  <c r="AU227" i="17"/>
  <c r="AU113" i="17"/>
  <c r="BG114" i="17"/>
  <c r="BG304" i="17"/>
  <c r="BG587" i="17"/>
  <c r="BG246" i="17"/>
  <c r="AU21" i="17"/>
  <c r="AU509" i="17"/>
  <c r="AU152" i="17"/>
  <c r="AW377" i="17"/>
  <c r="AW489" i="17"/>
  <c r="AW482" i="17"/>
  <c r="AW388" i="17"/>
  <c r="AU545" i="17"/>
  <c r="AU488" i="17"/>
  <c r="AV432" i="17"/>
  <c r="AV92" i="17"/>
  <c r="BI78" i="17"/>
  <c r="BI484" i="17"/>
  <c r="BI72" i="17"/>
  <c r="BI597" i="17"/>
  <c r="BI370" i="17"/>
  <c r="AW374" i="17"/>
  <c r="AW260" i="17"/>
  <c r="BI396" i="17"/>
  <c r="BI207" i="17"/>
  <c r="BG481" i="17"/>
  <c r="BG463" i="17"/>
  <c r="AU489" i="17"/>
  <c r="AU377" i="17"/>
  <c r="AW159" i="17"/>
  <c r="AW217" i="17"/>
  <c r="AU169" i="17"/>
  <c r="AU341" i="17"/>
  <c r="AW435" i="17"/>
  <c r="AW265" i="17"/>
  <c r="BI182" i="17"/>
  <c r="BI258" i="17"/>
  <c r="BH166" i="17"/>
  <c r="BH414" i="17"/>
  <c r="BH311" i="17"/>
  <c r="BH179" i="17"/>
  <c r="AV579" i="17"/>
  <c r="AV313" i="17"/>
  <c r="BH485" i="17"/>
  <c r="BH107" i="17"/>
  <c r="BH240" i="17"/>
  <c r="BH278" i="17"/>
  <c r="AV280" i="17"/>
  <c r="AV261" i="17"/>
  <c r="AV444" i="17"/>
  <c r="AV408" i="17"/>
  <c r="AV450" i="17"/>
  <c r="AV110" i="17"/>
  <c r="BI523" i="17"/>
  <c r="BI88" i="17"/>
  <c r="BI94" i="17"/>
  <c r="BI40" i="17"/>
  <c r="BI334" i="17"/>
  <c r="BI33" i="17"/>
  <c r="BG538" i="17"/>
  <c r="BG332" i="17"/>
  <c r="AV94" i="17"/>
  <c r="AV40" i="17"/>
  <c r="BI406" i="17"/>
  <c r="BI68" i="17"/>
  <c r="AW376" i="17"/>
  <c r="AW151" i="17"/>
  <c r="BI368" i="17"/>
  <c r="BI310" i="17"/>
  <c r="AW392" i="17"/>
  <c r="AW164" i="17"/>
  <c r="BG492" i="17"/>
  <c r="BG171" i="17"/>
  <c r="AW398" i="17"/>
  <c r="AW228" i="17"/>
  <c r="AU19" i="17"/>
  <c r="AU339" i="17"/>
  <c r="BG335" i="17"/>
  <c r="BG126" i="17"/>
  <c r="BI374" i="17"/>
  <c r="BI260" i="17"/>
  <c r="BI585" i="17"/>
  <c r="BI263" i="17"/>
  <c r="BH323" i="17"/>
  <c r="BH361" i="17"/>
  <c r="AV187" i="17"/>
  <c r="AV320" i="17"/>
  <c r="BH492" i="17"/>
  <c r="BH171" i="17"/>
  <c r="AV480" i="17"/>
  <c r="AV216" i="17"/>
  <c r="AV273" i="17"/>
  <c r="AV178" i="17"/>
  <c r="AV490" i="17"/>
  <c r="AV453" i="17"/>
  <c r="BH595" i="17"/>
  <c r="BH442" i="17"/>
  <c r="AW529" i="17"/>
  <c r="AW434" i="17"/>
  <c r="AW598" i="17"/>
  <c r="AW522" i="17"/>
  <c r="AW91" i="17"/>
  <c r="AW37" i="17"/>
  <c r="AU525" i="17"/>
  <c r="AU543" i="17"/>
  <c r="AU548" i="17"/>
  <c r="AU95" i="17"/>
  <c r="BH91" i="17"/>
  <c r="BH37" i="17"/>
  <c r="BI600" i="17"/>
  <c r="BI73" i="17"/>
  <c r="AW511" i="17"/>
  <c r="BI133" i="17"/>
  <c r="AW504" i="17"/>
  <c r="AW372" i="17"/>
  <c r="AW443" i="17"/>
  <c r="AW387" i="17"/>
  <c r="AU606" i="17"/>
  <c r="AU491" i="17"/>
  <c r="BI352" i="17"/>
  <c r="BI219" i="17"/>
  <c r="BG333" i="17"/>
  <c r="BG521" i="17"/>
  <c r="AU531" i="17"/>
  <c r="AU342" i="17"/>
  <c r="AW262" i="17"/>
  <c r="AW243" i="17"/>
  <c r="AV487" i="17"/>
  <c r="AV413" i="17"/>
  <c r="AV411" i="17"/>
  <c r="AV55" i="17"/>
  <c r="AV606" i="17"/>
  <c r="AV491" i="17"/>
  <c r="BH545" i="17"/>
  <c r="BH488" i="17"/>
  <c r="AV360" i="17"/>
  <c r="AV284" i="17"/>
  <c r="AV584" i="17"/>
  <c r="AV281" i="17"/>
  <c r="AV607" i="17"/>
  <c r="AV455" i="17"/>
  <c r="BI520" i="17"/>
  <c r="BI144" i="17"/>
  <c r="BI433" i="17"/>
  <c r="BI39" i="17"/>
  <c r="AU541" i="17"/>
  <c r="AU34" i="17"/>
  <c r="BG395" i="17"/>
  <c r="BG546" i="17"/>
  <c r="AV266" i="17"/>
  <c r="AV96" i="17"/>
  <c r="BH604" i="17"/>
  <c r="BH93" i="17"/>
  <c r="AW375" i="17"/>
  <c r="AW75" i="17"/>
  <c r="AW386" i="17"/>
  <c r="AW102" i="17"/>
  <c r="BG487" i="17"/>
  <c r="BG413" i="17"/>
  <c r="BG453" i="17"/>
  <c r="BG490" i="17"/>
  <c r="BI227" i="17"/>
  <c r="BI113" i="17"/>
  <c r="AW527" i="17"/>
  <c r="AW224" i="17"/>
  <c r="AU33" i="17"/>
  <c r="AU334" i="17"/>
  <c r="AV406" i="17"/>
  <c r="AV68" i="17"/>
  <c r="BH410" i="17"/>
  <c r="BH147" i="17"/>
  <c r="AV355" i="17"/>
  <c r="AV316" i="17"/>
  <c r="AV483" i="17"/>
  <c r="AV161" i="17"/>
  <c r="BH490" i="17"/>
  <c r="BH453" i="17"/>
  <c r="BH466" i="17"/>
  <c r="BH277" i="17"/>
  <c r="AV446" i="17"/>
  <c r="AV201" i="17"/>
  <c r="AW521" i="17"/>
  <c r="AW333" i="17"/>
  <c r="BI563" i="17"/>
  <c r="BI38" i="17"/>
  <c r="AW429" i="17"/>
  <c r="AW36" i="17"/>
  <c r="AU537" i="17"/>
  <c r="AU9" i="17"/>
  <c r="BG540" i="17"/>
  <c r="BG53" i="17"/>
  <c r="BH548" i="17"/>
  <c r="BH95" i="17"/>
  <c r="AW167" i="17"/>
  <c r="AW77" i="17"/>
  <c r="AW371" i="17"/>
  <c r="AW71" i="17"/>
  <c r="AW454" i="17"/>
  <c r="AW379" i="17"/>
  <c r="BI482" i="17"/>
  <c r="BI388" i="17"/>
  <c r="BI398" i="17"/>
  <c r="BI228" i="17"/>
  <c r="AU483" i="17"/>
  <c r="AU161" i="17"/>
  <c r="BI480" i="17"/>
  <c r="BI216" i="17"/>
  <c r="AU538" i="17"/>
  <c r="AU332" i="17"/>
  <c r="BG556" i="17"/>
  <c r="BG331" i="17"/>
  <c r="AW285" i="17"/>
  <c r="BI280" i="17"/>
  <c r="BI261" i="17"/>
  <c r="AV417" i="17"/>
  <c r="AV132" i="17"/>
  <c r="AV415" i="17"/>
  <c r="AV244" i="17"/>
  <c r="BH322" i="17"/>
  <c r="BH397" i="17"/>
  <c r="AV314" i="17"/>
  <c r="AV106" i="17"/>
  <c r="AV484" i="17"/>
  <c r="AV72" i="17"/>
  <c r="AV482" i="17"/>
  <c r="AV388" i="17"/>
  <c r="AV276" i="17"/>
  <c r="AV125" i="17"/>
  <c r="BH443" i="17"/>
  <c r="BH387" i="17"/>
  <c r="BI525" i="17"/>
  <c r="BI543" i="17"/>
  <c r="AW550" i="17"/>
  <c r="AW11" i="17"/>
  <c r="AW32" i="17"/>
  <c r="BG560" i="17"/>
  <c r="BG542" i="17"/>
  <c r="BG550" i="17"/>
  <c r="AV523" i="17"/>
  <c r="AV88" i="17"/>
  <c r="AV86" i="17"/>
  <c r="AV558" i="17"/>
  <c r="AW149" i="17"/>
  <c r="AW74" i="17"/>
  <c r="AW69" i="17"/>
  <c r="AW577" i="17"/>
  <c r="AW472" i="17"/>
  <c r="AW378" i="17"/>
  <c r="BI489" i="17"/>
  <c r="BI377" i="17"/>
  <c r="BI599" i="17"/>
  <c r="BI390" i="17"/>
  <c r="AW322" i="17"/>
  <c r="AW397" i="17"/>
  <c r="AU480" i="17"/>
  <c r="AU216" i="17"/>
  <c r="BG545" i="17"/>
  <c r="BG488" i="17"/>
  <c r="AW315" i="17"/>
  <c r="AW221" i="17"/>
  <c r="AW296" i="17"/>
  <c r="AW220" i="17"/>
  <c r="BG338" i="17"/>
  <c r="BG58" i="17"/>
  <c r="BG337" i="17"/>
  <c r="BG109" i="17"/>
  <c r="AW566" i="17"/>
  <c r="AW264" i="17"/>
  <c r="AW255" i="17"/>
  <c r="AW293" i="17"/>
  <c r="AV596" i="17"/>
  <c r="AV407" i="17"/>
  <c r="BH502" i="17"/>
  <c r="BH312" i="17"/>
  <c r="BH315" i="17"/>
  <c r="BH221" i="17"/>
  <c r="BH463" i="17"/>
  <c r="BH481" i="17"/>
  <c r="BH487" i="17"/>
  <c r="BH413" i="17"/>
  <c r="BH285" i="17"/>
  <c r="BH565" i="17"/>
  <c r="BH282" i="17"/>
  <c r="BH447" i="17"/>
  <c r="BH163" i="17"/>
  <c r="BH452" i="17"/>
  <c r="BH225" i="17"/>
  <c r="AW14" i="17"/>
  <c r="AW524" i="17"/>
  <c r="BI530" i="17"/>
  <c r="BI541" i="17"/>
  <c r="BI34" i="17"/>
  <c r="AW569" i="17"/>
  <c r="BG549" i="17"/>
  <c r="AU539" i="17"/>
  <c r="AU145" i="17"/>
  <c r="AV222" i="17"/>
  <c r="AV90" i="17"/>
  <c r="BH581" i="17"/>
  <c r="BH89" i="17"/>
  <c r="BI371" i="17"/>
  <c r="BI71" i="17"/>
  <c r="BI467" i="17"/>
  <c r="BI373" i="17"/>
  <c r="AW389" i="17"/>
  <c r="AW200" i="17"/>
  <c r="AW391" i="17"/>
  <c r="AW297" i="17"/>
  <c r="AU482" i="17"/>
  <c r="AU388" i="17"/>
  <c r="BI222" i="17"/>
  <c r="BI90" i="17"/>
  <c r="BI605" i="17"/>
  <c r="BI226" i="17"/>
  <c r="AU506" i="17"/>
  <c r="BI257" i="17"/>
  <c r="BI238" i="17"/>
  <c r="BI254" i="17"/>
  <c r="BI349" i="17"/>
  <c r="AV465" i="17"/>
  <c r="AV409" i="17"/>
  <c r="AV283" i="17"/>
  <c r="AV321" i="17"/>
  <c r="AV310" i="17"/>
  <c r="AV368" i="17"/>
  <c r="AV274" i="17"/>
  <c r="AV85" i="17"/>
  <c r="BH445" i="17"/>
  <c r="BH12" i="17"/>
  <c r="AW528" i="17"/>
  <c r="AW59" i="17"/>
  <c r="BI526" i="17"/>
  <c r="BI17" i="17"/>
  <c r="AW530" i="17"/>
  <c r="AU547" i="17"/>
  <c r="AU340" i="17"/>
  <c r="BH274" i="17"/>
  <c r="BH85" i="17"/>
  <c r="AV235" i="17"/>
  <c r="AV84" i="17"/>
  <c r="BI186" i="17"/>
  <c r="BI76" i="17"/>
  <c r="BI75" i="17"/>
  <c r="BI375" i="17"/>
  <c r="AW546" i="17"/>
  <c r="AW395" i="17"/>
  <c r="BI393" i="17"/>
  <c r="BI185" i="17"/>
  <c r="AU484" i="17"/>
  <c r="AU72" i="17"/>
  <c r="BG485" i="17"/>
  <c r="BG107" i="17"/>
  <c r="BI199" i="17"/>
  <c r="BI218" i="17"/>
  <c r="AW452" i="17"/>
  <c r="AW225" i="17"/>
  <c r="BG340" i="17"/>
  <c r="BG547" i="17"/>
  <c r="BI266" i="17"/>
  <c r="BI96" i="17"/>
  <c r="AW505" i="17"/>
  <c r="AW259" i="17"/>
  <c r="BH408" i="17"/>
  <c r="BH444" i="17"/>
  <c r="BH416" i="17"/>
  <c r="BH302" i="17"/>
  <c r="BH299" i="17"/>
  <c r="BH318" i="17"/>
  <c r="AV489" i="17"/>
  <c r="AV377" i="17"/>
  <c r="BH321" i="17"/>
  <c r="BH283" i="17"/>
  <c r="BH425" i="17"/>
  <c r="BH275" i="17"/>
  <c r="AV448" i="17"/>
  <c r="AV468" i="17"/>
  <c r="BH454" i="17"/>
  <c r="BH379" i="17"/>
  <c r="BI527" i="17"/>
  <c r="BI224" i="17"/>
  <c r="BI531" i="17"/>
  <c r="BI342" i="17"/>
  <c r="AW236" i="17"/>
  <c r="AW31" i="17"/>
  <c r="BI30" i="17"/>
  <c r="BI576" i="17"/>
  <c r="U61" i="17" l="1"/>
  <c r="AC304" i="17"/>
  <c r="AC114" i="17"/>
  <c r="AC568" i="17"/>
  <c r="AC247" i="17"/>
  <c r="AC322" i="17"/>
  <c r="AC397" i="17"/>
  <c r="AC454" i="17"/>
  <c r="AC379" i="17"/>
  <c r="AC453" i="17"/>
  <c r="AC490" i="17"/>
  <c r="AC340" i="17"/>
  <c r="AC547" i="17"/>
  <c r="AC529" i="17"/>
  <c r="AC434" i="17"/>
  <c r="AC378" i="17"/>
  <c r="AC472" i="17"/>
  <c r="AC528" i="17"/>
  <c r="AC59" i="17"/>
  <c r="AC413" i="17"/>
  <c r="AC487" i="17"/>
  <c r="AC356" i="17"/>
  <c r="AC128" i="17"/>
  <c r="AC75" i="17"/>
  <c r="AC375" i="17"/>
  <c r="AC261" i="17"/>
  <c r="AC280" i="17"/>
  <c r="W545" i="17"/>
  <c r="W488" i="17"/>
  <c r="AC447" i="17"/>
  <c r="AC163" i="17"/>
  <c r="AC130" i="17"/>
  <c r="AC471" i="17"/>
  <c r="AC23" i="18"/>
  <c r="W427" i="17"/>
  <c r="W13" i="17"/>
  <c r="AC443" i="17"/>
  <c r="AC387" i="17"/>
  <c r="AC38" i="17"/>
  <c r="AC563" i="17"/>
  <c r="AC10" i="17"/>
  <c r="AC123" i="17"/>
  <c r="AC468" i="17"/>
  <c r="AC448" i="17"/>
  <c r="AB70" i="17"/>
  <c r="W55" i="17"/>
  <c r="W411" i="17"/>
  <c r="AC546" i="17"/>
  <c r="AC395" i="17"/>
  <c r="AC225" i="17"/>
  <c r="AC452" i="17"/>
  <c r="AC58" i="17"/>
  <c r="AC338" i="17"/>
  <c r="AC603" i="17"/>
  <c r="AC205" i="17"/>
  <c r="AC470" i="17"/>
  <c r="AC357" i="17"/>
  <c r="AC376" i="17"/>
  <c r="AC151" i="17"/>
  <c r="AC108" i="17"/>
  <c r="AC203" i="17"/>
  <c r="AC561" i="17"/>
  <c r="AC202" i="17"/>
  <c r="AC354" i="17"/>
  <c r="AC391" i="17"/>
  <c r="AC297" i="17"/>
  <c r="AC581" i="17"/>
  <c r="AC89" i="17"/>
  <c r="AC181" i="17"/>
  <c r="AC295" i="17"/>
  <c r="AC293" i="17"/>
  <c r="AC255" i="17"/>
  <c r="AC311" i="17"/>
  <c r="AC179" i="17"/>
  <c r="AC372" i="17"/>
  <c r="AC504" i="17"/>
  <c r="AC147" i="17"/>
  <c r="AC410" i="17"/>
  <c r="AC523" i="17"/>
  <c r="AC88" i="17"/>
  <c r="AC126" i="17"/>
  <c r="AC335" i="17"/>
  <c r="AC559" i="17"/>
  <c r="AC580" i="17"/>
  <c r="AC599" i="17"/>
  <c r="AC390" i="17"/>
  <c r="AC102" i="17"/>
  <c r="AC386" i="17"/>
  <c r="W158" i="17"/>
  <c r="W423" i="17"/>
  <c r="W520" i="17"/>
  <c r="W144" i="17"/>
  <c r="W178" i="17"/>
  <c r="W273" i="17"/>
  <c r="W577" i="17"/>
  <c r="W69" i="17"/>
  <c r="W350" i="17"/>
  <c r="W103" i="17"/>
  <c r="W349" i="17"/>
  <c r="W254" i="17"/>
  <c r="AC409" i="17"/>
  <c r="AC465" i="17"/>
  <c r="AC540" i="17"/>
  <c r="AC53" i="17"/>
  <c r="AC522" i="17"/>
  <c r="AC598" i="17"/>
  <c r="AC200" i="17"/>
  <c r="AC389" i="17"/>
  <c r="AC578" i="17"/>
  <c r="AC180" i="17"/>
  <c r="AC539" i="17"/>
  <c r="AC145" i="17"/>
  <c r="AC408" i="17"/>
  <c r="AC444" i="17"/>
  <c r="AC85" i="17"/>
  <c r="AC274" i="17"/>
  <c r="AC576" i="17"/>
  <c r="AC30" i="17"/>
  <c r="AC84" i="17"/>
  <c r="AC235" i="17"/>
  <c r="AC216" i="17"/>
  <c r="AC480" i="17"/>
  <c r="AC233" i="17"/>
  <c r="AC554" i="17"/>
  <c r="AC82" i="17"/>
  <c r="AC100" i="17"/>
  <c r="AC176" i="17"/>
  <c r="W309" i="17"/>
  <c r="W195" i="17"/>
  <c r="W421" i="17"/>
  <c r="W327" i="17"/>
  <c r="AC348" i="17"/>
  <c r="AC385" i="17"/>
  <c r="AC309" i="17"/>
  <c r="AC195" i="17"/>
  <c r="AC156" i="17"/>
  <c r="AC593" i="17"/>
  <c r="W499" i="17"/>
  <c r="W518" i="17"/>
  <c r="AC48" i="17"/>
  <c r="AC7" i="17"/>
  <c r="W253" i="17"/>
  <c r="W29" i="17"/>
  <c r="AC460" i="17"/>
  <c r="AC440" i="17"/>
  <c r="AC66" i="17"/>
  <c r="AC120" i="17"/>
  <c r="AC517" i="17"/>
  <c r="AC574" i="17"/>
  <c r="AC252" i="17"/>
  <c r="W478" i="17"/>
  <c r="W28" i="17"/>
  <c r="AC366" i="17"/>
  <c r="AC404" i="17"/>
  <c r="AC347" i="17"/>
  <c r="AC290" i="17"/>
  <c r="AC575" i="17"/>
  <c r="AC272" i="17"/>
  <c r="AC13" i="17" l="1"/>
  <c r="AC427" i="17"/>
  <c r="AC488" i="17"/>
  <c r="AC545" i="17"/>
  <c r="AC411" i="17"/>
  <c r="AC55" i="17"/>
  <c r="AC505" i="17"/>
  <c r="AC259" i="17"/>
  <c r="AC183" i="17"/>
  <c r="AC148" i="17"/>
  <c r="AB162" i="17"/>
  <c r="AB146" i="17"/>
  <c r="AC103" i="17"/>
  <c r="AC350" i="17"/>
  <c r="AC349" i="17"/>
  <c r="AC254" i="17"/>
  <c r="AC158" i="17"/>
  <c r="AC423" i="17"/>
  <c r="AC577" i="17"/>
  <c r="AC69" i="17"/>
  <c r="AC273" i="17"/>
  <c r="AC178" i="17"/>
  <c r="AC271" i="17"/>
  <c r="AC421" i="17"/>
  <c r="AC327" i="17"/>
  <c r="AC499" i="17"/>
  <c r="AC518" i="17"/>
  <c r="AC253" i="17"/>
  <c r="AC29" i="17"/>
  <c r="AC478" i="17"/>
  <c r="AC28" i="17"/>
  <c r="AC535" i="17"/>
  <c r="AC498" i="17"/>
  <c r="AC198" i="17" l="1"/>
  <c r="AC462" i="17" l="1"/>
  <c r="AC70" i="17" l="1"/>
  <c r="AC146" i="17" l="1"/>
  <c r="AC162" i="17"/>
  <c r="G178" i="4" l="1"/>
  <c r="G36" i="4"/>
  <c r="CB45" i="13" l="1"/>
  <c r="AK46" i="13"/>
  <c r="AS46" i="13"/>
  <c r="AI46" i="13"/>
  <c r="AI47" i="13"/>
  <c r="A398" i="17"/>
  <c r="A40" i="17"/>
  <c r="A569" i="17"/>
  <c r="A133" i="17" l="1"/>
  <c r="A59" i="17"/>
  <c r="A114" i="17"/>
  <c r="A417" i="17"/>
  <c r="A190" i="17" l="1"/>
  <c r="A323" i="17"/>
  <c r="A228" i="17" l="1"/>
  <c r="A209" i="17"/>
  <c r="A78" i="17" l="1"/>
  <c r="A361" i="17"/>
  <c r="A304" i="17"/>
  <c r="A247" i="17" l="1"/>
  <c r="A266" i="17"/>
  <c r="A474" i="17"/>
  <c r="A379" i="17"/>
  <c r="A96" i="17" l="1"/>
  <c r="A436" i="17"/>
  <c r="A455" i="17" l="1"/>
  <c r="A492" i="17"/>
  <c r="A512" i="17" l="1"/>
  <c r="A152" i="17"/>
  <c r="A531" i="17" l="1"/>
  <c r="A21" i="17"/>
  <c r="A342" i="17" l="1"/>
  <c r="A550" i="17"/>
  <c r="A588" i="17" l="1"/>
  <c r="A607" i="17"/>
  <c r="A171" i="1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Rawden, Dave</author>
  </authors>
  <commentList>
    <comment ref="P122" authorId="0" shapeId="0" xr:uid="{00000000-0006-0000-1200-000001000000}">
      <text>
        <r>
          <rPr>
            <b/>
            <sz val="9"/>
            <color indexed="81"/>
            <rFont val="Tahoma"/>
            <family val="2"/>
          </rPr>
          <t>Rawden, Dave:</t>
        </r>
        <r>
          <rPr>
            <sz val="9"/>
            <color indexed="81"/>
            <rFont val="Tahoma"/>
            <family val="2"/>
          </rPr>
          <t xml:space="preserve">
@if(+</t>
        </r>
      </text>
    </comment>
    <comment ref="P123" authorId="0" shapeId="0" xr:uid="{00000000-0006-0000-1200-000002000000}">
      <text>
        <r>
          <rPr>
            <b/>
            <sz val="9"/>
            <color indexed="81"/>
            <rFont val="Tahoma"/>
            <family val="2"/>
          </rPr>
          <t>Rawden, Dave:</t>
        </r>
        <r>
          <rPr>
            <sz val="9"/>
            <color indexed="81"/>
            <rFont val="Tahoma"/>
            <family val="2"/>
          </rPr>
          <t xml:space="preserve">
@if(+</t>
        </r>
      </text>
    </comment>
    <comment ref="P124" authorId="0" shapeId="0" xr:uid="{00000000-0006-0000-1200-000003000000}">
      <text>
        <r>
          <rPr>
            <b/>
            <sz val="9"/>
            <color indexed="81"/>
            <rFont val="Tahoma"/>
            <family val="2"/>
          </rPr>
          <t>Rawden, Dave:</t>
        </r>
        <r>
          <rPr>
            <sz val="9"/>
            <color indexed="81"/>
            <rFont val="Tahoma"/>
            <family val="2"/>
          </rPr>
          <t xml:space="preserve">
@if(+</t>
        </r>
      </text>
    </comment>
    <comment ref="P125" authorId="0" shapeId="0" xr:uid="{00000000-0006-0000-1200-000004000000}">
      <text>
        <r>
          <rPr>
            <b/>
            <sz val="9"/>
            <color indexed="81"/>
            <rFont val="Tahoma"/>
            <family val="2"/>
          </rPr>
          <t>Rawden, Dave:</t>
        </r>
        <r>
          <rPr>
            <sz val="9"/>
            <color indexed="81"/>
            <rFont val="Tahoma"/>
            <family val="2"/>
          </rPr>
          <t xml:space="preserve">
@if(+</t>
        </r>
      </text>
    </comment>
    <comment ref="P126" authorId="0" shapeId="0" xr:uid="{00000000-0006-0000-1200-000005000000}">
      <text>
        <r>
          <rPr>
            <b/>
            <sz val="9"/>
            <color indexed="81"/>
            <rFont val="Tahoma"/>
            <family val="2"/>
          </rPr>
          <t>Rawden, Dave:</t>
        </r>
        <r>
          <rPr>
            <sz val="9"/>
            <color indexed="81"/>
            <rFont val="Tahoma"/>
            <family val="2"/>
          </rPr>
          <t xml:space="preserve">
@if(+</t>
        </r>
      </text>
    </comment>
    <comment ref="P143" authorId="0" shapeId="0" xr:uid="{00000000-0006-0000-1200-000006000000}">
      <text>
        <r>
          <rPr>
            <b/>
            <sz val="9"/>
            <color indexed="81"/>
            <rFont val="Tahoma"/>
            <family val="2"/>
          </rPr>
          <t>Rawden, Dave:</t>
        </r>
        <r>
          <rPr>
            <sz val="9"/>
            <color indexed="81"/>
            <rFont val="Tahoma"/>
            <family val="2"/>
          </rPr>
          <t xml:space="preserve">
@if(+</t>
        </r>
      </text>
    </comment>
    <comment ref="P144" authorId="0" shapeId="0" xr:uid="{00000000-0006-0000-1200-000007000000}">
      <text>
        <r>
          <rPr>
            <b/>
            <sz val="9"/>
            <color indexed="81"/>
            <rFont val="Tahoma"/>
            <family val="2"/>
          </rPr>
          <t>Rawden, Dave:</t>
        </r>
        <r>
          <rPr>
            <sz val="9"/>
            <color indexed="81"/>
            <rFont val="Tahoma"/>
            <family val="2"/>
          </rPr>
          <t xml:space="preserve">
@if(+</t>
        </r>
      </text>
    </comment>
    <comment ref="P145" authorId="0" shapeId="0" xr:uid="{00000000-0006-0000-1200-000008000000}">
      <text>
        <r>
          <rPr>
            <b/>
            <sz val="9"/>
            <color indexed="81"/>
            <rFont val="Tahoma"/>
            <family val="2"/>
          </rPr>
          <t>Rawden, Dave:</t>
        </r>
        <r>
          <rPr>
            <sz val="9"/>
            <color indexed="81"/>
            <rFont val="Tahoma"/>
            <family val="2"/>
          </rPr>
          <t xml:space="preserve">
@if(+</t>
        </r>
      </text>
    </comment>
    <comment ref="P146" authorId="0" shapeId="0" xr:uid="{00000000-0006-0000-1200-000009000000}">
      <text>
        <r>
          <rPr>
            <b/>
            <sz val="9"/>
            <color indexed="81"/>
            <rFont val="Tahoma"/>
            <family val="2"/>
          </rPr>
          <t>Rawden, Dave:</t>
        </r>
        <r>
          <rPr>
            <sz val="9"/>
            <color indexed="81"/>
            <rFont val="Tahoma"/>
            <family val="2"/>
          </rPr>
          <t xml:space="preserve">
@if(+</t>
        </r>
      </text>
    </comment>
    <comment ref="P162" authorId="0" shapeId="0" xr:uid="{00000000-0006-0000-1200-00000A000000}">
      <text>
        <r>
          <rPr>
            <b/>
            <sz val="9"/>
            <color indexed="81"/>
            <rFont val="Tahoma"/>
            <family val="2"/>
          </rPr>
          <t>Rawden, Dave:</t>
        </r>
        <r>
          <rPr>
            <sz val="9"/>
            <color indexed="81"/>
            <rFont val="Tahoma"/>
            <family val="2"/>
          </rPr>
          <t xml:space="preserve">
@if(+</t>
        </r>
      </text>
    </comment>
    <comment ref="P163" authorId="0" shapeId="0" xr:uid="{00000000-0006-0000-1200-00000B000000}">
      <text>
        <r>
          <rPr>
            <b/>
            <sz val="9"/>
            <color indexed="81"/>
            <rFont val="Tahoma"/>
            <family val="2"/>
          </rPr>
          <t>Rawden, Dave:</t>
        </r>
        <r>
          <rPr>
            <sz val="9"/>
            <color indexed="81"/>
            <rFont val="Tahoma"/>
            <family val="2"/>
          </rPr>
          <t xml:space="preserve">
@if(+</t>
        </r>
      </text>
    </comment>
    <comment ref="P164" authorId="0" shapeId="0" xr:uid="{00000000-0006-0000-1200-00000C000000}">
      <text>
        <r>
          <rPr>
            <b/>
            <sz val="9"/>
            <color indexed="81"/>
            <rFont val="Tahoma"/>
            <family val="2"/>
          </rPr>
          <t>Rawden, Dave:</t>
        </r>
        <r>
          <rPr>
            <sz val="9"/>
            <color indexed="81"/>
            <rFont val="Tahoma"/>
            <family val="2"/>
          </rPr>
          <t xml:space="preserve">
@if(+</t>
        </r>
      </text>
    </comment>
    <comment ref="P165" authorId="0" shapeId="0" xr:uid="{00000000-0006-0000-1200-00000D000000}">
      <text>
        <r>
          <rPr>
            <b/>
            <sz val="9"/>
            <color indexed="81"/>
            <rFont val="Tahoma"/>
            <family val="2"/>
          </rPr>
          <t>Rawden, Dave:</t>
        </r>
        <r>
          <rPr>
            <sz val="9"/>
            <color indexed="81"/>
            <rFont val="Tahoma"/>
            <family val="2"/>
          </rPr>
          <t xml:space="preserve">
@if(+</t>
        </r>
      </text>
    </comment>
    <comment ref="P185" authorId="0" shapeId="0" xr:uid="{00000000-0006-0000-1200-00000E000000}">
      <text>
        <r>
          <rPr>
            <b/>
            <sz val="9"/>
            <color indexed="81"/>
            <rFont val="Tahoma"/>
            <family val="2"/>
          </rPr>
          <t>Rawden, Dave:</t>
        </r>
        <r>
          <rPr>
            <sz val="9"/>
            <color indexed="81"/>
            <rFont val="Tahoma"/>
            <family val="2"/>
          </rPr>
          <t xml:space="preserve">
@if(+</t>
        </r>
      </text>
    </comment>
    <comment ref="P186" authorId="0" shapeId="0" xr:uid="{00000000-0006-0000-1200-00000F000000}">
      <text>
        <r>
          <rPr>
            <b/>
            <sz val="9"/>
            <color indexed="81"/>
            <rFont val="Tahoma"/>
            <family val="2"/>
          </rPr>
          <t>Rawden, Dave:</t>
        </r>
        <r>
          <rPr>
            <sz val="9"/>
            <color indexed="81"/>
            <rFont val="Tahoma"/>
            <family val="2"/>
          </rPr>
          <t xml:space="preserve">
@if(+</t>
        </r>
      </text>
    </comment>
    <comment ref="P187" authorId="0" shapeId="0" xr:uid="{00000000-0006-0000-1200-000010000000}">
      <text>
        <r>
          <rPr>
            <b/>
            <sz val="9"/>
            <color indexed="81"/>
            <rFont val="Tahoma"/>
            <family val="2"/>
          </rPr>
          <t>Rawden, Dave:</t>
        </r>
        <r>
          <rPr>
            <sz val="9"/>
            <color indexed="81"/>
            <rFont val="Tahoma"/>
            <family val="2"/>
          </rPr>
          <t xml:space="preserve">
@if(+</t>
        </r>
      </text>
    </comment>
    <comment ref="P188" authorId="0" shapeId="0" xr:uid="{00000000-0006-0000-1200-000011000000}">
      <text>
        <r>
          <rPr>
            <b/>
            <sz val="9"/>
            <color indexed="81"/>
            <rFont val="Tahoma"/>
            <family val="2"/>
          </rPr>
          <t>Rawden, Dave:</t>
        </r>
        <r>
          <rPr>
            <sz val="9"/>
            <color indexed="81"/>
            <rFont val="Tahoma"/>
            <family val="2"/>
          </rPr>
          <t xml:space="preserve">
@if(+</t>
        </r>
      </text>
    </comment>
    <comment ref="P209" authorId="0" shapeId="0" xr:uid="{00000000-0006-0000-1200-000012000000}">
      <text>
        <r>
          <rPr>
            <b/>
            <sz val="9"/>
            <color indexed="81"/>
            <rFont val="Tahoma"/>
            <family val="2"/>
          </rPr>
          <t>Rawden, Dave:</t>
        </r>
        <r>
          <rPr>
            <sz val="9"/>
            <color indexed="81"/>
            <rFont val="Tahoma"/>
            <family val="2"/>
          </rPr>
          <t xml:space="preserve">
@if(+</t>
        </r>
      </text>
    </comment>
    <comment ref="P210" authorId="0" shapeId="0" xr:uid="{00000000-0006-0000-1200-000013000000}">
      <text>
        <r>
          <rPr>
            <b/>
            <sz val="9"/>
            <color indexed="81"/>
            <rFont val="Tahoma"/>
            <family val="2"/>
          </rPr>
          <t>Rawden, Dave:</t>
        </r>
        <r>
          <rPr>
            <sz val="9"/>
            <color indexed="81"/>
            <rFont val="Tahoma"/>
            <family val="2"/>
          </rPr>
          <t xml:space="preserve">
@if(+</t>
        </r>
      </text>
    </comment>
    <comment ref="P211" authorId="0" shapeId="0" xr:uid="{00000000-0006-0000-1200-000014000000}">
      <text>
        <r>
          <rPr>
            <b/>
            <sz val="9"/>
            <color indexed="81"/>
            <rFont val="Tahoma"/>
            <family val="2"/>
          </rPr>
          <t>Rawden, Dave:</t>
        </r>
        <r>
          <rPr>
            <sz val="9"/>
            <color indexed="81"/>
            <rFont val="Tahoma"/>
            <family val="2"/>
          </rPr>
          <t xml:space="preserve">
@if(+</t>
        </r>
      </text>
    </comment>
    <comment ref="P212" authorId="0" shapeId="0" xr:uid="{00000000-0006-0000-1200-000015000000}">
      <text>
        <r>
          <rPr>
            <b/>
            <sz val="9"/>
            <color indexed="81"/>
            <rFont val="Tahoma"/>
            <family val="2"/>
          </rPr>
          <t>Rawden, Dave:</t>
        </r>
        <r>
          <rPr>
            <sz val="9"/>
            <color indexed="81"/>
            <rFont val="Tahoma"/>
            <family val="2"/>
          </rPr>
          <t xml:space="preserve">
@if(+</t>
        </r>
      </text>
    </comment>
    <comment ref="P231" authorId="0" shapeId="0" xr:uid="{00000000-0006-0000-1200-000016000000}">
      <text>
        <r>
          <rPr>
            <b/>
            <sz val="9"/>
            <color indexed="81"/>
            <rFont val="Tahoma"/>
            <family val="2"/>
          </rPr>
          <t>Rawden, Dave:</t>
        </r>
        <r>
          <rPr>
            <sz val="9"/>
            <color indexed="81"/>
            <rFont val="Tahoma"/>
            <family val="2"/>
          </rPr>
          <t xml:space="preserve">
@if(+</t>
        </r>
      </text>
    </comment>
    <comment ref="P232" authorId="0" shapeId="0" xr:uid="{00000000-0006-0000-1200-000017000000}">
      <text>
        <r>
          <rPr>
            <b/>
            <sz val="9"/>
            <color indexed="81"/>
            <rFont val="Tahoma"/>
            <family val="2"/>
          </rPr>
          <t>Rawden, Dave:</t>
        </r>
        <r>
          <rPr>
            <sz val="9"/>
            <color indexed="81"/>
            <rFont val="Tahoma"/>
            <family val="2"/>
          </rPr>
          <t xml:space="preserve">
@if(+</t>
        </r>
      </text>
    </comment>
    <comment ref="P233" authorId="0" shapeId="0" xr:uid="{00000000-0006-0000-1200-000018000000}">
      <text>
        <r>
          <rPr>
            <b/>
            <sz val="9"/>
            <color indexed="81"/>
            <rFont val="Tahoma"/>
            <family val="2"/>
          </rPr>
          <t>Rawden, Dave:</t>
        </r>
        <r>
          <rPr>
            <sz val="9"/>
            <color indexed="81"/>
            <rFont val="Tahoma"/>
            <family val="2"/>
          </rPr>
          <t xml:space="preserve">
@if(+</t>
        </r>
      </text>
    </comment>
    <comment ref="P234" authorId="0" shapeId="0" xr:uid="{00000000-0006-0000-1200-000019000000}">
      <text>
        <r>
          <rPr>
            <b/>
            <sz val="9"/>
            <color indexed="81"/>
            <rFont val="Tahoma"/>
            <family val="2"/>
          </rPr>
          <t>Rawden, Dave:</t>
        </r>
        <r>
          <rPr>
            <sz val="9"/>
            <color indexed="81"/>
            <rFont val="Tahoma"/>
            <family val="2"/>
          </rPr>
          <t xml:space="preserve">
@if(+</t>
        </r>
      </text>
    </comment>
    <comment ref="P255" authorId="0" shapeId="0" xr:uid="{00000000-0006-0000-1200-00001A000000}">
      <text>
        <r>
          <rPr>
            <b/>
            <sz val="9"/>
            <color indexed="81"/>
            <rFont val="Tahoma"/>
            <family val="2"/>
          </rPr>
          <t>Rawden, Dave:</t>
        </r>
        <r>
          <rPr>
            <sz val="9"/>
            <color indexed="81"/>
            <rFont val="Tahoma"/>
            <family val="2"/>
          </rPr>
          <t xml:space="preserve">
@if(+</t>
        </r>
      </text>
    </comment>
    <comment ref="P256" authorId="0" shapeId="0" xr:uid="{00000000-0006-0000-1200-00001B000000}">
      <text>
        <r>
          <rPr>
            <b/>
            <sz val="9"/>
            <color indexed="81"/>
            <rFont val="Tahoma"/>
            <family val="2"/>
          </rPr>
          <t>Rawden, Dave:</t>
        </r>
        <r>
          <rPr>
            <sz val="9"/>
            <color indexed="81"/>
            <rFont val="Tahoma"/>
            <family val="2"/>
          </rPr>
          <t xml:space="preserve">
@if(+</t>
        </r>
      </text>
    </comment>
    <comment ref="P257" authorId="0" shapeId="0" xr:uid="{00000000-0006-0000-1200-00001C000000}">
      <text>
        <r>
          <rPr>
            <b/>
            <sz val="9"/>
            <color indexed="81"/>
            <rFont val="Tahoma"/>
            <family val="2"/>
          </rPr>
          <t>Rawden, Dave:</t>
        </r>
        <r>
          <rPr>
            <sz val="9"/>
            <color indexed="81"/>
            <rFont val="Tahoma"/>
            <family val="2"/>
          </rPr>
          <t xml:space="preserve">
@if(+</t>
        </r>
      </text>
    </comment>
    <comment ref="P352" authorId="0" shapeId="0" xr:uid="{00000000-0006-0000-1200-00001D000000}">
      <text>
        <r>
          <rPr>
            <b/>
            <sz val="9"/>
            <color indexed="81"/>
            <rFont val="Tahoma"/>
            <family val="2"/>
          </rPr>
          <t>Rawden, Dave:</t>
        </r>
        <r>
          <rPr>
            <sz val="9"/>
            <color indexed="81"/>
            <rFont val="Tahoma"/>
            <family val="2"/>
          </rPr>
          <t xml:space="preserve">
@if(+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<sst xmlns="http://schemas.openxmlformats.org/spreadsheetml/2006/main" count="8797" uniqueCount="557">
  <si>
    <t>Over / Under</t>
  </si>
  <si>
    <t>Potentials</t>
  </si>
  <si>
    <t>Location</t>
  </si>
  <si>
    <t>Actual Score</t>
  </si>
  <si>
    <t>Vs Spread</t>
  </si>
  <si>
    <t>Best Bet</t>
  </si>
  <si>
    <t>Away</t>
  </si>
  <si>
    <t>Total</t>
  </si>
  <si>
    <t>Home</t>
  </si>
  <si>
    <t>Sagarin Rating</t>
  </si>
  <si>
    <t>Week</t>
  </si>
  <si>
    <t>Day</t>
  </si>
  <si>
    <t>Date</t>
  </si>
  <si>
    <t>Time EST</t>
  </si>
  <si>
    <t>Network</t>
  </si>
  <si>
    <t>League</t>
  </si>
  <si>
    <t>Favorite</t>
  </si>
  <si>
    <t>Underdog</t>
  </si>
  <si>
    <t>Spread</t>
  </si>
  <si>
    <t>O/U</t>
  </si>
  <si>
    <t>Winner</t>
  </si>
  <si>
    <t>Loser</t>
  </si>
  <si>
    <t>BBofG</t>
  </si>
  <si>
    <t>W/L</t>
  </si>
  <si>
    <t>CFN</t>
  </si>
  <si>
    <t>Me</t>
  </si>
  <si>
    <t>Pick</t>
  </si>
  <si>
    <t>BET</t>
  </si>
  <si>
    <t>WIN</t>
  </si>
  <si>
    <t>Score Previous Year</t>
  </si>
  <si>
    <t>Visitors</t>
  </si>
  <si>
    <t>W</t>
  </si>
  <si>
    <t>L</t>
  </si>
  <si>
    <t>T</t>
  </si>
  <si>
    <t>Sat</t>
  </si>
  <si>
    <t>ESPN</t>
  </si>
  <si>
    <t>Stanford</t>
  </si>
  <si>
    <t>P12</t>
  </si>
  <si>
    <t>Rice</t>
  </si>
  <si>
    <t>CUSA</t>
  </si>
  <si>
    <t>1AA Portland State</t>
  </si>
  <si>
    <t>1AA</t>
  </si>
  <si>
    <t>BYU</t>
  </si>
  <si>
    <t>Ind</t>
  </si>
  <si>
    <t>Hawaii</t>
  </si>
  <si>
    <t>MWC</t>
  </si>
  <si>
    <t>Massachusetts</t>
  </si>
  <si>
    <t>Oregon State</t>
  </si>
  <si>
    <t>Colorado State</t>
  </si>
  <si>
    <t>South Florida</t>
  </si>
  <si>
    <t>AAC</t>
  </si>
  <si>
    <t>San Jose State</t>
  </si>
  <si>
    <t>Thurs</t>
  </si>
  <si>
    <t>espn3</t>
  </si>
  <si>
    <t>1AA Austin Peay</t>
  </si>
  <si>
    <t>Cincinnati</t>
  </si>
  <si>
    <t>1AA Holy Cross</t>
  </si>
  <si>
    <t>Connecticut</t>
  </si>
  <si>
    <t>UL Monroe</t>
  </si>
  <si>
    <t>SB</t>
  </si>
  <si>
    <t>Memphis</t>
  </si>
  <si>
    <t>ACC</t>
  </si>
  <si>
    <t>Wake Forest</t>
  </si>
  <si>
    <t>Ohio State</t>
  </si>
  <si>
    <t>B10</t>
  </si>
  <si>
    <t>Indiana</t>
  </si>
  <si>
    <t>BTN</t>
  </si>
  <si>
    <t>Buffalo</t>
  </si>
  <si>
    <t>MAC</t>
  </si>
  <si>
    <t>Minnesota</t>
  </si>
  <si>
    <t>FS1</t>
  </si>
  <si>
    <t>Tulsa</t>
  </si>
  <si>
    <t>Oklahoma State</t>
  </si>
  <si>
    <t>B12</t>
  </si>
  <si>
    <t>1AA Rhode Island</t>
  </si>
  <si>
    <t>Central Michigan</t>
  </si>
  <si>
    <t>1AA Elon</t>
  </si>
  <si>
    <t>Toledo</t>
  </si>
  <si>
    <t>New Mexico State</t>
  </si>
  <si>
    <t>Arizona State</t>
  </si>
  <si>
    <t>1AA North Dakota</t>
  </si>
  <si>
    <t>Utah</t>
  </si>
  <si>
    <t>1AA Sacremento State</t>
  </si>
  <si>
    <t>1AA Tennessee State</t>
  </si>
  <si>
    <t>Georgia State</t>
  </si>
  <si>
    <t>SEC</t>
  </si>
  <si>
    <t>1AA Florida A&amp;M</t>
  </si>
  <si>
    <t>Arkansas</t>
  </si>
  <si>
    <t>Fri</t>
  </si>
  <si>
    <t>1AA Central Connecticut</t>
  </si>
  <si>
    <t>Syracuse</t>
  </si>
  <si>
    <t>Washington</t>
  </si>
  <si>
    <t>Rutgers</t>
  </si>
  <si>
    <t>Utah State</t>
  </si>
  <si>
    <t>Wisconsin</t>
  </si>
  <si>
    <t>ESPNU</t>
  </si>
  <si>
    <t>Navy</t>
  </si>
  <si>
    <t>Florida Atlantic</t>
  </si>
  <si>
    <t>1AA Fordham</t>
  </si>
  <si>
    <t>Army</t>
  </si>
  <si>
    <t>UNC Charlotte</t>
  </si>
  <si>
    <t>Eastern Michigan</t>
  </si>
  <si>
    <t>Boston College</t>
  </si>
  <si>
    <t>Northern Illinois</t>
  </si>
  <si>
    <t>Colorado</t>
  </si>
  <si>
    <t>Florida Intl</t>
  </si>
  <si>
    <t>Central Florida</t>
  </si>
  <si>
    <t>East Carolina</t>
  </si>
  <si>
    <t>1AA Stephen F Austin</t>
  </si>
  <si>
    <t>SMU</t>
  </si>
  <si>
    <t>1AA Stony Brook</t>
  </si>
  <si>
    <t>1AA Grambling</t>
  </si>
  <si>
    <t>Tulane</t>
  </si>
  <si>
    <t>Kent State</t>
  </si>
  <si>
    <t>Clemson</t>
  </si>
  <si>
    <t>Duke</t>
  </si>
  <si>
    <t>Alabama</t>
  </si>
  <si>
    <t>Florida State</t>
  </si>
  <si>
    <t>Fox</t>
  </si>
  <si>
    <t>Purdue</t>
  </si>
  <si>
    <t>Louisville</t>
  </si>
  <si>
    <t>1AA Bethune Cookman</t>
  </si>
  <si>
    <t>Miami (FL)</t>
  </si>
  <si>
    <t>California</t>
  </si>
  <si>
    <t>North Carolina</t>
  </si>
  <si>
    <t>South Carolina</t>
  </si>
  <si>
    <t>North Carolina St</t>
  </si>
  <si>
    <t>1AA Youngstown St</t>
  </si>
  <si>
    <t>Pittsburgh</t>
  </si>
  <si>
    <t>1AA William &amp; Mary</t>
  </si>
  <si>
    <t>Virginia</t>
  </si>
  <si>
    <t>Ball State</t>
  </si>
  <si>
    <t>Illinois</t>
  </si>
  <si>
    <t>Wyoming</t>
  </si>
  <si>
    <t>Iowa</t>
  </si>
  <si>
    <t>ABC</t>
  </si>
  <si>
    <t>Florida</t>
  </si>
  <si>
    <t>Michigan</t>
  </si>
  <si>
    <t>Bowling Green</t>
  </si>
  <si>
    <t>Michigan State</t>
  </si>
  <si>
    <t>Arkansas State</t>
  </si>
  <si>
    <t>Nebraska</t>
  </si>
  <si>
    <t>Nevada</t>
  </si>
  <si>
    <t>Northwestern</t>
  </si>
  <si>
    <t>Akron</t>
  </si>
  <si>
    <t>Penn State</t>
  </si>
  <si>
    <t>Baylor</t>
  </si>
  <si>
    <t>1AA Northern Iowa</t>
  </si>
  <si>
    <t>Iowa State</t>
  </si>
  <si>
    <t>1AA Southeast Missouri St</t>
  </si>
  <si>
    <t>Kansas</t>
  </si>
  <si>
    <t>1AA Central Arkansas</t>
  </si>
  <si>
    <t>Kansas State</t>
  </si>
  <si>
    <t>UTEP</t>
  </si>
  <si>
    <t>Oklahoma</t>
  </si>
  <si>
    <t>TCU</t>
  </si>
  <si>
    <t>Maryland</t>
  </si>
  <si>
    <t>Texas</t>
  </si>
  <si>
    <t>1AA Eastern Washington</t>
  </si>
  <si>
    <t>Texas Tech</t>
  </si>
  <si>
    <t>1AA Northwestern State</t>
  </si>
  <si>
    <t>Louisiana Tech</t>
  </si>
  <si>
    <t>Miami (OH)</t>
  </si>
  <si>
    <t>Marshall</t>
  </si>
  <si>
    <t>Vanderbilt</t>
  </si>
  <si>
    <t>Middle Tenn St</t>
  </si>
  <si>
    <t>1AA Lamar</t>
  </si>
  <si>
    <t>North Texas</t>
  </si>
  <si>
    <t>1AA Albany</t>
  </si>
  <si>
    <t>Old Dominion</t>
  </si>
  <si>
    <t>Kentucky</t>
  </si>
  <si>
    <t>Southern Miss</t>
  </si>
  <si>
    <t>1AA Alabama A&amp;M</t>
  </si>
  <si>
    <t>UAB</t>
  </si>
  <si>
    <t>Houston</t>
  </si>
  <si>
    <t>UT San Antonio</t>
  </si>
  <si>
    <t>1AA Eastern Kentucky</t>
  </si>
  <si>
    <t>Western Kentucky</t>
  </si>
  <si>
    <t>LSU</t>
  </si>
  <si>
    <t>NBC</t>
  </si>
  <si>
    <t>Temple</t>
  </si>
  <si>
    <t>Notre Dame</t>
  </si>
  <si>
    <t>Ohio</t>
  </si>
  <si>
    <t>1AA VMI</t>
  </si>
  <si>
    <t>Air Force</t>
  </si>
  <si>
    <t>Troy</t>
  </si>
  <si>
    <t>Boise State</t>
  </si>
  <si>
    <t>1AA Incarnate Word</t>
  </si>
  <si>
    <t>Fresno State</t>
  </si>
  <si>
    <t>1AA Western Carolina</t>
  </si>
  <si>
    <t>1AA Abilene Christian</t>
  </si>
  <si>
    <t>New Mexico</t>
  </si>
  <si>
    <t>1AA UC Davis</t>
  </si>
  <si>
    <t>San Diego State</t>
  </si>
  <si>
    <t>1AA Cal Poly</t>
  </si>
  <si>
    <t>1AA Howard</t>
  </si>
  <si>
    <t>UNLV</t>
  </si>
  <si>
    <t>1AA Northern Arizona</t>
  </si>
  <si>
    <t>Arizona</t>
  </si>
  <si>
    <t>1AA Southern Utah</t>
  </si>
  <si>
    <t>Oregon</t>
  </si>
  <si>
    <t>Western Michigan</t>
  </si>
  <si>
    <t>Southern Cal</t>
  </si>
  <si>
    <t>1AA Montana State</t>
  </si>
  <si>
    <t>Washington State</t>
  </si>
  <si>
    <t>Coastal Carolina</t>
  </si>
  <si>
    <t>1AA Houston Baptist</t>
  </si>
  <si>
    <t>Texas State</t>
  </si>
  <si>
    <t>1AA Southeastern Louisiana</t>
  </si>
  <si>
    <t>UL Lafayette</t>
  </si>
  <si>
    <t>Georgia Southern</t>
  </si>
  <si>
    <t>Auburn</t>
  </si>
  <si>
    <t>Appalachian State</t>
  </si>
  <si>
    <t>Georgia</t>
  </si>
  <si>
    <t>South Alabama</t>
  </si>
  <si>
    <t>Mississippi</t>
  </si>
  <si>
    <t>1AA Charleston Southern</t>
  </si>
  <si>
    <t>Mississippi State</t>
  </si>
  <si>
    <t>1AA Missouri State</t>
  </si>
  <si>
    <t>Missouri</t>
  </si>
  <si>
    <t>Sun</t>
  </si>
  <si>
    <t>Virginia Tech</t>
  </si>
  <si>
    <t>West Virginia</t>
  </si>
  <si>
    <t>Texas A&amp;M</t>
  </si>
  <si>
    <t>UCLA</t>
  </si>
  <si>
    <t>Mon</t>
  </si>
  <si>
    <t>Tennessee</t>
  </si>
  <si>
    <t>Georgia Tech</t>
  </si>
  <si>
    <t>Open</t>
  </si>
  <si>
    <t>ZZZ</t>
  </si>
  <si>
    <t>1AA Idaho State</t>
  </si>
  <si>
    <t>1AA Villanova</t>
  </si>
  <si>
    <t>1AA Jacksonville State</t>
  </si>
  <si>
    <t>1AA Delaware</t>
  </si>
  <si>
    <t>1AA Towson</t>
  </si>
  <si>
    <t>1AA Alcorn State</t>
  </si>
  <si>
    <t>1AA Southern</t>
  </si>
  <si>
    <t>1AA Arkansas Pine Bluff</t>
  </si>
  <si>
    <t>1AA South Dakota</t>
  </si>
  <si>
    <t>1AA Eastern Illinois</t>
  </si>
  <si>
    <t>1AA Gardner Webb</t>
  </si>
  <si>
    <t>1AA Weber State</t>
  </si>
  <si>
    <t>1AA New Hampshire</t>
  </si>
  <si>
    <t>1AA Alabama State</t>
  </si>
  <si>
    <t>1AA Northern Colorado</t>
  </si>
  <si>
    <t>1AA Chattanooga</t>
  </si>
  <si>
    <t>1AA Tennessee Martin</t>
  </si>
  <si>
    <t>1AA Indiana State</t>
  </si>
  <si>
    <t>1AA Nicholls State</t>
  </si>
  <si>
    <t>1AA Furman</t>
  </si>
  <si>
    <t>1AA Morgan State</t>
  </si>
  <si>
    <t>1AA North Carolina A&amp;T</t>
  </si>
  <si>
    <t>1AA Tennessee Tech</t>
  </si>
  <si>
    <t>1AA Colgate</t>
  </si>
  <si>
    <t>1AA Mercer</t>
  </si>
  <si>
    <t>1AA Samford</t>
  </si>
  <si>
    <t>ESPN2</t>
  </si>
  <si>
    <t>1AA Southern Illinois</t>
  </si>
  <si>
    <t>1AA Wagner</t>
  </si>
  <si>
    <t>1AA Western Illinois</t>
  </si>
  <si>
    <t>1AA Maine</t>
  </si>
  <si>
    <t>1AA Murray St</t>
  </si>
  <si>
    <t>1AA Citadel</t>
  </si>
  <si>
    <t>1AA Wofford</t>
  </si>
  <si>
    <t>Wins</t>
  </si>
  <si>
    <t>Ranking</t>
  </si>
  <si>
    <t>SAGARIN RATINGS</t>
  </si>
  <si>
    <t>Final</t>
  </si>
  <si>
    <t>1AA Bryant</t>
  </si>
  <si>
    <t>1AA Bucknell</t>
  </si>
  <si>
    <t>1AA Campbell</t>
  </si>
  <si>
    <t>1AA Duquesne</t>
  </si>
  <si>
    <t>1AA Illinois State</t>
  </si>
  <si>
    <t>1AA Lafayette</t>
  </si>
  <si>
    <t>1AA McNeese St</t>
  </si>
  <si>
    <t>1AA Norfolk St</t>
  </si>
  <si>
    <t>1AA Richmond</t>
  </si>
  <si>
    <t>1AA Robert Morris</t>
  </si>
  <si>
    <t>1AA Sam Houston State</t>
  </si>
  <si>
    <t>1AA South Carolina State</t>
  </si>
  <si>
    <t>1AA South Dakota St</t>
  </si>
  <si>
    <t>1AA St Francis PA</t>
  </si>
  <si>
    <t>1AA Texas Southern</t>
  </si>
  <si>
    <t>Covers Preview Prediction</t>
  </si>
  <si>
    <t>Dr Bob</t>
  </si>
  <si>
    <t>Actual</t>
  </si>
  <si>
    <t>Picks Against the Spread</t>
  </si>
  <si>
    <t>Points</t>
  </si>
  <si>
    <t>In State</t>
  </si>
  <si>
    <t>Bowl</t>
  </si>
  <si>
    <t>Conf</t>
  </si>
  <si>
    <t>Team</t>
  </si>
  <si>
    <t>Difference</t>
  </si>
  <si>
    <t>New Head Coach</t>
  </si>
  <si>
    <t>Cure</t>
  </si>
  <si>
    <t>Las Vegas</t>
  </si>
  <si>
    <t>Camellia</t>
  </si>
  <si>
    <t>Boca Raton</t>
  </si>
  <si>
    <t>Bahamas</t>
  </si>
  <si>
    <t>Birmingham</t>
  </si>
  <si>
    <t>Armed Forces</t>
  </si>
  <si>
    <t>Independence</t>
  </si>
  <si>
    <t>Alamo</t>
  </si>
  <si>
    <t>CBS</t>
  </si>
  <si>
    <t>Music City</t>
  </si>
  <si>
    <t>Cotton</t>
  </si>
  <si>
    <t>Liberty</t>
  </si>
  <si>
    <t>Fiesta</t>
  </si>
  <si>
    <t>Orange</t>
  </si>
  <si>
    <t>Citrus</t>
  </si>
  <si>
    <t>Rose</t>
  </si>
  <si>
    <t xml:space="preserve">AW </t>
  </si>
  <si>
    <t xml:space="preserve">AL </t>
  </si>
  <si>
    <t>AT</t>
  </si>
  <si>
    <t>HW</t>
  </si>
  <si>
    <t>HL</t>
  </si>
  <si>
    <t>HT</t>
  </si>
  <si>
    <t>V</t>
  </si>
  <si>
    <t>H</t>
  </si>
  <si>
    <t>2016 ATS</t>
  </si>
  <si>
    <t>Weekly Best Underdog</t>
  </si>
  <si>
    <t>Vegas Insider</t>
  </si>
  <si>
    <t>9 Yrs vs Opp ATS</t>
  </si>
  <si>
    <t>Current Week Records</t>
  </si>
  <si>
    <t>Walter</t>
  </si>
  <si>
    <t>Tech Trends</t>
  </si>
  <si>
    <t>Money Line Bet</t>
  </si>
  <si>
    <t>Pick 6</t>
  </si>
  <si>
    <t>Kansas City</t>
  </si>
  <si>
    <t>AFCW</t>
  </si>
  <si>
    <t>New England</t>
  </si>
  <si>
    <t>AFCE</t>
  </si>
  <si>
    <t>NY Jets</t>
  </si>
  <si>
    <t>Atlanta</t>
  </si>
  <si>
    <t>NFCS</t>
  </si>
  <si>
    <t>Chicago</t>
  </si>
  <si>
    <t>NFCN</t>
  </si>
  <si>
    <t>Baltimore</t>
  </si>
  <si>
    <t>AFCN</t>
  </si>
  <si>
    <t>Cleveland</t>
  </si>
  <si>
    <t>NFCW</t>
  </si>
  <si>
    <t>Detroit</t>
  </si>
  <si>
    <t>Jacksonville</t>
  </si>
  <si>
    <t>AFCS</t>
  </si>
  <si>
    <t>Tampa Bay</t>
  </si>
  <si>
    <t>Miami</t>
  </si>
  <si>
    <t>Philadelphia</t>
  </si>
  <si>
    <t>NFCE</t>
  </si>
  <si>
    <t>Indianapolis</t>
  </si>
  <si>
    <t>LA Rams</t>
  </si>
  <si>
    <t>Seattle</t>
  </si>
  <si>
    <t>Green Bay</t>
  </si>
  <si>
    <t>Carolina</t>
  </si>
  <si>
    <t>San Francisco</t>
  </si>
  <si>
    <t>NY Giants</t>
  </si>
  <si>
    <t>Dallas</t>
  </si>
  <si>
    <t>New Orleans</t>
  </si>
  <si>
    <t>LA Chargers</t>
  </si>
  <si>
    <t>Denver</t>
  </si>
  <si>
    <t>NFL</t>
  </si>
  <si>
    <t>Sax Man</t>
  </si>
  <si>
    <t>Linesmakers</t>
  </si>
  <si>
    <t xml:space="preserve">LVH Pre Season </t>
  </si>
  <si>
    <t>Best Bets</t>
  </si>
  <si>
    <t>Money</t>
  </si>
  <si>
    <t>Line</t>
  </si>
  <si>
    <t>Sagarin Differntial</t>
  </si>
  <si>
    <t>FS2</t>
  </si>
  <si>
    <t>Big Ten</t>
  </si>
  <si>
    <t>Big 12</t>
  </si>
  <si>
    <t>Independent</t>
  </si>
  <si>
    <t>PAC 12</t>
  </si>
  <si>
    <t>Sun Belt</t>
  </si>
  <si>
    <t xml:space="preserve">Army </t>
  </si>
  <si>
    <t>Appalachian St</t>
  </si>
  <si>
    <t xml:space="preserve">Alabama </t>
  </si>
  <si>
    <t xml:space="preserve">Iowa  </t>
  </si>
  <si>
    <t xml:space="preserve">Georgia </t>
  </si>
  <si>
    <t xml:space="preserve">LSU </t>
  </si>
  <si>
    <t xml:space="preserve">North Carolina  </t>
  </si>
  <si>
    <t xml:space="preserve">Northwestern </t>
  </si>
  <si>
    <t xml:space="preserve">San Jose State </t>
  </si>
  <si>
    <t xml:space="preserve">Western Kentucky </t>
  </si>
  <si>
    <t>Count</t>
  </si>
  <si>
    <t>Sag</t>
  </si>
  <si>
    <t>Bet</t>
  </si>
  <si>
    <t>ATS</t>
  </si>
  <si>
    <t>Win</t>
  </si>
  <si>
    <t>FPI</t>
  </si>
  <si>
    <t>Avg</t>
  </si>
  <si>
    <t>Wild</t>
  </si>
  <si>
    <t>Div</t>
  </si>
  <si>
    <t>1AA East Tenn State</t>
  </si>
  <si>
    <t>1AA Idaho</t>
  </si>
  <si>
    <t>1AA Kennesaw State</t>
  </si>
  <si>
    <t>Tues</t>
  </si>
  <si>
    <t>Weds</t>
  </si>
  <si>
    <t/>
  </si>
  <si>
    <t>Rank</t>
  </si>
  <si>
    <t xml:space="preserve"> </t>
  </si>
  <si>
    <t>First Responder</t>
  </si>
  <si>
    <t>Gator</t>
  </si>
  <si>
    <t>Key Player Out</t>
  </si>
  <si>
    <t>Champ</t>
  </si>
  <si>
    <t>DNP</t>
  </si>
  <si>
    <t>Pick Using</t>
  </si>
  <si>
    <t>Pinstripe</t>
  </si>
  <si>
    <t>1AA Long Island</t>
  </si>
  <si>
    <t>1AA Dixie State</t>
  </si>
  <si>
    <t>BYE</t>
  </si>
  <si>
    <t>American</t>
  </si>
  <si>
    <t>All</t>
  </si>
  <si>
    <t>PPD</t>
  </si>
  <si>
    <t>LA</t>
  </si>
  <si>
    <t>Myrtle Beach</t>
  </si>
  <si>
    <t>Frisco</t>
  </si>
  <si>
    <t>Idaho Potato</t>
  </si>
  <si>
    <t>Gasparilla</t>
  </si>
  <si>
    <t>Quick Lane</t>
  </si>
  <si>
    <t>Guaranteed Rate</t>
  </si>
  <si>
    <t>Fenway</t>
  </si>
  <si>
    <t>Cheez-It</t>
  </si>
  <si>
    <t>Dukes Mayo</t>
  </si>
  <si>
    <t>Peach</t>
  </si>
  <si>
    <t>Straight</t>
  </si>
  <si>
    <t>CFP Championship</t>
  </si>
  <si>
    <t>FPI Ratings</t>
  </si>
  <si>
    <t>Wager Spread</t>
  </si>
  <si>
    <t>Wager O/U</t>
  </si>
  <si>
    <t>Order</t>
  </si>
  <si>
    <t xml:space="preserve">Row </t>
  </si>
  <si>
    <t>Confidence Picks -  CFN</t>
  </si>
  <si>
    <t>Confidence Picks -  Mike</t>
  </si>
  <si>
    <t>Confidence Picks -  2</t>
  </si>
  <si>
    <t>Score to date</t>
  </si>
  <si>
    <t>Super</t>
  </si>
  <si>
    <t>Winner ATS</t>
  </si>
  <si>
    <t>Loser ATS</t>
  </si>
  <si>
    <t>Winner SU</t>
  </si>
  <si>
    <t>Loser SU</t>
  </si>
  <si>
    <t>1AA North Alabama</t>
  </si>
  <si>
    <t>1AA Tarleton State</t>
  </si>
  <si>
    <t>James Madison</t>
  </si>
  <si>
    <t>W S</t>
  </si>
  <si>
    <t>L S</t>
  </si>
  <si>
    <t>CBSSN</t>
  </si>
  <si>
    <t>PAC12</t>
  </si>
  <si>
    <t>cbssn</t>
  </si>
  <si>
    <t>ESPN3</t>
  </si>
  <si>
    <t>LHN</t>
  </si>
  <si>
    <t>BNBC</t>
  </si>
  <si>
    <t>TROY</t>
  </si>
  <si>
    <t>south alabama</t>
  </si>
  <si>
    <t>TENNESSEE</t>
  </si>
  <si>
    <t>south carolina</t>
  </si>
  <si>
    <t>CANCELED</t>
  </si>
  <si>
    <t>CANCELLED</t>
  </si>
  <si>
    <t>Chmp</t>
  </si>
  <si>
    <t>1AA Valparaiso</t>
  </si>
  <si>
    <t>LendingTree</t>
  </si>
  <si>
    <t>UConn</t>
  </si>
  <si>
    <t>R+L Carriers</t>
  </si>
  <si>
    <t>Middle Tenn State</t>
  </si>
  <si>
    <t>Military</t>
  </si>
  <si>
    <t>Pitt</t>
  </si>
  <si>
    <t>Sugar</t>
  </si>
  <si>
    <t>USC</t>
  </si>
  <si>
    <t>Holiday</t>
  </si>
  <si>
    <t>ReliaQuest</t>
  </si>
  <si>
    <t>Diff</t>
  </si>
  <si>
    <t>FPI Ranking</t>
  </si>
  <si>
    <t>2022 Record</t>
  </si>
  <si>
    <t xml:space="preserve">Pick Using </t>
  </si>
  <si>
    <t>Sagarin Prediction</t>
  </si>
  <si>
    <t>Win %</t>
  </si>
  <si>
    <t>Weighted</t>
  </si>
  <si>
    <t>Louisville/Cincinnati</t>
  </si>
  <si>
    <t>RB</t>
  </si>
  <si>
    <t>Bijan Robinson</t>
  </si>
  <si>
    <t>QB</t>
  </si>
  <si>
    <t>Will Levis</t>
  </si>
  <si>
    <t>CB</t>
  </si>
  <si>
    <t>Christian Gonzalez</t>
  </si>
  <si>
    <t>Joey Porter</t>
  </si>
  <si>
    <t>OL</t>
  </si>
  <si>
    <t>Wanya Morris</t>
  </si>
  <si>
    <t>WR</t>
  </si>
  <si>
    <t>Dontay Morris</t>
  </si>
  <si>
    <t>Anthony Richardson</t>
  </si>
  <si>
    <t>TE</t>
  </si>
  <si>
    <t>Michael Mayer</t>
  </si>
  <si>
    <t>Jay Ward</t>
  </si>
  <si>
    <t>LB</t>
  </si>
  <si>
    <t>Drew Sanders</t>
  </si>
  <si>
    <t>Tavion Thomas</t>
  </si>
  <si>
    <t>Chris Rodriguez</t>
  </si>
  <si>
    <t>Dalton Kincaid</t>
  </si>
  <si>
    <t>Jaxon Smith-Njigba</t>
  </si>
  <si>
    <t>Eric Gray</t>
  </si>
  <si>
    <t>OT</t>
  </si>
  <si>
    <t>Anton Harrison</t>
  </si>
  <si>
    <t>O'Cyrus Torrence</t>
  </si>
  <si>
    <t>Donovan Ollie</t>
  </si>
  <si>
    <t>De'Zhaun Stribling</t>
  </si>
  <si>
    <t>DB</t>
  </si>
  <si>
    <t>Cale Sanders</t>
  </si>
  <si>
    <t>Rashee Rice</t>
  </si>
  <si>
    <t>Austin Reed</t>
  </si>
  <si>
    <t>DL</t>
  </si>
  <si>
    <t>Joshua Simon</t>
  </si>
  <si>
    <t>Christian Turner</t>
  </si>
  <si>
    <t>Dominic Lovett</t>
  </si>
  <si>
    <t>Isiah McGuire</t>
  </si>
  <si>
    <t>P</t>
  </si>
  <si>
    <t>Josh Carlson</t>
  </si>
  <si>
    <t>Calvin Tyler</t>
  </si>
  <si>
    <t xml:space="preserve">C </t>
  </si>
  <si>
    <t>Avery Jones</t>
  </si>
  <si>
    <t>Ryan Jones</t>
  </si>
  <si>
    <t>Graham Mertz</t>
  </si>
  <si>
    <t>Nick Herberg</t>
  </si>
  <si>
    <t>Spencer Sanders</t>
  </si>
  <si>
    <t>Ryan O'Keefe</t>
  </si>
  <si>
    <t>Jeremiah Jean'Bapitste</t>
  </si>
  <si>
    <t>Myles Slusher</t>
  </si>
  <si>
    <t>Keeshawn Silver</t>
  </si>
  <si>
    <t>Tyree Wilson</t>
  </si>
  <si>
    <t>Steve Linton</t>
  </si>
  <si>
    <t>Braelen Oliver</t>
  </si>
  <si>
    <t>S</t>
  </si>
  <si>
    <t>Michael Dixon</t>
  </si>
  <si>
    <t>Devin Leary</t>
  </si>
  <si>
    <t>Calijah Kancey</t>
  </si>
  <si>
    <t>Kedon Slovis</t>
  </si>
  <si>
    <t>Drew Pyne</t>
  </si>
  <si>
    <t>Kurtis Rourke</t>
  </si>
  <si>
    <t>Joshua Cobbs</t>
  </si>
  <si>
    <t>Hendon Hooker</t>
  </si>
  <si>
    <t>Kobe Pace</t>
  </si>
  <si>
    <t>JoJo Earle</t>
  </si>
  <si>
    <t>Spencer Petras</t>
  </si>
  <si>
    <t>Blake Corum</t>
  </si>
  <si>
    <t>Emmanuel Forbes</t>
  </si>
  <si>
    <t>Rara Thomas</t>
  </si>
  <si>
    <t>Spencer Holstege</t>
  </si>
  <si>
    <t>Confidence Picks -  1</t>
  </si>
  <si>
    <t>Tanner Mordecai</t>
  </si>
  <si>
    <t>Possible Score</t>
  </si>
  <si>
    <t>Confidence Picks -  Pool 1</t>
  </si>
  <si>
    <t>Confidence Picks -  Pool 2</t>
  </si>
  <si>
    <t>Confidence Picks -  Action</t>
  </si>
  <si>
    <t>Confidence Picks -  Kelly</t>
  </si>
  <si>
    <t>AN</t>
  </si>
  <si>
    <t>K</t>
  </si>
  <si>
    <t>B1</t>
  </si>
  <si>
    <t>B2</t>
  </si>
  <si>
    <t>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</si>
</sst>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1" formatCode="_(* #,##0_);_(* \(#,##0\);_(* &quot;-&quot;_);_(@_)"/>
    <numFmt numFmtId="43" formatCode="_(* #,##0.00_);_(* \(#,##0.00\);_(* &quot;-&quot;??_);_(@_)"/>
    <numFmt numFmtId="164" formatCode="[$-409]d\-mmm;@"/>
    <numFmt numFmtId="165" formatCode="[$-409]h:mm\ AM/PM;@"/>
    <numFmt numFmtId="166" formatCode="_(* #,##0.0_);_(* \(#,##0.0\);_(* &quot;-&quot;??_);_(@_)"/>
    <numFmt numFmtId="167" formatCode="0.0"/>
    <numFmt numFmtId="168" formatCode="_(* #,##0_);_(* \(#,##0\);_(* &quot;-&quot;??_);_(@_)"/>
    <numFmt numFmtId="169" formatCode="0.000"/>
    <numFmt numFmtId="170" formatCode="_(* #,##0.0_);_(* \(#,##0.0\);_(* &quot;-&quot;?_);_(@_)"/>
    <numFmt numFmtId="171" formatCode="0.0%"/>
  </numFmts>
  <fonts count="4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  <scheme val="minor"/>
    </font>
    <font>
      <sz val="12"/>
      <name val="Calibri"/>
      <family val="2"/>
    </font>
    <font>
      <sz val="12"/>
      <name val="Arial"/>
      <family val="2"/>
    </font>
    <font>
      <sz val="12"/>
      <color rgb="FF00B05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b/>
      <u/>
      <sz val="10"/>
      <name val="Arial"/>
      <family val="2"/>
    </font>
    <font>
      <u/>
      <sz val="12"/>
      <name val="Calibri"/>
      <family val="2"/>
      <scheme val="minor"/>
    </font>
    <font>
      <i/>
      <sz val="12"/>
      <name val="Calibri"/>
      <family val="2"/>
      <scheme val="minor"/>
    </font>
    <font>
      <sz val="11"/>
      <name val="Cambria"/>
      <family val="1"/>
      <scheme val="major"/>
    </font>
    <font>
      <b/>
      <u/>
      <sz val="11"/>
      <name val="Cambria"/>
      <family val="1"/>
      <scheme val="major"/>
    </font>
    <font>
      <b/>
      <u/>
      <sz val="11"/>
      <name val="Calibri"/>
      <family val="2"/>
      <scheme val="minor"/>
    </font>
    <font>
      <u/>
      <sz val="10"/>
      <color theme="10"/>
      <name val="Arial"/>
      <family val="2"/>
    </font>
    <font>
      <sz val="11"/>
      <color theme="10"/>
      <name val="Calibri"/>
      <family val="2"/>
      <scheme val="minor"/>
    </font>
    <font>
      <u/>
      <sz val="10"/>
      <name val="Arial"/>
      <family val="2"/>
    </font>
    <font>
      <u/>
      <sz val="1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2"/>
      <name val="Calibri"/>
      <family val="2"/>
      <scheme val="minor"/>
    </font>
    <font>
      <b/>
      <sz val="10"/>
      <name val="Arial"/>
      <family val="2"/>
    </font>
    <font>
      <sz val="12"/>
      <name val="Calibri"/>
      <family val="2"/>
      <scheme val="minor"/>
    </font>
    <font>
      <u/>
      <sz val="12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indexed="8"/>
      <name val="Calibri"/>
      <family val="2"/>
      <scheme val="minor"/>
    </font>
    <font>
      <u/>
      <sz val="12"/>
      <name val="Calibri"/>
      <family val="2"/>
    </font>
    <font>
      <u val="singleAccounting"/>
      <sz val="12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sz val="14"/>
      <name val="Arial"/>
      <family val="2"/>
    </font>
    <font>
      <sz val="14"/>
      <color theme="1"/>
      <name val="Calibri"/>
      <family val="2"/>
      <scheme val="minor"/>
    </font>
    <font>
      <b/>
      <u/>
      <sz val="14"/>
      <color indexed="8"/>
      <name val="Calibri"/>
      <family val="2"/>
      <scheme val="minor"/>
    </font>
    <font>
      <b/>
      <sz val="14"/>
      <color indexed="8"/>
      <name val="Calibri"/>
      <family val="2"/>
      <scheme val="minor"/>
    </font>
    <font>
      <b/>
      <sz val="12"/>
      <name val="Calibri"/>
      <family val="2"/>
    </font>
    <font>
      <sz val="1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3" fillId="0" borderId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24" fillId="0" borderId="0" applyNumberFormat="0" applyFill="0" applyBorder="0" applyAlignment="0" applyProtection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</cellStyleXfs>
  <cellXfs count="1009">
    <xf numFmtId="0" fontId="0" fillId="0" borderId="0" xfId="0"/>
    <xf numFmtId="0" fontId="2" fillId="0" borderId="0" xfId="3" applyNumberFormat="1" applyFont="1" applyFill="1" applyBorder="1" applyAlignment="1">
      <alignment horizontal="center"/>
    </xf>
    <xf numFmtId="164" fontId="2" fillId="0" borderId="0" xfId="3" applyNumberFormat="1" applyFont="1" applyFill="1" applyBorder="1" applyAlignment="1">
      <alignment horizontal="center"/>
    </xf>
    <xf numFmtId="165" fontId="2" fillId="0" borderId="0" xfId="3" applyNumberFormat="1" applyFont="1" applyFill="1" applyBorder="1" applyAlignment="1">
      <alignment horizontal="center"/>
    </xf>
    <xf numFmtId="170" fontId="2" fillId="0" borderId="2" xfId="5" applyNumberFormat="1" applyFont="1" applyFill="1" applyBorder="1" applyAlignment="1">
      <alignment horizontal="right"/>
    </xf>
    <xf numFmtId="41" fontId="2" fillId="0" borderId="0" xfId="5" applyNumberFormat="1" applyFont="1" applyFill="1" applyBorder="1" applyAlignment="1">
      <alignment horizontal="center"/>
    </xf>
    <xf numFmtId="0" fontId="4" fillId="0" borderId="0" xfId="3" applyNumberFormat="1" applyFont="1" applyFill="1" applyBorder="1" applyAlignment="1">
      <alignment horizontal="center"/>
    </xf>
    <xf numFmtId="164" fontId="2" fillId="0" borderId="0" xfId="3" applyFont="1" applyFill="1" applyBorder="1" applyAlignment="1">
      <alignment horizontal="center"/>
    </xf>
    <xf numFmtId="0" fontId="4" fillId="0" borderId="0" xfId="5" applyNumberFormat="1" applyFont="1" applyFill="1" applyBorder="1" applyAlignment="1">
      <alignment horizontal="center" wrapText="1"/>
    </xf>
    <xf numFmtId="164" fontId="13" fillId="0" borderId="0" xfId="3"/>
    <xf numFmtId="0" fontId="2" fillId="0" borderId="6" xfId="3" applyNumberFormat="1" applyFont="1" applyFill="1" applyBorder="1" applyAlignment="1">
      <alignment horizontal="center"/>
    </xf>
    <xf numFmtId="164" fontId="2" fillId="0" borderId="6" xfId="3" applyNumberFormat="1" applyFont="1" applyFill="1" applyBorder="1" applyAlignment="1">
      <alignment horizontal="center"/>
    </xf>
    <xf numFmtId="165" fontId="2" fillId="0" borderId="4" xfId="3" applyNumberFormat="1" applyFont="1" applyFill="1" applyBorder="1" applyAlignment="1">
      <alignment horizontal="center"/>
    </xf>
    <xf numFmtId="41" fontId="2" fillId="0" borderId="5" xfId="3" applyNumberFormat="1" applyFont="1" applyFill="1" applyBorder="1" applyAlignment="1">
      <alignment horizontal="center"/>
    </xf>
    <xf numFmtId="41" fontId="2" fillId="0" borderId="4" xfId="3" applyNumberFormat="1" applyFont="1" applyFill="1" applyBorder="1" applyAlignment="1">
      <alignment horizontal="center"/>
    </xf>
    <xf numFmtId="170" fontId="2" fillId="0" borderId="4" xfId="5" applyNumberFormat="1" applyFont="1" applyFill="1" applyBorder="1" applyAlignment="1">
      <alignment horizontal="right"/>
    </xf>
    <xf numFmtId="170" fontId="2" fillId="0" borderId="5" xfId="5" applyNumberFormat="1" applyFont="1" applyFill="1" applyBorder="1" applyAlignment="1">
      <alignment horizontal="right"/>
    </xf>
    <xf numFmtId="0" fontId="3" fillId="0" borderId="4" xfId="3" applyNumberFormat="1" applyFont="1" applyFill="1" applyBorder="1" applyAlignment="1">
      <alignment horizontal="center"/>
    </xf>
    <xf numFmtId="0" fontId="3" fillId="0" borderId="7" xfId="3" applyNumberFormat="1" applyFont="1" applyFill="1" applyBorder="1" applyAlignment="1">
      <alignment horizontal="center"/>
    </xf>
    <xf numFmtId="0" fontId="3" fillId="0" borderId="5" xfId="3" applyNumberFormat="1" applyFont="1" applyFill="1" applyBorder="1" applyAlignment="1">
      <alignment horizontal="center"/>
    </xf>
    <xf numFmtId="0" fontId="4" fillId="0" borderId="4" xfId="3" applyNumberFormat="1" applyFont="1" applyFill="1" applyBorder="1" applyAlignment="1">
      <alignment horizontal="center"/>
    </xf>
    <xf numFmtId="164" fontId="15" fillId="0" borderId="0" xfId="3" applyFont="1" applyAlignment="1">
      <alignment horizontal="center"/>
    </xf>
    <xf numFmtId="0" fontId="2" fillId="0" borderId="11" xfId="3" applyNumberFormat="1" applyFont="1" applyFill="1" applyBorder="1" applyAlignment="1">
      <alignment horizontal="center"/>
    </xf>
    <xf numFmtId="0" fontId="2" fillId="0" borderId="10" xfId="3" applyNumberFormat="1" applyFont="1" applyFill="1" applyBorder="1" applyAlignment="1">
      <alignment horizontal="center"/>
    </xf>
    <xf numFmtId="164" fontId="2" fillId="0" borderId="10" xfId="3" applyNumberFormat="1" applyFont="1" applyFill="1" applyBorder="1" applyAlignment="1">
      <alignment horizontal="center"/>
    </xf>
    <xf numFmtId="165" fontId="2" fillId="0" borderId="9" xfId="3" applyNumberFormat="1" applyFont="1" applyFill="1" applyBorder="1" applyAlignment="1">
      <alignment horizontal="center"/>
    </xf>
    <xf numFmtId="41" fontId="2" fillId="0" borderId="11" xfId="3" applyNumberFormat="1" applyFont="1" applyFill="1" applyBorder="1" applyAlignment="1">
      <alignment horizontal="center"/>
    </xf>
    <xf numFmtId="41" fontId="2" fillId="0" borderId="9" xfId="3" applyNumberFormat="1" applyFont="1" applyFill="1" applyBorder="1" applyAlignment="1">
      <alignment horizontal="center"/>
    </xf>
    <xf numFmtId="170" fontId="2" fillId="0" borderId="9" xfId="5" applyNumberFormat="1" applyFont="1" applyFill="1" applyBorder="1" applyAlignment="1">
      <alignment horizontal="right"/>
    </xf>
    <xf numFmtId="170" fontId="2" fillId="0" borderId="11" xfId="5" applyNumberFormat="1" applyFont="1" applyFill="1" applyBorder="1" applyAlignment="1">
      <alignment horizontal="right"/>
    </xf>
    <xf numFmtId="41" fontId="2" fillId="0" borderId="1" xfId="3" applyNumberFormat="1" applyFont="1" applyFill="1" applyBorder="1" applyAlignment="1">
      <alignment horizontal="center"/>
    </xf>
    <xf numFmtId="41" fontId="2" fillId="0" borderId="11" xfId="5" applyNumberFormat="1" applyFont="1" applyFill="1" applyBorder="1" applyAlignment="1">
      <alignment horizontal="center"/>
    </xf>
    <xf numFmtId="0" fontId="3" fillId="0" borderId="10" xfId="3" applyNumberFormat="1" applyFont="1" applyFill="1" applyBorder="1" applyAlignment="1">
      <alignment horizontal="center" vertical="center" wrapText="1"/>
    </xf>
    <xf numFmtId="0" fontId="4" fillId="0" borderId="9" xfId="5" applyNumberFormat="1" applyFont="1" applyFill="1" applyBorder="1" applyAlignment="1">
      <alignment horizontal="center" vertical="center" wrapText="1"/>
    </xf>
    <xf numFmtId="0" fontId="4" fillId="0" borderId="1" xfId="5" applyNumberFormat="1" applyFont="1" applyFill="1" applyBorder="1" applyAlignment="1">
      <alignment horizontal="center" vertical="center" wrapText="1"/>
    </xf>
    <xf numFmtId="0" fontId="4" fillId="0" borderId="11" xfId="5" applyNumberFormat="1" applyFont="1" applyFill="1" applyBorder="1" applyAlignment="1">
      <alignment horizontal="center" vertical="center" wrapText="1"/>
    </xf>
    <xf numFmtId="0" fontId="2" fillId="0" borderId="0" xfId="3" applyNumberFormat="1" applyFont="1" applyFill="1" applyBorder="1" applyAlignment="1">
      <alignment horizontal="center" vertical="center"/>
    </xf>
    <xf numFmtId="0" fontId="4" fillId="0" borderId="2" xfId="5" applyNumberFormat="1" applyFont="1" applyFill="1" applyBorder="1" applyAlignment="1">
      <alignment horizontal="center" vertical="center" wrapText="1"/>
    </xf>
    <xf numFmtId="0" fontId="2" fillId="0" borderId="2" xfId="3" applyNumberFormat="1" applyFont="1" applyFill="1" applyBorder="1" applyAlignment="1">
      <alignment horizontal="center"/>
    </xf>
    <xf numFmtId="0" fontId="2" fillId="0" borderId="8" xfId="3" applyNumberFormat="1" applyFont="1" applyFill="1" applyBorder="1" applyAlignment="1">
      <alignment horizontal="center"/>
    </xf>
    <xf numFmtId="164" fontId="2" fillId="0" borderId="8" xfId="5" applyNumberFormat="1" applyFont="1" applyFill="1" applyBorder="1" applyAlignment="1">
      <alignment horizontal="center"/>
    </xf>
    <xf numFmtId="165" fontId="2" fillId="0" borderId="3" xfId="5" applyNumberFormat="1" applyFont="1" applyFill="1" applyBorder="1" applyAlignment="1">
      <alignment horizontal="center"/>
    </xf>
    <xf numFmtId="41" fontId="2" fillId="0" borderId="2" xfId="5" applyNumberFormat="1" applyFont="1" applyFill="1" applyBorder="1" applyAlignment="1">
      <alignment horizontal="center"/>
    </xf>
    <xf numFmtId="41" fontId="2" fillId="0" borderId="3" xfId="5" applyNumberFormat="1" applyFont="1" applyFill="1" applyBorder="1" applyAlignment="1">
      <alignment horizontal="center"/>
    </xf>
    <xf numFmtId="170" fontId="2" fillId="0" borderId="3" xfId="5" applyNumberFormat="1" applyFont="1" applyFill="1" applyBorder="1" applyAlignment="1">
      <alignment horizontal="center"/>
    </xf>
    <xf numFmtId="170" fontId="2" fillId="0" borderId="2" xfId="5" applyNumberFormat="1" applyFont="1" applyFill="1" applyBorder="1" applyAlignment="1">
      <alignment horizontal="center"/>
    </xf>
    <xf numFmtId="0" fontId="6" fillId="0" borderId="2" xfId="3" applyNumberFormat="1" applyFont="1" applyFill="1" applyBorder="1" applyAlignment="1">
      <alignment horizontal="center"/>
    </xf>
    <xf numFmtId="0" fontId="6" fillId="0" borderId="8" xfId="3" applyNumberFormat="1" applyFont="1" applyFill="1" applyBorder="1" applyAlignment="1">
      <alignment horizontal="center"/>
    </xf>
    <xf numFmtId="164" fontId="6" fillId="0" borderId="8" xfId="3" applyNumberFormat="1" applyFont="1" applyFill="1" applyBorder="1" applyAlignment="1">
      <alignment horizontal="center"/>
    </xf>
    <xf numFmtId="165" fontId="6" fillId="0" borderId="3" xfId="3" applyNumberFormat="1" applyFont="1" applyFill="1" applyBorder="1" applyAlignment="1">
      <alignment horizontal="center"/>
    </xf>
    <xf numFmtId="41" fontId="6" fillId="0" borderId="2" xfId="5" applyNumberFormat="1" applyFont="1" applyFill="1" applyBorder="1" applyAlignment="1">
      <alignment horizontal="center"/>
    </xf>
    <xf numFmtId="41" fontId="6" fillId="0" borderId="3" xfId="3" applyNumberFormat="1" applyFont="1" applyFill="1" applyBorder="1" applyAlignment="1">
      <alignment horizontal="center"/>
    </xf>
    <xf numFmtId="41" fontId="6" fillId="0" borderId="2" xfId="3" applyNumberFormat="1" applyFont="1" applyFill="1" applyBorder="1" applyAlignment="1">
      <alignment horizontal="center"/>
    </xf>
    <xf numFmtId="41" fontId="6" fillId="0" borderId="3" xfId="5" applyNumberFormat="1" applyFont="1" applyFill="1" applyBorder="1" applyAlignment="1">
      <alignment horizontal="center"/>
    </xf>
    <xf numFmtId="170" fontId="6" fillId="0" borderId="3" xfId="5" applyNumberFormat="1" applyFont="1" applyFill="1" applyBorder="1" applyAlignment="1">
      <alignment horizontal="right"/>
    </xf>
    <xf numFmtId="170" fontId="6" fillId="0" borderId="2" xfId="5" applyNumberFormat="1" applyFont="1" applyFill="1" applyBorder="1" applyAlignment="1">
      <alignment horizontal="right"/>
    </xf>
    <xf numFmtId="41" fontId="6" fillId="0" borderId="0" xfId="5" applyNumberFormat="1" applyFont="1" applyFill="1" applyBorder="1" applyAlignment="1">
      <alignment horizontal="center"/>
    </xf>
    <xf numFmtId="0" fontId="6" fillId="0" borderId="3" xfId="3" applyNumberFormat="1" applyFont="1" applyFill="1" applyBorder="1" applyAlignment="1">
      <alignment horizontal="center"/>
    </xf>
    <xf numFmtId="0" fontId="6" fillId="0" borderId="0" xfId="5" applyNumberFormat="1" applyFont="1" applyFill="1" applyBorder="1" applyAlignment="1">
      <alignment horizontal="center"/>
    </xf>
    <xf numFmtId="0" fontId="6" fillId="0" borderId="2" xfId="5" applyNumberFormat="1" applyFont="1" applyFill="1" applyBorder="1" applyAlignment="1">
      <alignment horizontal="center"/>
    </xf>
    <xf numFmtId="170" fontId="6" fillId="0" borderId="3" xfId="5" applyNumberFormat="1" applyFont="1" applyFill="1" applyBorder="1" applyAlignment="1">
      <alignment horizontal="center"/>
    </xf>
    <xf numFmtId="170" fontId="6" fillId="0" borderId="2" xfId="5" applyNumberFormat="1" applyFont="1" applyFill="1" applyBorder="1" applyAlignment="1">
      <alignment horizontal="center"/>
    </xf>
    <xf numFmtId="164" fontId="6" fillId="0" borderId="2" xfId="3" applyNumberFormat="1" applyFont="1" applyFill="1" applyBorder="1" applyAlignment="1">
      <alignment horizontal="center"/>
    </xf>
    <xf numFmtId="41" fontId="6" fillId="0" borderId="0" xfId="3" applyNumberFormat="1" applyFont="1" applyFill="1" applyBorder="1" applyAlignment="1">
      <alignment horizontal="center"/>
    </xf>
    <xf numFmtId="0" fontId="6" fillId="0" borderId="0" xfId="3" applyNumberFormat="1" applyFont="1" applyFill="1" applyBorder="1" applyAlignment="1">
      <alignment horizontal="center"/>
    </xf>
    <xf numFmtId="170" fontId="6" fillId="0" borderId="3" xfId="5" applyNumberFormat="1" applyFont="1" applyFill="1" applyBorder="1" applyAlignment="1">
      <alignment horizontal="right" wrapText="1"/>
    </xf>
    <xf numFmtId="170" fontId="6" fillId="0" borderId="2" xfId="5" applyNumberFormat="1" applyFont="1" applyFill="1" applyBorder="1" applyAlignment="1">
      <alignment horizontal="right" wrapText="1"/>
    </xf>
    <xf numFmtId="167" fontId="6" fillId="0" borderId="8" xfId="3" applyNumberFormat="1" applyFont="1" applyFill="1" applyBorder="1" applyAlignment="1">
      <alignment horizontal="center"/>
    </xf>
    <xf numFmtId="0" fontId="6" fillId="0" borderId="3" xfId="3" applyNumberFormat="1" applyFont="1" applyFill="1" applyBorder="1" applyAlignment="1">
      <alignment horizontal="center" wrapText="1"/>
    </xf>
    <xf numFmtId="167" fontId="6" fillId="0" borderId="3" xfId="3" applyNumberFormat="1" applyFont="1" applyFill="1" applyBorder="1" applyAlignment="1">
      <alignment horizontal="center" wrapText="1"/>
    </xf>
    <xf numFmtId="167" fontId="6" fillId="0" borderId="3" xfId="3" applyNumberFormat="1" applyFont="1" applyFill="1" applyBorder="1" applyAlignment="1">
      <alignment horizontal="center"/>
    </xf>
    <xf numFmtId="0" fontId="6" fillId="0" borderId="3" xfId="5" applyNumberFormat="1" applyFont="1" applyFill="1" applyBorder="1" applyAlignment="1">
      <alignment horizontal="center"/>
    </xf>
    <xf numFmtId="164" fontId="6" fillId="0" borderId="8" xfId="5" applyNumberFormat="1" applyFont="1" applyFill="1" applyBorder="1" applyAlignment="1">
      <alignment horizontal="center"/>
    </xf>
    <xf numFmtId="165" fontId="6" fillId="0" borderId="3" xfId="5" applyNumberFormat="1" applyFont="1" applyFill="1" applyBorder="1" applyAlignment="1">
      <alignment horizontal="center"/>
    </xf>
    <xf numFmtId="0" fontId="2" fillId="0" borderId="0" xfId="3" applyNumberFormat="1" applyFont="1" applyBorder="1" applyAlignment="1">
      <alignment horizontal="center"/>
    </xf>
    <xf numFmtId="164" fontId="13" fillId="0" borderId="0" xfId="3" applyBorder="1"/>
    <xf numFmtId="43" fontId="6" fillId="0" borderId="3" xfId="5" applyNumberFormat="1" applyFont="1" applyFill="1" applyBorder="1" applyAlignment="1">
      <alignment horizontal="center"/>
    </xf>
    <xf numFmtId="43" fontId="6" fillId="0" borderId="2" xfId="5" applyNumberFormat="1" applyFont="1" applyFill="1" applyBorder="1" applyAlignment="1">
      <alignment horizontal="center"/>
    </xf>
    <xf numFmtId="43" fontId="6" fillId="0" borderId="2" xfId="3" applyNumberFormat="1" applyFont="1" applyFill="1" applyBorder="1" applyAlignment="1">
      <alignment horizontal="center"/>
    </xf>
    <xf numFmtId="43" fontId="6" fillId="0" borderId="0" xfId="3" applyNumberFormat="1" applyFont="1" applyFill="1" applyBorder="1" applyAlignment="1">
      <alignment horizontal="center"/>
    </xf>
    <xf numFmtId="43" fontId="2" fillId="0" borderId="9" xfId="5" applyFont="1" applyFill="1" applyBorder="1" applyAlignment="1">
      <alignment horizontal="center"/>
    </xf>
    <xf numFmtId="164" fontId="17" fillId="0" borderId="2" xfId="3" applyNumberFormat="1" applyFont="1" applyFill="1" applyBorder="1" applyAlignment="1">
      <alignment horizontal="center"/>
    </xf>
    <xf numFmtId="164" fontId="17" fillId="0" borderId="0" xfId="3" applyFont="1" applyFill="1" applyBorder="1" applyAlignment="1">
      <alignment horizontal="center"/>
    </xf>
    <xf numFmtId="167" fontId="6" fillId="0" borderId="0" xfId="3" applyNumberFormat="1" applyFont="1" applyFill="1" applyBorder="1" applyAlignment="1">
      <alignment horizontal="center"/>
    </xf>
    <xf numFmtId="43" fontId="6" fillId="0" borderId="0" xfId="5" applyFont="1" applyFill="1" applyBorder="1" applyAlignment="1">
      <alignment horizontal="center"/>
    </xf>
    <xf numFmtId="0" fontId="17" fillId="0" borderId="0" xfId="3" applyNumberFormat="1" applyFont="1" applyFill="1" applyBorder="1" applyAlignment="1">
      <alignment horizontal="center"/>
    </xf>
    <xf numFmtId="167" fontId="6" fillId="0" borderId="2" xfId="3" applyNumberFormat="1" applyFont="1" applyFill="1" applyBorder="1" applyAlignment="1">
      <alignment horizontal="center"/>
    </xf>
    <xf numFmtId="43" fontId="6" fillId="0" borderId="3" xfId="5" applyFont="1" applyFill="1" applyBorder="1" applyAlignment="1">
      <alignment horizontal="center"/>
    </xf>
    <xf numFmtId="164" fontId="15" fillId="0" borderId="0" xfId="3" applyFont="1"/>
    <xf numFmtId="43" fontId="0" fillId="0" borderId="0" xfId="5" applyFont="1" applyBorder="1"/>
    <xf numFmtId="0" fontId="13" fillId="0" borderId="0" xfId="3" applyNumberFormat="1"/>
    <xf numFmtId="168" fontId="6" fillId="0" borderId="0" xfId="5" applyNumberFormat="1" applyFont="1" applyFill="1" applyBorder="1" applyAlignment="1">
      <alignment horizontal="center"/>
    </xf>
    <xf numFmtId="9" fontId="2" fillId="0" borderId="0" xfId="4" applyFont="1" applyFill="1" applyBorder="1" applyAlignment="1">
      <alignment horizontal="center"/>
    </xf>
    <xf numFmtId="166" fontId="2" fillId="0" borderId="2" xfId="5" applyNumberFormat="1" applyFont="1" applyFill="1" applyBorder="1" applyAlignment="1">
      <alignment horizontal="center"/>
    </xf>
    <xf numFmtId="43" fontId="2" fillId="0" borderId="0" xfId="5" applyFont="1" applyFill="1" applyBorder="1" applyAlignment="1">
      <alignment horizontal="center"/>
    </xf>
    <xf numFmtId="0" fontId="2" fillId="0" borderId="3" xfId="3" applyNumberFormat="1" applyFont="1" applyFill="1" applyBorder="1" applyAlignment="1">
      <alignment horizontal="center"/>
    </xf>
    <xf numFmtId="0" fontId="2" fillId="0" borderId="5" xfId="3" applyNumberFormat="1" applyFont="1" applyFill="1" applyBorder="1" applyAlignment="1">
      <alignment horizontal="center"/>
    </xf>
    <xf numFmtId="0" fontId="2" fillId="0" borderId="4" xfId="3" applyNumberFormat="1" applyFont="1" applyFill="1" applyBorder="1" applyAlignment="1">
      <alignment horizontal="center"/>
    </xf>
    <xf numFmtId="0" fontId="2" fillId="0" borderId="7" xfId="3" applyNumberFormat="1" applyFont="1" applyFill="1" applyBorder="1" applyAlignment="1">
      <alignment horizontal="center"/>
    </xf>
    <xf numFmtId="166" fontId="2" fillId="0" borderId="4" xfId="5" applyNumberFormat="1" applyFont="1" applyFill="1" applyBorder="1" applyAlignment="1">
      <alignment horizontal="center"/>
    </xf>
    <xf numFmtId="166" fontId="2" fillId="0" borderId="5" xfId="5" applyNumberFormat="1" applyFont="1" applyFill="1" applyBorder="1" applyAlignment="1">
      <alignment horizontal="center"/>
    </xf>
    <xf numFmtId="43" fontId="2" fillId="0" borderId="4" xfId="5" applyFont="1" applyFill="1" applyBorder="1" applyAlignment="1">
      <alignment horizontal="center"/>
    </xf>
    <xf numFmtId="43" fontId="2" fillId="0" borderId="5" xfId="5" applyFont="1" applyFill="1" applyBorder="1" applyAlignment="1">
      <alignment horizontal="center"/>
    </xf>
    <xf numFmtId="164" fontId="2" fillId="0" borderId="0" xfId="3" applyFont="1" applyFill="1" applyAlignment="1">
      <alignment horizontal="center"/>
    </xf>
    <xf numFmtId="0" fontId="2" fillId="0" borderId="9" xfId="3" applyNumberFormat="1" applyFont="1" applyFill="1" applyBorder="1" applyAlignment="1">
      <alignment horizontal="center"/>
    </xf>
    <xf numFmtId="0" fontId="2" fillId="0" borderId="1" xfId="3" applyNumberFormat="1" applyFont="1" applyFill="1" applyBorder="1" applyAlignment="1">
      <alignment horizontal="center"/>
    </xf>
    <xf numFmtId="166" fontId="2" fillId="0" borderId="9" xfId="5" applyNumberFormat="1" applyFont="1" applyFill="1" applyBorder="1" applyAlignment="1">
      <alignment horizontal="center"/>
    </xf>
    <xf numFmtId="166" fontId="2" fillId="0" borderId="11" xfId="5" applyNumberFormat="1" applyFont="1" applyFill="1" applyBorder="1" applyAlignment="1">
      <alignment horizontal="center"/>
    </xf>
    <xf numFmtId="0" fontId="2" fillId="0" borderId="11" xfId="5" applyNumberFormat="1" applyFont="1" applyFill="1" applyBorder="1" applyAlignment="1">
      <alignment horizontal="center"/>
    </xf>
    <xf numFmtId="0" fontId="2" fillId="0" borderId="9" xfId="5" applyNumberFormat="1" applyFont="1" applyFill="1" applyBorder="1" applyAlignment="1">
      <alignment horizontal="center"/>
    </xf>
    <xf numFmtId="43" fontId="2" fillId="0" borderId="11" xfId="5" applyFont="1" applyFill="1" applyBorder="1" applyAlignment="1">
      <alignment horizontal="center"/>
    </xf>
    <xf numFmtId="164" fontId="5" fillId="0" borderId="9" xfId="3" applyNumberFormat="1" applyFont="1" applyFill="1" applyBorder="1" applyAlignment="1">
      <alignment horizontal="center" wrapText="1"/>
    </xf>
    <xf numFmtId="43" fontId="3" fillId="0" borderId="9" xfId="5" applyFont="1" applyFill="1" applyBorder="1" applyAlignment="1">
      <alignment horizontal="center" vertical="center" wrapText="1"/>
    </xf>
    <xf numFmtId="43" fontId="3" fillId="0" borderId="11" xfId="5" applyFont="1" applyFill="1" applyBorder="1" applyAlignment="1">
      <alignment horizontal="center" vertical="center" wrapText="1"/>
    </xf>
    <xf numFmtId="168" fontId="6" fillId="0" borderId="0" xfId="5" applyNumberFormat="1" applyFont="1" applyBorder="1" applyAlignment="1">
      <alignment horizontal="center"/>
    </xf>
    <xf numFmtId="168" fontId="6" fillId="0" borderId="3" xfId="3" applyNumberFormat="1" applyFont="1" applyFill="1" applyBorder="1" applyAlignment="1">
      <alignment horizontal="center"/>
    </xf>
    <xf numFmtId="168" fontId="6" fillId="0" borderId="0" xfId="3" applyNumberFormat="1" applyFont="1" applyFill="1" applyBorder="1" applyAlignment="1">
      <alignment horizontal="center"/>
    </xf>
    <xf numFmtId="166" fontId="6" fillId="0" borderId="3" xfId="5" applyNumberFormat="1" applyFont="1" applyFill="1" applyBorder="1" applyAlignment="1">
      <alignment horizontal="center" wrapText="1"/>
    </xf>
    <xf numFmtId="166" fontId="6" fillId="0" borderId="2" xfId="5" applyNumberFormat="1" applyFont="1" applyFill="1" applyBorder="1" applyAlignment="1">
      <alignment horizontal="center" wrapText="1"/>
    </xf>
    <xf numFmtId="164" fontId="6" fillId="0" borderId="3" xfId="3" quotePrefix="1" applyNumberFormat="1" applyFont="1" applyFill="1" applyBorder="1" applyAlignment="1">
      <alignment horizontal="center"/>
    </xf>
    <xf numFmtId="43" fontId="6" fillId="0" borderId="2" xfId="5" applyFont="1" applyFill="1" applyBorder="1" applyAlignment="1">
      <alignment horizontal="center"/>
    </xf>
    <xf numFmtId="164" fontId="6" fillId="0" borderId="0" xfId="3" applyFont="1" applyFill="1" applyBorder="1"/>
    <xf numFmtId="168" fontId="6" fillId="0" borderId="3" xfId="5" applyNumberFormat="1" applyFont="1" applyBorder="1"/>
    <xf numFmtId="168" fontId="6" fillId="0" borderId="0" xfId="5" applyNumberFormat="1" applyFont="1"/>
    <xf numFmtId="168" fontId="6" fillId="0" borderId="0" xfId="5" applyNumberFormat="1" applyFont="1" applyBorder="1"/>
    <xf numFmtId="168" fontId="6" fillId="0" borderId="2" xfId="5" applyNumberFormat="1" applyFont="1" applyBorder="1"/>
    <xf numFmtId="167" fontId="6" fillId="0" borderId="3" xfId="5" applyNumberFormat="1" applyFont="1" applyFill="1" applyBorder="1" applyAlignment="1">
      <alignment horizontal="center"/>
    </xf>
    <xf numFmtId="164" fontId="6" fillId="0" borderId="0" xfId="3" applyNumberFormat="1" applyFont="1" applyBorder="1" applyAlignment="1">
      <alignment horizontal="center"/>
    </xf>
    <xf numFmtId="164" fontId="6" fillId="0" borderId="3" xfId="3" applyNumberFormat="1" applyFont="1" applyFill="1" applyBorder="1" applyAlignment="1">
      <alignment horizontal="center"/>
    </xf>
    <xf numFmtId="43" fontId="6" fillId="0" borderId="3" xfId="5" quotePrefix="1" applyFont="1" applyFill="1" applyBorder="1" applyAlignment="1">
      <alignment horizontal="center"/>
    </xf>
    <xf numFmtId="164" fontId="6" fillId="0" borderId="0" xfId="3" applyNumberFormat="1" applyFont="1" applyFill="1" applyBorder="1" applyAlignment="1">
      <alignment horizontal="center"/>
    </xf>
    <xf numFmtId="166" fontId="6" fillId="0" borderId="3" xfId="5" applyNumberFormat="1" applyFont="1" applyFill="1" applyBorder="1" applyAlignment="1">
      <alignment horizontal="center"/>
    </xf>
    <xf numFmtId="166" fontId="6" fillId="0" borderId="2" xfId="5" applyNumberFormat="1" applyFont="1" applyFill="1" applyBorder="1" applyAlignment="1">
      <alignment horizontal="center"/>
    </xf>
    <xf numFmtId="164" fontId="6" fillId="0" borderId="3" xfId="5" applyNumberFormat="1" applyFont="1" applyFill="1" applyBorder="1" applyAlignment="1">
      <alignment horizontal="center"/>
    </xf>
    <xf numFmtId="164" fontId="6" fillId="0" borderId="3" xfId="5" quotePrefix="1" applyNumberFormat="1" applyFont="1" applyFill="1" applyBorder="1" applyAlignment="1">
      <alignment horizontal="center"/>
    </xf>
    <xf numFmtId="16" fontId="6" fillId="0" borderId="3" xfId="5" quotePrefix="1" applyNumberFormat="1" applyFont="1" applyFill="1" applyBorder="1" applyAlignment="1">
      <alignment horizontal="center"/>
    </xf>
    <xf numFmtId="0" fontId="6" fillId="0" borderId="2" xfId="5" quotePrefix="1" applyNumberFormat="1" applyFont="1" applyFill="1" applyBorder="1" applyAlignment="1">
      <alignment horizontal="center"/>
    </xf>
    <xf numFmtId="0" fontId="6" fillId="0" borderId="8" xfId="5" applyNumberFormat="1" applyFont="1" applyFill="1" applyBorder="1" applyAlignment="1">
      <alignment horizontal="center"/>
    </xf>
    <xf numFmtId="168" fontId="6" fillId="0" borderId="3" xfId="3" quotePrefix="1" applyNumberFormat="1" applyFont="1" applyFill="1" applyBorder="1" applyAlignment="1">
      <alignment horizontal="center"/>
    </xf>
    <xf numFmtId="43" fontId="6" fillId="0" borderId="2" xfId="5" quotePrefix="1" applyFont="1" applyFill="1" applyBorder="1" applyAlignment="1">
      <alignment horizontal="center"/>
    </xf>
    <xf numFmtId="0" fontId="6" fillId="0" borderId="3" xfId="3" quotePrefix="1" applyNumberFormat="1" applyFont="1" applyFill="1" applyBorder="1" applyAlignment="1">
      <alignment horizontal="center"/>
    </xf>
    <xf numFmtId="164" fontId="6" fillId="0" borderId="3" xfId="3" applyFont="1" applyFill="1" applyBorder="1" applyAlignment="1">
      <alignment horizontal="center"/>
    </xf>
    <xf numFmtId="168" fontId="6" fillId="0" borderId="3" xfId="5" applyNumberFormat="1" applyFont="1" applyFill="1" applyBorder="1" applyAlignment="1">
      <alignment horizontal="center"/>
    </xf>
    <xf numFmtId="0" fontId="6" fillId="0" borderId="3" xfId="5" quotePrefix="1" applyNumberFormat="1" applyFont="1" applyFill="1" applyBorder="1" applyAlignment="1">
      <alignment horizontal="center"/>
    </xf>
    <xf numFmtId="0" fontId="6" fillId="0" borderId="2" xfId="3" quotePrefix="1" applyNumberFormat="1" applyFont="1" applyFill="1" applyBorder="1" applyAlignment="1">
      <alignment horizontal="center"/>
    </xf>
    <xf numFmtId="164" fontId="6" fillId="0" borderId="0" xfId="5" applyNumberFormat="1" applyFont="1" applyFill="1" applyBorder="1" applyAlignment="1">
      <alignment horizontal="center"/>
    </xf>
    <xf numFmtId="168" fontId="6" fillId="0" borderId="3" xfId="5" applyNumberFormat="1" applyFont="1" applyFill="1" applyBorder="1"/>
    <xf numFmtId="168" fontId="6" fillId="0" borderId="0" xfId="5" applyNumberFormat="1" applyFont="1" applyFill="1"/>
    <xf numFmtId="168" fontId="6" fillId="0" borderId="0" xfId="5" applyNumberFormat="1" applyFont="1" applyFill="1" applyBorder="1"/>
    <xf numFmtId="168" fontId="6" fillId="0" borderId="2" xfId="5" applyNumberFormat="1" applyFont="1" applyFill="1" applyBorder="1"/>
    <xf numFmtId="0" fontId="6" fillId="0" borderId="2" xfId="3" applyNumberFormat="1" applyFont="1" applyFill="1" applyBorder="1"/>
    <xf numFmtId="168" fontId="6" fillId="0" borderId="3" xfId="5" quotePrefix="1" applyNumberFormat="1" applyFont="1" applyFill="1" applyBorder="1" applyAlignment="1">
      <alignment horizontal="center"/>
    </xf>
    <xf numFmtId="165" fontId="6" fillId="0" borderId="3" xfId="5" quotePrefix="1" applyNumberFormat="1" applyFont="1" applyFill="1" applyBorder="1" applyAlignment="1">
      <alignment horizontal="center"/>
    </xf>
    <xf numFmtId="0" fontId="9" fillId="0" borderId="3" xfId="3" applyNumberFormat="1" applyFont="1" applyFill="1" applyBorder="1" applyAlignment="1">
      <alignment horizontal="center"/>
    </xf>
    <xf numFmtId="168" fontId="9" fillId="0" borderId="3" xfId="3" applyNumberFormat="1" applyFont="1" applyFill="1" applyBorder="1" applyAlignment="1">
      <alignment horizontal="center"/>
    </xf>
    <xf numFmtId="14" fontId="6" fillId="0" borderId="2" xfId="5" quotePrefix="1" applyNumberFormat="1" applyFont="1" applyFill="1" applyBorder="1" applyAlignment="1">
      <alignment horizontal="center"/>
    </xf>
    <xf numFmtId="0" fontId="6" fillId="0" borderId="0" xfId="3" applyNumberFormat="1" applyFont="1" applyFill="1" applyBorder="1"/>
    <xf numFmtId="43" fontId="6" fillId="0" borderId="3" xfId="3" applyNumberFormat="1" applyFont="1" applyFill="1" applyBorder="1" applyAlignment="1">
      <alignment horizontal="center"/>
    </xf>
    <xf numFmtId="43" fontId="6" fillId="0" borderId="3" xfId="5" applyNumberFormat="1" applyFont="1" applyFill="1" applyBorder="1" applyAlignment="1">
      <alignment horizontal="center" wrapText="1"/>
    </xf>
    <xf numFmtId="43" fontId="6" fillId="0" borderId="2" xfId="5" applyNumberFormat="1" applyFont="1" applyFill="1" applyBorder="1" applyAlignment="1">
      <alignment horizontal="center" wrapText="1"/>
    </xf>
    <xf numFmtId="43" fontId="6" fillId="0" borderId="0" xfId="5" applyNumberFormat="1" applyFont="1" applyFill="1" applyBorder="1" applyAlignment="1">
      <alignment horizontal="center"/>
    </xf>
    <xf numFmtId="0" fontId="19" fillId="0" borderId="0" xfId="3" applyNumberFormat="1" applyFont="1" applyFill="1" applyBorder="1" applyAlignment="1">
      <alignment horizontal="center"/>
    </xf>
    <xf numFmtId="0" fontId="19" fillId="0" borderId="8" xfId="3" applyNumberFormat="1" applyFont="1" applyFill="1" applyBorder="1" applyAlignment="1">
      <alignment horizontal="center"/>
    </xf>
    <xf numFmtId="165" fontId="19" fillId="0" borderId="3" xfId="3" applyNumberFormat="1" applyFont="1" applyFill="1" applyBorder="1" applyAlignment="1">
      <alignment horizontal="center"/>
    </xf>
    <xf numFmtId="167" fontId="19" fillId="0" borderId="2" xfId="3" applyNumberFormat="1" applyFont="1" applyFill="1" applyBorder="1" applyAlignment="1">
      <alignment horizontal="center"/>
    </xf>
    <xf numFmtId="168" fontId="19" fillId="0" borderId="0" xfId="5" applyNumberFormat="1" applyFont="1" applyBorder="1" applyAlignment="1"/>
    <xf numFmtId="1" fontId="19" fillId="0" borderId="2" xfId="3" applyNumberFormat="1" applyFont="1" applyFill="1" applyBorder="1" applyAlignment="1">
      <alignment horizontal="center"/>
    </xf>
    <xf numFmtId="0" fontId="19" fillId="0" borderId="0" xfId="5" applyNumberFormat="1" applyFont="1" applyFill="1" applyBorder="1" applyAlignment="1">
      <alignment horizontal="center"/>
    </xf>
    <xf numFmtId="0" fontId="19" fillId="0" borderId="3" xfId="3" applyNumberFormat="1" applyFont="1" applyFill="1" applyBorder="1" applyAlignment="1">
      <alignment horizontal="center"/>
    </xf>
    <xf numFmtId="0" fontId="19" fillId="0" borderId="2" xfId="5" applyNumberFormat="1" applyFont="1" applyFill="1" applyBorder="1" applyAlignment="1">
      <alignment horizontal="center"/>
    </xf>
    <xf numFmtId="0" fontId="19" fillId="0" borderId="2" xfId="3" applyNumberFormat="1" applyFont="1" applyFill="1" applyBorder="1" applyAlignment="1">
      <alignment horizontal="center"/>
    </xf>
    <xf numFmtId="43" fontId="19" fillId="0" borderId="3" xfId="5" applyFont="1" applyFill="1" applyBorder="1" applyAlignment="1">
      <alignment horizontal="center"/>
    </xf>
    <xf numFmtId="43" fontId="19" fillId="0" borderId="2" xfId="5" applyFont="1" applyFill="1" applyBorder="1" applyAlignment="1">
      <alignment horizontal="center"/>
    </xf>
    <xf numFmtId="164" fontId="19" fillId="0" borderId="0" xfId="3" applyFont="1" applyFill="1" applyBorder="1"/>
    <xf numFmtId="164" fontId="6" fillId="0" borderId="0" xfId="3" applyFont="1" applyFill="1" applyBorder="1" applyAlignment="1">
      <alignment horizontal="center"/>
    </xf>
    <xf numFmtId="43" fontId="6" fillId="0" borderId="0" xfId="5" quotePrefix="1" applyFont="1" applyFill="1" applyBorder="1" applyAlignment="1">
      <alignment horizontal="center"/>
    </xf>
    <xf numFmtId="16" fontId="6" fillId="0" borderId="0" xfId="5" quotePrefix="1" applyNumberFormat="1" applyFont="1" applyFill="1" applyBorder="1" applyAlignment="1">
      <alignment horizontal="center"/>
    </xf>
    <xf numFmtId="164" fontId="6" fillId="0" borderId="3" xfId="3" applyFont="1" applyFill="1" applyBorder="1"/>
    <xf numFmtId="164" fontId="6" fillId="0" borderId="2" xfId="3" applyFont="1" applyFill="1" applyBorder="1"/>
    <xf numFmtId="0" fontId="6" fillId="0" borderId="0" xfId="5" quotePrefix="1" applyNumberFormat="1" applyFont="1" applyFill="1" applyBorder="1" applyAlignment="1">
      <alignment horizontal="center"/>
    </xf>
    <xf numFmtId="164" fontId="7" fillId="0" borderId="0" xfId="3" applyFont="1" applyFill="1" applyBorder="1"/>
    <xf numFmtId="164" fontId="8" fillId="0" borderId="0" xfId="3" applyFont="1" applyFill="1" applyBorder="1"/>
    <xf numFmtId="164" fontId="7" fillId="0" borderId="3" xfId="3" applyFont="1" applyFill="1" applyBorder="1" applyAlignment="1">
      <alignment horizontal="center"/>
    </xf>
    <xf numFmtId="164" fontId="7" fillId="0" borderId="0" xfId="3" applyFont="1" applyFill="1" applyBorder="1" applyAlignment="1">
      <alignment horizontal="center"/>
    </xf>
    <xf numFmtId="0" fontId="7" fillId="0" borderId="3" xfId="3" applyNumberFormat="1" applyFont="1" applyFill="1" applyBorder="1" applyAlignment="1">
      <alignment horizontal="center"/>
    </xf>
    <xf numFmtId="164" fontId="7" fillId="0" borderId="3" xfId="3" applyFont="1" applyFill="1" applyBorder="1"/>
    <xf numFmtId="164" fontId="7" fillId="0" borderId="2" xfId="3" applyFont="1" applyFill="1" applyBorder="1"/>
    <xf numFmtId="0" fontId="6" fillId="0" borderId="3" xfId="3" applyNumberFormat="1" applyFont="1" applyFill="1" applyBorder="1" applyAlignment="1">
      <alignment horizontal="center" vertical="center"/>
    </xf>
    <xf numFmtId="14" fontId="6" fillId="0" borderId="3" xfId="5" quotePrefix="1" applyNumberFormat="1" applyFont="1" applyFill="1" applyBorder="1" applyAlignment="1">
      <alignment horizontal="center"/>
    </xf>
    <xf numFmtId="43" fontId="20" fillId="0" borderId="0" xfId="5" applyFont="1" applyFill="1" applyBorder="1" applyAlignment="1">
      <alignment horizontal="center"/>
    </xf>
    <xf numFmtId="0" fontId="10" fillId="0" borderId="3" xfId="3" applyNumberFormat="1" applyFont="1" applyFill="1" applyBorder="1" applyAlignment="1">
      <alignment horizontal="center"/>
    </xf>
    <xf numFmtId="165" fontId="6" fillId="0" borderId="0" xfId="3" applyNumberFormat="1" applyFont="1" applyFill="1" applyBorder="1" applyAlignment="1">
      <alignment horizontal="center"/>
    </xf>
    <xf numFmtId="14" fontId="6" fillId="0" borderId="2" xfId="3" quotePrefix="1" applyNumberFormat="1" applyFont="1" applyFill="1" applyBorder="1" applyAlignment="1">
      <alignment horizontal="center"/>
    </xf>
    <xf numFmtId="164" fontId="21" fillId="0" borderId="0" xfId="3" applyFont="1" applyFill="1" applyBorder="1"/>
    <xf numFmtId="0" fontId="11" fillId="0" borderId="2" xfId="3" applyNumberFormat="1" applyFont="1" applyFill="1" applyBorder="1" applyAlignment="1">
      <alignment horizontal="center"/>
    </xf>
    <xf numFmtId="0" fontId="11" fillId="0" borderId="3" xfId="3" applyNumberFormat="1" applyFont="1" applyFill="1" applyBorder="1" applyAlignment="1">
      <alignment horizontal="center"/>
    </xf>
    <xf numFmtId="0" fontId="11" fillId="0" borderId="3" xfId="5" applyNumberFormat="1" applyFont="1" applyFill="1" applyBorder="1" applyAlignment="1">
      <alignment horizontal="center"/>
    </xf>
    <xf numFmtId="0" fontId="11" fillId="0" borderId="0" xfId="5" applyNumberFormat="1" applyFont="1" applyFill="1" applyBorder="1" applyAlignment="1">
      <alignment horizontal="center"/>
    </xf>
    <xf numFmtId="166" fontId="11" fillId="0" borderId="3" xfId="5" applyNumberFormat="1" applyFont="1" applyFill="1" applyBorder="1" applyAlignment="1">
      <alignment horizontal="center"/>
    </xf>
    <xf numFmtId="166" fontId="11" fillId="0" borderId="2" xfId="5" applyNumberFormat="1" applyFont="1" applyFill="1" applyBorder="1" applyAlignment="1">
      <alignment horizontal="center"/>
    </xf>
    <xf numFmtId="0" fontId="11" fillId="0" borderId="0" xfId="3" applyNumberFormat="1" applyFont="1" applyFill="1" applyBorder="1" applyAlignment="1">
      <alignment horizontal="center"/>
    </xf>
    <xf numFmtId="0" fontId="11" fillId="0" borderId="2" xfId="5" applyNumberFormat="1" applyFont="1" applyFill="1" applyBorder="1" applyAlignment="1">
      <alignment horizontal="center"/>
    </xf>
    <xf numFmtId="0" fontId="11" fillId="0" borderId="8" xfId="3" applyNumberFormat="1" applyFont="1" applyFill="1" applyBorder="1" applyAlignment="1">
      <alignment horizontal="center"/>
    </xf>
    <xf numFmtId="0" fontId="11" fillId="0" borderId="0" xfId="3" applyNumberFormat="1" applyFont="1" applyFill="1" applyAlignment="1">
      <alignment horizontal="center"/>
    </xf>
    <xf numFmtId="0" fontId="22" fillId="0" borderId="0" xfId="3" applyNumberFormat="1" applyFont="1" applyFill="1" applyAlignment="1">
      <alignment horizontal="center"/>
    </xf>
    <xf numFmtId="0" fontId="18" fillId="0" borderId="0" xfId="3" applyNumberFormat="1" applyFont="1" applyFill="1" applyBorder="1" applyAlignment="1">
      <alignment horizontal="center"/>
    </xf>
    <xf numFmtId="0" fontId="18" fillId="0" borderId="3" xfId="3" applyNumberFormat="1" applyFont="1" applyFill="1" applyBorder="1" applyAlignment="1">
      <alignment horizontal="center"/>
    </xf>
    <xf numFmtId="0" fontId="18" fillId="0" borderId="2" xfId="3" applyNumberFormat="1" applyFont="1" applyFill="1" applyBorder="1" applyAlignment="1">
      <alignment horizontal="center"/>
    </xf>
    <xf numFmtId="167" fontId="6" fillId="0" borderId="2" xfId="5" applyNumberFormat="1" applyFont="1" applyFill="1" applyBorder="1" applyAlignment="1">
      <alignment horizontal="center"/>
    </xf>
    <xf numFmtId="169" fontId="6" fillId="0" borderId="3" xfId="3" applyNumberFormat="1" applyFont="1" applyFill="1" applyBorder="1" applyAlignment="1">
      <alignment horizontal="center"/>
    </xf>
    <xf numFmtId="169" fontId="6" fillId="0" borderId="2" xfId="3" applyNumberFormat="1" applyFont="1" applyFill="1" applyBorder="1" applyAlignment="1">
      <alignment horizontal="center"/>
    </xf>
    <xf numFmtId="169" fontId="6" fillId="0" borderId="0" xfId="5" applyNumberFormat="1" applyFont="1" applyFill="1" applyBorder="1" applyAlignment="1">
      <alignment horizontal="center"/>
    </xf>
    <xf numFmtId="169" fontId="6" fillId="0" borderId="2" xfId="5" applyNumberFormat="1" applyFont="1" applyFill="1" applyBorder="1" applyAlignment="1">
      <alignment horizontal="center"/>
    </xf>
    <xf numFmtId="169" fontId="6" fillId="0" borderId="8" xfId="3" applyNumberFormat="1" applyFont="1" applyFill="1" applyBorder="1" applyAlignment="1">
      <alignment horizontal="center"/>
    </xf>
    <xf numFmtId="169" fontId="6" fillId="0" borderId="3" xfId="5" applyNumberFormat="1" applyFont="1" applyFill="1" applyBorder="1" applyAlignment="1">
      <alignment horizontal="center"/>
    </xf>
    <xf numFmtId="169" fontId="6" fillId="0" borderId="0" xfId="3" applyNumberFormat="1" applyFont="1" applyFill="1" applyBorder="1"/>
    <xf numFmtId="169" fontId="6" fillId="0" borderId="3" xfId="3" applyNumberFormat="1" applyFont="1" applyFill="1" applyBorder="1"/>
    <xf numFmtId="169" fontId="21" fillId="0" borderId="0" xfId="3" applyNumberFormat="1" applyFont="1" applyFill="1" applyBorder="1"/>
    <xf numFmtId="169" fontId="7" fillId="0" borderId="0" xfId="3" applyNumberFormat="1" applyFont="1" applyFill="1" applyBorder="1"/>
    <xf numFmtId="169" fontId="7" fillId="0" borderId="3" xfId="3" applyNumberFormat="1" applyFont="1" applyFill="1" applyBorder="1"/>
    <xf numFmtId="169" fontId="7" fillId="0" borderId="2" xfId="3" applyNumberFormat="1" applyFont="1" applyFill="1" applyBorder="1"/>
    <xf numFmtId="169" fontId="6" fillId="0" borderId="0" xfId="3" applyNumberFormat="1" applyFont="1" applyFill="1"/>
    <xf numFmtId="169" fontId="21" fillId="0" borderId="0" xfId="3" applyNumberFormat="1" applyFont="1" applyFill="1"/>
    <xf numFmtId="169" fontId="8" fillId="0" borderId="0" xfId="3" applyNumberFormat="1" applyFont="1" applyFill="1"/>
    <xf numFmtId="169" fontId="8" fillId="0" borderId="3" xfId="3" applyNumberFormat="1" applyFont="1" applyFill="1" applyBorder="1"/>
    <xf numFmtId="169" fontId="8" fillId="0" borderId="0" xfId="3" applyNumberFormat="1" applyFont="1" applyFill="1" applyBorder="1"/>
    <xf numFmtId="169" fontId="8" fillId="0" borderId="2" xfId="3" applyNumberFormat="1" applyFont="1" applyFill="1" applyBorder="1"/>
    <xf numFmtId="164" fontId="6" fillId="0" borderId="0" xfId="3" applyFont="1" applyFill="1"/>
    <xf numFmtId="164" fontId="21" fillId="0" borderId="0" xfId="3" applyFont="1" applyFill="1"/>
    <xf numFmtId="164" fontId="8" fillId="0" borderId="0" xfId="3" applyFont="1" applyFill="1"/>
    <xf numFmtId="164" fontId="8" fillId="0" borderId="3" xfId="3" applyFont="1" applyFill="1" applyBorder="1"/>
    <xf numFmtId="164" fontId="8" fillId="0" borderId="2" xfId="3" applyFont="1" applyFill="1" applyBorder="1"/>
    <xf numFmtId="168" fontId="21" fillId="0" borderId="0" xfId="5" applyNumberFormat="1" applyFont="1" applyFill="1"/>
    <xf numFmtId="168" fontId="8" fillId="0" borderId="0" xfId="5" applyNumberFormat="1" applyFont="1" applyFill="1"/>
    <xf numFmtId="168" fontId="8" fillId="0" borderId="3" xfId="5" applyNumberFormat="1" applyFont="1" applyFill="1" applyBorder="1"/>
    <xf numFmtId="168" fontId="8" fillId="0" borderId="0" xfId="5" applyNumberFormat="1" applyFont="1" applyFill="1" applyBorder="1"/>
    <xf numFmtId="168" fontId="8" fillId="0" borderId="2" xfId="5" applyNumberFormat="1" applyFont="1" applyFill="1" applyBorder="1"/>
    <xf numFmtId="168" fontId="14" fillId="0" borderId="0" xfId="5" applyNumberFormat="1" applyFont="1" applyFill="1"/>
    <xf numFmtId="168" fontId="14" fillId="0" borderId="3" xfId="5" applyNumberFormat="1" applyFont="1" applyFill="1" applyBorder="1"/>
    <xf numFmtId="168" fontId="14" fillId="0" borderId="0" xfId="5" applyNumberFormat="1" applyFont="1" applyFill="1" applyBorder="1"/>
    <xf numFmtId="168" fontId="14" fillId="0" borderId="2" xfId="5" applyNumberFormat="1" applyFont="1" applyFill="1" applyBorder="1"/>
    <xf numFmtId="164" fontId="14" fillId="0" borderId="0" xfId="3" applyFont="1" applyFill="1"/>
    <xf numFmtId="164" fontId="14" fillId="0" borderId="3" xfId="3" applyFont="1" applyFill="1" applyBorder="1"/>
    <xf numFmtId="164" fontId="14" fillId="0" borderId="0" xfId="3" applyFont="1" applyFill="1" applyBorder="1"/>
    <xf numFmtId="164" fontId="14" fillId="0" borderId="2" xfId="3" applyFont="1" applyFill="1" applyBorder="1"/>
    <xf numFmtId="0" fontId="17" fillId="0" borderId="0" xfId="3" applyNumberFormat="1" applyFont="1" applyBorder="1" applyAlignment="1">
      <alignment horizontal="center"/>
    </xf>
    <xf numFmtId="164" fontId="14" fillId="0" borderId="0" xfId="3" applyFont="1"/>
    <xf numFmtId="166" fontId="2" fillId="0" borderId="0" xfId="5" applyNumberFormat="1" applyFont="1" applyFill="1" applyBorder="1" applyAlignment="1">
      <alignment horizontal="center"/>
    </xf>
    <xf numFmtId="166" fontId="2" fillId="0" borderId="1" xfId="5" applyNumberFormat="1" applyFont="1" applyFill="1" applyBorder="1" applyAlignment="1">
      <alignment horizontal="center"/>
    </xf>
    <xf numFmtId="164" fontId="5" fillId="0" borderId="0" xfId="3" applyFont="1" applyBorder="1" applyAlignment="1"/>
    <xf numFmtId="1" fontId="5" fillId="0" borderId="0" xfId="5" applyNumberFormat="1" applyFont="1" applyBorder="1" applyAlignment="1"/>
    <xf numFmtId="166" fontId="5" fillId="0" borderId="0" xfId="5" applyNumberFormat="1" applyFont="1" applyBorder="1" applyAlignment="1"/>
    <xf numFmtId="164" fontId="15" fillId="0" borderId="0" xfId="3" applyFont="1" applyBorder="1" applyAlignment="1"/>
    <xf numFmtId="164" fontId="23" fillId="0" borderId="0" xfId="3" applyFont="1"/>
    <xf numFmtId="1" fontId="23" fillId="0" borderId="0" xfId="5" applyNumberFormat="1" applyFont="1"/>
    <xf numFmtId="164" fontId="18" fillId="0" borderId="0" xfId="3" applyFont="1"/>
    <xf numFmtId="164" fontId="17" fillId="0" borderId="0" xfId="3" applyFont="1"/>
    <xf numFmtId="164" fontId="17" fillId="0" borderId="3" xfId="3" applyFont="1" applyBorder="1"/>
    <xf numFmtId="164" fontId="17" fillId="0" borderId="2" xfId="3" applyFont="1" applyBorder="1"/>
    <xf numFmtId="1" fontId="17" fillId="0" borderId="0" xfId="5" applyNumberFormat="1" applyFont="1"/>
    <xf numFmtId="166" fontId="17" fillId="0" borderId="0" xfId="5" applyNumberFormat="1" applyFont="1"/>
    <xf numFmtId="168" fontId="6" fillId="0" borderId="2" xfId="3" applyNumberFormat="1" applyFont="1" applyFill="1" applyBorder="1" applyAlignment="1">
      <alignment horizontal="center"/>
    </xf>
    <xf numFmtId="0" fontId="17" fillId="0" borderId="0" xfId="3" applyNumberFormat="1" applyFont="1"/>
    <xf numFmtId="164" fontId="6" fillId="0" borderId="2" xfId="3" applyFont="1" applyFill="1" applyBorder="1" applyAlignment="1">
      <alignment horizontal="center"/>
    </xf>
    <xf numFmtId="164" fontId="6" fillId="0" borderId="2" xfId="5" applyNumberFormat="1" applyFont="1" applyFill="1" applyBorder="1" applyAlignment="1">
      <alignment horizontal="center"/>
    </xf>
    <xf numFmtId="166" fontId="25" fillId="0" borderId="0" xfId="6" applyNumberFormat="1" applyFont="1"/>
    <xf numFmtId="165" fontId="6" fillId="0" borderId="0" xfId="5" applyNumberFormat="1" applyFont="1" applyFill="1" applyBorder="1" applyAlignment="1">
      <alignment horizontal="center"/>
    </xf>
    <xf numFmtId="1" fontId="17" fillId="0" borderId="0" xfId="5" applyNumberFormat="1" applyFont="1" applyBorder="1"/>
    <xf numFmtId="164" fontId="17" fillId="0" borderId="0" xfId="3" applyFont="1" applyBorder="1"/>
    <xf numFmtId="166" fontId="17" fillId="0" borderId="0" xfId="5" applyNumberFormat="1" applyFont="1" applyBorder="1"/>
    <xf numFmtId="0" fontId="14" fillId="0" borderId="0" xfId="3" applyNumberFormat="1" applyFont="1" applyBorder="1" applyAlignment="1">
      <alignment horizontal="center"/>
    </xf>
    <xf numFmtId="0" fontId="17" fillId="0" borderId="3" xfId="3" applyNumberFormat="1" applyFont="1" applyBorder="1" applyAlignment="1">
      <alignment horizontal="center"/>
    </xf>
    <xf numFmtId="0" fontId="17" fillId="0" borderId="2" xfId="3" applyNumberFormat="1" applyFont="1" applyBorder="1" applyAlignment="1">
      <alignment horizontal="center"/>
    </xf>
    <xf numFmtId="1" fontId="17" fillId="0" borderId="0" xfId="5" applyNumberFormat="1" applyFont="1" applyBorder="1" applyAlignment="1">
      <alignment horizontal="center"/>
    </xf>
    <xf numFmtId="166" fontId="17" fillId="0" borderId="0" xfId="5" applyNumberFormat="1" applyFont="1" applyBorder="1" applyAlignment="1">
      <alignment horizontal="center"/>
    </xf>
    <xf numFmtId="43" fontId="17" fillId="0" borderId="3" xfId="5" applyFont="1" applyBorder="1"/>
    <xf numFmtId="43" fontId="17" fillId="0" borderId="2" xfId="5" applyFont="1" applyBorder="1"/>
    <xf numFmtId="43" fontId="17" fillId="0" borderId="0" xfId="5" applyFont="1" applyBorder="1"/>
    <xf numFmtId="164" fontId="19" fillId="0" borderId="2" xfId="3" applyNumberFormat="1" applyFont="1" applyFill="1" applyBorder="1" applyAlignment="1">
      <alignment horizontal="center"/>
    </xf>
    <xf numFmtId="167" fontId="19" fillId="0" borderId="8" xfId="3" applyNumberFormat="1" applyFont="1" applyFill="1" applyBorder="1" applyAlignment="1">
      <alignment horizontal="center"/>
    </xf>
    <xf numFmtId="164" fontId="19" fillId="0" borderId="8" xfId="3" applyNumberFormat="1" applyFont="1" applyFill="1" applyBorder="1" applyAlignment="1">
      <alignment horizontal="center"/>
    </xf>
    <xf numFmtId="43" fontId="6" fillId="0" borderId="8" xfId="3" applyNumberFormat="1" applyFont="1" applyFill="1" applyBorder="1" applyAlignment="1">
      <alignment horizontal="center"/>
    </xf>
    <xf numFmtId="43" fontId="6" fillId="0" borderId="8" xfId="5" applyNumberFormat="1" applyFont="1" applyFill="1" applyBorder="1" applyAlignment="1">
      <alignment horizontal="center"/>
    </xf>
    <xf numFmtId="164" fontId="13" fillId="0" borderId="0" xfId="3" applyBorder="1" applyAlignment="1">
      <alignment horizontal="center"/>
    </xf>
    <xf numFmtId="164" fontId="17" fillId="0" borderId="3" xfId="3" applyFont="1" applyBorder="1" applyAlignment="1">
      <alignment horizontal="center"/>
    </xf>
    <xf numFmtId="164" fontId="17" fillId="0" borderId="2" xfId="3" applyFont="1" applyBorder="1" applyAlignment="1">
      <alignment horizontal="center"/>
    </xf>
    <xf numFmtId="164" fontId="17" fillId="0" borderId="0" xfId="3" applyFont="1" applyBorder="1" applyAlignment="1">
      <alignment horizontal="center"/>
    </xf>
    <xf numFmtId="0" fontId="26" fillId="0" borderId="0" xfId="3" applyNumberFormat="1" applyFont="1" applyBorder="1" applyAlignment="1">
      <alignment horizontal="center"/>
    </xf>
    <xf numFmtId="0" fontId="27" fillId="0" borderId="3" xfId="3" applyNumberFormat="1" applyFont="1" applyBorder="1" applyAlignment="1">
      <alignment horizontal="center"/>
    </xf>
    <xf numFmtId="0" fontId="27" fillId="0" borderId="2" xfId="3" applyNumberFormat="1" applyFont="1" applyBorder="1" applyAlignment="1">
      <alignment horizontal="center"/>
    </xf>
    <xf numFmtId="1" fontId="27" fillId="0" borderId="0" xfId="5" applyNumberFormat="1" applyFont="1" applyBorder="1" applyAlignment="1">
      <alignment horizontal="center"/>
    </xf>
    <xf numFmtId="0" fontId="27" fillId="0" borderId="0" xfId="3" applyNumberFormat="1" applyFont="1" applyBorder="1" applyAlignment="1">
      <alignment horizontal="center"/>
    </xf>
    <xf numFmtId="166" fontId="27" fillId="0" borderId="0" xfId="5" applyNumberFormat="1" applyFont="1" applyBorder="1" applyAlignment="1">
      <alignment horizontal="center"/>
    </xf>
    <xf numFmtId="167" fontId="13" fillId="0" borderId="0" xfId="3" applyNumberFormat="1" applyBorder="1"/>
    <xf numFmtId="167" fontId="17" fillId="0" borderId="3" xfId="3" applyNumberFormat="1" applyFont="1" applyBorder="1"/>
    <xf numFmtId="167" fontId="17" fillId="0" borderId="2" xfId="3" applyNumberFormat="1" applyFont="1" applyBorder="1"/>
    <xf numFmtId="167" fontId="17" fillId="0" borderId="0" xfId="3" applyNumberFormat="1" applyFont="1" applyBorder="1"/>
    <xf numFmtId="165" fontId="6" fillId="0" borderId="8" xfId="3" applyNumberFormat="1" applyFont="1" applyFill="1" applyBorder="1" applyAlignment="1">
      <alignment horizontal="center"/>
    </xf>
    <xf numFmtId="167" fontId="13" fillId="0" borderId="0" xfId="3" applyNumberFormat="1"/>
    <xf numFmtId="167" fontId="17" fillId="0" borderId="0" xfId="3" applyNumberFormat="1" applyFont="1"/>
    <xf numFmtId="164" fontId="7" fillId="0" borderId="2" xfId="3" applyFont="1" applyFill="1" applyBorder="1" applyAlignment="1">
      <alignment horizontal="center"/>
    </xf>
    <xf numFmtId="169" fontId="6" fillId="0" borderId="0" xfId="3" applyNumberFormat="1" applyFont="1" applyFill="1" applyBorder="1" applyAlignment="1">
      <alignment horizontal="center"/>
    </xf>
    <xf numFmtId="166" fontId="6" fillId="0" borderId="8" xfId="5" applyNumberFormat="1" applyFont="1" applyFill="1" applyBorder="1" applyAlignment="1">
      <alignment horizontal="center"/>
    </xf>
    <xf numFmtId="164" fontId="17" fillId="0" borderId="3" xfId="3" applyNumberFormat="1" applyFont="1" applyFill="1" applyBorder="1" applyAlignment="1">
      <alignment horizontal="center"/>
    </xf>
    <xf numFmtId="164" fontId="17" fillId="0" borderId="9" xfId="3" applyNumberFormat="1" applyFont="1" applyFill="1" applyBorder="1" applyAlignment="1">
      <alignment horizontal="center"/>
    </xf>
    <xf numFmtId="164" fontId="17" fillId="0" borderId="11" xfId="3" applyNumberFormat="1" applyFont="1" applyFill="1" applyBorder="1" applyAlignment="1">
      <alignment horizontal="center"/>
    </xf>
    <xf numFmtId="164" fontId="17" fillId="0" borderId="0" xfId="3" applyNumberFormat="1" applyFont="1" applyFill="1" applyBorder="1" applyAlignment="1">
      <alignment horizontal="center"/>
    </xf>
    <xf numFmtId="170" fontId="17" fillId="0" borderId="0" xfId="3" applyNumberFormat="1" applyFont="1" applyFill="1" applyBorder="1" applyAlignment="1">
      <alignment horizontal="center"/>
    </xf>
    <xf numFmtId="1" fontId="17" fillId="0" borderId="0" xfId="5" applyNumberFormat="1" applyFont="1" applyFill="1" applyBorder="1" applyAlignment="1">
      <alignment horizontal="center"/>
    </xf>
    <xf numFmtId="168" fontId="5" fillId="0" borderId="0" xfId="5" applyNumberFormat="1" applyFont="1" applyFill="1" applyBorder="1" applyAlignment="1">
      <alignment horizontal="center"/>
    </xf>
    <xf numFmtId="168" fontId="15" fillId="0" borderId="0" xfId="5" applyNumberFormat="1" applyFont="1" applyBorder="1" applyAlignment="1">
      <alignment horizontal="center"/>
    </xf>
    <xf numFmtId="168" fontId="15" fillId="0" borderId="0" xfId="5" applyNumberFormat="1" applyFont="1"/>
    <xf numFmtId="9" fontId="17" fillId="0" borderId="0" xfId="4" applyFont="1" applyFill="1" applyBorder="1" applyAlignment="1">
      <alignment horizontal="center"/>
    </xf>
    <xf numFmtId="168" fontId="17" fillId="0" borderId="0" xfId="3" applyNumberFormat="1" applyFont="1" applyFill="1" applyBorder="1" applyAlignment="1">
      <alignment horizontal="center"/>
    </xf>
    <xf numFmtId="171" fontId="17" fillId="0" borderId="0" xfId="4" applyNumberFormat="1" applyFont="1" applyFill="1" applyBorder="1" applyAlignment="1">
      <alignment horizontal="center"/>
    </xf>
    <xf numFmtId="170" fontId="17" fillId="0" borderId="0" xfId="3" quotePrefix="1" applyNumberFormat="1" applyFont="1" applyFill="1" applyBorder="1" applyAlignment="1">
      <alignment horizontal="center"/>
    </xf>
    <xf numFmtId="170" fontId="17" fillId="0" borderId="0" xfId="5" applyNumberFormat="1" applyFont="1" applyBorder="1" applyAlignment="1">
      <alignment horizontal="center"/>
    </xf>
    <xf numFmtId="164" fontId="17" fillId="0" borderId="0" xfId="3" applyNumberFormat="1" applyFont="1" applyBorder="1" applyAlignment="1">
      <alignment horizontal="center"/>
    </xf>
    <xf numFmtId="0" fontId="2" fillId="0" borderId="2" xfId="5" applyNumberFormat="1" applyFont="1" applyFill="1" applyBorder="1" applyAlignment="1">
      <alignment horizontal="center"/>
    </xf>
    <xf numFmtId="0" fontId="30" fillId="0" borderId="0" xfId="3" applyNumberFormat="1" applyFont="1" applyFill="1" applyBorder="1" applyAlignment="1">
      <alignment horizontal="center"/>
    </xf>
    <xf numFmtId="164" fontId="30" fillId="0" borderId="0" xfId="3" applyNumberFormat="1" applyFont="1" applyFill="1" applyBorder="1" applyAlignment="1">
      <alignment horizontal="center"/>
    </xf>
    <xf numFmtId="165" fontId="30" fillId="0" borderId="0" xfId="3" applyNumberFormat="1" applyFont="1" applyFill="1" applyBorder="1" applyAlignment="1">
      <alignment horizontal="center"/>
    </xf>
    <xf numFmtId="164" fontId="30" fillId="0" borderId="0" xfId="3" applyFont="1" applyFill="1" applyBorder="1" applyAlignment="1">
      <alignment horizontal="center"/>
    </xf>
    <xf numFmtId="167" fontId="30" fillId="0" borderId="3" xfId="5" applyNumberFormat="1" applyFont="1" applyFill="1" applyBorder="1" applyAlignment="1">
      <alignment horizontal="center"/>
    </xf>
    <xf numFmtId="164" fontId="31" fillId="0" borderId="0" xfId="3" applyFont="1" applyBorder="1" applyAlignment="1">
      <alignment horizontal="center"/>
    </xf>
    <xf numFmtId="0" fontId="32" fillId="0" borderId="2" xfId="3" applyNumberFormat="1" applyFont="1" applyFill="1" applyBorder="1" applyAlignment="1">
      <alignment horizontal="center"/>
    </xf>
    <xf numFmtId="164" fontId="32" fillId="0" borderId="2" xfId="3" applyNumberFormat="1" applyFont="1" applyFill="1" applyBorder="1" applyAlignment="1">
      <alignment horizontal="center"/>
    </xf>
    <xf numFmtId="165" fontId="32" fillId="0" borderId="3" xfId="3" applyNumberFormat="1" applyFont="1" applyFill="1" applyBorder="1" applyAlignment="1">
      <alignment horizontal="center"/>
    </xf>
    <xf numFmtId="168" fontId="32" fillId="0" borderId="0" xfId="5" applyNumberFormat="1" applyFont="1" applyBorder="1" applyAlignment="1">
      <alignment horizontal="center"/>
    </xf>
    <xf numFmtId="168" fontId="32" fillId="0" borderId="3" xfId="3" applyNumberFormat="1" applyFont="1" applyFill="1" applyBorder="1" applyAlignment="1">
      <alignment horizontal="center"/>
    </xf>
    <xf numFmtId="0" fontId="32" fillId="0" borderId="0" xfId="3" applyNumberFormat="1" applyFont="1" applyFill="1" applyBorder="1" applyAlignment="1">
      <alignment horizontal="center"/>
    </xf>
    <xf numFmtId="0" fontId="32" fillId="0" borderId="3" xfId="3" applyNumberFormat="1" applyFont="1" applyFill="1" applyBorder="1" applyAlignment="1">
      <alignment horizontal="center"/>
    </xf>
    <xf numFmtId="164" fontId="32" fillId="0" borderId="3" xfId="3" quotePrefix="1" applyNumberFormat="1" applyFont="1" applyFill="1" applyBorder="1" applyAlignment="1">
      <alignment horizontal="center"/>
    </xf>
    <xf numFmtId="0" fontId="32" fillId="0" borderId="8" xfId="3" applyNumberFormat="1" applyFont="1" applyFill="1" applyBorder="1" applyAlignment="1">
      <alignment horizontal="center"/>
    </xf>
    <xf numFmtId="167" fontId="32" fillId="0" borderId="3" xfId="5" applyNumberFormat="1" applyFont="1" applyFill="1" applyBorder="1" applyAlignment="1">
      <alignment horizontal="center"/>
    </xf>
    <xf numFmtId="164" fontId="32" fillId="0" borderId="0" xfId="3" applyFont="1"/>
    <xf numFmtId="167" fontId="32" fillId="0" borderId="3" xfId="3" applyNumberFormat="1" applyFont="1" applyFill="1" applyBorder="1" applyAlignment="1">
      <alignment horizontal="center"/>
    </xf>
    <xf numFmtId="43" fontId="32" fillId="0" borderId="2" xfId="5" quotePrefix="1" applyFont="1" applyFill="1" applyBorder="1" applyAlignment="1">
      <alignment horizontal="center"/>
    </xf>
    <xf numFmtId="164" fontId="32" fillId="0" borderId="8" xfId="3" applyNumberFormat="1" applyFont="1" applyFill="1" applyBorder="1" applyAlignment="1">
      <alignment horizontal="center"/>
    </xf>
    <xf numFmtId="167" fontId="32" fillId="0" borderId="2" xfId="3" applyNumberFormat="1" applyFont="1" applyFill="1" applyBorder="1" applyAlignment="1">
      <alignment horizontal="center"/>
    </xf>
    <xf numFmtId="0" fontId="32" fillId="0" borderId="2" xfId="3" applyNumberFormat="1" applyFont="1" applyFill="1" applyBorder="1"/>
    <xf numFmtId="167" fontId="32" fillId="0" borderId="0" xfId="3" applyNumberFormat="1" applyFont="1" applyFill="1" applyBorder="1" applyAlignment="1">
      <alignment horizontal="center"/>
    </xf>
    <xf numFmtId="43" fontId="32" fillId="0" borderId="2" xfId="3" applyNumberFormat="1" applyFont="1" applyFill="1" applyBorder="1" applyAlignment="1">
      <alignment horizontal="center"/>
    </xf>
    <xf numFmtId="43" fontId="32" fillId="0" borderId="0" xfId="3" applyNumberFormat="1" applyFont="1" applyFill="1" applyBorder="1" applyAlignment="1">
      <alignment horizontal="center"/>
    </xf>
    <xf numFmtId="164" fontId="32" fillId="0" borderId="0" xfId="3" applyFont="1" applyAlignment="1">
      <alignment horizontal="center"/>
    </xf>
    <xf numFmtId="164" fontId="34" fillId="0" borderId="0" xfId="3" applyFont="1"/>
    <xf numFmtId="167" fontId="32" fillId="0" borderId="2" xfId="5" applyNumberFormat="1" applyFont="1" applyFill="1" applyBorder="1" applyAlignment="1">
      <alignment horizontal="center"/>
    </xf>
    <xf numFmtId="0" fontId="35" fillId="0" borderId="0" xfId="0" applyFont="1"/>
    <xf numFmtId="0" fontId="6" fillId="0" borderId="8" xfId="3" applyNumberFormat="1" applyFont="1" applyFill="1" applyBorder="1" applyAlignment="1">
      <alignment horizontal="center"/>
    </xf>
    <xf numFmtId="0" fontId="6" fillId="0" borderId="2" xfId="0" applyNumberFormat="1" applyFont="1" applyFill="1" applyBorder="1" applyAlignment="1">
      <alignment horizontal="center"/>
    </xf>
    <xf numFmtId="1" fontId="6" fillId="0" borderId="2" xfId="3" applyNumberFormat="1" applyFont="1" applyFill="1" applyBorder="1" applyAlignment="1">
      <alignment horizontal="center"/>
    </xf>
    <xf numFmtId="0" fontId="6" fillId="0" borderId="0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43" fontId="6" fillId="0" borderId="3" xfId="1" applyFont="1" applyFill="1" applyBorder="1" applyAlignment="1">
      <alignment horizontal="center"/>
    </xf>
    <xf numFmtId="167" fontId="6" fillId="0" borderId="3" xfId="0" applyNumberFormat="1" applyFont="1" applyFill="1" applyBorder="1" applyAlignment="1">
      <alignment horizontal="center"/>
    </xf>
    <xf numFmtId="167" fontId="6" fillId="0" borderId="2" xfId="0" applyNumberFormat="1" applyFont="1" applyFill="1" applyBorder="1" applyAlignment="1">
      <alignment horizontal="center"/>
    </xf>
    <xf numFmtId="43" fontId="6" fillId="0" borderId="3" xfId="0" applyNumberFormat="1" applyFont="1" applyFill="1" applyBorder="1" applyAlignment="1">
      <alignment horizontal="center"/>
    </xf>
    <xf numFmtId="170" fontId="6" fillId="0" borderId="0" xfId="5" applyNumberFormat="1" applyFont="1" applyFill="1" applyBorder="1" applyAlignment="1">
      <alignment horizontal="center"/>
    </xf>
    <xf numFmtId="164" fontId="13" fillId="0" borderId="0" xfId="3" applyAlignment="1"/>
    <xf numFmtId="168" fontId="32" fillId="0" borderId="4" xfId="3" applyNumberFormat="1" applyFont="1" applyFill="1" applyBorder="1" applyAlignment="1">
      <alignment horizontal="center"/>
    </xf>
    <xf numFmtId="168" fontId="32" fillId="0" borderId="3" xfId="5" applyNumberFormat="1" applyFont="1" applyBorder="1" applyAlignment="1">
      <alignment horizontal="center"/>
    </xf>
    <xf numFmtId="168" fontId="6" fillId="0" borderId="0" xfId="7" applyNumberFormat="1" applyFont="1" applyBorder="1" applyAlignment="1">
      <alignment horizontal="center"/>
    </xf>
    <xf numFmtId="166" fontId="6" fillId="0" borderId="3" xfId="1" applyNumberFormat="1" applyFont="1" applyFill="1" applyBorder="1" applyAlignment="1">
      <alignment horizontal="center"/>
    </xf>
    <xf numFmtId="0" fontId="2" fillId="0" borderId="4" xfId="0" applyNumberFormat="1" applyFont="1" applyFill="1" applyBorder="1" applyAlignment="1">
      <alignment horizontal="center"/>
    </xf>
    <xf numFmtId="43" fontId="6" fillId="0" borderId="0" xfId="1" applyFont="1" applyFill="1" applyBorder="1" applyAlignment="1">
      <alignment horizontal="center"/>
    </xf>
    <xf numFmtId="164" fontId="13" fillId="0" borderId="0" xfId="3" applyFont="1"/>
    <xf numFmtId="1" fontId="32" fillId="0" borderId="3" xfId="3" applyNumberFormat="1" applyFont="1" applyFill="1" applyBorder="1" applyAlignment="1">
      <alignment horizontal="center"/>
    </xf>
    <xf numFmtId="167" fontId="30" fillId="0" borderId="2" xfId="5" applyNumberFormat="1" applyFont="1" applyFill="1" applyBorder="1" applyAlignment="1">
      <alignment horizontal="center"/>
    </xf>
    <xf numFmtId="1" fontId="32" fillId="0" borderId="0" xfId="3" applyNumberFormat="1" applyFont="1"/>
    <xf numFmtId="1" fontId="33" fillId="0" borderId="3" xfId="3" applyNumberFormat="1" applyFont="1" applyFill="1" applyBorder="1" applyAlignment="1">
      <alignment horizontal="center"/>
    </xf>
    <xf numFmtId="164" fontId="32" fillId="0" borderId="0" xfId="3" applyFont="1" applyBorder="1" applyAlignment="1">
      <alignment horizontal="center"/>
    </xf>
    <xf numFmtId="167" fontId="6" fillId="0" borderId="0" xfId="0" applyNumberFormat="1" applyFont="1" applyFill="1" applyBorder="1" applyAlignment="1">
      <alignment horizontal="center"/>
    </xf>
    <xf numFmtId="165" fontId="2" fillId="0" borderId="1" xfId="0" applyNumberFormat="1" applyFont="1" applyFill="1" applyBorder="1" applyAlignment="1">
      <alignment horizontal="center"/>
    </xf>
    <xf numFmtId="43" fontId="2" fillId="0" borderId="4" xfId="1" applyFont="1" applyFill="1" applyBorder="1" applyAlignment="1">
      <alignment horizontal="center"/>
    </xf>
    <xf numFmtId="43" fontId="2" fillId="0" borderId="7" xfId="1" applyFont="1" applyFill="1" applyBorder="1" applyAlignment="1">
      <alignment horizontal="center"/>
    </xf>
    <xf numFmtId="43" fontId="2" fillId="0" borderId="9" xfId="1" applyFont="1" applyFill="1" applyBorder="1" applyAlignment="1">
      <alignment horizontal="center"/>
    </xf>
    <xf numFmtId="43" fontId="2" fillId="0" borderId="1" xfId="1" applyFont="1" applyFill="1" applyBorder="1" applyAlignment="1">
      <alignment horizontal="center"/>
    </xf>
    <xf numFmtId="43" fontId="2" fillId="0" borderId="5" xfId="1" applyFont="1" applyFill="1" applyBorder="1" applyAlignment="1">
      <alignment horizontal="center"/>
    </xf>
    <xf numFmtId="43" fontId="2" fillId="0" borderId="11" xfId="1" applyFont="1" applyFill="1" applyBorder="1" applyAlignment="1">
      <alignment horizontal="center"/>
    </xf>
    <xf numFmtId="43" fontId="6" fillId="0" borderId="2" xfId="1" applyFont="1" applyFill="1" applyBorder="1" applyAlignment="1">
      <alignment horizontal="center"/>
    </xf>
    <xf numFmtId="166" fontId="2" fillId="0" borderId="4" xfId="1" applyNumberFormat="1" applyFont="1" applyFill="1" applyBorder="1" applyAlignment="1">
      <alignment horizontal="center"/>
    </xf>
    <xf numFmtId="166" fontId="2" fillId="0" borderId="5" xfId="1" applyNumberFormat="1" applyFont="1" applyFill="1" applyBorder="1" applyAlignment="1">
      <alignment horizontal="center"/>
    </xf>
    <xf numFmtId="166" fontId="2" fillId="0" borderId="9" xfId="1" applyNumberFormat="1" applyFont="1" applyFill="1" applyBorder="1" applyAlignment="1">
      <alignment horizontal="center"/>
    </xf>
    <xf numFmtId="166" fontId="2" fillId="0" borderId="11" xfId="1" applyNumberFormat="1" applyFont="1" applyFill="1" applyBorder="1" applyAlignment="1">
      <alignment horizontal="center"/>
    </xf>
    <xf numFmtId="166" fontId="6" fillId="0" borderId="3" xfId="1" applyNumberFormat="1" applyFont="1" applyFill="1" applyBorder="1" applyAlignment="1">
      <alignment horizontal="center" wrapText="1"/>
    </xf>
    <xf numFmtId="166" fontId="6" fillId="0" borderId="2" xfId="1" applyNumberFormat="1" applyFont="1" applyFill="1" applyBorder="1" applyAlignment="1">
      <alignment horizontal="center" wrapText="1"/>
    </xf>
    <xf numFmtId="166" fontId="6" fillId="0" borderId="2" xfId="1" applyNumberFormat="1" applyFont="1" applyFill="1" applyBorder="1" applyAlignment="1">
      <alignment horizontal="center"/>
    </xf>
    <xf numFmtId="43" fontId="6" fillId="0" borderId="3" xfId="1" quotePrefix="1" applyFont="1" applyFill="1" applyBorder="1" applyAlignment="1">
      <alignment horizontal="center"/>
    </xf>
    <xf numFmtId="43" fontId="6" fillId="0" borderId="2" xfId="1" quotePrefix="1" applyFont="1" applyFill="1" applyBorder="1" applyAlignment="1">
      <alignment horizontal="center"/>
    </xf>
    <xf numFmtId="168" fontId="2" fillId="0" borderId="4" xfId="1" applyNumberFormat="1" applyFont="1" applyFill="1" applyBorder="1" applyAlignment="1">
      <alignment horizontal="center"/>
    </xf>
    <xf numFmtId="168" fontId="2" fillId="0" borderId="5" xfId="1" applyNumberFormat="1" applyFont="1" applyFill="1" applyBorder="1" applyAlignment="1">
      <alignment horizontal="center"/>
    </xf>
    <xf numFmtId="168" fontId="2" fillId="0" borderId="1" xfId="1" applyNumberFormat="1" applyFont="1" applyFill="1" applyBorder="1" applyAlignment="1">
      <alignment horizontal="center"/>
    </xf>
    <xf numFmtId="168" fontId="2" fillId="0" borderId="11" xfId="1" applyNumberFormat="1" applyFont="1" applyFill="1" applyBorder="1" applyAlignment="1">
      <alignment horizontal="center"/>
    </xf>
    <xf numFmtId="168" fontId="2" fillId="0" borderId="9" xfId="1" applyNumberFormat="1" applyFont="1" applyFill="1" applyBorder="1" applyAlignment="1">
      <alignment horizontal="center"/>
    </xf>
    <xf numFmtId="168" fontId="6" fillId="0" borderId="0" xfId="1" applyNumberFormat="1" applyFont="1" applyBorder="1" applyAlignment="1">
      <alignment horizontal="center"/>
    </xf>
    <xf numFmtId="168" fontId="6" fillId="0" borderId="0" xfId="1" applyNumberFormat="1" applyFont="1" applyFill="1" applyBorder="1" applyAlignment="1">
      <alignment horizontal="center"/>
    </xf>
    <xf numFmtId="168" fontId="6" fillId="0" borderId="2" xfId="1" applyNumberFormat="1" applyFont="1" applyFill="1" applyBorder="1" applyAlignment="1">
      <alignment horizontal="center"/>
    </xf>
    <xf numFmtId="168" fontId="6" fillId="0" borderId="3" xfId="1" applyNumberFormat="1" applyFont="1" applyFill="1" applyBorder="1" applyAlignment="1">
      <alignment horizontal="center"/>
    </xf>
    <xf numFmtId="168" fontId="6" fillId="0" borderId="3" xfId="1" quotePrefix="1" applyNumberFormat="1" applyFont="1" applyFill="1" applyBorder="1" applyAlignment="1">
      <alignment horizontal="center"/>
    </xf>
    <xf numFmtId="168" fontId="6" fillId="0" borderId="2" xfId="1" applyNumberFormat="1" applyFont="1" applyFill="1" applyBorder="1"/>
    <xf numFmtId="168" fontId="6" fillId="0" borderId="2" xfId="1" quotePrefix="1" applyNumberFormat="1" applyFont="1" applyFill="1" applyBorder="1" applyAlignment="1">
      <alignment horizontal="center"/>
    </xf>
    <xf numFmtId="43" fontId="5" fillId="0" borderId="9" xfId="1" applyFont="1" applyFill="1" applyBorder="1" applyAlignment="1">
      <alignment horizontal="center" wrapText="1"/>
    </xf>
    <xf numFmtId="43" fontId="9" fillId="0" borderId="3" xfId="1" applyFont="1" applyFill="1" applyBorder="1" applyAlignment="1">
      <alignment horizontal="center"/>
    </xf>
    <xf numFmtId="43" fontId="6" fillId="0" borderId="8" xfId="1" applyFont="1" applyFill="1" applyBorder="1" applyAlignment="1">
      <alignment horizontal="center"/>
    </xf>
    <xf numFmtId="164" fontId="2" fillId="0" borderId="8" xfId="3" applyNumberFormat="1" applyFont="1" applyFill="1" applyBorder="1" applyAlignment="1">
      <alignment horizontal="center"/>
    </xf>
    <xf numFmtId="165" fontId="2" fillId="0" borderId="3" xfId="3" applyNumberFormat="1" applyFont="1" applyFill="1" applyBorder="1" applyAlignment="1">
      <alignment horizontal="center"/>
    </xf>
    <xf numFmtId="170" fontId="2" fillId="0" borderId="3" xfId="5" applyNumberFormat="1" applyFont="1" applyFill="1" applyBorder="1" applyAlignment="1">
      <alignment horizontal="right"/>
    </xf>
    <xf numFmtId="165" fontId="6" fillId="0" borderId="4" xfId="3" applyNumberFormat="1" applyFont="1" applyFill="1" applyBorder="1" applyAlignment="1">
      <alignment horizontal="center"/>
    </xf>
    <xf numFmtId="1" fontId="6" fillId="0" borderId="2" xfId="1" applyNumberFormat="1" applyFont="1" applyFill="1" applyBorder="1" applyAlignment="1">
      <alignment horizontal="center"/>
    </xf>
    <xf numFmtId="0" fontId="6" fillId="0" borderId="1" xfId="0" applyNumberFormat="1" applyFont="1" applyFill="1" applyBorder="1" applyAlignment="1">
      <alignment horizontal="center"/>
    </xf>
    <xf numFmtId="166" fontId="6" fillId="0" borderId="0" xfId="1" applyNumberFormat="1" applyFont="1" applyFill="1" applyBorder="1" applyAlignment="1">
      <alignment horizontal="center"/>
    </xf>
    <xf numFmtId="0" fontId="0" fillId="0" borderId="0" xfId="0" applyFont="1"/>
    <xf numFmtId="0" fontId="2" fillId="0" borderId="1" xfId="0" applyNumberFormat="1" applyFont="1" applyFill="1" applyBorder="1" applyAlignment="1">
      <alignment horizontal="center"/>
    </xf>
    <xf numFmtId="164" fontId="6" fillId="0" borderId="1" xfId="0" applyNumberFormat="1" applyFont="1" applyFill="1" applyBorder="1" applyAlignment="1">
      <alignment horizontal="center"/>
    </xf>
    <xf numFmtId="165" fontId="6" fillId="0" borderId="0" xfId="0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9" fontId="6" fillId="0" borderId="0" xfId="2" applyFont="1" applyFill="1" applyBorder="1" applyAlignment="1">
      <alignment horizontal="center"/>
    </xf>
    <xf numFmtId="166" fontId="6" fillId="0" borderId="0" xfId="1" applyNumberFormat="1" applyFont="1" applyFill="1" applyBorder="1" applyAlignment="1">
      <alignment horizontal="right"/>
    </xf>
    <xf numFmtId="166" fontId="6" fillId="0" borderId="2" xfId="1" applyNumberFormat="1" applyFont="1" applyFill="1" applyBorder="1" applyAlignment="1">
      <alignment horizontal="right"/>
    </xf>
    <xf numFmtId="0" fontId="37" fillId="0" borderId="0" xfId="0" applyNumberFormat="1" applyFont="1" applyFill="1" applyBorder="1" applyAlignment="1">
      <alignment horizontal="center"/>
    </xf>
    <xf numFmtId="0" fontId="6" fillId="0" borderId="3" xfId="0" applyNumberFormat="1" applyFont="1" applyFill="1" applyBorder="1" applyAlignment="1">
      <alignment horizontal="center"/>
    </xf>
    <xf numFmtId="164" fontId="6" fillId="0" borderId="8" xfId="0" applyNumberFormat="1" applyFont="1" applyFill="1" applyBorder="1" applyAlignment="1">
      <alignment horizontal="center"/>
    </xf>
    <xf numFmtId="166" fontId="6" fillId="0" borderId="3" xfId="1" applyNumberFormat="1" applyFont="1" applyFill="1" applyBorder="1" applyAlignment="1">
      <alignment horizontal="right"/>
    </xf>
    <xf numFmtId="0" fontId="6" fillId="0" borderId="0" xfId="1" applyNumberFormat="1" applyFont="1" applyFill="1" applyBorder="1" applyAlignment="1"/>
    <xf numFmtId="0" fontId="0" fillId="0" borderId="0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0" fontId="0" fillId="0" borderId="0" xfId="0" applyFont="1" applyFill="1"/>
    <xf numFmtId="0" fontId="19" fillId="0" borderId="3" xfId="0" applyNumberFormat="1" applyFont="1" applyFill="1" applyBorder="1" applyAlignment="1">
      <alignment horizontal="center"/>
    </xf>
    <xf numFmtId="0" fontId="19" fillId="0" borderId="8" xfId="0" applyNumberFormat="1" applyFont="1" applyFill="1" applyBorder="1" applyAlignment="1">
      <alignment horizontal="center"/>
    </xf>
    <xf numFmtId="0" fontId="38" fillId="0" borderId="0" xfId="0" applyNumberFormat="1" applyFont="1" applyFill="1" applyBorder="1" applyAlignment="1">
      <alignment horizontal="center"/>
    </xf>
    <xf numFmtId="0" fontId="19" fillId="0" borderId="2" xfId="0" applyNumberFormat="1" applyFont="1" applyFill="1" applyBorder="1" applyAlignment="1">
      <alignment horizontal="center"/>
    </xf>
    <xf numFmtId="0" fontId="19" fillId="0" borderId="3" xfId="1" applyNumberFormat="1" applyFont="1" applyFill="1" applyBorder="1" applyAlignment="1">
      <alignment horizontal="center"/>
    </xf>
    <xf numFmtId="0" fontId="19" fillId="0" borderId="2" xfId="1" applyNumberFormat="1" applyFont="1" applyFill="1" applyBorder="1" applyAlignment="1">
      <alignment horizontal="center"/>
    </xf>
    <xf numFmtId="168" fontId="19" fillId="0" borderId="2" xfId="1" applyNumberFormat="1" applyFont="1" applyFill="1" applyBorder="1" applyAlignment="1">
      <alignment horizontal="center"/>
    </xf>
    <xf numFmtId="41" fontId="39" fillId="0" borderId="0" xfId="5" applyNumberFormat="1" applyFont="1" applyFill="1" applyBorder="1" applyAlignment="1">
      <alignment horizontal="center"/>
    </xf>
    <xf numFmtId="0" fontId="19" fillId="0" borderId="0" xfId="1" applyNumberFormat="1" applyFont="1" applyFill="1" applyBorder="1" applyAlignment="1">
      <alignment horizontal="center"/>
    </xf>
    <xf numFmtId="43" fontId="6" fillId="0" borderId="0" xfId="0" applyNumberFormat="1" applyFont="1" applyFill="1" applyBorder="1" applyAlignment="1">
      <alignment horizontal="center"/>
    </xf>
    <xf numFmtId="0" fontId="0" fillId="0" borderId="0" xfId="0" applyNumberFormat="1" applyFont="1"/>
    <xf numFmtId="0" fontId="1" fillId="0" borderId="0" xfId="1" applyNumberFormat="1" applyFont="1" applyAlignment="1"/>
    <xf numFmtId="1" fontId="0" fillId="0" borderId="0" xfId="0" applyNumberFormat="1" applyFont="1" applyAlignment="1">
      <alignment horizontal="center"/>
    </xf>
    <xf numFmtId="164" fontId="2" fillId="0" borderId="6" xfId="0" applyNumberFormat="1" applyFont="1" applyFill="1" applyBorder="1" applyAlignment="1">
      <alignment horizontal="center"/>
    </xf>
    <xf numFmtId="165" fontId="2" fillId="0" borderId="7" xfId="0" applyNumberFormat="1" applyFont="1" applyFill="1" applyBorder="1" applyAlignment="1">
      <alignment horizontal="center"/>
    </xf>
    <xf numFmtId="0" fontId="2" fillId="0" borderId="5" xfId="0" applyNumberFormat="1" applyFont="1" applyFill="1" applyBorder="1" applyAlignment="1">
      <alignment horizontal="center"/>
    </xf>
    <xf numFmtId="166" fontId="2" fillId="0" borderId="4" xfId="1" applyNumberFormat="1" applyFont="1" applyFill="1" applyBorder="1" applyAlignment="1">
      <alignment horizontal="right"/>
    </xf>
    <xf numFmtId="166" fontId="2" fillId="0" borderId="5" xfId="1" applyNumberFormat="1" applyFont="1" applyFill="1" applyBorder="1" applyAlignment="1">
      <alignment horizontal="right"/>
    </xf>
    <xf numFmtId="0" fontId="12" fillId="0" borderId="0" xfId="0" applyFont="1"/>
    <xf numFmtId="0" fontId="2" fillId="0" borderId="9" xfId="0" applyNumberFormat="1" applyFont="1" applyFill="1" applyBorder="1" applyAlignment="1">
      <alignment horizontal="center"/>
    </xf>
    <xf numFmtId="164" fontId="2" fillId="0" borderId="10" xfId="0" applyNumberFormat="1" applyFont="1" applyFill="1" applyBorder="1" applyAlignment="1">
      <alignment horizontal="center"/>
    </xf>
    <xf numFmtId="0" fontId="2" fillId="0" borderId="11" xfId="0" applyNumberFormat="1" applyFont="1" applyFill="1" applyBorder="1" applyAlignment="1">
      <alignment horizontal="center"/>
    </xf>
    <xf numFmtId="166" fontId="2" fillId="0" borderId="9" xfId="1" applyNumberFormat="1" applyFont="1" applyFill="1" applyBorder="1" applyAlignment="1">
      <alignment horizontal="right"/>
    </xf>
    <xf numFmtId="166" fontId="2" fillId="0" borderId="11" xfId="1" applyNumberFormat="1" applyFont="1" applyFill="1" applyBorder="1" applyAlignment="1">
      <alignment horizontal="right"/>
    </xf>
    <xf numFmtId="0" fontId="2" fillId="0" borderId="1" xfId="1" applyNumberFormat="1" applyFont="1" applyFill="1" applyBorder="1" applyAlignment="1"/>
    <xf numFmtId="1" fontId="2" fillId="0" borderId="11" xfId="1" applyNumberFormat="1" applyFont="1" applyFill="1" applyBorder="1" applyAlignment="1">
      <alignment horizontal="center"/>
    </xf>
    <xf numFmtId="41" fontId="2" fillId="0" borderId="3" xfId="5" applyNumberFormat="1" applyFont="1" applyFill="1" applyBorder="1" applyAlignment="1">
      <alignment horizontal="center"/>
    </xf>
    <xf numFmtId="41" fontId="2" fillId="0" borderId="2" xfId="5" applyNumberFormat="1" applyFont="1" applyFill="1" applyBorder="1" applyAlignment="1">
      <alignment horizontal="center"/>
    </xf>
    <xf numFmtId="41" fontId="2" fillId="0" borderId="1" xfId="3" applyNumberFormat="1" applyFont="1" applyFill="1" applyBorder="1" applyAlignment="1">
      <alignment horizontal="center"/>
    </xf>
    <xf numFmtId="41" fontId="2" fillId="0" borderId="11" xfId="3" applyNumberFormat="1" applyFont="1" applyFill="1" applyBorder="1" applyAlignment="1">
      <alignment horizontal="center"/>
    </xf>
    <xf numFmtId="0" fontId="3" fillId="0" borderId="9" xfId="0" applyNumberFormat="1" applyFont="1" applyFill="1" applyBorder="1" applyAlignment="1">
      <alignment horizontal="center" vertical="center"/>
    </xf>
    <xf numFmtId="0" fontId="12" fillId="0" borderId="11" xfId="0" applyFont="1" applyFill="1" applyBorder="1" applyAlignment="1">
      <alignment horizontal="center" vertical="center"/>
    </xf>
    <xf numFmtId="41" fontId="2" fillId="0" borderId="3" xfId="5" applyNumberFormat="1" applyFont="1" applyFill="1" applyBorder="1" applyAlignment="1">
      <alignment horizontal="center"/>
    </xf>
    <xf numFmtId="41" fontId="6" fillId="0" borderId="3" xfId="5" applyNumberFormat="1" applyFont="1" applyFill="1" applyBorder="1" applyAlignment="1">
      <alignment horizontal="center"/>
    </xf>
    <xf numFmtId="41" fontId="6" fillId="0" borderId="2" xfId="5" applyNumberFormat="1" applyFont="1" applyFill="1" applyBorder="1" applyAlignment="1">
      <alignment horizontal="center"/>
    </xf>
    <xf numFmtId="41" fontId="6" fillId="0" borderId="0" xfId="5" applyNumberFormat="1" applyFont="1" applyFill="1" applyBorder="1" applyAlignment="1">
      <alignment horizontal="center"/>
    </xf>
    <xf numFmtId="41" fontId="2" fillId="0" borderId="2" xfId="5" applyNumberFormat="1" applyFont="1" applyFill="1" applyBorder="1" applyAlignment="1">
      <alignment horizontal="center"/>
    </xf>
    <xf numFmtId="41" fontId="13" fillId="0" borderId="2" xfId="3" applyNumberFormat="1" applyFont="1" applyBorder="1" applyAlignment="1">
      <alignment horizontal="center"/>
    </xf>
    <xf numFmtId="41" fontId="13" fillId="0" borderId="0" xfId="3" applyNumberFormat="1" applyFont="1" applyBorder="1" applyAlignment="1">
      <alignment horizontal="center"/>
    </xf>
    <xf numFmtId="170" fontId="2" fillId="0" borderId="3" xfId="5" applyNumberFormat="1" applyFont="1" applyFill="1" applyBorder="1" applyAlignment="1">
      <alignment horizontal="right" wrapText="1"/>
    </xf>
    <xf numFmtId="170" fontId="2" fillId="0" borderId="2" xfId="5" applyNumberFormat="1" applyFont="1" applyFill="1" applyBorder="1" applyAlignment="1">
      <alignment horizontal="right" wrapText="1"/>
    </xf>
    <xf numFmtId="43" fontId="32" fillId="0" borderId="0" xfId="1" applyFont="1" applyAlignment="1">
      <alignment horizontal="center"/>
    </xf>
    <xf numFmtId="43" fontId="32" fillId="0" borderId="3" xfId="1" applyFont="1" applyFill="1" applyBorder="1" applyAlignment="1">
      <alignment horizontal="center"/>
    </xf>
    <xf numFmtId="43" fontId="32" fillId="0" borderId="2" xfId="1" applyFont="1" applyFill="1" applyBorder="1" applyAlignment="1">
      <alignment horizontal="center"/>
    </xf>
    <xf numFmtId="43" fontId="32" fillId="0" borderId="0" xfId="1" applyFont="1" applyFill="1" applyBorder="1" applyAlignment="1">
      <alignment horizontal="center"/>
    </xf>
    <xf numFmtId="164" fontId="13" fillId="0" borderId="0" xfId="3" applyFont="1" applyAlignment="1"/>
    <xf numFmtId="166" fontId="0" fillId="0" borderId="0" xfId="1" applyNumberFormat="1" applyFont="1"/>
    <xf numFmtId="0" fontId="2" fillId="0" borderId="4" xfId="0" applyNumberFormat="1" applyFont="1" applyFill="1" applyBorder="1" applyAlignment="1">
      <alignment horizontal="center"/>
    </xf>
    <xf numFmtId="166" fontId="32" fillId="0" borderId="0" xfId="1" applyNumberFormat="1" applyFont="1" applyFill="1" applyBorder="1" applyAlignment="1">
      <alignment horizontal="center"/>
    </xf>
    <xf numFmtId="166" fontId="32" fillId="0" borderId="2" xfId="1" applyNumberFormat="1" applyFont="1" applyFill="1" applyBorder="1" applyAlignment="1">
      <alignment horizontal="center" wrapText="1"/>
    </xf>
    <xf numFmtId="168" fontId="43" fillId="0" borderId="0" xfId="5" applyNumberFormat="1" applyFont="1" applyBorder="1"/>
    <xf numFmtId="164" fontId="8" fillId="0" borderId="0" xfId="3" applyFont="1"/>
    <xf numFmtId="0" fontId="45" fillId="0" borderId="13" xfId="3" applyNumberFormat="1" applyFont="1" applyBorder="1" applyAlignment="1">
      <alignment horizontal="center" vertical="center" wrapText="1"/>
    </xf>
    <xf numFmtId="168" fontId="45" fillId="0" borderId="13" xfId="5" applyNumberFormat="1" applyFont="1" applyBorder="1" applyAlignment="1">
      <alignment horizontal="center" vertical="center" wrapText="1"/>
    </xf>
    <xf numFmtId="43" fontId="6" fillId="0" borderId="5" xfId="1" applyFont="1" applyFill="1" applyBorder="1" applyAlignment="1">
      <alignment horizontal="center"/>
    </xf>
    <xf numFmtId="164" fontId="8" fillId="0" borderId="0" xfId="3" applyFont="1" applyBorder="1"/>
    <xf numFmtId="168" fontId="6" fillId="0" borderId="0" xfId="5" quotePrefix="1" applyNumberFormat="1" applyFont="1" applyBorder="1" applyAlignment="1">
      <alignment horizontal="center"/>
    </xf>
    <xf numFmtId="168" fontId="2" fillId="0" borderId="0" xfId="5" applyNumberFormat="1" applyFont="1" applyBorder="1" applyAlignment="1">
      <alignment horizontal="center"/>
    </xf>
    <xf numFmtId="166" fontId="32" fillId="0" borderId="0" xfId="1" applyNumberFormat="1" applyFont="1"/>
    <xf numFmtId="166" fontId="32" fillId="0" borderId="0" xfId="1" applyNumberFormat="1" applyFont="1" applyAlignment="1">
      <alignment horizontal="center"/>
    </xf>
    <xf numFmtId="164" fontId="13" fillId="0" borderId="0" xfId="3" applyBorder="1" applyAlignment="1">
      <alignment horizontal="center"/>
    </xf>
    <xf numFmtId="164" fontId="17" fillId="0" borderId="1" xfId="3" applyNumberFormat="1" applyFont="1" applyFill="1" applyBorder="1" applyAlignment="1">
      <alignment horizontal="center"/>
    </xf>
    <xf numFmtId="0" fontId="0" fillId="0" borderId="0" xfId="0"/>
    <xf numFmtId="165" fontId="6" fillId="0" borderId="3" xfId="3" applyNumberFormat="1" applyFont="1" applyFill="1" applyBorder="1" applyAlignment="1">
      <alignment horizontal="center"/>
    </xf>
    <xf numFmtId="167" fontId="6" fillId="0" borderId="2" xfId="3" applyNumberFormat="1" applyFont="1" applyFill="1" applyBorder="1" applyAlignment="1">
      <alignment horizontal="center"/>
    </xf>
    <xf numFmtId="0" fontId="6" fillId="0" borderId="3" xfId="1" applyNumberFormat="1" applyFont="1" applyFill="1" applyBorder="1" applyAlignment="1">
      <alignment horizontal="center"/>
    </xf>
    <xf numFmtId="0" fontId="6" fillId="0" borderId="0" xfId="3" applyNumberFormat="1" applyFont="1" applyFill="1" applyBorder="1" applyAlignment="1">
      <alignment horizontal="center"/>
    </xf>
    <xf numFmtId="43" fontId="6" fillId="0" borderId="0" xfId="1" applyFont="1" applyFill="1" applyBorder="1" applyAlignment="1">
      <alignment horizontal="center"/>
    </xf>
    <xf numFmtId="165" fontId="6" fillId="0" borderId="9" xfId="3" applyNumberFormat="1" applyFont="1" applyFill="1" applyBorder="1" applyAlignment="1">
      <alignment horizontal="center"/>
    </xf>
    <xf numFmtId="0" fontId="6" fillId="0" borderId="4" xfId="3" applyNumberFormat="1" applyFont="1" applyFill="1" applyBorder="1" applyAlignment="1">
      <alignment horizontal="center"/>
    </xf>
    <xf numFmtId="0" fontId="6" fillId="0" borderId="9" xfId="3" applyNumberFormat="1" applyFont="1" applyFill="1" applyBorder="1" applyAlignment="1">
      <alignment horizontal="center"/>
    </xf>
    <xf numFmtId="43" fontId="2" fillId="0" borderId="5" xfId="1" applyFont="1" applyFill="1" applyBorder="1" applyAlignment="1">
      <alignment horizontal="center"/>
    </xf>
    <xf numFmtId="1" fontId="40" fillId="0" borderId="7" xfId="3" applyNumberFormat="1" applyFont="1" applyBorder="1" applyAlignment="1">
      <alignment horizontal="left" vertical="center" wrapText="1"/>
    </xf>
    <xf numFmtId="164" fontId="40" fillId="4" borderId="3" xfId="3" applyFont="1" applyFill="1" applyBorder="1" applyAlignment="1">
      <alignment horizontal="left" vertical="center"/>
    </xf>
    <xf numFmtId="164" fontId="40" fillId="0" borderId="3" xfId="3" applyFont="1" applyFill="1" applyBorder="1" applyAlignment="1">
      <alignment horizontal="left" vertical="center"/>
    </xf>
    <xf numFmtId="164" fontId="40" fillId="0" borderId="7" xfId="3" applyFont="1" applyBorder="1" applyAlignment="1">
      <alignment horizontal="center" vertical="center" wrapText="1"/>
    </xf>
    <xf numFmtId="164" fontId="40" fillId="0" borderId="7" xfId="3" applyNumberFormat="1" applyFont="1" applyBorder="1" applyAlignment="1">
      <alignment horizontal="center" vertical="center" wrapText="1"/>
    </xf>
    <xf numFmtId="165" fontId="41" fillId="0" borderId="7" xfId="3" applyNumberFormat="1" applyFont="1" applyBorder="1" applyAlignment="1">
      <alignment horizontal="center" vertical="center" wrapText="1"/>
    </xf>
    <xf numFmtId="41" fontId="40" fillId="0" borderId="7" xfId="3" applyNumberFormat="1" applyFont="1" applyBorder="1" applyAlignment="1">
      <alignment horizontal="center" vertical="center" wrapText="1"/>
    </xf>
    <xf numFmtId="164" fontId="40" fillId="0" borderId="7" xfId="3" applyFont="1" applyFill="1" applyBorder="1" applyAlignment="1">
      <alignment horizontal="center" vertical="center" wrapText="1"/>
    </xf>
    <xf numFmtId="43" fontId="40" fillId="0" borderId="7" xfId="5" applyFont="1" applyBorder="1" applyAlignment="1">
      <alignment horizontal="center" vertical="center" wrapText="1"/>
    </xf>
    <xf numFmtId="166" fontId="40" fillId="0" borderId="7" xfId="1" applyNumberFormat="1" applyFont="1" applyBorder="1" applyAlignment="1">
      <alignment horizontal="center" vertical="center" wrapText="1"/>
    </xf>
    <xf numFmtId="0" fontId="44" fillId="2" borderId="7" xfId="3" applyNumberFormat="1" applyFont="1" applyFill="1" applyBorder="1" applyAlignment="1">
      <alignment horizontal="center" vertical="center" wrapText="1"/>
    </xf>
    <xf numFmtId="168" fontId="44" fillId="2" borderId="7" xfId="5" applyNumberFormat="1" applyFont="1" applyFill="1" applyBorder="1" applyAlignment="1">
      <alignment horizontal="center" vertical="center" wrapText="1"/>
    </xf>
    <xf numFmtId="164" fontId="16" fillId="0" borderId="0" xfId="3" applyFont="1" applyBorder="1" applyAlignment="1">
      <alignment horizontal="center" vertical="center" wrapText="1"/>
    </xf>
    <xf numFmtId="1" fontId="40" fillId="0" borderId="9" xfId="3" applyNumberFormat="1" applyFont="1" applyBorder="1" applyAlignment="1">
      <alignment horizontal="center" vertical="center"/>
    </xf>
    <xf numFmtId="164" fontId="40" fillId="0" borderId="9" xfId="3" applyFont="1" applyBorder="1" applyAlignment="1">
      <alignment horizontal="center" vertical="center"/>
    </xf>
    <xf numFmtId="164" fontId="40" fillId="0" borderId="11" xfId="3" applyNumberFormat="1" applyFont="1" applyBorder="1" applyAlignment="1">
      <alignment horizontal="center" vertical="center"/>
    </xf>
    <xf numFmtId="165" fontId="40" fillId="0" borderId="12" xfId="3" applyNumberFormat="1" applyFont="1" applyBorder="1" applyAlignment="1">
      <alignment horizontal="center" vertical="center"/>
    </xf>
    <xf numFmtId="41" fontId="40" fillId="0" borderId="14" xfId="3" applyNumberFormat="1" applyFont="1" applyBorder="1" applyAlignment="1">
      <alignment horizontal="center" vertical="center"/>
    </xf>
    <xf numFmtId="168" fontId="40" fillId="0" borderId="9" xfId="5" applyNumberFormat="1" applyFont="1" applyFill="1" applyBorder="1" applyAlignment="1">
      <alignment horizontal="center" vertical="center"/>
    </xf>
    <xf numFmtId="164" fontId="16" fillId="0" borderId="0" xfId="3" applyFont="1" applyAlignment="1">
      <alignment horizontal="center" vertical="center"/>
    </xf>
    <xf numFmtId="164" fontId="41" fillId="4" borderId="3" xfId="3" applyFont="1" applyFill="1" applyBorder="1" applyAlignment="1">
      <alignment horizontal="center" vertical="center"/>
    </xf>
    <xf numFmtId="164" fontId="41" fillId="4" borderId="2" xfId="3" applyNumberFormat="1" applyFont="1" applyFill="1" applyBorder="1" applyAlignment="1">
      <alignment horizontal="center" vertical="center"/>
    </xf>
    <xf numFmtId="165" fontId="41" fillId="4" borderId="3" xfId="3" applyNumberFormat="1" applyFont="1" applyFill="1" applyBorder="1" applyAlignment="1">
      <alignment horizontal="center" vertical="center"/>
    </xf>
    <xf numFmtId="164" fontId="41" fillId="4" borderId="2" xfId="3" applyFont="1" applyFill="1" applyBorder="1" applyAlignment="1">
      <alignment horizontal="center" vertical="center"/>
    </xf>
    <xf numFmtId="167" fontId="41" fillId="4" borderId="8" xfId="3" applyNumberFormat="1" applyFont="1" applyFill="1" applyBorder="1" applyAlignment="1">
      <alignment horizontal="center" vertical="center"/>
    </xf>
    <xf numFmtId="168" fontId="41" fillId="4" borderId="8" xfId="5" applyNumberFormat="1" applyFont="1" applyFill="1" applyBorder="1" applyAlignment="1">
      <alignment horizontal="center" vertical="center"/>
    </xf>
    <xf numFmtId="168" fontId="41" fillId="4" borderId="3" xfId="5" applyNumberFormat="1" applyFont="1" applyFill="1" applyBorder="1" applyAlignment="1">
      <alignment vertical="center"/>
    </xf>
    <xf numFmtId="168" fontId="41" fillId="4" borderId="2" xfId="5" applyNumberFormat="1" applyFont="1" applyFill="1" applyBorder="1" applyAlignment="1">
      <alignment horizontal="center" vertical="center"/>
    </xf>
    <xf numFmtId="167" fontId="41" fillId="4" borderId="3" xfId="3" applyNumberFormat="1" applyFont="1" applyFill="1" applyBorder="1" applyAlignment="1">
      <alignment horizontal="center" vertical="center"/>
    </xf>
    <xf numFmtId="168" fontId="41" fillId="4" borderId="3" xfId="5" applyNumberFormat="1" applyFont="1" applyFill="1" applyBorder="1" applyAlignment="1">
      <alignment horizontal="center" vertical="center"/>
    </xf>
    <xf numFmtId="168" fontId="41" fillId="4" borderId="0" xfId="5" applyNumberFormat="1" applyFont="1" applyFill="1" applyBorder="1" applyAlignment="1">
      <alignment horizontal="center" vertical="center"/>
    </xf>
    <xf numFmtId="0" fontId="41" fillId="4" borderId="3" xfId="3" applyNumberFormat="1" applyFont="1" applyFill="1" applyBorder="1" applyAlignment="1">
      <alignment horizontal="center" vertical="center"/>
    </xf>
    <xf numFmtId="0" fontId="41" fillId="4" borderId="0" xfId="3" applyNumberFormat="1" applyFont="1" applyFill="1" applyBorder="1" applyAlignment="1">
      <alignment horizontal="center" vertical="center"/>
    </xf>
    <xf numFmtId="0" fontId="41" fillId="4" borderId="2" xfId="3" applyNumberFormat="1" applyFont="1" applyFill="1" applyBorder="1" applyAlignment="1">
      <alignment horizontal="center" vertical="center"/>
    </xf>
    <xf numFmtId="166" fontId="41" fillId="4" borderId="0" xfId="5" applyNumberFormat="1" applyFont="1" applyFill="1" applyBorder="1" applyAlignment="1">
      <alignment horizontal="center" vertical="center"/>
    </xf>
    <xf numFmtId="164" fontId="41" fillId="0" borderId="3" xfId="3" applyFont="1" applyFill="1" applyBorder="1" applyAlignment="1">
      <alignment horizontal="center" vertical="center"/>
    </xf>
    <xf numFmtId="164" fontId="41" fillId="0" borderId="2" xfId="3" applyNumberFormat="1" applyFont="1" applyFill="1" applyBorder="1" applyAlignment="1">
      <alignment horizontal="center" vertical="center"/>
    </xf>
    <xf numFmtId="165" fontId="41" fillId="0" borderId="3" xfId="3" applyNumberFormat="1" applyFont="1" applyFill="1" applyBorder="1" applyAlignment="1">
      <alignment horizontal="center" vertical="center"/>
    </xf>
    <xf numFmtId="164" fontId="41" fillId="0" borderId="2" xfId="3" applyFont="1" applyFill="1" applyBorder="1" applyAlignment="1">
      <alignment horizontal="center" vertical="center"/>
    </xf>
    <xf numFmtId="167" fontId="41" fillId="0" borderId="8" xfId="3" applyNumberFormat="1" applyFont="1" applyFill="1" applyBorder="1" applyAlignment="1">
      <alignment horizontal="center" vertical="center"/>
    </xf>
    <xf numFmtId="168" fontId="41" fillId="0" borderId="8" xfId="5" applyNumberFormat="1" applyFont="1" applyFill="1" applyBorder="1" applyAlignment="1">
      <alignment horizontal="center" vertical="center"/>
    </xf>
    <xf numFmtId="168" fontId="41" fillId="0" borderId="3" xfId="5" applyNumberFormat="1" applyFont="1" applyFill="1" applyBorder="1" applyAlignment="1">
      <alignment vertical="center"/>
    </xf>
    <xf numFmtId="168" fontId="41" fillId="0" borderId="2" xfId="5" applyNumberFormat="1" applyFont="1" applyFill="1" applyBorder="1" applyAlignment="1">
      <alignment horizontal="center" vertical="center"/>
    </xf>
    <xf numFmtId="168" fontId="41" fillId="0" borderId="3" xfId="5" applyNumberFormat="1" applyFont="1" applyFill="1" applyBorder="1" applyAlignment="1">
      <alignment horizontal="center" vertical="center"/>
    </xf>
    <xf numFmtId="167" fontId="41" fillId="0" borderId="3" xfId="3" applyNumberFormat="1" applyFont="1" applyFill="1" applyBorder="1" applyAlignment="1">
      <alignment horizontal="center" vertical="center"/>
    </xf>
    <xf numFmtId="168" fontId="41" fillId="0" borderId="0" xfId="5" applyNumberFormat="1" applyFont="1" applyFill="1" applyBorder="1" applyAlignment="1">
      <alignment horizontal="center" vertical="center"/>
    </xf>
    <xf numFmtId="0" fontId="41" fillId="0" borderId="3" xfId="3" applyNumberFormat="1" applyFont="1" applyFill="1" applyBorder="1" applyAlignment="1">
      <alignment horizontal="center" vertical="center"/>
    </xf>
    <xf numFmtId="0" fontId="41" fillId="0" borderId="0" xfId="3" applyNumberFormat="1" applyFont="1" applyFill="1" applyBorder="1" applyAlignment="1">
      <alignment horizontal="center" vertical="center"/>
    </xf>
    <xf numFmtId="0" fontId="41" fillId="0" borderId="2" xfId="3" applyNumberFormat="1" applyFont="1" applyFill="1" applyBorder="1" applyAlignment="1">
      <alignment horizontal="center" vertical="center"/>
    </xf>
    <xf numFmtId="164" fontId="17" fillId="0" borderId="0" xfId="3" applyFont="1" applyFill="1" applyBorder="1" applyAlignment="1">
      <alignment vertical="center"/>
    </xf>
    <xf numFmtId="167" fontId="41" fillId="0" borderId="2" xfId="3" applyNumberFormat="1" applyFont="1" applyFill="1" applyBorder="1" applyAlignment="1">
      <alignment horizontal="center" vertical="center"/>
    </xf>
    <xf numFmtId="0" fontId="41" fillId="4" borderId="4" xfId="3" applyNumberFormat="1" applyFont="1" applyFill="1" applyBorder="1" applyAlignment="1">
      <alignment horizontal="center" vertical="center"/>
    </xf>
    <xf numFmtId="0" fontId="41" fillId="4" borderId="7" xfId="3" applyNumberFormat="1" applyFont="1" applyFill="1" applyBorder="1" applyAlignment="1">
      <alignment horizontal="center" vertical="center"/>
    </xf>
    <xf numFmtId="0" fontId="41" fillId="4" borderId="5" xfId="3" applyNumberFormat="1" applyFont="1" applyFill="1" applyBorder="1" applyAlignment="1">
      <alignment horizontal="center" vertical="center"/>
    </xf>
    <xf numFmtId="0" fontId="0" fillId="0" borderId="0" xfId="0" applyNumberFormat="1"/>
    <xf numFmtId="167" fontId="41" fillId="4" borderId="2" xfId="3" applyNumberFormat="1" applyFont="1" applyFill="1" applyBorder="1" applyAlignment="1">
      <alignment horizontal="center" vertical="center"/>
    </xf>
    <xf numFmtId="167" fontId="41" fillId="4" borderId="4" xfId="3" applyNumberFormat="1" applyFont="1" applyFill="1" applyBorder="1" applyAlignment="1">
      <alignment horizontal="center" vertical="center"/>
    </xf>
    <xf numFmtId="43" fontId="19" fillId="0" borderId="2" xfId="1" applyFont="1" applyFill="1" applyBorder="1" applyAlignment="1">
      <alignment horizontal="center"/>
    </xf>
    <xf numFmtId="43" fontId="0" fillId="0" borderId="0" xfId="1" applyFont="1" applyFill="1"/>
    <xf numFmtId="166" fontId="41" fillId="4" borderId="0" xfId="1" applyNumberFormat="1" applyFont="1" applyFill="1" applyBorder="1" applyAlignment="1">
      <alignment vertical="center"/>
    </xf>
    <xf numFmtId="166" fontId="41" fillId="0" borderId="0" xfId="1" applyNumberFormat="1" applyFont="1" applyFill="1" applyBorder="1" applyAlignment="1">
      <alignment vertical="center"/>
    </xf>
    <xf numFmtId="168" fontId="43" fillId="0" borderId="0" xfId="1" applyNumberFormat="1" applyFont="1" applyBorder="1"/>
    <xf numFmtId="1" fontId="41" fillId="0" borderId="2" xfId="3" applyNumberFormat="1" applyFont="1" applyFill="1" applyBorder="1" applyAlignment="1">
      <alignment horizontal="center" vertical="center"/>
    </xf>
    <xf numFmtId="0" fontId="43" fillId="0" borderId="0" xfId="5" applyNumberFormat="1" applyFont="1" applyBorder="1"/>
    <xf numFmtId="164" fontId="40" fillId="0" borderId="4" xfId="3" applyFont="1" applyFill="1" applyBorder="1" applyAlignment="1">
      <alignment horizontal="center" vertical="center"/>
    </xf>
    <xf numFmtId="43" fontId="40" fillId="0" borderId="5" xfId="5" applyFont="1" applyBorder="1" applyAlignment="1">
      <alignment horizontal="center" vertical="center"/>
    </xf>
    <xf numFmtId="166" fontId="40" fillId="0" borderId="5" xfId="1" applyNumberFormat="1" applyFont="1" applyBorder="1" applyAlignment="1">
      <alignment horizontal="center" vertical="center"/>
    </xf>
    <xf numFmtId="164" fontId="36" fillId="0" borderId="12" xfId="3" applyNumberFormat="1" applyFont="1" applyFill="1" applyBorder="1" applyAlignment="1">
      <alignment horizontal="center" vertical="center"/>
    </xf>
    <xf numFmtId="164" fontId="36" fillId="0" borderId="13" xfId="3" applyFont="1" applyFill="1" applyBorder="1" applyAlignment="1">
      <alignment horizontal="center" vertical="center"/>
    </xf>
    <xf numFmtId="164" fontId="40" fillId="0" borderId="14" xfId="3" applyFont="1" applyFill="1" applyBorder="1" applyAlignment="1">
      <alignment horizontal="center" vertical="center"/>
    </xf>
    <xf numFmtId="166" fontId="40" fillId="0" borderId="4" xfId="1" applyNumberFormat="1" applyFont="1" applyBorder="1" applyAlignment="1">
      <alignment horizontal="center" vertical="center"/>
    </xf>
    <xf numFmtId="166" fontId="41" fillId="4" borderId="3" xfId="1" applyNumberFormat="1" applyFont="1" applyFill="1" applyBorder="1" applyAlignment="1">
      <alignment horizontal="center" vertical="center"/>
    </xf>
    <xf numFmtId="166" fontId="41" fillId="0" borderId="3" xfId="1" applyNumberFormat="1" applyFont="1" applyFill="1" applyBorder="1" applyAlignment="1">
      <alignment horizontal="center" vertical="center"/>
    </xf>
    <xf numFmtId="166" fontId="41" fillId="4" borderId="2" xfId="1" applyNumberFormat="1" applyFont="1" applyFill="1" applyBorder="1" applyAlignment="1">
      <alignment horizontal="center" vertical="center"/>
    </xf>
    <xf numFmtId="166" fontId="41" fillId="0" borderId="2" xfId="1" applyNumberFormat="1" applyFont="1" applyFill="1" applyBorder="1" applyAlignment="1">
      <alignment horizontal="center" vertical="center"/>
    </xf>
    <xf numFmtId="168" fontId="40" fillId="0" borderId="12" xfId="5" applyNumberFormat="1" applyFont="1" applyBorder="1" applyAlignment="1">
      <alignment horizontal="center" vertical="center"/>
    </xf>
    <xf numFmtId="168" fontId="40" fillId="0" borderId="13" xfId="5" applyNumberFormat="1" applyFont="1" applyBorder="1" applyAlignment="1">
      <alignment horizontal="center" vertical="center"/>
    </xf>
    <xf numFmtId="0" fontId="40" fillId="0" borderId="14" xfId="5" applyNumberFormat="1" applyFont="1" applyBorder="1" applyAlignment="1">
      <alignment horizontal="center" vertical="center"/>
    </xf>
    <xf numFmtId="168" fontId="40" fillId="0" borderId="14" xfId="5" applyNumberFormat="1" applyFont="1" applyBorder="1" applyAlignment="1">
      <alignment horizontal="center" vertical="center"/>
    </xf>
    <xf numFmtId="166" fontId="40" fillId="0" borderId="12" xfId="5" applyNumberFormat="1" applyFont="1" applyBorder="1" applyAlignment="1">
      <alignment horizontal="center" vertical="center"/>
    </xf>
    <xf numFmtId="166" fontId="40" fillId="0" borderId="14" xfId="5" applyNumberFormat="1" applyFont="1" applyBorder="1" applyAlignment="1">
      <alignment horizontal="center" vertical="center"/>
    </xf>
    <xf numFmtId="168" fontId="41" fillId="4" borderId="4" xfId="5" applyNumberFormat="1" applyFont="1" applyFill="1" applyBorder="1" applyAlignment="1">
      <alignment horizontal="center" vertical="center"/>
    </xf>
    <xf numFmtId="168" fontId="41" fillId="4" borderId="5" xfId="5" applyNumberFormat="1" applyFont="1" applyFill="1" applyBorder="1" applyAlignment="1">
      <alignment horizontal="center" vertical="center"/>
    </xf>
    <xf numFmtId="1" fontId="41" fillId="4" borderId="2" xfId="3" applyNumberFormat="1" applyFont="1" applyFill="1" applyBorder="1" applyAlignment="1">
      <alignment horizontal="center" vertical="center"/>
    </xf>
    <xf numFmtId="166" fontId="41" fillId="4" borderId="3" xfId="5" applyNumberFormat="1" applyFont="1" applyFill="1" applyBorder="1" applyAlignment="1">
      <alignment horizontal="center" vertical="center"/>
    </xf>
    <xf numFmtId="168" fontId="36" fillId="0" borderId="12" xfId="5" applyNumberFormat="1" applyFont="1" applyBorder="1" applyAlignment="1">
      <alignment horizontal="center" vertical="center" wrapText="1"/>
    </xf>
    <xf numFmtId="168" fontId="36" fillId="0" borderId="1" xfId="5" applyNumberFormat="1" applyFont="1" applyBorder="1" applyAlignment="1">
      <alignment horizontal="center" vertical="center" wrapText="1"/>
    </xf>
    <xf numFmtId="164" fontId="40" fillId="0" borderId="0" xfId="3" applyFont="1" applyBorder="1" applyAlignment="1">
      <alignment horizontal="center" vertical="center" wrapText="1"/>
    </xf>
    <xf numFmtId="164" fontId="40" fillId="0" borderId="0" xfId="3" applyFont="1" applyAlignment="1">
      <alignment horizontal="center" vertical="center"/>
    </xf>
    <xf numFmtId="0" fontId="43" fillId="0" borderId="0" xfId="0" applyFont="1"/>
    <xf numFmtId="167" fontId="41" fillId="4" borderId="6" xfId="3" applyNumberFormat="1" applyFont="1" applyFill="1" applyBorder="1" applyAlignment="1">
      <alignment horizontal="center" vertical="center"/>
    </xf>
    <xf numFmtId="1" fontId="41" fillId="4" borderId="5" xfId="3" applyNumberFormat="1" applyFont="1" applyFill="1" applyBorder="1" applyAlignment="1">
      <alignment horizontal="center" vertical="center"/>
    </xf>
    <xf numFmtId="166" fontId="41" fillId="4" borderId="7" xfId="1" applyNumberFormat="1" applyFont="1" applyFill="1" applyBorder="1" applyAlignment="1">
      <alignment vertical="center"/>
    </xf>
    <xf numFmtId="0" fontId="41" fillId="4" borderId="0" xfId="3" applyNumberFormat="1" applyFont="1" applyFill="1" applyBorder="1" applyAlignment="1">
      <alignment vertical="center"/>
    </xf>
    <xf numFmtId="164" fontId="17" fillId="4" borderId="0" xfId="3" applyFont="1" applyFill="1" applyBorder="1" applyAlignment="1">
      <alignment vertical="center"/>
    </xf>
    <xf numFmtId="0" fontId="41" fillId="0" borderId="0" xfId="3" applyNumberFormat="1" applyFont="1" applyFill="1" applyBorder="1" applyAlignment="1">
      <alignment vertical="center"/>
    </xf>
    <xf numFmtId="164" fontId="41" fillId="4" borderId="4" xfId="3" applyFont="1" applyFill="1" applyBorder="1" applyAlignment="1">
      <alignment horizontal="center" vertical="center"/>
    </xf>
    <xf numFmtId="43" fontId="41" fillId="0" borderId="0" xfId="1" applyFont="1" applyFill="1" applyBorder="1" applyAlignment="1">
      <alignment horizontal="center" vertical="center"/>
    </xf>
    <xf numFmtId="43" fontId="41" fillId="4" borderId="0" xfId="1" applyFont="1" applyFill="1" applyBorder="1" applyAlignment="1">
      <alignment horizontal="center" vertical="center"/>
    </xf>
    <xf numFmtId="0" fontId="40" fillId="0" borderId="11" xfId="5" applyNumberFormat="1" applyFont="1" applyFill="1" applyBorder="1" applyAlignment="1">
      <alignment horizontal="center" vertical="center"/>
    </xf>
    <xf numFmtId="0" fontId="40" fillId="0" borderId="9" xfId="5" applyNumberFormat="1" applyFont="1" applyFill="1" applyBorder="1" applyAlignment="1">
      <alignment horizontal="center" vertical="center"/>
    </xf>
    <xf numFmtId="0" fontId="40" fillId="0" borderId="9" xfId="5" applyNumberFormat="1" applyFont="1" applyBorder="1" applyAlignment="1">
      <alignment horizontal="center" vertical="center"/>
    </xf>
    <xf numFmtId="0" fontId="40" fillId="0" borderId="1" xfId="5" applyNumberFormat="1" applyFont="1" applyBorder="1" applyAlignment="1">
      <alignment horizontal="center" vertical="center"/>
    </xf>
    <xf numFmtId="0" fontId="40" fillId="0" borderId="11" xfId="5" applyNumberFormat="1" applyFont="1" applyBorder="1" applyAlignment="1">
      <alignment horizontal="center" vertical="center"/>
    </xf>
    <xf numFmtId="0" fontId="41" fillId="4" borderId="3" xfId="5" applyNumberFormat="1" applyFont="1" applyFill="1" applyBorder="1" applyAlignment="1">
      <alignment horizontal="center" vertical="center"/>
    </xf>
    <xf numFmtId="0" fontId="41" fillId="4" borderId="0" xfId="5" applyNumberFormat="1" applyFont="1" applyFill="1" applyBorder="1" applyAlignment="1">
      <alignment horizontal="center" vertical="center"/>
    </xf>
    <xf numFmtId="0" fontId="41" fillId="4" borderId="2" xfId="5" applyNumberFormat="1" applyFont="1" applyFill="1" applyBorder="1" applyAlignment="1">
      <alignment horizontal="center" vertical="center"/>
    </xf>
    <xf numFmtId="0" fontId="41" fillId="0" borderId="3" xfId="5" applyNumberFormat="1" applyFont="1" applyFill="1" applyBorder="1" applyAlignment="1">
      <alignment horizontal="center" vertical="center"/>
    </xf>
    <xf numFmtId="0" fontId="41" fillId="0" borderId="0" xfId="5" applyNumberFormat="1" applyFont="1" applyFill="1" applyBorder="1" applyAlignment="1">
      <alignment horizontal="center" vertical="center"/>
    </xf>
    <xf numFmtId="0" fontId="41" fillId="0" borderId="2" xfId="5" applyNumberFormat="1" applyFont="1" applyFill="1" applyBorder="1" applyAlignment="1">
      <alignment horizontal="center" vertical="center"/>
    </xf>
    <xf numFmtId="164" fontId="41" fillId="0" borderId="3" xfId="3" applyNumberFormat="1" applyFont="1" applyFill="1" applyBorder="1" applyAlignment="1">
      <alignment horizontal="center" vertical="center"/>
    </xf>
    <xf numFmtId="164" fontId="41" fillId="4" borderId="3" xfId="3" applyNumberFormat="1" applyFont="1" applyFill="1" applyBorder="1" applyAlignment="1">
      <alignment horizontal="center" vertical="center"/>
    </xf>
    <xf numFmtId="168" fontId="45" fillId="2" borderId="4" xfId="5" applyNumberFormat="1" applyFont="1" applyFill="1" applyBorder="1" applyAlignment="1">
      <alignment horizontal="center" wrapText="1"/>
    </xf>
    <xf numFmtId="168" fontId="36" fillId="0" borderId="7" xfId="5" applyNumberFormat="1" applyFont="1" applyBorder="1" applyAlignment="1">
      <alignment horizontal="center" wrapText="1"/>
    </xf>
    <xf numFmtId="171" fontId="36" fillId="0" borderId="5" xfId="2" applyNumberFormat="1" applyFont="1" applyBorder="1" applyAlignment="1">
      <alignment horizontal="center" wrapText="1"/>
    </xf>
    <xf numFmtId="168" fontId="36" fillId="0" borderId="5" xfId="5" applyNumberFormat="1" applyFont="1" applyBorder="1" applyAlignment="1">
      <alignment horizontal="center" wrapText="1"/>
    </xf>
    <xf numFmtId="168" fontId="45" fillId="0" borderId="9" xfId="5" applyNumberFormat="1" applyFont="1" applyBorder="1" applyAlignment="1">
      <alignment horizontal="center" wrapText="1"/>
    </xf>
    <xf numFmtId="168" fontId="45" fillId="0" borderId="1" xfId="5" applyNumberFormat="1" applyFont="1" applyBorder="1" applyAlignment="1">
      <alignment horizontal="center" wrapText="1"/>
    </xf>
    <xf numFmtId="168" fontId="40" fillId="0" borderId="11" xfId="5" applyNumberFormat="1" applyFont="1" applyFill="1" applyBorder="1" applyAlignment="1">
      <alignment horizontal="center"/>
    </xf>
    <xf numFmtId="168" fontId="43" fillId="0" borderId="0" xfId="0" applyNumberFormat="1" applyFont="1" applyBorder="1"/>
    <xf numFmtId="0" fontId="0" fillId="0" borderId="0" xfId="0" applyNumberFormat="1" applyBorder="1"/>
    <xf numFmtId="0" fontId="43" fillId="0" borderId="0" xfId="1" applyNumberFormat="1" applyFont="1" applyBorder="1"/>
    <xf numFmtId="168" fontId="41" fillId="4" borderId="7" xfId="5" applyNumberFormat="1" applyFont="1" applyFill="1" applyBorder="1" applyAlignment="1">
      <alignment horizontal="center" vertical="center"/>
    </xf>
    <xf numFmtId="0" fontId="40" fillId="0" borderId="13" xfId="5" applyNumberFormat="1" applyFont="1" applyBorder="1" applyAlignment="1">
      <alignment horizontal="center" vertical="center"/>
    </xf>
    <xf numFmtId="0" fontId="40" fillId="0" borderId="3" xfId="5" applyNumberFormat="1" applyFont="1" applyFill="1" applyBorder="1" applyAlignment="1">
      <alignment horizontal="center" vertical="center"/>
    </xf>
    <xf numFmtId="0" fontId="40" fillId="0" borderId="2" xfId="5" applyNumberFormat="1" applyFont="1" applyFill="1" applyBorder="1" applyAlignment="1">
      <alignment horizontal="center" vertical="center"/>
    </xf>
    <xf numFmtId="0" fontId="43" fillId="0" borderId="0" xfId="0" applyNumberFormat="1" applyFont="1" applyBorder="1"/>
    <xf numFmtId="0" fontId="43" fillId="0" borderId="0" xfId="0" applyNumberFormat="1" applyFont="1"/>
    <xf numFmtId="0" fontId="36" fillId="0" borderId="0" xfId="0" applyFont="1" applyBorder="1" applyAlignment="1">
      <alignment horizontal="left"/>
    </xf>
    <xf numFmtId="0" fontId="17" fillId="4" borderId="0" xfId="3" applyNumberFormat="1" applyFont="1" applyFill="1" applyBorder="1" applyAlignment="1">
      <alignment vertical="center"/>
    </xf>
    <xf numFmtId="0" fontId="16" fillId="0" borderId="0" xfId="3" applyNumberFormat="1" applyFont="1" applyBorder="1" applyAlignment="1">
      <alignment horizontal="center" vertical="center" wrapText="1"/>
    </xf>
    <xf numFmtId="0" fontId="16" fillId="0" borderId="0" xfId="3" applyNumberFormat="1" applyFont="1" applyAlignment="1">
      <alignment horizontal="center" vertical="center"/>
    </xf>
    <xf numFmtId="0" fontId="17" fillId="0" borderId="0" xfId="3" applyNumberFormat="1" applyFont="1" applyFill="1" applyBorder="1" applyAlignment="1">
      <alignment vertical="center"/>
    </xf>
    <xf numFmtId="168" fontId="41" fillId="4" borderId="4" xfId="7" applyNumberFormat="1" applyFont="1" applyFill="1" applyBorder="1" applyAlignment="1">
      <alignment horizontal="center" vertical="center"/>
    </xf>
    <xf numFmtId="168" fontId="41" fillId="4" borderId="3" xfId="7" applyNumberFormat="1" applyFont="1" applyFill="1" applyBorder="1" applyAlignment="1">
      <alignment horizontal="center" vertical="center"/>
    </xf>
    <xf numFmtId="168" fontId="41" fillId="0" borderId="3" xfId="7" applyNumberFormat="1" applyFont="1" applyFill="1" applyBorder="1" applyAlignment="1">
      <alignment horizontal="center" vertical="center"/>
    </xf>
    <xf numFmtId="0" fontId="41" fillId="4" borderId="0" xfId="3" applyNumberFormat="1" applyFont="1" applyFill="1" applyAlignment="1">
      <alignment horizontal="center" vertical="center"/>
    </xf>
    <xf numFmtId="168" fontId="41" fillId="4" borderId="0" xfId="7" applyNumberFormat="1" applyFont="1" applyFill="1" applyBorder="1" applyAlignment="1">
      <alignment horizontal="center" vertical="center"/>
    </xf>
    <xf numFmtId="168" fontId="41" fillId="0" borderId="0" xfId="7" applyNumberFormat="1" applyFont="1" applyFill="1" applyBorder="1" applyAlignment="1">
      <alignment horizontal="center" vertical="center"/>
    </xf>
    <xf numFmtId="164" fontId="17" fillId="0" borderId="9" xfId="3" applyNumberFormat="1" applyFont="1" applyBorder="1" applyAlignment="1">
      <alignment horizontal="center"/>
    </xf>
    <xf numFmtId="1" fontId="17" fillId="0" borderId="11" xfId="5" applyNumberFormat="1" applyFont="1" applyBorder="1" applyAlignment="1">
      <alignment horizontal="center"/>
    </xf>
    <xf numFmtId="0" fontId="6" fillId="0" borderId="11" xfId="3" applyNumberFormat="1" applyFont="1" applyFill="1" applyBorder="1" applyAlignment="1">
      <alignment horizontal="center"/>
    </xf>
    <xf numFmtId="41" fontId="6" fillId="0" borderId="9" xfId="3" applyNumberFormat="1" applyFont="1" applyFill="1" applyBorder="1" applyAlignment="1">
      <alignment horizontal="center"/>
    </xf>
    <xf numFmtId="41" fontId="6" fillId="0" borderId="11" xfId="3" applyNumberFormat="1" applyFont="1" applyFill="1" applyBorder="1" applyAlignment="1">
      <alignment horizontal="center"/>
    </xf>
    <xf numFmtId="164" fontId="13" fillId="0" borderId="0" xfId="3" applyFont="1" applyBorder="1"/>
    <xf numFmtId="0" fontId="12" fillId="0" borderId="9" xfId="0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0" fillId="3" borderId="0" xfId="0" applyFill="1" applyAlignment="1">
      <alignment horizontal="center"/>
    </xf>
    <xf numFmtId="0" fontId="0" fillId="3" borderId="0" xfId="0" applyFont="1" applyFill="1" applyBorder="1" applyAlignment="1">
      <alignment horizontal="center" vertical="center"/>
    </xf>
    <xf numFmtId="0" fontId="0" fillId="3" borderId="2" xfId="0" applyFont="1" applyFill="1" applyBorder="1" applyAlignment="1">
      <alignment horizontal="center" vertical="center"/>
    </xf>
    <xf numFmtId="164" fontId="13" fillId="0" borderId="0" xfId="3" applyBorder="1" applyAlignment="1">
      <alignment horizontal="center"/>
    </xf>
    <xf numFmtId="164" fontId="13" fillId="0" borderId="2" xfId="3" applyBorder="1" applyAlignment="1">
      <alignment horizontal="center"/>
    </xf>
    <xf numFmtId="9" fontId="6" fillId="0" borderId="0" xfId="4" applyFont="1" applyFill="1" applyBorder="1" applyAlignment="1">
      <alignment horizontal="center"/>
    </xf>
    <xf numFmtId="1" fontId="6" fillId="0" borderId="0" xfId="3" applyNumberFormat="1" applyFont="1" applyAlignment="1">
      <alignment horizontal="center"/>
    </xf>
    <xf numFmtId="43" fontId="6" fillId="0" borderId="0" xfId="1" applyFont="1" applyAlignment="1">
      <alignment horizontal="center"/>
    </xf>
    <xf numFmtId="0" fontId="6" fillId="0" borderId="0" xfId="3" applyNumberFormat="1" applyFont="1" applyAlignment="1">
      <alignment horizontal="center"/>
    </xf>
    <xf numFmtId="0" fontId="6" fillId="0" borderId="6" xfId="3" applyNumberFormat="1" applyFont="1" applyFill="1" applyBorder="1" applyAlignment="1">
      <alignment horizontal="center"/>
    </xf>
    <xf numFmtId="164" fontId="6" fillId="0" borderId="6" xfId="3" applyNumberFormat="1" applyFont="1" applyFill="1" applyBorder="1" applyAlignment="1">
      <alignment horizontal="center"/>
    </xf>
    <xf numFmtId="0" fontId="6" fillId="0" borderId="5" xfId="3" applyNumberFormat="1" applyFont="1" applyFill="1" applyBorder="1" applyAlignment="1">
      <alignment horizontal="center"/>
    </xf>
    <xf numFmtId="0" fontId="6" fillId="0" borderId="7" xfId="3" applyNumberFormat="1" applyFont="1" applyFill="1" applyBorder="1" applyAlignment="1">
      <alignment horizontal="center"/>
    </xf>
    <xf numFmtId="167" fontId="6" fillId="0" borderId="4" xfId="5" applyNumberFormat="1" applyFont="1" applyFill="1" applyBorder="1" applyAlignment="1">
      <alignment horizontal="center"/>
    </xf>
    <xf numFmtId="167" fontId="6" fillId="0" borderId="5" xfId="5" applyNumberFormat="1" applyFont="1" applyFill="1" applyBorder="1" applyAlignment="1">
      <alignment horizontal="center"/>
    </xf>
    <xf numFmtId="164" fontId="13" fillId="0" borderId="0" xfId="3" applyFont="1" applyAlignment="1">
      <alignment horizontal="center"/>
    </xf>
    <xf numFmtId="0" fontId="6" fillId="0" borderId="10" xfId="3" applyNumberFormat="1" applyFont="1" applyFill="1" applyBorder="1" applyAlignment="1">
      <alignment horizontal="center"/>
    </xf>
    <xf numFmtId="164" fontId="6" fillId="0" borderId="10" xfId="3" applyNumberFormat="1" applyFont="1" applyFill="1" applyBorder="1" applyAlignment="1">
      <alignment horizontal="center"/>
    </xf>
    <xf numFmtId="0" fontId="6" fillId="0" borderId="1" xfId="3" applyNumberFormat="1" applyFont="1" applyFill="1" applyBorder="1" applyAlignment="1">
      <alignment horizontal="center"/>
    </xf>
    <xf numFmtId="0" fontId="6" fillId="0" borderId="2" xfId="0" applyFont="1" applyBorder="1" applyAlignment="1">
      <alignment horizontal="center"/>
    </xf>
    <xf numFmtId="43" fontId="6" fillId="5" borderId="3" xfId="0" applyNumberFormat="1" applyFont="1" applyFill="1" applyBorder="1" applyAlignment="1">
      <alignment horizontal="center"/>
    </xf>
    <xf numFmtId="43" fontId="6" fillId="6" borderId="3" xfId="0" applyNumberFormat="1" applyFont="1" applyFill="1" applyBorder="1" applyAlignment="1">
      <alignment horizontal="center"/>
    </xf>
    <xf numFmtId="41" fontId="2" fillId="0" borderId="4" xfId="3" applyNumberFormat="1" applyFont="1" applyFill="1" applyBorder="1" applyAlignment="1">
      <alignment horizontal="center"/>
    </xf>
    <xf numFmtId="41" fontId="2" fillId="0" borderId="5" xfId="3" applyNumberFormat="1" applyFont="1" applyFill="1" applyBorder="1" applyAlignment="1">
      <alignment horizontal="center"/>
    </xf>
    <xf numFmtId="41" fontId="46" fillId="0" borderId="0" xfId="5" applyNumberFormat="1" applyFont="1" applyFill="1" applyBorder="1" applyAlignment="1">
      <alignment horizontal="center"/>
    </xf>
    <xf numFmtId="0" fontId="46" fillId="0" borderId="6" xfId="3" applyNumberFormat="1" applyFont="1" applyFill="1" applyBorder="1" applyAlignment="1">
      <alignment horizontal="center"/>
    </xf>
    <xf numFmtId="164" fontId="46" fillId="0" borderId="6" xfId="3" applyNumberFormat="1" applyFont="1" applyFill="1" applyBorder="1" applyAlignment="1">
      <alignment horizontal="center"/>
    </xf>
    <xf numFmtId="165" fontId="46" fillId="0" borderId="4" xfId="3" applyNumberFormat="1" applyFont="1" applyFill="1" applyBorder="1" applyAlignment="1">
      <alignment horizontal="center"/>
    </xf>
    <xf numFmtId="41" fontId="46" fillId="0" borderId="5" xfId="3" applyNumberFormat="1" applyFont="1" applyFill="1" applyBorder="1" applyAlignment="1">
      <alignment horizontal="center"/>
    </xf>
    <xf numFmtId="41" fontId="46" fillId="0" borderId="4" xfId="3" applyNumberFormat="1" applyFont="1" applyFill="1" applyBorder="1" applyAlignment="1">
      <alignment horizontal="center"/>
    </xf>
    <xf numFmtId="170" fontId="46" fillId="0" borderId="4" xfId="5" applyNumberFormat="1" applyFont="1" applyFill="1" applyBorder="1" applyAlignment="1">
      <alignment horizontal="right"/>
    </xf>
    <xf numFmtId="170" fontId="46" fillId="0" borderId="5" xfId="5" applyNumberFormat="1" applyFont="1" applyFill="1" applyBorder="1" applyAlignment="1">
      <alignment horizontal="right"/>
    </xf>
    <xf numFmtId="0" fontId="46" fillId="0" borderId="11" xfId="3" applyNumberFormat="1" applyFont="1" applyFill="1" applyBorder="1" applyAlignment="1">
      <alignment horizontal="center"/>
    </xf>
    <xf numFmtId="0" fontId="46" fillId="0" borderId="10" xfId="3" applyNumberFormat="1" applyFont="1" applyFill="1" applyBorder="1" applyAlignment="1">
      <alignment horizontal="center"/>
    </xf>
    <xf numFmtId="164" fontId="46" fillId="0" borderId="10" xfId="3" applyNumberFormat="1" applyFont="1" applyFill="1" applyBorder="1" applyAlignment="1">
      <alignment horizontal="center"/>
    </xf>
    <xf numFmtId="165" fontId="46" fillId="0" borderId="9" xfId="3" applyNumberFormat="1" applyFont="1" applyFill="1" applyBorder="1" applyAlignment="1">
      <alignment horizontal="center"/>
    </xf>
    <xf numFmtId="41" fontId="46" fillId="0" borderId="11" xfId="3" applyNumberFormat="1" applyFont="1" applyFill="1" applyBorder="1" applyAlignment="1">
      <alignment horizontal="center"/>
    </xf>
    <xf numFmtId="41" fontId="46" fillId="0" borderId="9" xfId="3" applyNumberFormat="1" applyFont="1" applyFill="1" applyBorder="1" applyAlignment="1">
      <alignment horizontal="center"/>
    </xf>
    <xf numFmtId="170" fontId="46" fillId="0" borderId="9" xfId="5" applyNumberFormat="1" applyFont="1" applyFill="1" applyBorder="1" applyAlignment="1">
      <alignment horizontal="right"/>
    </xf>
    <xf numFmtId="170" fontId="46" fillId="0" borderId="11" xfId="5" applyNumberFormat="1" applyFont="1" applyFill="1" applyBorder="1" applyAlignment="1">
      <alignment horizontal="right"/>
    </xf>
    <xf numFmtId="41" fontId="46" fillId="0" borderId="1" xfId="3" applyNumberFormat="1" applyFont="1" applyFill="1" applyBorder="1" applyAlignment="1">
      <alignment horizontal="center"/>
    </xf>
    <xf numFmtId="0" fontId="46" fillId="0" borderId="11" xfId="5" applyNumberFormat="1" applyFont="1" applyFill="1" applyBorder="1" applyAlignment="1">
      <alignment horizontal="center"/>
    </xf>
    <xf numFmtId="0" fontId="46" fillId="0" borderId="2" xfId="3" applyNumberFormat="1" applyFont="1" applyFill="1" applyBorder="1" applyAlignment="1">
      <alignment horizontal="center"/>
    </xf>
    <xf numFmtId="0" fontId="46" fillId="0" borderId="8" xfId="3" applyNumberFormat="1" applyFont="1" applyFill="1" applyBorder="1" applyAlignment="1">
      <alignment horizontal="center"/>
    </xf>
    <xf numFmtId="164" fontId="46" fillId="0" borderId="8" xfId="5" applyNumberFormat="1" applyFont="1" applyFill="1" applyBorder="1" applyAlignment="1">
      <alignment horizontal="center"/>
    </xf>
    <xf numFmtId="165" fontId="46" fillId="0" borderId="3" xfId="5" applyNumberFormat="1" applyFont="1" applyFill="1" applyBorder="1" applyAlignment="1">
      <alignment horizontal="center"/>
    </xf>
    <xf numFmtId="41" fontId="46" fillId="0" borderId="2" xfId="5" applyNumberFormat="1" applyFont="1" applyFill="1" applyBorder="1" applyAlignment="1">
      <alignment horizontal="center"/>
    </xf>
    <xf numFmtId="41" fontId="46" fillId="0" borderId="3" xfId="5" applyNumberFormat="1" applyFont="1" applyFill="1" applyBorder="1" applyAlignment="1">
      <alignment horizontal="center"/>
    </xf>
    <xf numFmtId="170" fontId="46" fillId="0" borderId="3" xfId="5" applyNumberFormat="1" applyFont="1" applyFill="1" applyBorder="1" applyAlignment="1">
      <alignment horizontal="center"/>
    </xf>
    <xf numFmtId="170" fontId="46" fillId="0" borderId="2" xfId="5" applyNumberFormat="1" applyFont="1" applyFill="1" applyBorder="1" applyAlignment="1">
      <alignment horizontal="center"/>
    </xf>
    <xf numFmtId="0" fontId="46" fillId="0" borderId="2" xfId="5" applyNumberFormat="1" applyFont="1" applyFill="1" applyBorder="1" applyAlignment="1">
      <alignment horizontal="center"/>
    </xf>
    <xf numFmtId="0" fontId="7" fillId="0" borderId="2" xfId="3" applyNumberFormat="1" applyFont="1" applyFill="1" applyBorder="1" applyAlignment="1">
      <alignment horizontal="center"/>
    </xf>
    <xf numFmtId="0" fontId="7" fillId="0" borderId="8" xfId="3" applyNumberFormat="1" applyFont="1" applyFill="1" applyBorder="1" applyAlignment="1">
      <alignment horizontal="center"/>
    </xf>
    <xf numFmtId="164" fontId="7" fillId="0" borderId="8" xfId="3" applyNumberFormat="1" applyFont="1" applyFill="1" applyBorder="1" applyAlignment="1">
      <alignment horizontal="center"/>
    </xf>
    <xf numFmtId="165" fontId="7" fillId="0" borderId="3" xfId="3" applyNumberFormat="1" applyFont="1" applyFill="1" applyBorder="1" applyAlignment="1">
      <alignment horizontal="center"/>
    </xf>
    <xf numFmtId="41" fontId="7" fillId="0" borderId="2" xfId="5" applyNumberFormat="1" applyFont="1" applyFill="1" applyBorder="1" applyAlignment="1">
      <alignment horizontal="center"/>
    </xf>
    <xf numFmtId="41" fontId="7" fillId="0" borderId="3" xfId="3" applyNumberFormat="1" applyFont="1" applyFill="1" applyBorder="1" applyAlignment="1">
      <alignment horizontal="center"/>
    </xf>
    <xf numFmtId="41" fontId="7" fillId="0" borderId="2" xfId="3" applyNumberFormat="1" applyFont="1" applyFill="1" applyBorder="1" applyAlignment="1">
      <alignment horizontal="center"/>
    </xf>
    <xf numFmtId="41" fontId="7" fillId="0" borderId="3" xfId="5" applyNumberFormat="1" applyFont="1" applyFill="1" applyBorder="1" applyAlignment="1">
      <alignment horizontal="center"/>
    </xf>
    <xf numFmtId="170" fontId="7" fillId="0" borderId="3" xfId="5" applyNumberFormat="1" applyFont="1" applyFill="1" applyBorder="1" applyAlignment="1">
      <alignment horizontal="right"/>
    </xf>
    <xf numFmtId="170" fontId="7" fillId="0" borderId="2" xfId="5" applyNumberFormat="1" applyFont="1" applyFill="1" applyBorder="1" applyAlignment="1">
      <alignment horizontal="right"/>
    </xf>
    <xf numFmtId="41" fontId="7" fillId="0" borderId="0" xfId="5" applyNumberFormat="1" applyFont="1" applyFill="1" applyBorder="1" applyAlignment="1">
      <alignment horizontal="center"/>
    </xf>
    <xf numFmtId="164" fontId="7" fillId="0" borderId="2" xfId="3" applyNumberFormat="1" applyFont="1" applyFill="1" applyBorder="1" applyAlignment="1">
      <alignment horizontal="center"/>
    </xf>
    <xf numFmtId="0" fontId="7" fillId="0" borderId="2" xfId="5" applyNumberFormat="1" applyFont="1" applyFill="1" applyBorder="1" applyAlignment="1">
      <alignment horizontal="center"/>
    </xf>
    <xf numFmtId="41" fontId="7" fillId="0" borderId="0" xfId="3" applyNumberFormat="1" applyFont="1" applyFill="1" applyBorder="1" applyAlignment="1">
      <alignment horizontal="center"/>
    </xf>
    <xf numFmtId="164" fontId="7" fillId="0" borderId="8" xfId="5" applyNumberFormat="1" applyFont="1" applyFill="1" applyBorder="1" applyAlignment="1">
      <alignment horizontal="center"/>
    </xf>
    <xf numFmtId="165" fontId="7" fillId="0" borderId="3" xfId="5" applyNumberFormat="1" applyFont="1" applyFill="1" applyBorder="1" applyAlignment="1">
      <alignment horizontal="center"/>
    </xf>
    <xf numFmtId="170" fontId="7" fillId="0" borderId="3" xfId="5" applyNumberFormat="1" applyFont="1" applyFill="1" applyBorder="1" applyAlignment="1">
      <alignment horizontal="center"/>
    </xf>
    <xf numFmtId="170" fontId="7" fillId="0" borderId="2" xfId="5" applyNumberFormat="1" applyFont="1" applyFill="1" applyBorder="1" applyAlignment="1">
      <alignment horizontal="center"/>
    </xf>
    <xf numFmtId="170" fontId="7" fillId="0" borderId="3" xfId="5" applyNumberFormat="1" applyFont="1" applyFill="1" applyBorder="1" applyAlignment="1">
      <alignment horizontal="right" wrapText="1"/>
    </xf>
    <xf numFmtId="170" fontId="7" fillId="0" borderId="2" xfId="5" applyNumberFormat="1" applyFont="1" applyFill="1" applyBorder="1" applyAlignment="1">
      <alignment horizontal="right" wrapText="1"/>
    </xf>
    <xf numFmtId="0" fontId="7" fillId="0" borderId="0" xfId="3" applyNumberFormat="1" applyFont="1" applyFill="1" applyBorder="1" applyAlignment="1">
      <alignment horizontal="center"/>
    </xf>
    <xf numFmtId="0" fontId="7" fillId="0" borderId="2" xfId="3" applyNumberFormat="1" applyFont="1" applyBorder="1"/>
    <xf numFmtId="0" fontId="7" fillId="0" borderId="2" xfId="3" applyNumberFormat="1" applyFont="1" applyBorder="1" applyAlignment="1">
      <alignment horizontal="center"/>
    </xf>
    <xf numFmtId="0" fontId="7" fillId="0" borderId="0" xfId="3" applyNumberFormat="1" applyFont="1" applyAlignment="1">
      <alignment horizontal="center"/>
    </xf>
    <xf numFmtId="0" fontId="6" fillId="0" borderId="0" xfId="3" applyNumberFormat="1" applyFont="1" applyBorder="1"/>
    <xf numFmtId="41" fontId="2" fillId="0" borderId="4" xfId="3" applyNumberFormat="1" applyFont="1" applyFill="1" applyBorder="1" applyAlignment="1">
      <alignment horizontal="center"/>
    </xf>
    <xf numFmtId="41" fontId="2" fillId="0" borderId="5" xfId="3" applyNumberFormat="1" applyFont="1" applyFill="1" applyBorder="1" applyAlignment="1">
      <alignment horizontal="center"/>
    </xf>
    <xf numFmtId="0" fontId="6" fillId="0" borderId="4" xfId="3" applyNumberFormat="1" applyFont="1" applyFill="1" applyBorder="1" applyAlignment="1">
      <alignment horizontal="center"/>
    </xf>
    <xf numFmtId="0" fontId="43" fillId="0" borderId="0" xfId="0" quotePrefix="1" applyFont="1" applyAlignment="1">
      <alignment horizontal="left"/>
    </xf>
    <xf numFmtId="0" fontId="40" fillId="0" borderId="0" xfId="3" applyNumberFormat="1" applyFont="1" applyBorder="1" applyAlignment="1">
      <alignment horizontal="center" vertical="center" wrapText="1"/>
    </xf>
    <xf numFmtId="0" fontId="40" fillId="0" borderId="0" xfId="3" applyNumberFormat="1" applyFont="1" applyAlignment="1">
      <alignment horizontal="center" vertical="center"/>
    </xf>
    <xf numFmtId="43" fontId="43" fillId="0" borderId="0" xfId="5" applyFont="1" applyAlignment="1">
      <alignment horizontal="center"/>
    </xf>
    <xf numFmtId="166" fontId="43" fillId="0" borderId="3" xfId="1" applyNumberFormat="1" applyFont="1" applyBorder="1"/>
    <xf numFmtId="166" fontId="43" fillId="0" borderId="8" xfId="1" applyNumberFormat="1" applyFont="1" applyBorder="1"/>
    <xf numFmtId="168" fontId="43" fillId="0" borderId="0" xfId="5" applyNumberFormat="1" applyFont="1" applyBorder="1" applyAlignment="1">
      <alignment horizontal="center"/>
    </xf>
    <xf numFmtId="0" fontId="43" fillId="0" borderId="0" xfId="5" applyNumberFormat="1" applyFont="1" applyBorder="1" applyAlignment="1">
      <alignment horizontal="center"/>
    </xf>
    <xf numFmtId="168" fontId="43" fillId="0" borderId="3" xfId="5" applyNumberFormat="1" applyFont="1" applyBorder="1" applyAlignment="1">
      <alignment horizontal="center"/>
    </xf>
    <xf numFmtId="168" fontId="43" fillId="0" borderId="2" xfId="5" applyNumberFormat="1" applyFont="1" applyBorder="1" applyAlignment="1">
      <alignment horizontal="center"/>
    </xf>
    <xf numFmtId="166" fontId="43" fillId="0" borderId="3" xfId="5" applyNumberFormat="1" applyFont="1" applyBorder="1"/>
    <xf numFmtId="166" fontId="43" fillId="0" borderId="2" xfId="5" applyNumberFormat="1" applyFont="1" applyBorder="1"/>
    <xf numFmtId="168" fontId="43" fillId="0" borderId="0" xfId="5" applyNumberFormat="1" applyFont="1"/>
    <xf numFmtId="168" fontId="43" fillId="0" borderId="0" xfId="5" applyNumberFormat="1" applyFont="1" applyAlignment="1">
      <alignment horizontal="center"/>
    </xf>
    <xf numFmtId="43" fontId="43" fillId="0" borderId="0" xfId="5" applyNumberFormat="1" applyFont="1" applyBorder="1" applyAlignment="1">
      <alignment horizontal="center"/>
    </xf>
    <xf numFmtId="168" fontId="43" fillId="0" borderId="0" xfId="5" applyNumberFormat="1" applyFont="1" applyFill="1" applyBorder="1" applyAlignment="1">
      <alignment horizontal="center"/>
    </xf>
    <xf numFmtId="0" fontId="43" fillId="0" borderId="2" xfId="5" applyNumberFormat="1" applyFont="1" applyFill="1" applyBorder="1"/>
    <xf numFmtId="0" fontId="43" fillId="0" borderId="0" xfId="5" applyNumberFormat="1" applyFont="1" applyFill="1" applyBorder="1" applyAlignment="1">
      <alignment horizontal="center"/>
    </xf>
    <xf numFmtId="0" fontId="43" fillId="0" borderId="3" xfId="5" applyNumberFormat="1" applyFont="1" applyBorder="1"/>
    <xf numFmtId="168" fontId="43" fillId="0" borderId="2" xfId="5" applyNumberFormat="1" applyFont="1" applyBorder="1"/>
    <xf numFmtId="0" fontId="43" fillId="0" borderId="3" xfId="5" applyNumberFormat="1" applyFont="1" applyBorder="1" applyAlignment="1">
      <alignment horizontal="center"/>
    </xf>
    <xf numFmtId="0" fontId="43" fillId="0" borderId="2" xfId="5" applyNumberFormat="1" applyFont="1" applyBorder="1" applyAlignment="1">
      <alignment horizontal="center"/>
    </xf>
    <xf numFmtId="0" fontId="43" fillId="0" borderId="0" xfId="5" applyNumberFormat="1" applyFont="1"/>
    <xf numFmtId="0" fontId="43" fillId="0" borderId="3" xfId="1" applyNumberFormat="1" applyFont="1" applyBorder="1"/>
    <xf numFmtId="168" fontId="43" fillId="0" borderId="8" xfId="5" applyNumberFormat="1" applyFont="1" applyBorder="1"/>
    <xf numFmtId="0" fontId="43" fillId="0" borderId="0" xfId="0" applyFont="1" applyBorder="1"/>
    <xf numFmtId="166" fontId="43" fillId="0" borderId="0" xfId="1" applyNumberFormat="1" applyFont="1" applyBorder="1"/>
    <xf numFmtId="0" fontId="43" fillId="0" borderId="0" xfId="0" applyFont="1" applyAlignment="1">
      <alignment horizontal="left"/>
    </xf>
    <xf numFmtId="166" fontId="43" fillId="0" borderId="0" xfId="1" applyNumberFormat="1" applyFont="1"/>
    <xf numFmtId="0" fontId="43" fillId="0" borderId="0" xfId="1" applyNumberFormat="1" applyFont="1"/>
    <xf numFmtId="166" fontId="41" fillId="0" borderId="0" xfId="1" applyNumberFormat="1" applyFont="1" applyFill="1" applyBorder="1" applyAlignment="1">
      <alignment horizontal="center" vertical="center"/>
    </xf>
    <xf numFmtId="168" fontId="40" fillId="0" borderId="7" xfId="5" applyNumberFormat="1" applyFont="1" applyBorder="1" applyAlignment="1">
      <alignment horizontal="center" vertical="center" wrapText="1"/>
    </xf>
    <xf numFmtId="168" fontId="45" fillId="0" borderId="15" xfId="5" applyNumberFormat="1" applyFont="1" applyBorder="1" applyAlignment="1">
      <alignment horizontal="center" vertical="center" wrapText="1"/>
    </xf>
    <xf numFmtId="0" fontId="41" fillId="0" borderId="0" xfId="3" applyNumberFormat="1" applyFont="1" applyFill="1" applyAlignment="1">
      <alignment horizontal="center" vertical="center"/>
    </xf>
    <xf numFmtId="0" fontId="42" fillId="0" borderId="0" xfId="3" applyNumberFormat="1" applyFont="1" applyFill="1" applyAlignment="1">
      <alignment horizontal="center" vertical="center"/>
    </xf>
    <xf numFmtId="164" fontId="41" fillId="0" borderId="7" xfId="3" applyFont="1" applyBorder="1" applyAlignment="1">
      <alignment horizontal="center" vertical="center" wrapText="1"/>
    </xf>
    <xf numFmtId="0" fontId="1" fillId="0" borderId="0" xfId="0" applyNumberFormat="1" applyFont="1"/>
    <xf numFmtId="164" fontId="40" fillId="0" borderId="0" xfId="3" applyFont="1" applyAlignment="1">
      <alignment horizontal="left"/>
    </xf>
    <xf numFmtId="164" fontId="40" fillId="0" borderId="3" xfId="3" applyFont="1" applyBorder="1" applyAlignment="1">
      <alignment horizontal="center"/>
    </xf>
    <xf numFmtId="164" fontId="40" fillId="0" borderId="2" xfId="3" applyNumberFormat="1" applyFont="1" applyBorder="1" applyAlignment="1">
      <alignment horizontal="center"/>
    </xf>
    <xf numFmtId="165" fontId="41" fillId="0" borderId="0" xfId="3" applyNumberFormat="1" applyFont="1" applyBorder="1" applyAlignment="1">
      <alignment horizontal="center"/>
    </xf>
    <xf numFmtId="164" fontId="41" fillId="0" borderId="0" xfId="3" applyFont="1" applyAlignment="1">
      <alignment horizontal="center"/>
    </xf>
    <xf numFmtId="164" fontId="43" fillId="0" borderId="3" xfId="3" applyFont="1" applyFill="1" applyBorder="1" applyAlignment="1">
      <alignment horizontal="center"/>
    </xf>
    <xf numFmtId="164" fontId="43" fillId="0" borderId="0" xfId="3" applyFont="1" applyFill="1" applyBorder="1" applyAlignment="1">
      <alignment horizontal="center"/>
    </xf>
    <xf numFmtId="164" fontId="41" fillId="0" borderId="2" xfId="3" applyFont="1" applyFill="1" applyBorder="1" applyAlignment="1">
      <alignment horizontal="center"/>
    </xf>
    <xf numFmtId="164" fontId="41" fillId="0" borderId="0" xfId="3" applyFont="1" applyFill="1" applyAlignment="1">
      <alignment horizontal="center"/>
    </xf>
    <xf numFmtId="164" fontId="41" fillId="0" borderId="0" xfId="3" applyFont="1"/>
    <xf numFmtId="164" fontId="43" fillId="0" borderId="8" xfId="3" applyFont="1" applyFill="1" applyBorder="1" applyAlignment="1">
      <alignment horizontal="center"/>
    </xf>
    <xf numFmtId="0" fontId="41" fillId="0" borderId="0" xfId="3" applyNumberFormat="1" applyFont="1"/>
    <xf numFmtId="0" fontId="47" fillId="0" borderId="0" xfId="3" applyNumberFormat="1" applyFont="1"/>
    <xf numFmtId="164" fontId="40" fillId="0" borderId="9" xfId="3" applyFont="1" applyFill="1" applyBorder="1" applyAlignment="1">
      <alignment horizontal="left" vertical="center" wrapText="1"/>
    </xf>
    <xf numFmtId="164" fontId="41" fillId="0" borderId="9" xfId="3" applyFont="1" applyFill="1" applyBorder="1" applyAlignment="1">
      <alignment horizontal="center" vertical="center"/>
    </xf>
    <xf numFmtId="164" fontId="41" fillId="0" borderId="11" xfId="3" applyNumberFormat="1" applyFont="1" applyFill="1" applyBorder="1" applyAlignment="1">
      <alignment horizontal="center" vertical="center"/>
    </xf>
    <xf numFmtId="165" fontId="41" fillId="0" borderId="9" xfId="3" applyNumberFormat="1" applyFont="1" applyFill="1" applyBorder="1" applyAlignment="1">
      <alignment horizontal="center" vertical="center"/>
    </xf>
    <xf numFmtId="164" fontId="41" fillId="0" borderId="11" xfId="3" applyFont="1" applyFill="1" applyBorder="1" applyAlignment="1">
      <alignment horizontal="center" vertical="center"/>
    </xf>
    <xf numFmtId="167" fontId="41" fillId="0" borderId="9" xfId="3" applyNumberFormat="1" applyFont="1" applyFill="1" applyBorder="1" applyAlignment="1">
      <alignment horizontal="center" vertical="center"/>
    </xf>
    <xf numFmtId="167" fontId="41" fillId="0" borderId="11" xfId="3" applyNumberFormat="1" applyFont="1" applyFill="1" applyBorder="1" applyAlignment="1">
      <alignment horizontal="center" vertical="center"/>
    </xf>
    <xf numFmtId="166" fontId="41" fillId="0" borderId="9" xfId="1" applyNumberFormat="1" applyFont="1" applyFill="1" applyBorder="1" applyAlignment="1">
      <alignment horizontal="center" vertical="center"/>
    </xf>
    <xf numFmtId="166" fontId="41" fillId="0" borderId="11" xfId="1" applyNumberFormat="1" applyFont="1" applyFill="1" applyBorder="1" applyAlignment="1">
      <alignment horizontal="center" vertical="center"/>
    </xf>
    <xf numFmtId="168" fontId="41" fillId="0" borderId="9" xfId="7" applyNumberFormat="1" applyFont="1" applyFill="1" applyBorder="1" applyAlignment="1">
      <alignment horizontal="center" vertical="center"/>
    </xf>
    <xf numFmtId="0" fontId="41" fillId="0" borderId="1" xfId="3" applyNumberFormat="1" applyFont="1" applyFill="1" applyBorder="1" applyAlignment="1">
      <alignment horizontal="center" vertical="center"/>
    </xf>
    <xf numFmtId="168" fontId="41" fillId="0" borderId="1" xfId="7" applyNumberFormat="1" applyFont="1" applyFill="1" applyBorder="1" applyAlignment="1">
      <alignment horizontal="center" vertical="center"/>
    </xf>
    <xf numFmtId="0" fontId="41" fillId="0" borderId="11" xfId="3" applyNumberFormat="1" applyFont="1" applyFill="1" applyBorder="1" applyAlignment="1">
      <alignment horizontal="center" vertical="center"/>
    </xf>
    <xf numFmtId="43" fontId="41" fillId="0" borderId="9" xfId="1" applyFont="1" applyFill="1" applyBorder="1" applyAlignment="1">
      <alignment horizontal="center" vertical="center"/>
    </xf>
    <xf numFmtId="43" fontId="41" fillId="0" borderId="11" xfId="1" applyFont="1" applyFill="1" applyBorder="1" applyAlignment="1">
      <alignment horizontal="center" vertical="center"/>
    </xf>
    <xf numFmtId="168" fontId="41" fillId="0" borderId="9" xfId="5" applyNumberFormat="1" applyFont="1" applyFill="1" applyBorder="1" applyAlignment="1">
      <alignment vertical="center"/>
    </xf>
    <xf numFmtId="168" fontId="41" fillId="0" borderId="11" xfId="5" applyNumberFormat="1" applyFont="1" applyFill="1" applyBorder="1" applyAlignment="1">
      <alignment horizontal="center" vertical="center"/>
    </xf>
    <xf numFmtId="168" fontId="41" fillId="0" borderId="9" xfId="5" applyNumberFormat="1" applyFont="1" applyFill="1" applyBorder="1" applyAlignment="1">
      <alignment horizontal="center" vertical="center"/>
    </xf>
    <xf numFmtId="0" fontId="41" fillId="0" borderId="9" xfId="3" applyNumberFormat="1" applyFont="1" applyFill="1" applyBorder="1" applyAlignment="1">
      <alignment horizontal="center" vertical="center"/>
    </xf>
    <xf numFmtId="0" fontId="41" fillId="0" borderId="9" xfId="5" applyNumberFormat="1" applyFont="1" applyFill="1" applyBorder="1" applyAlignment="1">
      <alignment horizontal="center" vertical="center"/>
    </xf>
    <xf numFmtId="0" fontId="41" fillId="0" borderId="1" xfId="5" applyNumberFormat="1" applyFont="1" applyFill="1" applyBorder="1" applyAlignment="1">
      <alignment horizontal="center" vertical="center"/>
    </xf>
    <xf numFmtId="0" fontId="41" fillId="0" borderId="11" xfId="5" applyNumberFormat="1" applyFont="1" applyFill="1" applyBorder="1" applyAlignment="1">
      <alignment horizontal="center" vertical="center"/>
    </xf>
    <xf numFmtId="167" fontId="41" fillId="0" borderId="10" xfId="3" applyNumberFormat="1" applyFont="1" applyFill="1" applyBorder="1" applyAlignment="1">
      <alignment horizontal="center" vertical="center"/>
    </xf>
    <xf numFmtId="166" fontId="41" fillId="0" borderId="1" xfId="1" applyNumberFormat="1" applyFont="1" applyFill="1" applyBorder="1" applyAlignment="1">
      <alignment vertical="center"/>
    </xf>
    <xf numFmtId="168" fontId="41" fillId="0" borderId="1" xfId="5" applyNumberFormat="1" applyFont="1" applyFill="1" applyBorder="1" applyAlignment="1">
      <alignment horizontal="center" vertical="center"/>
    </xf>
    <xf numFmtId="168" fontId="41" fillId="0" borderId="10" xfId="5" applyNumberFormat="1" applyFont="1" applyFill="1" applyBorder="1" applyAlignment="1">
      <alignment horizontal="center" vertical="center"/>
    </xf>
    <xf numFmtId="164" fontId="17" fillId="0" borderId="1" xfId="3" applyFont="1" applyFill="1" applyBorder="1" applyAlignment="1">
      <alignment vertical="center"/>
    </xf>
    <xf numFmtId="0" fontId="41" fillId="0" borderId="1" xfId="3" applyNumberFormat="1" applyFont="1" applyFill="1" applyBorder="1" applyAlignment="1">
      <alignment vertical="center"/>
    </xf>
    <xf numFmtId="0" fontId="17" fillId="0" borderId="1" xfId="3" applyNumberFormat="1" applyFont="1" applyFill="1" applyBorder="1" applyAlignment="1">
      <alignment vertical="center"/>
    </xf>
    <xf numFmtId="167" fontId="41" fillId="0" borderId="0" xfId="3" applyNumberFormat="1" applyFont="1" applyFill="1" applyBorder="1" applyAlignment="1">
      <alignment horizontal="right" vertical="center" wrapText="1"/>
    </xf>
    <xf numFmtId="167" fontId="43" fillId="0" borderId="0" xfId="1" applyNumberFormat="1" applyFont="1" applyAlignment="1">
      <alignment horizontal="right" vertical="center"/>
    </xf>
    <xf numFmtId="167" fontId="41" fillId="0" borderId="0" xfId="1" applyNumberFormat="1" applyFont="1" applyAlignment="1">
      <alignment horizontal="right" vertical="center" wrapText="1"/>
    </xf>
    <xf numFmtId="167" fontId="41" fillId="4" borderId="3" xfId="3" applyNumberFormat="1" applyFont="1" applyFill="1" applyBorder="1" applyAlignment="1">
      <alignment horizontal="right" vertical="center" wrapText="1"/>
    </xf>
    <xf numFmtId="167" fontId="41" fillId="4" borderId="0" xfId="3" applyNumberFormat="1" applyFont="1" applyFill="1" applyBorder="1" applyAlignment="1">
      <alignment horizontal="right" vertical="center" wrapText="1"/>
    </xf>
    <xf numFmtId="167" fontId="41" fillId="4" borderId="3" xfId="1" applyNumberFormat="1" applyFont="1" applyFill="1" applyBorder="1" applyAlignment="1">
      <alignment horizontal="right" vertical="center" wrapText="1"/>
    </xf>
    <xf numFmtId="167" fontId="41" fillId="4" borderId="0" xfId="1" applyNumberFormat="1" applyFont="1" applyFill="1" applyBorder="1" applyAlignment="1">
      <alignment horizontal="right" vertical="center" wrapText="1"/>
    </xf>
    <xf numFmtId="167" fontId="41" fillId="0" borderId="3" xfId="3" applyNumberFormat="1" applyFont="1" applyFill="1" applyBorder="1" applyAlignment="1">
      <alignment horizontal="right" vertical="center" wrapText="1"/>
    </xf>
    <xf numFmtId="167" fontId="41" fillId="0" borderId="3" xfId="1" applyNumberFormat="1" applyFont="1" applyFill="1" applyBorder="1" applyAlignment="1">
      <alignment horizontal="right" vertical="center" wrapText="1"/>
    </xf>
    <xf numFmtId="167" fontId="41" fillId="0" borderId="0" xfId="1" applyNumberFormat="1" applyFont="1" applyFill="1" applyBorder="1" applyAlignment="1">
      <alignment horizontal="right" vertical="center" wrapText="1"/>
    </xf>
    <xf numFmtId="167" fontId="41" fillId="0" borderId="9" xfId="3" applyNumberFormat="1" applyFont="1" applyFill="1" applyBorder="1" applyAlignment="1">
      <alignment horizontal="right" vertical="center" wrapText="1"/>
    </xf>
    <xf numFmtId="167" fontId="43" fillId="0" borderId="0" xfId="0" applyNumberFormat="1" applyFont="1" applyBorder="1" applyAlignment="1">
      <alignment horizontal="right"/>
    </xf>
    <xf numFmtId="167" fontId="43" fillId="0" borderId="0" xfId="1" applyNumberFormat="1" applyFont="1" applyAlignment="1">
      <alignment horizontal="right"/>
    </xf>
    <xf numFmtId="167" fontId="41" fillId="0" borderId="0" xfId="1" applyNumberFormat="1" applyFont="1" applyAlignment="1">
      <alignment horizontal="right" wrapText="1"/>
    </xf>
    <xf numFmtId="167" fontId="41" fillId="0" borderId="1" xfId="3" applyNumberFormat="1" applyFont="1" applyFill="1" applyBorder="1" applyAlignment="1">
      <alignment horizontal="right" vertical="center" wrapText="1"/>
    </xf>
    <xf numFmtId="167" fontId="41" fillId="4" borderId="6" xfId="3" applyNumberFormat="1" applyFont="1" applyFill="1" applyBorder="1" applyAlignment="1">
      <alignment horizontal="right" vertical="center" wrapText="1"/>
    </xf>
    <xf numFmtId="167" fontId="41" fillId="4" borderId="8" xfId="3" applyNumberFormat="1" applyFont="1" applyFill="1" applyBorder="1" applyAlignment="1">
      <alignment horizontal="right" vertical="center" wrapText="1"/>
    </xf>
    <xf numFmtId="167" fontId="41" fillId="4" borderId="8" xfId="1" applyNumberFormat="1" applyFont="1" applyFill="1" applyBorder="1" applyAlignment="1">
      <alignment horizontal="right" vertical="center" wrapText="1"/>
    </xf>
    <xf numFmtId="167" fontId="41" fillId="0" borderId="8" xfId="3" applyNumberFormat="1" applyFont="1" applyFill="1" applyBorder="1" applyAlignment="1">
      <alignment horizontal="right" vertical="center" wrapText="1"/>
    </xf>
    <xf numFmtId="167" fontId="41" fillId="0" borderId="8" xfId="1" applyNumberFormat="1" applyFont="1" applyFill="1" applyBorder="1" applyAlignment="1">
      <alignment horizontal="right" vertical="center" wrapText="1"/>
    </xf>
    <xf numFmtId="167" fontId="41" fillId="0" borderId="10" xfId="3" applyNumberFormat="1" applyFont="1" applyFill="1" applyBorder="1" applyAlignment="1">
      <alignment horizontal="right" vertical="center" wrapText="1"/>
    </xf>
    <xf numFmtId="167" fontId="40" fillId="0" borderId="12" xfId="1" applyNumberFormat="1" applyFont="1" applyFill="1" applyBorder="1" applyAlignment="1">
      <alignment horizontal="right" vertical="center" wrapText="1"/>
    </xf>
    <xf numFmtId="167" fontId="40" fillId="0" borderId="13" xfId="1" applyNumberFormat="1" applyFont="1" applyFill="1" applyBorder="1" applyAlignment="1">
      <alignment horizontal="right" vertical="center" wrapText="1"/>
    </xf>
    <xf numFmtId="167" fontId="40" fillId="0" borderId="14" xfId="1" applyNumberFormat="1" applyFont="1" applyFill="1" applyBorder="1" applyAlignment="1">
      <alignment horizontal="right" vertical="center" wrapText="1"/>
    </xf>
    <xf numFmtId="1" fontId="40" fillId="0" borderId="5" xfId="1" applyNumberFormat="1" applyFont="1" applyFill="1" applyBorder="1" applyAlignment="1">
      <alignment horizontal="right" vertical="center" wrapText="1"/>
    </xf>
    <xf numFmtId="1" fontId="43" fillId="0" borderId="0" xfId="0" applyNumberFormat="1" applyFont="1" applyBorder="1" applyAlignment="1">
      <alignment horizontal="right"/>
    </xf>
    <xf numFmtId="1" fontId="43" fillId="0" borderId="0" xfId="1" applyNumberFormat="1" applyFont="1" applyAlignment="1">
      <alignment horizontal="right" vertical="center"/>
    </xf>
    <xf numFmtId="1" fontId="41" fillId="0" borderId="0" xfId="1" applyNumberFormat="1" applyFont="1" applyAlignment="1">
      <alignment horizontal="right" vertical="center" wrapText="1"/>
    </xf>
    <xf numFmtId="1" fontId="41" fillId="4" borderId="6" xfId="3" applyNumberFormat="1" applyFont="1" applyFill="1" applyBorder="1" applyAlignment="1">
      <alignment horizontal="right" vertical="center" wrapText="1"/>
    </xf>
    <xf numFmtId="1" fontId="41" fillId="4" borderId="8" xfId="3" applyNumberFormat="1" applyFont="1" applyFill="1" applyBorder="1" applyAlignment="1">
      <alignment horizontal="right" vertical="center" wrapText="1"/>
    </xf>
    <xf numFmtId="1" fontId="41" fillId="0" borderId="8" xfId="3" applyNumberFormat="1" applyFont="1" applyFill="1" applyBorder="1" applyAlignment="1">
      <alignment horizontal="right" vertical="center" wrapText="1"/>
    </xf>
    <xf numFmtId="1" fontId="41" fillId="0" borderId="8" xfId="1" applyNumberFormat="1" applyFont="1" applyFill="1" applyBorder="1" applyAlignment="1">
      <alignment horizontal="right" vertical="center" wrapText="1"/>
    </xf>
    <xf numFmtId="1" fontId="41" fillId="4" borderId="8" xfId="1" applyNumberFormat="1" applyFont="1" applyFill="1" applyBorder="1" applyAlignment="1">
      <alignment horizontal="right" vertical="center" wrapText="1"/>
    </xf>
    <xf numFmtId="1" fontId="41" fillId="0" borderId="10" xfId="3" applyNumberFormat="1" applyFont="1" applyFill="1" applyBorder="1" applyAlignment="1">
      <alignment horizontal="right" vertical="center" wrapText="1"/>
    </xf>
    <xf numFmtId="1" fontId="41" fillId="4" borderId="6" xfId="3" applyNumberFormat="1" applyFont="1" applyFill="1" applyBorder="1" applyAlignment="1">
      <alignment horizontal="center" vertical="center"/>
    </xf>
    <xf numFmtId="1" fontId="41" fillId="4" borderId="8" xfId="3" applyNumberFormat="1" applyFont="1" applyFill="1" applyBorder="1" applyAlignment="1">
      <alignment horizontal="center" vertical="center"/>
    </xf>
    <xf numFmtId="1" fontId="41" fillId="0" borderId="8" xfId="3" applyNumberFormat="1" applyFont="1" applyFill="1" applyBorder="1" applyAlignment="1">
      <alignment horizontal="center" vertical="center"/>
    </xf>
    <xf numFmtId="168" fontId="40" fillId="0" borderId="14" xfId="5" applyNumberFormat="1" applyFont="1" applyFill="1" applyBorder="1" applyAlignment="1">
      <alignment horizontal="center"/>
    </xf>
    <xf numFmtId="168" fontId="45" fillId="2" borderId="6" xfId="5" applyNumberFormat="1" applyFont="1" applyFill="1" applyBorder="1" applyAlignment="1">
      <alignment horizontal="center" wrapText="1"/>
    </xf>
    <xf numFmtId="168" fontId="45" fillId="0" borderId="10" xfId="5" applyNumberFormat="1" applyFont="1" applyBorder="1" applyAlignment="1">
      <alignment horizontal="center" wrapText="1"/>
    </xf>
    <xf numFmtId="1" fontId="41" fillId="0" borderId="11" xfId="3" applyNumberFormat="1" applyFont="1" applyFill="1" applyBorder="1" applyAlignment="1">
      <alignment horizontal="center" vertical="center"/>
    </xf>
    <xf numFmtId="9" fontId="43" fillId="0" borderId="0" xfId="2" applyFont="1" applyBorder="1"/>
    <xf numFmtId="9" fontId="43" fillId="0" borderId="0" xfId="2" applyFont="1"/>
    <xf numFmtId="9" fontId="43" fillId="0" borderId="3" xfId="2" applyFont="1" applyBorder="1"/>
    <xf numFmtId="1" fontId="45" fillId="0" borderId="15" xfId="5" applyNumberFormat="1" applyFont="1" applyBorder="1" applyAlignment="1">
      <alignment horizontal="center" vertical="center" wrapText="1"/>
    </xf>
    <xf numFmtId="1" fontId="43" fillId="0" borderId="0" xfId="2" applyNumberFormat="1" applyFont="1" applyBorder="1"/>
    <xf numFmtId="1" fontId="43" fillId="0" borderId="0" xfId="2" applyNumberFormat="1" applyFont="1"/>
    <xf numFmtId="1" fontId="41" fillId="4" borderId="3" xfId="3" applyNumberFormat="1" applyFont="1" applyFill="1" applyBorder="1" applyAlignment="1">
      <alignment horizontal="center" vertical="center"/>
    </xf>
    <xf numFmtId="1" fontId="41" fillId="0" borderId="3" xfId="3" applyNumberFormat="1" applyFont="1" applyFill="1" applyBorder="1" applyAlignment="1">
      <alignment horizontal="center" vertical="center"/>
    </xf>
    <xf numFmtId="1" fontId="41" fillId="0" borderId="9" xfId="3" applyNumberFormat="1" applyFont="1" applyFill="1" applyBorder="1" applyAlignment="1">
      <alignment horizontal="center" vertical="center"/>
    </xf>
    <xf numFmtId="9" fontId="41" fillId="4" borderId="8" xfId="2" applyFont="1" applyFill="1" applyBorder="1" applyAlignment="1">
      <alignment horizontal="center" vertical="center"/>
    </xf>
    <xf numFmtId="9" fontId="41" fillId="0" borderId="8" xfId="2" applyFont="1" applyFill="1" applyBorder="1" applyAlignment="1">
      <alignment horizontal="center" vertical="center"/>
    </xf>
    <xf numFmtId="9" fontId="41" fillId="0" borderId="10" xfId="2" applyFont="1" applyFill="1" applyBorder="1" applyAlignment="1">
      <alignment horizontal="center" vertical="center"/>
    </xf>
    <xf numFmtId="9" fontId="41" fillId="4" borderId="6" xfId="2" applyFont="1" applyFill="1" applyBorder="1" applyAlignment="1">
      <alignment horizontal="center" vertical="center"/>
    </xf>
    <xf numFmtId="1" fontId="41" fillId="4" borderId="4" xfId="3" applyNumberFormat="1" applyFont="1" applyFill="1" applyBorder="1" applyAlignment="1">
      <alignment horizontal="center" vertical="center"/>
    </xf>
    <xf numFmtId="1" fontId="41" fillId="0" borderId="10" xfId="3" applyNumberFormat="1" applyFont="1" applyFill="1" applyBorder="1" applyAlignment="1">
      <alignment horizontal="center" vertical="center"/>
    </xf>
    <xf numFmtId="168" fontId="36" fillId="0" borderId="0" xfId="5" applyNumberFormat="1" applyFont="1" applyBorder="1" applyAlignment="1">
      <alignment horizontal="center" wrapText="1"/>
    </xf>
    <xf numFmtId="168" fontId="40" fillId="0" borderId="1" xfId="5" applyNumberFormat="1" applyFont="1" applyFill="1" applyBorder="1" applyAlignment="1">
      <alignment horizontal="center"/>
    </xf>
    <xf numFmtId="166" fontId="36" fillId="0" borderId="0" xfId="5" applyNumberFormat="1" applyFont="1" applyBorder="1" applyAlignment="1">
      <alignment horizontal="center" wrapText="1"/>
    </xf>
    <xf numFmtId="166" fontId="40" fillId="0" borderId="1" xfId="5" applyNumberFormat="1" applyFont="1" applyFill="1" applyBorder="1" applyAlignment="1">
      <alignment horizontal="center"/>
    </xf>
    <xf numFmtId="166" fontId="43" fillId="0" borderId="0" xfId="0" applyNumberFormat="1" applyFont="1" applyBorder="1"/>
    <xf numFmtId="166" fontId="43" fillId="0" borderId="0" xfId="0" applyNumberFormat="1" applyFont="1"/>
    <xf numFmtId="166" fontId="43" fillId="0" borderId="0" xfId="5" applyNumberFormat="1" applyFont="1" applyBorder="1"/>
    <xf numFmtId="168" fontId="45" fillId="0" borderId="15" xfId="5" applyNumberFormat="1" applyFont="1" applyBorder="1" applyAlignment="1">
      <alignment horizontal="center" wrapText="1"/>
    </xf>
    <xf numFmtId="0" fontId="1" fillId="0" borderId="0" xfId="0" applyNumberFormat="1" applyFont="1" applyBorder="1"/>
    <xf numFmtId="0" fontId="43" fillId="0" borderId="0" xfId="0" applyFont="1" applyBorder="1" applyAlignment="1">
      <alignment horizontal="left"/>
    </xf>
    <xf numFmtId="167" fontId="43" fillId="0" borderId="0" xfId="1" applyNumberFormat="1" applyFont="1" applyBorder="1" applyAlignment="1">
      <alignment horizontal="right"/>
    </xf>
    <xf numFmtId="167" fontId="43" fillId="0" borderId="0" xfId="1" applyNumberFormat="1" applyFont="1" applyBorder="1" applyAlignment="1">
      <alignment horizontal="right" vertical="center"/>
    </xf>
    <xf numFmtId="1" fontId="43" fillId="0" borderId="0" xfId="1" applyNumberFormat="1" applyFont="1" applyBorder="1" applyAlignment="1">
      <alignment horizontal="right" vertical="center"/>
    </xf>
    <xf numFmtId="168" fontId="43" fillId="0" borderId="12" xfId="0" applyNumberFormat="1" applyFont="1" applyBorder="1"/>
    <xf numFmtId="168" fontId="43" fillId="0" borderId="13" xfId="0" applyNumberFormat="1" applyFont="1" applyBorder="1"/>
    <xf numFmtId="0" fontId="40" fillId="4" borderId="0" xfId="5" applyNumberFormat="1" applyFont="1" applyFill="1" applyBorder="1" applyAlignment="1">
      <alignment horizontal="center" vertical="center"/>
    </xf>
    <xf numFmtId="0" fontId="40" fillId="0" borderId="0" xfId="5" applyNumberFormat="1" applyFont="1" applyFill="1" applyBorder="1" applyAlignment="1">
      <alignment horizontal="center" vertical="center"/>
    </xf>
    <xf numFmtId="0" fontId="40" fillId="0" borderId="1" xfId="5" applyNumberFormat="1" applyFont="1" applyFill="1" applyBorder="1" applyAlignment="1">
      <alignment horizontal="center" vertical="center"/>
    </xf>
    <xf numFmtId="168" fontId="36" fillId="0" borderId="0" xfId="1" applyNumberFormat="1" applyFont="1" applyBorder="1"/>
    <xf numFmtId="168" fontId="6" fillId="0" borderId="3" xfId="5" applyNumberFormat="1" applyFont="1" applyBorder="1" applyAlignment="1">
      <alignment horizontal="center"/>
    </xf>
    <xf numFmtId="43" fontId="6" fillId="0" borderId="0" xfId="1" applyFont="1" applyFill="1" applyBorder="1" applyAlignment="1">
      <alignment horizontal="center" wrapText="1"/>
    </xf>
    <xf numFmtId="43" fontId="6" fillId="0" borderId="2" xfId="1" applyFont="1" applyFill="1" applyBorder="1" applyAlignment="1">
      <alignment horizontal="center" wrapText="1"/>
    </xf>
    <xf numFmtId="43" fontId="6" fillId="0" borderId="0" xfId="5" applyNumberFormat="1" applyFont="1" applyFill="1" applyBorder="1" applyAlignment="1">
      <alignment horizontal="center" wrapText="1"/>
    </xf>
    <xf numFmtId="168" fontId="6" fillId="3" borderId="0" xfId="5" applyNumberFormat="1" applyFont="1" applyFill="1" applyBorder="1" applyAlignment="1">
      <alignment horizontal="center"/>
    </xf>
    <xf numFmtId="0" fontId="2" fillId="0" borderId="4" xfId="0" applyNumberFormat="1" applyFont="1" applyFill="1" applyBorder="1" applyAlignment="1">
      <alignment horizontal="center"/>
    </xf>
    <xf numFmtId="0" fontId="2" fillId="0" borderId="7" xfId="0" applyNumberFormat="1" applyFont="1" applyFill="1" applyBorder="1" applyAlignment="1">
      <alignment horizontal="center"/>
    </xf>
    <xf numFmtId="0" fontId="2" fillId="0" borderId="5" xfId="0" applyNumberFormat="1" applyFont="1" applyFill="1" applyBorder="1" applyAlignment="1">
      <alignment horizontal="center"/>
    </xf>
    <xf numFmtId="43" fontId="2" fillId="0" borderId="4" xfId="1" applyFont="1" applyFill="1" applyBorder="1" applyAlignment="1">
      <alignment horizontal="center"/>
    </xf>
    <xf numFmtId="43" fontId="2" fillId="0" borderId="5" xfId="1" applyFont="1" applyFill="1" applyBorder="1" applyAlignment="1">
      <alignment horizontal="center"/>
    </xf>
    <xf numFmtId="0" fontId="6" fillId="0" borderId="9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6" fillId="0" borderId="11" xfId="0" applyFont="1" applyFill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0" borderId="0" xfId="0" applyFont="1" applyAlignment="1">
      <alignment horizontal="center"/>
    </xf>
    <xf numFmtId="0" fontId="12" fillId="0" borderId="2" xfId="0" applyFont="1" applyBorder="1" applyAlignment="1">
      <alignment horizontal="center"/>
    </xf>
    <xf numFmtId="41" fontId="2" fillId="0" borderId="4" xfId="3" applyNumberFormat="1" applyFont="1" applyFill="1" applyBorder="1" applyAlignment="1">
      <alignment horizontal="center"/>
    </xf>
    <xf numFmtId="41" fontId="2" fillId="0" borderId="5" xfId="3" applyNumberFormat="1" applyFont="1" applyFill="1" applyBorder="1" applyAlignment="1">
      <alignment horizontal="center"/>
    </xf>
    <xf numFmtId="41" fontId="2" fillId="0" borderId="12" xfId="5" applyNumberFormat="1" applyFont="1" applyFill="1" applyBorder="1" applyAlignment="1">
      <alignment horizontal="center"/>
    </xf>
    <xf numFmtId="41" fontId="15" fillId="0" borderId="13" xfId="3" applyNumberFormat="1" applyFont="1" applyBorder="1" applyAlignment="1">
      <alignment horizontal="center"/>
    </xf>
    <xf numFmtId="41" fontId="15" fillId="0" borderId="14" xfId="3" applyNumberFormat="1" applyFont="1" applyBorder="1" applyAlignment="1">
      <alignment horizontal="center"/>
    </xf>
    <xf numFmtId="41" fontId="2" fillId="0" borderId="7" xfId="3" applyNumberFormat="1" applyFont="1" applyFill="1" applyBorder="1" applyAlignment="1">
      <alignment horizontal="center"/>
    </xf>
    <xf numFmtId="41" fontId="2" fillId="0" borderId="13" xfId="5" applyNumberFormat="1" applyFont="1" applyFill="1" applyBorder="1" applyAlignment="1">
      <alignment horizontal="center"/>
    </xf>
    <xf numFmtId="41" fontId="2" fillId="0" borderId="14" xfId="5" applyNumberFormat="1" applyFont="1" applyFill="1" applyBorder="1" applyAlignment="1">
      <alignment horizontal="center"/>
    </xf>
    <xf numFmtId="41" fontId="13" fillId="0" borderId="13" xfId="3" applyNumberFormat="1" applyBorder="1" applyAlignment="1">
      <alignment horizontal="center"/>
    </xf>
    <xf numFmtId="41" fontId="13" fillId="0" borderId="14" xfId="3" applyNumberFormat="1" applyBorder="1" applyAlignment="1">
      <alignment horizontal="center"/>
    </xf>
    <xf numFmtId="41" fontId="2" fillId="0" borderId="12" xfId="3" applyNumberFormat="1" applyFont="1" applyFill="1" applyBorder="1" applyAlignment="1">
      <alignment horizontal="center"/>
    </xf>
    <xf numFmtId="41" fontId="2" fillId="0" borderId="13" xfId="3" applyNumberFormat="1" applyFont="1" applyFill="1" applyBorder="1" applyAlignment="1">
      <alignment horizontal="center"/>
    </xf>
    <xf numFmtId="41" fontId="2" fillId="0" borderId="14" xfId="3" applyNumberFormat="1" applyFont="1" applyFill="1" applyBorder="1" applyAlignment="1">
      <alignment horizontal="center"/>
    </xf>
    <xf numFmtId="41" fontId="6" fillId="0" borderId="4" xfId="3" applyNumberFormat="1" applyFont="1" applyFill="1" applyBorder="1" applyAlignment="1">
      <alignment horizontal="center"/>
    </xf>
    <xf numFmtId="41" fontId="6" fillId="0" borderId="7" xfId="3" applyNumberFormat="1" applyFont="1" applyFill="1" applyBorder="1" applyAlignment="1">
      <alignment horizontal="center"/>
    </xf>
    <xf numFmtId="41" fontId="6" fillId="0" borderId="5" xfId="3" applyNumberFormat="1" applyFont="1" applyFill="1" applyBorder="1" applyAlignment="1">
      <alignment horizontal="center"/>
    </xf>
    <xf numFmtId="41" fontId="6" fillId="0" borderId="13" xfId="3" applyNumberFormat="1" applyFont="1" applyBorder="1" applyAlignment="1">
      <alignment horizontal="center"/>
    </xf>
    <xf numFmtId="41" fontId="6" fillId="0" borderId="14" xfId="3" applyNumberFormat="1" applyFont="1" applyBorder="1" applyAlignment="1">
      <alignment horizontal="center"/>
    </xf>
    <xf numFmtId="41" fontId="46" fillId="0" borderId="4" xfId="3" applyNumberFormat="1" applyFont="1" applyFill="1" applyBorder="1" applyAlignment="1">
      <alignment horizontal="center"/>
    </xf>
    <xf numFmtId="41" fontId="46" fillId="0" borderId="7" xfId="3" applyNumberFormat="1" applyFont="1" applyFill="1" applyBorder="1" applyAlignment="1">
      <alignment horizontal="center"/>
    </xf>
    <xf numFmtId="41" fontId="46" fillId="0" borderId="5" xfId="3" applyNumberFormat="1" applyFont="1" applyFill="1" applyBorder="1" applyAlignment="1">
      <alignment horizontal="center"/>
    </xf>
    <xf numFmtId="41" fontId="46" fillId="0" borderId="12" xfId="5" applyNumberFormat="1" applyFont="1" applyFill="1" applyBorder="1" applyAlignment="1">
      <alignment horizontal="center"/>
    </xf>
    <xf numFmtId="41" fontId="7" fillId="0" borderId="13" xfId="3" applyNumberFormat="1" applyFont="1" applyBorder="1" applyAlignment="1">
      <alignment horizontal="center"/>
    </xf>
    <xf numFmtId="41" fontId="7" fillId="0" borderId="14" xfId="3" applyNumberFormat="1" applyFont="1" applyBorder="1" applyAlignment="1">
      <alignment horizontal="center"/>
    </xf>
    <xf numFmtId="41" fontId="46" fillId="0" borderId="13" xfId="5" applyNumberFormat="1" applyFont="1" applyFill="1" applyBorder="1" applyAlignment="1">
      <alignment horizontal="center"/>
    </xf>
    <xf numFmtId="41" fontId="46" fillId="0" borderId="14" xfId="5" applyNumberFormat="1" applyFont="1" applyFill="1" applyBorder="1" applyAlignment="1">
      <alignment horizontal="center"/>
    </xf>
    <xf numFmtId="164" fontId="40" fillId="0" borderId="7" xfId="3" applyFont="1" applyBorder="1" applyAlignment="1">
      <alignment horizontal="center" vertical="center" wrapText="1"/>
    </xf>
    <xf numFmtId="0" fontId="43" fillId="0" borderId="7" xfId="0" applyFont="1" applyBorder="1" applyAlignment="1">
      <alignment horizontal="center" vertical="center" wrapText="1"/>
    </xf>
    <xf numFmtId="0" fontId="36" fillId="0" borderId="9" xfId="5" applyNumberFormat="1" applyFont="1" applyBorder="1" applyAlignment="1">
      <alignment horizontal="center" vertical="center" wrapText="1"/>
    </xf>
    <xf numFmtId="0" fontId="41" fillId="0" borderId="1" xfId="3" applyNumberFormat="1" applyFont="1" applyBorder="1" applyAlignment="1">
      <alignment horizontal="center" vertical="center" wrapText="1"/>
    </xf>
    <xf numFmtId="0" fontId="36" fillId="0" borderId="1" xfId="5" applyNumberFormat="1" applyFont="1" applyBorder="1" applyAlignment="1">
      <alignment horizontal="center" vertical="center" wrapText="1"/>
    </xf>
    <xf numFmtId="0" fontId="41" fillId="0" borderId="11" xfId="3" applyNumberFormat="1" applyFont="1" applyBorder="1" applyAlignment="1">
      <alignment horizontal="center" vertical="center" wrapText="1"/>
    </xf>
    <xf numFmtId="0" fontId="40" fillId="0" borderId="4" xfId="5" applyNumberFormat="1" applyFont="1" applyFill="1" applyBorder="1" applyAlignment="1">
      <alignment horizontal="center" vertical="center" wrapText="1"/>
    </xf>
    <xf numFmtId="0" fontId="40" fillId="0" borderId="5" xfId="5" applyNumberFormat="1" applyFont="1" applyFill="1" applyBorder="1" applyAlignment="1">
      <alignment horizontal="center" vertical="center" wrapText="1"/>
    </xf>
    <xf numFmtId="0" fontId="40" fillId="0" borderId="4" xfId="5" applyNumberFormat="1" applyFont="1" applyBorder="1" applyAlignment="1">
      <alignment horizontal="center" vertical="center" wrapText="1"/>
    </xf>
    <xf numFmtId="0" fontId="40" fillId="0" borderId="7" xfId="5" applyNumberFormat="1" applyFont="1" applyBorder="1" applyAlignment="1">
      <alignment horizontal="center" vertical="center" wrapText="1"/>
    </xf>
    <xf numFmtId="0" fontId="40" fillId="0" borderId="5" xfId="5" applyNumberFormat="1" applyFont="1" applyBorder="1" applyAlignment="1">
      <alignment horizontal="center" vertical="center" wrapText="1"/>
    </xf>
    <xf numFmtId="0" fontId="36" fillId="0" borderId="7" xfId="5" applyNumberFormat="1" applyFont="1" applyBorder="1" applyAlignment="1">
      <alignment horizontal="center" vertical="center" wrapText="1"/>
    </xf>
    <xf numFmtId="0" fontId="41" fillId="0" borderId="7" xfId="3" applyNumberFormat="1" applyFont="1" applyBorder="1" applyAlignment="1">
      <alignment horizontal="center" vertical="center" wrapText="1"/>
    </xf>
    <xf numFmtId="164" fontId="40" fillId="0" borderId="7" xfId="3" applyNumberFormat="1" applyFont="1" applyFill="1" applyBorder="1" applyAlignment="1">
      <alignment horizontal="center" vertical="center" wrapText="1"/>
    </xf>
    <xf numFmtId="164" fontId="41" fillId="0" borderId="7" xfId="3" applyFont="1" applyFill="1" applyBorder="1" applyAlignment="1">
      <alignment horizontal="center" vertical="center" wrapText="1"/>
    </xf>
    <xf numFmtId="168" fontId="40" fillId="0" borderId="7" xfId="5" applyNumberFormat="1" applyFont="1" applyBorder="1" applyAlignment="1">
      <alignment horizontal="center" vertical="center" wrapText="1"/>
    </xf>
    <xf numFmtId="164" fontId="41" fillId="0" borderId="7" xfId="3" applyFont="1" applyBorder="1" applyAlignment="1">
      <alignment horizontal="center" vertical="center" wrapText="1"/>
    </xf>
    <xf numFmtId="168" fontId="40" fillId="0" borderId="4" xfId="5" applyNumberFormat="1" applyFont="1" applyFill="1" applyBorder="1" applyAlignment="1">
      <alignment horizontal="center" vertical="center" wrapText="1"/>
    </xf>
    <xf numFmtId="168" fontId="40" fillId="0" borderId="5" xfId="5" applyNumberFormat="1" applyFont="1" applyFill="1" applyBorder="1" applyAlignment="1">
      <alignment horizontal="center" vertical="center" wrapText="1"/>
    </xf>
    <xf numFmtId="167" fontId="40" fillId="0" borderId="4" xfId="1" applyNumberFormat="1" applyFont="1" applyBorder="1" applyAlignment="1">
      <alignment horizontal="center" vertical="center" wrapText="1"/>
    </xf>
    <xf numFmtId="167" fontId="12" fillId="0" borderId="7" xfId="1" applyNumberFormat="1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171" fontId="36" fillId="0" borderId="12" xfId="2" applyNumberFormat="1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164" fontId="40" fillId="0" borderId="12" xfId="3" applyFont="1" applyBorder="1" applyAlignment="1">
      <alignment horizontal="center" vertical="center" wrapText="1"/>
    </xf>
    <xf numFmtId="0" fontId="43" fillId="0" borderId="13" xfId="0" applyFont="1" applyBorder="1" applyAlignment="1">
      <alignment horizontal="center" vertical="center" wrapText="1"/>
    </xf>
    <xf numFmtId="0" fontId="43" fillId="0" borderId="14" xfId="0" applyFont="1" applyBorder="1" applyAlignment="1">
      <alignment horizontal="center" vertical="center" wrapText="1"/>
    </xf>
    <xf numFmtId="168" fontId="45" fillId="0" borderId="15" xfId="5" applyNumberFormat="1" applyFont="1" applyBorder="1" applyAlignment="1">
      <alignment horizontal="center" vertical="center" wrapText="1"/>
    </xf>
    <xf numFmtId="168" fontId="45" fillId="0" borderId="12" xfId="5" applyNumberFormat="1" applyFont="1" applyBorder="1" applyAlignment="1">
      <alignment horizontal="center" vertical="center" wrapText="1"/>
    </xf>
    <xf numFmtId="0" fontId="4" fillId="0" borderId="0" xfId="3" applyNumberFormat="1" applyFont="1" applyFill="1" applyBorder="1" applyAlignment="1">
      <alignment horizontal="center"/>
    </xf>
    <xf numFmtId="0" fontId="6" fillId="0" borderId="7" xfId="3" applyNumberFormat="1" applyFont="1" applyFill="1" applyBorder="1" applyAlignment="1">
      <alignment horizontal="center"/>
    </xf>
    <xf numFmtId="0" fontId="6" fillId="0" borderId="5" xfId="3" applyNumberFormat="1" applyFont="1" applyFill="1" applyBorder="1" applyAlignment="1">
      <alignment horizontal="center"/>
    </xf>
    <xf numFmtId="0" fontId="6" fillId="0" borderId="4" xfId="3" applyNumberFormat="1" applyFont="1" applyFill="1" applyBorder="1" applyAlignment="1">
      <alignment horizontal="center"/>
    </xf>
    <xf numFmtId="164" fontId="6" fillId="0" borderId="3" xfId="3" applyFont="1" applyFill="1" applyBorder="1" applyAlignment="1">
      <alignment horizontal="center"/>
    </xf>
    <xf numFmtId="164" fontId="6" fillId="0" borderId="0" xfId="3" applyFont="1" applyFill="1" applyBorder="1" applyAlignment="1">
      <alignment horizontal="center"/>
    </xf>
    <xf numFmtId="164" fontId="6" fillId="0" borderId="2" xfId="3" applyFont="1" applyFill="1" applyBorder="1" applyAlignment="1">
      <alignment horizontal="center"/>
    </xf>
    <xf numFmtId="168" fontId="2" fillId="0" borderId="12" xfId="5" applyNumberFormat="1" applyFont="1" applyBorder="1" applyAlignment="1">
      <alignment horizontal="center"/>
    </xf>
    <xf numFmtId="164" fontId="13" fillId="0" borderId="13" xfId="3" applyBorder="1" applyAlignment="1">
      <alignment horizontal="center"/>
    </xf>
    <xf numFmtId="164" fontId="13" fillId="0" borderId="14" xfId="3" applyBorder="1" applyAlignment="1">
      <alignment horizontal="center"/>
    </xf>
    <xf numFmtId="168" fontId="2" fillId="0" borderId="3" xfId="1" applyNumberFormat="1" applyFont="1" applyFill="1" applyBorder="1" applyAlignment="1">
      <alignment horizontal="center" wrapText="1"/>
    </xf>
    <xf numFmtId="168" fontId="2" fillId="0" borderId="2" xfId="1" applyNumberFormat="1" applyFont="1" applyFill="1" applyBorder="1" applyAlignment="1">
      <alignment horizontal="center" wrapText="1"/>
    </xf>
    <xf numFmtId="0" fontId="4" fillId="0" borderId="8" xfId="3" applyNumberFormat="1" applyFont="1" applyFill="1" applyBorder="1" applyAlignment="1">
      <alignment horizontal="center" textRotation="180"/>
    </xf>
    <xf numFmtId="0" fontId="4" fillId="0" borderId="10" xfId="3" applyNumberFormat="1" applyFont="1" applyFill="1" applyBorder="1" applyAlignment="1">
      <alignment horizontal="center" textRotation="180"/>
    </xf>
    <xf numFmtId="0" fontId="3" fillId="0" borderId="9" xfId="3" applyNumberFormat="1" applyFont="1" applyFill="1" applyBorder="1" applyAlignment="1">
      <alignment horizontal="center" vertical="center"/>
    </xf>
    <xf numFmtId="0" fontId="3" fillId="0" borderId="1" xfId="3" applyNumberFormat="1" applyFont="1" applyFill="1" applyBorder="1" applyAlignment="1">
      <alignment horizontal="center" vertical="center"/>
    </xf>
    <xf numFmtId="0" fontId="3" fillId="0" borderId="11" xfId="3" applyNumberFormat="1" applyFont="1" applyFill="1" applyBorder="1" applyAlignment="1">
      <alignment horizontal="center" vertical="center"/>
    </xf>
    <xf numFmtId="168" fontId="2" fillId="0" borderId="4" xfId="1" applyNumberFormat="1" applyFont="1" applyFill="1" applyBorder="1" applyAlignment="1">
      <alignment horizontal="center"/>
    </xf>
    <xf numFmtId="168" fontId="2" fillId="0" borderId="5" xfId="1" applyNumberFormat="1" applyFont="1" applyFill="1" applyBorder="1" applyAlignment="1">
      <alignment horizontal="center"/>
    </xf>
    <xf numFmtId="0" fontId="4" fillId="0" borderId="4" xfId="3" applyNumberFormat="1" applyFont="1" applyFill="1" applyBorder="1" applyAlignment="1">
      <alignment horizontal="center" vertical="center"/>
    </xf>
    <xf numFmtId="0" fontId="2" fillId="0" borderId="7" xfId="3" applyNumberFormat="1" applyFont="1" applyFill="1" applyBorder="1" applyAlignment="1">
      <alignment horizontal="center" vertical="center"/>
    </xf>
    <xf numFmtId="0" fontId="2" fillId="0" borderId="5" xfId="3" applyNumberFormat="1" applyFont="1" applyFill="1" applyBorder="1" applyAlignment="1">
      <alignment horizontal="center" vertical="center"/>
    </xf>
    <xf numFmtId="0" fontId="2" fillId="0" borderId="7" xfId="3" applyNumberFormat="1" applyFont="1" applyFill="1" applyBorder="1" applyAlignment="1">
      <alignment horizontal="center"/>
    </xf>
    <xf numFmtId="0" fontId="2" fillId="0" borderId="5" xfId="3" applyNumberFormat="1" applyFont="1" applyFill="1" applyBorder="1" applyAlignment="1">
      <alignment horizontal="center"/>
    </xf>
    <xf numFmtId="43" fontId="4" fillId="0" borderId="4" xfId="5" applyFont="1" applyFill="1" applyBorder="1" applyAlignment="1">
      <alignment horizontal="center"/>
    </xf>
    <xf numFmtId="43" fontId="4" fillId="0" borderId="5" xfId="5" applyFont="1" applyFill="1" applyBorder="1" applyAlignment="1">
      <alignment horizontal="center"/>
    </xf>
    <xf numFmtId="0" fontId="4" fillId="0" borderId="4" xfId="5" applyNumberFormat="1" applyFont="1" applyFill="1" applyBorder="1" applyAlignment="1">
      <alignment horizontal="center" vertical="center" wrapText="1"/>
    </xf>
    <xf numFmtId="0" fontId="4" fillId="0" borderId="7" xfId="5" applyNumberFormat="1" applyFont="1" applyFill="1" applyBorder="1" applyAlignment="1">
      <alignment horizontal="center" vertical="center" wrapText="1"/>
    </xf>
    <xf numFmtId="0" fontId="4" fillId="0" borderId="5" xfId="5" applyNumberFormat="1" applyFont="1" applyFill="1" applyBorder="1" applyAlignment="1">
      <alignment horizontal="center" vertical="center" wrapText="1"/>
    </xf>
    <xf numFmtId="0" fontId="2" fillId="0" borderId="4" xfId="3" applyNumberFormat="1" applyFont="1" applyFill="1" applyBorder="1" applyAlignment="1">
      <alignment horizontal="center"/>
    </xf>
    <xf numFmtId="168" fontId="2" fillId="0" borderId="7" xfId="1" applyNumberFormat="1" applyFont="1" applyFill="1" applyBorder="1" applyAlignment="1">
      <alignment horizontal="center"/>
    </xf>
    <xf numFmtId="164" fontId="2" fillId="0" borderId="0" xfId="3" applyFont="1" applyFill="1" applyBorder="1" applyAlignment="1">
      <alignment horizontal="center"/>
    </xf>
    <xf numFmtId="164" fontId="2" fillId="0" borderId="2" xfId="3" applyFont="1" applyFill="1" applyBorder="1" applyAlignment="1">
      <alignment horizontal="center"/>
    </xf>
    <xf numFmtId="0" fontId="2" fillId="0" borderId="4" xfId="5" applyNumberFormat="1" applyFont="1" applyFill="1" applyBorder="1" applyAlignment="1">
      <alignment horizontal="center" wrapText="1"/>
    </xf>
    <xf numFmtId="0" fontId="2" fillId="0" borderId="5" xfId="5" applyNumberFormat="1" applyFont="1" applyFill="1" applyBorder="1" applyAlignment="1">
      <alignment horizontal="center" wrapText="1"/>
    </xf>
    <xf numFmtId="164" fontId="2" fillId="0" borderId="3" xfId="3" applyFont="1" applyFill="1" applyBorder="1" applyAlignment="1">
      <alignment horizontal="center" wrapText="1"/>
    </xf>
    <xf numFmtId="164" fontId="2" fillId="0" borderId="2" xfId="3" applyFont="1" applyFill="1" applyBorder="1" applyAlignment="1">
      <alignment horizontal="center" wrapText="1"/>
    </xf>
    <xf numFmtId="0" fontId="3" fillId="0" borderId="0" xfId="3" applyNumberFormat="1" applyFont="1" applyFill="1" applyBorder="1" applyAlignment="1">
      <alignment horizontal="center"/>
    </xf>
    <xf numFmtId="0" fontId="4" fillId="0" borderId="6" xfId="3" applyNumberFormat="1" applyFont="1" applyFill="1" applyBorder="1" applyAlignment="1">
      <alignment horizontal="center" textRotation="180"/>
    </xf>
    <xf numFmtId="0" fontId="2" fillId="0" borderId="4" xfId="5" applyNumberFormat="1" applyFont="1" applyFill="1" applyBorder="1" applyAlignment="1">
      <alignment horizontal="center"/>
    </xf>
    <xf numFmtId="0" fontId="2" fillId="0" borderId="5" xfId="5" applyNumberFormat="1" applyFont="1" applyFill="1" applyBorder="1" applyAlignment="1">
      <alignment horizontal="center"/>
    </xf>
    <xf numFmtId="166" fontId="2" fillId="0" borderId="0" xfId="5" applyNumberFormat="1" applyFont="1" applyAlignment="1">
      <alignment horizontal="center"/>
    </xf>
    <xf numFmtId="166" fontId="8" fillId="0" borderId="0" xfId="5" applyNumberFormat="1" applyFont="1" applyAlignment="1">
      <alignment horizontal="center"/>
    </xf>
    <xf numFmtId="0" fontId="2" fillId="0" borderId="3" xfId="3" applyNumberFormat="1" applyFont="1" applyFill="1" applyBorder="1" applyAlignment="1">
      <alignment horizontal="center"/>
    </xf>
    <xf numFmtId="164" fontId="13" fillId="0" borderId="2" xfId="3" applyFill="1" applyBorder="1" applyAlignment="1">
      <alignment horizontal="center"/>
    </xf>
    <xf numFmtId="164" fontId="2" fillId="0" borderId="7" xfId="3" applyFont="1" applyFill="1" applyBorder="1" applyAlignment="1">
      <alignment horizontal="center"/>
    </xf>
    <xf numFmtId="164" fontId="2" fillId="0" borderId="5" xfId="3" applyFont="1" applyFill="1" applyBorder="1" applyAlignment="1">
      <alignment horizontal="center"/>
    </xf>
    <xf numFmtId="164" fontId="2" fillId="0" borderId="7" xfId="3" applyFont="1" applyFill="1" applyBorder="1" applyAlignment="1">
      <alignment horizontal="center" vertical="center"/>
    </xf>
    <xf numFmtId="164" fontId="2" fillId="0" borderId="5" xfId="3" applyFont="1" applyFill="1" applyBorder="1" applyAlignment="1">
      <alignment horizontal="center" vertical="center"/>
    </xf>
    <xf numFmtId="164" fontId="11" fillId="0" borderId="0" xfId="5" applyNumberFormat="1" applyFont="1" applyFill="1" applyBorder="1" applyAlignment="1">
      <alignment horizontal="center"/>
    </xf>
    <xf numFmtId="164" fontId="13" fillId="0" borderId="0" xfId="3" applyFill="1" applyAlignment="1"/>
    <xf numFmtId="164" fontId="13" fillId="0" borderId="2" xfId="3" applyFill="1" applyBorder="1" applyAlignment="1"/>
    <xf numFmtId="164" fontId="2" fillId="0" borderId="3" xfId="3" applyFont="1" applyFill="1" applyBorder="1" applyAlignment="1">
      <alignment horizontal="center"/>
    </xf>
    <xf numFmtId="164" fontId="5" fillId="0" borderId="4" xfId="3" applyNumberFormat="1" applyFont="1" applyBorder="1" applyAlignment="1">
      <alignment horizontal="center"/>
    </xf>
    <xf numFmtId="164" fontId="13" fillId="0" borderId="5" xfId="3" applyBorder="1" applyAlignment="1">
      <alignment horizontal="center"/>
    </xf>
    <xf numFmtId="164" fontId="5" fillId="0" borderId="13" xfId="3" applyNumberFormat="1" applyFont="1" applyBorder="1" applyAlignment="1">
      <alignment horizontal="center"/>
    </xf>
    <xf numFmtId="164" fontId="5" fillId="0" borderId="12" xfId="3" applyNumberFormat="1" applyFont="1" applyBorder="1" applyAlignment="1">
      <alignment horizontal="center"/>
    </xf>
  </cellXfs>
  <cellStyles count="9">
    <cellStyle name="Comma" xfId="1" builtinId="3"/>
    <cellStyle name="Comma 2" xfId="5" xr:uid="{00000000-0005-0000-0000-000001000000}"/>
    <cellStyle name="Comma 2 2" xfId="7" xr:uid="{00000000-0005-0000-0000-000002000000}"/>
    <cellStyle name="Hyperlink" xfId="6" builtinId="8"/>
    <cellStyle name="Normal" xfId="0" builtinId="0"/>
    <cellStyle name="Normal 2" xfId="3" xr:uid="{00000000-0005-0000-0000-000006000000}"/>
    <cellStyle name="Percent" xfId="2" builtinId="5"/>
    <cellStyle name="Percent 2" xfId="4" xr:uid="{00000000-0005-0000-0000-000008000000}"/>
    <cellStyle name="Percent 2 2" xfId="8" xr:uid="{486329FE-8E4B-4959-B8B6-D067058792A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sheetMetadata" Target="metadata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Z862"/>
  <sheetViews>
    <sheetView tabSelected="1" zoomScale="75" zoomScaleNormal="75" workbookViewId="0">
      <selection activeCell="A9" sqref="A9"/>
    </sheetView>
  </sheetViews>
  <sheetFormatPr defaultColWidth="8.86328125" defaultRowHeight="14.75" x14ac:dyDescent="0.75"/>
  <cols>
    <col min="1" max="1" width="5.6796875" style="411" customWidth="1"/>
    <col min="2" max="2" width="6.40625" style="411" customWidth="1"/>
    <col min="3" max="3" width="8" style="411" customWidth="1"/>
    <col min="4" max="4" width="11.6796875" style="411" customWidth="1"/>
    <col min="5" max="5" width="9.1328125" style="411" customWidth="1"/>
    <col min="6" max="6" width="24.453125" style="411" customWidth="1"/>
    <col min="7" max="7" width="8.6796875" style="411" customWidth="1"/>
    <col min="8" max="8" width="24.453125" style="411" customWidth="1"/>
    <col min="9" max="9" width="8.6796875" style="411" customWidth="1"/>
    <col min="10" max="10" width="24.453125" style="426" customWidth="1"/>
    <col min="11" max="11" width="24.453125" style="557" customWidth="1"/>
    <col min="12" max="12" width="8" style="473" customWidth="1"/>
    <col min="13" max="13" width="8" style="411" customWidth="1"/>
    <col min="14" max="14" width="24.453125" style="411" customWidth="1"/>
    <col min="15" max="15" width="5.6796875" style="438" customWidth="1"/>
    <col min="16" max="16" width="24.453125" style="437" customWidth="1"/>
    <col min="17" max="17" width="5.6796875" style="439" customWidth="1"/>
    <col min="18" max="19" width="24.453125" style="411" customWidth="1"/>
    <col min="20" max="20" width="27.6796875" style="411" customWidth="1"/>
    <col min="21" max="21" width="6.54296875" style="411" customWidth="1"/>
    <col min="22" max="22" width="27.6796875" style="352" customWidth="1"/>
    <col min="23" max="23" width="5.6796875" style="411" customWidth="1"/>
    <col min="24" max="24" width="27.6796875" style="352" customWidth="1"/>
    <col min="25" max="25" width="5.6796875" style="411" customWidth="1"/>
    <col min="26" max="26" width="3" style="352" customWidth="1"/>
    <col min="27" max="16384" width="8.86328125" style="347"/>
  </cols>
  <sheetData>
    <row r="1" spans="1:26" ht="15.65" customHeight="1" x14ac:dyDescent="0.8">
      <c r="A1" s="351"/>
      <c r="B1" s="409"/>
      <c r="C1" s="413"/>
      <c r="D1" s="414"/>
      <c r="E1" s="351"/>
      <c r="F1" s="415"/>
      <c r="G1" s="415"/>
      <c r="H1" s="416"/>
      <c r="I1" s="415"/>
      <c r="J1" s="351"/>
      <c r="K1" s="494" t="s">
        <v>399</v>
      </c>
      <c r="L1" s="417"/>
      <c r="M1" s="418"/>
      <c r="N1" s="889"/>
      <c r="O1" s="890"/>
      <c r="P1" s="890"/>
      <c r="Q1" s="891"/>
      <c r="R1" s="364"/>
      <c r="S1" s="364"/>
      <c r="T1" s="351"/>
      <c r="U1" s="351"/>
      <c r="W1" s="419"/>
      <c r="Y1" s="419"/>
      <c r="Z1" s="352" t="s">
        <v>1</v>
      </c>
    </row>
    <row r="2" spans="1:26" s="445" customFormat="1" ht="15.5" customHeight="1" x14ac:dyDescent="0.8">
      <c r="A2" s="363"/>
      <c r="B2" s="363"/>
      <c r="C2" s="440"/>
      <c r="D2" s="441"/>
      <c r="E2" s="442"/>
      <c r="F2" s="884" t="s">
        <v>2</v>
      </c>
      <c r="G2" s="885"/>
      <c r="H2" s="885"/>
      <c r="I2" s="886"/>
      <c r="J2" s="474"/>
      <c r="K2" s="498"/>
      <c r="L2" s="443"/>
      <c r="M2" s="444"/>
      <c r="N2" s="884" t="s">
        <v>3</v>
      </c>
      <c r="O2" s="885"/>
      <c r="P2" s="885"/>
      <c r="Q2" s="886"/>
      <c r="R2" s="887" t="s">
        <v>4</v>
      </c>
      <c r="S2" s="888"/>
      <c r="T2" s="363"/>
      <c r="U2" s="442"/>
      <c r="V2" s="892" t="s">
        <v>29</v>
      </c>
      <c r="W2" s="893"/>
      <c r="X2" s="893"/>
      <c r="Y2" s="894"/>
      <c r="Z2" s="352"/>
    </row>
    <row r="3" spans="1:26" s="445" customFormat="1" ht="16" x14ac:dyDescent="0.8">
      <c r="A3" s="412" t="s">
        <v>10</v>
      </c>
      <c r="B3" s="446" t="s">
        <v>11</v>
      </c>
      <c r="C3" s="447" t="s">
        <v>12</v>
      </c>
      <c r="D3" s="372" t="s">
        <v>13</v>
      </c>
      <c r="E3" s="448" t="s">
        <v>14</v>
      </c>
      <c r="F3" s="446" t="s">
        <v>6</v>
      </c>
      <c r="G3" s="448" t="s">
        <v>15</v>
      </c>
      <c r="H3" s="446" t="s">
        <v>8</v>
      </c>
      <c r="I3" s="448" t="s">
        <v>15</v>
      </c>
      <c r="J3" s="446" t="s">
        <v>16</v>
      </c>
      <c r="K3" s="378" t="s">
        <v>17</v>
      </c>
      <c r="L3" s="449" t="s">
        <v>18</v>
      </c>
      <c r="M3" s="450" t="s">
        <v>19</v>
      </c>
      <c r="N3" s="412" t="s">
        <v>20</v>
      </c>
      <c r="O3" s="451"/>
      <c r="P3" s="412" t="s">
        <v>21</v>
      </c>
      <c r="Q3" s="452"/>
      <c r="R3" s="376" t="s">
        <v>20</v>
      </c>
      <c r="S3" s="376" t="s">
        <v>21</v>
      </c>
      <c r="T3" s="446" t="s">
        <v>22</v>
      </c>
      <c r="U3" s="448" t="s">
        <v>23</v>
      </c>
      <c r="V3" s="644" t="s">
        <v>20</v>
      </c>
      <c r="W3" s="457" t="s">
        <v>443</v>
      </c>
      <c r="X3" s="645" t="s">
        <v>21</v>
      </c>
      <c r="Y3" s="458" t="s">
        <v>444</v>
      </c>
      <c r="Z3" s="352"/>
    </row>
    <row r="4" spans="1:26" ht="16" x14ac:dyDescent="0.8">
      <c r="A4" s="351">
        <v>0</v>
      </c>
      <c r="B4" s="420" t="s">
        <v>34</v>
      </c>
      <c r="C4" s="421">
        <v>44793</v>
      </c>
      <c r="D4" s="414">
        <f>17/24</f>
        <v>0.70833333333333337</v>
      </c>
      <c r="E4" s="349" t="s">
        <v>61</v>
      </c>
      <c r="F4" s="420" t="s">
        <v>271</v>
      </c>
      <c r="G4" s="349" t="s">
        <v>41</v>
      </c>
      <c r="H4" s="420" t="s">
        <v>117</v>
      </c>
      <c r="I4" s="349" t="s">
        <v>61</v>
      </c>
      <c r="J4" s="420"/>
      <c r="K4" s="379"/>
      <c r="L4" s="422"/>
      <c r="M4" s="418"/>
      <c r="N4" s="351" t="str">
        <f>H4</f>
        <v>Florida State</v>
      </c>
      <c r="O4" s="423">
        <v>47</v>
      </c>
      <c r="P4" s="436" t="str">
        <f>IF(+N4=H4,F4,H4)</f>
        <v>1AA Duquesne</v>
      </c>
      <c r="Q4" s="408">
        <v>7</v>
      </c>
      <c r="R4" s="494"/>
      <c r="S4" s="494"/>
      <c r="T4" s="356"/>
      <c r="U4" s="349"/>
      <c r="W4" s="424"/>
      <c r="X4" s="352" t="s">
        <v>404</v>
      </c>
      <c r="Y4" s="425"/>
    </row>
    <row r="5" spans="1:26" ht="16" x14ac:dyDescent="0.8">
      <c r="A5" s="351">
        <v>0</v>
      </c>
      <c r="B5" s="420" t="s">
        <v>34</v>
      </c>
      <c r="C5" s="421">
        <f>+C6-7</f>
        <v>44793</v>
      </c>
      <c r="D5" s="414">
        <f>20.25/24</f>
        <v>0.84375</v>
      </c>
      <c r="E5" s="349" t="s">
        <v>61</v>
      </c>
      <c r="F5" s="420" t="s">
        <v>86</v>
      </c>
      <c r="G5" s="349" t="s">
        <v>41</v>
      </c>
      <c r="H5" s="420" t="s">
        <v>124</v>
      </c>
      <c r="I5" s="349" t="s">
        <v>61</v>
      </c>
      <c r="J5" s="420"/>
      <c r="K5" s="379"/>
      <c r="L5" s="422"/>
      <c r="M5" s="418"/>
      <c r="N5" s="351" t="str">
        <f>H5</f>
        <v>North Carolina</v>
      </c>
      <c r="O5" s="423">
        <v>56</v>
      </c>
      <c r="P5" s="436" t="str">
        <f>IF(+N5=H5,F5,H5)</f>
        <v>1AA Florida A&amp;M</v>
      </c>
      <c r="Q5" s="408">
        <v>24</v>
      </c>
      <c r="R5" s="494"/>
      <c r="S5" s="494"/>
      <c r="T5" s="356"/>
      <c r="U5" s="349"/>
      <c r="W5" s="424"/>
      <c r="X5" s="352" t="s">
        <v>404</v>
      </c>
      <c r="Y5" s="425"/>
    </row>
    <row r="6" spans="1:26" ht="16" x14ac:dyDescent="0.8">
      <c r="A6" s="351">
        <v>0</v>
      </c>
      <c r="B6" s="420" t="s">
        <v>34</v>
      </c>
      <c r="C6" s="421">
        <v>44800</v>
      </c>
      <c r="D6" s="414">
        <f>16/24</f>
        <v>0.66666666666666663</v>
      </c>
      <c r="E6" s="349" t="s">
        <v>66</v>
      </c>
      <c r="F6" s="420" t="s">
        <v>133</v>
      </c>
      <c r="G6" s="349" t="s">
        <v>45</v>
      </c>
      <c r="H6" s="420" t="s">
        <v>132</v>
      </c>
      <c r="I6" s="349" t="s">
        <v>64</v>
      </c>
      <c r="J6" s="420" t="str">
        <f>H6</f>
        <v>Illinois</v>
      </c>
      <c r="K6" s="379" t="str">
        <f>IF(+J6=H6,F6,H6)</f>
        <v>Wyoming</v>
      </c>
      <c r="L6" s="422">
        <v>14</v>
      </c>
      <c r="M6" s="418">
        <v>42.5</v>
      </c>
      <c r="N6" s="351" t="str">
        <f>H6</f>
        <v>Illinois</v>
      </c>
      <c r="O6" s="423">
        <v>38</v>
      </c>
      <c r="P6" s="436" t="str">
        <f t="shared" ref="P6:P37" si="0">IF(+N6=H6,F6,H6)</f>
        <v>Wyoming</v>
      </c>
      <c r="Q6" s="408">
        <v>6</v>
      </c>
      <c r="R6" s="494" t="str">
        <f>IF(+N6=K6,+N6,IF(+O6-Q6&lt;L6,+K6,+J6))</f>
        <v>Illinois</v>
      </c>
      <c r="S6" s="494" t="str">
        <f>IF(+R6=J6,+K6,+J6)</f>
        <v>Wyoming</v>
      </c>
      <c r="T6" s="356" t="str">
        <f>K6</f>
        <v>Wyoming</v>
      </c>
      <c r="U6" s="665" t="str">
        <f>IF($N6=$J6,IF($O6-$Q6=$L6,"T",IF($R6=T6,"W","L")),IF($R6=T6,"W","L"))</f>
        <v>L</v>
      </c>
      <c r="W6" s="424"/>
      <c r="X6" s="352" t="s">
        <v>404</v>
      </c>
      <c r="Y6" s="425"/>
    </row>
    <row r="7" spans="1:26" ht="16" x14ac:dyDescent="0.8">
      <c r="A7" s="351">
        <v>0</v>
      </c>
      <c r="B7" s="420" t="s">
        <v>34</v>
      </c>
      <c r="C7" s="421">
        <v>44800</v>
      </c>
      <c r="D7" s="414">
        <f>12.5/24</f>
        <v>0.52083333333333337</v>
      </c>
      <c r="E7" s="349" t="s">
        <v>118</v>
      </c>
      <c r="F7" s="420" t="s">
        <v>143</v>
      </c>
      <c r="G7" s="349" t="s">
        <v>64</v>
      </c>
      <c r="H7" s="420" t="s">
        <v>141</v>
      </c>
      <c r="I7" s="349" t="s">
        <v>64</v>
      </c>
      <c r="J7" s="420" t="str">
        <f>H7</f>
        <v>Nebraska</v>
      </c>
      <c r="K7" s="379" t="str">
        <f>IF(+J7=H7,F7,H7)</f>
        <v>Northwestern</v>
      </c>
      <c r="L7" s="422">
        <v>12</v>
      </c>
      <c r="M7" s="418">
        <v>52.5</v>
      </c>
      <c r="N7" s="351" t="str">
        <f>F7</f>
        <v>Northwestern</v>
      </c>
      <c r="O7" s="423">
        <v>31</v>
      </c>
      <c r="P7" s="436" t="str">
        <f t="shared" si="0"/>
        <v>Nebraska</v>
      </c>
      <c r="Q7" s="408">
        <v>28</v>
      </c>
      <c r="R7" s="494" t="str">
        <f>IF(+N7=K7,+N7,IF(+O7-Q7&lt;L7,+K7,+J7))</f>
        <v>Northwestern</v>
      </c>
      <c r="S7" s="494" t="str">
        <f>IF(+R7=J7,+K7,+J7)</f>
        <v>Nebraska</v>
      </c>
      <c r="T7" s="356" t="str">
        <f>K7</f>
        <v>Northwestern</v>
      </c>
      <c r="U7" s="665" t="str">
        <f>IF($N7=$J7,IF($O7-$Q7=$L7,"T",IF($R7=T7,"W","L")),IF($R7=T7,"W","L"))</f>
        <v>W</v>
      </c>
      <c r="V7" s="352" t="str">
        <f>LOWER(+H7)</f>
        <v>nebraska</v>
      </c>
      <c r="W7" s="424">
        <v>56</v>
      </c>
      <c r="X7" s="352" t="str">
        <f>UPPER(+F7)</f>
        <v>NORTHWESTERN</v>
      </c>
      <c r="Y7" s="425">
        <v>7</v>
      </c>
    </row>
    <row r="8" spans="1:26" ht="16" x14ac:dyDescent="0.8">
      <c r="A8" s="351">
        <v>0</v>
      </c>
      <c r="B8" s="420" t="s">
        <v>34</v>
      </c>
      <c r="C8" s="421">
        <v>44800</v>
      </c>
      <c r="D8" s="414">
        <f>19/24</f>
        <v>0.79166666666666663</v>
      </c>
      <c r="E8" s="349" t="s">
        <v>445</v>
      </c>
      <c r="F8" s="420" t="s">
        <v>100</v>
      </c>
      <c r="G8" s="349" t="s">
        <v>39</v>
      </c>
      <c r="H8" s="420" t="s">
        <v>97</v>
      </c>
      <c r="I8" s="349" t="s">
        <v>39</v>
      </c>
      <c r="J8" s="420" t="str">
        <f>H8</f>
        <v>Florida Atlantic</v>
      </c>
      <c r="K8" s="379" t="str">
        <f>IF(+J8=H8,F8,H8)</f>
        <v>UNC Charlotte</v>
      </c>
      <c r="L8" s="422">
        <v>7</v>
      </c>
      <c r="M8" s="418">
        <v>59.5</v>
      </c>
      <c r="N8" s="351" t="str">
        <f>H8</f>
        <v>Florida Atlantic</v>
      </c>
      <c r="O8" s="423">
        <v>43</v>
      </c>
      <c r="P8" s="436" t="str">
        <f t="shared" si="0"/>
        <v>UNC Charlotte</v>
      </c>
      <c r="Q8" s="408">
        <v>13</v>
      </c>
      <c r="R8" s="494" t="str">
        <f>IF(+N8=K8,+N8,IF(+O8-Q8&lt;L8,+K8,+J8))</f>
        <v>Florida Atlantic</v>
      </c>
      <c r="S8" s="494" t="str">
        <f>IF(+R8=J8,+K8,+J8)</f>
        <v>UNC Charlotte</v>
      </c>
      <c r="T8" s="356" t="str">
        <f>K8</f>
        <v>UNC Charlotte</v>
      </c>
      <c r="U8" s="665" t="str">
        <f>IF($N8=$J8,IF($O8-$Q8=$L8,"T",IF($R8=T8,"W","L")),IF($R8=T8,"W","L"))</f>
        <v>L</v>
      </c>
      <c r="V8" s="352" t="str">
        <f>LOWER(+H8)</f>
        <v>florida atlantic</v>
      </c>
      <c r="W8" s="424">
        <v>38</v>
      </c>
      <c r="X8" s="352" t="str">
        <f>UPPER(+F8)</f>
        <v>UNC CHARLOTTE</v>
      </c>
      <c r="Y8" s="425">
        <v>9</v>
      </c>
    </row>
    <row r="9" spans="1:26" ht="16" x14ac:dyDescent="0.8">
      <c r="A9" s="351">
        <v>0</v>
      </c>
      <c r="B9" s="420" t="s">
        <v>34</v>
      </c>
      <c r="C9" s="421">
        <v>44800</v>
      </c>
      <c r="D9" s="414">
        <f>21/24</f>
        <v>0.875</v>
      </c>
      <c r="E9" s="349"/>
      <c r="F9" s="420" t="s">
        <v>167</v>
      </c>
      <c r="G9" s="349" t="s">
        <v>39</v>
      </c>
      <c r="H9" s="420" t="s">
        <v>153</v>
      </c>
      <c r="I9" s="349" t="s">
        <v>39</v>
      </c>
      <c r="J9" s="420" t="str">
        <f>F9</f>
        <v>North Texas</v>
      </c>
      <c r="K9" s="379" t="str">
        <f>IF(+J9=H9,F9,H9)</f>
        <v>UTEP</v>
      </c>
      <c r="L9" s="422">
        <v>1.5</v>
      </c>
      <c r="M9" s="418">
        <v>53.5</v>
      </c>
      <c r="N9" s="436" t="str">
        <f>F9</f>
        <v>North Texas</v>
      </c>
      <c r="O9" s="423">
        <v>31</v>
      </c>
      <c r="P9" s="436" t="str">
        <f t="shared" si="0"/>
        <v>UTEP</v>
      </c>
      <c r="Q9" s="408">
        <v>13</v>
      </c>
      <c r="R9" s="494" t="str">
        <f>IF(+N9=K9,+N9,IF(+O9-Q9&lt;L9,+K9,+J9))</f>
        <v>North Texas</v>
      </c>
      <c r="S9" s="494" t="str">
        <f>IF(+R9=J9,+K9,+J9)</f>
        <v>UTEP</v>
      </c>
      <c r="T9" s="356" t="str">
        <f>K9</f>
        <v>UTEP</v>
      </c>
      <c r="U9" s="665" t="str">
        <f>IF($N9=$J9,IF($O9-$Q9=$L9,"T",IF($R9=T9,"W","L")),IF($R9=T9,"W","L"))</f>
        <v>L</v>
      </c>
      <c r="V9" s="352" t="str">
        <f>UPPER(+F9)</f>
        <v>NORTH TEXAS</v>
      </c>
      <c r="W9" s="424">
        <v>20</v>
      </c>
      <c r="X9" s="352" t="str">
        <f>LOWER(+H9)</f>
        <v>utep</v>
      </c>
      <c r="Y9" s="425">
        <v>17</v>
      </c>
    </row>
    <row r="10" spans="1:26" ht="16" x14ac:dyDescent="0.8">
      <c r="A10" s="351">
        <v>0</v>
      </c>
      <c r="B10" s="420" t="s">
        <v>34</v>
      </c>
      <c r="C10" s="421">
        <v>44800</v>
      </c>
      <c r="D10" s="414">
        <f>12/24</f>
        <v>0.5</v>
      </c>
      <c r="E10" s="349" t="s">
        <v>445</v>
      </c>
      <c r="F10" s="420" t="s">
        <v>54</v>
      </c>
      <c r="G10" s="349" t="s">
        <v>41</v>
      </c>
      <c r="H10" s="420" t="s">
        <v>177</v>
      </c>
      <c r="I10" s="349" t="s">
        <v>39</v>
      </c>
      <c r="J10" s="420"/>
      <c r="K10" s="379"/>
      <c r="L10" s="422"/>
      <c r="M10" s="418"/>
      <c r="N10" s="351" t="str">
        <f>H10</f>
        <v>Western Kentucky</v>
      </c>
      <c r="O10" s="423">
        <v>38</v>
      </c>
      <c r="P10" s="436" t="str">
        <f t="shared" si="0"/>
        <v>1AA Austin Peay</v>
      </c>
      <c r="Q10" s="408">
        <v>27</v>
      </c>
      <c r="R10" s="494"/>
      <c r="S10" s="494"/>
      <c r="T10" s="356"/>
      <c r="U10" s="349"/>
      <c r="W10" s="424"/>
      <c r="X10" s="352" t="s">
        <v>404</v>
      </c>
      <c r="Y10" s="425"/>
    </row>
    <row r="11" spans="1:26" ht="16" x14ac:dyDescent="0.8">
      <c r="A11" s="351">
        <v>0</v>
      </c>
      <c r="B11" s="420" t="s">
        <v>34</v>
      </c>
      <c r="C11" s="421">
        <v>44800</v>
      </c>
      <c r="D11" s="414">
        <f>22/24</f>
        <v>0.91666666666666663</v>
      </c>
      <c r="E11" s="349" t="s">
        <v>256</v>
      </c>
      <c r="F11" s="420" t="s">
        <v>142</v>
      </c>
      <c r="G11" s="349" t="s">
        <v>45</v>
      </c>
      <c r="H11" s="420" t="s">
        <v>78</v>
      </c>
      <c r="I11" s="349" t="s">
        <v>43</v>
      </c>
      <c r="J11" s="420" t="str">
        <f>F11</f>
        <v>Nevada</v>
      </c>
      <c r="K11" s="379" t="str">
        <f>IF(+J11=H11,F11,H11)</f>
        <v>New Mexico State</v>
      </c>
      <c r="L11" s="422">
        <v>7.5</v>
      </c>
      <c r="M11" s="418">
        <v>47.5</v>
      </c>
      <c r="N11" s="351" t="str">
        <f>F11</f>
        <v>Nevada</v>
      </c>
      <c r="O11" s="423">
        <v>23</v>
      </c>
      <c r="P11" s="436" t="str">
        <f t="shared" si="0"/>
        <v>New Mexico State</v>
      </c>
      <c r="Q11" s="408">
        <v>12</v>
      </c>
      <c r="R11" s="494" t="str">
        <f>IF(+N11=K11,+N11,IF(+O11-Q11&lt;L11,+K11,+J11))</f>
        <v>Nevada</v>
      </c>
      <c r="S11" s="494" t="str">
        <f>IF(+R11=J11,+K11,+J11)</f>
        <v>New Mexico State</v>
      </c>
      <c r="T11" s="356" t="str">
        <f>K11</f>
        <v>New Mexico State</v>
      </c>
      <c r="U11" s="665" t="str">
        <f>IF($N11=$J11,IF($O11-$Q11=$L11,"T",IF($R11=T11,"W","L")),IF($R11=T11,"W","L"))</f>
        <v>L</v>
      </c>
      <c r="V11" s="352" t="str">
        <f>UPPER(+F11)</f>
        <v>NEVADA</v>
      </c>
      <c r="W11" s="424">
        <v>55</v>
      </c>
      <c r="X11" s="352" t="str">
        <f>LOWER(+H11)</f>
        <v>new mexico state</v>
      </c>
      <c r="Y11" s="425">
        <v>28</v>
      </c>
    </row>
    <row r="12" spans="1:26" ht="16" x14ac:dyDescent="0.8">
      <c r="A12" s="351">
        <v>0</v>
      </c>
      <c r="B12" s="420" t="s">
        <v>34</v>
      </c>
      <c r="C12" s="421">
        <v>44800</v>
      </c>
      <c r="D12" s="414">
        <f>22.5/24</f>
        <v>0.9375</v>
      </c>
      <c r="E12" s="349" t="s">
        <v>445</v>
      </c>
      <c r="F12" s="420" t="s">
        <v>164</v>
      </c>
      <c r="G12" s="349" t="s">
        <v>85</v>
      </c>
      <c r="H12" s="420" t="s">
        <v>44</v>
      </c>
      <c r="I12" s="349" t="s">
        <v>45</v>
      </c>
      <c r="J12" s="420" t="str">
        <f>F12</f>
        <v>Vanderbilt</v>
      </c>
      <c r="K12" s="379" t="str">
        <f>IF(+J12=H12,F12,H12)</f>
        <v>Hawaii</v>
      </c>
      <c r="L12" s="422">
        <v>9.5</v>
      </c>
      <c r="M12" s="418">
        <v>54.6</v>
      </c>
      <c r="N12" s="436" t="str">
        <f>F12</f>
        <v>Vanderbilt</v>
      </c>
      <c r="O12" s="423">
        <v>63</v>
      </c>
      <c r="P12" s="436" t="str">
        <f t="shared" si="0"/>
        <v>Hawaii</v>
      </c>
      <c r="Q12" s="408">
        <v>10</v>
      </c>
      <c r="R12" s="494" t="str">
        <f>IF(+N12=K12,+N12,IF(+O12-Q12&lt;L12,+K12,+J12))</f>
        <v>Vanderbilt</v>
      </c>
      <c r="S12" s="494" t="str">
        <f>IF(+R12=J12,+K12,+J12)</f>
        <v>Hawaii</v>
      </c>
      <c r="T12" s="356" t="str">
        <f>K12</f>
        <v>Hawaii</v>
      </c>
      <c r="U12" s="665" t="str">
        <f>IF($N12=$J12,IF($O12-$Q12=$L12,"T",IF($R12=T12,"W","L")),IF($R12=T12,"W","L"))</f>
        <v>L</v>
      </c>
      <c r="W12" s="424"/>
      <c r="X12" s="352" t="s">
        <v>404</v>
      </c>
      <c r="Y12" s="425"/>
    </row>
    <row r="13" spans="1:26" ht="16" x14ac:dyDescent="0.8">
      <c r="A13" s="351">
        <v>0</v>
      </c>
      <c r="B13" s="420" t="s">
        <v>34</v>
      </c>
      <c r="C13" s="421">
        <v>44800</v>
      </c>
      <c r="D13" s="414">
        <f>15.5/24</f>
        <v>0.64583333333333337</v>
      </c>
      <c r="E13" s="349" t="s">
        <v>445</v>
      </c>
      <c r="F13" s="420" t="s">
        <v>230</v>
      </c>
      <c r="G13" s="349" t="s">
        <v>41</v>
      </c>
      <c r="H13" s="420" t="s">
        <v>196</v>
      </c>
      <c r="I13" s="349" t="s">
        <v>45</v>
      </c>
      <c r="J13" s="420"/>
      <c r="K13" s="379"/>
      <c r="L13" s="422"/>
      <c r="M13" s="418"/>
      <c r="N13" s="436" t="str">
        <f>H13</f>
        <v>UNLV</v>
      </c>
      <c r="O13" s="423">
        <v>52</v>
      </c>
      <c r="P13" s="436" t="str">
        <f t="shared" si="0"/>
        <v>1AA Idaho State</v>
      </c>
      <c r="Q13" s="408">
        <v>21</v>
      </c>
      <c r="R13" s="494"/>
      <c r="S13" s="494"/>
      <c r="T13" s="356"/>
      <c r="U13" s="349"/>
      <c r="W13" s="424"/>
      <c r="X13" s="352" t="s">
        <v>404</v>
      </c>
      <c r="Y13" s="425"/>
    </row>
    <row r="14" spans="1:26" ht="16" x14ac:dyDescent="0.8">
      <c r="A14" s="351">
        <v>0</v>
      </c>
      <c r="B14" s="420" t="s">
        <v>34</v>
      </c>
      <c r="C14" s="421">
        <v>44800</v>
      </c>
      <c r="D14" s="414">
        <f>16/24</f>
        <v>0.66666666666666663</v>
      </c>
      <c r="E14" s="349" t="s">
        <v>70</v>
      </c>
      <c r="F14" s="420" t="s">
        <v>57</v>
      </c>
      <c r="G14" s="349" t="s">
        <v>43</v>
      </c>
      <c r="H14" s="420" t="s">
        <v>93</v>
      </c>
      <c r="I14" s="349" t="s">
        <v>45</v>
      </c>
      <c r="J14" s="420" t="str">
        <f>H14</f>
        <v>Utah State</v>
      </c>
      <c r="K14" s="379" t="str">
        <f>IF(+J14=H14,F14,H14)</f>
        <v>Connecticut</v>
      </c>
      <c r="L14" s="422">
        <v>24</v>
      </c>
      <c r="M14" s="418">
        <v>59.5</v>
      </c>
      <c r="N14" s="351" t="str">
        <f>H14</f>
        <v>Utah State</v>
      </c>
      <c r="O14" s="423">
        <v>31</v>
      </c>
      <c r="P14" s="436" t="str">
        <f t="shared" si="0"/>
        <v>Connecticut</v>
      </c>
      <c r="Q14" s="408">
        <v>20</v>
      </c>
      <c r="R14" s="494" t="str">
        <f>IF(+N14=K14,+N14,IF(+O14-Q14&lt;L14,+K14,+J14))</f>
        <v>Connecticut</v>
      </c>
      <c r="S14" s="494" t="str">
        <f>IF(+R14=J14,+K14,+J14)</f>
        <v>Utah State</v>
      </c>
      <c r="T14" s="356" t="str">
        <f>K14</f>
        <v>Connecticut</v>
      </c>
      <c r="U14" s="665" t="str">
        <f>IF($N14=$J14,IF($O14-$Q14=$L14,"T",IF($R14=T14,"W","L")),IF($R14=T14,"W","L"))</f>
        <v>W</v>
      </c>
      <c r="W14" s="424"/>
      <c r="X14" s="352" t="s">
        <v>404</v>
      </c>
      <c r="Y14" s="425"/>
    </row>
    <row r="15" spans="1:26" ht="16" x14ac:dyDescent="0.8">
      <c r="A15" s="351">
        <v>1</v>
      </c>
      <c r="B15" s="420" t="s">
        <v>52</v>
      </c>
      <c r="C15" s="421">
        <v>44805</v>
      </c>
      <c r="D15" s="414">
        <f>19/24</f>
        <v>0.79166666666666663</v>
      </c>
      <c r="E15" s="349"/>
      <c r="F15" s="420" t="s">
        <v>279</v>
      </c>
      <c r="G15" s="349" t="s">
        <v>41</v>
      </c>
      <c r="H15" s="420" t="s">
        <v>106</v>
      </c>
      <c r="I15" s="349" t="s">
        <v>50</v>
      </c>
      <c r="J15" s="420"/>
      <c r="K15" s="379"/>
      <c r="L15" s="422"/>
      <c r="M15" s="418"/>
      <c r="N15" s="351" t="str">
        <f>H15</f>
        <v>Central Florida</v>
      </c>
      <c r="O15" s="423">
        <v>56</v>
      </c>
      <c r="P15" s="436" t="str">
        <f t="shared" si="0"/>
        <v>1AA South Carolina State</v>
      </c>
      <c r="Q15" s="408">
        <v>10</v>
      </c>
      <c r="R15" s="494"/>
      <c r="S15" s="494"/>
      <c r="T15" s="356"/>
      <c r="U15" s="349"/>
      <c r="W15" s="424"/>
      <c r="X15" s="352" t="s">
        <v>404</v>
      </c>
      <c r="Y15" s="425"/>
    </row>
    <row r="16" spans="1:26" ht="16" x14ac:dyDescent="0.8">
      <c r="A16" s="351">
        <v>1</v>
      </c>
      <c r="B16" s="420" t="s">
        <v>52</v>
      </c>
      <c r="C16" s="421">
        <v>44805</v>
      </c>
      <c r="D16" s="414">
        <f>19/24</f>
        <v>0.79166666666666663</v>
      </c>
      <c r="E16" s="349" t="s">
        <v>35</v>
      </c>
      <c r="F16" s="420" t="s">
        <v>222</v>
      </c>
      <c r="G16" s="349" t="s">
        <v>73</v>
      </c>
      <c r="H16" s="420" t="s">
        <v>128</v>
      </c>
      <c r="I16" s="349" t="s">
        <v>61</v>
      </c>
      <c r="J16" s="420" t="str">
        <f>H16</f>
        <v>Pittsburgh</v>
      </c>
      <c r="K16" s="379" t="str">
        <f>IF(+J16=H16,F16,H16)</f>
        <v>West Virginia</v>
      </c>
      <c r="L16" s="422">
        <v>7.5</v>
      </c>
      <c r="M16" s="418">
        <v>50.5</v>
      </c>
      <c r="N16" s="351" t="str">
        <f>H16</f>
        <v>Pittsburgh</v>
      </c>
      <c r="O16" s="423">
        <v>38</v>
      </c>
      <c r="P16" s="436" t="str">
        <f t="shared" si="0"/>
        <v>West Virginia</v>
      </c>
      <c r="Q16" s="408">
        <v>31</v>
      </c>
      <c r="R16" s="494" t="str">
        <f>IF(+N16=K16,+N16,IF(+O16-Q16&lt;L16,+K16,+J16))</f>
        <v>West Virginia</v>
      </c>
      <c r="S16" s="494" t="str">
        <f>IF(+R16=J16,+K16,+J16)</f>
        <v>Pittsburgh</v>
      </c>
      <c r="T16" s="356" t="str">
        <f>K16</f>
        <v>West Virginia</v>
      </c>
      <c r="U16" s="665" t="str">
        <f>IF($N16=$J16,IF($O16-$Q16=$L16,"T",IF($R16=T16,"W","L")),IF($R16=T16,"W","L"))</f>
        <v>W</v>
      </c>
      <c r="W16" s="424"/>
      <c r="X16" s="352" t="s">
        <v>404</v>
      </c>
      <c r="Y16" s="425"/>
    </row>
    <row r="17" spans="1:25" ht="16" x14ac:dyDescent="0.8">
      <c r="A17" s="351">
        <v>1</v>
      </c>
      <c r="B17" s="420" t="s">
        <v>34</v>
      </c>
      <c r="C17" s="421">
        <v>44807</v>
      </c>
      <c r="D17" s="414">
        <f>12/24</f>
        <v>0.5</v>
      </c>
      <c r="E17" s="349" t="s">
        <v>445</v>
      </c>
      <c r="F17" s="420" t="s">
        <v>233</v>
      </c>
      <c r="G17" s="349" t="s">
        <v>41</v>
      </c>
      <c r="H17" s="420" t="s">
        <v>96</v>
      </c>
      <c r="I17" s="349" t="s">
        <v>50</v>
      </c>
      <c r="J17" s="420"/>
      <c r="K17" s="379"/>
      <c r="L17" s="422"/>
      <c r="M17" s="418"/>
      <c r="N17" s="351" t="str">
        <f>F17</f>
        <v>1AA Delaware</v>
      </c>
      <c r="O17" s="423">
        <v>14</v>
      </c>
      <c r="P17" s="436" t="str">
        <f t="shared" si="0"/>
        <v>Navy</v>
      </c>
      <c r="Q17" s="408">
        <v>7</v>
      </c>
      <c r="R17" s="494"/>
      <c r="S17" s="494"/>
      <c r="T17" s="356"/>
      <c r="U17" s="349"/>
      <c r="W17" s="424"/>
      <c r="X17" s="352" t="s">
        <v>404</v>
      </c>
      <c r="Y17" s="425"/>
    </row>
    <row r="18" spans="1:25" ht="16" x14ac:dyDescent="0.8">
      <c r="A18" s="351">
        <v>1</v>
      </c>
      <c r="B18" s="420" t="s">
        <v>52</v>
      </c>
      <c r="C18" s="421">
        <v>44805</v>
      </c>
      <c r="D18" s="414">
        <f>19/24</f>
        <v>0.79166666666666663</v>
      </c>
      <c r="E18" s="349" t="s">
        <v>70</v>
      </c>
      <c r="F18" s="420" t="s">
        <v>75</v>
      </c>
      <c r="G18" s="349" t="s">
        <v>68</v>
      </c>
      <c r="H18" s="420" t="s">
        <v>72</v>
      </c>
      <c r="I18" s="349" t="s">
        <v>73</v>
      </c>
      <c r="J18" s="420" t="str">
        <f>H18</f>
        <v>Oklahoma State</v>
      </c>
      <c r="K18" s="379" t="str">
        <f t="shared" ref="K18:K23" si="1">IF(+J18=H18,F18,H18)</f>
        <v>Central Michigan</v>
      </c>
      <c r="L18" s="422">
        <v>21</v>
      </c>
      <c r="M18" s="418">
        <v>59.5</v>
      </c>
      <c r="N18" s="351" t="str">
        <f>H18</f>
        <v>Oklahoma State</v>
      </c>
      <c r="O18" s="423">
        <v>58</v>
      </c>
      <c r="P18" s="436" t="str">
        <f t="shared" si="0"/>
        <v>Central Michigan</v>
      </c>
      <c r="Q18" s="408">
        <v>44</v>
      </c>
      <c r="R18" s="494" t="str">
        <f t="shared" ref="R18:R23" si="2">IF(+N18=K18,+N18,IF(+O18-Q18&lt;L18,+K18,+J18))</f>
        <v>Central Michigan</v>
      </c>
      <c r="S18" s="494" t="str">
        <f t="shared" ref="S18:S23" si="3">IF(+R18=J18,+K18,+J18)</f>
        <v>Oklahoma State</v>
      </c>
      <c r="T18" s="356" t="str">
        <f>K18</f>
        <v>Central Michigan</v>
      </c>
      <c r="U18" s="665" t="str">
        <f t="shared" ref="U18:U23" si="4">IF($N18=$J18,IF($O18-$Q18=$L18,"T",IF($R18=T18,"W","L")),IF($R18=T18,"W","L"))</f>
        <v>W</v>
      </c>
      <c r="W18" s="424"/>
      <c r="X18" s="352" t="s">
        <v>404</v>
      </c>
      <c r="Y18" s="425"/>
    </row>
    <row r="19" spans="1:25" ht="16" x14ac:dyDescent="0.8">
      <c r="A19" s="351">
        <v>1</v>
      </c>
      <c r="B19" s="420" t="s">
        <v>52</v>
      </c>
      <c r="C19" s="421">
        <v>44805</v>
      </c>
      <c r="D19" s="414">
        <f>19/24</f>
        <v>0.79166666666666663</v>
      </c>
      <c r="E19" s="349" t="s">
        <v>85</v>
      </c>
      <c r="F19" s="420" t="s">
        <v>131</v>
      </c>
      <c r="G19" s="349" t="s">
        <v>68</v>
      </c>
      <c r="H19" s="420" t="s">
        <v>226</v>
      </c>
      <c r="I19" s="349" t="s">
        <v>85</v>
      </c>
      <c r="J19" s="420" t="str">
        <f>H19</f>
        <v>Tennessee</v>
      </c>
      <c r="K19" s="379" t="str">
        <f t="shared" si="1"/>
        <v>Ball State</v>
      </c>
      <c r="L19" s="422">
        <v>35</v>
      </c>
      <c r="M19" s="418">
        <v>68.5</v>
      </c>
      <c r="N19" s="351" t="str">
        <f>H19</f>
        <v>Tennessee</v>
      </c>
      <c r="O19" s="423">
        <v>59</v>
      </c>
      <c r="P19" s="436" t="str">
        <f t="shared" si="0"/>
        <v>Ball State</v>
      </c>
      <c r="Q19" s="408">
        <v>10</v>
      </c>
      <c r="R19" s="494" t="str">
        <f t="shared" si="2"/>
        <v>Tennessee</v>
      </c>
      <c r="S19" s="494" t="str">
        <f t="shared" si="3"/>
        <v>Ball State</v>
      </c>
      <c r="T19" s="356" t="str">
        <f>J19</f>
        <v>Tennessee</v>
      </c>
      <c r="U19" s="665" t="str">
        <f t="shared" si="4"/>
        <v>W</v>
      </c>
      <c r="W19" s="424"/>
      <c r="X19" s="352" t="s">
        <v>404</v>
      </c>
      <c r="Y19" s="425"/>
    </row>
    <row r="20" spans="1:25" ht="16" x14ac:dyDescent="0.8">
      <c r="A20" s="351">
        <v>1</v>
      </c>
      <c r="B20" s="420" t="s">
        <v>52</v>
      </c>
      <c r="C20" s="421">
        <v>44805</v>
      </c>
      <c r="D20" s="414">
        <f>20/24</f>
        <v>0.83333333333333337</v>
      </c>
      <c r="E20" s="349" t="s">
        <v>118</v>
      </c>
      <c r="F20" s="420" t="s">
        <v>145</v>
      </c>
      <c r="G20" s="349" t="s">
        <v>64</v>
      </c>
      <c r="H20" s="420" t="s">
        <v>119</v>
      </c>
      <c r="I20" s="349" t="s">
        <v>64</v>
      </c>
      <c r="J20" s="420" t="str">
        <f>F20</f>
        <v>Penn State</v>
      </c>
      <c r="K20" s="379" t="str">
        <f t="shared" si="1"/>
        <v>Purdue</v>
      </c>
      <c r="L20" s="422">
        <v>3.5</v>
      </c>
      <c r="M20" s="418">
        <v>53.5</v>
      </c>
      <c r="N20" s="351" t="str">
        <f>F20</f>
        <v>Penn State</v>
      </c>
      <c r="O20" s="423">
        <v>35</v>
      </c>
      <c r="P20" s="436" t="str">
        <f t="shared" si="0"/>
        <v>Purdue</v>
      </c>
      <c r="Q20" s="408">
        <v>31</v>
      </c>
      <c r="R20" s="494" t="str">
        <f t="shared" si="2"/>
        <v>Penn State</v>
      </c>
      <c r="S20" s="494" t="str">
        <f t="shared" si="3"/>
        <v>Purdue</v>
      </c>
      <c r="T20" s="356" t="str">
        <f>J20</f>
        <v>Penn State</v>
      </c>
      <c r="U20" s="665" t="str">
        <f t="shared" si="4"/>
        <v>W</v>
      </c>
      <c r="W20" s="424"/>
      <c r="X20" s="352" t="s">
        <v>404</v>
      </c>
      <c r="Y20" s="425"/>
    </row>
    <row r="21" spans="1:25" ht="16" x14ac:dyDescent="0.8">
      <c r="A21" s="351">
        <v>1</v>
      </c>
      <c r="B21" s="420" t="s">
        <v>52</v>
      </c>
      <c r="C21" s="421">
        <v>44805</v>
      </c>
      <c r="D21" s="414">
        <f>20/24</f>
        <v>0.83333333333333337</v>
      </c>
      <c r="E21" s="349" t="s">
        <v>95</v>
      </c>
      <c r="F21" s="420" t="s">
        <v>161</v>
      </c>
      <c r="G21" s="349" t="s">
        <v>39</v>
      </c>
      <c r="H21" s="420" t="s">
        <v>219</v>
      </c>
      <c r="I21" s="349" t="s">
        <v>85</v>
      </c>
      <c r="J21" s="420" t="str">
        <f>H21</f>
        <v>Missouri</v>
      </c>
      <c r="K21" s="379" t="str">
        <f t="shared" si="1"/>
        <v>Louisiana Tech</v>
      </c>
      <c r="L21" s="422">
        <v>20</v>
      </c>
      <c r="M21" s="418">
        <v>60</v>
      </c>
      <c r="N21" s="351" t="str">
        <f t="shared" ref="N21:N30" si="5">H21</f>
        <v>Missouri</v>
      </c>
      <c r="O21" s="423">
        <v>52</v>
      </c>
      <c r="P21" s="436" t="str">
        <f t="shared" si="0"/>
        <v>Louisiana Tech</v>
      </c>
      <c r="Q21" s="408">
        <v>24</v>
      </c>
      <c r="R21" s="494" t="str">
        <f t="shared" si="2"/>
        <v>Missouri</v>
      </c>
      <c r="S21" s="494" t="str">
        <f t="shared" si="3"/>
        <v>Louisiana Tech</v>
      </c>
      <c r="T21" s="356" t="str">
        <f>K21</f>
        <v>Louisiana Tech</v>
      </c>
      <c r="U21" s="665" t="str">
        <f t="shared" si="4"/>
        <v>L</v>
      </c>
      <c r="W21" s="424"/>
      <c r="X21" s="352" t="s">
        <v>404</v>
      </c>
      <c r="Y21" s="425"/>
    </row>
    <row r="22" spans="1:25" ht="16" x14ac:dyDescent="0.8">
      <c r="A22" s="351">
        <v>1</v>
      </c>
      <c r="B22" s="420" t="s">
        <v>52</v>
      </c>
      <c r="C22" s="421">
        <v>44805</v>
      </c>
      <c r="D22" s="414">
        <f>21/24</f>
        <v>0.875</v>
      </c>
      <c r="E22" s="349" t="s">
        <v>66</v>
      </c>
      <c r="F22" s="420" t="s">
        <v>78</v>
      </c>
      <c r="G22" s="349" t="s">
        <v>43</v>
      </c>
      <c r="H22" s="420" t="s">
        <v>69</v>
      </c>
      <c r="I22" s="349" t="s">
        <v>64</v>
      </c>
      <c r="J22" s="420" t="str">
        <f>H22</f>
        <v>Minnesota</v>
      </c>
      <c r="K22" s="379" t="str">
        <f t="shared" si="1"/>
        <v>New Mexico State</v>
      </c>
      <c r="L22" s="422">
        <v>36.5</v>
      </c>
      <c r="M22" s="418">
        <v>52.5</v>
      </c>
      <c r="N22" s="351" t="str">
        <f t="shared" si="5"/>
        <v>Minnesota</v>
      </c>
      <c r="O22" s="423">
        <v>38</v>
      </c>
      <c r="P22" s="436" t="str">
        <f t="shared" si="0"/>
        <v>New Mexico State</v>
      </c>
      <c r="Q22" s="408">
        <v>0</v>
      </c>
      <c r="R22" s="494" t="str">
        <f t="shared" si="2"/>
        <v>Minnesota</v>
      </c>
      <c r="S22" s="494" t="str">
        <f t="shared" si="3"/>
        <v>New Mexico State</v>
      </c>
      <c r="T22" s="356" t="str">
        <f>K22</f>
        <v>New Mexico State</v>
      </c>
      <c r="U22" s="665" t="str">
        <f t="shared" si="4"/>
        <v>L</v>
      </c>
      <c r="W22" s="424"/>
      <c r="X22" s="352" t="s">
        <v>404</v>
      </c>
      <c r="Y22" s="425"/>
    </row>
    <row r="23" spans="1:25" ht="16" x14ac:dyDescent="0.8">
      <c r="A23" s="351">
        <v>1</v>
      </c>
      <c r="B23" s="420" t="s">
        <v>88</v>
      </c>
      <c r="C23" s="421">
        <v>44806</v>
      </c>
      <c r="D23" s="414">
        <f>19/24</f>
        <v>0.79166666666666663</v>
      </c>
      <c r="E23" s="349" t="s">
        <v>35</v>
      </c>
      <c r="F23" s="420" t="s">
        <v>201</v>
      </c>
      <c r="G23" s="349" t="s">
        <v>68</v>
      </c>
      <c r="H23" s="420" t="s">
        <v>139</v>
      </c>
      <c r="I23" s="349" t="s">
        <v>64</v>
      </c>
      <c r="J23" s="420" t="str">
        <f>H23</f>
        <v>Michigan State</v>
      </c>
      <c r="K23" s="379" t="str">
        <f t="shared" si="1"/>
        <v>Western Michigan</v>
      </c>
      <c r="L23" s="422">
        <v>22.5</v>
      </c>
      <c r="M23" s="418">
        <v>54</v>
      </c>
      <c r="N23" s="351" t="str">
        <f t="shared" si="5"/>
        <v>Michigan State</v>
      </c>
      <c r="O23" s="423">
        <v>35</v>
      </c>
      <c r="P23" s="436" t="str">
        <f t="shared" si="0"/>
        <v>Western Michigan</v>
      </c>
      <c r="Q23" s="408">
        <v>13</v>
      </c>
      <c r="R23" s="494" t="str">
        <f t="shared" si="2"/>
        <v>Western Michigan</v>
      </c>
      <c r="S23" s="494" t="str">
        <f t="shared" si="3"/>
        <v>Michigan State</v>
      </c>
      <c r="T23" s="356" t="str">
        <f>J23</f>
        <v>Michigan State</v>
      </c>
      <c r="U23" s="665" t="str">
        <f t="shared" si="4"/>
        <v>L</v>
      </c>
      <c r="W23" s="424"/>
      <c r="X23" s="352" t="s">
        <v>404</v>
      </c>
      <c r="Y23" s="425"/>
    </row>
    <row r="24" spans="1:25" ht="16" x14ac:dyDescent="0.8">
      <c r="A24" s="351">
        <v>1</v>
      </c>
      <c r="B24" s="420" t="s">
        <v>34</v>
      </c>
      <c r="C24" s="421">
        <v>44807</v>
      </c>
      <c r="D24" s="414">
        <f>15.5/24</f>
        <v>0.64583333333333337</v>
      </c>
      <c r="E24" s="349" t="s">
        <v>61</v>
      </c>
      <c r="F24" s="420" t="s">
        <v>121</v>
      </c>
      <c r="G24" s="349" t="s">
        <v>41</v>
      </c>
      <c r="H24" s="420" t="s">
        <v>122</v>
      </c>
      <c r="I24" s="349" t="s">
        <v>61</v>
      </c>
      <c r="J24" s="420"/>
      <c r="K24" s="379"/>
      <c r="L24" s="422"/>
      <c r="M24" s="418"/>
      <c r="N24" s="351" t="str">
        <f t="shared" si="5"/>
        <v>Miami (FL)</v>
      </c>
      <c r="O24" s="423">
        <v>70</v>
      </c>
      <c r="P24" s="436" t="str">
        <f t="shared" si="0"/>
        <v>1AA Bethune Cookman</v>
      </c>
      <c r="Q24" s="408">
        <v>13</v>
      </c>
      <c r="R24" s="494"/>
      <c r="S24" s="494"/>
      <c r="T24" s="356"/>
      <c r="U24" s="349"/>
      <c r="W24" s="424"/>
      <c r="X24" s="352" t="s">
        <v>404</v>
      </c>
      <c r="Y24" s="425"/>
    </row>
    <row r="25" spans="1:25" ht="16" x14ac:dyDescent="0.8">
      <c r="A25" s="351">
        <v>1</v>
      </c>
      <c r="B25" s="420" t="s">
        <v>88</v>
      </c>
      <c r="C25" s="421">
        <v>44806</v>
      </c>
      <c r="D25" s="414">
        <f>19/24</f>
        <v>0.79166666666666663</v>
      </c>
      <c r="E25" s="349" t="s">
        <v>95</v>
      </c>
      <c r="F25" s="420" t="s">
        <v>221</v>
      </c>
      <c r="G25" s="349" t="s">
        <v>61</v>
      </c>
      <c r="H25" s="420" t="s">
        <v>169</v>
      </c>
      <c r="I25" s="349" t="s">
        <v>59</v>
      </c>
      <c r="J25" s="420" t="str">
        <f>F25</f>
        <v>Virginia Tech</v>
      </c>
      <c r="K25" s="379" t="str">
        <f>IF(+J25=H25,F25,H25)</f>
        <v>Old Dominion</v>
      </c>
      <c r="L25" s="422">
        <v>7.5</v>
      </c>
      <c r="M25" s="418">
        <v>49</v>
      </c>
      <c r="N25" s="351" t="str">
        <f t="shared" si="5"/>
        <v>Old Dominion</v>
      </c>
      <c r="O25" s="423">
        <v>20</v>
      </c>
      <c r="P25" s="436" t="str">
        <f t="shared" si="0"/>
        <v>Virginia Tech</v>
      </c>
      <c r="Q25" s="408">
        <v>17</v>
      </c>
      <c r="R25" s="494" t="str">
        <f>IF(+N25=K25,+N25,IF(+O25-Q25&lt;L25,+K25,+J25))</f>
        <v>Old Dominion</v>
      </c>
      <c r="S25" s="494" t="str">
        <f>IF(+R25=J25,+K25,+J25)</f>
        <v>Virginia Tech</v>
      </c>
      <c r="T25" s="356" t="str">
        <f>J25</f>
        <v>Virginia Tech</v>
      </c>
      <c r="U25" s="665" t="str">
        <f>IF($N25=$J25,IF($O25-$Q25=$L25,"T",IF($R25=T25,"W","L")),IF($R25=T25,"W","L"))</f>
        <v>L</v>
      </c>
      <c r="W25" s="424"/>
      <c r="X25" s="352" t="s">
        <v>404</v>
      </c>
      <c r="Y25" s="425"/>
    </row>
    <row r="26" spans="1:25" ht="16" x14ac:dyDescent="0.8">
      <c r="A26" s="351">
        <v>1</v>
      </c>
      <c r="B26" s="420" t="s">
        <v>88</v>
      </c>
      <c r="C26" s="421">
        <v>44806</v>
      </c>
      <c r="D26" s="414">
        <f>19.5/24</f>
        <v>0.8125</v>
      </c>
      <c r="E26" s="349" t="s">
        <v>61</v>
      </c>
      <c r="F26" s="420" t="s">
        <v>180</v>
      </c>
      <c r="G26" s="349" t="s">
        <v>50</v>
      </c>
      <c r="H26" s="420" t="s">
        <v>115</v>
      </c>
      <c r="I26" s="349" t="s">
        <v>61</v>
      </c>
      <c r="J26" s="420" t="str">
        <f>H26</f>
        <v>Duke</v>
      </c>
      <c r="K26" s="379" t="str">
        <f>IF(+J26=H26,F26,H26)</f>
        <v>Temple</v>
      </c>
      <c r="L26" s="422">
        <v>7</v>
      </c>
      <c r="M26" s="418">
        <v>51</v>
      </c>
      <c r="N26" s="351" t="str">
        <f t="shared" si="5"/>
        <v>Duke</v>
      </c>
      <c r="O26" s="423">
        <v>30</v>
      </c>
      <c r="P26" s="436" t="str">
        <f t="shared" si="0"/>
        <v>Temple</v>
      </c>
      <c r="Q26" s="408">
        <v>0</v>
      </c>
      <c r="R26" s="494" t="str">
        <f>IF(+N26=K26,+N26,IF(+O26-Q26&lt;L26,+K26,+J26))</f>
        <v>Duke</v>
      </c>
      <c r="S26" s="494" t="str">
        <f>IF(+R26=J26,+K26,+J26)</f>
        <v>Temple</v>
      </c>
      <c r="T26" s="356" t="str">
        <f>J26</f>
        <v>Duke</v>
      </c>
      <c r="U26" s="665" t="str">
        <f>IF($N26=$J26,IF($O26-$Q26=$L26,"T",IF($R26=T26,"W","L")),IF($R26=T26,"W","L"))</f>
        <v>W</v>
      </c>
      <c r="W26" s="424"/>
      <c r="X26" s="352" t="s">
        <v>404</v>
      </c>
      <c r="Y26" s="425"/>
    </row>
    <row r="27" spans="1:25" ht="16" x14ac:dyDescent="0.8">
      <c r="A27" s="351">
        <v>1</v>
      </c>
      <c r="B27" s="420" t="s">
        <v>34</v>
      </c>
      <c r="C27" s="421">
        <v>44807</v>
      </c>
      <c r="D27" s="414">
        <f>12.5/24</f>
        <v>0.52083333333333337</v>
      </c>
      <c r="E27" s="349" t="s">
        <v>53</v>
      </c>
      <c r="F27" s="420" t="s">
        <v>276</v>
      </c>
      <c r="G27" s="349" t="s">
        <v>41</v>
      </c>
      <c r="H27" s="420" t="s">
        <v>130</v>
      </c>
      <c r="I27" s="349" t="s">
        <v>61</v>
      </c>
      <c r="J27" s="420"/>
      <c r="K27" s="379"/>
      <c r="L27" s="422"/>
      <c r="M27" s="418"/>
      <c r="N27" s="351" t="str">
        <f t="shared" si="5"/>
        <v>Virginia</v>
      </c>
      <c r="O27" s="423">
        <v>34</v>
      </c>
      <c r="P27" s="436" t="str">
        <f t="shared" si="0"/>
        <v>1AA Richmond</v>
      </c>
      <c r="Q27" s="408">
        <v>17</v>
      </c>
      <c r="R27" s="494"/>
      <c r="S27" s="494"/>
      <c r="T27" s="356"/>
      <c r="U27" s="349"/>
      <c r="W27" s="424"/>
      <c r="X27" s="352" t="s">
        <v>404</v>
      </c>
      <c r="Y27" s="425"/>
    </row>
    <row r="28" spans="1:25" ht="16" x14ac:dyDescent="0.8">
      <c r="A28" s="351">
        <v>1</v>
      </c>
      <c r="B28" s="420" t="s">
        <v>52</v>
      </c>
      <c r="C28" s="421">
        <v>44805</v>
      </c>
      <c r="D28" s="414">
        <f>19.5/24</f>
        <v>0.8125</v>
      </c>
      <c r="E28" s="349" t="s">
        <v>61</v>
      </c>
      <c r="F28" s="420" t="s">
        <v>183</v>
      </c>
      <c r="G28" s="349" t="s">
        <v>41</v>
      </c>
      <c r="H28" s="420" t="s">
        <v>62</v>
      </c>
      <c r="I28" s="349" t="s">
        <v>61</v>
      </c>
      <c r="J28" s="420"/>
      <c r="K28" s="379"/>
      <c r="L28" s="422"/>
      <c r="M28" s="418"/>
      <c r="N28" s="351" t="str">
        <f t="shared" si="5"/>
        <v>Wake Forest</v>
      </c>
      <c r="O28" s="423">
        <v>44</v>
      </c>
      <c r="P28" s="436" t="str">
        <f t="shared" si="0"/>
        <v>1AA VMI</v>
      </c>
      <c r="Q28" s="408">
        <v>10</v>
      </c>
      <c r="R28" s="494"/>
      <c r="S28" s="494"/>
      <c r="T28" s="356"/>
      <c r="U28" s="349"/>
      <c r="W28" s="424"/>
      <c r="X28" s="352" t="s">
        <v>404</v>
      </c>
      <c r="Y28" s="425"/>
    </row>
    <row r="29" spans="1:25" ht="15.25" customHeight="1" x14ac:dyDescent="0.8">
      <c r="A29" s="351">
        <v>1</v>
      </c>
      <c r="B29" s="420" t="s">
        <v>88</v>
      </c>
      <c r="C29" s="421">
        <v>44806</v>
      </c>
      <c r="D29" s="414">
        <f>20/24</f>
        <v>0.83333333333333337</v>
      </c>
      <c r="E29" s="349" t="s">
        <v>70</v>
      </c>
      <c r="F29" s="420" t="s">
        <v>132</v>
      </c>
      <c r="G29" s="349" t="s">
        <v>64</v>
      </c>
      <c r="H29" s="420" t="s">
        <v>65</v>
      </c>
      <c r="I29" s="349" t="s">
        <v>64</v>
      </c>
      <c r="J29" s="420" t="str">
        <f>F29</f>
        <v>Illinois</v>
      </c>
      <c r="K29" s="379" t="str">
        <f>IF(+J29=H29,F29,H29)</f>
        <v>Indiana</v>
      </c>
      <c r="L29" s="422">
        <v>3</v>
      </c>
      <c r="M29" s="418">
        <v>45</v>
      </c>
      <c r="N29" s="351" t="str">
        <f t="shared" si="5"/>
        <v>Indiana</v>
      </c>
      <c r="O29" s="423">
        <v>23</v>
      </c>
      <c r="P29" s="436" t="str">
        <f t="shared" si="0"/>
        <v>Illinois</v>
      </c>
      <c r="Q29" s="408">
        <v>20</v>
      </c>
      <c r="R29" s="494" t="str">
        <f>IF(+N29=K29,+N29,IF(+O29-Q29&lt;L29,+K29,+J29))</f>
        <v>Indiana</v>
      </c>
      <c r="S29" s="494" t="str">
        <f>IF(+R29=J29,+K29,+J29)</f>
        <v>Illinois</v>
      </c>
      <c r="T29" s="356" t="str">
        <f>S29</f>
        <v>Illinois</v>
      </c>
      <c r="U29" s="665" t="str">
        <f>IF($N29=$J29,IF($O29-$Q29=$L29,"T",IF($R29=T29,"W","L")),IF($R29=T29,"W","L"))</f>
        <v>L</v>
      </c>
      <c r="W29" s="424"/>
      <c r="X29" s="352" t="s">
        <v>404</v>
      </c>
      <c r="Y29" s="425"/>
    </row>
    <row r="30" spans="1:25" ht="16" x14ac:dyDescent="0.8">
      <c r="A30" s="351">
        <v>1</v>
      </c>
      <c r="B30" s="420" t="s">
        <v>34</v>
      </c>
      <c r="C30" s="421">
        <v>44807</v>
      </c>
      <c r="D30" s="414">
        <f>12/24</f>
        <v>0.5</v>
      </c>
      <c r="E30" s="349" t="s">
        <v>70</v>
      </c>
      <c r="F30" s="420" t="s">
        <v>280</v>
      </c>
      <c r="G30" s="349" t="s">
        <v>41</v>
      </c>
      <c r="H30" s="420" t="s">
        <v>134</v>
      </c>
      <c r="I30" s="349" t="s">
        <v>64</v>
      </c>
      <c r="J30" s="420"/>
      <c r="K30" s="379"/>
      <c r="L30" s="422"/>
      <c r="M30" s="418"/>
      <c r="N30" s="351" t="str">
        <f t="shared" si="5"/>
        <v>Iowa</v>
      </c>
      <c r="O30" s="423">
        <v>7</v>
      </c>
      <c r="P30" s="436" t="str">
        <f t="shared" si="0"/>
        <v>1AA South Dakota St</v>
      </c>
      <c r="Q30" s="408">
        <v>3</v>
      </c>
      <c r="R30" s="494"/>
      <c r="S30" s="494"/>
      <c r="T30" s="356"/>
      <c r="U30" s="349"/>
      <c r="W30" s="424"/>
      <c r="X30" s="352" t="s">
        <v>404</v>
      </c>
      <c r="Y30" s="425"/>
    </row>
    <row r="31" spans="1:25" ht="16" x14ac:dyDescent="0.8">
      <c r="A31" s="351">
        <v>1</v>
      </c>
      <c r="B31" s="420" t="s">
        <v>88</v>
      </c>
      <c r="C31" s="421">
        <v>44806</v>
      </c>
      <c r="D31" s="414">
        <f>22/24</f>
        <v>0.91666666666666663</v>
      </c>
      <c r="E31" s="349" t="s">
        <v>35</v>
      </c>
      <c r="F31" s="420" t="s">
        <v>155</v>
      </c>
      <c r="G31" s="349" t="s">
        <v>73</v>
      </c>
      <c r="H31" s="420" t="s">
        <v>104</v>
      </c>
      <c r="I31" s="349" t="s">
        <v>37</v>
      </c>
      <c r="J31" s="420" t="str">
        <f>F31</f>
        <v>TCU</v>
      </c>
      <c r="K31" s="379" t="str">
        <f>IF(+J31=H31,F31,H31)</f>
        <v>Colorado</v>
      </c>
      <c r="L31" s="422">
        <v>13.5</v>
      </c>
      <c r="M31" s="418">
        <v>55.5</v>
      </c>
      <c r="N31" s="351" t="str">
        <f>F31</f>
        <v>TCU</v>
      </c>
      <c r="O31" s="423">
        <v>38</v>
      </c>
      <c r="P31" s="436" t="str">
        <f t="shared" si="0"/>
        <v>Colorado</v>
      </c>
      <c r="Q31" s="408">
        <v>13</v>
      </c>
      <c r="R31" s="494" t="str">
        <f>IF(+N31=K31,+N31,IF(+O31-Q31&lt;L31,+K31,+J31))</f>
        <v>TCU</v>
      </c>
      <c r="S31" s="494" t="str">
        <f>IF(+R31=J31,+K31,+J31)</f>
        <v>Colorado</v>
      </c>
      <c r="T31" s="356" t="str">
        <f>K31</f>
        <v>Colorado</v>
      </c>
      <c r="U31" s="665" t="str">
        <f>IF($N31=$J31,IF($O31-$Q31=$L31,"T",IF($R31=T31,"W","L")),IF($R31=T31,"W","L"))</f>
        <v>L</v>
      </c>
      <c r="W31" s="424"/>
      <c r="X31" s="352" t="s">
        <v>404</v>
      </c>
      <c r="Y31" s="425"/>
    </row>
    <row r="32" spans="1:25" ht="16" x14ac:dyDescent="0.8">
      <c r="A32" s="351">
        <v>1</v>
      </c>
      <c r="B32" s="420" t="s">
        <v>34</v>
      </c>
      <c r="C32" s="421">
        <v>44807</v>
      </c>
      <c r="D32" s="414">
        <f>12/24</f>
        <v>0.5</v>
      </c>
      <c r="E32" s="349" t="s">
        <v>35</v>
      </c>
      <c r="F32" s="420" t="s">
        <v>126</v>
      </c>
      <c r="G32" s="349" t="s">
        <v>61</v>
      </c>
      <c r="H32" s="420" t="s">
        <v>107</v>
      </c>
      <c r="I32" s="349" t="s">
        <v>50</v>
      </c>
      <c r="J32" s="420" t="str">
        <f>F32</f>
        <v>North Carolina St</v>
      </c>
      <c r="K32" s="379" t="str">
        <f>IF(+J32=H32,F32,H32)</f>
        <v>East Carolina</v>
      </c>
      <c r="L32" s="422">
        <v>11</v>
      </c>
      <c r="M32" s="418">
        <v>55</v>
      </c>
      <c r="N32" s="351" t="str">
        <f>F32</f>
        <v>North Carolina St</v>
      </c>
      <c r="O32" s="423">
        <v>21</v>
      </c>
      <c r="P32" s="436" t="str">
        <f t="shared" si="0"/>
        <v>East Carolina</v>
      </c>
      <c r="Q32" s="408">
        <v>20</v>
      </c>
      <c r="R32" s="494" t="str">
        <f>IF(+N32=K32,+N32,IF(+O32-Q32&lt;L32,+K32,+J32))</f>
        <v>East Carolina</v>
      </c>
      <c r="S32" s="494" t="str">
        <f>IF(+R32=J32,+K32,+J32)</f>
        <v>North Carolina St</v>
      </c>
      <c r="T32" s="356" t="str">
        <f>J32</f>
        <v>North Carolina St</v>
      </c>
      <c r="U32" s="665" t="str">
        <f>IF($N32=$J32,IF($O32-$Q32=$L32,"T",IF($R32=T32,"W","L")),IF($R32=T32,"W","L"))</f>
        <v>L</v>
      </c>
      <c r="W32" s="424"/>
      <c r="X32" s="352" t="s">
        <v>404</v>
      </c>
      <c r="Y32" s="425"/>
    </row>
    <row r="33" spans="1:25" ht="16" x14ac:dyDescent="0.8">
      <c r="A33" s="351">
        <v>1</v>
      </c>
      <c r="B33" s="420" t="s">
        <v>34</v>
      </c>
      <c r="C33" s="421">
        <v>44807</v>
      </c>
      <c r="D33" s="414">
        <f>12/24</f>
        <v>0.5</v>
      </c>
      <c r="E33" s="349" t="s">
        <v>61</v>
      </c>
      <c r="F33" s="420" t="s">
        <v>92</v>
      </c>
      <c r="G33" s="349" t="s">
        <v>64</v>
      </c>
      <c r="H33" s="420" t="s">
        <v>102</v>
      </c>
      <c r="I33" s="349" t="s">
        <v>61</v>
      </c>
      <c r="J33" s="420" t="str">
        <f>H33</f>
        <v>Boston College</v>
      </c>
      <c r="K33" s="379" t="str">
        <f>IF(+J33=H33,F33,H33)</f>
        <v>Rutgers</v>
      </c>
      <c r="L33" s="422">
        <v>7</v>
      </c>
      <c r="M33" s="418">
        <v>48</v>
      </c>
      <c r="N33" s="436" t="str">
        <f>F33</f>
        <v>Rutgers</v>
      </c>
      <c r="O33" s="423">
        <v>22</v>
      </c>
      <c r="P33" s="436" t="str">
        <f t="shared" si="0"/>
        <v>Boston College</v>
      </c>
      <c r="Q33" s="408">
        <v>21</v>
      </c>
      <c r="R33" s="494" t="str">
        <f>IF(+N33=K33,+N33,IF(+O33-Q33&lt;L33,+K33,+J33))</f>
        <v>Rutgers</v>
      </c>
      <c r="S33" s="494" t="str">
        <f>IF(+R33=J33,+K33,+J33)</f>
        <v>Boston College</v>
      </c>
      <c r="T33" s="356" t="str">
        <f>K33</f>
        <v>Rutgers</v>
      </c>
      <c r="U33" s="665" t="str">
        <f>IF($N33=$J33,IF($O33-$Q33=$L33,"T",IF($R33=T33,"W","L")),IF($R33=T33,"W","L"))</f>
        <v>W</v>
      </c>
      <c r="W33" s="424"/>
      <c r="X33" s="352" t="s">
        <v>404</v>
      </c>
      <c r="Y33" s="425"/>
    </row>
    <row r="34" spans="1:25" ht="16" x14ac:dyDescent="0.8">
      <c r="A34" s="351">
        <v>1</v>
      </c>
      <c r="B34" s="420" t="s">
        <v>34</v>
      </c>
      <c r="C34" s="421">
        <v>44807</v>
      </c>
      <c r="D34" s="414">
        <f>12/24</f>
        <v>0.5</v>
      </c>
      <c r="E34" s="349" t="s">
        <v>66</v>
      </c>
      <c r="F34" s="420" t="s">
        <v>67</v>
      </c>
      <c r="G34" s="349" t="s">
        <v>68</v>
      </c>
      <c r="H34" s="420" t="s">
        <v>156</v>
      </c>
      <c r="I34" s="349" t="s">
        <v>64</v>
      </c>
      <c r="J34" s="420" t="str">
        <f>H34</f>
        <v>Maryland</v>
      </c>
      <c r="K34" s="379" t="str">
        <f>IF(+J34=H34,F34,H34)</f>
        <v>Buffalo</v>
      </c>
      <c r="L34" s="422">
        <v>24</v>
      </c>
      <c r="M34" s="418">
        <v>63.5</v>
      </c>
      <c r="N34" s="351" t="str">
        <f>H34</f>
        <v>Maryland</v>
      </c>
      <c r="O34" s="423">
        <v>31</v>
      </c>
      <c r="P34" s="436" t="str">
        <f t="shared" si="0"/>
        <v>Buffalo</v>
      </c>
      <c r="Q34" s="408">
        <v>10</v>
      </c>
      <c r="R34" s="494" t="str">
        <f>IF(+N34=K34,+N34,IF(+O34-Q34&lt;L34,+K34,+J34))</f>
        <v>Buffalo</v>
      </c>
      <c r="S34" s="494" t="str">
        <f>IF(+R34=J34,+K34,+J34)</f>
        <v>Maryland</v>
      </c>
      <c r="T34" s="356" t="str">
        <f>J34</f>
        <v>Maryland</v>
      </c>
      <c r="U34" s="665" t="str">
        <f>IF($N34=$J34,IF($O34-$Q34=$L34,"T",IF($R34=T34,"W","L")),IF($R34=T34,"W","L"))</f>
        <v>L</v>
      </c>
      <c r="W34" s="424"/>
      <c r="X34" s="352" t="s">
        <v>404</v>
      </c>
      <c r="Y34" s="425"/>
    </row>
    <row r="35" spans="1:25" ht="16" x14ac:dyDescent="0.8">
      <c r="A35" s="351">
        <v>1</v>
      </c>
      <c r="B35" s="420" t="s">
        <v>34</v>
      </c>
      <c r="C35" s="421">
        <v>44807</v>
      </c>
      <c r="D35" s="414">
        <f>15.5/24</f>
        <v>0.64583333333333337</v>
      </c>
      <c r="E35" s="349" t="s">
        <v>66</v>
      </c>
      <c r="F35" s="420" t="s">
        <v>80</v>
      </c>
      <c r="G35" s="349" t="s">
        <v>41</v>
      </c>
      <c r="H35" s="420" t="s">
        <v>141</v>
      </c>
      <c r="I35" s="349" t="s">
        <v>64</v>
      </c>
      <c r="J35" s="420"/>
      <c r="K35" s="379"/>
      <c r="L35" s="422"/>
      <c r="M35" s="418"/>
      <c r="N35" s="351" t="str">
        <f>H35</f>
        <v>Nebraska</v>
      </c>
      <c r="O35" s="423">
        <v>38</v>
      </c>
      <c r="P35" s="436" t="str">
        <f t="shared" si="0"/>
        <v>1AA North Dakota</v>
      </c>
      <c r="Q35" s="408">
        <v>17</v>
      </c>
      <c r="R35" s="494"/>
      <c r="S35" s="494"/>
      <c r="T35" s="356"/>
      <c r="U35" s="349"/>
      <c r="W35" s="424"/>
      <c r="X35" s="352" t="s">
        <v>404</v>
      </c>
      <c r="Y35" s="425"/>
    </row>
    <row r="36" spans="1:25" ht="16" x14ac:dyDescent="0.8">
      <c r="A36" s="351">
        <v>1</v>
      </c>
      <c r="B36" s="420" t="s">
        <v>34</v>
      </c>
      <c r="C36" s="421">
        <v>44807</v>
      </c>
      <c r="D36" s="414">
        <f>12/24</f>
        <v>0.5</v>
      </c>
      <c r="E36" s="349" t="s">
        <v>135</v>
      </c>
      <c r="F36" s="420" t="s">
        <v>48</v>
      </c>
      <c r="G36" s="349" t="s">
        <v>45</v>
      </c>
      <c r="H36" s="420" t="s">
        <v>137</v>
      </c>
      <c r="I36" s="349" t="s">
        <v>64</v>
      </c>
      <c r="J36" s="420" t="str">
        <f>H36</f>
        <v>Michigan</v>
      </c>
      <c r="K36" s="379" t="str">
        <f>IF(+J36=H36,F36,H36)</f>
        <v>Colorado State</v>
      </c>
      <c r="L36" s="422">
        <v>30.5</v>
      </c>
      <c r="M36" s="418">
        <v>61.5</v>
      </c>
      <c r="N36" s="351" t="str">
        <f>H36</f>
        <v>Michigan</v>
      </c>
      <c r="O36" s="423">
        <v>51</v>
      </c>
      <c r="P36" s="436" t="str">
        <f t="shared" si="0"/>
        <v>Colorado State</v>
      </c>
      <c r="Q36" s="408">
        <v>7</v>
      </c>
      <c r="R36" s="494" t="str">
        <f>IF(+N36=K36,+N36,IF(+O36-Q36&lt;L36,+K36,+J36))</f>
        <v>Michigan</v>
      </c>
      <c r="S36" s="494" t="str">
        <f>IF(+R36=J36,+K36,+J36)</f>
        <v>Colorado State</v>
      </c>
      <c r="T36" s="356" t="str">
        <f>K36</f>
        <v>Colorado State</v>
      </c>
      <c r="U36" s="665" t="str">
        <f>IF($N36=$J36,IF($O36-$Q36=$L36,"T",IF($R36=T36,"W","L")),IF($R36=T36,"W","L"))</f>
        <v>L</v>
      </c>
      <c r="W36" s="424"/>
      <c r="X36" s="352" t="s">
        <v>404</v>
      </c>
      <c r="Y36" s="425"/>
    </row>
    <row r="37" spans="1:25" ht="16" x14ac:dyDescent="0.8">
      <c r="A37" s="351">
        <v>1</v>
      </c>
      <c r="B37" s="420" t="s">
        <v>34</v>
      </c>
      <c r="C37" s="421">
        <v>44807</v>
      </c>
      <c r="D37" s="414">
        <f>12/24</f>
        <v>0.5</v>
      </c>
      <c r="E37" s="349" t="s">
        <v>95</v>
      </c>
      <c r="F37" s="420" t="s">
        <v>124</v>
      </c>
      <c r="G37" s="349" t="s">
        <v>61</v>
      </c>
      <c r="H37" s="420" t="s">
        <v>212</v>
      </c>
      <c r="I37" s="349" t="s">
        <v>59</v>
      </c>
      <c r="J37" s="420" t="str">
        <f>F37</f>
        <v>North Carolina</v>
      </c>
      <c r="K37" s="379" t="str">
        <f>IF(+J37=H37,F37,H37)</f>
        <v>Appalachian State</v>
      </c>
      <c r="L37" s="422">
        <v>1</v>
      </c>
      <c r="M37" s="418">
        <v>55.5</v>
      </c>
      <c r="N37" s="351" t="str">
        <f>F37</f>
        <v>North Carolina</v>
      </c>
      <c r="O37" s="423">
        <v>63</v>
      </c>
      <c r="P37" s="436" t="str">
        <f t="shared" si="0"/>
        <v>Appalachian State</v>
      </c>
      <c r="Q37" s="408">
        <v>61</v>
      </c>
      <c r="R37" s="494" t="str">
        <f>IF(+N37=K37,+N37,IF(+O37-Q37&lt;L37,+K37,+J37))</f>
        <v>North Carolina</v>
      </c>
      <c r="S37" s="494" t="str">
        <f>IF(+R37=J37,+K37,+J37)</f>
        <v>Appalachian State</v>
      </c>
      <c r="T37" s="356" t="str">
        <f>J37</f>
        <v>North Carolina</v>
      </c>
      <c r="U37" s="665" t="str">
        <f>IF($N37=$J37,IF($O37-$Q37=$L37,"T",IF($R37=T37,"W","L")),IF($R37=T37,"W","L"))</f>
        <v>W</v>
      </c>
      <c r="W37" s="424"/>
      <c r="X37" s="352" t="s">
        <v>404</v>
      </c>
      <c r="Y37" s="425"/>
    </row>
    <row r="38" spans="1:25" ht="16" x14ac:dyDescent="0.8">
      <c r="A38" s="351">
        <v>1</v>
      </c>
      <c r="B38" s="420" t="s">
        <v>34</v>
      </c>
      <c r="C38" s="421">
        <v>44807</v>
      </c>
      <c r="D38" s="414">
        <f>19/24</f>
        <v>0.79166666666666663</v>
      </c>
      <c r="E38" s="349" t="s">
        <v>70</v>
      </c>
      <c r="F38" s="420" t="s">
        <v>272</v>
      </c>
      <c r="G38" s="349" t="s">
        <v>41</v>
      </c>
      <c r="H38" s="420" t="s">
        <v>94</v>
      </c>
      <c r="I38" s="349" t="s">
        <v>64</v>
      </c>
      <c r="J38" s="420"/>
      <c r="K38" s="379"/>
      <c r="L38" s="422"/>
      <c r="M38" s="418"/>
      <c r="N38" s="351" t="str">
        <f t="shared" ref="N38:N44" si="6">H38</f>
        <v>Wisconsin</v>
      </c>
      <c r="O38" s="423">
        <v>38</v>
      </c>
      <c r="P38" s="436" t="str">
        <f t="shared" ref="P38:P69" si="7">IF(+N38=H38,F38,H38)</f>
        <v>1AA Illinois State</v>
      </c>
      <c r="Q38" s="408">
        <v>0</v>
      </c>
      <c r="R38" s="494"/>
      <c r="S38" s="494"/>
      <c r="T38" s="356"/>
      <c r="U38" s="349"/>
      <c r="W38" s="424"/>
      <c r="X38" s="352" t="s">
        <v>404</v>
      </c>
      <c r="Y38" s="425"/>
    </row>
    <row r="39" spans="1:25" ht="16" x14ac:dyDescent="0.8">
      <c r="A39" s="351">
        <v>1</v>
      </c>
      <c r="B39" s="420" t="s">
        <v>34</v>
      </c>
      <c r="C39" s="421">
        <v>44807</v>
      </c>
      <c r="D39" s="414">
        <f>19/24</f>
        <v>0.79166666666666663</v>
      </c>
      <c r="E39" s="349"/>
      <c r="F39" s="420" t="s">
        <v>168</v>
      </c>
      <c r="G39" s="349" t="s">
        <v>41</v>
      </c>
      <c r="H39" s="420" t="s">
        <v>146</v>
      </c>
      <c r="I39" s="349" t="s">
        <v>73</v>
      </c>
      <c r="J39" s="420"/>
      <c r="K39" s="379"/>
      <c r="L39" s="422"/>
      <c r="M39" s="418"/>
      <c r="N39" s="351" t="str">
        <f t="shared" si="6"/>
        <v>Baylor</v>
      </c>
      <c r="O39" s="423">
        <v>69</v>
      </c>
      <c r="P39" s="436" t="str">
        <f t="shared" si="7"/>
        <v>1AA Albany</v>
      </c>
      <c r="Q39" s="408">
        <v>10</v>
      </c>
      <c r="R39" s="494"/>
      <c r="S39" s="494"/>
      <c r="T39" s="356"/>
      <c r="U39" s="349"/>
      <c r="W39" s="424"/>
      <c r="X39" s="352" t="s">
        <v>404</v>
      </c>
      <c r="Y39" s="425"/>
    </row>
    <row r="40" spans="1:25" ht="16" x14ac:dyDescent="0.8">
      <c r="A40" s="351">
        <v>1</v>
      </c>
      <c r="B40" s="420" t="s">
        <v>34</v>
      </c>
      <c r="C40" s="421">
        <v>44807</v>
      </c>
      <c r="D40" s="414">
        <f>14/24</f>
        <v>0.58333333333333337</v>
      </c>
      <c r="E40" s="349"/>
      <c r="F40" s="420" t="s">
        <v>149</v>
      </c>
      <c r="G40" s="349" t="s">
        <v>41</v>
      </c>
      <c r="H40" s="420" t="s">
        <v>148</v>
      </c>
      <c r="I40" s="349" t="s">
        <v>73</v>
      </c>
      <c r="J40" s="420"/>
      <c r="K40" s="379"/>
      <c r="L40" s="422"/>
      <c r="M40" s="418"/>
      <c r="N40" s="351" t="str">
        <f t="shared" si="6"/>
        <v>Iowa State</v>
      </c>
      <c r="O40" s="423">
        <v>42</v>
      </c>
      <c r="P40" s="436" t="str">
        <f t="shared" si="7"/>
        <v>1AA Southeast Missouri St</v>
      </c>
      <c r="Q40" s="408">
        <v>10</v>
      </c>
      <c r="R40" s="494"/>
      <c r="S40" s="494"/>
      <c r="T40" s="356"/>
      <c r="U40" s="349"/>
      <c r="W40" s="424"/>
      <c r="X40" s="352" t="s">
        <v>404</v>
      </c>
      <c r="Y40" s="425"/>
    </row>
    <row r="41" spans="1:25" ht="16" x14ac:dyDescent="0.8">
      <c r="A41" s="351">
        <v>1</v>
      </c>
      <c r="B41" s="420" t="s">
        <v>88</v>
      </c>
      <c r="C41" s="421">
        <v>44806</v>
      </c>
      <c r="D41" s="414">
        <f>20/24</f>
        <v>0.83333333333333337</v>
      </c>
      <c r="E41" s="349"/>
      <c r="F41" s="420" t="s">
        <v>252</v>
      </c>
      <c r="G41" s="349" t="s">
        <v>41</v>
      </c>
      <c r="H41" s="420" t="s">
        <v>150</v>
      </c>
      <c r="I41" s="349" t="s">
        <v>73</v>
      </c>
      <c r="J41" s="420"/>
      <c r="K41" s="379"/>
      <c r="L41" s="422"/>
      <c r="M41" s="418"/>
      <c r="N41" s="351" t="str">
        <f t="shared" si="6"/>
        <v>Kansas</v>
      </c>
      <c r="O41" s="423">
        <v>56</v>
      </c>
      <c r="P41" s="436" t="str">
        <f t="shared" si="7"/>
        <v>1AA Tennessee Tech</v>
      </c>
      <c r="Q41" s="408">
        <v>10</v>
      </c>
      <c r="R41" s="494"/>
      <c r="S41" s="494"/>
      <c r="T41" s="356"/>
      <c r="U41" s="349"/>
      <c r="W41" s="424"/>
      <c r="X41" s="352" t="s">
        <v>404</v>
      </c>
      <c r="Y41" s="425"/>
    </row>
    <row r="42" spans="1:25" ht="16" x14ac:dyDescent="0.8">
      <c r="A42" s="351">
        <v>1</v>
      </c>
      <c r="B42" s="420" t="s">
        <v>34</v>
      </c>
      <c r="C42" s="421">
        <v>44807</v>
      </c>
      <c r="D42" s="414">
        <f>19/24</f>
        <v>0.79166666666666663</v>
      </c>
      <c r="E42" s="349"/>
      <c r="F42" s="420" t="s">
        <v>238</v>
      </c>
      <c r="G42" s="349" t="s">
        <v>41</v>
      </c>
      <c r="H42" s="420" t="s">
        <v>152</v>
      </c>
      <c r="I42" s="349" t="s">
        <v>73</v>
      </c>
      <c r="J42" s="420"/>
      <c r="K42" s="379"/>
      <c r="L42" s="422"/>
      <c r="M42" s="418"/>
      <c r="N42" s="351" t="str">
        <f t="shared" si="6"/>
        <v>Kansas State</v>
      </c>
      <c r="O42" s="423">
        <v>34</v>
      </c>
      <c r="P42" s="436" t="str">
        <f t="shared" si="7"/>
        <v>1AA South Dakota</v>
      </c>
      <c r="Q42" s="408">
        <v>0</v>
      </c>
      <c r="R42" s="494"/>
      <c r="S42" s="494"/>
      <c r="T42" s="356"/>
      <c r="U42" s="349"/>
      <c r="V42" s="352" t="str">
        <f>UPPER(+H42)</f>
        <v>KANSAS STATE</v>
      </c>
      <c r="W42" s="424">
        <v>27</v>
      </c>
      <c r="X42" s="352" t="str">
        <f>LOWER(+F42)</f>
        <v>1aa south dakota</v>
      </c>
      <c r="Y42" s="425">
        <v>24</v>
      </c>
    </row>
    <row r="43" spans="1:25" ht="16" x14ac:dyDescent="0.8">
      <c r="A43" s="351">
        <v>1</v>
      </c>
      <c r="B43" s="420" t="s">
        <v>34</v>
      </c>
      <c r="C43" s="421">
        <v>44807</v>
      </c>
      <c r="D43" s="414">
        <f>14.5/24</f>
        <v>0.60416666666666663</v>
      </c>
      <c r="E43" s="349" t="s">
        <v>446</v>
      </c>
      <c r="F43" s="420" t="s">
        <v>138</v>
      </c>
      <c r="G43" s="349" t="s">
        <v>68</v>
      </c>
      <c r="H43" s="420" t="s">
        <v>224</v>
      </c>
      <c r="I43" s="349" t="s">
        <v>37</v>
      </c>
      <c r="J43" s="420" t="str">
        <f>H43</f>
        <v>UCLA</v>
      </c>
      <c r="K43" s="379" t="str">
        <f>IF(+J43=H43,F43,H43)</f>
        <v>Bowling Green</v>
      </c>
      <c r="L43" s="422">
        <v>24.5</v>
      </c>
      <c r="M43" s="418">
        <v>57</v>
      </c>
      <c r="N43" s="436" t="str">
        <f t="shared" si="6"/>
        <v>UCLA</v>
      </c>
      <c r="O43" s="423">
        <v>45</v>
      </c>
      <c r="P43" s="436" t="str">
        <f t="shared" si="7"/>
        <v>Bowling Green</v>
      </c>
      <c r="Q43" s="408">
        <v>17</v>
      </c>
      <c r="R43" s="494" t="str">
        <f>IF(+N43=K43,+N43,IF(+O43-Q43&lt;L43,+K43,+J43))</f>
        <v>UCLA</v>
      </c>
      <c r="S43" s="494" t="str">
        <f>IF(+R43=J43,+K43,+J43)</f>
        <v>Bowling Green</v>
      </c>
      <c r="T43" s="356" t="str">
        <f>J43</f>
        <v>UCLA</v>
      </c>
      <c r="U43" s="665" t="str">
        <f>IF($N43=$J43,IF($O43-$Q43=$L43,"T",IF($R43=T43,"W","L")),IF($R43=T43,"W","L"))</f>
        <v>W</v>
      </c>
      <c r="W43" s="424"/>
      <c r="X43" s="352" t="s">
        <v>404</v>
      </c>
      <c r="Y43" s="425"/>
    </row>
    <row r="44" spans="1:25" ht="16" x14ac:dyDescent="0.8">
      <c r="A44" s="351">
        <v>1</v>
      </c>
      <c r="B44" s="420" t="s">
        <v>34</v>
      </c>
      <c r="C44" s="421">
        <v>44807</v>
      </c>
      <c r="D44" s="414">
        <f>15.5/24</f>
        <v>0.64583333333333337</v>
      </c>
      <c r="E44" s="349" t="s">
        <v>118</v>
      </c>
      <c r="F44" s="420" t="s">
        <v>153</v>
      </c>
      <c r="G44" s="349" t="s">
        <v>39</v>
      </c>
      <c r="H44" s="420" t="s">
        <v>154</v>
      </c>
      <c r="I44" s="349" t="s">
        <v>73</v>
      </c>
      <c r="J44" s="420" t="str">
        <f>H44</f>
        <v>Oklahoma</v>
      </c>
      <c r="K44" s="379" t="str">
        <f>IF(+J44=H44,F44,H44)</f>
        <v>UTEP</v>
      </c>
      <c r="L44" s="422">
        <v>30.5</v>
      </c>
      <c r="M44" s="418">
        <v>56.5</v>
      </c>
      <c r="N44" s="351" t="str">
        <f t="shared" si="6"/>
        <v>Oklahoma</v>
      </c>
      <c r="O44" s="423">
        <v>45</v>
      </c>
      <c r="P44" s="436" t="str">
        <f t="shared" si="7"/>
        <v>UTEP</v>
      </c>
      <c r="Q44" s="408">
        <v>13</v>
      </c>
      <c r="R44" s="494" t="str">
        <f>IF(+N44=K44,+N44,IF(+O44-Q44&lt;L44,+K44,+J44))</f>
        <v>Oklahoma</v>
      </c>
      <c r="S44" s="494" t="str">
        <f>IF(+R44=J44,+K44,+J44)</f>
        <v>UTEP</v>
      </c>
      <c r="T44" s="356" t="str">
        <f>J44</f>
        <v>Oklahoma</v>
      </c>
      <c r="U44" s="665" t="str">
        <f>IF($N44=$J44,IF($O44-$Q44=$L44,"T",IF($R44=T44,"W","L")),IF($R44=T44,"W","L"))</f>
        <v>W</v>
      </c>
      <c r="W44" s="424"/>
      <c r="X44" s="352" t="s">
        <v>404</v>
      </c>
      <c r="Y44" s="425"/>
    </row>
    <row r="45" spans="1:25" ht="16" x14ac:dyDescent="0.8">
      <c r="A45" s="351">
        <v>1</v>
      </c>
      <c r="B45" s="420" t="s">
        <v>34</v>
      </c>
      <c r="C45" s="421">
        <v>44807</v>
      </c>
      <c r="D45" s="414">
        <f>15.5/24</f>
        <v>0.64583333333333337</v>
      </c>
      <c r="E45" s="349" t="s">
        <v>445</v>
      </c>
      <c r="F45" s="420" t="s">
        <v>174</v>
      </c>
      <c r="G45" s="349" t="s">
        <v>50</v>
      </c>
      <c r="H45" s="420" t="s">
        <v>175</v>
      </c>
      <c r="I45" s="349" t="s">
        <v>39</v>
      </c>
      <c r="J45" s="420" t="str">
        <f>F45</f>
        <v>Houston</v>
      </c>
      <c r="K45" s="379" t="str">
        <f>IF(+J45=H45,F45,H45)</f>
        <v>UT San Antonio</v>
      </c>
      <c r="L45" s="422">
        <v>4</v>
      </c>
      <c r="M45" s="418">
        <v>61.5</v>
      </c>
      <c r="N45" s="351" t="str">
        <f>F45</f>
        <v>Houston</v>
      </c>
      <c r="O45" s="423">
        <v>37</v>
      </c>
      <c r="P45" s="436" t="str">
        <f t="shared" si="7"/>
        <v>UT San Antonio</v>
      </c>
      <c r="Q45" s="408">
        <v>35</v>
      </c>
      <c r="R45" s="494" t="str">
        <f>IF(+N45=K45,+N45,IF(+O45-Q45&lt;L45,+K45,+J45))</f>
        <v>UT San Antonio</v>
      </c>
      <c r="S45" s="494" t="str">
        <f>IF(+R45=J45,+K45,+J45)</f>
        <v>Houston</v>
      </c>
      <c r="T45" s="356" t="str">
        <f>J45</f>
        <v>Houston</v>
      </c>
      <c r="U45" s="665" t="str">
        <f>IF($N45=$J45,IF($O45-$Q45=$L45,"T",IF($R45=T45,"W","L")),IF($R45=T45,"W","L"))</f>
        <v>L</v>
      </c>
      <c r="W45" s="424"/>
      <c r="X45" s="352" t="s">
        <v>404</v>
      </c>
      <c r="Y45" s="425"/>
    </row>
    <row r="46" spans="1:25" ht="16" x14ac:dyDescent="0.8">
      <c r="A46" s="351">
        <v>1</v>
      </c>
      <c r="B46" s="420" t="s">
        <v>34</v>
      </c>
      <c r="C46" s="421">
        <v>44807</v>
      </c>
      <c r="D46" s="414">
        <f>20/24</f>
        <v>0.83333333333333337</v>
      </c>
      <c r="E46" s="349" t="s">
        <v>53</v>
      </c>
      <c r="F46" s="420" t="s">
        <v>261</v>
      </c>
      <c r="G46" s="349" t="s">
        <v>41</v>
      </c>
      <c r="H46" s="420" t="s">
        <v>159</v>
      </c>
      <c r="I46" s="349" t="s">
        <v>73</v>
      </c>
      <c r="J46" s="420"/>
      <c r="K46" s="379"/>
      <c r="L46" s="422"/>
      <c r="M46" s="418"/>
      <c r="N46" s="351" t="str">
        <f>H46</f>
        <v>Texas Tech</v>
      </c>
      <c r="O46" s="423">
        <v>63</v>
      </c>
      <c r="P46" s="436" t="str">
        <f t="shared" si="7"/>
        <v>1AA Murray St</v>
      </c>
      <c r="Q46" s="408">
        <v>10</v>
      </c>
      <c r="R46" s="494"/>
      <c r="S46" s="494"/>
      <c r="T46" s="356"/>
      <c r="U46" s="349"/>
      <c r="W46" s="424"/>
      <c r="X46" s="352" t="s">
        <v>404</v>
      </c>
      <c r="Y46" s="425"/>
    </row>
    <row r="47" spans="1:25" ht="16" x14ac:dyDescent="0.8">
      <c r="A47" s="351">
        <v>1</v>
      </c>
      <c r="B47" s="420" t="s">
        <v>52</v>
      </c>
      <c r="C47" s="421">
        <v>44805</v>
      </c>
      <c r="D47" s="414">
        <f>19.5/24</f>
        <v>0.8125</v>
      </c>
      <c r="E47" s="349"/>
      <c r="F47" s="420" t="s">
        <v>268</v>
      </c>
      <c r="G47" s="349" t="s">
        <v>41</v>
      </c>
      <c r="H47" s="420" t="s">
        <v>105</v>
      </c>
      <c r="I47" s="349" t="s">
        <v>39</v>
      </c>
      <c r="J47" s="420"/>
      <c r="K47" s="379"/>
      <c r="L47" s="422"/>
      <c r="M47" s="418"/>
      <c r="N47" s="351" t="str">
        <f>H47</f>
        <v>Florida Intl</v>
      </c>
      <c r="O47" s="423">
        <v>38</v>
      </c>
      <c r="P47" s="436" t="str">
        <f t="shared" si="7"/>
        <v>1AA Bryant</v>
      </c>
      <c r="Q47" s="408">
        <v>37</v>
      </c>
      <c r="R47" s="494"/>
      <c r="S47" s="494"/>
      <c r="T47" s="356"/>
      <c r="U47" s="349"/>
      <c r="W47" s="424"/>
      <c r="X47" s="352" t="s">
        <v>404</v>
      </c>
      <c r="Y47" s="425"/>
    </row>
    <row r="48" spans="1:25" ht="16" x14ac:dyDescent="0.8">
      <c r="A48" s="351">
        <v>1</v>
      </c>
      <c r="B48" s="420" t="s">
        <v>34</v>
      </c>
      <c r="C48" s="421">
        <v>44807</v>
      </c>
      <c r="D48" s="414">
        <f>15.5/24</f>
        <v>0.64583333333333337</v>
      </c>
      <c r="E48" s="349" t="s">
        <v>445</v>
      </c>
      <c r="F48" s="420" t="s">
        <v>198</v>
      </c>
      <c r="G48" s="349" t="s">
        <v>37</v>
      </c>
      <c r="H48" s="420" t="s">
        <v>193</v>
      </c>
      <c r="I48" s="349" t="s">
        <v>45</v>
      </c>
      <c r="J48" s="420" t="str">
        <f>H48</f>
        <v>San Diego State</v>
      </c>
      <c r="K48" s="379" t="str">
        <f>IF(+J48=H48,F48,H48)</f>
        <v>Arizona</v>
      </c>
      <c r="L48" s="422">
        <v>6</v>
      </c>
      <c r="M48" s="418">
        <v>47</v>
      </c>
      <c r="N48" s="436" t="str">
        <f>F48</f>
        <v>Arizona</v>
      </c>
      <c r="O48" s="423">
        <v>38</v>
      </c>
      <c r="P48" s="436" t="str">
        <f t="shared" si="7"/>
        <v>San Diego State</v>
      </c>
      <c r="Q48" s="408">
        <v>20</v>
      </c>
      <c r="R48" s="494" t="str">
        <f>IF(+N48=K48,+N48,IF(+O48-Q48&lt;L48,+K48,+J48))</f>
        <v>Arizona</v>
      </c>
      <c r="S48" s="494" t="str">
        <f>IF(+R48=J48,+K48,+J48)</f>
        <v>San Diego State</v>
      </c>
      <c r="T48" s="356" t="str">
        <f>J48</f>
        <v>San Diego State</v>
      </c>
      <c r="U48" s="665" t="str">
        <f>IF($N48=$J48,IF($O48-$Q48=$L48,"T",IF($R48=T48,"W","L")),IF($R48=T48,"W","L"))</f>
        <v>L</v>
      </c>
      <c r="V48" s="352" t="str">
        <f>LOWER(+H48)</f>
        <v>san diego state</v>
      </c>
      <c r="W48" s="424">
        <v>38</v>
      </c>
      <c r="X48" s="352" t="str">
        <f>UPPER(+F48)</f>
        <v>ARIZONA</v>
      </c>
      <c r="Y48" s="425">
        <v>14</v>
      </c>
    </row>
    <row r="49" spans="1:25" ht="16" x14ac:dyDescent="0.8">
      <c r="A49" s="351">
        <v>1</v>
      </c>
      <c r="B49" s="420" t="s">
        <v>52</v>
      </c>
      <c r="C49" s="421">
        <v>44805</v>
      </c>
      <c r="D49" s="414">
        <f>20/24</f>
        <v>0.83333333333333337</v>
      </c>
      <c r="E49" s="349" t="s">
        <v>445</v>
      </c>
      <c r="F49" s="354" t="s">
        <v>172</v>
      </c>
      <c r="G49" s="349" t="s">
        <v>41</v>
      </c>
      <c r="H49" s="420" t="s">
        <v>173</v>
      </c>
      <c r="I49" s="349" t="s">
        <v>39</v>
      </c>
      <c r="J49" s="420"/>
      <c r="K49" s="379"/>
      <c r="L49" s="422"/>
      <c r="M49" s="418"/>
      <c r="N49" s="351" t="str">
        <f>H49</f>
        <v>UAB</v>
      </c>
      <c r="O49" s="423">
        <v>59</v>
      </c>
      <c r="P49" s="436" t="str">
        <f t="shared" si="7"/>
        <v>1AA Alabama A&amp;M</v>
      </c>
      <c r="Q49" s="408">
        <v>0</v>
      </c>
      <c r="R49" s="494"/>
      <c r="S49" s="494"/>
      <c r="T49" s="356"/>
      <c r="U49" s="349"/>
      <c r="W49" s="424"/>
      <c r="X49" s="352" t="s">
        <v>404</v>
      </c>
      <c r="Y49" s="425"/>
    </row>
    <row r="50" spans="1:25" ht="16" x14ac:dyDescent="0.8">
      <c r="A50" s="351">
        <v>1</v>
      </c>
      <c r="B50" s="420" t="s">
        <v>88</v>
      </c>
      <c r="C50" s="421">
        <v>44806</v>
      </c>
      <c r="D50" s="414">
        <f>19/24</f>
        <v>0.79166666666666663</v>
      </c>
      <c r="E50" s="349" t="s">
        <v>53</v>
      </c>
      <c r="F50" s="420" t="s">
        <v>129</v>
      </c>
      <c r="G50" s="349" t="s">
        <v>41</v>
      </c>
      <c r="H50" s="420" t="s">
        <v>100</v>
      </c>
      <c r="I50" s="349" t="s">
        <v>39</v>
      </c>
      <c r="J50" s="420"/>
      <c r="K50" s="379"/>
      <c r="L50" s="422"/>
      <c r="M50" s="418"/>
      <c r="N50" s="351" t="str">
        <f>F50</f>
        <v>1AA William &amp; Mary</v>
      </c>
      <c r="O50" s="423">
        <v>41</v>
      </c>
      <c r="P50" s="436" t="str">
        <f t="shared" si="7"/>
        <v>UNC Charlotte</v>
      </c>
      <c r="Q50" s="408">
        <v>24</v>
      </c>
      <c r="R50" s="494"/>
      <c r="S50" s="494"/>
      <c r="T50" s="356"/>
      <c r="U50" s="349"/>
      <c r="W50" s="424"/>
      <c r="X50" s="352" t="s">
        <v>404</v>
      </c>
      <c r="Y50" s="425"/>
    </row>
    <row r="51" spans="1:25" ht="16" x14ac:dyDescent="0.8">
      <c r="A51" s="351">
        <v>1</v>
      </c>
      <c r="B51" s="420" t="s">
        <v>34</v>
      </c>
      <c r="C51" s="421">
        <v>44807</v>
      </c>
      <c r="D51" s="414">
        <f>15.5/24</f>
        <v>0.64583333333333337</v>
      </c>
      <c r="E51" s="349" t="s">
        <v>70</v>
      </c>
      <c r="F51" s="420" t="s">
        <v>71</v>
      </c>
      <c r="G51" s="349" t="s">
        <v>50</v>
      </c>
      <c r="H51" s="420" t="s">
        <v>133</v>
      </c>
      <c r="I51" s="349" t="s">
        <v>45</v>
      </c>
      <c r="J51" s="420" t="str">
        <f>F51</f>
        <v>Tulsa</v>
      </c>
      <c r="K51" s="379" t="str">
        <f>IF(+J51=H51,F51,H51)</f>
        <v>Wyoming</v>
      </c>
      <c r="L51" s="422">
        <v>6.5</v>
      </c>
      <c r="M51" s="418">
        <v>44</v>
      </c>
      <c r="N51" s="351" t="str">
        <f>H51</f>
        <v>Wyoming</v>
      </c>
      <c r="O51" s="423">
        <v>40</v>
      </c>
      <c r="P51" s="436" t="str">
        <f t="shared" si="7"/>
        <v>Tulsa</v>
      </c>
      <c r="Q51" s="408">
        <v>37</v>
      </c>
      <c r="R51" s="494" t="str">
        <f>IF(+N51=K51,+N51,IF(+O51-Q51&lt;L51,+K51,+J51))</f>
        <v>Wyoming</v>
      </c>
      <c r="S51" s="494" t="str">
        <f>IF(+R51=J51,+K51,+J51)</f>
        <v>Tulsa</v>
      </c>
      <c r="T51" s="356" t="str">
        <f>K51</f>
        <v>Wyoming</v>
      </c>
      <c r="U51" s="665" t="str">
        <f>IF($N51=$J51,IF($O51-$Q51=$L51,"T",IF($R51=T51,"W","L")),IF($R51=T51,"W","L"))</f>
        <v>W</v>
      </c>
      <c r="W51" s="424"/>
      <c r="X51" s="352" t="s">
        <v>404</v>
      </c>
      <c r="Y51" s="425"/>
    </row>
    <row r="52" spans="1:25" ht="16" x14ac:dyDescent="0.8">
      <c r="A52" s="351">
        <v>1</v>
      </c>
      <c r="B52" s="420" t="s">
        <v>34</v>
      </c>
      <c r="C52" s="421">
        <v>414067</v>
      </c>
      <c r="D52" s="414">
        <f>12/24</f>
        <v>0.5</v>
      </c>
      <c r="E52" s="349"/>
      <c r="F52" s="420" t="s">
        <v>89</v>
      </c>
      <c r="G52" s="349" t="s">
        <v>41</v>
      </c>
      <c r="H52" s="420" t="s">
        <v>57</v>
      </c>
      <c r="I52" s="349" t="s">
        <v>43</v>
      </c>
      <c r="J52" s="420"/>
      <c r="K52" s="379"/>
      <c r="L52" s="422"/>
      <c r="M52" s="418"/>
      <c r="N52" s="351" t="str">
        <f>H52</f>
        <v>Connecticut</v>
      </c>
      <c r="O52" s="423">
        <v>28</v>
      </c>
      <c r="P52" s="436" t="str">
        <f t="shared" si="7"/>
        <v>1AA Central Connecticut</v>
      </c>
      <c r="Q52" s="408">
        <v>3</v>
      </c>
      <c r="R52" s="494"/>
      <c r="S52" s="494"/>
      <c r="T52" s="356"/>
      <c r="U52" s="349"/>
      <c r="W52" s="424"/>
      <c r="X52" s="352" t="s">
        <v>404</v>
      </c>
      <c r="Y52" s="425"/>
    </row>
    <row r="53" spans="1:25" ht="16" x14ac:dyDescent="0.8">
      <c r="A53" s="351">
        <v>1</v>
      </c>
      <c r="B53" s="420" t="s">
        <v>52</v>
      </c>
      <c r="C53" s="421">
        <v>44805</v>
      </c>
      <c r="D53" s="414">
        <f>18/24</f>
        <v>0.75</v>
      </c>
      <c r="E53" s="349" t="s">
        <v>53</v>
      </c>
      <c r="F53" s="354" t="s">
        <v>281</v>
      </c>
      <c r="G53" s="349" t="s">
        <v>41</v>
      </c>
      <c r="H53" s="420" t="s">
        <v>144</v>
      </c>
      <c r="I53" s="349" t="s">
        <v>68</v>
      </c>
      <c r="J53" s="420"/>
      <c r="K53" s="379"/>
      <c r="L53" s="422"/>
      <c r="M53" s="418"/>
      <c r="N53" s="351" t="str">
        <f>H53</f>
        <v>Akron</v>
      </c>
      <c r="O53" s="423">
        <v>30</v>
      </c>
      <c r="P53" s="436" t="str">
        <f t="shared" si="7"/>
        <v>1AA St Francis PA</v>
      </c>
      <c r="Q53" s="408">
        <v>23</v>
      </c>
      <c r="R53" s="494"/>
      <c r="S53" s="494"/>
      <c r="T53" s="356"/>
      <c r="U53" s="349"/>
      <c r="W53" s="424"/>
      <c r="X53" s="352" t="s">
        <v>404</v>
      </c>
      <c r="Y53" s="425"/>
    </row>
    <row r="54" spans="1:25" ht="16" x14ac:dyDescent="0.8">
      <c r="A54" s="351">
        <v>1</v>
      </c>
      <c r="B54" s="420" t="s">
        <v>88</v>
      </c>
      <c r="C54" s="421">
        <v>44806</v>
      </c>
      <c r="D54" s="414">
        <f>19/24</f>
        <v>0.79166666666666663</v>
      </c>
      <c r="E54" s="349" t="s">
        <v>53</v>
      </c>
      <c r="F54" s="420" t="s">
        <v>176</v>
      </c>
      <c r="G54" s="349" t="s">
        <v>41</v>
      </c>
      <c r="H54" s="420" t="s">
        <v>101</v>
      </c>
      <c r="I54" s="349" t="s">
        <v>68</v>
      </c>
      <c r="J54" s="420"/>
      <c r="K54" s="379"/>
      <c r="L54" s="422"/>
      <c r="M54" s="418"/>
      <c r="N54" s="436" t="str">
        <f>H54</f>
        <v>Eastern Michigan</v>
      </c>
      <c r="O54" s="423">
        <v>42</v>
      </c>
      <c r="P54" s="436" t="str">
        <f t="shared" si="7"/>
        <v>1AA Eastern Kentucky</v>
      </c>
      <c r="Q54" s="408">
        <v>24</v>
      </c>
      <c r="R54" s="494"/>
      <c r="S54" s="494"/>
      <c r="T54" s="356"/>
      <c r="U54" s="349"/>
      <c r="W54" s="424"/>
      <c r="X54" s="352" t="s">
        <v>404</v>
      </c>
      <c r="Y54" s="425"/>
    </row>
    <row r="55" spans="1:25" ht="16" x14ac:dyDescent="0.8">
      <c r="A55" s="351">
        <v>1</v>
      </c>
      <c r="B55" s="420" t="s">
        <v>52</v>
      </c>
      <c r="C55" s="421">
        <v>44805</v>
      </c>
      <c r="D55" s="414">
        <f>20/24</f>
        <v>0.83333333333333337</v>
      </c>
      <c r="E55" s="349"/>
      <c r="F55" s="420" t="s">
        <v>239</v>
      </c>
      <c r="G55" s="349" t="s">
        <v>41</v>
      </c>
      <c r="H55" s="420" t="s">
        <v>103</v>
      </c>
      <c r="I55" s="349" t="s">
        <v>68</v>
      </c>
      <c r="J55" s="420"/>
      <c r="K55" s="379"/>
      <c r="L55" s="422"/>
      <c r="M55" s="418"/>
      <c r="N55" s="436" t="str">
        <f>H55</f>
        <v>Northern Illinois</v>
      </c>
      <c r="O55" s="423">
        <v>34</v>
      </c>
      <c r="P55" s="436" t="str">
        <f t="shared" si="7"/>
        <v>1AA Eastern Illinois</v>
      </c>
      <c r="Q55" s="408">
        <v>27</v>
      </c>
      <c r="R55" s="494"/>
      <c r="S55" s="494"/>
      <c r="T55" s="356"/>
      <c r="U55" s="349"/>
      <c r="W55" s="424"/>
      <c r="X55" s="352" t="s">
        <v>404</v>
      </c>
      <c r="Y55" s="425"/>
    </row>
    <row r="56" spans="1:25" ht="16" x14ac:dyDescent="0.8">
      <c r="A56" s="351">
        <v>1</v>
      </c>
      <c r="B56" s="420" t="s">
        <v>34</v>
      </c>
      <c r="C56" s="421">
        <v>44807</v>
      </c>
      <c r="D56" s="414">
        <f>15.5/24</f>
        <v>0.64583333333333337</v>
      </c>
      <c r="E56" s="349" t="s">
        <v>135</v>
      </c>
      <c r="F56" s="420" t="s">
        <v>213</v>
      </c>
      <c r="G56" s="349" t="s">
        <v>85</v>
      </c>
      <c r="H56" s="420" t="s">
        <v>200</v>
      </c>
      <c r="I56" s="349" t="s">
        <v>37</v>
      </c>
      <c r="J56" s="420" t="str">
        <f>F56</f>
        <v>Georgia</v>
      </c>
      <c r="K56" s="379" t="str">
        <f>IF(+J56=H56,F56,H56)</f>
        <v>Oregon</v>
      </c>
      <c r="L56" s="422">
        <v>17</v>
      </c>
      <c r="M56" s="418">
        <v>52.5</v>
      </c>
      <c r="N56" s="436" t="str">
        <f>F56</f>
        <v>Georgia</v>
      </c>
      <c r="O56" s="423">
        <v>49</v>
      </c>
      <c r="P56" s="436" t="str">
        <f t="shared" si="7"/>
        <v>Oregon</v>
      </c>
      <c r="Q56" s="408">
        <v>3</v>
      </c>
      <c r="R56" s="494" t="str">
        <f>IF(+N56=K56,+N56,IF(+O56-Q56&lt;L56,+K56,+J56))</f>
        <v>Georgia</v>
      </c>
      <c r="S56" s="494" t="str">
        <f>IF(+R56=J56,+K56,+J56)</f>
        <v>Oregon</v>
      </c>
      <c r="T56" s="356" t="str">
        <f>J56</f>
        <v>Georgia</v>
      </c>
      <c r="U56" s="665" t="str">
        <f>IF($N56=$J56,IF($O56-$Q56=$L56,"T",IF($R56=T56,"W","L")),IF($R56=T56,"W","L"))</f>
        <v>W</v>
      </c>
      <c r="W56" s="424"/>
      <c r="X56" s="352" t="s">
        <v>404</v>
      </c>
      <c r="Y56" s="425"/>
    </row>
    <row r="57" spans="1:25" ht="16" x14ac:dyDescent="0.8">
      <c r="A57" s="351">
        <v>1</v>
      </c>
      <c r="B57" s="420" t="s">
        <v>52</v>
      </c>
      <c r="C57" s="421">
        <v>44805</v>
      </c>
      <c r="D57" s="414">
        <f>19/24</f>
        <v>0.79166666666666663</v>
      </c>
      <c r="E57" s="349" t="s">
        <v>53</v>
      </c>
      <c r="F57" s="420" t="s">
        <v>407</v>
      </c>
      <c r="G57" s="349" t="s">
        <v>41</v>
      </c>
      <c r="H57" s="420" t="s">
        <v>77</v>
      </c>
      <c r="I57" s="349" t="s">
        <v>68</v>
      </c>
      <c r="J57" s="420"/>
      <c r="K57" s="379"/>
      <c r="L57" s="422"/>
      <c r="M57" s="418"/>
      <c r="N57" s="436" t="str">
        <f>H57</f>
        <v>Toledo</v>
      </c>
      <c r="O57" s="423">
        <v>37</v>
      </c>
      <c r="P57" s="436" t="str">
        <f t="shared" si="7"/>
        <v>1AA Long Island</v>
      </c>
      <c r="Q57" s="408">
        <v>0</v>
      </c>
      <c r="R57" s="494"/>
      <c r="S57" s="494"/>
      <c r="T57" s="356"/>
      <c r="U57" s="349"/>
      <c r="W57" s="424"/>
      <c r="X57" s="352" t="s">
        <v>404</v>
      </c>
      <c r="Y57" s="425"/>
    </row>
    <row r="58" spans="1:25" ht="16" x14ac:dyDescent="0.8">
      <c r="A58" s="351">
        <v>1</v>
      </c>
      <c r="B58" s="420" t="s">
        <v>34</v>
      </c>
      <c r="C58" s="421">
        <v>44807</v>
      </c>
      <c r="D58" s="414">
        <f>13/24</f>
        <v>0.54166666666666663</v>
      </c>
      <c r="E58" s="349"/>
      <c r="F58" s="420" t="s">
        <v>147</v>
      </c>
      <c r="G58" s="349" t="s">
        <v>41</v>
      </c>
      <c r="H58" s="420" t="s">
        <v>184</v>
      </c>
      <c r="I58" s="349" t="s">
        <v>45</v>
      </c>
      <c r="J58" s="420"/>
      <c r="K58" s="379"/>
      <c r="L58" s="422"/>
      <c r="M58" s="418"/>
      <c r="N58" s="436" t="str">
        <f>H58</f>
        <v>Air Force</v>
      </c>
      <c r="O58" s="423">
        <v>48</v>
      </c>
      <c r="P58" s="436" t="str">
        <f t="shared" si="7"/>
        <v>1AA Northern Iowa</v>
      </c>
      <c r="Q58" s="408">
        <v>17</v>
      </c>
      <c r="R58" s="494"/>
      <c r="S58" s="494"/>
      <c r="T58" s="356"/>
      <c r="U58" s="349"/>
      <c r="W58" s="424"/>
      <c r="X58" s="352" t="s">
        <v>404</v>
      </c>
      <c r="Y58" s="425"/>
    </row>
    <row r="59" spans="1:25" ht="16" x14ac:dyDescent="0.8">
      <c r="A59" s="351">
        <v>1</v>
      </c>
      <c r="B59" s="420" t="s">
        <v>52</v>
      </c>
      <c r="C59" s="421">
        <v>44805</v>
      </c>
      <c r="D59" s="414">
        <f>22.5/24</f>
        <v>0.9375</v>
      </c>
      <c r="E59" s="349" t="s">
        <v>70</v>
      </c>
      <c r="F59" s="420" t="s">
        <v>194</v>
      </c>
      <c r="G59" s="349" t="s">
        <v>41</v>
      </c>
      <c r="H59" s="420" t="s">
        <v>188</v>
      </c>
      <c r="I59" s="349" t="s">
        <v>45</v>
      </c>
      <c r="J59" s="420"/>
      <c r="K59" s="379"/>
      <c r="L59" s="422"/>
      <c r="M59" s="418"/>
      <c r="N59" s="436" t="str">
        <f>H59</f>
        <v>Fresno State</v>
      </c>
      <c r="O59" s="423">
        <v>35</v>
      </c>
      <c r="P59" s="436" t="str">
        <f t="shared" si="7"/>
        <v>1AA Cal Poly</v>
      </c>
      <c r="Q59" s="408">
        <v>7</v>
      </c>
      <c r="R59" s="494"/>
      <c r="S59" s="494"/>
      <c r="T59" s="356"/>
      <c r="U59" s="349"/>
      <c r="V59" s="352" t="str">
        <f>UPPER(+H59)</f>
        <v>FRESNO STATE</v>
      </c>
      <c r="W59" s="424">
        <v>63</v>
      </c>
      <c r="X59" s="352" t="str">
        <f>LOWER(+F59)</f>
        <v>1aa cal poly</v>
      </c>
      <c r="Y59" s="425">
        <v>10</v>
      </c>
    </row>
    <row r="60" spans="1:25" ht="16" x14ac:dyDescent="0.8">
      <c r="A60" s="351">
        <v>1</v>
      </c>
      <c r="B60" s="420" t="s">
        <v>34</v>
      </c>
      <c r="C60" s="421">
        <v>44807</v>
      </c>
      <c r="D60" s="414">
        <f>15.5/24</f>
        <v>0.64583333333333337</v>
      </c>
      <c r="E60" s="349" t="s">
        <v>35</v>
      </c>
      <c r="F60" s="420" t="s">
        <v>55</v>
      </c>
      <c r="G60" s="349" t="s">
        <v>50</v>
      </c>
      <c r="H60" s="420" t="s">
        <v>87</v>
      </c>
      <c r="I60" s="349" t="s">
        <v>85</v>
      </c>
      <c r="J60" s="420" t="str">
        <f>H60</f>
        <v>Arkansas</v>
      </c>
      <c r="K60" s="379" t="str">
        <f>IF(+J60=H60,F60,H60)</f>
        <v>Cincinnati</v>
      </c>
      <c r="L60" s="422">
        <v>6.5</v>
      </c>
      <c r="M60" s="418">
        <v>52</v>
      </c>
      <c r="N60" s="351" t="str">
        <f>H60</f>
        <v>Arkansas</v>
      </c>
      <c r="O60" s="423">
        <v>31</v>
      </c>
      <c r="P60" s="436" t="str">
        <f t="shared" si="7"/>
        <v>Cincinnati</v>
      </c>
      <c r="Q60" s="408">
        <v>24</v>
      </c>
      <c r="R60" s="494" t="str">
        <f>IF(+N60=K60,+N60,IF(+O60-Q60&lt;L60,+K60,+J60))</f>
        <v>Arkansas</v>
      </c>
      <c r="S60" s="494" t="str">
        <f>IF(+R60=J60,+K60,+J60)</f>
        <v>Cincinnati</v>
      </c>
      <c r="T60" s="356" t="str">
        <f>J60</f>
        <v>Arkansas</v>
      </c>
      <c r="U60" s="665" t="str">
        <f>IF($N60=$J60,IF($O60-$Q60=$L60,"T",IF($R60=T60,"W","L")),IF($R60=T60,"W","L"))</f>
        <v>W</v>
      </c>
      <c r="W60" s="424"/>
      <c r="X60" s="352" t="s">
        <v>404</v>
      </c>
      <c r="Y60" s="425"/>
    </row>
    <row r="61" spans="1:25" ht="16" x14ac:dyDescent="0.8">
      <c r="A61" s="351">
        <v>1</v>
      </c>
      <c r="B61" s="420" t="s">
        <v>34</v>
      </c>
      <c r="C61" s="421">
        <v>44807</v>
      </c>
      <c r="D61" s="414">
        <f>16/24</f>
        <v>0.66666666666666663</v>
      </c>
      <c r="E61" s="349" t="s">
        <v>95</v>
      </c>
      <c r="F61" s="420" t="s">
        <v>42</v>
      </c>
      <c r="G61" s="349" t="s">
        <v>43</v>
      </c>
      <c r="H61" s="420" t="s">
        <v>49</v>
      </c>
      <c r="I61" s="349" t="s">
        <v>50</v>
      </c>
      <c r="J61" s="420" t="str">
        <f>F61</f>
        <v>BYU</v>
      </c>
      <c r="K61" s="379" t="str">
        <f>IF(+J61=H61,F61,H61)</f>
        <v>South Florida</v>
      </c>
      <c r="L61" s="422">
        <v>12</v>
      </c>
      <c r="M61" s="418">
        <v>58</v>
      </c>
      <c r="N61" s="351" t="str">
        <f>F61</f>
        <v>BYU</v>
      </c>
      <c r="O61" s="423">
        <v>50</v>
      </c>
      <c r="P61" s="436" t="str">
        <f t="shared" si="7"/>
        <v>South Florida</v>
      </c>
      <c r="Q61" s="408">
        <v>21</v>
      </c>
      <c r="R61" s="494" t="str">
        <f>IF(+N61=K61,+N61,IF(+O61-Q61&lt;L61,+K61,+J61))</f>
        <v>BYU</v>
      </c>
      <c r="S61" s="494" t="str">
        <f>IF(+R61=J61,+K61,+J61)</f>
        <v>South Florida</v>
      </c>
      <c r="T61" s="356" t="str">
        <f>J61</f>
        <v>BYU</v>
      </c>
      <c r="U61" s="665" t="str">
        <f>IF($N61=$J61,IF($O61-$Q61=$L61,"T",IF($R61=T61,"W","L")),IF($R61=T61,"W","L"))</f>
        <v>W</v>
      </c>
      <c r="V61" s="352" t="str">
        <f>UPPER(+F61)</f>
        <v>BYU</v>
      </c>
      <c r="W61" s="424">
        <v>35</v>
      </c>
      <c r="X61" s="352" t="str">
        <f>LOWER(+H61)</f>
        <v>south florida</v>
      </c>
      <c r="Y61" s="425">
        <v>27</v>
      </c>
    </row>
    <row r="62" spans="1:25" ht="16" x14ac:dyDescent="0.8">
      <c r="A62" s="351">
        <v>1</v>
      </c>
      <c r="B62" s="420" t="s">
        <v>34</v>
      </c>
      <c r="C62" s="421">
        <v>44807</v>
      </c>
      <c r="D62" s="414">
        <f>20/24</f>
        <v>0.83333333333333337</v>
      </c>
      <c r="E62" s="349"/>
      <c r="F62" s="420" t="s">
        <v>260</v>
      </c>
      <c r="G62" s="349" t="s">
        <v>41</v>
      </c>
      <c r="H62" s="420" t="s">
        <v>191</v>
      </c>
      <c r="I62" s="349" t="s">
        <v>45</v>
      </c>
      <c r="J62" s="420"/>
      <c r="K62" s="379"/>
      <c r="L62" s="422"/>
      <c r="M62" s="418"/>
      <c r="N62" s="436" t="str">
        <f t="shared" ref="N62:N73" si="8">H62</f>
        <v>New Mexico</v>
      </c>
      <c r="O62" s="423">
        <v>41</v>
      </c>
      <c r="P62" s="436" t="str">
        <f t="shared" si="7"/>
        <v>1AA Maine</v>
      </c>
      <c r="Q62" s="408">
        <v>0</v>
      </c>
      <c r="R62" s="494"/>
      <c r="S62" s="494"/>
      <c r="T62" s="356"/>
      <c r="U62" s="349"/>
      <c r="W62" s="424"/>
      <c r="X62" s="352" t="s">
        <v>404</v>
      </c>
      <c r="Y62" s="425"/>
    </row>
    <row r="63" spans="1:25" ht="16" x14ac:dyDescent="0.8">
      <c r="A63" s="351">
        <v>1</v>
      </c>
      <c r="B63" s="420" t="s">
        <v>34</v>
      </c>
      <c r="C63" s="421">
        <v>44807</v>
      </c>
      <c r="D63" s="414">
        <f>16/24</f>
        <v>0.66666666666666663</v>
      </c>
      <c r="E63" s="349" t="s">
        <v>85</v>
      </c>
      <c r="F63" s="420" t="s">
        <v>185</v>
      </c>
      <c r="G63" s="349" t="s">
        <v>59</v>
      </c>
      <c r="H63" s="420" t="s">
        <v>215</v>
      </c>
      <c r="I63" s="349" t="s">
        <v>85</v>
      </c>
      <c r="J63" s="420" t="str">
        <f>H63</f>
        <v>Mississippi</v>
      </c>
      <c r="K63" s="379" t="str">
        <f>IF(+J63=H63,F63,H63)</f>
        <v>Troy</v>
      </c>
      <c r="L63" s="422">
        <v>22</v>
      </c>
      <c r="M63" s="418">
        <v>58</v>
      </c>
      <c r="N63" s="351" t="str">
        <f t="shared" si="8"/>
        <v>Mississippi</v>
      </c>
      <c r="O63" s="423">
        <v>28</v>
      </c>
      <c r="P63" s="436" t="str">
        <f t="shared" si="7"/>
        <v>Troy</v>
      </c>
      <c r="Q63" s="408">
        <v>10</v>
      </c>
      <c r="R63" s="494" t="str">
        <f>IF(+N63=K63,+N63,IF(+O63-Q63&lt;L63,+K63,+J63))</f>
        <v>Troy</v>
      </c>
      <c r="S63" s="494" t="str">
        <f>IF(+R63=J63,+K63,+J63)</f>
        <v>Mississippi</v>
      </c>
      <c r="T63" s="356" t="str">
        <f>J63</f>
        <v>Mississippi</v>
      </c>
      <c r="U63" s="665" t="str">
        <f>IF($N63=$J63,IF($O63-$Q63=$L63,"T",IF($R63=T63,"W","L")),IF($R63=T63,"W","L"))</f>
        <v>L</v>
      </c>
      <c r="W63" s="424"/>
      <c r="X63" s="352" t="s">
        <v>404</v>
      </c>
      <c r="Y63" s="425"/>
    </row>
    <row r="64" spans="1:25" ht="16" x14ac:dyDescent="0.8">
      <c r="A64" s="351">
        <v>1</v>
      </c>
      <c r="B64" s="420" t="s">
        <v>52</v>
      </c>
      <c r="C64" s="421">
        <v>44805</v>
      </c>
      <c r="D64" s="414">
        <f>22.5/24</f>
        <v>0.9375</v>
      </c>
      <c r="E64" s="349"/>
      <c r="F64" s="420" t="s">
        <v>40</v>
      </c>
      <c r="G64" s="349" t="s">
        <v>41</v>
      </c>
      <c r="H64" s="420" t="s">
        <v>51</v>
      </c>
      <c r="I64" s="349" t="s">
        <v>45</v>
      </c>
      <c r="J64" s="420"/>
      <c r="K64" s="379"/>
      <c r="L64" s="422"/>
      <c r="M64" s="418"/>
      <c r="N64" s="436" t="str">
        <f t="shared" si="8"/>
        <v>San Jose State</v>
      </c>
      <c r="O64" s="423">
        <v>21</v>
      </c>
      <c r="P64" s="436" t="str">
        <f t="shared" si="7"/>
        <v>1AA Portland State</v>
      </c>
      <c r="Q64" s="408">
        <v>17</v>
      </c>
      <c r="R64" s="494"/>
      <c r="S64" s="494"/>
      <c r="T64" s="356"/>
      <c r="U64" s="349"/>
      <c r="W64" s="424"/>
      <c r="X64" s="352" t="s">
        <v>404</v>
      </c>
      <c r="Y64" s="425"/>
    </row>
    <row r="65" spans="1:25" ht="16" x14ac:dyDescent="0.8">
      <c r="A65" s="351">
        <v>1</v>
      </c>
      <c r="B65" s="420" t="s">
        <v>34</v>
      </c>
      <c r="C65" s="421">
        <v>44807</v>
      </c>
      <c r="D65" s="414">
        <f>17.5/24</f>
        <v>0.72916666666666663</v>
      </c>
      <c r="E65" s="349"/>
      <c r="F65" s="420" t="s">
        <v>207</v>
      </c>
      <c r="G65" s="349" t="s">
        <v>59</v>
      </c>
      <c r="H65" s="420" t="s">
        <v>142</v>
      </c>
      <c r="I65" s="349" t="s">
        <v>45</v>
      </c>
      <c r="J65" s="420" t="str">
        <f>H65</f>
        <v>Nevada</v>
      </c>
      <c r="K65" s="379" t="str">
        <f>IF(+J65=H65,F65,H65)</f>
        <v>Texas State</v>
      </c>
      <c r="L65" s="422">
        <v>0</v>
      </c>
      <c r="M65" s="418">
        <v>51</v>
      </c>
      <c r="N65" s="436" t="str">
        <f t="shared" si="8"/>
        <v>Nevada</v>
      </c>
      <c r="O65" s="423">
        <v>38</v>
      </c>
      <c r="P65" s="436" t="str">
        <f t="shared" si="7"/>
        <v>Texas State</v>
      </c>
      <c r="Q65" s="408">
        <v>14</v>
      </c>
      <c r="R65" s="494" t="str">
        <f>IF(+N65=K65,+N65,IF(+O65-Q65&lt;L65,+K65,+J65))</f>
        <v>Nevada</v>
      </c>
      <c r="S65" s="494" t="str">
        <f>IF(+R65=J65,+K65,+J65)</f>
        <v>Texas State</v>
      </c>
      <c r="T65" s="356" t="str">
        <f>J65</f>
        <v>Nevada</v>
      </c>
      <c r="U65" s="665" t="str">
        <f>IF($N65=$J65,IF($O65-$Q65=$L65,"T",IF($R65=T65,"W","L")),IF($R65=T65,"W","L"))</f>
        <v>W</v>
      </c>
      <c r="W65" s="424"/>
      <c r="X65" s="352" t="s">
        <v>404</v>
      </c>
      <c r="Y65" s="425"/>
    </row>
    <row r="66" spans="1:25" ht="16" x14ac:dyDescent="0.8">
      <c r="A66" s="351">
        <v>1</v>
      </c>
      <c r="B66" s="420" t="s">
        <v>52</v>
      </c>
      <c r="C66" s="421">
        <v>44805</v>
      </c>
      <c r="D66" s="414">
        <f>22/24</f>
        <v>0.91666666666666663</v>
      </c>
      <c r="E66" s="349" t="s">
        <v>446</v>
      </c>
      <c r="F66" s="420" t="s">
        <v>197</v>
      </c>
      <c r="G66" s="349" t="s">
        <v>41</v>
      </c>
      <c r="H66" s="420" t="s">
        <v>79</v>
      </c>
      <c r="I66" s="349" t="s">
        <v>37</v>
      </c>
      <c r="J66" s="420"/>
      <c r="K66" s="379"/>
      <c r="L66" s="422"/>
      <c r="M66" s="418"/>
      <c r="N66" s="436" t="str">
        <f t="shared" si="8"/>
        <v>Arizona State</v>
      </c>
      <c r="O66" s="423">
        <v>40</v>
      </c>
      <c r="P66" s="436" t="str">
        <f t="shared" si="7"/>
        <v>1AA Northern Arizona</v>
      </c>
      <c r="Q66" s="408">
        <v>3</v>
      </c>
      <c r="R66" s="494"/>
      <c r="S66" s="494"/>
      <c r="T66" s="356"/>
      <c r="U66" s="349"/>
      <c r="V66" s="352" t="str">
        <f>LOWER(+F66)</f>
        <v>1aa northern arizona</v>
      </c>
      <c r="W66" s="424">
        <v>21</v>
      </c>
      <c r="X66" s="352" t="str">
        <f>UPPER(+H66)</f>
        <v>ARIZONA STATE</v>
      </c>
      <c r="Y66" s="425">
        <v>19</v>
      </c>
    </row>
    <row r="67" spans="1:25" ht="16" x14ac:dyDescent="0.8">
      <c r="A67" s="351">
        <v>1</v>
      </c>
      <c r="B67" s="420" t="s">
        <v>34</v>
      </c>
      <c r="C67" s="421">
        <v>44807</v>
      </c>
      <c r="D67" s="414">
        <f>16/24</f>
        <v>0.66666666666666663</v>
      </c>
      <c r="E67" s="349"/>
      <c r="F67" s="420" t="s">
        <v>192</v>
      </c>
      <c r="G67" s="349" t="s">
        <v>41</v>
      </c>
      <c r="H67" s="420" t="s">
        <v>123</v>
      </c>
      <c r="I67" s="349" t="s">
        <v>37</v>
      </c>
      <c r="J67" s="420"/>
      <c r="K67" s="379"/>
      <c r="L67" s="422"/>
      <c r="M67" s="418"/>
      <c r="N67" s="436" t="str">
        <f t="shared" si="8"/>
        <v>California</v>
      </c>
      <c r="O67" s="423">
        <v>34</v>
      </c>
      <c r="P67" s="436" t="str">
        <f t="shared" si="7"/>
        <v>1AA UC Davis</v>
      </c>
      <c r="Q67" s="408">
        <v>13</v>
      </c>
      <c r="R67" s="494"/>
      <c r="S67" s="494"/>
      <c r="T67" s="356"/>
      <c r="U67" s="349"/>
      <c r="W67" s="424"/>
      <c r="X67" s="352" t="s">
        <v>404</v>
      </c>
      <c r="Y67" s="425"/>
    </row>
    <row r="68" spans="1:25" ht="16" x14ac:dyDescent="0.8">
      <c r="A68" s="351">
        <v>1</v>
      </c>
      <c r="B68" s="420" t="s">
        <v>34</v>
      </c>
      <c r="C68" s="421">
        <v>44807</v>
      </c>
      <c r="D68" s="414">
        <f>18/24</f>
        <v>0.75</v>
      </c>
      <c r="E68" s="349" t="s">
        <v>95</v>
      </c>
      <c r="F68" s="420" t="s">
        <v>97</v>
      </c>
      <c r="G68" s="349" t="s">
        <v>39</v>
      </c>
      <c r="H68" s="420" t="s">
        <v>182</v>
      </c>
      <c r="I68" s="349" t="s">
        <v>68</v>
      </c>
      <c r="J68" s="420" t="str">
        <f>F68</f>
        <v>Florida Atlantic</v>
      </c>
      <c r="K68" s="379" t="str">
        <f>IF(+J68=H68,F68,H68)</f>
        <v>Ohio</v>
      </c>
      <c r="L68" s="422">
        <v>4</v>
      </c>
      <c r="M68" s="418">
        <v>50</v>
      </c>
      <c r="N68" s="351" t="str">
        <f t="shared" si="8"/>
        <v>Ohio</v>
      </c>
      <c r="O68" s="423">
        <v>41</v>
      </c>
      <c r="P68" s="436" t="str">
        <f t="shared" si="7"/>
        <v>Florida Atlantic</v>
      </c>
      <c r="Q68" s="408">
        <v>38</v>
      </c>
      <c r="R68" s="494" t="str">
        <f>IF(+N68=K68,+N68,IF(+O68-Q68&lt;L68,+K68,+J68))</f>
        <v>Ohio</v>
      </c>
      <c r="S68" s="494" t="str">
        <f>IF(+R68=J68,+K68,+J68)</f>
        <v>Florida Atlantic</v>
      </c>
      <c r="T68" s="356" t="str">
        <f>J68</f>
        <v>Florida Atlantic</v>
      </c>
      <c r="U68" s="665" t="str">
        <f>IF($N68=$J68,IF($O68-$Q68=$L68,"T",IF($R68=T68,"W","L")),IF($R68=T68,"W","L"))</f>
        <v>L</v>
      </c>
      <c r="W68" s="424"/>
      <c r="X68" s="352" t="s">
        <v>404</v>
      </c>
      <c r="Y68" s="425"/>
    </row>
    <row r="69" spans="1:25" ht="16" x14ac:dyDescent="0.8">
      <c r="A69" s="351">
        <v>1</v>
      </c>
      <c r="B69" s="420" t="s">
        <v>34</v>
      </c>
      <c r="C69" s="421">
        <v>44807</v>
      </c>
      <c r="D69" s="414">
        <f>18/24</f>
        <v>0.75</v>
      </c>
      <c r="E69" s="349" t="s">
        <v>446</v>
      </c>
      <c r="F69" s="420" t="s">
        <v>38</v>
      </c>
      <c r="G69" s="349" t="s">
        <v>39</v>
      </c>
      <c r="H69" s="420" t="s">
        <v>202</v>
      </c>
      <c r="I69" s="349" t="s">
        <v>37</v>
      </c>
      <c r="J69" s="420" t="str">
        <f>H69</f>
        <v>Southern Cal</v>
      </c>
      <c r="K69" s="379" t="str">
        <f>IF(+J69=H69,F69,H69)</f>
        <v>Rice</v>
      </c>
      <c r="L69" s="422">
        <v>32.5</v>
      </c>
      <c r="M69" s="418">
        <v>61.5</v>
      </c>
      <c r="N69" s="351" t="str">
        <f t="shared" si="8"/>
        <v>Southern Cal</v>
      </c>
      <c r="O69" s="423">
        <v>66</v>
      </c>
      <c r="P69" s="436" t="str">
        <f t="shared" si="7"/>
        <v>Rice</v>
      </c>
      <c r="Q69" s="408">
        <v>14</v>
      </c>
      <c r="R69" s="494" t="str">
        <f>IF(+N69=K69,+N69,IF(+O69-Q69&lt;L69,+K69,+J69))</f>
        <v>Southern Cal</v>
      </c>
      <c r="S69" s="494" t="str">
        <f>IF(+R69=J69,+K69,+J69)</f>
        <v>Rice</v>
      </c>
      <c r="T69" s="356" t="str">
        <f>J69</f>
        <v>Southern Cal</v>
      </c>
      <c r="U69" s="665" t="str">
        <f>IF($N69=$J69,IF($O69-$Q69=$L69,"T",IF($R69=T69,"W","L")),IF($R69=T69,"W","L"))</f>
        <v>W</v>
      </c>
      <c r="W69" s="424"/>
      <c r="X69" s="352" t="s">
        <v>404</v>
      </c>
      <c r="Y69" s="425"/>
    </row>
    <row r="70" spans="1:25" ht="16" x14ac:dyDescent="0.8">
      <c r="A70" s="351">
        <v>1</v>
      </c>
      <c r="B70" s="420" t="s">
        <v>34</v>
      </c>
      <c r="C70" s="421">
        <v>44807</v>
      </c>
      <c r="D70" s="414">
        <f>18/24</f>
        <v>0.75</v>
      </c>
      <c r="E70" s="349"/>
      <c r="F70" s="420" t="s">
        <v>165</v>
      </c>
      <c r="G70" s="349" t="s">
        <v>39</v>
      </c>
      <c r="H70" s="420" t="s">
        <v>442</v>
      </c>
      <c r="I70" s="349" t="s">
        <v>59</v>
      </c>
      <c r="J70" s="420" t="str">
        <f>H70</f>
        <v>James Madison</v>
      </c>
      <c r="K70" s="379" t="str">
        <f>IF(+J70=H70,F70,H70)</f>
        <v>Middle Tenn St</v>
      </c>
      <c r="L70" s="422">
        <v>5.5</v>
      </c>
      <c r="M70" s="418">
        <v>58</v>
      </c>
      <c r="N70" s="351" t="str">
        <f t="shared" si="8"/>
        <v>James Madison</v>
      </c>
      <c r="O70" s="423">
        <v>44</v>
      </c>
      <c r="P70" s="436" t="str">
        <f t="shared" ref="P70:P97" si="9">IF(+N70=H70,F70,H70)</f>
        <v>Middle Tenn St</v>
      </c>
      <c r="Q70" s="408">
        <v>7</v>
      </c>
      <c r="R70" s="494" t="str">
        <f>IF(+N70=K70,+N70,IF(+O70-Q70&lt;L70,+K70,+J70))</f>
        <v>James Madison</v>
      </c>
      <c r="S70" s="494" t="str">
        <f>IF(+R70=J70,+K70,+J70)</f>
        <v>Middle Tenn St</v>
      </c>
      <c r="T70" s="356" t="str">
        <f>J70</f>
        <v>James Madison</v>
      </c>
      <c r="U70" s="665" t="str">
        <f>IF($N70=$J70,IF($O70-$Q70=$L70,"T",IF($R70=T70,"W","L")),IF($R70=T70,"W","L"))</f>
        <v>W</v>
      </c>
      <c r="W70" s="424"/>
      <c r="X70" s="352" t="s">
        <v>404</v>
      </c>
      <c r="Y70" s="425"/>
    </row>
    <row r="71" spans="1:25" ht="16" x14ac:dyDescent="0.8">
      <c r="A71" s="351">
        <v>1</v>
      </c>
      <c r="B71" s="420" t="s">
        <v>34</v>
      </c>
      <c r="C71" s="421">
        <v>44807</v>
      </c>
      <c r="D71" s="414">
        <f>19/24</f>
        <v>0.79166666666666663</v>
      </c>
      <c r="E71" s="349"/>
      <c r="F71" s="420" t="s">
        <v>46</v>
      </c>
      <c r="G71" s="349" t="s">
        <v>43</v>
      </c>
      <c r="H71" s="420" t="s">
        <v>112</v>
      </c>
      <c r="I71" s="349" t="s">
        <v>50</v>
      </c>
      <c r="J71" s="420" t="str">
        <f>H71</f>
        <v>Tulane</v>
      </c>
      <c r="K71" s="379" t="str">
        <f>IF(+J71=H71,F71,H71)</f>
        <v>Massachusetts</v>
      </c>
      <c r="L71" s="422">
        <v>29</v>
      </c>
      <c r="M71" s="418">
        <v>59</v>
      </c>
      <c r="N71" s="351" t="str">
        <f t="shared" si="8"/>
        <v>Tulane</v>
      </c>
      <c r="O71" s="423">
        <v>42</v>
      </c>
      <c r="P71" s="436" t="str">
        <f t="shared" si="9"/>
        <v>Massachusetts</v>
      </c>
      <c r="Q71" s="408">
        <v>10</v>
      </c>
      <c r="R71" s="494" t="str">
        <f>IF(+N71=K71,+N71,IF(+O71-Q71&lt;L71,+K71,+J71))</f>
        <v>Tulane</v>
      </c>
      <c r="S71" s="494" t="str">
        <f>IF(+R71=J71,+K71,+J71)</f>
        <v>Massachusetts</v>
      </c>
      <c r="T71" s="356" t="str">
        <f>K71</f>
        <v>Massachusetts</v>
      </c>
      <c r="U71" s="665" t="str">
        <f>IF($N71=$J71,IF($O71-$Q71=$L71,"T",IF($R71=T71,"W","L")),IF($R71=T71,"W","L"))</f>
        <v>L</v>
      </c>
      <c r="W71" s="424"/>
      <c r="X71" s="352" t="s">
        <v>404</v>
      </c>
      <c r="Y71" s="425"/>
    </row>
    <row r="72" spans="1:25" ht="16" x14ac:dyDescent="0.8">
      <c r="A72" s="351">
        <v>1</v>
      </c>
      <c r="B72" s="420" t="s">
        <v>34</v>
      </c>
      <c r="C72" s="421">
        <v>44807</v>
      </c>
      <c r="D72" s="414">
        <f>20/24</f>
        <v>0.83333333333333337</v>
      </c>
      <c r="E72" s="349"/>
      <c r="F72" s="420" t="s">
        <v>253</v>
      </c>
      <c r="G72" s="349" t="s">
        <v>41</v>
      </c>
      <c r="H72" s="420" t="s">
        <v>36</v>
      </c>
      <c r="I72" s="349" t="s">
        <v>37</v>
      </c>
      <c r="J72" s="420"/>
      <c r="K72" s="379"/>
      <c r="L72" s="422"/>
      <c r="M72" s="418"/>
      <c r="N72" s="436" t="str">
        <f t="shared" si="8"/>
        <v>Stanford</v>
      </c>
      <c r="O72" s="423">
        <v>41</v>
      </c>
      <c r="P72" s="436" t="str">
        <f t="shared" si="9"/>
        <v>1AA Colgate</v>
      </c>
      <c r="Q72" s="408">
        <v>10</v>
      </c>
      <c r="R72" s="494"/>
      <c r="S72" s="494"/>
      <c r="T72" s="356"/>
      <c r="U72" s="349"/>
      <c r="W72" s="424"/>
      <c r="X72" s="352" t="s">
        <v>404</v>
      </c>
      <c r="Y72" s="425"/>
    </row>
    <row r="73" spans="1:25" ht="16" x14ac:dyDescent="0.8">
      <c r="A73" s="351">
        <v>1</v>
      </c>
      <c r="B73" s="420" t="s">
        <v>34</v>
      </c>
      <c r="C73" s="421">
        <v>44807</v>
      </c>
      <c r="D73" s="414">
        <f>19/24</f>
        <v>0.79166666666666663</v>
      </c>
      <c r="E73" s="349"/>
      <c r="F73" s="420" t="s">
        <v>99</v>
      </c>
      <c r="G73" s="349" t="s">
        <v>43</v>
      </c>
      <c r="H73" s="420" t="s">
        <v>205</v>
      </c>
      <c r="I73" s="349" t="s">
        <v>59</v>
      </c>
      <c r="J73" s="420" t="str">
        <f>H73</f>
        <v>Coastal Carolina</v>
      </c>
      <c r="K73" s="379" t="str">
        <f>IF(+J73=H73,F73,H73)</f>
        <v>Army</v>
      </c>
      <c r="L73" s="422">
        <v>2.5</v>
      </c>
      <c r="M73" s="418">
        <v>53.5</v>
      </c>
      <c r="N73" s="351" t="str">
        <f t="shared" si="8"/>
        <v>Coastal Carolina</v>
      </c>
      <c r="O73" s="423">
        <v>38</v>
      </c>
      <c r="P73" s="436" t="str">
        <f t="shared" si="9"/>
        <v>Army</v>
      </c>
      <c r="Q73" s="408">
        <v>28</v>
      </c>
      <c r="R73" s="494" t="str">
        <f>IF(+N73=K73,+N73,IF(+O73-Q73&lt;L73,+K73,+J73))</f>
        <v>Coastal Carolina</v>
      </c>
      <c r="S73" s="494" t="str">
        <f>IF(+R73=J73,+K73,+J73)</f>
        <v>Army</v>
      </c>
      <c r="T73" s="356" t="str">
        <f>K73</f>
        <v>Army</v>
      </c>
      <c r="U73" s="665" t="str">
        <f>IF($N73=$J73,IF($O73-$Q73=$L73,"T",IF($R73=T73,"W","L")),IF($R73=T73,"W","L"))</f>
        <v>L</v>
      </c>
      <c r="W73" s="424"/>
      <c r="X73" s="352" t="s">
        <v>404</v>
      </c>
      <c r="Y73" s="425"/>
    </row>
    <row r="74" spans="1:25" ht="16" x14ac:dyDescent="0.8">
      <c r="A74" s="351">
        <v>1</v>
      </c>
      <c r="B74" s="420" t="s">
        <v>34</v>
      </c>
      <c r="C74" s="421">
        <v>44807</v>
      </c>
      <c r="D74" s="414">
        <f>19/24</f>
        <v>0.79166666666666663</v>
      </c>
      <c r="E74" s="349"/>
      <c r="F74" s="420" t="s">
        <v>306</v>
      </c>
      <c r="G74" s="349" t="s">
        <v>43</v>
      </c>
      <c r="H74" s="420" t="s">
        <v>171</v>
      </c>
      <c r="I74" s="349" t="s">
        <v>59</v>
      </c>
      <c r="J74" s="420" t="str">
        <f>F74</f>
        <v>Liberty</v>
      </c>
      <c r="K74" s="379" t="str">
        <f>IF(+J74=H74,F74,H74)</f>
        <v>Southern Miss</v>
      </c>
      <c r="L74" s="422">
        <v>3.5</v>
      </c>
      <c r="M74" s="418">
        <v>49.5</v>
      </c>
      <c r="N74" s="436" t="str">
        <f>F74</f>
        <v>Liberty</v>
      </c>
      <c r="O74" s="423">
        <v>29</v>
      </c>
      <c r="P74" s="436" t="str">
        <f t="shared" si="9"/>
        <v>Southern Miss</v>
      </c>
      <c r="Q74" s="408">
        <v>27</v>
      </c>
      <c r="R74" s="494" t="str">
        <f>IF(+N74=K74,+N74,IF(+O74-Q74&lt;L74,+K74,+J74))</f>
        <v>Southern Miss</v>
      </c>
      <c r="S74" s="494" t="str">
        <f>IF(+R74=J74,+K74,+J74)</f>
        <v>Liberty</v>
      </c>
      <c r="T74" s="356" t="str">
        <f>J74</f>
        <v>Liberty</v>
      </c>
      <c r="U74" s="665" t="str">
        <f>IF($N74=$J74,IF($O74-$Q74=$L74,"T",IF($R74=T74,"W","L")),IF($R74=T74,"W","L"))</f>
        <v>L</v>
      </c>
      <c r="W74" s="424"/>
      <c r="X74" s="352" t="s">
        <v>404</v>
      </c>
      <c r="Y74" s="425"/>
    </row>
    <row r="75" spans="1:25" ht="16" x14ac:dyDescent="0.8">
      <c r="A75" s="351">
        <v>1</v>
      </c>
      <c r="B75" s="420" t="s">
        <v>34</v>
      </c>
      <c r="C75" s="421">
        <v>44807</v>
      </c>
      <c r="D75" s="414">
        <f>21.5/24</f>
        <v>0.89583333333333337</v>
      </c>
      <c r="E75" s="349" t="s">
        <v>446</v>
      </c>
      <c r="F75" s="420" t="s">
        <v>393</v>
      </c>
      <c r="G75" s="349" t="s">
        <v>41</v>
      </c>
      <c r="H75" s="420" t="s">
        <v>204</v>
      </c>
      <c r="I75" s="349" t="s">
        <v>37</v>
      </c>
      <c r="J75" s="420"/>
      <c r="K75" s="379"/>
      <c r="L75" s="422"/>
      <c r="M75" s="418"/>
      <c r="N75" s="436" t="str">
        <f t="shared" ref="N75:N81" si="10">H75</f>
        <v>Washington State</v>
      </c>
      <c r="O75" s="423">
        <v>24</v>
      </c>
      <c r="P75" s="436" t="str">
        <f t="shared" si="9"/>
        <v>1AA Idaho</v>
      </c>
      <c r="Q75" s="408">
        <v>17</v>
      </c>
      <c r="R75" s="494"/>
      <c r="S75" s="494"/>
      <c r="T75" s="356"/>
      <c r="U75" s="349"/>
      <c r="W75" s="424"/>
      <c r="X75" s="352" t="s">
        <v>404</v>
      </c>
      <c r="Y75" s="425"/>
    </row>
    <row r="76" spans="1:25" ht="16" x14ac:dyDescent="0.8">
      <c r="A76" s="351">
        <v>1</v>
      </c>
      <c r="B76" s="420" t="s">
        <v>34</v>
      </c>
      <c r="C76" s="421">
        <v>44807</v>
      </c>
      <c r="D76" s="414">
        <f>19/24</f>
        <v>0.79166666666666663</v>
      </c>
      <c r="E76" s="349" t="s">
        <v>35</v>
      </c>
      <c r="F76" s="420" t="s">
        <v>81</v>
      </c>
      <c r="G76" s="349" t="s">
        <v>37</v>
      </c>
      <c r="H76" s="420" t="s">
        <v>136</v>
      </c>
      <c r="I76" s="349" t="s">
        <v>85</v>
      </c>
      <c r="J76" s="420" t="str">
        <f>F76</f>
        <v>Utah</v>
      </c>
      <c r="K76" s="379" t="str">
        <f>IF(+J76=H76,F76,H76)</f>
        <v>Florida</v>
      </c>
      <c r="L76" s="422">
        <v>3</v>
      </c>
      <c r="M76" s="418">
        <v>51</v>
      </c>
      <c r="N76" s="436" t="str">
        <f t="shared" si="10"/>
        <v>Florida</v>
      </c>
      <c r="O76" s="423">
        <v>29</v>
      </c>
      <c r="P76" s="436" t="str">
        <f t="shared" si="9"/>
        <v>Utah</v>
      </c>
      <c r="Q76" s="408">
        <v>26</v>
      </c>
      <c r="R76" s="494" t="str">
        <f>IF(+N76=K76,+N76,IF(+O76-Q76&lt;L76,+K76,+J76))</f>
        <v>Florida</v>
      </c>
      <c r="S76" s="494" t="str">
        <f>IF(+R76=J76,+K76,+J76)</f>
        <v>Utah</v>
      </c>
      <c r="T76" s="356" t="str">
        <f>J76</f>
        <v>Utah</v>
      </c>
      <c r="U76" s="665" t="str">
        <f>IF($N76=$J76,IF($O76-$Q76=$L76,"T",IF($R76=T76,"W","L")),IF($R76=T76,"W","L"))</f>
        <v>L</v>
      </c>
      <c r="W76" s="424"/>
      <c r="X76" s="352" t="s">
        <v>404</v>
      </c>
      <c r="Y76" s="425"/>
    </row>
    <row r="77" spans="1:25" ht="16" x14ac:dyDescent="0.8">
      <c r="A77" s="351">
        <v>1</v>
      </c>
      <c r="B77" s="420" t="s">
        <v>34</v>
      </c>
      <c r="C77" s="421">
        <v>414067</v>
      </c>
      <c r="D77" s="414">
        <f>19/24</f>
        <v>0.79166666666666663</v>
      </c>
      <c r="E77" s="349" t="s">
        <v>53</v>
      </c>
      <c r="F77" s="420" t="s">
        <v>111</v>
      </c>
      <c r="G77" s="349" t="s">
        <v>41</v>
      </c>
      <c r="H77" s="420" t="s">
        <v>140</v>
      </c>
      <c r="I77" s="349" t="s">
        <v>59</v>
      </c>
      <c r="J77" s="420"/>
      <c r="K77" s="379"/>
      <c r="L77" s="422"/>
      <c r="M77" s="418"/>
      <c r="N77" s="351" t="str">
        <f t="shared" si="10"/>
        <v>Arkansas State</v>
      </c>
      <c r="O77" s="423">
        <v>58</v>
      </c>
      <c r="P77" s="436" t="str">
        <f t="shared" si="9"/>
        <v>1AA Grambling</v>
      </c>
      <c r="Q77" s="408">
        <v>3</v>
      </c>
      <c r="R77" s="494"/>
      <c r="S77" s="494"/>
      <c r="T77" s="356"/>
      <c r="U77" s="349"/>
      <c r="W77" s="424"/>
      <c r="X77" s="352" t="s">
        <v>404</v>
      </c>
      <c r="Y77" s="425"/>
    </row>
    <row r="78" spans="1:25" ht="16" x14ac:dyDescent="0.8">
      <c r="A78" s="351">
        <v>1</v>
      </c>
      <c r="B78" s="420" t="s">
        <v>34</v>
      </c>
      <c r="C78" s="421">
        <v>44807</v>
      </c>
      <c r="D78" s="414">
        <f>19/24</f>
        <v>0.79166666666666663</v>
      </c>
      <c r="E78" s="349" t="s">
        <v>85</v>
      </c>
      <c r="F78" s="420" t="s">
        <v>162</v>
      </c>
      <c r="G78" s="349" t="s">
        <v>68</v>
      </c>
      <c r="H78" s="420" t="s">
        <v>170</v>
      </c>
      <c r="I78" s="349" t="s">
        <v>85</v>
      </c>
      <c r="J78" s="420" t="str">
        <f>H78</f>
        <v>Kentucky</v>
      </c>
      <c r="K78" s="379" t="str">
        <f>IF(+J78=H78,F78,H78)</f>
        <v>Miami (OH)</v>
      </c>
      <c r="L78" s="422">
        <v>16</v>
      </c>
      <c r="M78" s="418">
        <v>53.5</v>
      </c>
      <c r="N78" s="436" t="str">
        <f t="shared" si="10"/>
        <v>Kentucky</v>
      </c>
      <c r="O78" s="423">
        <v>37</v>
      </c>
      <c r="P78" s="436" t="str">
        <f t="shared" si="9"/>
        <v>Miami (OH)</v>
      </c>
      <c r="Q78" s="408">
        <v>13</v>
      </c>
      <c r="R78" s="494" t="str">
        <f>IF(+N78=K78,+N78,IF(+O78-Q78&lt;L78,+K78,+J78))</f>
        <v>Kentucky</v>
      </c>
      <c r="S78" s="494" t="str">
        <f>IF(+R78=J78,+K78,+J78)</f>
        <v>Miami (OH)</v>
      </c>
      <c r="T78" s="356" t="str">
        <f>J78</f>
        <v>Kentucky</v>
      </c>
      <c r="U78" s="665" t="str">
        <f>IF($N78=$J78,IF($O78-$Q78=$L78,"T",IF($R78=T78,"W","L")),IF($R78=T78,"W","L"))</f>
        <v>W</v>
      </c>
      <c r="W78" s="424"/>
      <c r="X78" s="352" t="s">
        <v>404</v>
      </c>
      <c r="Y78" s="425"/>
    </row>
    <row r="79" spans="1:25" ht="16" x14ac:dyDescent="0.8">
      <c r="A79" s="351">
        <v>1</v>
      </c>
      <c r="B79" s="420" t="s">
        <v>34</v>
      </c>
      <c r="C79" s="421">
        <v>414067</v>
      </c>
      <c r="D79" s="414">
        <f>18/24</f>
        <v>0.75</v>
      </c>
      <c r="E79" s="349" t="s">
        <v>53</v>
      </c>
      <c r="F79" s="420" t="s">
        <v>250</v>
      </c>
      <c r="G79" s="349" t="s">
        <v>41</v>
      </c>
      <c r="H79" s="420" t="s">
        <v>210</v>
      </c>
      <c r="I79" s="349" t="s">
        <v>59</v>
      </c>
      <c r="J79" s="420"/>
      <c r="K79" s="379"/>
      <c r="L79" s="422"/>
      <c r="M79" s="418"/>
      <c r="N79" s="351" t="str">
        <f t="shared" si="10"/>
        <v>Georgia Southern</v>
      </c>
      <c r="O79" s="423">
        <v>59</v>
      </c>
      <c r="P79" s="436" t="str">
        <f t="shared" si="9"/>
        <v>1AA Morgan State</v>
      </c>
      <c r="Q79" s="408">
        <v>7</v>
      </c>
      <c r="R79" s="494"/>
      <c r="S79" s="494"/>
      <c r="T79" s="356"/>
      <c r="U79" s="349"/>
      <c r="W79" s="424"/>
      <c r="X79" s="352" t="s">
        <v>404</v>
      </c>
      <c r="Y79" s="425"/>
    </row>
    <row r="80" spans="1:25" ht="16" x14ac:dyDescent="0.8">
      <c r="A80" s="351">
        <v>1</v>
      </c>
      <c r="B80" s="420" t="s">
        <v>34</v>
      </c>
      <c r="C80" s="421">
        <v>44807</v>
      </c>
      <c r="D80" s="414">
        <f>19.5/24</f>
        <v>0.8125</v>
      </c>
      <c r="E80" s="349" t="s">
        <v>135</v>
      </c>
      <c r="F80" s="420" t="s">
        <v>181</v>
      </c>
      <c r="G80" s="349" t="s">
        <v>43</v>
      </c>
      <c r="H80" s="420" t="s">
        <v>63</v>
      </c>
      <c r="I80" s="349" t="s">
        <v>64</v>
      </c>
      <c r="J80" s="420" t="str">
        <f>H80</f>
        <v>Ohio State</v>
      </c>
      <c r="K80" s="379" t="str">
        <f>IF(+J80=H80,F80,H80)</f>
        <v>Notre Dame</v>
      </c>
      <c r="L80" s="422">
        <v>17</v>
      </c>
      <c r="M80" s="418">
        <v>58.5</v>
      </c>
      <c r="N80" s="351" t="str">
        <f t="shared" si="10"/>
        <v>Ohio State</v>
      </c>
      <c r="O80" s="423">
        <v>21</v>
      </c>
      <c r="P80" s="436" t="str">
        <f t="shared" si="9"/>
        <v>Notre Dame</v>
      </c>
      <c r="Q80" s="408">
        <v>10</v>
      </c>
      <c r="R80" s="494" t="str">
        <f>IF(+N80=K80,+N80,IF(+O80-Q80&lt;L80,+K80,+J80))</f>
        <v>Notre Dame</v>
      </c>
      <c r="S80" s="494" t="str">
        <f>IF(+R80=J80,+K80,+J80)</f>
        <v>Ohio State</v>
      </c>
      <c r="T80" s="356" t="str">
        <f>K80</f>
        <v>Notre Dame</v>
      </c>
      <c r="U80" s="665" t="str">
        <f>IF($N80=$J80,IF($O80-$Q80=$L80,"T",IF($R80=T80,"W","L")),IF($R80=T80,"W","L"))</f>
        <v>W</v>
      </c>
      <c r="W80" s="424"/>
      <c r="X80" s="352" t="s">
        <v>404</v>
      </c>
      <c r="Y80" s="425"/>
    </row>
    <row r="81" spans="1:25" ht="16" x14ac:dyDescent="0.8">
      <c r="A81" s="351">
        <v>1</v>
      </c>
      <c r="B81" s="420" t="s">
        <v>34</v>
      </c>
      <c r="C81" s="421">
        <v>44807</v>
      </c>
      <c r="D81" s="414">
        <f>15.5/24</f>
        <v>0.64583333333333337</v>
      </c>
      <c r="E81" s="349" t="s">
        <v>53</v>
      </c>
      <c r="F81" s="420" t="s">
        <v>275</v>
      </c>
      <c r="G81" s="349" t="s">
        <v>41</v>
      </c>
      <c r="H81" s="420" t="s">
        <v>163</v>
      </c>
      <c r="I81" s="349" t="s">
        <v>59</v>
      </c>
      <c r="J81" s="420"/>
      <c r="K81" s="379"/>
      <c r="L81" s="422"/>
      <c r="M81" s="418"/>
      <c r="N81" s="351" t="str">
        <f t="shared" si="10"/>
        <v>Marshall</v>
      </c>
      <c r="O81" s="423">
        <v>55</v>
      </c>
      <c r="P81" s="436" t="str">
        <f t="shared" si="9"/>
        <v>1AA Norfolk St</v>
      </c>
      <c r="Q81" s="408">
        <v>3</v>
      </c>
      <c r="R81" s="494"/>
      <c r="S81" s="494"/>
      <c r="T81" s="356"/>
      <c r="U81" s="349"/>
      <c r="W81" s="424"/>
      <c r="X81" s="352" t="s">
        <v>404</v>
      </c>
      <c r="Y81" s="425"/>
    </row>
    <row r="82" spans="1:25" ht="16" x14ac:dyDescent="0.8">
      <c r="A82" s="351">
        <v>1</v>
      </c>
      <c r="B82" s="420" t="s">
        <v>34</v>
      </c>
      <c r="C82" s="421">
        <v>44807</v>
      </c>
      <c r="D82" s="414">
        <f>19.5/24</f>
        <v>0.8125</v>
      </c>
      <c r="E82" s="349" t="s">
        <v>445</v>
      </c>
      <c r="F82" s="420" t="s">
        <v>109</v>
      </c>
      <c r="G82" s="349" t="s">
        <v>50</v>
      </c>
      <c r="H82" s="420" t="s">
        <v>167</v>
      </c>
      <c r="I82" s="349" t="s">
        <v>39</v>
      </c>
      <c r="J82" s="420" t="str">
        <f>F82</f>
        <v>SMU</v>
      </c>
      <c r="K82" s="379" t="str">
        <f>IF(+J82=H82,F82,H82)</f>
        <v>North Texas</v>
      </c>
      <c r="L82" s="422">
        <v>11</v>
      </c>
      <c r="M82" s="418">
        <v>68</v>
      </c>
      <c r="N82" s="351" t="str">
        <f>F82</f>
        <v>SMU</v>
      </c>
      <c r="O82" s="423">
        <v>48</v>
      </c>
      <c r="P82" s="436" t="str">
        <f t="shared" si="9"/>
        <v>North Texas</v>
      </c>
      <c r="Q82" s="408">
        <v>10</v>
      </c>
      <c r="R82" s="494" t="str">
        <f>IF(+N82=K82,+N82,IF(+O82-Q82&lt;L82,+K82,+J82))</f>
        <v>SMU</v>
      </c>
      <c r="S82" s="494" t="str">
        <f>IF(+R82=J82,+K82,+J82)</f>
        <v>North Texas</v>
      </c>
      <c r="T82" s="356" t="str">
        <f>J82</f>
        <v>SMU</v>
      </c>
      <c r="U82" s="665" t="str">
        <f>IF($N82=$J82,IF($O82-$Q82=$L82,"T",IF($R82=T82,"W","L")),IF($R82=T82,"W","L"))</f>
        <v>W</v>
      </c>
      <c r="V82" s="352" t="str">
        <f>UPPER(+F82)</f>
        <v>SMU</v>
      </c>
      <c r="W82" s="424">
        <v>35</v>
      </c>
      <c r="X82" s="352" t="str">
        <f>LOWER(+H82)</f>
        <v>north texas</v>
      </c>
      <c r="Y82" s="425">
        <v>12</v>
      </c>
    </row>
    <row r="83" spans="1:25" ht="16" x14ac:dyDescent="0.8">
      <c r="A83" s="351">
        <v>1</v>
      </c>
      <c r="B83" s="420" t="s">
        <v>34</v>
      </c>
      <c r="C83" s="421">
        <v>414067</v>
      </c>
      <c r="D83" s="414">
        <f>17/24</f>
        <v>0.70833333333333337</v>
      </c>
      <c r="E83" s="349" t="s">
        <v>53</v>
      </c>
      <c r="F83" s="420" t="s">
        <v>248</v>
      </c>
      <c r="G83" s="349" t="s">
        <v>41</v>
      </c>
      <c r="H83" s="420" t="s">
        <v>214</v>
      </c>
      <c r="I83" s="349" t="s">
        <v>59</v>
      </c>
      <c r="J83" s="420"/>
      <c r="K83" s="379"/>
      <c r="L83" s="422"/>
      <c r="M83" s="418"/>
      <c r="N83" s="351" t="str">
        <f t="shared" ref="N83:N92" si="11">H83</f>
        <v>South Alabama</v>
      </c>
      <c r="O83" s="423">
        <v>48</v>
      </c>
      <c r="P83" s="436" t="str">
        <f t="shared" si="9"/>
        <v>1AA Nicholls State</v>
      </c>
      <c r="Q83" s="408">
        <v>7</v>
      </c>
      <c r="R83" s="494"/>
      <c r="S83" s="494"/>
      <c r="T83" s="356"/>
      <c r="U83" s="349"/>
      <c r="W83" s="424"/>
      <c r="X83" s="352" t="s">
        <v>404</v>
      </c>
      <c r="Y83" s="425"/>
    </row>
    <row r="84" spans="1:25" ht="16" x14ac:dyDescent="0.8">
      <c r="A84" s="351">
        <v>1</v>
      </c>
      <c r="B84" s="420" t="s">
        <v>34</v>
      </c>
      <c r="C84" s="421">
        <v>44807</v>
      </c>
      <c r="D84" s="414">
        <f>19.5/24</f>
        <v>0.8125</v>
      </c>
      <c r="E84" s="349" t="s">
        <v>85</v>
      </c>
      <c r="F84" s="420" t="s">
        <v>93</v>
      </c>
      <c r="G84" s="349" t="s">
        <v>45</v>
      </c>
      <c r="H84" s="420" t="s">
        <v>116</v>
      </c>
      <c r="I84" s="349" t="s">
        <v>85</v>
      </c>
      <c r="J84" s="420" t="str">
        <f>H84</f>
        <v>Alabama</v>
      </c>
      <c r="K84" s="379" t="str">
        <f>IF(+J84=H84,F84,H84)</f>
        <v>Utah State</v>
      </c>
      <c r="L84" s="422">
        <v>42</v>
      </c>
      <c r="M84" s="418">
        <v>62.5</v>
      </c>
      <c r="N84" s="436" t="str">
        <f t="shared" si="11"/>
        <v>Alabama</v>
      </c>
      <c r="O84" s="423">
        <v>55</v>
      </c>
      <c r="P84" s="436" t="str">
        <f t="shared" si="9"/>
        <v>Utah State</v>
      </c>
      <c r="Q84" s="408">
        <v>0</v>
      </c>
      <c r="R84" s="494" t="str">
        <f>IF(+N84=K84,+N84,IF(+O84-Q84&lt;L84,+K84,+J84))</f>
        <v>Alabama</v>
      </c>
      <c r="S84" s="494" t="str">
        <f>IF(+R84=J84,+K84,+J84)</f>
        <v>Utah State</v>
      </c>
      <c r="T84" s="356" t="str">
        <f>J84</f>
        <v>Alabama</v>
      </c>
      <c r="U84" s="665" t="str">
        <f>IF($N84=$J84,IF($O84-$Q84=$L84,"T",IF($R84=T84,"W","L")),IF($R84=T84,"W","L"))</f>
        <v>W</v>
      </c>
      <c r="W84" s="424"/>
      <c r="X84" s="352" t="s">
        <v>404</v>
      </c>
      <c r="Y84" s="425"/>
    </row>
    <row r="85" spans="1:25" ht="16" x14ac:dyDescent="0.8">
      <c r="A85" s="351">
        <v>1</v>
      </c>
      <c r="B85" s="420" t="s">
        <v>34</v>
      </c>
      <c r="C85" s="421">
        <v>414067</v>
      </c>
      <c r="D85" s="414">
        <f>19/24</f>
        <v>0.79166666666666663</v>
      </c>
      <c r="E85" s="349"/>
      <c r="F85" s="420" t="s">
        <v>208</v>
      </c>
      <c r="G85" s="349" t="s">
        <v>41</v>
      </c>
      <c r="H85" s="420" t="s">
        <v>209</v>
      </c>
      <c r="I85" s="349" t="s">
        <v>59</v>
      </c>
      <c r="J85" s="420"/>
      <c r="K85" s="379"/>
      <c r="L85" s="422"/>
      <c r="M85" s="418"/>
      <c r="N85" s="351" t="str">
        <f t="shared" si="11"/>
        <v>UL Lafayette</v>
      </c>
      <c r="O85" s="423">
        <v>24</v>
      </c>
      <c r="P85" s="436" t="str">
        <f t="shared" si="9"/>
        <v>1AA Southeastern Louisiana</v>
      </c>
      <c r="Q85" s="408">
        <v>7</v>
      </c>
      <c r="R85" s="494"/>
      <c r="S85" s="494"/>
      <c r="T85" s="356"/>
      <c r="U85" s="349"/>
      <c r="W85" s="424"/>
      <c r="X85" s="352" t="s">
        <v>404</v>
      </c>
      <c r="Y85" s="425"/>
    </row>
    <row r="86" spans="1:25" ht="16" x14ac:dyDescent="0.8">
      <c r="A86" s="351">
        <v>1</v>
      </c>
      <c r="B86" s="420" t="s">
        <v>34</v>
      </c>
      <c r="C86" s="421">
        <v>44807</v>
      </c>
      <c r="D86" s="414">
        <f>19.5/24</f>
        <v>0.8125</v>
      </c>
      <c r="E86" s="349" t="s">
        <v>95</v>
      </c>
      <c r="F86" s="420" t="s">
        <v>60</v>
      </c>
      <c r="G86" s="349" t="s">
        <v>50</v>
      </c>
      <c r="H86" s="420" t="s">
        <v>217</v>
      </c>
      <c r="I86" s="349" t="s">
        <v>85</v>
      </c>
      <c r="J86" s="420" t="str">
        <f>H86</f>
        <v>Mississippi State</v>
      </c>
      <c r="K86" s="379" t="str">
        <f>IF(+J86=H86,F86,H86)</f>
        <v>Memphis</v>
      </c>
      <c r="L86" s="422">
        <v>16</v>
      </c>
      <c r="M86" s="418">
        <v>56</v>
      </c>
      <c r="N86" s="351" t="str">
        <f t="shared" si="11"/>
        <v>Mississippi State</v>
      </c>
      <c r="O86" s="423">
        <v>49</v>
      </c>
      <c r="P86" s="436" t="str">
        <f t="shared" si="9"/>
        <v>Memphis</v>
      </c>
      <c r="Q86" s="408">
        <v>23</v>
      </c>
      <c r="R86" s="494" t="str">
        <f>IF(+N86=K86,+N86,IF(+O86-Q86&lt;L86,+K86,+J86))</f>
        <v>Mississippi State</v>
      </c>
      <c r="S86" s="494" t="str">
        <f>IF(+R86=J86,+K86,+J86)</f>
        <v>Memphis</v>
      </c>
      <c r="T86" s="356" t="str">
        <f>J86</f>
        <v>Mississippi State</v>
      </c>
      <c r="U86" s="665" t="str">
        <f>IF($N86=$J86,IF($O86-$Q86=$L86,"T",IF($R86=T86,"W","L")),IF($R86=T86,"W","L"))</f>
        <v>W</v>
      </c>
      <c r="V86" s="352" t="str">
        <f>UPPER(+F86)</f>
        <v>MEMPHIS</v>
      </c>
      <c r="W86" s="424">
        <v>31</v>
      </c>
      <c r="X86" s="352" t="str">
        <f>LOWER(+H86)</f>
        <v>mississippi state</v>
      </c>
      <c r="Y86" s="425">
        <v>29</v>
      </c>
    </row>
    <row r="87" spans="1:25" ht="16" x14ac:dyDescent="0.8">
      <c r="A87" s="351">
        <v>1</v>
      </c>
      <c r="B87" s="420" t="s">
        <v>34</v>
      </c>
      <c r="C87" s="421">
        <v>44807</v>
      </c>
      <c r="D87" s="414">
        <f>19.5/24</f>
        <v>0.8125</v>
      </c>
      <c r="E87" s="349" t="s">
        <v>85</v>
      </c>
      <c r="F87" s="420" t="s">
        <v>84</v>
      </c>
      <c r="G87" s="349" t="s">
        <v>59</v>
      </c>
      <c r="H87" s="420" t="s">
        <v>125</v>
      </c>
      <c r="I87" s="349" t="s">
        <v>85</v>
      </c>
      <c r="J87" s="420" t="str">
        <f>H87</f>
        <v>South Carolina</v>
      </c>
      <c r="K87" s="379" t="str">
        <f>IF(+J87=H87,F87,H87)</f>
        <v>Georgia State</v>
      </c>
      <c r="L87" s="422">
        <v>13</v>
      </c>
      <c r="M87" s="418">
        <v>57</v>
      </c>
      <c r="N87" s="351" t="str">
        <f t="shared" si="11"/>
        <v>South Carolina</v>
      </c>
      <c r="O87" s="423">
        <v>35</v>
      </c>
      <c r="P87" s="436" t="str">
        <f t="shared" si="9"/>
        <v>Georgia State</v>
      </c>
      <c r="Q87" s="408">
        <v>14</v>
      </c>
      <c r="R87" s="494" t="str">
        <f>IF(+N87=K87,+N87,IF(+O87-Q87&lt;L87,+K87,+J87))</f>
        <v>South Carolina</v>
      </c>
      <c r="S87" s="494" t="str">
        <f>IF(+R87=J87,+K87,+J87)</f>
        <v>Georgia State</v>
      </c>
      <c r="T87" s="356" t="str">
        <f>J87</f>
        <v>South Carolina</v>
      </c>
      <c r="U87" s="665" t="str">
        <f>IF($N87=$J87,IF($O87-$Q87=$L87,"T",IF($R87=T87,"W","L")),IF($R87=T87,"W","L"))</f>
        <v>W</v>
      </c>
      <c r="W87" s="424"/>
      <c r="X87" s="352" t="s">
        <v>404</v>
      </c>
      <c r="Y87" s="425"/>
    </row>
    <row r="88" spans="1:25" ht="16" x14ac:dyDescent="0.8">
      <c r="A88" s="351">
        <v>1</v>
      </c>
      <c r="B88" s="420" t="s">
        <v>34</v>
      </c>
      <c r="C88" s="421">
        <v>44807</v>
      </c>
      <c r="D88" s="414">
        <f>19/24</f>
        <v>0.79166666666666663</v>
      </c>
      <c r="E88" s="349" t="s">
        <v>85</v>
      </c>
      <c r="F88" s="420" t="s">
        <v>254</v>
      </c>
      <c r="G88" s="349" t="s">
        <v>41</v>
      </c>
      <c r="H88" s="420" t="s">
        <v>211</v>
      </c>
      <c r="I88" s="349" t="s">
        <v>85</v>
      </c>
      <c r="J88" s="420"/>
      <c r="K88" s="379"/>
      <c r="L88" s="422"/>
      <c r="M88" s="418"/>
      <c r="N88" s="436" t="str">
        <f t="shared" si="11"/>
        <v>Auburn</v>
      </c>
      <c r="O88" s="423">
        <v>42</v>
      </c>
      <c r="P88" s="436" t="str">
        <f t="shared" si="9"/>
        <v>1AA Mercer</v>
      </c>
      <c r="Q88" s="408">
        <v>16</v>
      </c>
      <c r="R88" s="494"/>
      <c r="S88" s="494"/>
      <c r="T88" s="356"/>
      <c r="U88" s="349"/>
      <c r="W88" s="424"/>
      <c r="X88" s="352" t="s">
        <v>404</v>
      </c>
      <c r="Y88" s="425"/>
    </row>
    <row r="89" spans="1:25" ht="16" x14ac:dyDescent="0.8">
      <c r="A89" s="351">
        <v>1</v>
      </c>
      <c r="B89" s="420" t="s">
        <v>34</v>
      </c>
      <c r="C89" s="421">
        <v>44807</v>
      </c>
      <c r="D89" s="414">
        <f>20/24</f>
        <v>0.83333333333333337</v>
      </c>
      <c r="E89" s="349" t="s">
        <v>61</v>
      </c>
      <c r="F89" s="420" t="s">
        <v>120</v>
      </c>
      <c r="G89" s="349" t="s">
        <v>61</v>
      </c>
      <c r="H89" s="420" t="s">
        <v>90</v>
      </c>
      <c r="I89" s="349" t="s">
        <v>61</v>
      </c>
      <c r="J89" s="420" t="str">
        <f>F89</f>
        <v>Louisville</v>
      </c>
      <c r="K89" s="379" t="str">
        <f t="shared" ref="K89:K95" si="12">IF(+J89=H89,F89,H89)</f>
        <v>Syracuse</v>
      </c>
      <c r="L89" s="422">
        <v>5</v>
      </c>
      <c r="M89" s="418">
        <v>56.5</v>
      </c>
      <c r="N89" s="351" t="str">
        <f t="shared" si="11"/>
        <v>Syracuse</v>
      </c>
      <c r="O89" s="423">
        <v>31</v>
      </c>
      <c r="P89" s="436" t="str">
        <f t="shared" si="9"/>
        <v>Louisville</v>
      </c>
      <c r="Q89" s="408">
        <v>7</v>
      </c>
      <c r="R89" s="494" t="str">
        <f t="shared" ref="R89:R95" si="13">IF(+N89=K89,+N89,IF(+O89-Q89&lt;L89,+K89,+J89))</f>
        <v>Syracuse</v>
      </c>
      <c r="S89" s="494" t="str">
        <f t="shared" ref="S89:S95" si="14">IF(+R89=J89,+K89,+J89)</f>
        <v>Louisville</v>
      </c>
      <c r="T89" s="356" t="str">
        <f>J89</f>
        <v>Louisville</v>
      </c>
      <c r="U89" s="665" t="str">
        <f t="shared" ref="U89:U95" si="15">IF($N89=$J89,IF($O89-$Q89=$L89,"T",IF($R89=T89,"W","L")),IF($R89=T89,"W","L"))</f>
        <v>L</v>
      </c>
      <c r="V89" s="352" t="str">
        <f>UPPER(+F89)</f>
        <v>LOUISVILLE</v>
      </c>
      <c r="W89" s="424">
        <v>41</v>
      </c>
      <c r="X89" s="352" t="str">
        <f>LOWER(+H89)</f>
        <v>syracuse</v>
      </c>
      <c r="Y89" s="425">
        <v>3</v>
      </c>
    </row>
    <row r="90" spans="1:25" ht="16" x14ac:dyDescent="0.8">
      <c r="A90" s="351">
        <v>1</v>
      </c>
      <c r="B90" s="420" t="s">
        <v>34</v>
      </c>
      <c r="C90" s="421">
        <v>44807</v>
      </c>
      <c r="D90" s="414">
        <f>20/24</f>
        <v>0.83333333333333337</v>
      </c>
      <c r="E90" s="349"/>
      <c r="F90" s="420" t="s">
        <v>58</v>
      </c>
      <c r="G90" s="349" t="s">
        <v>59</v>
      </c>
      <c r="H90" s="420" t="s">
        <v>157</v>
      </c>
      <c r="I90" s="349" t="s">
        <v>73</v>
      </c>
      <c r="J90" s="420" t="str">
        <f>H90</f>
        <v>Texas</v>
      </c>
      <c r="K90" s="379" t="str">
        <f t="shared" si="12"/>
        <v>UL Monroe</v>
      </c>
      <c r="L90" s="422">
        <v>37.5</v>
      </c>
      <c r="M90" s="418">
        <v>64.5</v>
      </c>
      <c r="N90" s="351" t="str">
        <f t="shared" si="11"/>
        <v>Texas</v>
      </c>
      <c r="O90" s="423">
        <v>52</v>
      </c>
      <c r="P90" s="436" t="str">
        <f t="shared" si="9"/>
        <v>UL Monroe</v>
      </c>
      <c r="Q90" s="408">
        <v>10</v>
      </c>
      <c r="R90" s="494" t="str">
        <f t="shared" si="13"/>
        <v>Texas</v>
      </c>
      <c r="S90" s="494" t="str">
        <f t="shared" si="14"/>
        <v>UL Monroe</v>
      </c>
      <c r="T90" s="356" t="str">
        <f>J90</f>
        <v>Texas</v>
      </c>
      <c r="U90" s="665" t="str">
        <f t="shared" si="15"/>
        <v>W</v>
      </c>
      <c r="W90" s="424"/>
      <c r="X90" s="352" t="s">
        <v>404</v>
      </c>
      <c r="Y90" s="425"/>
    </row>
    <row r="91" spans="1:25" ht="16" x14ac:dyDescent="0.8">
      <c r="A91" s="351">
        <v>1</v>
      </c>
      <c r="B91" s="420" t="s">
        <v>34</v>
      </c>
      <c r="C91" s="421">
        <v>44807</v>
      </c>
      <c r="D91" s="414">
        <f>22.5/24</f>
        <v>0.9375</v>
      </c>
      <c r="E91" s="349" t="s">
        <v>35</v>
      </c>
      <c r="F91" s="420" t="s">
        <v>186</v>
      </c>
      <c r="G91" s="349" t="s">
        <v>45</v>
      </c>
      <c r="H91" s="420" t="s">
        <v>47</v>
      </c>
      <c r="I91" s="349" t="s">
        <v>37</v>
      </c>
      <c r="J91" s="420" t="str">
        <f>H91</f>
        <v>Oregon State</v>
      </c>
      <c r="K91" s="379" t="str">
        <f t="shared" si="12"/>
        <v>Boise State</v>
      </c>
      <c r="L91" s="422">
        <v>2.5</v>
      </c>
      <c r="M91" s="418">
        <v>56.5</v>
      </c>
      <c r="N91" s="436" t="str">
        <f t="shared" si="11"/>
        <v>Oregon State</v>
      </c>
      <c r="O91" s="423">
        <v>34</v>
      </c>
      <c r="P91" s="436" t="str">
        <f t="shared" si="9"/>
        <v>Boise State</v>
      </c>
      <c r="Q91" s="408">
        <v>17</v>
      </c>
      <c r="R91" s="494" t="str">
        <f t="shared" si="13"/>
        <v>Oregon State</v>
      </c>
      <c r="S91" s="494" t="str">
        <f t="shared" si="14"/>
        <v>Boise State</v>
      </c>
      <c r="T91" s="356" t="str">
        <f>K91</f>
        <v>Boise State</v>
      </c>
      <c r="U91" s="665" t="str">
        <f t="shared" si="15"/>
        <v>L</v>
      </c>
      <c r="W91" s="424"/>
      <c r="X91" s="352" t="s">
        <v>404</v>
      </c>
      <c r="Y91" s="425"/>
    </row>
    <row r="92" spans="1:25" ht="16" x14ac:dyDescent="0.8">
      <c r="A92" s="351">
        <v>1</v>
      </c>
      <c r="B92" s="420" t="s">
        <v>34</v>
      </c>
      <c r="C92" s="421">
        <v>44807</v>
      </c>
      <c r="D92" s="414">
        <f>22.5/24</f>
        <v>0.9375</v>
      </c>
      <c r="E92" s="349" t="s">
        <v>70</v>
      </c>
      <c r="F92" s="420" t="s">
        <v>113</v>
      </c>
      <c r="G92" s="349" t="s">
        <v>68</v>
      </c>
      <c r="H92" s="420" t="s">
        <v>91</v>
      </c>
      <c r="I92" s="349" t="s">
        <v>37</v>
      </c>
      <c r="J92" s="420" t="str">
        <f>H92</f>
        <v>Washington</v>
      </c>
      <c r="K92" s="379" t="str">
        <f t="shared" si="12"/>
        <v>Kent State</v>
      </c>
      <c r="L92" s="422">
        <v>23</v>
      </c>
      <c r="M92" s="418">
        <v>59.5</v>
      </c>
      <c r="N92" s="436" t="str">
        <f t="shared" si="11"/>
        <v>Washington</v>
      </c>
      <c r="O92" s="423">
        <v>45</v>
      </c>
      <c r="P92" s="436" t="str">
        <f t="shared" si="9"/>
        <v>Kent State</v>
      </c>
      <c r="Q92" s="408">
        <v>10</v>
      </c>
      <c r="R92" s="494" t="str">
        <f t="shared" si="13"/>
        <v>Washington</v>
      </c>
      <c r="S92" s="494" t="str">
        <f t="shared" si="14"/>
        <v>Kent State</v>
      </c>
      <c r="T92" s="356" t="str">
        <f>K92</f>
        <v>Kent State</v>
      </c>
      <c r="U92" s="665" t="str">
        <f t="shared" si="15"/>
        <v>L</v>
      </c>
      <c r="W92" s="424"/>
      <c r="X92" s="352" t="s">
        <v>404</v>
      </c>
      <c r="Y92" s="425"/>
    </row>
    <row r="93" spans="1:25" ht="16" x14ac:dyDescent="0.8">
      <c r="A93" s="351">
        <v>1</v>
      </c>
      <c r="B93" s="420" t="s">
        <v>34</v>
      </c>
      <c r="C93" s="421">
        <v>44807</v>
      </c>
      <c r="D93" s="414">
        <f>23.99/24</f>
        <v>0.99958333333333327</v>
      </c>
      <c r="E93" s="349"/>
      <c r="F93" s="420" t="s">
        <v>177</v>
      </c>
      <c r="G93" s="349" t="s">
        <v>39</v>
      </c>
      <c r="H93" s="420" t="s">
        <v>44</v>
      </c>
      <c r="I93" s="349" t="s">
        <v>45</v>
      </c>
      <c r="J93" s="420" t="str">
        <f>F93</f>
        <v>Western Kentucky</v>
      </c>
      <c r="K93" s="379" t="str">
        <f t="shared" si="12"/>
        <v>Hawaii</v>
      </c>
      <c r="L93" s="422">
        <v>16</v>
      </c>
      <c r="M93" s="418">
        <v>67.5</v>
      </c>
      <c r="N93" s="436" t="str">
        <f>F93</f>
        <v>Western Kentucky</v>
      </c>
      <c r="O93" s="423">
        <v>49</v>
      </c>
      <c r="P93" s="436" t="str">
        <f t="shared" si="9"/>
        <v>Hawaii</v>
      </c>
      <c r="Q93" s="408">
        <v>17</v>
      </c>
      <c r="R93" s="494" t="str">
        <f t="shared" si="13"/>
        <v>Western Kentucky</v>
      </c>
      <c r="S93" s="494" t="str">
        <f t="shared" si="14"/>
        <v>Hawaii</v>
      </c>
      <c r="T93" s="356" t="str">
        <f>J93</f>
        <v>Western Kentucky</v>
      </c>
      <c r="U93" s="665" t="str">
        <f t="shared" si="15"/>
        <v>W</v>
      </c>
      <c r="W93" s="424"/>
      <c r="X93" s="352" t="s">
        <v>404</v>
      </c>
      <c r="Y93" s="425"/>
    </row>
    <row r="94" spans="1:25" ht="16" x14ac:dyDescent="0.8">
      <c r="A94" s="351">
        <v>1</v>
      </c>
      <c r="B94" s="420" t="s">
        <v>220</v>
      </c>
      <c r="C94" s="421">
        <v>44808</v>
      </c>
      <c r="D94" s="414">
        <f>19.5/24</f>
        <v>0.8125</v>
      </c>
      <c r="E94" s="349" t="s">
        <v>135</v>
      </c>
      <c r="F94" s="420" t="s">
        <v>178</v>
      </c>
      <c r="G94" s="349" t="s">
        <v>85</v>
      </c>
      <c r="H94" s="420" t="s">
        <v>117</v>
      </c>
      <c r="I94" s="349" t="s">
        <v>61</v>
      </c>
      <c r="J94" s="420" t="str">
        <f>F94</f>
        <v>LSU</v>
      </c>
      <c r="K94" s="379" t="str">
        <f t="shared" si="12"/>
        <v>Florida State</v>
      </c>
      <c r="L94" s="422">
        <v>3</v>
      </c>
      <c r="M94" s="418">
        <v>51.5</v>
      </c>
      <c r="N94" s="351" t="str">
        <f>H94</f>
        <v>Florida State</v>
      </c>
      <c r="O94" s="423">
        <v>24</v>
      </c>
      <c r="P94" s="436" t="str">
        <f t="shared" si="9"/>
        <v>LSU</v>
      </c>
      <c r="Q94" s="408">
        <v>23</v>
      </c>
      <c r="R94" s="494" t="str">
        <f t="shared" si="13"/>
        <v>Florida State</v>
      </c>
      <c r="S94" s="494" t="str">
        <f t="shared" si="14"/>
        <v>LSU</v>
      </c>
      <c r="T94" s="356" t="str">
        <f>J94</f>
        <v>LSU</v>
      </c>
      <c r="U94" s="665" t="str">
        <f t="shared" si="15"/>
        <v>L</v>
      </c>
      <c r="W94" s="424"/>
      <c r="X94" s="352" t="s">
        <v>404</v>
      </c>
      <c r="Y94" s="425"/>
    </row>
    <row r="95" spans="1:25" ht="16" x14ac:dyDescent="0.8">
      <c r="A95" s="351">
        <v>1</v>
      </c>
      <c r="B95" s="420" t="s">
        <v>225</v>
      </c>
      <c r="C95" s="421">
        <v>44809</v>
      </c>
      <c r="D95" s="414">
        <f>20/24</f>
        <v>0.83333333333333337</v>
      </c>
      <c r="E95" s="349" t="s">
        <v>35</v>
      </c>
      <c r="F95" s="420" t="s">
        <v>114</v>
      </c>
      <c r="G95" s="349" t="s">
        <v>61</v>
      </c>
      <c r="H95" s="420" t="s">
        <v>227</v>
      </c>
      <c r="I95" s="349" t="s">
        <v>61</v>
      </c>
      <c r="J95" s="420" t="str">
        <f>F95</f>
        <v>Clemson</v>
      </c>
      <c r="K95" s="379" t="str">
        <f t="shared" si="12"/>
        <v>Georgia Tech</v>
      </c>
      <c r="L95" s="422">
        <v>21.5</v>
      </c>
      <c r="M95" s="418">
        <v>48.5</v>
      </c>
      <c r="N95" s="436" t="str">
        <f>F95</f>
        <v>Clemson</v>
      </c>
      <c r="O95" s="423">
        <v>41</v>
      </c>
      <c r="P95" s="436" t="str">
        <f t="shared" si="9"/>
        <v>Georgia Tech</v>
      </c>
      <c r="Q95" s="408">
        <v>10</v>
      </c>
      <c r="R95" s="494" t="str">
        <f t="shared" si="13"/>
        <v>Clemson</v>
      </c>
      <c r="S95" s="494" t="str">
        <f t="shared" si="14"/>
        <v>Georgia Tech</v>
      </c>
      <c r="T95" s="356" t="str">
        <f>J95</f>
        <v>Clemson</v>
      </c>
      <c r="U95" s="665" t="str">
        <f t="shared" si="15"/>
        <v>W</v>
      </c>
      <c r="V95" s="352" t="str">
        <f>UPPER(+F95)</f>
        <v>CLEMSON</v>
      </c>
      <c r="W95" s="424">
        <v>14</v>
      </c>
      <c r="X95" s="352" t="str">
        <f>LOWER(+H95)</f>
        <v>georgia tech</v>
      </c>
      <c r="Y95" s="425">
        <v>8</v>
      </c>
    </row>
    <row r="96" spans="1:25" ht="16" x14ac:dyDescent="0.8">
      <c r="A96" s="351">
        <v>1</v>
      </c>
      <c r="B96" s="420" t="s">
        <v>34</v>
      </c>
      <c r="C96" s="421">
        <v>44807</v>
      </c>
      <c r="D96" s="414">
        <f>12/24</f>
        <v>0.5</v>
      </c>
      <c r="E96" s="349" t="s">
        <v>85</v>
      </c>
      <c r="F96" s="420" t="s">
        <v>278</v>
      </c>
      <c r="G96" s="349" t="s">
        <v>41</v>
      </c>
      <c r="H96" s="420" t="s">
        <v>223</v>
      </c>
      <c r="I96" s="349" t="s">
        <v>85</v>
      </c>
      <c r="J96" s="420"/>
      <c r="K96" s="379"/>
      <c r="L96" s="422"/>
      <c r="M96" s="418"/>
      <c r="N96" s="436" t="str">
        <f>H96</f>
        <v>Texas A&amp;M</v>
      </c>
      <c r="O96" s="423">
        <v>31</v>
      </c>
      <c r="P96" s="436" t="str">
        <f t="shared" si="9"/>
        <v>1AA Sam Houston State</v>
      </c>
      <c r="Q96" s="408">
        <v>0</v>
      </c>
      <c r="R96" s="494"/>
      <c r="S96" s="494"/>
      <c r="T96" s="356"/>
      <c r="U96" s="349"/>
      <c r="W96" s="424"/>
      <c r="X96" s="352" t="s">
        <v>404</v>
      </c>
      <c r="Y96" s="425"/>
    </row>
    <row r="97" spans="1:25" ht="16" x14ac:dyDescent="0.8">
      <c r="A97" s="351">
        <v>1</v>
      </c>
      <c r="B97" s="420" t="s">
        <v>34</v>
      </c>
      <c r="C97" s="421">
        <v>44807</v>
      </c>
      <c r="D97" s="414">
        <f>19/24</f>
        <v>0.79166666666666663</v>
      </c>
      <c r="E97" s="349" t="s">
        <v>85</v>
      </c>
      <c r="F97" s="420" t="s">
        <v>76</v>
      </c>
      <c r="G97" s="349" t="s">
        <v>41</v>
      </c>
      <c r="H97" s="420" t="s">
        <v>164</v>
      </c>
      <c r="I97" s="349" t="s">
        <v>85</v>
      </c>
      <c r="J97" s="420"/>
      <c r="K97" s="379"/>
      <c r="L97" s="422"/>
      <c r="M97" s="418"/>
      <c r="N97" s="436" t="str">
        <f>H97</f>
        <v>Vanderbilt</v>
      </c>
      <c r="O97" s="423">
        <v>42</v>
      </c>
      <c r="P97" s="436" t="str">
        <f t="shared" si="9"/>
        <v>1AA Elon</v>
      </c>
      <c r="Q97" s="408">
        <v>31</v>
      </c>
      <c r="R97" s="494"/>
      <c r="S97" s="494"/>
      <c r="T97" s="356"/>
      <c r="U97" s="349"/>
      <c r="W97" s="424"/>
      <c r="X97" s="352" t="s">
        <v>404</v>
      </c>
      <c r="Y97" s="425"/>
    </row>
    <row r="98" spans="1:25" ht="16" x14ac:dyDescent="0.8">
      <c r="A98" s="351">
        <v>2</v>
      </c>
      <c r="B98" s="420" t="s">
        <v>34</v>
      </c>
      <c r="C98" s="421">
        <v>414074</v>
      </c>
      <c r="D98" s="414">
        <f>16/24</f>
        <v>0.66666666666666663</v>
      </c>
      <c r="E98" s="349" t="s">
        <v>448</v>
      </c>
      <c r="F98" s="420" t="s">
        <v>275</v>
      </c>
      <c r="G98" s="349" t="s">
        <v>41</v>
      </c>
      <c r="H98" s="420" t="s">
        <v>442</v>
      </c>
      <c r="I98" s="349" t="s">
        <v>59</v>
      </c>
      <c r="J98" s="420"/>
      <c r="K98" s="379"/>
      <c r="L98" s="422"/>
      <c r="M98" s="418"/>
      <c r="N98" s="351" t="str">
        <f>H98</f>
        <v>James Madison</v>
      </c>
      <c r="O98" s="423">
        <v>63</v>
      </c>
      <c r="P98" s="436" t="str">
        <f t="shared" ref="P98:P129" si="16">IF(+N98=H98,F98,H98)</f>
        <v>1AA Norfolk St</v>
      </c>
      <c r="Q98" s="408">
        <v>7</v>
      </c>
      <c r="R98" s="494"/>
      <c r="S98" s="494"/>
      <c r="T98" s="356"/>
      <c r="U98" s="349"/>
      <c r="W98" s="424"/>
      <c r="X98" s="352" t="s">
        <v>404</v>
      </c>
      <c r="Y98" s="425"/>
    </row>
    <row r="99" spans="1:25" ht="16" x14ac:dyDescent="0.8">
      <c r="A99" s="351">
        <v>2</v>
      </c>
      <c r="B99" s="420" t="s">
        <v>88</v>
      </c>
      <c r="C99" s="421">
        <v>44813</v>
      </c>
      <c r="D99" s="414">
        <f>19.5/24</f>
        <v>0.8125</v>
      </c>
      <c r="E99" s="349" t="s">
        <v>256</v>
      </c>
      <c r="F99" s="420" t="s">
        <v>120</v>
      </c>
      <c r="G99" s="349" t="s">
        <v>61</v>
      </c>
      <c r="H99" s="420" t="s">
        <v>106</v>
      </c>
      <c r="I99" s="349" t="s">
        <v>50</v>
      </c>
      <c r="J99" s="420" t="str">
        <f>H99</f>
        <v>Central Florida</v>
      </c>
      <c r="K99" s="379" t="str">
        <f>IF(+J99=H99,F99,H99)</f>
        <v>Louisville</v>
      </c>
      <c r="L99" s="422">
        <v>6.5</v>
      </c>
      <c r="M99" s="418">
        <v>61.5</v>
      </c>
      <c r="N99" s="351" t="str">
        <f>F99</f>
        <v>Louisville</v>
      </c>
      <c r="O99" s="423">
        <v>20</v>
      </c>
      <c r="P99" s="436" t="str">
        <f t="shared" si="16"/>
        <v>Central Florida</v>
      </c>
      <c r="Q99" s="408">
        <v>14</v>
      </c>
      <c r="R99" s="494" t="str">
        <f>IF(+N99=K99,+N99,IF(+O99-Q99&lt;L99,+K99,+J99))</f>
        <v>Louisville</v>
      </c>
      <c r="S99" s="494" t="str">
        <f>IF(+R99=J99,+K99,+J99)</f>
        <v>Central Florida</v>
      </c>
      <c r="T99" s="356" t="str">
        <f>J99</f>
        <v>Central Florida</v>
      </c>
      <c r="U99" s="665" t="str">
        <f>IF($N99=$J99,IF($O99-$Q99=$L99,"T",IF($R99=T99,"W","L")),IF($R99=T99,"W","L"))</f>
        <v>L</v>
      </c>
      <c r="V99" s="352" t="str">
        <f>UPPER(+F99)</f>
        <v>LOUISVILLE</v>
      </c>
      <c r="W99" s="424">
        <v>43</v>
      </c>
      <c r="X99" s="352" t="str">
        <f>LOWER(+H99)</f>
        <v>central florida</v>
      </c>
      <c r="Y99" s="425">
        <v>35</v>
      </c>
    </row>
    <row r="100" spans="1:25" ht="16" x14ac:dyDescent="0.8">
      <c r="A100" s="351">
        <v>2</v>
      </c>
      <c r="B100" s="420" t="s">
        <v>34</v>
      </c>
      <c r="C100" s="421">
        <v>44814</v>
      </c>
      <c r="D100" s="414">
        <f>15.5/24</f>
        <v>0.64583333333333337</v>
      </c>
      <c r="E100" s="349"/>
      <c r="F100" s="420" t="s">
        <v>394</v>
      </c>
      <c r="G100" s="349" t="s">
        <v>41</v>
      </c>
      <c r="H100" s="420" t="s">
        <v>55</v>
      </c>
      <c r="I100" s="349" t="s">
        <v>50</v>
      </c>
      <c r="J100" s="420"/>
      <c r="K100" s="379"/>
      <c r="L100" s="422"/>
      <c r="M100" s="418"/>
      <c r="N100" s="351" t="str">
        <f>H100</f>
        <v>Cincinnati</v>
      </c>
      <c r="O100" s="423">
        <v>63</v>
      </c>
      <c r="P100" s="436" t="str">
        <f t="shared" si="16"/>
        <v>1AA Kennesaw State</v>
      </c>
      <c r="Q100" s="408">
        <v>10</v>
      </c>
      <c r="R100" s="494"/>
      <c r="S100" s="494"/>
      <c r="T100" s="356"/>
      <c r="U100" s="349"/>
      <c r="W100" s="424"/>
      <c r="X100" s="352" t="s">
        <v>404</v>
      </c>
      <c r="Y100" s="425"/>
    </row>
    <row r="101" spans="1:25" ht="16" x14ac:dyDescent="0.8">
      <c r="A101" s="351">
        <v>2</v>
      </c>
      <c r="B101" s="420" t="s">
        <v>34</v>
      </c>
      <c r="C101" s="421">
        <v>44814</v>
      </c>
      <c r="D101" s="414">
        <f>18/24</f>
        <v>0.75</v>
      </c>
      <c r="E101" s="349"/>
      <c r="F101" s="420" t="s">
        <v>169</v>
      </c>
      <c r="G101" s="349" t="s">
        <v>59</v>
      </c>
      <c r="H101" s="420" t="s">
        <v>107</v>
      </c>
      <c r="I101" s="349" t="s">
        <v>50</v>
      </c>
      <c r="J101" s="420" t="str">
        <f>H101</f>
        <v>East Carolina</v>
      </c>
      <c r="K101" s="379" t="str">
        <f>IF(+J101=H101,F101,H101)</f>
        <v>Old Dominion</v>
      </c>
      <c r="L101" s="422">
        <v>13</v>
      </c>
      <c r="M101" s="418">
        <v>51.5</v>
      </c>
      <c r="N101" s="351" t="str">
        <f>H101</f>
        <v>East Carolina</v>
      </c>
      <c r="O101" s="423">
        <v>39</v>
      </c>
      <c r="P101" s="436" t="str">
        <f t="shared" si="16"/>
        <v>Old Dominion</v>
      </c>
      <c r="Q101" s="408">
        <v>21</v>
      </c>
      <c r="R101" s="494" t="str">
        <f>IF(+N101=K101,+N101,IF(+O101-Q101&lt;L101,+K101,+J101))</f>
        <v>East Carolina</v>
      </c>
      <c r="S101" s="494" t="str">
        <f>IF(+R101=J101,+K101,+J101)</f>
        <v>Old Dominion</v>
      </c>
      <c r="T101" s="356" t="str">
        <f>J101</f>
        <v>East Carolina</v>
      </c>
      <c r="U101" s="665" t="str">
        <f>IF($N101=$J101,IF($O101-$Q101=$L101,"T",IF($R101=T101,"W","L")),IF($R101=T101,"W","L"))</f>
        <v>W</v>
      </c>
      <c r="W101" s="424"/>
      <c r="X101" s="352" t="s">
        <v>404</v>
      </c>
      <c r="Y101" s="425"/>
    </row>
    <row r="102" spans="1:25" ht="16" x14ac:dyDescent="0.8">
      <c r="A102" s="351">
        <v>2</v>
      </c>
      <c r="B102" s="420" t="s">
        <v>34</v>
      </c>
      <c r="C102" s="421">
        <v>44814</v>
      </c>
      <c r="D102" s="414">
        <f>15.5/24</f>
        <v>0.64583333333333337</v>
      </c>
      <c r="E102" s="349" t="s">
        <v>445</v>
      </c>
      <c r="F102" s="420" t="s">
        <v>60</v>
      </c>
      <c r="G102" s="349" t="s">
        <v>50</v>
      </c>
      <c r="H102" s="420" t="s">
        <v>96</v>
      </c>
      <c r="I102" s="349" t="s">
        <v>50</v>
      </c>
      <c r="J102" s="420" t="str">
        <f>F102</f>
        <v>Memphis</v>
      </c>
      <c r="K102" s="379" t="str">
        <f>IF(+J102=H102,F102,H102)</f>
        <v>Navy</v>
      </c>
      <c r="L102" s="422">
        <v>6</v>
      </c>
      <c r="M102" s="418">
        <v>50</v>
      </c>
      <c r="N102" s="351" t="str">
        <f>F102</f>
        <v>Memphis</v>
      </c>
      <c r="O102" s="423">
        <v>37</v>
      </c>
      <c r="P102" s="436" t="str">
        <f t="shared" si="16"/>
        <v>Navy</v>
      </c>
      <c r="Q102" s="408">
        <v>13</v>
      </c>
      <c r="R102" s="494" t="str">
        <f>IF(+N102=K102,+N102,IF(+O102-Q102&lt;L102,+K102,+J102))</f>
        <v>Memphis</v>
      </c>
      <c r="S102" s="494" t="str">
        <f>IF(+R102=J102,+K102,+J102)</f>
        <v>Navy</v>
      </c>
      <c r="T102" s="356" t="str">
        <f>J102</f>
        <v>Memphis</v>
      </c>
      <c r="U102" s="665" t="str">
        <f>IF($N102=$J102,IF($O102-$Q102=$L102,"T",IF($R102=T102,"W","L")),IF($R102=T102,"W","L"))</f>
        <v>W</v>
      </c>
      <c r="V102" s="352" t="str">
        <f>UPPER(+F102)</f>
        <v>MEMPHIS</v>
      </c>
      <c r="W102" s="424">
        <v>35</v>
      </c>
      <c r="X102" s="352" t="str">
        <f>LOWER(+H102)</f>
        <v>navy</v>
      </c>
      <c r="Y102" s="425">
        <v>17</v>
      </c>
    </row>
    <row r="103" spans="1:25" ht="16" x14ac:dyDescent="0.8">
      <c r="A103" s="351">
        <v>2</v>
      </c>
      <c r="B103" s="420" t="s">
        <v>34</v>
      </c>
      <c r="C103" s="421">
        <v>44814</v>
      </c>
      <c r="D103" s="414">
        <f>19/24</f>
        <v>0.79166666666666663</v>
      </c>
      <c r="E103" s="349"/>
      <c r="F103" s="420" t="s">
        <v>166</v>
      </c>
      <c r="G103" s="349" t="s">
        <v>41</v>
      </c>
      <c r="H103" s="420" t="s">
        <v>109</v>
      </c>
      <c r="I103" s="349" t="s">
        <v>50</v>
      </c>
      <c r="J103" s="420"/>
      <c r="K103" s="379"/>
      <c r="L103" s="422"/>
      <c r="M103" s="418"/>
      <c r="N103" s="351" t="str">
        <f t="shared" ref="N103:N111" si="17">H103</f>
        <v>SMU</v>
      </c>
      <c r="O103" s="423">
        <v>45</v>
      </c>
      <c r="P103" s="436" t="str">
        <f t="shared" si="16"/>
        <v>1AA Lamar</v>
      </c>
      <c r="Q103" s="408">
        <v>16</v>
      </c>
      <c r="R103" s="494"/>
      <c r="S103" s="494"/>
      <c r="T103" s="356"/>
      <c r="U103" s="349"/>
      <c r="W103" s="424"/>
      <c r="X103" s="352" t="s">
        <v>404</v>
      </c>
      <c r="Y103" s="425"/>
    </row>
    <row r="104" spans="1:25" ht="16" x14ac:dyDescent="0.8">
      <c r="A104" s="351">
        <v>2</v>
      </c>
      <c r="B104" s="420" t="s">
        <v>34</v>
      </c>
      <c r="C104" s="421">
        <v>44814</v>
      </c>
      <c r="D104" s="414">
        <v>0.79166666666666663</v>
      </c>
      <c r="E104" s="349"/>
      <c r="F104" s="420" t="s">
        <v>195</v>
      </c>
      <c r="G104" s="349" t="s">
        <v>41</v>
      </c>
      <c r="H104" s="420" t="s">
        <v>49</v>
      </c>
      <c r="I104" s="349" t="s">
        <v>50</v>
      </c>
      <c r="J104" s="420"/>
      <c r="K104" s="379"/>
      <c r="L104" s="422"/>
      <c r="M104" s="418"/>
      <c r="N104" s="351" t="str">
        <f t="shared" si="17"/>
        <v>South Florida</v>
      </c>
      <c r="O104" s="423">
        <v>42</v>
      </c>
      <c r="P104" s="436" t="str">
        <f t="shared" si="16"/>
        <v>1AA Howard</v>
      </c>
      <c r="Q104" s="408">
        <v>20</v>
      </c>
      <c r="R104" s="494"/>
      <c r="S104" s="494"/>
      <c r="T104" s="356"/>
      <c r="U104" s="349"/>
      <c r="W104" s="424"/>
      <c r="X104" s="352" t="s">
        <v>404</v>
      </c>
      <c r="Y104" s="425"/>
    </row>
    <row r="105" spans="1:25" ht="16" x14ac:dyDescent="0.8">
      <c r="A105" s="351">
        <v>2</v>
      </c>
      <c r="B105" s="420" t="s">
        <v>34</v>
      </c>
      <c r="C105" s="421">
        <v>44814</v>
      </c>
      <c r="D105" s="414">
        <f>14/24</f>
        <v>0.58333333333333337</v>
      </c>
      <c r="E105" s="349"/>
      <c r="F105" s="420" t="s">
        <v>273</v>
      </c>
      <c r="G105" s="349" t="s">
        <v>41</v>
      </c>
      <c r="H105" s="420" t="s">
        <v>180</v>
      </c>
      <c r="I105" s="349" t="s">
        <v>50</v>
      </c>
      <c r="J105" s="420"/>
      <c r="K105" s="379"/>
      <c r="L105" s="422"/>
      <c r="M105" s="418"/>
      <c r="N105" s="351" t="str">
        <f t="shared" si="17"/>
        <v>Temple</v>
      </c>
      <c r="O105" s="423">
        <v>30</v>
      </c>
      <c r="P105" s="436" t="str">
        <f t="shared" si="16"/>
        <v>1AA Lafayette</v>
      </c>
      <c r="Q105" s="408">
        <v>14</v>
      </c>
      <c r="R105" s="494"/>
      <c r="S105" s="494"/>
      <c r="T105" s="356"/>
      <c r="U105" s="349"/>
      <c r="W105" s="424"/>
      <c r="X105" s="352" t="s">
        <v>404</v>
      </c>
      <c r="Y105" s="425"/>
    </row>
    <row r="106" spans="1:25" ht="16" x14ac:dyDescent="0.8">
      <c r="A106" s="351">
        <v>2</v>
      </c>
      <c r="B106" s="420" t="s">
        <v>34</v>
      </c>
      <c r="C106" s="421">
        <v>44814</v>
      </c>
      <c r="D106" s="414">
        <f>19/24</f>
        <v>0.79166666666666663</v>
      </c>
      <c r="E106" s="349"/>
      <c r="F106" s="420" t="s">
        <v>235</v>
      </c>
      <c r="G106" s="349" t="s">
        <v>41</v>
      </c>
      <c r="H106" s="420" t="s">
        <v>112</v>
      </c>
      <c r="I106" s="349" t="s">
        <v>50</v>
      </c>
      <c r="J106" s="420"/>
      <c r="K106" s="379"/>
      <c r="L106" s="422"/>
      <c r="M106" s="418"/>
      <c r="N106" s="351" t="str">
        <f t="shared" si="17"/>
        <v>Tulane</v>
      </c>
      <c r="O106" s="423">
        <v>52</v>
      </c>
      <c r="P106" s="436" t="str">
        <f t="shared" si="16"/>
        <v>1AA Alcorn State</v>
      </c>
      <c r="Q106" s="408">
        <v>0</v>
      </c>
      <c r="R106" s="494"/>
      <c r="S106" s="494"/>
      <c r="T106" s="356"/>
      <c r="U106" s="349"/>
      <c r="W106" s="424"/>
      <c r="X106" s="352" t="s">
        <v>404</v>
      </c>
      <c r="Y106" s="425"/>
    </row>
    <row r="107" spans="1:25" ht="16" x14ac:dyDescent="0.8">
      <c r="A107" s="351">
        <v>2</v>
      </c>
      <c r="B107" s="420" t="s">
        <v>34</v>
      </c>
      <c r="C107" s="421">
        <v>44814</v>
      </c>
      <c r="D107" s="414">
        <f>19/24</f>
        <v>0.79166666666666663</v>
      </c>
      <c r="E107" s="349"/>
      <c r="F107" s="420" t="s">
        <v>103</v>
      </c>
      <c r="G107" s="349" t="s">
        <v>68</v>
      </c>
      <c r="H107" s="420" t="s">
        <v>71</v>
      </c>
      <c r="I107" s="349" t="s">
        <v>50</v>
      </c>
      <c r="J107" s="420" t="str">
        <f>H107</f>
        <v>Tulsa</v>
      </c>
      <c r="K107" s="379" t="str">
        <f>IF(+J107=H107,F107,H107)</f>
        <v>Northern Illinois</v>
      </c>
      <c r="L107" s="422">
        <v>6</v>
      </c>
      <c r="M107" s="418">
        <v>62</v>
      </c>
      <c r="N107" s="351" t="str">
        <f t="shared" si="17"/>
        <v>Tulsa</v>
      </c>
      <c r="O107" s="423">
        <v>38</v>
      </c>
      <c r="P107" s="436" t="str">
        <f t="shared" si="16"/>
        <v>Northern Illinois</v>
      </c>
      <c r="Q107" s="408">
        <v>35</v>
      </c>
      <c r="R107" s="494" t="str">
        <f>IF(+N107=K107,+N107,IF(+O107-Q107&lt;L107,+K107,+J107))</f>
        <v>Northern Illinois</v>
      </c>
      <c r="S107" s="494" t="str">
        <f>IF(+R107=J107,+K107,+J107)</f>
        <v>Tulsa</v>
      </c>
      <c r="T107" s="356" t="str">
        <f>K107</f>
        <v>Northern Illinois</v>
      </c>
      <c r="U107" s="665" t="str">
        <f>IF($N107=$J107,IF($O107-$Q107=$L107,"T",IF($R107=T107,"W","L")),IF($R107=T107,"W","L"))</f>
        <v>W</v>
      </c>
      <c r="W107" s="424"/>
      <c r="X107" s="352" t="s">
        <v>404</v>
      </c>
      <c r="Y107" s="425"/>
    </row>
    <row r="108" spans="1:25" ht="16" x14ac:dyDescent="0.8">
      <c r="A108" s="351">
        <v>2</v>
      </c>
      <c r="B108" s="420" t="s">
        <v>34</v>
      </c>
      <c r="C108" s="421">
        <v>44814</v>
      </c>
      <c r="D108" s="414">
        <f>15.5/24</f>
        <v>0.64583333333333337</v>
      </c>
      <c r="E108" s="349" t="s">
        <v>61</v>
      </c>
      <c r="F108" s="420" t="s">
        <v>249</v>
      </c>
      <c r="G108" s="349" t="s">
        <v>41</v>
      </c>
      <c r="H108" s="420" t="s">
        <v>114</v>
      </c>
      <c r="I108" s="349" t="s">
        <v>61</v>
      </c>
      <c r="J108" s="420"/>
      <c r="K108" s="379"/>
      <c r="L108" s="422"/>
      <c r="M108" s="418"/>
      <c r="N108" s="351" t="str">
        <f t="shared" si="17"/>
        <v>Clemson</v>
      </c>
      <c r="O108" s="423">
        <v>35</v>
      </c>
      <c r="P108" s="436" t="str">
        <f t="shared" si="16"/>
        <v>1AA Furman</v>
      </c>
      <c r="Q108" s="408">
        <v>12</v>
      </c>
      <c r="R108" s="494"/>
      <c r="S108" s="494"/>
      <c r="T108" s="356"/>
      <c r="U108" s="349"/>
      <c r="W108" s="424"/>
      <c r="X108" s="352" t="s">
        <v>404</v>
      </c>
      <c r="Y108" s="425"/>
    </row>
    <row r="109" spans="1:25" ht="16" x14ac:dyDescent="0.8">
      <c r="A109" s="351">
        <v>2</v>
      </c>
      <c r="B109" s="420" t="s">
        <v>34</v>
      </c>
      <c r="C109" s="421">
        <v>44814</v>
      </c>
      <c r="D109" s="414">
        <f>19/24</f>
        <v>0.79166666666666663</v>
      </c>
      <c r="E109" s="349" t="s">
        <v>61</v>
      </c>
      <c r="F109" s="420" t="s">
        <v>189</v>
      </c>
      <c r="G109" s="349" t="s">
        <v>41</v>
      </c>
      <c r="H109" s="420" t="s">
        <v>227</v>
      </c>
      <c r="I109" s="349" t="s">
        <v>61</v>
      </c>
      <c r="J109" s="420"/>
      <c r="K109" s="379"/>
      <c r="L109" s="422"/>
      <c r="M109" s="418"/>
      <c r="N109" s="351" t="str">
        <f t="shared" si="17"/>
        <v>Georgia Tech</v>
      </c>
      <c r="O109" s="423">
        <v>35</v>
      </c>
      <c r="P109" s="436" t="str">
        <f t="shared" si="16"/>
        <v>1AA Western Carolina</v>
      </c>
      <c r="Q109" s="408">
        <v>17</v>
      </c>
      <c r="R109" s="494"/>
      <c r="S109" s="494"/>
      <c r="T109" s="356"/>
      <c r="U109" s="349"/>
      <c r="W109" s="424"/>
      <c r="X109" s="352" t="s">
        <v>404</v>
      </c>
      <c r="Y109" s="425"/>
    </row>
    <row r="110" spans="1:25" ht="16" x14ac:dyDescent="0.8">
      <c r="A110" s="351">
        <v>2</v>
      </c>
      <c r="B110" s="420" t="s">
        <v>34</v>
      </c>
      <c r="C110" s="421">
        <v>44814</v>
      </c>
      <c r="D110" s="414">
        <f>12/24</f>
        <v>0.5</v>
      </c>
      <c r="E110" s="349" t="s">
        <v>61</v>
      </c>
      <c r="F110" s="420" t="s">
        <v>171</v>
      </c>
      <c r="G110" s="349" t="s">
        <v>59</v>
      </c>
      <c r="H110" s="420" t="s">
        <v>122</v>
      </c>
      <c r="I110" s="349" t="s">
        <v>61</v>
      </c>
      <c r="J110" s="420" t="str">
        <f>H110</f>
        <v>Miami (FL)</v>
      </c>
      <c r="K110" s="379" t="str">
        <f>IF(+J110=H110,F110,H110)</f>
        <v>Southern Miss</v>
      </c>
      <c r="L110" s="422">
        <v>26</v>
      </c>
      <c r="M110" s="418">
        <v>54.5</v>
      </c>
      <c r="N110" s="351" t="str">
        <f t="shared" si="17"/>
        <v>Miami (FL)</v>
      </c>
      <c r="O110" s="423">
        <v>30</v>
      </c>
      <c r="P110" s="436" t="str">
        <f t="shared" si="16"/>
        <v>Southern Miss</v>
      </c>
      <c r="Q110" s="408">
        <v>7</v>
      </c>
      <c r="R110" s="494" t="str">
        <f>IF(+N110=K110,+N110,IF(+O110-Q110&lt;L110,+K110,+J110))</f>
        <v>Southern Miss</v>
      </c>
      <c r="S110" s="494" t="str">
        <f>IF(+R110=J110,+K110,+J110)</f>
        <v>Miami (FL)</v>
      </c>
      <c r="T110" s="356" t="str">
        <f>S110</f>
        <v>Miami (FL)</v>
      </c>
      <c r="U110" s="665" t="str">
        <f>IF($N110=$J110,IF($O110-$Q110=$L110,"T",IF($R110=T110,"W","L")),IF($R110=T110,"W","L"))</f>
        <v>L</v>
      </c>
      <c r="W110" s="424"/>
      <c r="X110" s="352" t="s">
        <v>404</v>
      </c>
      <c r="Y110" s="425"/>
    </row>
    <row r="111" spans="1:25" ht="16" x14ac:dyDescent="0.8">
      <c r="A111" s="351">
        <v>2</v>
      </c>
      <c r="B111" s="420" t="s">
        <v>34</v>
      </c>
      <c r="C111" s="421">
        <v>44814</v>
      </c>
      <c r="D111" s="414">
        <f>12.5/24</f>
        <v>0.52083333333333337</v>
      </c>
      <c r="E111" s="349" t="s">
        <v>53</v>
      </c>
      <c r="F111" s="420" t="s">
        <v>216</v>
      </c>
      <c r="G111" s="349" t="s">
        <v>41</v>
      </c>
      <c r="H111" s="420" t="s">
        <v>126</v>
      </c>
      <c r="I111" s="349" t="s">
        <v>61</v>
      </c>
      <c r="J111" s="420"/>
      <c r="K111" s="379"/>
      <c r="L111" s="422"/>
      <c r="M111" s="418"/>
      <c r="N111" s="351" t="str">
        <f t="shared" si="17"/>
        <v>North Carolina St</v>
      </c>
      <c r="O111" s="423">
        <v>55</v>
      </c>
      <c r="P111" s="436" t="str">
        <f t="shared" si="16"/>
        <v>1AA Charleston Southern</v>
      </c>
      <c r="Q111" s="408">
        <v>3</v>
      </c>
      <c r="R111" s="494"/>
      <c r="S111" s="494"/>
      <c r="T111" s="356"/>
      <c r="U111" s="349"/>
      <c r="W111" s="424"/>
      <c r="X111" s="352" t="s">
        <v>404</v>
      </c>
      <c r="Y111" s="425"/>
    </row>
    <row r="112" spans="1:25" ht="16" x14ac:dyDescent="0.8">
      <c r="A112" s="351">
        <v>2</v>
      </c>
      <c r="B112" s="420" t="s">
        <v>34</v>
      </c>
      <c r="C112" s="421">
        <v>44814</v>
      </c>
      <c r="D112" s="414">
        <f>15.5/24</f>
        <v>0.64583333333333337</v>
      </c>
      <c r="E112" s="349" t="s">
        <v>135</v>
      </c>
      <c r="F112" s="420" t="s">
        <v>226</v>
      </c>
      <c r="G112" s="349" t="s">
        <v>85</v>
      </c>
      <c r="H112" s="420" t="s">
        <v>128</v>
      </c>
      <c r="I112" s="349" t="s">
        <v>61</v>
      </c>
      <c r="J112" s="420" t="str">
        <f>F112</f>
        <v>Tennessee</v>
      </c>
      <c r="K112" s="379" t="str">
        <f>IF(+J112=H112,F112,H112)</f>
        <v>Pittsburgh</v>
      </c>
      <c r="L112" s="422">
        <v>6.5</v>
      </c>
      <c r="M112" s="418">
        <v>66</v>
      </c>
      <c r="N112" s="351" t="str">
        <f>F112</f>
        <v>Tennessee</v>
      </c>
      <c r="O112" s="423">
        <v>34</v>
      </c>
      <c r="P112" s="436" t="str">
        <f t="shared" si="16"/>
        <v>Pittsburgh</v>
      </c>
      <c r="Q112" s="408">
        <v>27</v>
      </c>
      <c r="R112" s="494" t="str">
        <f>IF(+N112=K112,+N112,IF(+O112-Q112&lt;L112,+K112,+J112))</f>
        <v>Tennessee</v>
      </c>
      <c r="S112" s="494" t="str">
        <f>IF(+R112=J112,+K112,+J112)</f>
        <v>Pittsburgh</v>
      </c>
      <c r="T112" s="356" t="str">
        <f>F112</f>
        <v>Tennessee</v>
      </c>
      <c r="U112" s="665" t="str">
        <f>IF($N112=$J112,IF($O112-$Q112=$L112,"T",IF($R112=T112,"W","L")),IF($R112=T112,"W","L"))</f>
        <v>W</v>
      </c>
      <c r="V112" s="352" t="str">
        <f>LOWER(+H112)</f>
        <v>pittsburgh</v>
      </c>
      <c r="W112" s="424">
        <v>41</v>
      </c>
      <c r="X112" s="352" t="str">
        <f>UPPER(+F112)</f>
        <v>TENNESSEE</v>
      </c>
      <c r="Y112" s="425">
        <v>34</v>
      </c>
    </row>
    <row r="113" spans="1:25" ht="16" x14ac:dyDescent="0.8">
      <c r="A113" s="351">
        <v>2</v>
      </c>
      <c r="B113" s="420" t="s">
        <v>34</v>
      </c>
      <c r="C113" s="421">
        <v>44814</v>
      </c>
      <c r="D113" s="414">
        <f>20/24</f>
        <v>0.83333333333333337</v>
      </c>
      <c r="E113" s="349" t="s">
        <v>61</v>
      </c>
      <c r="F113" s="420" t="s">
        <v>102</v>
      </c>
      <c r="G113" s="349" t="s">
        <v>61</v>
      </c>
      <c r="H113" s="420" t="s">
        <v>221</v>
      </c>
      <c r="I113" s="349" t="s">
        <v>61</v>
      </c>
      <c r="J113" s="420" t="str">
        <f>H113</f>
        <v>Virginia Tech</v>
      </c>
      <c r="K113" s="379" t="str">
        <f>IF(+J113=H113,F113,H113)</f>
        <v>Boston College</v>
      </c>
      <c r="L113" s="422">
        <v>3</v>
      </c>
      <c r="M113" s="418">
        <v>46</v>
      </c>
      <c r="N113" s="351" t="str">
        <f>H113</f>
        <v>Virginia Tech</v>
      </c>
      <c r="O113" s="423">
        <v>27</v>
      </c>
      <c r="P113" s="436" t="str">
        <f t="shared" si="16"/>
        <v>Boston College</v>
      </c>
      <c r="Q113" s="408">
        <v>10</v>
      </c>
      <c r="R113" s="494" t="str">
        <f>IF(+N113=K113,+N113,IF(+O113-Q113&lt;L113,+K113,+J113))</f>
        <v>Virginia Tech</v>
      </c>
      <c r="S113" s="494" t="str">
        <f>IF(+R113=J113,+K113,+J113)</f>
        <v>Boston College</v>
      </c>
      <c r="T113" s="356" t="str">
        <f>H113</f>
        <v>Virginia Tech</v>
      </c>
      <c r="U113" s="665" t="str">
        <f>IF($N113=$J113,IF($O113-$Q113=$L113,"T",IF($R113=T113,"W","L")),IF($R113=T113,"W","L"))</f>
        <v>W</v>
      </c>
      <c r="V113" s="352" t="str">
        <f>UPPER(+F113)</f>
        <v>BOSTON COLLEGE</v>
      </c>
      <c r="W113" s="424">
        <v>35</v>
      </c>
      <c r="X113" s="352" t="str">
        <f>LOWER(+H113)</f>
        <v>virginia tech</v>
      </c>
      <c r="Y113" s="425">
        <v>28</v>
      </c>
    </row>
    <row r="114" spans="1:25" ht="16" x14ac:dyDescent="0.8">
      <c r="A114" s="351">
        <v>2</v>
      </c>
      <c r="B114" s="420" t="s">
        <v>34</v>
      </c>
      <c r="C114" s="421">
        <v>44814</v>
      </c>
      <c r="D114" s="414">
        <f>16/24</f>
        <v>0.66666666666666663</v>
      </c>
      <c r="E114" s="349" t="s">
        <v>95</v>
      </c>
      <c r="F114" s="420" t="s">
        <v>130</v>
      </c>
      <c r="G114" s="349" t="s">
        <v>61</v>
      </c>
      <c r="H114" s="420" t="s">
        <v>132</v>
      </c>
      <c r="I114" s="349" t="s">
        <v>64</v>
      </c>
      <c r="J114" s="420" t="str">
        <f>H114</f>
        <v>Illinois</v>
      </c>
      <c r="K114" s="379" t="str">
        <f>IF(+J114=H114,F114,H114)</f>
        <v>Virginia</v>
      </c>
      <c r="L114" s="422">
        <v>4.5</v>
      </c>
      <c r="M114" s="418">
        <v>57</v>
      </c>
      <c r="N114" s="351" t="str">
        <f>H114</f>
        <v>Illinois</v>
      </c>
      <c r="O114" s="423">
        <v>24</v>
      </c>
      <c r="P114" s="436" t="str">
        <f t="shared" si="16"/>
        <v>Virginia</v>
      </c>
      <c r="Q114" s="408">
        <v>3</v>
      </c>
      <c r="R114" s="494" t="str">
        <f>IF(+N114=K114,+N114,IF(+O114-Q114&lt;L114,+K114,+J114))</f>
        <v>Illinois</v>
      </c>
      <c r="S114" s="494" t="str">
        <f>IF(+R114=J114,+K114,+J114)</f>
        <v>Virginia</v>
      </c>
      <c r="T114" s="356" t="str">
        <f>J114</f>
        <v>Illinois</v>
      </c>
      <c r="U114" s="665" t="str">
        <f>IF($N114=$J114,IF($O114-$Q114=$L114,"T",IF($R114=T114,"W","L")),IF($R114=T114,"W","L"))</f>
        <v>W</v>
      </c>
      <c r="V114" s="352" t="str">
        <f>UPPER(+F114)</f>
        <v>VIRGINIA</v>
      </c>
      <c r="W114" s="424">
        <v>42</v>
      </c>
      <c r="X114" s="352" t="str">
        <f>LOWER(+H114)</f>
        <v>illinois</v>
      </c>
      <c r="Y114" s="425">
        <v>14</v>
      </c>
    </row>
    <row r="115" spans="1:25" ht="16" x14ac:dyDescent="0.8">
      <c r="A115" s="351">
        <v>2</v>
      </c>
      <c r="B115" s="420" t="s">
        <v>34</v>
      </c>
      <c r="C115" s="421">
        <v>44814</v>
      </c>
      <c r="D115" s="414">
        <f>20/24</f>
        <v>0.83333333333333337</v>
      </c>
      <c r="E115" s="349" t="s">
        <v>66</v>
      </c>
      <c r="F115" s="420" t="s">
        <v>393</v>
      </c>
      <c r="G115" s="349" t="s">
        <v>41</v>
      </c>
      <c r="H115" s="420" t="s">
        <v>65</v>
      </c>
      <c r="I115" s="349" t="s">
        <v>64</v>
      </c>
      <c r="J115" s="420"/>
      <c r="K115" s="379"/>
      <c r="L115" s="422"/>
      <c r="M115" s="418"/>
      <c r="N115" s="351" t="str">
        <f>H115</f>
        <v>Indiana</v>
      </c>
      <c r="O115" s="423">
        <v>35</v>
      </c>
      <c r="P115" s="436" t="str">
        <f t="shared" si="16"/>
        <v>1AA Idaho</v>
      </c>
      <c r="Q115" s="408">
        <v>22</v>
      </c>
      <c r="R115" s="494"/>
      <c r="S115" s="494"/>
      <c r="T115" s="356"/>
      <c r="U115" s="349"/>
      <c r="V115" s="352" t="str">
        <f>LOWER(+H115)</f>
        <v>indiana</v>
      </c>
      <c r="W115" s="424">
        <v>56</v>
      </c>
      <c r="X115" s="352" t="str">
        <f>UPPER(+F115)</f>
        <v>1AA IDAHO</v>
      </c>
      <c r="Y115" s="425">
        <v>14</v>
      </c>
    </row>
    <row r="116" spans="1:25" ht="16" x14ac:dyDescent="0.8">
      <c r="A116" s="351">
        <v>2</v>
      </c>
      <c r="B116" s="420" t="s">
        <v>34</v>
      </c>
      <c r="C116" s="421">
        <v>44814</v>
      </c>
      <c r="D116" s="414">
        <f>16/24</f>
        <v>0.66666666666666663</v>
      </c>
      <c r="E116" s="349" t="s">
        <v>66</v>
      </c>
      <c r="F116" s="420" t="s">
        <v>148</v>
      </c>
      <c r="G116" s="349" t="s">
        <v>73</v>
      </c>
      <c r="H116" s="420" t="s">
        <v>134</v>
      </c>
      <c r="I116" s="349" t="s">
        <v>64</v>
      </c>
      <c r="J116" s="420" t="str">
        <f>H116</f>
        <v>Iowa</v>
      </c>
      <c r="K116" s="379" t="str">
        <f>IF(+J116=H116,F116,H116)</f>
        <v>Iowa State</v>
      </c>
      <c r="L116" s="422">
        <v>3.5</v>
      </c>
      <c r="M116" s="418">
        <v>40</v>
      </c>
      <c r="N116" s="351" t="str">
        <f>F116</f>
        <v>Iowa State</v>
      </c>
      <c r="O116" s="423">
        <v>10</v>
      </c>
      <c r="P116" s="436" t="str">
        <f t="shared" si="16"/>
        <v>Iowa</v>
      </c>
      <c r="Q116" s="408">
        <v>7</v>
      </c>
      <c r="R116" s="494" t="str">
        <f>IF(+N116=K116,+N116,IF(+O116-Q116&lt;L116,+K116,+J116))</f>
        <v>Iowa State</v>
      </c>
      <c r="S116" s="494" t="str">
        <f>IF(+R116=J116,+K116,+J116)</f>
        <v>Iowa</v>
      </c>
      <c r="T116" s="356" t="str">
        <f>K116</f>
        <v>Iowa State</v>
      </c>
      <c r="U116" s="665" t="str">
        <f>IF($N116=$J116,IF($O116-$Q116=$L116,"T",IF($R116=T116,"W","L")),IF($R116=T116,"W","L"))</f>
        <v>W</v>
      </c>
      <c r="V116" s="352" t="str">
        <f>LOWER(+H116)</f>
        <v>iowa</v>
      </c>
      <c r="W116" s="424">
        <v>27</v>
      </c>
      <c r="X116" s="352" t="str">
        <f>UPPER(+F116)</f>
        <v>IOWA STATE</v>
      </c>
      <c r="Y116" s="425">
        <v>17</v>
      </c>
    </row>
    <row r="117" spans="1:25" ht="16" x14ac:dyDescent="0.8">
      <c r="A117" s="351">
        <v>2</v>
      </c>
      <c r="B117" s="420" t="s">
        <v>34</v>
      </c>
      <c r="C117" s="421">
        <v>44814</v>
      </c>
      <c r="D117" s="414">
        <f>20/24</f>
        <v>0.83333333333333337</v>
      </c>
      <c r="E117" s="349" t="s">
        <v>66</v>
      </c>
      <c r="F117" s="420" t="s">
        <v>44</v>
      </c>
      <c r="G117" s="349" t="s">
        <v>45</v>
      </c>
      <c r="H117" s="420" t="s">
        <v>137</v>
      </c>
      <c r="I117" s="349" t="s">
        <v>64</v>
      </c>
      <c r="J117" s="420" t="str">
        <f>H117</f>
        <v>Michigan</v>
      </c>
      <c r="K117" s="379" t="str">
        <f>IF(+J117=H117,F117,H117)</f>
        <v>Hawaii</v>
      </c>
      <c r="L117" s="422">
        <v>51.5</v>
      </c>
      <c r="M117" s="418">
        <v>67</v>
      </c>
      <c r="N117" s="351" t="str">
        <f>H117</f>
        <v>Michigan</v>
      </c>
      <c r="O117" s="423">
        <v>56</v>
      </c>
      <c r="P117" s="436" t="str">
        <f t="shared" si="16"/>
        <v>Hawaii</v>
      </c>
      <c r="Q117" s="408">
        <v>10</v>
      </c>
      <c r="R117" s="494" t="str">
        <f>IF(+N117=K117,+N117,IF(+O117-Q117&lt;L117,+K117,+J117))</f>
        <v>Hawaii</v>
      </c>
      <c r="S117" s="494" t="str">
        <f>IF(+R117=J117,+K117,+J117)</f>
        <v>Michigan</v>
      </c>
      <c r="T117" s="356" t="str">
        <f>K117</f>
        <v>Hawaii</v>
      </c>
      <c r="U117" s="665" t="str">
        <f>IF($N117=$J117,IF($O117-$Q117=$L117,"T",IF($R117=T117,"W","L")),IF($R117=T117,"W","L"))</f>
        <v>W</v>
      </c>
      <c r="W117" s="424"/>
      <c r="X117" s="352" t="s">
        <v>404</v>
      </c>
      <c r="Y117" s="425"/>
    </row>
    <row r="118" spans="1:25" ht="16" x14ac:dyDescent="0.8">
      <c r="A118" s="351">
        <v>2</v>
      </c>
      <c r="B118" s="420" t="s">
        <v>34</v>
      </c>
      <c r="C118" s="421">
        <v>44814</v>
      </c>
      <c r="D118" s="414">
        <f>16/24</f>
        <v>0.66666666666666663</v>
      </c>
      <c r="E118" s="349" t="s">
        <v>66</v>
      </c>
      <c r="F118" s="420" t="s">
        <v>144</v>
      </c>
      <c r="G118" s="349" t="s">
        <v>68</v>
      </c>
      <c r="H118" s="420" t="s">
        <v>139</v>
      </c>
      <c r="I118" s="349" t="s">
        <v>64</v>
      </c>
      <c r="J118" s="420" t="str">
        <f>H118</f>
        <v>Michigan State</v>
      </c>
      <c r="K118" s="379" t="str">
        <f>IF(+J118=H118,F118,H118)</f>
        <v>Akron</v>
      </c>
      <c r="L118" s="422">
        <v>34</v>
      </c>
      <c r="M118" s="418">
        <v>56</v>
      </c>
      <c r="N118" s="351" t="str">
        <f>H118</f>
        <v>Michigan State</v>
      </c>
      <c r="O118" s="423">
        <v>52</v>
      </c>
      <c r="P118" s="436" t="str">
        <f t="shared" si="16"/>
        <v>Akron</v>
      </c>
      <c r="Q118" s="408">
        <v>0</v>
      </c>
      <c r="R118" s="494" t="str">
        <f>IF(+N118=K118,+N118,IF(+O118-Q118&lt;L118,+K118,+J118))</f>
        <v>Michigan State</v>
      </c>
      <c r="S118" s="494" t="str">
        <f>IF(+R118=J118,+K118,+J118)</f>
        <v>Akron</v>
      </c>
      <c r="T118" s="356" t="str">
        <f>J118</f>
        <v>Michigan State</v>
      </c>
      <c r="U118" s="665" t="str">
        <f>IF($N118=$J118,IF($O118-$Q118=$L118,"T",IF($R118=T118,"W","L")),IF($R118=T118,"W","L"))</f>
        <v>W</v>
      </c>
      <c r="W118" s="424"/>
      <c r="X118" s="352" t="s">
        <v>404</v>
      </c>
      <c r="Y118" s="425"/>
    </row>
    <row r="119" spans="1:25" ht="16" x14ac:dyDescent="0.8">
      <c r="A119" s="351">
        <v>2</v>
      </c>
      <c r="B119" s="420" t="s">
        <v>34</v>
      </c>
      <c r="C119" s="421">
        <v>44814</v>
      </c>
      <c r="D119" s="414">
        <f>12/24</f>
        <v>0.5</v>
      </c>
      <c r="E119" s="349" t="s">
        <v>66</v>
      </c>
      <c r="F119" s="420" t="s">
        <v>259</v>
      </c>
      <c r="G119" s="349" t="s">
        <v>41</v>
      </c>
      <c r="H119" s="420" t="s">
        <v>69</v>
      </c>
      <c r="I119" s="349" t="s">
        <v>64</v>
      </c>
      <c r="J119" s="420"/>
      <c r="K119" s="379"/>
      <c r="L119" s="422"/>
      <c r="M119" s="418"/>
      <c r="N119" s="351" t="str">
        <f>H119</f>
        <v>Minnesota</v>
      </c>
      <c r="O119" s="423">
        <v>62</v>
      </c>
      <c r="P119" s="436" t="str">
        <f t="shared" si="16"/>
        <v>1AA Western Illinois</v>
      </c>
      <c r="Q119" s="408">
        <v>10</v>
      </c>
      <c r="R119" s="494"/>
      <c r="S119" s="494"/>
      <c r="T119" s="356"/>
      <c r="U119" s="349"/>
      <c r="W119" s="424"/>
      <c r="X119" s="352" t="s">
        <v>404</v>
      </c>
      <c r="Y119" s="425"/>
    </row>
    <row r="120" spans="1:25" ht="16" x14ac:dyDescent="0.8">
      <c r="A120" s="351">
        <v>2</v>
      </c>
      <c r="B120" s="420" t="s">
        <v>34</v>
      </c>
      <c r="C120" s="421">
        <v>44814</v>
      </c>
      <c r="D120" s="414">
        <f>19.5/24</f>
        <v>0.8125</v>
      </c>
      <c r="E120" s="349" t="s">
        <v>70</v>
      </c>
      <c r="F120" s="420" t="s">
        <v>210</v>
      </c>
      <c r="G120" s="349" t="s">
        <v>59</v>
      </c>
      <c r="H120" s="420" t="s">
        <v>141</v>
      </c>
      <c r="I120" s="349" t="s">
        <v>64</v>
      </c>
      <c r="J120" s="420" t="str">
        <f>H120</f>
        <v>Nebraska</v>
      </c>
      <c r="K120" s="379" t="str">
        <f>IF(+J120=H120,F120,H120)</f>
        <v>Georgia Southern</v>
      </c>
      <c r="L120" s="422">
        <v>23</v>
      </c>
      <c r="M120" s="418">
        <v>63</v>
      </c>
      <c r="N120" s="351" t="str">
        <f>F120</f>
        <v>Georgia Southern</v>
      </c>
      <c r="O120" s="423">
        <v>45</v>
      </c>
      <c r="P120" s="436" t="str">
        <f t="shared" si="16"/>
        <v>Nebraska</v>
      </c>
      <c r="Q120" s="408">
        <v>42</v>
      </c>
      <c r="R120" s="494" t="str">
        <f>IF(+N120=K120,+N120,IF(+O120-Q120&lt;L120,+K120,+J120))</f>
        <v>Georgia Southern</v>
      </c>
      <c r="S120" s="494" t="str">
        <f>IF(+R120=J120,+K120,+J120)</f>
        <v>Nebraska</v>
      </c>
      <c r="T120" s="356" t="str">
        <f>K120</f>
        <v>Georgia Southern</v>
      </c>
      <c r="U120" s="665" t="str">
        <f>IF($N120=$J120,IF($O120-$Q120=$L120,"T",IF($R120=T120,"W","L")),IF($R120=T120,"W","L"))</f>
        <v>W</v>
      </c>
      <c r="W120" s="424"/>
      <c r="X120" s="352" t="s">
        <v>404</v>
      </c>
      <c r="Y120" s="425"/>
    </row>
    <row r="121" spans="1:25" ht="16" x14ac:dyDescent="0.8">
      <c r="A121" s="351">
        <v>2</v>
      </c>
      <c r="B121" s="420" t="s">
        <v>34</v>
      </c>
      <c r="C121" s="421">
        <v>44814</v>
      </c>
      <c r="D121" s="414">
        <f>12/24</f>
        <v>0.5</v>
      </c>
      <c r="E121" s="349" t="s">
        <v>70</v>
      </c>
      <c r="F121" s="420" t="s">
        <v>115</v>
      </c>
      <c r="G121" s="349" t="s">
        <v>61</v>
      </c>
      <c r="H121" s="420" t="s">
        <v>143</v>
      </c>
      <c r="I121" s="349" t="s">
        <v>64</v>
      </c>
      <c r="J121" s="420" t="str">
        <f>H121</f>
        <v>Northwestern</v>
      </c>
      <c r="K121" s="379" t="str">
        <f>IF(+J121=H121,F121,H121)</f>
        <v>Duke</v>
      </c>
      <c r="L121" s="422">
        <v>10</v>
      </c>
      <c r="M121" s="418">
        <v>58</v>
      </c>
      <c r="N121" s="351" t="str">
        <f>F121</f>
        <v>Duke</v>
      </c>
      <c r="O121" s="423">
        <v>31</v>
      </c>
      <c r="P121" s="436" t="str">
        <f t="shared" si="16"/>
        <v>Northwestern</v>
      </c>
      <c r="Q121" s="408">
        <v>23</v>
      </c>
      <c r="R121" s="494" t="str">
        <f>IF(+N121=K121,+N121,IF(+O121-Q121&lt;L121,+K121,+J121))</f>
        <v>Duke</v>
      </c>
      <c r="S121" s="494" t="str">
        <f>IF(+R121=J121,+K121,+J121)</f>
        <v>Northwestern</v>
      </c>
      <c r="T121" s="356" t="str">
        <f>K121</f>
        <v>Duke</v>
      </c>
      <c r="U121" s="665" t="str">
        <f>IF($N121=$J121,IF($O121-$Q121=$L121,"T",IF($R121=T121,"W","L")),IF($R121=T121,"W","L"))</f>
        <v>W</v>
      </c>
      <c r="V121" s="352" t="str">
        <f>UPPER(+F121)</f>
        <v>DUKE</v>
      </c>
      <c r="W121" s="424">
        <v>30</v>
      </c>
      <c r="X121" s="352" t="str">
        <f>LOWER(+H121)</f>
        <v>northwestern</v>
      </c>
      <c r="Y121" s="425">
        <v>23</v>
      </c>
    </row>
    <row r="122" spans="1:25" ht="16" x14ac:dyDescent="0.8">
      <c r="A122" s="351">
        <v>2</v>
      </c>
      <c r="B122" s="420" t="s">
        <v>34</v>
      </c>
      <c r="C122" s="421">
        <v>44814</v>
      </c>
      <c r="D122" s="414">
        <f>12/24</f>
        <v>0.5</v>
      </c>
      <c r="E122" s="349" t="s">
        <v>66</v>
      </c>
      <c r="F122" s="420" t="s">
        <v>140</v>
      </c>
      <c r="G122" s="349" t="s">
        <v>59</v>
      </c>
      <c r="H122" s="420" t="s">
        <v>63</v>
      </c>
      <c r="I122" s="349" t="s">
        <v>64</v>
      </c>
      <c r="J122" s="420" t="str">
        <f>H122</f>
        <v>Ohio State</v>
      </c>
      <c r="K122" s="379" t="str">
        <f>IF(+J122=H122,F122,H122)</f>
        <v>Arkansas State</v>
      </c>
      <c r="L122" s="422">
        <v>43.5</v>
      </c>
      <c r="M122" s="418">
        <v>68.5</v>
      </c>
      <c r="N122" s="351" t="str">
        <f>H122</f>
        <v>Ohio State</v>
      </c>
      <c r="O122" s="423">
        <v>45</v>
      </c>
      <c r="P122" s="436" t="str">
        <f t="shared" si="16"/>
        <v>Arkansas State</v>
      </c>
      <c r="Q122" s="408">
        <v>12</v>
      </c>
      <c r="R122" s="494" t="str">
        <f>IF(+N122=K122,+N122,IF(+O122-Q122&lt;L122,+K122,+J122))</f>
        <v>Arkansas State</v>
      </c>
      <c r="S122" s="494" t="str">
        <f>IF(+R122=J122,+K122,+J122)</f>
        <v>Ohio State</v>
      </c>
      <c r="T122" s="356" t="str">
        <f>K122</f>
        <v>Arkansas State</v>
      </c>
      <c r="U122" s="665" t="str">
        <f>IF($N122=$J122,IF($O122-$Q122=$L122,"T",IF($R122=T122,"W","L")),IF($R122=T122,"W","L"))</f>
        <v>W</v>
      </c>
      <c r="W122" s="424"/>
      <c r="X122" s="352" t="s">
        <v>404</v>
      </c>
      <c r="Y122" s="425"/>
    </row>
    <row r="123" spans="1:25" ht="16" x14ac:dyDescent="0.8">
      <c r="A123" s="351">
        <v>2</v>
      </c>
      <c r="B123" s="420" t="s">
        <v>34</v>
      </c>
      <c r="C123" s="421">
        <v>44814</v>
      </c>
      <c r="D123" s="414">
        <f>12/24</f>
        <v>0.5</v>
      </c>
      <c r="E123" s="349" t="s">
        <v>135</v>
      </c>
      <c r="F123" s="420" t="s">
        <v>182</v>
      </c>
      <c r="G123" s="349" t="s">
        <v>68</v>
      </c>
      <c r="H123" s="420" t="s">
        <v>145</v>
      </c>
      <c r="I123" s="349" t="s">
        <v>64</v>
      </c>
      <c r="J123" s="420" t="str">
        <f>H123</f>
        <v>Penn State</v>
      </c>
      <c r="K123" s="379" t="str">
        <f>IF(+J123=H123,F123,H123)</f>
        <v>Ohio</v>
      </c>
      <c r="L123" s="422">
        <v>24.5</v>
      </c>
      <c r="M123" s="418">
        <v>54</v>
      </c>
      <c r="N123" s="351" t="str">
        <f>H123</f>
        <v>Penn State</v>
      </c>
      <c r="O123" s="423">
        <v>46</v>
      </c>
      <c r="P123" s="436" t="str">
        <f t="shared" si="16"/>
        <v>Ohio</v>
      </c>
      <c r="Q123" s="408">
        <v>10</v>
      </c>
      <c r="R123" s="494" t="str">
        <f>IF(+N123=K123,+N123,IF(+O123-Q123&lt;L123,+K123,+J123))</f>
        <v>Penn State</v>
      </c>
      <c r="S123" s="494" t="str">
        <f>IF(+R123=J123,+K123,+J123)</f>
        <v>Ohio</v>
      </c>
      <c r="T123" s="356" t="str">
        <f>K123</f>
        <v>Ohio</v>
      </c>
      <c r="U123" s="665" t="str">
        <f>IF($N123=$J123,IF($O123-$Q123=$L123,"T",IF($R123=T123,"W","L")),IF($R123=T123,"W","L"))</f>
        <v>L</v>
      </c>
      <c r="W123" s="424"/>
      <c r="X123" s="352" t="s">
        <v>404</v>
      </c>
      <c r="Y123" s="425"/>
    </row>
    <row r="124" spans="1:25" ht="16" x14ac:dyDescent="0.8">
      <c r="A124" s="351">
        <v>2</v>
      </c>
      <c r="B124" s="420" t="s">
        <v>34</v>
      </c>
      <c r="C124" s="421">
        <v>44814</v>
      </c>
      <c r="D124" s="414">
        <f>16/24</f>
        <v>0.66666666666666663</v>
      </c>
      <c r="E124" s="349" t="s">
        <v>66</v>
      </c>
      <c r="F124" s="420" t="s">
        <v>247</v>
      </c>
      <c r="G124" s="349" t="s">
        <v>41</v>
      </c>
      <c r="H124" s="420" t="s">
        <v>119</v>
      </c>
      <c r="I124" s="349" t="s">
        <v>64</v>
      </c>
      <c r="J124" s="420"/>
      <c r="K124" s="379"/>
      <c r="L124" s="422"/>
      <c r="M124" s="418"/>
      <c r="N124" s="351" t="str">
        <f>H124</f>
        <v>Purdue</v>
      </c>
      <c r="O124" s="423">
        <v>56</v>
      </c>
      <c r="P124" s="436" t="str">
        <f t="shared" si="16"/>
        <v>1AA Indiana State</v>
      </c>
      <c r="Q124" s="408">
        <v>0</v>
      </c>
      <c r="R124" s="494"/>
      <c r="S124" s="494"/>
      <c r="T124" s="356"/>
      <c r="U124" s="349"/>
      <c r="W124" s="424"/>
      <c r="X124" s="352" t="s">
        <v>404</v>
      </c>
      <c r="Y124" s="425"/>
    </row>
    <row r="125" spans="1:25" ht="16" x14ac:dyDescent="0.8">
      <c r="A125" s="351">
        <v>2</v>
      </c>
      <c r="B125" s="420" t="s">
        <v>34</v>
      </c>
      <c r="C125" s="421">
        <v>44814</v>
      </c>
      <c r="D125" s="414">
        <f>16/24</f>
        <v>0.66666666666666663</v>
      </c>
      <c r="E125" s="349" t="s">
        <v>66</v>
      </c>
      <c r="F125" s="420" t="s">
        <v>258</v>
      </c>
      <c r="G125" s="349" t="s">
        <v>41</v>
      </c>
      <c r="H125" s="420" t="s">
        <v>92</v>
      </c>
      <c r="I125" s="349" t="s">
        <v>64</v>
      </c>
      <c r="J125" s="420"/>
      <c r="K125" s="379"/>
      <c r="L125" s="422"/>
      <c r="M125" s="418"/>
      <c r="N125" s="351" t="str">
        <f>H125</f>
        <v>Rutgers</v>
      </c>
      <c r="O125" s="423">
        <v>66</v>
      </c>
      <c r="P125" s="436" t="str">
        <f t="shared" si="16"/>
        <v>1AA Wagner</v>
      </c>
      <c r="Q125" s="408">
        <v>7</v>
      </c>
      <c r="R125" s="494"/>
      <c r="S125" s="494"/>
      <c r="T125" s="356"/>
      <c r="U125" s="349"/>
      <c r="W125" s="424"/>
      <c r="X125" s="352" t="s">
        <v>404</v>
      </c>
      <c r="Y125" s="425"/>
    </row>
    <row r="126" spans="1:25" ht="16" x14ac:dyDescent="0.8">
      <c r="A126" s="351">
        <v>2</v>
      </c>
      <c r="B126" s="420" t="s">
        <v>34</v>
      </c>
      <c r="C126" s="421">
        <v>44814</v>
      </c>
      <c r="D126" s="414">
        <f>15.5/24</f>
        <v>0.64583333333333337</v>
      </c>
      <c r="E126" s="349" t="s">
        <v>118</v>
      </c>
      <c r="F126" s="420" t="s">
        <v>204</v>
      </c>
      <c r="G126" s="349" t="s">
        <v>37</v>
      </c>
      <c r="H126" s="420" t="s">
        <v>94</v>
      </c>
      <c r="I126" s="349" t="s">
        <v>64</v>
      </c>
      <c r="J126" s="420" t="str">
        <f>H126</f>
        <v>Wisconsin</v>
      </c>
      <c r="K126" s="379" t="str">
        <f>IF(+J126=H126,F126,H126)</f>
        <v>Washington State</v>
      </c>
      <c r="L126" s="422">
        <v>17</v>
      </c>
      <c r="M126" s="418">
        <v>49</v>
      </c>
      <c r="N126" s="351" t="str">
        <f>F126</f>
        <v>Washington State</v>
      </c>
      <c r="O126" s="423">
        <v>17</v>
      </c>
      <c r="P126" s="436" t="str">
        <f t="shared" si="16"/>
        <v>Wisconsin</v>
      </c>
      <c r="Q126" s="408">
        <v>14</v>
      </c>
      <c r="R126" s="494" t="str">
        <f>IF(+N126=K126,+N126,IF(+O126-Q126&lt;L126,+K126,+J126))</f>
        <v>Washington State</v>
      </c>
      <c r="S126" s="494" t="str">
        <f>IF(+R126=J126,+K126,+J126)</f>
        <v>Wisconsin</v>
      </c>
      <c r="T126" s="356" t="str">
        <f>K126</f>
        <v>Washington State</v>
      </c>
      <c r="U126" s="665" t="str">
        <f>IF($N126=$J126,IF($O126-$Q126=$L126,"T",IF($R126=T126,"W","L")),IF($R126=T126,"W","L"))</f>
        <v>W</v>
      </c>
      <c r="W126" s="424"/>
      <c r="X126" s="352" t="s">
        <v>404</v>
      </c>
      <c r="Y126" s="425"/>
    </row>
    <row r="127" spans="1:25" ht="16" x14ac:dyDescent="0.8">
      <c r="A127" s="351">
        <v>2</v>
      </c>
      <c r="B127" s="420" t="s">
        <v>34</v>
      </c>
      <c r="C127" s="421">
        <v>44814</v>
      </c>
      <c r="D127" s="414">
        <f>12/24</f>
        <v>0.5</v>
      </c>
      <c r="E127" s="349" t="s">
        <v>256</v>
      </c>
      <c r="F127" s="420" t="s">
        <v>219</v>
      </c>
      <c r="G127" s="349" t="s">
        <v>85</v>
      </c>
      <c r="H127" s="420" t="s">
        <v>152</v>
      </c>
      <c r="I127" s="349" t="s">
        <v>73</v>
      </c>
      <c r="J127" s="420" t="str">
        <f>H127</f>
        <v>Kansas State</v>
      </c>
      <c r="K127" s="379" t="str">
        <f>IF(+J127=H127,F127,H127)</f>
        <v>Missouri</v>
      </c>
      <c r="L127" s="422">
        <v>7.5</v>
      </c>
      <c r="M127" s="418">
        <v>57</v>
      </c>
      <c r="N127" s="351" t="str">
        <f>H127</f>
        <v>Kansas State</v>
      </c>
      <c r="O127" s="423">
        <v>40</v>
      </c>
      <c r="P127" s="436" t="str">
        <f t="shared" si="16"/>
        <v>Missouri</v>
      </c>
      <c r="Q127" s="408">
        <v>12</v>
      </c>
      <c r="R127" s="494" t="str">
        <f>IF(+N127=K127,+N127,IF(+O127-Q127&lt;L127,+K127,+J127))</f>
        <v>Kansas State</v>
      </c>
      <c r="S127" s="494" t="str">
        <f>IF(+R127=J127,+K127,+J127)</f>
        <v>Missouri</v>
      </c>
      <c r="T127" s="356" t="str">
        <f>K127</f>
        <v>Missouri</v>
      </c>
      <c r="U127" s="665" t="str">
        <f>IF($N127=$J127,IF($O127-$Q127=$L127,"T",IF($R127=T127,"W","L")),IF($R127=T127,"W","L"))</f>
        <v>L</v>
      </c>
      <c r="W127" s="424"/>
      <c r="X127" s="352" t="s">
        <v>404</v>
      </c>
      <c r="Y127" s="425"/>
    </row>
    <row r="128" spans="1:25" ht="16" x14ac:dyDescent="0.8">
      <c r="A128" s="351">
        <v>2</v>
      </c>
      <c r="B128" s="420" t="s">
        <v>34</v>
      </c>
      <c r="C128" s="421">
        <v>44814</v>
      </c>
      <c r="D128" s="414">
        <f>19/24</f>
        <v>0.79166666666666663</v>
      </c>
      <c r="E128" s="349"/>
      <c r="F128" s="420" t="s">
        <v>113</v>
      </c>
      <c r="G128" s="349" t="s">
        <v>68</v>
      </c>
      <c r="H128" s="420" t="s">
        <v>154</v>
      </c>
      <c r="I128" s="349" t="s">
        <v>73</v>
      </c>
      <c r="J128" s="420" t="str">
        <f>H128</f>
        <v>Oklahoma</v>
      </c>
      <c r="K128" s="379" t="str">
        <f>IF(+J128=H128,F128,H128)</f>
        <v>Kent State</v>
      </c>
      <c r="L128" s="422">
        <v>33.5</v>
      </c>
      <c r="M128" s="418">
        <v>71</v>
      </c>
      <c r="N128" s="436" t="str">
        <f>H128</f>
        <v>Oklahoma</v>
      </c>
      <c r="O128" s="423">
        <v>33</v>
      </c>
      <c r="P128" s="436" t="str">
        <f t="shared" si="16"/>
        <v>Kent State</v>
      </c>
      <c r="Q128" s="408">
        <v>3</v>
      </c>
      <c r="R128" s="494" t="str">
        <f>IF(+N128=K128,+N128,IF(+O128-Q128&lt;L128,+K128,+J128))</f>
        <v>Kent State</v>
      </c>
      <c r="S128" s="494" t="str">
        <f>IF(+R128=J128,+K128,+J128)</f>
        <v>Oklahoma</v>
      </c>
      <c r="T128" s="356" t="str">
        <f>F128</f>
        <v>Kent State</v>
      </c>
      <c r="U128" s="665" t="str">
        <f>IF($N128=$J128,IF($O128-$Q128=$L128,"T",IF($R128=T128,"W","L")),IF($R128=T128,"W","L"))</f>
        <v>W</v>
      </c>
      <c r="W128" s="424"/>
      <c r="X128" s="352" t="s">
        <v>404</v>
      </c>
      <c r="Y128" s="425"/>
    </row>
    <row r="129" spans="1:25" ht="16" x14ac:dyDescent="0.8">
      <c r="A129" s="351">
        <v>2</v>
      </c>
      <c r="B129" s="420" t="s">
        <v>34</v>
      </c>
      <c r="C129" s="421">
        <v>44814</v>
      </c>
      <c r="D129" s="414">
        <f>19.5/24</f>
        <v>0.8125</v>
      </c>
      <c r="E129" s="349" t="s">
        <v>256</v>
      </c>
      <c r="F129" s="420" t="s">
        <v>79</v>
      </c>
      <c r="G129" s="349" t="s">
        <v>37</v>
      </c>
      <c r="H129" s="420" t="s">
        <v>72</v>
      </c>
      <c r="I129" s="349" t="s">
        <v>73</v>
      </c>
      <c r="J129" s="420" t="str">
        <f>H129</f>
        <v>Oklahoma State</v>
      </c>
      <c r="K129" s="379" t="str">
        <f>IF(+J129=H129,F129,H129)</f>
        <v>Arizona State</v>
      </c>
      <c r="L129" s="422">
        <v>11</v>
      </c>
      <c r="M129" s="418">
        <v>57.5</v>
      </c>
      <c r="N129" s="351" t="str">
        <f>H129</f>
        <v>Oklahoma State</v>
      </c>
      <c r="O129" s="423">
        <v>34</v>
      </c>
      <c r="P129" s="436" t="str">
        <f t="shared" si="16"/>
        <v>Arizona State</v>
      </c>
      <c r="Q129" s="408">
        <v>17</v>
      </c>
      <c r="R129" s="494" t="str">
        <f>IF(+N129=K129,+N129,IF(+O129-Q129&lt;L129,+K129,+J129))</f>
        <v>Oklahoma State</v>
      </c>
      <c r="S129" s="494" t="str">
        <f>IF(+R129=J129,+K129,+J129)</f>
        <v>Arizona State</v>
      </c>
      <c r="T129" s="356" t="str">
        <f>S129</f>
        <v>Arizona State</v>
      </c>
      <c r="U129" s="665" t="str">
        <f>IF($N129=$J129,IF($O129-$Q129=$L129,"T",IF($R129=T129,"W","L")),IF($R129=T129,"W","L"))</f>
        <v>L</v>
      </c>
      <c r="W129" s="424"/>
      <c r="X129" s="352" t="s">
        <v>404</v>
      </c>
      <c r="Y129" s="425"/>
    </row>
    <row r="130" spans="1:25" ht="16" x14ac:dyDescent="0.8">
      <c r="A130" s="351">
        <v>2</v>
      </c>
      <c r="B130" s="420" t="s">
        <v>34</v>
      </c>
      <c r="C130" s="421">
        <v>44814</v>
      </c>
      <c r="D130" s="414">
        <f>20/24</f>
        <v>0.83333333333333337</v>
      </c>
      <c r="E130" s="349"/>
      <c r="F130" s="420" t="s">
        <v>441</v>
      </c>
      <c r="G130" s="349" t="s">
        <v>41</v>
      </c>
      <c r="H130" s="420" t="s">
        <v>155</v>
      </c>
      <c r="I130" s="349" t="s">
        <v>73</v>
      </c>
      <c r="J130" s="420"/>
      <c r="K130" s="379"/>
      <c r="L130" s="422"/>
      <c r="M130" s="418"/>
      <c r="N130" s="351" t="str">
        <f>H130</f>
        <v>TCU</v>
      </c>
      <c r="O130" s="423">
        <v>59</v>
      </c>
      <c r="P130" s="436" t="str">
        <f t="shared" ref="P130:P162" si="18">IF(+N130=H130,F130,H130)</f>
        <v>1AA Tarleton State</v>
      </c>
      <c r="Q130" s="408">
        <v>17</v>
      </c>
      <c r="R130" s="494"/>
      <c r="S130" s="494"/>
      <c r="T130" s="356"/>
      <c r="U130" s="349"/>
      <c r="W130" s="424"/>
      <c r="X130" s="352" t="s">
        <v>404</v>
      </c>
      <c r="Y130" s="425"/>
    </row>
    <row r="131" spans="1:25" ht="16" x14ac:dyDescent="0.8">
      <c r="A131" s="351">
        <v>2</v>
      </c>
      <c r="B131" s="420" t="s">
        <v>34</v>
      </c>
      <c r="C131" s="421">
        <v>44814</v>
      </c>
      <c r="D131" s="414">
        <f>12/24</f>
        <v>0.5</v>
      </c>
      <c r="E131" s="349" t="s">
        <v>118</v>
      </c>
      <c r="F131" s="420" t="s">
        <v>116</v>
      </c>
      <c r="G131" s="349" t="s">
        <v>85</v>
      </c>
      <c r="H131" s="420" t="s">
        <v>157</v>
      </c>
      <c r="I131" s="349" t="s">
        <v>73</v>
      </c>
      <c r="J131" s="420" t="str">
        <f>F131</f>
        <v>Alabama</v>
      </c>
      <c r="K131" s="379" t="str">
        <f>IF(+J131=H131,F131,H131)</f>
        <v>Texas</v>
      </c>
      <c r="L131" s="422">
        <v>20</v>
      </c>
      <c r="M131" s="418">
        <v>64.5</v>
      </c>
      <c r="N131" s="351" t="str">
        <f>F131</f>
        <v>Alabama</v>
      </c>
      <c r="O131" s="423">
        <v>20</v>
      </c>
      <c r="P131" s="436" t="str">
        <f t="shared" si="18"/>
        <v>Texas</v>
      </c>
      <c r="Q131" s="408">
        <v>19</v>
      </c>
      <c r="R131" s="494" t="str">
        <f>IF(+N131=K131,+N131,IF(+O131-Q131&lt;L131,+K131,+J131))</f>
        <v>Texas</v>
      </c>
      <c r="S131" s="494" t="str">
        <f>IF(+R131=J131,+K131,+J131)</f>
        <v>Alabama</v>
      </c>
      <c r="T131" s="356" t="str">
        <f>J131</f>
        <v>Alabama</v>
      </c>
      <c r="U131" s="665" t="str">
        <f>IF($N131=$J131,IF($O131-$Q131=$L131,"T",IF($R131=T131,"W","L")),IF($R131=T131,"W","L"))</f>
        <v>L</v>
      </c>
      <c r="W131" s="424"/>
      <c r="X131" s="352" t="s">
        <v>404</v>
      </c>
      <c r="Y131" s="425"/>
    </row>
    <row r="132" spans="1:25" ht="16" x14ac:dyDescent="0.8">
      <c r="A132" s="351">
        <v>2</v>
      </c>
      <c r="B132" s="420" t="s">
        <v>34</v>
      </c>
      <c r="C132" s="421">
        <v>44814</v>
      </c>
      <c r="D132" s="414">
        <f>16/24</f>
        <v>0.66666666666666663</v>
      </c>
      <c r="E132" s="349" t="s">
        <v>70</v>
      </c>
      <c r="F132" s="420" t="s">
        <v>174</v>
      </c>
      <c r="G132" s="349" t="s">
        <v>50</v>
      </c>
      <c r="H132" s="420" t="s">
        <v>159</v>
      </c>
      <c r="I132" s="349" t="s">
        <v>73</v>
      </c>
      <c r="J132" s="420" t="str">
        <f>H132</f>
        <v>Texas Tech</v>
      </c>
      <c r="K132" s="379" t="str">
        <f>IF(+J132=H132,F132,H132)</f>
        <v>Houston</v>
      </c>
      <c r="L132" s="422">
        <v>3</v>
      </c>
      <c r="M132" s="418">
        <v>65.5</v>
      </c>
      <c r="N132" s="351" t="str">
        <f>H132</f>
        <v>Texas Tech</v>
      </c>
      <c r="O132" s="423">
        <v>33</v>
      </c>
      <c r="P132" s="436" t="str">
        <f t="shared" si="18"/>
        <v>Houston</v>
      </c>
      <c r="Q132" s="408">
        <v>30</v>
      </c>
      <c r="R132" s="494" t="str">
        <f>IF(+N132=K132,+N132,IF(+O132-Q132&lt;L132,+K132,+J132))</f>
        <v>Texas Tech</v>
      </c>
      <c r="S132" s="494" t="str">
        <f>IF(+R132=J132,+K132,+J132)</f>
        <v>Houston</v>
      </c>
      <c r="T132" s="356" t="str">
        <f>K132</f>
        <v>Houston</v>
      </c>
      <c r="U132" s="665" t="str">
        <f>IF($N132=$J132,IF($O132-$Q132=$L132,"T",IF($R132=T132,"W","L")),IF($R132=T132,"W","L"))</f>
        <v>T</v>
      </c>
      <c r="V132" s="352" t="str">
        <f>LOWER(+H132)</f>
        <v>texas tech</v>
      </c>
      <c r="W132" s="424">
        <v>38</v>
      </c>
      <c r="X132" s="352" t="str">
        <f>UPPER(+F132)</f>
        <v>HOUSTON</v>
      </c>
      <c r="Y132" s="425">
        <v>21</v>
      </c>
    </row>
    <row r="133" spans="1:25" ht="16" x14ac:dyDescent="0.8">
      <c r="A133" s="351">
        <v>2</v>
      </c>
      <c r="B133" s="420" t="s">
        <v>34</v>
      </c>
      <c r="C133" s="421">
        <v>44814</v>
      </c>
      <c r="D133" s="414">
        <f>18/24</f>
        <v>0.75</v>
      </c>
      <c r="E133" s="349"/>
      <c r="F133" s="420" t="s">
        <v>150</v>
      </c>
      <c r="G133" s="349" t="s">
        <v>73</v>
      </c>
      <c r="H133" s="420" t="s">
        <v>222</v>
      </c>
      <c r="I133" s="349" t="s">
        <v>73</v>
      </c>
      <c r="J133" s="420" t="str">
        <f>H133</f>
        <v>West Virginia</v>
      </c>
      <c r="K133" s="379" t="str">
        <f>IF(+J133=H133,F133,H133)</f>
        <v>Kansas</v>
      </c>
      <c r="L133" s="422">
        <v>13.5</v>
      </c>
      <c r="M133" s="418">
        <v>59.5</v>
      </c>
      <c r="N133" s="351" t="str">
        <f>F133</f>
        <v>Kansas</v>
      </c>
      <c r="O133" s="423">
        <v>55</v>
      </c>
      <c r="P133" s="436" t="str">
        <f t="shared" si="18"/>
        <v>West Virginia</v>
      </c>
      <c r="Q133" s="408">
        <v>42</v>
      </c>
      <c r="R133" s="494" t="str">
        <f>IF(+N133=K133,+N133,IF(+O133-Q133&lt;L133,+K133,+J133))</f>
        <v>Kansas</v>
      </c>
      <c r="S133" s="494" t="str">
        <f>IF(+R133=J133,+K133,+J133)</f>
        <v>West Virginia</v>
      </c>
      <c r="T133" s="356" t="str">
        <f>J133</f>
        <v>West Virginia</v>
      </c>
      <c r="U133" s="665" t="str">
        <f>IF($N133=$J133,IF($O133-$Q133=$L133,"T",IF($R133=T133,"W","L")),IF($R133=T133,"W","L"))</f>
        <v>L</v>
      </c>
      <c r="V133" s="352" t="str">
        <f>LOWER(+H133)</f>
        <v>west virginia</v>
      </c>
      <c r="W133" s="424">
        <v>34</v>
      </c>
      <c r="X133" s="352" t="str">
        <f>UPPER(+F133)</f>
        <v>KANSAS</v>
      </c>
      <c r="Y133" s="425">
        <v>28</v>
      </c>
    </row>
    <row r="134" spans="1:25" ht="16" x14ac:dyDescent="0.8">
      <c r="A134" s="351">
        <v>2</v>
      </c>
      <c r="B134" s="420" t="s">
        <v>34</v>
      </c>
      <c r="C134" s="421">
        <v>44814</v>
      </c>
      <c r="D134" s="414">
        <f>18/24</f>
        <v>0.75</v>
      </c>
      <c r="E134" s="349" t="s">
        <v>53</v>
      </c>
      <c r="F134" s="420" t="s">
        <v>208</v>
      </c>
      <c r="G134" s="349" t="s">
        <v>41</v>
      </c>
      <c r="H134" s="420" t="s">
        <v>97</v>
      </c>
      <c r="I134" s="349" t="s">
        <v>39</v>
      </c>
      <c r="J134" s="420"/>
      <c r="K134" s="379"/>
      <c r="L134" s="422"/>
      <c r="M134" s="418"/>
      <c r="N134" s="351" t="str">
        <f>H134</f>
        <v>Florida Atlantic</v>
      </c>
      <c r="O134" s="423">
        <v>42</v>
      </c>
      <c r="P134" s="436" t="str">
        <f t="shared" si="18"/>
        <v>1AA Southeastern Louisiana</v>
      </c>
      <c r="Q134" s="408">
        <v>9</v>
      </c>
      <c r="R134" s="494"/>
      <c r="S134" s="494"/>
      <c r="T134" s="356"/>
      <c r="U134" s="349"/>
      <c r="W134" s="424"/>
      <c r="X134" s="352" t="s">
        <v>404</v>
      </c>
      <c r="Y134" s="425"/>
    </row>
    <row r="135" spans="1:25" ht="16" x14ac:dyDescent="0.8">
      <c r="A135" s="351">
        <v>2</v>
      </c>
      <c r="B135" s="420" t="s">
        <v>34</v>
      </c>
      <c r="C135" s="421">
        <v>44814</v>
      </c>
      <c r="D135" s="414">
        <f>19/24</f>
        <v>0.79166666666666663</v>
      </c>
      <c r="E135" s="349" t="s">
        <v>53</v>
      </c>
      <c r="F135" s="420" t="s">
        <v>108</v>
      </c>
      <c r="G135" s="349" t="s">
        <v>41</v>
      </c>
      <c r="H135" s="420" t="s">
        <v>161</v>
      </c>
      <c r="I135" s="349" t="s">
        <v>39</v>
      </c>
      <c r="J135" s="420"/>
      <c r="K135" s="379"/>
      <c r="L135" s="422"/>
      <c r="M135" s="418"/>
      <c r="N135" s="351" t="str">
        <f>H135</f>
        <v>Louisiana Tech</v>
      </c>
      <c r="O135" s="423">
        <v>52</v>
      </c>
      <c r="P135" s="436" t="str">
        <f t="shared" si="18"/>
        <v>1AA Stephen F Austin</v>
      </c>
      <c r="Q135" s="408">
        <v>17</v>
      </c>
      <c r="R135" s="494"/>
      <c r="S135" s="494"/>
      <c r="T135" s="356"/>
      <c r="U135" s="349"/>
      <c r="W135" s="424"/>
      <c r="X135" s="352" t="s">
        <v>404</v>
      </c>
      <c r="Y135" s="425"/>
    </row>
    <row r="136" spans="1:25" ht="16" x14ac:dyDescent="0.8">
      <c r="A136" s="351">
        <v>2</v>
      </c>
      <c r="B136" s="420" t="s">
        <v>34</v>
      </c>
      <c r="C136" s="421">
        <v>44814</v>
      </c>
      <c r="D136" s="414">
        <f>19.5/24</f>
        <v>0.8125</v>
      </c>
      <c r="E136" s="349" t="s">
        <v>53</v>
      </c>
      <c r="F136" s="420" t="s">
        <v>282</v>
      </c>
      <c r="G136" s="349" t="s">
        <v>41</v>
      </c>
      <c r="H136" s="420" t="s">
        <v>167</v>
      </c>
      <c r="I136" s="349" t="s">
        <v>39</v>
      </c>
      <c r="J136" s="420"/>
      <c r="K136" s="379"/>
      <c r="L136" s="422"/>
      <c r="M136" s="418"/>
      <c r="N136" s="351" t="str">
        <f>H136</f>
        <v>North Texas</v>
      </c>
      <c r="O136" s="423">
        <v>59</v>
      </c>
      <c r="P136" s="436" t="str">
        <f t="shared" si="18"/>
        <v>1AA Texas Southern</v>
      </c>
      <c r="Q136" s="408">
        <v>27</v>
      </c>
      <c r="R136" s="494"/>
      <c r="S136" s="494"/>
      <c r="T136" s="356"/>
      <c r="U136" s="349"/>
      <c r="W136" s="424"/>
      <c r="X136" s="352" t="s">
        <v>404</v>
      </c>
      <c r="Y136" s="425"/>
    </row>
    <row r="137" spans="1:25" ht="16" x14ac:dyDescent="0.8">
      <c r="A137" s="351">
        <v>2</v>
      </c>
      <c r="B137" s="420" t="s">
        <v>34</v>
      </c>
      <c r="C137" s="421">
        <v>44814</v>
      </c>
      <c r="D137" s="414">
        <f>19.5/24</f>
        <v>0.8125</v>
      </c>
      <c r="E137" s="349" t="s">
        <v>53</v>
      </c>
      <c r="F137" s="420" t="s">
        <v>274</v>
      </c>
      <c r="G137" s="349" t="s">
        <v>41</v>
      </c>
      <c r="H137" s="420" t="s">
        <v>38</v>
      </c>
      <c r="I137" s="349" t="s">
        <v>39</v>
      </c>
      <c r="J137" s="420"/>
      <c r="K137" s="379"/>
      <c r="L137" s="422"/>
      <c r="M137" s="418"/>
      <c r="N137" s="351" t="str">
        <f>H137</f>
        <v>Rice</v>
      </c>
      <c r="O137" s="423">
        <v>52</v>
      </c>
      <c r="P137" s="436" t="str">
        <f t="shared" si="18"/>
        <v>1AA McNeese St</v>
      </c>
      <c r="Q137" s="408">
        <v>10</v>
      </c>
      <c r="R137" s="494"/>
      <c r="S137" s="494"/>
      <c r="T137" s="356"/>
      <c r="U137" s="349"/>
      <c r="W137" s="424"/>
      <c r="X137" s="352" t="s">
        <v>404</v>
      </c>
      <c r="Y137" s="425"/>
    </row>
    <row r="138" spans="1:25" ht="16" x14ac:dyDescent="0.8">
      <c r="A138" s="351">
        <v>2</v>
      </c>
      <c r="B138" s="420" t="s">
        <v>34</v>
      </c>
      <c r="C138" s="421">
        <v>44814</v>
      </c>
      <c r="D138" s="414">
        <f>15.5/24</f>
        <v>0.64583333333333337</v>
      </c>
      <c r="E138" s="349"/>
      <c r="F138" s="420" t="s">
        <v>156</v>
      </c>
      <c r="G138" s="349" t="s">
        <v>64</v>
      </c>
      <c r="H138" s="420" t="s">
        <v>100</v>
      </c>
      <c r="I138" s="349" t="s">
        <v>39</v>
      </c>
      <c r="J138" s="420" t="str">
        <f>F138</f>
        <v>Maryland</v>
      </c>
      <c r="K138" s="379" t="str">
        <f t="shared" ref="K138:K145" si="19">IF(+J138=H138,F138,H138)</f>
        <v>UNC Charlotte</v>
      </c>
      <c r="L138" s="422">
        <v>27</v>
      </c>
      <c r="M138" s="418">
        <v>65.5</v>
      </c>
      <c r="N138" s="351" t="str">
        <f>F138</f>
        <v>Maryland</v>
      </c>
      <c r="O138" s="423">
        <v>56</v>
      </c>
      <c r="P138" s="436" t="str">
        <f t="shared" si="18"/>
        <v>UNC Charlotte</v>
      </c>
      <c r="Q138" s="408">
        <v>21</v>
      </c>
      <c r="R138" s="494" t="str">
        <f t="shared" ref="R138:R145" si="20">IF(+N138=K138,+N138,IF(+O138-Q138&lt;L138,+K138,+J138))</f>
        <v>Maryland</v>
      </c>
      <c r="S138" s="494" t="str">
        <f t="shared" ref="S138:S145" si="21">IF(+R138=J138,+K138,+J138)</f>
        <v>UNC Charlotte</v>
      </c>
      <c r="T138" s="356" t="str">
        <f>J138</f>
        <v>Maryland</v>
      </c>
      <c r="U138" s="665" t="str">
        <f t="shared" ref="U138:U145" si="22">IF($N138=$J138,IF($O138-$Q138=$L138,"T",IF($R138=T138,"W","L")),IF($R138=T138,"W","L"))</f>
        <v>W</v>
      </c>
      <c r="W138" s="424"/>
      <c r="X138" s="352" t="s">
        <v>404</v>
      </c>
      <c r="Y138" s="425"/>
    </row>
    <row r="139" spans="1:25" ht="16" x14ac:dyDescent="0.8">
      <c r="A139" s="351">
        <v>2</v>
      </c>
      <c r="B139" s="420" t="s">
        <v>34</v>
      </c>
      <c r="C139" s="421">
        <v>44814</v>
      </c>
      <c r="D139" s="414">
        <f>21/24</f>
        <v>0.875</v>
      </c>
      <c r="E139" s="349"/>
      <c r="F139" s="420" t="s">
        <v>78</v>
      </c>
      <c r="G139" s="349" t="s">
        <v>43</v>
      </c>
      <c r="H139" s="420" t="s">
        <v>153</v>
      </c>
      <c r="I139" s="349" t="s">
        <v>39</v>
      </c>
      <c r="J139" s="420" t="str">
        <f>H139</f>
        <v>UTEP</v>
      </c>
      <c r="K139" s="379" t="str">
        <f t="shared" si="19"/>
        <v>New Mexico State</v>
      </c>
      <c r="L139" s="422">
        <v>14</v>
      </c>
      <c r="M139" s="418">
        <v>46.5</v>
      </c>
      <c r="N139" s="351" t="str">
        <f>H139</f>
        <v>UTEP</v>
      </c>
      <c r="O139" s="423">
        <v>20</v>
      </c>
      <c r="P139" s="436" t="str">
        <f t="shared" si="18"/>
        <v>New Mexico State</v>
      </c>
      <c r="Q139" s="408">
        <v>13</v>
      </c>
      <c r="R139" s="494" t="str">
        <f t="shared" si="20"/>
        <v>New Mexico State</v>
      </c>
      <c r="S139" s="494" t="str">
        <f t="shared" si="21"/>
        <v>UTEP</v>
      </c>
      <c r="T139" s="356" t="str">
        <f>J139</f>
        <v>UTEP</v>
      </c>
      <c r="U139" s="665" t="str">
        <f t="shared" si="22"/>
        <v>L</v>
      </c>
      <c r="V139" s="352" t="str">
        <f>LOWER(+H139)</f>
        <v>utep</v>
      </c>
      <c r="W139" s="424">
        <v>30</v>
      </c>
      <c r="X139" s="352" t="str">
        <f>UPPER(+F139)</f>
        <v>NEW MEXICO STATE</v>
      </c>
      <c r="Y139" s="425">
        <v>3</v>
      </c>
    </row>
    <row r="140" spans="1:25" ht="16" x14ac:dyDescent="0.8">
      <c r="A140" s="351">
        <v>2</v>
      </c>
      <c r="B140" s="420" t="s">
        <v>34</v>
      </c>
      <c r="C140" s="421">
        <v>44814</v>
      </c>
      <c r="D140" s="414">
        <f>12/24</f>
        <v>0.5</v>
      </c>
      <c r="E140" s="349" t="s">
        <v>445</v>
      </c>
      <c r="F140" s="420" t="s">
        <v>175</v>
      </c>
      <c r="G140" s="349" t="s">
        <v>39</v>
      </c>
      <c r="H140" s="420" t="s">
        <v>99</v>
      </c>
      <c r="I140" s="349" t="s">
        <v>43</v>
      </c>
      <c r="J140" s="420" t="str">
        <f>F140</f>
        <v>UT San Antonio</v>
      </c>
      <c r="K140" s="379" t="str">
        <f t="shared" si="19"/>
        <v>Army</v>
      </c>
      <c r="L140" s="422">
        <v>2</v>
      </c>
      <c r="M140" s="418">
        <v>54.5</v>
      </c>
      <c r="N140" s="351" t="str">
        <f>F140</f>
        <v>UT San Antonio</v>
      </c>
      <c r="O140" s="423">
        <v>41</v>
      </c>
      <c r="P140" s="436" t="str">
        <f t="shared" si="18"/>
        <v>Army</v>
      </c>
      <c r="Q140" s="408">
        <v>38</v>
      </c>
      <c r="R140" s="494" t="str">
        <f t="shared" si="20"/>
        <v>UT San Antonio</v>
      </c>
      <c r="S140" s="494" t="str">
        <f t="shared" si="21"/>
        <v>Army</v>
      </c>
      <c r="T140" s="356" t="str">
        <f>J140</f>
        <v>UT San Antonio</v>
      </c>
      <c r="U140" s="665" t="str">
        <f t="shared" si="22"/>
        <v>W</v>
      </c>
      <c r="W140" s="424"/>
      <c r="X140" s="352" t="s">
        <v>404</v>
      </c>
      <c r="Y140" s="425"/>
    </row>
    <row r="141" spans="1:25" ht="16" x14ac:dyDescent="0.8">
      <c r="A141" s="351">
        <v>2</v>
      </c>
      <c r="B141" s="420" t="s">
        <v>34</v>
      </c>
      <c r="C141" s="421">
        <v>44814</v>
      </c>
      <c r="D141" s="414">
        <f>22.25/24</f>
        <v>0.92708333333333337</v>
      </c>
      <c r="E141" s="349" t="s">
        <v>35</v>
      </c>
      <c r="F141" s="420" t="s">
        <v>146</v>
      </c>
      <c r="G141" s="349" t="s">
        <v>73</v>
      </c>
      <c r="H141" s="420" t="s">
        <v>42</v>
      </c>
      <c r="I141" s="349" t="s">
        <v>43</v>
      </c>
      <c r="J141" s="420" t="str">
        <f>H141</f>
        <v>BYU</v>
      </c>
      <c r="K141" s="379" t="str">
        <f t="shared" si="19"/>
        <v>Baylor</v>
      </c>
      <c r="L141" s="422">
        <v>3.5</v>
      </c>
      <c r="M141" s="418">
        <v>53.5</v>
      </c>
      <c r="N141" s="351" t="str">
        <f>H141</f>
        <v>BYU</v>
      </c>
      <c r="O141" s="423">
        <v>26</v>
      </c>
      <c r="P141" s="436" t="str">
        <f t="shared" si="18"/>
        <v>Baylor</v>
      </c>
      <c r="Q141" s="408">
        <v>20</v>
      </c>
      <c r="R141" s="494" t="str">
        <f t="shared" si="20"/>
        <v>BYU</v>
      </c>
      <c r="S141" s="494" t="str">
        <f t="shared" si="21"/>
        <v>Baylor</v>
      </c>
      <c r="T141" s="356" t="str">
        <f>K141</f>
        <v>Baylor</v>
      </c>
      <c r="U141" s="665" t="str">
        <f t="shared" si="22"/>
        <v>L</v>
      </c>
      <c r="V141" s="352" t="str">
        <f>UPPER(+F141)</f>
        <v>BAYLOR</v>
      </c>
      <c r="W141" s="424">
        <v>36</v>
      </c>
      <c r="X141" s="352" t="str">
        <f>LOWER(+H141)</f>
        <v>byu</v>
      </c>
      <c r="Y141" s="425">
        <v>24</v>
      </c>
    </row>
    <row r="142" spans="1:25" ht="16" x14ac:dyDescent="0.8">
      <c r="A142" s="351">
        <v>2</v>
      </c>
      <c r="B142" s="420" t="s">
        <v>34</v>
      </c>
      <c r="C142" s="421">
        <v>44814</v>
      </c>
      <c r="D142" s="414">
        <f>19/24</f>
        <v>0.79166666666666663</v>
      </c>
      <c r="E142" s="349" t="s">
        <v>445</v>
      </c>
      <c r="F142" s="420" t="s">
        <v>90</v>
      </c>
      <c r="G142" s="349" t="s">
        <v>61</v>
      </c>
      <c r="H142" s="420" t="s">
        <v>57</v>
      </c>
      <c r="I142" s="349" t="s">
        <v>43</v>
      </c>
      <c r="J142" s="420" t="str">
        <f>F142</f>
        <v>Syracuse</v>
      </c>
      <c r="K142" s="379" t="str">
        <f t="shared" si="19"/>
        <v>Connecticut</v>
      </c>
      <c r="L142" s="422">
        <v>22.5</v>
      </c>
      <c r="M142" s="418">
        <v>49</v>
      </c>
      <c r="N142" s="351" t="str">
        <f>F142</f>
        <v>Syracuse</v>
      </c>
      <c r="O142" s="423">
        <v>48</v>
      </c>
      <c r="P142" s="436" t="str">
        <f t="shared" si="18"/>
        <v>Connecticut</v>
      </c>
      <c r="Q142" s="408">
        <v>14</v>
      </c>
      <c r="R142" s="494" t="str">
        <f t="shared" si="20"/>
        <v>Syracuse</v>
      </c>
      <c r="S142" s="494" t="str">
        <f t="shared" si="21"/>
        <v>Connecticut</v>
      </c>
      <c r="T142" s="356" t="str">
        <f>F142</f>
        <v>Syracuse</v>
      </c>
      <c r="U142" s="665" t="str">
        <f t="shared" si="22"/>
        <v>W</v>
      </c>
      <c r="W142" s="424"/>
      <c r="X142" s="352" t="s">
        <v>404</v>
      </c>
      <c r="Y142" s="425"/>
    </row>
    <row r="143" spans="1:25" ht="16" x14ac:dyDescent="0.8">
      <c r="A143" s="351">
        <v>2</v>
      </c>
      <c r="B143" s="420" t="s">
        <v>34</v>
      </c>
      <c r="C143" s="421">
        <v>44814</v>
      </c>
      <c r="D143" s="414">
        <f>18/24</f>
        <v>0.75</v>
      </c>
      <c r="E143" s="349"/>
      <c r="F143" s="420" t="s">
        <v>173</v>
      </c>
      <c r="G143" s="349" t="s">
        <v>39</v>
      </c>
      <c r="H143" s="420" t="s">
        <v>306</v>
      </c>
      <c r="I143" s="349" t="s">
        <v>43</v>
      </c>
      <c r="J143" s="420" t="str">
        <f>F143</f>
        <v>UAB</v>
      </c>
      <c r="K143" s="379" t="str">
        <f t="shared" si="19"/>
        <v>Liberty</v>
      </c>
      <c r="L143" s="422">
        <v>6.5</v>
      </c>
      <c r="M143" s="418">
        <v>50</v>
      </c>
      <c r="N143" s="351" t="str">
        <f>H143</f>
        <v>Liberty</v>
      </c>
      <c r="O143" s="423">
        <v>21</v>
      </c>
      <c r="P143" s="436" t="str">
        <f t="shared" si="18"/>
        <v>UAB</v>
      </c>
      <c r="Q143" s="408">
        <v>14</v>
      </c>
      <c r="R143" s="494" t="str">
        <f t="shared" si="20"/>
        <v>Liberty</v>
      </c>
      <c r="S143" s="494" t="str">
        <f t="shared" si="21"/>
        <v>UAB</v>
      </c>
      <c r="T143" s="356" t="str">
        <f>K143</f>
        <v>Liberty</v>
      </c>
      <c r="U143" s="665" t="str">
        <f t="shared" si="22"/>
        <v>W</v>
      </c>
      <c r="V143" s="352" t="str">
        <f>LOWER(+H143)</f>
        <v>liberty</v>
      </c>
      <c r="W143" s="424">
        <v>36</v>
      </c>
      <c r="X143" s="352" t="str">
        <f>UPPER(+F143)</f>
        <v>UAB</v>
      </c>
      <c r="Y143" s="425">
        <v>12</v>
      </c>
    </row>
    <row r="144" spans="1:25" ht="16" x14ac:dyDescent="0.8">
      <c r="A144" s="351">
        <v>2</v>
      </c>
      <c r="B144" s="420" t="s">
        <v>34</v>
      </c>
      <c r="C144" s="421">
        <v>44814</v>
      </c>
      <c r="D144" s="414">
        <f>14.5/24</f>
        <v>0.60416666666666663</v>
      </c>
      <c r="E144" s="349" t="s">
        <v>179</v>
      </c>
      <c r="F144" s="420" t="s">
        <v>163</v>
      </c>
      <c r="G144" s="349" t="s">
        <v>59</v>
      </c>
      <c r="H144" s="420" t="s">
        <v>181</v>
      </c>
      <c r="I144" s="349" t="s">
        <v>43</v>
      </c>
      <c r="J144" s="420" t="str">
        <f>H144</f>
        <v>Notre Dame</v>
      </c>
      <c r="K144" s="379" t="str">
        <f t="shared" si="19"/>
        <v>Marshall</v>
      </c>
      <c r="L144" s="422">
        <v>20.5</v>
      </c>
      <c r="M144" s="418">
        <v>51.5</v>
      </c>
      <c r="N144" s="351" t="str">
        <f>F144</f>
        <v>Marshall</v>
      </c>
      <c r="O144" s="423">
        <v>26</v>
      </c>
      <c r="P144" s="436" t="str">
        <f t="shared" si="18"/>
        <v>Notre Dame</v>
      </c>
      <c r="Q144" s="408">
        <v>21</v>
      </c>
      <c r="R144" s="494" t="str">
        <f t="shared" si="20"/>
        <v>Marshall</v>
      </c>
      <c r="S144" s="494" t="str">
        <f t="shared" si="21"/>
        <v>Notre Dame</v>
      </c>
      <c r="T144" s="356" t="str">
        <f>J144</f>
        <v>Notre Dame</v>
      </c>
      <c r="U144" s="665" t="str">
        <f t="shared" si="22"/>
        <v>L</v>
      </c>
      <c r="W144" s="424"/>
      <c r="X144" s="352" t="s">
        <v>404</v>
      </c>
      <c r="Y144" s="425"/>
    </row>
    <row r="145" spans="1:25" ht="16" x14ac:dyDescent="0.8">
      <c r="A145" s="351">
        <v>2</v>
      </c>
      <c r="B145" s="420" t="s">
        <v>34</v>
      </c>
      <c r="C145" s="421">
        <v>44814</v>
      </c>
      <c r="D145" s="414">
        <f>14/24</f>
        <v>0.58333333333333337</v>
      </c>
      <c r="E145" s="349"/>
      <c r="F145" s="420" t="s">
        <v>201</v>
      </c>
      <c r="G145" s="349" t="s">
        <v>68</v>
      </c>
      <c r="H145" s="420" t="s">
        <v>131</v>
      </c>
      <c r="I145" s="349" t="s">
        <v>68</v>
      </c>
      <c r="J145" s="420" t="str">
        <f>F145</f>
        <v>Western Michigan</v>
      </c>
      <c r="K145" s="379" t="str">
        <f t="shared" si="19"/>
        <v>Ball State</v>
      </c>
      <c r="L145" s="422">
        <v>6.5</v>
      </c>
      <c r="M145" s="418">
        <v>53</v>
      </c>
      <c r="N145" s="351" t="str">
        <f>F145</f>
        <v>Western Michigan</v>
      </c>
      <c r="O145" s="423">
        <v>37</v>
      </c>
      <c r="P145" s="436" t="str">
        <f t="shared" si="18"/>
        <v>Ball State</v>
      </c>
      <c r="Q145" s="408">
        <v>30</v>
      </c>
      <c r="R145" s="494" t="str">
        <f t="shared" si="20"/>
        <v>Western Michigan</v>
      </c>
      <c r="S145" s="494" t="str">
        <f t="shared" si="21"/>
        <v>Ball State</v>
      </c>
      <c r="T145" s="356" t="str">
        <f>J145</f>
        <v>Western Michigan</v>
      </c>
      <c r="U145" s="665" t="str">
        <f t="shared" si="22"/>
        <v>W</v>
      </c>
      <c r="V145" s="352" t="str">
        <f>LOWER(+H145)</f>
        <v>ball state</v>
      </c>
      <c r="W145" s="424">
        <v>45</v>
      </c>
      <c r="X145" s="352" t="str">
        <f>UPPER(+F145)</f>
        <v>WESTERN MICHIGAN</v>
      </c>
      <c r="Y145" s="425">
        <v>20</v>
      </c>
    </row>
    <row r="146" spans="1:25" ht="16" x14ac:dyDescent="0.8">
      <c r="A146" s="351">
        <v>2</v>
      </c>
      <c r="B146" s="420" t="s">
        <v>34</v>
      </c>
      <c r="C146" s="421">
        <v>44814</v>
      </c>
      <c r="D146" s="414">
        <f>16/24</f>
        <v>0.66666666666666663</v>
      </c>
      <c r="E146" s="349" t="s">
        <v>53</v>
      </c>
      <c r="F146" s="420" t="s">
        <v>176</v>
      </c>
      <c r="G146" s="349" t="s">
        <v>41</v>
      </c>
      <c r="H146" s="420" t="s">
        <v>138</v>
      </c>
      <c r="I146" s="349" t="s">
        <v>68</v>
      </c>
      <c r="J146" s="420"/>
      <c r="K146" s="379"/>
      <c r="L146" s="422"/>
      <c r="M146" s="418"/>
      <c r="N146" s="351" t="str">
        <f>F146</f>
        <v>1AA Eastern Kentucky</v>
      </c>
      <c r="O146" s="423">
        <v>59</v>
      </c>
      <c r="P146" s="436" t="str">
        <f t="shared" si="18"/>
        <v>Bowling Green</v>
      </c>
      <c r="Q146" s="408">
        <v>57</v>
      </c>
      <c r="R146" s="494"/>
      <c r="S146" s="494"/>
      <c r="T146" s="356"/>
      <c r="U146" s="349"/>
      <c r="W146" s="424"/>
      <c r="X146" s="352" t="s">
        <v>404</v>
      </c>
      <c r="Y146" s="425"/>
    </row>
    <row r="147" spans="1:25" ht="16" x14ac:dyDescent="0.8">
      <c r="A147" s="351">
        <v>2</v>
      </c>
      <c r="B147" s="420" t="s">
        <v>34</v>
      </c>
      <c r="C147" s="421">
        <v>44814</v>
      </c>
      <c r="D147" s="414">
        <f>18/24</f>
        <v>0.75</v>
      </c>
      <c r="E147" s="349"/>
      <c r="F147" s="420" t="s">
        <v>56</v>
      </c>
      <c r="G147" s="349" t="s">
        <v>41</v>
      </c>
      <c r="H147" s="420" t="s">
        <v>67</v>
      </c>
      <c r="I147" s="349" t="s">
        <v>68</v>
      </c>
      <c r="J147" s="420"/>
      <c r="K147" s="379"/>
      <c r="L147" s="422"/>
      <c r="M147" s="418"/>
      <c r="N147" s="351" t="str">
        <f>F147</f>
        <v>1AA Holy Cross</v>
      </c>
      <c r="O147" s="423">
        <v>37</v>
      </c>
      <c r="P147" s="436" t="str">
        <f t="shared" si="18"/>
        <v>Buffalo</v>
      </c>
      <c r="Q147" s="408">
        <v>31</v>
      </c>
      <c r="R147" s="494"/>
      <c r="S147" s="494"/>
      <c r="T147" s="356"/>
      <c r="U147" s="349"/>
      <c r="W147" s="424"/>
      <c r="X147" s="352" t="s">
        <v>404</v>
      </c>
      <c r="Y147" s="425"/>
    </row>
    <row r="148" spans="1:25" ht="16" x14ac:dyDescent="0.8">
      <c r="A148" s="351">
        <v>2</v>
      </c>
      <c r="B148" s="420" t="s">
        <v>34</v>
      </c>
      <c r="C148" s="421">
        <v>44814</v>
      </c>
      <c r="D148" s="414">
        <f>13/24</f>
        <v>0.54166666666666663</v>
      </c>
      <c r="E148" s="349"/>
      <c r="F148" s="420" t="s">
        <v>214</v>
      </c>
      <c r="G148" s="349" t="s">
        <v>59</v>
      </c>
      <c r="H148" s="420" t="s">
        <v>75</v>
      </c>
      <c r="I148" s="349" t="s">
        <v>68</v>
      </c>
      <c r="J148" s="420" t="str">
        <f>H148</f>
        <v>Central Michigan</v>
      </c>
      <c r="K148" s="379" t="str">
        <f>IF(+J148=H148,F148,H148)</f>
        <v>South Alabama</v>
      </c>
      <c r="L148" s="422">
        <v>5</v>
      </c>
      <c r="M148" s="418">
        <v>58.5</v>
      </c>
      <c r="N148" s="351" t="str">
        <f>F148</f>
        <v>South Alabama</v>
      </c>
      <c r="O148" s="423">
        <v>38</v>
      </c>
      <c r="P148" s="436" t="str">
        <f t="shared" si="18"/>
        <v>Central Michigan</v>
      </c>
      <c r="Q148" s="408">
        <v>24</v>
      </c>
      <c r="R148" s="494" t="str">
        <f>IF(+N148=K148,+N148,IF(+O148-Q148&lt;L148,+K148,+J148))</f>
        <v>South Alabama</v>
      </c>
      <c r="S148" s="494" t="str">
        <f>IF(+R148=J148,+K148,+J148)</f>
        <v>Central Michigan</v>
      </c>
      <c r="T148" s="356" t="str">
        <f>J148</f>
        <v>Central Michigan</v>
      </c>
      <c r="U148" s="665" t="str">
        <f>IF($N148=$J148,IF($O148-$Q148=$L148,"T",IF($R148=T148,"W","L")),IF($R148=T148,"W","L"))</f>
        <v>L</v>
      </c>
      <c r="W148" s="424"/>
      <c r="X148" s="352" t="s">
        <v>404</v>
      </c>
      <c r="Y148" s="425"/>
    </row>
    <row r="149" spans="1:25" ht="16" x14ac:dyDescent="0.8">
      <c r="A149" s="351">
        <v>2</v>
      </c>
      <c r="B149" s="420" t="s">
        <v>34</v>
      </c>
      <c r="C149" s="421">
        <v>44814</v>
      </c>
      <c r="D149" s="414">
        <f>18/24</f>
        <v>0.75</v>
      </c>
      <c r="E149" s="349" t="s">
        <v>53</v>
      </c>
      <c r="F149" s="420" t="s">
        <v>277</v>
      </c>
      <c r="G149" s="349" t="s">
        <v>41</v>
      </c>
      <c r="H149" s="420" t="s">
        <v>162</v>
      </c>
      <c r="I149" s="349" t="s">
        <v>68</v>
      </c>
      <c r="J149" s="420"/>
      <c r="K149" s="379"/>
      <c r="L149" s="422"/>
      <c r="M149" s="418"/>
      <c r="N149" s="351" t="str">
        <f>H149</f>
        <v>Miami (OH)</v>
      </c>
      <c r="O149" s="423">
        <v>31</v>
      </c>
      <c r="P149" s="436" t="str">
        <f t="shared" si="18"/>
        <v>1AA Robert Morris</v>
      </c>
      <c r="Q149" s="408">
        <v>14</v>
      </c>
      <c r="R149" s="494"/>
      <c r="S149" s="494"/>
      <c r="T149" s="356"/>
      <c r="U149" s="349"/>
      <c r="W149" s="424"/>
      <c r="X149" s="352" t="s">
        <v>404</v>
      </c>
      <c r="Y149" s="425"/>
    </row>
    <row r="150" spans="1:25" ht="16" x14ac:dyDescent="0.8">
      <c r="A150" s="351">
        <v>2</v>
      </c>
      <c r="B150" s="420" t="s">
        <v>34</v>
      </c>
      <c r="C150" s="421">
        <v>44814</v>
      </c>
      <c r="D150" s="414">
        <f>19/24</f>
        <v>0.79166666666666663</v>
      </c>
      <c r="E150" s="349"/>
      <c r="F150" s="420" t="s">
        <v>46</v>
      </c>
      <c r="G150" s="349" t="s">
        <v>43</v>
      </c>
      <c r="H150" s="420" t="s">
        <v>77</v>
      </c>
      <c r="I150" s="349" t="s">
        <v>68</v>
      </c>
      <c r="J150" s="420" t="str">
        <f>H150</f>
        <v>Toledo</v>
      </c>
      <c r="K150" s="379" t="str">
        <f>IF(+J150=H150,F150,H150)</f>
        <v>Massachusetts</v>
      </c>
      <c r="L150" s="422">
        <v>28.5</v>
      </c>
      <c r="M150" s="418">
        <v>49</v>
      </c>
      <c r="N150" s="351" t="str">
        <f>H150</f>
        <v>Toledo</v>
      </c>
      <c r="O150" s="423">
        <v>55</v>
      </c>
      <c r="P150" s="436" t="str">
        <f t="shared" si="18"/>
        <v>Massachusetts</v>
      </c>
      <c r="Q150" s="408">
        <v>10</v>
      </c>
      <c r="R150" s="494" t="str">
        <f>IF(+N150=K150,+N150,IF(+O150-Q150&lt;L150,+K150,+J150))</f>
        <v>Toledo</v>
      </c>
      <c r="S150" s="494" t="str">
        <f>IF(+R150=J150,+K150,+J150)</f>
        <v>Massachusetts</v>
      </c>
      <c r="T150" s="356" t="str">
        <f>J150</f>
        <v>Toledo</v>
      </c>
      <c r="U150" s="665" t="str">
        <f>IF($N150=$J150,IF($O150-$Q150=$L150,"T",IF($R150=T150,"W","L")),IF($R150=T150,"W","L"))</f>
        <v>W</v>
      </c>
      <c r="V150" s="352" t="str">
        <f>LOWER(+H150)</f>
        <v>toledo</v>
      </c>
      <c r="W150" s="424">
        <v>45</v>
      </c>
      <c r="X150" s="352" t="str">
        <f>UPPER(+F150)</f>
        <v>MASSACHUSETTS</v>
      </c>
      <c r="Y150" s="425">
        <v>7</v>
      </c>
    </row>
    <row r="151" spans="1:25" ht="16" x14ac:dyDescent="0.8">
      <c r="A151" s="351">
        <v>2</v>
      </c>
      <c r="B151" s="420" t="s">
        <v>34</v>
      </c>
      <c r="C151" s="421">
        <v>44814</v>
      </c>
      <c r="D151" s="414">
        <f>15.5/24</f>
        <v>0.64583333333333337</v>
      </c>
      <c r="E151" s="349" t="s">
        <v>303</v>
      </c>
      <c r="F151" s="420" t="s">
        <v>104</v>
      </c>
      <c r="G151" s="349" t="s">
        <v>37</v>
      </c>
      <c r="H151" s="420" t="s">
        <v>184</v>
      </c>
      <c r="I151" s="349" t="s">
        <v>45</v>
      </c>
      <c r="J151" s="420" t="str">
        <f>H151</f>
        <v>Air Force</v>
      </c>
      <c r="K151" s="379" t="str">
        <f>IF(+J151=H151,F151,H151)</f>
        <v>Colorado</v>
      </c>
      <c r="L151" s="422">
        <v>17.5</v>
      </c>
      <c r="M151" s="418">
        <v>49</v>
      </c>
      <c r="N151" s="351" t="str">
        <f>H151</f>
        <v>Air Force</v>
      </c>
      <c r="O151" s="423">
        <v>41</v>
      </c>
      <c r="P151" s="436" t="str">
        <f t="shared" si="18"/>
        <v>Colorado</v>
      </c>
      <c r="Q151" s="408">
        <v>10</v>
      </c>
      <c r="R151" s="494" t="str">
        <f>IF(+N151=K151,+N151,IF(+O151-Q151&lt;L151,+K151,+J151))</f>
        <v>Air Force</v>
      </c>
      <c r="S151" s="494" t="str">
        <f>IF(+R151=J151,+K151,+J151)</f>
        <v>Colorado</v>
      </c>
      <c r="T151" s="356" t="str">
        <f>K151</f>
        <v>Colorado</v>
      </c>
      <c r="U151" s="665" t="str">
        <f>IF($N151=$J151,IF($O151-$Q151=$L151,"T",IF($R151=T151,"W","L")),IF($R151=T151,"W","L"))</f>
        <v>L</v>
      </c>
      <c r="W151" s="424"/>
      <c r="X151" s="352" t="s">
        <v>404</v>
      </c>
      <c r="Y151" s="425"/>
    </row>
    <row r="152" spans="1:25" ht="16" x14ac:dyDescent="0.8">
      <c r="A152" s="351">
        <v>2</v>
      </c>
      <c r="B152" s="420" t="s">
        <v>34</v>
      </c>
      <c r="C152" s="421">
        <v>44814</v>
      </c>
      <c r="D152" s="414">
        <f>16/24</f>
        <v>0.66666666666666663</v>
      </c>
      <c r="E152" s="349"/>
      <c r="F152" s="420" t="s">
        <v>165</v>
      </c>
      <c r="G152" s="349" t="s">
        <v>39</v>
      </c>
      <c r="H152" s="420" t="s">
        <v>48</v>
      </c>
      <c r="I152" s="349" t="s">
        <v>45</v>
      </c>
      <c r="J152" s="420" t="str">
        <f>H152</f>
        <v>Colorado State</v>
      </c>
      <c r="K152" s="379" t="str">
        <f>IF(+J152=H152,F152,H152)</f>
        <v>Middle Tenn St</v>
      </c>
      <c r="L152" s="422">
        <v>9</v>
      </c>
      <c r="M152" s="418">
        <v>58.5</v>
      </c>
      <c r="N152" s="351" t="str">
        <f>F152</f>
        <v>Middle Tenn St</v>
      </c>
      <c r="O152" s="423">
        <v>34</v>
      </c>
      <c r="P152" s="436" t="str">
        <f t="shared" si="18"/>
        <v>Colorado State</v>
      </c>
      <c r="Q152" s="408">
        <v>19</v>
      </c>
      <c r="R152" s="494" t="str">
        <f>IF(+N152=K152,+N152,IF(+O152-Q152&lt;L152,+K152,+J152))</f>
        <v>Middle Tenn St</v>
      </c>
      <c r="S152" s="494" t="str">
        <f>IF(+R152=J152,+K152,+J152)</f>
        <v>Colorado State</v>
      </c>
      <c r="T152" s="356" t="str">
        <f>K152</f>
        <v>Middle Tenn St</v>
      </c>
      <c r="U152" s="665" t="str">
        <f>IF($N152=$J152,IF($O152-$Q152=$L152,"T",IF($R152=T152,"W","L")),IF($R152=T152,"W","L"))</f>
        <v>W</v>
      </c>
      <c r="W152" s="424"/>
      <c r="X152" s="352" t="s">
        <v>404</v>
      </c>
      <c r="Y152" s="425"/>
    </row>
    <row r="153" spans="1:25" ht="16" x14ac:dyDescent="0.8">
      <c r="A153" s="351">
        <v>2</v>
      </c>
      <c r="B153" s="420" t="s">
        <v>34</v>
      </c>
      <c r="C153" s="421">
        <v>44814</v>
      </c>
      <c r="D153" s="414">
        <f>22.5/24</f>
        <v>0.9375</v>
      </c>
      <c r="E153" s="349" t="s">
        <v>447</v>
      </c>
      <c r="F153" s="420" t="s">
        <v>47</v>
      </c>
      <c r="G153" s="349" t="s">
        <v>37</v>
      </c>
      <c r="H153" s="420" t="s">
        <v>188</v>
      </c>
      <c r="I153" s="349" t="s">
        <v>45</v>
      </c>
      <c r="J153" s="420" t="str">
        <f>F153</f>
        <v>Oregon State</v>
      </c>
      <c r="K153" s="379" t="str">
        <f>IF(+J153=H153,F153,H153)</f>
        <v>Fresno State</v>
      </c>
      <c r="L153" s="422">
        <v>0</v>
      </c>
      <c r="M153" s="418">
        <v>61</v>
      </c>
      <c r="N153" s="351" t="str">
        <f>F153</f>
        <v>Oregon State</v>
      </c>
      <c r="O153" s="423">
        <v>35</v>
      </c>
      <c r="P153" s="436" t="str">
        <f t="shared" si="18"/>
        <v>Fresno State</v>
      </c>
      <c r="Q153" s="408">
        <v>32</v>
      </c>
      <c r="R153" s="494" t="str">
        <f>IF(+N153=K153,+N153,IF(+O153-Q153&lt;L153,+K153,+J153))</f>
        <v>Oregon State</v>
      </c>
      <c r="S153" s="494" t="str">
        <f>IF(+R153=J153,+K153,+J153)</f>
        <v>Fresno State</v>
      </c>
      <c r="T153" s="356" t="str">
        <f>H153</f>
        <v>Fresno State</v>
      </c>
      <c r="U153" s="665" t="str">
        <f>IF($N153=$J153,IF($O153-$Q153=$L153,"T",IF($R153=T153,"W","L")),IF($R153=T153,"W","L"))</f>
        <v>L</v>
      </c>
      <c r="W153" s="424"/>
      <c r="X153" s="352" t="s">
        <v>404</v>
      </c>
      <c r="Y153" s="425"/>
    </row>
    <row r="154" spans="1:25" ht="16" x14ac:dyDescent="0.8">
      <c r="A154" s="351">
        <v>2</v>
      </c>
      <c r="B154" s="420" t="s">
        <v>34</v>
      </c>
      <c r="C154" s="421">
        <v>44814</v>
      </c>
      <c r="D154" s="414">
        <f>17.5/24</f>
        <v>0.72916666666666663</v>
      </c>
      <c r="E154" s="349"/>
      <c r="F154" s="354" t="s">
        <v>187</v>
      </c>
      <c r="G154" s="349" t="s">
        <v>41</v>
      </c>
      <c r="H154" s="420" t="s">
        <v>142</v>
      </c>
      <c r="I154" s="349" t="s">
        <v>45</v>
      </c>
      <c r="J154" s="420"/>
      <c r="K154" s="379"/>
      <c r="L154" s="422"/>
      <c r="M154" s="418"/>
      <c r="N154" s="371" t="str">
        <f>F154</f>
        <v>1AA Incarnate Word</v>
      </c>
      <c r="O154" s="423">
        <v>55</v>
      </c>
      <c r="P154" s="436" t="str">
        <f t="shared" si="18"/>
        <v>Nevada</v>
      </c>
      <c r="Q154" s="408">
        <v>41</v>
      </c>
      <c r="R154" s="494"/>
      <c r="S154" s="494"/>
      <c r="T154" s="356"/>
      <c r="U154" s="349"/>
      <c r="W154" s="424"/>
      <c r="X154" s="352" t="s">
        <v>404</v>
      </c>
      <c r="Y154" s="425"/>
    </row>
    <row r="155" spans="1:25" ht="16" x14ac:dyDescent="0.8">
      <c r="A155" s="351">
        <v>2</v>
      </c>
      <c r="B155" s="420" t="s">
        <v>88</v>
      </c>
      <c r="C155" s="421">
        <v>44813</v>
      </c>
      <c r="D155" s="414">
        <f>21/24</f>
        <v>0.875</v>
      </c>
      <c r="E155" s="349" t="s">
        <v>445</v>
      </c>
      <c r="F155" s="420" t="s">
        <v>186</v>
      </c>
      <c r="G155" s="349" t="s">
        <v>45</v>
      </c>
      <c r="H155" s="420" t="s">
        <v>191</v>
      </c>
      <c r="I155" s="349" t="s">
        <v>45</v>
      </c>
      <c r="J155" s="420" t="str">
        <f>F155</f>
        <v>Boise State</v>
      </c>
      <c r="K155" s="379" t="str">
        <f>IF(+J155=H155,F155,H155)</f>
        <v>New Mexico</v>
      </c>
      <c r="L155" s="422">
        <v>16.5</v>
      </c>
      <c r="M155" s="418">
        <v>44</v>
      </c>
      <c r="N155" s="351" t="str">
        <f>F155</f>
        <v>Boise State</v>
      </c>
      <c r="O155" s="423">
        <v>31</v>
      </c>
      <c r="P155" s="436" t="str">
        <f t="shared" si="18"/>
        <v>New Mexico</v>
      </c>
      <c r="Q155" s="408">
        <v>14</v>
      </c>
      <c r="R155" s="494" t="str">
        <f>IF(+N155=K155,+N155,IF(+O155-Q155&lt;L155,+K155,+J155))</f>
        <v>Boise State</v>
      </c>
      <c r="S155" s="494" t="str">
        <f>IF(+R155=J155,+K155,+J155)</f>
        <v>New Mexico</v>
      </c>
      <c r="T155" s="356" t="str">
        <f>K155</f>
        <v>New Mexico</v>
      </c>
      <c r="U155" s="665" t="str">
        <f>IF($N155=$J155,IF($O155-$Q155=$L155,"T",IF($R155=T155,"W","L")),IF($R155=T155,"W","L"))</f>
        <v>L</v>
      </c>
      <c r="V155" s="352" t="str">
        <f>UPPER(+F155)</f>
        <v>BOISE STATE</v>
      </c>
      <c r="W155" s="424">
        <v>37</v>
      </c>
      <c r="X155" s="352" t="str">
        <f>LOWER(+H155)</f>
        <v>new mexico</v>
      </c>
      <c r="Y155" s="425">
        <v>0</v>
      </c>
    </row>
    <row r="156" spans="1:25" ht="16" x14ac:dyDescent="0.8">
      <c r="A156" s="351">
        <v>2</v>
      </c>
      <c r="B156" s="420" t="s">
        <v>34</v>
      </c>
      <c r="C156" s="421">
        <v>44814</v>
      </c>
      <c r="D156" s="414">
        <f>20/24</f>
        <v>0.83333333333333337</v>
      </c>
      <c r="E156" s="349"/>
      <c r="F156" s="420" t="s">
        <v>230</v>
      </c>
      <c r="G156" s="349" t="s">
        <v>41</v>
      </c>
      <c r="H156" s="420" t="s">
        <v>193</v>
      </c>
      <c r="I156" s="349" t="s">
        <v>45</v>
      </c>
      <c r="J156" s="420"/>
      <c r="K156" s="379"/>
      <c r="L156" s="422"/>
      <c r="M156" s="418"/>
      <c r="N156" s="351" t="str">
        <f>H156</f>
        <v>San Diego State</v>
      </c>
      <c r="O156" s="423">
        <v>38</v>
      </c>
      <c r="P156" s="436" t="str">
        <f t="shared" si="18"/>
        <v>1AA Idaho State</v>
      </c>
      <c r="Q156" s="408">
        <v>7</v>
      </c>
      <c r="R156" s="494"/>
      <c r="S156" s="494"/>
      <c r="T156" s="356"/>
      <c r="U156" s="349"/>
      <c r="W156" s="424"/>
      <c r="X156" s="352" t="s">
        <v>404</v>
      </c>
      <c r="Y156" s="425"/>
    </row>
    <row r="157" spans="1:25" ht="16" x14ac:dyDescent="0.8">
      <c r="A157" s="351">
        <v>2</v>
      </c>
      <c r="B157" s="420" t="s">
        <v>34</v>
      </c>
      <c r="C157" s="421">
        <v>44814</v>
      </c>
      <c r="D157" s="414">
        <f>19/24</f>
        <v>0.79166666666666663</v>
      </c>
      <c r="E157" s="349"/>
      <c r="F157" s="420" t="s">
        <v>241</v>
      </c>
      <c r="G157" s="349" t="s">
        <v>41</v>
      </c>
      <c r="H157" s="420" t="s">
        <v>93</v>
      </c>
      <c r="I157" s="349" t="s">
        <v>45</v>
      </c>
      <c r="J157" s="420"/>
      <c r="K157" s="379"/>
      <c r="L157" s="422"/>
      <c r="M157" s="418"/>
      <c r="N157" s="351" t="str">
        <f>F157</f>
        <v>1AA Weber State</v>
      </c>
      <c r="O157" s="423">
        <v>35</v>
      </c>
      <c r="P157" s="436" t="str">
        <f>IF(+N157=H157,F157,H157)</f>
        <v>Utah State</v>
      </c>
      <c r="Q157" s="408">
        <v>7</v>
      </c>
      <c r="R157" s="494"/>
      <c r="S157" s="494"/>
      <c r="T157" s="356"/>
      <c r="U157" s="349"/>
      <c r="W157" s="424"/>
      <c r="X157" s="352" t="s">
        <v>404</v>
      </c>
      <c r="Y157" s="425"/>
    </row>
    <row r="158" spans="1:25" ht="16" x14ac:dyDescent="0.8">
      <c r="A158" s="351">
        <v>2</v>
      </c>
      <c r="B158" s="420" t="s">
        <v>34</v>
      </c>
      <c r="C158" s="421">
        <v>44814</v>
      </c>
      <c r="D158" s="414">
        <f>16/24</f>
        <v>0.66666666666666663</v>
      </c>
      <c r="E158" s="349"/>
      <c r="F158" s="420" t="s">
        <v>244</v>
      </c>
      <c r="G158" s="349" t="s">
        <v>41</v>
      </c>
      <c r="H158" s="420" t="s">
        <v>133</v>
      </c>
      <c r="I158" s="349" t="s">
        <v>45</v>
      </c>
      <c r="J158" s="420"/>
      <c r="K158" s="379"/>
      <c r="L158" s="422"/>
      <c r="M158" s="418"/>
      <c r="N158" s="351" t="str">
        <f>H158</f>
        <v>Wyoming</v>
      </c>
      <c r="O158" s="423">
        <v>33</v>
      </c>
      <c r="P158" s="436" t="str">
        <f t="shared" si="18"/>
        <v>1AA Northern Colorado</v>
      </c>
      <c r="Q158" s="408">
        <v>10</v>
      </c>
      <c r="R158" s="494"/>
      <c r="S158" s="494"/>
      <c r="T158" s="356"/>
      <c r="U158" s="349"/>
      <c r="W158" s="424"/>
      <c r="X158" s="352" t="s">
        <v>404</v>
      </c>
      <c r="Y158" s="425"/>
    </row>
    <row r="159" spans="1:25" ht="16" x14ac:dyDescent="0.8">
      <c r="A159" s="351">
        <v>2</v>
      </c>
      <c r="B159" s="420" t="s">
        <v>34</v>
      </c>
      <c r="C159" s="421">
        <v>44814</v>
      </c>
      <c r="D159" s="414">
        <f>16/24</f>
        <v>0.66666666666666663</v>
      </c>
      <c r="E159" s="349"/>
      <c r="F159" s="420" t="s">
        <v>196</v>
      </c>
      <c r="G159" s="349" t="s">
        <v>45</v>
      </c>
      <c r="H159" s="420" t="s">
        <v>123</v>
      </c>
      <c r="I159" s="349" t="s">
        <v>37</v>
      </c>
      <c r="J159" s="420" t="str">
        <f>H159</f>
        <v>California</v>
      </c>
      <c r="K159" s="379" t="str">
        <f>IF(+J159=H159,F159,H159)</f>
        <v>UNLV</v>
      </c>
      <c r="L159" s="422">
        <v>13</v>
      </c>
      <c r="M159" s="418">
        <v>49</v>
      </c>
      <c r="N159" s="351" t="str">
        <f>H159</f>
        <v>California</v>
      </c>
      <c r="O159" s="423">
        <v>20</v>
      </c>
      <c r="P159" s="436" t="str">
        <f t="shared" si="18"/>
        <v>UNLV</v>
      </c>
      <c r="Q159" s="408">
        <v>14</v>
      </c>
      <c r="R159" s="494" t="str">
        <f>IF(+N159=K159,+N159,IF(+O159-Q159&lt;L159,+K159,+J159))</f>
        <v>UNLV</v>
      </c>
      <c r="S159" s="494" t="str">
        <f>IF(+R159=J159,+K159,+J159)</f>
        <v>California</v>
      </c>
      <c r="T159" s="356" t="str">
        <f>S159</f>
        <v>California</v>
      </c>
      <c r="U159" s="665" t="str">
        <f>IF($N159=$J159,IF($O159-$Q159=$L159,"T",IF($R159=T159,"W","L")),IF($R159=T159,"W","L"))</f>
        <v>L</v>
      </c>
      <c r="W159" s="424"/>
      <c r="X159" s="352" t="s">
        <v>404</v>
      </c>
      <c r="Y159" s="425"/>
    </row>
    <row r="160" spans="1:25" ht="16" x14ac:dyDescent="0.8">
      <c r="A160" s="351">
        <v>2</v>
      </c>
      <c r="B160" s="420" t="s">
        <v>34</v>
      </c>
      <c r="C160" s="421">
        <v>44814</v>
      </c>
      <c r="D160" s="414">
        <f>20.5/24</f>
        <v>0.85416666666666663</v>
      </c>
      <c r="E160" s="349"/>
      <c r="F160" s="420" t="s">
        <v>158</v>
      </c>
      <c r="G160" s="349" t="s">
        <v>41</v>
      </c>
      <c r="H160" s="420" t="s">
        <v>200</v>
      </c>
      <c r="I160" s="349" t="s">
        <v>37</v>
      </c>
      <c r="J160" s="420"/>
      <c r="K160" s="379"/>
      <c r="L160" s="422"/>
      <c r="M160" s="418"/>
      <c r="N160" s="351" t="str">
        <f>H160</f>
        <v>Oregon</v>
      </c>
      <c r="O160" s="423">
        <v>70</v>
      </c>
      <c r="P160" s="436" t="str">
        <f t="shared" si="18"/>
        <v>1AA Eastern Washington</v>
      </c>
      <c r="Q160" s="408">
        <v>14</v>
      </c>
      <c r="R160" s="494"/>
      <c r="S160" s="494"/>
      <c r="T160" s="356"/>
      <c r="U160" s="349"/>
      <c r="W160" s="424"/>
      <c r="X160" s="352" t="s">
        <v>404</v>
      </c>
      <c r="Y160" s="425"/>
    </row>
    <row r="161" spans="1:25" ht="16" x14ac:dyDescent="0.8">
      <c r="A161" s="351">
        <v>2</v>
      </c>
      <c r="B161" s="420" t="s">
        <v>34</v>
      </c>
      <c r="C161" s="421">
        <v>44814</v>
      </c>
      <c r="D161" s="414">
        <f>19.5/24</f>
        <v>0.8125</v>
      </c>
      <c r="E161" s="349" t="s">
        <v>135</v>
      </c>
      <c r="F161" s="420" t="s">
        <v>202</v>
      </c>
      <c r="G161" s="349" t="s">
        <v>37</v>
      </c>
      <c r="H161" s="420" t="s">
        <v>36</v>
      </c>
      <c r="I161" s="349" t="s">
        <v>37</v>
      </c>
      <c r="J161" s="420" t="str">
        <f>F161</f>
        <v>Southern Cal</v>
      </c>
      <c r="K161" s="379" t="str">
        <f>IF(+J161=H161,F161,H161)</f>
        <v>Stanford</v>
      </c>
      <c r="L161" s="422">
        <v>8.5</v>
      </c>
      <c r="M161" s="418">
        <v>67</v>
      </c>
      <c r="N161" s="351" t="str">
        <f>F161</f>
        <v>Southern Cal</v>
      </c>
      <c r="O161" s="423">
        <v>41</v>
      </c>
      <c r="P161" s="436" t="str">
        <f t="shared" si="18"/>
        <v>Stanford</v>
      </c>
      <c r="Q161" s="408">
        <v>28</v>
      </c>
      <c r="R161" s="494" t="str">
        <f>IF(+N161=K161,+N161,IF(+O161-Q161&lt;L161,+K161,+J161))</f>
        <v>Southern Cal</v>
      </c>
      <c r="S161" s="494" t="str">
        <f>IF(+R161=J161,+K161,+J161)</f>
        <v>Stanford</v>
      </c>
      <c r="T161" s="356" t="str">
        <f>R161</f>
        <v>Southern Cal</v>
      </c>
      <c r="U161" s="665" t="str">
        <f>IF($N161=$J161,IF($O161-$Q161=$L161,"T",IF($R161=T161,"W","L")),IF($R161=T161,"W","L"))</f>
        <v>W</v>
      </c>
      <c r="V161" s="352" t="str">
        <f>LOWER(+H161)</f>
        <v>stanford</v>
      </c>
      <c r="W161" s="424">
        <v>42</v>
      </c>
      <c r="X161" s="352" t="str">
        <f>UPPER(+F161)</f>
        <v>SOUTHERN CAL</v>
      </c>
      <c r="Y161" s="425">
        <v>28</v>
      </c>
    </row>
    <row r="162" spans="1:25" ht="16" x14ac:dyDescent="0.8">
      <c r="A162" s="351">
        <v>2</v>
      </c>
      <c r="B162" s="420" t="s">
        <v>34</v>
      </c>
      <c r="C162" s="421">
        <v>44814</v>
      </c>
      <c r="D162" s="414">
        <f>17/24</f>
        <v>0.70833333333333337</v>
      </c>
      <c r="E162" s="349"/>
      <c r="F162" s="420" t="s">
        <v>243</v>
      </c>
      <c r="G162" s="349" t="s">
        <v>41</v>
      </c>
      <c r="H162" s="420" t="s">
        <v>224</v>
      </c>
      <c r="I162" s="349" t="s">
        <v>37</v>
      </c>
      <c r="J162" s="420"/>
      <c r="K162" s="379"/>
      <c r="L162" s="422"/>
      <c r="M162" s="418"/>
      <c r="N162" s="351" t="str">
        <f>H162</f>
        <v>UCLA</v>
      </c>
      <c r="O162" s="423">
        <v>45</v>
      </c>
      <c r="P162" s="436" t="str">
        <f t="shared" si="18"/>
        <v>1AA Alabama State</v>
      </c>
      <c r="Q162" s="408">
        <v>7</v>
      </c>
      <c r="R162" s="494"/>
      <c r="S162" s="494"/>
      <c r="T162" s="356"/>
      <c r="U162" s="349"/>
      <c r="W162" s="424"/>
      <c r="X162" s="352" t="s">
        <v>404</v>
      </c>
      <c r="Y162" s="425"/>
    </row>
    <row r="163" spans="1:25" ht="16" x14ac:dyDescent="0.8">
      <c r="A163" s="351">
        <v>2</v>
      </c>
      <c r="B163" s="420" t="s">
        <v>34</v>
      </c>
      <c r="C163" s="421">
        <v>44814</v>
      </c>
      <c r="D163" s="414">
        <f>13.5/24</f>
        <v>0.5625</v>
      </c>
      <c r="E163" s="349"/>
      <c r="F163" s="420" t="s">
        <v>199</v>
      </c>
      <c r="G163" s="349" t="s">
        <v>41</v>
      </c>
      <c r="H163" s="420" t="s">
        <v>81</v>
      </c>
      <c r="I163" s="349" t="s">
        <v>37</v>
      </c>
      <c r="J163" s="420"/>
      <c r="K163" s="379"/>
      <c r="L163" s="422"/>
      <c r="M163" s="418"/>
      <c r="N163" s="351" t="str">
        <f>H163</f>
        <v>Utah</v>
      </c>
      <c r="O163" s="423">
        <v>73</v>
      </c>
      <c r="P163" s="436" t="str">
        <f t="shared" ref="P163:P179" si="23">IF(+N163=H163,F163,H163)</f>
        <v>1AA Southern Utah</v>
      </c>
      <c r="Q163" s="408">
        <v>7</v>
      </c>
      <c r="R163" s="494"/>
      <c r="S163" s="494"/>
      <c r="T163" s="356"/>
      <c r="U163" s="349"/>
      <c r="W163" s="424"/>
      <c r="X163" s="352" t="s">
        <v>404</v>
      </c>
      <c r="Y163" s="425"/>
    </row>
    <row r="164" spans="1:25" ht="16" x14ac:dyDescent="0.8">
      <c r="A164" s="351">
        <v>2</v>
      </c>
      <c r="B164" s="420" t="s">
        <v>34</v>
      </c>
      <c r="C164" s="421">
        <v>44814</v>
      </c>
      <c r="D164" s="414">
        <f>16/24</f>
        <v>0.66666666666666663</v>
      </c>
      <c r="E164" s="349"/>
      <c r="F164" s="420" t="s">
        <v>40</v>
      </c>
      <c r="G164" s="349" t="s">
        <v>41</v>
      </c>
      <c r="H164" s="420" t="s">
        <v>91</v>
      </c>
      <c r="I164" s="349" t="s">
        <v>37</v>
      </c>
      <c r="J164" s="420"/>
      <c r="K164" s="379"/>
      <c r="L164" s="422"/>
      <c r="M164" s="418"/>
      <c r="N164" s="351" t="str">
        <f>H164</f>
        <v>Washington</v>
      </c>
      <c r="O164" s="423">
        <v>52</v>
      </c>
      <c r="P164" s="436" t="str">
        <f t="shared" si="23"/>
        <v>1AA Portland State</v>
      </c>
      <c r="Q164" s="408">
        <v>6</v>
      </c>
      <c r="R164" s="494"/>
      <c r="S164" s="494"/>
      <c r="T164" s="356"/>
      <c r="U164" s="349"/>
      <c r="W164" s="424"/>
      <c r="X164" s="352" t="s">
        <v>404</v>
      </c>
      <c r="Y164" s="425"/>
    </row>
    <row r="165" spans="1:25" ht="16" x14ac:dyDescent="0.8">
      <c r="A165" s="351">
        <v>2</v>
      </c>
      <c r="B165" s="420" t="s">
        <v>34</v>
      </c>
      <c r="C165" s="421">
        <v>414074</v>
      </c>
      <c r="D165" s="414">
        <f>18/24</f>
        <v>0.75</v>
      </c>
      <c r="E165" s="349"/>
      <c r="F165" s="420" t="s">
        <v>240</v>
      </c>
      <c r="G165" s="349" t="s">
        <v>41</v>
      </c>
      <c r="H165" s="420" t="s">
        <v>205</v>
      </c>
      <c r="I165" s="349" t="s">
        <v>59</v>
      </c>
      <c r="J165" s="420"/>
      <c r="K165" s="379"/>
      <c r="L165" s="422"/>
      <c r="M165" s="418"/>
      <c r="N165" s="351" t="str">
        <f>H165</f>
        <v>Coastal Carolina</v>
      </c>
      <c r="O165" s="423">
        <v>31</v>
      </c>
      <c r="P165" s="436" t="str">
        <f t="shared" si="23"/>
        <v>1AA Gardner Webb</v>
      </c>
      <c r="Q165" s="408">
        <v>27</v>
      </c>
      <c r="R165" s="494"/>
      <c r="S165" s="494"/>
      <c r="T165" s="356"/>
      <c r="U165" s="349"/>
      <c r="W165" s="424"/>
      <c r="X165" s="352" t="s">
        <v>404</v>
      </c>
      <c r="Y165" s="425"/>
    </row>
    <row r="166" spans="1:25" ht="16" x14ac:dyDescent="0.8">
      <c r="A166" s="351">
        <v>2</v>
      </c>
      <c r="B166" s="420" t="s">
        <v>34</v>
      </c>
      <c r="C166" s="421">
        <v>44814</v>
      </c>
      <c r="D166" s="414">
        <f>12/24</f>
        <v>0.5</v>
      </c>
      <c r="E166" s="349" t="s">
        <v>95</v>
      </c>
      <c r="F166" s="420" t="s">
        <v>124</v>
      </c>
      <c r="G166" s="349" t="s">
        <v>61</v>
      </c>
      <c r="H166" s="420" t="s">
        <v>84</v>
      </c>
      <c r="I166" s="349" t="s">
        <v>59</v>
      </c>
      <c r="J166" s="420" t="str">
        <f>F166</f>
        <v>North Carolina</v>
      </c>
      <c r="K166" s="379" t="str">
        <f>IF(+J166=H166,F166,H166)</f>
        <v>Georgia State</v>
      </c>
      <c r="L166" s="422">
        <v>7.5</v>
      </c>
      <c r="M166" s="418">
        <v>65.5</v>
      </c>
      <c r="N166" s="351" t="str">
        <f>F166</f>
        <v>North Carolina</v>
      </c>
      <c r="O166" s="423">
        <v>35</v>
      </c>
      <c r="P166" s="436" t="str">
        <f t="shared" si="23"/>
        <v>Georgia State</v>
      </c>
      <c r="Q166" s="408">
        <v>28</v>
      </c>
      <c r="R166" s="494" t="str">
        <f>IF(+N166=K166,+N166,IF(+O166-Q166&lt;L166,+K166,+J166))</f>
        <v>Georgia State</v>
      </c>
      <c r="S166" s="494" t="str">
        <f>IF(+R166=J166,+K166,+J166)</f>
        <v>North Carolina</v>
      </c>
      <c r="T166" s="356" t="str">
        <f>F166</f>
        <v>North Carolina</v>
      </c>
      <c r="U166" s="665" t="str">
        <f>IF($N166=$J166,IF($O166-$Q166=$L166,"T",IF($R166=T166,"W","L")),IF($R166=T166,"W","L"))</f>
        <v>L</v>
      </c>
      <c r="V166" s="352" t="str">
        <f>UPPER(+F166)</f>
        <v>NORTH CAROLINA</v>
      </c>
      <c r="W166" s="424">
        <v>59</v>
      </c>
      <c r="X166" s="352" t="str">
        <f>LOWER(+H166)</f>
        <v>georgia state</v>
      </c>
      <c r="Y166" s="425">
        <v>17</v>
      </c>
    </row>
    <row r="167" spans="1:25" ht="16" x14ac:dyDescent="0.8">
      <c r="A167" s="351">
        <v>2</v>
      </c>
      <c r="B167" s="420" t="s">
        <v>34</v>
      </c>
      <c r="C167" s="421">
        <v>44814</v>
      </c>
      <c r="D167" s="414">
        <f>19/24</f>
        <v>0.79166666666666663</v>
      </c>
      <c r="E167" s="349"/>
      <c r="F167" s="420" t="s">
        <v>105</v>
      </c>
      <c r="G167" s="349" t="s">
        <v>39</v>
      </c>
      <c r="H167" s="420" t="s">
        <v>207</v>
      </c>
      <c r="I167" s="349" t="s">
        <v>59</v>
      </c>
      <c r="J167" s="420" t="str">
        <f>H167</f>
        <v>Texas State</v>
      </c>
      <c r="K167" s="379" t="str">
        <f>IF(+J167=H167,F167,H167)</f>
        <v>Florida Intl</v>
      </c>
      <c r="L167" s="422">
        <v>14</v>
      </c>
      <c r="M167" s="418">
        <v>61</v>
      </c>
      <c r="N167" s="351" t="str">
        <f t="shared" ref="N167:N172" si="24">H167</f>
        <v>Texas State</v>
      </c>
      <c r="O167" s="423">
        <v>41</v>
      </c>
      <c r="P167" s="436" t="str">
        <f t="shared" si="23"/>
        <v>Florida Intl</v>
      </c>
      <c r="Q167" s="408">
        <v>12</v>
      </c>
      <c r="R167" s="494" t="str">
        <f>IF(+N167=K167,+N167,IF(+O167-Q167&lt;L167,+K167,+J167))</f>
        <v>Texas State</v>
      </c>
      <c r="S167" s="494" t="str">
        <f>IF(+R167=J167,+K167,+J167)</f>
        <v>Florida Intl</v>
      </c>
      <c r="T167" s="356" t="str">
        <f>J167</f>
        <v>Texas State</v>
      </c>
      <c r="U167" s="665" t="str">
        <f>IF($N167=$J167,IF($O167-$Q167=$L167,"T",IF($R167=T167,"W","L")),IF($R167=T167,"W","L"))</f>
        <v>W</v>
      </c>
      <c r="V167" s="352" t="str">
        <f>LOWER(+H167)</f>
        <v>texas state</v>
      </c>
      <c r="W167" s="424">
        <v>23</v>
      </c>
      <c r="X167" s="352" t="str">
        <f>UPPER(+F167)</f>
        <v>FLORIDA INTL</v>
      </c>
      <c r="Y167" s="425">
        <v>17</v>
      </c>
    </row>
    <row r="168" spans="1:25" ht="16" x14ac:dyDescent="0.8">
      <c r="A168" s="351">
        <v>2</v>
      </c>
      <c r="B168" s="420" t="s">
        <v>34</v>
      </c>
      <c r="C168" s="421">
        <v>414074</v>
      </c>
      <c r="D168" s="414">
        <f>19/24</f>
        <v>0.79166666666666663</v>
      </c>
      <c r="E168" s="349" t="s">
        <v>53</v>
      </c>
      <c r="F168" s="420" t="s">
        <v>172</v>
      </c>
      <c r="G168" s="349" t="s">
        <v>41</v>
      </c>
      <c r="H168" s="420" t="s">
        <v>185</v>
      </c>
      <c r="I168" s="349" t="s">
        <v>59</v>
      </c>
      <c r="J168" s="420"/>
      <c r="K168" s="379"/>
      <c r="L168" s="422"/>
      <c r="M168" s="418"/>
      <c r="N168" s="351" t="str">
        <f t="shared" si="24"/>
        <v>Troy</v>
      </c>
      <c r="O168" s="423">
        <v>38</v>
      </c>
      <c r="P168" s="436" t="str">
        <f t="shared" si="23"/>
        <v>1AA Alabama A&amp;M</v>
      </c>
      <c r="Q168" s="408">
        <v>17</v>
      </c>
      <c r="R168" s="494"/>
      <c r="S168" s="494"/>
      <c r="T168" s="356"/>
      <c r="U168" s="349"/>
      <c r="W168" s="424"/>
      <c r="X168" s="352" t="s">
        <v>404</v>
      </c>
      <c r="Y168" s="425"/>
    </row>
    <row r="169" spans="1:25" ht="16" x14ac:dyDescent="0.8">
      <c r="A169" s="351">
        <v>2</v>
      </c>
      <c r="B169" s="420" t="s">
        <v>34</v>
      </c>
      <c r="C169" s="421">
        <v>44814</v>
      </c>
      <c r="D169" s="414">
        <f>19/24</f>
        <v>0.79166666666666663</v>
      </c>
      <c r="E169" s="349" t="s">
        <v>359</v>
      </c>
      <c r="F169" s="420" t="s">
        <v>101</v>
      </c>
      <c r="G169" s="349" t="s">
        <v>68</v>
      </c>
      <c r="H169" s="420" t="s">
        <v>209</v>
      </c>
      <c r="I169" s="349" t="s">
        <v>59</v>
      </c>
      <c r="J169" s="420" t="str">
        <f>H169</f>
        <v>UL Lafayette</v>
      </c>
      <c r="K169" s="379" t="str">
        <f>IF(+J169=H169,F169,H169)</f>
        <v>Eastern Michigan</v>
      </c>
      <c r="L169" s="422">
        <v>11.5</v>
      </c>
      <c r="M169" s="418">
        <v>56.5</v>
      </c>
      <c r="N169" s="351" t="str">
        <f t="shared" si="24"/>
        <v>UL Lafayette</v>
      </c>
      <c r="O169" s="423">
        <v>49</v>
      </c>
      <c r="P169" s="436" t="str">
        <f t="shared" si="23"/>
        <v>Eastern Michigan</v>
      </c>
      <c r="Q169" s="408">
        <v>21</v>
      </c>
      <c r="R169" s="494" t="str">
        <f>IF(+N169=K169,+N169,IF(+O169-Q169&lt;L169,+K169,+J169))</f>
        <v>UL Lafayette</v>
      </c>
      <c r="S169" s="494" t="str">
        <f>IF(+R169=J169,+K169,+J169)</f>
        <v>Eastern Michigan</v>
      </c>
      <c r="T169" s="356" t="str">
        <f>K169</f>
        <v>Eastern Michigan</v>
      </c>
      <c r="U169" s="665" t="str">
        <f>IF($N169=$J169,IF($O169-$Q169=$L169,"T",IF($R169=T169,"W","L")),IF($R169=T169,"W","L"))</f>
        <v>L</v>
      </c>
      <c r="W169" s="424"/>
      <c r="X169" s="352" t="s">
        <v>404</v>
      </c>
      <c r="Y169" s="425"/>
    </row>
    <row r="170" spans="1:25" ht="16" x14ac:dyDescent="0.8">
      <c r="A170" s="351">
        <v>2</v>
      </c>
      <c r="B170" s="420" t="s">
        <v>34</v>
      </c>
      <c r="C170" s="421">
        <v>44814</v>
      </c>
      <c r="D170" s="414">
        <f>20/24</f>
        <v>0.83333333333333337</v>
      </c>
      <c r="E170" s="349" t="s">
        <v>53</v>
      </c>
      <c r="F170" s="420" t="s">
        <v>248</v>
      </c>
      <c r="G170" s="349" t="s">
        <v>41</v>
      </c>
      <c r="H170" s="420" t="s">
        <v>58</v>
      </c>
      <c r="I170" s="349" t="s">
        <v>59</v>
      </c>
      <c r="J170" s="420"/>
      <c r="K170" s="379"/>
      <c r="L170" s="422"/>
      <c r="M170" s="418"/>
      <c r="N170" s="436" t="str">
        <f t="shared" si="24"/>
        <v>UL Monroe</v>
      </c>
      <c r="O170" s="423">
        <v>35</v>
      </c>
      <c r="P170" s="436" t="str">
        <f t="shared" si="23"/>
        <v>1AA Nicholls State</v>
      </c>
      <c r="Q170" s="408">
        <v>7</v>
      </c>
      <c r="R170" s="494"/>
      <c r="S170" s="494"/>
      <c r="T170" s="356"/>
      <c r="U170" s="349"/>
      <c r="W170" s="424"/>
      <c r="X170" s="352" t="s">
        <v>404</v>
      </c>
      <c r="Y170" s="425"/>
    </row>
    <row r="171" spans="1:25" ht="16" x14ac:dyDescent="0.8">
      <c r="A171" s="351">
        <v>2</v>
      </c>
      <c r="B171" s="420" t="s">
        <v>34</v>
      </c>
      <c r="C171" s="421">
        <v>44814</v>
      </c>
      <c r="D171" s="414">
        <f>12/24</f>
        <v>0.5</v>
      </c>
      <c r="E171" s="349" t="s">
        <v>35</v>
      </c>
      <c r="F171" s="420" t="s">
        <v>125</v>
      </c>
      <c r="G171" s="349" t="s">
        <v>85</v>
      </c>
      <c r="H171" s="420" t="s">
        <v>87</v>
      </c>
      <c r="I171" s="349" t="s">
        <v>85</v>
      </c>
      <c r="J171" s="420" t="str">
        <f>H171</f>
        <v>Arkansas</v>
      </c>
      <c r="K171" s="379" t="str">
        <f>IF(+J171=H171,F171,H171)</f>
        <v>South Carolina</v>
      </c>
      <c r="L171" s="422">
        <v>8.5</v>
      </c>
      <c r="M171" s="418">
        <v>53</v>
      </c>
      <c r="N171" s="436" t="str">
        <f t="shared" si="24"/>
        <v>Arkansas</v>
      </c>
      <c r="O171" s="423">
        <v>44</v>
      </c>
      <c r="P171" s="436" t="str">
        <f t="shared" si="23"/>
        <v>South Carolina</v>
      </c>
      <c r="Q171" s="408">
        <v>30</v>
      </c>
      <c r="R171" s="494" t="str">
        <f>IF(+N171=K171,+N171,IF(+O171-Q171&lt;L171,+K171,+J171))</f>
        <v>Arkansas</v>
      </c>
      <c r="S171" s="494" t="str">
        <f>IF(+R171=J171,+K171,+J171)</f>
        <v>South Carolina</v>
      </c>
      <c r="T171" s="356" t="str">
        <f>K171</f>
        <v>South Carolina</v>
      </c>
      <c r="U171" s="665" t="str">
        <f>IF($N171=$J171,IF($O171-$Q171=$L171,"T",IF($R171=T171,"W","L")),IF($R171=T171,"W","L"))</f>
        <v>L</v>
      </c>
      <c r="W171" s="424"/>
      <c r="X171" s="352" t="s">
        <v>404</v>
      </c>
      <c r="Y171" s="425"/>
    </row>
    <row r="172" spans="1:25" ht="16" x14ac:dyDescent="0.8">
      <c r="A172" s="351">
        <v>2</v>
      </c>
      <c r="B172" s="420" t="s">
        <v>34</v>
      </c>
      <c r="C172" s="421">
        <v>44814</v>
      </c>
      <c r="D172" s="414">
        <f>19.5/24</f>
        <v>0.8125</v>
      </c>
      <c r="E172" s="349" t="s">
        <v>95</v>
      </c>
      <c r="F172" s="420" t="s">
        <v>51</v>
      </c>
      <c r="G172" s="349" t="s">
        <v>45</v>
      </c>
      <c r="H172" s="420" t="s">
        <v>211</v>
      </c>
      <c r="I172" s="349" t="s">
        <v>85</v>
      </c>
      <c r="J172" s="420" t="str">
        <f>H172</f>
        <v>Auburn</v>
      </c>
      <c r="K172" s="379" t="str">
        <f>IF(+J172=H172,F172,H172)</f>
        <v>San Jose State</v>
      </c>
      <c r="L172" s="422">
        <v>22.5</v>
      </c>
      <c r="M172" s="418">
        <v>50.5</v>
      </c>
      <c r="N172" s="351" t="str">
        <f t="shared" si="24"/>
        <v>Auburn</v>
      </c>
      <c r="O172" s="423">
        <v>24</v>
      </c>
      <c r="P172" s="436" t="str">
        <f t="shared" si="23"/>
        <v>San Jose State</v>
      </c>
      <c r="Q172" s="408">
        <v>16</v>
      </c>
      <c r="R172" s="494" t="str">
        <f>IF(+N172=K172,+N172,IF(+O172-Q172&lt;L172,+K172,+J172))</f>
        <v>San Jose State</v>
      </c>
      <c r="S172" s="494" t="str">
        <f>IF(+R172=J172,+K172,+J172)</f>
        <v>Auburn</v>
      </c>
      <c r="T172" s="356" t="str">
        <f>K172</f>
        <v>San Jose State</v>
      </c>
      <c r="U172" s="665" t="str">
        <f>IF($N172=$J172,IF($O172-$Q172=$L172,"T",IF($R172=T172,"W","L")),IF($R172=T172,"W","L"))</f>
        <v>W</v>
      </c>
      <c r="W172" s="424"/>
      <c r="X172" s="352" t="s">
        <v>404</v>
      </c>
      <c r="Y172" s="425"/>
    </row>
    <row r="173" spans="1:25" ht="16" x14ac:dyDescent="0.8">
      <c r="A173" s="351">
        <v>2</v>
      </c>
      <c r="B173" s="420" t="s">
        <v>34</v>
      </c>
      <c r="C173" s="421">
        <v>44814</v>
      </c>
      <c r="D173" s="414">
        <f>19/24</f>
        <v>0.79166666666666663</v>
      </c>
      <c r="E173" s="349" t="s">
        <v>35</v>
      </c>
      <c r="F173" s="420" t="s">
        <v>170</v>
      </c>
      <c r="G173" s="349" t="s">
        <v>85</v>
      </c>
      <c r="H173" s="420" t="s">
        <v>136</v>
      </c>
      <c r="I173" s="349" t="s">
        <v>85</v>
      </c>
      <c r="J173" s="420" t="str">
        <f>H173</f>
        <v>Florida</v>
      </c>
      <c r="K173" s="379" t="str">
        <f>IF(+J173=H173,F173,H173)</f>
        <v>Kentucky</v>
      </c>
      <c r="L173" s="422">
        <v>5</v>
      </c>
      <c r="M173" s="418">
        <v>52.5</v>
      </c>
      <c r="N173" s="436" t="str">
        <f>F173</f>
        <v>Kentucky</v>
      </c>
      <c r="O173" s="423">
        <v>26</v>
      </c>
      <c r="P173" s="436" t="str">
        <f t="shared" si="23"/>
        <v>Florida</v>
      </c>
      <c r="Q173" s="408">
        <v>16</v>
      </c>
      <c r="R173" s="494" t="str">
        <f>IF(+N173=K173,+N173,IF(+O173-Q173&lt;L173,+K173,+J173))</f>
        <v>Kentucky</v>
      </c>
      <c r="S173" s="494" t="str">
        <f>IF(+R173=J173,+K173,+J173)</f>
        <v>Florida</v>
      </c>
      <c r="T173" s="356" t="str">
        <f>K173</f>
        <v>Kentucky</v>
      </c>
      <c r="U173" s="665" t="str">
        <f>IF($N173=$J173,IF($O173-$Q173=$L173,"T",IF($R173=T173,"W","L")),IF($R173=T173,"W","L"))</f>
        <v>W</v>
      </c>
      <c r="V173" s="352" t="str">
        <f>UPPER(+F173)</f>
        <v>KENTUCKY</v>
      </c>
      <c r="W173" s="424">
        <v>30</v>
      </c>
      <c r="X173" s="352" t="str">
        <f>LOWER(+H173)</f>
        <v>florida</v>
      </c>
      <c r="Y173" s="425">
        <v>13</v>
      </c>
    </row>
    <row r="174" spans="1:25" ht="16" x14ac:dyDescent="0.8">
      <c r="A174" s="351">
        <v>2</v>
      </c>
      <c r="B174" s="420" t="s">
        <v>34</v>
      </c>
      <c r="C174" s="421">
        <v>44814</v>
      </c>
      <c r="D174" s="414">
        <f>16/24</f>
        <v>0.66666666666666663</v>
      </c>
      <c r="E174" s="349" t="s">
        <v>85</v>
      </c>
      <c r="F174" s="420" t="s">
        <v>255</v>
      </c>
      <c r="G174" s="349" t="s">
        <v>41</v>
      </c>
      <c r="H174" s="420" t="s">
        <v>213</v>
      </c>
      <c r="I174" s="349" t="s">
        <v>85</v>
      </c>
      <c r="J174" s="420"/>
      <c r="K174" s="379"/>
      <c r="L174" s="422"/>
      <c r="M174" s="418"/>
      <c r="N174" s="436" t="str">
        <f>H174</f>
        <v>Georgia</v>
      </c>
      <c r="O174" s="423">
        <v>33</v>
      </c>
      <c r="P174" s="436" t="str">
        <f t="shared" si="23"/>
        <v>1AA Samford</v>
      </c>
      <c r="Q174" s="408">
        <v>0</v>
      </c>
      <c r="R174" s="494"/>
      <c r="S174" s="494"/>
      <c r="T174" s="356"/>
      <c r="U174" s="349"/>
      <c r="W174" s="424"/>
      <c r="X174" s="352" t="s">
        <v>404</v>
      </c>
      <c r="Y174" s="425"/>
    </row>
    <row r="175" spans="1:25" ht="16" x14ac:dyDescent="0.8">
      <c r="A175" s="351">
        <v>2</v>
      </c>
      <c r="B175" s="420" t="s">
        <v>34</v>
      </c>
      <c r="C175" s="421">
        <v>44814</v>
      </c>
      <c r="D175" s="414">
        <f>19.5/24</f>
        <v>0.8125</v>
      </c>
      <c r="E175" s="349" t="s">
        <v>85</v>
      </c>
      <c r="F175" s="420" t="s">
        <v>236</v>
      </c>
      <c r="G175" s="349" t="s">
        <v>41</v>
      </c>
      <c r="H175" s="420" t="s">
        <v>178</v>
      </c>
      <c r="I175" s="349" t="s">
        <v>85</v>
      </c>
      <c r="J175" s="420"/>
      <c r="K175" s="379"/>
      <c r="L175" s="422"/>
      <c r="M175" s="418"/>
      <c r="N175" s="436" t="str">
        <f>H175</f>
        <v>LSU</v>
      </c>
      <c r="O175" s="423">
        <v>65</v>
      </c>
      <c r="P175" s="436" t="str">
        <f t="shared" si="23"/>
        <v>1AA Southern</v>
      </c>
      <c r="Q175" s="408">
        <v>17</v>
      </c>
      <c r="R175" s="494"/>
      <c r="S175" s="494"/>
      <c r="T175" s="356"/>
      <c r="U175" s="349"/>
      <c r="W175" s="424"/>
      <c r="X175" s="352" t="s">
        <v>404</v>
      </c>
      <c r="Y175" s="425"/>
    </row>
    <row r="176" spans="1:25" ht="16" x14ac:dyDescent="0.8">
      <c r="A176" s="351">
        <v>2</v>
      </c>
      <c r="B176" s="420" t="s">
        <v>34</v>
      </c>
      <c r="C176" s="421">
        <v>44814</v>
      </c>
      <c r="D176" s="414">
        <f>19/24</f>
        <v>0.79166666666666663</v>
      </c>
      <c r="E176" s="349"/>
      <c r="F176" s="420" t="s">
        <v>151</v>
      </c>
      <c r="G176" s="349" t="s">
        <v>41</v>
      </c>
      <c r="H176" s="420" t="s">
        <v>215</v>
      </c>
      <c r="I176" s="349" t="s">
        <v>85</v>
      </c>
      <c r="J176" s="420"/>
      <c r="K176" s="379"/>
      <c r="L176" s="422"/>
      <c r="M176" s="418"/>
      <c r="N176" s="436" t="str">
        <f>H176</f>
        <v>Mississippi</v>
      </c>
      <c r="O176" s="423">
        <v>59</v>
      </c>
      <c r="P176" s="436" t="str">
        <f t="shared" si="23"/>
        <v>1AA Central Arkansas</v>
      </c>
      <c r="Q176" s="408">
        <v>3</v>
      </c>
      <c r="R176" s="494"/>
      <c r="S176" s="494"/>
      <c r="T176" s="356"/>
      <c r="U176" s="349"/>
      <c r="W176" s="424"/>
      <c r="X176" s="352" t="s">
        <v>404</v>
      </c>
      <c r="Y176" s="425"/>
    </row>
    <row r="177" spans="1:25" ht="16" x14ac:dyDescent="0.8">
      <c r="A177" s="351">
        <v>2</v>
      </c>
      <c r="B177" s="420" t="s">
        <v>34</v>
      </c>
      <c r="C177" s="421">
        <v>44814</v>
      </c>
      <c r="D177" s="414">
        <f>23/24</f>
        <v>0.95833333333333337</v>
      </c>
      <c r="E177" s="349" t="s">
        <v>70</v>
      </c>
      <c r="F177" s="420" t="s">
        <v>198</v>
      </c>
      <c r="G177" s="349" t="s">
        <v>37</v>
      </c>
      <c r="H177" s="420" t="s">
        <v>217</v>
      </c>
      <c r="I177" s="349" t="s">
        <v>85</v>
      </c>
      <c r="J177" s="420" t="str">
        <f>H177</f>
        <v>Mississippi State</v>
      </c>
      <c r="K177" s="379" t="str">
        <f t="shared" ref="K177:K182" si="25">IF(+J177=H177,F177,H177)</f>
        <v>Arizona</v>
      </c>
      <c r="L177" s="422">
        <v>11</v>
      </c>
      <c r="M177" s="418">
        <v>59.5</v>
      </c>
      <c r="N177" s="351" t="str">
        <f>H177</f>
        <v>Mississippi State</v>
      </c>
      <c r="O177" s="423">
        <v>39</v>
      </c>
      <c r="P177" s="436" t="str">
        <f t="shared" si="23"/>
        <v>Arizona</v>
      </c>
      <c r="Q177" s="408">
        <v>17</v>
      </c>
      <c r="R177" s="494" t="str">
        <f t="shared" ref="R177:R182" si="26">IF(+N177=K177,+N177,IF(+O177-Q177&lt;L177,+K177,+J177))</f>
        <v>Mississippi State</v>
      </c>
      <c r="S177" s="494" t="str">
        <f t="shared" ref="S177:S182" si="27">IF(+R177=J177,+K177,+J177)</f>
        <v>Arizona</v>
      </c>
      <c r="T177" s="356" t="str">
        <f>K177</f>
        <v>Arizona</v>
      </c>
      <c r="U177" s="665" t="str">
        <f t="shared" ref="U177:U182" si="28">IF($N177=$J177,IF($O177-$Q177=$L177,"T",IF($R177=T177,"W","L")),IF($R177=T177,"W","L"))</f>
        <v>L</v>
      </c>
      <c r="W177" s="424"/>
      <c r="X177" s="352" t="s">
        <v>404</v>
      </c>
      <c r="Y177" s="425"/>
    </row>
    <row r="178" spans="1:25" ht="16" x14ac:dyDescent="0.8">
      <c r="A178" s="351">
        <v>2</v>
      </c>
      <c r="B178" s="420" t="s">
        <v>34</v>
      </c>
      <c r="C178" s="421">
        <v>44814</v>
      </c>
      <c r="D178" s="414">
        <f>15.5/24</f>
        <v>0.64583333333333337</v>
      </c>
      <c r="E178" s="349" t="s">
        <v>256</v>
      </c>
      <c r="F178" s="420" t="s">
        <v>212</v>
      </c>
      <c r="G178" s="349" t="s">
        <v>59</v>
      </c>
      <c r="H178" s="420" t="s">
        <v>223</v>
      </c>
      <c r="I178" s="349" t="s">
        <v>85</v>
      </c>
      <c r="J178" s="420" t="str">
        <f>H178</f>
        <v>Texas A&amp;M</v>
      </c>
      <c r="K178" s="379" t="str">
        <f t="shared" si="25"/>
        <v>Appalachian State</v>
      </c>
      <c r="L178" s="422">
        <v>18.5</v>
      </c>
      <c r="M178" s="418">
        <v>52.5</v>
      </c>
      <c r="N178" s="351" t="str">
        <f>F178</f>
        <v>Appalachian State</v>
      </c>
      <c r="O178" s="423">
        <v>17</v>
      </c>
      <c r="P178" s="436" t="str">
        <f t="shared" si="23"/>
        <v>Texas A&amp;M</v>
      </c>
      <c r="Q178" s="408">
        <v>14</v>
      </c>
      <c r="R178" s="494" t="str">
        <f t="shared" si="26"/>
        <v>Appalachian State</v>
      </c>
      <c r="S178" s="494" t="str">
        <f t="shared" si="27"/>
        <v>Texas A&amp;M</v>
      </c>
      <c r="T178" s="356" t="str">
        <f>K178</f>
        <v>Appalachian State</v>
      </c>
      <c r="U178" s="665" t="str">
        <f t="shared" si="28"/>
        <v>W</v>
      </c>
      <c r="W178" s="424"/>
      <c r="X178" s="352" t="s">
        <v>404</v>
      </c>
      <c r="Y178" s="425"/>
    </row>
    <row r="179" spans="1:25" ht="16" x14ac:dyDescent="0.8">
      <c r="A179" s="351">
        <v>2</v>
      </c>
      <c r="B179" s="420" t="s">
        <v>34</v>
      </c>
      <c r="C179" s="421">
        <v>44814</v>
      </c>
      <c r="D179" s="414">
        <f>12/24</f>
        <v>0.5</v>
      </c>
      <c r="E179" s="349" t="s">
        <v>85</v>
      </c>
      <c r="F179" s="420" t="s">
        <v>62</v>
      </c>
      <c r="G179" s="349" t="s">
        <v>61</v>
      </c>
      <c r="H179" s="420" t="s">
        <v>164</v>
      </c>
      <c r="I179" s="349" t="s">
        <v>85</v>
      </c>
      <c r="J179" s="420" t="str">
        <f>F179</f>
        <v>Wake Forest</v>
      </c>
      <c r="K179" s="379" t="str">
        <f t="shared" si="25"/>
        <v>Vanderbilt</v>
      </c>
      <c r="L179" s="422">
        <v>13.5</v>
      </c>
      <c r="M179" s="418">
        <v>66</v>
      </c>
      <c r="N179" s="351" t="str">
        <f>F179</f>
        <v>Wake Forest</v>
      </c>
      <c r="O179" s="423">
        <v>45</v>
      </c>
      <c r="P179" s="436" t="str">
        <f t="shared" si="23"/>
        <v>Vanderbilt</v>
      </c>
      <c r="Q179" s="408">
        <v>25</v>
      </c>
      <c r="R179" s="494" t="str">
        <f t="shared" si="26"/>
        <v>Wake Forest</v>
      </c>
      <c r="S179" s="494" t="str">
        <f t="shared" si="27"/>
        <v>Vanderbilt</v>
      </c>
      <c r="T179" s="356" t="str">
        <f>J179</f>
        <v>Wake Forest</v>
      </c>
      <c r="U179" s="665" t="str">
        <f t="shared" si="28"/>
        <v>W</v>
      </c>
      <c r="W179" s="424"/>
      <c r="X179" s="352" t="s">
        <v>404</v>
      </c>
      <c r="Y179" s="425"/>
    </row>
    <row r="180" spans="1:25" ht="16" x14ac:dyDescent="0.8">
      <c r="A180" s="351">
        <v>3</v>
      </c>
      <c r="B180" s="420" t="s">
        <v>88</v>
      </c>
      <c r="C180" s="421">
        <v>44820</v>
      </c>
      <c r="D180" s="414">
        <f>19.5/24</f>
        <v>0.8125</v>
      </c>
      <c r="E180" s="349" t="s">
        <v>35</v>
      </c>
      <c r="F180" s="420" t="s">
        <v>117</v>
      </c>
      <c r="G180" s="349" t="s">
        <v>61</v>
      </c>
      <c r="H180" s="420" t="s">
        <v>120</v>
      </c>
      <c r="I180" s="349" t="s">
        <v>61</v>
      </c>
      <c r="J180" s="420" t="str">
        <f>F180</f>
        <v>Florida State</v>
      </c>
      <c r="K180" s="379" t="str">
        <f t="shared" si="25"/>
        <v>Louisville</v>
      </c>
      <c r="L180" s="422">
        <v>2.5</v>
      </c>
      <c r="M180" s="418">
        <v>57</v>
      </c>
      <c r="N180" s="351" t="str">
        <f>J180</f>
        <v>Florida State</v>
      </c>
      <c r="O180" s="423">
        <v>35</v>
      </c>
      <c r="P180" s="436" t="str">
        <f>IF(+N180=H180,F180,H180)</f>
        <v>Louisville</v>
      </c>
      <c r="Q180" s="408">
        <v>31</v>
      </c>
      <c r="R180" s="494" t="str">
        <f t="shared" si="26"/>
        <v>Florida State</v>
      </c>
      <c r="S180" s="494" t="str">
        <f t="shared" si="27"/>
        <v>Louisville</v>
      </c>
      <c r="T180" s="356" t="str">
        <f>H180</f>
        <v>Louisville</v>
      </c>
      <c r="U180" s="665" t="str">
        <f t="shared" si="28"/>
        <v>L</v>
      </c>
      <c r="V180" s="352" t="str">
        <f>LOWER(+H180)</f>
        <v>louisville</v>
      </c>
      <c r="W180" s="424"/>
      <c r="X180" s="352" t="str">
        <f>UPPER(+F180)</f>
        <v>FLORIDA STATE</v>
      </c>
      <c r="Y180" s="425"/>
    </row>
    <row r="181" spans="1:25" ht="16" x14ac:dyDescent="0.8">
      <c r="A181" s="351">
        <v>3</v>
      </c>
      <c r="B181" s="420" t="s">
        <v>88</v>
      </c>
      <c r="C181" s="421">
        <v>44820</v>
      </c>
      <c r="D181" s="414">
        <f>20/24</f>
        <v>0.83333333333333337</v>
      </c>
      <c r="E181" s="349" t="s">
        <v>445</v>
      </c>
      <c r="F181" s="420" t="s">
        <v>184</v>
      </c>
      <c r="G181" s="349" t="s">
        <v>45</v>
      </c>
      <c r="H181" s="420" t="s">
        <v>133</v>
      </c>
      <c r="I181" s="349" t="s">
        <v>45</v>
      </c>
      <c r="J181" s="420" t="str">
        <f>F181</f>
        <v>Air Force</v>
      </c>
      <c r="K181" s="379" t="str">
        <f t="shared" si="25"/>
        <v>Wyoming</v>
      </c>
      <c r="L181" s="422">
        <v>15</v>
      </c>
      <c r="M181" s="418">
        <v>46.5</v>
      </c>
      <c r="N181" s="351" t="str">
        <f>H181</f>
        <v>Wyoming</v>
      </c>
      <c r="O181" s="423">
        <v>17</v>
      </c>
      <c r="P181" s="436" t="str">
        <f>IF(+N181=H181,F181,H181)</f>
        <v>Air Force</v>
      </c>
      <c r="Q181" s="408">
        <v>14</v>
      </c>
      <c r="R181" s="494" t="str">
        <f t="shared" si="26"/>
        <v>Wyoming</v>
      </c>
      <c r="S181" s="494" t="str">
        <f t="shared" si="27"/>
        <v>Air Force</v>
      </c>
      <c r="T181" s="356" t="str">
        <f>J181</f>
        <v>Air Force</v>
      </c>
      <c r="U181" s="665" t="str">
        <f t="shared" si="28"/>
        <v>L</v>
      </c>
      <c r="V181" s="352" t="str">
        <f>UPPER(+F181)</f>
        <v>AIR FORCE</v>
      </c>
      <c r="W181" s="424">
        <v>24</v>
      </c>
      <c r="X181" s="352" t="str">
        <f>LOWER(+H181)</f>
        <v>wyoming</v>
      </c>
      <c r="Y181" s="425">
        <v>14</v>
      </c>
    </row>
    <row r="182" spans="1:25" ht="16" x14ac:dyDescent="0.8">
      <c r="A182" s="351">
        <v>3</v>
      </c>
      <c r="B182" s="420" t="s">
        <v>34</v>
      </c>
      <c r="C182" s="421">
        <v>44821</v>
      </c>
      <c r="D182" s="414">
        <f>12/24</f>
        <v>0.5</v>
      </c>
      <c r="E182" s="349" t="s">
        <v>95</v>
      </c>
      <c r="F182" s="420" t="s">
        <v>162</v>
      </c>
      <c r="G182" s="349" t="s">
        <v>68</v>
      </c>
      <c r="H182" s="420" t="s">
        <v>55</v>
      </c>
      <c r="I182" s="349" t="s">
        <v>50</v>
      </c>
      <c r="J182" s="420" t="str">
        <f>H182</f>
        <v>Cincinnati</v>
      </c>
      <c r="K182" s="379" t="str">
        <f t="shared" si="25"/>
        <v>Miami (OH)</v>
      </c>
      <c r="L182" s="422">
        <v>22</v>
      </c>
      <c r="M182" s="418">
        <v>51</v>
      </c>
      <c r="N182" s="351" t="str">
        <f>H182</f>
        <v>Cincinnati</v>
      </c>
      <c r="O182" s="423">
        <v>38</v>
      </c>
      <c r="P182" s="436" t="str">
        <f t="shared" ref="P182:P212" si="29">IF(+N182=H182,F182,H182)</f>
        <v>Miami (OH)</v>
      </c>
      <c r="Q182" s="408">
        <v>17</v>
      </c>
      <c r="R182" s="494" t="str">
        <f t="shared" si="26"/>
        <v>Miami (OH)</v>
      </c>
      <c r="S182" s="494" t="str">
        <f t="shared" si="27"/>
        <v>Cincinnati</v>
      </c>
      <c r="T182" s="356" t="str">
        <f>K182</f>
        <v>Miami (OH)</v>
      </c>
      <c r="U182" s="665" t="str">
        <f t="shared" si="28"/>
        <v>W</v>
      </c>
      <c r="V182" s="352" t="str">
        <f>LOWER(+H182)</f>
        <v>cincinnati</v>
      </c>
      <c r="W182" s="424">
        <v>49</v>
      </c>
      <c r="X182" s="352" t="str">
        <f>UPPER(+F182)</f>
        <v>MIAMI (OH)</v>
      </c>
      <c r="Y182" s="425">
        <v>14</v>
      </c>
    </row>
    <row r="183" spans="1:25" ht="16" x14ac:dyDescent="0.8">
      <c r="A183" s="351">
        <v>3</v>
      </c>
      <c r="B183" s="420" t="s">
        <v>34</v>
      </c>
      <c r="C183" s="421">
        <v>44821</v>
      </c>
      <c r="D183" s="414">
        <f>18/24</f>
        <v>0.75</v>
      </c>
      <c r="E183" s="349"/>
      <c r="F183" s="354" t="s">
        <v>270</v>
      </c>
      <c r="G183" s="349" t="s">
        <v>41</v>
      </c>
      <c r="H183" s="420" t="s">
        <v>107</v>
      </c>
      <c r="I183" s="349" t="s">
        <v>50</v>
      </c>
      <c r="J183" s="420"/>
      <c r="K183" s="379"/>
      <c r="L183" s="422"/>
      <c r="M183" s="418"/>
      <c r="N183" s="351" t="str">
        <f>H183</f>
        <v>East Carolina</v>
      </c>
      <c r="O183" s="423">
        <v>49</v>
      </c>
      <c r="P183" s="436" t="str">
        <f t="shared" si="29"/>
        <v>1AA Campbell</v>
      </c>
      <c r="Q183" s="408">
        <v>10</v>
      </c>
      <c r="R183" s="494"/>
      <c r="S183" s="494"/>
      <c r="T183" s="356"/>
      <c r="U183" s="349"/>
      <c r="W183" s="424"/>
      <c r="X183" s="352" t="s">
        <v>404</v>
      </c>
      <c r="Y183" s="425"/>
    </row>
    <row r="184" spans="1:25" ht="16" x14ac:dyDescent="0.8">
      <c r="A184" s="351">
        <v>3</v>
      </c>
      <c r="B184" s="420" t="s">
        <v>34</v>
      </c>
      <c r="C184" s="421">
        <v>44821</v>
      </c>
      <c r="D184" s="414">
        <f>16/24</f>
        <v>0.66666666666666663</v>
      </c>
      <c r="E184" s="349" t="s">
        <v>95</v>
      </c>
      <c r="F184" s="420" t="s">
        <v>150</v>
      </c>
      <c r="G184" s="349" t="s">
        <v>73</v>
      </c>
      <c r="H184" s="420" t="s">
        <v>174</v>
      </c>
      <c r="I184" s="349" t="s">
        <v>50</v>
      </c>
      <c r="J184" s="420" t="str">
        <f>H184</f>
        <v>Houston</v>
      </c>
      <c r="K184" s="379" t="str">
        <f>IF(+J184=H184,F184,H184)</f>
        <v>Kansas</v>
      </c>
      <c r="L184" s="422">
        <v>8</v>
      </c>
      <c r="M184" s="418">
        <v>57</v>
      </c>
      <c r="N184" s="351" t="str">
        <f>F184</f>
        <v>Kansas</v>
      </c>
      <c r="O184" s="423">
        <v>48</v>
      </c>
      <c r="P184" s="436" t="str">
        <f t="shared" si="29"/>
        <v>Houston</v>
      </c>
      <c r="Q184" s="408">
        <v>30</v>
      </c>
      <c r="R184" s="494" t="str">
        <f>IF(+N184=K184,+N184,IF(+O184-Q184&lt;L184,+K184,+J184))</f>
        <v>Kansas</v>
      </c>
      <c r="S184" s="494" t="str">
        <f>IF(+R184=J184,+K184,+J184)</f>
        <v>Houston</v>
      </c>
      <c r="T184" s="356" t="str">
        <f>K184</f>
        <v>Kansas</v>
      </c>
      <c r="U184" s="665" t="str">
        <f>IF($N184=$J184,IF($O184-$Q184=$L184,"T",IF($R184=T184,"W","L")),IF($R184=T184,"W","L"))</f>
        <v>W</v>
      </c>
      <c r="W184" s="424"/>
      <c r="X184" s="352" t="s">
        <v>404</v>
      </c>
      <c r="Y184" s="425"/>
    </row>
    <row r="185" spans="1:25" ht="16" x14ac:dyDescent="0.8">
      <c r="A185" s="351">
        <v>3</v>
      </c>
      <c r="B185" s="420" t="s">
        <v>34</v>
      </c>
      <c r="C185" s="421">
        <v>44821</v>
      </c>
      <c r="D185" s="414">
        <f>19/24</f>
        <v>0.79166666666666663</v>
      </c>
      <c r="E185" s="349"/>
      <c r="F185" s="420" t="s">
        <v>140</v>
      </c>
      <c r="G185" s="349" t="s">
        <v>59</v>
      </c>
      <c r="H185" s="420" t="s">
        <v>60</v>
      </c>
      <c r="I185" s="349" t="s">
        <v>50</v>
      </c>
      <c r="J185" s="420" t="str">
        <f>H185</f>
        <v>Memphis</v>
      </c>
      <c r="K185" s="379" t="str">
        <f>IF(+J185=H185,F185,H185)</f>
        <v>Arkansas State</v>
      </c>
      <c r="L185" s="422">
        <v>14</v>
      </c>
      <c r="M185" s="418">
        <v>65.5</v>
      </c>
      <c r="N185" s="351" t="str">
        <f>H185</f>
        <v>Memphis</v>
      </c>
      <c r="O185" s="423">
        <v>44</v>
      </c>
      <c r="P185" s="436" t="str">
        <f t="shared" si="29"/>
        <v>Arkansas State</v>
      </c>
      <c r="Q185" s="408">
        <v>32</v>
      </c>
      <c r="R185" s="494" t="str">
        <f>IF(+N185=K185,+N185,IF(+O185-Q185&lt;L185,+K185,+J185))</f>
        <v>Arkansas State</v>
      </c>
      <c r="S185" s="494" t="str">
        <f>IF(+R185=J185,+K185,+J185)</f>
        <v>Memphis</v>
      </c>
      <c r="T185" s="356" t="str">
        <f>K185</f>
        <v>Arkansas State</v>
      </c>
      <c r="U185" s="665" t="str">
        <f>IF($N185=$J185,IF($O185-$Q185=$L185,"T",IF($R185=T185,"W","L")),IF($R185=T185,"W","L"))</f>
        <v>W</v>
      </c>
      <c r="V185" s="352" t="str">
        <f>LOWER(+H185)</f>
        <v>memphis</v>
      </c>
      <c r="W185" s="424">
        <v>55</v>
      </c>
      <c r="X185" s="352" t="str">
        <f>UPPER(+F185)</f>
        <v>ARKANSAS STATE</v>
      </c>
      <c r="Y185" s="425">
        <v>50</v>
      </c>
    </row>
    <row r="186" spans="1:25" ht="16" x14ac:dyDescent="0.8">
      <c r="A186" s="351">
        <v>3</v>
      </c>
      <c r="B186" s="420" t="s">
        <v>34</v>
      </c>
      <c r="C186" s="421">
        <v>44821</v>
      </c>
      <c r="D186" s="414">
        <f>14/24</f>
        <v>0.58333333333333337</v>
      </c>
      <c r="E186" s="349"/>
      <c r="F186" s="420" t="s">
        <v>92</v>
      </c>
      <c r="G186" s="349" t="s">
        <v>64</v>
      </c>
      <c r="H186" s="420" t="s">
        <v>180</v>
      </c>
      <c r="I186" s="349" t="s">
        <v>50</v>
      </c>
      <c r="J186" s="420" t="str">
        <f>F186</f>
        <v>Rutgers</v>
      </c>
      <c r="K186" s="379" t="str">
        <f>IF(+J186=H186,F186,H186)</f>
        <v>Temple</v>
      </c>
      <c r="L186" s="422">
        <v>17.5</v>
      </c>
      <c r="M186" s="418">
        <v>44</v>
      </c>
      <c r="N186" s="351" t="str">
        <f>F186</f>
        <v>Rutgers</v>
      </c>
      <c r="O186" s="423">
        <v>16</v>
      </c>
      <c r="P186" s="436" t="str">
        <f t="shared" si="29"/>
        <v>Temple</v>
      </c>
      <c r="Q186" s="408">
        <v>14</v>
      </c>
      <c r="R186" s="494" t="str">
        <f>IF(+N186=K186,+N186,IF(+O186-Q186&lt;L186,+K186,+J186))</f>
        <v>Temple</v>
      </c>
      <c r="S186" s="494" t="str">
        <f>IF(+R186=J186,+K186,+J186)</f>
        <v>Rutgers</v>
      </c>
      <c r="T186" s="356" t="str">
        <f>J186</f>
        <v>Rutgers</v>
      </c>
      <c r="U186" s="665" t="str">
        <f>IF($N186=$J186,IF($O186-$Q186=$L186,"T",IF($R186=T186,"W","L")),IF($R186=T186,"W","L"))</f>
        <v>L</v>
      </c>
      <c r="V186" s="352" t="str">
        <f>UPPER(+F186)</f>
        <v>RUTGERS</v>
      </c>
      <c r="W186" s="424">
        <v>61</v>
      </c>
      <c r="X186" s="352" t="str">
        <f>LOWER(+H186)</f>
        <v>temple</v>
      </c>
      <c r="Y186" s="425">
        <v>14</v>
      </c>
    </row>
    <row r="187" spans="1:25" ht="16" x14ac:dyDescent="0.8">
      <c r="A187" s="351">
        <v>3</v>
      </c>
      <c r="B187" s="420" t="s">
        <v>34</v>
      </c>
      <c r="C187" s="421">
        <v>44821</v>
      </c>
      <c r="D187" s="414">
        <f>19/24</f>
        <v>0.79166666666666663</v>
      </c>
      <c r="E187" s="349"/>
      <c r="F187" s="420" t="s">
        <v>232</v>
      </c>
      <c r="G187" s="349" t="s">
        <v>41</v>
      </c>
      <c r="H187" s="420" t="s">
        <v>71</v>
      </c>
      <c r="I187" s="349" t="s">
        <v>50</v>
      </c>
      <c r="J187" s="420"/>
      <c r="K187" s="379"/>
      <c r="L187" s="422"/>
      <c r="M187" s="418"/>
      <c r="N187" s="351" t="str">
        <f>H187</f>
        <v>Tulsa</v>
      </c>
      <c r="O187" s="423">
        <v>54</v>
      </c>
      <c r="P187" s="436" t="str">
        <f t="shared" si="29"/>
        <v>1AA Jacksonville State</v>
      </c>
      <c r="Q187" s="408">
        <v>17</v>
      </c>
      <c r="R187" s="494"/>
      <c r="S187" s="494"/>
      <c r="T187" s="356"/>
      <c r="U187" s="349"/>
      <c r="W187" s="424"/>
      <c r="X187" s="352" t="s">
        <v>404</v>
      </c>
      <c r="Y187" s="425"/>
    </row>
    <row r="188" spans="1:25" ht="16" x14ac:dyDescent="0.8">
      <c r="A188" s="351">
        <v>3</v>
      </c>
      <c r="B188" s="420" t="s">
        <v>34</v>
      </c>
      <c r="C188" s="421">
        <v>44821</v>
      </c>
      <c r="D188" s="414">
        <f>19.5/24</f>
        <v>0.8125</v>
      </c>
      <c r="E188" s="349" t="s">
        <v>53</v>
      </c>
      <c r="F188" s="420" t="s">
        <v>260</v>
      </c>
      <c r="G188" s="349" t="s">
        <v>41</v>
      </c>
      <c r="H188" s="420" t="s">
        <v>102</v>
      </c>
      <c r="I188" s="349" t="s">
        <v>61</v>
      </c>
      <c r="J188" s="420"/>
      <c r="K188" s="379"/>
      <c r="L188" s="422"/>
      <c r="M188" s="418"/>
      <c r="N188" s="351" t="str">
        <f>H188</f>
        <v>Boston College</v>
      </c>
      <c r="O188" s="423">
        <v>38</v>
      </c>
      <c r="P188" s="436" t="str">
        <f t="shared" si="29"/>
        <v>1AA Maine</v>
      </c>
      <c r="Q188" s="408">
        <v>17</v>
      </c>
      <c r="R188" s="494"/>
      <c r="S188" s="494"/>
      <c r="T188" s="356"/>
      <c r="U188" s="349"/>
      <c r="W188" s="424"/>
      <c r="X188" s="352" t="s">
        <v>404</v>
      </c>
      <c r="Y188" s="425"/>
    </row>
    <row r="189" spans="1:25" ht="16" x14ac:dyDescent="0.8">
      <c r="A189" s="351">
        <v>3</v>
      </c>
      <c r="B189" s="420" t="s">
        <v>34</v>
      </c>
      <c r="C189" s="421">
        <v>44821</v>
      </c>
      <c r="D189" s="414">
        <f>20/24</f>
        <v>0.83333333333333337</v>
      </c>
      <c r="E189" s="349" t="s">
        <v>61</v>
      </c>
      <c r="F189" s="420" t="s">
        <v>161</v>
      </c>
      <c r="G189" s="349" t="s">
        <v>39</v>
      </c>
      <c r="H189" s="420" t="s">
        <v>114</v>
      </c>
      <c r="I189" s="349" t="s">
        <v>61</v>
      </c>
      <c r="J189" s="420" t="str">
        <f>H189</f>
        <v>Clemson</v>
      </c>
      <c r="K189" s="379" t="str">
        <f>IF(+J189=H189,F189,H189)</f>
        <v>Louisiana Tech</v>
      </c>
      <c r="L189" s="422">
        <v>34</v>
      </c>
      <c r="M189" s="418">
        <v>53</v>
      </c>
      <c r="N189" s="351" t="str">
        <f>J189</f>
        <v>Clemson</v>
      </c>
      <c r="O189" s="423">
        <v>48</v>
      </c>
      <c r="P189" s="436" t="str">
        <f t="shared" si="29"/>
        <v>Louisiana Tech</v>
      </c>
      <c r="Q189" s="408">
        <v>20</v>
      </c>
      <c r="R189" s="494" t="str">
        <f>IF(+N189=K189,+N189,IF(+O189-Q189&lt;L189,+K189,+J189))</f>
        <v>Louisiana Tech</v>
      </c>
      <c r="S189" s="494" t="str">
        <f>IF(+R189=J189,+K189,+J189)</f>
        <v>Clemson</v>
      </c>
      <c r="T189" s="356" t="str">
        <f>K189</f>
        <v>Louisiana Tech</v>
      </c>
      <c r="U189" s="665" t="str">
        <f>IF($N189=$J189,IF($O189-$Q189=$L189,"T",IF($R189=T189,"W","L")),IF($R189=T189,"W","L"))</f>
        <v>W</v>
      </c>
      <c r="W189" s="424"/>
      <c r="X189" s="352" t="s">
        <v>404</v>
      </c>
      <c r="Y189" s="425"/>
    </row>
    <row r="190" spans="1:25" ht="16" x14ac:dyDescent="0.8">
      <c r="A190" s="351">
        <v>3</v>
      </c>
      <c r="B190" s="420" t="s">
        <v>34</v>
      </c>
      <c r="C190" s="421">
        <v>44821</v>
      </c>
      <c r="D190" s="414">
        <f>18/24</f>
        <v>0.75</v>
      </c>
      <c r="E190" s="349" t="s">
        <v>61</v>
      </c>
      <c r="F190" s="420" t="s">
        <v>251</v>
      </c>
      <c r="G190" s="349" t="s">
        <v>41</v>
      </c>
      <c r="H190" s="420" t="s">
        <v>115</v>
      </c>
      <c r="I190" s="349" t="s">
        <v>61</v>
      </c>
      <c r="J190" s="420"/>
      <c r="K190" s="379"/>
      <c r="L190" s="422"/>
      <c r="M190" s="418"/>
      <c r="N190" s="351" t="str">
        <f>H190</f>
        <v>Duke</v>
      </c>
      <c r="O190" s="423">
        <v>49</v>
      </c>
      <c r="P190" s="436" t="str">
        <f t="shared" si="29"/>
        <v>1AA North Carolina A&amp;T</v>
      </c>
      <c r="Q190" s="408">
        <v>20</v>
      </c>
      <c r="R190" s="494"/>
      <c r="S190" s="494"/>
      <c r="T190" s="356"/>
      <c r="U190" s="349"/>
      <c r="W190" s="424"/>
      <c r="X190" s="352" t="s">
        <v>404</v>
      </c>
      <c r="Y190" s="425"/>
    </row>
    <row r="191" spans="1:25" ht="16" x14ac:dyDescent="0.8">
      <c r="A191" s="351">
        <v>3</v>
      </c>
      <c r="B191" s="420" t="s">
        <v>34</v>
      </c>
      <c r="C191" s="421">
        <v>44821</v>
      </c>
      <c r="D191" s="414">
        <f>15.5/24</f>
        <v>0.64583333333333337</v>
      </c>
      <c r="E191" s="349" t="s">
        <v>135</v>
      </c>
      <c r="F191" s="420" t="s">
        <v>215</v>
      </c>
      <c r="G191" s="349" t="s">
        <v>85</v>
      </c>
      <c r="H191" s="420" t="s">
        <v>227</v>
      </c>
      <c r="I191" s="349" t="s">
        <v>61</v>
      </c>
      <c r="J191" s="420" t="str">
        <f>F191</f>
        <v>Mississippi</v>
      </c>
      <c r="K191" s="379" t="str">
        <f>IF(+J191=H191,F191,H191)</f>
        <v>Georgia Tech</v>
      </c>
      <c r="L191" s="422">
        <v>17</v>
      </c>
      <c r="M191" s="418">
        <v>64</v>
      </c>
      <c r="N191" s="351" t="str">
        <f>J191</f>
        <v>Mississippi</v>
      </c>
      <c r="O191" s="423">
        <v>42</v>
      </c>
      <c r="P191" s="436" t="str">
        <f t="shared" si="29"/>
        <v>Georgia Tech</v>
      </c>
      <c r="Q191" s="408">
        <v>0</v>
      </c>
      <c r="R191" s="494" t="str">
        <f>IF(+N191=K191,+N191,IF(+O191-Q191&lt;L191,+K191,+J191))</f>
        <v>Mississippi</v>
      </c>
      <c r="S191" s="494" t="str">
        <f>IF(+R191=J191,+K191,+J191)</f>
        <v>Georgia Tech</v>
      </c>
      <c r="T191" s="356" t="str">
        <f>J191</f>
        <v>Mississippi</v>
      </c>
      <c r="U191" s="665" t="str">
        <f>IF($N191=$J191,IF($O191-$Q191=$L191,"T",IF($R191=T191,"W","L")),IF($R191=T191,"W","L"))</f>
        <v>W</v>
      </c>
      <c r="W191" s="424"/>
      <c r="X191" s="352" t="s">
        <v>404</v>
      </c>
      <c r="Y191" s="425"/>
    </row>
    <row r="192" spans="1:25" ht="16" x14ac:dyDescent="0.8">
      <c r="A192" s="351">
        <v>3</v>
      </c>
      <c r="B192" s="420" t="s">
        <v>34</v>
      </c>
      <c r="C192" s="421">
        <v>44821</v>
      </c>
      <c r="D192" s="414">
        <f>19/24</f>
        <v>0.79166666666666663</v>
      </c>
      <c r="E192" s="349"/>
      <c r="F192" s="420" t="s">
        <v>159</v>
      </c>
      <c r="G192" s="349" t="s">
        <v>73</v>
      </c>
      <c r="H192" s="420" t="s">
        <v>126</v>
      </c>
      <c r="I192" s="349" t="s">
        <v>61</v>
      </c>
      <c r="J192" s="420" t="str">
        <f>H192</f>
        <v>North Carolina St</v>
      </c>
      <c r="K192" s="379" t="str">
        <f>IF(+J192=H192,F192,H192)</f>
        <v>Texas Tech</v>
      </c>
      <c r="L192" s="422">
        <v>10</v>
      </c>
      <c r="M192" s="418">
        <v>55.5</v>
      </c>
      <c r="N192" s="351" t="str">
        <f>J192</f>
        <v>North Carolina St</v>
      </c>
      <c r="O192" s="423">
        <v>27</v>
      </c>
      <c r="P192" s="436" t="str">
        <f t="shared" si="29"/>
        <v>Texas Tech</v>
      </c>
      <c r="Q192" s="408">
        <v>14</v>
      </c>
      <c r="R192" s="494" t="str">
        <f>IF(+N192=K192,+N192,IF(+O192-Q192&lt;L192,+K192,+J192))</f>
        <v>North Carolina St</v>
      </c>
      <c r="S192" s="494" t="str">
        <f>IF(+R192=J192,+K192,+J192)</f>
        <v>Texas Tech</v>
      </c>
      <c r="T192" s="356" t="str">
        <f>J192</f>
        <v>North Carolina St</v>
      </c>
      <c r="U192" s="665" t="str">
        <f>IF($N192=$J192,IF($O192-$Q192=$L192,"T",IF($R192=T192,"W","L")),IF($R192=T192,"W","L"))</f>
        <v>W</v>
      </c>
      <c r="W192" s="424"/>
      <c r="X192" s="352" t="s">
        <v>404</v>
      </c>
      <c r="Y192" s="425"/>
    </row>
    <row r="193" spans="1:25" ht="16" x14ac:dyDescent="0.8">
      <c r="A193" s="351">
        <v>3</v>
      </c>
      <c r="B193" s="420" t="s">
        <v>34</v>
      </c>
      <c r="C193" s="421">
        <v>44821</v>
      </c>
      <c r="D193" s="414">
        <f>12/24</f>
        <v>0.5</v>
      </c>
      <c r="E193" s="349" t="s">
        <v>256</v>
      </c>
      <c r="F193" s="420" t="s">
        <v>119</v>
      </c>
      <c r="G193" s="349" t="s">
        <v>64</v>
      </c>
      <c r="H193" s="420" t="s">
        <v>90</v>
      </c>
      <c r="I193" s="349" t="s">
        <v>61</v>
      </c>
      <c r="J193" s="420" t="str">
        <f>F193</f>
        <v>Purdue</v>
      </c>
      <c r="K193" s="379" t="str">
        <f>IF(+J193=H193,F193,H193)</f>
        <v>Syracuse</v>
      </c>
      <c r="L193" s="422">
        <v>0</v>
      </c>
      <c r="M193" s="418">
        <v>58.5</v>
      </c>
      <c r="N193" s="351" t="str">
        <f>H193</f>
        <v>Syracuse</v>
      </c>
      <c r="O193" s="423">
        <v>32</v>
      </c>
      <c r="P193" s="436" t="str">
        <f t="shared" si="29"/>
        <v>Purdue</v>
      </c>
      <c r="Q193" s="408">
        <v>29</v>
      </c>
      <c r="R193" s="494" t="str">
        <f>IF(+N193=K193,+N193,IF(+O193-Q193&lt;L193,+K193,+J193))</f>
        <v>Syracuse</v>
      </c>
      <c r="S193" s="494" t="str">
        <f>IF(+R193=J193,+K193,+J193)</f>
        <v>Purdue</v>
      </c>
      <c r="T193" s="666" t="str">
        <f>J193</f>
        <v>Purdue</v>
      </c>
      <c r="U193" s="665" t="str">
        <f>IF($N193=$J193,IF($O193-$Q193=$L193,"T",IF($R193=T193,"W","L")),IF($R193=T193,"W","L"))</f>
        <v>L</v>
      </c>
      <c r="W193" s="424"/>
      <c r="X193" s="352" t="s">
        <v>404</v>
      </c>
      <c r="Y193" s="425"/>
    </row>
    <row r="194" spans="1:25" ht="16" x14ac:dyDescent="0.8">
      <c r="A194" s="351">
        <v>3</v>
      </c>
      <c r="B194" s="420" t="s">
        <v>34</v>
      </c>
      <c r="C194" s="421">
        <v>44821</v>
      </c>
      <c r="D194" s="414">
        <f>14/24</f>
        <v>0.58333333333333337</v>
      </c>
      <c r="E194" s="349" t="s">
        <v>61</v>
      </c>
      <c r="F194" s="420" t="s">
        <v>169</v>
      </c>
      <c r="G194" s="349" t="s">
        <v>59</v>
      </c>
      <c r="H194" s="420" t="s">
        <v>130</v>
      </c>
      <c r="I194" s="349" t="s">
        <v>61</v>
      </c>
      <c r="J194" s="420" t="str">
        <f>H194</f>
        <v>Virginia</v>
      </c>
      <c r="K194" s="379" t="str">
        <f>IF(+J194=H194,F194,H194)</f>
        <v>Old Dominion</v>
      </c>
      <c r="L194" s="422">
        <v>9.5</v>
      </c>
      <c r="M194" s="418">
        <v>52.5</v>
      </c>
      <c r="N194" s="351" t="str">
        <f>H194</f>
        <v>Virginia</v>
      </c>
      <c r="O194" s="423">
        <v>16</v>
      </c>
      <c r="P194" s="436" t="str">
        <f t="shared" si="29"/>
        <v>Old Dominion</v>
      </c>
      <c r="Q194" s="408">
        <v>14</v>
      </c>
      <c r="R194" s="494" t="str">
        <f>IF(+N194=K194,+N194,IF(+O194-Q194&lt;L194,+K194,+J194))</f>
        <v>Old Dominion</v>
      </c>
      <c r="S194" s="494" t="str">
        <f>IF(+R194=J194,+K194,+J194)</f>
        <v>Virginia</v>
      </c>
      <c r="T194" s="356" t="str">
        <f>K194</f>
        <v>Old Dominion</v>
      </c>
      <c r="U194" s="665" t="str">
        <f>IF($N194=$J194,IF($O194-$Q194=$L194,"T",IF($R194=T194,"W","L")),IF($R194=T194,"W","L"))</f>
        <v>W</v>
      </c>
      <c r="W194" s="424"/>
      <c r="X194" s="352" t="s">
        <v>404</v>
      </c>
      <c r="Y194" s="425"/>
    </row>
    <row r="195" spans="1:25" ht="16" x14ac:dyDescent="0.8">
      <c r="A195" s="351">
        <v>3</v>
      </c>
      <c r="B195" s="420" t="s">
        <v>34</v>
      </c>
      <c r="C195" s="421">
        <v>44821</v>
      </c>
      <c r="D195" s="414">
        <f>11/24</f>
        <v>0.45833333333333331</v>
      </c>
      <c r="E195" s="349" t="s">
        <v>61</v>
      </c>
      <c r="F195" s="420" t="s">
        <v>263</v>
      </c>
      <c r="G195" s="349" t="s">
        <v>41</v>
      </c>
      <c r="H195" s="420" t="s">
        <v>221</v>
      </c>
      <c r="I195" s="349" t="s">
        <v>61</v>
      </c>
      <c r="J195" s="420"/>
      <c r="K195" s="379"/>
      <c r="L195" s="422"/>
      <c r="M195" s="418"/>
      <c r="N195" s="351" t="str">
        <f>H195</f>
        <v>Virginia Tech</v>
      </c>
      <c r="O195" s="423">
        <v>27</v>
      </c>
      <c r="P195" s="436" t="str">
        <f t="shared" si="29"/>
        <v>1AA Wofford</v>
      </c>
      <c r="Q195" s="408">
        <v>7</v>
      </c>
      <c r="R195" s="494"/>
      <c r="S195" s="494"/>
      <c r="T195" s="356"/>
      <c r="U195" s="349"/>
      <c r="W195" s="424"/>
      <c r="X195" s="352" t="s">
        <v>404</v>
      </c>
      <c r="Y195" s="425"/>
    </row>
    <row r="196" spans="1:25" ht="16" x14ac:dyDescent="0.8">
      <c r="A196" s="351">
        <v>3</v>
      </c>
      <c r="B196" s="420" t="s">
        <v>34</v>
      </c>
      <c r="C196" s="421">
        <v>44821</v>
      </c>
      <c r="D196" s="414">
        <f>17/24</f>
        <v>0.70833333333333337</v>
      </c>
      <c r="E196" s="349" t="s">
        <v>61</v>
      </c>
      <c r="F196" s="420" t="s">
        <v>306</v>
      </c>
      <c r="G196" s="349" t="s">
        <v>43</v>
      </c>
      <c r="H196" s="420" t="s">
        <v>62</v>
      </c>
      <c r="I196" s="349" t="s">
        <v>61</v>
      </c>
      <c r="J196" s="420" t="str">
        <f t="shared" ref="J196:J201" si="30">H196</f>
        <v>Wake Forest</v>
      </c>
      <c r="K196" s="379" t="str">
        <f t="shared" ref="K196:K202" si="31">IF(+J196=H196,F196,H196)</f>
        <v>Liberty</v>
      </c>
      <c r="L196" s="422">
        <v>16.5</v>
      </c>
      <c r="M196" s="418">
        <v>63.5</v>
      </c>
      <c r="N196" s="351" t="str">
        <f>J196</f>
        <v>Wake Forest</v>
      </c>
      <c r="O196" s="423">
        <v>37</v>
      </c>
      <c r="P196" s="436" t="str">
        <f t="shared" si="29"/>
        <v>Liberty</v>
      </c>
      <c r="Q196" s="408">
        <v>36</v>
      </c>
      <c r="R196" s="494" t="str">
        <f t="shared" ref="R196:R202" si="32">IF(+N196=K196,+N196,IF(+O196-Q196&lt;L196,+K196,+J196))</f>
        <v>Liberty</v>
      </c>
      <c r="S196" s="494" t="str">
        <f t="shared" ref="S196:S202" si="33">IF(+R196=J196,+K196,+J196)</f>
        <v>Wake Forest</v>
      </c>
      <c r="T196" s="356" t="str">
        <f>K196</f>
        <v>Liberty</v>
      </c>
      <c r="U196" s="665" t="str">
        <f t="shared" ref="U196:U202" si="34">IF($N196=$J196,IF($O196-$Q196=$L196,"T",IF($R196=T196,"W","L")),IF($R196=T196,"W","L"))</f>
        <v>W</v>
      </c>
      <c r="W196" s="424"/>
      <c r="X196" s="352" t="s">
        <v>404</v>
      </c>
      <c r="Y196" s="425"/>
    </row>
    <row r="197" spans="1:25" ht="16" x14ac:dyDescent="0.8">
      <c r="A197" s="351">
        <v>3</v>
      </c>
      <c r="B197" s="420" t="s">
        <v>34</v>
      </c>
      <c r="C197" s="421">
        <v>44821</v>
      </c>
      <c r="D197" s="414">
        <f>12/24</f>
        <v>0.5</v>
      </c>
      <c r="E197" s="349" t="s">
        <v>66</v>
      </c>
      <c r="F197" s="420" t="s">
        <v>177</v>
      </c>
      <c r="G197" s="349" t="s">
        <v>39</v>
      </c>
      <c r="H197" s="420" t="s">
        <v>65</v>
      </c>
      <c r="I197" s="349" t="s">
        <v>64</v>
      </c>
      <c r="J197" s="420" t="str">
        <f t="shared" si="30"/>
        <v>Indiana</v>
      </c>
      <c r="K197" s="379" t="str">
        <f t="shared" si="31"/>
        <v>Western Kentucky</v>
      </c>
      <c r="L197" s="422">
        <v>6.5</v>
      </c>
      <c r="M197" s="418">
        <v>61.5</v>
      </c>
      <c r="N197" s="351" t="str">
        <f>H197</f>
        <v>Indiana</v>
      </c>
      <c r="O197" s="423">
        <v>33</v>
      </c>
      <c r="P197" s="436" t="str">
        <f t="shared" si="29"/>
        <v>Western Kentucky</v>
      </c>
      <c r="Q197" s="408">
        <v>30</v>
      </c>
      <c r="R197" s="494" t="str">
        <f t="shared" si="32"/>
        <v>Western Kentucky</v>
      </c>
      <c r="S197" s="494" t="str">
        <f t="shared" si="33"/>
        <v>Indiana</v>
      </c>
      <c r="T197" s="356" t="str">
        <f>J197</f>
        <v>Indiana</v>
      </c>
      <c r="U197" s="665" t="str">
        <f t="shared" si="34"/>
        <v>L</v>
      </c>
      <c r="V197" s="352" t="str">
        <f>LOWER(+H197)</f>
        <v>indiana</v>
      </c>
      <c r="W197" s="424">
        <v>33</v>
      </c>
      <c r="X197" s="352" t="str">
        <f>UPPER(+F197)</f>
        <v>WESTERN KENTUCKY</v>
      </c>
      <c r="Y197" s="425">
        <v>31</v>
      </c>
    </row>
    <row r="198" spans="1:25" ht="16" x14ac:dyDescent="0.8">
      <c r="A198" s="351">
        <v>3</v>
      </c>
      <c r="B198" s="420" t="s">
        <v>34</v>
      </c>
      <c r="C198" s="421">
        <v>44821</v>
      </c>
      <c r="D198" s="414">
        <f>19.5/24</f>
        <v>0.8125</v>
      </c>
      <c r="E198" s="349" t="s">
        <v>66</v>
      </c>
      <c r="F198" s="420" t="s">
        <v>142</v>
      </c>
      <c r="G198" s="349" t="s">
        <v>45</v>
      </c>
      <c r="H198" s="420" t="s">
        <v>134</v>
      </c>
      <c r="I198" s="349" t="s">
        <v>64</v>
      </c>
      <c r="J198" s="420" t="str">
        <f t="shared" si="30"/>
        <v>Iowa</v>
      </c>
      <c r="K198" s="379" t="str">
        <f t="shared" si="31"/>
        <v>Nevada</v>
      </c>
      <c r="L198" s="422">
        <v>23</v>
      </c>
      <c r="M198" s="418">
        <v>39</v>
      </c>
      <c r="N198" s="351" t="str">
        <f>H198</f>
        <v>Iowa</v>
      </c>
      <c r="O198" s="423">
        <v>27</v>
      </c>
      <c r="P198" s="436" t="str">
        <f t="shared" si="29"/>
        <v>Nevada</v>
      </c>
      <c r="Q198" s="408">
        <v>0</v>
      </c>
      <c r="R198" s="494" t="str">
        <f t="shared" si="32"/>
        <v>Iowa</v>
      </c>
      <c r="S198" s="494" t="str">
        <f t="shared" si="33"/>
        <v>Nevada</v>
      </c>
      <c r="T198" s="356" t="str">
        <f>K198</f>
        <v>Nevada</v>
      </c>
      <c r="U198" s="665" t="str">
        <f t="shared" si="34"/>
        <v>L</v>
      </c>
      <c r="W198" s="424"/>
      <c r="X198" s="352" t="s">
        <v>404</v>
      </c>
      <c r="Y198" s="425"/>
    </row>
    <row r="199" spans="1:25" ht="16" x14ac:dyDescent="0.8">
      <c r="A199" s="351">
        <v>3</v>
      </c>
      <c r="B199" s="420" t="s">
        <v>34</v>
      </c>
      <c r="C199" s="421">
        <v>44821</v>
      </c>
      <c r="D199" s="414">
        <f>19.5/24</f>
        <v>0.8125</v>
      </c>
      <c r="E199" s="349" t="s">
        <v>70</v>
      </c>
      <c r="F199" s="420" t="s">
        <v>109</v>
      </c>
      <c r="G199" s="349" t="s">
        <v>50</v>
      </c>
      <c r="H199" s="420" t="s">
        <v>156</v>
      </c>
      <c r="I199" s="349" t="s">
        <v>64</v>
      </c>
      <c r="J199" s="420" t="str">
        <f t="shared" si="30"/>
        <v>Maryland</v>
      </c>
      <c r="K199" s="379" t="str">
        <f t="shared" si="31"/>
        <v>SMU</v>
      </c>
      <c r="L199" s="422">
        <v>3.5</v>
      </c>
      <c r="M199" s="418">
        <v>73</v>
      </c>
      <c r="N199" s="351" t="str">
        <f>H199</f>
        <v>Maryland</v>
      </c>
      <c r="O199" s="423">
        <v>34</v>
      </c>
      <c r="P199" s="436" t="str">
        <f t="shared" si="29"/>
        <v>SMU</v>
      </c>
      <c r="Q199" s="408">
        <v>27</v>
      </c>
      <c r="R199" s="494" t="str">
        <f t="shared" si="32"/>
        <v>Maryland</v>
      </c>
      <c r="S199" s="494" t="str">
        <f t="shared" si="33"/>
        <v>SMU</v>
      </c>
      <c r="T199" s="356" t="str">
        <f>J199</f>
        <v>Maryland</v>
      </c>
      <c r="U199" s="665" t="str">
        <f t="shared" si="34"/>
        <v>W</v>
      </c>
      <c r="W199" s="424"/>
      <c r="X199" s="352" t="s">
        <v>404</v>
      </c>
      <c r="Y199" s="425"/>
    </row>
    <row r="200" spans="1:25" ht="16" x14ac:dyDescent="0.8">
      <c r="A200" s="351">
        <v>3</v>
      </c>
      <c r="B200" s="420" t="s">
        <v>34</v>
      </c>
      <c r="C200" s="421">
        <v>44821</v>
      </c>
      <c r="D200" s="414">
        <f>12/24</f>
        <v>0.5</v>
      </c>
      <c r="E200" s="349" t="s">
        <v>135</v>
      </c>
      <c r="F200" s="420" t="s">
        <v>57</v>
      </c>
      <c r="G200" s="349" t="s">
        <v>43</v>
      </c>
      <c r="H200" s="420" t="s">
        <v>137</v>
      </c>
      <c r="I200" s="349" t="s">
        <v>64</v>
      </c>
      <c r="J200" s="420" t="str">
        <f t="shared" si="30"/>
        <v>Michigan</v>
      </c>
      <c r="K200" s="379" t="str">
        <f t="shared" si="31"/>
        <v>Connecticut</v>
      </c>
      <c r="L200" s="422">
        <v>46.5</v>
      </c>
      <c r="M200" s="418">
        <v>60</v>
      </c>
      <c r="N200" s="351" t="str">
        <f>H200</f>
        <v>Michigan</v>
      </c>
      <c r="O200" s="423">
        <v>59</v>
      </c>
      <c r="P200" s="436" t="str">
        <f t="shared" si="29"/>
        <v>Connecticut</v>
      </c>
      <c r="Q200" s="408">
        <v>0</v>
      </c>
      <c r="R200" s="494" t="str">
        <f t="shared" si="32"/>
        <v>Michigan</v>
      </c>
      <c r="S200" s="494" t="str">
        <f t="shared" si="33"/>
        <v>Connecticut</v>
      </c>
      <c r="T200" s="356" t="str">
        <f>K200</f>
        <v>Connecticut</v>
      </c>
      <c r="U200" s="665" t="str">
        <f t="shared" si="34"/>
        <v>L</v>
      </c>
      <c r="W200" s="424"/>
      <c r="X200" s="352" t="s">
        <v>404</v>
      </c>
      <c r="Y200" s="425"/>
    </row>
    <row r="201" spans="1:25" ht="16" x14ac:dyDescent="0.8">
      <c r="A201" s="351">
        <v>3</v>
      </c>
      <c r="B201" s="420" t="s">
        <v>34</v>
      </c>
      <c r="C201" s="421">
        <v>44821</v>
      </c>
      <c r="D201" s="414">
        <f>15.5/24</f>
        <v>0.64583333333333337</v>
      </c>
      <c r="E201" s="349" t="s">
        <v>256</v>
      </c>
      <c r="F201" s="420" t="s">
        <v>104</v>
      </c>
      <c r="G201" s="349" t="s">
        <v>37</v>
      </c>
      <c r="H201" s="420" t="s">
        <v>69</v>
      </c>
      <c r="I201" s="349" t="s">
        <v>64</v>
      </c>
      <c r="J201" s="420" t="str">
        <f t="shared" si="30"/>
        <v>Minnesota</v>
      </c>
      <c r="K201" s="379" t="str">
        <f t="shared" si="31"/>
        <v>Colorado</v>
      </c>
      <c r="L201" s="422">
        <v>27</v>
      </c>
      <c r="M201" s="418">
        <v>46</v>
      </c>
      <c r="N201" s="351" t="str">
        <f>H201</f>
        <v>Minnesota</v>
      </c>
      <c r="O201" s="423">
        <v>49</v>
      </c>
      <c r="P201" s="436" t="str">
        <f t="shared" si="29"/>
        <v>Colorado</v>
      </c>
      <c r="Q201" s="408">
        <v>7</v>
      </c>
      <c r="R201" s="494" t="str">
        <f t="shared" si="32"/>
        <v>Minnesota</v>
      </c>
      <c r="S201" s="494" t="str">
        <f t="shared" si="33"/>
        <v>Colorado</v>
      </c>
      <c r="T201" s="356" t="str">
        <f>K201</f>
        <v>Colorado</v>
      </c>
      <c r="U201" s="665" t="str">
        <f t="shared" si="34"/>
        <v>L</v>
      </c>
      <c r="V201" s="352" t="str">
        <f>LOWER(+H201)</f>
        <v>minnesota</v>
      </c>
      <c r="W201" s="424">
        <v>30</v>
      </c>
      <c r="X201" s="352" t="str">
        <f>UPPER(+F201)</f>
        <v>COLORADO</v>
      </c>
      <c r="Y201" s="425">
        <v>6</v>
      </c>
    </row>
    <row r="202" spans="1:25" ht="16" x14ac:dyDescent="0.8">
      <c r="A202" s="351">
        <v>3</v>
      </c>
      <c r="B202" s="420" t="s">
        <v>34</v>
      </c>
      <c r="C202" s="421">
        <v>44821</v>
      </c>
      <c r="D202" s="414">
        <f>12/24</f>
        <v>0.5</v>
      </c>
      <c r="E202" s="349" t="s">
        <v>118</v>
      </c>
      <c r="F202" s="420" t="s">
        <v>154</v>
      </c>
      <c r="G202" s="349" t="s">
        <v>73</v>
      </c>
      <c r="H202" s="420" t="s">
        <v>141</v>
      </c>
      <c r="I202" s="349" t="s">
        <v>64</v>
      </c>
      <c r="J202" s="420" t="str">
        <f>F202</f>
        <v>Oklahoma</v>
      </c>
      <c r="K202" s="379" t="str">
        <f t="shared" si="31"/>
        <v>Nebraska</v>
      </c>
      <c r="L202" s="422">
        <v>11</v>
      </c>
      <c r="M202" s="418">
        <v>66.5</v>
      </c>
      <c r="N202" s="436" t="str">
        <f>F202</f>
        <v>Oklahoma</v>
      </c>
      <c r="O202" s="423">
        <v>49</v>
      </c>
      <c r="P202" s="436" t="str">
        <f t="shared" si="29"/>
        <v>Nebraska</v>
      </c>
      <c r="Q202" s="408">
        <v>14</v>
      </c>
      <c r="R202" s="494" t="str">
        <f t="shared" si="32"/>
        <v>Oklahoma</v>
      </c>
      <c r="S202" s="494" t="str">
        <f t="shared" si="33"/>
        <v>Nebraska</v>
      </c>
      <c r="T202" s="356" t="str">
        <f>J202</f>
        <v>Oklahoma</v>
      </c>
      <c r="U202" s="665" t="str">
        <f t="shared" si="34"/>
        <v>W</v>
      </c>
      <c r="W202" s="424"/>
      <c r="X202" s="352" t="s">
        <v>404</v>
      </c>
      <c r="Y202" s="425"/>
    </row>
    <row r="203" spans="1:25" ht="16" x14ac:dyDescent="0.8">
      <c r="A203" s="351">
        <v>3</v>
      </c>
      <c r="B203" s="420" t="s">
        <v>34</v>
      </c>
      <c r="C203" s="421">
        <v>44821</v>
      </c>
      <c r="D203" s="414">
        <f>12/24</f>
        <v>0.5</v>
      </c>
      <c r="E203" s="349" t="s">
        <v>66</v>
      </c>
      <c r="F203" s="420" t="s">
        <v>257</v>
      </c>
      <c r="G203" s="349" t="s">
        <v>41</v>
      </c>
      <c r="H203" s="420" t="s">
        <v>143</v>
      </c>
      <c r="I203" s="349" t="s">
        <v>64</v>
      </c>
      <c r="J203" s="420"/>
      <c r="K203" s="379"/>
      <c r="L203" s="422"/>
      <c r="M203" s="418"/>
      <c r="N203" s="351" t="str">
        <f>F203</f>
        <v>1AA Southern Illinois</v>
      </c>
      <c r="O203" s="423">
        <v>31</v>
      </c>
      <c r="P203" s="436" t="str">
        <f t="shared" si="29"/>
        <v>Northwestern</v>
      </c>
      <c r="Q203" s="408">
        <v>24</v>
      </c>
      <c r="R203" s="494"/>
      <c r="S203" s="494"/>
      <c r="T203" s="356"/>
      <c r="U203" s="349"/>
      <c r="W203" s="424"/>
      <c r="X203" s="352" t="s">
        <v>404</v>
      </c>
      <c r="Y203" s="425"/>
    </row>
    <row r="204" spans="1:25" ht="16" x14ac:dyDescent="0.8">
      <c r="A204" s="351">
        <v>3</v>
      </c>
      <c r="B204" s="420" t="s">
        <v>34</v>
      </c>
      <c r="C204" s="421">
        <v>44821</v>
      </c>
      <c r="D204" s="414">
        <f>19/24</f>
        <v>0.79166666666666663</v>
      </c>
      <c r="E204" s="349" t="s">
        <v>118</v>
      </c>
      <c r="F204" s="420" t="s">
        <v>77</v>
      </c>
      <c r="G204" s="349" t="s">
        <v>68</v>
      </c>
      <c r="H204" s="420" t="s">
        <v>63</v>
      </c>
      <c r="I204" s="349" t="s">
        <v>64</v>
      </c>
      <c r="J204" s="420" t="str">
        <f>H204</f>
        <v>Ohio State</v>
      </c>
      <c r="K204" s="379" t="str">
        <f>IF(+J204=H204,F204,H204)</f>
        <v>Toledo</v>
      </c>
      <c r="L204" s="422">
        <v>32.5</v>
      </c>
      <c r="M204" s="418">
        <v>61</v>
      </c>
      <c r="N204" s="351" t="str">
        <f t="shared" ref="N204:N211" si="35">H204</f>
        <v>Ohio State</v>
      </c>
      <c r="O204" s="423">
        <v>77</v>
      </c>
      <c r="P204" s="436" t="str">
        <f t="shared" si="29"/>
        <v>Toledo</v>
      </c>
      <c r="Q204" s="408">
        <v>21</v>
      </c>
      <c r="R204" s="494" t="str">
        <f>IF(+N204=K204,+N204,IF(+O204-Q204&lt;L204,+K204,+J204))</f>
        <v>Ohio State</v>
      </c>
      <c r="S204" s="494" t="str">
        <f>IF(+R204=J204,+K204,+J204)</f>
        <v>Toledo</v>
      </c>
      <c r="T204" s="356" t="str">
        <f>K204</f>
        <v>Toledo</v>
      </c>
      <c r="U204" s="665" t="str">
        <f>IF($N204=$J204,IF($O204-$Q204=$L204,"T",IF($R204=T204,"W","L")),IF($R204=T204,"W","L"))</f>
        <v>L</v>
      </c>
      <c r="W204" s="424"/>
      <c r="X204" s="352" t="s">
        <v>404</v>
      </c>
      <c r="Y204" s="425"/>
    </row>
    <row r="205" spans="1:25" ht="16" x14ac:dyDescent="0.8">
      <c r="A205" s="351">
        <v>3</v>
      </c>
      <c r="B205" s="420" t="s">
        <v>34</v>
      </c>
      <c r="C205" s="421">
        <v>44821</v>
      </c>
      <c r="D205" s="414">
        <f>15.5/24</f>
        <v>0.64583333333333337</v>
      </c>
      <c r="E205" s="349" t="s">
        <v>53</v>
      </c>
      <c r="F205" s="420" t="s">
        <v>78</v>
      </c>
      <c r="G205" s="349" t="s">
        <v>43</v>
      </c>
      <c r="H205" s="420" t="s">
        <v>94</v>
      </c>
      <c r="I205" s="349" t="s">
        <v>64</v>
      </c>
      <c r="J205" s="420" t="str">
        <f>H205</f>
        <v>Wisconsin</v>
      </c>
      <c r="K205" s="379" t="str">
        <f>IF(+J205=H205,F205,H205)</f>
        <v>New Mexico State</v>
      </c>
      <c r="L205" s="422">
        <v>37</v>
      </c>
      <c r="M205" s="418">
        <v>46.5</v>
      </c>
      <c r="N205" s="351" t="str">
        <f t="shared" si="35"/>
        <v>Wisconsin</v>
      </c>
      <c r="O205" s="423">
        <v>66</v>
      </c>
      <c r="P205" s="436" t="str">
        <f t="shared" si="29"/>
        <v>New Mexico State</v>
      </c>
      <c r="Q205" s="408">
        <v>7</v>
      </c>
      <c r="R205" s="494" t="e">
        <f>IF(+N205=K205,+N205,IF(+O205-Q205&lt;L205,+K205,+#REF!))</f>
        <v>#REF!</v>
      </c>
      <c r="S205" s="494" t="e">
        <f>IF(+R205=#REF!,+K205,+#REF!)</f>
        <v>#REF!</v>
      </c>
      <c r="T205" s="356" t="str">
        <f>K205</f>
        <v>New Mexico State</v>
      </c>
      <c r="U205" s="665" t="e">
        <f>IF($N205=#REF!,IF($O205-$Q205=$L205,"T",IF($R205=T205,"W","L")),IF($R205=T205,"W","L"))</f>
        <v>#REF!</v>
      </c>
      <c r="W205" s="424"/>
      <c r="X205" s="352" t="s">
        <v>404</v>
      </c>
      <c r="Y205" s="425"/>
    </row>
    <row r="206" spans="1:25" ht="16" x14ac:dyDescent="0.8">
      <c r="A206" s="351">
        <v>3</v>
      </c>
      <c r="B206" s="420" t="s">
        <v>34</v>
      </c>
      <c r="C206" s="421">
        <v>44821</v>
      </c>
      <c r="D206" s="414">
        <f>12/24</f>
        <v>0.5</v>
      </c>
      <c r="E206" s="349" t="s">
        <v>70</v>
      </c>
      <c r="F206" s="420" t="s">
        <v>207</v>
      </c>
      <c r="G206" s="349" t="s">
        <v>59</v>
      </c>
      <c r="H206" s="420" t="s">
        <v>146</v>
      </c>
      <c r="I206" s="349" t="s">
        <v>73</v>
      </c>
      <c r="J206" s="420" t="str">
        <f>H206</f>
        <v>Baylor</v>
      </c>
      <c r="K206" s="379" t="str">
        <f>IF(+J206=H206,F206,H206)</f>
        <v>Texas State</v>
      </c>
      <c r="L206" s="422">
        <v>30</v>
      </c>
      <c r="M206" s="418">
        <v>53</v>
      </c>
      <c r="N206" s="351" t="str">
        <f t="shared" si="35"/>
        <v>Baylor</v>
      </c>
      <c r="O206" s="423">
        <v>42</v>
      </c>
      <c r="P206" s="436" t="str">
        <f t="shared" si="29"/>
        <v>Texas State</v>
      </c>
      <c r="Q206" s="408">
        <v>7</v>
      </c>
      <c r="R206" s="494" t="str">
        <f>IF(+N206=K206,+N206,IF(+O206-Q206&lt;L206,+K206,+J206))</f>
        <v>Baylor</v>
      </c>
      <c r="S206" s="494" t="str">
        <f>IF(+R206=J206,+K206,+J206)</f>
        <v>Texas State</v>
      </c>
      <c r="T206" s="356" t="str">
        <f>J206</f>
        <v>Baylor</v>
      </c>
      <c r="U206" s="665" t="str">
        <f>IF($N206=$J206,IF($O206-$Q206=$L206,"T",IF($R206=T206,"W","L")),IF($R206=T206,"W","L"))</f>
        <v>W</v>
      </c>
      <c r="W206" s="424"/>
      <c r="X206" s="352" t="s">
        <v>404</v>
      </c>
      <c r="Y206" s="425"/>
    </row>
    <row r="207" spans="1:25" ht="16" x14ac:dyDescent="0.8">
      <c r="A207" s="351">
        <v>3</v>
      </c>
      <c r="B207" s="420" t="s">
        <v>34</v>
      </c>
      <c r="C207" s="421">
        <v>44821</v>
      </c>
      <c r="D207" s="414">
        <f>14/24</f>
        <v>0.58333333333333337</v>
      </c>
      <c r="E207" s="349"/>
      <c r="F207" s="420" t="s">
        <v>182</v>
      </c>
      <c r="G207" s="349" t="s">
        <v>68</v>
      </c>
      <c r="H207" s="420" t="s">
        <v>148</v>
      </c>
      <c r="I207" s="349" t="s">
        <v>73</v>
      </c>
      <c r="J207" s="420" t="str">
        <f>H207</f>
        <v>Iowa State</v>
      </c>
      <c r="K207" s="379" t="str">
        <f>IF(+J207=H207,F207,H207)</f>
        <v>Ohio</v>
      </c>
      <c r="L207" s="422">
        <v>18.5</v>
      </c>
      <c r="M207" s="418">
        <v>49</v>
      </c>
      <c r="N207" s="351" t="str">
        <f t="shared" si="35"/>
        <v>Iowa State</v>
      </c>
      <c r="O207" s="423">
        <v>43</v>
      </c>
      <c r="P207" s="436" t="str">
        <f t="shared" si="29"/>
        <v>Ohio</v>
      </c>
      <c r="Q207" s="408">
        <v>10</v>
      </c>
      <c r="R207" s="494" t="str">
        <f>IF(+N207=K207,+N207,IF(+O207-Q207&lt;L207,+K207,+J207))</f>
        <v>Iowa State</v>
      </c>
      <c r="S207" s="494" t="str">
        <f>IF(+R207=J207,+K207,+J207)</f>
        <v>Ohio</v>
      </c>
      <c r="T207" s="356" t="str">
        <f>J207</f>
        <v>Iowa State</v>
      </c>
      <c r="U207" s="665" t="str">
        <f>IF($N207=$J207,IF($O207-$Q207=$L207,"T",IF($R207=T207,"W","L")),IF($R207=T207,"W","L"))</f>
        <v>W</v>
      </c>
      <c r="W207" s="424"/>
      <c r="X207" s="352" t="s">
        <v>404</v>
      </c>
      <c r="Y207" s="425"/>
    </row>
    <row r="208" spans="1:25" ht="16" x14ac:dyDescent="0.8">
      <c r="A208" s="351">
        <v>3</v>
      </c>
      <c r="B208" s="420" t="s">
        <v>34</v>
      </c>
      <c r="C208" s="421">
        <v>44821</v>
      </c>
      <c r="D208" s="414">
        <f>15/24</f>
        <v>0.625</v>
      </c>
      <c r="E208" s="349"/>
      <c r="F208" s="420" t="s">
        <v>112</v>
      </c>
      <c r="G208" s="349" t="s">
        <v>50</v>
      </c>
      <c r="H208" s="420" t="s">
        <v>152</v>
      </c>
      <c r="I208" s="349" t="s">
        <v>73</v>
      </c>
      <c r="J208" s="420" t="str">
        <f>H208</f>
        <v>Kansas State</v>
      </c>
      <c r="K208" s="379" t="str">
        <f>IF(+J208=H208,F208,H208)</f>
        <v>Tulane</v>
      </c>
      <c r="L208" s="422">
        <v>14.5</v>
      </c>
      <c r="M208" s="418">
        <v>46.5</v>
      </c>
      <c r="N208" s="351" t="str">
        <f t="shared" si="35"/>
        <v>Kansas State</v>
      </c>
      <c r="O208" s="423">
        <v>17</v>
      </c>
      <c r="P208" s="436" t="str">
        <f t="shared" si="29"/>
        <v>Tulane</v>
      </c>
      <c r="Q208" s="408">
        <v>10</v>
      </c>
      <c r="R208" s="494" t="str">
        <f>IF(+N208=K208,+N208,IF(+O208-Q208&lt;L208,+K208,+J208))</f>
        <v>Tulane</v>
      </c>
      <c r="S208" s="494" t="str">
        <f>IF(+R208=J208,+K208,+J208)</f>
        <v>Kansas State</v>
      </c>
      <c r="T208" s="667" t="str">
        <f>J208</f>
        <v>Kansas State</v>
      </c>
      <c r="U208" s="665" t="str">
        <f>IF($N208=$J208,IF($O208-$Q208=$L208,"T",IF($R208=T208,"W","L")),IF($R208=T208,"W","L"))</f>
        <v>L</v>
      </c>
      <c r="W208" s="424"/>
      <c r="X208" s="352" t="s">
        <v>404</v>
      </c>
      <c r="Y208" s="425"/>
    </row>
    <row r="209" spans="1:25" ht="16" x14ac:dyDescent="0.8">
      <c r="A209" s="351">
        <v>3</v>
      </c>
      <c r="B209" s="420" t="s">
        <v>34</v>
      </c>
      <c r="C209" s="421">
        <v>44821</v>
      </c>
      <c r="D209" s="414">
        <f>19/24</f>
        <v>0.79166666666666663</v>
      </c>
      <c r="E209" s="349"/>
      <c r="F209" s="420" t="s">
        <v>237</v>
      </c>
      <c r="G209" s="349" t="s">
        <v>41</v>
      </c>
      <c r="H209" s="420" t="s">
        <v>72</v>
      </c>
      <c r="I209" s="349" t="s">
        <v>73</v>
      </c>
      <c r="J209" s="420"/>
      <c r="K209" s="379"/>
      <c r="L209" s="422"/>
      <c r="M209" s="418"/>
      <c r="N209" s="351" t="str">
        <f t="shared" si="35"/>
        <v>Oklahoma State</v>
      </c>
      <c r="O209" s="423">
        <v>63</v>
      </c>
      <c r="P209" s="436" t="str">
        <f t="shared" si="29"/>
        <v>1AA Arkansas Pine Bluff</v>
      </c>
      <c r="Q209" s="408">
        <v>7</v>
      </c>
      <c r="R209" s="494"/>
      <c r="S209" s="494"/>
      <c r="T209" s="356"/>
      <c r="U209" s="349"/>
      <c r="W209" s="424"/>
      <c r="X209" s="352" t="s">
        <v>404</v>
      </c>
      <c r="Y209" s="425"/>
    </row>
    <row r="210" spans="1:25" ht="16" x14ac:dyDescent="0.8">
      <c r="A210" s="351">
        <v>3</v>
      </c>
      <c r="B210" s="420" t="s">
        <v>34</v>
      </c>
      <c r="C210" s="421">
        <v>44821</v>
      </c>
      <c r="D210" s="414">
        <f>20/24</f>
        <v>0.83333333333333337</v>
      </c>
      <c r="E210" s="349" t="s">
        <v>449</v>
      </c>
      <c r="F210" s="420" t="s">
        <v>175</v>
      </c>
      <c r="G210" s="349" t="s">
        <v>39</v>
      </c>
      <c r="H210" s="420" t="s">
        <v>157</v>
      </c>
      <c r="I210" s="349" t="s">
        <v>73</v>
      </c>
      <c r="J210" s="420" t="str">
        <f>H210</f>
        <v>Texas</v>
      </c>
      <c r="K210" s="379" t="str">
        <f>IF(+J210=H210,F210,H210)</f>
        <v>UT San Antonio</v>
      </c>
      <c r="L210" s="422">
        <v>12.5</v>
      </c>
      <c r="M210" s="418">
        <v>61.5</v>
      </c>
      <c r="N210" s="351" t="str">
        <f t="shared" si="35"/>
        <v>Texas</v>
      </c>
      <c r="O210" s="423">
        <v>41</v>
      </c>
      <c r="P210" s="436" t="str">
        <f t="shared" si="29"/>
        <v>UT San Antonio</v>
      </c>
      <c r="Q210" s="408">
        <v>20</v>
      </c>
      <c r="R210" s="494" t="str">
        <f>IF(+N210=K210,+N210,IF(+O210-Q210&lt;L210,+K210,+J210))</f>
        <v>Texas</v>
      </c>
      <c r="S210" s="494" t="str">
        <f>IF(+R210=J210,+K210,+J210)</f>
        <v>UT San Antonio</v>
      </c>
      <c r="T210" s="356" t="str">
        <f>K210</f>
        <v>UT San Antonio</v>
      </c>
      <c r="U210" s="665" t="str">
        <f>IF($N210=$J210,IF($O210-$Q210=$L210,"T",IF($R210=T210,"W","L")),IF($R210=T210,"W","L"))</f>
        <v>L</v>
      </c>
      <c r="W210" s="424"/>
      <c r="X210" s="352" t="s">
        <v>404</v>
      </c>
      <c r="Y210" s="425"/>
    </row>
    <row r="211" spans="1:25" ht="16" x14ac:dyDescent="0.8">
      <c r="A211" s="351">
        <v>3</v>
      </c>
      <c r="B211" s="420" t="s">
        <v>34</v>
      </c>
      <c r="C211" s="421">
        <v>44821</v>
      </c>
      <c r="D211" s="414">
        <f>13/24</f>
        <v>0.54166666666666663</v>
      </c>
      <c r="E211" s="349"/>
      <c r="F211" s="420" t="s">
        <v>234</v>
      </c>
      <c r="G211" s="349" t="s">
        <v>41</v>
      </c>
      <c r="H211" s="420" t="s">
        <v>222</v>
      </c>
      <c r="I211" s="349" t="s">
        <v>73</v>
      </c>
      <c r="J211" s="420"/>
      <c r="K211" s="379"/>
      <c r="L211" s="422"/>
      <c r="M211" s="418"/>
      <c r="N211" s="351" t="str">
        <f t="shared" si="35"/>
        <v>West Virginia</v>
      </c>
      <c r="O211" s="423">
        <v>65</v>
      </c>
      <c r="P211" s="436" t="str">
        <f t="shared" si="29"/>
        <v>1AA Towson</v>
      </c>
      <c r="Q211" s="408">
        <v>7</v>
      </c>
      <c r="R211" s="494"/>
      <c r="S211" s="494"/>
      <c r="T211" s="356"/>
      <c r="U211" s="349"/>
      <c r="W211" s="424"/>
      <c r="X211" s="352" t="s">
        <v>404</v>
      </c>
      <c r="Y211" s="425"/>
    </row>
    <row r="212" spans="1:25" ht="16" x14ac:dyDescent="0.8">
      <c r="A212" s="351">
        <v>3</v>
      </c>
      <c r="B212" s="420" t="s">
        <v>34</v>
      </c>
      <c r="C212" s="421">
        <v>44821</v>
      </c>
      <c r="D212" s="414">
        <f>19.5/24</f>
        <v>0.8125</v>
      </c>
      <c r="E212" s="349" t="s">
        <v>445</v>
      </c>
      <c r="F212" s="420" t="s">
        <v>106</v>
      </c>
      <c r="G212" s="349" t="s">
        <v>50</v>
      </c>
      <c r="H212" s="420" t="s">
        <v>97</v>
      </c>
      <c r="I212" s="349" t="s">
        <v>39</v>
      </c>
      <c r="J212" s="420" t="str">
        <f>F212</f>
        <v>Central Florida</v>
      </c>
      <c r="K212" s="379" t="str">
        <f>IF(+J212=H212,F212,H212)</f>
        <v>Florida Atlantic</v>
      </c>
      <c r="L212" s="422">
        <v>9</v>
      </c>
      <c r="M212" s="418">
        <v>61</v>
      </c>
      <c r="N212" s="351" t="str">
        <f>F212</f>
        <v>Central Florida</v>
      </c>
      <c r="O212" s="423">
        <v>40</v>
      </c>
      <c r="P212" s="436" t="str">
        <f t="shared" si="29"/>
        <v>Florida Atlantic</v>
      </c>
      <c r="Q212" s="408">
        <v>14</v>
      </c>
      <c r="R212" s="494" t="str">
        <f>IF(+N212=K212,+N212,IF(+O212-Q212&lt;L212,+K212,+J212))</f>
        <v>Central Florida</v>
      </c>
      <c r="S212" s="494" t="str">
        <f>IF(+R212=J212,+K212,+J212)</f>
        <v>Florida Atlantic</v>
      </c>
      <c r="T212" s="356" t="str">
        <f>J212</f>
        <v>Central Florida</v>
      </c>
      <c r="U212" s="665" t="str">
        <f>IF($N212=$J212,IF($O212-$Q212=$L212,"T",IF($R212=T212,"W","L")),IF($R212=T212,"W","L"))</f>
        <v>W</v>
      </c>
      <c r="W212" s="424"/>
      <c r="X212" s="352" t="s">
        <v>404</v>
      </c>
      <c r="Y212" s="425"/>
    </row>
    <row r="213" spans="1:25" ht="16" x14ac:dyDescent="0.8">
      <c r="A213" s="351">
        <v>3</v>
      </c>
      <c r="B213" s="420" t="s">
        <v>34</v>
      </c>
      <c r="C213" s="421">
        <v>44821</v>
      </c>
      <c r="D213" s="414">
        <f>19/24</f>
        <v>0.79166666666666663</v>
      </c>
      <c r="E213" s="349"/>
      <c r="F213" s="420" t="s">
        <v>83</v>
      </c>
      <c r="G213" s="349" t="s">
        <v>41</v>
      </c>
      <c r="H213" s="420" t="s">
        <v>165</v>
      </c>
      <c r="I213" s="349" t="s">
        <v>39</v>
      </c>
      <c r="J213" s="420"/>
      <c r="K213" s="379"/>
      <c r="L213" s="422"/>
      <c r="M213" s="418"/>
      <c r="N213" s="351" t="str">
        <f t="shared" ref="N213:N222" si="36">H213</f>
        <v>Middle Tenn St</v>
      </c>
      <c r="O213" s="423">
        <v>49</v>
      </c>
      <c r="P213" s="436" t="str">
        <f t="shared" ref="P213:P242" si="37">IF(+N213=H213,F213,H213)</f>
        <v>1AA Tennessee State</v>
      </c>
      <c r="Q213" s="408">
        <v>6</v>
      </c>
      <c r="R213" s="494"/>
      <c r="S213" s="494"/>
      <c r="T213" s="356"/>
      <c r="U213" s="349"/>
      <c r="W213" s="424"/>
      <c r="X213" s="352" t="s">
        <v>404</v>
      </c>
      <c r="Y213" s="425"/>
    </row>
    <row r="214" spans="1:25" ht="16" x14ac:dyDescent="0.8">
      <c r="A214" s="351">
        <v>3</v>
      </c>
      <c r="B214" s="420" t="s">
        <v>34</v>
      </c>
      <c r="C214" s="421">
        <v>44821</v>
      </c>
      <c r="D214" s="414">
        <f>19.5/24</f>
        <v>0.8125</v>
      </c>
      <c r="E214" s="349"/>
      <c r="F214" s="420" t="s">
        <v>209</v>
      </c>
      <c r="G214" s="349" t="s">
        <v>59</v>
      </c>
      <c r="H214" s="420" t="s">
        <v>38</v>
      </c>
      <c r="I214" s="349" t="s">
        <v>39</v>
      </c>
      <c r="J214" s="420" t="str">
        <f>F214</f>
        <v>UL Lafayette</v>
      </c>
      <c r="K214" s="379" t="str">
        <f>IF(+J214=H214,F214,H214)</f>
        <v>Rice</v>
      </c>
      <c r="L214" s="422">
        <v>11.5</v>
      </c>
      <c r="M214" s="418">
        <v>50.5</v>
      </c>
      <c r="N214" s="436" t="str">
        <f t="shared" si="36"/>
        <v>Rice</v>
      </c>
      <c r="O214" s="423">
        <v>33</v>
      </c>
      <c r="P214" s="436" t="str">
        <f t="shared" si="37"/>
        <v>UL Lafayette</v>
      </c>
      <c r="Q214" s="408">
        <v>21</v>
      </c>
      <c r="R214" s="494" t="str">
        <f>IF(+N214=K214,+N214,IF(+O214-Q214&lt;L214,+K214,+J214))</f>
        <v>Rice</v>
      </c>
      <c r="S214" s="494" t="str">
        <f>IF(+R214=J214,+K214,+J214)</f>
        <v>UL Lafayette</v>
      </c>
      <c r="T214" s="356" t="str">
        <f>J214</f>
        <v>UL Lafayette</v>
      </c>
      <c r="U214" s="665" t="str">
        <f>IF($N214=$J214,IF($O214-$Q214=$L214,"T",IF($R214=T214,"W","L")),IF($R214=T214,"W","L"))</f>
        <v>L</v>
      </c>
      <c r="W214" s="424"/>
      <c r="X214" s="352" t="s">
        <v>404</v>
      </c>
      <c r="Y214" s="425"/>
    </row>
    <row r="215" spans="1:25" ht="16" x14ac:dyDescent="0.8">
      <c r="A215" s="351">
        <v>3</v>
      </c>
      <c r="B215" s="420" t="s">
        <v>34</v>
      </c>
      <c r="C215" s="421">
        <v>44821</v>
      </c>
      <c r="D215" s="414">
        <f>15.5/24</f>
        <v>0.64583333333333337</v>
      </c>
      <c r="E215" s="349"/>
      <c r="F215" s="420" t="s">
        <v>210</v>
      </c>
      <c r="G215" s="349" t="s">
        <v>59</v>
      </c>
      <c r="H215" s="420" t="s">
        <v>173</v>
      </c>
      <c r="I215" s="349" t="s">
        <v>39</v>
      </c>
      <c r="J215" s="420" t="str">
        <f>H215</f>
        <v>UAB</v>
      </c>
      <c r="K215" s="379" t="str">
        <f>IF(+J215=H215,F215,H215)</f>
        <v>Georgia Southern</v>
      </c>
      <c r="L215" s="422">
        <v>11.5</v>
      </c>
      <c r="M215" s="418">
        <v>54</v>
      </c>
      <c r="N215" s="351" t="str">
        <f t="shared" si="36"/>
        <v>UAB</v>
      </c>
      <c r="O215" s="423">
        <v>35</v>
      </c>
      <c r="P215" s="436" t="str">
        <f t="shared" si="37"/>
        <v>Georgia Southern</v>
      </c>
      <c r="Q215" s="408">
        <v>21</v>
      </c>
      <c r="R215" s="494" t="str">
        <f>IF(+N215=K215,+N215,IF(+O215-Q215&lt;L215,+K215,+J215))</f>
        <v>UAB</v>
      </c>
      <c r="S215" s="494" t="str">
        <f>IF(+R215=J215,+K215,+J215)</f>
        <v>Georgia Southern</v>
      </c>
      <c r="T215" s="356" t="str">
        <f>K215</f>
        <v>Georgia Southern</v>
      </c>
      <c r="U215" s="665" t="str">
        <f>IF($N215=$J215,IF($O215-$Q215=$L215,"T",IF($R215=T215,"W","L")),IF($R215=T215,"W","L"))</f>
        <v>L</v>
      </c>
      <c r="W215" s="424"/>
      <c r="X215" s="352" t="s">
        <v>404</v>
      </c>
      <c r="Y215" s="425"/>
    </row>
    <row r="216" spans="1:25" ht="16" x14ac:dyDescent="0.8">
      <c r="A216" s="351">
        <v>3</v>
      </c>
      <c r="B216" s="420" t="s">
        <v>34</v>
      </c>
      <c r="C216" s="421">
        <v>44821</v>
      </c>
      <c r="D216" s="414">
        <f>12/24</f>
        <v>0.5</v>
      </c>
      <c r="E216" s="349" t="s">
        <v>445</v>
      </c>
      <c r="F216" s="420" t="s">
        <v>231</v>
      </c>
      <c r="G216" s="349" t="s">
        <v>41</v>
      </c>
      <c r="H216" s="420" t="s">
        <v>99</v>
      </c>
      <c r="I216" s="349" t="s">
        <v>43</v>
      </c>
      <c r="J216" s="420"/>
      <c r="K216" s="379"/>
      <c r="L216" s="422"/>
      <c r="M216" s="418"/>
      <c r="N216" s="436" t="str">
        <f t="shared" si="36"/>
        <v>Army</v>
      </c>
      <c r="O216" s="423">
        <v>49</v>
      </c>
      <c r="P216" s="436" t="str">
        <f t="shared" si="37"/>
        <v>1AA Villanova</v>
      </c>
      <c r="Q216" s="408">
        <v>10</v>
      </c>
      <c r="R216" s="494"/>
      <c r="S216" s="494"/>
      <c r="T216" s="356"/>
      <c r="U216" s="349"/>
      <c r="W216" s="424"/>
      <c r="X216" s="352" t="s">
        <v>404</v>
      </c>
      <c r="Y216" s="425"/>
    </row>
    <row r="217" spans="1:25" ht="16" x14ac:dyDescent="0.8">
      <c r="A217" s="351">
        <v>3</v>
      </c>
      <c r="B217" s="420" t="s">
        <v>34</v>
      </c>
      <c r="C217" s="421">
        <v>44821</v>
      </c>
      <c r="D217" s="414">
        <f>15.5/24</f>
        <v>0.64583333333333337</v>
      </c>
      <c r="E217" s="349" t="s">
        <v>53</v>
      </c>
      <c r="F217" s="420" t="s">
        <v>110</v>
      </c>
      <c r="G217" s="349" t="s">
        <v>41</v>
      </c>
      <c r="H217" s="420" t="s">
        <v>46</v>
      </c>
      <c r="I217" s="349" t="s">
        <v>43</v>
      </c>
      <c r="J217" s="420"/>
      <c r="K217" s="379"/>
      <c r="L217" s="422"/>
      <c r="M217" s="418"/>
      <c r="N217" s="436" t="str">
        <f t="shared" si="36"/>
        <v>Massachusetts</v>
      </c>
      <c r="O217" s="423">
        <v>20</v>
      </c>
      <c r="P217" s="436" t="str">
        <f t="shared" si="37"/>
        <v>1AA Stony Brook</v>
      </c>
      <c r="Q217" s="408">
        <v>3</v>
      </c>
      <c r="R217" s="494"/>
      <c r="S217" s="494"/>
      <c r="T217" s="356"/>
      <c r="U217" s="349"/>
      <c r="W217" s="424"/>
      <c r="X217" s="352" t="s">
        <v>404</v>
      </c>
      <c r="Y217" s="425"/>
    </row>
    <row r="218" spans="1:25" ht="16" x14ac:dyDescent="0.8">
      <c r="A218" s="351">
        <v>3</v>
      </c>
      <c r="B218" s="420" t="s">
        <v>34</v>
      </c>
      <c r="C218" s="421">
        <v>44821</v>
      </c>
      <c r="D218" s="414">
        <f>14.5/24</f>
        <v>0.60416666666666663</v>
      </c>
      <c r="E218" s="349" t="s">
        <v>179</v>
      </c>
      <c r="F218" s="420" t="s">
        <v>123</v>
      </c>
      <c r="G218" s="349" t="s">
        <v>37</v>
      </c>
      <c r="H218" s="420" t="s">
        <v>181</v>
      </c>
      <c r="I218" s="349" t="s">
        <v>43</v>
      </c>
      <c r="J218" s="420" t="str">
        <f>H218</f>
        <v>Notre Dame</v>
      </c>
      <c r="K218" s="379" t="str">
        <f>IF(+J218=H218,F218,H218)</f>
        <v>California</v>
      </c>
      <c r="L218" s="422">
        <v>11</v>
      </c>
      <c r="M218" s="418">
        <v>41</v>
      </c>
      <c r="N218" s="436" t="str">
        <f t="shared" si="36"/>
        <v>Notre Dame</v>
      </c>
      <c r="O218" s="423">
        <v>27</v>
      </c>
      <c r="P218" s="436" t="str">
        <f t="shared" si="37"/>
        <v>California</v>
      </c>
      <c r="Q218" s="408">
        <v>14</v>
      </c>
      <c r="R218" s="494" t="str">
        <f>IF(+N218=K218,+N218,IF(+O218-Q218&lt;L218,+K218,+J218))</f>
        <v>Notre Dame</v>
      </c>
      <c r="S218" s="494" t="str">
        <f>IF(+R218=J218,+K218,+J218)</f>
        <v>California</v>
      </c>
      <c r="T218" s="356" t="str">
        <f>J218</f>
        <v>Notre Dame</v>
      </c>
      <c r="U218" s="665" t="str">
        <f>IF($N218=$J218,IF($O218-$Q218=$L218,"T",IF($R218=T218,"W","L")),IF($R218=T218,"W","L"))</f>
        <v>W</v>
      </c>
      <c r="W218" s="424"/>
      <c r="X218" s="352" t="s">
        <v>404</v>
      </c>
      <c r="Y218" s="425"/>
    </row>
    <row r="219" spans="1:25" ht="16" x14ac:dyDescent="0.8">
      <c r="A219" s="351">
        <v>3</v>
      </c>
      <c r="B219" s="420" t="s">
        <v>34</v>
      </c>
      <c r="C219" s="421">
        <v>44821</v>
      </c>
      <c r="D219" s="414">
        <f>14/24</f>
        <v>0.58333333333333337</v>
      </c>
      <c r="E219" s="349"/>
      <c r="F219" s="420" t="s">
        <v>261</v>
      </c>
      <c r="G219" s="349" t="s">
        <v>41</v>
      </c>
      <c r="H219" s="420" t="s">
        <v>131</v>
      </c>
      <c r="I219" s="349" t="s">
        <v>68</v>
      </c>
      <c r="J219" s="420"/>
      <c r="K219" s="379"/>
      <c r="L219" s="422"/>
      <c r="M219" s="418"/>
      <c r="N219" s="436" t="str">
        <f t="shared" si="36"/>
        <v>Ball State</v>
      </c>
      <c r="O219" s="423">
        <v>31</v>
      </c>
      <c r="P219" s="436" t="str">
        <f t="shared" si="37"/>
        <v>1AA Murray St</v>
      </c>
      <c r="Q219" s="408">
        <v>0</v>
      </c>
      <c r="R219" s="494"/>
      <c r="S219" s="494"/>
      <c r="T219" s="356"/>
      <c r="U219" s="349"/>
      <c r="W219" s="424"/>
      <c r="X219" s="352" t="s">
        <v>404</v>
      </c>
      <c r="Y219" s="425"/>
    </row>
    <row r="220" spans="1:25" ht="16" x14ac:dyDescent="0.8">
      <c r="A220" s="351">
        <v>3</v>
      </c>
      <c r="B220" s="420" t="s">
        <v>34</v>
      </c>
      <c r="C220" s="421">
        <v>44821</v>
      </c>
      <c r="D220" s="414">
        <f>17/24</f>
        <v>0.70833333333333337</v>
      </c>
      <c r="E220" s="349" t="s">
        <v>359</v>
      </c>
      <c r="F220" s="420" t="s">
        <v>163</v>
      </c>
      <c r="G220" s="349" t="s">
        <v>59</v>
      </c>
      <c r="H220" s="420" t="s">
        <v>138</v>
      </c>
      <c r="I220" s="349" t="s">
        <v>68</v>
      </c>
      <c r="J220" s="420" t="str">
        <f>F220</f>
        <v>Marshall</v>
      </c>
      <c r="K220" s="379" t="str">
        <f>IF(+J220=H220,F220,H220)</f>
        <v>Bowling Green</v>
      </c>
      <c r="L220" s="422">
        <v>16.5</v>
      </c>
      <c r="M220" s="418">
        <v>52</v>
      </c>
      <c r="N220" s="351" t="str">
        <f t="shared" si="36"/>
        <v>Bowling Green</v>
      </c>
      <c r="O220" s="423">
        <v>34</v>
      </c>
      <c r="P220" s="436" t="str">
        <f t="shared" si="37"/>
        <v>Marshall</v>
      </c>
      <c r="Q220" s="408">
        <v>31</v>
      </c>
      <c r="R220" s="494" t="str">
        <f>IF(+N220=K220,+N220,IF(+O220-Q220&lt;L220,+K220,+J220))</f>
        <v>Bowling Green</v>
      </c>
      <c r="S220" s="494" t="str">
        <f>IF(+R220=J220,+K220,+J220)</f>
        <v>Marshall</v>
      </c>
      <c r="T220" s="356" t="str">
        <f>K220</f>
        <v>Bowling Green</v>
      </c>
      <c r="U220" s="665" t="str">
        <f>IF($N220=$J220,IF($O220-$Q220=$L220,"T",IF($R220=T220,"W","L")),IF($R220=T220,"W","L"))</f>
        <v>W</v>
      </c>
      <c r="W220" s="424"/>
      <c r="X220" s="352" t="s">
        <v>404</v>
      </c>
      <c r="Y220" s="425"/>
    </row>
    <row r="221" spans="1:25" ht="16" x14ac:dyDescent="0.8">
      <c r="A221" s="351">
        <v>3</v>
      </c>
      <c r="B221" s="420" t="s">
        <v>34</v>
      </c>
      <c r="C221" s="421">
        <v>44821</v>
      </c>
      <c r="D221" s="414">
        <f>13/24</f>
        <v>0.54166666666666663</v>
      </c>
      <c r="E221" s="349" t="s">
        <v>53</v>
      </c>
      <c r="F221" s="420" t="s">
        <v>269</v>
      </c>
      <c r="G221" s="349" t="s">
        <v>41</v>
      </c>
      <c r="H221" s="420" t="s">
        <v>75</v>
      </c>
      <c r="I221" s="349" t="s">
        <v>68</v>
      </c>
      <c r="J221" s="420"/>
      <c r="K221" s="379"/>
      <c r="L221" s="422"/>
      <c r="M221" s="418"/>
      <c r="N221" s="351" t="str">
        <f t="shared" si="36"/>
        <v>Central Michigan</v>
      </c>
      <c r="O221" s="423">
        <v>41</v>
      </c>
      <c r="P221" s="436" t="str">
        <f t="shared" si="37"/>
        <v>1AA Bucknell</v>
      </c>
      <c r="Q221" s="408">
        <v>0</v>
      </c>
      <c r="R221" s="494"/>
      <c r="S221" s="494"/>
      <c r="T221" s="356"/>
      <c r="U221" s="349"/>
      <c r="W221" s="424"/>
      <c r="X221" s="352" t="s">
        <v>404</v>
      </c>
      <c r="Y221" s="425"/>
    </row>
    <row r="222" spans="1:25" ht="16" x14ac:dyDescent="0.8">
      <c r="A222" s="351">
        <v>3</v>
      </c>
      <c r="B222" s="420" t="s">
        <v>34</v>
      </c>
      <c r="C222" s="421">
        <v>44821</v>
      </c>
      <c r="D222" s="414">
        <f>12/24</f>
        <v>0.5</v>
      </c>
      <c r="E222" s="349" t="s">
        <v>53</v>
      </c>
      <c r="F222" s="420" t="s">
        <v>407</v>
      </c>
      <c r="G222" s="349" t="s">
        <v>41</v>
      </c>
      <c r="H222" s="420" t="s">
        <v>113</v>
      </c>
      <c r="I222" s="349" t="s">
        <v>68</v>
      </c>
      <c r="J222" s="420"/>
      <c r="K222" s="379"/>
      <c r="L222" s="422"/>
      <c r="M222" s="418"/>
      <c r="N222" s="351" t="str">
        <f t="shared" si="36"/>
        <v>Kent State</v>
      </c>
      <c r="O222" s="423">
        <v>63</v>
      </c>
      <c r="P222" s="436" t="str">
        <f t="shared" si="37"/>
        <v>1AA Long Island</v>
      </c>
      <c r="Q222" s="408">
        <v>10</v>
      </c>
      <c r="R222" s="494"/>
      <c r="S222" s="494"/>
      <c r="T222" s="356"/>
      <c r="U222" s="349"/>
      <c r="W222" s="424"/>
      <c r="X222" s="352" t="s">
        <v>404</v>
      </c>
      <c r="Y222" s="425"/>
    </row>
    <row r="223" spans="1:25" ht="16" x14ac:dyDescent="0.8">
      <c r="A223" s="351">
        <v>3</v>
      </c>
      <c r="B223" s="420" t="s">
        <v>34</v>
      </c>
      <c r="C223" s="421">
        <v>44821</v>
      </c>
      <c r="D223" s="414">
        <f>15.5/24</f>
        <v>0.64583333333333337</v>
      </c>
      <c r="E223" s="349" t="s">
        <v>445</v>
      </c>
      <c r="F223" s="420" t="s">
        <v>164</v>
      </c>
      <c r="G223" s="349" t="s">
        <v>85</v>
      </c>
      <c r="H223" s="420" t="s">
        <v>103</v>
      </c>
      <c r="I223" s="349" t="s">
        <v>68</v>
      </c>
      <c r="J223" s="420" t="str">
        <f>H223</f>
        <v>Northern Illinois</v>
      </c>
      <c r="K223" s="379" t="str">
        <f>IF(+J223=H223,F223,H223)</f>
        <v>Vanderbilt</v>
      </c>
      <c r="L223" s="422">
        <v>3</v>
      </c>
      <c r="M223" s="418">
        <v>58.5</v>
      </c>
      <c r="N223" s="351" t="str">
        <f>F223</f>
        <v>Vanderbilt</v>
      </c>
      <c r="O223" s="423">
        <v>38</v>
      </c>
      <c r="P223" s="436" t="str">
        <f t="shared" si="37"/>
        <v>Northern Illinois</v>
      </c>
      <c r="Q223" s="408">
        <v>28</v>
      </c>
      <c r="R223" s="494" t="str">
        <f>IF(+N223=K223,+N223,IF(+O223-Q223&lt;L223,+K223,+J223))</f>
        <v>Vanderbilt</v>
      </c>
      <c r="S223" s="494" t="str">
        <f>IF(+R223=J223,+K223,+J223)</f>
        <v>Northern Illinois</v>
      </c>
      <c r="T223" s="356" t="str">
        <f>K223</f>
        <v>Vanderbilt</v>
      </c>
      <c r="U223" s="665" t="str">
        <f>IF($N223=$J223,IF($O223-$Q223=$L223,"T",IF($R223=T223,"W","L")),IF($R223=T223,"W","L"))</f>
        <v>W</v>
      </c>
      <c r="W223" s="424"/>
      <c r="X223" s="352" t="s">
        <v>404</v>
      </c>
      <c r="Y223" s="425"/>
    </row>
    <row r="224" spans="1:25" ht="16" x14ac:dyDescent="0.8">
      <c r="A224" s="351">
        <v>3</v>
      </c>
      <c r="B224" s="420" t="s">
        <v>34</v>
      </c>
      <c r="C224" s="421">
        <v>44821</v>
      </c>
      <c r="D224" s="414">
        <f>19.5/24</f>
        <v>0.8125</v>
      </c>
      <c r="E224" s="349" t="s">
        <v>95</v>
      </c>
      <c r="F224" s="420" t="s">
        <v>128</v>
      </c>
      <c r="G224" s="349" t="s">
        <v>61</v>
      </c>
      <c r="H224" s="420" t="s">
        <v>201</v>
      </c>
      <c r="I224" s="349" t="s">
        <v>68</v>
      </c>
      <c r="J224" s="420" t="str">
        <f>F224</f>
        <v>Pittsburgh</v>
      </c>
      <c r="K224" s="379" t="str">
        <f>IF(+J224=H224,F224,H224)</f>
        <v>Western Michigan</v>
      </c>
      <c r="L224" s="422">
        <v>10.5</v>
      </c>
      <c r="M224" s="418">
        <v>49.5</v>
      </c>
      <c r="N224" s="351" t="str">
        <f>F224</f>
        <v>Pittsburgh</v>
      </c>
      <c r="O224" s="423">
        <v>34</v>
      </c>
      <c r="P224" s="436" t="str">
        <f t="shared" si="37"/>
        <v>Western Michigan</v>
      </c>
      <c r="Q224" s="408">
        <v>13</v>
      </c>
      <c r="R224" s="494" t="str">
        <f>IF(+N224=K224,+N224,IF(+O224-Q224&lt;L224,+K224,+J224))</f>
        <v>Pittsburgh</v>
      </c>
      <c r="S224" s="494" t="str">
        <f>IF(+R224=J224,+K224,+J224)</f>
        <v>Western Michigan</v>
      </c>
      <c r="T224" s="356" t="str">
        <f>J224</f>
        <v>Pittsburgh</v>
      </c>
      <c r="U224" s="665" t="str">
        <f>IF($N224=$J224,IF($O224-$Q224=$L224,"T",IF($R224=T224,"W","L")),IF($R224=T224,"W","L"))</f>
        <v>W</v>
      </c>
      <c r="V224" s="352" t="str">
        <f>LOWER(+H224)</f>
        <v>western michigan</v>
      </c>
      <c r="W224" s="424">
        <v>44</v>
      </c>
      <c r="X224" s="352" t="str">
        <f>UPPER(+F224)</f>
        <v>PITTSBURGH</v>
      </c>
      <c r="Y224" s="425">
        <v>41</v>
      </c>
    </row>
    <row r="225" spans="1:25" ht="16" x14ac:dyDescent="0.8">
      <c r="A225" s="351">
        <v>3</v>
      </c>
      <c r="B225" s="420" t="s">
        <v>34</v>
      </c>
      <c r="C225" s="421">
        <v>44821</v>
      </c>
      <c r="D225" s="414">
        <f>16/24</f>
        <v>0.66666666666666663</v>
      </c>
      <c r="E225" s="349" t="s">
        <v>70</v>
      </c>
      <c r="F225" s="420" t="s">
        <v>246</v>
      </c>
      <c r="G225" s="349" t="s">
        <v>41</v>
      </c>
      <c r="H225" s="420" t="s">
        <v>186</v>
      </c>
      <c r="I225" s="349" t="s">
        <v>45</v>
      </c>
      <c r="J225" s="420"/>
      <c r="K225" s="379"/>
      <c r="L225" s="422"/>
      <c r="M225" s="418"/>
      <c r="N225" s="351" t="str">
        <f>H225</f>
        <v>Boise State</v>
      </c>
      <c r="O225" s="423">
        <v>30</v>
      </c>
      <c r="P225" s="436" t="str">
        <f t="shared" si="37"/>
        <v>1AA Tennessee Martin</v>
      </c>
      <c r="Q225" s="408">
        <v>7</v>
      </c>
      <c r="R225" s="494"/>
      <c r="S225" s="494"/>
      <c r="T225" s="356"/>
      <c r="U225" s="349"/>
      <c r="W225" s="424"/>
      <c r="X225" s="352" t="s">
        <v>404</v>
      </c>
      <c r="Y225" s="425"/>
    </row>
    <row r="226" spans="1:25" ht="17" customHeight="1" x14ac:dyDescent="0.8">
      <c r="A226" s="351">
        <v>3</v>
      </c>
      <c r="B226" s="420" t="s">
        <v>34</v>
      </c>
      <c r="C226" s="421">
        <v>44821</v>
      </c>
      <c r="D226" s="414">
        <f>23.99/24</f>
        <v>0.99958333333333327</v>
      </c>
      <c r="E226" s="349"/>
      <c r="F226" s="420" t="s">
        <v>271</v>
      </c>
      <c r="G226" s="349" t="s">
        <v>41</v>
      </c>
      <c r="H226" s="420" t="s">
        <v>44</v>
      </c>
      <c r="I226" s="349" t="s">
        <v>45</v>
      </c>
      <c r="J226" s="420"/>
      <c r="K226" s="379"/>
      <c r="L226" s="422"/>
      <c r="M226" s="418"/>
      <c r="N226" s="351" t="str">
        <f>H226</f>
        <v>Hawaii</v>
      </c>
      <c r="O226" s="423">
        <v>24</v>
      </c>
      <c r="P226" s="436" t="str">
        <f t="shared" si="37"/>
        <v>1AA Duquesne</v>
      </c>
      <c r="Q226" s="408">
        <v>14</v>
      </c>
      <c r="R226" s="494"/>
      <c r="S226" s="494"/>
      <c r="T226" s="356"/>
      <c r="U226" s="349"/>
      <c r="W226" s="424"/>
      <c r="X226" s="352" t="s">
        <v>404</v>
      </c>
      <c r="Y226" s="425"/>
    </row>
    <row r="227" spans="1:25" ht="16" x14ac:dyDescent="0.8">
      <c r="A227" s="351">
        <v>3</v>
      </c>
      <c r="B227" s="420" t="s">
        <v>34</v>
      </c>
      <c r="C227" s="421">
        <v>44821</v>
      </c>
      <c r="D227" s="414">
        <f>20/24</f>
        <v>0.83333333333333337</v>
      </c>
      <c r="E227" s="349"/>
      <c r="F227" s="420" t="s">
        <v>153</v>
      </c>
      <c r="G227" s="349" t="s">
        <v>39</v>
      </c>
      <c r="H227" s="420" t="s">
        <v>191</v>
      </c>
      <c r="I227" s="349" t="s">
        <v>45</v>
      </c>
      <c r="J227" s="420" t="str">
        <f>F227</f>
        <v>UTEP</v>
      </c>
      <c r="K227" s="379" t="str">
        <f>IF(+J227=H227,F227,H227)</f>
        <v>New Mexico</v>
      </c>
      <c r="L227" s="422">
        <v>3</v>
      </c>
      <c r="M227" s="418">
        <v>39.5</v>
      </c>
      <c r="N227" s="351" t="str">
        <f>H227</f>
        <v>New Mexico</v>
      </c>
      <c r="O227" s="423">
        <v>27</v>
      </c>
      <c r="P227" s="436" t="str">
        <f t="shared" si="37"/>
        <v>UTEP</v>
      </c>
      <c r="Q227" s="408">
        <v>10</v>
      </c>
      <c r="R227" s="494" t="str">
        <f>IF(+N227=K227,+N227,IF(+O227-Q227&lt;L227,+K227,+J227))</f>
        <v>New Mexico</v>
      </c>
      <c r="S227" s="494" t="str">
        <f>IF(+R227=J227,+K227,+J227)</f>
        <v>UTEP</v>
      </c>
      <c r="T227" s="356" t="str">
        <f>J227</f>
        <v>UTEP</v>
      </c>
      <c r="U227" s="665" t="str">
        <f>IF($N227=$J227,IF($O227-$Q227=$L227,"T",IF($R227=T227,"W","L")),IF($R227=T227,"W","L"))</f>
        <v>L</v>
      </c>
      <c r="V227" s="352" t="str">
        <f>UPPER(+F227)</f>
        <v>UTEP</v>
      </c>
      <c r="W227" s="424">
        <v>20</v>
      </c>
      <c r="X227" s="352" t="str">
        <f>LOWER(+H227)</f>
        <v>new mexico</v>
      </c>
      <c r="Y227" s="425">
        <v>13</v>
      </c>
    </row>
    <row r="228" spans="1:25" ht="16" x14ac:dyDescent="0.8">
      <c r="A228" s="351">
        <v>3</v>
      </c>
      <c r="B228" s="420" t="s">
        <v>34</v>
      </c>
      <c r="C228" s="421">
        <v>44821</v>
      </c>
      <c r="D228" s="414">
        <f>15/24</f>
        <v>0.625</v>
      </c>
      <c r="E228" s="349"/>
      <c r="F228" s="420" t="s">
        <v>167</v>
      </c>
      <c r="G228" s="349" t="s">
        <v>39</v>
      </c>
      <c r="H228" s="420" t="s">
        <v>196</v>
      </c>
      <c r="I228" s="349" t="s">
        <v>45</v>
      </c>
      <c r="J228" s="420" t="str">
        <f>H228</f>
        <v>UNLV</v>
      </c>
      <c r="K228" s="379" t="str">
        <f>IF(+J228=H228,F228,H228)</f>
        <v>North Texas</v>
      </c>
      <c r="L228" s="422">
        <v>3</v>
      </c>
      <c r="M228" s="418">
        <v>62</v>
      </c>
      <c r="N228" s="351" t="str">
        <f>H228</f>
        <v>UNLV</v>
      </c>
      <c r="O228" s="423">
        <v>58</v>
      </c>
      <c r="P228" s="436" t="str">
        <f t="shared" si="37"/>
        <v>North Texas</v>
      </c>
      <c r="Q228" s="408">
        <v>27</v>
      </c>
      <c r="R228" s="494" t="str">
        <f>IF(+N228=K228,+N228,IF(+O228-Q228&lt;L228,+K228,+J228))</f>
        <v>UNLV</v>
      </c>
      <c r="S228" s="494" t="str">
        <f>IF(+R228=J228,+K228,+J228)</f>
        <v>North Texas</v>
      </c>
      <c r="T228" s="356" t="str">
        <f>J228</f>
        <v>UNLV</v>
      </c>
      <c r="U228" s="665" t="str">
        <f>IF($N228=$J228,IF($O228-$Q228=$L228,"T",IF($R228=T228,"W","L")),IF($R228=T228,"W","L"))</f>
        <v>W</v>
      </c>
      <c r="W228" s="424"/>
      <c r="X228" s="352" t="s">
        <v>404</v>
      </c>
      <c r="Y228" s="425"/>
    </row>
    <row r="229" spans="1:25" ht="16" x14ac:dyDescent="0.8">
      <c r="A229" s="351">
        <v>3</v>
      </c>
      <c r="B229" s="420" t="s">
        <v>34</v>
      </c>
      <c r="C229" s="421">
        <v>44821</v>
      </c>
      <c r="D229" s="414">
        <f>23/24</f>
        <v>0.95833333333333337</v>
      </c>
      <c r="E229" s="349" t="s">
        <v>70</v>
      </c>
      <c r="F229" s="420" t="s">
        <v>80</v>
      </c>
      <c r="G229" s="349" t="s">
        <v>41</v>
      </c>
      <c r="H229" s="420" t="s">
        <v>198</v>
      </c>
      <c r="I229" s="349" t="s">
        <v>37</v>
      </c>
      <c r="J229" s="420"/>
      <c r="K229" s="379"/>
      <c r="L229" s="422"/>
      <c r="M229" s="418"/>
      <c r="N229" s="351" t="str">
        <f>H229</f>
        <v>Arizona</v>
      </c>
      <c r="O229" s="423">
        <v>31</v>
      </c>
      <c r="P229" s="436" t="str">
        <f t="shared" si="37"/>
        <v>1AA North Dakota</v>
      </c>
      <c r="Q229" s="408">
        <v>28</v>
      </c>
      <c r="R229" s="494"/>
      <c r="S229" s="494"/>
      <c r="T229" s="356"/>
      <c r="U229" s="349"/>
      <c r="W229" s="424"/>
      <c r="X229" s="352" t="s">
        <v>404</v>
      </c>
      <c r="Y229" s="425"/>
    </row>
    <row r="230" spans="1:25" ht="16" x14ac:dyDescent="0.8">
      <c r="A230" s="351">
        <v>3</v>
      </c>
      <c r="B230" s="420" t="s">
        <v>34</v>
      </c>
      <c r="C230" s="421">
        <v>44821</v>
      </c>
      <c r="D230" s="414">
        <f>23/24</f>
        <v>0.95833333333333337</v>
      </c>
      <c r="E230" s="349" t="s">
        <v>446</v>
      </c>
      <c r="F230" s="420" t="s">
        <v>101</v>
      </c>
      <c r="G230" s="349" t="s">
        <v>68</v>
      </c>
      <c r="H230" s="420" t="s">
        <v>79</v>
      </c>
      <c r="I230" s="349" t="s">
        <v>37</v>
      </c>
      <c r="J230" s="420" t="str">
        <f>H230</f>
        <v>Arizona State</v>
      </c>
      <c r="K230" s="379" t="str">
        <f>IF(+J230=H230,F230,H230)</f>
        <v>Eastern Michigan</v>
      </c>
      <c r="L230" s="422">
        <v>20</v>
      </c>
      <c r="M230" s="418">
        <v>56.5</v>
      </c>
      <c r="N230" s="351" t="str">
        <f>F230</f>
        <v>Eastern Michigan</v>
      </c>
      <c r="O230" s="423">
        <v>30</v>
      </c>
      <c r="P230" s="436" t="str">
        <f t="shared" si="37"/>
        <v>Arizona State</v>
      </c>
      <c r="Q230" s="408">
        <v>21</v>
      </c>
      <c r="R230" s="494" t="str">
        <f>IF(+N230=K230,+N230,IF(+O230-Q230&lt;L230,+K230,+J230))</f>
        <v>Eastern Michigan</v>
      </c>
      <c r="S230" s="494" t="str">
        <f>IF(+R230=J230,+K230,+J230)</f>
        <v>Arizona State</v>
      </c>
      <c r="T230" s="356" t="str">
        <f>K230</f>
        <v>Eastern Michigan</v>
      </c>
      <c r="U230" s="665" t="str">
        <f>IF($N230=$J230,IF($O230-$Q230=$L230,"T",IF($R230=T230,"W","L")),IF($R230=T230,"W","L"))</f>
        <v>W</v>
      </c>
      <c r="W230" s="424"/>
      <c r="X230" s="352" t="s">
        <v>404</v>
      </c>
      <c r="Y230" s="425"/>
    </row>
    <row r="231" spans="1:25" ht="16" x14ac:dyDescent="0.8">
      <c r="A231" s="351">
        <v>3</v>
      </c>
      <c r="B231" s="420" t="s">
        <v>34</v>
      </c>
      <c r="C231" s="421">
        <v>44821</v>
      </c>
      <c r="D231" s="414">
        <f>15.5/24</f>
        <v>0.64583333333333337</v>
      </c>
      <c r="E231" s="349" t="s">
        <v>118</v>
      </c>
      <c r="F231" s="420" t="s">
        <v>42</v>
      </c>
      <c r="G231" s="349" t="s">
        <v>43</v>
      </c>
      <c r="H231" s="420" t="s">
        <v>200</v>
      </c>
      <c r="I231" s="349" t="s">
        <v>37</v>
      </c>
      <c r="J231" s="420" t="str">
        <f>H231</f>
        <v>Oregon</v>
      </c>
      <c r="K231" s="379" t="str">
        <f>IF(+J231=H231,F231,H231)</f>
        <v>BYU</v>
      </c>
      <c r="L231" s="422">
        <v>3.5</v>
      </c>
      <c r="M231" s="418">
        <v>58</v>
      </c>
      <c r="N231" s="436" t="str">
        <f t="shared" ref="N231:N243" si="38">H231</f>
        <v>Oregon</v>
      </c>
      <c r="O231" s="423">
        <v>41</v>
      </c>
      <c r="P231" s="436" t="str">
        <f t="shared" si="37"/>
        <v>BYU</v>
      </c>
      <c r="Q231" s="408">
        <v>20</v>
      </c>
      <c r="R231" s="494" t="str">
        <f>IF(+N231=K231,+N231,IF(+O231-Q231&lt;L231,+K231,+J231))</f>
        <v>Oregon</v>
      </c>
      <c r="S231" s="494" t="str">
        <f>IF(+R231=J231,+K231,+J231)</f>
        <v>BYU</v>
      </c>
      <c r="T231" s="356" t="str">
        <f>K231</f>
        <v>BYU</v>
      </c>
      <c r="U231" s="665" t="str">
        <f>IF($N231=$J231,IF($O231-$Q231=$L231,"T",IF($R231=T231,"W","L")),IF($R231=T231,"W","L"))</f>
        <v>L</v>
      </c>
      <c r="W231" s="424"/>
      <c r="X231" s="352" t="s">
        <v>404</v>
      </c>
      <c r="Y231" s="425"/>
    </row>
    <row r="232" spans="1:25" ht="16" x14ac:dyDescent="0.8">
      <c r="A232" s="351">
        <v>3</v>
      </c>
      <c r="B232" s="420" t="s">
        <v>34</v>
      </c>
      <c r="C232" s="421">
        <v>44821</v>
      </c>
      <c r="D232" s="414">
        <f>20/24</f>
        <v>0.83333333333333337</v>
      </c>
      <c r="E232" s="349" t="s">
        <v>446</v>
      </c>
      <c r="F232" s="420" t="s">
        <v>203</v>
      </c>
      <c r="G232" s="349" t="s">
        <v>41</v>
      </c>
      <c r="H232" s="420" t="s">
        <v>47</v>
      </c>
      <c r="I232" s="349" t="s">
        <v>37</v>
      </c>
      <c r="J232" s="420"/>
      <c r="K232" s="379"/>
      <c r="L232" s="422"/>
      <c r="M232" s="418"/>
      <c r="N232" s="351" t="str">
        <f t="shared" si="38"/>
        <v>Oregon State</v>
      </c>
      <c r="O232" s="423">
        <v>68</v>
      </c>
      <c r="P232" s="436" t="str">
        <f t="shared" si="37"/>
        <v>1AA Montana State</v>
      </c>
      <c r="Q232" s="408">
        <v>28</v>
      </c>
      <c r="R232" s="494"/>
      <c r="S232" s="494"/>
      <c r="T232" s="356"/>
      <c r="U232" s="349"/>
      <c r="W232" s="424"/>
      <c r="X232" s="352" t="s">
        <v>404</v>
      </c>
      <c r="Y232" s="425"/>
    </row>
    <row r="233" spans="1:25" ht="16" x14ac:dyDescent="0.8">
      <c r="A233" s="351">
        <v>3</v>
      </c>
      <c r="B233" s="420" t="s">
        <v>34</v>
      </c>
      <c r="C233" s="421">
        <v>44821</v>
      </c>
      <c r="D233" s="414">
        <f>22.5/24</f>
        <v>0.9375</v>
      </c>
      <c r="E233" s="349" t="s">
        <v>118</v>
      </c>
      <c r="F233" s="420" t="s">
        <v>188</v>
      </c>
      <c r="G233" s="349" t="s">
        <v>45</v>
      </c>
      <c r="H233" s="420" t="s">
        <v>202</v>
      </c>
      <c r="I233" s="349" t="s">
        <v>37</v>
      </c>
      <c r="J233" s="420" t="str">
        <f t="shared" ref="J233:J239" si="39">H233</f>
        <v>Southern Cal</v>
      </c>
      <c r="K233" s="379" t="str">
        <f t="shared" ref="K233:K239" si="40">IF(+J233=H233,F233,H233)</f>
        <v>Fresno State</v>
      </c>
      <c r="L233" s="422">
        <v>12.5</v>
      </c>
      <c r="M233" s="418">
        <v>73.5</v>
      </c>
      <c r="N233" s="351" t="str">
        <f t="shared" si="38"/>
        <v>Southern Cal</v>
      </c>
      <c r="O233" s="423">
        <v>45</v>
      </c>
      <c r="P233" s="436" t="str">
        <f t="shared" si="37"/>
        <v>Fresno State</v>
      </c>
      <c r="Q233" s="408">
        <v>17</v>
      </c>
      <c r="R233" s="494" t="str">
        <f t="shared" ref="R233:R239" si="41">IF(+N233=K233,+N233,IF(+O233-Q233&lt;L233,+K233,+J233))</f>
        <v>Southern Cal</v>
      </c>
      <c r="S233" s="494" t="str">
        <f t="shared" ref="S233:S239" si="42">IF(+R233=J233,+K233,+J233)</f>
        <v>Fresno State</v>
      </c>
      <c r="T233" s="356" t="str">
        <f>J233</f>
        <v>Southern Cal</v>
      </c>
      <c r="U233" s="665" t="str">
        <f t="shared" ref="U233:U239" si="43">IF($N233=$J233,IF($O233-$Q233=$L233,"T",IF($R233=T233,"W","L")),IF($R233=T233,"W","L"))</f>
        <v>W</v>
      </c>
      <c r="W233" s="424"/>
      <c r="X233" s="352" t="s">
        <v>404</v>
      </c>
      <c r="Y233" s="425"/>
    </row>
    <row r="234" spans="1:25" ht="16" x14ac:dyDescent="0.8">
      <c r="A234" s="351">
        <v>3</v>
      </c>
      <c r="B234" s="420" t="s">
        <v>34</v>
      </c>
      <c r="C234" s="421">
        <v>44821</v>
      </c>
      <c r="D234" s="414">
        <f>14/24</f>
        <v>0.58333333333333337</v>
      </c>
      <c r="E234" s="349" t="s">
        <v>446</v>
      </c>
      <c r="F234" s="420" t="s">
        <v>214</v>
      </c>
      <c r="G234" s="349" t="s">
        <v>59</v>
      </c>
      <c r="H234" s="420" t="s">
        <v>224</v>
      </c>
      <c r="I234" s="349" t="s">
        <v>37</v>
      </c>
      <c r="J234" s="420" t="str">
        <f t="shared" si="39"/>
        <v>UCLA</v>
      </c>
      <c r="K234" s="379" t="str">
        <f t="shared" si="40"/>
        <v>South Alabama</v>
      </c>
      <c r="L234" s="422">
        <v>15.5</v>
      </c>
      <c r="M234" s="418">
        <v>60</v>
      </c>
      <c r="N234" s="351" t="str">
        <f t="shared" si="38"/>
        <v>UCLA</v>
      </c>
      <c r="O234" s="423">
        <v>32</v>
      </c>
      <c r="P234" s="436" t="str">
        <f t="shared" si="37"/>
        <v>South Alabama</v>
      </c>
      <c r="Q234" s="408">
        <v>31</v>
      </c>
      <c r="R234" s="494" t="str">
        <f t="shared" si="41"/>
        <v>South Alabama</v>
      </c>
      <c r="S234" s="494" t="str">
        <f t="shared" si="42"/>
        <v>UCLA</v>
      </c>
      <c r="T234" s="356" t="str">
        <f>J234</f>
        <v>UCLA</v>
      </c>
      <c r="U234" s="665" t="str">
        <f t="shared" si="43"/>
        <v>L</v>
      </c>
      <c r="W234" s="424"/>
      <c r="X234" s="352" t="s">
        <v>404</v>
      </c>
      <c r="Y234" s="425"/>
    </row>
    <row r="235" spans="1:25" ht="16" x14ac:dyDescent="0.8">
      <c r="A235" s="351">
        <v>3</v>
      </c>
      <c r="B235" s="420" t="s">
        <v>34</v>
      </c>
      <c r="C235" s="421">
        <v>44821</v>
      </c>
      <c r="D235" s="414">
        <f>22/24</f>
        <v>0.91666666666666663</v>
      </c>
      <c r="E235" s="349" t="s">
        <v>256</v>
      </c>
      <c r="F235" s="420" t="s">
        <v>193</v>
      </c>
      <c r="G235" s="349" t="s">
        <v>45</v>
      </c>
      <c r="H235" s="420" t="s">
        <v>81</v>
      </c>
      <c r="I235" s="349" t="s">
        <v>37</v>
      </c>
      <c r="J235" s="420" t="str">
        <f t="shared" si="39"/>
        <v>Utah</v>
      </c>
      <c r="K235" s="379" t="str">
        <f t="shared" si="40"/>
        <v>San Diego State</v>
      </c>
      <c r="L235" s="422">
        <v>21.5</v>
      </c>
      <c r="M235" s="418">
        <v>49</v>
      </c>
      <c r="N235" s="351" t="str">
        <f t="shared" si="38"/>
        <v>Utah</v>
      </c>
      <c r="O235" s="423">
        <v>35</v>
      </c>
      <c r="P235" s="436" t="str">
        <f t="shared" si="37"/>
        <v>San Diego State</v>
      </c>
      <c r="Q235" s="408">
        <v>7</v>
      </c>
      <c r="R235" s="494" t="str">
        <f t="shared" si="41"/>
        <v>Utah</v>
      </c>
      <c r="S235" s="494" t="str">
        <f t="shared" si="42"/>
        <v>San Diego State</v>
      </c>
      <c r="T235" s="356" t="str">
        <f>H235</f>
        <v>Utah</v>
      </c>
      <c r="U235" s="665" t="str">
        <f t="shared" si="43"/>
        <v>W</v>
      </c>
      <c r="V235" s="646" t="str">
        <f>UPPER(+F235)</f>
        <v>SAN DIEGO STATE</v>
      </c>
      <c r="W235" s="647">
        <v>33</v>
      </c>
      <c r="X235" s="646" t="str">
        <f>LOWER(+H235)</f>
        <v>utah</v>
      </c>
      <c r="Y235" s="648">
        <v>31</v>
      </c>
    </row>
    <row r="236" spans="1:25" ht="16" x14ac:dyDescent="0.8">
      <c r="A236" s="351">
        <v>3</v>
      </c>
      <c r="B236" s="420" t="s">
        <v>34</v>
      </c>
      <c r="C236" s="421">
        <v>44821</v>
      </c>
      <c r="D236" s="414">
        <f>19.5/24</f>
        <v>0.8125</v>
      </c>
      <c r="E236" s="349" t="s">
        <v>135</v>
      </c>
      <c r="F236" s="420" t="s">
        <v>139</v>
      </c>
      <c r="G236" s="349" t="s">
        <v>64</v>
      </c>
      <c r="H236" s="420" t="s">
        <v>91</v>
      </c>
      <c r="I236" s="349" t="s">
        <v>37</v>
      </c>
      <c r="J236" s="420" t="str">
        <f t="shared" si="39"/>
        <v>Washington</v>
      </c>
      <c r="K236" s="379" t="str">
        <f t="shared" si="40"/>
        <v>Michigan State</v>
      </c>
      <c r="L236" s="422">
        <v>3</v>
      </c>
      <c r="M236" s="418">
        <v>56.5</v>
      </c>
      <c r="N236" s="351" t="str">
        <f t="shared" si="38"/>
        <v>Washington</v>
      </c>
      <c r="O236" s="423">
        <v>39</v>
      </c>
      <c r="P236" s="436" t="str">
        <f t="shared" si="37"/>
        <v>Michigan State</v>
      </c>
      <c r="Q236" s="408">
        <v>28</v>
      </c>
      <c r="R236" s="494" t="str">
        <f t="shared" si="41"/>
        <v>Washington</v>
      </c>
      <c r="S236" s="494" t="str">
        <f t="shared" si="42"/>
        <v>Michigan State</v>
      </c>
      <c r="T236" s="356" t="str">
        <f>K236</f>
        <v>Michigan State</v>
      </c>
      <c r="U236" s="665" t="str">
        <f t="shared" si="43"/>
        <v>L</v>
      </c>
      <c r="W236" s="424"/>
      <c r="X236" s="352" t="s">
        <v>404</v>
      </c>
      <c r="Y236" s="425"/>
    </row>
    <row r="237" spans="1:25" ht="16" x14ac:dyDescent="0.8">
      <c r="A237" s="351">
        <v>3</v>
      </c>
      <c r="B237" s="420" t="s">
        <v>34</v>
      </c>
      <c r="C237" s="421">
        <v>44821</v>
      </c>
      <c r="D237" s="414">
        <f>17/24</f>
        <v>0.70833333333333337</v>
      </c>
      <c r="E237" s="349" t="s">
        <v>446</v>
      </c>
      <c r="F237" s="420" t="s">
        <v>48</v>
      </c>
      <c r="G237" s="349" t="s">
        <v>45</v>
      </c>
      <c r="H237" s="420" t="s">
        <v>204</v>
      </c>
      <c r="I237" s="349" t="s">
        <v>37</v>
      </c>
      <c r="J237" s="420" t="str">
        <f t="shared" si="39"/>
        <v>Washington State</v>
      </c>
      <c r="K237" s="379" t="str">
        <f t="shared" si="40"/>
        <v>Colorado State</v>
      </c>
      <c r="L237" s="422">
        <v>17</v>
      </c>
      <c r="M237" s="418">
        <v>53</v>
      </c>
      <c r="N237" s="351" t="str">
        <f t="shared" si="38"/>
        <v>Washington State</v>
      </c>
      <c r="O237" s="423">
        <v>38</v>
      </c>
      <c r="P237" s="436" t="str">
        <f t="shared" si="37"/>
        <v>Colorado State</v>
      </c>
      <c r="Q237" s="408">
        <v>7</v>
      </c>
      <c r="R237" s="494" t="str">
        <f t="shared" si="41"/>
        <v>Washington State</v>
      </c>
      <c r="S237" s="494" t="str">
        <f t="shared" si="42"/>
        <v>Colorado State</v>
      </c>
      <c r="T237" s="356" t="str">
        <f>J237</f>
        <v>Washington State</v>
      </c>
      <c r="U237" s="665" t="str">
        <f t="shared" si="43"/>
        <v>W</v>
      </c>
      <c r="W237" s="424"/>
      <c r="X237" s="352" t="s">
        <v>404</v>
      </c>
      <c r="Y237" s="425"/>
    </row>
    <row r="238" spans="1:25" ht="16" x14ac:dyDescent="0.8">
      <c r="A238" s="351">
        <v>3</v>
      </c>
      <c r="B238" s="420" t="s">
        <v>34</v>
      </c>
      <c r="C238" s="421">
        <v>44821</v>
      </c>
      <c r="D238" s="414">
        <f>13/24</f>
        <v>0.54166666666666663</v>
      </c>
      <c r="E238" s="349"/>
      <c r="F238" s="420" t="s">
        <v>67</v>
      </c>
      <c r="G238" s="349" t="s">
        <v>68</v>
      </c>
      <c r="H238" s="420" t="s">
        <v>205</v>
      </c>
      <c r="I238" s="349" t="s">
        <v>59</v>
      </c>
      <c r="J238" s="420" t="str">
        <f t="shared" si="39"/>
        <v>Coastal Carolina</v>
      </c>
      <c r="K238" s="379" t="str">
        <f t="shared" si="40"/>
        <v>Buffalo</v>
      </c>
      <c r="L238" s="422">
        <v>14</v>
      </c>
      <c r="M238" s="418">
        <v>59.5</v>
      </c>
      <c r="N238" s="351" t="str">
        <f t="shared" si="38"/>
        <v>Coastal Carolina</v>
      </c>
      <c r="O238" s="423">
        <v>38</v>
      </c>
      <c r="P238" s="436" t="str">
        <f t="shared" si="37"/>
        <v>Buffalo</v>
      </c>
      <c r="Q238" s="408">
        <v>26</v>
      </c>
      <c r="R238" s="494" t="str">
        <f t="shared" si="41"/>
        <v>Buffalo</v>
      </c>
      <c r="S238" s="494" t="str">
        <f t="shared" si="42"/>
        <v>Coastal Carolina</v>
      </c>
      <c r="T238" s="666" t="str">
        <f>J238</f>
        <v>Coastal Carolina</v>
      </c>
      <c r="U238" s="665" t="str">
        <f t="shared" si="43"/>
        <v>L</v>
      </c>
      <c r="V238" s="352" t="str">
        <f>LOWER(+H238)</f>
        <v>coastal carolina</v>
      </c>
      <c r="W238" s="424">
        <v>28</v>
      </c>
      <c r="X238" s="352" t="str">
        <f>UPPER(+F238)</f>
        <v>BUFFALO</v>
      </c>
      <c r="Y238" s="425">
        <v>25</v>
      </c>
    </row>
    <row r="239" spans="1:25" ht="16" x14ac:dyDescent="0.8">
      <c r="A239" s="351">
        <v>3</v>
      </c>
      <c r="B239" s="420" t="s">
        <v>34</v>
      </c>
      <c r="C239" s="421">
        <v>44821</v>
      </c>
      <c r="D239" s="414">
        <f>19/24</f>
        <v>0.79166666666666663</v>
      </c>
      <c r="E239" s="349"/>
      <c r="F239" s="420" t="s">
        <v>100</v>
      </c>
      <c r="G239" s="349" t="s">
        <v>39</v>
      </c>
      <c r="H239" s="420" t="s">
        <v>84</v>
      </c>
      <c r="I239" s="349" t="s">
        <v>59</v>
      </c>
      <c r="J239" s="420" t="str">
        <f t="shared" si="39"/>
        <v>Georgia State</v>
      </c>
      <c r="K239" s="379" t="str">
        <f t="shared" si="40"/>
        <v>UNC Charlotte</v>
      </c>
      <c r="L239" s="422">
        <v>19</v>
      </c>
      <c r="M239" s="418">
        <v>61.5</v>
      </c>
      <c r="N239" s="351" t="str">
        <f t="shared" si="38"/>
        <v>Georgia State</v>
      </c>
      <c r="O239" s="423">
        <v>42</v>
      </c>
      <c r="P239" s="436" t="str">
        <f t="shared" si="37"/>
        <v>UNC Charlotte</v>
      </c>
      <c r="Q239" s="408">
        <v>21</v>
      </c>
      <c r="R239" s="494" t="str">
        <f t="shared" si="41"/>
        <v>Georgia State</v>
      </c>
      <c r="S239" s="494" t="str">
        <f t="shared" si="42"/>
        <v>UNC Charlotte</v>
      </c>
      <c r="T239" s="356" t="str">
        <f>J239</f>
        <v>Georgia State</v>
      </c>
      <c r="U239" s="665" t="str">
        <f t="shared" si="43"/>
        <v>W</v>
      </c>
      <c r="V239" s="352" t="str">
        <f>LOWER(+H239)</f>
        <v>georgia state</v>
      </c>
      <c r="W239" s="424">
        <v>20</v>
      </c>
      <c r="X239" s="352" t="str">
        <f>UPPER(+F239)</f>
        <v>UNC CHARLOTTE</v>
      </c>
      <c r="Y239" s="425">
        <v>9</v>
      </c>
    </row>
    <row r="240" spans="1:25" ht="16" x14ac:dyDescent="0.8">
      <c r="A240" s="351">
        <v>3</v>
      </c>
      <c r="B240" s="420" t="s">
        <v>34</v>
      </c>
      <c r="C240" s="421">
        <v>414081</v>
      </c>
      <c r="D240" s="414">
        <f>19/24</f>
        <v>0.79166666666666663</v>
      </c>
      <c r="E240" s="349" t="s">
        <v>53</v>
      </c>
      <c r="F240" s="420" t="s">
        <v>160</v>
      </c>
      <c r="G240" s="349" t="s">
        <v>41</v>
      </c>
      <c r="H240" s="420" t="s">
        <v>171</v>
      </c>
      <c r="I240" s="349" t="s">
        <v>59</v>
      </c>
      <c r="J240" s="420"/>
      <c r="K240" s="379"/>
      <c r="L240" s="422"/>
      <c r="M240" s="418"/>
      <c r="N240" s="351" t="str">
        <f t="shared" si="38"/>
        <v>Southern Miss</v>
      </c>
      <c r="O240" s="423">
        <v>64</v>
      </c>
      <c r="P240" s="436" t="str">
        <f t="shared" si="37"/>
        <v>1AA Northwestern State</v>
      </c>
      <c r="Q240" s="408">
        <v>10</v>
      </c>
      <c r="R240" s="494"/>
      <c r="S240" s="494"/>
      <c r="T240" s="356"/>
      <c r="U240" s="349"/>
      <c r="W240" s="424"/>
      <c r="X240" s="352" t="s">
        <v>404</v>
      </c>
      <c r="Y240" s="425"/>
    </row>
    <row r="241" spans="1:25" ht="16" x14ac:dyDescent="0.8">
      <c r="A241" s="351">
        <v>3</v>
      </c>
      <c r="B241" s="420" t="s">
        <v>34</v>
      </c>
      <c r="C241" s="421">
        <v>44821</v>
      </c>
      <c r="D241" s="414">
        <f>15.5/24</f>
        <v>0.64583333333333337</v>
      </c>
      <c r="E241" s="349"/>
      <c r="F241" s="420" t="s">
        <v>212</v>
      </c>
      <c r="G241" s="349" t="s">
        <v>59</v>
      </c>
      <c r="H241" s="420" t="s">
        <v>185</v>
      </c>
      <c r="I241" s="349" t="s">
        <v>59</v>
      </c>
      <c r="J241" s="420" t="str">
        <f>F241</f>
        <v>Appalachian State</v>
      </c>
      <c r="K241" s="379" t="str">
        <f>IF(+J241=H241,F241,H241)</f>
        <v>Troy</v>
      </c>
      <c r="L241" s="422">
        <v>12.5</v>
      </c>
      <c r="M241" s="418">
        <v>52</v>
      </c>
      <c r="N241" s="351" t="str">
        <f>F241</f>
        <v>Appalachian State</v>
      </c>
      <c r="O241" s="423">
        <v>32</v>
      </c>
      <c r="P241" s="436" t="str">
        <f t="shared" si="37"/>
        <v>Troy</v>
      </c>
      <c r="Q241" s="408">
        <v>28</v>
      </c>
      <c r="R241" s="494" t="str">
        <f>IF(+N241=K241,+N241,IF(+O241-Q241&lt;L241,+K241,+J241))</f>
        <v>Troy</v>
      </c>
      <c r="S241" s="494" t="str">
        <f>IF(+R241=J241,+K241,+J241)</f>
        <v>Appalachian State</v>
      </c>
      <c r="T241" s="356" t="str">
        <f>K241</f>
        <v>Troy</v>
      </c>
      <c r="U241" s="665" t="str">
        <f>IF($N241=$J241,IF($O241-$Q241=$L241,"T",IF($R241=T241,"W","L")),IF($R241=T241,"W","L"))</f>
        <v>W</v>
      </c>
      <c r="V241" s="352" t="str">
        <f>UPPER(+F241)</f>
        <v>APPALACHIAN STATE</v>
      </c>
      <c r="W241" s="424">
        <v>45</v>
      </c>
      <c r="X241" s="352" t="str">
        <f>LOWER(+H241)</f>
        <v>troy</v>
      </c>
      <c r="Y241" s="425">
        <v>7</v>
      </c>
    </row>
    <row r="242" spans="1:25" ht="16" x14ac:dyDescent="0.8">
      <c r="A242" s="351">
        <v>3</v>
      </c>
      <c r="B242" s="420" t="s">
        <v>34</v>
      </c>
      <c r="C242" s="421">
        <v>44821</v>
      </c>
      <c r="D242" s="414">
        <f>16/24</f>
        <v>0.66666666666666663</v>
      </c>
      <c r="E242" s="349" t="s">
        <v>85</v>
      </c>
      <c r="F242" s="420" t="s">
        <v>58</v>
      </c>
      <c r="G242" s="349" t="s">
        <v>59</v>
      </c>
      <c r="H242" s="420" t="s">
        <v>116</v>
      </c>
      <c r="I242" s="349" t="s">
        <v>85</v>
      </c>
      <c r="J242" s="420" t="str">
        <f>H242</f>
        <v>Alabama</v>
      </c>
      <c r="K242" s="379" t="str">
        <f>IF(+J242=H242,F242,H242)</f>
        <v>UL Monroe</v>
      </c>
      <c r="L242" s="422">
        <v>49</v>
      </c>
      <c r="M242" s="418">
        <v>60.5</v>
      </c>
      <c r="N242" s="351" t="str">
        <f t="shared" si="38"/>
        <v>Alabama</v>
      </c>
      <c r="O242" s="423">
        <v>63</v>
      </c>
      <c r="P242" s="436" t="str">
        <f t="shared" si="37"/>
        <v>UL Monroe</v>
      </c>
      <c r="Q242" s="408">
        <v>7</v>
      </c>
      <c r="R242" s="494" t="str">
        <f>IF(+N242=K242,+N242,IF(+O242-Q242&lt;L242,+K242,+J242))</f>
        <v>Alabama</v>
      </c>
      <c r="S242" s="494" t="str">
        <f>IF(+R242=J242,+K242,+J242)</f>
        <v>UL Monroe</v>
      </c>
      <c r="T242" s="356" t="str">
        <f>F242</f>
        <v>UL Monroe</v>
      </c>
      <c r="U242" s="349"/>
      <c r="W242" s="424"/>
      <c r="X242" s="352" t="s">
        <v>404</v>
      </c>
      <c r="Y242" s="425"/>
    </row>
    <row r="243" spans="1:25" ht="16" x14ac:dyDescent="0.8">
      <c r="A243" s="351">
        <v>3</v>
      </c>
      <c r="B243" s="420" t="s">
        <v>34</v>
      </c>
      <c r="C243" s="421">
        <v>44821</v>
      </c>
      <c r="D243" s="414">
        <f>19/24</f>
        <v>0.79166666666666663</v>
      </c>
      <c r="E243" s="349"/>
      <c r="F243" s="420" t="s">
        <v>218</v>
      </c>
      <c r="G243" s="349" t="s">
        <v>41</v>
      </c>
      <c r="H243" s="420" t="s">
        <v>87</v>
      </c>
      <c r="I243" s="349" t="s">
        <v>85</v>
      </c>
      <c r="J243" s="420"/>
      <c r="K243" s="379"/>
      <c r="L243" s="422"/>
      <c r="M243" s="418"/>
      <c r="N243" s="436" t="str">
        <f t="shared" si="38"/>
        <v>Arkansas</v>
      </c>
      <c r="O243" s="423">
        <v>38</v>
      </c>
      <c r="P243" s="436" t="str">
        <f t="shared" ref="P243:P251" si="44">IF(+N243=H243,F243,H243)</f>
        <v>1AA Missouri State</v>
      </c>
      <c r="Q243" s="408">
        <v>27</v>
      </c>
      <c r="R243" s="494"/>
      <c r="S243" s="494"/>
      <c r="T243" s="356"/>
      <c r="U243" s="349"/>
      <c r="W243" s="424"/>
      <c r="X243" s="352" t="s">
        <v>404</v>
      </c>
      <c r="Y243" s="425"/>
    </row>
    <row r="244" spans="1:25" ht="16" x14ac:dyDescent="0.8">
      <c r="A244" s="351">
        <v>3</v>
      </c>
      <c r="B244" s="420" t="s">
        <v>34</v>
      </c>
      <c r="C244" s="421">
        <v>44821</v>
      </c>
      <c r="D244" s="414">
        <f>15.5/24</f>
        <v>0.64583333333333337</v>
      </c>
      <c r="E244" s="349" t="s">
        <v>303</v>
      </c>
      <c r="F244" s="420" t="s">
        <v>145</v>
      </c>
      <c r="G244" s="349" t="s">
        <v>64</v>
      </c>
      <c r="H244" s="420" t="s">
        <v>211</v>
      </c>
      <c r="I244" s="349" t="s">
        <v>85</v>
      </c>
      <c r="J244" s="420" t="str">
        <f>F244</f>
        <v>Penn State</v>
      </c>
      <c r="K244" s="379" t="str">
        <f>IF(+J244=H244,F244,H244)</f>
        <v>Auburn</v>
      </c>
      <c r="L244" s="422">
        <v>3</v>
      </c>
      <c r="M244" s="418">
        <v>47.5</v>
      </c>
      <c r="N244" s="351" t="str">
        <f>F244</f>
        <v>Penn State</v>
      </c>
      <c r="O244" s="423">
        <v>41</v>
      </c>
      <c r="P244" s="436" t="str">
        <f t="shared" si="44"/>
        <v>Auburn</v>
      </c>
      <c r="Q244" s="408">
        <v>12</v>
      </c>
      <c r="R244" s="494" t="str">
        <f>IF(+N244=K244,+N244,IF(+O244-Q244&lt;L244,+K244,+J244))</f>
        <v>Penn State</v>
      </c>
      <c r="S244" s="494" t="str">
        <f>IF(+R244=J244,+K244,+J244)</f>
        <v>Auburn</v>
      </c>
      <c r="T244" s="666" t="str">
        <f>J244</f>
        <v>Penn State</v>
      </c>
      <c r="U244" s="665" t="str">
        <f>IF($N244=$J244,IF($O244-$Q244=$L244,"T",IF($R244=T244,"W","L")),IF($R244=T244,"W","L"))</f>
        <v>W</v>
      </c>
      <c r="V244" s="352" t="str">
        <f>UPPER(+F244)</f>
        <v>PENN STATE</v>
      </c>
      <c r="W244" s="424">
        <v>28</v>
      </c>
      <c r="X244" s="352" t="str">
        <f>LOWER(+H244)</f>
        <v>auburn</v>
      </c>
      <c r="Y244" s="425">
        <v>20</v>
      </c>
    </row>
    <row r="245" spans="1:25" ht="16" x14ac:dyDescent="0.8">
      <c r="A245" s="351">
        <v>3</v>
      </c>
      <c r="B245" s="420" t="s">
        <v>34</v>
      </c>
      <c r="C245" s="421">
        <v>44821</v>
      </c>
      <c r="D245" s="414">
        <f>19.5/24</f>
        <v>0.8125</v>
      </c>
      <c r="E245" s="349" t="s">
        <v>85</v>
      </c>
      <c r="F245" s="420" t="s">
        <v>49</v>
      </c>
      <c r="G245" s="349" t="s">
        <v>50</v>
      </c>
      <c r="H245" s="420" t="s">
        <v>136</v>
      </c>
      <c r="I245" s="349" t="s">
        <v>85</v>
      </c>
      <c r="J245" s="420" t="str">
        <f>H245</f>
        <v>Florida</v>
      </c>
      <c r="K245" s="379" t="str">
        <f>IF(+J245=H245,F245,H245)</f>
        <v>South Florida</v>
      </c>
      <c r="L245" s="422">
        <v>24.5</v>
      </c>
      <c r="M245" s="418">
        <v>59</v>
      </c>
      <c r="N245" s="351" t="str">
        <f>H245</f>
        <v>Florida</v>
      </c>
      <c r="O245" s="423">
        <v>31</v>
      </c>
      <c r="P245" s="436" t="str">
        <f t="shared" si="44"/>
        <v>South Florida</v>
      </c>
      <c r="Q245" s="408">
        <v>28</v>
      </c>
      <c r="R245" s="494" t="str">
        <f>IF(+N245=K245,+N245,IF(+O245-Q245&lt;L245,+K245,+J245))</f>
        <v>South Florida</v>
      </c>
      <c r="S245" s="494" t="str">
        <f>IF(+R245=J245,+K245,+J245)</f>
        <v>Florida</v>
      </c>
      <c r="T245" s="356" t="str">
        <f>H245</f>
        <v>Florida</v>
      </c>
      <c r="U245" s="665" t="str">
        <f>IF($N245=$J245,IF($O245-$Q245=$L245,"T",IF($R245=T245,"W","L")),IF($R245=T245,"W","L"))</f>
        <v>L</v>
      </c>
      <c r="V245" s="352" t="str">
        <f>LOWER(+H245)</f>
        <v>florida</v>
      </c>
      <c r="W245" s="424">
        <v>42</v>
      </c>
      <c r="X245" s="352" t="str">
        <f>UPPER(+F245)</f>
        <v>SOUTH FLORIDA</v>
      </c>
      <c r="Y245" s="425">
        <v>20</v>
      </c>
    </row>
    <row r="246" spans="1:25" ht="16" x14ac:dyDescent="0.8">
      <c r="A246" s="351">
        <v>3</v>
      </c>
      <c r="B246" s="420" t="s">
        <v>34</v>
      </c>
      <c r="C246" s="421">
        <v>44821</v>
      </c>
      <c r="D246" s="414">
        <f>12/24</f>
        <v>0.5</v>
      </c>
      <c r="E246" s="349" t="s">
        <v>85</v>
      </c>
      <c r="F246" s="420" t="s">
        <v>127</v>
      </c>
      <c r="G246" s="349" t="s">
        <v>41</v>
      </c>
      <c r="H246" s="420" t="s">
        <v>170</v>
      </c>
      <c r="I246" s="349" t="s">
        <v>85</v>
      </c>
      <c r="J246" s="420"/>
      <c r="K246" s="379"/>
      <c r="L246" s="422"/>
      <c r="M246" s="418"/>
      <c r="N246" s="436" t="str">
        <f>H246</f>
        <v>Kentucky</v>
      </c>
      <c r="O246" s="423">
        <v>31</v>
      </c>
      <c r="P246" s="436" t="str">
        <f t="shared" si="44"/>
        <v>1AA Youngstown St</v>
      </c>
      <c r="Q246" s="408">
        <v>0</v>
      </c>
      <c r="R246" s="494"/>
      <c r="S246" s="494"/>
      <c r="T246" s="356"/>
      <c r="U246" s="349"/>
      <c r="W246" s="424"/>
      <c r="X246" s="352" t="s">
        <v>404</v>
      </c>
      <c r="Y246" s="425"/>
    </row>
    <row r="247" spans="1:25" ht="16" x14ac:dyDescent="0.8">
      <c r="A247" s="351">
        <v>3</v>
      </c>
      <c r="B247" s="420" t="s">
        <v>34</v>
      </c>
      <c r="C247" s="421">
        <v>44821</v>
      </c>
      <c r="D247" s="414">
        <f>18/24</f>
        <v>0.75</v>
      </c>
      <c r="E247" s="349" t="s">
        <v>35</v>
      </c>
      <c r="F247" s="420" t="s">
        <v>217</v>
      </c>
      <c r="G247" s="349" t="s">
        <v>85</v>
      </c>
      <c r="H247" s="420" t="s">
        <v>178</v>
      </c>
      <c r="I247" s="349" t="s">
        <v>85</v>
      </c>
      <c r="J247" s="420" t="str">
        <f>F247</f>
        <v>Mississippi State</v>
      </c>
      <c r="K247" s="379" t="str">
        <f>IF(+J247=H247,F247,H247)</f>
        <v>LSU</v>
      </c>
      <c r="L247" s="422">
        <v>2.5</v>
      </c>
      <c r="M247" s="418">
        <v>53</v>
      </c>
      <c r="N247" s="436" t="str">
        <f>H247</f>
        <v>LSU</v>
      </c>
      <c r="O247" s="423">
        <v>31</v>
      </c>
      <c r="P247" s="436" t="str">
        <f t="shared" si="44"/>
        <v>Mississippi State</v>
      </c>
      <c r="Q247" s="408">
        <v>16</v>
      </c>
      <c r="R247" s="494" t="str">
        <f>IF(+N247=K247,+N247,IF(+O247-Q247&lt;L247,+K247,+J247))</f>
        <v>LSU</v>
      </c>
      <c r="S247" s="494" t="str">
        <f>IF(+R247=J247,+K247,+J247)</f>
        <v>Mississippi State</v>
      </c>
      <c r="T247" s="356" t="str">
        <f>K247</f>
        <v>LSU</v>
      </c>
      <c r="U247" s="665" t="str">
        <f>IF($N247=$J247,IF($O247-$Q247=$L247,"T",IF($R247=T247,"W","L")),IF($R247=T247,"W","L"))</f>
        <v>W</v>
      </c>
      <c r="V247" s="352" t="str">
        <f>LOWER(+H247)</f>
        <v>lsu</v>
      </c>
      <c r="W247" s="424">
        <v>28</v>
      </c>
      <c r="X247" s="352" t="str">
        <f>UPPER(+F247)</f>
        <v>MISSISSIPPI STATE</v>
      </c>
      <c r="Y247" s="425">
        <v>25</v>
      </c>
    </row>
    <row r="248" spans="1:25" ht="16" x14ac:dyDescent="0.8">
      <c r="A248" s="351">
        <v>3</v>
      </c>
      <c r="B248" s="420" t="s">
        <v>34</v>
      </c>
      <c r="C248" s="421">
        <v>44821</v>
      </c>
      <c r="D248" s="414">
        <f>12/24</f>
        <v>0.5</v>
      </c>
      <c r="E248" s="349"/>
      <c r="F248" s="420" t="s">
        <v>190</v>
      </c>
      <c r="G248" s="349" t="s">
        <v>41</v>
      </c>
      <c r="H248" s="420" t="s">
        <v>219</v>
      </c>
      <c r="I248" s="349" t="s">
        <v>85</v>
      </c>
      <c r="J248" s="420"/>
      <c r="K248" s="379"/>
      <c r="L248" s="422"/>
      <c r="M248" s="418"/>
      <c r="N248" s="436" t="str">
        <f>H248</f>
        <v>Missouri</v>
      </c>
      <c r="O248" s="423">
        <v>34</v>
      </c>
      <c r="P248" s="436" t="str">
        <f t="shared" si="44"/>
        <v>1AA Abilene Christian</v>
      </c>
      <c r="Q248" s="408">
        <v>17</v>
      </c>
      <c r="R248" s="494"/>
      <c r="S248" s="494"/>
      <c r="T248" s="356"/>
      <c r="U248" s="349"/>
      <c r="W248" s="424"/>
      <c r="X248" s="352" t="s">
        <v>404</v>
      </c>
      <c r="Y248" s="425"/>
    </row>
    <row r="249" spans="1:25" ht="16" x14ac:dyDescent="0.8">
      <c r="A249" s="351">
        <v>3</v>
      </c>
      <c r="B249" s="420" t="s">
        <v>34</v>
      </c>
      <c r="C249" s="421">
        <v>44821</v>
      </c>
      <c r="D249" s="414">
        <f>12/24</f>
        <v>0.5</v>
      </c>
      <c r="E249" s="349" t="s">
        <v>35</v>
      </c>
      <c r="F249" s="420" t="s">
        <v>213</v>
      </c>
      <c r="G249" s="349" t="s">
        <v>85</v>
      </c>
      <c r="H249" s="420" t="s">
        <v>125</v>
      </c>
      <c r="I249" s="349" t="s">
        <v>85</v>
      </c>
      <c r="J249" s="420" t="str">
        <f>F249</f>
        <v>Georgia</v>
      </c>
      <c r="K249" s="379" t="str">
        <f>IF(+J249=H249,F249,H249)</f>
        <v>South Carolina</v>
      </c>
      <c r="L249" s="422">
        <v>24</v>
      </c>
      <c r="M249" s="418">
        <v>52</v>
      </c>
      <c r="N249" s="436" t="str">
        <f>F249</f>
        <v>Georgia</v>
      </c>
      <c r="O249" s="423">
        <v>48</v>
      </c>
      <c r="P249" s="436" t="str">
        <f t="shared" si="44"/>
        <v>South Carolina</v>
      </c>
      <c r="Q249" s="408">
        <v>7</v>
      </c>
      <c r="R249" s="494" t="str">
        <f>IF(+N249=K249,+N249,IF(+O249-Q249&lt;L249,+K249,+J249))</f>
        <v>Georgia</v>
      </c>
      <c r="S249" s="494" t="str">
        <f>IF(+R249=J249,+K249,+J249)</f>
        <v>South Carolina</v>
      </c>
      <c r="T249" s="356" t="str">
        <f>J249</f>
        <v>Georgia</v>
      </c>
      <c r="U249" s="665" t="str">
        <f>IF($N249=$J249,IF($O249-$Q249=$L249,"T",IF($R249=T249,"W","L")),IF($R249=T249,"W","L"))</f>
        <v>W</v>
      </c>
      <c r="V249" s="352" t="str">
        <f>UPPER(+F249)</f>
        <v>GEORGIA</v>
      </c>
      <c r="W249" s="424">
        <v>40</v>
      </c>
      <c r="X249" s="352" t="str">
        <f>LOWER(+H249)</f>
        <v>south carolina</v>
      </c>
      <c r="Y249" s="425">
        <v>13</v>
      </c>
    </row>
    <row r="250" spans="1:25" ht="16" x14ac:dyDescent="0.8">
      <c r="A250" s="351">
        <v>3</v>
      </c>
      <c r="B250" s="420" t="s">
        <v>34</v>
      </c>
      <c r="C250" s="421">
        <v>44821</v>
      </c>
      <c r="D250" s="414">
        <f>19/24</f>
        <v>0.79166666666666663</v>
      </c>
      <c r="E250" s="349"/>
      <c r="F250" s="420" t="s">
        <v>144</v>
      </c>
      <c r="G250" s="349" t="s">
        <v>68</v>
      </c>
      <c r="H250" s="420" t="s">
        <v>226</v>
      </c>
      <c r="I250" s="349" t="s">
        <v>85</v>
      </c>
      <c r="J250" s="420" t="str">
        <f>H250</f>
        <v>Tennessee</v>
      </c>
      <c r="K250" s="379" t="str">
        <f>IF(+J250=H250,F250,H250)</f>
        <v>Akron</v>
      </c>
      <c r="L250" s="422">
        <v>47</v>
      </c>
      <c r="M250" s="418">
        <v>67</v>
      </c>
      <c r="N250" s="436" t="str">
        <f>H250</f>
        <v>Tennessee</v>
      </c>
      <c r="O250" s="423">
        <v>63</v>
      </c>
      <c r="P250" s="436" t="str">
        <f t="shared" si="44"/>
        <v>Akron</v>
      </c>
      <c r="Q250" s="408">
        <v>6</v>
      </c>
      <c r="R250" s="494" t="str">
        <f>IF(+N250=K250,+N250,IF(+O250-Q250&lt;L250,+K250,+J250))</f>
        <v>Tennessee</v>
      </c>
      <c r="S250" s="494" t="str">
        <f>IF(+R250=J250,+K250,+J250)</f>
        <v>Akron</v>
      </c>
      <c r="T250" s="356" t="str">
        <f>F250</f>
        <v>Akron</v>
      </c>
      <c r="U250" s="665" t="str">
        <f>IF($N250=$J250,IF($O250-$Q250=$L250,"T",IF($R250=T250,"W","L")),IF($R250=T250,"W","L"))</f>
        <v>L</v>
      </c>
      <c r="W250" s="424"/>
      <c r="X250" s="352" t="s">
        <v>404</v>
      </c>
      <c r="Y250" s="425"/>
    </row>
    <row r="251" spans="1:25" ht="16" x14ac:dyDescent="0.8">
      <c r="A251" s="351">
        <v>3</v>
      </c>
      <c r="B251" s="420" t="s">
        <v>34</v>
      </c>
      <c r="C251" s="421">
        <v>44821</v>
      </c>
      <c r="D251" s="414">
        <f>21/24</f>
        <v>0.875</v>
      </c>
      <c r="E251" s="349" t="s">
        <v>35</v>
      </c>
      <c r="F251" s="420" t="s">
        <v>122</v>
      </c>
      <c r="G251" s="349" t="s">
        <v>61</v>
      </c>
      <c r="H251" s="420" t="s">
        <v>223</v>
      </c>
      <c r="I251" s="349" t="s">
        <v>85</v>
      </c>
      <c r="J251" s="420" t="str">
        <f>H251</f>
        <v>Texas A&amp;M</v>
      </c>
      <c r="K251" s="379" t="str">
        <f>IF(+J251=H251,F251,H251)</f>
        <v>Miami (FL)</v>
      </c>
      <c r="L251" s="422">
        <v>6.5</v>
      </c>
      <c r="M251" s="418">
        <v>45</v>
      </c>
      <c r="N251" s="351" t="str">
        <f>H251</f>
        <v>Texas A&amp;M</v>
      </c>
      <c r="O251" s="423">
        <v>17</v>
      </c>
      <c r="P251" s="436" t="str">
        <f t="shared" si="44"/>
        <v>Miami (FL)</v>
      </c>
      <c r="Q251" s="408">
        <v>9</v>
      </c>
      <c r="R251" s="494" t="str">
        <f>IF(+N251=K251,+N251,IF(+O251-Q251&lt;L251,+K251,+J251))</f>
        <v>Texas A&amp;M</v>
      </c>
      <c r="S251" s="494" t="str">
        <f>IF(+R251=J251,+K251,+J251)</f>
        <v>Miami (FL)</v>
      </c>
      <c r="T251" s="356" t="str">
        <f>F251</f>
        <v>Miami (FL)</v>
      </c>
      <c r="U251" s="665" t="str">
        <f>IF($N251=$J251,IF($O251-$Q251=$L251,"T",IF($R251=T251,"W","L")),IF($R251=T251,"W","L"))</f>
        <v>L</v>
      </c>
      <c r="W251" s="424"/>
      <c r="X251" s="352" t="s">
        <v>404</v>
      </c>
      <c r="Y251" s="425"/>
    </row>
    <row r="252" spans="1:25" ht="16" x14ac:dyDescent="0.8">
      <c r="A252" s="351">
        <v>4</v>
      </c>
      <c r="B252" s="420" t="s">
        <v>52</v>
      </c>
      <c r="C252" s="421">
        <v>44826</v>
      </c>
      <c r="D252" s="414">
        <f>19.5/24</f>
        <v>0.8125</v>
      </c>
      <c r="E252" s="349" t="s">
        <v>35</v>
      </c>
      <c r="F252" s="420" t="s">
        <v>222</v>
      </c>
      <c r="G252" s="349" t="s">
        <v>73</v>
      </c>
      <c r="H252" s="420" t="s">
        <v>221</v>
      </c>
      <c r="I252" s="349" t="s">
        <v>61</v>
      </c>
      <c r="J252" s="420" t="str">
        <f>F252</f>
        <v>West Virginia</v>
      </c>
      <c r="K252" s="379" t="str">
        <f>IF(+J252=H252,F252,H252)</f>
        <v>Virginia Tech</v>
      </c>
      <c r="L252" s="422">
        <v>1.5</v>
      </c>
      <c r="M252" s="418">
        <v>50.5</v>
      </c>
      <c r="N252" s="351" t="str">
        <f>J252</f>
        <v>West Virginia</v>
      </c>
      <c r="O252" s="423">
        <v>33</v>
      </c>
      <c r="P252" s="436" t="str">
        <f t="shared" ref="P252:P257" si="45">IF(+N252=H252,F252,H252)</f>
        <v>Virginia Tech</v>
      </c>
      <c r="Q252" s="408">
        <v>10</v>
      </c>
      <c r="R252" s="494" t="str">
        <f>IF(+N252=K252,+N252,IF(+O252-Q252&lt;L252,+K252,+J252))</f>
        <v>West Virginia</v>
      </c>
      <c r="S252" s="494" t="str">
        <f>IF(+R252=J252,+K252,+J252)</f>
        <v>Virginia Tech</v>
      </c>
      <c r="T252" s="356" t="str">
        <f>J252</f>
        <v>West Virginia</v>
      </c>
      <c r="U252" s="665" t="str">
        <f>IF($N252=$J252,IF($O252-$Q252=$L252,"T",IF($R252=T252,"W","L")),IF($R252=T252,"W","L"))</f>
        <v>W</v>
      </c>
      <c r="W252" s="424"/>
      <c r="X252" s="352" t="s">
        <v>404</v>
      </c>
      <c r="Y252" s="425"/>
    </row>
    <row r="253" spans="1:25" ht="16" x14ac:dyDescent="0.8">
      <c r="A253" s="351">
        <v>4</v>
      </c>
      <c r="B253" s="420" t="s">
        <v>52</v>
      </c>
      <c r="C253" s="421">
        <v>44826</v>
      </c>
      <c r="D253" s="414">
        <f>20.5/24</f>
        <v>0.85416666666666663</v>
      </c>
      <c r="E253" s="349" t="s">
        <v>66</v>
      </c>
      <c r="F253" s="420" t="s">
        <v>245</v>
      </c>
      <c r="G253" s="349" t="s">
        <v>41</v>
      </c>
      <c r="H253" s="420" t="s">
        <v>132</v>
      </c>
      <c r="I253" s="349" t="s">
        <v>64</v>
      </c>
      <c r="J253" s="420"/>
      <c r="K253" s="379"/>
      <c r="L253" s="422"/>
      <c r="M253" s="418"/>
      <c r="N253" s="351" t="str">
        <f>H253</f>
        <v>Illinois</v>
      </c>
      <c r="O253" s="423">
        <v>31</v>
      </c>
      <c r="P253" s="436" t="str">
        <f t="shared" si="45"/>
        <v>1AA Chattanooga</v>
      </c>
      <c r="Q253" s="408">
        <v>0</v>
      </c>
      <c r="R253" s="494"/>
      <c r="S253" s="494"/>
      <c r="T253" s="356"/>
      <c r="U253" s="349"/>
      <c r="W253" s="424"/>
      <c r="X253" s="352" t="s">
        <v>404</v>
      </c>
      <c r="Y253" s="425"/>
    </row>
    <row r="254" spans="1:25" ht="16" x14ac:dyDescent="0.8">
      <c r="A254" s="351">
        <v>4</v>
      </c>
      <c r="B254" s="420" t="s">
        <v>52</v>
      </c>
      <c r="C254" s="421">
        <v>44826</v>
      </c>
      <c r="D254" s="414">
        <f>19.5/24</f>
        <v>0.8125</v>
      </c>
      <c r="E254" s="349" t="s">
        <v>256</v>
      </c>
      <c r="F254" s="420" t="s">
        <v>205</v>
      </c>
      <c r="G254" s="349" t="s">
        <v>59</v>
      </c>
      <c r="H254" s="420" t="s">
        <v>84</v>
      </c>
      <c r="I254" s="349" t="s">
        <v>59</v>
      </c>
      <c r="J254" s="420" t="str">
        <f>F254</f>
        <v>Coastal Carolina</v>
      </c>
      <c r="K254" s="379" t="str">
        <f>IF(+J254=H254,F254,H254)</f>
        <v>Georgia State</v>
      </c>
      <c r="L254" s="422">
        <v>2.5</v>
      </c>
      <c r="M254" s="418">
        <v>62</v>
      </c>
      <c r="N254" s="351" t="str">
        <f>J254</f>
        <v>Coastal Carolina</v>
      </c>
      <c r="O254" s="423">
        <v>41</v>
      </c>
      <c r="P254" s="436" t="str">
        <f t="shared" si="45"/>
        <v>Georgia State</v>
      </c>
      <c r="Q254" s="408">
        <v>24</v>
      </c>
      <c r="R254" s="494" t="str">
        <f>IF(+N254=K254,+N254,IF(+O254-Q254&lt;L254,+K254,+J254))</f>
        <v>Coastal Carolina</v>
      </c>
      <c r="S254" s="494" t="str">
        <f>IF(+R254=J254,+K254,+J254)</f>
        <v>Georgia State</v>
      </c>
      <c r="T254" s="356" t="str">
        <f>J254</f>
        <v>Coastal Carolina</v>
      </c>
      <c r="U254" s="665" t="str">
        <f>IF($N254=$J254,IF($O254-$Q254=$L254,"T",IF($R254=T254,"W","L")),IF($R254=T254,"W","L"))</f>
        <v>W</v>
      </c>
      <c r="V254" s="352" t="str">
        <f>LOWER(+H254)</f>
        <v>georgia state</v>
      </c>
      <c r="W254" s="424">
        <v>42</v>
      </c>
      <c r="X254" s="352" t="str">
        <f>UPPER(+F254)</f>
        <v>COASTAL CAROLINA</v>
      </c>
      <c r="Y254" s="425">
        <v>40</v>
      </c>
    </row>
    <row r="255" spans="1:25" ht="16" x14ac:dyDescent="0.8">
      <c r="A255" s="351">
        <v>4</v>
      </c>
      <c r="B255" s="420" t="s">
        <v>88</v>
      </c>
      <c r="C255" s="421">
        <v>44827</v>
      </c>
      <c r="D255" s="414">
        <f>19/24</f>
        <v>0.79166666666666663</v>
      </c>
      <c r="E255" s="349" t="s">
        <v>35</v>
      </c>
      <c r="F255" s="420" t="s">
        <v>130</v>
      </c>
      <c r="G255" s="349" t="s">
        <v>61</v>
      </c>
      <c r="H255" s="420" t="s">
        <v>90</v>
      </c>
      <c r="I255" s="349" t="s">
        <v>61</v>
      </c>
      <c r="J255" s="420" t="str">
        <f>H255</f>
        <v>Syracuse</v>
      </c>
      <c r="K255" s="379" t="str">
        <f>IF(+J255=H255,F255,H255)</f>
        <v>Virginia</v>
      </c>
      <c r="L255" s="422">
        <v>11</v>
      </c>
      <c r="M255" s="418">
        <v>53</v>
      </c>
      <c r="N255" s="351" t="str">
        <f>H255</f>
        <v>Syracuse</v>
      </c>
      <c r="O255" s="423">
        <v>22</v>
      </c>
      <c r="P255" s="436" t="str">
        <f t="shared" si="45"/>
        <v>Virginia</v>
      </c>
      <c r="Q255" s="408">
        <v>20</v>
      </c>
      <c r="R255" s="494" t="str">
        <f>IF(+N255=K255,+N255,IF(+O255-Q255&lt;L255,+K255,+J255))</f>
        <v>Virginia</v>
      </c>
      <c r="S255" s="494" t="str">
        <f>IF(+R255=J255,+K255,+J255)</f>
        <v>Syracuse</v>
      </c>
      <c r="T255" s="356" t="str">
        <f>K255</f>
        <v>Virginia</v>
      </c>
      <c r="U255" s="665" t="str">
        <f>IF($N255=$J255,IF($O255-$Q255=$L255,"T",IF($R255=T255,"W","L")),IF($R255=T255,"W","L"))</f>
        <v>W</v>
      </c>
      <c r="W255" s="424"/>
      <c r="X255" s="352" t="s">
        <v>404</v>
      </c>
      <c r="Y255" s="425"/>
    </row>
    <row r="256" spans="1:25" ht="16" x14ac:dyDescent="0.8">
      <c r="A256" s="351">
        <v>4</v>
      </c>
      <c r="B256" s="420" t="s">
        <v>88</v>
      </c>
      <c r="C256" s="421">
        <v>44827</v>
      </c>
      <c r="D256" s="414">
        <f>21/24</f>
        <v>0.875</v>
      </c>
      <c r="E256" s="349" t="s">
        <v>445</v>
      </c>
      <c r="F256" s="420" t="s">
        <v>186</v>
      </c>
      <c r="G256" s="349" t="s">
        <v>45</v>
      </c>
      <c r="H256" s="420" t="s">
        <v>153</v>
      </c>
      <c r="I256" s="349" t="s">
        <v>39</v>
      </c>
      <c r="J256" s="420" t="str">
        <f>F256</f>
        <v>Boise State</v>
      </c>
      <c r="K256" s="379" t="str">
        <f>IF(+J256=H256,F256,H256)</f>
        <v>UTEP</v>
      </c>
      <c r="L256" s="422">
        <v>15.5</v>
      </c>
      <c r="M256" s="418">
        <v>45.5</v>
      </c>
      <c r="N256" s="351" t="str">
        <f>H256</f>
        <v>UTEP</v>
      </c>
      <c r="O256" s="423">
        <v>27</v>
      </c>
      <c r="P256" s="436" t="str">
        <f t="shared" si="45"/>
        <v>Boise State</v>
      </c>
      <c r="Q256" s="408">
        <v>10</v>
      </c>
      <c r="R256" s="494" t="str">
        <f>IF(+N256=K256,+N256,IF(+O256-Q256&lt;L256,+K256,+J256))</f>
        <v>UTEP</v>
      </c>
      <c r="S256" s="494" t="str">
        <f>IF(+R256=J256,+K256,+J256)</f>
        <v>Boise State</v>
      </c>
      <c r="T256" s="356" t="str">
        <f>J256</f>
        <v>Boise State</v>
      </c>
      <c r="U256" s="665" t="str">
        <f>IF($N256=$J256,IF($O256-$Q256=$L256,"T",IF($R256=T256,"W","L")),IF($R256=T256,"W","L"))</f>
        <v>L</v>
      </c>
      <c r="V256" s="352" t="str">
        <f>UPPER(+F256)</f>
        <v>BOISE STATE</v>
      </c>
      <c r="W256" s="424">
        <v>54</v>
      </c>
      <c r="X256" s="352" t="str">
        <f>LOWER(+H256)</f>
        <v>utep</v>
      </c>
      <c r="Y256" s="425">
        <v>13</v>
      </c>
    </row>
    <row r="257" spans="1:25" ht="16" x14ac:dyDescent="0.8">
      <c r="A257" s="351">
        <v>4</v>
      </c>
      <c r="B257" s="420" t="s">
        <v>88</v>
      </c>
      <c r="C257" s="421">
        <v>44827</v>
      </c>
      <c r="D257" s="414">
        <f>20/24</f>
        <v>0.83333333333333337</v>
      </c>
      <c r="E257" s="349" t="s">
        <v>70</v>
      </c>
      <c r="F257" s="420" t="s">
        <v>142</v>
      </c>
      <c r="G257" s="349" t="s">
        <v>45</v>
      </c>
      <c r="H257" s="420" t="s">
        <v>184</v>
      </c>
      <c r="I257" s="349" t="s">
        <v>45</v>
      </c>
      <c r="J257" s="420" t="str">
        <f t="shared" ref="J257:J262" si="46">H257</f>
        <v>Air Force</v>
      </c>
      <c r="K257" s="379" t="str">
        <f>IF(+J257=H257,F257,H257)</f>
        <v>Nevada</v>
      </c>
      <c r="L257" s="422">
        <v>24</v>
      </c>
      <c r="M257" s="418">
        <v>45</v>
      </c>
      <c r="N257" s="351" t="str">
        <f>H257</f>
        <v>Air Force</v>
      </c>
      <c r="O257" s="423">
        <v>48</v>
      </c>
      <c r="P257" s="436" t="str">
        <f t="shared" si="45"/>
        <v>Nevada</v>
      </c>
      <c r="Q257" s="408">
        <v>20</v>
      </c>
      <c r="R257" s="494" t="str">
        <f>IF(+N257=K257,+N257,IF(+O257-Q257&lt;L257,+K257,+J257))</f>
        <v>Air Force</v>
      </c>
      <c r="S257" s="494" t="str">
        <f>IF(+R257=J257,+K257,+J257)</f>
        <v>Nevada</v>
      </c>
      <c r="T257" s="356" t="str">
        <f>J257</f>
        <v>Air Force</v>
      </c>
      <c r="U257" s="665" t="str">
        <f>IF($N257=$J257,IF($O257-$Q257=$L257,"T",IF($R257=T257,"W","L")),IF($R257=T257,"W","L"))</f>
        <v>W</v>
      </c>
      <c r="V257" s="352" t="str">
        <f>LOWER(+H257)</f>
        <v>air force</v>
      </c>
      <c r="W257" s="424">
        <v>41</v>
      </c>
      <c r="X257" s="352" t="str">
        <f>UPPER(+F257)</f>
        <v>NEVADA</v>
      </c>
      <c r="Y257" s="425">
        <v>39</v>
      </c>
    </row>
    <row r="258" spans="1:25" ht="16" x14ac:dyDescent="0.8">
      <c r="A258" s="351">
        <v>4</v>
      </c>
      <c r="B258" s="420" t="s">
        <v>34</v>
      </c>
      <c r="C258" s="421">
        <v>44828</v>
      </c>
      <c r="D258" s="414">
        <f>16/24</f>
        <v>0.66666666666666663</v>
      </c>
      <c r="E258" s="349" t="s">
        <v>95</v>
      </c>
      <c r="F258" s="420" t="s">
        <v>227</v>
      </c>
      <c r="G258" s="349" t="s">
        <v>61</v>
      </c>
      <c r="H258" s="420" t="s">
        <v>106</v>
      </c>
      <c r="I258" s="349" t="s">
        <v>50</v>
      </c>
      <c r="J258" s="420" t="str">
        <f t="shared" si="46"/>
        <v>Central Florida</v>
      </c>
      <c r="K258" s="379" t="str">
        <f t="shared" ref="K258:K270" si="47">IF(+J258=H258,F258,H258)</f>
        <v>Georgia Tech</v>
      </c>
      <c r="L258" s="422">
        <v>20.5</v>
      </c>
      <c r="M258" s="418">
        <v>56</v>
      </c>
      <c r="N258" s="351" t="str">
        <f>H258</f>
        <v>Central Florida</v>
      </c>
      <c r="O258" s="423">
        <v>27</v>
      </c>
      <c r="P258" s="436" t="str">
        <f t="shared" ref="P258:P285" si="48">IF(+N258=H258,F258,H258)</f>
        <v>Georgia Tech</v>
      </c>
      <c r="Q258" s="408">
        <v>10</v>
      </c>
      <c r="R258" s="494" t="str">
        <f t="shared" ref="R258:R270" si="49">IF(+N258=K258,+N258,IF(+O258-Q258&lt;L258,+K258,+J258))</f>
        <v>Georgia Tech</v>
      </c>
      <c r="S258" s="494" t="str">
        <f t="shared" ref="S258:S270" si="50">IF(+R258=J258,+K258,+J258)</f>
        <v>Central Florida</v>
      </c>
      <c r="T258" s="356" t="str">
        <f>K258</f>
        <v>Georgia Tech</v>
      </c>
      <c r="U258" s="665" t="str">
        <f t="shared" ref="U258:U270" si="51">IF($N258=$J258,IF($O258-$Q258=$L258,"T",IF($R258=T258,"W","L")),IF($R258=T258,"W","L"))</f>
        <v>W</v>
      </c>
      <c r="W258" s="424"/>
      <c r="X258" s="352" t="s">
        <v>404</v>
      </c>
      <c r="Y258" s="425"/>
    </row>
    <row r="259" spans="1:25" ht="16" x14ac:dyDescent="0.8">
      <c r="A259" s="351">
        <v>4</v>
      </c>
      <c r="B259" s="420" t="s">
        <v>34</v>
      </c>
      <c r="C259" s="421">
        <v>44828</v>
      </c>
      <c r="D259" s="414">
        <f>15.5/24</f>
        <v>0.64583333333333337</v>
      </c>
      <c r="E259" s="349" t="s">
        <v>256</v>
      </c>
      <c r="F259" s="420" t="s">
        <v>65</v>
      </c>
      <c r="G259" s="349" t="s">
        <v>64</v>
      </c>
      <c r="H259" s="420" t="s">
        <v>55</v>
      </c>
      <c r="I259" s="349" t="s">
        <v>50</v>
      </c>
      <c r="J259" s="420" t="str">
        <f t="shared" si="46"/>
        <v>Cincinnati</v>
      </c>
      <c r="K259" s="379" t="str">
        <f t="shared" si="47"/>
        <v>Indiana</v>
      </c>
      <c r="L259" s="422">
        <v>17</v>
      </c>
      <c r="M259" s="418">
        <v>57.5</v>
      </c>
      <c r="N259" s="351" t="str">
        <f>J259</f>
        <v>Cincinnati</v>
      </c>
      <c r="O259" s="423">
        <v>45</v>
      </c>
      <c r="P259" s="436" t="str">
        <f t="shared" si="48"/>
        <v>Indiana</v>
      </c>
      <c r="Q259" s="408">
        <v>24</v>
      </c>
      <c r="R259" s="494" t="str">
        <f t="shared" si="49"/>
        <v>Cincinnati</v>
      </c>
      <c r="S259" s="494" t="str">
        <f t="shared" si="50"/>
        <v>Indiana</v>
      </c>
      <c r="T259" s="356" t="str">
        <f>K259</f>
        <v>Indiana</v>
      </c>
      <c r="U259" s="665" t="str">
        <f t="shared" si="51"/>
        <v>L</v>
      </c>
      <c r="V259" s="352" t="str">
        <f>LOWER(+H259)</f>
        <v>cincinnati</v>
      </c>
      <c r="W259" s="424">
        <v>24</v>
      </c>
      <c r="X259" s="352" t="str">
        <f>UPPER(+F259)</f>
        <v>INDIANA</v>
      </c>
      <c r="Y259" s="425">
        <v>13</v>
      </c>
    </row>
    <row r="260" spans="1:25" ht="16" x14ac:dyDescent="0.8">
      <c r="A260" s="351">
        <v>4</v>
      </c>
      <c r="B260" s="420" t="s">
        <v>34</v>
      </c>
      <c r="C260" s="421">
        <v>44828</v>
      </c>
      <c r="D260" s="414">
        <f>18/24</f>
        <v>0.75</v>
      </c>
      <c r="E260" s="349"/>
      <c r="F260" s="420" t="s">
        <v>96</v>
      </c>
      <c r="G260" s="349" t="s">
        <v>50</v>
      </c>
      <c r="H260" s="420" t="s">
        <v>107</v>
      </c>
      <c r="I260" s="349" t="s">
        <v>50</v>
      </c>
      <c r="J260" s="420" t="str">
        <f t="shared" si="46"/>
        <v>East Carolina</v>
      </c>
      <c r="K260" s="379" t="str">
        <f t="shared" si="47"/>
        <v>Navy</v>
      </c>
      <c r="L260" s="422">
        <v>16.5</v>
      </c>
      <c r="M260" s="418">
        <v>49.5</v>
      </c>
      <c r="N260" s="351" t="str">
        <f>F260</f>
        <v>Navy</v>
      </c>
      <c r="O260" s="423">
        <v>23</v>
      </c>
      <c r="P260" s="436" t="str">
        <f t="shared" si="48"/>
        <v>East Carolina</v>
      </c>
      <c r="Q260" s="408">
        <v>20</v>
      </c>
      <c r="R260" s="494" t="str">
        <f t="shared" si="49"/>
        <v>Navy</v>
      </c>
      <c r="S260" s="494" t="str">
        <f t="shared" si="50"/>
        <v>East Carolina</v>
      </c>
      <c r="T260" s="356" t="str">
        <f>H260</f>
        <v>East Carolina</v>
      </c>
      <c r="U260" s="665" t="str">
        <f t="shared" si="51"/>
        <v>L</v>
      </c>
      <c r="V260" s="352" t="str">
        <f>LOWER(+H260)</f>
        <v>east carolina</v>
      </c>
      <c r="W260" s="424">
        <v>38</v>
      </c>
      <c r="X260" s="352" t="str">
        <f>UPPER(+F260)</f>
        <v>NAVY</v>
      </c>
      <c r="Y260" s="425">
        <v>35</v>
      </c>
    </row>
    <row r="261" spans="1:25" ht="16" x14ac:dyDescent="0.8">
      <c r="A261" s="351">
        <v>4</v>
      </c>
      <c r="B261" s="420" t="s">
        <v>34</v>
      </c>
      <c r="C261" s="421">
        <v>44828</v>
      </c>
      <c r="D261" s="414">
        <f>16/24</f>
        <v>0.66666666666666663</v>
      </c>
      <c r="E261" s="349"/>
      <c r="F261" s="420" t="s">
        <v>38</v>
      </c>
      <c r="G261" s="349" t="s">
        <v>39</v>
      </c>
      <c r="H261" s="420" t="s">
        <v>174</v>
      </c>
      <c r="I261" s="349" t="s">
        <v>50</v>
      </c>
      <c r="J261" s="420" t="str">
        <f t="shared" si="46"/>
        <v>Houston</v>
      </c>
      <c r="K261" s="379" t="str">
        <f t="shared" si="47"/>
        <v>Rice</v>
      </c>
      <c r="L261" s="422">
        <v>17.5</v>
      </c>
      <c r="M261" s="418">
        <v>52.5</v>
      </c>
      <c r="N261" s="351" t="str">
        <f>H261</f>
        <v>Houston</v>
      </c>
      <c r="O261" s="423">
        <v>34</v>
      </c>
      <c r="P261" s="436" t="str">
        <f t="shared" si="48"/>
        <v>Rice</v>
      </c>
      <c r="Q261" s="408">
        <v>27</v>
      </c>
      <c r="R261" s="494" t="str">
        <f t="shared" si="49"/>
        <v>Rice</v>
      </c>
      <c r="S261" s="494" t="str">
        <f t="shared" si="50"/>
        <v>Houston</v>
      </c>
      <c r="T261" s="356" t="str">
        <f>H261</f>
        <v>Houston</v>
      </c>
      <c r="U261" s="665" t="str">
        <f t="shared" si="51"/>
        <v>L</v>
      </c>
      <c r="V261" s="352" t="str">
        <f>LOWER(+H261)</f>
        <v>houston</v>
      </c>
      <c r="W261" s="424">
        <v>44</v>
      </c>
      <c r="X261" s="352" t="str">
        <f>UPPER(+F261)</f>
        <v>RICE</v>
      </c>
      <c r="Y261" s="425">
        <v>7</v>
      </c>
    </row>
    <row r="262" spans="1:25" ht="16" x14ac:dyDescent="0.8">
      <c r="A262" s="351">
        <v>4</v>
      </c>
      <c r="B262" s="420" t="s">
        <v>34</v>
      </c>
      <c r="C262" s="421">
        <v>44828</v>
      </c>
      <c r="D262" s="414">
        <f>15.5/24</f>
        <v>0.64583333333333337</v>
      </c>
      <c r="E262" s="349"/>
      <c r="F262" s="420" t="s">
        <v>167</v>
      </c>
      <c r="G262" s="349" t="s">
        <v>39</v>
      </c>
      <c r="H262" s="420" t="s">
        <v>60</v>
      </c>
      <c r="I262" s="349" t="s">
        <v>50</v>
      </c>
      <c r="J262" s="420" t="str">
        <f t="shared" si="46"/>
        <v>Memphis</v>
      </c>
      <c r="K262" s="379" t="str">
        <f t="shared" si="47"/>
        <v>North Texas</v>
      </c>
      <c r="L262" s="422">
        <v>11.5</v>
      </c>
      <c r="M262" s="418">
        <v>68.5</v>
      </c>
      <c r="N262" s="351" t="str">
        <f>H262</f>
        <v>Memphis</v>
      </c>
      <c r="O262" s="423">
        <v>44</v>
      </c>
      <c r="P262" s="436" t="str">
        <f t="shared" si="48"/>
        <v>North Texas</v>
      </c>
      <c r="Q262" s="408">
        <v>34</v>
      </c>
      <c r="R262" s="494" t="str">
        <f t="shared" si="49"/>
        <v>North Texas</v>
      </c>
      <c r="S262" s="494" t="str">
        <f t="shared" si="50"/>
        <v>Memphis</v>
      </c>
      <c r="T262" s="356" t="str">
        <f>J262</f>
        <v>Memphis</v>
      </c>
      <c r="U262" s="665" t="str">
        <f t="shared" si="51"/>
        <v>L</v>
      </c>
      <c r="W262" s="424"/>
      <c r="X262" s="352" t="s">
        <v>404</v>
      </c>
      <c r="Y262" s="425"/>
    </row>
    <row r="263" spans="1:25" ht="16" x14ac:dyDescent="0.8">
      <c r="A263" s="351">
        <v>4</v>
      </c>
      <c r="B263" s="420" t="s">
        <v>34</v>
      </c>
      <c r="C263" s="421">
        <v>44828</v>
      </c>
      <c r="D263" s="414">
        <f>12/24</f>
        <v>0.5</v>
      </c>
      <c r="E263" s="349" t="s">
        <v>95</v>
      </c>
      <c r="F263" s="420" t="s">
        <v>155</v>
      </c>
      <c r="G263" s="349" t="s">
        <v>73</v>
      </c>
      <c r="H263" s="420" t="s">
        <v>109</v>
      </c>
      <c r="I263" s="349" t="s">
        <v>50</v>
      </c>
      <c r="J263" s="420" t="str">
        <f>F263</f>
        <v>TCU</v>
      </c>
      <c r="K263" s="379" t="str">
        <f t="shared" si="47"/>
        <v>SMU</v>
      </c>
      <c r="L263" s="422">
        <v>2</v>
      </c>
      <c r="M263" s="418">
        <v>70.5</v>
      </c>
      <c r="N263" s="351" t="str">
        <f>J263</f>
        <v>TCU</v>
      </c>
      <c r="O263" s="423">
        <v>42</v>
      </c>
      <c r="P263" s="436" t="str">
        <f t="shared" si="48"/>
        <v>SMU</v>
      </c>
      <c r="Q263" s="408">
        <v>34</v>
      </c>
      <c r="R263" s="494" t="str">
        <f t="shared" si="49"/>
        <v>TCU</v>
      </c>
      <c r="S263" s="494" t="str">
        <f t="shared" si="50"/>
        <v>SMU</v>
      </c>
      <c r="T263" s="356" t="str">
        <f>K263</f>
        <v>SMU</v>
      </c>
      <c r="U263" s="665" t="str">
        <f t="shared" si="51"/>
        <v>L</v>
      </c>
      <c r="V263" s="352" t="str">
        <f>LOWER(+H263)</f>
        <v>smu</v>
      </c>
      <c r="W263" s="424">
        <v>41</v>
      </c>
      <c r="X263" s="352" t="str">
        <f>UPPER(+F263)</f>
        <v>TCU</v>
      </c>
      <c r="Y263" s="425">
        <v>38</v>
      </c>
    </row>
    <row r="264" spans="1:25" ht="16" x14ac:dyDescent="0.8">
      <c r="A264" s="351">
        <v>4</v>
      </c>
      <c r="B264" s="420" t="s">
        <v>34</v>
      </c>
      <c r="C264" s="421">
        <v>44828</v>
      </c>
      <c r="D264" s="414">
        <f>14/24</f>
        <v>0.58333333333333337</v>
      </c>
      <c r="E264" s="349"/>
      <c r="F264" s="420" t="s">
        <v>46</v>
      </c>
      <c r="G264" s="349" t="s">
        <v>43</v>
      </c>
      <c r="H264" s="420" t="s">
        <v>180</v>
      </c>
      <c r="I264" s="349" t="s">
        <v>50</v>
      </c>
      <c r="J264" s="420" t="str">
        <f t="shared" ref="J264:J270" si="52">H264</f>
        <v>Temple</v>
      </c>
      <c r="K264" s="379" t="str">
        <f t="shared" si="47"/>
        <v>Massachusetts</v>
      </c>
      <c r="L264" s="422">
        <v>10</v>
      </c>
      <c r="M264" s="418">
        <v>43.5</v>
      </c>
      <c r="N264" s="351" t="str">
        <f>J264</f>
        <v>Temple</v>
      </c>
      <c r="O264" s="423">
        <v>28</v>
      </c>
      <c r="P264" s="436" t="str">
        <f t="shared" si="48"/>
        <v>Massachusetts</v>
      </c>
      <c r="Q264" s="408">
        <v>0</v>
      </c>
      <c r="R264" s="494" t="str">
        <f t="shared" si="49"/>
        <v>Temple</v>
      </c>
      <c r="S264" s="494" t="str">
        <f t="shared" si="50"/>
        <v>Massachusetts</v>
      </c>
      <c r="T264" s="356" t="str">
        <f>K264</f>
        <v>Massachusetts</v>
      </c>
      <c r="U264" s="665" t="str">
        <f t="shared" si="51"/>
        <v>L</v>
      </c>
      <c r="W264" s="424"/>
      <c r="X264" s="352" t="s">
        <v>404</v>
      </c>
      <c r="Y264" s="425"/>
    </row>
    <row r="265" spans="1:25" ht="16" x14ac:dyDescent="0.8">
      <c r="A265" s="351">
        <v>4</v>
      </c>
      <c r="B265" s="420" t="s">
        <v>34</v>
      </c>
      <c r="C265" s="421">
        <v>44828</v>
      </c>
      <c r="D265" s="414">
        <f>19/24</f>
        <v>0.79166666666666663</v>
      </c>
      <c r="E265" s="349"/>
      <c r="F265" s="420" t="s">
        <v>171</v>
      </c>
      <c r="G265" s="349" t="s">
        <v>59</v>
      </c>
      <c r="H265" s="420" t="s">
        <v>112</v>
      </c>
      <c r="I265" s="349" t="s">
        <v>50</v>
      </c>
      <c r="J265" s="420" t="str">
        <f t="shared" si="52"/>
        <v>Tulane</v>
      </c>
      <c r="K265" s="379" t="str">
        <f t="shared" si="47"/>
        <v>Southern Miss</v>
      </c>
      <c r="L265" s="422">
        <v>13</v>
      </c>
      <c r="M265" s="418">
        <v>48.5</v>
      </c>
      <c r="N265" s="351" t="str">
        <f>F265</f>
        <v>Southern Miss</v>
      </c>
      <c r="O265" s="423">
        <v>27</v>
      </c>
      <c r="P265" s="436" t="str">
        <f t="shared" si="48"/>
        <v>Tulane</v>
      </c>
      <c r="Q265" s="408">
        <v>24</v>
      </c>
      <c r="R265" s="494" t="str">
        <f t="shared" si="49"/>
        <v>Southern Miss</v>
      </c>
      <c r="S265" s="494" t="str">
        <f t="shared" si="50"/>
        <v>Tulane</v>
      </c>
      <c r="T265" s="356" t="str">
        <f>J265</f>
        <v>Tulane</v>
      </c>
      <c r="U265" s="665" t="str">
        <f t="shared" si="51"/>
        <v>L</v>
      </c>
      <c r="W265" s="424"/>
      <c r="X265" s="352" t="s">
        <v>404</v>
      </c>
      <c r="Y265" s="425"/>
    </row>
    <row r="266" spans="1:25" ht="15.25" customHeight="1" x14ac:dyDescent="0.8">
      <c r="A266" s="351">
        <v>4</v>
      </c>
      <c r="B266" s="420" t="s">
        <v>34</v>
      </c>
      <c r="C266" s="421">
        <v>44828</v>
      </c>
      <c r="D266" s="414">
        <f>20/24</f>
        <v>0.83333333333333337</v>
      </c>
      <c r="E266" s="349" t="s">
        <v>61</v>
      </c>
      <c r="F266" s="420" t="s">
        <v>102</v>
      </c>
      <c r="G266" s="349" t="s">
        <v>61</v>
      </c>
      <c r="H266" s="420" t="s">
        <v>117</v>
      </c>
      <c r="I266" s="349" t="s">
        <v>61</v>
      </c>
      <c r="J266" s="420" t="str">
        <f t="shared" si="52"/>
        <v>Florida State</v>
      </c>
      <c r="K266" s="379" t="str">
        <f t="shared" si="47"/>
        <v>Boston College</v>
      </c>
      <c r="L266" s="422">
        <v>16.5</v>
      </c>
      <c r="M266" s="418">
        <v>46.5</v>
      </c>
      <c r="N266" s="351" t="str">
        <f>H266</f>
        <v>Florida State</v>
      </c>
      <c r="O266" s="423">
        <v>44</v>
      </c>
      <c r="P266" s="436" t="str">
        <f t="shared" si="48"/>
        <v>Boston College</v>
      </c>
      <c r="Q266" s="408">
        <v>14</v>
      </c>
      <c r="R266" s="494" t="str">
        <f t="shared" si="49"/>
        <v>Florida State</v>
      </c>
      <c r="S266" s="494" t="str">
        <f t="shared" si="50"/>
        <v>Boston College</v>
      </c>
      <c r="T266" s="356" t="str">
        <f>K266</f>
        <v>Boston College</v>
      </c>
      <c r="U266" s="665" t="str">
        <f t="shared" si="51"/>
        <v>L</v>
      </c>
      <c r="V266" s="352" t="str">
        <f>LOWER(+H266)</f>
        <v>florida state</v>
      </c>
      <c r="W266" s="424">
        <v>26</v>
      </c>
      <c r="X266" s="352" t="str">
        <f>UPPER(+F266)</f>
        <v>BOSTON COLLEGE</v>
      </c>
      <c r="Y266" s="425">
        <v>23</v>
      </c>
    </row>
    <row r="267" spans="1:25" ht="16" x14ac:dyDescent="0.8">
      <c r="A267" s="351">
        <v>4</v>
      </c>
      <c r="B267" s="420" t="s">
        <v>34</v>
      </c>
      <c r="C267" s="421">
        <v>44828</v>
      </c>
      <c r="D267" s="414">
        <f>12/24</f>
        <v>0.5</v>
      </c>
      <c r="E267" s="349" t="s">
        <v>53</v>
      </c>
      <c r="F267" s="420" t="s">
        <v>49</v>
      </c>
      <c r="G267" s="349" t="s">
        <v>50</v>
      </c>
      <c r="H267" s="420" t="s">
        <v>120</v>
      </c>
      <c r="I267" s="349" t="s">
        <v>61</v>
      </c>
      <c r="J267" s="420" t="str">
        <f t="shared" si="52"/>
        <v>Louisville</v>
      </c>
      <c r="K267" s="379" t="str">
        <f t="shared" si="47"/>
        <v>South Florida</v>
      </c>
      <c r="L267" s="422">
        <v>14</v>
      </c>
      <c r="M267" s="418">
        <v>64</v>
      </c>
      <c r="N267" s="351" t="str">
        <f>H267</f>
        <v>Louisville</v>
      </c>
      <c r="O267" s="423">
        <v>41</v>
      </c>
      <c r="P267" s="436" t="str">
        <f t="shared" si="48"/>
        <v>South Florida</v>
      </c>
      <c r="Q267" s="408">
        <v>3</v>
      </c>
      <c r="R267" s="494" t="str">
        <f t="shared" si="49"/>
        <v>Louisville</v>
      </c>
      <c r="S267" s="494" t="str">
        <f t="shared" si="50"/>
        <v>South Florida</v>
      </c>
      <c r="T267" s="356" t="str">
        <f>J267</f>
        <v>Louisville</v>
      </c>
      <c r="U267" s="665" t="str">
        <f t="shared" si="51"/>
        <v>W</v>
      </c>
      <c r="W267" s="424"/>
      <c r="X267" s="352" t="s">
        <v>404</v>
      </c>
      <c r="Y267" s="425"/>
    </row>
    <row r="268" spans="1:25" ht="16" x14ac:dyDescent="0.8">
      <c r="A268" s="351">
        <v>4</v>
      </c>
      <c r="B268" s="420" t="s">
        <v>34</v>
      </c>
      <c r="C268" s="421">
        <v>44828</v>
      </c>
      <c r="D268" s="414">
        <f>15.5/24</f>
        <v>0.64583333333333337</v>
      </c>
      <c r="E268" s="349" t="s">
        <v>61</v>
      </c>
      <c r="F268" s="420" t="s">
        <v>165</v>
      </c>
      <c r="G268" s="349" t="s">
        <v>39</v>
      </c>
      <c r="H268" s="420" t="s">
        <v>122</v>
      </c>
      <c r="I268" s="349" t="s">
        <v>61</v>
      </c>
      <c r="J268" s="420" t="str">
        <f t="shared" si="52"/>
        <v>Miami (FL)</v>
      </c>
      <c r="K268" s="379" t="str">
        <f t="shared" si="47"/>
        <v>Middle Tenn St</v>
      </c>
      <c r="L268" s="422">
        <v>26.5</v>
      </c>
      <c r="M268" s="418">
        <v>52.5</v>
      </c>
      <c r="N268" s="351" t="str">
        <f>F268</f>
        <v>Middle Tenn St</v>
      </c>
      <c r="O268" s="423">
        <v>45</v>
      </c>
      <c r="P268" s="436" t="str">
        <f t="shared" si="48"/>
        <v>Miami (FL)</v>
      </c>
      <c r="Q268" s="408">
        <v>31</v>
      </c>
      <c r="R268" s="494" t="str">
        <f t="shared" si="49"/>
        <v>Middle Tenn St</v>
      </c>
      <c r="S268" s="494" t="str">
        <f t="shared" si="50"/>
        <v>Miami (FL)</v>
      </c>
      <c r="T268" s="356" t="str">
        <f>K268</f>
        <v>Middle Tenn St</v>
      </c>
      <c r="U268" s="665" t="str">
        <f t="shared" si="51"/>
        <v>W</v>
      </c>
      <c r="W268" s="424"/>
      <c r="X268" s="352" t="s">
        <v>404</v>
      </c>
      <c r="Y268" s="425"/>
    </row>
    <row r="269" spans="1:25" ht="16" x14ac:dyDescent="0.8">
      <c r="A269" s="351">
        <v>4</v>
      </c>
      <c r="B269" s="420" t="s">
        <v>34</v>
      </c>
      <c r="C269" s="421">
        <v>44828</v>
      </c>
      <c r="D269" s="414">
        <f>15.5/24</f>
        <v>0.64583333333333337</v>
      </c>
      <c r="E269" s="349" t="s">
        <v>135</v>
      </c>
      <c r="F269" s="420" t="s">
        <v>181</v>
      </c>
      <c r="G269" s="349" t="s">
        <v>43</v>
      </c>
      <c r="H269" s="420" t="s">
        <v>124</v>
      </c>
      <c r="I269" s="349" t="s">
        <v>61</v>
      </c>
      <c r="J269" s="420" t="str">
        <f t="shared" si="52"/>
        <v>North Carolina</v>
      </c>
      <c r="K269" s="379" t="str">
        <f t="shared" si="47"/>
        <v>Notre Dame</v>
      </c>
      <c r="L269" s="422">
        <v>2</v>
      </c>
      <c r="M269" s="418">
        <v>56</v>
      </c>
      <c r="N269" s="351" t="str">
        <f>F269</f>
        <v>Notre Dame</v>
      </c>
      <c r="O269" s="423">
        <v>45</v>
      </c>
      <c r="P269" s="436" t="str">
        <f t="shared" si="48"/>
        <v>North Carolina</v>
      </c>
      <c r="Q269" s="408">
        <v>32</v>
      </c>
      <c r="R269" s="494" t="str">
        <f t="shared" si="49"/>
        <v>Notre Dame</v>
      </c>
      <c r="S269" s="494" t="str">
        <f t="shared" si="50"/>
        <v>North Carolina</v>
      </c>
      <c r="T269" s="356" t="str">
        <f>J269</f>
        <v>North Carolina</v>
      </c>
      <c r="U269" s="665" t="str">
        <f t="shared" si="51"/>
        <v>L</v>
      </c>
      <c r="V269" s="352" t="str">
        <f>UPPER(+F269)</f>
        <v>NOTRE DAME</v>
      </c>
      <c r="W269" s="424">
        <v>44</v>
      </c>
      <c r="X269" s="352" t="str">
        <f>LOWER(+H269)</f>
        <v>north carolina</v>
      </c>
      <c r="Y269" s="425">
        <v>34</v>
      </c>
    </row>
    <row r="270" spans="1:25" ht="16" x14ac:dyDescent="0.8">
      <c r="A270" s="351">
        <v>4</v>
      </c>
      <c r="B270" s="420" t="s">
        <v>34</v>
      </c>
      <c r="C270" s="421">
        <v>44828</v>
      </c>
      <c r="D270" s="414">
        <f>19.5/24</f>
        <v>0.8125</v>
      </c>
      <c r="E270" s="349" t="s">
        <v>53</v>
      </c>
      <c r="F270" s="420" t="s">
        <v>57</v>
      </c>
      <c r="G270" s="349" t="s">
        <v>43</v>
      </c>
      <c r="H270" s="420" t="s">
        <v>126</v>
      </c>
      <c r="I270" s="349" t="s">
        <v>61</v>
      </c>
      <c r="J270" s="420" t="str">
        <f t="shared" si="52"/>
        <v>North Carolina St</v>
      </c>
      <c r="K270" s="379" t="str">
        <f t="shared" si="47"/>
        <v>Connecticut</v>
      </c>
      <c r="L270" s="422">
        <v>39</v>
      </c>
      <c r="M270" s="418">
        <v>49.5</v>
      </c>
      <c r="N270" s="351" t="str">
        <f>H270</f>
        <v>North Carolina St</v>
      </c>
      <c r="O270" s="423">
        <v>41</v>
      </c>
      <c r="P270" s="436" t="str">
        <f t="shared" si="48"/>
        <v>Connecticut</v>
      </c>
      <c r="Q270" s="408">
        <v>0</v>
      </c>
      <c r="R270" s="494" t="str">
        <f t="shared" si="49"/>
        <v>North Carolina St</v>
      </c>
      <c r="S270" s="494" t="str">
        <f t="shared" si="50"/>
        <v>Connecticut</v>
      </c>
      <c r="T270" s="356" t="str">
        <f>K270</f>
        <v>Connecticut</v>
      </c>
      <c r="U270" s="665" t="str">
        <f t="shared" si="51"/>
        <v>L</v>
      </c>
      <c r="W270" s="424"/>
      <c r="X270" s="352" t="s">
        <v>404</v>
      </c>
      <c r="Y270" s="425"/>
    </row>
    <row r="271" spans="1:25" ht="16" x14ac:dyDescent="0.8">
      <c r="A271" s="351">
        <v>4</v>
      </c>
      <c r="B271" s="420" t="s">
        <v>34</v>
      </c>
      <c r="C271" s="421">
        <v>44828</v>
      </c>
      <c r="D271" s="414">
        <f>12/24</f>
        <v>0.5</v>
      </c>
      <c r="E271" s="349" t="s">
        <v>61</v>
      </c>
      <c r="F271" s="420" t="s">
        <v>74</v>
      </c>
      <c r="G271" s="349" t="s">
        <v>41</v>
      </c>
      <c r="H271" s="420" t="s">
        <v>128</v>
      </c>
      <c r="I271" s="349" t="s">
        <v>61</v>
      </c>
      <c r="J271" s="420"/>
      <c r="K271" s="379"/>
      <c r="L271" s="422"/>
      <c r="M271" s="418"/>
      <c r="N271" s="351" t="str">
        <f>H271</f>
        <v>Pittsburgh</v>
      </c>
      <c r="O271" s="423">
        <v>45</v>
      </c>
      <c r="P271" s="436" t="str">
        <f t="shared" si="48"/>
        <v>1AA Rhode Island</v>
      </c>
      <c r="Q271" s="408">
        <v>24</v>
      </c>
      <c r="R271" s="494"/>
      <c r="S271" s="494"/>
      <c r="T271" s="356"/>
      <c r="U271" s="349"/>
      <c r="W271" s="424"/>
      <c r="X271" s="352" t="s">
        <v>404</v>
      </c>
      <c r="Y271" s="425"/>
    </row>
    <row r="272" spans="1:25" ht="16" x14ac:dyDescent="0.8">
      <c r="A272" s="351">
        <v>4</v>
      </c>
      <c r="B272" s="420" t="s">
        <v>34</v>
      </c>
      <c r="C272" s="421">
        <v>44828</v>
      </c>
      <c r="D272" s="414">
        <f>12/24</f>
        <v>0.5</v>
      </c>
      <c r="E272" s="349" t="s">
        <v>135</v>
      </c>
      <c r="F272" s="420" t="s">
        <v>114</v>
      </c>
      <c r="G272" s="349" t="s">
        <v>61</v>
      </c>
      <c r="H272" s="420" t="s">
        <v>62</v>
      </c>
      <c r="I272" s="349" t="s">
        <v>61</v>
      </c>
      <c r="J272" s="420" t="str">
        <f>F272</f>
        <v>Clemson</v>
      </c>
      <c r="K272" s="379" t="str">
        <f>IF(+J272=H272,F272,H272)</f>
        <v>Wake Forest</v>
      </c>
      <c r="L272" s="422">
        <v>7</v>
      </c>
      <c r="M272" s="418">
        <v>55.5</v>
      </c>
      <c r="N272" s="351" t="str">
        <f>F272</f>
        <v>Clemson</v>
      </c>
      <c r="O272" s="423">
        <v>51</v>
      </c>
      <c r="P272" s="436" t="str">
        <f t="shared" si="48"/>
        <v>Wake Forest</v>
      </c>
      <c r="Q272" s="408">
        <v>45</v>
      </c>
      <c r="R272" s="494" t="str">
        <f>IF(+N272=K272,+N272,IF(+O272-Q272&lt;L272,+K272,+J272))</f>
        <v>Wake Forest</v>
      </c>
      <c r="S272" s="494" t="str">
        <f>IF(+R272=J272,+K272,+J272)</f>
        <v>Clemson</v>
      </c>
      <c r="T272" s="356" t="str">
        <f>F272</f>
        <v>Clemson</v>
      </c>
      <c r="U272" s="665" t="str">
        <f>IF($N272=$J272,IF($O272-$Q272=$L272,"T",IF($R272=T272,"W","L")),IF($R272=T272,"W","L"))</f>
        <v>L</v>
      </c>
      <c r="V272" s="352" t="str">
        <f>UPPER(+F272)</f>
        <v>CLEMSON</v>
      </c>
      <c r="W272" s="424">
        <v>48</v>
      </c>
      <c r="X272" s="352" t="str">
        <f>LOWER(+H272)</f>
        <v>wake forest</v>
      </c>
      <c r="Y272" s="425">
        <v>27</v>
      </c>
    </row>
    <row r="273" spans="1:25" ht="16" x14ac:dyDescent="0.8">
      <c r="A273" s="351">
        <v>4</v>
      </c>
      <c r="B273" s="420" t="s">
        <v>34</v>
      </c>
      <c r="C273" s="421">
        <v>44828</v>
      </c>
      <c r="D273" s="414">
        <f>12/24</f>
        <v>0.5</v>
      </c>
      <c r="E273" s="349" t="s">
        <v>118</v>
      </c>
      <c r="F273" s="420" t="s">
        <v>156</v>
      </c>
      <c r="G273" s="349" t="s">
        <v>64</v>
      </c>
      <c r="H273" s="420" t="s">
        <v>137</v>
      </c>
      <c r="I273" s="349" t="s">
        <v>64</v>
      </c>
      <c r="J273" s="420" t="str">
        <f>H273</f>
        <v>Michigan</v>
      </c>
      <c r="K273" s="379" t="str">
        <f t="shared" ref="K273:K283" si="53">IF(+J273=H273,F273,H273)</f>
        <v>Maryland</v>
      </c>
      <c r="L273" s="422">
        <v>17</v>
      </c>
      <c r="M273" s="418">
        <v>65.5</v>
      </c>
      <c r="N273" s="351" t="str">
        <f>H273</f>
        <v>Michigan</v>
      </c>
      <c r="O273" s="423">
        <v>34</v>
      </c>
      <c r="P273" s="436" t="str">
        <f t="shared" si="48"/>
        <v>Maryland</v>
      </c>
      <c r="Q273" s="408">
        <v>27</v>
      </c>
      <c r="R273" s="494" t="str">
        <f t="shared" ref="R273:R283" si="54">IF(+N273=K273,+N273,IF(+O273-Q273&lt;L273,+K273,+J273))</f>
        <v>Maryland</v>
      </c>
      <c r="S273" s="494" t="str">
        <f t="shared" ref="S273:S283" si="55">IF(+R273=J273,+K273,+J273)</f>
        <v>Michigan</v>
      </c>
      <c r="T273" s="356" t="str">
        <f>K273</f>
        <v>Maryland</v>
      </c>
      <c r="U273" s="665" t="str">
        <f t="shared" ref="U273:U283" si="56">IF($N273=$J273,IF($O273-$Q273=$L273,"T",IF($R273=T273,"W","L")),IF($R273=T273,"W","L"))</f>
        <v>W</v>
      </c>
      <c r="V273" s="352" t="str">
        <f>LOWER(+H273)</f>
        <v>michigan</v>
      </c>
      <c r="W273" s="424">
        <v>59</v>
      </c>
      <c r="X273" s="352" t="str">
        <f>UPPER(+F273)</f>
        <v>MARYLAND</v>
      </c>
      <c r="Y273" s="425">
        <v>18</v>
      </c>
    </row>
    <row r="274" spans="1:25" ht="16" x14ac:dyDescent="0.8">
      <c r="A274" s="351">
        <v>4</v>
      </c>
      <c r="B274" s="420" t="s">
        <v>34</v>
      </c>
      <c r="C274" s="421">
        <v>44828</v>
      </c>
      <c r="D274" s="414">
        <f>15.5/24</f>
        <v>0.64583333333333337</v>
      </c>
      <c r="E274" s="349" t="s">
        <v>66</v>
      </c>
      <c r="F274" s="420" t="s">
        <v>69</v>
      </c>
      <c r="G274" s="349" t="s">
        <v>64</v>
      </c>
      <c r="H274" s="420" t="s">
        <v>139</v>
      </c>
      <c r="I274" s="349" t="s">
        <v>64</v>
      </c>
      <c r="J274" s="420" t="str">
        <f>F274</f>
        <v>Minnesota</v>
      </c>
      <c r="K274" s="379" t="str">
        <f t="shared" si="53"/>
        <v>Michigan State</v>
      </c>
      <c r="L274" s="422">
        <v>2.5</v>
      </c>
      <c r="M274" s="418">
        <v>51</v>
      </c>
      <c r="N274" s="351" t="str">
        <f>F274</f>
        <v>Minnesota</v>
      </c>
      <c r="O274" s="423">
        <v>34</v>
      </c>
      <c r="P274" s="436" t="str">
        <f t="shared" si="48"/>
        <v>Michigan State</v>
      </c>
      <c r="Q274" s="408">
        <v>7</v>
      </c>
      <c r="R274" s="494" t="str">
        <f t="shared" si="54"/>
        <v>Minnesota</v>
      </c>
      <c r="S274" s="494" t="str">
        <f t="shared" si="55"/>
        <v>Michigan State</v>
      </c>
      <c r="T274" s="356" t="str">
        <f>K274</f>
        <v>Michigan State</v>
      </c>
      <c r="U274" s="665" t="str">
        <f t="shared" si="56"/>
        <v>L</v>
      </c>
      <c r="W274" s="424"/>
      <c r="X274" s="352" t="s">
        <v>404</v>
      </c>
      <c r="Y274" s="425"/>
    </row>
    <row r="275" spans="1:25" ht="16" x14ac:dyDescent="0.8">
      <c r="A275" s="351">
        <v>4</v>
      </c>
      <c r="B275" s="420" t="s">
        <v>34</v>
      </c>
      <c r="C275" s="421">
        <v>44828</v>
      </c>
      <c r="D275" s="414">
        <f>19.5/24</f>
        <v>0.8125</v>
      </c>
      <c r="E275" s="349" t="s">
        <v>66</v>
      </c>
      <c r="F275" s="420" t="s">
        <v>162</v>
      </c>
      <c r="G275" s="349" t="s">
        <v>68</v>
      </c>
      <c r="H275" s="420" t="s">
        <v>143</v>
      </c>
      <c r="I275" s="349" t="s">
        <v>64</v>
      </c>
      <c r="J275" s="420" t="str">
        <f>H275</f>
        <v>Northwestern</v>
      </c>
      <c r="K275" s="379" t="str">
        <f t="shared" si="53"/>
        <v>Miami (OH)</v>
      </c>
      <c r="L275" s="422">
        <v>7</v>
      </c>
      <c r="M275" s="418">
        <v>50</v>
      </c>
      <c r="N275" s="351" t="str">
        <f>F275</f>
        <v>Miami (OH)</v>
      </c>
      <c r="O275" s="423">
        <v>17</v>
      </c>
      <c r="P275" s="436" t="str">
        <f t="shared" si="48"/>
        <v>Northwestern</v>
      </c>
      <c r="Q275" s="408">
        <v>14</v>
      </c>
      <c r="R275" s="494" t="str">
        <f t="shared" si="54"/>
        <v>Miami (OH)</v>
      </c>
      <c r="S275" s="494" t="str">
        <f t="shared" si="55"/>
        <v>Northwestern</v>
      </c>
      <c r="T275" s="356" t="str">
        <f>J275</f>
        <v>Northwestern</v>
      </c>
      <c r="U275" s="665" t="str">
        <f t="shared" si="56"/>
        <v>L</v>
      </c>
      <c r="W275" s="424"/>
      <c r="X275" s="352" t="s">
        <v>404</v>
      </c>
      <c r="Y275" s="425"/>
    </row>
    <row r="276" spans="1:25" ht="16" x14ac:dyDescent="0.8">
      <c r="A276" s="351">
        <v>4</v>
      </c>
      <c r="B276" s="420" t="s">
        <v>34</v>
      </c>
      <c r="C276" s="421">
        <v>44828</v>
      </c>
      <c r="D276" s="414">
        <f>19/24</f>
        <v>0.79166666666666663</v>
      </c>
      <c r="E276" s="349" t="s">
        <v>135</v>
      </c>
      <c r="F276" s="420" t="s">
        <v>94</v>
      </c>
      <c r="G276" s="349" t="s">
        <v>64</v>
      </c>
      <c r="H276" s="420" t="s">
        <v>63</v>
      </c>
      <c r="I276" s="349" t="s">
        <v>64</v>
      </c>
      <c r="J276" s="420" t="str">
        <f>H276</f>
        <v>Ohio State</v>
      </c>
      <c r="K276" s="379" t="str">
        <f t="shared" si="53"/>
        <v>Wisconsin</v>
      </c>
      <c r="L276" s="422">
        <v>19.5</v>
      </c>
      <c r="M276" s="418">
        <v>57</v>
      </c>
      <c r="N276" s="351" t="str">
        <f>H276</f>
        <v>Ohio State</v>
      </c>
      <c r="O276" s="423">
        <v>52</v>
      </c>
      <c r="P276" s="436" t="str">
        <f t="shared" si="48"/>
        <v>Wisconsin</v>
      </c>
      <c r="Q276" s="408">
        <v>21</v>
      </c>
      <c r="R276" s="494" t="str">
        <f t="shared" si="54"/>
        <v>Ohio State</v>
      </c>
      <c r="S276" s="494" t="str">
        <f t="shared" si="55"/>
        <v>Wisconsin</v>
      </c>
      <c r="T276" s="356" t="str">
        <f>J276</f>
        <v>Ohio State</v>
      </c>
      <c r="U276" s="665" t="str">
        <f t="shared" si="56"/>
        <v>W</v>
      </c>
      <c r="W276" s="424"/>
      <c r="X276" s="352" t="s">
        <v>404</v>
      </c>
      <c r="Y276" s="425"/>
    </row>
    <row r="277" spans="1:25" ht="16" x14ac:dyDescent="0.8">
      <c r="A277" s="351">
        <v>4</v>
      </c>
      <c r="B277" s="420" t="s">
        <v>34</v>
      </c>
      <c r="C277" s="421">
        <v>44828</v>
      </c>
      <c r="D277" s="414">
        <f>12/24</f>
        <v>0.5</v>
      </c>
      <c r="E277" s="349" t="s">
        <v>66</v>
      </c>
      <c r="F277" s="420" t="s">
        <v>75</v>
      </c>
      <c r="G277" s="349" t="s">
        <v>68</v>
      </c>
      <c r="H277" s="420" t="s">
        <v>145</v>
      </c>
      <c r="I277" s="349" t="s">
        <v>64</v>
      </c>
      <c r="J277" s="420" t="str">
        <f>H277</f>
        <v>Penn State</v>
      </c>
      <c r="K277" s="379" t="str">
        <f t="shared" si="53"/>
        <v>Central Michigan</v>
      </c>
      <c r="L277" s="422">
        <v>28</v>
      </c>
      <c r="M277" s="418">
        <v>63</v>
      </c>
      <c r="N277" s="351" t="str">
        <f>H277</f>
        <v>Penn State</v>
      </c>
      <c r="O277" s="423">
        <v>33</v>
      </c>
      <c r="P277" s="436" t="str">
        <f t="shared" si="48"/>
        <v>Central Michigan</v>
      </c>
      <c r="Q277" s="408">
        <v>14</v>
      </c>
      <c r="R277" s="494" t="str">
        <f t="shared" si="54"/>
        <v>Central Michigan</v>
      </c>
      <c r="S277" s="494" t="str">
        <f t="shared" si="55"/>
        <v>Penn State</v>
      </c>
      <c r="T277" s="356" t="str">
        <f>J277</f>
        <v>Penn State</v>
      </c>
      <c r="U277" s="665" t="str">
        <f t="shared" si="56"/>
        <v>L</v>
      </c>
      <c r="W277" s="424"/>
      <c r="X277" s="352" t="s">
        <v>404</v>
      </c>
      <c r="Y277" s="425"/>
    </row>
    <row r="278" spans="1:25" ht="16" x14ac:dyDescent="0.8">
      <c r="A278" s="351">
        <v>4</v>
      </c>
      <c r="B278" s="420" t="s">
        <v>34</v>
      </c>
      <c r="C278" s="421">
        <v>44828</v>
      </c>
      <c r="D278" s="414">
        <f>19.5/24</f>
        <v>0.8125</v>
      </c>
      <c r="E278" s="349" t="s">
        <v>66</v>
      </c>
      <c r="F278" s="420" t="s">
        <v>97</v>
      </c>
      <c r="G278" s="349" t="s">
        <v>39</v>
      </c>
      <c r="H278" s="420" t="s">
        <v>119</v>
      </c>
      <c r="I278" s="349" t="s">
        <v>64</v>
      </c>
      <c r="J278" s="420" t="str">
        <f>H278</f>
        <v>Purdue</v>
      </c>
      <c r="K278" s="379" t="str">
        <f t="shared" si="53"/>
        <v>Florida Atlantic</v>
      </c>
      <c r="L278" s="422">
        <v>19.5</v>
      </c>
      <c r="M278" s="418">
        <v>60.5</v>
      </c>
      <c r="N278" s="351" t="str">
        <f>H278</f>
        <v>Purdue</v>
      </c>
      <c r="O278" s="423">
        <v>28</v>
      </c>
      <c r="P278" s="436" t="str">
        <f t="shared" si="48"/>
        <v>Florida Atlantic</v>
      </c>
      <c r="Q278" s="408">
        <v>26</v>
      </c>
      <c r="R278" s="494" t="str">
        <f t="shared" si="54"/>
        <v>Florida Atlantic</v>
      </c>
      <c r="S278" s="494" t="str">
        <f t="shared" si="55"/>
        <v>Purdue</v>
      </c>
      <c r="T278" s="356" t="str">
        <f>J278</f>
        <v>Purdue</v>
      </c>
      <c r="U278" s="665" t="str">
        <f t="shared" si="56"/>
        <v>L</v>
      </c>
      <c r="W278" s="424"/>
      <c r="X278" s="352" t="s">
        <v>404</v>
      </c>
      <c r="Y278" s="425"/>
    </row>
    <row r="279" spans="1:25" ht="16" x14ac:dyDescent="0.8">
      <c r="A279" s="351">
        <v>4</v>
      </c>
      <c r="B279" s="420" t="s">
        <v>34</v>
      </c>
      <c r="C279" s="421">
        <v>44828</v>
      </c>
      <c r="D279" s="414">
        <f>19/24</f>
        <v>0.79166666666666663</v>
      </c>
      <c r="E279" s="349" t="s">
        <v>70</v>
      </c>
      <c r="F279" s="420" t="s">
        <v>134</v>
      </c>
      <c r="G279" s="349" t="s">
        <v>64</v>
      </c>
      <c r="H279" s="420" t="s">
        <v>92</v>
      </c>
      <c r="I279" s="349" t="s">
        <v>64</v>
      </c>
      <c r="J279" s="420" t="str">
        <f>F279</f>
        <v>Iowa</v>
      </c>
      <c r="K279" s="379" t="str">
        <f t="shared" si="53"/>
        <v>Rutgers</v>
      </c>
      <c r="L279" s="422">
        <v>7.5</v>
      </c>
      <c r="M279" s="418">
        <v>34.5</v>
      </c>
      <c r="N279" s="351" t="str">
        <f>F279</f>
        <v>Iowa</v>
      </c>
      <c r="O279" s="423">
        <v>27</v>
      </c>
      <c r="P279" s="436" t="str">
        <f t="shared" si="48"/>
        <v>Rutgers</v>
      </c>
      <c r="Q279" s="408">
        <v>10</v>
      </c>
      <c r="R279" s="494" t="str">
        <f t="shared" si="54"/>
        <v>Iowa</v>
      </c>
      <c r="S279" s="494" t="str">
        <f t="shared" si="55"/>
        <v>Rutgers</v>
      </c>
      <c r="T279" s="356" t="str">
        <f>K279</f>
        <v>Rutgers</v>
      </c>
      <c r="U279" s="665" t="str">
        <f t="shared" si="56"/>
        <v>L</v>
      </c>
      <c r="W279" s="424"/>
      <c r="X279" s="352" t="s">
        <v>404</v>
      </c>
      <c r="Y279" s="425"/>
    </row>
    <row r="280" spans="1:25" ht="16" x14ac:dyDescent="0.8">
      <c r="A280" s="351">
        <v>4</v>
      </c>
      <c r="B280" s="420" t="s">
        <v>34</v>
      </c>
      <c r="C280" s="421">
        <v>44828</v>
      </c>
      <c r="D280" s="414">
        <f>12/24</f>
        <v>0.5</v>
      </c>
      <c r="E280" s="349" t="s">
        <v>256</v>
      </c>
      <c r="F280" s="420" t="s">
        <v>146</v>
      </c>
      <c r="G280" s="349" t="s">
        <v>73</v>
      </c>
      <c r="H280" s="420" t="s">
        <v>148</v>
      </c>
      <c r="I280" s="349" t="s">
        <v>73</v>
      </c>
      <c r="J280" s="420" t="str">
        <f>H280</f>
        <v>Iowa State</v>
      </c>
      <c r="K280" s="379" t="str">
        <f t="shared" si="53"/>
        <v>Baylor</v>
      </c>
      <c r="L280" s="422">
        <v>2.5</v>
      </c>
      <c r="M280" s="418">
        <v>46</v>
      </c>
      <c r="N280" s="351" t="str">
        <f>F280</f>
        <v>Baylor</v>
      </c>
      <c r="O280" s="423">
        <v>31</v>
      </c>
      <c r="P280" s="436" t="str">
        <f t="shared" si="48"/>
        <v>Iowa State</v>
      </c>
      <c r="Q280" s="408">
        <v>24</v>
      </c>
      <c r="R280" s="494" t="str">
        <f t="shared" si="54"/>
        <v>Baylor</v>
      </c>
      <c r="S280" s="494" t="str">
        <f t="shared" si="55"/>
        <v>Iowa State</v>
      </c>
      <c r="T280" s="356" t="str">
        <f>K280</f>
        <v>Baylor</v>
      </c>
      <c r="U280" s="665" t="str">
        <f t="shared" si="56"/>
        <v>W</v>
      </c>
      <c r="V280" s="352" t="str">
        <f>UPPER(+F280)</f>
        <v>BAYLOR</v>
      </c>
      <c r="W280" s="424">
        <v>31</v>
      </c>
      <c r="X280" s="352" t="str">
        <f>LOWER(+H280)</f>
        <v>iowa state</v>
      </c>
      <c r="Y280" s="425">
        <v>29</v>
      </c>
    </row>
    <row r="281" spans="1:25" ht="16" x14ac:dyDescent="0.8">
      <c r="A281" s="351">
        <v>4</v>
      </c>
      <c r="B281" s="420" t="s">
        <v>34</v>
      </c>
      <c r="C281" s="421">
        <v>44828</v>
      </c>
      <c r="D281" s="414">
        <f>12/24</f>
        <v>0.5</v>
      </c>
      <c r="E281" s="349" t="s">
        <v>70</v>
      </c>
      <c r="F281" s="420" t="s">
        <v>115</v>
      </c>
      <c r="G281" s="349" t="s">
        <v>61</v>
      </c>
      <c r="H281" s="420" t="s">
        <v>150</v>
      </c>
      <c r="I281" s="349" t="s">
        <v>73</v>
      </c>
      <c r="J281" s="420" t="str">
        <f>H281</f>
        <v>Kansas</v>
      </c>
      <c r="K281" s="379" t="str">
        <f t="shared" si="53"/>
        <v>Duke</v>
      </c>
      <c r="L281" s="422">
        <v>7</v>
      </c>
      <c r="M281" s="418">
        <v>63.5</v>
      </c>
      <c r="N281" s="351" t="str">
        <f>H281</f>
        <v>Kansas</v>
      </c>
      <c r="O281" s="423">
        <v>35</v>
      </c>
      <c r="P281" s="436" t="str">
        <f t="shared" si="48"/>
        <v>Duke</v>
      </c>
      <c r="Q281" s="408">
        <v>27</v>
      </c>
      <c r="R281" s="494" t="str">
        <f t="shared" si="54"/>
        <v>Kansas</v>
      </c>
      <c r="S281" s="494" t="str">
        <f t="shared" si="55"/>
        <v>Duke</v>
      </c>
      <c r="T281" s="356" t="str">
        <f>J281</f>
        <v>Kansas</v>
      </c>
      <c r="U281" s="665" t="str">
        <f t="shared" si="56"/>
        <v>W</v>
      </c>
      <c r="V281" s="352" t="str">
        <f>UPPER(+F281)</f>
        <v>DUKE</v>
      </c>
      <c r="W281" s="424">
        <v>52</v>
      </c>
      <c r="X281" s="352" t="str">
        <f>LOWER(+H281)</f>
        <v>kansas</v>
      </c>
      <c r="Y281" s="425">
        <v>33</v>
      </c>
    </row>
    <row r="282" spans="1:25" ht="16" x14ac:dyDescent="0.8">
      <c r="A282" s="351">
        <v>4</v>
      </c>
      <c r="B282" s="420" t="s">
        <v>34</v>
      </c>
      <c r="C282" s="421">
        <v>44828</v>
      </c>
      <c r="D282" s="414">
        <f>19.5/24</f>
        <v>0.8125</v>
      </c>
      <c r="E282" s="349" t="s">
        <v>118</v>
      </c>
      <c r="F282" s="420" t="s">
        <v>152</v>
      </c>
      <c r="G282" s="349" t="s">
        <v>73</v>
      </c>
      <c r="H282" s="420" t="s">
        <v>154</v>
      </c>
      <c r="I282" s="349" t="s">
        <v>73</v>
      </c>
      <c r="J282" s="420" t="str">
        <f>H282</f>
        <v>Oklahoma</v>
      </c>
      <c r="K282" s="379" t="str">
        <f t="shared" si="53"/>
        <v>Kansas State</v>
      </c>
      <c r="L282" s="422">
        <v>13</v>
      </c>
      <c r="M282" s="418">
        <v>53</v>
      </c>
      <c r="N282" s="351" t="str">
        <f>F282</f>
        <v>Kansas State</v>
      </c>
      <c r="O282" s="423">
        <v>41</v>
      </c>
      <c r="P282" s="436" t="str">
        <f t="shared" si="48"/>
        <v>Oklahoma</v>
      </c>
      <c r="Q282" s="408">
        <v>34</v>
      </c>
      <c r="R282" s="494" t="str">
        <f t="shared" si="54"/>
        <v>Kansas State</v>
      </c>
      <c r="S282" s="494" t="str">
        <f t="shared" si="55"/>
        <v>Oklahoma</v>
      </c>
      <c r="T282" s="356" t="str">
        <f>J282</f>
        <v>Oklahoma</v>
      </c>
      <c r="U282" s="665" t="str">
        <f t="shared" si="56"/>
        <v>L</v>
      </c>
      <c r="V282" s="352" t="str">
        <f>LOWER(+H282)</f>
        <v>oklahoma</v>
      </c>
      <c r="W282" s="424">
        <v>37</v>
      </c>
      <c r="X282" s="352" t="str">
        <f>UPPER(+F282)</f>
        <v>KANSAS STATE</v>
      </c>
      <c r="Y282" s="425">
        <v>31</v>
      </c>
    </row>
    <row r="283" spans="1:25" ht="16" x14ac:dyDescent="0.8">
      <c r="A283" s="351">
        <v>4</v>
      </c>
      <c r="B283" s="420" t="s">
        <v>34</v>
      </c>
      <c r="C283" s="421">
        <v>44828</v>
      </c>
      <c r="D283" s="414">
        <f>15.5/24</f>
        <v>0.64583333333333337</v>
      </c>
      <c r="E283" s="349" t="s">
        <v>70</v>
      </c>
      <c r="F283" s="420" t="s">
        <v>157</v>
      </c>
      <c r="G283" s="349" t="s">
        <v>73</v>
      </c>
      <c r="H283" s="420" t="s">
        <v>159</v>
      </c>
      <c r="I283" s="349" t="s">
        <v>73</v>
      </c>
      <c r="J283" s="420" t="str">
        <f>F283</f>
        <v>Texas</v>
      </c>
      <c r="K283" s="379" t="str">
        <f t="shared" si="53"/>
        <v>Texas Tech</v>
      </c>
      <c r="L283" s="422">
        <v>6.5</v>
      </c>
      <c r="M283" s="418">
        <v>60</v>
      </c>
      <c r="N283" s="351" t="str">
        <f>H283</f>
        <v>Texas Tech</v>
      </c>
      <c r="O283" s="423">
        <v>37</v>
      </c>
      <c r="P283" s="436" t="str">
        <f t="shared" si="48"/>
        <v>Texas</v>
      </c>
      <c r="Q283" s="408">
        <v>34</v>
      </c>
      <c r="R283" s="494" t="str">
        <f t="shared" si="54"/>
        <v>Texas Tech</v>
      </c>
      <c r="S283" s="494" t="str">
        <f t="shared" si="55"/>
        <v>Texas</v>
      </c>
      <c r="T283" s="356" t="str">
        <f>J283</f>
        <v>Texas</v>
      </c>
      <c r="U283" s="665" t="str">
        <f t="shared" si="56"/>
        <v>L</v>
      </c>
      <c r="V283" s="352" t="str">
        <f>UPPER(+F283)</f>
        <v>TEXAS</v>
      </c>
      <c r="W283" s="424">
        <v>70</v>
      </c>
      <c r="X283" s="352" t="str">
        <f>LOWER(+H283)</f>
        <v>texas tech</v>
      </c>
      <c r="Y283" s="425">
        <v>35</v>
      </c>
    </row>
    <row r="284" spans="1:25" ht="16" x14ac:dyDescent="0.8">
      <c r="A284" s="351">
        <v>4</v>
      </c>
      <c r="B284" s="420" t="s">
        <v>34</v>
      </c>
      <c r="C284" s="421">
        <v>44828</v>
      </c>
      <c r="D284" s="414">
        <f>15.5/24</f>
        <v>0.64583333333333337</v>
      </c>
      <c r="E284" s="349"/>
      <c r="F284" s="420" t="s">
        <v>282</v>
      </c>
      <c r="G284" s="349" t="s">
        <v>41</v>
      </c>
      <c r="H284" s="420" t="s">
        <v>175</v>
      </c>
      <c r="I284" s="349" t="s">
        <v>39</v>
      </c>
      <c r="J284" s="420"/>
      <c r="K284" s="379"/>
      <c r="L284" s="422"/>
      <c r="M284" s="418"/>
      <c r="N284" s="351" t="str">
        <f>H284</f>
        <v>UT San Antonio</v>
      </c>
      <c r="O284" s="423">
        <v>52</v>
      </c>
      <c r="P284" s="436" t="str">
        <f t="shared" si="48"/>
        <v>1AA Texas Southern</v>
      </c>
      <c r="Q284" s="408">
        <v>24</v>
      </c>
      <c r="R284" s="494"/>
      <c r="S284" s="494"/>
      <c r="T284" s="356"/>
      <c r="U284" s="349"/>
      <c r="W284" s="424"/>
      <c r="X284" s="352" t="s">
        <v>404</v>
      </c>
      <c r="Y284" s="425"/>
    </row>
    <row r="285" spans="1:25" ht="16" x14ac:dyDescent="0.8">
      <c r="A285" s="351">
        <v>4</v>
      </c>
      <c r="B285" s="420" t="s">
        <v>34</v>
      </c>
      <c r="C285" s="421">
        <v>44828</v>
      </c>
      <c r="D285" s="414">
        <f>15.5/24</f>
        <v>0.64583333333333337</v>
      </c>
      <c r="E285" s="349" t="s">
        <v>445</v>
      </c>
      <c r="F285" s="420" t="s">
        <v>105</v>
      </c>
      <c r="G285" s="349" t="s">
        <v>39</v>
      </c>
      <c r="H285" s="420" t="s">
        <v>177</v>
      </c>
      <c r="I285" s="349" t="s">
        <v>39</v>
      </c>
      <c r="J285" s="420" t="str">
        <f>H285</f>
        <v>Western Kentucky</v>
      </c>
      <c r="K285" s="379" t="str">
        <f t="shared" ref="K285:K289" si="57">IF(+J285=H285,F285,H285)</f>
        <v>Florida Intl</v>
      </c>
      <c r="L285" s="422">
        <v>31</v>
      </c>
      <c r="M285" s="418">
        <v>65.5</v>
      </c>
      <c r="N285" s="351" t="str">
        <f>H285</f>
        <v>Western Kentucky</v>
      </c>
      <c r="O285" s="423">
        <v>73</v>
      </c>
      <c r="P285" s="436" t="str">
        <f t="shared" si="48"/>
        <v>Florida Intl</v>
      </c>
      <c r="Q285" s="408">
        <v>0</v>
      </c>
      <c r="R285" s="494" t="str">
        <f t="shared" ref="R285:R289" si="58">IF(+N285=K285,+N285,IF(+O285-Q285&lt;L285,+K285,+J285))</f>
        <v>Western Kentucky</v>
      </c>
      <c r="S285" s="494" t="str">
        <f t="shared" ref="S285:S289" si="59">IF(+R285=J285,+K285,+J285)</f>
        <v>Florida Intl</v>
      </c>
      <c r="T285" s="356" t="str">
        <f>K285</f>
        <v>Florida Intl</v>
      </c>
      <c r="U285" s="665" t="str">
        <f t="shared" ref="U285:U289" si="60">IF($N285=$J285,IF($O285-$Q285=$L285,"T",IF($R285=T285,"W","L")),IF($R285=T285,"W","L"))</f>
        <v>L</v>
      </c>
      <c r="V285" s="352" t="str">
        <f>LOWER(+H285)</f>
        <v>western kentucky</v>
      </c>
      <c r="W285" s="424">
        <v>34</v>
      </c>
      <c r="X285" s="352" t="str">
        <f>UPPER(+F285)</f>
        <v>FLORIDA INTL</v>
      </c>
      <c r="Y285" s="425">
        <v>19</v>
      </c>
    </row>
    <row r="286" spans="1:25" ht="16" x14ac:dyDescent="0.8">
      <c r="A286" s="351">
        <v>4</v>
      </c>
      <c r="B286" s="420" t="s">
        <v>34</v>
      </c>
      <c r="C286" s="421">
        <v>44828</v>
      </c>
      <c r="D286" s="414">
        <f>22.25/24</f>
        <v>0.92708333333333337</v>
      </c>
      <c r="E286" s="349" t="s">
        <v>256</v>
      </c>
      <c r="F286" s="420" t="s">
        <v>133</v>
      </c>
      <c r="G286" s="349" t="s">
        <v>45</v>
      </c>
      <c r="H286" s="420" t="s">
        <v>42</v>
      </c>
      <c r="I286" s="349" t="s">
        <v>43</v>
      </c>
      <c r="J286" s="420" t="str">
        <f>H286</f>
        <v>BYU</v>
      </c>
      <c r="K286" s="379" t="str">
        <f t="shared" si="57"/>
        <v>Wyoming</v>
      </c>
      <c r="L286" s="422">
        <v>21.5</v>
      </c>
      <c r="M286" s="418">
        <v>50</v>
      </c>
      <c r="N286" s="436" t="str">
        <f>H286</f>
        <v>BYU</v>
      </c>
      <c r="O286" s="423">
        <v>38</v>
      </c>
      <c r="P286" s="436" t="str">
        <f t="shared" ref="P286:P317" si="61">IF(+N286=H286,F286,H286)</f>
        <v>Wyoming</v>
      </c>
      <c r="Q286" s="408">
        <v>24</v>
      </c>
      <c r="R286" s="494" t="str">
        <f t="shared" si="58"/>
        <v>Wyoming</v>
      </c>
      <c r="S286" s="494" t="str">
        <f t="shared" si="59"/>
        <v>BYU</v>
      </c>
      <c r="T286" s="356" t="str">
        <f>J286</f>
        <v>BYU</v>
      </c>
      <c r="U286" s="665" t="str">
        <f t="shared" si="60"/>
        <v>L</v>
      </c>
      <c r="W286" s="424"/>
      <c r="X286" s="352" t="s">
        <v>404</v>
      </c>
      <c r="Y286" s="425"/>
    </row>
    <row r="287" spans="1:25" ht="16" x14ac:dyDescent="0.8">
      <c r="A287" s="351">
        <v>4</v>
      </c>
      <c r="B287" s="420" t="s">
        <v>34</v>
      </c>
      <c r="C287" s="421">
        <v>44828</v>
      </c>
      <c r="D287" s="414">
        <f>20/24</f>
        <v>0.83333333333333337</v>
      </c>
      <c r="E287" s="349"/>
      <c r="F287" s="420" t="s">
        <v>44</v>
      </c>
      <c r="G287" s="349" t="s">
        <v>45</v>
      </c>
      <c r="H287" s="420" t="s">
        <v>78</v>
      </c>
      <c r="I287" s="349" t="s">
        <v>43</v>
      </c>
      <c r="J287" s="420" t="str">
        <f>H287</f>
        <v>New Mexico State</v>
      </c>
      <c r="K287" s="379" t="str">
        <f t="shared" si="57"/>
        <v>Hawaii</v>
      </c>
      <c r="L287" s="422">
        <v>5</v>
      </c>
      <c r="M287" s="418">
        <v>54</v>
      </c>
      <c r="N287" s="436" t="str">
        <f>H287</f>
        <v>New Mexico State</v>
      </c>
      <c r="O287" s="423">
        <v>45</v>
      </c>
      <c r="P287" s="436" t="str">
        <f t="shared" si="61"/>
        <v>Hawaii</v>
      </c>
      <c r="Q287" s="408">
        <v>26</v>
      </c>
      <c r="R287" s="494" t="str">
        <f t="shared" si="58"/>
        <v>New Mexico State</v>
      </c>
      <c r="S287" s="494" t="str">
        <f t="shared" si="59"/>
        <v>Hawaii</v>
      </c>
      <c r="T287" s="356" t="str">
        <f>H287</f>
        <v>New Mexico State</v>
      </c>
      <c r="U287" s="665" t="str">
        <f t="shared" si="60"/>
        <v>W</v>
      </c>
      <c r="V287" s="352" t="str">
        <f>UPPER(+F287)</f>
        <v>HAWAII</v>
      </c>
      <c r="W287" s="424">
        <v>41</v>
      </c>
      <c r="X287" s="352" t="str">
        <f>LOWER(+H287)</f>
        <v>new mexico state</v>
      </c>
      <c r="Y287" s="425">
        <v>21</v>
      </c>
    </row>
    <row r="288" spans="1:25" ht="16" x14ac:dyDescent="0.8">
      <c r="A288" s="351">
        <v>4</v>
      </c>
      <c r="B288" s="420" t="s">
        <v>34</v>
      </c>
      <c r="C288" s="421">
        <v>44828</v>
      </c>
      <c r="D288" s="414">
        <f>18/24</f>
        <v>0.75</v>
      </c>
      <c r="E288" s="349"/>
      <c r="F288" s="420" t="s">
        <v>306</v>
      </c>
      <c r="G288" s="349" t="s">
        <v>43</v>
      </c>
      <c r="H288" s="420" t="s">
        <v>144</v>
      </c>
      <c r="I288" s="349" t="s">
        <v>68</v>
      </c>
      <c r="J288" s="420" t="str">
        <f>F288</f>
        <v>Liberty</v>
      </c>
      <c r="K288" s="379" t="str">
        <f t="shared" si="57"/>
        <v>Akron</v>
      </c>
      <c r="L288" s="422">
        <v>29.5</v>
      </c>
      <c r="M288" s="418">
        <v>57.5</v>
      </c>
      <c r="N288" s="436" t="str">
        <f>F288</f>
        <v>Liberty</v>
      </c>
      <c r="O288" s="423">
        <v>21</v>
      </c>
      <c r="P288" s="436" t="str">
        <f t="shared" si="61"/>
        <v>Akron</v>
      </c>
      <c r="Q288" s="408">
        <v>12</v>
      </c>
      <c r="R288" s="494" t="str">
        <f t="shared" si="58"/>
        <v>Akron</v>
      </c>
      <c r="S288" s="494" t="str">
        <f t="shared" si="59"/>
        <v>Liberty</v>
      </c>
      <c r="T288" s="356" t="str">
        <f>F288</f>
        <v>Liberty</v>
      </c>
      <c r="U288" s="665" t="str">
        <f t="shared" si="60"/>
        <v>L</v>
      </c>
      <c r="W288" s="424"/>
      <c r="X288" s="352" t="s">
        <v>404</v>
      </c>
      <c r="Y288" s="425"/>
    </row>
    <row r="289" spans="1:25" ht="16" x14ac:dyDescent="0.8">
      <c r="A289" s="351">
        <v>4</v>
      </c>
      <c r="B289" s="420" t="s">
        <v>34</v>
      </c>
      <c r="C289" s="421">
        <v>44828</v>
      </c>
      <c r="D289" s="414">
        <f>12/24</f>
        <v>0.5</v>
      </c>
      <c r="E289" s="349" t="s">
        <v>445</v>
      </c>
      <c r="F289" s="420" t="s">
        <v>67</v>
      </c>
      <c r="G289" s="349" t="s">
        <v>68</v>
      </c>
      <c r="H289" s="420" t="s">
        <v>101</v>
      </c>
      <c r="I289" s="349" t="s">
        <v>68</v>
      </c>
      <c r="J289" s="420" t="str">
        <f>H289</f>
        <v>Eastern Michigan</v>
      </c>
      <c r="K289" s="379" t="str">
        <f t="shared" si="57"/>
        <v>Buffalo</v>
      </c>
      <c r="L289" s="422">
        <v>6</v>
      </c>
      <c r="M289" s="418">
        <v>60</v>
      </c>
      <c r="N289" s="351" t="str">
        <f>F289</f>
        <v>Buffalo</v>
      </c>
      <c r="O289" s="423">
        <v>50</v>
      </c>
      <c r="P289" s="436" t="str">
        <f t="shared" si="61"/>
        <v>Eastern Michigan</v>
      </c>
      <c r="Q289" s="408">
        <v>31</v>
      </c>
      <c r="R289" s="494" t="str">
        <f t="shared" si="58"/>
        <v>Buffalo</v>
      </c>
      <c r="S289" s="494" t="str">
        <f t="shared" si="59"/>
        <v>Eastern Michigan</v>
      </c>
      <c r="T289" s="356" t="str">
        <f>K289</f>
        <v>Buffalo</v>
      </c>
      <c r="U289" s="665" t="str">
        <f t="shared" si="60"/>
        <v>W</v>
      </c>
      <c r="W289" s="424"/>
      <c r="X289" s="352" t="s">
        <v>404</v>
      </c>
      <c r="Y289" s="425"/>
    </row>
    <row r="290" spans="1:25" ht="16" x14ac:dyDescent="0.8">
      <c r="A290" s="351">
        <v>4</v>
      </c>
      <c r="B290" s="420" t="s">
        <v>34</v>
      </c>
      <c r="C290" s="421">
        <v>44828</v>
      </c>
      <c r="D290" s="414">
        <f>14/24</f>
        <v>0.58333333333333337</v>
      </c>
      <c r="E290" s="349"/>
      <c r="F290" s="420" t="s">
        <v>98</v>
      </c>
      <c r="G290" s="349" t="s">
        <v>41</v>
      </c>
      <c r="H290" s="420" t="s">
        <v>182</v>
      </c>
      <c r="I290" s="349" t="s">
        <v>68</v>
      </c>
      <c r="J290" s="420"/>
      <c r="K290" s="379"/>
      <c r="L290" s="422"/>
      <c r="M290" s="418"/>
      <c r="N290" s="351" t="str">
        <f>H290</f>
        <v>Ohio</v>
      </c>
      <c r="O290" s="423">
        <v>59</v>
      </c>
      <c r="P290" s="436" t="str">
        <f t="shared" si="61"/>
        <v>1AA Fordham</v>
      </c>
      <c r="Q290" s="408">
        <v>52</v>
      </c>
      <c r="R290" s="494"/>
      <c r="S290" s="494"/>
      <c r="T290" s="356"/>
      <c r="U290" s="349"/>
      <c r="W290" s="424"/>
      <c r="X290" s="352" t="s">
        <v>404</v>
      </c>
      <c r="Y290" s="425"/>
    </row>
    <row r="291" spans="1:25" ht="16" x14ac:dyDescent="0.8">
      <c r="A291" s="351">
        <v>4</v>
      </c>
      <c r="B291" s="420" t="s">
        <v>34</v>
      </c>
      <c r="C291" s="421">
        <v>44828</v>
      </c>
      <c r="D291" s="414">
        <f>16/24</f>
        <v>0.66666666666666663</v>
      </c>
      <c r="E291" s="349"/>
      <c r="F291" s="420" t="s">
        <v>82</v>
      </c>
      <c r="G291" s="349" t="s">
        <v>41</v>
      </c>
      <c r="H291" s="420" t="s">
        <v>48</v>
      </c>
      <c r="I291" s="349" t="s">
        <v>45</v>
      </c>
      <c r="J291" s="420"/>
      <c r="K291" s="379"/>
      <c r="L291" s="422"/>
      <c r="M291" s="418"/>
      <c r="N291" s="351" t="str">
        <f>F291</f>
        <v>1AA Sacremento State</v>
      </c>
      <c r="O291" s="423">
        <v>41</v>
      </c>
      <c r="P291" s="436" t="str">
        <f t="shared" si="61"/>
        <v>Colorado State</v>
      </c>
      <c r="Q291" s="408">
        <v>10</v>
      </c>
      <c r="R291" s="494"/>
      <c r="S291" s="494"/>
      <c r="T291" s="356"/>
      <c r="U291" s="349"/>
      <c r="W291" s="424"/>
      <c r="X291" s="352" t="s">
        <v>404</v>
      </c>
      <c r="Y291" s="425"/>
    </row>
    <row r="292" spans="1:25" ht="16" x14ac:dyDescent="0.8">
      <c r="A292" s="351">
        <v>4</v>
      </c>
      <c r="B292" s="420" t="s">
        <v>34</v>
      </c>
      <c r="C292" s="421">
        <v>44828</v>
      </c>
      <c r="D292" s="414">
        <f>15.5/24</f>
        <v>0.64583333333333337</v>
      </c>
      <c r="E292" s="349" t="s">
        <v>70</v>
      </c>
      <c r="F292" s="420" t="s">
        <v>77</v>
      </c>
      <c r="G292" s="349" t="s">
        <v>68</v>
      </c>
      <c r="H292" s="420" t="s">
        <v>193</v>
      </c>
      <c r="I292" s="349" t="s">
        <v>45</v>
      </c>
      <c r="J292" s="420" t="str">
        <f>F292</f>
        <v>Toledo</v>
      </c>
      <c r="K292" s="379" t="str">
        <f t="shared" ref="K292:K304" si="62">IF(+J292=H292,F292,H292)</f>
        <v>San Diego State</v>
      </c>
      <c r="L292" s="422">
        <v>3</v>
      </c>
      <c r="M292" s="418">
        <v>45.5</v>
      </c>
      <c r="N292" s="351" t="str">
        <f>H292</f>
        <v>San Diego State</v>
      </c>
      <c r="O292" s="423">
        <v>17</v>
      </c>
      <c r="P292" s="436" t="str">
        <f t="shared" si="61"/>
        <v>Toledo</v>
      </c>
      <c r="Q292" s="408">
        <v>14</v>
      </c>
      <c r="R292" s="494" t="str">
        <f t="shared" ref="R292:R304" si="63">IF(+N292=K292,+N292,IF(+O292-Q292&lt;L292,+K292,+J292))</f>
        <v>San Diego State</v>
      </c>
      <c r="S292" s="494" t="str">
        <f t="shared" ref="S292:S304" si="64">IF(+R292=J292,+K292,+J292)</f>
        <v>Toledo</v>
      </c>
      <c r="T292" s="356" t="str">
        <f>K292</f>
        <v>San Diego State</v>
      </c>
      <c r="U292" s="665" t="str">
        <f t="shared" ref="U292:U304" si="65">IF($N292=$J292,IF($O292-$Q292=$L292,"T",IF($R292=T292,"W","L")),IF($R292=T292,"W","L"))</f>
        <v>W</v>
      </c>
      <c r="W292" s="424"/>
      <c r="X292" s="352" t="s">
        <v>404</v>
      </c>
      <c r="Y292" s="425"/>
    </row>
    <row r="293" spans="1:25" ht="16" x14ac:dyDescent="0.8">
      <c r="A293" s="351">
        <v>4</v>
      </c>
      <c r="B293" s="420" t="s">
        <v>34</v>
      </c>
      <c r="C293" s="421">
        <v>44828</v>
      </c>
      <c r="D293" s="414">
        <f>22.5/24</f>
        <v>0.9375</v>
      </c>
      <c r="E293" s="349" t="s">
        <v>445</v>
      </c>
      <c r="F293" s="420" t="s">
        <v>201</v>
      </c>
      <c r="G293" s="349" t="s">
        <v>68</v>
      </c>
      <c r="H293" s="420" t="s">
        <v>51</v>
      </c>
      <c r="I293" s="349" t="s">
        <v>45</v>
      </c>
      <c r="J293" s="420" t="str">
        <f>H293</f>
        <v>San Jose State</v>
      </c>
      <c r="K293" s="379" t="str">
        <f t="shared" si="62"/>
        <v>Western Michigan</v>
      </c>
      <c r="L293" s="422">
        <v>6.5</v>
      </c>
      <c r="M293" s="418">
        <v>48.5</v>
      </c>
      <c r="N293" s="351" t="str">
        <f>H293</f>
        <v>San Jose State</v>
      </c>
      <c r="O293" s="423">
        <v>34</v>
      </c>
      <c r="P293" s="436" t="str">
        <f t="shared" si="61"/>
        <v>Western Michigan</v>
      </c>
      <c r="Q293" s="408">
        <v>6</v>
      </c>
      <c r="R293" s="494" t="str">
        <f t="shared" si="63"/>
        <v>San Jose State</v>
      </c>
      <c r="S293" s="494" t="str">
        <f t="shared" si="64"/>
        <v>Western Michigan</v>
      </c>
      <c r="T293" s="356" t="str">
        <f>F293</f>
        <v>Western Michigan</v>
      </c>
      <c r="U293" s="665" t="str">
        <f t="shared" si="65"/>
        <v>L</v>
      </c>
      <c r="W293" s="424"/>
      <c r="X293" s="352" t="s">
        <v>404</v>
      </c>
      <c r="Y293" s="425"/>
    </row>
    <row r="294" spans="1:25" ht="16" x14ac:dyDescent="0.8">
      <c r="A294" s="351">
        <v>4</v>
      </c>
      <c r="B294" s="420" t="s">
        <v>34</v>
      </c>
      <c r="C294" s="421">
        <v>44828</v>
      </c>
      <c r="D294" s="414">
        <f>19/24</f>
        <v>0.79166666666666663</v>
      </c>
      <c r="E294" s="349" t="s">
        <v>445</v>
      </c>
      <c r="F294" s="420" t="s">
        <v>196</v>
      </c>
      <c r="G294" s="349" t="s">
        <v>45</v>
      </c>
      <c r="H294" s="420" t="s">
        <v>93</v>
      </c>
      <c r="I294" s="349" t="s">
        <v>45</v>
      </c>
      <c r="J294" s="420" t="str">
        <f>F294</f>
        <v>UNLV</v>
      </c>
      <c r="K294" s="379" t="str">
        <f t="shared" si="62"/>
        <v>Utah State</v>
      </c>
      <c r="L294" s="422">
        <v>2.5</v>
      </c>
      <c r="M294" s="418">
        <v>60.5</v>
      </c>
      <c r="N294" s="351" t="str">
        <f>F294</f>
        <v>UNLV</v>
      </c>
      <c r="O294" s="423">
        <v>34</v>
      </c>
      <c r="P294" s="436" t="str">
        <f t="shared" si="61"/>
        <v>Utah State</v>
      </c>
      <c r="Q294" s="408">
        <v>24</v>
      </c>
      <c r="R294" s="494" t="str">
        <f t="shared" si="63"/>
        <v>UNLV</v>
      </c>
      <c r="S294" s="494" t="str">
        <f t="shared" si="64"/>
        <v>Utah State</v>
      </c>
      <c r="T294" s="356" t="str">
        <f>F294</f>
        <v>UNLV</v>
      </c>
      <c r="U294" s="665" t="str">
        <f t="shared" si="65"/>
        <v>W</v>
      </c>
      <c r="V294" s="352" t="str">
        <f>LOWER(+H294)</f>
        <v>utah state</v>
      </c>
      <c r="W294" s="424">
        <v>28</v>
      </c>
      <c r="X294" s="352" t="str">
        <f>UPPER(+F294)</f>
        <v>UNLV</v>
      </c>
      <c r="Y294" s="425">
        <v>24</v>
      </c>
    </row>
    <row r="295" spans="1:25" ht="16" x14ac:dyDescent="0.8">
      <c r="A295" s="351">
        <v>4</v>
      </c>
      <c r="B295" s="420" t="s">
        <v>34</v>
      </c>
      <c r="C295" s="421">
        <v>44828</v>
      </c>
      <c r="D295" s="414">
        <f>22.5/24</f>
        <v>0.9375</v>
      </c>
      <c r="E295" s="349" t="s">
        <v>35</v>
      </c>
      <c r="F295" s="420" t="s">
        <v>81</v>
      </c>
      <c r="G295" s="349" t="s">
        <v>37</v>
      </c>
      <c r="H295" s="420" t="s">
        <v>79</v>
      </c>
      <c r="I295" s="349" t="s">
        <v>37</v>
      </c>
      <c r="J295" s="420" t="str">
        <f>F295</f>
        <v>Utah</v>
      </c>
      <c r="K295" s="379" t="str">
        <f t="shared" si="62"/>
        <v>Arizona State</v>
      </c>
      <c r="L295" s="422">
        <v>14</v>
      </c>
      <c r="M295" s="418">
        <v>54</v>
      </c>
      <c r="N295" s="351" t="str">
        <f>F295</f>
        <v>Utah</v>
      </c>
      <c r="O295" s="423">
        <v>34</v>
      </c>
      <c r="P295" s="436" t="str">
        <f t="shared" si="61"/>
        <v>Arizona State</v>
      </c>
      <c r="Q295" s="408">
        <v>13</v>
      </c>
      <c r="R295" s="494" t="str">
        <f t="shared" si="63"/>
        <v>Utah</v>
      </c>
      <c r="S295" s="494" t="str">
        <f t="shared" si="64"/>
        <v>Arizona State</v>
      </c>
      <c r="T295" s="356" t="str">
        <f>J295</f>
        <v>Utah</v>
      </c>
      <c r="U295" s="665" t="str">
        <f t="shared" si="65"/>
        <v>W</v>
      </c>
      <c r="V295" s="352" t="str">
        <f>UPPER(+F295)</f>
        <v>UTAH</v>
      </c>
      <c r="W295" s="424">
        <v>38</v>
      </c>
      <c r="X295" s="352" t="str">
        <f>LOWER(+H295)</f>
        <v>arizona state</v>
      </c>
      <c r="Y295" s="425">
        <v>29</v>
      </c>
    </row>
    <row r="296" spans="1:25" ht="16" x14ac:dyDescent="0.8">
      <c r="A296" s="351">
        <v>4</v>
      </c>
      <c r="B296" s="420" t="s">
        <v>34</v>
      </c>
      <c r="C296" s="421">
        <v>44828</v>
      </c>
      <c r="D296" s="414">
        <f>22.5/24</f>
        <v>0.9375</v>
      </c>
      <c r="E296" s="349" t="s">
        <v>446</v>
      </c>
      <c r="F296" s="420" t="s">
        <v>198</v>
      </c>
      <c r="G296" s="349" t="s">
        <v>37</v>
      </c>
      <c r="H296" s="420" t="s">
        <v>123</v>
      </c>
      <c r="I296" s="349" t="s">
        <v>37</v>
      </c>
      <c r="J296" s="420" t="str">
        <f>H296</f>
        <v>California</v>
      </c>
      <c r="K296" s="379" t="str">
        <f t="shared" si="62"/>
        <v>Arizona</v>
      </c>
      <c r="L296" s="422">
        <v>3</v>
      </c>
      <c r="M296" s="418">
        <v>50.5</v>
      </c>
      <c r="N296" s="351" t="str">
        <f>H296</f>
        <v>California</v>
      </c>
      <c r="O296" s="423">
        <v>49</v>
      </c>
      <c r="P296" s="436" t="str">
        <f t="shared" si="61"/>
        <v>Arizona</v>
      </c>
      <c r="Q296" s="408">
        <v>31</v>
      </c>
      <c r="R296" s="494" t="str">
        <f t="shared" si="63"/>
        <v>California</v>
      </c>
      <c r="S296" s="494" t="str">
        <f t="shared" si="64"/>
        <v>Arizona</v>
      </c>
      <c r="T296" s="356" t="str">
        <f>K296</f>
        <v>Arizona</v>
      </c>
      <c r="U296" s="665" t="str">
        <f t="shared" si="65"/>
        <v>L</v>
      </c>
      <c r="V296" s="352" t="str">
        <f>UPPER(+F296)</f>
        <v>ARIZONA</v>
      </c>
      <c r="W296" s="424">
        <v>10</v>
      </c>
      <c r="X296" s="352" t="str">
        <f>LOWER(+H296)</f>
        <v>california</v>
      </c>
      <c r="Y296" s="425">
        <v>3</v>
      </c>
    </row>
    <row r="297" spans="1:25" ht="16" x14ac:dyDescent="0.8">
      <c r="A297" s="351">
        <v>4</v>
      </c>
      <c r="B297" s="420" t="s">
        <v>34</v>
      </c>
      <c r="C297" s="421">
        <v>44828</v>
      </c>
      <c r="D297" s="414">
        <f>16/24</f>
        <v>0.66666666666666663</v>
      </c>
      <c r="E297" s="349" t="s">
        <v>446</v>
      </c>
      <c r="F297" s="420" t="s">
        <v>224</v>
      </c>
      <c r="G297" s="349" t="s">
        <v>37</v>
      </c>
      <c r="H297" s="420" t="s">
        <v>104</v>
      </c>
      <c r="I297" s="349" t="s">
        <v>37</v>
      </c>
      <c r="J297" s="420" t="str">
        <f>F297</f>
        <v>UCLA</v>
      </c>
      <c r="K297" s="379" t="str">
        <f t="shared" si="62"/>
        <v>Colorado</v>
      </c>
      <c r="L297" s="422">
        <v>21</v>
      </c>
      <c r="M297" s="418">
        <v>56.5</v>
      </c>
      <c r="N297" s="351" t="str">
        <f>F297</f>
        <v>UCLA</v>
      </c>
      <c r="O297" s="423">
        <v>45</v>
      </c>
      <c r="P297" s="436" t="str">
        <f t="shared" si="61"/>
        <v>Colorado</v>
      </c>
      <c r="Q297" s="408">
        <v>17</v>
      </c>
      <c r="R297" s="494" t="str">
        <f t="shared" si="63"/>
        <v>UCLA</v>
      </c>
      <c r="S297" s="494" t="str">
        <f t="shared" si="64"/>
        <v>Colorado</v>
      </c>
      <c r="T297" s="356" t="str">
        <f>J297</f>
        <v>UCLA</v>
      </c>
      <c r="U297" s="665" t="str">
        <f t="shared" si="65"/>
        <v>W</v>
      </c>
      <c r="V297" s="352" t="str">
        <f>UPPER(+F297)</f>
        <v>UCLA</v>
      </c>
      <c r="W297" s="424">
        <v>44</v>
      </c>
      <c r="X297" s="352" t="str">
        <f>LOWER(+H297)</f>
        <v>colorado</v>
      </c>
      <c r="Y297" s="425">
        <v>20</v>
      </c>
    </row>
    <row r="298" spans="1:25" ht="16" x14ac:dyDescent="0.8">
      <c r="A298" s="351">
        <v>4</v>
      </c>
      <c r="B298" s="420" t="s">
        <v>34</v>
      </c>
      <c r="C298" s="421">
        <v>44828</v>
      </c>
      <c r="D298" s="414">
        <f>21.5/24</f>
        <v>0.89583333333333337</v>
      </c>
      <c r="E298" s="349" t="s">
        <v>446</v>
      </c>
      <c r="F298" s="420" t="s">
        <v>202</v>
      </c>
      <c r="G298" s="349" t="s">
        <v>37</v>
      </c>
      <c r="H298" s="420" t="s">
        <v>47</v>
      </c>
      <c r="I298" s="349" t="s">
        <v>37</v>
      </c>
      <c r="J298" s="420" t="str">
        <f>F298</f>
        <v>Southern Cal</v>
      </c>
      <c r="K298" s="379" t="str">
        <f t="shared" si="62"/>
        <v>Oregon State</v>
      </c>
      <c r="L298" s="422">
        <v>5.5</v>
      </c>
      <c r="M298" s="418">
        <v>70.5</v>
      </c>
      <c r="N298" s="351" t="str">
        <f>F298</f>
        <v>Southern Cal</v>
      </c>
      <c r="O298" s="423">
        <v>17</v>
      </c>
      <c r="P298" s="436" t="str">
        <f t="shared" si="61"/>
        <v>Oregon State</v>
      </c>
      <c r="Q298" s="408">
        <v>14</v>
      </c>
      <c r="R298" s="494" t="str">
        <f t="shared" si="63"/>
        <v>Oregon State</v>
      </c>
      <c r="S298" s="494" t="str">
        <f t="shared" si="64"/>
        <v>Southern Cal</v>
      </c>
      <c r="T298" s="356" t="str">
        <f>J298</f>
        <v>Southern Cal</v>
      </c>
      <c r="U298" s="665" t="str">
        <f t="shared" si="65"/>
        <v>L</v>
      </c>
      <c r="V298" s="352" t="str">
        <f>LOWER(+H298)</f>
        <v>oregon state</v>
      </c>
      <c r="W298" s="424">
        <v>45</v>
      </c>
      <c r="X298" s="352" t="str">
        <f>UPPER(+F298)</f>
        <v>SOUTHERN CAL</v>
      </c>
      <c r="Y298" s="425">
        <v>27</v>
      </c>
    </row>
    <row r="299" spans="1:25" ht="16" x14ac:dyDescent="0.8">
      <c r="A299" s="351">
        <v>4</v>
      </c>
      <c r="B299" s="420" t="s">
        <v>34</v>
      </c>
      <c r="C299" s="421">
        <v>44828</v>
      </c>
      <c r="D299" s="414">
        <f>22.5/24</f>
        <v>0.9375</v>
      </c>
      <c r="E299" s="349" t="s">
        <v>70</v>
      </c>
      <c r="F299" s="420" t="s">
        <v>36</v>
      </c>
      <c r="G299" s="349" t="s">
        <v>37</v>
      </c>
      <c r="H299" s="420" t="s">
        <v>91</v>
      </c>
      <c r="I299" s="349" t="s">
        <v>37</v>
      </c>
      <c r="J299" s="420" t="str">
        <f>H299</f>
        <v>Washington</v>
      </c>
      <c r="K299" s="379" t="str">
        <f t="shared" si="62"/>
        <v>Stanford</v>
      </c>
      <c r="L299" s="422">
        <v>14</v>
      </c>
      <c r="M299" s="418">
        <v>64</v>
      </c>
      <c r="N299" s="351" t="str">
        <f>H299</f>
        <v>Washington</v>
      </c>
      <c r="O299" s="423">
        <v>40</v>
      </c>
      <c r="P299" s="436" t="str">
        <f t="shared" si="61"/>
        <v>Stanford</v>
      </c>
      <c r="Q299" s="408">
        <v>22</v>
      </c>
      <c r="R299" s="494" t="str">
        <f t="shared" si="63"/>
        <v>Washington</v>
      </c>
      <c r="S299" s="494" t="str">
        <f t="shared" si="64"/>
        <v>Stanford</v>
      </c>
      <c r="T299" s="356" t="str">
        <f>J299</f>
        <v>Washington</v>
      </c>
      <c r="U299" s="665" t="str">
        <f t="shared" si="65"/>
        <v>W</v>
      </c>
      <c r="V299" s="352" t="str">
        <f>LOWER(+H299)</f>
        <v>washington</v>
      </c>
      <c r="W299" s="424">
        <v>20</v>
      </c>
      <c r="X299" s="352" t="str">
        <f>UPPER(+F299)</f>
        <v>STANFORD</v>
      </c>
      <c r="Y299" s="425">
        <v>13</v>
      </c>
    </row>
    <row r="300" spans="1:25" ht="16" x14ac:dyDescent="0.8">
      <c r="A300" s="351">
        <v>4</v>
      </c>
      <c r="B300" s="420" t="s">
        <v>34</v>
      </c>
      <c r="C300" s="421">
        <v>44828</v>
      </c>
      <c r="D300" s="414">
        <f>15.5/24</f>
        <v>0.64583333333333337</v>
      </c>
      <c r="E300" s="349" t="s">
        <v>118</v>
      </c>
      <c r="F300" s="420" t="s">
        <v>200</v>
      </c>
      <c r="G300" s="349" t="s">
        <v>37</v>
      </c>
      <c r="H300" s="420" t="s">
        <v>204</v>
      </c>
      <c r="I300" s="349" t="s">
        <v>37</v>
      </c>
      <c r="J300" s="420" t="str">
        <f>F300</f>
        <v>Oregon</v>
      </c>
      <c r="K300" s="379" t="str">
        <f t="shared" si="62"/>
        <v>Washington State</v>
      </c>
      <c r="L300" s="422">
        <v>6.5</v>
      </c>
      <c r="M300" s="418">
        <v>57.5</v>
      </c>
      <c r="N300" s="351" t="str">
        <f>F300</f>
        <v>Oregon</v>
      </c>
      <c r="O300" s="423">
        <v>44</v>
      </c>
      <c r="P300" s="436" t="str">
        <f t="shared" si="61"/>
        <v>Washington State</v>
      </c>
      <c r="Q300" s="408">
        <v>41</v>
      </c>
      <c r="R300" s="494" t="str">
        <f t="shared" si="63"/>
        <v>Washington State</v>
      </c>
      <c r="S300" s="494" t="str">
        <f t="shared" si="64"/>
        <v>Oregon</v>
      </c>
      <c r="T300" s="356" t="str">
        <f>K300</f>
        <v>Washington State</v>
      </c>
      <c r="U300" s="665" t="str">
        <f t="shared" si="65"/>
        <v>W</v>
      </c>
      <c r="V300" s="352" t="str">
        <f>UPPER(+F300)</f>
        <v>OREGON</v>
      </c>
      <c r="W300" s="424">
        <v>38</v>
      </c>
      <c r="X300" s="352" t="str">
        <f>LOWER(+H300)</f>
        <v>washington state</v>
      </c>
      <c r="Y300" s="425">
        <v>24</v>
      </c>
    </row>
    <row r="301" spans="1:25" ht="16" x14ac:dyDescent="0.8">
      <c r="A301" s="351">
        <v>4</v>
      </c>
      <c r="B301" s="420" t="s">
        <v>34</v>
      </c>
      <c r="C301" s="421">
        <v>44828</v>
      </c>
      <c r="D301" s="414">
        <f>15.5/24</f>
        <v>0.64583333333333337</v>
      </c>
      <c r="E301" s="349"/>
      <c r="F301" s="420" t="s">
        <v>442</v>
      </c>
      <c r="G301" s="349" t="s">
        <v>59</v>
      </c>
      <c r="H301" s="420" t="s">
        <v>212</v>
      </c>
      <c r="I301" s="349" t="s">
        <v>59</v>
      </c>
      <c r="J301" s="420" t="str">
        <f>H301</f>
        <v>Appalachian State</v>
      </c>
      <c r="K301" s="379" t="str">
        <f t="shared" si="62"/>
        <v>James Madison</v>
      </c>
      <c r="L301" s="422">
        <v>7</v>
      </c>
      <c r="M301" s="418">
        <v>59</v>
      </c>
      <c r="N301" s="351" t="str">
        <f>F301</f>
        <v>James Madison</v>
      </c>
      <c r="O301" s="423">
        <v>32</v>
      </c>
      <c r="P301" s="436" t="str">
        <f t="shared" si="61"/>
        <v>Appalachian State</v>
      </c>
      <c r="Q301" s="408">
        <v>28</v>
      </c>
      <c r="R301" s="494" t="str">
        <f t="shared" si="63"/>
        <v>James Madison</v>
      </c>
      <c r="S301" s="494" t="str">
        <f t="shared" si="64"/>
        <v>Appalachian State</v>
      </c>
      <c r="T301" s="356" t="str">
        <f>K301</f>
        <v>James Madison</v>
      </c>
      <c r="U301" s="665" t="str">
        <f t="shared" si="65"/>
        <v>W</v>
      </c>
      <c r="W301" s="424"/>
      <c r="X301" s="352" t="s">
        <v>404</v>
      </c>
      <c r="Y301" s="425"/>
    </row>
    <row r="302" spans="1:25" ht="16" x14ac:dyDescent="0.8">
      <c r="A302" s="351">
        <v>4</v>
      </c>
      <c r="B302" s="420" t="s">
        <v>34</v>
      </c>
      <c r="C302" s="421">
        <v>44828</v>
      </c>
      <c r="D302" s="414">
        <f>18/24</f>
        <v>0.75</v>
      </c>
      <c r="E302" s="349"/>
      <c r="F302" s="420" t="s">
        <v>131</v>
      </c>
      <c r="G302" s="349" t="s">
        <v>68</v>
      </c>
      <c r="H302" s="420" t="s">
        <v>210</v>
      </c>
      <c r="I302" s="349" t="s">
        <v>59</v>
      </c>
      <c r="J302" s="420" t="str">
        <f>H302</f>
        <v>Georgia Southern</v>
      </c>
      <c r="K302" s="379" t="str">
        <f t="shared" si="62"/>
        <v>Ball State</v>
      </c>
      <c r="L302" s="422">
        <v>9.5</v>
      </c>
      <c r="M302" s="418">
        <v>66</v>
      </c>
      <c r="N302" s="436" t="str">
        <f t="shared" ref="N302:N308" si="66">H302</f>
        <v>Georgia Southern</v>
      </c>
      <c r="O302" s="423">
        <v>34</v>
      </c>
      <c r="P302" s="436" t="str">
        <f t="shared" si="61"/>
        <v>Ball State</v>
      </c>
      <c r="Q302" s="408">
        <v>23</v>
      </c>
      <c r="R302" s="494" t="str">
        <f t="shared" si="63"/>
        <v>Georgia Southern</v>
      </c>
      <c r="S302" s="494" t="str">
        <f t="shared" si="64"/>
        <v>Ball State</v>
      </c>
      <c r="T302" s="356" t="str">
        <f>F302</f>
        <v>Ball State</v>
      </c>
      <c r="U302" s="665" t="str">
        <f t="shared" si="65"/>
        <v>L</v>
      </c>
      <c r="W302" s="424"/>
      <c r="X302" s="352" t="s">
        <v>404</v>
      </c>
      <c r="Y302" s="425"/>
    </row>
    <row r="303" spans="1:25" ht="16" x14ac:dyDescent="0.8">
      <c r="A303" s="351">
        <v>4</v>
      </c>
      <c r="B303" s="420" t="s">
        <v>34</v>
      </c>
      <c r="C303" s="421">
        <v>44828</v>
      </c>
      <c r="D303" s="414">
        <f>18/24</f>
        <v>0.75</v>
      </c>
      <c r="E303" s="349"/>
      <c r="F303" s="420" t="s">
        <v>140</v>
      </c>
      <c r="G303" s="349" t="s">
        <v>59</v>
      </c>
      <c r="H303" s="420" t="s">
        <v>169</v>
      </c>
      <c r="I303" s="349" t="s">
        <v>59</v>
      </c>
      <c r="J303" s="420" t="str">
        <f>H303</f>
        <v>Old Dominion</v>
      </c>
      <c r="K303" s="379" t="str">
        <f t="shared" si="62"/>
        <v>Arkansas State</v>
      </c>
      <c r="L303" s="422">
        <v>6</v>
      </c>
      <c r="M303" s="418">
        <v>56.5</v>
      </c>
      <c r="N303" s="351" t="str">
        <f t="shared" si="66"/>
        <v>Old Dominion</v>
      </c>
      <c r="O303" s="423">
        <v>29</v>
      </c>
      <c r="P303" s="436" t="str">
        <f t="shared" si="61"/>
        <v>Arkansas State</v>
      </c>
      <c r="Q303" s="408">
        <v>26</v>
      </c>
      <c r="R303" s="494" t="str">
        <f t="shared" si="63"/>
        <v>Arkansas State</v>
      </c>
      <c r="S303" s="494" t="str">
        <f t="shared" si="64"/>
        <v>Old Dominion</v>
      </c>
      <c r="T303" s="356" t="str">
        <f>J303</f>
        <v>Old Dominion</v>
      </c>
      <c r="U303" s="665" t="str">
        <f t="shared" si="65"/>
        <v>L</v>
      </c>
      <c r="W303" s="424"/>
      <c r="X303" s="352" t="s">
        <v>404</v>
      </c>
      <c r="Y303" s="425"/>
    </row>
    <row r="304" spans="1:25" ht="16" x14ac:dyDescent="0.8">
      <c r="A304" s="351">
        <v>4</v>
      </c>
      <c r="B304" s="420" t="s">
        <v>34</v>
      </c>
      <c r="C304" s="421">
        <v>44828</v>
      </c>
      <c r="D304" s="414">
        <f>19/24</f>
        <v>0.79166666666666663</v>
      </c>
      <c r="E304" s="349"/>
      <c r="F304" s="420" t="s">
        <v>161</v>
      </c>
      <c r="G304" s="349" t="s">
        <v>39</v>
      </c>
      <c r="H304" s="420" t="s">
        <v>214</v>
      </c>
      <c r="I304" s="349" t="s">
        <v>59</v>
      </c>
      <c r="J304" s="420" t="str">
        <f>H304</f>
        <v>South Alabama</v>
      </c>
      <c r="K304" s="379" t="str">
        <f t="shared" si="62"/>
        <v>Louisiana Tech</v>
      </c>
      <c r="L304" s="422">
        <v>13</v>
      </c>
      <c r="M304" s="418">
        <v>60</v>
      </c>
      <c r="N304" s="351" t="str">
        <f t="shared" si="66"/>
        <v>South Alabama</v>
      </c>
      <c r="O304" s="423">
        <v>38</v>
      </c>
      <c r="P304" s="436" t="str">
        <f t="shared" si="61"/>
        <v>Louisiana Tech</v>
      </c>
      <c r="Q304" s="408">
        <v>14</v>
      </c>
      <c r="R304" s="494" t="str">
        <f t="shared" si="63"/>
        <v>South Alabama</v>
      </c>
      <c r="S304" s="494" t="str">
        <f t="shared" si="64"/>
        <v>Louisiana Tech</v>
      </c>
      <c r="T304" s="356" t="str">
        <f>F304</f>
        <v>Louisiana Tech</v>
      </c>
      <c r="U304" s="665" t="str">
        <f t="shared" si="65"/>
        <v>L</v>
      </c>
      <c r="W304" s="424"/>
      <c r="X304" s="352" t="s">
        <v>404</v>
      </c>
      <c r="Y304" s="425"/>
    </row>
    <row r="305" spans="1:25" ht="16" x14ac:dyDescent="0.8">
      <c r="A305" s="351">
        <v>4</v>
      </c>
      <c r="B305" s="420" t="s">
        <v>34</v>
      </c>
      <c r="C305" s="421">
        <v>414088</v>
      </c>
      <c r="D305" s="414">
        <f>19/24</f>
        <v>0.79166666666666663</v>
      </c>
      <c r="E305" s="349" t="s">
        <v>53</v>
      </c>
      <c r="F305" s="420" t="s">
        <v>206</v>
      </c>
      <c r="G305" s="349" t="s">
        <v>41</v>
      </c>
      <c r="H305" s="420" t="s">
        <v>207</v>
      </c>
      <c r="I305" s="349" t="s">
        <v>59</v>
      </c>
      <c r="J305" s="420"/>
      <c r="K305" s="379"/>
      <c r="L305" s="422"/>
      <c r="M305" s="418"/>
      <c r="N305" s="351" t="str">
        <f t="shared" si="66"/>
        <v>Texas State</v>
      </c>
      <c r="O305" s="423">
        <v>34</v>
      </c>
      <c r="P305" s="436" t="str">
        <f t="shared" si="61"/>
        <v>1AA Houston Baptist</v>
      </c>
      <c r="Q305" s="408">
        <v>0</v>
      </c>
      <c r="R305" s="494"/>
      <c r="S305" s="494"/>
      <c r="T305" s="356"/>
      <c r="U305" s="349"/>
      <c r="W305" s="424"/>
      <c r="X305" s="352" t="s">
        <v>404</v>
      </c>
      <c r="Y305" s="425"/>
    </row>
    <row r="306" spans="1:25" ht="16" x14ac:dyDescent="0.8">
      <c r="A306" s="351">
        <v>4</v>
      </c>
      <c r="B306" s="420" t="s">
        <v>34</v>
      </c>
      <c r="C306" s="421">
        <v>44828</v>
      </c>
      <c r="D306" s="414">
        <f>19/24</f>
        <v>0.79166666666666663</v>
      </c>
      <c r="E306" s="349" t="s">
        <v>359</v>
      </c>
      <c r="F306" s="420" t="s">
        <v>163</v>
      </c>
      <c r="G306" s="349" t="s">
        <v>59</v>
      </c>
      <c r="H306" s="420" t="s">
        <v>185</v>
      </c>
      <c r="I306" s="349" t="s">
        <v>59</v>
      </c>
      <c r="J306" s="420" t="str">
        <f>F306</f>
        <v>Marshall</v>
      </c>
      <c r="K306" s="379" t="str">
        <f t="shared" ref="K306:K317" si="67">IF(+J306=H306,F306,H306)</f>
        <v>Troy</v>
      </c>
      <c r="L306" s="422">
        <v>3</v>
      </c>
      <c r="M306" s="418">
        <v>52</v>
      </c>
      <c r="N306" s="351" t="str">
        <f t="shared" si="66"/>
        <v>Troy</v>
      </c>
      <c r="O306" s="423">
        <v>16</v>
      </c>
      <c r="P306" s="436" t="str">
        <f t="shared" si="61"/>
        <v>Marshall</v>
      </c>
      <c r="Q306" s="408">
        <v>7</v>
      </c>
      <c r="R306" s="494" t="str">
        <f t="shared" ref="R306:R317" si="68">IF(+N306=K306,+N306,IF(+O306-Q306&lt;L306,+K306,+J306))</f>
        <v>Troy</v>
      </c>
      <c r="S306" s="494" t="str">
        <f t="shared" ref="S306:S317" si="69">IF(+R306=J306,+K306,+J306)</f>
        <v>Marshall</v>
      </c>
      <c r="T306" s="356" t="str">
        <f>F306</f>
        <v>Marshall</v>
      </c>
      <c r="U306" s="665" t="str">
        <f t="shared" ref="U306:U317" si="70">IF($N306=$J306,IF($O306-$Q306=$L306,"T",IF($R306=T306,"W","L")),IF($R306=T306,"W","L"))</f>
        <v>L</v>
      </c>
      <c r="W306" s="424"/>
      <c r="X306" s="352" t="s">
        <v>404</v>
      </c>
      <c r="Y306" s="425"/>
    </row>
    <row r="307" spans="1:25" ht="16" x14ac:dyDescent="0.8">
      <c r="A307" s="351">
        <v>4</v>
      </c>
      <c r="B307" s="420" t="s">
        <v>34</v>
      </c>
      <c r="C307" s="421">
        <v>44828</v>
      </c>
      <c r="D307" s="414">
        <f>20/24</f>
        <v>0.83333333333333337</v>
      </c>
      <c r="E307" s="349"/>
      <c r="F307" s="420" t="s">
        <v>209</v>
      </c>
      <c r="G307" s="349" t="s">
        <v>59</v>
      </c>
      <c r="H307" s="420" t="s">
        <v>58</v>
      </c>
      <c r="I307" s="349" t="s">
        <v>59</v>
      </c>
      <c r="J307" s="420" t="str">
        <f>F307</f>
        <v>UL Lafayette</v>
      </c>
      <c r="K307" s="379" t="str">
        <f t="shared" si="67"/>
        <v>UL Monroe</v>
      </c>
      <c r="L307" s="422">
        <v>9</v>
      </c>
      <c r="M307" s="418">
        <v>51.5</v>
      </c>
      <c r="N307" s="351" t="str">
        <f t="shared" si="66"/>
        <v>UL Monroe</v>
      </c>
      <c r="O307" s="423">
        <v>21</v>
      </c>
      <c r="P307" s="436" t="str">
        <f t="shared" si="61"/>
        <v>UL Lafayette</v>
      </c>
      <c r="Q307" s="408">
        <v>17</v>
      </c>
      <c r="R307" s="494" t="str">
        <f t="shared" si="68"/>
        <v>UL Monroe</v>
      </c>
      <c r="S307" s="494" t="str">
        <f t="shared" si="69"/>
        <v>UL Lafayette</v>
      </c>
      <c r="T307" s="356" t="str">
        <f>H307</f>
        <v>UL Monroe</v>
      </c>
      <c r="U307" s="665" t="str">
        <f t="shared" si="70"/>
        <v>W</v>
      </c>
      <c r="V307" s="352" t="str">
        <f>UPPER(+F307)</f>
        <v>UL LAFAYETTE</v>
      </c>
      <c r="W307" s="424">
        <v>21</v>
      </c>
      <c r="X307" s="352" t="str">
        <f>LOWER(+H307)</f>
        <v>ul monroe</v>
      </c>
      <c r="Y307" s="425">
        <v>16</v>
      </c>
    </row>
    <row r="308" spans="1:25" ht="16" x14ac:dyDescent="0.8">
      <c r="A308" s="351">
        <v>4</v>
      </c>
      <c r="B308" s="420" t="s">
        <v>34</v>
      </c>
      <c r="C308" s="421">
        <v>44828</v>
      </c>
      <c r="D308" s="414">
        <f>19.5/24</f>
        <v>0.8125</v>
      </c>
      <c r="E308" s="349" t="s">
        <v>85</v>
      </c>
      <c r="F308" s="420" t="s">
        <v>164</v>
      </c>
      <c r="G308" s="349" t="s">
        <v>85</v>
      </c>
      <c r="H308" s="420" t="s">
        <v>116</v>
      </c>
      <c r="I308" s="349" t="s">
        <v>85</v>
      </c>
      <c r="J308" s="420" t="str">
        <f>H308</f>
        <v>Alabama</v>
      </c>
      <c r="K308" s="379" t="str">
        <f t="shared" si="67"/>
        <v>Vanderbilt</v>
      </c>
      <c r="L308" s="422">
        <v>40.5</v>
      </c>
      <c r="M308" s="418">
        <v>58.5</v>
      </c>
      <c r="N308" s="436" t="str">
        <f t="shared" si="66"/>
        <v>Alabama</v>
      </c>
      <c r="O308" s="423">
        <v>55</v>
      </c>
      <c r="P308" s="436" t="str">
        <f t="shared" si="61"/>
        <v>Vanderbilt</v>
      </c>
      <c r="Q308" s="408">
        <v>3</v>
      </c>
      <c r="R308" s="494" t="str">
        <f t="shared" si="68"/>
        <v>Alabama</v>
      </c>
      <c r="S308" s="494" t="str">
        <f t="shared" si="69"/>
        <v>Vanderbilt</v>
      </c>
      <c r="T308" s="356" t="str">
        <f>J308</f>
        <v>Alabama</v>
      </c>
      <c r="U308" s="665" t="str">
        <f t="shared" si="70"/>
        <v>W</v>
      </c>
      <c r="W308" s="424"/>
      <c r="X308" s="352" t="s">
        <v>404</v>
      </c>
      <c r="Y308" s="425"/>
    </row>
    <row r="309" spans="1:25" ht="16" x14ac:dyDescent="0.8">
      <c r="A309" s="351">
        <v>4</v>
      </c>
      <c r="B309" s="420" t="s">
        <v>34</v>
      </c>
      <c r="C309" s="421">
        <v>44828</v>
      </c>
      <c r="D309" s="414">
        <f>18/24</f>
        <v>0.75</v>
      </c>
      <c r="E309" s="349" t="s">
        <v>35</v>
      </c>
      <c r="F309" s="420" t="s">
        <v>223</v>
      </c>
      <c r="G309" s="349" t="s">
        <v>85</v>
      </c>
      <c r="H309" s="420" t="s">
        <v>87</v>
      </c>
      <c r="I309" s="349" t="s">
        <v>85</v>
      </c>
      <c r="J309" s="420" t="str">
        <f>F309</f>
        <v>Texas A&amp;M</v>
      </c>
      <c r="K309" s="379" t="str">
        <f t="shared" si="67"/>
        <v>Arkansas</v>
      </c>
      <c r="L309" s="422">
        <v>2</v>
      </c>
      <c r="M309" s="418">
        <v>48.5</v>
      </c>
      <c r="N309" s="436" t="str">
        <f>F309</f>
        <v>Texas A&amp;M</v>
      </c>
      <c r="O309" s="423">
        <v>23</v>
      </c>
      <c r="P309" s="436" t="str">
        <f t="shared" si="61"/>
        <v>Arkansas</v>
      </c>
      <c r="Q309" s="408">
        <v>21</v>
      </c>
      <c r="R309" s="494" t="str">
        <f t="shared" si="68"/>
        <v>Texas A&amp;M</v>
      </c>
      <c r="S309" s="494" t="str">
        <f t="shared" si="69"/>
        <v>Arkansas</v>
      </c>
      <c r="T309" s="356" t="str">
        <f>K309</f>
        <v>Arkansas</v>
      </c>
      <c r="U309" s="665" t="str">
        <f t="shared" si="70"/>
        <v>T</v>
      </c>
      <c r="V309" s="352" t="str">
        <f>LOWER(+H309)</f>
        <v>arkansas</v>
      </c>
      <c r="W309" s="424">
        <v>20</v>
      </c>
      <c r="X309" s="352" t="str">
        <f>UPPER(+F309)</f>
        <v>TEXAS A&amp;M</v>
      </c>
      <c r="Y309" s="425">
        <v>10</v>
      </c>
    </row>
    <row r="310" spans="1:25" ht="16" x14ac:dyDescent="0.8">
      <c r="A310" s="351">
        <v>4</v>
      </c>
      <c r="B310" s="420" t="s">
        <v>34</v>
      </c>
      <c r="C310" s="421">
        <v>44828</v>
      </c>
      <c r="D310" s="414">
        <f>12/24</f>
        <v>0.5</v>
      </c>
      <c r="E310" s="349" t="s">
        <v>35</v>
      </c>
      <c r="F310" s="420" t="s">
        <v>219</v>
      </c>
      <c r="G310" s="349" t="s">
        <v>85</v>
      </c>
      <c r="H310" s="420" t="s">
        <v>211</v>
      </c>
      <c r="I310" s="349" t="s">
        <v>85</v>
      </c>
      <c r="J310" s="420" t="str">
        <f t="shared" ref="J310:J317" si="71">H310</f>
        <v>Auburn</v>
      </c>
      <c r="K310" s="379" t="str">
        <f t="shared" si="67"/>
        <v>Missouri</v>
      </c>
      <c r="L310" s="422">
        <v>7</v>
      </c>
      <c r="M310" s="418">
        <v>51.5</v>
      </c>
      <c r="N310" s="436" t="str">
        <f t="shared" ref="N310:N317" si="72">H310</f>
        <v>Auburn</v>
      </c>
      <c r="O310" s="423">
        <v>17</v>
      </c>
      <c r="P310" s="436" t="str">
        <f t="shared" si="61"/>
        <v>Missouri</v>
      </c>
      <c r="Q310" s="408">
        <v>14</v>
      </c>
      <c r="R310" s="494" t="str">
        <f t="shared" si="68"/>
        <v>Missouri</v>
      </c>
      <c r="S310" s="494" t="str">
        <f t="shared" si="69"/>
        <v>Auburn</v>
      </c>
      <c r="T310" s="356" t="str">
        <f>K310</f>
        <v>Missouri</v>
      </c>
      <c r="U310" s="665" t="str">
        <f t="shared" si="70"/>
        <v>W</v>
      </c>
      <c r="W310" s="424"/>
      <c r="X310" s="352" t="s">
        <v>404</v>
      </c>
      <c r="Y310" s="425"/>
    </row>
    <row r="311" spans="1:25" ht="16" x14ac:dyDescent="0.8">
      <c r="A311" s="351">
        <v>4</v>
      </c>
      <c r="B311" s="420" t="s">
        <v>34</v>
      </c>
      <c r="C311" s="421">
        <v>44828</v>
      </c>
      <c r="D311" s="414">
        <f>12/24</f>
        <v>0.5</v>
      </c>
      <c r="E311" s="349"/>
      <c r="F311" s="420" t="s">
        <v>113</v>
      </c>
      <c r="G311" s="349" t="s">
        <v>68</v>
      </c>
      <c r="H311" s="420" t="s">
        <v>213</v>
      </c>
      <c r="I311" s="349" t="s">
        <v>85</v>
      </c>
      <c r="J311" s="420" t="str">
        <f t="shared" si="71"/>
        <v>Georgia</v>
      </c>
      <c r="K311" s="379" t="str">
        <f t="shared" si="67"/>
        <v>Kent State</v>
      </c>
      <c r="L311" s="422">
        <v>45.5</v>
      </c>
      <c r="M311" s="418">
        <v>62.5</v>
      </c>
      <c r="N311" s="351" t="str">
        <f t="shared" si="72"/>
        <v>Georgia</v>
      </c>
      <c r="O311" s="423">
        <v>39</v>
      </c>
      <c r="P311" s="436" t="str">
        <f t="shared" si="61"/>
        <v>Kent State</v>
      </c>
      <c r="Q311" s="408">
        <v>22</v>
      </c>
      <c r="R311" s="494" t="str">
        <f t="shared" si="68"/>
        <v>Kent State</v>
      </c>
      <c r="S311" s="494" t="str">
        <f t="shared" si="69"/>
        <v>Georgia</v>
      </c>
      <c r="T311" s="356" t="str">
        <f>K311</f>
        <v>Kent State</v>
      </c>
      <c r="U311" s="665" t="str">
        <f t="shared" si="70"/>
        <v>W</v>
      </c>
      <c r="W311" s="424"/>
      <c r="X311" s="352" t="s">
        <v>404</v>
      </c>
      <c r="Y311" s="425"/>
    </row>
    <row r="312" spans="1:25" ht="16" x14ac:dyDescent="0.8">
      <c r="A312" s="351">
        <v>4</v>
      </c>
      <c r="B312" s="420" t="s">
        <v>34</v>
      </c>
      <c r="C312" s="421">
        <v>44828</v>
      </c>
      <c r="D312" s="414">
        <f>19/24</f>
        <v>0.79166666666666663</v>
      </c>
      <c r="E312" s="349" t="s">
        <v>256</v>
      </c>
      <c r="F312" s="420" t="s">
        <v>103</v>
      </c>
      <c r="G312" s="349" t="s">
        <v>68</v>
      </c>
      <c r="H312" s="420" t="s">
        <v>170</v>
      </c>
      <c r="I312" s="349" t="s">
        <v>85</v>
      </c>
      <c r="J312" s="420" t="str">
        <f t="shared" si="71"/>
        <v>Kentucky</v>
      </c>
      <c r="K312" s="379" t="str">
        <f t="shared" si="67"/>
        <v>Northern Illinois</v>
      </c>
      <c r="L312" s="422">
        <v>25</v>
      </c>
      <c r="M312" s="418">
        <v>53.5</v>
      </c>
      <c r="N312" s="351" t="str">
        <f t="shared" si="72"/>
        <v>Kentucky</v>
      </c>
      <c r="O312" s="423">
        <v>31</v>
      </c>
      <c r="P312" s="436" t="str">
        <f t="shared" si="61"/>
        <v>Northern Illinois</v>
      </c>
      <c r="Q312" s="408">
        <v>23</v>
      </c>
      <c r="R312" s="494" t="str">
        <f t="shared" si="68"/>
        <v>Northern Illinois</v>
      </c>
      <c r="S312" s="494" t="str">
        <f t="shared" si="69"/>
        <v>Kentucky</v>
      </c>
      <c r="T312" s="356" t="str">
        <f>K312</f>
        <v>Northern Illinois</v>
      </c>
      <c r="U312" s="665" t="str">
        <f t="shared" si="70"/>
        <v>W</v>
      </c>
      <c r="W312" s="424"/>
      <c r="X312" s="352" t="s">
        <v>404</v>
      </c>
      <c r="Y312" s="425"/>
    </row>
    <row r="313" spans="1:25" ht="16" x14ac:dyDescent="0.8">
      <c r="A313" s="351">
        <v>4</v>
      </c>
      <c r="B313" s="420" t="s">
        <v>34</v>
      </c>
      <c r="C313" s="421">
        <v>44828</v>
      </c>
      <c r="D313" s="414">
        <f>19.5/24</f>
        <v>0.8125</v>
      </c>
      <c r="E313" s="349"/>
      <c r="F313" s="420" t="s">
        <v>191</v>
      </c>
      <c r="G313" s="349" t="s">
        <v>45</v>
      </c>
      <c r="H313" s="420" t="s">
        <v>178</v>
      </c>
      <c r="I313" s="349" t="s">
        <v>85</v>
      </c>
      <c r="J313" s="420" t="str">
        <f t="shared" si="71"/>
        <v>LSU</v>
      </c>
      <c r="K313" s="379" t="str">
        <f t="shared" si="67"/>
        <v>New Mexico</v>
      </c>
      <c r="L313" s="422">
        <v>31</v>
      </c>
      <c r="M313" s="418">
        <v>45.5</v>
      </c>
      <c r="N313" s="351" t="str">
        <f t="shared" si="72"/>
        <v>LSU</v>
      </c>
      <c r="O313" s="423">
        <v>38</v>
      </c>
      <c r="P313" s="436" t="str">
        <f t="shared" si="61"/>
        <v>New Mexico</v>
      </c>
      <c r="Q313" s="408">
        <v>0</v>
      </c>
      <c r="R313" s="494" t="str">
        <f t="shared" si="68"/>
        <v>LSU</v>
      </c>
      <c r="S313" s="494" t="str">
        <f t="shared" si="69"/>
        <v>New Mexico</v>
      </c>
      <c r="T313" s="356" t="str">
        <f>J313</f>
        <v>LSU</v>
      </c>
      <c r="U313" s="665" t="str">
        <f t="shared" si="70"/>
        <v>W</v>
      </c>
      <c r="W313" s="424"/>
      <c r="X313" s="352" t="s">
        <v>404</v>
      </c>
      <c r="Y313" s="425"/>
    </row>
    <row r="314" spans="1:25" ht="16" x14ac:dyDescent="0.8">
      <c r="A314" s="351">
        <v>4</v>
      </c>
      <c r="B314" s="420" t="s">
        <v>34</v>
      </c>
      <c r="C314" s="421">
        <v>44828</v>
      </c>
      <c r="D314" s="414">
        <f>16/24</f>
        <v>0.66666666666666663</v>
      </c>
      <c r="E314" s="349" t="s">
        <v>85</v>
      </c>
      <c r="F314" s="420" t="s">
        <v>71</v>
      </c>
      <c r="G314" s="349" t="s">
        <v>50</v>
      </c>
      <c r="H314" s="420" t="s">
        <v>215</v>
      </c>
      <c r="I314" s="349" t="s">
        <v>85</v>
      </c>
      <c r="J314" s="420" t="str">
        <f t="shared" si="71"/>
        <v>Mississippi</v>
      </c>
      <c r="K314" s="379" t="str">
        <f t="shared" si="67"/>
        <v>Tulsa</v>
      </c>
      <c r="L314" s="422">
        <v>21.5</v>
      </c>
      <c r="M314" s="418">
        <v>51.5</v>
      </c>
      <c r="N314" s="351" t="str">
        <f t="shared" si="72"/>
        <v>Mississippi</v>
      </c>
      <c r="O314" s="423">
        <v>35</v>
      </c>
      <c r="P314" s="436" t="str">
        <f t="shared" si="61"/>
        <v>Tulsa</v>
      </c>
      <c r="Q314" s="408">
        <v>27</v>
      </c>
      <c r="R314" s="494" t="str">
        <f t="shared" si="68"/>
        <v>Tulsa</v>
      </c>
      <c r="S314" s="494" t="str">
        <f t="shared" si="69"/>
        <v>Mississippi</v>
      </c>
      <c r="T314" s="356" t="str">
        <f>K314</f>
        <v>Tulsa</v>
      </c>
      <c r="U314" s="665" t="str">
        <f t="shared" si="70"/>
        <v>W</v>
      </c>
      <c r="W314" s="424"/>
      <c r="X314" s="352" t="s">
        <v>404</v>
      </c>
      <c r="Y314" s="425"/>
    </row>
    <row r="315" spans="1:25" ht="16" x14ac:dyDescent="0.8">
      <c r="A315" s="351">
        <v>4</v>
      </c>
      <c r="B315" s="420" t="s">
        <v>34</v>
      </c>
      <c r="C315" s="421">
        <v>44828</v>
      </c>
      <c r="D315" s="414">
        <f>12/24</f>
        <v>0.5</v>
      </c>
      <c r="E315" s="349" t="s">
        <v>85</v>
      </c>
      <c r="F315" s="420" t="s">
        <v>138</v>
      </c>
      <c r="G315" s="349" t="s">
        <v>68</v>
      </c>
      <c r="H315" s="420" t="s">
        <v>217</v>
      </c>
      <c r="I315" s="349" t="s">
        <v>85</v>
      </c>
      <c r="J315" s="420" t="str">
        <f t="shared" si="71"/>
        <v>Mississippi State</v>
      </c>
      <c r="K315" s="379" t="str">
        <f t="shared" si="67"/>
        <v>Bowling Green</v>
      </c>
      <c r="L315" s="422">
        <v>30</v>
      </c>
      <c r="M315" s="418">
        <v>52</v>
      </c>
      <c r="N315" s="351" t="str">
        <f t="shared" si="72"/>
        <v>Mississippi State</v>
      </c>
      <c r="O315" s="423">
        <v>45</v>
      </c>
      <c r="P315" s="436" t="str">
        <f t="shared" si="61"/>
        <v>Bowling Green</v>
      </c>
      <c r="Q315" s="408">
        <v>14</v>
      </c>
      <c r="R315" s="494" t="str">
        <f t="shared" si="68"/>
        <v>Mississippi State</v>
      </c>
      <c r="S315" s="494" t="str">
        <f t="shared" si="69"/>
        <v>Bowling Green</v>
      </c>
      <c r="T315" s="356" t="str">
        <f>J315</f>
        <v>Mississippi State</v>
      </c>
      <c r="U315" s="665" t="str">
        <f t="shared" si="70"/>
        <v>W</v>
      </c>
      <c r="W315" s="424"/>
      <c r="X315" s="352" t="s">
        <v>404</v>
      </c>
      <c r="Y315" s="425"/>
    </row>
    <row r="316" spans="1:25" ht="16" x14ac:dyDescent="0.8">
      <c r="A316" s="351">
        <v>4</v>
      </c>
      <c r="B316" s="420" t="s">
        <v>34</v>
      </c>
      <c r="C316" s="421">
        <v>44828</v>
      </c>
      <c r="D316" s="414">
        <f>19.5/24</f>
        <v>0.8125</v>
      </c>
      <c r="E316" s="349" t="s">
        <v>95</v>
      </c>
      <c r="F316" s="420" t="s">
        <v>100</v>
      </c>
      <c r="G316" s="349" t="s">
        <v>39</v>
      </c>
      <c r="H316" s="420" t="s">
        <v>125</v>
      </c>
      <c r="I316" s="349" t="s">
        <v>85</v>
      </c>
      <c r="J316" s="420" t="str">
        <f t="shared" si="71"/>
        <v>South Carolina</v>
      </c>
      <c r="K316" s="379" t="str">
        <f t="shared" si="67"/>
        <v>UNC Charlotte</v>
      </c>
      <c r="L316" s="422">
        <v>22</v>
      </c>
      <c r="M316" s="418">
        <v>69</v>
      </c>
      <c r="N316" s="351" t="str">
        <f t="shared" si="72"/>
        <v>South Carolina</v>
      </c>
      <c r="O316" s="423">
        <v>56</v>
      </c>
      <c r="P316" s="436" t="str">
        <f t="shared" si="61"/>
        <v>UNC Charlotte</v>
      </c>
      <c r="Q316" s="408">
        <v>20</v>
      </c>
      <c r="R316" s="494" t="str">
        <f t="shared" si="68"/>
        <v>South Carolina</v>
      </c>
      <c r="S316" s="494" t="str">
        <f t="shared" si="69"/>
        <v>UNC Charlotte</v>
      </c>
      <c r="T316" s="356" t="str">
        <f>J316</f>
        <v>South Carolina</v>
      </c>
      <c r="U316" s="665" t="str">
        <f t="shared" si="70"/>
        <v>W</v>
      </c>
      <c r="W316" s="424"/>
      <c r="X316" s="352" t="s">
        <v>404</v>
      </c>
      <c r="Y316" s="425"/>
    </row>
    <row r="317" spans="1:25" ht="16" x14ac:dyDescent="0.8">
      <c r="A317" s="351">
        <v>4</v>
      </c>
      <c r="B317" s="420" t="s">
        <v>34</v>
      </c>
      <c r="C317" s="421">
        <v>44828</v>
      </c>
      <c r="D317" s="414">
        <f>14/24</f>
        <v>0.58333333333333337</v>
      </c>
      <c r="E317" s="349" t="s">
        <v>303</v>
      </c>
      <c r="F317" s="420" t="s">
        <v>136</v>
      </c>
      <c r="G317" s="349" t="s">
        <v>85</v>
      </c>
      <c r="H317" s="420" t="s">
        <v>226</v>
      </c>
      <c r="I317" s="349" t="s">
        <v>85</v>
      </c>
      <c r="J317" s="420" t="str">
        <f t="shared" si="71"/>
        <v>Tennessee</v>
      </c>
      <c r="K317" s="379" t="str">
        <f t="shared" si="67"/>
        <v>Florida</v>
      </c>
      <c r="L317" s="422">
        <v>10</v>
      </c>
      <c r="M317" s="418">
        <v>62</v>
      </c>
      <c r="N317" s="436" t="str">
        <f t="shared" si="72"/>
        <v>Tennessee</v>
      </c>
      <c r="O317" s="423">
        <v>38</v>
      </c>
      <c r="P317" s="436" t="str">
        <f t="shared" si="61"/>
        <v>Florida</v>
      </c>
      <c r="Q317" s="408">
        <v>33</v>
      </c>
      <c r="R317" s="494" t="str">
        <f t="shared" si="68"/>
        <v>Florida</v>
      </c>
      <c r="S317" s="494" t="str">
        <f t="shared" si="69"/>
        <v>Tennessee</v>
      </c>
      <c r="T317" s="356" t="str">
        <f>J317</f>
        <v>Tennessee</v>
      </c>
      <c r="U317" s="665" t="str">
        <f t="shared" si="70"/>
        <v>L</v>
      </c>
      <c r="V317" s="352" t="str">
        <f>UPPER(+F317)</f>
        <v>FLORIDA</v>
      </c>
      <c r="W317" s="424">
        <v>38</v>
      </c>
      <c r="X317" s="352" t="str">
        <f>LOWER(+H317)</f>
        <v>tennessee</v>
      </c>
      <c r="Y317" s="425">
        <v>14</v>
      </c>
    </row>
    <row r="318" spans="1:25" ht="16" x14ac:dyDescent="0.8">
      <c r="A318" s="351">
        <v>5</v>
      </c>
      <c r="B318" s="420" t="s">
        <v>52</v>
      </c>
      <c r="C318" s="421">
        <v>44833</v>
      </c>
      <c r="D318" s="414">
        <f>20/24</f>
        <v>0.83333333333333337</v>
      </c>
      <c r="E318" s="349" t="s">
        <v>35</v>
      </c>
      <c r="F318" s="420" t="s">
        <v>93</v>
      </c>
      <c r="G318" s="349" t="s">
        <v>45</v>
      </c>
      <c r="H318" s="420" t="s">
        <v>42</v>
      </c>
      <c r="I318" s="349" t="s">
        <v>43</v>
      </c>
      <c r="J318" s="420" t="str">
        <f>H318</f>
        <v>BYU</v>
      </c>
      <c r="K318" s="379" t="str">
        <f t="shared" ref="K318:K333" si="73">IF(+J318=H318,F318,H318)</f>
        <v>Utah State</v>
      </c>
      <c r="L318" s="422">
        <v>24</v>
      </c>
      <c r="M318" s="418">
        <v>60.5</v>
      </c>
      <c r="N318" s="436" t="str">
        <f>J318</f>
        <v>BYU</v>
      </c>
      <c r="O318" s="423">
        <v>38</v>
      </c>
      <c r="P318" s="436" t="str">
        <f t="shared" ref="P318:P333" si="74">IF(+N318=H318,F318,H318)</f>
        <v>Utah State</v>
      </c>
      <c r="Q318" s="408">
        <v>26</v>
      </c>
      <c r="R318" s="494" t="str">
        <f t="shared" ref="R318:R333" si="75">IF(+N318=K318,+N318,IF(+O318-Q318&lt;L318,+K318,+J318))</f>
        <v>Utah State</v>
      </c>
      <c r="S318" s="494" t="str">
        <f t="shared" ref="S318:S333" si="76">IF(+R318=J318,+K318,+J318)</f>
        <v>BYU</v>
      </c>
      <c r="T318" s="356" t="str">
        <f>J318</f>
        <v>BYU</v>
      </c>
      <c r="U318" s="665" t="str">
        <f t="shared" ref="U318:U333" si="77">IF($N318=$J318,IF($O318-$Q318=$L318,"T",IF($R318=T318,"W","L")),IF($R318=T318,"W","L"))</f>
        <v>L</v>
      </c>
      <c r="V318" s="352" t="str">
        <f>LOWER(+H318)</f>
        <v>byu</v>
      </c>
      <c r="W318" s="424">
        <v>34</v>
      </c>
      <c r="X318" s="352" t="str">
        <f>UPPER(+F318)</f>
        <v>UTAH STATE</v>
      </c>
      <c r="Y318" s="425">
        <v>20</v>
      </c>
    </row>
    <row r="319" spans="1:25" ht="16" x14ac:dyDescent="0.8">
      <c r="A319" s="351">
        <v>5</v>
      </c>
      <c r="B319" s="420" t="s">
        <v>88</v>
      </c>
      <c r="C319" s="421">
        <v>44834</v>
      </c>
      <c r="D319" s="414">
        <f>19/24</f>
        <v>0.79166666666666663</v>
      </c>
      <c r="E319" s="349" t="s">
        <v>35</v>
      </c>
      <c r="F319" s="420" t="s">
        <v>112</v>
      </c>
      <c r="G319" s="349" t="s">
        <v>50</v>
      </c>
      <c r="H319" s="420" t="s">
        <v>174</v>
      </c>
      <c r="I319" s="349" t="s">
        <v>50</v>
      </c>
      <c r="J319" s="420" t="str">
        <f>H319</f>
        <v>Houston</v>
      </c>
      <c r="K319" s="379" t="str">
        <f t="shared" si="73"/>
        <v>Tulane</v>
      </c>
      <c r="L319" s="422">
        <v>2.5</v>
      </c>
      <c r="M319" s="418">
        <v>54</v>
      </c>
      <c r="N319" s="436" t="str">
        <f>F319</f>
        <v>Tulane</v>
      </c>
      <c r="O319" s="423">
        <v>27</v>
      </c>
      <c r="P319" s="436" t="str">
        <f t="shared" si="74"/>
        <v>Houston</v>
      </c>
      <c r="Q319" s="408">
        <v>24</v>
      </c>
      <c r="R319" s="494" t="str">
        <f t="shared" si="75"/>
        <v>Tulane</v>
      </c>
      <c r="S319" s="494" t="str">
        <f t="shared" si="76"/>
        <v>Houston</v>
      </c>
      <c r="T319" s="356" t="str">
        <f>K319</f>
        <v>Tulane</v>
      </c>
      <c r="U319" s="665" t="str">
        <f t="shared" si="77"/>
        <v>W</v>
      </c>
      <c r="V319" s="352" t="str">
        <f>LOWER(+H319)</f>
        <v>houston</v>
      </c>
      <c r="W319" s="424">
        <v>40</v>
      </c>
      <c r="X319" s="352" t="str">
        <f>UPPER(+F319)</f>
        <v>TULANE</v>
      </c>
      <c r="Y319" s="425">
        <v>22</v>
      </c>
    </row>
    <row r="320" spans="1:25" ht="16" x14ac:dyDescent="0.8">
      <c r="A320" s="351">
        <v>5</v>
      </c>
      <c r="B320" s="420" t="s">
        <v>88</v>
      </c>
      <c r="C320" s="421">
        <v>44834</v>
      </c>
      <c r="D320" s="414">
        <f>19.5/24</f>
        <v>0.8125</v>
      </c>
      <c r="E320" s="349" t="s">
        <v>445</v>
      </c>
      <c r="F320" s="420" t="s">
        <v>175</v>
      </c>
      <c r="G320" s="349" t="s">
        <v>39</v>
      </c>
      <c r="H320" s="420" t="s">
        <v>165</v>
      </c>
      <c r="I320" s="349" t="s">
        <v>39</v>
      </c>
      <c r="J320" s="420" t="str">
        <f>F320</f>
        <v>UT San Antonio</v>
      </c>
      <c r="K320" s="379" t="str">
        <f t="shared" si="73"/>
        <v>Middle Tenn St</v>
      </c>
      <c r="L320" s="422">
        <v>4</v>
      </c>
      <c r="M320" s="418">
        <v>62.5</v>
      </c>
      <c r="N320" s="436" t="str">
        <f>F320</f>
        <v>UT San Antonio</v>
      </c>
      <c r="O320" s="423">
        <v>45</v>
      </c>
      <c r="P320" s="436" t="str">
        <f t="shared" si="74"/>
        <v>Middle Tenn St</v>
      </c>
      <c r="Q320" s="408">
        <v>30</v>
      </c>
      <c r="R320" s="494" t="str">
        <f t="shared" si="75"/>
        <v>UT San Antonio</v>
      </c>
      <c r="S320" s="494" t="str">
        <f t="shared" si="76"/>
        <v>Middle Tenn St</v>
      </c>
      <c r="T320" s="356" t="str">
        <f>J320</f>
        <v>UT San Antonio</v>
      </c>
      <c r="U320" s="665" t="str">
        <f t="shared" si="77"/>
        <v>W</v>
      </c>
      <c r="V320" s="352" t="str">
        <f>UPPER(+F320)</f>
        <v>UT SAN ANTONIO</v>
      </c>
      <c r="W320" s="424">
        <v>27</v>
      </c>
      <c r="X320" s="352" t="str">
        <f>LOWER(+H320)</f>
        <v>middle tenn st</v>
      </c>
      <c r="Y320" s="425">
        <v>13</v>
      </c>
    </row>
    <row r="321" spans="1:25" ht="16" x14ac:dyDescent="0.8">
      <c r="A321" s="351">
        <v>5</v>
      </c>
      <c r="B321" s="420" t="s">
        <v>88</v>
      </c>
      <c r="C321" s="421">
        <v>44834</v>
      </c>
      <c r="D321" s="414">
        <f>20/24</f>
        <v>0.83333333333333337</v>
      </c>
      <c r="E321" s="349" t="s">
        <v>70</v>
      </c>
      <c r="F321" s="420" t="s">
        <v>193</v>
      </c>
      <c r="G321" s="349" t="s">
        <v>45</v>
      </c>
      <c r="H321" s="420" t="s">
        <v>186</v>
      </c>
      <c r="I321" s="349" t="s">
        <v>45</v>
      </c>
      <c r="J321" s="420" t="str">
        <f>H321</f>
        <v>Boise State</v>
      </c>
      <c r="K321" s="379" t="str">
        <f t="shared" si="73"/>
        <v>San Diego State</v>
      </c>
      <c r="L321" s="422">
        <v>6</v>
      </c>
      <c r="M321" s="418">
        <v>39</v>
      </c>
      <c r="N321" s="436" t="str">
        <f>H321</f>
        <v>Boise State</v>
      </c>
      <c r="O321" s="423">
        <v>35</v>
      </c>
      <c r="P321" s="436" t="str">
        <f t="shared" si="74"/>
        <v>San Diego State</v>
      </c>
      <c r="Q321" s="408">
        <v>13</v>
      </c>
      <c r="R321" s="494" t="str">
        <f t="shared" si="75"/>
        <v>Boise State</v>
      </c>
      <c r="S321" s="494" t="str">
        <f t="shared" si="76"/>
        <v>San Diego State</v>
      </c>
      <c r="T321" s="356" t="str">
        <f>K321</f>
        <v>San Diego State</v>
      </c>
      <c r="U321" s="665" t="str">
        <f t="shared" si="77"/>
        <v>L</v>
      </c>
      <c r="V321" s="352" t="str">
        <f>LOWER(+H321)</f>
        <v>boise state</v>
      </c>
      <c r="W321" s="424">
        <v>27</v>
      </c>
      <c r="X321" s="352" t="str">
        <f>UPPER(+F321)</f>
        <v>SAN DIEGO STATE</v>
      </c>
      <c r="Y321" s="425">
        <v>16</v>
      </c>
    </row>
    <row r="322" spans="1:25" ht="16" x14ac:dyDescent="0.8">
      <c r="A322" s="351">
        <v>5</v>
      </c>
      <c r="B322" s="420" t="s">
        <v>88</v>
      </c>
      <c r="C322" s="421">
        <v>44834</v>
      </c>
      <c r="D322" s="414">
        <f>23/24</f>
        <v>0.95833333333333337</v>
      </c>
      <c r="E322" s="349" t="s">
        <v>445</v>
      </c>
      <c r="F322" s="420" t="s">
        <v>191</v>
      </c>
      <c r="G322" s="349" t="s">
        <v>45</v>
      </c>
      <c r="H322" s="420" t="s">
        <v>196</v>
      </c>
      <c r="I322" s="349" t="s">
        <v>45</v>
      </c>
      <c r="J322" s="420" t="str">
        <f>H322</f>
        <v>UNLV</v>
      </c>
      <c r="K322" s="379" t="str">
        <f t="shared" si="73"/>
        <v>New Mexico</v>
      </c>
      <c r="L322" s="422">
        <v>14.5</v>
      </c>
      <c r="M322" s="418">
        <v>44.5</v>
      </c>
      <c r="N322" s="436" t="str">
        <f>H322</f>
        <v>UNLV</v>
      </c>
      <c r="O322" s="423">
        <v>31</v>
      </c>
      <c r="P322" s="436" t="str">
        <f t="shared" si="74"/>
        <v>New Mexico</v>
      </c>
      <c r="Q322" s="408">
        <v>20</v>
      </c>
      <c r="R322" s="494" t="str">
        <f t="shared" si="75"/>
        <v>New Mexico</v>
      </c>
      <c r="S322" s="494" t="str">
        <f t="shared" si="76"/>
        <v>UNLV</v>
      </c>
      <c r="T322" s="356" t="str">
        <f>J322</f>
        <v>UNLV</v>
      </c>
      <c r="U322" s="665" t="str">
        <f t="shared" si="77"/>
        <v>L</v>
      </c>
      <c r="V322" s="352" t="str">
        <f>LOWER(+H322)</f>
        <v>unlv</v>
      </c>
      <c r="W322" s="424">
        <v>31</v>
      </c>
      <c r="X322" s="352" t="str">
        <f>UPPER(+F322)</f>
        <v>NEW MEXICO</v>
      </c>
      <c r="Y322" s="425">
        <v>17</v>
      </c>
    </row>
    <row r="323" spans="1:25" ht="16" x14ac:dyDescent="0.8">
      <c r="A323" s="351">
        <v>5</v>
      </c>
      <c r="B323" s="420" t="s">
        <v>88</v>
      </c>
      <c r="C323" s="421">
        <v>44834</v>
      </c>
      <c r="D323" s="414">
        <f>22.5/24</f>
        <v>0.9375</v>
      </c>
      <c r="E323" s="349" t="s">
        <v>35</v>
      </c>
      <c r="F323" s="420" t="s">
        <v>91</v>
      </c>
      <c r="G323" s="349" t="s">
        <v>37</v>
      </c>
      <c r="H323" s="420" t="s">
        <v>224</v>
      </c>
      <c r="I323" s="349" t="s">
        <v>37</v>
      </c>
      <c r="J323" s="420" t="str">
        <f>F323</f>
        <v>Washington</v>
      </c>
      <c r="K323" s="379" t="str">
        <f t="shared" si="73"/>
        <v>UCLA</v>
      </c>
      <c r="L323" s="422">
        <v>3</v>
      </c>
      <c r="M323" s="418">
        <v>66</v>
      </c>
      <c r="N323" s="436" t="str">
        <f>H323</f>
        <v>UCLA</v>
      </c>
      <c r="O323" s="423">
        <v>40</v>
      </c>
      <c r="P323" s="436" t="str">
        <f t="shared" si="74"/>
        <v>Washington</v>
      </c>
      <c r="Q323" s="408">
        <v>32</v>
      </c>
      <c r="R323" s="494" t="str">
        <f t="shared" si="75"/>
        <v>UCLA</v>
      </c>
      <c r="S323" s="494" t="str">
        <f t="shared" si="76"/>
        <v>Washington</v>
      </c>
      <c r="T323" s="356" t="str">
        <f>J323</f>
        <v>Washington</v>
      </c>
      <c r="U323" s="665" t="str">
        <f t="shared" si="77"/>
        <v>L</v>
      </c>
      <c r="V323" s="352" t="str">
        <f>LOWER(+H323)</f>
        <v>ucla</v>
      </c>
      <c r="W323" s="424">
        <v>24</v>
      </c>
      <c r="X323" s="352" t="str">
        <f>UPPER(+F323)</f>
        <v>WASHINGTON</v>
      </c>
      <c r="Y323" s="425">
        <v>17</v>
      </c>
    </row>
    <row r="324" spans="1:25" ht="16" x14ac:dyDescent="0.8">
      <c r="A324" s="351">
        <v>5</v>
      </c>
      <c r="B324" s="420" t="s">
        <v>396</v>
      </c>
      <c r="C324" s="421">
        <v>44839</v>
      </c>
      <c r="D324" s="414">
        <f>15.5/24</f>
        <v>0.64583333333333337</v>
      </c>
      <c r="E324" s="349" t="s">
        <v>95</v>
      </c>
      <c r="F324" s="420" t="s">
        <v>109</v>
      </c>
      <c r="G324" s="349" t="s">
        <v>50</v>
      </c>
      <c r="H324" s="420" t="s">
        <v>106</v>
      </c>
      <c r="I324" s="349" t="s">
        <v>50</v>
      </c>
      <c r="J324" s="420" t="str">
        <f>H324</f>
        <v>Central Florida</v>
      </c>
      <c r="K324" s="379" t="str">
        <f t="shared" si="73"/>
        <v>SMU</v>
      </c>
      <c r="L324" s="422">
        <v>3.5</v>
      </c>
      <c r="M324" s="418">
        <v>65</v>
      </c>
      <c r="N324" s="436" t="str">
        <f>J324</f>
        <v>Central Florida</v>
      </c>
      <c r="O324" s="423">
        <v>41</v>
      </c>
      <c r="P324" s="436" t="str">
        <f t="shared" si="74"/>
        <v>SMU</v>
      </c>
      <c r="Q324" s="408">
        <v>19</v>
      </c>
      <c r="R324" s="494" t="str">
        <f t="shared" si="75"/>
        <v>Central Florida</v>
      </c>
      <c r="S324" s="494" t="str">
        <f t="shared" si="76"/>
        <v>SMU</v>
      </c>
      <c r="T324" s="356" t="str">
        <f>J324</f>
        <v>Central Florida</v>
      </c>
      <c r="U324" s="665" t="str">
        <f t="shared" si="77"/>
        <v>W</v>
      </c>
      <c r="V324" s="352" t="str">
        <f t="shared" ref="V324:V332" si="78">UPPER(+F324)</f>
        <v>SMU</v>
      </c>
      <c r="W324" s="424">
        <v>55</v>
      </c>
      <c r="X324" s="352" t="str">
        <f t="shared" ref="X324:X332" si="79">LOWER(+H324)</f>
        <v>central florida</v>
      </c>
      <c r="Y324" s="425">
        <v>28</v>
      </c>
    </row>
    <row r="325" spans="1:25" ht="16" x14ac:dyDescent="0.8">
      <c r="A325" s="351">
        <v>5</v>
      </c>
      <c r="B325" s="420" t="s">
        <v>34</v>
      </c>
      <c r="C325" s="421">
        <v>44835</v>
      </c>
      <c r="D325" s="414">
        <f>12/24</f>
        <v>0.5</v>
      </c>
      <c r="E325" s="349" t="s">
        <v>95</v>
      </c>
      <c r="F325" s="420" t="s">
        <v>180</v>
      </c>
      <c r="G325" s="349" t="s">
        <v>50</v>
      </c>
      <c r="H325" s="420" t="s">
        <v>60</v>
      </c>
      <c r="I325" s="349" t="s">
        <v>50</v>
      </c>
      <c r="J325" s="420" t="str">
        <f>H325</f>
        <v>Memphis</v>
      </c>
      <c r="K325" s="379" t="str">
        <f t="shared" si="73"/>
        <v>Temple</v>
      </c>
      <c r="L325" s="422">
        <v>19.5</v>
      </c>
      <c r="M325" s="418">
        <v>52.5</v>
      </c>
      <c r="N325" s="436" t="str">
        <f>H325</f>
        <v>Memphis</v>
      </c>
      <c r="O325" s="423">
        <v>24</v>
      </c>
      <c r="P325" s="436" t="str">
        <f t="shared" si="74"/>
        <v>Temple</v>
      </c>
      <c r="Q325" s="408">
        <v>3</v>
      </c>
      <c r="R325" s="494" t="str">
        <f t="shared" si="75"/>
        <v>Memphis</v>
      </c>
      <c r="S325" s="494" t="str">
        <f t="shared" si="76"/>
        <v>Temple</v>
      </c>
      <c r="T325" s="356" t="str">
        <f>J325</f>
        <v>Memphis</v>
      </c>
      <c r="U325" s="665" t="str">
        <f t="shared" si="77"/>
        <v>W</v>
      </c>
      <c r="V325" s="352" t="str">
        <f t="shared" si="78"/>
        <v>TEMPLE</v>
      </c>
      <c r="W325" s="424">
        <v>34</v>
      </c>
      <c r="X325" s="352" t="str">
        <f t="shared" si="79"/>
        <v>memphis</v>
      </c>
      <c r="Y325" s="425">
        <v>31</v>
      </c>
    </row>
    <row r="326" spans="1:25" ht="16" x14ac:dyDescent="0.8">
      <c r="A326" s="351">
        <v>5</v>
      </c>
      <c r="B326" s="420" t="s">
        <v>34</v>
      </c>
      <c r="C326" s="421">
        <v>44835</v>
      </c>
      <c r="D326" s="414">
        <f>19/24</f>
        <v>0.79166666666666663</v>
      </c>
      <c r="E326" s="349"/>
      <c r="F326" s="420" t="s">
        <v>107</v>
      </c>
      <c r="G326" s="349" t="s">
        <v>50</v>
      </c>
      <c r="H326" s="420" t="s">
        <v>49</v>
      </c>
      <c r="I326" s="349" t="s">
        <v>50</v>
      </c>
      <c r="J326" s="420" t="str">
        <f>F326</f>
        <v>East Carolina</v>
      </c>
      <c r="K326" s="379" t="str">
        <f t="shared" si="73"/>
        <v>South Florida</v>
      </c>
      <c r="L326" s="422">
        <v>9</v>
      </c>
      <c r="M326" s="418">
        <v>57.5</v>
      </c>
      <c r="N326" s="436" t="str">
        <f>F326</f>
        <v>East Carolina</v>
      </c>
      <c r="O326" s="423">
        <v>48</v>
      </c>
      <c r="P326" s="436" t="str">
        <f t="shared" si="74"/>
        <v>South Florida</v>
      </c>
      <c r="Q326" s="408">
        <v>28</v>
      </c>
      <c r="R326" s="494" t="str">
        <f t="shared" si="75"/>
        <v>East Carolina</v>
      </c>
      <c r="S326" s="494" t="str">
        <f t="shared" si="76"/>
        <v>South Florida</v>
      </c>
      <c r="T326" s="356" t="str">
        <f>J326</f>
        <v>East Carolina</v>
      </c>
      <c r="U326" s="665" t="str">
        <f t="shared" si="77"/>
        <v>W</v>
      </c>
      <c r="V326" s="352" t="str">
        <f t="shared" si="78"/>
        <v>EAST CAROLINA</v>
      </c>
      <c r="W326" s="424">
        <v>29</v>
      </c>
      <c r="X326" s="352" t="str">
        <f t="shared" si="79"/>
        <v>south florida</v>
      </c>
      <c r="Y326" s="425">
        <v>14</v>
      </c>
    </row>
    <row r="327" spans="1:25" ht="16" x14ac:dyDescent="0.8">
      <c r="A327" s="351">
        <v>5</v>
      </c>
      <c r="B327" s="420" t="s">
        <v>34</v>
      </c>
      <c r="C327" s="421">
        <v>44835</v>
      </c>
      <c r="D327" s="414">
        <f>19/24</f>
        <v>0.79166666666666663</v>
      </c>
      <c r="E327" s="349" t="s">
        <v>95</v>
      </c>
      <c r="F327" s="420" t="s">
        <v>55</v>
      </c>
      <c r="G327" s="349" t="s">
        <v>50</v>
      </c>
      <c r="H327" s="420" t="s">
        <v>71</v>
      </c>
      <c r="I327" s="349" t="s">
        <v>50</v>
      </c>
      <c r="J327" s="420" t="str">
        <f>F327</f>
        <v>Cincinnati</v>
      </c>
      <c r="K327" s="379" t="str">
        <f t="shared" si="73"/>
        <v>Tulsa</v>
      </c>
      <c r="L327" s="422">
        <v>9.5</v>
      </c>
      <c r="M327" s="418">
        <v>61</v>
      </c>
      <c r="N327" s="436" t="str">
        <f>F327</f>
        <v>Cincinnati</v>
      </c>
      <c r="O327" s="423">
        <v>31</v>
      </c>
      <c r="P327" s="436" t="str">
        <f t="shared" si="74"/>
        <v>Tulsa</v>
      </c>
      <c r="Q327" s="408">
        <v>21</v>
      </c>
      <c r="R327" s="494" t="str">
        <f t="shared" si="75"/>
        <v>Cincinnati</v>
      </c>
      <c r="S327" s="494" t="str">
        <f t="shared" si="76"/>
        <v>Tulsa</v>
      </c>
      <c r="T327" s="356" t="str">
        <f>K327</f>
        <v>Tulsa</v>
      </c>
      <c r="U327" s="665" t="str">
        <f t="shared" si="77"/>
        <v>L</v>
      </c>
      <c r="V327" s="352" t="str">
        <f t="shared" si="78"/>
        <v>CINCINNATI</v>
      </c>
      <c r="W327" s="424">
        <v>28</v>
      </c>
      <c r="X327" s="352" t="str">
        <f t="shared" si="79"/>
        <v>tulsa</v>
      </c>
      <c r="Y327" s="425">
        <v>20</v>
      </c>
    </row>
    <row r="328" spans="1:25" ht="16" x14ac:dyDescent="0.8">
      <c r="A328" s="351">
        <v>5</v>
      </c>
      <c r="B328" s="420" t="s">
        <v>34</v>
      </c>
      <c r="C328" s="421">
        <v>44835</v>
      </c>
      <c r="D328" s="414">
        <f>12/24</f>
        <v>0.5</v>
      </c>
      <c r="E328" s="349" t="s">
        <v>61</v>
      </c>
      <c r="F328" s="420" t="s">
        <v>120</v>
      </c>
      <c r="G328" s="349" t="s">
        <v>61</v>
      </c>
      <c r="H328" s="420" t="s">
        <v>102</v>
      </c>
      <c r="I328" s="349" t="s">
        <v>61</v>
      </c>
      <c r="J328" s="420" t="str">
        <f>F328</f>
        <v>Louisville</v>
      </c>
      <c r="K328" s="379" t="str">
        <f t="shared" si="73"/>
        <v>Boston College</v>
      </c>
      <c r="L328" s="422">
        <v>15.5</v>
      </c>
      <c r="M328" s="418">
        <v>51</v>
      </c>
      <c r="N328" s="436" t="str">
        <f>K328</f>
        <v>Boston College</v>
      </c>
      <c r="O328" s="423">
        <v>34</v>
      </c>
      <c r="P328" s="436" t="str">
        <f t="shared" si="74"/>
        <v>Louisville</v>
      </c>
      <c r="Q328" s="408">
        <v>33</v>
      </c>
      <c r="R328" s="494" t="str">
        <f t="shared" si="75"/>
        <v>Boston College</v>
      </c>
      <c r="S328" s="494" t="str">
        <f t="shared" si="76"/>
        <v>Louisville</v>
      </c>
      <c r="T328" s="356" t="str">
        <f>K328</f>
        <v>Boston College</v>
      </c>
      <c r="U328" s="665" t="str">
        <f t="shared" si="77"/>
        <v>W</v>
      </c>
      <c r="V328" s="352" t="str">
        <f t="shared" si="78"/>
        <v>LOUISVILLE</v>
      </c>
      <c r="W328" s="424">
        <v>28</v>
      </c>
      <c r="X328" s="352" t="str">
        <f t="shared" si="79"/>
        <v>boston college</v>
      </c>
      <c r="Y328" s="425">
        <v>14</v>
      </c>
    </row>
    <row r="329" spans="1:25" ht="16" x14ac:dyDescent="0.8">
      <c r="A329" s="351">
        <v>5</v>
      </c>
      <c r="B329" s="420" t="s">
        <v>34</v>
      </c>
      <c r="C329" s="421">
        <v>44835</v>
      </c>
      <c r="D329" s="414">
        <f>19.5/24</f>
        <v>0.8125</v>
      </c>
      <c r="E329" s="349" t="s">
        <v>135</v>
      </c>
      <c r="F329" s="420" t="s">
        <v>126</v>
      </c>
      <c r="G329" s="349" t="s">
        <v>61</v>
      </c>
      <c r="H329" s="420" t="s">
        <v>114</v>
      </c>
      <c r="I329" s="349" t="s">
        <v>61</v>
      </c>
      <c r="J329" s="420" t="str">
        <f>H329</f>
        <v>Clemson</v>
      </c>
      <c r="K329" s="379" t="str">
        <f t="shared" si="73"/>
        <v>North Carolina St</v>
      </c>
      <c r="L329" s="422">
        <v>6.5</v>
      </c>
      <c r="M329" s="418">
        <v>40</v>
      </c>
      <c r="N329" s="436" t="str">
        <f>J329</f>
        <v>Clemson</v>
      </c>
      <c r="O329" s="423">
        <v>30</v>
      </c>
      <c r="P329" s="436" t="str">
        <f t="shared" si="74"/>
        <v>North Carolina St</v>
      </c>
      <c r="Q329" s="408">
        <v>20</v>
      </c>
      <c r="R329" s="494" t="str">
        <f t="shared" si="75"/>
        <v>Clemson</v>
      </c>
      <c r="S329" s="494" t="str">
        <f t="shared" si="76"/>
        <v>North Carolina St</v>
      </c>
      <c r="T329" s="356" t="str">
        <f>J329</f>
        <v>Clemson</v>
      </c>
      <c r="U329" s="665" t="str">
        <f t="shared" si="77"/>
        <v>W</v>
      </c>
      <c r="V329" s="352" t="str">
        <f t="shared" si="78"/>
        <v>NORTH CAROLINA ST</v>
      </c>
      <c r="W329" s="424">
        <v>27</v>
      </c>
      <c r="X329" s="352" t="str">
        <f t="shared" si="79"/>
        <v>clemson</v>
      </c>
      <c r="Y329" s="425">
        <v>21</v>
      </c>
    </row>
    <row r="330" spans="1:25" ht="16" x14ac:dyDescent="0.8">
      <c r="A330" s="351">
        <v>5</v>
      </c>
      <c r="B330" s="420" t="s">
        <v>34</v>
      </c>
      <c r="C330" s="421">
        <v>44835</v>
      </c>
      <c r="D330" s="414">
        <f>19.5/24</f>
        <v>0.8125</v>
      </c>
      <c r="E330" s="349" t="s">
        <v>53</v>
      </c>
      <c r="F330" s="420" t="s">
        <v>130</v>
      </c>
      <c r="G330" s="349" t="s">
        <v>61</v>
      </c>
      <c r="H330" s="420" t="s">
        <v>115</v>
      </c>
      <c r="I330" s="349" t="s">
        <v>61</v>
      </c>
      <c r="J330" s="420" t="str">
        <f>H330</f>
        <v>Duke</v>
      </c>
      <c r="K330" s="379" t="str">
        <f t="shared" si="73"/>
        <v>Virginia</v>
      </c>
      <c r="L330" s="422">
        <v>2.5</v>
      </c>
      <c r="M330" s="418">
        <v>49</v>
      </c>
      <c r="N330" s="436" t="str">
        <f>J330</f>
        <v>Duke</v>
      </c>
      <c r="O330" s="423">
        <v>38</v>
      </c>
      <c r="P330" s="436" t="str">
        <f t="shared" si="74"/>
        <v>Virginia</v>
      </c>
      <c r="Q330" s="408">
        <v>17</v>
      </c>
      <c r="R330" s="494" t="str">
        <f t="shared" si="75"/>
        <v>Duke</v>
      </c>
      <c r="S330" s="494" t="str">
        <f t="shared" si="76"/>
        <v>Virginia</v>
      </c>
      <c r="T330" s="356" t="str">
        <f>J330</f>
        <v>Duke</v>
      </c>
      <c r="U330" s="665" t="str">
        <f t="shared" si="77"/>
        <v>W</v>
      </c>
      <c r="V330" s="352" t="str">
        <f t="shared" si="78"/>
        <v>VIRGINIA</v>
      </c>
      <c r="W330" s="424">
        <v>48</v>
      </c>
      <c r="X330" s="352" t="str">
        <f t="shared" si="79"/>
        <v>duke</v>
      </c>
      <c r="Y330" s="425">
        <v>0</v>
      </c>
    </row>
    <row r="331" spans="1:25" ht="16" x14ac:dyDescent="0.8">
      <c r="A331" s="351">
        <v>5</v>
      </c>
      <c r="B331" s="420" t="s">
        <v>34</v>
      </c>
      <c r="C331" s="421">
        <v>44835</v>
      </c>
      <c r="D331" s="414">
        <f>15.5/24</f>
        <v>0.64583333333333337</v>
      </c>
      <c r="E331" s="349" t="s">
        <v>135</v>
      </c>
      <c r="F331" s="420" t="s">
        <v>62</v>
      </c>
      <c r="G331" s="349" t="s">
        <v>61</v>
      </c>
      <c r="H331" s="420" t="s">
        <v>117</v>
      </c>
      <c r="I331" s="349" t="s">
        <v>61</v>
      </c>
      <c r="J331" s="420" t="str">
        <f>H331</f>
        <v>Florida State</v>
      </c>
      <c r="K331" s="379" t="str">
        <f t="shared" si="73"/>
        <v>Wake Forest</v>
      </c>
      <c r="L331" s="422">
        <v>6.5</v>
      </c>
      <c r="M331" s="418">
        <v>64</v>
      </c>
      <c r="N331" s="436" t="str">
        <f>K331</f>
        <v>Wake Forest</v>
      </c>
      <c r="O331" s="423">
        <v>31</v>
      </c>
      <c r="P331" s="436" t="str">
        <f t="shared" si="74"/>
        <v>Florida State</v>
      </c>
      <c r="Q331" s="408">
        <v>21</v>
      </c>
      <c r="R331" s="494" t="str">
        <f t="shared" si="75"/>
        <v>Wake Forest</v>
      </c>
      <c r="S331" s="494" t="str">
        <f t="shared" si="76"/>
        <v>Florida State</v>
      </c>
      <c r="T331" s="356" t="str">
        <f>F331</f>
        <v>Wake Forest</v>
      </c>
      <c r="U331" s="665" t="str">
        <f t="shared" si="77"/>
        <v>W</v>
      </c>
      <c r="V331" s="352" t="str">
        <f t="shared" si="78"/>
        <v>WAKE FOREST</v>
      </c>
      <c r="W331" s="424">
        <v>35</v>
      </c>
      <c r="X331" s="352" t="str">
        <f t="shared" si="79"/>
        <v>florida state</v>
      </c>
      <c r="Y331" s="425">
        <v>14</v>
      </c>
    </row>
    <row r="332" spans="1:25" ht="16" x14ac:dyDescent="0.8">
      <c r="A332" s="351">
        <v>5</v>
      </c>
      <c r="B332" s="420" t="s">
        <v>34</v>
      </c>
      <c r="C332" s="421">
        <v>44835</v>
      </c>
      <c r="D332" s="414">
        <f>15.5/24</f>
        <v>0.64583333333333337</v>
      </c>
      <c r="E332" s="349" t="s">
        <v>135</v>
      </c>
      <c r="F332" s="420" t="s">
        <v>221</v>
      </c>
      <c r="G332" s="349" t="s">
        <v>61</v>
      </c>
      <c r="H332" s="420" t="s">
        <v>124</v>
      </c>
      <c r="I332" s="349" t="s">
        <v>61</v>
      </c>
      <c r="J332" s="420" t="str">
        <f>H332</f>
        <v>North Carolina</v>
      </c>
      <c r="K332" s="379" t="str">
        <f t="shared" si="73"/>
        <v>Virginia Tech</v>
      </c>
      <c r="L332" s="422">
        <v>9</v>
      </c>
      <c r="M332" s="418">
        <v>51.5</v>
      </c>
      <c r="N332" s="436" t="str">
        <f>H332</f>
        <v>North Carolina</v>
      </c>
      <c r="O332" s="423">
        <v>41</v>
      </c>
      <c r="P332" s="436" t="str">
        <f t="shared" si="74"/>
        <v>Virginia Tech</v>
      </c>
      <c r="Q332" s="408">
        <v>10</v>
      </c>
      <c r="R332" s="494" t="str">
        <f t="shared" si="75"/>
        <v>North Carolina</v>
      </c>
      <c r="S332" s="494" t="str">
        <f t="shared" si="76"/>
        <v>Virginia Tech</v>
      </c>
      <c r="T332" s="356" t="str">
        <f>J332</f>
        <v>North Carolina</v>
      </c>
      <c r="U332" s="665" t="str">
        <f t="shared" si="77"/>
        <v>W</v>
      </c>
      <c r="V332" s="352" t="str">
        <f t="shared" si="78"/>
        <v>VIRGINIA TECH</v>
      </c>
      <c r="W332" s="424">
        <v>17</v>
      </c>
      <c r="X332" s="352" t="str">
        <f t="shared" si="79"/>
        <v>north carolina</v>
      </c>
      <c r="Y332" s="425">
        <v>10</v>
      </c>
    </row>
    <row r="333" spans="1:25" ht="16" x14ac:dyDescent="0.8">
      <c r="A333" s="351">
        <v>5</v>
      </c>
      <c r="B333" s="420" t="s">
        <v>34</v>
      </c>
      <c r="C333" s="421">
        <v>44835</v>
      </c>
      <c r="D333" s="414">
        <f>20/24</f>
        <v>0.83333333333333337</v>
      </c>
      <c r="E333" s="349" t="s">
        <v>61</v>
      </c>
      <c r="F333" s="420" t="s">
        <v>227</v>
      </c>
      <c r="G333" s="349" t="s">
        <v>61</v>
      </c>
      <c r="H333" s="420" t="s">
        <v>128</v>
      </c>
      <c r="I333" s="349" t="s">
        <v>61</v>
      </c>
      <c r="J333" s="420" t="str">
        <f>H333</f>
        <v>Pittsburgh</v>
      </c>
      <c r="K333" s="379" t="str">
        <f t="shared" si="73"/>
        <v>Georgia Tech</v>
      </c>
      <c r="L333" s="422">
        <v>23</v>
      </c>
      <c r="M333" s="418">
        <v>48</v>
      </c>
      <c r="N333" s="436" t="str">
        <f>K333</f>
        <v>Georgia Tech</v>
      </c>
      <c r="O333" s="423">
        <v>26</v>
      </c>
      <c r="P333" s="436" t="str">
        <f t="shared" si="74"/>
        <v>Pittsburgh</v>
      </c>
      <c r="Q333" s="408">
        <v>21</v>
      </c>
      <c r="R333" s="494" t="str">
        <f t="shared" si="75"/>
        <v>Georgia Tech</v>
      </c>
      <c r="S333" s="494" t="str">
        <f t="shared" si="76"/>
        <v>Pittsburgh</v>
      </c>
      <c r="T333" s="356" t="str">
        <f>K333</f>
        <v>Georgia Tech</v>
      </c>
      <c r="U333" s="665" t="str">
        <f t="shared" si="77"/>
        <v>W</v>
      </c>
      <c r="V333" s="352" t="str">
        <f>LOWER(+H333)</f>
        <v>pittsburgh</v>
      </c>
      <c r="W333" s="424">
        <v>55</v>
      </c>
      <c r="X333" s="352" t="str">
        <f>UPPER(+F333)</f>
        <v>GEORGIA TECH</v>
      </c>
      <c r="Y333" s="425">
        <v>21</v>
      </c>
    </row>
    <row r="334" spans="1:25" ht="16" x14ac:dyDescent="0.8">
      <c r="A334" s="351">
        <v>5</v>
      </c>
      <c r="B334" s="420" t="s">
        <v>34</v>
      </c>
      <c r="C334" s="421">
        <v>44835</v>
      </c>
      <c r="D334" s="414">
        <f>17/24</f>
        <v>0.70833333333333337</v>
      </c>
      <c r="E334" s="349"/>
      <c r="F334" s="420" t="s">
        <v>258</v>
      </c>
      <c r="G334" s="349" t="s">
        <v>41</v>
      </c>
      <c r="H334" s="420" t="s">
        <v>90</v>
      </c>
      <c r="I334" s="349" t="s">
        <v>61</v>
      </c>
      <c r="J334" s="420"/>
      <c r="K334" s="379"/>
      <c r="L334" s="422"/>
      <c r="M334" s="418"/>
      <c r="N334" s="351" t="str">
        <f>H334</f>
        <v>Syracuse</v>
      </c>
      <c r="O334" s="423">
        <v>59</v>
      </c>
      <c r="P334" s="436" t="str">
        <f t="shared" ref="P334:P359" si="80">IF(+N334=H334,F334,H334)</f>
        <v>1AA Wagner</v>
      </c>
      <c r="Q334" s="408">
        <v>0</v>
      </c>
      <c r="R334" s="494"/>
      <c r="S334" s="494"/>
      <c r="T334" s="356"/>
      <c r="U334" s="349"/>
      <c r="W334" s="424"/>
      <c r="X334" s="352" t="s">
        <v>404</v>
      </c>
      <c r="Y334" s="425"/>
    </row>
    <row r="335" spans="1:25" ht="16" x14ac:dyDescent="0.8">
      <c r="A335" s="351">
        <v>5</v>
      </c>
      <c r="B335" s="420" t="s">
        <v>34</v>
      </c>
      <c r="C335" s="421">
        <v>44835</v>
      </c>
      <c r="D335" s="414">
        <f>12/24</f>
        <v>0.5</v>
      </c>
      <c r="E335" s="349" t="s">
        <v>118</v>
      </c>
      <c r="F335" s="420" t="s">
        <v>137</v>
      </c>
      <c r="G335" s="349" t="s">
        <v>64</v>
      </c>
      <c r="H335" s="420" t="s">
        <v>134</v>
      </c>
      <c r="I335" s="349" t="s">
        <v>64</v>
      </c>
      <c r="J335" s="420" t="str">
        <f>F335</f>
        <v>Michigan</v>
      </c>
      <c r="K335" s="379" t="str">
        <f t="shared" ref="K335:K359" si="81">IF(+J335=H335,F335,H335)</f>
        <v>Iowa</v>
      </c>
      <c r="L335" s="422">
        <v>11</v>
      </c>
      <c r="M335" s="418">
        <v>42</v>
      </c>
      <c r="N335" s="436" t="str">
        <f>F335</f>
        <v>Michigan</v>
      </c>
      <c r="O335" s="423">
        <v>27</v>
      </c>
      <c r="P335" s="436" t="str">
        <f t="shared" si="80"/>
        <v>Iowa</v>
      </c>
      <c r="Q335" s="408">
        <v>24</v>
      </c>
      <c r="R335" s="494" t="str">
        <f t="shared" ref="R335:R359" si="82">IF(+N335=K335,+N335,IF(+O335-Q335&lt;L335,+K335,+J335))</f>
        <v>Iowa</v>
      </c>
      <c r="S335" s="494" t="str">
        <f t="shared" ref="S335:S359" si="83">IF(+R335=J335,+K335,+J335)</f>
        <v>Michigan</v>
      </c>
      <c r="T335" s="356" t="str">
        <f>K335</f>
        <v>Iowa</v>
      </c>
      <c r="U335" s="665" t="str">
        <f t="shared" ref="U335:U359" si="84">IF($N335=$J335,IF($O335-$Q335=$L335,"T",IF($R335=T335,"W","L")),IF($R335=T335,"W","L"))</f>
        <v>W</v>
      </c>
      <c r="V335" s="352" t="str">
        <f>UPPER(+F335)</f>
        <v>MICHIGAN</v>
      </c>
      <c r="W335" s="424">
        <v>42</v>
      </c>
      <c r="X335" s="352" t="str">
        <f>LOWER(+H335)</f>
        <v>iowa</v>
      </c>
      <c r="Y335" s="425">
        <v>3</v>
      </c>
    </row>
    <row r="336" spans="1:25" ht="16" x14ac:dyDescent="0.8">
      <c r="A336" s="351">
        <v>5</v>
      </c>
      <c r="B336" s="420" t="s">
        <v>34</v>
      </c>
      <c r="C336" s="421">
        <v>44835</v>
      </c>
      <c r="D336" s="414">
        <f>15.5/24</f>
        <v>0.64583333333333337</v>
      </c>
      <c r="E336" s="349" t="s">
        <v>70</v>
      </c>
      <c r="F336" s="420" t="s">
        <v>139</v>
      </c>
      <c r="G336" s="349" t="s">
        <v>64</v>
      </c>
      <c r="H336" s="420" t="s">
        <v>156</v>
      </c>
      <c r="I336" s="349" t="s">
        <v>64</v>
      </c>
      <c r="J336" s="420" t="str">
        <f t="shared" ref="J336:J342" si="85">H336</f>
        <v>Maryland</v>
      </c>
      <c r="K336" s="379" t="str">
        <f t="shared" si="81"/>
        <v>Michigan State</v>
      </c>
      <c r="L336" s="422">
        <v>7.5</v>
      </c>
      <c r="M336" s="418">
        <v>60.5</v>
      </c>
      <c r="N336" s="436" t="str">
        <f>H336</f>
        <v>Maryland</v>
      </c>
      <c r="O336" s="423">
        <v>27</v>
      </c>
      <c r="P336" s="436" t="str">
        <f t="shared" si="80"/>
        <v>Michigan State</v>
      </c>
      <c r="Q336" s="408">
        <v>13</v>
      </c>
      <c r="R336" s="494" t="str">
        <f t="shared" si="82"/>
        <v>Maryland</v>
      </c>
      <c r="S336" s="494" t="str">
        <f t="shared" si="83"/>
        <v>Michigan State</v>
      </c>
      <c r="T336" s="356" t="str">
        <f>K336</f>
        <v>Michigan State</v>
      </c>
      <c r="U336" s="665" t="str">
        <f t="shared" si="84"/>
        <v>L</v>
      </c>
      <c r="V336" s="352" t="str">
        <f>UPPER(+F336)</f>
        <v>MICHIGAN STATE</v>
      </c>
      <c r="W336" s="424">
        <v>40</v>
      </c>
      <c r="X336" s="352" t="str">
        <f>LOWER(+H336)</f>
        <v>maryland</v>
      </c>
      <c r="Y336" s="425">
        <v>21</v>
      </c>
    </row>
    <row r="337" spans="1:25" ht="16" x14ac:dyDescent="0.8">
      <c r="A337" s="351">
        <v>5</v>
      </c>
      <c r="B337" s="420" t="s">
        <v>34</v>
      </c>
      <c r="C337" s="421">
        <v>44835</v>
      </c>
      <c r="D337" s="414">
        <f>12/24</f>
        <v>0.5</v>
      </c>
      <c r="E337" s="349" t="s">
        <v>256</v>
      </c>
      <c r="F337" s="420" t="s">
        <v>119</v>
      </c>
      <c r="G337" s="349" t="s">
        <v>64</v>
      </c>
      <c r="H337" s="420" t="s">
        <v>69</v>
      </c>
      <c r="I337" s="349" t="s">
        <v>64</v>
      </c>
      <c r="J337" s="420" t="str">
        <f t="shared" si="85"/>
        <v>Minnesota</v>
      </c>
      <c r="K337" s="379" t="str">
        <f t="shared" si="81"/>
        <v>Purdue</v>
      </c>
      <c r="L337" s="422">
        <v>12</v>
      </c>
      <c r="M337" s="418">
        <v>52.5</v>
      </c>
      <c r="N337" s="436" t="str">
        <f>F337</f>
        <v>Purdue</v>
      </c>
      <c r="O337" s="423">
        <v>20</v>
      </c>
      <c r="P337" s="436" t="str">
        <f t="shared" si="80"/>
        <v>Minnesota</v>
      </c>
      <c r="Q337" s="408">
        <v>10</v>
      </c>
      <c r="R337" s="494" t="str">
        <f t="shared" si="82"/>
        <v>Purdue</v>
      </c>
      <c r="S337" s="494" t="str">
        <f t="shared" si="83"/>
        <v>Minnesota</v>
      </c>
      <c r="T337" s="356" t="str">
        <f>J337</f>
        <v>Minnesota</v>
      </c>
      <c r="U337" s="665" t="str">
        <f t="shared" si="84"/>
        <v>L</v>
      </c>
      <c r="V337" s="352" t="str">
        <f>LOWER(+H337)</f>
        <v>minnesota</v>
      </c>
      <c r="W337" s="424">
        <v>20</v>
      </c>
      <c r="X337" s="352" t="str">
        <f>UPPER(+F337)</f>
        <v>PURDUE</v>
      </c>
      <c r="Y337" s="425">
        <v>13</v>
      </c>
    </row>
    <row r="338" spans="1:25" ht="16" x14ac:dyDescent="0.8">
      <c r="A338" s="351">
        <v>5</v>
      </c>
      <c r="B338" s="420" t="s">
        <v>34</v>
      </c>
      <c r="C338" s="421">
        <v>44835</v>
      </c>
      <c r="D338" s="414">
        <f>19.5/24</f>
        <v>0.8125</v>
      </c>
      <c r="E338" s="349" t="s">
        <v>66</v>
      </c>
      <c r="F338" s="420" t="s">
        <v>65</v>
      </c>
      <c r="G338" s="349" t="s">
        <v>64</v>
      </c>
      <c r="H338" s="420" t="s">
        <v>141</v>
      </c>
      <c r="I338" s="349" t="s">
        <v>64</v>
      </c>
      <c r="J338" s="420" t="str">
        <f t="shared" si="85"/>
        <v>Nebraska</v>
      </c>
      <c r="K338" s="379" t="str">
        <f t="shared" si="81"/>
        <v>Indiana</v>
      </c>
      <c r="L338" s="422">
        <v>5.5</v>
      </c>
      <c r="M338" s="418">
        <v>60</v>
      </c>
      <c r="N338" s="436" t="str">
        <f>H338</f>
        <v>Nebraska</v>
      </c>
      <c r="O338" s="423">
        <v>35</v>
      </c>
      <c r="P338" s="436" t="str">
        <f t="shared" si="80"/>
        <v>Indiana</v>
      </c>
      <c r="Q338" s="408">
        <v>21</v>
      </c>
      <c r="R338" s="494" t="str">
        <f t="shared" si="82"/>
        <v>Nebraska</v>
      </c>
      <c r="S338" s="494" t="str">
        <f t="shared" si="83"/>
        <v>Indiana</v>
      </c>
      <c r="T338" s="356" t="str">
        <f>K338</f>
        <v>Indiana</v>
      </c>
      <c r="U338" s="665" t="str">
        <f t="shared" si="84"/>
        <v>L</v>
      </c>
      <c r="W338" s="424"/>
      <c r="X338" s="352" t="s">
        <v>404</v>
      </c>
      <c r="Y338" s="425"/>
    </row>
    <row r="339" spans="1:25" ht="16" x14ac:dyDescent="0.8">
      <c r="A339" s="351">
        <v>5</v>
      </c>
      <c r="B339" s="420" t="s">
        <v>34</v>
      </c>
      <c r="C339" s="421">
        <v>44835</v>
      </c>
      <c r="D339" s="414">
        <f>15.5/24</f>
        <v>0.64583333333333337</v>
      </c>
      <c r="E339" s="349" t="s">
        <v>66</v>
      </c>
      <c r="F339" s="420" t="s">
        <v>92</v>
      </c>
      <c r="G339" s="349" t="s">
        <v>64</v>
      </c>
      <c r="H339" s="420" t="s">
        <v>63</v>
      </c>
      <c r="I339" s="349" t="s">
        <v>64</v>
      </c>
      <c r="J339" s="420" t="str">
        <f t="shared" si="85"/>
        <v>Ohio State</v>
      </c>
      <c r="K339" s="379" t="str">
        <f t="shared" si="81"/>
        <v>Rutgers</v>
      </c>
      <c r="L339" s="422">
        <v>40.5</v>
      </c>
      <c r="M339" s="418">
        <v>59</v>
      </c>
      <c r="N339" s="436" t="str">
        <f>H339</f>
        <v>Ohio State</v>
      </c>
      <c r="O339" s="423">
        <v>49</v>
      </c>
      <c r="P339" s="436" t="str">
        <f t="shared" si="80"/>
        <v>Rutgers</v>
      </c>
      <c r="Q339" s="408">
        <v>10</v>
      </c>
      <c r="R339" s="494" t="str">
        <f t="shared" si="82"/>
        <v>Rutgers</v>
      </c>
      <c r="S339" s="494" t="str">
        <f t="shared" si="83"/>
        <v>Ohio State</v>
      </c>
      <c r="T339" s="356" t="str">
        <f>K339</f>
        <v>Rutgers</v>
      </c>
      <c r="U339" s="665" t="str">
        <f t="shared" si="84"/>
        <v>W</v>
      </c>
      <c r="V339" s="352" t="str">
        <f>LOWER(+H339)</f>
        <v>ohio state</v>
      </c>
      <c r="W339" s="424">
        <v>52</v>
      </c>
      <c r="X339" s="352" t="str">
        <f>UPPER(+F339)</f>
        <v>RUTGERS</v>
      </c>
      <c r="Y339" s="425">
        <v>13</v>
      </c>
    </row>
    <row r="340" spans="1:25" ht="16" x14ac:dyDescent="0.8">
      <c r="A340" s="351">
        <v>5</v>
      </c>
      <c r="B340" s="420" t="s">
        <v>34</v>
      </c>
      <c r="C340" s="421">
        <v>44835</v>
      </c>
      <c r="D340" s="414">
        <f>15.5/24</f>
        <v>0.64583333333333337</v>
      </c>
      <c r="E340" s="349" t="s">
        <v>35</v>
      </c>
      <c r="F340" s="420" t="s">
        <v>143</v>
      </c>
      <c r="G340" s="349" t="s">
        <v>64</v>
      </c>
      <c r="H340" s="420" t="s">
        <v>145</v>
      </c>
      <c r="I340" s="349" t="s">
        <v>64</v>
      </c>
      <c r="J340" s="420" t="str">
        <f t="shared" si="85"/>
        <v>Penn State</v>
      </c>
      <c r="K340" s="379" t="str">
        <f t="shared" si="81"/>
        <v>Northwestern</v>
      </c>
      <c r="L340" s="422">
        <v>26.5</v>
      </c>
      <c r="M340" s="418">
        <v>52</v>
      </c>
      <c r="N340" s="436" t="str">
        <f>H340</f>
        <v>Penn State</v>
      </c>
      <c r="O340" s="423">
        <v>17</v>
      </c>
      <c r="P340" s="436" t="str">
        <f t="shared" si="80"/>
        <v>Northwestern</v>
      </c>
      <c r="Q340" s="408">
        <v>7</v>
      </c>
      <c r="R340" s="494" t="str">
        <f t="shared" si="82"/>
        <v>Northwestern</v>
      </c>
      <c r="S340" s="494" t="str">
        <f t="shared" si="83"/>
        <v>Penn State</v>
      </c>
      <c r="T340" s="356" t="str">
        <f>K340</f>
        <v>Northwestern</v>
      </c>
      <c r="U340" s="665" t="str">
        <f t="shared" si="84"/>
        <v>W</v>
      </c>
      <c r="W340" s="424"/>
      <c r="X340" s="352" t="s">
        <v>404</v>
      </c>
      <c r="Y340" s="425"/>
    </row>
    <row r="341" spans="1:25" ht="16" x14ac:dyDescent="0.8">
      <c r="A341" s="351">
        <v>5</v>
      </c>
      <c r="B341" s="420" t="s">
        <v>34</v>
      </c>
      <c r="C341" s="421">
        <v>44835</v>
      </c>
      <c r="D341" s="414">
        <f>12/24</f>
        <v>0.5</v>
      </c>
      <c r="E341" s="349" t="s">
        <v>66</v>
      </c>
      <c r="F341" s="420" t="s">
        <v>132</v>
      </c>
      <c r="G341" s="349" t="s">
        <v>64</v>
      </c>
      <c r="H341" s="420" t="s">
        <v>94</v>
      </c>
      <c r="I341" s="349" t="s">
        <v>64</v>
      </c>
      <c r="J341" s="420" t="str">
        <f t="shared" si="85"/>
        <v>Wisconsin</v>
      </c>
      <c r="K341" s="379" t="str">
        <f t="shared" si="81"/>
        <v>Illinois</v>
      </c>
      <c r="L341" s="422">
        <v>7</v>
      </c>
      <c r="M341" s="418">
        <v>43.5</v>
      </c>
      <c r="N341" s="436" t="str">
        <f>F341</f>
        <v>Illinois</v>
      </c>
      <c r="O341" s="423">
        <v>34</v>
      </c>
      <c r="P341" s="436" t="str">
        <f t="shared" si="80"/>
        <v>Wisconsin</v>
      </c>
      <c r="Q341" s="408">
        <v>10</v>
      </c>
      <c r="R341" s="494" t="str">
        <f t="shared" si="82"/>
        <v>Illinois</v>
      </c>
      <c r="S341" s="494" t="str">
        <f t="shared" si="83"/>
        <v>Wisconsin</v>
      </c>
      <c r="T341" s="356" t="str">
        <f>K341</f>
        <v>Illinois</v>
      </c>
      <c r="U341" s="665" t="str">
        <f t="shared" si="84"/>
        <v>W</v>
      </c>
      <c r="V341" s="352" t="str">
        <f>LOWER(+H341)</f>
        <v>wisconsin</v>
      </c>
      <c r="W341" s="424">
        <v>24</v>
      </c>
      <c r="X341" s="352" t="str">
        <f>UPPER(+F341)</f>
        <v>ILLINOIS</v>
      </c>
      <c r="Y341" s="425">
        <v>0</v>
      </c>
    </row>
    <row r="342" spans="1:25" ht="16" x14ac:dyDescent="0.8">
      <c r="A342" s="351">
        <v>5</v>
      </c>
      <c r="B342" s="420" t="s">
        <v>34</v>
      </c>
      <c r="C342" s="421">
        <v>44835</v>
      </c>
      <c r="D342" s="414">
        <f>15.5/24</f>
        <v>0.64583333333333337</v>
      </c>
      <c r="E342" s="349" t="s">
        <v>118</v>
      </c>
      <c r="F342" s="420" t="s">
        <v>72</v>
      </c>
      <c r="G342" s="349" t="s">
        <v>73</v>
      </c>
      <c r="H342" s="420" t="s">
        <v>146</v>
      </c>
      <c r="I342" s="349" t="s">
        <v>73</v>
      </c>
      <c r="J342" s="420" t="str">
        <f t="shared" si="85"/>
        <v>Baylor</v>
      </c>
      <c r="K342" s="379" t="str">
        <f t="shared" si="81"/>
        <v>Oklahoma State</v>
      </c>
      <c r="L342" s="422">
        <v>2.5</v>
      </c>
      <c r="M342" s="418">
        <v>55.5</v>
      </c>
      <c r="N342" s="436" t="str">
        <f>F342</f>
        <v>Oklahoma State</v>
      </c>
      <c r="O342" s="423">
        <v>36</v>
      </c>
      <c r="P342" s="436" t="str">
        <f t="shared" si="80"/>
        <v>Baylor</v>
      </c>
      <c r="Q342" s="408">
        <v>24</v>
      </c>
      <c r="R342" s="494" t="str">
        <f t="shared" si="82"/>
        <v>Oklahoma State</v>
      </c>
      <c r="S342" s="494" t="str">
        <f t="shared" si="83"/>
        <v>Baylor</v>
      </c>
      <c r="T342" s="356" t="str">
        <f>K342</f>
        <v>Oklahoma State</v>
      </c>
      <c r="U342" s="665" t="str">
        <f t="shared" si="84"/>
        <v>W</v>
      </c>
      <c r="V342" s="352" t="str">
        <f>LOWER(+H342)</f>
        <v>baylor</v>
      </c>
      <c r="W342" s="424">
        <v>21</v>
      </c>
      <c r="X342" s="352" t="str">
        <f>UPPER(+F342)</f>
        <v>OKLAHOMA STATE</v>
      </c>
      <c r="Y342" s="425">
        <v>16</v>
      </c>
    </row>
    <row r="343" spans="1:25" ht="16" x14ac:dyDescent="0.8">
      <c r="A343" s="351">
        <v>5</v>
      </c>
      <c r="B343" s="420" t="s">
        <v>34</v>
      </c>
      <c r="C343" s="421">
        <v>44835</v>
      </c>
      <c r="D343" s="414">
        <f>15.5/24</f>
        <v>0.64583333333333337</v>
      </c>
      <c r="E343" s="349" t="s">
        <v>256</v>
      </c>
      <c r="F343" s="420" t="s">
        <v>148</v>
      </c>
      <c r="G343" s="349" t="s">
        <v>73</v>
      </c>
      <c r="H343" s="420" t="s">
        <v>150</v>
      </c>
      <c r="I343" s="349" t="s">
        <v>73</v>
      </c>
      <c r="J343" s="420" t="str">
        <f>F343</f>
        <v>Iowa State</v>
      </c>
      <c r="K343" s="379" t="str">
        <f t="shared" si="81"/>
        <v>Kansas</v>
      </c>
      <c r="L343" s="422">
        <v>3.5</v>
      </c>
      <c r="M343" s="418">
        <v>57.5</v>
      </c>
      <c r="N343" s="436" t="str">
        <f t="shared" ref="N343:N348" si="86">H343</f>
        <v>Kansas</v>
      </c>
      <c r="O343" s="423">
        <v>14</v>
      </c>
      <c r="P343" s="436" t="str">
        <f t="shared" si="80"/>
        <v>Iowa State</v>
      </c>
      <c r="Q343" s="408">
        <v>11</v>
      </c>
      <c r="R343" s="494" t="str">
        <f t="shared" si="82"/>
        <v>Kansas</v>
      </c>
      <c r="S343" s="494" t="str">
        <f t="shared" si="83"/>
        <v>Iowa State</v>
      </c>
      <c r="T343" s="356" t="str">
        <f>H343</f>
        <v>Kansas</v>
      </c>
      <c r="U343" s="665" t="str">
        <f t="shared" si="84"/>
        <v>W</v>
      </c>
      <c r="V343" s="352" t="str">
        <f>UPPER(+F343)</f>
        <v>IOWA STATE</v>
      </c>
      <c r="W343" s="424">
        <v>59</v>
      </c>
      <c r="X343" s="352" t="str">
        <f>LOWER(+H343)</f>
        <v>kansas</v>
      </c>
      <c r="Y343" s="425">
        <v>7</v>
      </c>
    </row>
    <row r="344" spans="1:25" ht="16" x14ac:dyDescent="0.8">
      <c r="A344" s="351">
        <v>5</v>
      </c>
      <c r="B344" s="420" t="s">
        <v>34</v>
      </c>
      <c r="C344" s="421">
        <v>44835</v>
      </c>
      <c r="D344" s="414">
        <f>12/24</f>
        <v>0.5</v>
      </c>
      <c r="E344" s="349"/>
      <c r="F344" s="420" t="s">
        <v>159</v>
      </c>
      <c r="G344" s="349" t="s">
        <v>73</v>
      </c>
      <c r="H344" s="420" t="s">
        <v>152</v>
      </c>
      <c r="I344" s="349" t="s">
        <v>73</v>
      </c>
      <c r="J344" s="420" t="str">
        <f>H344</f>
        <v>Kansas State</v>
      </c>
      <c r="K344" s="379" t="str">
        <f t="shared" si="81"/>
        <v>Texas Tech</v>
      </c>
      <c r="L344" s="422">
        <v>8</v>
      </c>
      <c r="M344" s="418">
        <v>57.5</v>
      </c>
      <c r="N344" s="436" t="str">
        <f t="shared" si="86"/>
        <v>Kansas State</v>
      </c>
      <c r="O344" s="423">
        <v>37</v>
      </c>
      <c r="P344" s="436" t="str">
        <f t="shared" si="80"/>
        <v>Texas Tech</v>
      </c>
      <c r="Q344" s="408">
        <v>28</v>
      </c>
      <c r="R344" s="494" t="str">
        <f t="shared" si="82"/>
        <v>Kansas State</v>
      </c>
      <c r="S344" s="494" t="str">
        <f t="shared" si="83"/>
        <v>Texas Tech</v>
      </c>
      <c r="T344" s="356" t="str">
        <f>K344</f>
        <v>Texas Tech</v>
      </c>
      <c r="U344" s="665" t="str">
        <f t="shared" si="84"/>
        <v>L</v>
      </c>
      <c r="V344" s="352" t="str">
        <f>LOWER(+H344)</f>
        <v>kansas state</v>
      </c>
      <c r="W344" s="424">
        <v>21</v>
      </c>
      <c r="X344" s="352" t="str">
        <f>UPPER(+F344)</f>
        <v>TEXAS TECH</v>
      </c>
      <c r="Y344" s="425">
        <v>6</v>
      </c>
    </row>
    <row r="345" spans="1:25" ht="16" x14ac:dyDescent="0.8">
      <c r="A345" s="351">
        <v>5</v>
      </c>
      <c r="B345" s="420" t="s">
        <v>34</v>
      </c>
      <c r="C345" s="421">
        <v>44835</v>
      </c>
      <c r="D345" s="414">
        <f>12/24</f>
        <v>0.5</v>
      </c>
      <c r="E345" s="349" t="s">
        <v>135</v>
      </c>
      <c r="F345" s="420" t="s">
        <v>154</v>
      </c>
      <c r="G345" s="349" t="s">
        <v>73</v>
      </c>
      <c r="H345" s="420" t="s">
        <v>155</v>
      </c>
      <c r="I345" s="349" t="s">
        <v>73</v>
      </c>
      <c r="J345" s="420" t="str">
        <f>F345</f>
        <v>Oklahoma</v>
      </c>
      <c r="K345" s="379" t="str">
        <f t="shared" si="81"/>
        <v>TCU</v>
      </c>
      <c r="L345" s="422">
        <v>6.5</v>
      </c>
      <c r="M345" s="418">
        <v>67.5</v>
      </c>
      <c r="N345" s="436" t="str">
        <f t="shared" si="86"/>
        <v>TCU</v>
      </c>
      <c r="O345" s="423">
        <v>55</v>
      </c>
      <c r="P345" s="436" t="str">
        <f t="shared" si="80"/>
        <v>Oklahoma</v>
      </c>
      <c r="Q345" s="408">
        <v>24</v>
      </c>
      <c r="R345" s="494" t="str">
        <f t="shared" si="82"/>
        <v>TCU</v>
      </c>
      <c r="S345" s="494" t="str">
        <f t="shared" si="83"/>
        <v>Oklahoma</v>
      </c>
      <c r="T345" s="356" t="str">
        <f>J345</f>
        <v>Oklahoma</v>
      </c>
      <c r="U345" s="665" t="str">
        <f t="shared" si="84"/>
        <v>L</v>
      </c>
      <c r="V345" s="352" t="str">
        <f>UPPER(+F345)</f>
        <v>OKLAHOMA</v>
      </c>
      <c r="W345" s="424">
        <v>52</v>
      </c>
      <c r="X345" s="352" t="str">
        <f>LOWER(+H345)</f>
        <v>tcu</v>
      </c>
      <c r="Y345" s="425">
        <v>31</v>
      </c>
    </row>
    <row r="346" spans="1:25" ht="16" x14ac:dyDescent="0.8">
      <c r="A346" s="351">
        <v>5</v>
      </c>
      <c r="B346" s="420" t="s">
        <v>34</v>
      </c>
      <c r="C346" s="421">
        <v>44835</v>
      </c>
      <c r="D346" s="414">
        <f>19.5/24</f>
        <v>0.8125</v>
      </c>
      <c r="E346" s="349" t="s">
        <v>70</v>
      </c>
      <c r="F346" s="420" t="s">
        <v>222</v>
      </c>
      <c r="G346" s="349" t="s">
        <v>73</v>
      </c>
      <c r="H346" s="420" t="s">
        <v>157</v>
      </c>
      <c r="I346" s="349" t="s">
        <v>73</v>
      </c>
      <c r="J346" s="420" t="str">
        <f>H346</f>
        <v>Texas</v>
      </c>
      <c r="K346" s="379" t="str">
        <f t="shared" si="81"/>
        <v>West Virginia</v>
      </c>
      <c r="L346" s="422">
        <v>10</v>
      </c>
      <c r="M346" s="418">
        <v>62</v>
      </c>
      <c r="N346" s="436" t="str">
        <f t="shared" si="86"/>
        <v>Texas</v>
      </c>
      <c r="O346" s="423">
        <v>38</v>
      </c>
      <c r="P346" s="436" t="str">
        <f t="shared" si="80"/>
        <v>West Virginia</v>
      </c>
      <c r="Q346" s="408">
        <v>20</v>
      </c>
      <c r="R346" s="494" t="str">
        <f t="shared" si="82"/>
        <v>Texas</v>
      </c>
      <c r="S346" s="494" t="str">
        <f t="shared" si="83"/>
        <v>West Virginia</v>
      </c>
      <c r="T346" s="356" t="str">
        <f>K346</f>
        <v>West Virginia</v>
      </c>
      <c r="U346" s="665" t="str">
        <f t="shared" si="84"/>
        <v>L</v>
      </c>
      <c r="V346" s="352" t="str">
        <f>LOWER(+H346)</f>
        <v>texas</v>
      </c>
      <c r="W346" s="424">
        <v>17</v>
      </c>
      <c r="X346" s="352" t="str">
        <f>UPPER(+F346)</f>
        <v>WEST VIRGINIA</v>
      </c>
      <c r="Y346" s="425">
        <v>13</v>
      </c>
    </row>
    <row r="347" spans="1:25" ht="16" x14ac:dyDescent="0.8">
      <c r="A347" s="351">
        <v>5</v>
      </c>
      <c r="B347" s="420" t="s">
        <v>34</v>
      </c>
      <c r="C347" s="421">
        <v>44835</v>
      </c>
      <c r="D347" s="414">
        <f>16/24</f>
        <v>0.66666666666666663</v>
      </c>
      <c r="E347" s="349"/>
      <c r="F347" s="420" t="s">
        <v>97</v>
      </c>
      <c r="G347" s="349" t="s">
        <v>39</v>
      </c>
      <c r="H347" s="420" t="s">
        <v>167</v>
      </c>
      <c r="I347" s="349" t="s">
        <v>39</v>
      </c>
      <c r="J347" s="420" t="str">
        <f>F347</f>
        <v>Florida Atlantic</v>
      </c>
      <c r="K347" s="379" t="str">
        <f t="shared" si="81"/>
        <v>North Texas</v>
      </c>
      <c r="L347" s="422">
        <v>3</v>
      </c>
      <c r="M347" s="418">
        <v>69</v>
      </c>
      <c r="N347" s="436" t="str">
        <f t="shared" si="86"/>
        <v>North Texas</v>
      </c>
      <c r="O347" s="423">
        <v>45</v>
      </c>
      <c r="P347" s="436" t="str">
        <f t="shared" si="80"/>
        <v>Florida Atlantic</v>
      </c>
      <c r="Q347" s="408">
        <v>28</v>
      </c>
      <c r="R347" s="494" t="str">
        <f t="shared" si="82"/>
        <v>North Texas</v>
      </c>
      <c r="S347" s="494" t="str">
        <f t="shared" si="83"/>
        <v>Florida Atlantic</v>
      </c>
      <c r="T347" s="356" t="str">
        <f>J347</f>
        <v>Florida Atlantic</v>
      </c>
      <c r="U347" s="665" t="str">
        <f t="shared" si="84"/>
        <v>L</v>
      </c>
      <c r="W347" s="424"/>
      <c r="X347" s="352" t="s">
        <v>404</v>
      </c>
      <c r="Y347" s="425"/>
    </row>
    <row r="348" spans="1:25" ht="16" x14ac:dyDescent="0.8">
      <c r="A348" s="351">
        <v>5</v>
      </c>
      <c r="B348" s="420" t="s">
        <v>34</v>
      </c>
      <c r="C348" s="421">
        <v>44835</v>
      </c>
      <c r="D348" s="414">
        <f>19.5/24</f>
        <v>0.8125</v>
      </c>
      <c r="E348" s="349"/>
      <c r="F348" s="420" t="s">
        <v>173</v>
      </c>
      <c r="G348" s="349" t="s">
        <v>39</v>
      </c>
      <c r="H348" s="420" t="s">
        <v>38</v>
      </c>
      <c r="I348" s="349" t="s">
        <v>39</v>
      </c>
      <c r="J348" s="420" t="str">
        <f>F348</f>
        <v>UAB</v>
      </c>
      <c r="K348" s="379" t="str">
        <f t="shared" si="81"/>
        <v>Rice</v>
      </c>
      <c r="L348" s="422">
        <v>10</v>
      </c>
      <c r="M348" s="418">
        <v>52</v>
      </c>
      <c r="N348" s="436" t="str">
        <f t="shared" si="86"/>
        <v>Rice</v>
      </c>
      <c r="O348" s="423">
        <v>28</v>
      </c>
      <c r="P348" s="436" t="str">
        <f t="shared" si="80"/>
        <v>UAB</v>
      </c>
      <c r="Q348" s="408">
        <v>24</v>
      </c>
      <c r="R348" s="494" t="str">
        <f t="shared" si="82"/>
        <v>Rice</v>
      </c>
      <c r="S348" s="494" t="str">
        <f t="shared" si="83"/>
        <v>UAB</v>
      </c>
      <c r="T348" s="356" t="str">
        <f>J348</f>
        <v>UAB</v>
      </c>
      <c r="U348" s="665" t="str">
        <f t="shared" si="84"/>
        <v>L</v>
      </c>
      <c r="V348" s="352" t="str">
        <f>LOWER(+H348)</f>
        <v>rice</v>
      </c>
      <c r="W348" s="424">
        <v>30</v>
      </c>
      <c r="X348" s="352" t="str">
        <f>UPPER(+F348)</f>
        <v>UAB</v>
      </c>
      <c r="Y348" s="425">
        <v>24</v>
      </c>
    </row>
    <row r="349" spans="1:25" ht="16" x14ac:dyDescent="0.8">
      <c r="A349" s="351">
        <v>5</v>
      </c>
      <c r="B349" s="420" t="s">
        <v>34</v>
      </c>
      <c r="C349" s="421">
        <v>44835</v>
      </c>
      <c r="D349" s="414">
        <f>18/24</f>
        <v>0.75</v>
      </c>
      <c r="E349" s="349" t="s">
        <v>53</v>
      </c>
      <c r="F349" s="420" t="s">
        <v>153</v>
      </c>
      <c r="G349" s="349" t="s">
        <v>39</v>
      </c>
      <c r="H349" s="420" t="s">
        <v>100</v>
      </c>
      <c r="I349" s="349" t="s">
        <v>39</v>
      </c>
      <c r="J349" s="420" t="str">
        <f>F349</f>
        <v>UTEP</v>
      </c>
      <c r="K349" s="379" t="str">
        <f t="shared" si="81"/>
        <v>UNC Charlotte</v>
      </c>
      <c r="L349" s="422">
        <v>3</v>
      </c>
      <c r="M349" s="418">
        <v>51</v>
      </c>
      <c r="N349" s="436" t="str">
        <f>F349</f>
        <v>UTEP</v>
      </c>
      <c r="O349" s="423">
        <v>41</v>
      </c>
      <c r="P349" s="436" t="str">
        <f t="shared" si="80"/>
        <v>UNC Charlotte</v>
      </c>
      <c r="Q349" s="408">
        <v>35</v>
      </c>
      <c r="R349" s="494" t="str">
        <f t="shared" si="82"/>
        <v>UTEP</v>
      </c>
      <c r="S349" s="494" t="str">
        <f t="shared" si="83"/>
        <v>UNC Charlotte</v>
      </c>
      <c r="T349" s="356" t="str">
        <f>J349</f>
        <v>UTEP</v>
      </c>
      <c r="U349" s="665" t="str">
        <f t="shared" si="84"/>
        <v>W</v>
      </c>
      <c r="W349" s="424"/>
      <c r="X349" s="352" t="s">
        <v>404</v>
      </c>
      <c r="Y349" s="425"/>
    </row>
    <row r="350" spans="1:25" ht="16" x14ac:dyDescent="0.8">
      <c r="A350" s="351">
        <v>5</v>
      </c>
      <c r="B350" s="420" t="s">
        <v>34</v>
      </c>
      <c r="C350" s="421">
        <v>44835</v>
      </c>
      <c r="D350" s="414">
        <f>19/24</f>
        <v>0.79166666666666663</v>
      </c>
      <c r="E350" s="349"/>
      <c r="F350" s="420" t="s">
        <v>185</v>
      </c>
      <c r="G350" s="349" t="s">
        <v>59</v>
      </c>
      <c r="H350" s="420" t="s">
        <v>177</v>
      </c>
      <c r="I350" s="349" t="s">
        <v>39</v>
      </c>
      <c r="J350" s="420" t="str">
        <f>H350</f>
        <v>Western Kentucky</v>
      </c>
      <c r="K350" s="379" t="str">
        <f t="shared" si="81"/>
        <v>Troy</v>
      </c>
      <c r="L350" s="422">
        <v>5.5</v>
      </c>
      <c r="M350" s="418">
        <v>57.5</v>
      </c>
      <c r="N350" s="436" t="str">
        <f>F350</f>
        <v>Troy</v>
      </c>
      <c r="O350" s="423">
        <v>34</v>
      </c>
      <c r="P350" s="436" t="str">
        <f t="shared" si="80"/>
        <v>Western Kentucky</v>
      </c>
      <c r="Q350" s="408">
        <v>27</v>
      </c>
      <c r="R350" s="494" t="str">
        <f t="shared" si="82"/>
        <v>Troy</v>
      </c>
      <c r="S350" s="494" t="str">
        <f t="shared" si="83"/>
        <v>Western Kentucky</v>
      </c>
      <c r="T350" s="356" t="str">
        <f>K350</f>
        <v>Troy</v>
      </c>
      <c r="U350" s="665" t="str">
        <f t="shared" si="84"/>
        <v>W</v>
      </c>
      <c r="W350" s="424"/>
      <c r="X350" s="352" t="s">
        <v>404</v>
      </c>
      <c r="Y350" s="425"/>
    </row>
    <row r="351" spans="1:25" ht="16" x14ac:dyDescent="0.8">
      <c r="A351" s="351">
        <v>5</v>
      </c>
      <c r="B351" s="420" t="s">
        <v>34</v>
      </c>
      <c r="C351" s="421">
        <v>44835</v>
      </c>
      <c r="D351" s="414">
        <f>12/24</f>
        <v>0.5</v>
      </c>
      <c r="E351" s="349" t="s">
        <v>445</v>
      </c>
      <c r="F351" s="420" t="s">
        <v>84</v>
      </c>
      <c r="G351" s="349" t="s">
        <v>59</v>
      </c>
      <c r="H351" s="420" t="s">
        <v>99</v>
      </c>
      <c r="I351" s="349" t="s">
        <v>43</v>
      </c>
      <c r="J351" s="420" t="str">
        <f>H351</f>
        <v>Army</v>
      </c>
      <c r="K351" s="379" t="str">
        <f t="shared" si="81"/>
        <v>Georgia State</v>
      </c>
      <c r="L351" s="422">
        <v>7.5</v>
      </c>
      <c r="M351" s="418">
        <v>54</v>
      </c>
      <c r="N351" s="436" t="str">
        <f>F351</f>
        <v>Georgia State</v>
      </c>
      <c r="O351" s="423">
        <v>31</v>
      </c>
      <c r="P351" s="436" t="str">
        <f t="shared" si="80"/>
        <v>Army</v>
      </c>
      <c r="Q351" s="408">
        <v>14</v>
      </c>
      <c r="R351" s="494" t="str">
        <f t="shared" si="82"/>
        <v>Georgia State</v>
      </c>
      <c r="S351" s="494" t="str">
        <f t="shared" si="83"/>
        <v>Army</v>
      </c>
      <c r="T351" s="356" t="str">
        <f>H351</f>
        <v>Army</v>
      </c>
      <c r="U351" s="665" t="str">
        <f t="shared" si="84"/>
        <v>L</v>
      </c>
      <c r="V351" s="352" t="str">
        <f>LOWER(+H351)</f>
        <v>army</v>
      </c>
      <c r="W351" s="424">
        <v>43</v>
      </c>
      <c r="X351" s="352" t="str">
        <f>UPPER(+F351)</f>
        <v>GEORGIA STATE</v>
      </c>
      <c r="Y351" s="425">
        <v>10</v>
      </c>
    </row>
    <row r="352" spans="1:25" ht="16" x14ac:dyDescent="0.8">
      <c r="A352" s="351">
        <v>5</v>
      </c>
      <c r="B352" s="420" t="s">
        <v>34</v>
      </c>
      <c r="C352" s="421">
        <v>44835</v>
      </c>
      <c r="D352" s="414">
        <f>15.5/24</f>
        <v>0.64583333333333337</v>
      </c>
      <c r="E352" s="349" t="s">
        <v>445</v>
      </c>
      <c r="F352" s="420" t="s">
        <v>188</v>
      </c>
      <c r="G352" s="349" t="s">
        <v>45</v>
      </c>
      <c r="H352" s="420" t="s">
        <v>57</v>
      </c>
      <c r="I352" s="349" t="s">
        <v>43</v>
      </c>
      <c r="J352" s="420" t="str">
        <f>F352</f>
        <v>Fresno State</v>
      </c>
      <c r="K352" s="379" t="str">
        <f t="shared" si="81"/>
        <v>Connecticut</v>
      </c>
      <c r="L352" s="422">
        <v>23.5</v>
      </c>
      <c r="M352" s="418">
        <v>52.5</v>
      </c>
      <c r="N352" s="436" t="str">
        <f>H352</f>
        <v>Connecticut</v>
      </c>
      <c r="O352" s="423">
        <v>19</v>
      </c>
      <c r="P352" s="436" t="str">
        <f t="shared" si="80"/>
        <v>Fresno State</v>
      </c>
      <c r="Q352" s="408">
        <v>14</v>
      </c>
      <c r="R352" s="494" t="str">
        <f t="shared" si="82"/>
        <v>Connecticut</v>
      </c>
      <c r="S352" s="494" t="str">
        <f t="shared" si="83"/>
        <v>Fresno State</v>
      </c>
      <c r="T352" s="356" t="str">
        <f>K352</f>
        <v>Connecticut</v>
      </c>
      <c r="U352" s="665" t="str">
        <f t="shared" si="84"/>
        <v>W</v>
      </c>
      <c r="V352" s="352" t="str">
        <f>UPPER(+F352)</f>
        <v>FRESNO STATE</v>
      </c>
      <c r="W352" s="424">
        <v>45</v>
      </c>
      <c r="X352" s="352" t="str">
        <f>LOWER(+H352)</f>
        <v>connecticut</v>
      </c>
      <c r="Y352" s="425">
        <v>0</v>
      </c>
    </row>
    <row r="353" spans="1:25" ht="16" x14ac:dyDescent="0.8">
      <c r="A353" s="351">
        <v>5</v>
      </c>
      <c r="B353" s="420" t="s">
        <v>34</v>
      </c>
      <c r="C353" s="421">
        <v>44835</v>
      </c>
      <c r="D353" s="414">
        <f>20/24</f>
        <v>0.83333333333333337</v>
      </c>
      <c r="E353" s="349"/>
      <c r="F353" s="420" t="s">
        <v>105</v>
      </c>
      <c r="G353" s="349" t="s">
        <v>39</v>
      </c>
      <c r="H353" s="420" t="s">
        <v>78</v>
      </c>
      <c r="I353" s="349" t="s">
        <v>43</v>
      </c>
      <c r="J353" s="420" t="str">
        <f>H353</f>
        <v>New Mexico State</v>
      </c>
      <c r="K353" s="379" t="str">
        <f t="shared" si="81"/>
        <v>Florida Intl</v>
      </c>
      <c r="L353" s="422">
        <v>15.5</v>
      </c>
      <c r="M353" s="418">
        <v>54.5</v>
      </c>
      <c r="N353" s="436" t="str">
        <f>F353</f>
        <v>Florida Intl</v>
      </c>
      <c r="O353" s="423">
        <v>21</v>
      </c>
      <c r="P353" s="436" t="str">
        <f t="shared" si="80"/>
        <v>New Mexico State</v>
      </c>
      <c r="Q353" s="408">
        <v>7</v>
      </c>
      <c r="R353" s="494" t="str">
        <f t="shared" si="82"/>
        <v>Florida Intl</v>
      </c>
      <c r="S353" s="494" t="str">
        <f t="shared" si="83"/>
        <v>New Mexico State</v>
      </c>
      <c r="T353" s="356" t="str">
        <f>J353</f>
        <v>New Mexico State</v>
      </c>
      <c r="U353" s="665" t="str">
        <f t="shared" si="84"/>
        <v>L</v>
      </c>
      <c r="W353" s="424"/>
      <c r="X353" s="352" t="s">
        <v>404</v>
      </c>
      <c r="Y353" s="425"/>
    </row>
    <row r="354" spans="1:25" ht="16" x14ac:dyDescent="0.8">
      <c r="A354" s="351">
        <v>5</v>
      </c>
      <c r="B354" s="420" t="s">
        <v>34</v>
      </c>
      <c r="C354" s="421">
        <v>44835</v>
      </c>
      <c r="D354" s="414">
        <f>15.5/24</f>
        <v>0.64583333333333337</v>
      </c>
      <c r="E354" s="349"/>
      <c r="F354" s="420" t="s">
        <v>138</v>
      </c>
      <c r="G354" s="349" t="s">
        <v>68</v>
      </c>
      <c r="H354" s="420" t="s">
        <v>144</v>
      </c>
      <c r="I354" s="349" t="s">
        <v>68</v>
      </c>
      <c r="J354" s="420" t="str">
        <f>F354</f>
        <v>Bowling Green</v>
      </c>
      <c r="K354" s="379" t="str">
        <f t="shared" si="81"/>
        <v>Akron</v>
      </c>
      <c r="L354" s="422">
        <v>8.5</v>
      </c>
      <c r="M354" s="418">
        <v>51</v>
      </c>
      <c r="N354" s="436" t="str">
        <f>F354</f>
        <v>Bowling Green</v>
      </c>
      <c r="O354" s="423">
        <v>42</v>
      </c>
      <c r="P354" s="436" t="str">
        <f t="shared" si="80"/>
        <v>Akron</v>
      </c>
      <c r="Q354" s="408">
        <v>38</v>
      </c>
      <c r="R354" s="494" t="str">
        <f t="shared" si="82"/>
        <v>Akron</v>
      </c>
      <c r="S354" s="494" t="str">
        <f t="shared" si="83"/>
        <v>Bowling Green</v>
      </c>
      <c r="T354" s="356" t="str">
        <f>J354</f>
        <v>Bowling Green</v>
      </c>
      <c r="U354" s="665" t="str">
        <f t="shared" si="84"/>
        <v>L</v>
      </c>
      <c r="V354" s="352" t="str">
        <f>LOWER(+H354)</f>
        <v>akron</v>
      </c>
      <c r="W354" s="424">
        <v>35</v>
      </c>
      <c r="X354" s="352" t="str">
        <f>UPPER(+F354)</f>
        <v>BOWLING GREEN</v>
      </c>
      <c r="Y354" s="425">
        <v>20</v>
      </c>
    </row>
    <row r="355" spans="1:25" ht="16" x14ac:dyDescent="0.8">
      <c r="A355" s="351">
        <v>5</v>
      </c>
      <c r="B355" s="420" t="s">
        <v>34</v>
      </c>
      <c r="C355" s="421">
        <v>44835</v>
      </c>
      <c r="D355" s="414">
        <f>14/24</f>
        <v>0.58333333333333337</v>
      </c>
      <c r="E355" s="349"/>
      <c r="F355" s="420" t="s">
        <v>103</v>
      </c>
      <c r="G355" s="349" t="s">
        <v>68</v>
      </c>
      <c r="H355" s="420" t="s">
        <v>131</v>
      </c>
      <c r="I355" s="349" t="s">
        <v>68</v>
      </c>
      <c r="J355" s="420" t="str">
        <f>F355</f>
        <v>Northern Illinois</v>
      </c>
      <c r="K355" s="379" t="str">
        <f t="shared" si="81"/>
        <v>Ball State</v>
      </c>
      <c r="L355" s="422">
        <v>3.5</v>
      </c>
      <c r="M355" s="418">
        <v>60.5</v>
      </c>
      <c r="N355" s="436" t="str">
        <f t="shared" ref="N355:N361" si="87">H355</f>
        <v>Ball State</v>
      </c>
      <c r="O355" s="423">
        <v>44</v>
      </c>
      <c r="P355" s="436" t="str">
        <f t="shared" si="80"/>
        <v>Northern Illinois</v>
      </c>
      <c r="Q355" s="408">
        <v>38</v>
      </c>
      <c r="R355" s="494" t="str">
        <f t="shared" si="82"/>
        <v>Ball State</v>
      </c>
      <c r="S355" s="494" t="str">
        <f t="shared" si="83"/>
        <v>Northern Illinois</v>
      </c>
      <c r="T355" s="356" t="str">
        <f>K355</f>
        <v>Ball State</v>
      </c>
      <c r="U355" s="665" t="str">
        <f t="shared" si="84"/>
        <v>W</v>
      </c>
      <c r="V355" s="352" t="str">
        <f>UPPER(+F355)</f>
        <v>NORTHERN ILLINOIS</v>
      </c>
      <c r="W355" s="424">
        <v>30</v>
      </c>
      <c r="X355" s="352" t="str">
        <f>LOWER(+H355)</f>
        <v>ball state</v>
      </c>
      <c r="Y355" s="425">
        <v>29</v>
      </c>
    </row>
    <row r="356" spans="1:25" ht="16" x14ac:dyDescent="0.8">
      <c r="A356" s="351">
        <v>5</v>
      </c>
      <c r="B356" s="420" t="s">
        <v>34</v>
      </c>
      <c r="C356" s="421">
        <v>44835</v>
      </c>
      <c r="D356" s="414">
        <f>15.5/24</f>
        <v>0.64583333333333337</v>
      </c>
      <c r="E356" s="349"/>
      <c r="F356" s="420" t="s">
        <v>162</v>
      </c>
      <c r="G356" s="349" t="s">
        <v>68</v>
      </c>
      <c r="H356" s="420" t="s">
        <v>67</v>
      </c>
      <c r="I356" s="349" t="s">
        <v>68</v>
      </c>
      <c r="J356" s="420" t="str">
        <f>H356</f>
        <v>Buffalo</v>
      </c>
      <c r="K356" s="379" t="str">
        <f t="shared" si="81"/>
        <v>Miami (OH)</v>
      </c>
      <c r="L356" s="422">
        <v>1.5</v>
      </c>
      <c r="M356" s="418">
        <v>50.5</v>
      </c>
      <c r="N356" s="436" t="str">
        <f t="shared" si="87"/>
        <v>Buffalo</v>
      </c>
      <c r="O356" s="423">
        <v>24</v>
      </c>
      <c r="P356" s="436" t="str">
        <f t="shared" si="80"/>
        <v>Miami (OH)</v>
      </c>
      <c r="Q356" s="408">
        <v>20</v>
      </c>
      <c r="R356" s="494" t="str">
        <f t="shared" si="82"/>
        <v>Buffalo</v>
      </c>
      <c r="S356" s="494" t="str">
        <f t="shared" si="83"/>
        <v>Miami (OH)</v>
      </c>
      <c r="T356" s="356" t="str">
        <f>K356</f>
        <v>Miami (OH)</v>
      </c>
      <c r="U356" s="665" t="str">
        <f t="shared" si="84"/>
        <v>L</v>
      </c>
      <c r="V356" s="352" t="str">
        <f>UPPER(+F356)</f>
        <v>MIAMI (OH)</v>
      </c>
      <c r="W356" s="424">
        <v>45</v>
      </c>
      <c r="X356" s="352" t="str">
        <f>LOWER(+H356)</f>
        <v>buffalo</v>
      </c>
      <c r="Y356" s="425">
        <v>18</v>
      </c>
    </row>
    <row r="357" spans="1:25" ht="16" x14ac:dyDescent="0.8">
      <c r="A357" s="351">
        <v>5</v>
      </c>
      <c r="B357" s="420" t="s">
        <v>34</v>
      </c>
      <c r="C357" s="421">
        <v>44835</v>
      </c>
      <c r="D357" s="414">
        <f>14/24</f>
        <v>0.58333333333333337</v>
      </c>
      <c r="E357" s="349"/>
      <c r="F357" s="420" t="s">
        <v>46</v>
      </c>
      <c r="G357" s="349" t="s">
        <v>43</v>
      </c>
      <c r="H357" s="420" t="s">
        <v>101</v>
      </c>
      <c r="I357" s="349" t="s">
        <v>68</v>
      </c>
      <c r="J357" s="420" t="str">
        <f>H357</f>
        <v>Eastern Michigan</v>
      </c>
      <c r="K357" s="379" t="str">
        <f t="shared" si="81"/>
        <v>Massachusetts</v>
      </c>
      <c r="L357" s="422">
        <v>19.5</v>
      </c>
      <c r="M357" s="418">
        <v>54.5</v>
      </c>
      <c r="N357" s="436" t="str">
        <f t="shared" si="87"/>
        <v>Eastern Michigan</v>
      </c>
      <c r="O357" s="423">
        <v>20</v>
      </c>
      <c r="P357" s="436" t="str">
        <f t="shared" si="80"/>
        <v>Massachusetts</v>
      </c>
      <c r="Q357" s="408">
        <v>13</v>
      </c>
      <c r="R357" s="494" t="str">
        <f t="shared" si="82"/>
        <v>Massachusetts</v>
      </c>
      <c r="S357" s="494" t="str">
        <f t="shared" si="83"/>
        <v>Eastern Michigan</v>
      </c>
      <c r="T357" s="356" t="str">
        <f>J357</f>
        <v>Eastern Michigan</v>
      </c>
      <c r="U357" s="665" t="str">
        <f t="shared" si="84"/>
        <v>L</v>
      </c>
      <c r="V357" s="352" t="str">
        <f>LOWER(+H357)</f>
        <v>eastern michigan</v>
      </c>
      <c r="W357" s="424">
        <v>42</v>
      </c>
      <c r="X357" s="352" t="str">
        <f>UPPER(+F357)</f>
        <v>MASSACHUSETTS</v>
      </c>
      <c r="Y357" s="425">
        <v>28</v>
      </c>
    </row>
    <row r="358" spans="1:25" ht="16" x14ac:dyDescent="0.8">
      <c r="A358" s="351">
        <v>5</v>
      </c>
      <c r="B358" s="420" t="s">
        <v>34</v>
      </c>
      <c r="C358" s="421">
        <v>44835</v>
      </c>
      <c r="D358" s="414">
        <f>15.5/24</f>
        <v>0.64583333333333337</v>
      </c>
      <c r="E358" s="349"/>
      <c r="F358" s="420" t="s">
        <v>182</v>
      </c>
      <c r="G358" s="349" t="s">
        <v>68</v>
      </c>
      <c r="H358" s="420" t="s">
        <v>113</v>
      </c>
      <c r="I358" s="349" t="s">
        <v>68</v>
      </c>
      <c r="J358" s="420" t="str">
        <f>H358</f>
        <v>Kent State</v>
      </c>
      <c r="K358" s="379" t="str">
        <f t="shared" si="81"/>
        <v>Ohio</v>
      </c>
      <c r="L358" s="422">
        <v>11</v>
      </c>
      <c r="M358" s="418">
        <v>68</v>
      </c>
      <c r="N358" s="436" t="str">
        <f t="shared" si="87"/>
        <v>Kent State</v>
      </c>
      <c r="O358" s="423">
        <v>31</v>
      </c>
      <c r="P358" s="436" t="str">
        <f t="shared" si="80"/>
        <v>Ohio</v>
      </c>
      <c r="Q358" s="408">
        <v>24</v>
      </c>
      <c r="R358" s="494" t="str">
        <f t="shared" si="82"/>
        <v>Ohio</v>
      </c>
      <c r="S358" s="494" t="str">
        <f t="shared" si="83"/>
        <v>Kent State</v>
      </c>
      <c r="T358" s="356" t="str">
        <f>J358</f>
        <v>Kent State</v>
      </c>
      <c r="U358" s="665" t="str">
        <f t="shared" si="84"/>
        <v>L</v>
      </c>
      <c r="V358" s="352" t="str">
        <f>LOWER(+H358)</f>
        <v>kent state</v>
      </c>
      <c r="W358" s="424">
        <v>34</v>
      </c>
      <c r="X358" s="352" t="str">
        <f>UPPER(+F358)</f>
        <v>OHIO</v>
      </c>
      <c r="Y358" s="425">
        <v>27</v>
      </c>
    </row>
    <row r="359" spans="1:25" ht="16" x14ac:dyDescent="0.8">
      <c r="A359" s="351">
        <v>5</v>
      </c>
      <c r="B359" s="420" t="s">
        <v>34</v>
      </c>
      <c r="C359" s="421">
        <v>44835</v>
      </c>
      <c r="D359" s="414">
        <f>18/24</f>
        <v>0.75</v>
      </c>
      <c r="E359" s="349" t="s">
        <v>53</v>
      </c>
      <c r="F359" s="420" t="s">
        <v>75</v>
      </c>
      <c r="G359" s="349" t="s">
        <v>68</v>
      </c>
      <c r="H359" s="420" t="s">
        <v>77</v>
      </c>
      <c r="I359" s="349" t="s">
        <v>68</v>
      </c>
      <c r="J359" s="420" t="str">
        <f>H359</f>
        <v>Toledo</v>
      </c>
      <c r="K359" s="379" t="str">
        <f t="shared" si="81"/>
        <v>Central Michigan</v>
      </c>
      <c r="L359" s="422">
        <v>7.5</v>
      </c>
      <c r="M359" s="418">
        <v>58</v>
      </c>
      <c r="N359" s="436" t="str">
        <f t="shared" si="87"/>
        <v>Toledo</v>
      </c>
      <c r="O359" s="423">
        <v>38</v>
      </c>
      <c r="P359" s="436" t="str">
        <f t="shared" si="80"/>
        <v>Central Michigan</v>
      </c>
      <c r="Q359" s="408">
        <v>17</v>
      </c>
      <c r="R359" s="494" t="str">
        <f t="shared" si="82"/>
        <v>Toledo</v>
      </c>
      <c r="S359" s="494" t="str">
        <f t="shared" si="83"/>
        <v>Central Michigan</v>
      </c>
      <c r="T359" s="356" t="str">
        <f>K359</f>
        <v>Central Michigan</v>
      </c>
      <c r="U359" s="665" t="str">
        <f t="shared" si="84"/>
        <v>L</v>
      </c>
      <c r="V359" s="352" t="str">
        <f>UPPER(+F359)</f>
        <v>CENTRAL MICHIGAN</v>
      </c>
      <c r="W359" s="424">
        <v>26</v>
      </c>
      <c r="X359" s="352" t="str">
        <f>LOWER(+H359)</f>
        <v>toledo</v>
      </c>
      <c r="Y359" s="425">
        <v>23</v>
      </c>
    </row>
    <row r="360" spans="1:25" ht="16" x14ac:dyDescent="0.8">
      <c r="A360" s="351">
        <v>5</v>
      </c>
      <c r="B360" s="420" t="s">
        <v>34</v>
      </c>
      <c r="C360" s="421">
        <v>44835</v>
      </c>
      <c r="D360" s="414">
        <f>18/24</f>
        <v>0.75</v>
      </c>
      <c r="E360" s="349" t="s">
        <v>53</v>
      </c>
      <c r="F360" s="420" t="s">
        <v>242</v>
      </c>
      <c r="G360" s="349" t="s">
        <v>41</v>
      </c>
      <c r="H360" s="420" t="s">
        <v>201</v>
      </c>
      <c r="I360" s="349" t="s">
        <v>68</v>
      </c>
      <c r="J360" s="420"/>
      <c r="K360" s="379"/>
      <c r="L360" s="422"/>
      <c r="M360" s="418"/>
      <c r="N360" s="351" t="str">
        <f t="shared" si="87"/>
        <v>Western Michigan</v>
      </c>
      <c r="O360" s="423">
        <v>44</v>
      </c>
      <c r="P360" s="436" t="str">
        <f t="shared" ref="P360:P381" si="88">IF(+N360=H360,F360,H360)</f>
        <v>1AA New Hampshire</v>
      </c>
      <c r="Q360" s="408">
        <v>7</v>
      </c>
      <c r="R360" s="494"/>
      <c r="S360" s="494"/>
      <c r="T360" s="356"/>
      <c r="U360" s="349"/>
      <c r="W360" s="424"/>
      <c r="X360" s="352" t="s">
        <v>404</v>
      </c>
      <c r="Y360" s="425"/>
    </row>
    <row r="361" spans="1:25" ht="16" x14ac:dyDescent="0.8">
      <c r="A361" s="351">
        <v>5</v>
      </c>
      <c r="B361" s="420" t="s">
        <v>34</v>
      </c>
      <c r="C361" s="421">
        <v>44835</v>
      </c>
      <c r="D361" s="414">
        <f>12/24</f>
        <v>0.5</v>
      </c>
      <c r="E361" s="349" t="s">
        <v>303</v>
      </c>
      <c r="F361" s="420" t="s">
        <v>96</v>
      </c>
      <c r="G361" s="349" t="s">
        <v>50</v>
      </c>
      <c r="H361" s="420" t="s">
        <v>184</v>
      </c>
      <c r="I361" s="349" t="s">
        <v>45</v>
      </c>
      <c r="J361" s="420" t="str">
        <f>H361</f>
        <v>Air Force</v>
      </c>
      <c r="K361" s="379" t="str">
        <f t="shared" ref="K361:K367" si="89">IF(+J361=H361,F361,H361)</f>
        <v>Navy</v>
      </c>
      <c r="L361" s="422">
        <v>14</v>
      </c>
      <c r="M361" s="418">
        <v>37.5</v>
      </c>
      <c r="N361" s="436" t="str">
        <f t="shared" si="87"/>
        <v>Air Force</v>
      </c>
      <c r="O361" s="423">
        <v>13</v>
      </c>
      <c r="P361" s="436" t="str">
        <f t="shared" si="88"/>
        <v>Navy</v>
      </c>
      <c r="Q361" s="408">
        <v>10</v>
      </c>
      <c r="R361" s="494" t="str">
        <f t="shared" ref="R361:R367" si="90">IF(+N361=K361,+N361,IF(+O361-Q361&lt;L361,+K361,+J361))</f>
        <v>Navy</v>
      </c>
      <c r="S361" s="494" t="str">
        <f t="shared" ref="S361:S367" si="91">IF(+R361=J361,+K361,+J361)</f>
        <v>Air Force</v>
      </c>
      <c r="T361" s="356" t="str">
        <f>J361</f>
        <v>Air Force</v>
      </c>
      <c r="U361" s="665" t="str">
        <f t="shared" ref="U361:U367" si="92">IF($N361=$J361,IF($O361-$Q361=$L361,"T",IF($R361=T361,"W","L")),IF($R361=T361,"W","L"))</f>
        <v>L</v>
      </c>
      <c r="V361" s="352" t="str">
        <f>LOWER(+H361)</f>
        <v>air force</v>
      </c>
      <c r="W361" s="424">
        <v>23</v>
      </c>
      <c r="X361" s="352" t="str">
        <f>UPPER(+F361)</f>
        <v>NAVY</v>
      </c>
      <c r="Y361" s="425">
        <v>3</v>
      </c>
    </row>
    <row r="362" spans="1:25" ht="16" x14ac:dyDescent="0.8">
      <c r="A362" s="351">
        <v>5</v>
      </c>
      <c r="B362" s="420" t="s">
        <v>34</v>
      </c>
      <c r="C362" s="421">
        <v>44835</v>
      </c>
      <c r="D362" s="414">
        <f>19.5/24</f>
        <v>0.8125</v>
      </c>
      <c r="E362" s="349" t="s">
        <v>445</v>
      </c>
      <c r="F362" s="420" t="s">
        <v>51</v>
      </c>
      <c r="G362" s="349" t="s">
        <v>45</v>
      </c>
      <c r="H362" s="420" t="s">
        <v>133</v>
      </c>
      <c r="I362" s="349" t="s">
        <v>45</v>
      </c>
      <c r="J362" s="420" t="str">
        <f>F362</f>
        <v>San Jose State</v>
      </c>
      <c r="K362" s="379" t="str">
        <f t="shared" si="89"/>
        <v>Wyoming</v>
      </c>
      <c r="L362" s="422">
        <v>2.5</v>
      </c>
      <c r="M362" s="418">
        <v>42.5</v>
      </c>
      <c r="N362" s="436" t="str">
        <f>F362</f>
        <v>San Jose State</v>
      </c>
      <c r="O362" s="423">
        <v>33</v>
      </c>
      <c r="P362" s="436" t="str">
        <f t="shared" si="88"/>
        <v>Wyoming</v>
      </c>
      <c r="Q362" s="408">
        <v>16</v>
      </c>
      <c r="R362" s="494" t="str">
        <f t="shared" si="90"/>
        <v>San Jose State</v>
      </c>
      <c r="S362" s="494" t="str">
        <f t="shared" si="91"/>
        <v>Wyoming</v>
      </c>
      <c r="T362" s="356" t="str">
        <f>K362</f>
        <v>Wyoming</v>
      </c>
      <c r="U362" s="665" t="str">
        <f t="shared" si="92"/>
        <v>L</v>
      </c>
      <c r="V362" s="352" t="str">
        <f>LOWER(+H362)</f>
        <v>wyoming</v>
      </c>
      <c r="W362" s="424">
        <v>27</v>
      </c>
      <c r="X362" s="352" t="str">
        <f>UPPER(+F362)</f>
        <v>SAN JOSE STATE</v>
      </c>
      <c r="Y362" s="425">
        <v>21</v>
      </c>
    </row>
    <row r="363" spans="1:25" ht="16" x14ac:dyDescent="0.8">
      <c r="A363" s="351">
        <v>5</v>
      </c>
      <c r="B363" s="420" t="s">
        <v>34</v>
      </c>
      <c r="C363" s="421">
        <v>44835</v>
      </c>
      <c r="D363" s="414">
        <f>21.5/24</f>
        <v>0.89583333333333337</v>
      </c>
      <c r="E363" s="349" t="s">
        <v>446</v>
      </c>
      <c r="F363" s="420" t="s">
        <v>104</v>
      </c>
      <c r="G363" s="349" t="s">
        <v>37</v>
      </c>
      <c r="H363" s="420" t="s">
        <v>198</v>
      </c>
      <c r="I363" s="349" t="s">
        <v>37</v>
      </c>
      <c r="J363" s="420" t="str">
        <f>H363</f>
        <v>Arizona</v>
      </c>
      <c r="K363" s="379" t="str">
        <f t="shared" si="89"/>
        <v>Colorado</v>
      </c>
      <c r="L363" s="422">
        <v>17.5</v>
      </c>
      <c r="M363" s="418">
        <v>56.5</v>
      </c>
      <c r="N363" s="436" t="str">
        <f t="shared" ref="N363:N372" si="93">H363</f>
        <v>Arizona</v>
      </c>
      <c r="O363" s="423">
        <v>43</v>
      </c>
      <c r="P363" s="436" t="str">
        <f t="shared" si="88"/>
        <v>Colorado</v>
      </c>
      <c r="Q363" s="408">
        <v>20</v>
      </c>
      <c r="R363" s="494" t="str">
        <f t="shared" si="90"/>
        <v>Arizona</v>
      </c>
      <c r="S363" s="494" t="str">
        <f t="shared" si="91"/>
        <v>Colorado</v>
      </c>
      <c r="T363" s="356" t="str">
        <f>J363</f>
        <v>Arizona</v>
      </c>
      <c r="U363" s="665" t="str">
        <f t="shared" si="92"/>
        <v>W</v>
      </c>
      <c r="V363" s="352" t="str">
        <f>UPPER(+F363)</f>
        <v>COLORADO</v>
      </c>
      <c r="W363" s="424">
        <v>38</v>
      </c>
      <c r="X363" s="352" t="str">
        <f>LOWER(+H363)</f>
        <v>arizona</v>
      </c>
      <c r="Y363" s="425">
        <v>15</v>
      </c>
    </row>
    <row r="364" spans="1:25" ht="16" x14ac:dyDescent="0.8">
      <c r="A364" s="351">
        <v>5</v>
      </c>
      <c r="B364" s="420" t="s">
        <v>34</v>
      </c>
      <c r="C364" s="421">
        <v>44835</v>
      </c>
      <c r="D364" s="414">
        <f>23/24</f>
        <v>0.95833333333333337</v>
      </c>
      <c r="E364" s="349" t="s">
        <v>70</v>
      </c>
      <c r="F364" s="420" t="s">
        <v>36</v>
      </c>
      <c r="G364" s="349" t="s">
        <v>37</v>
      </c>
      <c r="H364" s="420" t="s">
        <v>200</v>
      </c>
      <c r="I364" s="349" t="s">
        <v>37</v>
      </c>
      <c r="J364" s="420" t="str">
        <f>H364</f>
        <v>Oregon</v>
      </c>
      <c r="K364" s="379" t="str">
        <f t="shared" si="89"/>
        <v>Stanford</v>
      </c>
      <c r="L364" s="422">
        <v>16.5</v>
      </c>
      <c r="M364" s="418">
        <v>63</v>
      </c>
      <c r="N364" s="436" t="str">
        <f t="shared" si="93"/>
        <v>Oregon</v>
      </c>
      <c r="O364" s="423">
        <v>45</v>
      </c>
      <c r="P364" s="436" t="str">
        <f t="shared" si="88"/>
        <v>Stanford</v>
      </c>
      <c r="Q364" s="408">
        <v>27</v>
      </c>
      <c r="R364" s="494" t="str">
        <f t="shared" si="90"/>
        <v>Oregon</v>
      </c>
      <c r="S364" s="494" t="str">
        <f t="shared" si="91"/>
        <v>Stanford</v>
      </c>
      <c r="T364" s="356" t="str">
        <f>J364</f>
        <v>Oregon</v>
      </c>
      <c r="U364" s="665" t="str">
        <f t="shared" si="92"/>
        <v>W</v>
      </c>
      <c r="V364" s="646" t="str">
        <f>UPPER(+F364)</f>
        <v>STANFORD</v>
      </c>
      <c r="W364" s="647">
        <v>31</v>
      </c>
      <c r="X364" s="646" t="str">
        <f>LOWER(+H364)</f>
        <v>oregon</v>
      </c>
      <c r="Y364" s="648">
        <v>24</v>
      </c>
    </row>
    <row r="365" spans="1:25" ht="16" x14ac:dyDescent="0.8">
      <c r="A365" s="351">
        <v>5</v>
      </c>
      <c r="B365" s="420" t="s">
        <v>34</v>
      </c>
      <c r="C365" s="421">
        <v>44835</v>
      </c>
      <c r="D365" s="414">
        <f>22.5/24</f>
        <v>0.9375</v>
      </c>
      <c r="E365" s="349" t="s">
        <v>35</v>
      </c>
      <c r="F365" s="420" t="s">
        <v>79</v>
      </c>
      <c r="G365" s="349" t="s">
        <v>37</v>
      </c>
      <c r="H365" s="420" t="s">
        <v>202</v>
      </c>
      <c r="I365" s="349" t="s">
        <v>37</v>
      </c>
      <c r="J365" s="420" t="str">
        <f>H365</f>
        <v>Southern Cal</v>
      </c>
      <c r="K365" s="379" t="str">
        <f t="shared" si="89"/>
        <v>Arizona State</v>
      </c>
      <c r="L365" s="422">
        <v>26</v>
      </c>
      <c r="M365" s="418">
        <v>60.5</v>
      </c>
      <c r="N365" s="436" t="str">
        <f t="shared" si="93"/>
        <v>Southern Cal</v>
      </c>
      <c r="O365" s="423">
        <v>42</v>
      </c>
      <c r="P365" s="436" t="str">
        <f t="shared" si="88"/>
        <v>Arizona State</v>
      </c>
      <c r="Q365" s="408">
        <v>25</v>
      </c>
      <c r="R365" s="494" t="str">
        <f t="shared" si="90"/>
        <v>Arizona State</v>
      </c>
      <c r="S365" s="494" t="str">
        <f t="shared" si="91"/>
        <v>Southern Cal</v>
      </c>
      <c r="T365" s="356" t="str">
        <f>J365</f>
        <v>Southern Cal</v>
      </c>
      <c r="U365" s="665" t="str">
        <f t="shared" si="92"/>
        <v>L</v>
      </c>
      <c r="V365" s="352" t="str">
        <f>UPPER(+F365)</f>
        <v>ARIZONA STATE</v>
      </c>
      <c r="W365" s="424">
        <v>31</v>
      </c>
      <c r="X365" s="352" t="str">
        <f>LOWER(+H365)</f>
        <v>southern cal</v>
      </c>
      <c r="Y365" s="425">
        <v>16</v>
      </c>
    </row>
    <row r="366" spans="1:25" ht="16" x14ac:dyDescent="0.8">
      <c r="A366" s="351">
        <v>5</v>
      </c>
      <c r="B366" s="420" t="s">
        <v>34</v>
      </c>
      <c r="C366" s="421">
        <v>44835</v>
      </c>
      <c r="D366" s="414">
        <f>14/24</f>
        <v>0.58333333333333337</v>
      </c>
      <c r="E366" s="349" t="s">
        <v>446</v>
      </c>
      <c r="F366" s="420" t="s">
        <v>47</v>
      </c>
      <c r="G366" s="349" t="s">
        <v>37</v>
      </c>
      <c r="H366" s="420" t="s">
        <v>81</v>
      </c>
      <c r="I366" s="349" t="s">
        <v>37</v>
      </c>
      <c r="J366" s="420" t="str">
        <f>H366</f>
        <v>Utah</v>
      </c>
      <c r="K366" s="379" t="str">
        <f t="shared" si="89"/>
        <v>Oregon State</v>
      </c>
      <c r="L366" s="422">
        <v>10.5</v>
      </c>
      <c r="M366" s="418">
        <v>55</v>
      </c>
      <c r="N366" s="436" t="str">
        <f t="shared" si="93"/>
        <v>Utah</v>
      </c>
      <c r="O366" s="423">
        <v>42</v>
      </c>
      <c r="P366" s="436" t="str">
        <f t="shared" si="88"/>
        <v>Oregon State</v>
      </c>
      <c r="Q366" s="408">
        <v>16</v>
      </c>
      <c r="R366" s="494" t="str">
        <f t="shared" si="90"/>
        <v>Utah</v>
      </c>
      <c r="S366" s="494" t="str">
        <f t="shared" si="91"/>
        <v>Oregon State</v>
      </c>
      <c r="T366" s="356" t="str">
        <f>K366</f>
        <v>Oregon State</v>
      </c>
      <c r="U366" s="665" t="str">
        <f t="shared" si="92"/>
        <v>L</v>
      </c>
      <c r="V366" s="646" t="str">
        <f>UPPER(+F366)</f>
        <v>OREGON STATE</v>
      </c>
      <c r="W366" s="647">
        <v>42</v>
      </c>
      <c r="X366" s="646" t="str">
        <f>LOWER(+H366)</f>
        <v>utah</v>
      </c>
      <c r="Y366" s="648">
        <v>34</v>
      </c>
    </row>
    <row r="367" spans="1:25" ht="16" x14ac:dyDescent="0.8">
      <c r="A367" s="351">
        <v>5</v>
      </c>
      <c r="B367" s="420" t="s">
        <v>34</v>
      </c>
      <c r="C367" s="421">
        <v>44835</v>
      </c>
      <c r="D367" s="414">
        <f>17.5/24</f>
        <v>0.72916666666666663</v>
      </c>
      <c r="E367" s="349" t="s">
        <v>446</v>
      </c>
      <c r="F367" s="420" t="s">
        <v>123</v>
      </c>
      <c r="G367" s="349" t="s">
        <v>37</v>
      </c>
      <c r="H367" s="420" t="s">
        <v>204</v>
      </c>
      <c r="I367" s="349" t="s">
        <v>37</v>
      </c>
      <c r="J367" s="420" t="str">
        <f>H367</f>
        <v>Washington State</v>
      </c>
      <c r="K367" s="379" t="str">
        <f t="shared" si="89"/>
        <v>California</v>
      </c>
      <c r="L367" s="422">
        <v>3.5</v>
      </c>
      <c r="M367" s="418">
        <v>53.5</v>
      </c>
      <c r="N367" s="436" t="str">
        <f t="shared" si="93"/>
        <v>Washington State</v>
      </c>
      <c r="O367" s="423">
        <v>28</v>
      </c>
      <c r="P367" s="436" t="str">
        <f t="shared" si="88"/>
        <v>California</v>
      </c>
      <c r="Q367" s="408">
        <v>9</v>
      </c>
      <c r="R367" s="494" t="str">
        <f t="shared" si="90"/>
        <v>Washington State</v>
      </c>
      <c r="S367" s="494" t="str">
        <f t="shared" si="91"/>
        <v>California</v>
      </c>
      <c r="T367" s="356" t="str">
        <f>J367</f>
        <v>Washington State</v>
      </c>
      <c r="U367" s="665" t="str">
        <f t="shared" si="92"/>
        <v>W</v>
      </c>
      <c r="V367" s="352" t="str">
        <f>LOWER(+H367)</f>
        <v>washington state</v>
      </c>
      <c r="W367" s="424">
        <v>21</v>
      </c>
      <c r="X367" s="352" t="str">
        <f>UPPER(+F367)</f>
        <v>CALIFORNIA</v>
      </c>
      <c r="Y367" s="425">
        <v>16</v>
      </c>
    </row>
    <row r="368" spans="1:25" ht="16" x14ac:dyDescent="0.8">
      <c r="A368" s="351">
        <v>5</v>
      </c>
      <c r="B368" s="420" t="s">
        <v>34</v>
      </c>
      <c r="C368" s="421">
        <v>44835</v>
      </c>
      <c r="D368" s="414">
        <f>15.5/24</f>
        <v>0.64583333333333337</v>
      </c>
      <c r="E368" s="349"/>
      <c r="F368" s="420" t="s">
        <v>262</v>
      </c>
      <c r="G368" s="349" t="s">
        <v>41</v>
      </c>
      <c r="H368" s="420" t="s">
        <v>212</v>
      </c>
      <c r="I368" s="349" t="s">
        <v>59</v>
      </c>
      <c r="J368" s="420"/>
      <c r="K368" s="379"/>
      <c r="L368" s="422"/>
      <c r="M368" s="418"/>
      <c r="N368" s="351" t="str">
        <f t="shared" si="93"/>
        <v>Appalachian State</v>
      </c>
      <c r="O368" s="423">
        <v>49</v>
      </c>
      <c r="P368" s="436" t="str">
        <f t="shared" si="88"/>
        <v>1AA Citadel</v>
      </c>
      <c r="Q368" s="408">
        <v>0</v>
      </c>
      <c r="R368" s="494"/>
      <c r="S368" s="494"/>
      <c r="T368" s="356"/>
      <c r="U368" s="665"/>
      <c r="W368" s="424"/>
      <c r="X368" s="352" t="s">
        <v>404</v>
      </c>
      <c r="Y368" s="425"/>
    </row>
    <row r="369" spans="1:25" ht="16" x14ac:dyDescent="0.8">
      <c r="A369" s="351">
        <v>5</v>
      </c>
      <c r="B369" s="420" t="s">
        <v>34</v>
      </c>
      <c r="C369" s="421">
        <v>44835</v>
      </c>
      <c r="D369" s="414">
        <f>19/24</f>
        <v>0.79166666666666663</v>
      </c>
      <c r="E369" s="349"/>
      <c r="F369" s="420" t="s">
        <v>58</v>
      </c>
      <c r="G369" s="349" t="s">
        <v>59</v>
      </c>
      <c r="H369" s="420" t="s">
        <v>140</v>
      </c>
      <c r="I369" s="349" t="s">
        <v>59</v>
      </c>
      <c r="J369" s="420" t="str">
        <f>H369</f>
        <v>Arkansas State</v>
      </c>
      <c r="K369" s="379" t="str">
        <f t="shared" ref="K369:K371" si="94">IF(+J369=H369,F369,H369)</f>
        <v>UL Monroe</v>
      </c>
      <c r="L369" s="422">
        <v>7.5</v>
      </c>
      <c r="M369" s="418">
        <v>60.5</v>
      </c>
      <c r="N369" s="436" t="str">
        <f t="shared" si="93"/>
        <v>Arkansas State</v>
      </c>
      <c r="O369" s="423">
        <v>45</v>
      </c>
      <c r="P369" s="436" t="str">
        <f t="shared" si="88"/>
        <v>UL Monroe</v>
      </c>
      <c r="Q369" s="408">
        <v>28</v>
      </c>
      <c r="R369" s="494" t="str">
        <f t="shared" ref="R369:R370" si="95">IF(+N369=K369,+N369,IF(+O369-Q369&lt;L369,+K369,+J369))</f>
        <v>Arkansas State</v>
      </c>
      <c r="S369" s="494" t="str">
        <f t="shared" ref="S369:S370" si="96">IF(+R369=J369,+K369,+J369)</f>
        <v>UL Monroe</v>
      </c>
      <c r="T369" s="356" t="str">
        <f>J369</f>
        <v>Arkansas State</v>
      </c>
      <c r="U369" s="665" t="str">
        <f t="shared" ref="U369:U370" si="97">IF($N369=$J369,IF($O369-$Q369=$L369,"T",IF($R369=T369,"W","L")),IF($R369=T369,"W","L"))</f>
        <v>W</v>
      </c>
      <c r="V369" s="352" t="str">
        <f>LOWER(+H369)</f>
        <v>arkansas state</v>
      </c>
      <c r="W369" s="424">
        <v>27</v>
      </c>
      <c r="X369" s="352" t="str">
        <f>UPPER(+F369)</f>
        <v>UL MONROE</v>
      </c>
      <c r="Y369" s="425">
        <v>24</v>
      </c>
    </row>
    <row r="370" spans="1:25" ht="16" x14ac:dyDescent="0.8">
      <c r="A370" s="351">
        <v>5</v>
      </c>
      <c r="B370" s="420" t="s">
        <v>34</v>
      </c>
      <c r="C370" s="421">
        <v>44835</v>
      </c>
      <c r="D370" s="414">
        <f>16/24</f>
        <v>0.66666666666666663</v>
      </c>
      <c r="E370" s="349"/>
      <c r="F370" s="420" t="s">
        <v>210</v>
      </c>
      <c r="G370" s="349" t="s">
        <v>59</v>
      </c>
      <c r="H370" s="420" t="s">
        <v>205</v>
      </c>
      <c r="I370" s="349" t="s">
        <v>59</v>
      </c>
      <c r="J370" s="420" t="str">
        <f>H370</f>
        <v>Coastal Carolina</v>
      </c>
      <c r="K370" s="379" t="str">
        <f t="shared" si="94"/>
        <v>Georgia Southern</v>
      </c>
      <c r="L370" s="422">
        <v>10</v>
      </c>
      <c r="M370" s="418">
        <v>67.5</v>
      </c>
      <c r="N370" s="436" t="str">
        <f t="shared" si="93"/>
        <v>Coastal Carolina</v>
      </c>
      <c r="O370" s="423">
        <v>34</v>
      </c>
      <c r="P370" s="436" t="str">
        <f t="shared" si="88"/>
        <v>Georgia Southern</v>
      </c>
      <c r="Q370" s="408">
        <v>30</v>
      </c>
      <c r="R370" s="494" t="str">
        <f t="shared" si="95"/>
        <v>Georgia Southern</v>
      </c>
      <c r="S370" s="494" t="str">
        <f t="shared" si="96"/>
        <v>Coastal Carolina</v>
      </c>
      <c r="T370" s="356" t="str">
        <f>K370</f>
        <v>Georgia Southern</v>
      </c>
      <c r="U370" s="665" t="str">
        <f t="shared" si="97"/>
        <v>W</v>
      </c>
      <c r="V370" s="352" t="str">
        <f>LOWER(+H370)</f>
        <v>coastal carolina</v>
      </c>
      <c r="W370" s="424">
        <v>28</v>
      </c>
      <c r="X370" s="352" t="str">
        <f>UPPER(+F370)</f>
        <v>GEORGIA SOUTHERN</v>
      </c>
      <c r="Y370" s="425">
        <v>8</v>
      </c>
    </row>
    <row r="371" spans="1:25" ht="16" x14ac:dyDescent="0.8">
      <c r="A371" s="351">
        <v>5</v>
      </c>
      <c r="B371" s="420" t="s">
        <v>34</v>
      </c>
      <c r="C371" s="421">
        <v>44835</v>
      </c>
      <c r="D371" s="414">
        <f>13.5/24</f>
        <v>0.5625</v>
      </c>
      <c r="E371" s="349"/>
      <c r="F371" s="420" t="s">
        <v>207</v>
      </c>
      <c r="G371" s="349" t="s">
        <v>59</v>
      </c>
      <c r="H371" s="420" t="s">
        <v>442</v>
      </c>
      <c r="I371" s="349" t="s">
        <v>59</v>
      </c>
      <c r="J371" s="420" t="str">
        <f>H371</f>
        <v>James Madison</v>
      </c>
      <c r="K371" s="379" t="str">
        <f t="shared" si="94"/>
        <v>Texas State</v>
      </c>
      <c r="L371" s="422">
        <v>21.5</v>
      </c>
      <c r="M371" s="418">
        <v>50.5</v>
      </c>
      <c r="N371" s="436" t="str">
        <f t="shared" si="93"/>
        <v>James Madison</v>
      </c>
      <c r="O371" s="423">
        <v>40</v>
      </c>
      <c r="P371" s="436" t="str">
        <f t="shared" si="88"/>
        <v>Texas State</v>
      </c>
      <c r="Q371" s="408">
        <v>13</v>
      </c>
      <c r="R371" s="494" t="str">
        <f t="shared" ref="R371" si="98">IF(+N371=K371,+N371,IF(+O371-Q371&lt;L371,+K371,+J371))</f>
        <v>James Madison</v>
      </c>
      <c r="S371" s="494" t="str">
        <f t="shared" ref="S371" si="99">IF(+R371=J371,+K371,+J371)</f>
        <v>Texas State</v>
      </c>
      <c r="T371" s="356" t="str">
        <f>J371</f>
        <v>James Madison</v>
      </c>
      <c r="U371" s="665" t="str">
        <f t="shared" ref="U371" si="100">IF($N371=$J371,IF($O371-$Q371=$L371,"T",IF($R371=T371,"W","L")),IF($R371=T371,"W","L"))</f>
        <v>W</v>
      </c>
      <c r="W371" s="424"/>
      <c r="X371" s="352" t="s">
        <v>404</v>
      </c>
      <c r="Y371" s="425"/>
    </row>
    <row r="372" spans="1:25" ht="16" x14ac:dyDescent="0.8">
      <c r="A372" s="351">
        <v>5</v>
      </c>
      <c r="B372" s="420" t="s">
        <v>34</v>
      </c>
      <c r="C372" s="421">
        <v>44835</v>
      </c>
      <c r="D372" s="414">
        <f>15.5/24</f>
        <v>0.64583333333333337</v>
      </c>
      <c r="E372" s="349"/>
      <c r="F372" s="420" t="s">
        <v>240</v>
      </c>
      <c r="G372" s="349" t="s">
        <v>41</v>
      </c>
      <c r="H372" s="420" t="s">
        <v>163</v>
      </c>
      <c r="I372" s="349" t="s">
        <v>59</v>
      </c>
      <c r="J372" s="420"/>
      <c r="K372" s="379"/>
      <c r="L372" s="422"/>
      <c r="M372" s="418"/>
      <c r="N372" s="351" t="str">
        <f t="shared" si="93"/>
        <v>Marshall</v>
      </c>
      <c r="O372" s="423">
        <v>28</v>
      </c>
      <c r="P372" s="436" t="str">
        <f t="shared" si="88"/>
        <v>1AA Gardner Webb</v>
      </c>
      <c r="Q372" s="408">
        <v>7</v>
      </c>
      <c r="R372" s="494"/>
      <c r="S372" s="494"/>
      <c r="T372" s="356"/>
      <c r="U372" s="665"/>
      <c r="W372" s="424"/>
      <c r="X372" s="352" t="s">
        <v>404</v>
      </c>
      <c r="Y372" s="425"/>
    </row>
    <row r="373" spans="1:25" ht="16" x14ac:dyDescent="0.8">
      <c r="A373" s="351">
        <v>5</v>
      </c>
      <c r="B373" s="420" t="s">
        <v>34</v>
      </c>
      <c r="C373" s="421">
        <v>44835</v>
      </c>
      <c r="D373" s="414">
        <f>18/24</f>
        <v>0.75</v>
      </c>
      <c r="E373" s="349"/>
      <c r="F373" s="420" t="s">
        <v>306</v>
      </c>
      <c r="G373" s="349" t="s">
        <v>43</v>
      </c>
      <c r="H373" s="420" t="s">
        <v>169</v>
      </c>
      <c r="I373" s="349" t="s">
        <v>59</v>
      </c>
      <c r="J373" s="420" t="str">
        <f>F373</f>
        <v>Liberty</v>
      </c>
      <c r="K373" s="379" t="str">
        <f t="shared" ref="K373" si="101">IF(+J373=H373,F373,H373)</f>
        <v>Old Dominion</v>
      </c>
      <c r="L373" s="422">
        <v>2.5</v>
      </c>
      <c r="M373" s="418">
        <v>41.5</v>
      </c>
      <c r="N373" s="436" t="str">
        <f>F373</f>
        <v>Liberty</v>
      </c>
      <c r="O373" s="423">
        <v>38</v>
      </c>
      <c r="P373" s="436" t="str">
        <f t="shared" ref="P373" si="102">IF(+N373=H373,F373,H373)</f>
        <v>Old Dominion</v>
      </c>
      <c r="Q373" s="408">
        <v>24</v>
      </c>
      <c r="R373" s="494" t="str">
        <f t="shared" ref="R373" si="103">IF(+N373=K373,+N373,IF(+O373-Q373&lt;L373,+K373,+J373))</f>
        <v>Liberty</v>
      </c>
      <c r="S373" s="494" t="str">
        <f t="shared" ref="S373" si="104">IF(+R373=J373,+K373,+J373)</f>
        <v>Old Dominion</v>
      </c>
      <c r="T373" s="356" t="str">
        <f>K373</f>
        <v>Old Dominion</v>
      </c>
      <c r="U373" s="665" t="str">
        <f t="shared" ref="U373" si="105">IF($N373=$J373,IF($O373-$Q373=$L373,"T",IF($R373=T373,"W","L")),IF($R373=T373,"W","L"))</f>
        <v>L</v>
      </c>
      <c r="V373" s="352" t="str">
        <f>UPPER(+F373)</f>
        <v>LIBERTY</v>
      </c>
      <c r="W373" s="424">
        <v>45</v>
      </c>
      <c r="X373" s="352" t="str">
        <f>LOWER(+H373)</f>
        <v>old dominion</v>
      </c>
      <c r="Y373" s="425">
        <v>17</v>
      </c>
    </row>
    <row r="374" spans="1:25" ht="16" x14ac:dyDescent="0.8">
      <c r="A374" s="351">
        <v>5</v>
      </c>
      <c r="B374" s="420" t="s">
        <v>34</v>
      </c>
      <c r="C374" s="421">
        <v>44835</v>
      </c>
      <c r="D374" s="414">
        <f>17/24</f>
        <v>0.70833333333333337</v>
      </c>
      <c r="E374" s="349"/>
      <c r="F374" s="420" t="s">
        <v>214</v>
      </c>
      <c r="G374" s="349" t="s">
        <v>59</v>
      </c>
      <c r="H374" s="420" t="s">
        <v>209</v>
      </c>
      <c r="I374" s="349" t="s">
        <v>59</v>
      </c>
      <c r="J374" s="420" t="str">
        <f>F374</f>
        <v>South Alabama</v>
      </c>
      <c r="K374" s="379" t="str">
        <f t="shared" ref="K374:K376" si="106">IF(+J374=H374,F374,H374)</f>
        <v>UL Lafayette</v>
      </c>
      <c r="L374" s="422">
        <v>8.5</v>
      </c>
      <c r="M374" s="418">
        <v>47.5</v>
      </c>
      <c r="N374" s="436" t="str">
        <f>F374</f>
        <v>South Alabama</v>
      </c>
      <c r="O374" s="423">
        <v>20</v>
      </c>
      <c r="P374" s="436" t="str">
        <f t="shared" si="88"/>
        <v>UL Lafayette</v>
      </c>
      <c r="Q374" s="408">
        <v>17</v>
      </c>
      <c r="R374" s="494" t="str">
        <f t="shared" ref="R374:R376" si="107">IF(+N374=K374,+N374,IF(+O374-Q374&lt;L374,+K374,+J374))</f>
        <v>UL Lafayette</v>
      </c>
      <c r="S374" s="494" t="str">
        <f t="shared" ref="S374:S376" si="108">IF(+R374=J374,+K374,+J374)</f>
        <v>South Alabama</v>
      </c>
      <c r="T374" s="356" t="str">
        <f>J374</f>
        <v>South Alabama</v>
      </c>
      <c r="U374" s="665" t="str">
        <f t="shared" ref="U374:U376" si="109">IF($N374=$J374,IF($O374-$Q374=$L374,"T",IF($R374=T374,"W","L")),IF($R374=T374,"W","L"))</f>
        <v>L</v>
      </c>
      <c r="V374" s="352" t="str">
        <f>LOWER(+H374)</f>
        <v>ul lafayette</v>
      </c>
      <c r="W374" s="424">
        <v>20</v>
      </c>
      <c r="X374" s="352" t="str">
        <f>UPPER(+F374)</f>
        <v>SOUTH ALABAMA</v>
      </c>
      <c r="Y374" s="425">
        <v>18</v>
      </c>
    </row>
    <row r="375" spans="1:25" ht="16" x14ac:dyDescent="0.8">
      <c r="A375" s="351">
        <v>5</v>
      </c>
      <c r="B375" s="420" t="s">
        <v>34</v>
      </c>
      <c r="C375" s="421">
        <v>44835</v>
      </c>
      <c r="D375" s="414">
        <f>15.5/24</f>
        <v>0.64583333333333337</v>
      </c>
      <c r="E375" s="349" t="s">
        <v>303</v>
      </c>
      <c r="F375" s="420" t="s">
        <v>116</v>
      </c>
      <c r="G375" s="349" t="s">
        <v>85</v>
      </c>
      <c r="H375" s="420" t="s">
        <v>87</v>
      </c>
      <c r="I375" s="349" t="s">
        <v>85</v>
      </c>
      <c r="J375" s="420" t="str">
        <f>F375</f>
        <v>Alabama</v>
      </c>
      <c r="K375" s="379" t="str">
        <f t="shared" si="106"/>
        <v>Arkansas</v>
      </c>
      <c r="L375" s="422">
        <v>17</v>
      </c>
      <c r="M375" s="418">
        <v>60.5</v>
      </c>
      <c r="N375" s="436" t="str">
        <f>F375</f>
        <v>Alabama</v>
      </c>
      <c r="O375" s="423">
        <v>49</v>
      </c>
      <c r="P375" s="436" t="str">
        <f t="shared" si="88"/>
        <v>Arkansas</v>
      </c>
      <c r="Q375" s="408">
        <v>26</v>
      </c>
      <c r="R375" s="494" t="str">
        <f t="shared" si="107"/>
        <v>Alabama</v>
      </c>
      <c r="S375" s="494" t="str">
        <f t="shared" si="108"/>
        <v>Arkansas</v>
      </c>
      <c r="T375" s="356" t="str">
        <f>K375</f>
        <v>Arkansas</v>
      </c>
      <c r="U375" s="665" t="str">
        <f t="shared" si="109"/>
        <v>L</v>
      </c>
      <c r="V375" s="352" t="str">
        <f>UPPER(+F375)</f>
        <v>ALABAMA</v>
      </c>
      <c r="W375" s="424">
        <v>42</v>
      </c>
      <c r="X375" s="352" t="str">
        <f>LOWER(+H375)</f>
        <v>arkansas</v>
      </c>
      <c r="Y375" s="425">
        <v>35</v>
      </c>
    </row>
    <row r="376" spans="1:25" ht="16" x14ac:dyDescent="0.8">
      <c r="A376" s="351">
        <v>5</v>
      </c>
      <c r="B376" s="420" t="s">
        <v>34</v>
      </c>
      <c r="C376" s="421">
        <v>44835</v>
      </c>
      <c r="D376" s="414">
        <f>19/24</f>
        <v>0.79166666666666663</v>
      </c>
      <c r="E376" s="349" t="s">
        <v>35</v>
      </c>
      <c r="F376" s="420" t="s">
        <v>178</v>
      </c>
      <c r="G376" s="349" t="s">
        <v>85</v>
      </c>
      <c r="H376" s="420" t="s">
        <v>211</v>
      </c>
      <c r="I376" s="349" t="s">
        <v>85</v>
      </c>
      <c r="J376" s="420" t="str">
        <f>F376</f>
        <v>LSU</v>
      </c>
      <c r="K376" s="379" t="str">
        <f t="shared" si="106"/>
        <v>Auburn</v>
      </c>
      <c r="L376" s="422">
        <v>8.5</v>
      </c>
      <c r="M376" s="418">
        <v>45.5</v>
      </c>
      <c r="N376" s="436" t="str">
        <f>F376</f>
        <v>LSU</v>
      </c>
      <c r="O376" s="423">
        <v>21</v>
      </c>
      <c r="P376" s="436" t="str">
        <f t="shared" si="88"/>
        <v>Auburn</v>
      </c>
      <c r="Q376" s="408">
        <v>17</v>
      </c>
      <c r="R376" s="494" t="str">
        <f t="shared" si="107"/>
        <v>Auburn</v>
      </c>
      <c r="S376" s="494" t="str">
        <f t="shared" si="108"/>
        <v>LSU</v>
      </c>
      <c r="T376" s="356" t="str">
        <f>J376</f>
        <v>LSU</v>
      </c>
      <c r="U376" s="665" t="str">
        <f t="shared" si="109"/>
        <v>L</v>
      </c>
      <c r="V376" s="352" t="str">
        <f>LOWER(+H376)</f>
        <v>auburn</v>
      </c>
      <c r="W376" s="424">
        <v>24</v>
      </c>
      <c r="X376" s="352" t="str">
        <f>UPPER(+F376)</f>
        <v>LSU</v>
      </c>
      <c r="Y376" s="425">
        <v>19</v>
      </c>
    </row>
    <row r="377" spans="1:25" ht="16" x14ac:dyDescent="0.8">
      <c r="A377" s="351">
        <v>5</v>
      </c>
      <c r="B377" s="420" t="s">
        <v>34</v>
      </c>
      <c r="C377" s="421">
        <v>44835</v>
      </c>
      <c r="D377" s="414">
        <f>12/24</f>
        <v>0.5</v>
      </c>
      <c r="E377" s="349" t="s">
        <v>85</v>
      </c>
      <c r="F377" s="420" t="s">
        <v>158</v>
      </c>
      <c r="G377" s="349" t="s">
        <v>41</v>
      </c>
      <c r="H377" s="420" t="s">
        <v>136</v>
      </c>
      <c r="I377" s="349" t="s">
        <v>85</v>
      </c>
      <c r="J377" s="420"/>
      <c r="K377" s="379"/>
      <c r="L377" s="422"/>
      <c r="M377" s="418"/>
      <c r="N377" s="436" t="str">
        <f>H377</f>
        <v>Florida</v>
      </c>
      <c r="O377" s="423">
        <v>52</v>
      </c>
      <c r="P377" s="436" t="str">
        <f t="shared" si="88"/>
        <v>1AA Eastern Washington</v>
      </c>
      <c r="Q377" s="408">
        <v>17</v>
      </c>
      <c r="R377" s="494"/>
      <c r="S377" s="494"/>
      <c r="T377" s="356"/>
      <c r="U377" s="665"/>
      <c r="W377" s="424"/>
      <c r="X377" s="352" t="s">
        <v>404</v>
      </c>
      <c r="Y377" s="425"/>
    </row>
    <row r="378" spans="1:25" ht="16" x14ac:dyDescent="0.8">
      <c r="A378" s="351">
        <v>5</v>
      </c>
      <c r="B378" s="420" t="s">
        <v>34</v>
      </c>
      <c r="C378" s="421">
        <v>44835</v>
      </c>
      <c r="D378" s="414">
        <f>12/24</f>
        <v>0.5</v>
      </c>
      <c r="E378" s="349" t="s">
        <v>35</v>
      </c>
      <c r="F378" s="420" t="s">
        <v>170</v>
      </c>
      <c r="G378" s="349" t="s">
        <v>85</v>
      </c>
      <c r="H378" s="420" t="s">
        <v>215</v>
      </c>
      <c r="I378" s="349" t="s">
        <v>85</v>
      </c>
      <c r="J378" s="420" t="str">
        <f>H378</f>
        <v>Mississippi</v>
      </c>
      <c r="K378" s="379" t="str">
        <f t="shared" ref="K378:K379" si="110">IF(+J378=H378,F378,H378)</f>
        <v>Kentucky</v>
      </c>
      <c r="L378" s="422">
        <v>7</v>
      </c>
      <c r="M378" s="418">
        <v>54.5</v>
      </c>
      <c r="N378" s="436" t="str">
        <f>H378</f>
        <v>Mississippi</v>
      </c>
      <c r="O378" s="423">
        <v>22</v>
      </c>
      <c r="P378" s="436" t="str">
        <f t="shared" si="88"/>
        <v>Kentucky</v>
      </c>
      <c r="Q378" s="408">
        <v>19</v>
      </c>
      <c r="R378" s="494" t="str">
        <f t="shared" ref="R378:R380" si="111">IF(+N378=K378,+N378,IF(+O378-Q378&lt;L378,+K378,+J378))</f>
        <v>Kentucky</v>
      </c>
      <c r="S378" s="494" t="str">
        <f t="shared" ref="S378:S380" si="112">IF(+R378=J378,+K378,+J378)</f>
        <v>Mississippi</v>
      </c>
      <c r="T378" s="356" t="str">
        <f>K378</f>
        <v>Kentucky</v>
      </c>
      <c r="U378" s="665" t="str">
        <f t="shared" ref="U378:U380" si="113">IF($N378=$J378,IF($O378-$Q378=$L378,"T",IF($R378=T378,"W","L")),IF($R378=T378,"W","L"))</f>
        <v>W</v>
      </c>
      <c r="W378" s="424"/>
      <c r="X378" s="352" t="s">
        <v>404</v>
      </c>
      <c r="Y378" s="425"/>
    </row>
    <row r="379" spans="1:25" ht="16" x14ac:dyDescent="0.8">
      <c r="A379" s="351">
        <v>5</v>
      </c>
      <c r="B379" s="420" t="s">
        <v>34</v>
      </c>
      <c r="C379" s="421">
        <v>44835</v>
      </c>
      <c r="D379" s="414">
        <f>16/24</f>
        <v>0.66666666666666663</v>
      </c>
      <c r="E379" s="349" t="s">
        <v>85</v>
      </c>
      <c r="F379" s="420" t="s">
        <v>223</v>
      </c>
      <c r="G379" s="349" t="s">
        <v>85</v>
      </c>
      <c r="H379" s="420" t="s">
        <v>217</v>
      </c>
      <c r="I379" s="349" t="s">
        <v>85</v>
      </c>
      <c r="J379" s="420" t="str">
        <f>H379</f>
        <v>Mississippi State</v>
      </c>
      <c r="K379" s="379" t="str">
        <f t="shared" si="110"/>
        <v>Texas A&amp;M</v>
      </c>
      <c r="L379" s="422">
        <v>3.5</v>
      </c>
      <c r="M379" s="418">
        <v>45</v>
      </c>
      <c r="N379" s="436" t="str">
        <f>H379</f>
        <v>Mississippi State</v>
      </c>
      <c r="O379" s="423">
        <v>42</v>
      </c>
      <c r="P379" s="436" t="str">
        <f t="shared" si="88"/>
        <v>Texas A&amp;M</v>
      </c>
      <c r="Q379" s="408">
        <v>24</v>
      </c>
      <c r="R379" s="494" t="str">
        <f t="shared" si="111"/>
        <v>Mississippi State</v>
      </c>
      <c r="S379" s="494" t="str">
        <f t="shared" si="112"/>
        <v>Texas A&amp;M</v>
      </c>
      <c r="T379" s="356" t="str">
        <f>K379</f>
        <v>Texas A&amp;M</v>
      </c>
      <c r="U379" s="665" t="str">
        <f t="shared" si="113"/>
        <v>L</v>
      </c>
      <c r="V379" s="352" t="str">
        <f>LOWER(+H379)</f>
        <v>mississippi state</v>
      </c>
      <c r="W379" s="424">
        <v>26</v>
      </c>
      <c r="X379" s="352" t="str">
        <f>UPPER(+F379)</f>
        <v>TEXAS A&amp;M</v>
      </c>
      <c r="Y379" s="425">
        <v>22</v>
      </c>
    </row>
    <row r="380" spans="1:25" ht="16" x14ac:dyDescent="0.8">
      <c r="A380" s="351">
        <v>5</v>
      </c>
      <c r="B380" s="420" t="s">
        <v>34</v>
      </c>
      <c r="C380" s="421">
        <v>44835</v>
      </c>
      <c r="D380" s="414">
        <f>19.5/24</f>
        <v>0.8125</v>
      </c>
      <c r="E380" s="349" t="s">
        <v>85</v>
      </c>
      <c r="F380" s="420" t="s">
        <v>213</v>
      </c>
      <c r="G380" s="349" t="s">
        <v>85</v>
      </c>
      <c r="H380" s="420" t="s">
        <v>219</v>
      </c>
      <c r="I380" s="349" t="s">
        <v>85</v>
      </c>
      <c r="J380" s="420" t="str">
        <f>F380</f>
        <v>Georgia</v>
      </c>
      <c r="K380" s="379" t="str">
        <f>IF(+J380=H380,F380,H380)</f>
        <v>Missouri</v>
      </c>
      <c r="L380" s="422">
        <v>28</v>
      </c>
      <c r="M380" s="418">
        <v>54</v>
      </c>
      <c r="N380" s="436" t="str">
        <f>F380</f>
        <v>Georgia</v>
      </c>
      <c r="O380" s="423">
        <v>26</v>
      </c>
      <c r="P380" s="436" t="str">
        <f t="shared" ref="P380" si="114">IF(+N380=H380,F380,H380)</f>
        <v>Missouri</v>
      </c>
      <c r="Q380" s="408">
        <v>22</v>
      </c>
      <c r="R380" s="494" t="str">
        <f t="shared" si="111"/>
        <v>Missouri</v>
      </c>
      <c r="S380" s="494" t="str">
        <f t="shared" si="112"/>
        <v>Georgia</v>
      </c>
      <c r="T380" s="356" t="str">
        <f>J380</f>
        <v>Georgia</v>
      </c>
      <c r="U380" s="665" t="str">
        <f t="shared" si="113"/>
        <v>L</v>
      </c>
      <c r="V380" s="352" t="str">
        <f>UPPER(+F380)</f>
        <v>GEORGIA</v>
      </c>
      <c r="W380" s="424">
        <v>43</v>
      </c>
      <c r="X380" s="352" t="str">
        <f>LOWER(+H380)</f>
        <v>missouri</v>
      </c>
      <c r="Y380" s="425">
        <v>6</v>
      </c>
    </row>
    <row r="381" spans="1:25" ht="16" x14ac:dyDescent="0.8">
      <c r="A381" s="351">
        <v>5</v>
      </c>
      <c r="B381" s="420" t="s">
        <v>52</v>
      </c>
      <c r="C381" s="421">
        <v>44833</v>
      </c>
      <c r="D381" s="414">
        <f>20/24</f>
        <v>0.83333333333333337</v>
      </c>
      <c r="E381" s="349" t="s">
        <v>85</v>
      </c>
      <c r="F381" s="420" t="s">
        <v>279</v>
      </c>
      <c r="G381" s="349" t="s">
        <v>41</v>
      </c>
      <c r="H381" s="420" t="s">
        <v>125</v>
      </c>
      <c r="I381" s="349" t="s">
        <v>85</v>
      </c>
      <c r="J381" s="420"/>
      <c r="K381" s="379"/>
      <c r="L381" s="422"/>
      <c r="M381" s="418"/>
      <c r="N381" s="436" t="str">
        <f>H381</f>
        <v>South Carolina</v>
      </c>
      <c r="O381" s="423">
        <v>50</v>
      </c>
      <c r="P381" s="436" t="str">
        <f t="shared" si="88"/>
        <v>1AA South Carolina State</v>
      </c>
      <c r="Q381" s="408">
        <v>10</v>
      </c>
      <c r="R381" s="494"/>
      <c r="S381" s="494"/>
      <c r="T381" s="356"/>
      <c r="U381" s="349"/>
      <c r="W381" s="424"/>
      <c r="X381" s="352" t="s">
        <v>404</v>
      </c>
      <c r="Y381" s="425"/>
    </row>
    <row r="382" spans="1:25" ht="16" x14ac:dyDescent="0.8">
      <c r="A382" s="351">
        <v>5</v>
      </c>
      <c r="B382" s="420" t="s">
        <v>88</v>
      </c>
      <c r="C382" s="421">
        <v>44841</v>
      </c>
      <c r="D382" s="414">
        <f>19.5/24</f>
        <v>0.8125</v>
      </c>
      <c r="E382" s="349" t="s">
        <v>256</v>
      </c>
      <c r="F382" s="420" t="s">
        <v>174</v>
      </c>
      <c r="G382" s="349" t="s">
        <v>50</v>
      </c>
      <c r="H382" s="420" t="s">
        <v>60</v>
      </c>
      <c r="I382" s="349" t="s">
        <v>50</v>
      </c>
      <c r="J382" s="420" t="str">
        <f>H382</f>
        <v>Memphis</v>
      </c>
      <c r="K382" s="379" t="str">
        <f>IF(+J382=H382,F382,H382)</f>
        <v>Houston</v>
      </c>
      <c r="L382" s="422">
        <v>3</v>
      </c>
      <c r="M382" s="418">
        <v>57.5</v>
      </c>
      <c r="N382" s="436" t="str">
        <f>K382</f>
        <v>Houston</v>
      </c>
      <c r="O382" s="423">
        <v>33</v>
      </c>
      <c r="P382" s="436" t="str">
        <f>IF(+N382=H382,F382,H382)</f>
        <v>Memphis</v>
      </c>
      <c r="Q382" s="408">
        <v>32</v>
      </c>
      <c r="R382" s="494" t="str">
        <f>IF(+N382=K382,+N382,IF(+O382-Q382&lt;L382,+K382,+J382))</f>
        <v>Houston</v>
      </c>
      <c r="S382" s="494" t="str">
        <f>IF(+R382=J382,+K382,+J382)</f>
        <v>Memphis</v>
      </c>
      <c r="T382" s="356" t="str">
        <f>K382</f>
        <v>Houston</v>
      </c>
      <c r="U382" s="665" t="str">
        <f>IF($N382=$J382,IF($O382-$Q382=$L382,"T",IF($R382=T382,"W","L")),IF($R382=T382,"W","L"))</f>
        <v>W</v>
      </c>
      <c r="V382" s="352" t="str">
        <f>UPPER(+F382)</f>
        <v>HOUSTON</v>
      </c>
      <c r="W382" s="424">
        <v>31</v>
      </c>
      <c r="X382" s="352" t="str">
        <f>LOWER(+H382)</f>
        <v>memphis</v>
      </c>
      <c r="Y382" s="425">
        <v>13</v>
      </c>
    </row>
    <row r="383" spans="1:25" ht="16" x14ac:dyDescent="0.8">
      <c r="A383" s="351">
        <v>6</v>
      </c>
      <c r="B383" s="420" t="s">
        <v>88</v>
      </c>
      <c r="C383" s="421">
        <v>44841</v>
      </c>
      <c r="D383" s="414">
        <f>19/24</f>
        <v>0.79166666666666663</v>
      </c>
      <c r="E383" s="349" t="s">
        <v>70</v>
      </c>
      <c r="F383" s="420" t="s">
        <v>141</v>
      </c>
      <c r="G383" s="349" t="s">
        <v>64</v>
      </c>
      <c r="H383" s="420" t="s">
        <v>92</v>
      </c>
      <c r="I383" s="349" t="s">
        <v>64</v>
      </c>
      <c r="J383" s="420" t="str">
        <f>F383</f>
        <v>Nebraska</v>
      </c>
      <c r="K383" s="379" t="str">
        <f>IF(+J383=H383,F383,H383)</f>
        <v>Rutgers</v>
      </c>
      <c r="L383" s="422">
        <v>3</v>
      </c>
      <c r="M383" s="418">
        <v>48.5</v>
      </c>
      <c r="N383" s="351" t="str">
        <f>J383</f>
        <v>Nebraska</v>
      </c>
      <c r="O383" s="423">
        <v>14</v>
      </c>
      <c r="P383" s="436" t="str">
        <f>IF(+N383=H383,F383,H383)</f>
        <v>Rutgers</v>
      </c>
      <c r="Q383" s="408">
        <v>13</v>
      </c>
      <c r="R383" s="494" t="str">
        <f>IF(+N383=K383,+N383,IF(+O383-Q383&lt;L383,+K383,+J383))</f>
        <v>Rutgers</v>
      </c>
      <c r="S383" s="494" t="str">
        <f>IF(+R383=J383,+K383,+J383)</f>
        <v>Nebraska</v>
      </c>
      <c r="T383" s="356" t="str">
        <f>K383</f>
        <v>Rutgers</v>
      </c>
      <c r="U383" s="665" t="str">
        <f>IF($N383=$J383,IF($O383-$Q383=$L383,"T",IF($R383=T383,"W","L")),IF($R383=T383,"W","L"))</f>
        <v>W</v>
      </c>
      <c r="W383" s="424"/>
      <c r="X383" s="352" t="s">
        <v>404</v>
      </c>
      <c r="Y383" s="425"/>
    </row>
    <row r="384" spans="1:25" ht="16" x14ac:dyDescent="0.8">
      <c r="A384" s="351">
        <v>6</v>
      </c>
      <c r="B384" s="420" t="s">
        <v>88</v>
      </c>
      <c r="C384" s="421">
        <v>45572</v>
      </c>
      <c r="D384" s="414">
        <f>22.5/24</f>
        <v>0.9375</v>
      </c>
      <c r="E384" s="349" t="s">
        <v>70</v>
      </c>
      <c r="F384" s="420" t="s">
        <v>48</v>
      </c>
      <c r="G384" s="349" t="s">
        <v>45</v>
      </c>
      <c r="H384" s="420" t="s">
        <v>142</v>
      </c>
      <c r="I384" s="349" t="s">
        <v>45</v>
      </c>
      <c r="J384" s="420" t="str">
        <f>H384</f>
        <v>Nevada</v>
      </c>
      <c r="K384" s="379" t="str">
        <f>IF(+J384=H384,F384,H384)</f>
        <v>Colorado State</v>
      </c>
      <c r="L384" s="422">
        <v>3.5</v>
      </c>
      <c r="M384" s="418">
        <v>44</v>
      </c>
      <c r="N384" s="436" t="str">
        <f>K384</f>
        <v>Colorado State</v>
      </c>
      <c r="O384" s="423">
        <v>17</v>
      </c>
      <c r="P384" s="436" t="str">
        <f>IF(+N384=H384,F384,H384)</f>
        <v>Nevada</v>
      </c>
      <c r="Q384" s="408">
        <v>14</v>
      </c>
      <c r="R384" s="494" t="str">
        <f>IF(+N384=K384,+N384,IF(+O384-Q384&lt;L384,+K384,+J384))</f>
        <v>Colorado State</v>
      </c>
      <c r="S384" s="494" t="str">
        <f>IF(+R384=J384,+K384,+J384)</f>
        <v>Nevada</v>
      </c>
      <c r="T384" s="356" t="str">
        <f>J384</f>
        <v>Nevada</v>
      </c>
      <c r="U384" s="665" t="str">
        <f>IF($N384=$J384,IF($O384-$Q384=$L384,"T",IF($R384=T384,"W","L")),IF($R384=T384,"W","L"))</f>
        <v>L</v>
      </c>
      <c r="V384" s="352" t="str">
        <f>LOWER(+H384)</f>
        <v>nevada</v>
      </c>
      <c r="W384" s="424">
        <v>52</v>
      </c>
      <c r="X384" s="352" t="str">
        <f>UPPER(+F384)</f>
        <v>COLORADO STATE</v>
      </c>
      <c r="Y384" s="425">
        <v>10</v>
      </c>
    </row>
    <row r="385" spans="1:25" ht="16" x14ac:dyDescent="0.8">
      <c r="A385" s="351">
        <v>6</v>
      </c>
      <c r="B385" s="420" t="s">
        <v>88</v>
      </c>
      <c r="C385" s="421">
        <v>45572</v>
      </c>
      <c r="D385" s="414">
        <f>22.5/24</f>
        <v>0.9375</v>
      </c>
      <c r="E385" s="349" t="s">
        <v>445</v>
      </c>
      <c r="F385" s="420" t="s">
        <v>196</v>
      </c>
      <c r="G385" s="349" t="s">
        <v>45</v>
      </c>
      <c r="H385" s="420" t="s">
        <v>51</v>
      </c>
      <c r="I385" s="349" t="s">
        <v>45</v>
      </c>
      <c r="J385" s="420" t="str">
        <f>H385</f>
        <v>San Jose State</v>
      </c>
      <c r="K385" s="379" t="str">
        <f>IF(+J385=H385,F385,H385)</f>
        <v>UNLV</v>
      </c>
      <c r="L385" s="422">
        <v>7</v>
      </c>
      <c r="M385" s="418">
        <v>52.5</v>
      </c>
      <c r="N385" s="351" t="str">
        <f>J385</f>
        <v>San Jose State</v>
      </c>
      <c r="O385" s="423">
        <v>40</v>
      </c>
      <c r="P385" s="436" t="str">
        <f>IF(+N385=H385,F385,H385)</f>
        <v>UNLV</v>
      </c>
      <c r="Q385" s="408">
        <v>7</v>
      </c>
      <c r="R385" s="494" t="str">
        <f>IF(+N385=K385,+N385,IF(+O385-Q385&lt;L385,+K385,+J385))</f>
        <v>San Jose State</v>
      </c>
      <c r="S385" s="494" t="str">
        <f>IF(+R385=J385,+K385,+J385)</f>
        <v>UNLV</v>
      </c>
      <c r="T385" s="356" t="str">
        <f>K385</f>
        <v>UNLV</v>
      </c>
      <c r="U385" s="665" t="str">
        <f>IF($N385=$J385,IF($O385-$Q385=$L385,"T",IF($R385=T385,"W","L")),IF($R385=T385,"W","L"))</f>
        <v>L</v>
      </c>
      <c r="V385" s="352" t="str">
        <f>LOWER(+H385)</f>
        <v>san jose state</v>
      </c>
      <c r="W385" s="424">
        <v>27</v>
      </c>
      <c r="X385" s="352" t="str">
        <f>UPPER(+F385)</f>
        <v>UNLV</v>
      </c>
      <c r="Y385" s="425">
        <v>20</v>
      </c>
    </row>
    <row r="386" spans="1:25" ht="16" x14ac:dyDescent="0.8">
      <c r="A386" s="351">
        <v>6</v>
      </c>
      <c r="B386" s="420" t="s">
        <v>34</v>
      </c>
      <c r="C386" s="421">
        <v>44842</v>
      </c>
      <c r="D386" s="414">
        <f>14.5/24</f>
        <v>0.60416666666666663</v>
      </c>
      <c r="E386" s="349"/>
      <c r="F386" s="420" t="s">
        <v>49</v>
      </c>
      <c r="G386" s="349" t="s">
        <v>50</v>
      </c>
      <c r="H386" s="420" t="s">
        <v>55</v>
      </c>
      <c r="I386" s="349" t="s">
        <v>50</v>
      </c>
      <c r="J386" s="420" t="str">
        <f>H386</f>
        <v>Cincinnati</v>
      </c>
      <c r="K386" s="379" t="str">
        <f t="shared" ref="K386:K415" si="115">IF(+J386=H386,F386,H386)</f>
        <v>South Florida</v>
      </c>
      <c r="L386" s="422">
        <v>27.5</v>
      </c>
      <c r="M386" s="418">
        <v>59.5</v>
      </c>
      <c r="N386" s="351" t="str">
        <f>J386</f>
        <v>Cincinnati</v>
      </c>
      <c r="O386" s="423">
        <v>28</v>
      </c>
      <c r="P386" s="436" t="str">
        <f t="shared" ref="P386:P415" si="116">IF(+N386=H386,F386,H386)</f>
        <v>South Florida</v>
      </c>
      <c r="Q386" s="408">
        <v>24</v>
      </c>
      <c r="R386" s="494" t="str">
        <f t="shared" ref="R386:R415" si="117">IF(+N386=K386,+N386,IF(+O386-Q386&lt;L386,+K386,+J386))</f>
        <v>South Florida</v>
      </c>
      <c r="S386" s="494" t="str">
        <f t="shared" ref="S386:S415" si="118">IF(+R386=J386,+K386,+J386)</f>
        <v>Cincinnati</v>
      </c>
      <c r="T386" s="356" t="str">
        <f>K386</f>
        <v>South Florida</v>
      </c>
      <c r="U386" s="665" t="str">
        <f t="shared" ref="U386:U415" si="119">IF($N386=$J386,IF($O386-$Q386=$L386,"T",IF($R386=T386,"W","L")),IF($R386=T386,"W","L"))</f>
        <v>W</v>
      </c>
      <c r="V386" s="352" t="str">
        <f>LOWER(+H386)</f>
        <v>cincinnati</v>
      </c>
      <c r="W386" s="424">
        <v>45</v>
      </c>
      <c r="X386" s="352" t="str">
        <f>UPPER(+F386)</f>
        <v>SOUTH FLORIDA</v>
      </c>
      <c r="Y386" s="425">
        <v>28</v>
      </c>
    </row>
    <row r="387" spans="1:25" ht="16" x14ac:dyDescent="0.8">
      <c r="A387" s="351">
        <v>6</v>
      </c>
      <c r="B387" s="420" t="s">
        <v>34</v>
      </c>
      <c r="C387" s="421">
        <v>44842</v>
      </c>
      <c r="D387" s="414">
        <f>15.5/24</f>
        <v>0.64583333333333337</v>
      </c>
      <c r="E387" s="349" t="s">
        <v>445</v>
      </c>
      <c r="F387" s="420" t="s">
        <v>71</v>
      </c>
      <c r="G387" s="349" t="s">
        <v>50</v>
      </c>
      <c r="H387" s="420" t="s">
        <v>96</v>
      </c>
      <c r="I387" s="349" t="s">
        <v>50</v>
      </c>
      <c r="J387" s="420" t="str">
        <f>F387</f>
        <v>Tulsa</v>
      </c>
      <c r="K387" s="379" t="str">
        <f t="shared" si="115"/>
        <v>Navy</v>
      </c>
      <c r="L387" s="422">
        <v>5.5</v>
      </c>
      <c r="M387" s="418">
        <v>45.5</v>
      </c>
      <c r="N387" s="436" t="str">
        <f>K387</f>
        <v>Navy</v>
      </c>
      <c r="O387" s="423">
        <v>53</v>
      </c>
      <c r="P387" s="436" t="str">
        <f t="shared" si="116"/>
        <v>Tulsa</v>
      </c>
      <c r="Q387" s="408">
        <v>21</v>
      </c>
      <c r="R387" s="494" t="str">
        <f t="shared" si="117"/>
        <v>Navy</v>
      </c>
      <c r="S387" s="494" t="str">
        <f t="shared" si="118"/>
        <v>Tulsa</v>
      </c>
      <c r="T387" s="356" t="str">
        <f>J387</f>
        <v>Tulsa</v>
      </c>
      <c r="U387" s="665" t="str">
        <f t="shared" si="119"/>
        <v>L</v>
      </c>
      <c r="V387" s="352" t="str">
        <f>LOWER(+H387)</f>
        <v>navy</v>
      </c>
      <c r="W387" s="424">
        <v>20</v>
      </c>
      <c r="X387" s="352" t="str">
        <f>UPPER(+F387)</f>
        <v>TULSA</v>
      </c>
      <c r="Y387" s="425">
        <v>17</v>
      </c>
    </row>
    <row r="388" spans="1:25" ht="16" x14ac:dyDescent="0.8">
      <c r="A388" s="351">
        <v>6</v>
      </c>
      <c r="B388" s="420" t="s">
        <v>34</v>
      </c>
      <c r="C388" s="421">
        <v>44842</v>
      </c>
      <c r="D388" s="414">
        <f>15.5/24</f>
        <v>0.64583333333333337</v>
      </c>
      <c r="E388" s="349" t="s">
        <v>95</v>
      </c>
      <c r="F388" s="420" t="s">
        <v>107</v>
      </c>
      <c r="G388" s="349" t="s">
        <v>50</v>
      </c>
      <c r="H388" s="420" t="s">
        <v>112</v>
      </c>
      <c r="I388" s="349" t="s">
        <v>50</v>
      </c>
      <c r="J388" s="420" t="str">
        <f>H388</f>
        <v>Tulane</v>
      </c>
      <c r="K388" s="379" t="str">
        <f t="shared" si="115"/>
        <v>East Carolina</v>
      </c>
      <c r="L388" s="422">
        <v>3</v>
      </c>
      <c r="M388" s="418">
        <v>54.5</v>
      </c>
      <c r="N388" s="351" t="str">
        <f>J388</f>
        <v>Tulane</v>
      </c>
      <c r="O388" s="423">
        <v>24</v>
      </c>
      <c r="P388" s="436" t="str">
        <f t="shared" si="116"/>
        <v>East Carolina</v>
      </c>
      <c r="Q388" s="408">
        <v>9</v>
      </c>
      <c r="R388" s="494" t="str">
        <f t="shared" si="117"/>
        <v>Tulane</v>
      </c>
      <c r="S388" s="494" t="str">
        <f t="shared" si="118"/>
        <v>East Carolina</v>
      </c>
      <c r="T388" s="356" t="str">
        <f>J388</f>
        <v>Tulane</v>
      </c>
      <c r="U388" s="665" t="str">
        <f t="shared" si="119"/>
        <v>W</v>
      </c>
      <c r="V388" s="352" t="str">
        <f>UPPER(+F388)</f>
        <v>EAST CAROLINA</v>
      </c>
      <c r="W388" s="424">
        <v>52</v>
      </c>
      <c r="X388" s="352" t="str">
        <f>LOWER(+H388)</f>
        <v>tulane</v>
      </c>
      <c r="Y388" s="425">
        <v>29</v>
      </c>
    </row>
    <row r="389" spans="1:25" ht="16" x14ac:dyDescent="0.8">
      <c r="A389" s="351">
        <v>6</v>
      </c>
      <c r="B389" s="420" t="s">
        <v>34</v>
      </c>
      <c r="C389" s="421">
        <v>44842</v>
      </c>
      <c r="D389" s="414">
        <f>19.5/24</f>
        <v>0.8125</v>
      </c>
      <c r="E389" s="349" t="s">
        <v>135</v>
      </c>
      <c r="F389" s="420" t="s">
        <v>114</v>
      </c>
      <c r="G389" s="349" t="s">
        <v>61</v>
      </c>
      <c r="H389" s="420" t="s">
        <v>102</v>
      </c>
      <c r="I389" s="349" t="s">
        <v>61</v>
      </c>
      <c r="J389" s="420" t="str">
        <f>F389</f>
        <v>Clemson</v>
      </c>
      <c r="K389" s="379" t="str">
        <f t="shared" si="115"/>
        <v>Boston College</v>
      </c>
      <c r="L389" s="422">
        <v>20.5</v>
      </c>
      <c r="M389" s="418">
        <v>48</v>
      </c>
      <c r="N389" s="351" t="str">
        <f>J389</f>
        <v>Clemson</v>
      </c>
      <c r="O389" s="423">
        <v>31</v>
      </c>
      <c r="P389" s="436" t="str">
        <f t="shared" si="116"/>
        <v>Boston College</v>
      </c>
      <c r="Q389" s="408">
        <v>3</v>
      </c>
      <c r="R389" s="494" t="str">
        <f t="shared" si="117"/>
        <v>Clemson</v>
      </c>
      <c r="S389" s="494" t="str">
        <f t="shared" si="118"/>
        <v>Boston College</v>
      </c>
      <c r="T389" s="356" t="str">
        <f>K389</f>
        <v>Boston College</v>
      </c>
      <c r="U389" s="665" t="str">
        <f t="shared" si="119"/>
        <v>L</v>
      </c>
      <c r="V389" s="352" t="str">
        <f>UPPER(+F389)</f>
        <v>CLEMSON</v>
      </c>
      <c r="W389" s="424">
        <v>19</v>
      </c>
      <c r="X389" s="352" t="str">
        <f>LOWER(+H389)</f>
        <v>boston college</v>
      </c>
      <c r="Y389" s="425">
        <v>13</v>
      </c>
    </row>
    <row r="390" spans="1:25" ht="16" x14ac:dyDescent="0.8">
      <c r="A390" s="351">
        <v>6</v>
      </c>
      <c r="B390" s="420" t="s">
        <v>34</v>
      </c>
      <c r="C390" s="421">
        <v>44842</v>
      </c>
      <c r="D390" s="414">
        <f>16/24</f>
        <v>0.66666666666666663</v>
      </c>
      <c r="E390" s="349" t="s">
        <v>53</v>
      </c>
      <c r="F390" s="420" t="s">
        <v>115</v>
      </c>
      <c r="G390" s="349" t="s">
        <v>61</v>
      </c>
      <c r="H390" s="420" t="s">
        <v>227</v>
      </c>
      <c r="I390" s="349" t="s">
        <v>61</v>
      </c>
      <c r="J390" s="420" t="str">
        <f>F390</f>
        <v>Duke</v>
      </c>
      <c r="K390" s="379" t="str">
        <f t="shared" si="115"/>
        <v>Georgia Tech</v>
      </c>
      <c r="L390" s="422">
        <v>3</v>
      </c>
      <c r="M390" s="418">
        <v>54</v>
      </c>
      <c r="N390" s="436" t="str">
        <f>K390</f>
        <v>Georgia Tech</v>
      </c>
      <c r="O390" s="423">
        <v>23</v>
      </c>
      <c r="P390" s="436" t="str">
        <f t="shared" si="116"/>
        <v>Duke</v>
      </c>
      <c r="Q390" s="408">
        <v>20</v>
      </c>
      <c r="R390" s="494" t="str">
        <f t="shared" si="117"/>
        <v>Georgia Tech</v>
      </c>
      <c r="S390" s="494" t="str">
        <f t="shared" si="118"/>
        <v>Duke</v>
      </c>
      <c r="T390" s="356" t="str">
        <f>J390</f>
        <v>Duke</v>
      </c>
      <c r="U390" s="665" t="str">
        <f t="shared" si="119"/>
        <v>L</v>
      </c>
      <c r="V390" s="352" t="str">
        <f>LOWER(+H390)</f>
        <v>georgia tech</v>
      </c>
      <c r="W390" s="424">
        <v>31</v>
      </c>
      <c r="X390" s="352" t="str">
        <f>UPPER(+F390)</f>
        <v>DUKE</v>
      </c>
      <c r="Y390" s="425">
        <v>27</v>
      </c>
    </row>
    <row r="391" spans="1:25" ht="16" x14ac:dyDescent="0.8">
      <c r="A391" s="351">
        <v>6</v>
      </c>
      <c r="B391" s="420" t="s">
        <v>34</v>
      </c>
      <c r="C391" s="421">
        <v>44842</v>
      </c>
      <c r="D391" s="414">
        <f>16/24</f>
        <v>0.66666666666666663</v>
      </c>
      <c r="E391" s="349" t="s">
        <v>256</v>
      </c>
      <c r="F391" s="420" t="s">
        <v>124</v>
      </c>
      <c r="G391" s="349" t="s">
        <v>61</v>
      </c>
      <c r="H391" s="420" t="s">
        <v>122</v>
      </c>
      <c r="I391" s="349" t="s">
        <v>61</v>
      </c>
      <c r="J391" s="420" t="str">
        <f>H391</f>
        <v>Miami (FL)</v>
      </c>
      <c r="K391" s="379" t="str">
        <f t="shared" si="115"/>
        <v>North Carolina</v>
      </c>
      <c r="L391" s="422">
        <v>3.5</v>
      </c>
      <c r="M391" s="418">
        <v>66</v>
      </c>
      <c r="N391" s="436" t="str">
        <f>K391</f>
        <v>North Carolina</v>
      </c>
      <c r="O391" s="423">
        <v>27</v>
      </c>
      <c r="P391" s="436" t="str">
        <f t="shared" si="116"/>
        <v>Miami (FL)</v>
      </c>
      <c r="Q391" s="408">
        <v>24</v>
      </c>
      <c r="R391" s="494" t="str">
        <f t="shared" si="117"/>
        <v>North Carolina</v>
      </c>
      <c r="S391" s="494" t="str">
        <f t="shared" si="118"/>
        <v>Miami (FL)</v>
      </c>
      <c r="T391" s="356" t="str">
        <f>K391</f>
        <v>North Carolina</v>
      </c>
      <c r="U391" s="665" t="str">
        <f t="shared" si="119"/>
        <v>W</v>
      </c>
      <c r="V391" s="352" t="str">
        <f>UPPER(+F391)</f>
        <v>NORTH CAROLINA</v>
      </c>
      <c r="W391" s="424">
        <v>45</v>
      </c>
      <c r="X391" s="352" t="str">
        <f>LOWER(+H391)</f>
        <v>miami (fl)</v>
      </c>
      <c r="Y391" s="425">
        <v>42</v>
      </c>
    </row>
    <row r="392" spans="1:25" ht="16" x14ac:dyDescent="0.8">
      <c r="A392" s="351">
        <v>6</v>
      </c>
      <c r="B392" s="420" t="s">
        <v>34</v>
      </c>
      <c r="C392" s="421">
        <v>44842</v>
      </c>
      <c r="D392" s="414">
        <f>20/24</f>
        <v>0.83333333333333337</v>
      </c>
      <c r="E392" s="349" t="s">
        <v>61</v>
      </c>
      <c r="F392" s="420" t="s">
        <v>117</v>
      </c>
      <c r="G392" s="349" t="s">
        <v>61</v>
      </c>
      <c r="H392" s="420" t="s">
        <v>126</v>
      </c>
      <c r="I392" s="349" t="s">
        <v>61</v>
      </c>
      <c r="J392" s="420" t="str">
        <f>H392</f>
        <v>North Carolina St</v>
      </c>
      <c r="K392" s="379" t="str">
        <f t="shared" si="115"/>
        <v>Florida State</v>
      </c>
      <c r="L392" s="422">
        <v>3</v>
      </c>
      <c r="M392" s="418">
        <v>48.5</v>
      </c>
      <c r="N392" s="351" t="str">
        <f t="shared" ref="N392:N397" si="120">J392</f>
        <v>North Carolina St</v>
      </c>
      <c r="O392" s="423">
        <v>19</v>
      </c>
      <c r="P392" s="436" t="str">
        <f t="shared" si="116"/>
        <v>Florida State</v>
      </c>
      <c r="Q392" s="408">
        <v>7</v>
      </c>
      <c r="R392" s="494" t="str">
        <f t="shared" si="117"/>
        <v>North Carolina St</v>
      </c>
      <c r="S392" s="494" t="str">
        <f t="shared" si="118"/>
        <v>Florida State</v>
      </c>
      <c r="T392" s="356" t="str">
        <f>J392</f>
        <v>North Carolina St</v>
      </c>
      <c r="U392" s="665" t="str">
        <f t="shared" si="119"/>
        <v>W</v>
      </c>
      <c r="V392" s="352" t="str">
        <f>LOWER(+H392)</f>
        <v>north carolina st</v>
      </c>
      <c r="W392" s="424">
        <v>28</v>
      </c>
      <c r="X392" s="352" t="str">
        <f>UPPER(+F392)</f>
        <v>FLORIDA STATE</v>
      </c>
      <c r="Y392" s="425">
        <v>14</v>
      </c>
    </row>
    <row r="393" spans="1:25" ht="16" x14ac:dyDescent="0.8">
      <c r="A393" s="351">
        <v>6</v>
      </c>
      <c r="B393" s="420" t="s">
        <v>34</v>
      </c>
      <c r="C393" s="421">
        <v>44842</v>
      </c>
      <c r="D393" s="414">
        <f>15.5/24</f>
        <v>0.64583333333333337</v>
      </c>
      <c r="E393" s="349" t="s">
        <v>61</v>
      </c>
      <c r="F393" s="420" t="s">
        <v>221</v>
      </c>
      <c r="G393" s="349" t="s">
        <v>61</v>
      </c>
      <c r="H393" s="420" t="s">
        <v>128</v>
      </c>
      <c r="I393" s="349" t="s">
        <v>61</v>
      </c>
      <c r="J393" s="420" t="str">
        <f>H393</f>
        <v>Pittsburgh</v>
      </c>
      <c r="K393" s="379" t="str">
        <f t="shared" si="115"/>
        <v>Virginia Tech</v>
      </c>
      <c r="L393" s="422">
        <v>14.5</v>
      </c>
      <c r="M393" s="418">
        <v>41.5</v>
      </c>
      <c r="N393" s="351" t="str">
        <f t="shared" si="120"/>
        <v>Pittsburgh</v>
      </c>
      <c r="O393" s="423">
        <v>45</v>
      </c>
      <c r="P393" s="436" t="str">
        <f t="shared" si="116"/>
        <v>Virginia Tech</v>
      </c>
      <c r="Q393" s="408">
        <v>29</v>
      </c>
      <c r="R393" s="494" t="str">
        <f t="shared" si="117"/>
        <v>Pittsburgh</v>
      </c>
      <c r="S393" s="494" t="str">
        <f t="shared" si="118"/>
        <v>Virginia Tech</v>
      </c>
      <c r="T393" s="356" t="str">
        <f>J393</f>
        <v>Pittsburgh</v>
      </c>
      <c r="U393" s="665" t="str">
        <f t="shared" si="119"/>
        <v>W</v>
      </c>
      <c r="V393" s="352" t="str">
        <f>LOWER(+H393)</f>
        <v>pittsburgh</v>
      </c>
      <c r="W393" s="424">
        <v>28</v>
      </c>
      <c r="X393" s="352" t="str">
        <f>UPPER(+F393)</f>
        <v>VIRGINIA TECH</v>
      </c>
      <c r="Y393" s="425">
        <v>7</v>
      </c>
    </row>
    <row r="394" spans="1:25" ht="16" x14ac:dyDescent="0.8">
      <c r="A394" s="351">
        <v>6</v>
      </c>
      <c r="B394" s="420" t="s">
        <v>34</v>
      </c>
      <c r="C394" s="421">
        <v>44842</v>
      </c>
      <c r="D394" s="414">
        <f>12/24</f>
        <v>0.5</v>
      </c>
      <c r="E394" s="349" t="s">
        <v>61</v>
      </c>
      <c r="F394" s="420" t="s">
        <v>120</v>
      </c>
      <c r="G394" s="349" t="s">
        <v>61</v>
      </c>
      <c r="H394" s="420" t="s">
        <v>130</v>
      </c>
      <c r="I394" s="349" t="s">
        <v>61</v>
      </c>
      <c r="J394" s="420" t="str">
        <f>F394</f>
        <v>Louisville</v>
      </c>
      <c r="K394" s="379" t="str">
        <f t="shared" si="115"/>
        <v>Virginia</v>
      </c>
      <c r="L394" s="422">
        <v>3</v>
      </c>
      <c r="M394" s="418">
        <v>50.5</v>
      </c>
      <c r="N394" s="351" t="str">
        <f t="shared" si="120"/>
        <v>Louisville</v>
      </c>
      <c r="O394" s="423">
        <v>34</v>
      </c>
      <c r="P394" s="436" t="str">
        <f t="shared" si="116"/>
        <v>Virginia</v>
      </c>
      <c r="Q394" s="408">
        <v>17</v>
      </c>
      <c r="R394" s="494" t="str">
        <f t="shared" si="117"/>
        <v>Louisville</v>
      </c>
      <c r="S394" s="494" t="str">
        <f t="shared" si="118"/>
        <v>Virginia</v>
      </c>
      <c r="T394" s="356" t="str">
        <f>K394</f>
        <v>Virginia</v>
      </c>
      <c r="U394" s="665" t="str">
        <f t="shared" si="119"/>
        <v>L</v>
      </c>
      <c r="V394" s="352" t="str">
        <f>LOWER(+H394)</f>
        <v>virginia</v>
      </c>
      <c r="W394" s="424">
        <v>34</v>
      </c>
      <c r="X394" s="352" t="str">
        <f>UPPER(+F394)</f>
        <v>LOUISVILLE</v>
      </c>
      <c r="Y394" s="425">
        <v>33</v>
      </c>
    </row>
    <row r="395" spans="1:25" ht="16" x14ac:dyDescent="0.8">
      <c r="A395" s="351">
        <v>6</v>
      </c>
      <c r="B395" s="420" t="s">
        <v>34</v>
      </c>
      <c r="C395" s="421">
        <v>44842</v>
      </c>
      <c r="D395" s="414">
        <f>19.5/24</f>
        <v>0.8125</v>
      </c>
      <c r="E395" s="349" t="s">
        <v>53</v>
      </c>
      <c r="F395" s="420" t="s">
        <v>99</v>
      </c>
      <c r="G395" s="349" t="s">
        <v>43</v>
      </c>
      <c r="H395" s="420" t="s">
        <v>62</v>
      </c>
      <c r="I395" s="349" t="s">
        <v>61</v>
      </c>
      <c r="J395" s="420" t="str">
        <f>H395</f>
        <v>Wake Forest</v>
      </c>
      <c r="K395" s="379" t="str">
        <f t="shared" si="115"/>
        <v>Army</v>
      </c>
      <c r="L395" s="422">
        <v>17</v>
      </c>
      <c r="M395" s="418">
        <v>66</v>
      </c>
      <c r="N395" s="351" t="str">
        <f t="shared" si="120"/>
        <v>Wake Forest</v>
      </c>
      <c r="O395" s="423">
        <v>45</v>
      </c>
      <c r="P395" s="436" t="str">
        <f t="shared" si="116"/>
        <v>Army</v>
      </c>
      <c r="Q395" s="408">
        <v>10</v>
      </c>
      <c r="R395" s="494" t="str">
        <f t="shared" si="117"/>
        <v>Wake Forest</v>
      </c>
      <c r="S395" s="494" t="str">
        <f t="shared" si="118"/>
        <v>Army</v>
      </c>
      <c r="T395" s="356" t="str">
        <f>J395</f>
        <v>Wake Forest</v>
      </c>
      <c r="U395" s="665" t="str">
        <f t="shared" si="119"/>
        <v>W</v>
      </c>
      <c r="W395" s="424"/>
      <c r="X395" s="352" t="s">
        <v>404</v>
      </c>
      <c r="Y395" s="425"/>
    </row>
    <row r="396" spans="1:25" ht="16" x14ac:dyDescent="0.8">
      <c r="A396" s="351">
        <v>6</v>
      </c>
      <c r="B396" s="420" t="s">
        <v>34</v>
      </c>
      <c r="C396" s="421">
        <v>44842</v>
      </c>
      <c r="D396" s="414">
        <f>19.5/24</f>
        <v>0.8125</v>
      </c>
      <c r="E396" s="349" t="s">
        <v>66</v>
      </c>
      <c r="F396" s="420" t="s">
        <v>134</v>
      </c>
      <c r="G396" s="349" t="s">
        <v>64</v>
      </c>
      <c r="H396" s="420" t="s">
        <v>132</v>
      </c>
      <c r="I396" s="349" t="s">
        <v>64</v>
      </c>
      <c r="J396" s="420" t="str">
        <f>H396</f>
        <v>Illinois</v>
      </c>
      <c r="K396" s="379" t="str">
        <f t="shared" si="115"/>
        <v>Iowa</v>
      </c>
      <c r="L396" s="422">
        <v>3.5</v>
      </c>
      <c r="M396" s="418">
        <v>35.5</v>
      </c>
      <c r="N396" s="351" t="str">
        <f t="shared" si="120"/>
        <v>Illinois</v>
      </c>
      <c r="O396" s="423">
        <v>9</v>
      </c>
      <c r="P396" s="436" t="str">
        <f t="shared" si="116"/>
        <v>Iowa</v>
      </c>
      <c r="Q396" s="408">
        <v>6</v>
      </c>
      <c r="R396" s="494" t="str">
        <f t="shared" si="117"/>
        <v>Iowa</v>
      </c>
      <c r="S396" s="494" t="str">
        <f t="shared" si="118"/>
        <v>Illinois</v>
      </c>
      <c r="T396" s="356" t="str">
        <f>K396</f>
        <v>Iowa</v>
      </c>
      <c r="U396" s="665" t="str">
        <f t="shared" si="119"/>
        <v>W</v>
      </c>
      <c r="V396" s="352" t="str">
        <f>UPPER(+F396)</f>
        <v>IOWA</v>
      </c>
      <c r="W396" s="424">
        <v>33</v>
      </c>
      <c r="X396" s="352" t="str">
        <f>LOWER(+H396)</f>
        <v>illinois</v>
      </c>
      <c r="Y396" s="425">
        <v>23</v>
      </c>
    </row>
    <row r="397" spans="1:25" ht="16" x14ac:dyDescent="0.8">
      <c r="A397" s="351">
        <v>6</v>
      </c>
      <c r="B397" s="420" t="s">
        <v>34</v>
      </c>
      <c r="C397" s="421">
        <v>44842</v>
      </c>
      <c r="D397" s="414">
        <f>12/24</f>
        <v>0.5</v>
      </c>
      <c r="E397" s="349" t="s">
        <v>118</v>
      </c>
      <c r="F397" s="420" t="s">
        <v>137</v>
      </c>
      <c r="G397" s="349" t="s">
        <v>64</v>
      </c>
      <c r="H397" s="420" t="s">
        <v>65</v>
      </c>
      <c r="I397" s="349" t="s">
        <v>64</v>
      </c>
      <c r="J397" s="420" t="str">
        <f>F397</f>
        <v>Michigan</v>
      </c>
      <c r="K397" s="379" t="str">
        <f t="shared" si="115"/>
        <v>Indiana</v>
      </c>
      <c r="L397" s="422">
        <v>22</v>
      </c>
      <c r="M397" s="418">
        <v>59</v>
      </c>
      <c r="N397" s="351" t="str">
        <f t="shared" si="120"/>
        <v>Michigan</v>
      </c>
      <c r="O397" s="423">
        <v>31</v>
      </c>
      <c r="P397" s="436" t="str">
        <f t="shared" si="116"/>
        <v>Indiana</v>
      </c>
      <c r="Q397" s="408">
        <v>10</v>
      </c>
      <c r="R397" s="494" t="str">
        <f t="shared" si="117"/>
        <v>Indiana</v>
      </c>
      <c r="S397" s="494" t="str">
        <f t="shared" si="118"/>
        <v>Michigan</v>
      </c>
      <c r="T397" s="356" t="str">
        <f>H397</f>
        <v>Indiana</v>
      </c>
      <c r="U397" s="665" t="str">
        <f t="shared" si="119"/>
        <v>W</v>
      </c>
      <c r="V397" s="352" t="str">
        <f>UPPER(+F397)</f>
        <v>MICHIGAN</v>
      </c>
      <c r="W397" s="424">
        <v>29</v>
      </c>
      <c r="X397" s="352" t="str">
        <f>LOWER(+H397)</f>
        <v>indiana</v>
      </c>
      <c r="Y397" s="425">
        <v>7</v>
      </c>
    </row>
    <row r="398" spans="1:25" ht="16" x14ac:dyDescent="0.8">
      <c r="A398" s="351">
        <v>6</v>
      </c>
      <c r="B398" s="420" t="s">
        <v>34</v>
      </c>
      <c r="C398" s="421">
        <v>44842</v>
      </c>
      <c r="D398" s="414">
        <f>12/24</f>
        <v>0.5</v>
      </c>
      <c r="E398" s="349" t="s">
        <v>66</v>
      </c>
      <c r="F398" s="420" t="s">
        <v>119</v>
      </c>
      <c r="G398" s="349" t="s">
        <v>64</v>
      </c>
      <c r="H398" s="420" t="s">
        <v>156</v>
      </c>
      <c r="I398" s="349" t="s">
        <v>64</v>
      </c>
      <c r="J398" s="420" t="str">
        <f>H398</f>
        <v>Maryland</v>
      </c>
      <c r="K398" s="379" t="str">
        <f t="shared" si="115"/>
        <v>Purdue</v>
      </c>
      <c r="L398" s="422">
        <v>3</v>
      </c>
      <c r="M398" s="418">
        <v>59.5</v>
      </c>
      <c r="N398" s="436" t="str">
        <f>K398</f>
        <v>Purdue</v>
      </c>
      <c r="O398" s="423">
        <v>31</v>
      </c>
      <c r="P398" s="436" t="str">
        <f t="shared" si="116"/>
        <v>Maryland</v>
      </c>
      <c r="Q398" s="408">
        <v>29</v>
      </c>
      <c r="R398" s="494" t="str">
        <f t="shared" si="117"/>
        <v>Purdue</v>
      </c>
      <c r="S398" s="494" t="str">
        <f t="shared" si="118"/>
        <v>Maryland</v>
      </c>
      <c r="T398" s="356" t="str">
        <f>K398</f>
        <v>Purdue</v>
      </c>
      <c r="U398" s="665" t="str">
        <f t="shared" si="119"/>
        <v>W</v>
      </c>
      <c r="W398" s="424"/>
      <c r="X398" s="352" t="s">
        <v>404</v>
      </c>
      <c r="Y398" s="425"/>
    </row>
    <row r="399" spans="1:25" ht="16" x14ac:dyDescent="0.8">
      <c r="A399" s="351">
        <v>6</v>
      </c>
      <c r="B399" s="420" t="s">
        <v>34</v>
      </c>
      <c r="C399" s="421">
        <v>44842</v>
      </c>
      <c r="D399" s="414">
        <f>16/24</f>
        <v>0.66666666666666663</v>
      </c>
      <c r="E399" s="349" t="s">
        <v>135</v>
      </c>
      <c r="F399" s="420" t="s">
        <v>63</v>
      </c>
      <c r="G399" s="349" t="s">
        <v>64</v>
      </c>
      <c r="H399" s="420" t="s">
        <v>139</v>
      </c>
      <c r="I399" s="349" t="s">
        <v>64</v>
      </c>
      <c r="J399" s="420" t="str">
        <f>F399</f>
        <v>Ohio State</v>
      </c>
      <c r="K399" s="379" t="str">
        <f t="shared" si="115"/>
        <v>Michigan State</v>
      </c>
      <c r="L399" s="422">
        <v>26.5</v>
      </c>
      <c r="M399" s="418">
        <v>64.5</v>
      </c>
      <c r="N399" s="351" t="str">
        <f t="shared" ref="N399:N411" si="121">J399</f>
        <v>Ohio State</v>
      </c>
      <c r="O399" s="423">
        <v>49</v>
      </c>
      <c r="P399" s="436" t="str">
        <f t="shared" si="116"/>
        <v>Michigan State</v>
      </c>
      <c r="Q399" s="408">
        <v>20</v>
      </c>
      <c r="R399" s="494" t="str">
        <f t="shared" si="117"/>
        <v>Ohio State</v>
      </c>
      <c r="S399" s="494" t="str">
        <f t="shared" si="118"/>
        <v>Michigan State</v>
      </c>
      <c r="T399" s="356" t="str">
        <f>K399</f>
        <v>Michigan State</v>
      </c>
      <c r="U399" s="665" t="str">
        <f t="shared" si="119"/>
        <v>L</v>
      </c>
      <c r="V399" s="352" t="str">
        <f>UPPER(+F399)</f>
        <v>OHIO STATE</v>
      </c>
      <c r="W399" s="424">
        <v>56</v>
      </c>
      <c r="X399" s="352" t="str">
        <f>LOWER(+H399)</f>
        <v>michigan state</v>
      </c>
      <c r="Y399" s="425">
        <v>7</v>
      </c>
    </row>
    <row r="400" spans="1:25" ht="16" x14ac:dyDescent="0.8">
      <c r="A400" s="351">
        <v>6</v>
      </c>
      <c r="B400" s="420" t="s">
        <v>34</v>
      </c>
      <c r="C400" s="421">
        <v>44842</v>
      </c>
      <c r="D400" s="414">
        <f>15.5/24</f>
        <v>0.64583333333333337</v>
      </c>
      <c r="E400" s="349" t="s">
        <v>66</v>
      </c>
      <c r="F400" s="420" t="s">
        <v>94</v>
      </c>
      <c r="G400" s="349" t="s">
        <v>64</v>
      </c>
      <c r="H400" s="420" t="s">
        <v>143</v>
      </c>
      <c r="I400" s="349" t="s">
        <v>64</v>
      </c>
      <c r="J400" s="420" t="str">
        <f>F400</f>
        <v>Wisconsin</v>
      </c>
      <c r="K400" s="379" t="str">
        <f t="shared" si="115"/>
        <v>Northwestern</v>
      </c>
      <c r="L400" s="422">
        <v>10</v>
      </c>
      <c r="M400" s="418">
        <v>44.5</v>
      </c>
      <c r="N400" s="351" t="str">
        <f t="shared" si="121"/>
        <v>Wisconsin</v>
      </c>
      <c r="O400" s="423">
        <v>42</v>
      </c>
      <c r="P400" s="436" t="str">
        <f t="shared" si="116"/>
        <v>Northwestern</v>
      </c>
      <c r="Q400" s="408">
        <v>7</v>
      </c>
      <c r="R400" s="494" t="str">
        <f t="shared" si="117"/>
        <v>Wisconsin</v>
      </c>
      <c r="S400" s="494" t="str">
        <f t="shared" si="118"/>
        <v>Northwestern</v>
      </c>
      <c r="T400" s="356" t="str">
        <f>J400</f>
        <v>Wisconsin</v>
      </c>
      <c r="U400" s="665" t="str">
        <f t="shared" si="119"/>
        <v>W</v>
      </c>
      <c r="V400" s="352" t="str">
        <f>UPPER(+F400)</f>
        <v>WISCONSIN</v>
      </c>
      <c r="W400" s="424">
        <v>35</v>
      </c>
      <c r="X400" s="352" t="str">
        <f>LOWER(+H400)</f>
        <v>northwestern</v>
      </c>
      <c r="Y400" s="425">
        <v>7</v>
      </c>
    </row>
    <row r="401" spans="1:25" ht="16" x14ac:dyDescent="0.8">
      <c r="A401" s="351">
        <v>6</v>
      </c>
      <c r="B401" s="420" t="s">
        <v>34</v>
      </c>
      <c r="C401" s="421">
        <v>44842</v>
      </c>
      <c r="D401" s="414">
        <f>19.5/24</f>
        <v>0.8125</v>
      </c>
      <c r="E401" s="349" t="s">
        <v>95</v>
      </c>
      <c r="F401" s="420" t="s">
        <v>152</v>
      </c>
      <c r="G401" s="349" t="s">
        <v>73</v>
      </c>
      <c r="H401" s="420" t="s">
        <v>148</v>
      </c>
      <c r="I401" s="349" t="s">
        <v>73</v>
      </c>
      <c r="J401" s="420" t="str">
        <f>F401</f>
        <v>Kansas State</v>
      </c>
      <c r="K401" s="379" t="str">
        <f t="shared" si="115"/>
        <v>Iowa State</v>
      </c>
      <c r="L401" s="422">
        <v>2</v>
      </c>
      <c r="M401" s="418">
        <v>45</v>
      </c>
      <c r="N401" s="351" t="str">
        <f t="shared" si="121"/>
        <v>Kansas State</v>
      </c>
      <c r="O401" s="423">
        <v>10</v>
      </c>
      <c r="P401" s="436" t="str">
        <f t="shared" si="116"/>
        <v>Iowa State</v>
      </c>
      <c r="Q401" s="408">
        <v>9</v>
      </c>
      <c r="R401" s="494" t="str">
        <f t="shared" si="117"/>
        <v>Iowa State</v>
      </c>
      <c r="S401" s="494" t="str">
        <f t="shared" si="118"/>
        <v>Kansas State</v>
      </c>
      <c r="T401" s="356" t="str">
        <f>J401</f>
        <v>Kansas State</v>
      </c>
      <c r="U401" s="665" t="str">
        <f t="shared" si="119"/>
        <v>L</v>
      </c>
      <c r="V401" s="352" t="str">
        <f>LOWER(+H401)</f>
        <v>iowa state</v>
      </c>
      <c r="W401" s="424">
        <v>24</v>
      </c>
      <c r="X401" s="352" t="str">
        <f>UPPER(+F401)</f>
        <v>KANSAS STATE</v>
      </c>
      <c r="Y401" s="425">
        <v>21</v>
      </c>
    </row>
    <row r="402" spans="1:25" ht="16" x14ac:dyDescent="0.8">
      <c r="A402" s="351">
        <v>6</v>
      </c>
      <c r="B402" s="420" t="s">
        <v>34</v>
      </c>
      <c r="C402" s="421">
        <v>44842</v>
      </c>
      <c r="D402" s="414">
        <f>12/24</f>
        <v>0.5</v>
      </c>
      <c r="E402" s="349" t="s">
        <v>70</v>
      </c>
      <c r="F402" s="420" t="s">
        <v>155</v>
      </c>
      <c r="G402" s="349" t="s">
        <v>73</v>
      </c>
      <c r="H402" s="420" t="s">
        <v>150</v>
      </c>
      <c r="I402" s="349" t="s">
        <v>73</v>
      </c>
      <c r="J402" s="420" t="str">
        <f>F402</f>
        <v>TCU</v>
      </c>
      <c r="K402" s="379" t="str">
        <f t="shared" si="115"/>
        <v>Kansas</v>
      </c>
      <c r="L402" s="422">
        <v>7</v>
      </c>
      <c r="M402" s="418">
        <v>68</v>
      </c>
      <c r="N402" s="351" t="str">
        <f t="shared" si="121"/>
        <v>TCU</v>
      </c>
      <c r="O402" s="423">
        <v>38</v>
      </c>
      <c r="P402" s="436" t="str">
        <f t="shared" si="116"/>
        <v>Kansas</v>
      </c>
      <c r="Q402" s="408">
        <v>31</v>
      </c>
      <c r="R402" s="494" t="str">
        <f t="shared" si="117"/>
        <v>TCU</v>
      </c>
      <c r="S402" s="494" t="str">
        <f t="shared" si="118"/>
        <v>Kansas</v>
      </c>
      <c r="T402" s="356" t="str">
        <f>K402</f>
        <v>Kansas</v>
      </c>
      <c r="U402" s="665" t="str">
        <f t="shared" si="119"/>
        <v>T</v>
      </c>
      <c r="V402" s="352" t="str">
        <f>UPPER(+F402)</f>
        <v>TCU</v>
      </c>
      <c r="W402" s="424">
        <v>31</v>
      </c>
      <c r="X402" s="352" t="str">
        <f>LOWER(+H402)</f>
        <v>kansas</v>
      </c>
      <c r="Y402" s="425">
        <v>28</v>
      </c>
    </row>
    <row r="403" spans="1:25" ht="16" x14ac:dyDescent="0.8">
      <c r="A403" s="351">
        <v>6</v>
      </c>
      <c r="B403" s="420" t="s">
        <v>34</v>
      </c>
      <c r="C403" s="421">
        <v>44842</v>
      </c>
      <c r="D403" s="414">
        <f>12/24</f>
        <v>0.5</v>
      </c>
      <c r="E403" s="349" t="s">
        <v>135</v>
      </c>
      <c r="F403" s="420" t="s">
        <v>157</v>
      </c>
      <c r="G403" s="349" t="s">
        <v>73</v>
      </c>
      <c r="H403" s="420" t="s">
        <v>154</v>
      </c>
      <c r="I403" s="349" t="s">
        <v>73</v>
      </c>
      <c r="J403" s="420" t="str">
        <f>F403</f>
        <v>Texas</v>
      </c>
      <c r="K403" s="379" t="str">
        <f t="shared" si="115"/>
        <v>Oklahoma</v>
      </c>
      <c r="L403" s="422">
        <v>7</v>
      </c>
      <c r="M403" s="418">
        <v>65.5</v>
      </c>
      <c r="N403" s="351" t="str">
        <f t="shared" si="121"/>
        <v>Texas</v>
      </c>
      <c r="O403" s="423">
        <v>49</v>
      </c>
      <c r="P403" s="436" t="str">
        <f t="shared" si="116"/>
        <v>Oklahoma</v>
      </c>
      <c r="Q403" s="408">
        <v>0</v>
      </c>
      <c r="R403" s="494" t="str">
        <f t="shared" si="117"/>
        <v>Texas</v>
      </c>
      <c r="S403" s="494" t="str">
        <f t="shared" si="118"/>
        <v>Oklahoma</v>
      </c>
      <c r="T403" s="356" t="str">
        <f>K403</f>
        <v>Oklahoma</v>
      </c>
      <c r="U403" s="665" t="str">
        <f t="shared" si="119"/>
        <v>L</v>
      </c>
      <c r="V403" s="352" t="str">
        <f>LOWER(+H403)</f>
        <v>oklahoma</v>
      </c>
      <c r="W403" s="424">
        <v>55</v>
      </c>
      <c r="X403" s="352" t="str">
        <f>UPPER(+F403)</f>
        <v>TEXAS</v>
      </c>
      <c r="Y403" s="425">
        <v>48</v>
      </c>
    </row>
    <row r="404" spans="1:25" ht="16" x14ac:dyDescent="0.8">
      <c r="A404" s="351">
        <v>6</v>
      </c>
      <c r="B404" s="420" t="s">
        <v>34</v>
      </c>
      <c r="C404" s="421">
        <v>44842</v>
      </c>
      <c r="D404" s="414">
        <f>15.5/24</f>
        <v>0.64583333333333337</v>
      </c>
      <c r="E404" s="349" t="s">
        <v>70</v>
      </c>
      <c r="F404" s="420" t="s">
        <v>159</v>
      </c>
      <c r="G404" s="349" t="s">
        <v>73</v>
      </c>
      <c r="H404" s="420" t="s">
        <v>72</v>
      </c>
      <c r="I404" s="349" t="s">
        <v>73</v>
      </c>
      <c r="J404" s="420" t="str">
        <f>H404</f>
        <v>Oklahoma State</v>
      </c>
      <c r="K404" s="379" t="str">
        <f t="shared" si="115"/>
        <v>Texas Tech</v>
      </c>
      <c r="L404" s="422">
        <v>9</v>
      </c>
      <c r="M404" s="418">
        <v>69.5</v>
      </c>
      <c r="N404" s="351" t="str">
        <f t="shared" si="121"/>
        <v>Oklahoma State</v>
      </c>
      <c r="O404" s="423">
        <v>41</v>
      </c>
      <c r="P404" s="436" t="str">
        <f t="shared" si="116"/>
        <v>Texas Tech</v>
      </c>
      <c r="Q404" s="408">
        <v>31</v>
      </c>
      <c r="R404" s="494" t="str">
        <f t="shared" si="117"/>
        <v>Oklahoma State</v>
      </c>
      <c r="S404" s="494" t="str">
        <f t="shared" si="118"/>
        <v>Texas Tech</v>
      </c>
      <c r="T404" s="356" t="str">
        <f>J404</f>
        <v>Oklahoma State</v>
      </c>
      <c r="U404" s="665" t="str">
        <f t="shared" si="119"/>
        <v>W</v>
      </c>
      <c r="V404" s="352" t="str">
        <f>LOWER(+H404)</f>
        <v>oklahoma state</v>
      </c>
      <c r="W404" s="424">
        <v>23</v>
      </c>
      <c r="X404" s="352" t="str">
        <f>UPPER(+F404)</f>
        <v>TEXAS TECH</v>
      </c>
      <c r="Y404" s="425">
        <v>0</v>
      </c>
    </row>
    <row r="405" spans="1:25" ht="16" x14ac:dyDescent="0.8">
      <c r="A405" s="351">
        <v>6</v>
      </c>
      <c r="B405" s="420" t="s">
        <v>34</v>
      </c>
      <c r="C405" s="421">
        <v>44842</v>
      </c>
      <c r="D405" s="414">
        <f>19/24</f>
        <v>0.79166666666666663</v>
      </c>
      <c r="E405" s="349" t="s">
        <v>53</v>
      </c>
      <c r="F405" s="420" t="s">
        <v>57</v>
      </c>
      <c r="G405" s="349" t="s">
        <v>43</v>
      </c>
      <c r="H405" s="420" t="s">
        <v>105</v>
      </c>
      <c r="I405" s="349" t="s">
        <v>39</v>
      </c>
      <c r="J405" s="420" t="str">
        <f>F405</f>
        <v>Connecticut</v>
      </c>
      <c r="K405" s="379" t="str">
        <f t="shared" si="115"/>
        <v>Florida Intl</v>
      </c>
      <c r="L405" s="422">
        <v>5</v>
      </c>
      <c r="M405" s="418">
        <v>46.5</v>
      </c>
      <c r="N405" s="351" t="str">
        <f t="shared" si="121"/>
        <v>Connecticut</v>
      </c>
      <c r="O405" s="423">
        <v>33</v>
      </c>
      <c r="P405" s="436" t="str">
        <f t="shared" si="116"/>
        <v>Florida Intl</v>
      </c>
      <c r="Q405" s="408">
        <v>12</v>
      </c>
      <c r="R405" s="494" t="str">
        <f t="shared" si="117"/>
        <v>Connecticut</v>
      </c>
      <c r="S405" s="494" t="str">
        <f t="shared" si="118"/>
        <v>Florida Intl</v>
      </c>
      <c r="T405" s="356" t="str">
        <f>J405</f>
        <v>Connecticut</v>
      </c>
      <c r="U405" s="665" t="str">
        <f t="shared" si="119"/>
        <v>W</v>
      </c>
      <c r="W405" s="424"/>
      <c r="X405" s="352" t="s">
        <v>404</v>
      </c>
      <c r="Y405" s="425"/>
    </row>
    <row r="406" spans="1:25" ht="16" x14ac:dyDescent="0.8">
      <c r="A406" s="351">
        <v>6</v>
      </c>
      <c r="B406" s="420" t="s">
        <v>34</v>
      </c>
      <c r="C406" s="421">
        <v>44842</v>
      </c>
      <c r="D406" s="414">
        <f>19/24</f>
        <v>0.79166666666666663</v>
      </c>
      <c r="E406" s="349"/>
      <c r="F406" s="420" t="s">
        <v>153</v>
      </c>
      <c r="G406" s="349" t="s">
        <v>39</v>
      </c>
      <c r="H406" s="420" t="s">
        <v>161</v>
      </c>
      <c r="I406" s="349" t="s">
        <v>39</v>
      </c>
      <c r="J406" s="420" t="str">
        <f>H406</f>
        <v>Louisiana Tech</v>
      </c>
      <c r="K406" s="379" t="str">
        <f t="shared" si="115"/>
        <v>UTEP</v>
      </c>
      <c r="L406" s="422">
        <v>3</v>
      </c>
      <c r="M406" s="418">
        <v>52.5</v>
      </c>
      <c r="N406" s="351" t="str">
        <f t="shared" si="121"/>
        <v>Louisiana Tech</v>
      </c>
      <c r="O406" s="423">
        <v>41</v>
      </c>
      <c r="P406" s="436" t="str">
        <f t="shared" si="116"/>
        <v>UTEP</v>
      </c>
      <c r="Q406" s="408">
        <v>31</v>
      </c>
      <c r="R406" s="494" t="str">
        <f t="shared" si="117"/>
        <v>Louisiana Tech</v>
      </c>
      <c r="S406" s="494" t="str">
        <f t="shared" si="118"/>
        <v>UTEP</v>
      </c>
      <c r="T406" s="356" t="str">
        <f>J406</f>
        <v>Louisiana Tech</v>
      </c>
      <c r="U406" s="665" t="str">
        <f t="shared" si="119"/>
        <v>W</v>
      </c>
      <c r="V406" s="352" t="str">
        <f>UPPER(+F406)</f>
        <v>UTEP</v>
      </c>
      <c r="W406" s="424">
        <v>19</v>
      </c>
      <c r="X406" s="352" t="str">
        <f>LOWER(+H406)</f>
        <v>louisiana tech</v>
      </c>
      <c r="Y406" s="425">
        <v>3</v>
      </c>
    </row>
    <row r="407" spans="1:25" ht="16" x14ac:dyDescent="0.8">
      <c r="A407" s="351">
        <v>6</v>
      </c>
      <c r="B407" s="420" t="s">
        <v>34</v>
      </c>
      <c r="C407" s="421">
        <v>44842</v>
      </c>
      <c r="D407" s="414">
        <f>15.5/24</f>
        <v>0.64583333333333337</v>
      </c>
      <c r="E407" s="349"/>
      <c r="F407" s="420" t="s">
        <v>165</v>
      </c>
      <c r="G407" s="349" t="s">
        <v>39</v>
      </c>
      <c r="H407" s="420" t="s">
        <v>173</v>
      </c>
      <c r="I407" s="349" t="s">
        <v>39</v>
      </c>
      <c r="J407" s="420" t="str">
        <f>H407</f>
        <v>UAB</v>
      </c>
      <c r="K407" s="379" t="str">
        <f t="shared" si="115"/>
        <v>Middle Tenn St</v>
      </c>
      <c r="L407" s="422">
        <v>9.5</v>
      </c>
      <c r="M407" s="418">
        <v>52.5</v>
      </c>
      <c r="N407" s="351" t="str">
        <f t="shared" si="121"/>
        <v>UAB</v>
      </c>
      <c r="O407" s="423">
        <v>41</v>
      </c>
      <c r="P407" s="436" t="str">
        <f t="shared" si="116"/>
        <v>Middle Tenn St</v>
      </c>
      <c r="Q407" s="408">
        <v>14</v>
      </c>
      <c r="R407" s="494" t="str">
        <f t="shared" si="117"/>
        <v>UAB</v>
      </c>
      <c r="S407" s="494" t="str">
        <f t="shared" si="118"/>
        <v>Middle Tenn St</v>
      </c>
      <c r="T407" s="356" t="str">
        <f>K407</f>
        <v>Middle Tenn St</v>
      </c>
      <c r="U407" s="665" t="str">
        <f t="shared" si="119"/>
        <v>L</v>
      </c>
      <c r="W407" s="424"/>
      <c r="X407" s="352" t="s">
        <v>404</v>
      </c>
      <c r="Y407" s="425"/>
    </row>
    <row r="408" spans="1:25" ht="16" x14ac:dyDescent="0.8">
      <c r="A408" s="351">
        <v>6</v>
      </c>
      <c r="B408" s="420" t="s">
        <v>34</v>
      </c>
      <c r="C408" s="421">
        <v>44842</v>
      </c>
      <c r="D408" s="414">
        <f>18/24</f>
        <v>0.75</v>
      </c>
      <c r="E408" s="349"/>
      <c r="F408" s="420" t="s">
        <v>177</v>
      </c>
      <c r="G408" s="349" t="s">
        <v>39</v>
      </c>
      <c r="H408" s="420" t="s">
        <v>175</v>
      </c>
      <c r="I408" s="349" t="s">
        <v>39</v>
      </c>
      <c r="J408" s="420" t="str">
        <f>H408</f>
        <v>UT San Antonio</v>
      </c>
      <c r="K408" s="379" t="str">
        <f t="shared" si="115"/>
        <v>Western Kentucky</v>
      </c>
      <c r="L408" s="422">
        <v>6.5</v>
      </c>
      <c r="M408" s="418">
        <v>73</v>
      </c>
      <c r="N408" s="351" t="str">
        <f t="shared" si="121"/>
        <v>UT San Antonio</v>
      </c>
      <c r="O408" s="423">
        <v>31</v>
      </c>
      <c r="P408" s="436" t="str">
        <f t="shared" si="116"/>
        <v>Western Kentucky</v>
      </c>
      <c r="Q408" s="408">
        <v>26</v>
      </c>
      <c r="R408" s="494" t="str">
        <f t="shared" si="117"/>
        <v>Western Kentucky</v>
      </c>
      <c r="S408" s="494" t="str">
        <f t="shared" si="118"/>
        <v>UT San Antonio</v>
      </c>
      <c r="T408" s="356" t="str">
        <f>J408</f>
        <v>UT San Antonio</v>
      </c>
      <c r="U408" s="665" t="str">
        <f t="shared" si="119"/>
        <v>L</v>
      </c>
      <c r="V408" s="352" t="str">
        <f>LOWER(+H408)</f>
        <v>ut san antonio</v>
      </c>
      <c r="W408" s="424">
        <v>49</v>
      </c>
      <c r="X408" s="352" t="str">
        <f>UPPER(+F408)</f>
        <v>WESTERN KENTUCKY</v>
      </c>
      <c r="Y408" s="425">
        <v>41</v>
      </c>
    </row>
    <row r="409" spans="1:25" ht="16" x14ac:dyDescent="0.8">
      <c r="A409" s="351">
        <v>6</v>
      </c>
      <c r="B409" s="420" t="s">
        <v>34</v>
      </c>
      <c r="C409" s="421">
        <v>44842</v>
      </c>
      <c r="D409" s="414">
        <f>19.5/24</f>
        <v>0.8125</v>
      </c>
      <c r="E409" s="349" t="s">
        <v>179</v>
      </c>
      <c r="F409" s="420" t="s">
        <v>181</v>
      </c>
      <c r="G409" s="349" t="s">
        <v>43</v>
      </c>
      <c r="H409" s="420" t="s">
        <v>42</v>
      </c>
      <c r="I409" s="349" t="s">
        <v>43</v>
      </c>
      <c r="J409" s="420" t="str">
        <f>F409</f>
        <v>Notre Dame</v>
      </c>
      <c r="K409" s="379" t="str">
        <f t="shared" si="115"/>
        <v>BYU</v>
      </c>
      <c r="L409" s="422">
        <v>3.5</v>
      </c>
      <c r="M409" s="418">
        <v>52</v>
      </c>
      <c r="N409" s="351" t="str">
        <f t="shared" si="121"/>
        <v>Notre Dame</v>
      </c>
      <c r="O409" s="423">
        <v>28</v>
      </c>
      <c r="P409" s="436" t="str">
        <f t="shared" si="116"/>
        <v>BYU</v>
      </c>
      <c r="Q409" s="408">
        <v>20</v>
      </c>
      <c r="R409" s="494" t="str">
        <f t="shared" si="117"/>
        <v>Notre Dame</v>
      </c>
      <c r="S409" s="494" t="str">
        <f t="shared" si="118"/>
        <v>BYU</v>
      </c>
      <c r="T409" s="356" t="str">
        <f>J409</f>
        <v>Notre Dame</v>
      </c>
      <c r="U409" s="665" t="str">
        <f t="shared" si="119"/>
        <v>W</v>
      </c>
      <c r="W409" s="424"/>
      <c r="X409" s="352" t="s">
        <v>404</v>
      </c>
      <c r="Y409" s="425"/>
    </row>
    <row r="410" spans="1:25" ht="16" x14ac:dyDescent="0.8">
      <c r="A410" s="351">
        <v>6</v>
      </c>
      <c r="B410" s="420" t="s">
        <v>34</v>
      </c>
      <c r="C410" s="421">
        <v>44842</v>
      </c>
      <c r="D410" s="414">
        <f>15.5/24</f>
        <v>0.64583333333333337</v>
      </c>
      <c r="E410" s="349"/>
      <c r="F410" s="420" t="s">
        <v>306</v>
      </c>
      <c r="G410" s="349" t="s">
        <v>43</v>
      </c>
      <c r="H410" s="420" t="s">
        <v>46</v>
      </c>
      <c r="I410" s="349" t="s">
        <v>43</v>
      </c>
      <c r="J410" s="420" t="str">
        <f>F410</f>
        <v>Liberty</v>
      </c>
      <c r="K410" s="379" t="str">
        <f t="shared" si="115"/>
        <v>Massachusetts</v>
      </c>
      <c r="L410" s="422">
        <v>24.5</v>
      </c>
      <c r="M410" s="418">
        <v>49.5</v>
      </c>
      <c r="N410" s="351" t="str">
        <f t="shared" si="121"/>
        <v>Liberty</v>
      </c>
      <c r="O410" s="423">
        <v>42</v>
      </c>
      <c r="P410" s="436" t="str">
        <f t="shared" si="116"/>
        <v>Massachusetts</v>
      </c>
      <c r="Q410" s="408">
        <v>24</v>
      </c>
      <c r="R410" s="494" t="str">
        <f t="shared" si="117"/>
        <v>Massachusetts</v>
      </c>
      <c r="S410" s="494" t="str">
        <f t="shared" si="118"/>
        <v>Liberty</v>
      </c>
      <c r="T410" s="356" t="str">
        <f>J410</f>
        <v>Liberty</v>
      </c>
      <c r="U410" s="665" t="str">
        <f t="shared" si="119"/>
        <v>L</v>
      </c>
      <c r="V410" s="352" t="str">
        <f>UPPER(+F410)</f>
        <v>LIBERTY</v>
      </c>
      <c r="W410" s="424">
        <v>62</v>
      </c>
      <c r="X410" s="352" t="str">
        <f>LOWER(+H410)</f>
        <v>massachusetts</v>
      </c>
      <c r="Y410" s="425">
        <v>17</v>
      </c>
    </row>
    <row r="411" spans="1:25" ht="16" x14ac:dyDescent="0.8">
      <c r="A411" s="351">
        <v>6</v>
      </c>
      <c r="B411" s="420" t="s">
        <v>34</v>
      </c>
      <c r="C411" s="421">
        <v>44842</v>
      </c>
      <c r="D411" s="414">
        <f>12/24</f>
        <v>0.5</v>
      </c>
      <c r="E411" s="349"/>
      <c r="F411" s="420" t="s">
        <v>138</v>
      </c>
      <c r="G411" s="349" t="s">
        <v>68</v>
      </c>
      <c r="H411" s="420" t="s">
        <v>67</v>
      </c>
      <c r="I411" s="349" t="s">
        <v>68</v>
      </c>
      <c r="J411" s="420" t="str">
        <f>H411</f>
        <v>Buffalo</v>
      </c>
      <c r="K411" s="379" t="str">
        <f t="shared" si="115"/>
        <v>Bowling Green</v>
      </c>
      <c r="L411" s="422">
        <v>2.5</v>
      </c>
      <c r="M411" s="418">
        <v>54</v>
      </c>
      <c r="N411" s="351" t="str">
        <f t="shared" si="121"/>
        <v>Buffalo</v>
      </c>
      <c r="O411" s="423">
        <v>38</v>
      </c>
      <c r="P411" s="436" t="str">
        <f t="shared" si="116"/>
        <v>Bowling Green</v>
      </c>
      <c r="Q411" s="408">
        <v>7</v>
      </c>
      <c r="R411" s="494" t="str">
        <f t="shared" si="117"/>
        <v>Buffalo</v>
      </c>
      <c r="S411" s="494" t="str">
        <f t="shared" si="118"/>
        <v>Bowling Green</v>
      </c>
      <c r="T411" s="356" t="str">
        <f>K411</f>
        <v>Bowling Green</v>
      </c>
      <c r="U411" s="665" t="str">
        <f t="shared" si="119"/>
        <v>L</v>
      </c>
      <c r="V411" s="352" t="str">
        <f>UPPER(+F411)</f>
        <v>BOWLING GREEN</v>
      </c>
      <c r="W411" s="424">
        <v>56</v>
      </c>
      <c r="X411" s="352" t="str">
        <f>LOWER(+H411)</f>
        <v>buffalo</v>
      </c>
      <c r="Y411" s="425">
        <v>44</v>
      </c>
    </row>
    <row r="412" spans="1:25" ht="16" x14ac:dyDescent="0.8">
      <c r="A412" s="351">
        <v>6</v>
      </c>
      <c r="B412" s="420" t="s">
        <v>34</v>
      </c>
      <c r="C412" s="421">
        <v>44842</v>
      </c>
      <c r="D412" s="414">
        <f>15.5/24</f>
        <v>0.64583333333333337</v>
      </c>
      <c r="E412" s="349"/>
      <c r="F412" s="420" t="s">
        <v>131</v>
      </c>
      <c r="G412" s="349" t="s">
        <v>68</v>
      </c>
      <c r="H412" s="420" t="s">
        <v>75</v>
      </c>
      <c r="I412" s="349" t="s">
        <v>68</v>
      </c>
      <c r="J412" s="420" t="str">
        <f>H412</f>
        <v>Central Michigan</v>
      </c>
      <c r="K412" s="379" t="str">
        <f t="shared" si="115"/>
        <v>Ball State</v>
      </c>
      <c r="L412" s="422">
        <v>8</v>
      </c>
      <c r="M412" s="418">
        <v>64.5</v>
      </c>
      <c r="N412" s="436" t="str">
        <f>K412</f>
        <v>Ball State</v>
      </c>
      <c r="O412" s="423">
        <v>17</v>
      </c>
      <c r="P412" s="436" t="str">
        <f t="shared" si="116"/>
        <v>Central Michigan</v>
      </c>
      <c r="Q412" s="408">
        <v>16</v>
      </c>
      <c r="R412" s="494" t="str">
        <f t="shared" si="117"/>
        <v>Ball State</v>
      </c>
      <c r="S412" s="494" t="str">
        <f t="shared" si="118"/>
        <v>Central Michigan</v>
      </c>
      <c r="T412" s="356" t="str">
        <f>J412</f>
        <v>Central Michigan</v>
      </c>
      <c r="U412" s="665" t="str">
        <f t="shared" si="119"/>
        <v>L</v>
      </c>
      <c r="V412" s="352" t="str">
        <f>LOWER(+H412)</f>
        <v>central michigan</v>
      </c>
      <c r="W412" s="424">
        <v>37</v>
      </c>
      <c r="X412" s="352" t="str">
        <f>UPPER(+F412)</f>
        <v>BALL STATE</v>
      </c>
      <c r="Y412" s="425">
        <v>17</v>
      </c>
    </row>
    <row r="413" spans="1:25" ht="16" x14ac:dyDescent="0.8">
      <c r="A413" s="351">
        <v>6</v>
      </c>
      <c r="B413" s="420" t="s">
        <v>34</v>
      </c>
      <c r="C413" s="421">
        <v>44842</v>
      </c>
      <c r="D413" s="414">
        <f>15.5/24</f>
        <v>0.64583333333333337</v>
      </c>
      <c r="E413" s="349"/>
      <c r="F413" s="420" t="s">
        <v>113</v>
      </c>
      <c r="G413" s="349" t="s">
        <v>68</v>
      </c>
      <c r="H413" s="420" t="s">
        <v>162</v>
      </c>
      <c r="I413" s="349" t="s">
        <v>68</v>
      </c>
      <c r="J413" s="420" t="str">
        <f>F413</f>
        <v>Kent State</v>
      </c>
      <c r="K413" s="379" t="str">
        <f t="shared" si="115"/>
        <v>Miami (OH)</v>
      </c>
      <c r="L413" s="422">
        <v>5.5</v>
      </c>
      <c r="M413" s="418">
        <v>56</v>
      </c>
      <c r="N413" s="436" t="str">
        <f>K413</f>
        <v>Miami (OH)</v>
      </c>
      <c r="O413" s="423">
        <v>27</v>
      </c>
      <c r="P413" s="436" t="str">
        <f t="shared" si="116"/>
        <v>Kent State</v>
      </c>
      <c r="Q413" s="408">
        <v>24</v>
      </c>
      <c r="R413" s="494" t="str">
        <f t="shared" si="117"/>
        <v>Miami (OH)</v>
      </c>
      <c r="S413" s="494" t="str">
        <f t="shared" si="118"/>
        <v>Kent State</v>
      </c>
      <c r="T413" s="356" t="str">
        <f>J413</f>
        <v>Kent State</v>
      </c>
      <c r="U413" s="665" t="str">
        <f t="shared" si="119"/>
        <v>L</v>
      </c>
      <c r="V413" s="352" t="str">
        <f>UPPER(+F413)</f>
        <v>KENT STATE</v>
      </c>
      <c r="W413" s="424">
        <v>48</v>
      </c>
      <c r="X413" s="352" t="str">
        <f>LOWER(+H413)</f>
        <v>miami (oh)</v>
      </c>
      <c r="Y413" s="425">
        <v>47</v>
      </c>
    </row>
    <row r="414" spans="1:25" ht="16" x14ac:dyDescent="0.8">
      <c r="A414" s="351">
        <v>6</v>
      </c>
      <c r="B414" s="420" t="s">
        <v>34</v>
      </c>
      <c r="C414" s="421">
        <v>44842</v>
      </c>
      <c r="D414" s="414">
        <f>15.5/24</f>
        <v>0.64583333333333337</v>
      </c>
      <c r="E414" s="349"/>
      <c r="F414" s="420" t="s">
        <v>77</v>
      </c>
      <c r="G414" s="349" t="s">
        <v>68</v>
      </c>
      <c r="H414" s="420" t="s">
        <v>103</v>
      </c>
      <c r="I414" s="349" t="s">
        <v>68</v>
      </c>
      <c r="J414" s="420" t="str">
        <f>F414</f>
        <v>Toledo</v>
      </c>
      <c r="K414" s="379" t="str">
        <f t="shared" si="115"/>
        <v>Northern Illinois</v>
      </c>
      <c r="L414" s="422">
        <v>5.5</v>
      </c>
      <c r="M414" s="418">
        <v>60</v>
      </c>
      <c r="N414" s="351" t="str">
        <f>J414</f>
        <v>Toledo</v>
      </c>
      <c r="O414" s="423">
        <v>52</v>
      </c>
      <c r="P414" s="436" t="str">
        <f t="shared" si="116"/>
        <v>Northern Illinois</v>
      </c>
      <c r="Q414" s="408">
        <v>32</v>
      </c>
      <c r="R414" s="494" t="str">
        <f t="shared" si="117"/>
        <v>Toledo</v>
      </c>
      <c r="S414" s="494" t="str">
        <f t="shared" si="118"/>
        <v>Northern Illinois</v>
      </c>
      <c r="T414" s="356" t="str">
        <f>J414</f>
        <v>Toledo</v>
      </c>
      <c r="U414" s="665" t="str">
        <f t="shared" si="119"/>
        <v>W</v>
      </c>
      <c r="V414" s="352" t="str">
        <f>LOWER(+H414)</f>
        <v>northern illinois</v>
      </c>
      <c r="W414" s="424">
        <v>22</v>
      </c>
      <c r="X414" s="352" t="str">
        <f>UPPER(+F414)</f>
        <v>TOLEDO</v>
      </c>
      <c r="Y414" s="425">
        <v>20</v>
      </c>
    </row>
    <row r="415" spans="1:25" ht="16" x14ac:dyDescent="0.8">
      <c r="A415" s="351">
        <v>6</v>
      </c>
      <c r="B415" s="420" t="s">
        <v>34</v>
      </c>
      <c r="C415" s="421">
        <v>44842</v>
      </c>
      <c r="D415" s="414">
        <f>14/24</f>
        <v>0.58333333333333337</v>
      </c>
      <c r="E415" s="349" t="s">
        <v>53</v>
      </c>
      <c r="F415" s="420" t="s">
        <v>144</v>
      </c>
      <c r="G415" s="349" t="s">
        <v>68</v>
      </c>
      <c r="H415" s="420" t="s">
        <v>182</v>
      </c>
      <c r="I415" s="349" t="s">
        <v>68</v>
      </c>
      <c r="J415" s="420" t="str">
        <f>H415</f>
        <v>Ohio</v>
      </c>
      <c r="K415" s="379" t="str">
        <f t="shared" si="115"/>
        <v>Akron</v>
      </c>
      <c r="L415" s="422">
        <v>11.5</v>
      </c>
      <c r="M415" s="418">
        <v>60</v>
      </c>
      <c r="N415" s="351" t="str">
        <f>J415</f>
        <v>Ohio</v>
      </c>
      <c r="O415" s="423">
        <v>55</v>
      </c>
      <c r="P415" s="436" t="str">
        <f t="shared" si="116"/>
        <v>Akron</v>
      </c>
      <c r="Q415" s="408">
        <v>34</v>
      </c>
      <c r="R415" s="494" t="str">
        <f t="shared" si="117"/>
        <v>Ohio</v>
      </c>
      <c r="S415" s="494" t="str">
        <f t="shared" si="118"/>
        <v>Akron</v>
      </c>
      <c r="T415" s="356" t="str">
        <f>J415</f>
        <v>Ohio</v>
      </c>
      <c r="U415" s="665" t="str">
        <f t="shared" si="119"/>
        <v>W</v>
      </c>
      <c r="V415" s="352" t="str">
        <f>LOWER(+H415)</f>
        <v>ohio</v>
      </c>
      <c r="W415" s="424">
        <v>34</v>
      </c>
      <c r="X415" s="352" t="str">
        <f>UPPER(+F415)</f>
        <v>AKRON</v>
      </c>
      <c r="Y415" s="425">
        <v>17</v>
      </c>
    </row>
    <row r="416" spans="1:25" ht="16" x14ac:dyDescent="0.8">
      <c r="A416" s="351">
        <v>6</v>
      </c>
      <c r="B416" s="420" t="s">
        <v>34</v>
      </c>
      <c r="C416" s="421">
        <v>44842</v>
      </c>
      <c r="D416" s="414">
        <f>12/24</f>
        <v>0.5</v>
      </c>
      <c r="E416" s="349" t="s">
        <v>445</v>
      </c>
      <c r="F416" s="420" t="s">
        <v>101</v>
      </c>
      <c r="G416" s="349" t="s">
        <v>68</v>
      </c>
      <c r="H416" s="420" t="s">
        <v>201</v>
      </c>
      <c r="I416" s="349" t="s">
        <v>68</v>
      </c>
      <c r="J416" s="420" t="str">
        <f>H416</f>
        <v>Western Michigan</v>
      </c>
      <c r="K416" s="379" t="str">
        <f t="shared" ref="K416:K437" si="122">IF(+J416=H416,F416,H416)</f>
        <v>Eastern Michigan</v>
      </c>
      <c r="L416" s="422">
        <v>5</v>
      </c>
      <c r="M416" s="418">
        <v>57.5</v>
      </c>
      <c r="N416" s="436" t="str">
        <f>K416</f>
        <v>Eastern Michigan</v>
      </c>
      <c r="O416" s="423">
        <v>45</v>
      </c>
      <c r="P416" s="436" t="str">
        <f t="shared" ref="P416:P437" si="123">IF(+N416=H416,F416,H416)</f>
        <v>Western Michigan</v>
      </c>
      <c r="Q416" s="408">
        <v>23</v>
      </c>
      <c r="R416" s="494" t="str">
        <f t="shared" ref="R416:R437" si="124">IF(+N416=K416,+N416,IF(+O416-Q416&lt;L416,+K416,+J416))</f>
        <v>Eastern Michigan</v>
      </c>
      <c r="S416" s="494" t="str">
        <f t="shared" ref="S416:S437" si="125">IF(+R416=J416,+K416,+J416)</f>
        <v>Western Michigan</v>
      </c>
      <c r="T416" s="356" t="str">
        <f>J416</f>
        <v>Western Michigan</v>
      </c>
      <c r="U416" s="665" t="str">
        <f t="shared" ref="U416:U437" si="126">IF($N416=$J416,IF($O416-$Q416=$L416,"T",IF($R416=T416,"W","L")),IF($R416=T416,"W","L"))</f>
        <v>L</v>
      </c>
      <c r="V416" s="352" t="str">
        <f>UPPER(+F416)</f>
        <v>EASTERN MICHIGAN</v>
      </c>
      <c r="W416" s="424">
        <v>22</v>
      </c>
      <c r="X416" s="352" t="str">
        <f>LOWER(+H416)</f>
        <v>western michigan</v>
      </c>
      <c r="Y416" s="425">
        <v>21</v>
      </c>
    </row>
    <row r="417" spans="1:25" ht="16" x14ac:dyDescent="0.8">
      <c r="A417" s="351">
        <v>6</v>
      </c>
      <c r="B417" s="420" t="s">
        <v>34</v>
      </c>
      <c r="C417" s="421">
        <v>44842</v>
      </c>
      <c r="D417" s="414">
        <f>21.75/24</f>
        <v>0.90625</v>
      </c>
      <c r="E417" s="349" t="s">
        <v>70</v>
      </c>
      <c r="F417" s="420" t="s">
        <v>188</v>
      </c>
      <c r="G417" s="349" t="s">
        <v>45</v>
      </c>
      <c r="H417" s="420" t="s">
        <v>186</v>
      </c>
      <c r="I417" s="349" t="s">
        <v>45</v>
      </c>
      <c r="J417" s="420" t="str">
        <f>H417</f>
        <v>Boise State</v>
      </c>
      <c r="K417" s="379" t="str">
        <f t="shared" si="122"/>
        <v>Fresno State</v>
      </c>
      <c r="L417" s="422">
        <v>7.5</v>
      </c>
      <c r="M417" s="418">
        <v>45.5</v>
      </c>
      <c r="N417" s="351" t="str">
        <f>J417</f>
        <v>Boise State</v>
      </c>
      <c r="O417" s="423">
        <v>40</v>
      </c>
      <c r="P417" s="436" t="str">
        <f t="shared" si="123"/>
        <v>Fresno State</v>
      </c>
      <c r="Q417" s="408">
        <v>20</v>
      </c>
      <c r="R417" s="494" t="str">
        <f t="shared" si="124"/>
        <v>Boise State</v>
      </c>
      <c r="S417" s="494" t="str">
        <f t="shared" si="125"/>
        <v>Fresno State</v>
      </c>
      <c r="T417" s="356" t="str">
        <f>K417</f>
        <v>Fresno State</v>
      </c>
      <c r="U417" s="665" t="str">
        <f t="shared" si="126"/>
        <v>L</v>
      </c>
      <c r="V417" s="352" t="str">
        <f>LOWER(+H417)</f>
        <v>boise state</v>
      </c>
      <c r="W417" s="424">
        <v>40</v>
      </c>
      <c r="X417" s="352" t="str">
        <f>UPPER(+F417)</f>
        <v>FRESNO STATE</v>
      </c>
      <c r="Y417" s="425">
        <v>14</v>
      </c>
    </row>
    <row r="418" spans="1:25" ht="16" x14ac:dyDescent="0.8">
      <c r="A418" s="351">
        <v>6</v>
      </c>
      <c r="B418" s="420" t="s">
        <v>34</v>
      </c>
      <c r="C418" s="421">
        <v>44842</v>
      </c>
      <c r="D418" s="414">
        <f>19/24</f>
        <v>0.79166666666666663</v>
      </c>
      <c r="E418" s="349" t="s">
        <v>445</v>
      </c>
      <c r="F418" s="420" t="s">
        <v>133</v>
      </c>
      <c r="G418" s="349" t="s">
        <v>45</v>
      </c>
      <c r="H418" s="420" t="s">
        <v>191</v>
      </c>
      <c r="I418" s="349" t="s">
        <v>45</v>
      </c>
      <c r="J418" s="420" t="str">
        <f>F418</f>
        <v>Wyoming</v>
      </c>
      <c r="K418" s="379" t="str">
        <f t="shared" si="122"/>
        <v>New Mexico</v>
      </c>
      <c r="L418" s="422">
        <v>3.5</v>
      </c>
      <c r="M418" s="418">
        <v>36</v>
      </c>
      <c r="N418" s="351" t="str">
        <f>J418</f>
        <v>Wyoming</v>
      </c>
      <c r="O418" s="423">
        <v>27</v>
      </c>
      <c r="P418" s="436" t="str">
        <f t="shared" si="123"/>
        <v>New Mexico</v>
      </c>
      <c r="Q418" s="408">
        <v>14</v>
      </c>
      <c r="R418" s="494" t="str">
        <f t="shared" si="124"/>
        <v>Wyoming</v>
      </c>
      <c r="S418" s="494" t="str">
        <f t="shared" si="125"/>
        <v>New Mexico</v>
      </c>
      <c r="T418" s="356" t="str">
        <f>K418</f>
        <v>New Mexico</v>
      </c>
      <c r="U418" s="665" t="str">
        <f t="shared" si="126"/>
        <v>L</v>
      </c>
      <c r="V418" s="646" t="str">
        <f>LOWER(+H418)</f>
        <v>new mexico</v>
      </c>
      <c r="W418" s="647">
        <v>14</v>
      </c>
      <c r="X418" s="646" t="str">
        <f>UPPER(+F418)</f>
        <v>WYOMING</v>
      </c>
      <c r="Y418" s="648">
        <v>3</v>
      </c>
    </row>
    <row r="419" spans="1:25" ht="16" x14ac:dyDescent="0.8">
      <c r="A419" s="351">
        <v>6</v>
      </c>
      <c r="B419" s="420" t="s">
        <v>34</v>
      </c>
      <c r="C419" s="421">
        <v>44842</v>
      </c>
      <c r="D419" s="414">
        <f>22.5/24</f>
        <v>0.9375</v>
      </c>
      <c r="E419" s="349" t="s">
        <v>445</v>
      </c>
      <c r="F419" s="420" t="s">
        <v>44</v>
      </c>
      <c r="G419" s="349" t="s">
        <v>45</v>
      </c>
      <c r="H419" s="420" t="s">
        <v>193</v>
      </c>
      <c r="I419" s="349" t="s">
        <v>45</v>
      </c>
      <c r="J419" s="420" t="str">
        <f>H419</f>
        <v>San Diego State</v>
      </c>
      <c r="K419" s="379" t="str">
        <f t="shared" si="122"/>
        <v>Hawaii</v>
      </c>
      <c r="L419" s="422">
        <v>21</v>
      </c>
      <c r="M419" s="418">
        <v>48</v>
      </c>
      <c r="N419" s="351" t="str">
        <f>J419</f>
        <v>San Diego State</v>
      </c>
      <c r="O419" s="423">
        <v>16</v>
      </c>
      <c r="P419" s="436" t="str">
        <f t="shared" si="123"/>
        <v>Hawaii</v>
      </c>
      <c r="Q419" s="408">
        <v>14</v>
      </c>
      <c r="R419" s="494" t="str">
        <f t="shared" si="124"/>
        <v>Hawaii</v>
      </c>
      <c r="S419" s="494" t="str">
        <f t="shared" si="125"/>
        <v>San Diego State</v>
      </c>
      <c r="T419" s="356" t="str">
        <f>K419</f>
        <v>Hawaii</v>
      </c>
      <c r="U419" s="665" t="str">
        <f t="shared" si="126"/>
        <v>W</v>
      </c>
      <c r="V419" s="352" t="str">
        <f>LOWER(+H419)</f>
        <v>san diego state</v>
      </c>
      <c r="W419" s="424">
        <v>17</v>
      </c>
      <c r="X419" s="352" t="str">
        <f>UPPER(+F419)</f>
        <v>HAWAII</v>
      </c>
      <c r="Y419" s="425">
        <v>10</v>
      </c>
    </row>
    <row r="420" spans="1:25" ht="16" x14ac:dyDescent="0.8">
      <c r="A420" s="351">
        <v>6</v>
      </c>
      <c r="B420" s="420" t="s">
        <v>34</v>
      </c>
      <c r="C420" s="421">
        <v>44842</v>
      </c>
      <c r="D420" s="414">
        <f>19/24</f>
        <v>0.79166666666666663</v>
      </c>
      <c r="E420" s="349" t="s">
        <v>70</v>
      </c>
      <c r="F420" s="420" t="s">
        <v>184</v>
      </c>
      <c r="G420" s="349" t="s">
        <v>45</v>
      </c>
      <c r="H420" s="420" t="s">
        <v>93</v>
      </c>
      <c r="I420" s="349" t="s">
        <v>45</v>
      </c>
      <c r="J420" s="420" t="str">
        <f>F420</f>
        <v>Air Force</v>
      </c>
      <c r="K420" s="379" t="str">
        <f t="shared" si="122"/>
        <v>Utah State</v>
      </c>
      <c r="L420" s="422">
        <v>10</v>
      </c>
      <c r="M420" s="418">
        <v>56</v>
      </c>
      <c r="N420" s="436" t="str">
        <f>K420</f>
        <v>Utah State</v>
      </c>
      <c r="O420" s="423">
        <v>34</v>
      </c>
      <c r="P420" s="436" t="str">
        <f t="shared" si="123"/>
        <v>Air Force</v>
      </c>
      <c r="Q420" s="408">
        <v>27</v>
      </c>
      <c r="R420" s="494" t="str">
        <f t="shared" si="124"/>
        <v>Utah State</v>
      </c>
      <c r="S420" s="494" t="str">
        <f t="shared" si="125"/>
        <v>Air Force</v>
      </c>
      <c r="T420" s="356" t="str">
        <f>J420</f>
        <v>Air Force</v>
      </c>
      <c r="U420" s="665" t="str">
        <f t="shared" si="126"/>
        <v>L</v>
      </c>
      <c r="V420" s="352" t="str">
        <f>LOWER(+H420)</f>
        <v>utah state</v>
      </c>
      <c r="W420" s="424">
        <v>49</v>
      </c>
      <c r="X420" s="352" t="str">
        <f>UPPER(+F420)</f>
        <v>AIR FORCE</v>
      </c>
      <c r="Y420" s="425">
        <v>45</v>
      </c>
    </row>
    <row r="421" spans="1:25" ht="16" x14ac:dyDescent="0.8">
      <c r="A421" s="351">
        <v>6</v>
      </c>
      <c r="B421" s="420" t="s">
        <v>34</v>
      </c>
      <c r="C421" s="421">
        <v>44842</v>
      </c>
      <c r="D421" s="414">
        <f>21/24</f>
        <v>0.875</v>
      </c>
      <c r="E421" s="349" t="s">
        <v>446</v>
      </c>
      <c r="F421" s="420" t="s">
        <v>200</v>
      </c>
      <c r="G421" s="349" t="s">
        <v>37</v>
      </c>
      <c r="H421" s="420" t="s">
        <v>198</v>
      </c>
      <c r="I421" s="349" t="s">
        <v>37</v>
      </c>
      <c r="J421" s="420" t="str">
        <f>F421</f>
        <v>Oregon</v>
      </c>
      <c r="K421" s="379" t="str">
        <f t="shared" si="122"/>
        <v>Arizona</v>
      </c>
      <c r="L421" s="422">
        <v>13</v>
      </c>
      <c r="M421" s="418">
        <v>70</v>
      </c>
      <c r="N421" s="351" t="str">
        <f>J421</f>
        <v>Oregon</v>
      </c>
      <c r="O421" s="423">
        <v>49</v>
      </c>
      <c r="P421" s="436" t="str">
        <f t="shared" si="123"/>
        <v>Arizona</v>
      </c>
      <c r="Q421" s="408">
        <v>22</v>
      </c>
      <c r="R421" s="494" t="str">
        <f t="shared" si="124"/>
        <v>Oregon</v>
      </c>
      <c r="S421" s="494" t="str">
        <f t="shared" si="125"/>
        <v>Arizona</v>
      </c>
      <c r="T421" s="356" t="str">
        <f>J421</f>
        <v>Oregon</v>
      </c>
      <c r="U421" s="665" t="str">
        <f t="shared" si="126"/>
        <v>W</v>
      </c>
      <c r="W421" s="424"/>
      <c r="X421" s="352" t="s">
        <v>404</v>
      </c>
      <c r="Y421" s="425"/>
    </row>
    <row r="422" spans="1:25" ht="16" x14ac:dyDescent="0.8">
      <c r="A422" s="351">
        <v>6</v>
      </c>
      <c r="B422" s="420" t="s">
        <v>34</v>
      </c>
      <c r="C422" s="421">
        <v>44842</v>
      </c>
      <c r="D422" s="414">
        <f>16/24</f>
        <v>0.66666666666666663</v>
      </c>
      <c r="E422" s="349" t="s">
        <v>446</v>
      </c>
      <c r="F422" s="420" t="s">
        <v>91</v>
      </c>
      <c r="G422" s="349" t="s">
        <v>37</v>
      </c>
      <c r="H422" s="420" t="s">
        <v>79</v>
      </c>
      <c r="I422" s="349" t="s">
        <v>37</v>
      </c>
      <c r="J422" s="420" t="str">
        <f>F422</f>
        <v>Washington</v>
      </c>
      <c r="K422" s="379" t="str">
        <f t="shared" si="122"/>
        <v>Arizona State</v>
      </c>
      <c r="L422" s="422">
        <v>14</v>
      </c>
      <c r="M422" s="418">
        <v>57</v>
      </c>
      <c r="N422" s="436" t="str">
        <f>K422</f>
        <v>Arizona State</v>
      </c>
      <c r="O422" s="423">
        <v>45</v>
      </c>
      <c r="P422" s="436" t="str">
        <f t="shared" si="123"/>
        <v>Washington</v>
      </c>
      <c r="Q422" s="408">
        <v>38</v>
      </c>
      <c r="R422" s="494" t="str">
        <f t="shared" si="124"/>
        <v>Arizona State</v>
      </c>
      <c r="S422" s="494" t="str">
        <f t="shared" si="125"/>
        <v>Washington</v>
      </c>
      <c r="T422" s="356" t="str">
        <f>J422</f>
        <v>Washington</v>
      </c>
      <c r="U422" s="665" t="str">
        <f t="shared" si="126"/>
        <v>L</v>
      </c>
      <c r="V422" s="352" t="str">
        <f>UPPER(+F422)</f>
        <v>WASHINGTON</v>
      </c>
      <c r="W422" s="424">
        <v>21</v>
      </c>
      <c r="X422" s="352" t="str">
        <f>LOWER(+H422)</f>
        <v>arizona state</v>
      </c>
      <c r="Y422" s="425">
        <v>16</v>
      </c>
    </row>
    <row r="423" spans="1:25" ht="16" x14ac:dyDescent="0.8">
      <c r="A423" s="351">
        <v>6</v>
      </c>
      <c r="B423" s="420" t="s">
        <v>34</v>
      </c>
      <c r="C423" s="421">
        <v>44842</v>
      </c>
      <c r="D423" s="414">
        <f>19.5/24</f>
        <v>0.8125</v>
      </c>
      <c r="E423" s="349" t="s">
        <v>118</v>
      </c>
      <c r="F423" s="420" t="s">
        <v>204</v>
      </c>
      <c r="G423" s="349" t="s">
        <v>37</v>
      </c>
      <c r="H423" s="420" t="s">
        <v>202</v>
      </c>
      <c r="I423" s="349" t="s">
        <v>37</v>
      </c>
      <c r="J423" s="420" t="str">
        <f>H423</f>
        <v>Southern Cal</v>
      </c>
      <c r="K423" s="379" t="str">
        <f t="shared" si="122"/>
        <v>Washington State</v>
      </c>
      <c r="L423" s="422">
        <v>13</v>
      </c>
      <c r="M423" s="418">
        <v>66</v>
      </c>
      <c r="N423" s="351" t="str">
        <f>J423</f>
        <v>Southern Cal</v>
      </c>
      <c r="O423" s="423">
        <v>30</v>
      </c>
      <c r="P423" s="436" t="str">
        <f t="shared" si="123"/>
        <v>Washington State</v>
      </c>
      <c r="Q423" s="408">
        <v>14</v>
      </c>
      <c r="R423" s="494" t="str">
        <f t="shared" si="124"/>
        <v>Southern Cal</v>
      </c>
      <c r="S423" s="494" t="str">
        <f t="shared" si="125"/>
        <v>Washington State</v>
      </c>
      <c r="T423" s="356" t="str">
        <f>K423</f>
        <v>Washington State</v>
      </c>
      <c r="U423" s="665" t="str">
        <f t="shared" si="126"/>
        <v>L</v>
      </c>
      <c r="V423" s="352" t="str">
        <f>LOWER(+H423)</f>
        <v>southern cal</v>
      </c>
      <c r="W423" s="424">
        <v>45</v>
      </c>
      <c r="X423" s="352" t="str">
        <f>UPPER(+F423)</f>
        <v>WASHINGTON STATE</v>
      </c>
      <c r="Y423" s="425">
        <v>14</v>
      </c>
    </row>
    <row r="424" spans="1:25" ht="16" x14ac:dyDescent="0.8">
      <c r="A424" s="351">
        <v>6</v>
      </c>
      <c r="B424" s="420" t="s">
        <v>34</v>
      </c>
      <c r="C424" s="421">
        <v>44842</v>
      </c>
      <c r="D424" s="414">
        <f>23/24</f>
        <v>0.95833333333333337</v>
      </c>
      <c r="E424" s="349" t="s">
        <v>35</v>
      </c>
      <c r="F424" s="420" t="s">
        <v>47</v>
      </c>
      <c r="G424" s="349" t="s">
        <v>37</v>
      </c>
      <c r="H424" s="420" t="s">
        <v>36</v>
      </c>
      <c r="I424" s="349" t="s">
        <v>37</v>
      </c>
      <c r="J424" s="420" t="str">
        <f>F424</f>
        <v>Oregon State</v>
      </c>
      <c r="K424" s="379" t="str">
        <f t="shared" si="122"/>
        <v>Stanford</v>
      </c>
      <c r="L424" s="422">
        <v>7</v>
      </c>
      <c r="M424" s="418">
        <v>57</v>
      </c>
      <c r="N424" s="351" t="str">
        <f>J424</f>
        <v>Oregon State</v>
      </c>
      <c r="O424" s="423">
        <v>28</v>
      </c>
      <c r="P424" s="436" t="str">
        <f t="shared" si="123"/>
        <v>Stanford</v>
      </c>
      <c r="Q424" s="408">
        <v>27</v>
      </c>
      <c r="R424" s="494" t="str">
        <f t="shared" si="124"/>
        <v>Stanford</v>
      </c>
      <c r="S424" s="494" t="str">
        <f t="shared" si="125"/>
        <v>Oregon State</v>
      </c>
      <c r="T424" s="356" t="str">
        <f>K424</f>
        <v>Stanford</v>
      </c>
      <c r="U424" s="665" t="str">
        <f t="shared" si="126"/>
        <v>W</v>
      </c>
      <c r="V424" s="352" t="str">
        <f>UPPER(+F424)</f>
        <v>OREGON STATE</v>
      </c>
      <c r="W424" s="424">
        <v>35</v>
      </c>
      <c r="X424" s="352" t="str">
        <f>LOWER(+H424)</f>
        <v>stanford</v>
      </c>
      <c r="Y424" s="425">
        <v>14</v>
      </c>
    </row>
    <row r="425" spans="1:25" ht="16" x14ac:dyDescent="0.8">
      <c r="A425" s="351">
        <v>6</v>
      </c>
      <c r="B425" s="420" t="s">
        <v>34</v>
      </c>
      <c r="C425" s="421">
        <v>44842</v>
      </c>
      <c r="D425" s="414">
        <f>15.5/24</f>
        <v>0.64583333333333337</v>
      </c>
      <c r="E425" s="349" t="s">
        <v>118</v>
      </c>
      <c r="F425" s="420" t="s">
        <v>81</v>
      </c>
      <c r="G425" s="349" t="s">
        <v>37</v>
      </c>
      <c r="H425" s="420" t="s">
        <v>224</v>
      </c>
      <c r="I425" s="349" t="s">
        <v>37</v>
      </c>
      <c r="J425" s="420" t="str">
        <f>F425</f>
        <v>Utah</v>
      </c>
      <c r="K425" s="379" t="str">
        <f t="shared" si="122"/>
        <v>UCLA</v>
      </c>
      <c r="L425" s="422">
        <v>3.5</v>
      </c>
      <c r="M425" s="418">
        <v>64.5</v>
      </c>
      <c r="N425" s="436" t="str">
        <f>K425</f>
        <v>UCLA</v>
      </c>
      <c r="O425" s="423">
        <v>42</v>
      </c>
      <c r="P425" s="436" t="str">
        <f t="shared" si="123"/>
        <v>Utah</v>
      </c>
      <c r="Q425" s="408">
        <v>32</v>
      </c>
      <c r="R425" s="494" t="str">
        <f t="shared" si="124"/>
        <v>UCLA</v>
      </c>
      <c r="S425" s="494" t="str">
        <f t="shared" si="125"/>
        <v>Utah</v>
      </c>
      <c r="T425" s="356" t="str">
        <f>K425</f>
        <v>UCLA</v>
      </c>
      <c r="U425" s="665" t="str">
        <f t="shared" si="126"/>
        <v>W</v>
      </c>
      <c r="V425" s="352" t="str">
        <f>UPPER(+F425)</f>
        <v>UTAH</v>
      </c>
      <c r="W425" s="424">
        <v>44</v>
      </c>
      <c r="X425" s="352" t="str">
        <f>LOWER(+H425)</f>
        <v>ucla</v>
      </c>
      <c r="Y425" s="425">
        <v>24</v>
      </c>
    </row>
    <row r="426" spans="1:25" ht="16" x14ac:dyDescent="0.8">
      <c r="A426" s="351">
        <v>6</v>
      </c>
      <c r="B426" s="420" t="s">
        <v>34</v>
      </c>
      <c r="C426" s="421">
        <v>44842</v>
      </c>
      <c r="D426" s="414">
        <f>19/24</f>
        <v>0.79166666666666663</v>
      </c>
      <c r="E426" s="349" t="s">
        <v>359</v>
      </c>
      <c r="F426" s="420" t="s">
        <v>442</v>
      </c>
      <c r="G426" s="349" t="s">
        <v>59</v>
      </c>
      <c r="H426" s="420" t="s">
        <v>140</v>
      </c>
      <c r="I426" s="349" t="s">
        <v>59</v>
      </c>
      <c r="J426" s="420" t="str">
        <f>F426</f>
        <v>James Madison</v>
      </c>
      <c r="K426" s="379" t="str">
        <f t="shared" si="122"/>
        <v>Arkansas State</v>
      </c>
      <c r="L426" s="422">
        <v>11.5</v>
      </c>
      <c r="M426" s="418">
        <v>55.5</v>
      </c>
      <c r="N426" s="351" t="str">
        <f>J426</f>
        <v>James Madison</v>
      </c>
      <c r="O426" s="423">
        <v>42</v>
      </c>
      <c r="P426" s="436" t="str">
        <f t="shared" si="123"/>
        <v>Arkansas State</v>
      </c>
      <c r="Q426" s="408">
        <v>20</v>
      </c>
      <c r="R426" s="494" t="str">
        <f t="shared" si="124"/>
        <v>James Madison</v>
      </c>
      <c r="S426" s="494" t="str">
        <f t="shared" si="125"/>
        <v>Arkansas State</v>
      </c>
      <c r="T426" s="356" t="str">
        <f>J426</f>
        <v>James Madison</v>
      </c>
      <c r="U426" s="665" t="str">
        <f t="shared" si="126"/>
        <v>W</v>
      </c>
      <c r="W426" s="424"/>
      <c r="X426" s="352" t="s">
        <v>404</v>
      </c>
      <c r="Y426" s="425"/>
    </row>
    <row r="427" spans="1:25" ht="16" x14ac:dyDescent="0.8">
      <c r="A427" s="351">
        <v>6</v>
      </c>
      <c r="B427" s="420" t="s">
        <v>34</v>
      </c>
      <c r="C427" s="421">
        <v>44842</v>
      </c>
      <c r="D427" s="414">
        <f>14/24</f>
        <v>0.58333333333333337</v>
      </c>
      <c r="E427" s="349" t="s">
        <v>53</v>
      </c>
      <c r="F427" s="420" t="s">
        <v>210</v>
      </c>
      <c r="G427" s="349" t="s">
        <v>59</v>
      </c>
      <c r="H427" s="420" t="s">
        <v>84</v>
      </c>
      <c r="I427" s="349" t="s">
        <v>59</v>
      </c>
      <c r="J427" s="420" t="str">
        <f>H427</f>
        <v>Georgia State</v>
      </c>
      <c r="K427" s="379" t="str">
        <f t="shared" si="122"/>
        <v>Georgia Southern</v>
      </c>
      <c r="L427" s="422">
        <v>2.5</v>
      </c>
      <c r="M427" s="418">
        <v>68</v>
      </c>
      <c r="N427" s="351" t="str">
        <f>J427</f>
        <v>Georgia State</v>
      </c>
      <c r="O427" s="423">
        <v>41</v>
      </c>
      <c r="P427" s="436" t="str">
        <f t="shared" si="123"/>
        <v>Georgia Southern</v>
      </c>
      <c r="Q427" s="408">
        <v>33</v>
      </c>
      <c r="R427" s="494" t="str">
        <f t="shared" si="124"/>
        <v>Georgia State</v>
      </c>
      <c r="S427" s="494" t="str">
        <f t="shared" si="125"/>
        <v>Georgia Southern</v>
      </c>
      <c r="T427" s="356" t="str">
        <f>J427</f>
        <v>Georgia State</v>
      </c>
      <c r="U427" s="665" t="str">
        <f t="shared" si="126"/>
        <v>W</v>
      </c>
      <c r="V427" s="352" t="str">
        <f>LOWER(+H427)</f>
        <v>georgia state</v>
      </c>
      <c r="W427" s="424">
        <v>21</v>
      </c>
      <c r="X427" s="352" t="str">
        <f>UPPER(+F427)</f>
        <v>GEORGIA SOUTHERN</v>
      </c>
      <c r="Y427" s="425">
        <v>14</v>
      </c>
    </row>
    <row r="428" spans="1:25" ht="16" x14ac:dyDescent="0.8">
      <c r="A428" s="351">
        <v>6</v>
      </c>
      <c r="B428" s="420" t="s">
        <v>34</v>
      </c>
      <c r="C428" s="421">
        <v>44842</v>
      </c>
      <c r="D428" s="414">
        <f>19/24</f>
        <v>0.79166666666666663</v>
      </c>
      <c r="E428" s="349"/>
      <c r="F428" s="420" t="s">
        <v>212</v>
      </c>
      <c r="G428" s="349" t="s">
        <v>59</v>
      </c>
      <c r="H428" s="420" t="s">
        <v>207</v>
      </c>
      <c r="I428" s="349" t="s">
        <v>59</v>
      </c>
      <c r="J428" s="420" t="str">
        <f>F428</f>
        <v>Appalachian State</v>
      </c>
      <c r="K428" s="379" t="str">
        <f t="shared" si="122"/>
        <v>Texas State</v>
      </c>
      <c r="L428" s="422">
        <v>19</v>
      </c>
      <c r="M428" s="418">
        <v>55</v>
      </c>
      <c r="N428" s="436" t="str">
        <f>K428</f>
        <v>Texas State</v>
      </c>
      <c r="O428" s="423">
        <v>36</v>
      </c>
      <c r="P428" s="436" t="str">
        <f t="shared" si="123"/>
        <v>Appalachian State</v>
      </c>
      <c r="Q428" s="408">
        <v>24</v>
      </c>
      <c r="R428" s="494" t="str">
        <f t="shared" si="124"/>
        <v>Texas State</v>
      </c>
      <c r="S428" s="494" t="str">
        <f t="shared" si="125"/>
        <v>Appalachian State</v>
      </c>
      <c r="T428" s="356" t="str">
        <f>J428</f>
        <v>Appalachian State</v>
      </c>
      <c r="U428" s="665" t="str">
        <f t="shared" si="126"/>
        <v>L</v>
      </c>
      <c r="W428" s="424"/>
      <c r="X428" s="352" t="s">
        <v>404</v>
      </c>
      <c r="Y428" s="425"/>
    </row>
    <row r="429" spans="1:25" ht="16" x14ac:dyDescent="0.8">
      <c r="A429" s="351">
        <v>6</v>
      </c>
      <c r="B429" s="420" t="s">
        <v>34</v>
      </c>
      <c r="C429" s="421">
        <v>44842</v>
      </c>
      <c r="D429" s="414">
        <f>19/24</f>
        <v>0.79166666666666663</v>
      </c>
      <c r="E429" s="349"/>
      <c r="F429" s="420" t="s">
        <v>171</v>
      </c>
      <c r="G429" s="349" t="s">
        <v>59</v>
      </c>
      <c r="H429" s="420" t="s">
        <v>185</v>
      </c>
      <c r="I429" s="349" t="s">
        <v>59</v>
      </c>
      <c r="J429" s="420" t="str">
        <f>H429</f>
        <v>Troy</v>
      </c>
      <c r="K429" s="379" t="str">
        <f t="shared" si="122"/>
        <v>Southern Miss</v>
      </c>
      <c r="L429" s="422">
        <v>6.5</v>
      </c>
      <c r="M429" s="418">
        <v>44.5</v>
      </c>
      <c r="N429" s="351" t="str">
        <f>J429</f>
        <v>Troy</v>
      </c>
      <c r="O429" s="423">
        <v>27</v>
      </c>
      <c r="P429" s="436" t="str">
        <f t="shared" si="123"/>
        <v>Southern Miss</v>
      </c>
      <c r="Q429" s="408">
        <v>10</v>
      </c>
      <c r="R429" s="494" t="str">
        <f t="shared" si="124"/>
        <v>Troy</v>
      </c>
      <c r="S429" s="494" t="str">
        <f t="shared" si="125"/>
        <v>Southern Miss</v>
      </c>
      <c r="T429" s="356" t="str">
        <f>K429</f>
        <v>Southern Miss</v>
      </c>
      <c r="U429" s="665" t="str">
        <f t="shared" si="126"/>
        <v>L</v>
      </c>
      <c r="W429" s="424"/>
      <c r="X429" s="352" t="s">
        <v>404</v>
      </c>
      <c r="Y429" s="425"/>
    </row>
    <row r="430" spans="1:25" ht="16" x14ac:dyDescent="0.8">
      <c r="A430" s="351">
        <v>6</v>
      </c>
      <c r="B430" s="420" t="s">
        <v>34</v>
      </c>
      <c r="C430" s="421">
        <v>44842</v>
      </c>
      <c r="D430" s="414">
        <f>20/24</f>
        <v>0.83333333333333337</v>
      </c>
      <c r="E430" s="349"/>
      <c r="F430" s="420" t="s">
        <v>205</v>
      </c>
      <c r="G430" s="349" t="s">
        <v>59</v>
      </c>
      <c r="H430" s="420" t="s">
        <v>58</v>
      </c>
      <c r="I430" s="349" t="s">
        <v>59</v>
      </c>
      <c r="J430" s="420" t="str">
        <f>F430</f>
        <v>Coastal Carolina</v>
      </c>
      <c r="K430" s="379" t="str">
        <f t="shared" si="122"/>
        <v>UL Monroe</v>
      </c>
      <c r="L430" s="422">
        <v>14</v>
      </c>
      <c r="M430" s="418">
        <v>58</v>
      </c>
      <c r="N430" s="351" t="str">
        <f>J430</f>
        <v>Coastal Carolina</v>
      </c>
      <c r="O430" s="423">
        <v>28</v>
      </c>
      <c r="P430" s="436" t="str">
        <f t="shared" si="123"/>
        <v>UL Monroe</v>
      </c>
      <c r="Q430" s="408">
        <v>21</v>
      </c>
      <c r="R430" s="494" t="str">
        <f t="shared" si="124"/>
        <v>UL Monroe</v>
      </c>
      <c r="S430" s="494" t="str">
        <f t="shared" si="125"/>
        <v>Coastal Carolina</v>
      </c>
      <c r="T430" s="356" t="str">
        <f>J430</f>
        <v>Coastal Carolina</v>
      </c>
      <c r="U430" s="665" t="str">
        <f t="shared" si="126"/>
        <v>L</v>
      </c>
      <c r="V430" s="352" t="str">
        <f>UPPER(+F430)</f>
        <v>COASTAL CAROLINA</v>
      </c>
      <c r="W430" s="424">
        <v>59</v>
      </c>
      <c r="X430" s="352" t="str">
        <f>LOWER(+H430)</f>
        <v>ul monroe</v>
      </c>
      <c r="Y430" s="425">
        <v>6</v>
      </c>
    </row>
    <row r="431" spans="1:25" ht="16" x14ac:dyDescent="0.8">
      <c r="A431" s="351">
        <v>6</v>
      </c>
      <c r="B431" s="420" t="s">
        <v>34</v>
      </c>
      <c r="C431" s="421">
        <v>44842</v>
      </c>
      <c r="D431" s="414">
        <f>20/24</f>
        <v>0.83333333333333337</v>
      </c>
      <c r="E431" s="349" t="s">
        <v>303</v>
      </c>
      <c r="F431" s="420" t="s">
        <v>223</v>
      </c>
      <c r="G431" s="349" t="s">
        <v>85</v>
      </c>
      <c r="H431" s="420" t="s">
        <v>116</v>
      </c>
      <c r="I431" s="349" t="s">
        <v>85</v>
      </c>
      <c r="J431" s="420" t="str">
        <f>H431</f>
        <v>Alabama</v>
      </c>
      <c r="K431" s="379" t="str">
        <f t="shared" si="122"/>
        <v>Texas A&amp;M</v>
      </c>
      <c r="L431" s="422">
        <v>24</v>
      </c>
      <c r="M431" s="418">
        <v>52</v>
      </c>
      <c r="N431" s="436" t="str">
        <f>J431</f>
        <v>Alabama</v>
      </c>
      <c r="O431" s="423">
        <v>24</v>
      </c>
      <c r="P431" s="436" t="str">
        <f t="shared" si="123"/>
        <v>Texas A&amp;M</v>
      </c>
      <c r="Q431" s="408">
        <v>20</v>
      </c>
      <c r="R431" s="494" t="str">
        <f t="shared" si="124"/>
        <v>Texas A&amp;M</v>
      </c>
      <c r="S431" s="494" t="str">
        <f t="shared" si="125"/>
        <v>Alabama</v>
      </c>
      <c r="T431" s="356" t="str">
        <f>K431</f>
        <v>Texas A&amp;M</v>
      </c>
      <c r="U431" s="665" t="str">
        <f t="shared" si="126"/>
        <v>W</v>
      </c>
      <c r="V431" s="646" t="str">
        <f>UPPER(+F431)</f>
        <v>TEXAS A&amp;M</v>
      </c>
      <c r="W431" s="647">
        <v>41</v>
      </c>
      <c r="X431" s="646" t="str">
        <f>LOWER(+H431)</f>
        <v>alabama</v>
      </c>
      <c r="Y431" s="648">
        <v>38</v>
      </c>
    </row>
    <row r="432" spans="1:25" ht="16" x14ac:dyDescent="0.8">
      <c r="A432" s="351">
        <v>6</v>
      </c>
      <c r="B432" s="420" t="s">
        <v>34</v>
      </c>
      <c r="C432" s="421">
        <v>44842</v>
      </c>
      <c r="D432" s="414">
        <f>12/24</f>
        <v>0.5</v>
      </c>
      <c r="E432" s="349" t="s">
        <v>95</v>
      </c>
      <c r="F432" s="420" t="s">
        <v>219</v>
      </c>
      <c r="G432" s="349" t="s">
        <v>85</v>
      </c>
      <c r="H432" s="420" t="s">
        <v>136</v>
      </c>
      <c r="I432" s="349" t="s">
        <v>85</v>
      </c>
      <c r="J432" s="420" t="str">
        <f>H432</f>
        <v>Florida</v>
      </c>
      <c r="K432" s="379" t="str">
        <f t="shared" si="122"/>
        <v>Missouri</v>
      </c>
      <c r="L432" s="422">
        <v>11</v>
      </c>
      <c r="M432" s="418">
        <v>55.5</v>
      </c>
      <c r="N432" s="436" t="str">
        <f>J432</f>
        <v>Florida</v>
      </c>
      <c r="O432" s="423">
        <v>24</v>
      </c>
      <c r="P432" s="436" t="str">
        <f t="shared" si="123"/>
        <v>Missouri</v>
      </c>
      <c r="Q432" s="408">
        <v>17</v>
      </c>
      <c r="R432" s="494" t="str">
        <f t="shared" si="124"/>
        <v>Missouri</v>
      </c>
      <c r="S432" s="494" t="str">
        <f t="shared" si="125"/>
        <v>Florida</v>
      </c>
      <c r="T432" s="356" t="str">
        <f>K432</f>
        <v>Missouri</v>
      </c>
      <c r="U432" s="665" t="str">
        <f t="shared" si="126"/>
        <v>W</v>
      </c>
      <c r="V432" s="352" t="str">
        <f>UPPER(+F432)</f>
        <v>MISSOURI</v>
      </c>
      <c r="W432" s="424">
        <v>24</v>
      </c>
      <c r="X432" s="352" t="str">
        <f>LOWER(+H432)</f>
        <v>florida</v>
      </c>
      <c r="Y432" s="425">
        <v>23</v>
      </c>
    </row>
    <row r="433" spans="1:25" ht="16" x14ac:dyDescent="0.8">
      <c r="A433" s="351">
        <v>6</v>
      </c>
      <c r="B433" s="420" t="s">
        <v>34</v>
      </c>
      <c r="C433" s="421">
        <v>44842</v>
      </c>
      <c r="D433" s="414">
        <f>15.5/24</f>
        <v>0.64583333333333337</v>
      </c>
      <c r="E433" s="349" t="s">
        <v>303</v>
      </c>
      <c r="F433" s="420" t="s">
        <v>211</v>
      </c>
      <c r="G433" s="349" t="s">
        <v>85</v>
      </c>
      <c r="H433" s="420" t="s">
        <v>213</v>
      </c>
      <c r="I433" s="349" t="s">
        <v>85</v>
      </c>
      <c r="J433" s="420" t="str">
        <f>H433</f>
        <v>Georgia</v>
      </c>
      <c r="K433" s="379" t="str">
        <f t="shared" si="122"/>
        <v>Auburn</v>
      </c>
      <c r="L433" s="422">
        <v>30</v>
      </c>
      <c r="M433" s="418">
        <v>49</v>
      </c>
      <c r="N433" s="436" t="str">
        <f>J433</f>
        <v>Georgia</v>
      </c>
      <c r="O433" s="423">
        <v>42</v>
      </c>
      <c r="P433" s="436" t="str">
        <f t="shared" si="123"/>
        <v>Auburn</v>
      </c>
      <c r="Q433" s="408">
        <v>10</v>
      </c>
      <c r="R433" s="494" t="str">
        <f t="shared" si="124"/>
        <v>Georgia</v>
      </c>
      <c r="S433" s="494" t="str">
        <f t="shared" si="125"/>
        <v>Auburn</v>
      </c>
      <c r="T433" s="356" t="str">
        <f>K433</f>
        <v>Auburn</v>
      </c>
      <c r="U433" s="665" t="str">
        <f t="shared" si="126"/>
        <v>L</v>
      </c>
      <c r="V433" s="352" t="str">
        <f>LOWER(+H433)</f>
        <v>georgia</v>
      </c>
      <c r="W433" s="424">
        <v>34</v>
      </c>
      <c r="X433" s="352" t="str">
        <f>UPPER(+F433)</f>
        <v>AUBURN</v>
      </c>
      <c r="Y433" s="425">
        <v>10</v>
      </c>
    </row>
    <row r="434" spans="1:25" ht="16" x14ac:dyDescent="0.8">
      <c r="A434" s="351">
        <v>6</v>
      </c>
      <c r="B434" s="420" t="s">
        <v>34</v>
      </c>
      <c r="C434" s="421">
        <v>44842</v>
      </c>
      <c r="D434" s="414">
        <f>19.5/24</f>
        <v>0.8125</v>
      </c>
      <c r="E434" s="349" t="s">
        <v>85</v>
      </c>
      <c r="F434" s="420" t="s">
        <v>125</v>
      </c>
      <c r="G434" s="349" t="s">
        <v>85</v>
      </c>
      <c r="H434" s="420" t="s">
        <v>170</v>
      </c>
      <c r="I434" s="349" t="s">
        <v>85</v>
      </c>
      <c r="J434" s="420" t="str">
        <f>H434</f>
        <v>Kentucky</v>
      </c>
      <c r="K434" s="379" t="str">
        <f t="shared" si="122"/>
        <v>South Carolina</v>
      </c>
      <c r="L434" s="422">
        <v>10.5</v>
      </c>
      <c r="M434" s="418">
        <v>49</v>
      </c>
      <c r="N434" s="436" t="str">
        <f>K434</f>
        <v>South Carolina</v>
      </c>
      <c r="O434" s="423">
        <v>24</v>
      </c>
      <c r="P434" s="436" t="str">
        <f t="shared" si="123"/>
        <v>Kentucky</v>
      </c>
      <c r="Q434" s="408">
        <v>14</v>
      </c>
      <c r="R434" s="494" t="str">
        <f t="shared" si="124"/>
        <v>South Carolina</v>
      </c>
      <c r="S434" s="494" t="str">
        <f t="shared" si="125"/>
        <v>Kentucky</v>
      </c>
      <c r="T434" s="356" t="str">
        <f>J434</f>
        <v>Kentucky</v>
      </c>
      <c r="U434" s="665" t="str">
        <f t="shared" si="126"/>
        <v>L</v>
      </c>
      <c r="V434" s="352" t="str">
        <f>LOWER(+H434)</f>
        <v>kentucky</v>
      </c>
      <c r="W434" s="424">
        <v>16</v>
      </c>
      <c r="X434" s="352" t="str">
        <f>UPPER(+F434)</f>
        <v>SOUTH CAROLINA</v>
      </c>
      <c r="Y434" s="425">
        <v>10</v>
      </c>
    </row>
    <row r="435" spans="1:25" ht="16" x14ac:dyDescent="0.8">
      <c r="A435" s="351">
        <v>6</v>
      </c>
      <c r="B435" s="420" t="s">
        <v>34</v>
      </c>
      <c r="C435" s="421">
        <v>44842</v>
      </c>
      <c r="D435" s="414">
        <f>12/24</f>
        <v>0.5</v>
      </c>
      <c r="E435" s="349" t="s">
        <v>35</v>
      </c>
      <c r="F435" s="420" t="s">
        <v>226</v>
      </c>
      <c r="G435" s="349" t="s">
        <v>85</v>
      </c>
      <c r="H435" s="420" t="s">
        <v>178</v>
      </c>
      <c r="I435" s="349" t="s">
        <v>85</v>
      </c>
      <c r="J435" s="420" t="str">
        <f>F435</f>
        <v>Tennessee</v>
      </c>
      <c r="K435" s="379" t="str">
        <f t="shared" si="122"/>
        <v>LSU</v>
      </c>
      <c r="L435" s="422">
        <v>3</v>
      </c>
      <c r="M435" s="418">
        <v>64</v>
      </c>
      <c r="N435" s="436" t="str">
        <f>J435</f>
        <v>Tennessee</v>
      </c>
      <c r="O435" s="423">
        <v>40</v>
      </c>
      <c r="P435" s="436" t="str">
        <f t="shared" si="123"/>
        <v>LSU</v>
      </c>
      <c r="Q435" s="408">
        <v>13</v>
      </c>
      <c r="R435" s="494" t="str">
        <f t="shared" si="124"/>
        <v>Tennessee</v>
      </c>
      <c r="S435" s="494" t="str">
        <f t="shared" si="125"/>
        <v>LSU</v>
      </c>
      <c r="T435" s="356" t="str">
        <f>J435</f>
        <v>Tennessee</v>
      </c>
      <c r="U435" s="665" t="str">
        <f t="shared" si="126"/>
        <v>W</v>
      </c>
      <c r="W435" s="424"/>
      <c r="X435" s="352" t="s">
        <v>404</v>
      </c>
      <c r="Y435" s="425"/>
    </row>
    <row r="436" spans="1:25" ht="16" x14ac:dyDescent="0.8">
      <c r="A436" s="351">
        <v>6</v>
      </c>
      <c r="B436" s="420" t="s">
        <v>34</v>
      </c>
      <c r="C436" s="421">
        <v>44842</v>
      </c>
      <c r="D436" s="414">
        <f>12/24</f>
        <v>0.5</v>
      </c>
      <c r="E436" s="349" t="s">
        <v>85</v>
      </c>
      <c r="F436" s="420" t="s">
        <v>87</v>
      </c>
      <c r="G436" s="349" t="s">
        <v>85</v>
      </c>
      <c r="H436" s="420" t="s">
        <v>217</v>
      </c>
      <c r="I436" s="349" t="s">
        <v>85</v>
      </c>
      <c r="J436" s="420" t="str">
        <f>H436</f>
        <v>Mississippi State</v>
      </c>
      <c r="K436" s="379" t="str">
        <f>IF(+J436=H436,F436,H436)</f>
        <v>Arkansas</v>
      </c>
      <c r="L436" s="422">
        <v>8.5</v>
      </c>
      <c r="M436" s="418">
        <v>60</v>
      </c>
      <c r="N436" s="436" t="str">
        <f>J436</f>
        <v>Mississippi State</v>
      </c>
      <c r="O436" s="423">
        <v>40</v>
      </c>
      <c r="P436" s="436" t="str">
        <f>IF(+N436=H436,F436,H436)</f>
        <v>Arkansas</v>
      </c>
      <c r="Q436" s="408">
        <v>17</v>
      </c>
      <c r="R436" s="494" t="str">
        <f>IF(+N436=K436,+N436,IF(+O436-Q436&lt;L436,+K436,+J436))</f>
        <v>Mississippi State</v>
      </c>
      <c r="S436" s="494" t="str">
        <f>IF(+R436=J436,+K436,+J436)</f>
        <v>Arkansas</v>
      </c>
      <c r="T436" s="356" t="str">
        <f>K436</f>
        <v>Arkansas</v>
      </c>
      <c r="U436" s="665" t="str">
        <f>IF($N436=$J436,IF($O436-$Q436=$L436,"T",IF($R436=T436,"W","L")),IF($R436=T436,"W","L"))</f>
        <v>L</v>
      </c>
      <c r="V436" s="352" t="str">
        <f>UPPER(+F436)</f>
        <v>ARKANSAS</v>
      </c>
      <c r="W436" s="424">
        <v>31</v>
      </c>
      <c r="X436" s="352" t="str">
        <f>LOWER(+H436)</f>
        <v>mississippi state</v>
      </c>
      <c r="Y436" s="425">
        <v>28</v>
      </c>
    </row>
    <row r="437" spans="1:25" ht="16" x14ac:dyDescent="0.8">
      <c r="A437" s="351">
        <v>6</v>
      </c>
      <c r="B437" s="420" t="s">
        <v>34</v>
      </c>
      <c r="C437" s="421">
        <v>44842</v>
      </c>
      <c r="D437" s="414">
        <f>16/24</f>
        <v>0.66666666666666663</v>
      </c>
      <c r="E437" s="349" t="s">
        <v>85</v>
      </c>
      <c r="F437" s="420" t="s">
        <v>215</v>
      </c>
      <c r="G437" s="349" t="s">
        <v>85</v>
      </c>
      <c r="H437" s="420" t="s">
        <v>164</v>
      </c>
      <c r="I437" s="349" t="s">
        <v>85</v>
      </c>
      <c r="J437" s="420" t="str">
        <f>F437</f>
        <v>Mississippi</v>
      </c>
      <c r="K437" s="379" t="str">
        <f t="shared" si="122"/>
        <v>Vanderbilt</v>
      </c>
      <c r="L437" s="422">
        <v>17.5</v>
      </c>
      <c r="M437" s="418">
        <v>62</v>
      </c>
      <c r="N437" s="436" t="str">
        <f>J437</f>
        <v>Mississippi</v>
      </c>
      <c r="O437" s="423">
        <v>52</v>
      </c>
      <c r="P437" s="436" t="str">
        <f t="shared" si="123"/>
        <v>Vanderbilt</v>
      </c>
      <c r="Q437" s="408">
        <v>28</v>
      </c>
      <c r="R437" s="494" t="str">
        <f t="shared" si="124"/>
        <v>Mississippi</v>
      </c>
      <c r="S437" s="494" t="str">
        <f t="shared" si="125"/>
        <v>Vanderbilt</v>
      </c>
      <c r="T437" s="356" t="str">
        <f>J437</f>
        <v>Mississippi</v>
      </c>
      <c r="U437" s="665" t="str">
        <f t="shared" si="126"/>
        <v>W</v>
      </c>
      <c r="W437" s="424"/>
      <c r="X437" s="352" t="s">
        <v>404</v>
      </c>
      <c r="Y437" s="425"/>
    </row>
    <row r="438" spans="1:25" ht="16" x14ac:dyDescent="0.8">
      <c r="A438" s="351">
        <v>7</v>
      </c>
      <c r="B438" s="420" t="s">
        <v>396</v>
      </c>
      <c r="C438" s="421">
        <v>44846</v>
      </c>
      <c r="D438" s="414">
        <f>19.5/24</f>
        <v>0.8125</v>
      </c>
      <c r="E438" s="349" t="s">
        <v>256</v>
      </c>
      <c r="F438" s="420" t="s">
        <v>209</v>
      </c>
      <c r="G438" s="349" t="s">
        <v>59</v>
      </c>
      <c r="H438" s="420" t="s">
        <v>163</v>
      </c>
      <c r="I438" s="349" t="s">
        <v>59</v>
      </c>
      <c r="J438" s="420" t="str">
        <f>H438</f>
        <v>Marshall</v>
      </c>
      <c r="K438" s="379" t="str">
        <f>IF(+J438=H438,F438,H438)</f>
        <v>UL Lafayette</v>
      </c>
      <c r="L438" s="422">
        <v>10.5</v>
      </c>
      <c r="M438" s="418">
        <v>47.5</v>
      </c>
      <c r="N438" s="351" t="str">
        <f>J438</f>
        <v>Marshall</v>
      </c>
      <c r="O438" s="423">
        <v>23</v>
      </c>
      <c r="P438" s="436" t="str">
        <f>IF(+N438=H438,F438,H438)</f>
        <v>UL Lafayette</v>
      </c>
      <c r="Q438" s="408">
        <v>13</v>
      </c>
      <c r="R438" s="494" t="str">
        <f>IF(+N438=K438,+N438,IF(+O438-Q438&lt;L438,+K438,+J438))</f>
        <v>UL Lafayette</v>
      </c>
      <c r="S438" s="494" t="str">
        <f>IF(+R438=J438,+K438,+J438)</f>
        <v>Marshall</v>
      </c>
      <c r="T438" s="356" t="str">
        <f>K438</f>
        <v>UL Lafayette</v>
      </c>
      <c r="U438" s="665" t="str">
        <f t="shared" ref="U438:U460" si="127">IF($N438=$J438,IF($O438-$Q438=$L438,"T",IF($R438=T438,"W","L")),IF($R438=T438,"W","L"))</f>
        <v>W</v>
      </c>
      <c r="W438" s="424"/>
      <c r="X438" s="352" t="s">
        <v>404</v>
      </c>
      <c r="Y438" s="425"/>
    </row>
    <row r="439" spans="1:25" ht="16" x14ac:dyDescent="0.8">
      <c r="A439" s="351">
        <v>7</v>
      </c>
      <c r="B439" s="420" t="s">
        <v>52</v>
      </c>
      <c r="C439" s="421">
        <v>44847</v>
      </c>
      <c r="D439" s="414">
        <f>19/24</f>
        <v>0.79166666666666663</v>
      </c>
      <c r="E439" s="349" t="s">
        <v>35</v>
      </c>
      <c r="F439" s="349" t="s">
        <v>180</v>
      </c>
      <c r="G439" s="349" t="s">
        <v>50</v>
      </c>
      <c r="H439" s="420" t="s">
        <v>106</v>
      </c>
      <c r="I439" s="349" t="s">
        <v>50</v>
      </c>
      <c r="J439" s="420" t="str">
        <f>H439</f>
        <v>Central Florida</v>
      </c>
      <c r="K439" s="379" t="str">
        <f>IF(+J439=H439,F439,H439)</f>
        <v>Temple</v>
      </c>
      <c r="L439" s="422">
        <v>23</v>
      </c>
      <c r="M439" s="418">
        <v>46</v>
      </c>
      <c r="N439" s="351" t="str">
        <f>J439</f>
        <v>Central Florida</v>
      </c>
      <c r="O439" s="423">
        <v>70</v>
      </c>
      <c r="P439" s="436" t="str">
        <f>IF(+N439=H439,F439,H439)</f>
        <v>Temple</v>
      </c>
      <c r="Q439" s="408">
        <v>13</v>
      </c>
      <c r="R439" s="494" t="str">
        <f>IF(+N439=K439,+N439,IF(+O439-Q439&lt;L439,+K439,+J439))</f>
        <v>Central Florida</v>
      </c>
      <c r="S439" s="494" t="str">
        <f>IF(+R439=J439,+K439,+J439)</f>
        <v>Temple</v>
      </c>
      <c r="T439" s="356" t="str">
        <f>K439</f>
        <v>Temple</v>
      </c>
      <c r="U439" s="665" t="str">
        <f t="shared" si="127"/>
        <v>L</v>
      </c>
      <c r="V439" s="352" t="str">
        <f>UPPER(+F439)</f>
        <v>TEMPLE</v>
      </c>
      <c r="W439" s="424">
        <v>45</v>
      </c>
      <c r="X439" s="352" t="str">
        <f>LOWER(+H439)</f>
        <v>central florida</v>
      </c>
      <c r="Y439" s="425">
        <v>14</v>
      </c>
    </row>
    <row r="440" spans="1:25" ht="16" x14ac:dyDescent="0.8">
      <c r="A440" s="351">
        <v>7</v>
      </c>
      <c r="B440" s="420" t="s">
        <v>52</v>
      </c>
      <c r="C440" s="421">
        <v>44847</v>
      </c>
      <c r="D440" s="414">
        <f>19/24</f>
        <v>0.79166666666666663</v>
      </c>
      <c r="E440" s="349" t="s">
        <v>70</v>
      </c>
      <c r="F440" s="420" t="s">
        <v>146</v>
      </c>
      <c r="G440" s="349" t="s">
        <v>73</v>
      </c>
      <c r="H440" s="349" t="s">
        <v>222</v>
      </c>
      <c r="I440" s="349" t="s">
        <v>73</v>
      </c>
      <c r="J440" s="420" t="str">
        <f>F440</f>
        <v>Baylor</v>
      </c>
      <c r="K440" s="379" t="str">
        <f>IF(+J440=H440,F440,H440)</f>
        <v>West Virginia</v>
      </c>
      <c r="L440" s="422">
        <v>3.5</v>
      </c>
      <c r="M440" s="418">
        <v>54.5</v>
      </c>
      <c r="N440" s="436" t="str">
        <f>K440</f>
        <v>West Virginia</v>
      </c>
      <c r="O440" s="423">
        <v>43</v>
      </c>
      <c r="P440" s="436" t="str">
        <f>IF(+N440=H440,F440,H440)</f>
        <v>Baylor</v>
      </c>
      <c r="Q440" s="408">
        <v>40</v>
      </c>
      <c r="R440" s="494" t="str">
        <f>IF(+N440=K440,+N440,IF(+O440-Q440&lt;L440,+K440,+J440))</f>
        <v>West Virginia</v>
      </c>
      <c r="S440" s="494" t="str">
        <f>IF(+R440=J440,+K440,+J440)</f>
        <v>Baylor</v>
      </c>
      <c r="T440" s="356" t="str">
        <f>J440</f>
        <v>Baylor</v>
      </c>
      <c r="U440" s="665" t="str">
        <f t="shared" si="127"/>
        <v>L</v>
      </c>
      <c r="V440" s="352" t="str">
        <f>UPPER(+F440)</f>
        <v>BAYLOR</v>
      </c>
      <c r="W440" s="424">
        <v>45</v>
      </c>
      <c r="X440" s="352" t="str">
        <f>LOWER(+H440)</f>
        <v>west virginia</v>
      </c>
      <c r="Y440" s="425">
        <v>20</v>
      </c>
    </row>
    <row r="441" spans="1:25" ht="16" x14ac:dyDescent="0.8">
      <c r="A441" s="351">
        <v>7</v>
      </c>
      <c r="B441" s="420" t="s">
        <v>88</v>
      </c>
      <c r="C441" s="421">
        <v>44848</v>
      </c>
      <c r="D441" s="414">
        <f>19.5/24</f>
        <v>0.8125</v>
      </c>
      <c r="E441" s="349" t="s">
        <v>35</v>
      </c>
      <c r="F441" s="420" t="s">
        <v>96</v>
      </c>
      <c r="G441" s="349" t="s">
        <v>50</v>
      </c>
      <c r="H441" s="349" t="s">
        <v>109</v>
      </c>
      <c r="I441" s="349" t="s">
        <v>50</v>
      </c>
      <c r="J441" s="420" t="str">
        <f>H441</f>
        <v>SMU</v>
      </c>
      <c r="K441" s="379" t="str">
        <f>IF(+J441=H441,F441,H441)</f>
        <v>Navy</v>
      </c>
      <c r="L441" s="422">
        <v>12.5</v>
      </c>
      <c r="M441" s="418">
        <v>57.5</v>
      </c>
      <c r="N441" s="351" t="str">
        <f t="shared" ref="N441:N448" si="128">J441</f>
        <v>SMU</v>
      </c>
      <c r="O441" s="423">
        <v>40</v>
      </c>
      <c r="P441" s="436" t="str">
        <f>IF(+N441=H441,F441,H441)</f>
        <v>Navy</v>
      </c>
      <c r="Q441" s="408">
        <v>34</v>
      </c>
      <c r="R441" s="494" t="str">
        <f>IF(+N441=K441,+N441,IF(+O441-Q441&lt;L441,+K441,+J441))</f>
        <v>Navy</v>
      </c>
      <c r="S441" s="494" t="str">
        <f>IF(+R441=J441,+K441,+J441)</f>
        <v>SMU</v>
      </c>
      <c r="T441" s="356" t="str">
        <f>K441</f>
        <v>Navy</v>
      </c>
      <c r="U441" s="665" t="str">
        <f t="shared" si="127"/>
        <v>W</v>
      </c>
      <c r="V441" s="352" t="str">
        <f>UPPER(+F441)</f>
        <v>NAVY</v>
      </c>
      <c r="W441" s="424">
        <v>35</v>
      </c>
      <c r="X441" s="352" t="str">
        <f>LOWER(+H441)</f>
        <v>smu</v>
      </c>
      <c r="Y441" s="425">
        <v>28</v>
      </c>
    </row>
    <row r="442" spans="1:25" ht="16" x14ac:dyDescent="0.8">
      <c r="A442" s="351">
        <v>7</v>
      </c>
      <c r="B442" s="420" t="s">
        <v>88</v>
      </c>
      <c r="C442" s="421">
        <v>44848</v>
      </c>
      <c r="D442" s="414">
        <f>20/24</f>
        <v>0.83333333333333337</v>
      </c>
      <c r="E442" s="349" t="s">
        <v>445</v>
      </c>
      <c r="F442" s="349" t="s">
        <v>175</v>
      </c>
      <c r="G442" s="349" t="s">
        <v>39</v>
      </c>
      <c r="H442" s="349" t="s">
        <v>105</v>
      </c>
      <c r="I442" s="349" t="s">
        <v>39</v>
      </c>
      <c r="J442" s="420" t="str">
        <f>F442</f>
        <v>UT San Antonio</v>
      </c>
      <c r="K442" s="379" t="str">
        <f>IF(+J442=H442,F442,H442)</f>
        <v>Florida Intl</v>
      </c>
      <c r="L442" s="422">
        <v>32</v>
      </c>
      <c r="M442" s="418">
        <v>64</v>
      </c>
      <c r="N442" s="351" t="str">
        <f t="shared" si="128"/>
        <v>UT San Antonio</v>
      </c>
      <c r="O442" s="423">
        <v>30</v>
      </c>
      <c r="P442" s="436" t="str">
        <f>IF(+N442=H442,F442,H442)</f>
        <v>Florida Intl</v>
      </c>
      <c r="Q442" s="408">
        <v>10</v>
      </c>
      <c r="R442" s="494" t="str">
        <f>IF(+N442=K442,+N442,IF(+O442-Q442&lt;L442,+K442,+J442))</f>
        <v>Florida Intl</v>
      </c>
      <c r="S442" s="494" t="str">
        <f>IF(+R442=J442,+K442,+J442)</f>
        <v>UT San Antonio</v>
      </c>
      <c r="T442" s="356" t="str">
        <f>K442</f>
        <v>Florida Intl</v>
      </c>
      <c r="U442" s="665" t="str">
        <f t="shared" si="127"/>
        <v>W</v>
      </c>
      <c r="W442" s="424"/>
      <c r="X442" s="352" t="s">
        <v>404</v>
      </c>
      <c r="Y442" s="425"/>
    </row>
    <row r="443" spans="1:25" ht="16" x14ac:dyDescent="0.8">
      <c r="A443" s="351">
        <v>7</v>
      </c>
      <c r="B443" s="420" t="s">
        <v>34</v>
      </c>
      <c r="C443" s="421">
        <v>44849</v>
      </c>
      <c r="D443" s="414">
        <f>19.5/24</f>
        <v>0.8125</v>
      </c>
      <c r="E443" s="349" t="s">
        <v>95</v>
      </c>
      <c r="F443" s="420" t="s">
        <v>60</v>
      </c>
      <c r="G443" s="349" t="s">
        <v>50</v>
      </c>
      <c r="H443" s="349" t="s">
        <v>107</v>
      </c>
      <c r="I443" s="349" t="s">
        <v>50</v>
      </c>
      <c r="J443" s="420" t="str">
        <f>H443</f>
        <v>East Carolina</v>
      </c>
      <c r="K443" s="379" t="str">
        <f t="shared" ref="K443:K460" si="129">IF(+J443=H443,F443,H443)</f>
        <v>Memphis</v>
      </c>
      <c r="L443" s="422">
        <v>4.5</v>
      </c>
      <c r="M443" s="418">
        <v>58.5</v>
      </c>
      <c r="N443" s="351" t="str">
        <f t="shared" si="128"/>
        <v>East Carolina</v>
      </c>
      <c r="O443" s="423">
        <v>47</v>
      </c>
      <c r="P443" s="436" t="str">
        <f t="shared" ref="P443:P470" si="130">IF(+N443=H443,F443,H443)</f>
        <v>Memphis</v>
      </c>
      <c r="Q443" s="408">
        <v>45</v>
      </c>
      <c r="R443" s="494" t="str">
        <f t="shared" ref="R443:R460" si="131">IF(+N443=K443,+N443,IF(+O443-Q443&lt;L443,+K443,+J443))</f>
        <v>Memphis</v>
      </c>
      <c r="S443" s="494" t="str">
        <f t="shared" ref="S443:S460" si="132">IF(+R443=J443,+K443,+J443)</f>
        <v>East Carolina</v>
      </c>
      <c r="T443" s="356" t="str">
        <f>K443</f>
        <v>Memphis</v>
      </c>
      <c r="U443" s="665" t="str">
        <f t="shared" si="127"/>
        <v>W</v>
      </c>
      <c r="V443" s="352" t="str">
        <f>LOWER(+H443)</f>
        <v>east carolina</v>
      </c>
      <c r="W443" s="424">
        <v>30</v>
      </c>
      <c r="X443" s="352" t="str">
        <f>UPPER(+F443)</f>
        <v>MEMPHIS</v>
      </c>
      <c r="Y443" s="425">
        <v>29</v>
      </c>
    </row>
    <row r="444" spans="1:25" ht="16" x14ac:dyDescent="0.8">
      <c r="A444" s="351">
        <v>7</v>
      </c>
      <c r="B444" s="420" t="s">
        <v>34</v>
      </c>
      <c r="C444" s="421">
        <v>44849</v>
      </c>
      <c r="D444" s="414">
        <f>16/24</f>
        <v>0.66666666666666663</v>
      </c>
      <c r="E444" s="349" t="s">
        <v>95</v>
      </c>
      <c r="F444" s="349" t="s">
        <v>112</v>
      </c>
      <c r="G444" s="349" t="s">
        <v>50</v>
      </c>
      <c r="H444" s="420" t="s">
        <v>49</v>
      </c>
      <c r="I444" s="349" t="s">
        <v>50</v>
      </c>
      <c r="J444" s="420" t="str">
        <f>F444</f>
        <v>Tulane</v>
      </c>
      <c r="K444" s="379" t="str">
        <f t="shared" si="129"/>
        <v>South Florida</v>
      </c>
      <c r="L444" s="422">
        <v>12</v>
      </c>
      <c r="M444" s="418">
        <v>54.5</v>
      </c>
      <c r="N444" s="351" t="str">
        <f t="shared" si="128"/>
        <v>Tulane</v>
      </c>
      <c r="O444" s="423">
        <v>45</v>
      </c>
      <c r="P444" s="436" t="str">
        <f t="shared" si="130"/>
        <v>South Florida</v>
      </c>
      <c r="Q444" s="408">
        <v>31</v>
      </c>
      <c r="R444" s="494" t="str">
        <f t="shared" si="131"/>
        <v>Tulane</v>
      </c>
      <c r="S444" s="494" t="str">
        <f t="shared" si="132"/>
        <v>South Florida</v>
      </c>
      <c r="T444" s="356" t="str">
        <f>K444</f>
        <v>South Florida</v>
      </c>
      <c r="U444" s="665" t="str">
        <f t="shared" si="127"/>
        <v>L</v>
      </c>
      <c r="V444" s="352" t="str">
        <f>UPPER(+F444)</f>
        <v>TULANE</v>
      </c>
      <c r="W444" s="424">
        <v>45</v>
      </c>
      <c r="X444" s="352" t="str">
        <f>LOWER(+H444)</f>
        <v>south florida</v>
      </c>
      <c r="Y444" s="425">
        <v>14</v>
      </c>
    </row>
    <row r="445" spans="1:25" ht="16" x14ac:dyDescent="0.8">
      <c r="A445" s="351">
        <v>7</v>
      </c>
      <c r="B445" s="420" t="s">
        <v>34</v>
      </c>
      <c r="C445" s="421">
        <v>44849</v>
      </c>
      <c r="D445" s="414">
        <f>20/24</f>
        <v>0.83333333333333337</v>
      </c>
      <c r="E445" s="349" t="s">
        <v>61</v>
      </c>
      <c r="F445" s="420" t="s">
        <v>124</v>
      </c>
      <c r="G445" s="349" t="s">
        <v>61</v>
      </c>
      <c r="H445" s="349" t="s">
        <v>115</v>
      </c>
      <c r="I445" s="349" t="s">
        <v>61</v>
      </c>
      <c r="J445" s="420" t="str">
        <f>F445</f>
        <v>North Carolina</v>
      </c>
      <c r="K445" s="379" t="str">
        <f t="shared" si="129"/>
        <v>Duke</v>
      </c>
      <c r="L445" s="422">
        <v>7</v>
      </c>
      <c r="M445" s="418">
        <v>67.5</v>
      </c>
      <c r="N445" s="351" t="str">
        <f t="shared" si="128"/>
        <v>North Carolina</v>
      </c>
      <c r="O445" s="423">
        <v>38</v>
      </c>
      <c r="P445" s="436" t="str">
        <f t="shared" si="130"/>
        <v>Duke</v>
      </c>
      <c r="Q445" s="408">
        <v>35</v>
      </c>
      <c r="R445" s="494" t="str">
        <f t="shared" si="131"/>
        <v>Duke</v>
      </c>
      <c r="S445" s="494" t="str">
        <f t="shared" si="132"/>
        <v>North Carolina</v>
      </c>
      <c r="T445" s="356" t="str">
        <f>J445</f>
        <v>North Carolina</v>
      </c>
      <c r="U445" s="665" t="str">
        <f t="shared" si="127"/>
        <v>L</v>
      </c>
      <c r="V445" s="352" t="str">
        <f>UPPER(+F445)</f>
        <v>NORTH CAROLINA</v>
      </c>
      <c r="W445" s="424">
        <v>38</v>
      </c>
      <c r="X445" s="352" t="str">
        <f>LOWER(+H445)</f>
        <v>duke</v>
      </c>
      <c r="Y445" s="425">
        <v>7</v>
      </c>
    </row>
    <row r="446" spans="1:25" ht="16" x14ac:dyDescent="0.8">
      <c r="A446" s="351">
        <v>7</v>
      </c>
      <c r="B446" s="420" t="s">
        <v>34</v>
      </c>
      <c r="C446" s="421">
        <v>44849</v>
      </c>
      <c r="D446" s="414">
        <f>19.5/24</f>
        <v>0.8125</v>
      </c>
      <c r="E446" s="349" t="s">
        <v>135</v>
      </c>
      <c r="F446" s="420" t="s">
        <v>114</v>
      </c>
      <c r="G446" s="349" t="s">
        <v>61</v>
      </c>
      <c r="H446" s="349" t="s">
        <v>117</v>
      </c>
      <c r="I446" s="349" t="s">
        <v>61</v>
      </c>
      <c r="J446" s="420" t="str">
        <f>F446</f>
        <v>Clemson</v>
      </c>
      <c r="K446" s="379" t="str">
        <f t="shared" si="129"/>
        <v>Florida State</v>
      </c>
      <c r="L446" s="422">
        <v>3.5</v>
      </c>
      <c r="M446" s="418">
        <v>51</v>
      </c>
      <c r="N446" s="351" t="str">
        <f t="shared" si="128"/>
        <v>Clemson</v>
      </c>
      <c r="O446" s="423">
        <v>34</v>
      </c>
      <c r="P446" s="436" t="str">
        <f t="shared" si="130"/>
        <v>Florida State</v>
      </c>
      <c r="Q446" s="408">
        <v>28</v>
      </c>
      <c r="R446" s="494" t="str">
        <f t="shared" si="131"/>
        <v>Clemson</v>
      </c>
      <c r="S446" s="494" t="str">
        <f t="shared" si="132"/>
        <v>Florida State</v>
      </c>
      <c r="T446" s="356" t="str">
        <f>J446</f>
        <v>Clemson</v>
      </c>
      <c r="U446" s="665" t="str">
        <f t="shared" si="127"/>
        <v>W</v>
      </c>
      <c r="V446" s="352" t="str">
        <f>UPPER(+F446)</f>
        <v>CLEMSON</v>
      </c>
      <c r="W446" s="424">
        <v>30</v>
      </c>
      <c r="X446" s="352" t="str">
        <f>LOWER(+H446)</f>
        <v>florida state</v>
      </c>
      <c r="Y446" s="425">
        <v>20</v>
      </c>
    </row>
    <row r="447" spans="1:25" ht="16" x14ac:dyDescent="0.8">
      <c r="A447" s="351">
        <v>7</v>
      </c>
      <c r="B447" s="420" t="s">
        <v>34</v>
      </c>
      <c r="C447" s="421">
        <v>44849</v>
      </c>
      <c r="D447" s="414">
        <f>15.5/24</f>
        <v>0.64583333333333337</v>
      </c>
      <c r="E447" s="349" t="s">
        <v>61</v>
      </c>
      <c r="F447" s="349" t="s">
        <v>126</v>
      </c>
      <c r="G447" s="349" t="s">
        <v>61</v>
      </c>
      <c r="H447" s="420" t="s">
        <v>90</v>
      </c>
      <c r="I447" s="349" t="s">
        <v>61</v>
      </c>
      <c r="J447" s="420" t="str">
        <f>H447</f>
        <v>Syracuse</v>
      </c>
      <c r="K447" s="379" t="str">
        <f t="shared" si="129"/>
        <v>North Carolina St</v>
      </c>
      <c r="L447" s="422">
        <v>3.5</v>
      </c>
      <c r="M447" s="418">
        <v>44</v>
      </c>
      <c r="N447" s="351" t="str">
        <f t="shared" si="128"/>
        <v>Syracuse</v>
      </c>
      <c r="O447" s="423">
        <v>24</v>
      </c>
      <c r="P447" s="436" t="str">
        <f t="shared" si="130"/>
        <v>North Carolina St</v>
      </c>
      <c r="Q447" s="408">
        <v>9</v>
      </c>
      <c r="R447" s="494" t="str">
        <f t="shared" si="131"/>
        <v>Syracuse</v>
      </c>
      <c r="S447" s="494" t="str">
        <f t="shared" si="132"/>
        <v>North Carolina St</v>
      </c>
      <c r="T447" s="356" t="str">
        <f>K447</f>
        <v>North Carolina St</v>
      </c>
      <c r="U447" s="665" t="str">
        <f t="shared" si="127"/>
        <v>L</v>
      </c>
      <c r="W447" s="424"/>
      <c r="X447" s="352" t="s">
        <v>404</v>
      </c>
      <c r="Y447" s="425"/>
    </row>
    <row r="448" spans="1:25" ht="16" x14ac:dyDescent="0.8">
      <c r="A448" s="351">
        <v>7</v>
      </c>
      <c r="B448" s="420" t="s">
        <v>34</v>
      </c>
      <c r="C448" s="421">
        <v>44849</v>
      </c>
      <c r="D448" s="414">
        <f>12.5/24</f>
        <v>0.52083333333333337</v>
      </c>
      <c r="E448" s="349" t="s">
        <v>53</v>
      </c>
      <c r="F448" s="420" t="s">
        <v>122</v>
      </c>
      <c r="G448" s="349" t="s">
        <v>61</v>
      </c>
      <c r="H448" s="349" t="s">
        <v>221</v>
      </c>
      <c r="I448" s="349" t="s">
        <v>61</v>
      </c>
      <c r="J448" s="420" t="str">
        <f>F448</f>
        <v>Miami (FL)</v>
      </c>
      <c r="K448" s="379" t="str">
        <f t="shared" si="129"/>
        <v>Virginia Tech</v>
      </c>
      <c r="L448" s="422">
        <v>7</v>
      </c>
      <c r="M448" s="418">
        <v>46.5</v>
      </c>
      <c r="N448" s="351" t="str">
        <f t="shared" si="128"/>
        <v>Miami (FL)</v>
      </c>
      <c r="O448" s="423">
        <v>20</v>
      </c>
      <c r="P448" s="436" t="str">
        <f t="shared" si="130"/>
        <v>Virginia Tech</v>
      </c>
      <c r="Q448" s="408">
        <v>14</v>
      </c>
      <c r="R448" s="494" t="str">
        <f t="shared" si="131"/>
        <v>Virginia Tech</v>
      </c>
      <c r="S448" s="494" t="str">
        <f t="shared" si="132"/>
        <v>Miami (FL)</v>
      </c>
      <c r="T448" s="356" t="str">
        <f>J448</f>
        <v>Miami (FL)</v>
      </c>
      <c r="U448" s="665" t="str">
        <f t="shared" si="127"/>
        <v>L</v>
      </c>
      <c r="V448" s="352" t="str">
        <f>LOWER(+H448)</f>
        <v>virginia tech</v>
      </c>
      <c r="W448" s="424">
        <v>42</v>
      </c>
      <c r="X448" s="352" t="str">
        <f>UPPER(+F448)</f>
        <v>MIAMI (FL)</v>
      </c>
      <c r="Y448" s="425">
        <v>35</v>
      </c>
    </row>
    <row r="449" spans="1:25" ht="16" x14ac:dyDescent="0.8">
      <c r="A449" s="351">
        <v>7</v>
      </c>
      <c r="B449" s="420" t="s">
        <v>34</v>
      </c>
      <c r="C449" s="421">
        <v>44849</v>
      </c>
      <c r="D449" s="414">
        <f>12/24</f>
        <v>0.5</v>
      </c>
      <c r="E449" s="349" t="s">
        <v>66</v>
      </c>
      <c r="F449" s="420" t="s">
        <v>69</v>
      </c>
      <c r="G449" s="349" t="s">
        <v>64</v>
      </c>
      <c r="H449" s="349" t="s">
        <v>132</v>
      </c>
      <c r="I449" s="349" t="s">
        <v>64</v>
      </c>
      <c r="J449" s="420" t="str">
        <f>F449</f>
        <v>Minnesota</v>
      </c>
      <c r="K449" s="379" t="str">
        <f t="shared" si="129"/>
        <v>Illinois</v>
      </c>
      <c r="L449" s="422">
        <v>6.5</v>
      </c>
      <c r="M449" s="418">
        <v>39.5</v>
      </c>
      <c r="N449" s="436" t="str">
        <f>K449</f>
        <v>Illinois</v>
      </c>
      <c r="O449" s="423">
        <v>26</v>
      </c>
      <c r="P449" s="436" t="str">
        <f t="shared" si="130"/>
        <v>Minnesota</v>
      </c>
      <c r="Q449" s="408">
        <v>14</v>
      </c>
      <c r="R449" s="494" t="str">
        <f t="shared" si="131"/>
        <v>Illinois</v>
      </c>
      <c r="S449" s="494" t="str">
        <f t="shared" si="132"/>
        <v>Minnesota</v>
      </c>
      <c r="T449" s="356" t="str">
        <f>H449</f>
        <v>Illinois</v>
      </c>
      <c r="U449" s="665" t="str">
        <f t="shared" si="127"/>
        <v>W</v>
      </c>
      <c r="V449" s="352" t="str">
        <f>LOWER(+H449)</f>
        <v>illinois</v>
      </c>
      <c r="W449" s="424">
        <v>14</v>
      </c>
      <c r="X449" s="352" t="str">
        <f>UPPER(+F449)</f>
        <v>MINNESOTA</v>
      </c>
      <c r="Y449" s="425">
        <v>6</v>
      </c>
    </row>
    <row r="450" spans="1:25" ht="16" x14ac:dyDescent="0.8">
      <c r="A450" s="351">
        <v>7</v>
      </c>
      <c r="B450" s="420" t="s">
        <v>34</v>
      </c>
      <c r="C450" s="421">
        <v>44849</v>
      </c>
      <c r="D450" s="414">
        <f>15.5/24</f>
        <v>0.64583333333333337</v>
      </c>
      <c r="E450" s="349" t="s">
        <v>256</v>
      </c>
      <c r="F450" s="349" t="s">
        <v>156</v>
      </c>
      <c r="G450" s="349" t="s">
        <v>64</v>
      </c>
      <c r="H450" s="349" t="s">
        <v>65</v>
      </c>
      <c r="I450" s="349" t="s">
        <v>64</v>
      </c>
      <c r="J450" s="420" t="str">
        <f>F450</f>
        <v>Maryland</v>
      </c>
      <c r="K450" s="379" t="str">
        <f t="shared" si="129"/>
        <v>Indiana</v>
      </c>
      <c r="L450" s="422">
        <v>11.5</v>
      </c>
      <c r="M450" s="418">
        <v>61.5</v>
      </c>
      <c r="N450" s="351" t="str">
        <f>J450</f>
        <v>Maryland</v>
      </c>
      <c r="O450" s="423">
        <v>38</v>
      </c>
      <c r="P450" s="436" t="str">
        <f t="shared" si="130"/>
        <v>Indiana</v>
      </c>
      <c r="Q450" s="408">
        <v>33</v>
      </c>
      <c r="R450" s="494" t="str">
        <f t="shared" si="131"/>
        <v>Indiana</v>
      </c>
      <c r="S450" s="494" t="str">
        <f t="shared" si="132"/>
        <v>Maryland</v>
      </c>
      <c r="T450" s="356" t="str">
        <f>J450</f>
        <v>Maryland</v>
      </c>
      <c r="U450" s="665" t="str">
        <f t="shared" si="127"/>
        <v>L</v>
      </c>
      <c r="V450" s="352" t="str">
        <f>UPPER(+F450)</f>
        <v>MARYLAND</v>
      </c>
      <c r="W450" s="424">
        <v>38</v>
      </c>
      <c r="X450" s="352" t="str">
        <f>LOWER(+H450)</f>
        <v>indiana</v>
      </c>
      <c r="Y450" s="425">
        <v>35</v>
      </c>
    </row>
    <row r="451" spans="1:25" ht="16" x14ac:dyDescent="0.8">
      <c r="A451" s="351">
        <v>7</v>
      </c>
      <c r="B451" s="420" t="s">
        <v>34</v>
      </c>
      <c r="C451" s="421">
        <v>44849</v>
      </c>
      <c r="D451" s="414">
        <f>12/24</f>
        <v>0.5</v>
      </c>
      <c r="E451" s="349" t="s">
        <v>118</v>
      </c>
      <c r="F451" s="420" t="s">
        <v>145</v>
      </c>
      <c r="G451" s="349" t="s">
        <v>64</v>
      </c>
      <c r="H451" s="349" t="s">
        <v>137</v>
      </c>
      <c r="I451" s="349" t="s">
        <v>64</v>
      </c>
      <c r="J451" s="420" t="str">
        <f>H451</f>
        <v>Michigan</v>
      </c>
      <c r="K451" s="379" t="str">
        <f t="shared" si="129"/>
        <v>Penn State</v>
      </c>
      <c r="L451" s="422">
        <v>7</v>
      </c>
      <c r="M451" s="418">
        <v>52.5</v>
      </c>
      <c r="N451" s="351" t="str">
        <f>J451</f>
        <v>Michigan</v>
      </c>
      <c r="O451" s="423">
        <v>41</v>
      </c>
      <c r="P451" s="436" t="str">
        <f t="shared" si="130"/>
        <v>Penn State</v>
      </c>
      <c r="Q451" s="408">
        <v>17</v>
      </c>
      <c r="R451" s="494" t="str">
        <f t="shared" si="131"/>
        <v>Michigan</v>
      </c>
      <c r="S451" s="494" t="str">
        <f t="shared" si="132"/>
        <v>Penn State</v>
      </c>
      <c r="T451" s="356" t="str">
        <f>K451</f>
        <v>Penn State</v>
      </c>
      <c r="U451" s="665" t="str">
        <f t="shared" si="127"/>
        <v>L</v>
      </c>
      <c r="V451" s="352" t="str">
        <f>LOWER(+H451)</f>
        <v>michigan</v>
      </c>
      <c r="W451" s="424">
        <v>21</v>
      </c>
      <c r="X451" s="352" t="str">
        <f>UPPER(+F451)</f>
        <v>PENN STATE</v>
      </c>
      <c r="Y451" s="425">
        <v>17</v>
      </c>
    </row>
    <row r="452" spans="1:25" ht="16" x14ac:dyDescent="0.8">
      <c r="A452" s="351">
        <v>7</v>
      </c>
      <c r="B452" s="420" t="s">
        <v>34</v>
      </c>
      <c r="C452" s="421">
        <v>44849</v>
      </c>
      <c r="D452" s="414">
        <f>16/24</f>
        <v>0.66666666666666663</v>
      </c>
      <c r="E452" s="349" t="s">
        <v>118</v>
      </c>
      <c r="F452" s="349" t="s">
        <v>94</v>
      </c>
      <c r="G452" s="349" t="s">
        <v>64</v>
      </c>
      <c r="H452" s="349" t="s">
        <v>139</v>
      </c>
      <c r="I452" s="349" t="s">
        <v>64</v>
      </c>
      <c r="J452" s="420" t="str">
        <f>F452</f>
        <v>Wisconsin</v>
      </c>
      <c r="K452" s="379" t="str">
        <f t="shared" si="129"/>
        <v>Michigan State</v>
      </c>
      <c r="L452" s="422">
        <v>7</v>
      </c>
      <c r="M452" s="418">
        <v>49</v>
      </c>
      <c r="N452" s="436" t="str">
        <f>K452</f>
        <v>Michigan State</v>
      </c>
      <c r="O452" s="423">
        <v>34</v>
      </c>
      <c r="P452" s="436" t="str">
        <f t="shared" si="130"/>
        <v>Wisconsin</v>
      </c>
      <c r="Q452" s="408">
        <v>28</v>
      </c>
      <c r="R452" s="494" t="str">
        <f t="shared" si="131"/>
        <v>Michigan State</v>
      </c>
      <c r="S452" s="494" t="str">
        <f t="shared" si="132"/>
        <v>Wisconsin</v>
      </c>
      <c r="T452" s="356" t="str">
        <f>K452</f>
        <v>Michigan State</v>
      </c>
      <c r="U452" s="665" t="str">
        <f t="shared" si="127"/>
        <v>W</v>
      </c>
      <c r="W452" s="424"/>
      <c r="X452" s="352" t="s">
        <v>404</v>
      </c>
      <c r="Y452" s="425"/>
    </row>
    <row r="453" spans="1:25" ht="16" x14ac:dyDescent="0.8">
      <c r="A453" s="351">
        <v>7</v>
      </c>
      <c r="B453" s="420" t="s">
        <v>34</v>
      </c>
      <c r="C453" s="421">
        <v>44849</v>
      </c>
      <c r="D453" s="414">
        <f>19.5/24</f>
        <v>0.8125</v>
      </c>
      <c r="E453" s="349" t="s">
        <v>66</v>
      </c>
      <c r="F453" s="420" t="s">
        <v>141</v>
      </c>
      <c r="G453" s="349" t="s">
        <v>64</v>
      </c>
      <c r="H453" s="349" t="s">
        <v>119</v>
      </c>
      <c r="I453" s="349" t="s">
        <v>64</v>
      </c>
      <c r="J453" s="420" t="str">
        <f>H453</f>
        <v>Purdue</v>
      </c>
      <c r="K453" s="379" t="str">
        <f t="shared" si="129"/>
        <v>Nebraska</v>
      </c>
      <c r="L453" s="422">
        <v>13</v>
      </c>
      <c r="M453" s="418">
        <v>58</v>
      </c>
      <c r="N453" s="351" t="str">
        <f t="shared" ref="N453:N460" si="133">J453</f>
        <v>Purdue</v>
      </c>
      <c r="O453" s="423">
        <v>43</v>
      </c>
      <c r="P453" s="436" t="str">
        <f t="shared" si="130"/>
        <v>Nebraska</v>
      </c>
      <c r="Q453" s="408">
        <v>37</v>
      </c>
      <c r="R453" s="494" t="str">
        <f t="shared" si="131"/>
        <v>Nebraska</v>
      </c>
      <c r="S453" s="494" t="str">
        <f t="shared" si="132"/>
        <v>Purdue</v>
      </c>
      <c r="T453" s="356" t="str">
        <f>J453</f>
        <v>Purdue</v>
      </c>
      <c r="U453" s="665" t="str">
        <f t="shared" si="127"/>
        <v>L</v>
      </c>
      <c r="V453" s="352" t="str">
        <f>LOWER(+H453)</f>
        <v>purdue</v>
      </c>
      <c r="W453" s="424">
        <v>28</v>
      </c>
      <c r="X453" s="352" t="str">
        <f>UPPER(+F453)</f>
        <v>NEBRASKA</v>
      </c>
      <c r="Y453" s="425">
        <v>23</v>
      </c>
    </row>
    <row r="454" spans="1:25" ht="16" x14ac:dyDescent="0.8">
      <c r="A454" s="351">
        <v>7</v>
      </c>
      <c r="B454" s="420" t="s">
        <v>34</v>
      </c>
      <c r="C454" s="421">
        <v>44849</v>
      </c>
      <c r="D454" s="414">
        <f>12/24</f>
        <v>0.5</v>
      </c>
      <c r="E454" s="349" t="s">
        <v>256</v>
      </c>
      <c r="F454" s="349" t="s">
        <v>150</v>
      </c>
      <c r="G454" s="349" t="s">
        <v>73</v>
      </c>
      <c r="H454" s="349" t="s">
        <v>154</v>
      </c>
      <c r="I454" s="349" t="s">
        <v>73</v>
      </c>
      <c r="J454" s="420" t="str">
        <f>H454</f>
        <v>Oklahoma</v>
      </c>
      <c r="K454" s="379" t="str">
        <f t="shared" si="129"/>
        <v>Kansas</v>
      </c>
      <c r="L454" s="422">
        <v>7.5</v>
      </c>
      <c r="M454" s="418">
        <v>63.5</v>
      </c>
      <c r="N454" s="351" t="str">
        <f t="shared" si="133"/>
        <v>Oklahoma</v>
      </c>
      <c r="O454" s="423">
        <v>52</v>
      </c>
      <c r="P454" s="436" t="str">
        <f t="shared" si="130"/>
        <v>Kansas</v>
      </c>
      <c r="Q454" s="408">
        <v>42</v>
      </c>
      <c r="R454" s="494" t="str">
        <f t="shared" si="131"/>
        <v>Oklahoma</v>
      </c>
      <c r="S454" s="494" t="str">
        <f t="shared" si="132"/>
        <v>Kansas</v>
      </c>
      <c r="T454" s="356" t="str">
        <f t="shared" ref="T454:T459" si="134">K454</f>
        <v>Kansas</v>
      </c>
      <c r="U454" s="665" t="str">
        <f t="shared" si="127"/>
        <v>L</v>
      </c>
      <c r="V454" s="352" t="str">
        <f>LOWER(+H454)</f>
        <v>oklahoma</v>
      </c>
      <c r="W454" s="424">
        <v>35</v>
      </c>
      <c r="X454" s="352" t="str">
        <f>UPPER(+F454)</f>
        <v>KANSAS</v>
      </c>
      <c r="Y454" s="425">
        <v>23</v>
      </c>
    </row>
    <row r="455" spans="1:25" ht="16" x14ac:dyDescent="0.8">
      <c r="A455" s="351">
        <v>7</v>
      </c>
      <c r="B455" s="420" t="s">
        <v>34</v>
      </c>
      <c r="C455" s="421">
        <v>44849</v>
      </c>
      <c r="D455" s="414">
        <f>15.5/24</f>
        <v>0.64583333333333337</v>
      </c>
      <c r="E455" s="349" t="s">
        <v>135</v>
      </c>
      <c r="F455" s="420" t="s">
        <v>72</v>
      </c>
      <c r="G455" s="349" t="s">
        <v>73</v>
      </c>
      <c r="H455" s="349" t="s">
        <v>155</v>
      </c>
      <c r="I455" s="349" t="s">
        <v>73</v>
      </c>
      <c r="J455" s="420" t="str">
        <f>H455</f>
        <v>TCU</v>
      </c>
      <c r="K455" s="379" t="str">
        <f t="shared" si="129"/>
        <v>Oklahoma State</v>
      </c>
      <c r="L455" s="422">
        <v>4</v>
      </c>
      <c r="M455" s="418">
        <v>68.5</v>
      </c>
      <c r="N455" s="351" t="str">
        <f t="shared" si="133"/>
        <v>TCU</v>
      </c>
      <c r="O455" s="423">
        <v>43</v>
      </c>
      <c r="P455" s="436" t="str">
        <f t="shared" si="130"/>
        <v>Oklahoma State</v>
      </c>
      <c r="Q455" s="408">
        <v>40</v>
      </c>
      <c r="R455" s="494" t="str">
        <f t="shared" si="131"/>
        <v>Oklahoma State</v>
      </c>
      <c r="S455" s="494" t="str">
        <f t="shared" si="132"/>
        <v>TCU</v>
      </c>
      <c r="T455" s="356" t="str">
        <f t="shared" si="134"/>
        <v>Oklahoma State</v>
      </c>
      <c r="U455" s="665" t="str">
        <f t="shared" si="127"/>
        <v>W</v>
      </c>
      <c r="V455" s="352" t="str">
        <f>UPPER(+F455)</f>
        <v>OKLAHOMA STATE</v>
      </c>
      <c r="W455" s="424">
        <v>63</v>
      </c>
      <c r="X455" s="352" t="str">
        <f>LOWER(+H455)</f>
        <v>tcu</v>
      </c>
      <c r="Y455" s="425">
        <v>17</v>
      </c>
    </row>
    <row r="456" spans="1:25" ht="16" x14ac:dyDescent="0.8">
      <c r="A456" s="351">
        <v>7</v>
      </c>
      <c r="B456" s="420" t="s">
        <v>34</v>
      </c>
      <c r="C456" s="421">
        <v>44849</v>
      </c>
      <c r="D456" s="414">
        <f>12/24</f>
        <v>0.5</v>
      </c>
      <c r="E456" s="349" t="s">
        <v>135</v>
      </c>
      <c r="F456" s="420" t="s">
        <v>148</v>
      </c>
      <c r="G456" s="349" t="s">
        <v>73</v>
      </c>
      <c r="H456" s="349" t="s">
        <v>157</v>
      </c>
      <c r="I456" s="349" t="s">
        <v>73</v>
      </c>
      <c r="J456" s="420" t="str">
        <f>H456</f>
        <v>Texas</v>
      </c>
      <c r="K456" s="379" t="str">
        <f t="shared" si="129"/>
        <v>Iowa State</v>
      </c>
      <c r="L456" s="422">
        <v>16.5</v>
      </c>
      <c r="M456" s="418">
        <v>49.5</v>
      </c>
      <c r="N456" s="351" t="str">
        <f t="shared" si="133"/>
        <v>Texas</v>
      </c>
      <c r="O456" s="423">
        <v>24</v>
      </c>
      <c r="P456" s="436" t="str">
        <f t="shared" si="130"/>
        <v>Iowa State</v>
      </c>
      <c r="Q456" s="408">
        <v>21</v>
      </c>
      <c r="R456" s="494" t="str">
        <f t="shared" si="131"/>
        <v>Iowa State</v>
      </c>
      <c r="S456" s="494" t="str">
        <f t="shared" si="132"/>
        <v>Texas</v>
      </c>
      <c r="T456" s="356" t="str">
        <f t="shared" si="134"/>
        <v>Iowa State</v>
      </c>
      <c r="U456" s="665" t="str">
        <f t="shared" si="127"/>
        <v>W</v>
      </c>
      <c r="V456" s="352" t="str">
        <f>UPPER(+F456)</f>
        <v>IOWA STATE</v>
      </c>
      <c r="W456" s="424">
        <v>23</v>
      </c>
      <c r="X456" s="352" t="str">
        <f>LOWER(+H456)</f>
        <v>texas</v>
      </c>
      <c r="Y456" s="425">
        <v>20</v>
      </c>
    </row>
    <row r="457" spans="1:25" ht="16" x14ac:dyDescent="0.8">
      <c r="A457" s="351">
        <v>7</v>
      </c>
      <c r="B457" s="420" t="s">
        <v>34</v>
      </c>
      <c r="C457" s="421">
        <v>44849</v>
      </c>
      <c r="D457" s="414">
        <f>18/24</f>
        <v>0.75</v>
      </c>
      <c r="E457" s="349"/>
      <c r="F457" s="420" t="s">
        <v>38</v>
      </c>
      <c r="G457" s="349" t="s">
        <v>39</v>
      </c>
      <c r="H457" s="349" t="s">
        <v>97</v>
      </c>
      <c r="I457" s="349" t="s">
        <v>39</v>
      </c>
      <c r="J457" s="420" t="str">
        <f>H457</f>
        <v>Florida Atlantic</v>
      </c>
      <c r="K457" s="379" t="str">
        <f t="shared" si="129"/>
        <v>Rice</v>
      </c>
      <c r="L457" s="422">
        <v>4</v>
      </c>
      <c r="M457" s="418">
        <v>56</v>
      </c>
      <c r="N457" s="351" t="str">
        <f t="shared" si="133"/>
        <v>Florida Atlantic</v>
      </c>
      <c r="O457" s="423">
        <v>17</v>
      </c>
      <c r="P457" s="436" t="str">
        <f t="shared" si="130"/>
        <v>Rice</v>
      </c>
      <c r="Q457" s="408">
        <v>14</v>
      </c>
      <c r="R457" s="494" t="str">
        <f t="shared" si="131"/>
        <v>Rice</v>
      </c>
      <c r="S457" s="494" t="str">
        <f t="shared" si="132"/>
        <v>Florida Atlantic</v>
      </c>
      <c r="T457" s="356" t="str">
        <f t="shared" si="134"/>
        <v>Rice</v>
      </c>
      <c r="U457" s="665" t="str">
        <f t="shared" si="127"/>
        <v>W</v>
      </c>
      <c r="W457" s="424"/>
      <c r="X457" s="352" t="s">
        <v>404</v>
      </c>
      <c r="Y457" s="425"/>
    </row>
    <row r="458" spans="1:25" ht="16" x14ac:dyDescent="0.8">
      <c r="A458" s="351">
        <v>7</v>
      </c>
      <c r="B458" s="420" t="s">
        <v>34</v>
      </c>
      <c r="C458" s="421">
        <v>44849</v>
      </c>
      <c r="D458" s="414">
        <f>15.5/24</f>
        <v>0.64583333333333337</v>
      </c>
      <c r="E458" s="349"/>
      <c r="F458" s="420" t="s">
        <v>177</v>
      </c>
      <c r="G458" s="349" t="s">
        <v>39</v>
      </c>
      <c r="H458" s="349" t="s">
        <v>165</v>
      </c>
      <c r="I458" s="349" t="s">
        <v>39</v>
      </c>
      <c r="J458" s="420" t="str">
        <f>F458</f>
        <v>Western Kentucky</v>
      </c>
      <c r="K458" s="379" t="str">
        <f t="shared" si="129"/>
        <v>Middle Tenn St</v>
      </c>
      <c r="L458" s="422">
        <v>7.5</v>
      </c>
      <c r="M458" s="418">
        <v>67</v>
      </c>
      <c r="N458" s="351" t="str">
        <f t="shared" si="133"/>
        <v>Western Kentucky</v>
      </c>
      <c r="O458" s="423">
        <v>35</v>
      </c>
      <c r="P458" s="436" t="str">
        <f t="shared" si="130"/>
        <v>Middle Tenn St</v>
      </c>
      <c r="Q458" s="408">
        <v>17</v>
      </c>
      <c r="R458" s="494" t="str">
        <f t="shared" si="131"/>
        <v>Western Kentucky</v>
      </c>
      <c r="S458" s="494" t="str">
        <f t="shared" si="132"/>
        <v>Middle Tenn St</v>
      </c>
      <c r="T458" s="356" t="str">
        <f t="shared" si="134"/>
        <v>Middle Tenn St</v>
      </c>
      <c r="U458" s="665" t="str">
        <f t="shared" si="127"/>
        <v>L</v>
      </c>
      <c r="V458" s="352" t="str">
        <f>UPPER(+F458)</f>
        <v>WESTERN KENTUCKY</v>
      </c>
      <c r="W458" s="424">
        <v>48</v>
      </c>
      <c r="X458" s="352" t="str">
        <f>LOWER(+H458)</f>
        <v>middle tenn st</v>
      </c>
      <c r="Y458" s="425">
        <v>21</v>
      </c>
    </row>
    <row r="459" spans="1:25" ht="16" x14ac:dyDescent="0.8">
      <c r="A459" s="351">
        <v>7</v>
      </c>
      <c r="B459" s="420" t="s">
        <v>34</v>
      </c>
      <c r="C459" s="421">
        <v>44849</v>
      </c>
      <c r="D459" s="414">
        <f>16/24</f>
        <v>0.66666666666666663</v>
      </c>
      <c r="E459" s="349"/>
      <c r="F459" s="349" t="s">
        <v>161</v>
      </c>
      <c r="G459" s="349" t="s">
        <v>39</v>
      </c>
      <c r="H459" s="349" t="s">
        <v>167</v>
      </c>
      <c r="I459" s="349" t="s">
        <v>39</v>
      </c>
      <c r="J459" s="420" t="str">
        <f>H459</f>
        <v>North Texas</v>
      </c>
      <c r="K459" s="379" t="str">
        <f t="shared" si="129"/>
        <v>Louisiana Tech</v>
      </c>
      <c r="L459" s="422">
        <v>6.5</v>
      </c>
      <c r="M459" s="418">
        <v>69</v>
      </c>
      <c r="N459" s="351" t="str">
        <f t="shared" si="133"/>
        <v>North Texas</v>
      </c>
      <c r="O459" s="423">
        <v>47</v>
      </c>
      <c r="P459" s="436" t="str">
        <f t="shared" si="130"/>
        <v>Louisiana Tech</v>
      </c>
      <c r="Q459" s="408">
        <v>27</v>
      </c>
      <c r="R459" s="494" t="str">
        <f t="shared" si="131"/>
        <v>North Texas</v>
      </c>
      <c r="S459" s="494" t="str">
        <f t="shared" si="132"/>
        <v>Louisiana Tech</v>
      </c>
      <c r="T459" s="356" t="str">
        <f t="shared" si="134"/>
        <v>Louisiana Tech</v>
      </c>
      <c r="U459" s="665" t="str">
        <f t="shared" si="127"/>
        <v>L</v>
      </c>
      <c r="V459" s="352" t="str">
        <f>UPPER(+F459)</f>
        <v>LOUISIANA TECH</v>
      </c>
      <c r="W459" s="424">
        <v>24</v>
      </c>
      <c r="X459" s="352" t="str">
        <f>LOWER(+H459)</f>
        <v>north texas</v>
      </c>
      <c r="Y459" s="425">
        <v>17</v>
      </c>
    </row>
    <row r="460" spans="1:25" ht="16" x14ac:dyDescent="0.8">
      <c r="A460" s="351">
        <v>7</v>
      </c>
      <c r="B460" s="420" t="s">
        <v>34</v>
      </c>
      <c r="C460" s="421">
        <v>44849</v>
      </c>
      <c r="D460" s="414">
        <f>15.5/24</f>
        <v>0.64583333333333337</v>
      </c>
      <c r="E460" s="349"/>
      <c r="F460" s="420" t="s">
        <v>100</v>
      </c>
      <c r="G460" s="349" t="s">
        <v>39</v>
      </c>
      <c r="H460" s="349" t="s">
        <v>173</v>
      </c>
      <c r="I460" s="349" t="s">
        <v>39</v>
      </c>
      <c r="J460" s="420" t="str">
        <f>H460</f>
        <v>UAB</v>
      </c>
      <c r="K460" s="379" t="str">
        <f t="shared" si="129"/>
        <v>UNC Charlotte</v>
      </c>
      <c r="L460" s="422">
        <v>23.5</v>
      </c>
      <c r="M460" s="418">
        <v>63.5</v>
      </c>
      <c r="N460" s="351" t="str">
        <f t="shared" si="133"/>
        <v>UAB</v>
      </c>
      <c r="O460" s="423">
        <v>34</v>
      </c>
      <c r="P460" s="436" t="str">
        <f t="shared" si="130"/>
        <v>UNC Charlotte</v>
      </c>
      <c r="Q460" s="408">
        <v>20</v>
      </c>
      <c r="R460" s="494" t="str">
        <f t="shared" si="131"/>
        <v>UNC Charlotte</v>
      </c>
      <c r="S460" s="494" t="str">
        <f t="shared" si="132"/>
        <v>UAB</v>
      </c>
      <c r="T460" s="356" t="str">
        <f>J460</f>
        <v>UAB</v>
      </c>
      <c r="U460" s="665" t="str">
        <f t="shared" si="127"/>
        <v>L</v>
      </c>
      <c r="W460" s="424"/>
      <c r="X460" s="352" t="s">
        <v>404</v>
      </c>
      <c r="Y460" s="425"/>
    </row>
    <row r="461" spans="1:25" ht="16" x14ac:dyDescent="0.8">
      <c r="A461" s="351">
        <v>7</v>
      </c>
      <c r="B461" s="420" t="s">
        <v>34</v>
      </c>
      <c r="C461" s="421">
        <v>44849</v>
      </c>
      <c r="D461" s="414">
        <f>12/24</f>
        <v>0.5</v>
      </c>
      <c r="E461" s="349" t="s">
        <v>445</v>
      </c>
      <c r="F461" s="349" t="s">
        <v>253</v>
      </c>
      <c r="G461" s="349" t="s">
        <v>41</v>
      </c>
      <c r="H461" s="349" t="s">
        <v>99</v>
      </c>
      <c r="I461" s="349" t="s">
        <v>43</v>
      </c>
      <c r="J461" s="420"/>
      <c r="K461" s="379"/>
      <c r="L461" s="422"/>
      <c r="M461" s="418"/>
      <c r="N461" s="436" t="str">
        <f>H461</f>
        <v>Army</v>
      </c>
      <c r="O461" s="423">
        <v>42</v>
      </c>
      <c r="P461" s="436" t="str">
        <f t="shared" si="130"/>
        <v>1AA Colgate</v>
      </c>
      <c r="Q461" s="408">
        <v>17</v>
      </c>
      <c r="R461" s="494"/>
      <c r="S461" s="494"/>
      <c r="T461" s="356"/>
      <c r="U461" s="349"/>
      <c r="W461" s="424"/>
      <c r="X461" s="352" t="s">
        <v>404</v>
      </c>
      <c r="Y461" s="425"/>
    </row>
    <row r="462" spans="1:25" ht="16" x14ac:dyDescent="0.8">
      <c r="A462" s="351">
        <v>7</v>
      </c>
      <c r="B462" s="420" t="s">
        <v>34</v>
      </c>
      <c r="C462" s="421">
        <v>44849</v>
      </c>
      <c r="D462" s="414">
        <f>15.5/24</f>
        <v>0.64583333333333337</v>
      </c>
      <c r="E462" s="349" t="s">
        <v>35</v>
      </c>
      <c r="F462" s="420" t="s">
        <v>87</v>
      </c>
      <c r="G462" s="349" t="s">
        <v>85</v>
      </c>
      <c r="H462" s="349" t="s">
        <v>42</v>
      </c>
      <c r="I462" s="349" t="s">
        <v>43</v>
      </c>
      <c r="J462" s="420" t="str">
        <f>F462</f>
        <v>Arkansas</v>
      </c>
      <c r="K462" s="379" t="str">
        <f>IF(+J462=H462,F462,H462)</f>
        <v>BYU</v>
      </c>
      <c r="L462" s="422">
        <v>1.5</v>
      </c>
      <c r="M462" s="418">
        <v>65.5</v>
      </c>
      <c r="N462" s="436" t="str">
        <f>J462</f>
        <v>Arkansas</v>
      </c>
      <c r="O462" s="423">
        <v>52</v>
      </c>
      <c r="P462" s="436" t="str">
        <f t="shared" si="130"/>
        <v>BYU</v>
      </c>
      <c r="Q462" s="408">
        <v>35</v>
      </c>
      <c r="R462" s="494" t="str">
        <f>IF(+N462=K462,+N462,IF(+O462-Q462&lt;L462,+K462,+J462))</f>
        <v>Arkansas</v>
      </c>
      <c r="S462" s="494" t="str">
        <f>IF(+R462=J462,+K462,+J462)</f>
        <v>BYU</v>
      </c>
      <c r="T462" s="356" t="str">
        <f>K462</f>
        <v>BYU</v>
      </c>
      <c r="U462" s="665" t="str">
        <f>IF($N462=$J462,IF($O462-$Q462=$L462,"T",IF($R462=T462,"W","L")),IF($R462=T462,"W","L"))</f>
        <v>L</v>
      </c>
      <c r="W462" s="424"/>
      <c r="X462" s="352" t="s">
        <v>404</v>
      </c>
      <c r="Y462" s="425"/>
    </row>
    <row r="463" spans="1:25" ht="16" x14ac:dyDescent="0.8">
      <c r="A463" s="351">
        <v>7</v>
      </c>
      <c r="B463" s="420" t="s">
        <v>34</v>
      </c>
      <c r="C463" s="421">
        <v>44849</v>
      </c>
      <c r="D463" s="414">
        <f>15.5/24</f>
        <v>0.64583333333333337</v>
      </c>
      <c r="E463" s="349"/>
      <c r="F463" s="349" t="s">
        <v>240</v>
      </c>
      <c r="G463" s="349" t="s">
        <v>41</v>
      </c>
      <c r="H463" s="349" t="s">
        <v>306</v>
      </c>
      <c r="I463" s="349" t="s">
        <v>43</v>
      </c>
      <c r="J463" s="420"/>
      <c r="K463" s="379"/>
      <c r="L463" s="422"/>
      <c r="M463" s="418"/>
      <c r="N463" s="436" t="str">
        <f>H463</f>
        <v>Liberty</v>
      </c>
      <c r="O463" s="423">
        <v>21</v>
      </c>
      <c r="P463" s="436" t="str">
        <f t="shared" si="130"/>
        <v>1AA Gardner Webb</v>
      </c>
      <c r="Q463" s="408">
        <v>20</v>
      </c>
      <c r="R463" s="494"/>
      <c r="S463" s="494"/>
      <c r="T463" s="356"/>
      <c r="U463" s="349"/>
      <c r="W463" s="424"/>
      <c r="X463" s="352" t="s">
        <v>404</v>
      </c>
      <c r="Y463" s="425"/>
    </row>
    <row r="464" spans="1:25" ht="16" x14ac:dyDescent="0.8">
      <c r="A464" s="351">
        <v>7</v>
      </c>
      <c r="B464" s="420" t="s">
        <v>34</v>
      </c>
      <c r="C464" s="421">
        <v>44849</v>
      </c>
      <c r="D464" s="414">
        <f>13/24</f>
        <v>0.54166666666666663</v>
      </c>
      <c r="E464" s="349" t="s">
        <v>53</v>
      </c>
      <c r="F464" s="420" t="s">
        <v>67</v>
      </c>
      <c r="G464" s="349" t="s">
        <v>68</v>
      </c>
      <c r="H464" s="349" t="s">
        <v>46</v>
      </c>
      <c r="I464" s="349" t="s">
        <v>43</v>
      </c>
      <c r="J464" s="420" t="str">
        <f>F464</f>
        <v>Buffalo</v>
      </c>
      <c r="K464" s="379" t="str">
        <f t="shared" ref="K464:K490" si="135">IF(+J464=H464,F464,H464)</f>
        <v>Massachusetts</v>
      </c>
      <c r="L464" s="422">
        <v>17.5</v>
      </c>
      <c r="M464" s="418">
        <v>47</v>
      </c>
      <c r="N464" s="436" t="str">
        <f>J464</f>
        <v>Buffalo</v>
      </c>
      <c r="O464" s="423">
        <v>34</v>
      </c>
      <c r="P464" s="436" t="str">
        <f t="shared" si="130"/>
        <v>Massachusetts</v>
      </c>
      <c r="Q464" s="408">
        <v>7</v>
      </c>
      <c r="R464" s="494" t="str">
        <f t="shared" ref="R464:R490" si="136">IF(+N464=K464,+N464,IF(+O464-Q464&lt;L464,+K464,+J464))</f>
        <v>Buffalo</v>
      </c>
      <c r="S464" s="494" t="str">
        <f t="shared" ref="S464:S490" si="137">IF(+R464=J464,+K464,+J464)</f>
        <v>Massachusetts</v>
      </c>
      <c r="T464" s="356" t="str">
        <f>K464</f>
        <v>Massachusetts</v>
      </c>
      <c r="U464" s="665" t="str">
        <f t="shared" ref="U464:U490" si="138">IF($N464=$J464,IF($O464-$Q464=$L464,"T",IF($R464=T464,"W","L")),IF($R464=T464,"W","L"))</f>
        <v>L</v>
      </c>
      <c r="W464" s="424"/>
      <c r="X464" s="352" t="s">
        <v>404</v>
      </c>
      <c r="Y464" s="425"/>
    </row>
    <row r="465" spans="1:25" ht="16" x14ac:dyDescent="0.8">
      <c r="A465" s="351">
        <v>7</v>
      </c>
      <c r="B465" s="420" t="s">
        <v>34</v>
      </c>
      <c r="C465" s="421">
        <v>44849</v>
      </c>
      <c r="D465" s="414">
        <f>20/24</f>
        <v>0.83333333333333337</v>
      </c>
      <c r="E465" s="349"/>
      <c r="F465" s="349" t="s">
        <v>191</v>
      </c>
      <c r="G465" s="349" t="s">
        <v>45</v>
      </c>
      <c r="H465" s="349" t="s">
        <v>78</v>
      </c>
      <c r="I465" s="349" t="s">
        <v>43</v>
      </c>
      <c r="J465" s="420" t="str">
        <f>F465</f>
        <v>New Mexico</v>
      </c>
      <c r="K465" s="379" t="str">
        <f t="shared" si="135"/>
        <v>New Mexico State</v>
      </c>
      <c r="L465" s="422">
        <v>6.5</v>
      </c>
      <c r="M465" s="418">
        <v>37.5</v>
      </c>
      <c r="N465" s="436" t="str">
        <f>K465</f>
        <v>New Mexico State</v>
      </c>
      <c r="O465" s="423">
        <v>21</v>
      </c>
      <c r="P465" s="436" t="str">
        <f t="shared" si="130"/>
        <v>New Mexico</v>
      </c>
      <c r="Q465" s="408">
        <v>9</v>
      </c>
      <c r="R465" s="494" t="str">
        <f t="shared" si="136"/>
        <v>New Mexico State</v>
      </c>
      <c r="S465" s="494" t="str">
        <f t="shared" si="137"/>
        <v>New Mexico</v>
      </c>
      <c r="T465" s="356" t="str">
        <f>K465</f>
        <v>New Mexico State</v>
      </c>
      <c r="U465" s="665" t="str">
        <f t="shared" si="138"/>
        <v>W</v>
      </c>
      <c r="V465" s="352" t="str">
        <f>UPPER(+F465)</f>
        <v>NEW MEXICO</v>
      </c>
      <c r="W465" s="424">
        <v>34</v>
      </c>
      <c r="X465" s="352" t="str">
        <f>LOWER(+H465)</f>
        <v>new mexico state</v>
      </c>
      <c r="Y465" s="425">
        <v>25</v>
      </c>
    </row>
    <row r="466" spans="1:25" ht="16" x14ac:dyDescent="0.8">
      <c r="A466" s="351">
        <v>7</v>
      </c>
      <c r="B466" s="420" t="s">
        <v>34</v>
      </c>
      <c r="C466" s="421">
        <v>44849</v>
      </c>
      <c r="D466" s="414">
        <f>19.5/24</f>
        <v>0.8125</v>
      </c>
      <c r="E466" s="349" t="s">
        <v>450</v>
      </c>
      <c r="F466" s="349" t="s">
        <v>36</v>
      </c>
      <c r="G466" s="349" t="s">
        <v>37</v>
      </c>
      <c r="H466" s="349" t="s">
        <v>181</v>
      </c>
      <c r="I466" s="349" t="s">
        <v>43</v>
      </c>
      <c r="J466" s="420" t="str">
        <f>H466</f>
        <v>Notre Dame</v>
      </c>
      <c r="K466" s="379" t="str">
        <f t="shared" si="135"/>
        <v>Stanford</v>
      </c>
      <c r="L466" s="422">
        <v>17</v>
      </c>
      <c r="M466" s="418">
        <v>53</v>
      </c>
      <c r="N466" s="436" t="str">
        <f>K466</f>
        <v>Stanford</v>
      </c>
      <c r="O466" s="423">
        <v>16</v>
      </c>
      <c r="P466" s="436" t="str">
        <f t="shared" si="130"/>
        <v>Notre Dame</v>
      </c>
      <c r="Q466" s="408">
        <v>14</v>
      </c>
      <c r="R466" s="494" t="str">
        <f t="shared" si="136"/>
        <v>Stanford</v>
      </c>
      <c r="S466" s="494" t="str">
        <f t="shared" si="137"/>
        <v>Notre Dame</v>
      </c>
      <c r="T466" s="356" t="str">
        <f>K466</f>
        <v>Stanford</v>
      </c>
      <c r="U466" s="665" t="str">
        <f t="shared" si="138"/>
        <v>W</v>
      </c>
      <c r="V466" s="352" t="str">
        <f>LOWER(+H466)</f>
        <v>notre dame</v>
      </c>
      <c r="W466" s="424">
        <v>45</v>
      </c>
      <c r="X466" s="352" t="str">
        <f>UPPER(+F466)</f>
        <v>STANFORD</v>
      </c>
      <c r="Y466" s="425">
        <v>14</v>
      </c>
    </row>
    <row r="467" spans="1:25" ht="16" x14ac:dyDescent="0.8">
      <c r="A467" s="351">
        <v>7</v>
      </c>
      <c r="B467" s="420" t="s">
        <v>34</v>
      </c>
      <c r="C467" s="421">
        <v>44849</v>
      </c>
      <c r="D467" s="414">
        <f>12/24</f>
        <v>0.5</v>
      </c>
      <c r="E467" s="349"/>
      <c r="F467" s="349" t="s">
        <v>75</v>
      </c>
      <c r="G467" s="349" t="s">
        <v>68</v>
      </c>
      <c r="H467" s="349" t="s">
        <v>144</v>
      </c>
      <c r="I467" s="349" t="s">
        <v>68</v>
      </c>
      <c r="J467" s="420" t="str">
        <f>F467</f>
        <v>Central Michigan</v>
      </c>
      <c r="K467" s="379" t="str">
        <f t="shared" si="135"/>
        <v>Akron</v>
      </c>
      <c r="L467" s="422">
        <v>13.5</v>
      </c>
      <c r="M467" s="418">
        <v>59</v>
      </c>
      <c r="N467" s="436" t="str">
        <f>J467</f>
        <v>Central Michigan</v>
      </c>
      <c r="O467" s="423">
        <v>28</v>
      </c>
      <c r="P467" s="436" t="str">
        <f t="shared" si="130"/>
        <v>Akron</v>
      </c>
      <c r="Q467" s="408">
        <v>21</v>
      </c>
      <c r="R467" s="494" t="str">
        <f t="shared" si="136"/>
        <v>Akron</v>
      </c>
      <c r="S467" s="494" t="str">
        <f t="shared" si="137"/>
        <v>Central Michigan</v>
      </c>
      <c r="T467" s="356" t="str">
        <f>J467</f>
        <v>Central Michigan</v>
      </c>
      <c r="U467" s="665" t="str">
        <f t="shared" si="138"/>
        <v>L</v>
      </c>
      <c r="W467" s="424"/>
      <c r="X467" s="352" t="s">
        <v>404</v>
      </c>
      <c r="Y467" s="425"/>
    </row>
    <row r="468" spans="1:25" ht="16" x14ac:dyDescent="0.8">
      <c r="A468" s="351">
        <v>7</v>
      </c>
      <c r="B468" s="420" t="s">
        <v>34</v>
      </c>
      <c r="C468" s="421">
        <v>44849</v>
      </c>
      <c r="D468" s="414">
        <f>14/24</f>
        <v>0.58333333333333337</v>
      </c>
      <c r="E468" s="349" t="s">
        <v>53</v>
      </c>
      <c r="F468" s="420" t="s">
        <v>57</v>
      </c>
      <c r="G468" s="349" t="s">
        <v>43</v>
      </c>
      <c r="H468" s="349" t="s">
        <v>131</v>
      </c>
      <c r="I468" s="349" t="s">
        <v>68</v>
      </c>
      <c r="J468" s="420" t="str">
        <f>H468</f>
        <v>Ball State</v>
      </c>
      <c r="K468" s="379" t="str">
        <f t="shared" si="135"/>
        <v>Connecticut</v>
      </c>
      <c r="L468" s="422">
        <v>9.5</v>
      </c>
      <c r="M468" s="418">
        <v>46.5</v>
      </c>
      <c r="N468" s="436" t="str">
        <f>J468</f>
        <v>Ball State</v>
      </c>
      <c r="O468" s="423">
        <v>25</v>
      </c>
      <c r="P468" s="436" t="str">
        <f t="shared" si="130"/>
        <v>Connecticut</v>
      </c>
      <c r="Q468" s="408">
        <v>21</v>
      </c>
      <c r="R468" s="494" t="str">
        <f t="shared" si="136"/>
        <v>Connecticut</v>
      </c>
      <c r="S468" s="494" t="str">
        <f t="shared" si="137"/>
        <v>Ball State</v>
      </c>
      <c r="T468" s="356" t="str">
        <f>K468</f>
        <v>Connecticut</v>
      </c>
      <c r="U468" s="665" t="str">
        <f t="shared" si="138"/>
        <v>W</v>
      </c>
      <c r="W468" s="424"/>
      <c r="X468" s="352" t="s">
        <v>404</v>
      </c>
      <c r="Y468" s="425"/>
    </row>
    <row r="469" spans="1:25" ht="16" x14ac:dyDescent="0.8">
      <c r="A469" s="351">
        <v>7</v>
      </c>
      <c r="B469" s="420" t="s">
        <v>34</v>
      </c>
      <c r="C469" s="421">
        <v>44849</v>
      </c>
      <c r="D469" s="414">
        <f>12/24</f>
        <v>0.5</v>
      </c>
      <c r="E469" s="349"/>
      <c r="F469" s="420" t="s">
        <v>162</v>
      </c>
      <c r="G469" s="349" t="s">
        <v>68</v>
      </c>
      <c r="H469" s="420" t="s">
        <v>138</v>
      </c>
      <c r="I469" s="349" t="s">
        <v>68</v>
      </c>
      <c r="J469" s="420" t="str">
        <f>F469</f>
        <v>Miami (OH)</v>
      </c>
      <c r="K469" s="379" t="str">
        <f t="shared" si="135"/>
        <v>Bowling Green</v>
      </c>
      <c r="L469" s="422">
        <v>6.5</v>
      </c>
      <c r="M469" s="418">
        <v>46</v>
      </c>
      <c r="N469" s="436" t="str">
        <f>K469</f>
        <v>Bowling Green</v>
      </c>
      <c r="O469" s="423">
        <v>17</v>
      </c>
      <c r="P469" s="436" t="str">
        <f t="shared" si="130"/>
        <v>Miami (OH)</v>
      </c>
      <c r="Q469" s="408">
        <v>13</v>
      </c>
      <c r="R469" s="494" t="str">
        <f t="shared" si="136"/>
        <v>Bowling Green</v>
      </c>
      <c r="S469" s="494" t="str">
        <f t="shared" si="137"/>
        <v>Miami (OH)</v>
      </c>
      <c r="T469" s="356" t="str">
        <f t="shared" ref="T469:T475" si="139">J469</f>
        <v>Miami (OH)</v>
      </c>
      <c r="U469" s="665" t="str">
        <f t="shared" si="138"/>
        <v>L</v>
      </c>
      <c r="V469" s="352" t="str">
        <f>UPPER(+F469)</f>
        <v>MIAMI (OH)</v>
      </c>
      <c r="W469" s="424">
        <v>34</v>
      </c>
      <c r="X469" s="352" t="str">
        <f>LOWER(+H469)</f>
        <v>bowling green</v>
      </c>
      <c r="Y469" s="425">
        <v>7</v>
      </c>
    </row>
    <row r="470" spans="1:25" ht="16" x14ac:dyDescent="0.8">
      <c r="A470" s="351">
        <v>7</v>
      </c>
      <c r="B470" s="420" t="s">
        <v>34</v>
      </c>
      <c r="C470" s="421">
        <v>44849</v>
      </c>
      <c r="D470" s="414">
        <f>15.5/24</f>
        <v>0.64583333333333337</v>
      </c>
      <c r="E470" s="349"/>
      <c r="F470" s="420" t="s">
        <v>103</v>
      </c>
      <c r="G470" s="349" t="s">
        <v>68</v>
      </c>
      <c r="H470" s="420" t="s">
        <v>101</v>
      </c>
      <c r="I470" s="349" t="s">
        <v>68</v>
      </c>
      <c r="J470" s="420" t="str">
        <f>H470</f>
        <v>Eastern Michigan</v>
      </c>
      <c r="K470" s="379" t="str">
        <f t="shared" si="135"/>
        <v>Northern Illinois</v>
      </c>
      <c r="L470" s="422">
        <v>2.5</v>
      </c>
      <c r="M470" s="418">
        <v>67</v>
      </c>
      <c r="N470" s="436" t="str">
        <f>K470</f>
        <v>Northern Illinois</v>
      </c>
      <c r="O470" s="423">
        <v>39</v>
      </c>
      <c r="P470" s="436" t="str">
        <f t="shared" si="130"/>
        <v>Eastern Michigan</v>
      </c>
      <c r="Q470" s="408">
        <v>10</v>
      </c>
      <c r="R470" s="494" t="str">
        <f t="shared" si="136"/>
        <v>Northern Illinois</v>
      </c>
      <c r="S470" s="494" t="str">
        <f t="shared" si="137"/>
        <v>Eastern Michigan</v>
      </c>
      <c r="T470" s="356" t="str">
        <f t="shared" si="139"/>
        <v>Eastern Michigan</v>
      </c>
      <c r="U470" s="665" t="str">
        <f t="shared" si="138"/>
        <v>L</v>
      </c>
      <c r="V470" s="352" t="str">
        <f>UPPER(+F470)</f>
        <v>NORTHERN ILLINOIS</v>
      </c>
      <c r="W470" s="424">
        <v>27</v>
      </c>
      <c r="X470" s="352" t="str">
        <f>LOWER(+H470)</f>
        <v>eastern michigan</v>
      </c>
      <c r="Y470" s="425">
        <v>20</v>
      </c>
    </row>
    <row r="471" spans="1:25" ht="16" x14ac:dyDescent="0.8">
      <c r="A471" s="351">
        <v>7</v>
      </c>
      <c r="B471" s="420" t="s">
        <v>34</v>
      </c>
      <c r="C471" s="421">
        <v>44849</v>
      </c>
      <c r="D471" s="414">
        <f>15.5/24</f>
        <v>0.64583333333333337</v>
      </c>
      <c r="E471" s="349"/>
      <c r="F471" s="420" t="s">
        <v>113</v>
      </c>
      <c r="G471" s="349" t="s">
        <v>68</v>
      </c>
      <c r="H471" s="349" t="s">
        <v>77</v>
      </c>
      <c r="I471" s="349" t="s">
        <v>68</v>
      </c>
      <c r="J471" s="420" t="str">
        <f>H471</f>
        <v>Toledo</v>
      </c>
      <c r="K471" s="379" t="str">
        <f t="shared" si="135"/>
        <v>Kent State</v>
      </c>
      <c r="L471" s="422">
        <v>9</v>
      </c>
      <c r="M471" s="418">
        <v>62</v>
      </c>
      <c r="N471" s="351" t="str">
        <f>J471</f>
        <v>Toledo</v>
      </c>
      <c r="O471" s="423">
        <v>53</v>
      </c>
      <c r="P471" s="436" t="str">
        <f t="shared" ref="P471:P490" si="140">IF(+N471=H471,F471,H471)</f>
        <v>Kent State</v>
      </c>
      <c r="Q471" s="408">
        <v>31</v>
      </c>
      <c r="R471" s="494" t="str">
        <f t="shared" si="136"/>
        <v>Toledo</v>
      </c>
      <c r="S471" s="494" t="str">
        <f t="shared" si="137"/>
        <v>Kent State</v>
      </c>
      <c r="T471" s="356" t="str">
        <f t="shared" si="139"/>
        <v>Toledo</v>
      </c>
      <c r="U471" s="665" t="str">
        <f t="shared" si="138"/>
        <v>W</v>
      </c>
      <c r="W471" s="424"/>
      <c r="X471" s="352" t="s">
        <v>404</v>
      </c>
      <c r="Y471" s="425"/>
    </row>
    <row r="472" spans="1:25" ht="16" x14ac:dyDescent="0.8">
      <c r="A472" s="351">
        <v>7</v>
      </c>
      <c r="B472" s="420" t="s">
        <v>34</v>
      </c>
      <c r="C472" s="421">
        <v>44849</v>
      </c>
      <c r="D472" s="414">
        <f>15.5/24</f>
        <v>0.64583333333333337</v>
      </c>
      <c r="E472" s="349" t="s">
        <v>445</v>
      </c>
      <c r="F472" s="420" t="s">
        <v>182</v>
      </c>
      <c r="G472" s="349" t="s">
        <v>68</v>
      </c>
      <c r="H472" s="349" t="s">
        <v>201</v>
      </c>
      <c r="I472" s="349" t="s">
        <v>68</v>
      </c>
      <c r="J472" s="420" t="str">
        <f t="shared" ref="J472:J477" si="141">F472</f>
        <v>Ohio</v>
      </c>
      <c r="K472" s="379" t="str">
        <f t="shared" si="135"/>
        <v>Western Michigan</v>
      </c>
      <c r="L472" s="422">
        <v>1</v>
      </c>
      <c r="M472" s="418">
        <v>59.5</v>
      </c>
      <c r="N472" s="351" t="str">
        <f>J472</f>
        <v>Ohio</v>
      </c>
      <c r="O472" s="423">
        <v>33</v>
      </c>
      <c r="P472" s="436" t="str">
        <f t="shared" si="140"/>
        <v>Western Michigan</v>
      </c>
      <c r="Q472" s="408">
        <v>14</v>
      </c>
      <c r="R472" s="494" t="str">
        <f t="shared" si="136"/>
        <v>Ohio</v>
      </c>
      <c r="S472" s="494" t="str">
        <f t="shared" si="137"/>
        <v>Western Michigan</v>
      </c>
      <c r="T472" s="356" t="str">
        <f t="shared" si="139"/>
        <v>Ohio</v>
      </c>
      <c r="U472" s="665" t="str">
        <f t="shared" si="138"/>
        <v>W</v>
      </c>
      <c r="W472" s="424"/>
      <c r="X472" s="352" t="s">
        <v>404</v>
      </c>
      <c r="Y472" s="425"/>
    </row>
    <row r="473" spans="1:25" ht="16" x14ac:dyDescent="0.8">
      <c r="A473" s="351">
        <v>7</v>
      </c>
      <c r="B473" s="420" t="s">
        <v>34</v>
      </c>
      <c r="C473" s="421">
        <v>44849</v>
      </c>
      <c r="D473" s="414">
        <f>19/24</f>
        <v>0.79166666666666663</v>
      </c>
      <c r="E473" s="349" t="s">
        <v>445</v>
      </c>
      <c r="F473" s="349" t="s">
        <v>93</v>
      </c>
      <c r="G473" s="349" t="s">
        <v>45</v>
      </c>
      <c r="H473" s="349" t="s">
        <v>48</v>
      </c>
      <c r="I473" s="349" t="s">
        <v>45</v>
      </c>
      <c r="J473" s="420" t="str">
        <f t="shared" si="141"/>
        <v>Utah State</v>
      </c>
      <c r="K473" s="379" t="str">
        <f t="shared" si="135"/>
        <v>Colorado State</v>
      </c>
      <c r="L473" s="422">
        <v>11</v>
      </c>
      <c r="M473" s="418">
        <v>46</v>
      </c>
      <c r="N473" s="351" t="str">
        <f>J473</f>
        <v>Utah State</v>
      </c>
      <c r="O473" s="423">
        <v>17</v>
      </c>
      <c r="P473" s="436" t="str">
        <f t="shared" si="140"/>
        <v>Colorado State</v>
      </c>
      <c r="Q473" s="408">
        <v>13</v>
      </c>
      <c r="R473" s="494" t="str">
        <f t="shared" si="136"/>
        <v>Colorado State</v>
      </c>
      <c r="S473" s="494" t="str">
        <f t="shared" si="137"/>
        <v>Utah State</v>
      </c>
      <c r="T473" s="356" t="str">
        <f t="shared" si="139"/>
        <v>Utah State</v>
      </c>
      <c r="U473" s="665" t="str">
        <f t="shared" si="138"/>
        <v>L</v>
      </c>
      <c r="V473" s="352" t="str">
        <f>UPPER(+F473)</f>
        <v>UTAH STATE</v>
      </c>
      <c r="W473" s="424">
        <v>26</v>
      </c>
      <c r="X473" s="352" t="str">
        <f>LOWER(+H473)</f>
        <v>colorado state</v>
      </c>
      <c r="Y473" s="425">
        <v>24</v>
      </c>
    </row>
    <row r="474" spans="1:25" ht="16" x14ac:dyDescent="0.8">
      <c r="A474" s="351">
        <v>7</v>
      </c>
      <c r="B474" s="420" t="s">
        <v>34</v>
      </c>
      <c r="C474" s="421">
        <v>44849</v>
      </c>
      <c r="D474" s="414">
        <f>22.75/24</f>
        <v>0.94791666666666663</v>
      </c>
      <c r="E474" s="349" t="s">
        <v>70</v>
      </c>
      <c r="F474" s="349" t="s">
        <v>51</v>
      </c>
      <c r="G474" s="349" t="s">
        <v>45</v>
      </c>
      <c r="H474" s="349" t="s">
        <v>188</v>
      </c>
      <c r="I474" s="349" t="s">
        <v>45</v>
      </c>
      <c r="J474" s="420" t="str">
        <f t="shared" si="141"/>
        <v>San Jose State</v>
      </c>
      <c r="K474" s="379" t="str">
        <f t="shared" si="135"/>
        <v>Fresno State</v>
      </c>
      <c r="L474" s="422">
        <v>8</v>
      </c>
      <c r="M474" s="418">
        <v>48</v>
      </c>
      <c r="N474" s="436" t="str">
        <f>K474</f>
        <v>Fresno State</v>
      </c>
      <c r="O474" s="423">
        <v>17</v>
      </c>
      <c r="P474" s="436" t="str">
        <f t="shared" si="140"/>
        <v>San Jose State</v>
      </c>
      <c r="Q474" s="408">
        <v>10</v>
      </c>
      <c r="R474" s="494" t="str">
        <f t="shared" si="136"/>
        <v>Fresno State</v>
      </c>
      <c r="S474" s="494" t="str">
        <f t="shared" si="137"/>
        <v>San Jose State</v>
      </c>
      <c r="T474" s="356" t="str">
        <f t="shared" si="139"/>
        <v>San Jose State</v>
      </c>
      <c r="U474" s="665" t="str">
        <f t="shared" si="138"/>
        <v>L</v>
      </c>
      <c r="V474" s="352" t="str">
        <f>LOWER(+H474)</f>
        <v>fresno state</v>
      </c>
      <c r="W474" s="424">
        <v>40</v>
      </c>
      <c r="X474" s="352" t="str">
        <f>UPPER(+F474)</f>
        <v>SAN JOSE STATE</v>
      </c>
      <c r="Y474" s="425">
        <v>9</v>
      </c>
    </row>
    <row r="475" spans="1:25" ht="16" x14ac:dyDescent="0.8">
      <c r="A475" s="351">
        <v>7</v>
      </c>
      <c r="B475" s="420" t="s">
        <v>34</v>
      </c>
      <c r="C475" s="421">
        <v>44849</v>
      </c>
      <c r="D475" s="414">
        <f>23.999/24</f>
        <v>0.99995833333333328</v>
      </c>
      <c r="E475" s="349"/>
      <c r="F475" s="420" t="s">
        <v>142</v>
      </c>
      <c r="G475" s="349" t="s">
        <v>45</v>
      </c>
      <c r="H475" s="349" t="s">
        <v>44</v>
      </c>
      <c r="I475" s="349" t="s">
        <v>45</v>
      </c>
      <c r="J475" s="420" t="str">
        <f t="shared" si="141"/>
        <v>Nevada</v>
      </c>
      <c r="K475" s="379" t="str">
        <f t="shared" si="135"/>
        <v>Hawaii</v>
      </c>
      <c r="L475" s="422">
        <v>6</v>
      </c>
      <c r="M475" s="418">
        <v>49.5</v>
      </c>
      <c r="N475" s="436" t="str">
        <f>K475</f>
        <v>Hawaii</v>
      </c>
      <c r="O475" s="423">
        <v>31</v>
      </c>
      <c r="P475" s="436" t="str">
        <f t="shared" si="140"/>
        <v>Nevada</v>
      </c>
      <c r="Q475" s="408">
        <v>16</v>
      </c>
      <c r="R475" s="494" t="str">
        <f t="shared" si="136"/>
        <v>Hawaii</v>
      </c>
      <c r="S475" s="494" t="str">
        <f t="shared" si="137"/>
        <v>Nevada</v>
      </c>
      <c r="T475" s="356" t="str">
        <f t="shared" si="139"/>
        <v>Nevada</v>
      </c>
      <c r="U475" s="665" t="str">
        <f t="shared" si="138"/>
        <v>L</v>
      </c>
      <c r="V475" s="352" t="str">
        <f>UPPER(+F475)</f>
        <v>NEVADA</v>
      </c>
      <c r="W475" s="424">
        <v>34</v>
      </c>
      <c r="X475" s="352" t="str">
        <f>LOWER(+H475)</f>
        <v>hawaii</v>
      </c>
      <c r="Y475" s="425">
        <v>17</v>
      </c>
    </row>
    <row r="476" spans="1:25" ht="16" x14ac:dyDescent="0.8">
      <c r="A476" s="351">
        <v>7</v>
      </c>
      <c r="B476" s="420" t="s">
        <v>34</v>
      </c>
      <c r="C476" s="421">
        <v>44849</v>
      </c>
      <c r="D476" s="414">
        <f>22.5/24</f>
        <v>0.9375</v>
      </c>
      <c r="E476" s="349" t="s">
        <v>445</v>
      </c>
      <c r="F476" s="349" t="s">
        <v>184</v>
      </c>
      <c r="G476" s="349" t="s">
        <v>45</v>
      </c>
      <c r="H476" s="349" t="s">
        <v>196</v>
      </c>
      <c r="I476" s="349" t="s">
        <v>45</v>
      </c>
      <c r="J476" s="420" t="str">
        <f t="shared" si="141"/>
        <v>Air Force</v>
      </c>
      <c r="K476" s="379" t="str">
        <f t="shared" si="135"/>
        <v>UNLV</v>
      </c>
      <c r="L476" s="422">
        <v>10</v>
      </c>
      <c r="M476" s="418">
        <v>50</v>
      </c>
      <c r="N476" s="351" t="str">
        <f>J476</f>
        <v>Air Force</v>
      </c>
      <c r="O476" s="423">
        <v>42</v>
      </c>
      <c r="P476" s="436" t="str">
        <f t="shared" si="140"/>
        <v>UNLV</v>
      </c>
      <c r="Q476" s="408">
        <v>7</v>
      </c>
      <c r="R476" s="494" t="str">
        <f t="shared" si="136"/>
        <v>Air Force</v>
      </c>
      <c r="S476" s="494" t="str">
        <f t="shared" si="137"/>
        <v>UNLV</v>
      </c>
      <c r="T476" s="356" t="str">
        <f>K476</f>
        <v>UNLV</v>
      </c>
      <c r="U476" s="665" t="str">
        <f t="shared" si="138"/>
        <v>L</v>
      </c>
      <c r="V476" s="352" t="str">
        <f>UPPER(+F476)</f>
        <v>AIR FORCE</v>
      </c>
      <c r="W476" s="424">
        <v>48</v>
      </c>
      <c r="X476" s="352" t="str">
        <f>LOWER(+H476)</f>
        <v>unlv</v>
      </c>
      <c r="Y476" s="425">
        <v>14</v>
      </c>
    </row>
    <row r="477" spans="1:25" ht="16" x14ac:dyDescent="0.8">
      <c r="A477" s="351">
        <v>7</v>
      </c>
      <c r="B477" s="420" t="s">
        <v>34</v>
      </c>
      <c r="C477" s="421">
        <v>44849</v>
      </c>
      <c r="D477" s="414">
        <f>14/24</f>
        <v>0.58333333333333337</v>
      </c>
      <c r="E477" s="349" t="s">
        <v>446</v>
      </c>
      <c r="F477" s="420" t="s">
        <v>123</v>
      </c>
      <c r="G477" s="349" t="s">
        <v>37</v>
      </c>
      <c r="H477" s="349" t="s">
        <v>104</v>
      </c>
      <c r="I477" s="349" t="s">
        <v>37</v>
      </c>
      <c r="J477" s="420" t="str">
        <f t="shared" si="141"/>
        <v>California</v>
      </c>
      <c r="K477" s="379" t="str">
        <f t="shared" si="135"/>
        <v>Colorado</v>
      </c>
      <c r="L477" s="422">
        <v>14.5</v>
      </c>
      <c r="M477" s="418">
        <v>48</v>
      </c>
      <c r="N477" s="436" t="str">
        <f>K477</f>
        <v>Colorado</v>
      </c>
      <c r="O477" s="423">
        <v>20</v>
      </c>
      <c r="P477" s="436" t="str">
        <f t="shared" si="140"/>
        <v>California</v>
      </c>
      <c r="Q477" s="408">
        <v>13</v>
      </c>
      <c r="R477" s="494" t="str">
        <f t="shared" si="136"/>
        <v>Colorado</v>
      </c>
      <c r="S477" s="494" t="str">
        <f t="shared" si="137"/>
        <v>California</v>
      </c>
      <c r="T477" s="356" t="str">
        <f>J477</f>
        <v>California</v>
      </c>
      <c r="U477" s="665" t="str">
        <f t="shared" si="138"/>
        <v>L</v>
      </c>
      <c r="V477" s="352" t="str">
        <f>UPPER(+F477)</f>
        <v>CALIFORNIA</v>
      </c>
      <c r="W477" s="424">
        <v>26</v>
      </c>
      <c r="X477" s="352" t="str">
        <f>LOWER(+H477)</f>
        <v>colorado</v>
      </c>
      <c r="Y477" s="425">
        <v>3</v>
      </c>
    </row>
    <row r="478" spans="1:25" ht="16" x14ac:dyDescent="0.8">
      <c r="A478" s="351">
        <v>7</v>
      </c>
      <c r="B478" s="420" t="s">
        <v>34</v>
      </c>
      <c r="C478" s="421">
        <v>44849</v>
      </c>
      <c r="D478" s="414">
        <f>21/24</f>
        <v>0.875</v>
      </c>
      <c r="E478" s="349" t="s">
        <v>446</v>
      </c>
      <c r="F478" s="420" t="s">
        <v>204</v>
      </c>
      <c r="G478" s="349" t="s">
        <v>37</v>
      </c>
      <c r="H478" s="420" t="s">
        <v>47</v>
      </c>
      <c r="I478" s="349" t="s">
        <v>37</v>
      </c>
      <c r="J478" s="420" t="str">
        <f>H478</f>
        <v>Oregon State</v>
      </c>
      <c r="K478" s="379" t="str">
        <f t="shared" si="135"/>
        <v>Washington State</v>
      </c>
      <c r="L478" s="422">
        <v>3.5</v>
      </c>
      <c r="M478" s="418">
        <v>53</v>
      </c>
      <c r="N478" s="351" t="str">
        <f>J478</f>
        <v>Oregon State</v>
      </c>
      <c r="O478" s="423">
        <v>24</v>
      </c>
      <c r="P478" s="436" t="str">
        <f t="shared" si="140"/>
        <v>Washington State</v>
      </c>
      <c r="Q478" s="408">
        <v>10</v>
      </c>
      <c r="R478" s="494" t="str">
        <f t="shared" si="136"/>
        <v>Oregon State</v>
      </c>
      <c r="S478" s="494" t="str">
        <f t="shared" si="137"/>
        <v>Washington State</v>
      </c>
      <c r="T478" s="356" t="str">
        <f>K478</f>
        <v>Washington State</v>
      </c>
      <c r="U478" s="665" t="str">
        <f t="shared" si="138"/>
        <v>L</v>
      </c>
      <c r="V478" s="352" t="str">
        <f>UPPER(+F478)</f>
        <v>WASHINGTON STATE</v>
      </c>
      <c r="W478" s="424">
        <v>31</v>
      </c>
      <c r="X478" s="352" t="str">
        <f>LOWER(+H478)</f>
        <v>oregon state</v>
      </c>
      <c r="Y478" s="425">
        <v>24</v>
      </c>
    </row>
    <row r="479" spans="1:25" ht="16" x14ac:dyDescent="0.8">
      <c r="A479" s="351">
        <v>7</v>
      </c>
      <c r="B479" s="420" t="s">
        <v>34</v>
      </c>
      <c r="C479" s="421">
        <v>44849</v>
      </c>
      <c r="D479" s="414">
        <f>20/24</f>
        <v>0.83333333333333337</v>
      </c>
      <c r="E479" s="349" t="s">
        <v>118</v>
      </c>
      <c r="F479" s="420" t="s">
        <v>202</v>
      </c>
      <c r="G479" s="349" t="s">
        <v>37</v>
      </c>
      <c r="H479" s="349" t="s">
        <v>81</v>
      </c>
      <c r="I479" s="349" t="s">
        <v>37</v>
      </c>
      <c r="J479" s="420" t="str">
        <f>H479</f>
        <v>Utah</v>
      </c>
      <c r="K479" s="379" t="str">
        <f t="shared" si="135"/>
        <v>Southern Cal</v>
      </c>
      <c r="L479" s="422">
        <v>3.5</v>
      </c>
      <c r="M479" s="418">
        <v>65</v>
      </c>
      <c r="N479" s="351" t="str">
        <f>J479</f>
        <v>Utah</v>
      </c>
      <c r="O479" s="423">
        <v>43</v>
      </c>
      <c r="P479" s="436" t="str">
        <f t="shared" si="140"/>
        <v>Southern Cal</v>
      </c>
      <c r="Q479" s="408">
        <v>42</v>
      </c>
      <c r="R479" s="494" t="str">
        <f t="shared" si="136"/>
        <v>Southern Cal</v>
      </c>
      <c r="S479" s="494" t="str">
        <f t="shared" si="137"/>
        <v>Utah</v>
      </c>
      <c r="T479" s="356" t="str">
        <f>F479</f>
        <v>Southern Cal</v>
      </c>
      <c r="U479" s="665" t="str">
        <f t="shared" si="138"/>
        <v>W</v>
      </c>
      <c r="V479" s="352" t="str">
        <f>LOWER(+H479)</f>
        <v>utah</v>
      </c>
      <c r="W479" s="424">
        <v>42</v>
      </c>
      <c r="X479" s="352" t="str">
        <f>UPPER(+F479)</f>
        <v>SOUTHERN CAL</v>
      </c>
      <c r="Y479" s="425">
        <v>26</v>
      </c>
    </row>
    <row r="480" spans="1:25" ht="16" x14ac:dyDescent="0.8">
      <c r="A480" s="351">
        <v>7</v>
      </c>
      <c r="B480" s="420" t="s">
        <v>34</v>
      </c>
      <c r="C480" s="421">
        <v>44849</v>
      </c>
      <c r="D480" s="414">
        <f>17.5/24</f>
        <v>0.72916666666666663</v>
      </c>
      <c r="E480" s="349" t="s">
        <v>446</v>
      </c>
      <c r="F480" s="420" t="s">
        <v>198</v>
      </c>
      <c r="G480" s="349" t="s">
        <v>37</v>
      </c>
      <c r="H480" s="420" t="s">
        <v>91</v>
      </c>
      <c r="I480" s="349" t="s">
        <v>37</v>
      </c>
      <c r="J480" s="420" t="str">
        <f>H480</f>
        <v>Washington</v>
      </c>
      <c r="K480" s="379" t="str">
        <f t="shared" si="135"/>
        <v>Arizona</v>
      </c>
      <c r="L480" s="422">
        <v>14</v>
      </c>
      <c r="M480" s="418">
        <v>73</v>
      </c>
      <c r="N480" s="351" t="str">
        <f>J480</f>
        <v>Washington</v>
      </c>
      <c r="O480" s="423">
        <v>49</v>
      </c>
      <c r="P480" s="436" t="str">
        <f t="shared" si="140"/>
        <v>Arizona</v>
      </c>
      <c r="Q480" s="408">
        <v>39</v>
      </c>
      <c r="R480" s="494" t="str">
        <f t="shared" si="136"/>
        <v>Arizona</v>
      </c>
      <c r="S480" s="494" t="str">
        <f t="shared" si="137"/>
        <v>Washington</v>
      </c>
      <c r="T480" s="356" t="str">
        <f>K480</f>
        <v>Arizona</v>
      </c>
      <c r="U480" s="665" t="str">
        <f t="shared" si="138"/>
        <v>W</v>
      </c>
      <c r="V480" s="352" t="str">
        <f>LOWER(+H480)</f>
        <v>washington</v>
      </c>
      <c r="W480" s="424">
        <v>21</v>
      </c>
      <c r="X480" s="352" t="str">
        <f>UPPER(+F480)</f>
        <v>ARIZONA</v>
      </c>
      <c r="Y480" s="425">
        <v>16</v>
      </c>
    </row>
    <row r="481" spans="1:25" ht="16" x14ac:dyDescent="0.8">
      <c r="A481" s="351">
        <v>7</v>
      </c>
      <c r="B481" s="420" t="s">
        <v>34</v>
      </c>
      <c r="C481" s="421">
        <v>44849</v>
      </c>
      <c r="D481" s="414">
        <f>12/24</f>
        <v>0.5</v>
      </c>
      <c r="E481" s="349" t="s">
        <v>95</v>
      </c>
      <c r="F481" s="420" t="s">
        <v>169</v>
      </c>
      <c r="G481" s="349" t="s">
        <v>59</v>
      </c>
      <c r="H481" s="420" t="s">
        <v>205</v>
      </c>
      <c r="I481" s="349" t="s">
        <v>59</v>
      </c>
      <c r="J481" s="420" t="str">
        <f>H481</f>
        <v>Coastal Carolina</v>
      </c>
      <c r="K481" s="379" t="str">
        <f t="shared" si="135"/>
        <v>Old Dominion</v>
      </c>
      <c r="L481" s="422">
        <v>13</v>
      </c>
      <c r="M481" s="418">
        <v>56.5</v>
      </c>
      <c r="N481" s="436" t="str">
        <f>K481</f>
        <v>Old Dominion</v>
      </c>
      <c r="O481" s="423">
        <v>49</v>
      </c>
      <c r="P481" s="436" t="str">
        <f t="shared" si="140"/>
        <v>Coastal Carolina</v>
      </c>
      <c r="Q481" s="408">
        <v>21</v>
      </c>
      <c r="R481" s="494" t="str">
        <f t="shared" si="136"/>
        <v>Old Dominion</v>
      </c>
      <c r="S481" s="494" t="str">
        <f t="shared" si="137"/>
        <v>Coastal Carolina</v>
      </c>
      <c r="T481" s="356" t="str">
        <f>K481</f>
        <v>Old Dominion</v>
      </c>
      <c r="U481" s="665" t="str">
        <f t="shared" si="138"/>
        <v>W</v>
      </c>
      <c r="W481" s="424"/>
      <c r="X481" s="352" t="s">
        <v>404</v>
      </c>
      <c r="Y481" s="425"/>
    </row>
    <row r="482" spans="1:25" ht="16" x14ac:dyDescent="0.8">
      <c r="A482" s="351">
        <v>7</v>
      </c>
      <c r="B482" s="420" t="s">
        <v>34</v>
      </c>
      <c r="C482" s="421">
        <v>44849</v>
      </c>
      <c r="D482" s="414">
        <f>16/24</f>
        <v>0.66666666666666663</v>
      </c>
      <c r="E482" s="349"/>
      <c r="F482" s="420" t="s">
        <v>442</v>
      </c>
      <c r="G482" s="349" t="s">
        <v>59</v>
      </c>
      <c r="H482" s="420" t="s">
        <v>210</v>
      </c>
      <c r="I482" s="349" t="s">
        <v>59</v>
      </c>
      <c r="J482" s="420" t="str">
        <f>F482</f>
        <v>James Madison</v>
      </c>
      <c r="K482" s="379" t="str">
        <f t="shared" si="135"/>
        <v>Georgia Southern</v>
      </c>
      <c r="L482" s="422">
        <v>10.5</v>
      </c>
      <c r="M482" s="418">
        <v>66.5</v>
      </c>
      <c r="N482" s="436" t="str">
        <f>K482</f>
        <v>Georgia Southern</v>
      </c>
      <c r="O482" s="423">
        <v>45</v>
      </c>
      <c r="P482" s="436" t="str">
        <f t="shared" si="140"/>
        <v>James Madison</v>
      </c>
      <c r="Q482" s="408">
        <v>38</v>
      </c>
      <c r="R482" s="494" t="str">
        <f t="shared" si="136"/>
        <v>Georgia Southern</v>
      </c>
      <c r="S482" s="494" t="str">
        <f t="shared" si="137"/>
        <v>James Madison</v>
      </c>
      <c r="T482" s="356" t="str">
        <f>J482</f>
        <v>James Madison</v>
      </c>
      <c r="U482" s="665" t="str">
        <f t="shared" si="138"/>
        <v>L</v>
      </c>
      <c r="W482" s="424"/>
      <c r="X482" s="352" t="s">
        <v>404</v>
      </c>
      <c r="Y482" s="425"/>
    </row>
    <row r="483" spans="1:25" ht="16" x14ac:dyDescent="0.8">
      <c r="A483" s="351">
        <v>7</v>
      </c>
      <c r="B483" s="420" t="s">
        <v>34</v>
      </c>
      <c r="C483" s="421">
        <v>44849</v>
      </c>
      <c r="D483" s="414">
        <f>19/24</f>
        <v>0.79166666666666663</v>
      </c>
      <c r="E483" s="349" t="s">
        <v>359</v>
      </c>
      <c r="F483" s="420" t="s">
        <v>58</v>
      </c>
      <c r="G483" s="349" t="s">
        <v>59</v>
      </c>
      <c r="H483" s="420" t="s">
        <v>214</v>
      </c>
      <c r="I483" s="349" t="s">
        <v>59</v>
      </c>
      <c r="J483" s="420" t="str">
        <f>H483</f>
        <v>South Alabama</v>
      </c>
      <c r="K483" s="379" t="str">
        <f t="shared" si="135"/>
        <v>UL Monroe</v>
      </c>
      <c r="L483" s="422">
        <v>17</v>
      </c>
      <c r="M483" s="418">
        <v>51.5</v>
      </c>
      <c r="N483" s="351" t="str">
        <f>J483</f>
        <v>South Alabama</v>
      </c>
      <c r="O483" s="423">
        <v>41</v>
      </c>
      <c r="P483" s="436" t="str">
        <f t="shared" si="140"/>
        <v>UL Monroe</v>
      </c>
      <c r="Q483" s="408">
        <v>34</v>
      </c>
      <c r="R483" s="494" t="str">
        <f t="shared" si="136"/>
        <v>UL Monroe</v>
      </c>
      <c r="S483" s="494" t="str">
        <f t="shared" si="137"/>
        <v>South Alabama</v>
      </c>
      <c r="T483" s="356" t="str">
        <f>K483</f>
        <v>UL Monroe</v>
      </c>
      <c r="U483" s="665" t="str">
        <f t="shared" si="138"/>
        <v>W</v>
      </c>
      <c r="V483" s="352" t="str">
        <f>UPPER(+F483)</f>
        <v>UL MONROE</v>
      </c>
      <c r="W483" s="424">
        <v>41</v>
      </c>
      <c r="X483" s="352" t="str">
        <f>LOWER(+H483)</f>
        <v>south alabama</v>
      </c>
      <c r="Y483" s="425">
        <v>31</v>
      </c>
    </row>
    <row r="484" spans="1:25" ht="16" x14ac:dyDescent="0.8">
      <c r="A484" s="351">
        <v>7</v>
      </c>
      <c r="B484" s="420" t="s">
        <v>34</v>
      </c>
      <c r="C484" s="421">
        <v>44849</v>
      </c>
      <c r="D484" s="414">
        <f>19/24</f>
        <v>0.79166666666666663</v>
      </c>
      <c r="E484" s="349"/>
      <c r="F484" s="420" t="s">
        <v>140</v>
      </c>
      <c r="G484" s="349" t="s">
        <v>59</v>
      </c>
      <c r="H484" s="420" t="s">
        <v>171</v>
      </c>
      <c r="I484" s="349" t="s">
        <v>59</v>
      </c>
      <c r="J484" s="420" t="str">
        <f>H484</f>
        <v>Southern Miss</v>
      </c>
      <c r="K484" s="379" t="str">
        <f t="shared" si="135"/>
        <v>Arkansas State</v>
      </c>
      <c r="L484" s="422">
        <v>3.5</v>
      </c>
      <c r="M484" s="418">
        <v>54.5</v>
      </c>
      <c r="N484" s="351" t="str">
        <f>J484</f>
        <v>Southern Miss</v>
      </c>
      <c r="O484" s="423">
        <v>20</v>
      </c>
      <c r="P484" s="436" t="str">
        <f t="shared" si="140"/>
        <v>Arkansas State</v>
      </c>
      <c r="Q484" s="408">
        <v>19</v>
      </c>
      <c r="R484" s="494" t="str">
        <f t="shared" si="136"/>
        <v>Arkansas State</v>
      </c>
      <c r="S484" s="494" t="str">
        <f t="shared" si="137"/>
        <v>Southern Miss</v>
      </c>
      <c r="T484" s="356" t="str">
        <f>K484</f>
        <v>Arkansas State</v>
      </c>
      <c r="U484" s="665" t="str">
        <f t="shared" si="138"/>
        <v>W</v>
      </c>
      <c r="W484" s="424"/>
      <c r="X484" s="352" t="s">
        <v>404</v>
      </c>
      <c r="Y484" s="425"/>
    </row>
    <row r="485" spans="1:25" ht="16" x14ac:dyDescent="0.8">
      <c r="A485" s="351">
        <v>7</v>
      </c>
      <c r="B485" s="420" t="s">
        <v>34</v>
      </c>
      <c r="C485" s="421">
        <v>44849</v>
      </c>
      <c r="D485" s="414">
        <f>15.5/24</f>
        <v>0.64583333333333337</v>
      </c>
      <c r="E485" s="349" t="s">
        <v>53</v>
      </c>
      <c r="F485" s="420" t="s">
        <v>207</v>
      </c>
      <c r="G485" s="349" t="s">
        <v>59</v>
      </c>
      <c r="H485" s="349" t="s">
        <v>185</v>
      </c>
      <c r="I485" s="349" t="s">
        <v>59</v>
      </c>
      <c r="J485" s="420" t="str">
        <f>H485</f>
        <v>Troy</v>
      </c>
      <c r="K485" s="379" t="str">
        <f t="shared" si="135"/>
        <v>Texas State</v>
      </c>
      <c r="L485" s="422">
        <v>16.5</v>
      </c>
      <c r="M485" s="418">
        <v>48.5</v>
      </c>
      <c r="N485" s="351" t="str">
        <f>J485</f>
        <v>Troy</v>
      </c>
      <c r="O485" s="423">
        <v>17</v>
      </c>
      <c r="P485" s="436" t="str">
        <f t="shared" si="140"/>
        <v>Texas State</v>
      </c>
      <c r="Q485" s="408">
        <v>14</v>
      </c>
      <c r="R485" s="494" t="str">
        <f t="shared" si="136"/>
        <v>Texas State</v>
      </c>
      <c r="S485" s="494" t="str">
        <f t="shared" si="137"/>
        <v>Troy</v>
      </c>
      <c r="T485" s="356" t="str">
        <f>J485</f>
        <v>Troy</v>
      </c>
      <c r="U485" s="665" t="str">
        <f t="shared" si="138"/>
        <v>L</v>
      </c>
      <c r="V485" s="352" t="str">
        <f>LOWER(+H485)</f>
        <v>troy</v>
      </c>
      <c r="W485" s="424">
        <v>31</v>
      </c>
      <c r="X485" s="352" t="str">
        <f>UPPER(+F485)</f>
        <v>TEXAS STATE</v>
      </c>
      <c r="Y485" s="425">
        <v>28</v>
      </c>
    </row>
    <row r="486" spans="1:25" ht="16" x14ac:dyDescent="0.8">
      <c r="A486" s="351">
        <v>7</v>
      </c>
      <c r="B486" s="420" t="s">
        <v>34</v>
      </c>
      <c r="C486" s="421">
        <v>44849</v>
      </c>
      <c r="D486" s="414">
        <f>19/24</f>
        <v>0.79166666666666663</v>
      </c>
      <c r="E486" s="349" t="s">
        <v>35</v>
      </c>
      <c r="F486" s="420" t="s">
        <v>178</v>
      </c>
      <c r="G486" s="349" t="s">
        <v>85</v>
      </c>
      <c r="H486" s="349" t="s">
        <v>136</v>
      </c>
      <c r="I486" s="349" t="s">
        <v>85</v>
      </c>
      <c r="J486" s="420" t="str">
        <f>H486</f>
        <v>Florida</v>
      </c>
      <c r="K486" s="379" t="str">
        <f t="shared" si="135"/>
        <v>LSU</v>
      </c>
      <c r="L486" s="422">
        <v>3</v>
      </c>
      <c r="M486" s="418">
        <v>51.5</v>
      </c>
      <c r="N486" s="436" t="str">
        <f>K486</f>
        <v>LSU</v>
      </c>
      <c r="O486" s="423">
        <v>45</v>
      </c>
      <c r="P486" s="436" t="str">
        <f t="shared" si="140"/>
        <v>Florida</v>
      </c>
      <c r="Q486" s="408">
        <v>35</v>
      </c>
      <c r="R486" s="494" t="str">
        <f t="shared" si="136"/>
        <v>LSU</v>
      </c>
      <c r="S486" s="494" t="str">
        <f t="shared" si="137"/>
        <v>Florida</v>
      </c>
      <c r="T486" s="356" t="str">
        <f>J486</f>
        <v>Florida</v>
      </c>
      <c r="U486" s="665" t="str">
        <f t="shared" si="138"/>
        <v>L</v>
      </c>
      <c r="V486" s="352" t="str">
        <f>UPPER(+F486)</f>
        <v>LSU</v>
      </c>
      <c r="W486" s="424">
        <v>49</v>
      </c>
      <c r="X486" s="352" t="str">
        <f>LOWER(+H486)</f>
        <v>florida</v>
      </c>
      <c r="Y486" s="425">
        <v>42</v>
      </c>
    </row>
    <row r="487" spans="1:25" ht="16" x14ac:dyDescent="0.8">
      <c r="A487" s="351">
        <v>7</v>
      </c>
      <c r="B487" s="420" t="s">
        <v>34</v>
      </c>
      <c r="C487" s="421">
        <v>44849</v>
      </c>
      <c r="D487" s="414">
        <f>15.5/24</f>
        <v>0.64583333333333337</v>
      </c>
      <c r="E487" s="349" t="s">
        <v>85</v>
      </c>
      <c r="F487" s="420" t="s">
        <v>164</v>
      </c>
      <c r="G487" s="349" t="s">
        <v>85</v>
      </c>
      <c r="H487" s="349" t="s">
        <v>213</v>
      </c>
      <c r="I487" s="349" t="s">
        <v>85</v>
      </c>
      <c r="J487" s="420" t="str">
        <f>H487</f>
        <v>Georgia</v>
      </c>
      <c r="K487" s="379" t="str">
        <f t="shared" si="135"/>
        <v>Vanderbilt</v>
      </c>
      <c r="L487" s="422">
        <v>38.5</v>
      </c>
      <c r="M487" s="418">
        <v>58.5</v>
      </c>
      <c r="N487" s="436" t="str">
        <f>J487</f>
        <v>Georgia</v>
      </c>
      <c r="O487" s="423">
        <v>55</v>
      </c>
      <c r="P487" s="436" t="str">
        <f t="shared" si="140"/>
        <v>Vanderbilt</v>
      </c>
      <c r="Q487" s="408">
        <v>0</v>
      </c>
      <c r="R487" s="494" t="str">
        <f t="shared" si="136"/>
        <v>Georgia</v>
      </c>
      <c r="S487" s="494" t="str">
        <f t="shared" si="137"/>
        <v>Vanderbilt</v>
      </c>
      <c r="T487" s="356" t="str">
        <f>K487</f>
        <v>Vanderbilt</v>
      </c>
      <c r="U487" s="665" t="str">
        <f t="shared" si="138"/>
        <v>L</v>
      </c>
      <c r="V487" s="352" t="str">
        <f>LOWER(+H487)</f>
        <v>georgia</v>
      </c>
      <c r="W487" s="424">
        <v>62</v>
      </c>
      <c r="X487" s="352" t="str">
        <f>UPPER(+F487)</f>
        <v>VANDERBILT</v>
      </c>
      <c r="Y487" s="425">
        <v>0</v>
      </c>
    </row>
    <row r="488" spans="1:25" ht="16" x14ac:dyDescent="0.8">
      <c r="A488" s="351">
        <v>7</v>
      </c>
      <c r="B488" s="420" t="s">
        <v>34</v>
      </c>
      <c r="C488" s="421">
        <v>44849</v>
      </c>
      <c r="D488" s="414">
        <f>19.5/24</f>
        <v>0.8125</v>
      </c>
      <c r="E488" s="349" t="s">
        <v>85</v>
      </c>
      <c r="F488" s="420" t="s">
        <v>217</v>
      </c>
      <c r="G488" s="349" t="s">
        <v>85</v>
      </c>
      <c r="H488" s="420" t="s">
        <v>170</v>
      </c>
      <c r="I488" s="349" t="s">
        <v>85</v>
      </c>
      <c r="J488" s="420" t="str">
        <f>F488</f>
        <v>Mississippi State</v>
      </c>
      <c r="K488" s="379" t="str">
        <f t="shared" si="135"/>
        <v>Kentucky</v>
      </c>
      <c r="L488" s="422">
        <v>7</v>
      </c>
      <c r="M488" s="418">
        <v>56</v>
      </c>
      <c r="N488" s="436" t="str">
        <f>K488</f>
        <v>Kentucky</v>
      </c>
      <c r="O488" s="423">
        <v>27</v>
      </c>
      <c r="P488" s="436" t="str">
        <f t="shared" si="140"/>
        <v>Mississippi State</v>
      </c>
      <c r="Q488" s="408">
        <v>17</v>
      </c>
      <c r="R488" s="494" t="str">
        <f t="shared" si="136"/>
        <v>Kentucky</v>
      </c>
      <c r="S488" s="494" t="str">
        <f t="shared" si="137"/>
        <v>Mississippi State</v>
      </c>
      <c r="T488" s="356" t="str">
        <f>K488</f>
        <v>Kentucky</v>
      </c>
      <c r="U488" s="665" t="str">
        <f t="shared" si="138"/>
        <v>W</v>
      </c>
      <c r="V488" s="352" t="str">
        <f>UPPER(+F488)</f>
        <v>MISSISSIPPI STATE</v>
      </c>
      <c r="W488" s="424">
        <v>31</v>
      </c>
      <c r="X488" s="352" t="str">
        <f>LOWER(+H488)</f>
        <v>kentucky</v>
      </c>
      <c r="Y488" s="425">
        <v>17</v>
      </c>
    </row>
    <row r="489" spans="1:25" ht="16" x14ac:dyDescent="0.8">
      <c r="A489" s="351">
        <v>7</v>
      </c>
      <c r="B489" s="420" t="s">
        <v>34</v>
      </c>
      <c r="C489" s="421">
        <v>44849</v>
      </c>
      <c r="D489" s="414">
        <f>12/24</f>
        <v>0.5</v>
      </c>
      <c r="E489" s="349" t="s">
        <v>35</v>
      </c>
      <c r="F489" s="420" t="s">
        <v>211</v>
      </c>
      <c r="G489" s="349" t="s">
        <v>85</v>
      </c>
      <c r="H489" s="420" t="s">
        <v>215</v>
      </c>
      <c r="I489" s="349" t="s">
        <v>85</v>
      </c>
      <c r="J489" s="420" t="str">
        <f>H489</f>
        <v>Mississippi</v>
      </c>
      <c r="K489" s="379" t="str">
        <f t="shared" si="135"/>
        <v>Auburn</v>
      </c>
      <c r="L489" s="422">
        <v>14.5</v>
      </c>
      <c r="M489" s="418">
        <v>54</v>
      </c>
      <c r="N489" s="436" t="str">
        <f>J489</f>
        <v>Mississippi</v>
      </c>
      <c r="O489" s="423">
        <v>48</v>
      </c>
      <c r="P489" s="436" t="str">
        <f t="shared" si="140"/>
        <v>Auburn</v>
      </c>
      <c r="Q489" s="408">
        <v>34</v>
      </c>
      <c r="R489" s="494" t="str">
        <f t="shared" si="136"/>
        <v>Auburn</v>
      </c>
      <c r="S489" s="494" t="str">
        <f t="shared" si="137"/>
        <v>Mississippi</v>
      </c>
      <c r="T489" s="356" t="str">
        <f>J489</f>
        <v>Mississippi</v>
      </c>
      <c r="U489" s="665" t="str">
        <f t="shared" si="138"/>
        <v>L</v>
      </c>
      <c r="V489" s="352" t="str">
        <f>UPPER(+F489)</f>
        <v>AUBURN</v>
      </c>
      <c r="W489" s="424">
        <v>31</v>
      </c>
      <c r="X489" s="352" t="str">
        <f>LOWER(+H489)</f>
        <v>mississippi</v>
      </c>
      <c r="Y489" s="425">
        <v>20</v>
      </c>
    </row>
    <row r="490" spans="1:25" ht="16" x14ac:dyDescent="0.8">
      <c r="A490" s="351">
        <v>7</v>
      </c>
      <c r="B490" s="420" t="s">
        <v>34</v>
      </c>
      <c r="C490" s="421">
        <v>44849</v>
      </c>
      <c r="D490" s="414">
        <f>15.5/24</f>
        <v>0.64583333333333337</v>
      </c>
      <c r="E490" s="349" t="s">
        <v>135</v>
      </c>
      <c r="F490" s="420" t="s">
        <v>116</v>
      </c>
      <c r="G490" s="349" t="s">
        <v>85</v>
      </c>
      <c r="H490" s="420" t="s">
        <v>226</v>
      </c>
      <c r="I490" s="349" t="s">
        <v>85</v>
      </c>
      <c r="J490" s="420" t="str">
        <f>F490</f>
        <v>Alabama</v>
      </c>
      <c r="K490" s="379" t="str">
        <f t="shared" si="135"/>
        <v>Tennessee</v>
      </c>
      <c r="L490" s="422">
        <v>7.5</v>
      </c>
      <c r="M490" s="418">
        <v>65.5</v>
      </c>
      <c r="N490" s="436" t="str">
        <f>K490</f>
        <v>Tennessee</v>
      </c>
      <c r="O490" s="423">
        <v>52</v>
      </c>
      <c r="P490" s="436" t="str">
        <f t="shared" si="140"/>
        <v>Alabama</v>
      </c>
      <c r="Q490" s="408">
        <v>49</v>
      </c>
      <c r="R490" s="494" t="str">
        <f t="shared" si="136"/>
        <v>Tennessee</v>
      </c>
      <c r="S490" s="494" t="str">
        <f t="shared" si="137"/>
        <v>Alabama</v>
      </c>
      <c r="T490" s="356" t="str">
        <f>K490</f>
        <v>Tennessee</v>
      </c>
      <c r="U490" s="665" t="str">
        <f t="shared" si="138"/>
        <v>W</v>
      </c>
      <c r="V490" s="352" t="str">
        <f>UPPER(+F490)</f>
        <v>ALABAMA</v>
      </c>
      <c r="W490" s="424">
        <v>52</v>
      </c>
      <c r="X490" s="352" t="str">
        <f>LOWER(+H490)</f>
        <v>tennessee</v>
      </c>
      <c r="Y490" s="425">
        <v>24</v>
      </c>
    </row>
    <row r="491" spans="1:25" ht="16" x14ac:dyDescent="0.8">
      <c r="A491" s="351">
        <v>8</v>
      </c>
      <c r="B491" s="420" t="s">
        <v>396</v>
      </c>
      <c r="C491" s="421">
        <v>44853</v>
      </c>
      <c r="D491" s="414">
        <f>19.5/24</f>
        <v>0.8125</v>
      </c>
      <c r="E491" s="349" t="s">
        <v>256</v>
      </c>
      <c r="F491" s="420" t="s">
        <v>84</v>
      </c>
      <c r="G491" s="349" t="s">
        <v>59</v>
      </c>
      <c r="H491" s="420" t="s">
        <v>212</v>
      </c>
      <c r="I491" s="349" t="s">
        <v>59</v>
      </c>
      <c r="J491" s="420" t="str">
        <f>H491</f>
        <v>Appalachian State</v>
      </c>
      <c r="K491" s="379" t="str">
        <f>IF(+J491=H491,F491,H491)</f>
        <v>Georgia State</v>
      </c>
      <c r="L491" s="422">
        <v>9.5</v>
      </c>
      <c r="M491" s="418">
        <v>58.5</v>
      </c>
      <c r="N491" s="351" t="str">
        <f>J491</f>
        <v>Appalachian State</v>
      </c>
      <c r="O491" s="423">
        <v>42</v>
      </c>
      <c r="P491" s="436" t="str">
        <f>IF(+N491=H491,F491,H491)</f>
        <v>Georgia State</v>
      </c>
      <c r="Q491" s="408">
        <v>17</v>
      </c>
      <c r="R491" s="494" t="str">
        <f>IF(+N491=K491,+N491,IF(+O491-Q491&lt;L491,+K491,+J491))</f>
        <v>Appalachian State</v>
      </c>
      <c r="S491" s="494" t="str">
        <f>IF(+R491=J491,+K491,+J491)</f>
        <v>Georgia State</v>
      </c>
      <c r="T491" s="356" t="str">
        <f>K491</f>
        <v>Georgia State</v>
      </c>
      <c r="U491" s="665" t="str">
        <f>IF($N491=$J491,IF($O491-$Q491=$L491,"T",IF($R491=T491,"W","L")),IF($R491=T491,"W","L"))</f>
        <v>L</v>
      </c>
      <c r="V491" s="352" t="str">
        <f>LOWER(+H491)</f>
        <v>appalachian state</v>
      </c>
      <c r="W491" s="424">
        <v>45</v>
      </c>
      <c r="X491" s="352" t="str">
        <f>UPPER(+F491)</f>
        <v>GEORGIA STATE</v>
      </c>
      <c r="Y491" s="425">
        <v>16</v>
      </c>
    </row>
    <row r="492" spans="1:25" ht="16" x14ac:dyDescent="0.8">
      <c r="A492" s="351">
        <v>8</v>
      </c>
      <c r="B492" s="420" t="s">
        <v>52</v>
      </c>
      <c r="C492" s="421">
        <v>44854</v>
      </c>
      <c r="D492" s="414">
        <f>19.5/24</f>
        <v>0.8125</v>
      </c>
      <c r="E492" s="349" t="s">
        <v>35</v>
      </c>
      <c r="F492" s="351" t="s">
        <v>130</v>
      </c>
      <c r="G492" s="349" t="s">
        <v>61</v>
      </c>
      <c r="H492" s="351" t="s">
        <v>227</v>
      </c>
      <c r="I492" s="349" t="s">
        <v>61</v>
      </c>
      <c r="J492" s="420" t="str">
        <f>H492</f>
        <v>Georgia Tech</v>
      </c>
      <c r="K492" s="379" t="str">
        <f>IF(+J492=H492,F492,H492)</f>
        <v>Virginia</v>
      </c>
      <c r="L492" s="422">
        <v>3</v>
      </c>
      <c r="M492" s="418">
        <v>47</v>
      </c>
      <c r="N492" s="436" t="str">
        <f>K492</f>
        <v>Virginia</v>
      </c>
      <c r="O492" s="423">
        <v>16</v>
      </c>
      <c r="P492" s="436" t="str">
        <f>IF(+N492=H492,F492,H492)</f>
        <v>Georgia Tech</v>
      </c>
      <c r="Q492" s="408">
        <v>9</v>
      </c>
      <c r="R492" s="494" t="str">
        <f>IF(+N492=K492,+N492,IF(+O492-Q492&lt;L492,+K492,+J492))</f>
        <v>Virginia</v>
      </c>
      <c r="S492" s="494" t="str">
        <f>IF(+R492=J492,+K492,+J492)</f>
        <v>Georgia Tech</v>
      </c>
      <c r="T492" s="356" t="str">
        <f>J492</f>
        <v>Georgia Tech</v>
      </c>
      <c r="U492" s="665" t="str">
        <f>IF($N492=$J492,IF($O492-$Q492=$L492,"T",IF($R492=T492,"W","L")),IF($R492=T492,"W","L"))</f>
        <v>L</v>
      </c>
      <c r="V492" s="352" t="str">
        <f>UPPER(+F492)</f>
        <v>VIRGINIA</v>
      </c>
      <c r="W492" s="424">
        <v>48</v>
      </c>
      <c r="X492" s="352" t="str">
        <f>LOWER(+H492)</f>
        <v>georgia tech</v>
      </c>
      <c r="Y492" s="425">
        <v>40</v>
      </c>
    </row>
    <row r="493" spans="1:25" ht="16" x14ac:dyDescent="0.8">
      <c r="A493" s="351">
        <v>8</v>
      </c>
      <c r="B493" s="420" t="s">
        <v>52</v>
      </c>
      <c r="C493" s="421">
        <v>44854</v>
      </c>
      <c r="D493" s="414">
        <f>20/24</f>
        <v>0.83333333333333337</v>
      </c>
      <c r="E493" s="349" t="s">
        <v>95</v>
      </c>
      <c r="F493" s="420" t="s">
        <v>185</v>
      </c>
      <c r="G493" s="349" t="s">
        <v>59</v>
      </c>
      <c r="H493" s="420" t="s">
        <v>214</v>
      </c>
      <c r="I493" s="349" t="s">
        <v>59</v>
      </c>
      <c r="J493" s="420" t="str">
        <f>H493</f>
        <v>South Alabama</v>
      </c>
      <c r="K493" s="379" t="str">
        <f>IF(+J493=H493,F493,H493)</f>
        <v>Troy</v>
      </c>
      <c r="L493" s="422">
        <v>3</v>
      </c>
      <c r="M493" s="418">
        <v>46</v>
      </c>
      <c r="N493" s="436" t="str">
        <f>K493</f>
        <v>Troy</v>
      </c>
      <c r="O493" s="423">
        <v>10</v>
      </c>
      <c r="P493" s="436" t="str">
        <f>IF(+N493=H493,F493,H493)</f>
        <v>South Alabama</v>
      </c>
      <c r="Q493" s="408">
        <v>6</v>
      </c>
      <c r="R493" s="494" t="str">
        <f>IF(+N493=K493,+N493,IF(+O493-Q493&lt;L493,+K493,+J493))</f>
        <v>Troy</v>
      </c>
      <c r="S493" s="494" t="str">
        <f>IF(+R493=J493,+K493,+J493)</f>
        <v>South Alabama</v>
      </c>
      <c r="T493" s="356" t="str">
        <f>J493</f>
        <v>South Alabama</v>
      </c>
      <c r="U493" s="665" t="str">
        <f>IF($N493=$J493,IF($O493-$Q493=$L493,"T",IF($R493=T493,"W","L")),IF($R493=T493,"W","L"))</f>
        <v>L</v>
      </c>
      <c r="V493" s="352" t="s">
        <v>451</v>
      </c>
      <c r="W493" s="424">
        <v>31</v>
      </c>
      <c r="X493" s="352" t="s">
        <v>452</v>
      </c>
      <c r="Y493" s="425">
        <v>24</v>
      </c>
    </row>
    <row r="494" spans="1:25" ht="16" x14ac:dyDescent="0.8">
      <c r="A494" s="351">
        <v>8</v>
      </c>
      <c r="B494" s="420" t="s">
        <v>88</v>
      </c>
      <c r="C494" s="421">
        <v>44855</v>
      </c>
      <c r="D494" s="414">
        <f>19.5/24</f>
        <v>0.8125</v>
      </c>
      <c r="E494" s="349" t="s">
        <v>256</v>
      </c>
      <c r="F494" s="420" t="s">
        <v>71</v>
      </c>
      <c r="G494" s="349" t="s">
        <v>50</v>
      </c>
      <c r="H494" s="351" t="s">
        <v>180</v>
      </c>
      <c r="I494" s="349" t="s">
        <v>50</v>
      </c>
      <c r="J494" s="420" t="str">
        <f>F494</f>
        <v>Tulsa</v>
      </c>
      <c r="K494" s="379" t="str">
        <f>IF(+J494=H494,F494,H494)</f>
        <v>Temple</v>
      </c>
      <c r="L494" s="422">
        <v>13</v>
      </c>
      <c r="M494" s="418">
        <v>52.5</v>
      </c>
      <c r="N494" s="351" t="str">
        <f>J494</f>
        <v>Tulsa</v>
      </c>
      <c r="O494" s="423">
        <v>27</v>
      </c>
      <c r="P494" s="436" t="str">
        <f>IF(+N494=H494,F494,H494)</f>
        <v>Temple</v>
      </c>
      <c r="Q494" s="408">
        <v>16</v>
      </c>
      <c r="R494" s="494" t="str">
        <f>IF(+N494=K494,+N494,IF(+O494-Q494&lt;L494,+K494,+J494))</f>
        <v>Temple</v>
      </c>
      <c r="S494" s="494" t="str">
        <f>IF(+R494=J494,+K494,+J494)</f>
        <v>Tulsa</v>
      </c>
      <c r="T494" s="356" t="str">
        <f>K494</f>
        <v>Temple</v>
      </c>
      <c r="U494" s="665" t="str">
        <f>IF($N494=$J494,IF($O494-$Q494=$L494,"T",IF($R494=T494,"W","L")),IF($R494=T494,"W","L"))</f>
        <v>W</v>
      </c>
      <c r="V494" s="352" t="str">
        <f>UPPER(+F494)</f>
        <v>TULSA</v>
      </c>
      <c r="W494" s="424">
        <v>44</v>
      </c>
      <c r="X494" s="352" t="str">
        <f>LOWER(+H494)</f>
        <v>temple</v>
      </c>
      <c r="Y494" s="425">
        <v>10</v>
      </c>
    </row>
    <row r="495" spans="1:25" ht="16" x14ac:dyDescent="0.8">
      <c r="A495" s="351">
        <v>8</v>
      </c>
      <c r="B495" s="420" t="s">
        <v>88</v>
      </c>
      <c r="C495" s="421">
        <v>44855</v>
      </c>
      <c r="D495" s="414">
        <f>20/24</f>
        <v>0.83333333333333337</v>
      </c>
      <c r="E495" s="349" t="s">
        <v>445</v>
      </c>
      <c r="F495" s="351" t="s">
        <v>173</v>
      </c>
      <c r="G495" s="349" t="s">
        <v>39</v>
      </c>
      <c r="H495" s="351" t="s">
        <v>177</v>
      </c>
      <c r="I495" s="349" t="s">
        <v>39</v>
      </c>
      <c r="J495" s="420" t="str">
        <f>H495</f>
        <v>Western Kentucky</v>
      </c>
      <c r="K495" s="379" t="str">
        <f>IF(+J495=H495,F495,H495)</f>
        <v>UAB</v>
      </c>
      <c r="L495" s="422">
        <v>2</v>
      </c>
      <c r="M495" s="418">
        <v>57.5</v>
      </c>
      <c r="N495" s="351" t="str">
        <f>J495</f>
        <v>Western Kentucky</v>
      </c>
      <c r="O495" s="423">
        <v>20</v>
      </c>
      <c r="P495" s="436" t="str">
        <f>IF(+N495=H495,F495,H495)</f>
        <v>UAB</v>
      </c>
      <c r="Q495" s="408">
        <v>17</v>
      </c>
      <c r="R495" s="494" t="str">
        <f>IF(+N495=K495,+N495,IF(+O495-Q495&lt;L495,+K495,+J495))</f>
        <v>Western Kentucky</v>
      </c>
      <c r="S495" s="494" t="str">
        <f>IF(+R495=J495,+K495,+J495)</f>
        <v>UAB</v>
      </c>
      <c r="T495" s="356" t="str">
        <f>J495</f>
        <v>Western Kentucky</v>
      </c>
      <c r="U495" s="665" t="str">
        <f>IF($N495=$J495,IF($O495-$Q495=$L495,"T",IF($R495=T495,"W","L")),IF($R495=T495,"W","L"))</f>
        <v>W</v>
      </c>
      <c r="W495" s="424"/>
      <c r="X495" s="352" t="s">
        <v>404</v>
      </c>
      <c r="Y495" s="425"/>
    </row>
    <row r="496" spans="1:25" ht="16" x14ac:dyDescent="0.8">
      <c r="A496" s="351">
        <v>8</v>
      </c>
      <c r="B496" s="420" t="s">
        <v>34</v>
      </c>
      <c r="C496" s="421">
        <v>44856</v>
      </c>
      <c r="D496" s="414">
        <f>19.5/24</f>
        <v>0.8125</v>
      </c>
      <c r="E496" s="349" t="s">
        <v>95</v>
      </c>
      <c r="F496" s="420" t="s">
        <v>106</v>
      </c>
      <c r="G496" s="349" t="s">
        <v>50</v>
      </c>
      <c r="H496" s="351" t="s">
        <v>107</v>
      </c>
      <c r="I496" s="349" t="s">
        <v>50</v>
      </c>
      <c r="J496" s="420" t="str">
        <f>F496</f>
        <v>Central Florida</v>
      </c>
      <c r="K496" s="379" t="str">
        <f t="shared" ref="K496:K524" si="142">IF(+J496=H496,F496,H496)</f>
        <v>East Carolina</v>
      </c>
      <c r="L496" s="422">
        <v>5</v>
      </c>
      <c r="M496" s="418">
        <v>65.5</v>
      </c>
      <c r="N496" s="436" t="str">
        <f>K496</f>
        <v>East Carolina</v>
      </c>
      <c r="O496" s="423">
        <v>34</v>
      </c>
      <c r="P496" s="436" t="str">
        <f t="shared" ref="P496:P524" si="143">IF(+N496=H496,F496,H496)</f>
        <v>Central Florida</v>
      </c>
      <c r="Q496" s="408">
        <v>13</v>
      </c>
      <c r="R496" s="494" t="str">
        <f t="shared" ref="R496:R524" si="144">IF(+N496=K496,+N496,IF(+O496-Q496&lt;L496,+K496,+J496))</f>
        <v>East Carolina</v>
      </c>
      <c r="S496" s="494" t="str">
        <f t="shared" ref="S496:S524" si="145">IF(+R496=J496,+K496,+J496)</f>
        <v>Central Florida</v>
      </c>
      <c r="T496" s="356" t="str">
        <f>K496</f>
        <v>East Carolina</v>
      </c>
      <c r="U496" s="665" t="str">
        <f t="shared" ref="U496:U524" si="146">IF($N496=$J496,IF($O496-$Q496=$L496,"T",IF($R496=T496,"W","L")),IF($R496=T496,"W","L"))</f>
        <v>W</v>
      </c>
      <c r="V496" s="352" t="str">
        <f>UPPER(+F496)</f>
        <v>CENTRAL FLORIDA</v>
      </c>
      <c r="W496" s="424">
        <v>20</v>
      </c>
      <c r="X496" s="352" t="str">
        <f>LOWER(+H496)</f>
        <v>east carolina</v>
      </c>
      <c r="Y496" s="425">
        <v>16</v>
      </c>
    </row>
    <row r="497" spans="1:25" ht="16" x14ac:dyDescent="0.8">
      <c r="A497" s="351">
        <v>8</v>
      </c>
      <c r="B497" s="420" t="s">
        <v>34</v>
      </c>
      <c r="C497" s="421">
        <v>44856</v>
      </c>
      <c r="D497" s="414">
        <f>12/24</f>
        <v>0.5</v>
      </c>
      <c r="E497" s="349" t="s">
        <v>95</v>
      </c>
      <c r="F497" s="420" t="s">
        <v>174</v>
      </c>
      <c r="G497" s="349" t="s">
        <v>50</v>
      </c>
      <c r="H497" s="351" t="s">
        <v>96</v>
      </c>
      <c r="I497" s="349" t="s">
        <v>50</v>
      </c>
      <c r="J497" s="420" t="str">
        <f>F497</f>
        <v>Houston</v>
      </c>
      <c r="K497" s="379" t="str">
        <f t="shared" si="142"/>
        <v>Navy</v>
      </c>
      <c r="L497" s="422">
        <v>3</v>
      </c>
      <c r="M497" s="418">
        <v>51</v>
      </c>
      <c r="N497" s="351" t="str">
        <f>J497</f>
        <v>Houston</v>
      </c>
      <c r="O497" s="423">
        <v>38</v>
      </c>
      <c r="P497" s="436" t="str">
        <f t="shared" si="143"/>
        <v>Navy</v>
      </c>
      <c r="Q497" s="408">
        <v>20</v>
      </c>
      <c r="R497" s="494" t="str">
        <f t="shared" si="144"/>
        <v>Houston</v>
      </c>
      <c r="S497" s="494" t="str">
        <f t="shared" si="145"/>
        <v>Navy</v>
      </c>
      <c r="T497" s="356" t="str">
        <f>J497</f>
        <v>Houston</v>
      </c>
      <c r="U497" s="665" t="str">
        <f t="shared" si="146"/>
        <v>W</v>
      </c>
      <c r="V497" s="352" t="str">
        <f>UPPER(+F497)</f>
        <v>HOUSTON</v>
      </c>
      <c r="W497" s="424">
        <v>28</v>
      </c>
      <c r="X497" s="352" t="str">
        <f>LOWER(+H497)</f>
        <v>navy</v>
      </c>
      <c r="Y497" s="425">
        <v>20</v>
      </c>
    </row>
    <row r="498" spans="1:25" ht="16" x14ac:dyDescent="0.8">
      <c r="A498" s="351">
        <v>8</v>
      </c>
      <c r="B498" s="420" t="s">
        <v>34</v>
      </c>
      <c r="C498" s="421">
        <v>44856</v>
      </c>
      <c r="D498" s="414">
        <f>12/24</f>
        <v>0.5</v>
      </c>
      <c r="E498" s="349" t="s">
        <v>35</v>
      </c>
      <c r="F498" s="420" t="s">
        <v>55</v>
      </c>
      <c r="G498" s="349" t="s">
        <v>50</v>
      </c>
      <c r="H498" s="351" t="s">
        <v>109</v>
      </c>
      <c r="I498" s="349" t="s">
        <v>50</v>
      </c>
      <c r="J498" s="420" t="str">
        <f>F498</f>
        <v>Cincinnati</v>
      </c>
      <c r="K498" s="379" t="str">
        <f t="shared" si="142"/>
        <v>SMU</v>
      </c>
      <c r="L498" s="422">
        <v>3</v>
      </c>
      <c r="M498" s="418">
        <v>59.5</v>
      </c>
      <c r="N498" s="351" t="str">
        <f>J498</f>
        <v>Cincinnati</v>
      </c>
      <c r="O498" s="423">
        <v>29</v>
      </c>
      <c r="P498" s="436" t="str">
        <f t="shared" si="143"/>
        <v>SMU</v>
      </c>
      <c r="Q498" s="408">
        <v>27</v>
      </c>
      <c r="R498" s="494" t="str">
        <f t="shared" si="144"/>
        <v>SMU</v>
      </c>
      <c r="S498" s="494" t="str">
        <f t="shared" si="145"/>
        <v>Cincinnati</v>
      </c>
      <c r="T498" s="356" t="str">
        <f>K498</f>
        <v>SMU</v>
      </c>
      <c r="U498" s="665" t="str">
        <f t="shared" si="146"/>
        <v>W</v>
      </c>
      <c r="W498" s="424"/>
      <c r="X498" s="352" t="s">
        <v>404</v>
      </c>
      <c r="Y498" s="425"/>
    </row>
    <row r="499" spans="1:25" ht="16" x14ac:dyDescent="0.8">
      <c r="A499" s="351">
        <v>8</v>
      </c>
      <c r="B499" s="420" t="s">
        <v>34</v>
      </c>
      <c r="C499" s="421">
        <v>44856</v>
      </c>
      <c r="D499" s="414">
        <f>15.5/24</f>
        <v>0.64583333333333337</v>
      </c>
      <c r="E499" s="349" t="s">
        <v>256</v>
      </c>
      <c r="F499" s="351" t="s">
        <v>60</v>
      </c>
      <c r="G499" s="349" t="s">
        <v>50</v>
      </c>
      <c r="H499" s="351" t="s">
        <v>112</v>
      </c>
      <c r="I499" s="349" t="s">
        <v>50</v>
      </c>
      <c r="J499" s="420" t="str">
        <f t="shared" ref="J499:J509" si="147">H499</f>
        <v>Tulane</v>
      </c>
      <c r="K499" s="379" t="str">
        <f t="shared" si="142"/>
        <v>Memphis</v>
      </c>
      <c r="L499" s="422">
        <v>7</v>
      </c>
      <c r="M499" s="418">
        <v>56.5</v>
      </c>
      <c r="N499" s="351" t="str">
        <f>J499</f>
        <v>Tulane</v>
      </c>
      <c r="O499" s="423">
        <v>38</v>
      </c>
      <c r="P499" s="436" t="str">
        <f t="shared" si="143"/>
        <v>Memphis</v>
      </c>
      <c r="Q499" s="408">
        <v>28</v>
      </c>
      <c r="R499" s="494" t="str">
        <f t="shared" si="144"/>
        <v>Tulane</v>
      </c>
      <c r="S499" s="494" t="str">
        <f t="shared" si="145"/>
        <v>Memphis</v>
      </c>
      <c r="T499" s="356" t="str">
        <f>J499</f>
        <v>Tulane</v>
      </c>
      <c r="U499" s="665" t="str">
        <f t="shared" si="146"/>
        <v>W</v>
      </c>
      <c r="V499" s="352" t="str">
        <f>UPPER(+F499)</f>
        <v>MEMPHIS</v>
      </c>
      <c r="W499" s="424">
        <v>33</v>
      </c>
      <c r="X499" s="352" t="str">
        <f>LOWER(+H499)</f>
        <v>tulane</v>
      </c>
      <c r="Y499" s="425">
        <v>28</v>
      </c>
    </row>
    <row r="500" spans="1:25" ht="16" x14ac:dyDescent="0.8">
      <c r="A500" s="351">
        <v>8</v>
      </c>
      <c r="B500" s="420" t="s">
        <v>34</v>
      </c>
      <c r="C500" s="421">
        <v>44856</v>
      </c>
      <c r="D500" s="414">
        <f>12/24</f>
        <v>0.5</v>
      </c>
      <c r="E500" s="349" t="s">
        <v>135</v>
      </c>
      <c r="F500" s="420" t="s">
        <v>90</v>
      </c>
      <c r="G500" s="349" t="s">
        <v>61</v>
      </c>
      <c r="H500" s="351" t="s">
        <v>114</v>
      </c>
      <c r="I500" s="349" t="s">
        <v>61</v>
      </c>
      <c r="J500" s="420" t="str">
        <f t="shared" si="147"/>
        <v>Clemson</v>
      </c>
      <c r="K500" s="379" t="str">
        <f>IF(+J500=H500,F500,H500)</f>
        <v>Syracuse</v>
      </c>
      <c r="L500" s="422">
        <v>14</v>
      </c>
      <c r="M500" s="418">
        <v>49.5</v>
      </c>
      <c r="N500" s="351" t="str">
        <f>J500</f>
        <v>Clemson</v>
      </c>
      <c r="O500" s="423">
        <v>27</v>
      </c>
      <c r="P500" s="436" t="str">
        <f>IF(+N500=H500,F500,H500)</f>
        <v>Syracuse</v>
      </c>
      <c r="Q500" s="408">
        <v>21</v>
      </c>
      <c r="R500" s="494" t="str">
        <f>IF(+N500=K500,+N500,IF(+O500-Q500&lt;L500,+K500,+J500))</f>
        <v>Syracuse</v>
      </c>
      <c r="S500" s="494" t="str">
        <f>IF(+R500=J500,+K500,+J500)</f>
        <v>Clemson</v>
      </c>
      <c r="T500" s="356" t="str">
        <f>K500</f>
        <v>Syracuse</v>
      </c>
      <c r="U500" s="665" t="str">
        <f>IF($N500=$J500,IF($O500-$Q500=$L500,"T",IF($R500=T500,"W","L")),IF($R500=T500,"W","L"))</f>
        <v>W</v>
      </c>
      <c r="V500" s="352" t="str">
        <f>LOWER(+H500)</f>
        <v>clemson</v>
      </c>
      <c r="W500" s="424">
        <v>17</v>
      </c>
      <c r="X500" s="352" t="str">
        <f>UPPER(+F500)</f>
        <v>SYRACUSE</v>
      </c>
      <c r="Y500" s="425">
        <v>14</v>
      </c>
    </row>
    <row r="501" spans="1:25" ht="16" x14ac:dyDescent="0.8">
      <c r="A501" s="351">
        <v>8</v>
      </c>
      <c r="B501" s="420" t="s">
        <v>34</v>
      </c>
      <c r="C501" s="421">
        <v>44856</v>
      </c>
      <c r="D501" s="414">
        <f>20/24</f>
        <v>0.83333333333333337</v>
      </c>
      <c r="E501" s="349" t="s">
        <v>61</v>
      </c>
      <c r="F501" s="420" t="s">
        <v>128</v>
      </c>
      <c r="G501" s="349" t="s">
        <v>61</v>
      </c>
      <c r="H501" s="351" t="s">
        <v>120</v>
      </c>
      <c r="I501" s="349" t="s">
        <v>61</v>
      </c>
      <c r="J501" s="420" t="str">
        <f t="shared" si="147"/>
        <v>Louisville</v>
      </c>
      <c r="K501" s="379" t="str">
        <f t="shared" si="142"/>
        <v>Pittsburgh</v>
      </c>
      <c r="L501" s="422">
        <v>2.5</v>
      </c>
      <c r="M501" s="418">
        <v>55</v>
      </c>
      <c r="N501" s="351" t="str">
        <f>J501</f>
        <v>Louisville</v>
      </c>
      <c r="O501" s="423">
        <v>24</v>
      </c>
      <c r="P501" s="436" t="str">
        <f t="shared" si="143"/>
        <v>Pittsburgh</v>
      </c>
      <c r="Q501" s="408">
        <v>10</v>
      </c>
      <c r="R501" s="494" t="str">
        <f t="shared" si="144"/>
        <v>Louisville</v>
      </c>
      <c r="S501" s="494" t="str">
        <f t="shared" si="145"/>
        <v>Pittsburgh</v>
      </c>
      <c r="T501" s="356" t="str">
        <f>K501</f>
        <v>Pittsburgh</v>
      </c>
      <c r="U501" s="665" t="str">
        <f t="shared" si="146"/>
        <v>L</v>
      </c>
      <c r="V501" s="352" t="str">
        <f>UPPER(+F501)</f>
        <v>PITTSBURGH</v>
      </c>
      <c r="W501" s="424">
        <v>23</v>
      </c>
      <c r="X501" s="352" t="str">
        <f>LOWER(+H501)</f>
        <v>louisville</v>
      </c>
      <c r="Y501" s="425">
        <v>20</v>
      </c>
    </row>
    <row r="502" spans="1:25" ht="16" x14ac:dyDescent="0.8">
      <c r="A502" s="351">
        <v>8</v>
      </c>
      <c r="B502" s="420" t="s">
        <v>34</v>
      </c>
      <c r="C502" s="421">
        <v>44856</v>
      </c>
      <c r="D502" s="414">
        <f>12.5/24</f>
        <v>0.52083333333333337</v>
      </c>
      <c r="E502" s="349" t="s">
        <v>53</v>
      </c>
      <c r="F502" s="351" t="s">
        <v>115</v>
      </c>
      <c r="G502" s="349" t="s">
        <v>61</v>
      </c>
      <c r="H502" s="351" t="s">
        <v>122</v>
      </c>
      <c r="I502" s="349" t="s">
        <v>61</v>
      </c>
      <c r="J502" s="420" t="str">
        <f t="shared" si="147"/>
        <v>Miami (FL)</v>
      </c>
      <c r="K502" s="379" t="str">
        <f t="shared" si="142"/>
        <v>Duke</v>
      </c>
      <c r="L502" s="422">
        <v>9</v>
      </c>
      <c r="M502" s="418">
        <v>58.5</v>
      </c>
      <c r="N502" s="436" t="str">
        <f>K502</f>
        <v>Duke</v>
      </c>
      <c r="O502" s="423">
        <v>45</v>
      </c>
      <c r="P502" s="436" t="str">
        <f t="shared" si="143"/>
        <v>Miami (FL)</v>
      </c>
      <c r="Q502" s="408">
        <v>21</v>
      </c>
      <c r="R502" s="494" t="str">
        <f t="shared" si="144"/>
        <v>Duke</v>
      </c>
      <c r="S502" s="494" t="str">
        <f t="shared" si="145"/>
        <v>Miami (FL)</v>
      </c>
      <c r="T502" s="356" t="str">
        <f>K502</f>
        <v>Duke</v>
      </c>
      <c r="U502" s="665" t="str">
        <f t="shared" si="146"/>
        <v>W</v>
      </c>
      <c r="V502" s="352" t="str">
        <f>LOWER(+H502)</f>
        <v>miami (fl)</v>
      </c>
      <c r="W502" s="424">
        <v>47</v>
      </c>
      <c r="X502" s="352" t="str">
        <f>UPPER(+F502)</f>
        <v>DUKE</v>
      </c>
      <c r="Y502" s="425">
        <v>20</v>
      </c>
    </row>
    <row r="503" spans="1:25" ht="16" x14ac:dyDescent="0.8">
      <c r="A503" s="351">
        <v>8</v>
      </c>
      <c r="B503" s="420" t="s">
        <v>34</v>
      </c>
      <c r="C503" s="421">
        <v>44856</v>
      </c>
      <c r="D503" s="414">
        <f>15.5/24</f>
        <v>0.64583333333333337</v>
      </c>
      <c r="E503" s="349" t="s">
        <v>61</v>
      </c>
      <c r="F503" s="420" t="s">
        <v>102</v>
      </c>
      <c r="G503" s="349" t="s">
        <v>61</v>
      </c>
      <c r="H503" s="351" t="s">
        <v>62</v>
      </c>
      <c r="I503" s="349" t="s">
        <v>61</v>
      </c>
      <c r="J503" s="420" t="str">
        <f t="shared" si="147"/>
        <v>Wake Forest</v>
      </c>
      <c r="K503" s="379" t="str">
        <f t="shared" si="142"/>
        <v>Boston College</v>
      </c>
      <c r="L503" s="422">
        <v>21</v>
      </c>
      <c r="M503" s="418">
        <v>60.5</v>
      </c>
      <c r="N503" s="351" t="str">
        <f t="shared" ref="N503:N509" si="148">J503</f>
        <v>Wake Forest</v>
      </c>
      <c r="O503" s="423">
        <v>43</v>
      </c>
      <c r="P503" s="436" t="str">
        <f t="shared" si="143"/>
        <v>Boston College</v>
      </c>
      <c r="Q503" s="408">
        <v>15</v>
      </c>
      <c r="R503" s="494" t="str">
        <f t="shared" si="144"/>
        <v>Wake Forest</v>
      </c>
      <c r="S503" s="494" t="str">
        <f t="shared" si="145"/>
        <v>Boston College</v>
      </c>
      <c r="T503" s="356" t="str">
        <f>J503</f>
        <v>Wake Forest</v>
      </c>
      <c r="U503" s="665" t="str">
        <f t="shared" si="146"/>
        <v>W</v>
      </c>
      <c r="V503" s="352" t="str">
        <f>LOWER(+H503)</f>
        <v>wake forest</v>
      </c>
      <c r="W503" s="424">
        <v>41</v>
      </c>
      <c r="X503" s="352" t="str">
        <f>UPPER(+F503)</f>
        <v>BOSTON COLLEGE</v>
      </c>
      <c r="Y503" s="425">
        <v>10</v>
      </c>
    </row>
    <row r="504" spans="1:25" ht="16" x14ac:dyDescent="0.8">
      <c r="A504" s="351">
        <v>8</v>
      </c>
      <c r="B504" s="420" t="s">
        <v>34</v>
      </c>
      <c r="C504" s="421">
        <v>44856</v>
      </c>
      <c r="D504" s="414">
        <f>15.5/24</f>
        <v>0.64583333333333337</v>
      </c>
      <c r="E504" s="349" t="s">
        <v>66</v>
      </c>
      <c r="F504" s="351" t="s">
        <v>143</v>
      </c>
      <c r="G504" s="349" t="s">
        <v>64</v>
      </c>
      <c r="H504" s="351" t="s">
        <v>156</v>
      </c>
      <c r="I504" s="349" t="s">
        <v>64</v>
      </c>
      <c r="J504" s="420" t="str">
        <f t="shared" si="147"/>
        <v>Maryland</v>
      </c>
      <c r="K504" s="379" t="str">
        <f t="shared" si="142"/>
        <v>Northwestern</v>
      </c>
      <c r="L504" s="422">
        <v>13.5</v>
      </c>
      <c r="M504" s="418">
        <v>51</v>
      </c>
      <c r="N504" s="351" t="str">
        <f t="shared" si="148"/>
        <v>Maryland</v>
      </c>
      <c r="O504" s="423">
        <v>31</v>
      </c>
      <c r="P504" s="436" t="str">
        <f t="shared" si="143"/>
        <v>Northwestern</v>
      </c>
      <c r="Q504" s="408">
        <v>24</v>
      </c>
      <c r="R504" s="494" t="str">
        <f t="shared" si="144"/>
        <v>Northwestern</v>
      </c>
      <c r="S504" s="494" t="str">
        <f t="shared" si="145"/>
        <v>Maryland</v>
      </c>
      <c r="T504" s="356" t="str">
        <f>J504</f>
        <v>Maryland</v>
      </c>
      <c r="U504" s="665" t="str">
        <f t="shared" si="146"/>
        <v>L</v>
      </c>
      <c r="W504" s="424"/>
      <c r="X504" s="352" t="s">
        <v>404</v>
      </c>
      <c r="Y504" s="425"/>
    </row>
    <row r="505" spans="1:25" ht="16" x14ac:dyDescent="0.8">
      <c r="A505" s="351">
        <v>8</v>
      </c>
      <c r="B505" s="420" t="s">
        <v>34</v>
      </c>
      <c r="C505" s="421">
        <v>44856</v>
      </c>
      <c r="D505" s="414">
        <f>12/24</f>
        <v>0.5</v>
      </c>
      <c r="E505" s="349" t="s">
        <v>118</v>
      </c>
      <c r="F505" s="420" t="s">
        <v>134</v>
      </c>
      <c r="G505" s="349" t="s">
        <v>64</v>
      </c>
      <c r="H505" s="351" t="s">
        <v>63</v>
      </c>
      <c r="I505" s="349" t="s">
        <v>64</v>
      </c>
      <c r="J505" s="420" t="str">
        <f t="shared" si="147"/>
        <v>Ohio State</v>
      </c>
      <c r="K505" s="379" t="str">
        <f t="shared" si="142"/>
        <v>Iowa</v>
      </c>
      <c r="L505" s="422">
        <v>29</v>
      </c>
      <c r="M505" s="418">
        <v>49</v>
      </c>
      <c r="N505" s="351" t="str">
        <f t="shared" si="148"/>
        <v>Ohio State</v>
      </c>
      <c r="O505" s="423">
        <v>54</v>
      </c>
      <c r="P505" s="436" t="str">
        <f t="shared" si="143"/>
        <v>Iowa</v>
      </c>
      <c r="Q505" s="408">
        <v>10</v>
      </c>
      <c r="R505" s="494" t="str">
        <f t="shared" si="144"/>
        <v>Ohio State</v>
      </c>
      <c r="S505" s="494" t="str">
        <f t="shared" si="145"/>
        <v>Iowa</v>
      </c>
      <c r="T505" s="356" t="str">
        <f>K505</f>
        <v>Iowa</v>
      </c>
      <c r="U505" s="665" t="str">
        <f t="shared" si="146"/>
        <v>L</v>
      </c>
      <c r="W505" s="424"/>
      <c r="X505" s="352" t="s">
        <v>404</v>
      </c>
      <c r="Y505" s="425"/>
    </row>
    <row r="506" spans="1:25" ht="16" x14ac:dyDescent="0.8">
      <c r="A506" s="351">
        <v>8</v>
      </c>
      <c r="B506" s="420" t="s">
        <v>34</v>
      </c>
      <c r="C506" s="421">
        <v>44856</v>
      </c>
      <c r="D506" s="414">
        <f>19.5/24</f>
        <v>0.8125</v>
      </c>
      <c r="E506" s="349" t="s">
        <v>135</v>
      </c>
      <c r="F506" s="420" t="s">
        <v>69</v>
      </c>
      <c r="G506" s="349" t="s">
        <v>64</v>
      </c>
      <c r="H506" s="351" t="s">
        <v>145</v>
      </c>
      <c r="I506" s="349" t="s">
        <v>64</v>
      </c>
      <c r="J506" s="420" t="str">
        <f t="shared" si="147"/>
        <v>Penn State</v>
      </c>
      <c r="K506" s="379" t="str">
        <f t="shared" si="142"/>
        <v>Minnesota</v>
      </c>
      <c r="L506" s="422">
        <v>5</v>
      </c>
      <c r="M506" s="418">
        <v>44.5</v>
      </c>
      <c r="N506" s="351" t="str">
        <f t="shared" si="148"/>
        <v>Penn State</v>
      </c>
      <c r="O506" s="423">
        <v>45</v>
      </c>
      <c r="P506" s="436" t="str">
        <f t="shared" si="143"/>
        <v>Minnesota</v>
      </c>
      <c r="Q506" s="408">
        <v>17</v>
      </c>
      <c r="R506" s="494" t="str">
        <f t="shared" si="144"/>
        <v>Penn State</v>
      </c>
      <c r="S506" s="494" t="str">
        <f t="shared" si="145"/>
        <v>Minnesota</v>
      </c>
      <c r="T506" s="356" t="str">
        <f>K506</f>
        <v>Minnesota</v>
      </c>
      <c r="U506" s="665" t="str">
        <f t="shared" si="146"/>
        <v>L</v>
      </c>
      <c r="W506" s="424"/>
      <c r="X506" s="352" t="s">
        <v>404</v>
      </c>
      <c r="Y506" s="425"/>
    </row>
    <row r="507" spans="1:25" ht="16" x14ac:dyDescent="0.8">
      <c r="A507" s="351">
        <v>8</v>
      </c>
      <c r="B507" s="420" t="s">
        <v>34</v>
      </c>
      <c r="C507" s="421">
        <v>44856</v>
      </c>
      <c r="D507" s="414">
        <f>12/24</f>
        <v>0.5</v>
      </c>
      <c r="E507" s="349" t="s">
        <v>66</v>
      </c>
      <c r="F507" s="351" t="s">
        <v>65</v>
      </c>
      <c r="G507" s="349" t="s">
        <v>64</v>
      </c>
      <c r="H507" s="351" t="s">
        <v>92</v>
      </c>
      <c r="I507" s="349" t="s">
        <v>64</v>
      </c>
      <c r="J507" s="420" t="str">
        <f t="shared" si="147"/>
        <v>Rutgers</v>
      </c>
      <c r="K507" s="379" t="str">
        <f t="shared" si="142"/>
        <v>Indiana</v>
      </c>
      <c r="L507" s="422">
        <v>3</v>
      </c>
      <c r="M507" s="418">
        <v>47</v>
      </c>
      <c r="N507" s="351" t="str">
        <f t="shared" si="148"/>
        <v>Rutgers</v>
      </c>
      <c r="O507" s="423">
        <v>24</v>
      </c>
      <c r="P507" s="436" t="str">
        <f t="shared" si="143"/>
        <v>Indiana</v>
      </c>
      <c r="Q507" s="408">
        <v>17</v>
      </c>
      <c r="R507" s="494" t="str">
        <f t="shared" si="144"/>
        <v>Rutgers</v>
      </c>
      <c r="S507" s="494" t="str">
        <f t="shared" si="145"/>
        <v>Indiana</v>
      </c>
      <c r="T507" s="356" t="str">
        <f>J507</f>
        <v>Rutgers</v>
      </c>
      <c r="U507" s="665" t="str">
        <f t="shared" si="146"/>
        <v>W</v>
      </c>
      <c r="V507" s="352" t="str">
        <f>LOWER(+H507)</f>
        <v>rutgers</v>
      </c>
      <c r="W507" s="424">
        <v>38</v>
      </c>
      <c r="X507" s="352" t="str">
        <f>UPPER(+F507)</f>
        <v>INDIANA</v>
      </c>
      <c r="Y507" s="425">
        <v>3</v>
      </c>
    </row>
    <row r="508" spans="1:25" ht="16" x14ac:dyDescent="0.8">
      <c r="A508" s="351">
        <v>8</v>
      </c>
      <c r="B508" s="420" t="s">
        <v>34</v>
      </c>
      <c r="C508" s="421">
        <v>44856</v>
      </c>
      <c r="D508" s="414">
        <f>15.5/24</f>
        <v>0.64583333333333337</v>
      </c>
      <c r="E508" s="349" t="s">
        <v>35</v>
      </c>
      <c r="F508" s="420" t="s">
        <v>119</v>
      </c>
      <c r="G508" s="349" t="s">
        <v>64</v>
      </c>
      <c r="H508" s="351" t="s">
        <v>94</v>
      </c>
      <c r="I508" s="349" t="s">
        <v>64</v>
      </c>
      <c r="J508" s="420" t="str">
        <f t="shared" si="147"/>
        <v>Wisconsin</v>
      </c>
      <c r="K508" s="379" t="str">
        <f t="shared" si="142"/>
        <v>Purdue</v>
      </c>
      <c r="L508" s="422">
        <v>2.5</v>
      </c>
      <c r="M508" s="418">
        <v>51.5</v>
      </c>
      <c r="N508" s="351" t="str">
        <f t="shared" si="148"/>
        <v>Wisconsin</v>
      </c>
      <c r="O508" s="423">
        <v>35</v>
      </c>
      <c r="P508" s="436" t="str">
        <f t="shared" si="143"/>
        <v>Purdue</v>
      </c>
      <c r="Q508" s="408">
        <v>24</v>
      </c>
      <c r="R508" s="494" t="str">
        <f t="shared" si="144"/>
        <v>Wisconsin</v>
      </c>
      <c r="S508" s="494" t="str">
        <f t="shared" si="145"/>
        <v>Purdue</v>
      </c>
      <c r="T508" s="356" t="str">
        <f>K508</f>
        <v>Purdue</v>
      </c>
      <c r="U508" s="665" t="str">
        <f t="shared" si="146"/>
        <v>L</v>
      </c>
      <c r="V508" s="352" t="str">
        <f>LOWER(+H508)</f>
        <v>wisconsin</v>
      </c>
      <c r="W508" s="424">
        <v>30</v>
      </c>
      <c r="X508" s="352" t="str">
        <f>UPPER(+F508)</f>
        <v>PURDUE</v>
      </c>
      <c r="Y508" s="425">
        <v>13</v>
      </c>
    </row>
    <row r="509" spans="1:25" ht="16" x14ac:dyDescent="0.8">
      <c r="A509" s="351">
        <v>8</v>
      </c>
      <c r="B509" s="420" t="s">
        <v>34</v>
      </c>
      <c r="C509" s="421">
        <v>44856</v>
      </c>
      <c r="D509" s="414">
        <f>12/24</f>
        <v>0.5</v>
      </c>
      <c r="E509" s="349" t="s">
        <v>256</v>
      </c>
      <c r="F509" s="420" t="s">
        <v>150</v>
      </c>
      <c r="G509" s="349" t="s">
        <v>73</v>
      </c>
      <c r="H509" s="351" t="s">
        <v>146</v>
      </c>
      <c r="I509" s="349" t="s">
        <v>73</v>
      </c>
      <c r="J509" s="420" t="str">
        <f t="shared" si="147"/>
        <v>Baylor</v>
      </c>
      <c r="K509" s="379" t="str">
        <f t="shared" si="142"/>
        <v>Kansas</v>
      </c>
      <c r="L509" s="422">
        <v>7.5</v>
      </c>
      <c r="M509" s="418">
        <v>61</v>
      </c>
      <c r="N509" s="351" t="str">
        <f t="shared" si="148"/>
        <v>Baylor</v>
      </c>
      <c r="O509" s="423">
        <v>35</v>
      </c>
      <c r="P509" s="436" t="str">
        <f t="shared" si="143"/>
        <v>Kansas</v>
      </c>
      <c r="Q509" s="408">
        <v>23</v>
      </c>
      <c r="R509" s="494" t="str">
        <f t="shared" si="144"/>
        <v>Baylor</v>
      </c>
      <c r="S509" s="494" t="str">
        <f t="shared" si="145"/>
        <v>Kansas</v>
      </c>
      <c r="T509" s="356" t="str">
        <f>J509</f>
        <v>Baylor</v>
      </c>
      <c r="U509" s="665" t="str">
        <f t="shared" si="146"/>
        <v>W</v>
      </c>
      <c r="V509" s="352" t="str">
        <f>LOWER(+H509)</f>
        <v>baylor</v>
      </c>
      <c r="W509" s="424">
        <v>45</v>
      </c>
      <c r="X509" s="352" t="str">
        <f>UPPER(+F509)</f>
        <v>KANSAS</v>
      </c>
      <c r="Y509" s="425">
        <v>7</v>
      </c>
    </row>
    <row r="510" spans="1:25" ht="16" x14ac:dyDescent="0.8">
      <c r="A510" s="351">
        <v>8</v>
      </c>
      <c r="B510" s="420" t="s">
        <v>34</v>
      </c>
      <c r="C510" s="421">
        <v>44856</v>
      </c>
      <c r="D510" s="414">
        <f>15.5/24</f>
        <v>0.64583333333333337</v>
      </c>
      <c r="E510" s="349" t="s">
        <v>135</v>
      </c>
      <c r="F510" s="351" t="s">
        <v>157</v>
      </c>
      <c r="G510" s="349" t="s">
        <v>73</v>
      </c>
      <c r="H510" s="351" t="s">
        <v>72</v>
      </c>
      <c r="I510" s="349" t="s">
        <v>73</v>
      </c>
      <c r="J510" s="420" t="str">
        <f>F510</f>
        <v>Texas</v>
      </c>
      <c r="K510" s="379" t="str">
        <f t="shared" si="142"/>
        <v>Oklahoma State</v>
      </c>
      <c r="L510" s="422">
        <v>6.5</v>
      </c>
      <c r="M510" s="418">
        <v>62</v>
      </c>
      <c r="N510" s="436" t="str">
        <f>K510</f>
        <v>Oklahoma State</v>
      </c>
      <c r="O510" s="423">
        <v>41</v>
      </c>
      <c r="P510" s="436" t="str">
        <f t="shared" si="143"/>
        <v>Texas</v>
      </c>
      <c r="Q510" s="408">
        <v>34</v>
      </c>
      <c r="R510" s="494" t="str">
        <f t="shared" si="144"/>
        <v>Oklahoma State</v>
      </c>
      <c r="S510" s="494" t="str">
        <f t="shared" si="145"/>
        <v>Texas</v>
      </c>
      <c r="T510" s="356" t="str">
        <f>K510</f>
        <v>Oklahoma State</v>
      </c>
      <c r="U510" s="665" t="str">
        <f t="shared" si="146"/>
        <v>W</v>
      </c>
      <c r="V510" s="352" t="str">
        <f>LOWER(+H510)</f>
        <v>oklahoma state</v>
      </c>
      <c r="W510" s="424">
        <v>32</v>
      </c>
      <c r="X510" s="352" t="str">
        <f>UPPER(+F510)</f>
        <v>TEXAS</v>
      </c>
      <c r="Y510" s="425">
        <v>34</v>
      </c>
    </row>
    <row r="511" spans="1:25" ht="16" x14ac:dyDescent="0.8">
      <c r="A511" s="351">
        <v>8</v>
      </c>
      <c r="B511" s="420" t="s">
        <v>34</v>
      </c>
      <c r="C511" s="421">
        <v>44856</v>
      </c>
      <c r="D511" s="414">
        <f>20/24</f>
        <v>0.83333333333333337</v>
      </c>
      <c r="E511" s="349" t="s">
        <v>70</v>
      </c>
      <c r="F511" s="420" t="s">
        <v>152</v>
      </c>
      <c r="G511" s="349" t="s">
        <v>73</v>
      </c>
      <c r="H511" s="351" t="s">
        <v>155</v>
      </c>
      <c r="I511" s="349" t="s">
        <v>73</v>
      </c>
      <c r="J511" s="420" t="str">
        <f>H511</f>
        <v>TCU</v>
      </c>
      <c r="K511" s="379" t="str">
        <f t="shared" si="142"/>
        <v>Kansas State</v>
      </c>
      <c r="L511" s="422">
        <v>3.5</v>
      </c>
      <c r="M511" s="418">
        <v>55.5</v>
      </c>
      <c r="N511" s="351" t="str">
        <f>J511</f>
        <v>TCU</v>
      </c>
      <c r="O511" s="423">
        <v>38</v>
      </c>
      <c r="P511" s="436" t="str">
        <f t="shared" si="143"/>
        <v>Kansas State</v>
      </c>
      <c r="Q511" s="408">
        <v>28</v>
      </c>
      <c r="R511" s="494" t="str">
        <f t="shared" si="144"/>
        <v>TCU</v>
      </c>
      <c r="S511" s="494" t="str">
        <f t="shared" si="145"/>
        <v>Kansas State</v>
      </c>
      <c r="T511" s="356" t="str">
        <f>K511</f>
        <v>Kansas State</v>
      </c>
      <c r="U511" s="665" t="str">
        <f t="shared" si="146"/>
        <v>L</v>
      </c>
      <c r="V511" s="352" t="str">
        <f>UPPER(+F511)</f>
        <v>KANSAS STATE</v>
      </c>
      <c r="W511" s="424">
        <v>31</v>
      </c>
      <c r="X511" s="352" t="str">
        <f>LOWER(+H511)</f>
        <v>tcu</v>
      </c>
      <c r="Y511" s="425">
        <v>12</v>
      </c>
    </row>
    <row r="512" spans="1:25" ht="16" x14ac:dyDescent="0.8">
      <c r="A512" s="351">
        <v>8</v>
      </c>
      <c r="B512" s="420" t="s">
        <v>34</v>
      </c>
      <c r="C512" s="421">
        <v>44856</v>
      </c>
      <c r="D512" s="414">
        <f>15.5/24</f>
        <v>0.64583333333333337</v>
      </c>
      <c r="E512" s="349" t="s">
        <v>70</v>
      </c>
      <c r="F512" s="351" t="s">
        <v>222</v>
      </c>
      <c r="G512" s="349" t="s">
        <v>73</v>
      </c>
      <c r="H512" s="351" t="s">
        <v>159</v>
      </c>
      <c r="I512" s="349" t="s">
        <v>73</v>
      </c>
      <c r="J512" s="420" t="str">
        <f>H512</f>
        <v>Texas Tech</v>
      </c>
      <c r="K512" s="379" t="str">
        <f t="shared" si="142"/>
        <v>West Virginia</v>
      </c>
      <c r="L512" s="422">
        <v>7</v>
      </c>
      <c r="M512" s="418">
        <v>67</v>
      </c>
      <c r="N512" s="351" t="str">
        <f>J512</f>
        <v>Texas Tech</v>
      </c>
      <c r="O512" s="423">
        <v>48</v>
      </c>
      <c r="P512" s="436" t="str">
        <f t="shared" si="143"/>
        <v>West Virginia</v>
      </c>
      <c r="Q512" s="408">
        <v>10</v>
      </c>
      <c r="R512" s="494" t="str">
        <f t="shared" si="144"/>
        <v>Texas Tech</v>
      </c>
      <c r="S512" s="494" t="str">
        <f t="shared" si="145"/>
        <v>West Virginia</v>
      </c>
      <c r="T512" s="356" t="str">
        <f>K512</f>
        <v>West Virginia</v>
      </c>
      <c r="U512" s="665" t="str">
        <f t="shared" si="146"/>
        <v>L</v>
      </c>
      <c r="V512" s="352" t="str">
        <f>LOWER(+H512)</f>
        <v>texas tech</v>
      </c>
      <c r="W512" s="424">
        <v>23</v>
      </c>
      <c r="X512" s="352" t="str">
        <f>UPPER(+F512)</f>
        <v>WEST VIRGINIA</v>
      </c>
      <c r="Y512" s="425">
        <v>20</v>
      </c>
    </row>
    <row r="513" spans="1:25" ht="16" x14ac:dyDescent="0.8">
      <c r="A513" s="351">
        <v>8</v>
      </c>
      <c r="B513" s="420" t="s">
        <v>34</v>
      </c>
      <c r="C513" s="421">
        <v>44856</v>
      </c>
      <c r="D513" s="414">
        <f>15/24</f>
        <v>0.625</v>
      </c>
      <c r="E513" s="349"/>
      <c r="F513" s="420" t="s">
        <v>38</v>
      </c>
      <c r="G513" s="349" t="s">
        <v>39</v>
      </c>
      <c r="H513" s="351" t="s">
        <v>161</v>
      </c>
      <c r="I513" s="349" t="s">
        <v>39</v>
      </c>
      <c r="J513" s="420" t="str">
        <f>F513</f>
        <v>Rice</v>
      </c>
      <c r="K513" s="379" t="str">
        <f t="shared" si="142"/>
        <v>Louisiana Tech</v>
      </c>
      <c r="L513" s="422">
        <v>3.5</v>
      </c>
      <c r="M513" s="418">
        <v>57</v>
      </c>
      <c r="N513" s="436" t="str">
        <f>K513</f>
        <v>Louisiana Tech</v>
      </c>
      <c r="O513" s="423">
        <v>41</v>
      </c>
      <c r="P513" s="436" t="str">
        <f t="shared" si="143"/>
        <v>Rice</v>
      </c>
      <c r="Q513" s="408">
        <v>42</v>
      </c>
      <c r="R513" s="494" t="str">
        <f t="shared" si="144"/>
        <v>Louisiana Tech</v>
      </c>
      <c r="S513" s="494" t="str">
        <f t="shared" si="145"/>
        <v>Rice</v>
      </c>
      <c r="T513" s="356" t="str">
        <f>J513</f>
        <v>Rice</v>
      </c>
      <c r="U513" s="665" t="str">
        <f t="shared" si="146"/>
        <v>L</v>
      </c>
      <c r="V513" s="352" t="str">
        <f>UPPER(+F513)</f>
        <v>RICE</v>
      </c>
      <c r="W513" s="424">
        <v>35</v>
      </c>
      <c r="X513" s="352" t="str">
        <f>LOWER(+H513)</f>
        <v>louisiana tech</v>
      </c>
      <c r="Y513" s="425">
        <v>31</v>
      </c>
    </row>
    <row r="514" spans="1:25" ht="16" x14ac:dyDescent="0.8">
      <c r="A514" s="351">
        <v>8</v>
      </c>
      <c r="B514" s="420" t="s">
        <v>34</v>
      </c>
      <c r="C514" s="421">
        <v>44856</v>
      </c>
      <c r="D514" s="414">
        <f>15.5/24</f>
        <v>0.64583333333333337</v>
      </c>
      <c r="E514" s="349" t="s">
        <v>53</v>
      </c>
      <c r="F514" s="351" t="s">
        <v>105</v>
      </c>
      <c r="G514" s="349" t="s">
        <v>39</v>
      </c>
      <c r="H514" s="351" t="s">
        <v>100</v>
      </c>
      <c r="I514" s="349" t="s">
        <v>39</v>
      </c>
      <c r="J514" s="420" t="str">
        <f>H514</f>
        <v>UNC Charlotte</v>
      </c>
      <c r="K514" s="379" t="str">
        <f t="shared" si="142"/>
        <v>Florida Intl</v>
      </c>
      <c r="L514" s="422">
        <v>14.5</v>
      </c>
      <c r="M514" s="418">
        <v>61</v>
      </c>
      <c r="N514" s="436" t="str">
        <f>K514</f>
        <v>Florida Intl</v>
      </c>
      <c r="O514" s="423">
        <v>34</v>
      </c>
      <c r="P514" s="436" t="str">
        <f t="shared" si="143"/>
        <v>UNC Charlotte</v>
      </c>
      <c r="Q514" s="408">
        <v>15</v>
      </c>
      <c r="R514" s="494" t="str">
        <f t="shared" si="144"/>
        <v>Florida Intl</v>
      </c>
      <c r="S514" s="494" t="str">
        <f t="shared" si="145"/>
        <v>UNC Charlotte</v>
      </c>
      <c r="T514" s="356" t="str">
        <f>K514</f>
        <v>Florida Intl</v>
      </c>
      <c r="U514" s="665" t="str">
        <f t="shared" si="146"/>
        <v>W</v>
      </c>
      <c r="V514" s="352" t="str">
        <f>LOWER(+H514)</f>
        <v>unc charlotte</v>
      </c>
      <c r="W514" s="424">
        <v>45</v>
      </c>
      <c r="X514" s="352" t="str">
        <f>UPPER(+F514)</f>
        <v>FLORIDA INTL</v>
      </c>
      <c r="Y514" s="425">
        <v>33</v>
      </c>
    </row>
    <row r="515" spans="1:25" ht="16" x14ac:dyDescent="0.8">
      <c r="A515" s="351">
        <v>8</v>
      </c>
      <c r="B515" s="420" t="s">
        <v>34</v>
      </c>
      <c r="C515" s="421">
        <v>44856</v>
      </c>
      <c r="D515" s="414">
        <f>15.5/24</f>
        <v>0.64583333333333337</v>
      </c>
      <c r="E515" s="349"/>
      <c r="F515" s="420" t="s">
        <v>167</v>
      </c>
      <c r="G515" s="349" t="s">
        <v>39</v>
      </c>
      <c r="H515" s="351" t="s">
        <v>175</v>
      </c>
      <c r="I515" s="349" t="s">
        <v>39</v>
      </c>
      <c r="J515" s="420" t="str">
        <f>H515</f>
        <v>UT San Antonio</v>
      </c>
      <c r="K515" s="379" t="str">
        <f t="shared" si="142"/>
        <v>North Texas</v>
      </c>
      <c r="L515" s="422">
        <v>10</v>
      </c>
      <c r="M515" s="418">
        <v>71.5</v>
      </c>
      <c r="N515" s="351" t="str">
        <f>J515</f>
        <v>UT San Antonio</v>
      </c>
      <c r="O515" s="423">
        <v>31</v>
      </c>
      <c r="P515" s="436" t="str">
        <f t="shared" si="143"/>
        <v>North Texas</v>
      </c>
      <c r="Q515" s="408">
        <v>27</v>
      </c>
      <c r="R515" s="494" t="str">
        <f t="shared" si="144"/>
        <v>North Texas</v>
      </c>
      <c r="S515" s="494" t="str">
        <f t="shared" si="145"/>
        <v>UT San Antonio</v>
      </c>
      <c r="T515" s="356" t="str">
        <f>J515</f>
        <v>UT San Antonio</v>
      </c>
      <c r="U515" s="665" t="str">
        <f t="shared" si="146"/>
        <v>L</v>
      </c>
      <c r="V515" s="352" t="str">
        <f>UPPER(+F515)</f>
        <v>NORTH TEXAS</v>
      </c>
      <c r="W515" s="424">
        <v>45</v>
      </c>
      <c r="X515" s="352" t="str">
        <f>LOWER(+H515)</f>
        <v>ut san antonio</v>
      </c>
      <c r="Y515" s="425">
        <v>23</v>
      </c>
    </row>
    <row r="516" spans="1:25" ht="16" x14ac:dyDescent="0.8">
      <c r="A516" s="351">
        <v>8</v>
      </c>
      <c r="B516" s="420" t="s">
        <v>34</v>
      </c>
      <c r="C516" s="421">
        <v>44856</v>
      </c>
      <c r="D516" s="414">
        <f>16/24</f>
        <v>0.66666666666666663</v>
      </c>
      <c r="E516" s="349"/>
      <c r="F516" s="351" t="s">
        <v>97</v>
      </c>
      <c r="G516" s="349" t="s">
        <v>39</v>
      </c>
      <c r="H516" s="351" t="s">
        <v>153</v>
      </c>
      <c r="I516" s="349" t="s">
        <v>39</v>
      </c>
      <c r="J516" s="420" t="str">
        <f>F516</f>
        <v>Florida Atlantic</v>
      </c>
      <c r="K516" s="379" t="str">
        <f t="shared" si="142"/>
        <v>UTEP</v>
      </c>
      <c r="L516" s="422">
        <v>4</v>
      </c>
      <c r="M516" s="418">
        <v>50.5</v>
      </c>
      <c r="N516" s="436" t="str">
        <f>K516</f>
        <v>UTEP</v>
      </c>
      <c r="O516" s="423">
        <v>24</v>
      </c>
      <c r="P516" s="436" t="str">
        <f t="shared" si="143"/>
        <v>Florida Atlantic</v>
      </c>
      <c r="Q516" s="408">
        <v>21</v>
      </c>
      <c r="R516" s="494" t="str">
        <f t="shared" si="144"/>
        <v>UTEP</v>
      </c>
      <c r="S516" s="494" t="str">
        <f t="shared" si="145"/>
        <v>Florida Atlantic</v>
      </c>
      <c r="T516" s="356" t="str">
        <f>J516</f>
        <v>Florida Atlantic</v>
      </c>
      <c r="U516" s="665" t="str">
        <f t="shared" si="146"/>
        <v>L</v>
      </c>
      <c r="V516" s="352" t="str">
        <f>UPPER(+F516)</f>
        <v>FLORIDA ATLANTIC</v>
      </c>
      <c r="W516" s="424">
        <v>28</v>
      </c>
      <c r="X516" s="352" t="str">
        <f>LOWER(+H516)</f>
        <v>utep</v>
      </c>
      <c r="Y516" s="425">
        <v>25</v>
      </c>
    </row>
    <row r="517" spans="1:25" ht="16" x14ac:dyDescent="0.8">
      <c r="A517" s="351">
        <v>8</v>
      </c>
      <c r="B517" s="420" t="s">
        <v>34</v>
      </c>
      <c r="C517" s="421">
        <v>44856</v>
      </c>
      <c r="D517" s="414">
        <f>12/24</f>
        <v>0.5</v>
      </c>
      <c r="E517" s="349" t="s">
        <v>445</v>
      </c>
      <c r="F517" s="420" t="s">
        <v>58</v>
      </c>
      <c r="G517" s="349" t="s">
        <v>59</v>
      </c>
      <c r="H517" s="351" t="s">
        <v>99</v>
      </c>
      <c r="I517" s="349" t="s">
        <v>43</v>
      </c>
      <c r="J517" s="420" t="str">
        <f>H517</f>
        <v>Army</v>
      </c>
      <c r="K517" s="379" t="str">
        <f t="shared" si="142"/>
        <v>UL Monroe</v>
      </c>
      <c r="L517" s="422">
        <v>7</v>
      </c>
      <c r="M517" s="418">
        <v>55.5</v>
      </c>
      <c r="N517" s="351" t="str">
        <f>J517</f>
        <v>Army</v>
      </c>
      <c r="O517" s="423">
        <v>48</v>
      </c>
      <c r="P517" s="436" t="str">
        <f t="shared" si="143"/>
        <v>UL Monroe</v>
      </c>
      <c r="Q517" s="408">
        <v>24</v>
      </c>
      <c r="R517" s="494" t="str">
        <f t="shared" si="144"/>
        <v>Army</v>
      </c>
      <c r="S517" s="494" t="str">
        <f t="shared" si="145"/>
        <v>UL Monroe</v>
      </c>
      <c r="T517" s="356" t="str">
        <f>K517</f>
        <v>UL Monroe</v>
      </c>
      <c r="U517" s="665" t="str">
        <f t="shared" si="146"/>
        <v>L</v>
      </c>
      <c r="W517" s="424"/>
      <c r="X517" s="352" t="s">
        <v>404</v>
      </c>
      <c r="Y517" s="425"/>
    </row>
    <row r="518" spans="1:25" ht="16" x14ac:dyDescent="0.8">
      <c r="A518" s="351">
        <v>8</v>
      </c>
      <c r="B518" s="420" t="s">
        <v>34</v>
      </c>
      <c r="C518" s="421">
        <v>44856</v>
      </c>
      <c r="D518" s="414">
        <f>15.5/24</f>
        <v>0.64583333333333337</v>
      </c>
      <c r="E518" s="349" t="s">
        <v>95</v>
      </c>
      <c r="F518" s="420" t="s">
        <v>42</v>
      </c>
      <c r="G518" s="349" t="s">
        <v>43</v>
      </c>
      <c r="H518" s="420" t="s">
        <v>306</v>
      </c>
      <c r="I518" s="349" t="s">
        <v>43</v>
      </c>
      <c r="J518" s="420" t="str">
        <f>F518</f>
        <v>BYU</v>
      </c>
      <c r="K518" s="379" t="str">
        <f t="shared" si="142"/>
        <v>Liberty</v>
      </c>
      <c r="L518" s="422">
        <v>6.5</v>
      </c>
      <c r="M518" s="418">
        <v>58.5</v>
      </c>
      <c r="N518" s="436" t="str">
        <f>K518</f>
        <v>Liberty</v>
      </c>
      <c r="O518" s="423">
        <v>41</v>
      </c>
      <c r="P518" s="436" t="str">
        <f t="shared" si="143"/>
        <v>BYU</v>
      </c>
      <c r="Q518" s="408">
        <v>14</v>
      </c>
      <c r="R518" s="494" t="str">
        <f t="shared" si="144"/>
        <v>Liberty</v>
      </c>
      <c r="S518" s="494" t="str">
        <f t="shared" si="145"/>
        <v>BYU</v>
      </c>
      <c r="T518" s="356" t="str">
        <f>J518</f>
        <v>BYU</v>
      </c>
      <c r="U518" s="665" t="str">
        <f t="shared" si="146"/>
        <v>L</v>
      </c>
      <c r="W518" s="424"/>
      <c r="X518" s="352" t="s">
        <v>404</v>
      </c>
      <c r="Y518" s="425"/>
    </row>
    <row r="519" spans="1:25" ht="16" x14ac:dyDescent="0.8">
      <c r="A519" s="351">
        <v>8</v>
      </c>
      <c r="B519" s="420" t="s">
        <v>34</v>
      </c>
      <c r="C519" s="421">
        <v>44856</v>
      </c>
      <c r="D519" s="414">
        <f>18/24</f>
        <v>0.75</v>
      </c>
      <c r="E519" s="349"/>
      <c r="F519" s="420" t="s">
        <v>51</v>
      </c>
      <c r="G519" s="349" t="s">
        <v>45</v>
      </c>
      <c r="H519" s="420" t="s">
        <v>78</v>
      </c>
      <c r="I519" s="349" t="s">
        <v>43</v>
      </c>
      <c r="J519" s="420" t="str">
        <f>F519</f>
        <v>San Jose State</v>
      </c>
      <c r="K519" s="379" t="str">
        <f t="shared" si="142"/>
        <v>New Mexico State</v>
      </c>
      <c r="L519" s="422">
        <v>22</v>
      </c>
      <c r="M519" s="418">
        <v>42</v>
      </c>
      <c r="N519" s="351"/>
      <c r="O519" s="423"/>
      <c r="P519" s="436" t="str">
        <f t="shared" si="143"/>
        <v>New Mexico State</v>
      </c>
      <c r="Q519" s="408" t="s">
        <v>412</v>
      </c>
      <c r="R519" s="494"/>
      <c r="S519" s="494"/>
      <c r="T519" s="356" t="str">
        <f>K519</f>
        <v>New Mexico State</v>
      </c>
      <c r="U519" s="665" t="s">
        <v>412</v>
      </c>
      <c r="V519" s="352" t="str">
        <f>UPPER(+F519)</f>
        <v>SAN JOSE STATE</v>
      </c>
      <c r="W519" s="424">
        <v>37</v>
      </c>
      <c r="X519" s="352" t="str">
        <f>LOWER(+H519)</f>
        <v>new mexico state</v>
      </c>
      <c r="Y519" s="425">
        <v>31</v>
      </c>
    </row>
    <row r="520" spans="1:25" ht="16" x14ac:dyDescent="0.8">
      <c r="A520" s="351">
        <v>8</v>
      </c>
      <c r="B520" s="420" t="s">
        <v>34</v>
      </c>
      <c r="C520" s="421">
        <v>44856</v>
      </c>
      <c r="D520" s="414">
        <f>14.5/24</f>
        <v>0.60416666666666663</v>
      </c>
      <c r="E520" s="349" t="s">
        <v>179</v>
      </c>
      <c r="F520" s="420" t="s">
        <v>196</v>
      </c>
      <c r="G520" s="349" t="s">
        <v>45</v>
      </c>
      <c r="H520" s="351" t="s">
        <v>181</v>
      </c>
      <c r="I520" s="349" t="s">
        <v>43</v>
      </c>
      <c r="J520" s="420" t="str">
        <f>H520</f>
        <v>Notre Dame</v>
      </c>
      <c r="K520" s="379" t="str">
        <f t="shared" si="142"/>
        <v>UNLV</v>
      </c>
      <c r="L520" s="422">
        <v>24.5</v>
      </c>
      <c r="M520" s="418">
        <v>47.5</v>
      </c>
      <c r="N520" s="351" t="str">
        <f>J520</f>
        <v>Notre Dame</v>
      </c>
      <c r="O520" s="423">
        <v>44</v>
      </c>
      <c r="P520" s="436" t="str">
        <f t="shared" si="143"/>
        <v>UNLV</v>
      </c>
      <c r="Q520" s="408">
        <v>21</v>
      </c>
      <c r="R520" s="494" t="str">
        <f t="shared" si="144"/>
        <v>UNLV</v>
      </c>
      <c r="S520" s="494" t="str">
        <f t="shared" si="145"/>
        <v>Notre Dame</v>
      </c>
      <c r="T520" s="356" t="str">
        <f>K520</f>
        <v>UNLV</v>
      </c>
      <c r="U520" s="665" t="str">
        <f t="shared" si="146"/>
        <v>W</v>
      </c>
      <c r="W520" s="424"/>
      <c r="X520" s="352" t="s">
        <v>404</v>
      </c>
      <c r="Y520" s="425"/>
    </row>
    <row r="521" spans="1:25" ht="16" x14ac:dyDescent="0.8">
      <c r="A521" s="351">
        <v>8</v>
      </c>
      <c r="B521" s="420" t="s">
        <v>34</v>
      </c>
      <c r="C521" s="421">
        <v>44856</v>
      </c>
      <c r="D521" s="414">
        <f>14/24</f>
        <v>0.58333333333333337</v>
      </c>
      <c r="E521" s="349"/>
      <c r="F521" s="420" t="s">
        <v>101</v>
      </c>
      <c r="G521" s="349" t="s">
        <v>68</v>
      </c>
      <c r="H521" s="420" t="s">
        <v>131</v>
      </c>
      <c r="I521" s="349" t="s">
        <v>68</v>
      </c>
      <c r="J521" s="420" t="str">
        <f>H521</f>
        <v>Ball State</v>
      </c>
      <c r="K521" s="379" t="str">
        <f t="shared" si="142"/>
        <v>Eastern Michigan</v>
      </c>
      <c r="L521" s="422">
        <v>2.5</v>
      </c>
      <c r="M521" s="418">
        <v>59</v>
      </c>
      <c r="N521" s="436" t="str">
        <f>K521</f>
        <v>Eastern Michigan</v>
      </c>
      <c r="O521" s="423">
        <v>20</v>
      </c>
      <c r="P521" s="436" t="str">
        <f t="shared" si="143"/>
        <v>Ball State</v>
      </c>
      <c r="Q521" s="408">
        <v>16</v>
      </c>
      <c r="R521" s="494" t="str">
        <f t="shared" si="144"/>
        <v>Eastern Michigan</v>
      </c>
      <c r="S521" s="494" t="str">
        <f t="shared" si="145"/>
        <v>Ball State</v>
      </c>
      <c r="T521" s="356" t="str">
        <f>J521</f>
        <v>Ball State</v>
      </c>
      <c r="U521" s="665" t="str">
        <f t="shared" si="146"/>
        <v>L</v>
      </c>
      <c r="V521" s="352" t="str">
        <f>LOWER(+H521)</f>
        <v>ball state</v>
      </c>
      <c r="W521" s="424">
        <v>38</v>
      </c>
      <c r="X521" s="352" t="str">
        <f>UPPER(+F521)</f>
        <v>EASTERN MICHIGAN</v>
      </c>
      <c r="Y521" s="425">
        <v>31</v>
      </c>
    </row>
    <row r="522" spans="1:25" ht="16" x14ac:dyDescent="0.8">
      <c r="A522" s="351">
        <v>8</v>
      </c>
      <c r="B522" s="420" t="s">
        <v>34</v>
      </c>
      <c r="C522" s="421">
        <v>44856</v>
      </c>
      <c r="D522" s="414">
        <f>13/24</f>
        <v>0.54166666666666663</v>
      </c>
      <c r="E522" s="349"/>
      <c r="F522" s="420" t="s">
        <v>77</v>
      </c>
      <c r="G522" s="349" t="s">
        <v>68</v>
      </c>
      <c r="H522" s="351" t="s">
        <v>67</v>
      </c>
      <c r="I522" s="349" t="s">
        <v>68</v>
      </c>
      <c r="J522" s="420" t="str">
        <f>F522</f>
        <v>Toledo</v>
      </c>
      <c r="K522" s="379" t="str">
        <f t="shared" si="142"/>
        <v>Buffalo</v>
      </c>
      <c r="L522" s="422">
        <v>7</v>
      </c>
      <c r="M522" s="418">
        <v>58</v>
      </c>
      <c r="N522" s="436" t="str">
        <f>K522</f>
        <v>Buffalo</v>
      </c>
      <c r="O522" s="423">
        <v>34</v>
      </c>
      <c r="P522" s="436" t="str">
        <f t="shared" si="143"/>
        <v>Toledo</v>
      </c>
      <c r="Q522" s="408">
        <v>27</v>
      </c>
      <c r="R522" s="494" t="str">
        <f t="shared" si="144"/>
        <v>Buffalo</v>
      </c>
      <c r="S522" s="494" t="str">
        <f t="shared" si="145"/>
        <v>Toledo</v>
      </c>
      <c r="T522" s="356" t="str">
        <f>J522</f>
        <v>Toledo</v>
      </c>
      <c r="U522" s="665" t="str">
        <f t="shared" si="146"/>
        <v>L</v>
      </c>
      <c r="W522" s="424"/>
      <c r="X522" s="352" t="s">
        <v>404</v>
      </c>
      <c r="Y522" s="425"/>
    </row>
    <row r="523" spans="1:25" ht="16" x14ac:dyDescent="0.8">
      <c r="A523" s="351">
        <v>8</v>
      </c>
      <c r="B523" s="420" t="s">
        <v>34</v>
      </c>
      <c r="C523" s="421">
        <v>44856</v>
      </c>
      <c r="D523" s="414">
        <f>13/24</f>
        <v>0.54166666666666663</v>
      </c>
      <c r="E523" s="349" t="s">
        <v>53</v>
      </c>
      <c r="F523" s="420" t="s">
        <v>138</v>
      </c>
      <c r="G523" s="349" t="s">
        <v>68</v>
      </c>
      <c r="H523" s="420" t="s">
        <v>75</v>
      </c>
      <c r="I523" s="349" t="s">
        <v>68</v>
      </c>
      <c r="J523" s="420" t="str">
        <f>H523</f>
        <v>Central Michigan</v>
      </c>
      <c r="K523" s="379" t="str">
        <f t="shared" si="142"/>
        <v>Bowling Green</v>
      </c>
      <c r="L523" s="422">
        <v>6.5</v>
      </c>
      <c r="M523" s="418">
        <v>50.5</v>
      </c>
      <c r="N523" s="436" t="str">
        <f>K523</f>
        <v>Bowling Green</v>
      </c>
      <c r="O523" s="423">
        <v>34</v>
      </c>
      <c r="P523" s="436" t="str">
        <f t="shared" si="143"/>
        <v>Central Michigan</v>
      </c>
      <c r="Q523" s="408">
        <v>18</v>
      </c>
      <c r="R523" s="494" t="str">
        <f t="shared" si="144"/>
        <v>Bowling Green</v>
      </c>
      <c r="S523" s="494" t="str">
        <f t="shared" si="145"/>
        <v>Central Michigan</v>
      </c>
      <c r="T523" s="356" t="str">
        <f>K523</f>
        <v>Bowling Green</v>
      </c>
      <c r="U523" s="665" t="str">
        <f t="shared" si="146"/>
        <v>W</v>
      </c>
      <c r="W523" s="424"/>
      <c r="X523" s="352" t="s">
        <v>404</v>
      </c>
      <c r="Y523" s="425"/>
    </row>
    <row r="524" spans="1:25" ht="16" x14ac:dyDescent="0.8">
      <c r="A524" s="351">
        <v>8</v>
      </c>
      <c r="B524" s="420" t="s">
        <v>34</v>
      </c>
      <c r="C524" s="421">
        <v>44856</v>
      </c>
      <c r="D524" s="414">
        <f>12/24</f>
        <v>0.5</v>
      </c>
      <c r="E524" s="349"/>
      <c r="F524" s="420" t="s">
        <v>144</v>
      </c>
      <c r="G524" s="349" t="s">
        <v>68</v>
      </c>
      <c r="H524" s="351" t="s">
        <v>113</v>
      </c>
      <c r="I524" s="349" t="s">
        <v>68</v>
      </c>
      <c r="J524" s="420" t="str">
        <f>H524</f>
        <v>Kent State</v>
      </c>
      <c r="K524" s="379" t="str">
        <f t="shared" si="142"/>
        <v>Akron</v>
      </c>
      <c r="L524" s="422">
        <v>19</v>
      </c>
      <c r="M524" s="418">
        <v>68.5</v>
      </c>
      <c r="N524" s="351" t="str">
        <f>J524</f>
        <v>Kent State</v>
      </c>
      <c r="O524" s="423">
        <v>33</v>
      </c>
      <c r="P524" s="436" t="str">
        <f t="shared" si="143"/>
        <v>Akron</v>
      </c>
      <c r="Q524" s="408">
        <v>27</v>
      </c>
      <c r="R524" s="494" t="str">
        <f t="shared" si="144"/>
        <v>Akron</v>
      </c>
      <c r="S524" s="494" t="str">
        <f t="shared" si="145"/>
        <v>Kent State</v>
      </c>
      <c r="T524" s="356" t="str">
        <f>K524</f>
        <v>Akron</v>
      </c>
      <c r="U524" s="665" t="str">
        <f t="shared" si="146"/>
        <v>W</v>
      </c>
      <c r="V524" s="352" t="str">
        <f>LOWER(+H524)</f>
        <v>kent state</v>
      </c>
      <c r="W524" s="424">
        <v>39</v>
      </c>
      <c r="X524" s="352" t="str">
        <f>UPPER(+F524)</f>
        <v>AKRON</v>
      </c>
      <c r="Y524" s="425">
        <v>0</v>
      </c>
    </row>
    <row r="525" spans="1:25" ht="16" x14ac:dyDescent="0.8">
      <c r="A525" s="351">
        <v>8</v>
      </c>
      <c r="B525" s="420" t="s">
        <v>34</v>
      </c>
      <c r="C525" s="421">
        <v>44856</v>
      </c>
      <c r="D525" s="414">
        <f>14/24</f>
        <v>0.58333333333333337</v>
      </c>
      <c r="E525" s="349"/>
      <c r="F525" s="420" t="s">
        <v>103</v>
      </c>
      <c r="G525" s="349" t="s">
        <v>68</v>
      </c>
      <c r="H525" s="351" t="s">
        <v>182</v>
      </c>
      <c r="I525" s="349" t="s">
        <v>68</v>
      </c>
      <c r="J525" s="420" t="str">
        <f>F525</f>
        <v>Northern Illinois</v>
      </c>
      <c r="K525" s="379" t="str">
        <f t="shared" ref="K525:K543" si="149">IF(+J525=H525,F525,H525)</f>
        <v>Ohio</v>
      </c>
      <c r="L525" s="422">
        <v>3</v>
      </c>
      <c r="M525" s="418">
        <v>64.5</v>
      </c>
      <c r="N525" s="436" t="str">
        <f>K525</f>
        <v>Ohio</v>
      </c>
      <c r="O525" s="423">
        <v>24</v>
      </c>
      <c r="P525" s="436" t="str">
        <f t="shared" ref="P525:P544" si="150">IF(+N525=H525,F525,H525)</f>
        <v>Northern Illinois</v>
      </c>
      <c r="Q525" s="408">
        <v>17</v>
      </c>
      <c r="R525" s="494" t="str">
        <f t="shared" ref="R525:R543" si="151">IF(+N525=K525,+N525,IF(+O525-Q525&lt;L525,+K525,+J525))</f>
        <v>Ohio</v>
      </c>
      <c r="S525" s="494" t="str">
        <f t="shared" ref="S525:S543" si="152">IF(+R525=J525,+K525,+J525)</f>
        <v>Northern Illinois</v>
      </c>
      <c r="T525" s="356" t="str">
        <f>K525</f>
        <v>Ohio</v>
      </c>
      <c r="U525" s="665" t="str">
        <f t="shared" ref="U525:U543" si="153">IF($N525=$J525,IF($O525-$Q525=$L525,"T",IF($R525=T525,"W","L")),IF($R525=T525,"W","L"))</f>
        <v>W</v>
      </c>
      <c r="W525" s="424"/>
      <c r="X525" s="352" t="s">
        <v>404</v>
      </c>
      <c r="Y525" s="425"/>
    </row>
    <row r="526" spans="1:25" ht="16" x14ac:dyDescent="0.8">
      <c r="A526" s="351">
        <v>8</v>
      </c>
      <c r="B526" s="420" t="s">
        <v>34</v>
      </c>
      <c r="C526" s="421">
        <v>44856</v>
      </c>
      <c r="D526" s="414">
        <f>15.5/24</f>
        <v>0.64583333333333337</v>
      </c>
      <c r="E526" s="349" t="s">
        <v>445</v>
      </c>
      <c r="F526" s="420" t="s">
        <v>162</v>
      </c>
      <c r="G526" s="349" t="s">
        <v>68</v>
      </c>
      <c r="H526" s="351" t="s">
        <v>201</v>
      </c>
      <c r="I526" s="349" t="s">
        <v>68</v>
      </c>
      <c r="J526" s="420" t="str">
        <f>F526</f>
        <v>Miami (OH)</v>
      </c>
      <c r="K526" s="379" t="str">
        <f t="shared" si="149"/>
        <v>Western Michigan</v>
      </c>
      <c r="L526" s="422">
        <v>6.5</v>
      </c>
      <c r="M526" s="418">
        <v>44.5</v>
      </c>
      <c r="N526" s="436" t="str">
        <f>K526</f>
        <v>Western Michigan</v>
      </c>
      <c r="O526" s="423">
        <v>16</v>
      </c>
      <c r="P526" s="436" t="str">
        <f t="shared" si="150"/>
        <v>Miami (OH)</v>
      </c>
      <c r="Q526" s="408">
        <v>10</v>
      </c>
      <c r="R526" s="494" t="str">
        <f t="shared" si="151"/>
        <v>Western Michigan</v>
      </c>
      <c r="S526" s="494" t="str">
        <f t="shared" si="152"/>
        <v>Miami (OH)</v>
      </c>
      <c r="T526" s="356" t="str">
        <f>J526</f>
        <v>Miami (OH)</v>
      </c>
      <c r="U526" s="665" t="str">
        <f t="shared" si="153"/>
        <v>L</v>
      </c>
      <c r="W526" s="424"/>
      <c r="X526" s="352" t="s">
        <v>404</v>
      </c>
      <c r="Y526" s="425"/>
    </row>
    <row r="527" spans="1:25" ht="16" x14ac:dyDescent="0.8">
      <c r="A527" s="351">
        <v>8</v>
      </c>
      <c r="B527" s="420" t="s">
        <v>34</v>
      </c>
      <c r="C527" s="421">
        <v>44856</v>
      </c>
      <c r="D527" s="414">
        <f>19/24</f>
        <v>0.79166666666666663</v>
      </c>
      <c r="E527" s="349" t="s">
        <v>445</v>
      </c>
      <c r="F527" s="420" t="s">
        <v>186</v>
      </c>
      <c r="G527" s="349" t="s">
        <v>45</v>
      </c>
      <c r="H527" s="420" t="s">
        <v>184</v>
      </c>
      <c r="I527" s="349" t="s">
        <v>45</v>
      </c>
      <c r="J527" s="420" t="str">
        <f>H527</f>
        <v>Air Force</v>
      </c>
      <c r="K527" s="379" t="str">
        <f t="shared" si="149"/>
        <v>Boise State</v>
      </c>
      <c r="L527" s="422">
        <v>3.5</v>
      </c>
      <c r="M527" s="418">
        <v>48</v>
      </c>
      <c r="N527" s="436" t="str">
        <f>K527</f>
        <v>Boise State</v>
      </c>
      <c r="O527" s="423">
        <v>19</v>
      </c>
      <c r="P527" s="436" t="str">
        <f t="shared" si="150"/>
        <v>Air Force</v>
      </c>
      <c r="Q527" s="408">
        <v>14</v>
      </c>
      <c r="R527" s="494" t="str">
        <f t="shared" si="151"/>
        <v>Boise State</v>
      </c>
      <c r="S527" s="494" t="str">
        <f t="shared" si="152"/>
        <v>Air Force</v>
      </c>
      <c r="T527" s="356" t="str">
        <f>J527</f>
        <v>Air Force</v>
      </c>
      <c r="U527" s="665" t="str">
        <f t="shared" si="153"/>
        <v>L</v>
      </c>
      <c r="V527" s="352" t="str">
        <f>LOWER(+H527)</f>
        <v>air force</v>
      </c>
      <c r="W527" s="424">
        <v>24</v>
      </c>
      <c r="X527" s="352" t="str">
        <f>UPPER(+F527)</f>
        <v>BOISE STATE</v>
      </c>
      <c r="Y527" s="425">
        <v>17</v>
      </c>
    </row>
    <row r="528" spans="1:25" ht="16" x14ac:dyDescent="0.8">
      <c r="A528" s="351">
        <v>8</v>
      </c>
      <c r="B528" s="420" t="s">
        <v>34</v>
      </c>
      <c r="C528" s="421">
        <v>44856</v>
      </c>
      <c r="D528" s="414">
        <f>16/24</f>
        <v>0.66666666666666663</v>
      </c>
      <c r="E528" s="349"/>
      <c r="F528" s="420" t="s">
        <v>44</v>
      </c>
      <c r="G528" s="349" t="s">
        <v>45</v>
      </c>
      <c r="H528" s="351" t="s">
        <v>48</v>
      </c>
      <c r="I528" s="349" t="s">
        <v>45</v>
      </c>
      <c r="J528" s="420" t="str">
        <f>H528</f>
        <v>Colorado State</v>
      </c>
      <c r="K528" s="379" t="str">
        <f t="shared" si="149"/>
        <v>Hawaii</v>
      </c>
      <c r="L528" s="422">
        <v>5</v>
      </c>
      <c r="M528" s="418">
        <v>46.5</v>
      </c>
      <c r="N528" s="351" t="str">
        <f t="shared" ref="N528:N535" si="154">J528</f>
        <v>Colorado State</v>
      </c>
      <c r="O528" s="423">
        <v>17</v>
      </c>
      <c r="P528" s="436" t="str">
        <f t="shared" si="150"/>
        <v>Hawaii</v>
      </c>
      <c r="Q528" s="408">
        <v>13</v>
      </c>
      <c r="R528" s="494" t="str">
        <f t="shared" si="151"/>
        <v>Hawaii</v>
      </c>
      <c r="S528" s="494" t="str">
        <f t="shared" si="152"/>
        <v>Colorado State</v>
      </c>
      <c r="T528" s="356" t="str">
        <f t="shared" ref="T528:T533" si="155">K528</f>
        <v>Hawaii</v>
      </c>
      <c r="U528" s="665" t="str">
        <f t="shared" si="153"/>
        <v>W</v>
      </c>
      <c r="V528" s="352" t="str">
        <f>UPPER(+F528)</f>
        <v>HAWAII</v>
      </c>
      <c r="W528" s="424">
        <v>50</v>
      </c>
      <c r="X528" s="352" t="str">
        <f>LOWER(+H528)</f>
        <v>colorado state</v>
      </c>
      <c r="Y528" s="425">
        <v>45</v>
      </c>
    </row>
    <row r="529" spans="1:25" ht="16" x14ac:dyDescent="0.8">
      <c r="A529" s="351">
        <v>8</v>
      </c>
      <c r="B529" s="420" t="s">
        <v>34</v>
      </c>
      <c r="C529" s="421">
        <v>44856</v>
      </c>
      <c r="D529" s="414">
        <f>18.5/24</f>
        <v>0.77083333333333337</v>
      </c>
      <c r="E529" s="349" t="s">
        <v>367</v>
      </c>
      <c r="F529" s="420" t="s">
        <v>188</v>
      </c>
      <c r="G529" s="349" t="s">
        <v>45</v>
      </c>
      <c r="H529" s="420" t="s">
        <v>191</v>
      </c>
      <c r="I529" s="349" t="s">
        <v>45</v>
      </c>
      <c r="J529" s="420" t="str">
        <f>F529</f>
        <v>Fresno State</v>
      </c>
      <c r="K529" s="379" t="str">
        <f t="shared" si="149"/>
        <v>New Mexico</v>
      </c>
      <c r="L529" s="422">
        <v>11</v>
      </c>
      <c r="M529" s="418">
        <v>41</v>
      </c>
      <c r="N529" s="351" t="str">
        <f t="shared" si="154"/>
        <v>Fresno State</v>
      </c>
      <c r="O529" s="423">
        <v>41</v>
      </c>
      <c r="P529" s="436" t="str">
        <f t="shared" si="150"/>
        <v>New Mexico</v>
      </c>
      <c r="Q529" s="408">
        <v>9</v>
      </c>
      <c r="R529" s="494" t="str">
        <f t="shared" si="151"/>
        <v>Fresno State</v>
      </c>
      <c r="S529" s="494" t="str">
        <f t="shared" si="152"/>
        <v>New Mexico</v>
      </c>
      <c r="T529" s="356" t="str">
        <f t="shared" si="155"/>
        <v>New Mexico</v>
      </c>
      <c r="U529" s="665" t="str">
        <f t="shared" si="153"/>
        <v>L</v>
      </c>
      <c r="V529" s="352" t="str">
        <f>UPPER(+F529)</f>
        <v>FRESNO STATE</v>
      </c>
      <c r="W529" s="424">
        <v>34</v>
      </c>
      <c r="X529" s="352" t="str">
        <f>LOWER(+H529)</f>
        <v>new mexico</v>
      </c>
      <c r="Y529" s="425">
        <v>7</v>
      </c>
    </row>
    <row r="530" spans="1:25" ht="16" x14ac:dyDescent="0.8">
      <c r="A530" s="351">
        <v>8</v>
      </c>
      <c r="B530" s="420" t="s">
        <v>34</v>
      </c>
      <c r="C530" s="421">
        <v>44856</v>
      </c>
      <c r="D530" s="414">
        <f>22.5/24</f>
        <v>0.9375</v>
      </c>
      <c r="E530" s="349" t="s">
        <v>445</v>
      </c>
      <c r="F530" s="420" t="s">
        <v>142</v>
      </c>
      <c r="G530" s="349" t="s">
        <v>45</v>
      </c>
      <c r="H530" s="420" t="s">
        <v>193</v>
      </c>
      <c r="I530" s="349" t="s">
        <v>45</v>
      </c>
      <c r="J530" s="420" t="str">
        <f>H530</f>
        <v>San Diego State</v>
      </c>
      <c r="K530" s="379" t="str">
        <f t="shared" si="149"/>
        <v>Nevada</v>
      </c>
      <c r="L530" s="422">
        <v>7</v>
      </c>
      <c r="M530" s="418">
        <v>36</v>
      </c>
      <c r="N530" s="351" t="str">
        <f t="shared" si="154"/>
        <v>San Diego State</v>
      </c>
      <c r="O530" s="423">
        <v>23</v>
      </c>
      <c r="P530" s="436" t="str">
        <f t="shared" si="150"/>
        <v>Nevada</v>
      </c>
      <c r="Q530" s="408">
        <v>7</v>
      </c>
      <c r="R530" s="494" t="str">
        <f t="shared" si="151"/>
        <v>San Diego State</v>
      </c>
      <c r="S530" s="494" t="str">
        <f t="shared" si="152"/>
        <v>Nevada</v>
      </c>
      <c r="T530" s="356" t="str">
        <f t="shared" si="155"/>
        <v>Nevada</v>
      </c>
      <c r="U530" s="665" t="str">
        <f t="shared" si="153"/>
        <v>L</v>
      </c>
      <c r="V530" s="352" t="str">
        <f>LOWER(+H530)</f>
        <v>san diego state</v>
      </c>
      <c r="W530" s="424">
        <v>23</v>
      </c>
      <c r="X530" s="352" t="str">
        <f>UPPER(+F530)</f>
        <v>NEVADA</v>
      </c>
      <c r="Y530" s="425">
        <v>21</v>
      </c>
    </row>
    <row r="531" spans="1:25" ht="16" x14ac:dyDescent="0.8">
      <c r="A531" s="351">
        <v>8</v>
      </c>
      <c r="B531" s="420" t="s">
        <v>34</v>
      </c>
      <c r="C531" s="421">
        <v>44856</v>
      </c>
      <c r="D531" s="414">
        <f>21.75/24</f>
        <v>0.90625</v>
      </c>
      <c r="E531" s="349"/>
      <c r="F531" s="420" t="s">
        <v>93</v>
      </c>
      <c r="G531" s="349" t="s">
        <v>45</v>
      </c>
      <c r="H531" s="420" t="s">
        <v>133</v>
      </c>
      <c r="I531" s="349" t="s">
        <v>45</v>
      </c>
      <c r="J531" s="420" t="str">
        <f>H531</f>
        <v>Wyoming</v>
      </c>
      <c r="K531" s="379" t="str">
        <f t="shared" si="149"/>
        <v>Utah State</v>
      </c>
      <c r="L531" s="422">
        <v>4.5</v>
      </c>
      <c r="M531" s="418">
        <v>42</v>
      </c>
      <c r="N531" s="351" t="str">
        <f t="shared" si="154"/>
        <v>Wyoming</v>
      </c>
      <c r="O531" s="423">
        <v>28</v>
      </c>
      <c r="P531" s="436" t="str">
        <f t="shared" si="150"/>
        <v>Utah State</v>
      </c>
      <c r="Q531" s="408">
        <v>14</v>
      </c>
      <c r="R531" s="494" t="str">
        <f t="shared" si="151"/>
        <v>Wyoming</v>
      </c>
      <c r="S531" s="494" t="str">
        <f t="shared" si="152"/>
        <v>Utah State</v>
      </c>
      <c r="T531" s="356" t="str">
        <f t="shared" si="155"/>
        <v>Utah State</v>
      </c>
      <c r="U531" s="665" t="str">
        <f t="shared" si="153"/>
        <v>L</v>
      </c>
      <c r="V531" s="352" t="str">
        <f>UPPER(+F531)</f>
        <v>UTAH STATE</v>
      </c>
      <c r="W531" s="424">
        <v>44</v>
      </c>
      <c r="X531" s="352" t="str">
        <f>LOWER(+H531)</f>
        <v>wyoming</v>
      </c>
      <c r="Y531" s="425">
        <v>17</v>
      </c>
    </row>
    <row r="532" spans="1:25" ht="16" x14ac:dyDescent="0.8">
      <c r="A532" s="351">
        <v>8</v>
      </c>
      <c r="B532" s="420" t="s">
        <v>34</v>
      </c>
      <c r="C532" s="421">
        <v>44856</v>
      </c>
      <c r="D532" s="414">
        <f>22.5/24</f>
        <v>0.9375</v>
      </c>
      <c r="E532" s="349" t="s">
        <v>35</v>
      </c>
      <c r="F532" s="420" t="s">
        <v>91</v>
      </c>
      <c r="G532" s="349" t="s">
        <v>37</v>
      </c>
      <c r="H532" s="420" t="s">
        <v>123</v>
      </c>
      <c r="I532" s="349" t="s">
        <v>37</v>
      </c>
      <c r="J532" s="420" t="str">
        <f>F532</f>
        <v>Washington</v>
      </c>
      <c r="K532" s="379" t="str">
        <f t="shared" si="149"/>
        <v>California</v>
      </c>
      <c r="L532" s="422">
        <v>7.5</v>
      </c>
      <c r="M532" s="418">
        <v>56.5</v>
      </c>
      <c r="N532" s="351" t="str">
        <f t="shared" si="154"/>
        <v>Washington</v>
      </c>
      <c r="O532" s="423">
        <v>28</v>
      </c>
      <c r="P532" s="436" t="str">
        <f t="shared" si="150"/>
        <v>California</v>
      </c>
      <c r="Q532" s="408">
        <v>21</v>
      </c>
      <c r="R532" s="494" t="str">
        <f t="shared" si="151"/>
        <v>California</v>
      </c>
      <c r="S532" s="494" t="str">
        <f t="shared" si="152"/>
        <v>Washington</v>
      </c>
      <c r="T532" s="356" t="str">
        <f t="shared" si="155"/>
        <v>California</v>
      </c>
      <c r="U532" s="665" t="str">
        <f t="shared" si="153"/>
        <v>W</v>
      </c>
      <c r="V532" s="352" t="str">
        <f>UPPER(+F532)</f>
        <v>WASHINGTON</v>
      </c>
      <c r="W532" s="424">
        <v>31</v>
      </c>
      <c r="X532" s="352" t="str">
        <f>LOWER(+H532)</f>
        <v>california</v>
      </c>
      <c r="Y532" s="425">
        <v>24</v>
      </c>
    </row>
    <row r="533" spans="1:25" ht="16" x14ac:dyDescent="0.8">
      <c r="A533" s="351">
        <v>8</v>
      </c>
      <c r="B533" s="420" t="s">
        <v>34</v>
      </c>
      <c r="C533" s="421">
        <v>44856</v>
      </c>
      <c r="D533" s="414">
        <f>15.5/24</f>
        <v>0.64583333333333337</v>
      </c>
      <c r="E533" s="349" t="s">
        <v>70</v>
      </c>
      <c r="F533" s="420" t="s">
        <v>224</v>
      </c>
      <c r="G533" s="349" t="s">
        <v>37</v>
      </c>
      <c r="H533" s="420" t="s">
        <v>200</v>
      </c>
      <c r="I533" s="349" t="s">
        <v>37</v>
      </c>
      <c r="J533" s="420" t="str">
        <f>H533</f>
        <v>Oregon</v>
      </c>
      <c r="K533" s="379" t="str">
        <f t="shared" si="149"/>
        <v>UCLA</v>
      </c>
      <c r="L533" s="422">
        <v>6</v>
      </c>
      <c r="M533" s="418">
        <v>69.5</v>
      </c>
      <c r="N533" s="351" t="str">
        <f t="shared" si="154"/>
        <v>Oregon</v>
      </c>
      <c r="O533" s="423">
        <v>45</v>
      </c>
      <c r="P533" s="436" t="str">
        <f t="shared" si="150"/>
        <v>UCLA</v>
      </c>
      <c r="Q533" s="408">
        <v>30</v>
      </c>
      <c r="R533" s="494" t="str">
        <f t="shared" si="151"/>
        <v>Oregon</v>
      </c>
      <c r="S533" s="494" t="str">
        <f t="shared" si="152"/>
        <v>UCLA</v>
      </c>
      <c r="T533" s="356" t="str">
        <f t="shared" si="155"/>
        <v>UCLA</v>
      </c>
      <c r="U533" s="665" t="str">
        <f t="shared" si="153"/>
        <v>L</v>
      </c>
      <c r="V533" s="352" t="str">
        <f>LOWER(+H533)</f>
        <v>oregon</v>
      </c>
      <c r="W533" s="424">
        <v>34</v>
      </c>
      <c r="X533" s="352" t="str">
        <f>UPPER(+F533)</f>
        <v>UCLA</v>
      </c>
      <c r="Y533" s="425">
        <v>31</v>
      </c>
    </row>
    <row r="534" spans="1:25" ht="16" x14ac:dyDescent="0.8">
      <c r="A534" s="351">
        <v>8</v>
      </c>
      <c r="B534" s="420" t="s">
        <v>34</v>
      </c>
      <c r="C534" s="421">
        <v>44856</v>
      </c>
      <c r="D534" s="414">
        <f>20/24</f>
        <v>0.83333333333333337</v>
      </c>
      <c r="E534" s="349" t="s">
        <v>446</v>
      </c>
      <c r="F534" s="420" t="s">
        <v>104</v>
      </c>
      <c r="G534" s="349" t="s">
        <v>37</v>
      </c>
      <c r="H534" s="420" t="s">
        <v>47</v>
      </c>
      <c r="I534" s="349" t="s">
        <v>37</v>
      </c>
      <c r="J534" s="420" t="str">
        <f>H534</f>
        <v>Oregon State</v>
      </c>
      <c r="K534" s="379" t="str">
        <f t="shared" si="149"/>
        <v>Colorado</v>
      </c>
      <c r="L534" s="422">
        <v>24</v>
      </c>
      <c r="M534" s="418">
        <v>50</v>
      </c>
      <c r="N534" s="351" t="str">
        <f t="shared" si="154"/>
        <v>Oregon State</v>
      </c>
      <c r="O534" s="423">
        <v>42</v>
      </c>
      <c r="P534" s="436" t="str">
        <f t="shared" si="150"/>
        <v>Colorado</v>
      </c>
      <c r="Q534" s="408">
        <v>9</v>
      </c>
      <c r="R534" s="494" t="str">
        <f t="shared" si="151"/>
        <v>Oregon State</v>
      </c>
      <c r="S534" s="494" t="str">
        <f t="shared" si="152"/>
        <v>Colorado</v>
      </c>
      <c r="T534" s="356" t="str">
        <f>J534</f>
        <v>Oregon State</v>
      </c>
      <c r="U534" s="665" t="str">
        <f t="shared" si="153"/>
        <v>W</v>
      </c>
      <c r="V534" s="352" t="str">
        <f>UPPER(+F534)</f>
        <v>COLORADO</v>
      </c>
      <c r="W534" s="424">
        <v>37</v>
      </c>
      <c r="X534" s="352" t="str">
        <f>LOWER(+H534)</f>
        <v>oregon state</v>
      </c>
      <c r="Y534" s="425">
        <v>34</v>
      </c>
    </row>
    <row r="535" spans="1:25" ht="16" x14ac:dyDescent="0.8">
      <c r="A535" s="351">
        <v>8</v>
      </c>
      <c r="B535" s="420" t="s">
        <v>34</v>
      </c>
      <c r="C535" s="421">
        <v>44856</v>
      </c>
      <c r="D535" s="414">
        <f>16/24</f>
        <v>0.66666666666666663</v>
      </c>
      <c r="E535" s="349" t="s">
        <v>446</v>
      </c>
      <c r="F535" s="420" t="s">
        <v>79</v>
      </c>
      <c r="G535" s="349" t="s">
        <v>37</v>
      </c>
      <c r="H535" s="420" t="s">
        <v>36</v>
      </c>
      <c r="I535" s="349" t="s">
        <v>37</v>
      </c>
      <c r="J535" s="420" t="str">
        <f>H535</f>
        <v>Stanford</v>
      </c>
      <c r="K535" s="379" t="str">
        <f t="shared" si="149"/>
        <v>Arizona State</v>
      </c>
      <c r="L535" s="422">
        <v>3</v>
      </c>
      <c r="M535" s="418">
        <v>55.5</v>
      </c>
      <c r="N535" s="351" t="str">
        <f t="shared" si="154"/>
        <v>Stanford</v>
      </c>
      <c r="O535" s="423">
        <v>15</v>
      </c>
      <c r="P535" s="436" t="str">
        <f t="shared" si="150"/>
        <v>Arizona State</v>
      </c>
      <c r="Q535" s="408">
        <v>14</v>
      </c>
      <c r="R535" s="494" t="str">
        <f t="shared" si="151"/>
        <v>Arizona State</v>
      </c>
      <c r="S535" s="494" t="str">
        <f t="shared" si="152"/>
        <v>Stanford</v>
      </c>
      <c r="T535" s="356" t="str">
        <f>J535</f>
        <v>Stanford</v>
      </c>
      <c r="U535" s="665" t="str">
        <f t="shared" si="153"/>
        <v>L</v>
      </c>
      <c r="V535" s="352" t="str">
        <f>UPPER(+F535)</f>
        <v>ARIZONA STATE</v>
      </c>
      <c r="W535" s="424">
        <v>28</v>
      </c>
      <c r="X535" s="352" t="str">
        <f>LOWER(+H535)</f>
        <v>stanford</v>
      </c>
      <c r="Y535" s="425">
        <v>10</v>
      </c>
    </row>
    <row r="536" spans="1:25" ht="16" x14ac:dyDescent="0.8">
      <c r="A536" s="351">
        <v>8</v>
      </c>
      <c r="B536" s="420" t="s">
        <v>34</v>
      </c>
      <c r="C536" s="421">
        <v>44856</v>
      </c>
      <c r="D536" s="414">
        <f>15.5/24</f>
        <v>0.64583333333333337</v>
      </c>
      <c r="E536" s="349"/>
      <c r="F536" s="420" t="s">
        <v>163</v>
      </c>
      <c r="G536" s="349" t="s">
        <v>59</v>
      </c>
      <c r="H536" s="420" t="s">
        <v>442</v>
      </c>
      <c r="I536" s="349" t="s">
        <v>59</v>
      </c>
      <c r="J536" s="420" t="str">
        <f>H536</f>
        <v>James Madison</v>
      </c>
      <c r="K536" s="379" t="str">
        <f t="shared" si="149"/>
        <v>Marshall</v>
      </c>
      <c r="L536" s="422">
        <v>13</v>
      </c>
      <c r="M536" s="418">
        <v>50.5</v>
      </c>
      <c r="N536" s="436" t="str">
        <f>K536</f>
        <v>Marshall</v>
      </c>
      <c r="O536" s="423">
        <v>26</v>
      </c>
      <c r="P536" s="436" t="str">
        <f t="shared" si="150"/>
        <v>James Madison</v>
      </c>
      <c r="Q536" s="408">
        <v>12</v>
      </c>
      <c r="R536" s="494" t="str">
        <f t="shared" si="151"/>
        <v>Marshall</v>
      </c>
      <c r="S536" s="494" t="str">
        <f t="shared" si="152"/>
        <v>James Madison</v>
      </c>
      <c r="T536" s="356" t="str">
        <f>J536</f>
        <v>James Madison</v>
      </c>
      <c r="U536" s="665" t="str">
        <f t="shared" si="153"/>
        <v>L</v>
      </c>
      <c r="W536" s="424"/>
      <c r="X536" s="352" t="s">
        <v>404</v>
      </c>
      <c r="Y536" s="425"/>
    </row>
    <row r="537" spans="1:25" ht="16" x14ac:dyDescent="0.8">
      <c r="A537" s="351">
        <v>8</v>
      </c>
      <c r="B537" s="420" t="s">
        <v>34</v>
      </c>
      <c r="C537" s="421">
        <v>44856</v>
      </c>
      <c r="D537" s="414">
        <f>15.5/24</f>
        <v>0.64583333333333337</v>
      </c>
      <c r="E537" s="349"/>
      <c r="F537" s="420" t="s">
        <v>210</v>
      </c>
      <c r="G537" s="349" t="s">
        <v>59</v>
      </c>
      <c r="H537" s="420" t="s">
        <v>169</v>
      </c>
      <c r="I537" s="349" t="s">
        <v>59</v>
      </c>
      <c r="J537" s="420" t="str">
        <f>H537</f>
        <v>Old Dominion</v>
      </c>
      <c r="K537" s="379" t="str">
        <f t="shared" si="149"/>
        <v>Georgia Southern</v>
      </c>
      <c r="L537" s="422">
        <v>2.5</v>
      </c>
      <c r="M537" s="418">
        <v>65.5</v>
      </c>
      <c r="N537" s="436" t="str">
        <f>K537</f>
        <v>Georgia Southern</v>
      </c>
      <c r="O537" s="423">
        <v>28</v>
      </c>
      <c r="P537" s="436" t="str">
        <f t="shared" si="150"/>
        <v>Old Dominion</v>
      </c>
      <c r="Q537" s="408">
        <v>23</v>
      </c>
      <c r="R537" s="494" t="str">
        <f t="shared" si="151"/>
        <v>Georgia Southern</v>
      </c>
      <c r="S537" s="494" t="str">
        <f t="shared" si="152"/>
        <v>Old Dominion</v>
      </c>
      <c r="T537" s="356" t="str">
        <f>J537</f>
        <v>Old Dominion</v>
      </c>
      <c r="U537" s="665" t="str">
        <f t="shared" si="153"/>
        <v>L</v>
      </c>
      <c r="W537" s="424"/>
      <c r="X537" s="352" t="s">
        <v>404</v>
      </c>
      <c r="Y537" s="425"/>
    </row>
    <row r="538" spans="1:25" ht="16" x14ac:dyDescent="0.8">
      <c r="A538" s="351">
        <v>8</v>
      </c>
      <c r="B538" s="420" t="s">
        <v>34</v>
      </c>
      <c r="C538" s="421">
        <v>44856</v>
      </c>
      <c r="D538" s="414">
        <f>17/24</f>
        <v>0.70833333333333337</v>
      </c>
      <c r="E538" s="349"/>
      <c r="F538" s="420" t="s">
        <v>171</v>
      </c>
      <c r="G538" s="349" t="s">
        <v>59</v>
      </c>
      <c r="H538" s="420" t="s">
        <v>207</v>
      </c>
      <c r="I538" s="349" t="s">
        <v>59</v>
      </c>
      <c r="J538" s="420" t="str">
        <f>F538</f>
        <v>Southern Miss</v>
      </c>
      <c r="K538" s="379" t="str">
        <f t="shared" ref="K538" si="156">IF(+J538=H538,F538,H538)</f>
        <v>Texas State</v>
      </c>
      <c r="L538" s="422">
        <v>2.5</v>
      </c>
      <c r="M538" s="418">
        <v>43</v>
      </c>
      <c r="N538" s="351" t="str">
        <f>J538</f>
        <v>Southern Miss</v>
      </c>
      <c r="O538" s="423">
        <v>20</v>
      </c>
      <c r="P538" s="436" t="str">
        <f t="shared" ref="P538" si="157">IF(+N538=H538,F538,H538)</f>
        <v>Texas State</v>
      </c>
      <c r="Q538" s="408">
        <v>14</v>
      </c>
      <c r="R538" s="494" t="str">
        <f t="shared" ref="R538" si="158">IF(+N538=K538,+N538,IF(+O538-Q538&lt;L538,+K538,+J538))</f>
        <v>Southern Miss</v>
      </c>
      <c r="S538" s="494" t="str">
        <f t="shared" ref="S538" si="159">IF(+R538=J538,+K538,+J538)</f>
        <v>Texas State</v>
      </c>
      <c r="T538" s="356" t="str">
        <f>J538</f>
        <v>Southern Miss</v>
      </c>
      <c r="U538" s="665" t="str">
        <f t="shared" ref="U538" si="160">IF($N538=$J538,IF($O538-$Q538=$L538,"T",IF($R538=T538,"W","L")),IF($R538=T538,"W","L"))</f>
        <v>W</v>
      </c>
      <c r="W538" s="424"/>
      <c r="X538" s="352" t="s">
        <v>404</v>
      </c>
      <c r="Y538" s="425"/>
    </row>
    <row r="539" spans="1:25" ht="16" x14ac:dyDescent="0.8">
      <c r="A539" s="351">
        <v>8</v>
      </c>
      <c r="B539" s="420" t="s">
        <v>34</v>
      </c>
      <c r="C539" s="421">
        <v>44856</v>
      </c>
      <c r="D539" s="414">
        <f>17/24</f>
        <v>0.70833333333333337</v>
      </c>
      <c r="E539" s="349"/>
      <c r="F539" s="420" t="s">
        <v>140</v>
      </c>
      <c r="G539" s="349" t="s">
        <v>59</v>
      </c>
      <c r="H539" s="420" t="s">
        <v>209</v>
      </c>
      <c r="I539" s="349" t="s">
        <v>59</v>
      </c>
      <c r="J539" s="420" t="str">
        <f>H539</f>
        <v>UL Lafayette</v>
      </c>
      <c r="K539" s="379" t="str">
        <f t="shared" si="149"/>
        <v>Arkansas State</v>
      </c>
      <c r="L539" s="422">
        <v>6.5</v>
      </c>
      <c r="M539" s="418">
        <v>51.5</v>
      </c>
      <c r="N539" s="351" t="str">
        <f>J539</f>
        <v>UL Lafayette</v>
      </c>
      <c r="O539" s="423">
        <v>38</v>
      </c>
      <c r="P539" s="436" t="str">
        <f t="shared" si="150"/>
        <v>Arkansas State</v>
      </c>
      <c r="Q539" s="408">
        <v>18</v>
      </c>
      <c r="R539" s="494" t="str">
        <f t="shared" si="151"/>
        <v>UL Lafayette</v>
      </c>
      <c r="S539" s="494" t="str">
        <f t="shared" si="152"/>
        <v>Arkansas State</v>
      </c>
      <c r="T539" s="356" t="str">
        <f>K539</f>
        <v>Arkansas State</v>
      </c>
      <c r="U539" s="665" t="str">
        <f t="shared" si="153"/>
        <v>L</v>
      </c>
      <c r="V539" s="352" t="str">
        <f>LOWER(+H539)</f>
        <v>ul lafayette</v>
      </c>
      <c r="W539" s="424">
        <v>28</v>
      </c>
      <c r="X539" s="352" t="str">
        <f>UPPER(+F539)</f>
        <v>ARKANSAS STATE</v>
      </c>
      <c r="Y539" s="425">
        <v>27</v>
      </c>
    </row>
    <row r="540" spans="1:25" ht="16" x14ac:dyDescent="0.8">
      <c r="A540" s="351">
        <v>8</v>
      </c>
      <c r="B540" s="420" t="s">
        <v>34</v>
      </c>
      <c r="C540" s="421">
        <v>44856</v>
      </c>
      <c r="D540" s="414">
        <f>19/24</f>
        <v>0.79166666666666663</v>
      </c>
      <c r="E540" s="349" t="s">
        <v>35</v>
      </c>
      <c r="F540" s="420" t="s">
        <v>217</v>
      </c>
      <c r="G540" s="349" t="s">
        <v>85</v>
      </c>
      <c r="H540" s="420" t="s">
        <v>116</v>
      </c>
      <c r="I540" s="349" t="s">
        <v>85</v>
      </c>
      <c r="J540" s="420" t="str">
        <f>H540</f>
        <v>Alabama</v>
      </c>
      <c r="K540" s="379" t="str">
        <f t="shared" si="149"/>
        <v>Mississippi State</v>
      </c>
      <c r="L540" s="422">
        <v>21</v>
      </c>
      <c r="M540" s="418">
        <v>60.5</v>
      </c>
      <c r="N540" s="436" t="str">
        <f>J540</f>
        <v>Alabama</v>
      </c>
      <c r="O540" s="423">
        <v>30</v>
      </c>
      <c r="P540" s="436" t="str">
        <f t="shared" si="150"/>
        <v>Mississippi State</v>
      </c>
      <c r="Q540" s="408">
        <v>6</v>
      </c>
      <c r="R540" s="494" t="str">
        <f t="shared" si="151"/>
        <v>Alabama</v>
      </c>
      <c r="S540" s="494" t="str">
        <f t="shared" si="152"/>
        <v>Mississippi State</v>
      </c>
      <c r="T540" s="356" t="str">
        <f>K540</f>
        <v>Mississippi State</v>
      </c>
      <c r="U540" s="665" t="str">
        <f t="shared" si="153"/>
        <v>L</v>
      </c>
      <c r="V540" s="352" t="str">
        <f>LOWER(+H540)</f>
        <v>alabama</v>
      </c>
      <c r="W540" s="424">
        <v>49</v>
      </c>
      <c r="X540" s="352" t="str">
        <f>UPPER(+F540)</f>
        <v>MISSISSIPPI STATE</v>
      </c>
      <c r="Y540" s="425">
        <v>9</v>
      </c>
    </row>
    <row r="541" spans="1:25" ht="16" x14ac:dyDescent="0.8">
      <c r="A541" s="351">
        <v>8</v>
      </c>
      <c r="B541" s="420" t="s">
        <v>34</v>
      </c>
      <c r="C541" s="421">
        <v>44856</v>
      </c>
      <c r="D541" s="414">
        <f>15.5/24</f>
        <v>0.64583333333333337</v>
      </c>
      <c r="E541" s="349" t="s">
        <v>303</v>
      </c>
      <c r="F541" s="420" t="s">
        <v>215</v>
      </c>
      <c r="G541" s="349" t="s">
        <v>85</v>
      </c>
      <c r="H541" s="420" t="s">
        <v>178</v>
      </c>
      <c r="I541" s="349" t="s">
        <v>85</v>
      </c>
      <c r="J541" s="420" t="str">
        <f>H541</f>
        <v>LSU</v>
      </c>
      <c r="K541" s="379" t="str">
        <f t="shared" si="149"/>
        <v>Mississippi</v>
      </c>
      <c r="L541" s="422">
        <v>1.5</v>
      </c>
      <c r="M541" s="418">
        <v>66</v>
      </c>
      <c r="N541" s="436" t="str">
        <f>J541</f>
        <v>LSU</v>
      </c>
      <c r="O541" s="423">
        <v>45</v>
      </c>
      <c r="P541" s="436" t="str">
        <f t="shared" si="150"/>
        <v>Mississippi</v>
      </c>
      <c r="Q541" s="408">
        <v>20</v>
      </c>
      <c r="R541" s="494" t="str">
        <f t="shared" si="151"/>
        <v>LSU</v>
      </c>
      <c r="S541" s="494" t="str">
        <f t="shared" si="152"/>
        <v>Mississippi</v>
      </c>
      <c r="T541" s="356" t="str">
        <f>K541</f>
        <v>Mississippi</v>
      </c>
      <c r="U541" s="665" t="str">
        <f t="shared" si="153"/>
        <v>L</v>
      </c>
      <c r="V541" s="352" t="str">
        <f>UPPER(+F541)</f>
        <v>MISSISSIPPI</v>
      </c>
      <c r="W541" s="424">
        <v>30</v>
      </c>
      <c r="X541" s="352" t="str">
        <f>LOWER(+H541)</f>
        <v>lsu</v>
      </c>
      <c r="Y541" s="425">
        <v>17</v>
      </c>
    </row>
    <row r="542" spans="1:25" ht="16" x14ac:dyDescent="0.8">
      <c r="A542" s="351">
        <v>8</v>
      </c>
      <c r="B542" s="420" t="s">
        <v>34</v>
      </c>
      <c r="C542" s="421">
        <v>44856</v>
      </c>
      <c r="D542" s="414">
        <f>16/24</f>
        <v>0.66666666666666663</v>
      </c>
      <c r="E542" s="349" t="s">
        <v>85</v>
      </c>
      <c r="F542" s="420" t="s">
        <v>164</v>
      </c>
      <c r="G542" s="349" t="s">
        <v>85</v>
      </c>
      <c r="H542" s="420" t="s">
        <v>219</v>
      </c>
      <c r="I542" s="349" t="s">
        <v>85</v>
      </c>
      <c r="J542" s="420" t="str">
        <f>H542</f>
        <v>Missouri</v>
      </c>
      <c r="K542" s="379" t="str">
        <f t="shared" si="149"/>
        <v>Vanderbilt</v>
      </c>
      <c r="L542" s="422">
        <v>14</v>
      </c>
      <c r="M542" s="418">
        <v>53</v>
      </c>
      <c r="N542" s="436" t="str">
        <f>J542</f>
        <v>Missouri</v>
      </c>
      <c r="O542" s="423">
        <v>17</v>
      </c>
      <c r="P542" s="436" t="str">
        <f t="shared" si="150"/>
        <v>Vanderbilt</v>
      </c>
      <c r="Q542" s="408">
        <v>14</v>
      </c>
      <c r="R542" s="494" t="str">
        <f t="shared" si="151"/>
        <v>Vanderbilt</v>
      </c>
      <c r="S542" s="494" t="str">
        <f t="shared" si="152"/>
        <v>Missouri</v>
      </c>
      <c r="T542" s="356" t="str">
        <f>J542</f>
        <v>Missouri</v>
      </c>
      <c r="U542" s="665" t="str">
        <f t="shared" si="153"/>
        <v>L</v>
      </c>
      <c r="V542" s="352" t="str">
        <f>LOWER(+H542)</f>
        <v>missouri</v>
      </c>
      <c r="W542" s="424">
        <v>37</v>
      </c>
      <c r="X542" s="352" t="str">
        <f>UPPER(+F542)</f>
        <v>VANDERBILT</v>
      </c>
      <c r="Y542" s="425">
        <v>28</v>
      </c>
    </row>
    <row r="543" spans="1:25" ht="16" x14ac:dyDescent="0.8">
      <c r="A543" s="351">
        <v>8</v>
      </c>
      <c r="B543" s="420" t="s">
        <v>34</v>
      </c>
      <c r="C543" s="421">
        <v>44856</v>
      </c>
      <c r="D543" s="414">
        <f>19.5/24</f>
        <v>0.8125</v>
      </c>
      <c r="E543" s="349" t="s">
        <v>85</v>
      </c>
      <c r="F543" s="420" t="s">
        <v>223</v>
      </c>
      <c r="G543" s="349" t="s">
        <v>85</v>
      </c>
      <c r="H543" s="420" t="s">
        <v>125</v>
      </c>
      <c r="I543" s="349" t="s">
        <v>85</v>
      </c>
      <c r="J543" s="420" t="str">
        <f>F543</f>
        <v>Texas A&amp;M</v>
      </c>
      <c r="K543" s="379" t="str">
        <f t="shared" si="149"/>
        <v>South Carolina</v>
      </c>
      <c r="L543" s="422">
        <v>3.5</v>
      </c>
      <c r="M543" s="418">
        <v>45</v>
      </c>
      <c r="N543" s="436" t="str">
        <f>K543</f>
        <v>South Carolina</v>
      </c>
      <c r="O543" s="423">
        <v>30</v>
      </c>
      <c r="P543" s="436" t="str">
        <f t="shared" si="150"/>
        <v>Texas A&amp;M</v>
      </c>
      <c r="Q543" s="408">
        <v>24</v>
      </c>
      <c r="R543" s="494" t="str">
        <f t="shared" si="151"/>
        <v>South Carolina</v>
      </c>
      <c r="S543" s="494" t="str">
        <f t="shared" si="152"/>
        <v>Texas A&amp;M</v>
      </c>
      <c r="T543" s="356" t="str">
        <f>K543</f>
        <v>South Carolina</v>
      </c>
      <c r="U543" s="665" t="str">
        <f t="shared" si="153"/>
        <v>W</v>
      </c>
      <c r="V543" s="352" t="str">
        <f>UPPER(+F543)</f>
        <v>TEXAS A&amp;M</v>
      </c>
      <c r="W543" s="424">
        <v>44</v>
      </c>
      <c r="X543" s="352">
        <v>14</v>
      </c>
      <c r="Y543" s="425"/>
    </row>
    <row r="544" spans="1:25" ht="16" x14ac:dyDescent="0.8">
      <c r="A544" s="351">
        <v>8</v>
      </c>
      <c r="B544" s="420" t="s">
        <v>34</v>
      </c>
      <c r="C544" s="421">
        <v>44856</v>
      </c>
      <c r="D544" s="414">
        <f>12/24</f>
        <v>0.5</v>
      </c>
      <c r="E544" s="349" t="s">
        <v>85</v>
      </c>
      <c r="F544" s="354" t="s">
        <v>246</v>
      </c>
      <c r="G544" s="349" t="s">
        <v>41</v>
      </c>
      <c r="H544" s="420" t="s">
        <v>226</v>
      </c>
      <c r="I544" s="349" t="s">
        <v>85</v>
      </c>
      <c r="J544" s="420"/>
      <c r="K544" s="379"/>
      <c r="L544" s="422"/>
      <c r="M544" s="418"/>
      <c r="N544" s="436" t="str">
        <f>H544</f>
        <v>Tennessee</v>
      </c>
      <c r="O544" s="423">
        <v>65</v>
      </c>
      <c r="P544" s="436" t="str">
        <f t="shared" si="150"/>
        <v>1AA Tennessee Martin</v>
      </c>
      <c r="Q544" s="408">
        <v>24</v>
      </c>
      <c r="R544" s="494"/>
      <c r="S544" s="494"/>
      <c r="T544" s="356"/>
      <c r="U544" s="349"/>
      <c r="W544" s="424"/>
      <c r="X544" s="352" t="s">
        <v>404</v>
      </c>
      <c r="Y544" s="425"/>
    </row>
    <row r="545" spans="1:25" ht="16" x14ac:dyDescent="0.8">
      <c r="A545" s="351">
        <v>9</v>
      </c>
      <c r="B545" s="420" t="s">
        <v>52</v>
      </c>
      <c r="C545" s="421">
        <v>44861</v>
      </c>
      <c r="D545" s="414">
        <f>19.5/24</f>
        <v>0.8125</v>
      </c>
      <c r="E545" s="349" t="s">
        <v>35</v>
      </c>
      <c r="F545" s="420" t="s">
        <v>221</v>
      </c>
      <c r="G545" s="349" t="s">
        <v>61</v>
      </c>
      <c r="H545" s="420" t="s">
        <v>126</v>
      </c>
      <c r="I545" s="349" t="s">
        <v>61</v>
      </c>
      <c r="J545" s="420" t="str">
        <f>H545</f>
        <v>North Carolina St</v>
      </c>
      <c r="K545" s="379" t="str">
        <f>IF(+J545=H545,F545,H545)</f>
        <v>Virginia Tech</v>
      </c>
      <c r="L545" s="422">
        <v>13.5</v>
      </c>
      <c r="M545" s="418">
        <v>40</v>
      </c>
      <c r="N545" s="351" t="str">
        <f>J545</f>
        <v>North Carolina St</v>
      </c>
      <c r="O545" s="423">
        <v>22</v>
      </c>
      <c r="P545" s="436" t="str">
        <f>IF(+N545=H545,F545,H545)</f>
        <v>Virginia Tech</v>
      </c>
      <c r="Q545" s="408">
        <v>21</v>
      </c>
      <c r="R545" s="494" t="str">
        <f>IF(+N545=K545,+N545,IF(+O545-Q545&lt;L545,+K545,+J545))</f>
        <v>Virginia Tech</v>
      </c>
      <c r="S545" s="494" t="str">
        <f>IF(+R545=J545,+K545,+J545)</f>
        <v>North Carolina St</v>
      </c>
      <c r="T545" s="356" t="str">
        <f>J545</f>
        <v>North Carolina St</v>
      </c>
      <c r="U545" s="665" t="str">
        <f>IF($N545=$J545,IF($O545-$Q545=$L545,"T",IF($R545=T545,"W","L")),IF($R545=T545,"W","L"))</f>
        <v>L</v>
      </c>
      <c r="W545" s="424"/>
      <c r="X545" s="352" t="s">
        <v>404</v>
      </c>
      <c r="Y545" s="425"/>
    </row>
    <row r="546" spans="1:25" ht="16" x14ac:dyDescent="0.8">
      <c r="A546" s="351">
        <v>9</v>
      </c>
      <c r="B546" s="420" t="s">
        <v>52</v>
      </c>
      <c r="C546" s="421">
        <v>44861</v>
      </c>
      <c r="D546" s="414">
        <f>22/24</f>
        <v>0.91666666666666663</v>
      </c>
      <c r="E546" s="349" t="s">
        <v>70</v>
      </c>
      <c r="F546" s="420" t="s">
        <v>81</v>
      </c>
      <c r="G546" s="349" t="s">
        <v>37</v>
      </c>
      <c r="H546" s="420" t="s">
        <v>204</v>
      </c>
      <c r="I546" s="349" t="s">
        <v>37</v>
      </c>
      <c r="J546" s="420" t="str">
        <f>F546</f>
        <v>Utah</v>
      </c>
      <c r="K546" s="379" t="str">
        <f>IF(+J546=H546,F546,H546)</f>
        <v>Washington State</v>
      </c>
      <c r="L546" s="422">
        <v>7.5</v>
      </c>
      <c r="M546" s="418">
        <v>55</v>
      </c>
      <c r="N546" s="351" t="str">
        <f>J546</f>
        <v>Utah</v>
      </c>
      <c r="O546" s="423">
        <v>21</v>
      </c>
      <c r="P546" s="436" t="str">
        <f>IF(+N546=H546,F546,H546)</f>
        <v>Washington State</v>
      </c>
      <c r="Q546" s="408">
        <v>17</v>
      </c>
      <c r="R546" s="494" t="str">
        <f>IF(+N546=K546,+N546,IF(+O546-Q546&lt;L546,+K546,+J546))</f>
        <v>Washington State</v>
      </c>
      <c r="S546" s="494" t="str">
        <f>IF(+R546=J546,+K546,+J546)</f>
        <v>Utah</v>
      </c>
      <c r="T546" s="356" t="str">
        <f>K546</f>
        <v>Washington State</v>
      </c>
      <c r="U546" s="665" t="str">
        <f>IF($N546=$J546,IF($O546-$Q546=$L546,"T",IF($R546=T546,"W","L")),IF($R546=T546,"W","L"))</f>
        <v>W</v>
      </c>
      <c r="V546" s="352" t="str">
        <f>UPPER(+F546)</f>
        <v>UTAH</v>
      </c>
      <c r="W546" s="424">
        <v>24</v>
      </c>
      <c r="X546" s="352" t="str">
        <f>LOWER(+H546)</f>
        <v>washington state</v>
      </c>
      <c r="Y546" s="425">
        <v>13</v>
      </c>
    </row>
    <row r="547" spans="1:25" ht="16" x14ac:dyDescent="0.8">
      <c r="A547" s="351">
        <v>9</v>
      </c>
      <c r="B547" s="420" t="s">
        <v>52</v>
      </c>
      <c r="C547" s="421">
        <v>44861</v>
      </c>
      <c r="D547" s="414">
        <f>19.5/24</f>
        <v>0.8125</v>
      </c>
      <c r="E547" s="349" t="s">
        <v>256</v>
      </c>
      <c r="F547" s="420" t="s">
        <v>209</v>
      </c>
      <c r="G547" s="349" t="s">
        <v>59</v>
      </c>
      <c r="H547" s="420" t="s">
        <v>171</v>
      </c>
      <c r="I547" s="349" t="s">
        <v>59</v>
      </c>
      <c r="J547" s="420" t="str">
        <f>H547</f>
        <v>Southern Miss</v>
      </c>
      <c r="K547" s="379" t="str">
        <f>IF(+J547=H547,F547,H547)</f>
        <v>UL Lafayette</v>
      </c>
      <c r="L547" s="422">
        <v>1</v>
      </c>
      <c r="M547" s="418">
        <v>43</v>
      </c>
      <c r="N547" s="351" t="str">
        <f>J547</f>
        <v>Southern Miss</v>
      </c>
      <c r="O547" s="423">
        <v>39</v>
      </c>
      <c r="P547" s="436" t="str">
        <f>IF(+N547=H547,F547,H547)</f>
        <v>UL Lafayette</v>
      </c>
      <c r="Q547" s="408">
        <v>24</v>
      </c>
      <c r="R547" s="494" t="str">
        <f>IF(+N547=K547,+N547,IF(+O547-Q547&lt;L547,+K547,+J547))</f>
        <v>Southern Miss</v>
      </c>
      <c r="S547" s="494" t="str">
        <f>IF(+R547=J547,+K547,+J547)</f>
        <v>UL Lafayette</v>
      </c>
      <c r="T547" s="356" t="str">
        <f>J547</f>
        <v>Southern Miss</v>
      </c>
      <c r="U547" s="665" t="str">
        <f>IF($N547=$J547,IF($O547-$Q547=$L547,"T",IF($R547=T547,"W","L")),IF($R547=T547,"W","L"))</f>
        <v>W</v>
      </c>
      <c r="W547" s="424"/>
      <c r="X547" s="352" t="s">
        <v>404</v>
      </c>
      <c r="Y547" s="425"/>
    </row>
    <row r="548" spans="1:25" ht="16" x14ac:dyDescent="0.8">
      <c r="A548" s="351">
        <v>9</v>
      </c>
      <c r="B548" s="420" t="s">
        <v>88</v>
      </c>
      <c r="C548" s="421">
        <v>44862</v>
      </c>
      <c r="D548" s="414">
        <f>20/24</f>
        <v>0.83333333333333337</v>
      </c>
      <c r="E548" s="349" t="s">
        <v>445</v>
      </c>
      <c r="F548" s="420" t="s">
        <v>161</v>
      </c>
      <c r="G548" s="349" t="s">
        <v>39</v>
      </c>
      <c r="H548" s="420" t="s">
        <v>105</v>
      </c>
      <c r="I548" s="349" t="s">
        <v>39</v>
      </c>
      <c r="J548" s="420" t="str">
        <f>F548</f>
        <v>Louisiana Tech</v>
      </c>
      <c r="K548" s="379" t="str">
        <f>IF(+J548=H548,F548,H548)</f>
        <v>Florida Intl</v>
      </c>
      <c r="L548" s="422">
        <v>6.5</v>
      </c>
      <c r="M548" s="418">
        <v>58</v>
      </c>
      <c r="N548" s="351" t="str">
        <f>H548</f>
        <v>Florida Intl</v>
      </c>
      <c r="O548" s="423">
        <v>42</v>
      </c>
      <c r="P548" s="436" t="str">
        <f>IF(+N548=H548,F548,H548)</f>
        <v>Louisiana Tech</v>
      </c>
      <c r="Q548" s="408">
        <v>34</v>
      </c>
      <c r="R548" s="494" t="str">
        <f>IF(+N548=K548,+N548,IF(+O548-Q548&lt;L548,+K548,+J548))</f>
        <v>Florida Intl</v>
      </c>
      <c r="S548" s="494" t="str">
        <f>IF(+R548=J548,+K548,+J548)</f>
        <v>Louisiana Tech</v>
      </c>
      <c r="T548" s="356" t="str">
        <f>J548</f>
        <v>Louisiana Tech</v>
      </c>
      <c r="U548" s="665" t="str">
        <f>IF($N548=$J548,IF($O548-$Q548=$L548,"T",IF($R548=T548,"W","L")),IF($R548=T548,"W","L"))</f>
        <v>L</v>
      </c>
      <c r="W548" s="424"/>
      <c r="X548" s="352" t="s">
        <v>404</v>
      </c>
      <c r="Y548" s="425"/>
    </row>
    <row r="549" spans="1:25" ht="16" x14ac:dyDescent="0.8">
      <c r="A549" s="351">
        <v>9</v>
      </c>
      <c r="B549" s="420" t="s">
        <v>88</v>
      </c>
      <c r="C549" s="421">
        <v>44862</v>
      </c>
      <c r="D549" s="414">
        <f>20/24</f>
        <v>0.83333333333333337</v>
      </c>
      <c r="E549" s="349" t="s">
        <v>256</v>
      </c>
      <c r="F549" s="420" t="s">
        <v>107</v>
      </c>
      <c r="G549" s="349" t="s">
        <v>50</v>
      </c>
      <c r="H549" s="420" t="s">
        <v>42</v>
      </c>
      <c r="I549" s="349" t="s">
        <v>43</v>
      </c>
      <c r="J549" s="420" t="str">
        <f>H549</f>
        <v>BYU</v>
      </c>
      <c r="K549" s="379" t="str">
        <f>IF(+J549=H549,F549,H549)</f>
        <v>East Carolina</v>
      </c>
      <c r="L549" s="422">
        <v>3</v>
      </c>
      <c r="M549" s="418">
        <v>62</v>
      </c>
      <c r="N549" s="436" t="str">
        <f>K549</f>
        <v>East Carolina</v>
      </c>
      <c r="O549" s="423">
        <v>27</v>
      </c>
      <c r="P549" s="436" t="str">
        <f>IF(+N549=H549,F549,H549)</f>
        <v>BYU</v>
      </c>
      <c r="Q549" s="408">
        <v>24</v>
      </c>
      <c r="R549" s="494" t="str">
        <f>IF(+N549=K549,+N549,IF(+O549-Q549&lt;L549,+K549,+J549))</f>
        <v>East Carolina</v>
      </c>
      <c r="S549" s="494" t="str">
        <f>IF(+R549=J549,+K549,+J549)</f>
        <v>BYU</v>
      </c>
      <c r="T549" s="356" t="str">
        <f>K549</f>
        <v>East Carolina</v>
      </c>
      <c r="U549" s="665" t="str">
        <f>IF($N549=$J549,IF($O549-$Q549=$L549,"T",IF($R549=T549,"W","L")),IF($R549=T549,"W","L"))</f>
        <v>W</v>
      </c>
      <c r="W549" s="424"/>
      <c r="X549" s="352" t="s">
        <v>404</v>
      </c>
      <c r="Y549" s="425"/>
    </row>
    <row r="550" spans="1:25" ht="16" x14ac:dyDescent="0.8">
      <c r="A550" s="351">
        <v>9</v>
      </c>
      <c r="B550" s="420" t="s">
        <v>34</v>
      </c>
      <c r="C550" s="421">
        <v>44863</v>
      </c>
      <c r="D550" s="414">
        <f>15.5/24</f>
        <v>0.64583333333333337</v>
      </c>
      <c r="E550" s="349" t="s">
        <v>35</v>
      </c>
      <c r="F550" s="420" t="s">
        <v>55</v>
      </c>
      <c r="G550" s="349" t="s">
        <v>50</v>
      </c>
      <c r="H550" s="420" t="s">
        <v>106</v>
      </c>
      <c r="I550" s="349" t="s">
        <v>50</v>
      </c>
      <c r="J550" s="420" t="str">
        <f>F550</f>
        <v>Cincinnati</v>
      </c>
      <c r="K550" s="379" t="str">
        <f t="shared" ref="K550:K583" si="161">IF(+J550=H550,F550,H550)</f>
        <v>Central Florida</v>
      </c>
      <c r="L550" s="422">
        <v>0</v>
      </c>
      <c r="M550" s="418">
        <v>56</v>
      </c>
      <c r="N550" s="436" t="str">
        <f>K550</f>
        <v>Central Florida</v>
      </c>
      <c r="O550" s="423">
        <v>27</v>
      </c>
      <c r="P550" s="436" t="str">
        <f t="shared" ref="P550:P592" si="162">IF(+N550=H550,F550,H550)</f>
        <v>Cincinnati</v>
      </c>
      <c r="Q550" s="408">
        <v>25</v>
      </c>
      <c r="R550" s="494" t="str">
        <f t="shared" ref="R550:R583" si="163">IF(+N550=K550,+N550,IF(+O550-Q550&lt;L550,+K550,+J550))</f>
        <v>Central Florida</v>
      </c>
      <c r="S550" s="494" t="str">
        <f t="shared" ref="S550:S583" si="164">IF(+R550=J550,+K550,+J550)</f>
        <v>Cincinnati</v>
      </c>
      <c r="T550" s="356" t="str">
        <f>K550</f>
        <v>Central Florida</v>
      </c>
      <c r="U550" s="665" t="str">
        <f t="shared" ref="U550:U583" si="165">IF($N550=$J550,IF($O550-$Q550=$L550,"T",IF($R550=T550,"W","L")),IF($R550=T550,"W","L"))</f>
        <v>W</v>
      </c>
      <c r="V550" s="352" t="str">
        <f>UPPER(+F550)</f>
        <v>CINCINNATI</v>
      </c>
      <c r="W550" s="424">
        <v>56</v>
      </c>
      <c r="X550" s="352" t="str">
        <f>LOWER(+H550)</f>
        <v>central florida</v>
      </c>
      <c r="Y550" s="425">
        <v>21</v>
      </c>
    </row>
    <row r="551" spans="1:25" ht="16" x14ac:dyDescent="0.8">
      <c r="A551" s="351">
        <v>9</v>
      </c>
      <c r="B551" s="420" t="s">
        <v>34</v>
      </c>
      <c r="C551" s="421">
        <v>44863</v>
      </c>
      <c r="D551" s="414">
        <f>12/24</f>
        <v>0.5</v>
      </c>
      <c r="E551" s="349" t="s">
        <v>256</v>
      </c>
      <c r="F551" s="420" t="s">
        <v>49</v>
      </c>
      <c r="G551" s="349" t="s">
        <v>50</v>
      </c>
      <c r="H551" s="420" t="s">
        <v>174</v>
      </c>
      <c r="I551" s="349" t="s">
        <v>50</v>
      </c>
      <c r="J551" s="420" t="str">
        <f>H551</f>
        <v>Houston</v>
      </c>
      <c r="K551" s="379" t="str">
        <f t="shared" si="161"/>
        <v>South Florida</v>
      </c>
      <c r="L551" s="422">
        <v>17.5</v>
      </c>
      <c r="M551" s="418">
        <v>60.5</v>
      </c>
      <c r="N551" s="351" t="str">
        <f>J551</f>
        <v>Houston</v>
      </c>
      <c r="O551" s="423">
        <v>42</v>
      </c>
      <c r="P551" s="436" t="str">
        <f t="shared" si="162"/>
        <v>South Florida</v>
      </c>
      <c r="Q551" s="408">
        <v>27</v>
      </c>
      <c r="R551" s="494" t="str">
        <f t="shared" si="163"/>
        <v>South Florida</v>
      </c>
      <c r="S551" s="494" t="str">
        <f t="shared" si="164"/>
        <v>Houston</v>
      </c>
      <c r="T551" s="356" t="str">
        <f>K551</f>
        <v>South Florida</v>
      </c>
      <c r="U551" s="665" t="str">
        <f t="shared" si="165"/>
        <v>W</v>
      </c>
      <c r="V551" s="352" t="str">
        <f>LOWER(+H551)</f>
        <v>houston</v>
      </c>
      <c r="W551" s="424">
        <v>54</v>
      </c>
      <c r="X551" s="352" t="str">
        <f>UPPER(+F551)</f>
        <v>SOUTH FLORIDA</v>
      </c>
      <c r="Y551" s="425">
        <v>42</v>
      </c>
    </row>
    <row r="552" spans="1:25" ht="16" x14ac:dyDescent="0.8">
      <c r="A552" s="351">
        <v>9</v>
      </c>
      <c r="B552" s="420" t="s">
        <v>34</v>
      </c>
      <c r="C552" s="421">
        <v>44863</v>
      </c>
      <c r="D552" s="414">
        <f>15.5/24</f>
        <v>0.64583333333333337</v>
      </c>
      <c r="E552" s="349"/>
      <c r="F552" s="420" t="s">
        <v>180</v>
      </c>
      <c r="G552" s="349" t="s">
        <v>50</v>
      </c>
      <c r="H552" s="420" t="s">
        <v>96</v>
      </c>
      <c r="I552" s="349" t="s">
        <v>50</v>
      </c>
      <c r="J552" s="420" t="str">
        <f>F552</f>
        <v>Temple</v>
      </c>
      <c r="K552" s="379" t="str">
        <f t="shared" si="161"/>
        <v>Navy</v>
      </c>
      <c r="L552" s="422">
        <v>13.5</v>
      </c>
      <c r="M552" s="418">
        <v>40.5</v>
      </c>
      <c r="N552" s="436" t="str">
        <f>K552</f>
        <v>Navy</v>
      </c>
      <c r="O552" s="423">
        <v>27</v>
      </c>
      <c r="P552" s="436" t="str">
        <f t="shared" si="162"/>
        <v>Temple</v>
      </c>
      <c r="Q552" s="408">
        <v>20</v>
      </c>
      <c r="R552" s="494" t="str">
        <f t="shared" si="163"/>
        <v>Navy</v>
      </c>
      <c r="S552" s="494" t="str">
        <f t="shared" si="164"/>
        <v>Temple</v>
      </c>
      <c r="T552" s="356" t="str">
        <f>K552</f>
        <v>Navy</v>
      </c>
      <c r="U552" s="665" t="str">
        <f t="shared" si="165"/>
        <v>W</v>
      </c>
      <c r="V552" s="352" t="str">
        <f>LOWER(+H552)</f>
        <v>navy</v>
      </c>
      <c r="W552" s="424">
        <v>38</v>
      </c>
      <c r="X552" s="352" t="str">
        <f>UPPER(+F552)</f>
        <v>TEMPLE</v>
      </c>
      <c r="Y552" s="425">
        <v>14</v>
      </c>
    </row>
    <row r="553" spans="1:25" ht="16" x14ac:dyDescent="0.8">
      <c r="A553" s="351">
        <v>9</v>
      </c>
      <c r="B553" s="420" t="s">
        <v>34</v>
      </c>
      <c r="C553" s="421">
        <v>44863</v>
      </c>
      <c r="D553" s="414">
        <f>15.5/24</f>
        <v>0.64583333333333337</v>
      </c>
      <c r="E553" s="349"/>
      <c r="F553" s="420" t="s">
        <v>109</v>
      </c>
      <c r="G553" s="349" t="s">
        <v>50</v>
      </c>
      <c r="H553" s="420" t="s">
        <v>71</v>
      </c>
      <c r="I553" s="349" t="s">
        <v>50</v>
      </c>
      <c r="J553" s="420" t="str">
        <f>F553</f>
        <v>SMU</v>
      </c>
      <c r="K553" s="379" t="str">
        <f t="shared" si="161"/>
        <v>Tulsa</v>
      </c>
      <c r="L553" s="422">
        <v>2.5</v>
      </c>
      <c r="M553" s="418">
        <v>65.5</v>
      </c>
      <c r="N553" s="351" t="str">
        <f>J553</f>
        <v>SMU</v>
      </c>
      <c r="O553" s="423">
        <v>45</v>
      </c>
      <c r="P553" s="436" t="str">
        <f t="shared" si="162"/>
        <v>Tulsa</v>
      </c>
      <c r="Q553" s="408">
        <v>34</v>
      </c>
      <c r="R553" s="494" t="str">
        <f t="shared" si="163"/>
        <v>SMU</v>
      </c>
      <c r="S553" s="494" t="str">
        <f t="shared" si="164"/>
        <v>Tulsa</v>
      </c>
      <c r="T553" s="356" t="str">
        <f>J553</f>
        <v>SMU</v>
      </c>
      <c r="U553" s="665" t="str">
        <f t="shared" si="165"/>
        <v>W</v>
      </c>
      <c r="V553" s="352" t="str">
        <f>LOWER(+H553)</f>
        <v>tulsa</v>
      </c>
      <c r="W553" s="424">
        <v>34</v>
      </c>
      <c r="X553" s="352" t="str">
        <f>UPPER(+F553)</f>
        <v>SMU</v>
      </c>
      <c r="Y553" s="425">
        <v>31</v>
      </c>
    </row>
    <row r="554" spans="1:25" ht="16" x14ac:dyDescent="0.8">
      <c r="A554" s="351">
        <v>9</v>
      </c>
      <c r="B554" s="420" t="s">
        <v>34</v>
      </c>
      <c r="C554" s="421">
        <v>44863</v>
      </c>
      <c r="D554" s="414">
        <f>12/24</f>
        <v>0.5</v>
      </c>
      <c r="E554" s="349" t="s">
        <v>61</v>
      </c>
      <c r="F554" s="420" t="s">
        <v>227</v>
      </c>
      <c r="G554" s="349" t="s">
        <v>61</v>
      </c>
      <c r="H554" s="420" t="s">
        <v>117</v>
      </c>
      <c r="I554" s="349" t="s">
        <v>61</v>
      </c>
      <c r="J554" s="420" t="str">
        <f>H554</f>
        <v>Florida State</v>
      </c>
      <c r="K554" s="379" t="str">
        <f t="shared" si="161"/>
        <v>Georgia Tech</v>
      </c>
      <c r="L554" s="422">
        <v>23</v>
      </c>
      <c r="M554" s="418">
        <v>48</v>
      </c>
      <c r="N554" s="351" t="str">
        <f>J554</f>
        <v>Florida State</v>
      </c>
      <c r="O554" s="423">
        <v>41</v>
      </c>
      <c r="P554" s="436" t="str">
        <f t="shared" si="162"/>
        <v>Georgia Tech</v>
      </c>
      <c r="Q554" s="408">
        <v>26</v>
      </c>
      <c r="R554" s="494" t="str">
        <f t="shared" si="163"/>
        <v>Georgia Tech</v>
      </c>
      <c r="S554" s="494" t="str">
        <f t="shared" si="164"/>
        <v>Florida State</v>
      </c>
      <c r="T554" s="356" t="str">
        <f>J554</f>
        <v>Florida State</v>
      </c>
      <c r="U554" s="665" t="str">
        <f t="shared" si="165"/>
        <v>L</v>
      </c>
      <c r="W554" s="424"/>
      <c r="X554" s="352" t="s">
        <v>404</v>
      </c>
      <c r="Y554" s="425"/>
    </row>
    <row r="555" spans="1:25" ht="16" x14ac:dyDescent="0.8">
      <c r="A555" s="351">
        <v>9</v>
      </c>
      <c r="B555" s="420" t="s">
        <v>34</v>
      </c>
      <c r="C555" s="421">
        <v>44863</v>
      </c>
      <c r="D555" s="414">
        <f>15.5/24</f>
        <v>0.64583333333333337</v>
      </c>
      <c r="E555" s="349" t="s">
        <v>61</v>
      </c>
      <c r="F555" s="420" t="s">
        <v>62</v>
      </c>
      <c r="G555" s="349" t="s">
        <v>61</v>
      </c>
      <c r="H555" s="420" t="s">
        <v>120</v>
      </c>
      <c r="I555" s="349" t="s">
        <v>61</v>
      </c>
      <c r="J555" s="420" t="str">
        <f>F555</f>
        <v>Wake Forest</v>
      </c>
      <c r="K555" s="379" t="str">
        <f t="shared" si="161"/>
        <v>Louisville</v>
      </c>
      <c r="L555" s="422">
        <v>4</v>
      </c>
      <c r="M555" s="418">
        <v>62</v>
      </c>
      <c r="N555" s="436" t="str">
        <f>K555</f>
        <v>Louisville</v>
      </c>
      <c r="O555" s="423">
        <v>41</v>
      </c>
      <c r="P555" s="436" t="str">
        <f t="shared" si="162"/>
        <v>Wake Forest</v>
      </c>
      <c r="Q555" s="408">
        <v>28</v>
      </c>
      <c r="R555" s="494" t="str">
        <f t="shared" si="163"/>
        <v>Louisville</v>
      </c>
      <c r="S555" s="494" t="str">
        <f t="shared" si="164"/>
        <v>Wake Forest</v>
      </c>
      <c r="T555" s="356" t="str">
        <f>K555</f>
        <v>Louisville</v>
      </c>
      <c r="U555" s="665" t="str">
        <f t="shared" si="165"/>
        <v>W</v>
      </c>
      <c r="V555" s="352" t="str">
        <f>LOWER(+H555)</f>
        <v>louisville</v>
      </c>
      <c r="W555" s="424">
        <v>45</v>
      </c>
      <c r="X555" s="352" t="str">
        <f>UPPER(+F555)</f>
        <v>WAKE FOREST</v>
      </c>
      <c r="Y555" s="425">
        <v>21</v>
      </c>
    </row>
    <row r="556" spans="1:25" ht="16" x14ac:dyDescent="0.8">
      <c r="A556" s="351">
        <v>9</v>
      </c>
      <c r="B556" s="420" t="s">
        <v>34</v>
      </c>
      <c r="C556" s="421">
        <v>44863</v>
      </c>
      <c r="D556" s="414">
        <f>20/24</f>
        <v>0.83333333333333337</v>
      </c>
      <c r="E556" s="349" t="s">
        <v>61</v>
      </c>
      <c r="F556" s="354" t="s">
        <v>128</v>
      </c>
      <c r="G556" s="349" t="s">
        <v>61</v>
      </c>
      <c r="H556" s="420" t="s">
        <v>124</v>
      </c>
      <c r="I556" s="349" t="s">
        <v>61</v>
      </c>
      <c r="J556" s="420" t="str">
        <f>H556</f>
        <v>North Carolina</v>
      </c>
      <c r="K556" s="379" t="str">
        <f t="shared" si="161"/>
        <v>Pittsburgh</v>
      </c>
      <c r="L556" s="422">
        <v>3</v>
      </c>
      <c r="M556" s="418">
        <v>64.5</v>
      </c>
      <c r="N556" s="351" t="str">
        <f>J556</f>
        <v>North Carolina</v>
      </c>
      <c r="O556" s="423">
        <v>42</v>
      </c>
      <c r="P556" s="436" t="str">
        <f t="shared" si="162"/>
        <v>Pittsburgh</v>
      </c>
      <c r="Q556" s="408">
        <v>24</v>
      </c>
      <c r="R556" s="494" t="str">
        <f t="shared" si="163"/>
        <v>North Carolina</v>
      </c>
      <c r="S556" s="494" t="str">
        <f t="shared" si="164"/>
        <v>Pittsburgh</v>
      </c>
      <c r="T556" s="356" t="str">
        <f>J556</f>
        <v>North Carolina</v>
      </c>
      <c r="U556" s="665" t="str">
        <f t="shared" si="165"/>
        <v>W</v>
      </c>
      <c r="V556" s="352" t="str">
        <f>UPPER(+F556)</f>
        <v>PITTSBURGH</v>
      </c>
      <c r="W556" s="424">
        <v>30</v>
      </c>
      <c r="X556" s="352" t="str">
        <f>LOWER(+H556)</f>
        <v>north carolina</v>
      </c>
      <c r="Y556" s="425">
        <v>23</v>
      </c>
    </row>
    <row r="557" spans="1:25" ht="16" x14ac:dyDescent="0.8">
      <c r="A557" s="351">
        <v>9</v>
      </c>
      <c r="B557" s="420" t="s">
        <v>34</v>
      </c>
      <c r="C557" s="421">
        <v>44863</v>
      </c>
      <c r="D557" s="414">
        <f>12/24</f>
        <v>0.5</v>
      </c>
      <c r="E557" s="349" t="s">
        <v>135</v>
      </c>
      <c r="F557" s="420" t="s">
        <v>181</v>
      </c>
      <c r="G557" s="349" t="s">
        <v>43</v>
      </c>
      <c r="H557" s="420" t="s">
        <v>90</v>
      </c>
      <c r="I557" s="349" t="s">
        <v>61</v>
      </c>
      <c r="J557" s="420" t="str">
        <f>H557</f>
        <v>Syracuse</v>
      </c>
      <c r="K557" s="379" t="str">
        <f t="shared" si="161"/>
        <v>Notre Dame</v>
      </c>
      <c r="L557" s="422">
        <v>3</v>
      </c>
      <c r="M557" s="418">
        <v>47.5</v>
      </c>
      <c r="N557" s="436" t="str">
        <f>K557</f>
        <v>Notre Dame</v>
      </c>
      <c r="O557" s="423">
        <v>41</v>
      </c>
      <c r="P557" s="436" t="str">
        <f t="shared" si="162"/>
        <v>Syracuse</v>
      </c>
      <c r="Q557" s="408">
        <v>24</v>
      </c>
      <c r="R557" s="494" t="str">
        <f t="shared" si="163"/>
        <v>Notre Dame</v>
      </c>
      <c r="S557" s="494" t="str">
        <f t="shared" si="164"/>
        <v>Syracuse</v>
      </c>
      <c r="T557" s="356" t="str">
        <f>J557</f>
        <v>Syracuse</v>
      </c>
      <c r="U557" s="665" t="str">
        <f t="shared" si="165"/>
        <v>L</v>
      </c>
      <c r="W557" s="424"/>
      <c r="X557" s="352" t="s">
        <v>404</v>
      </c>
      <c r="Y557" s="425"/>
    </row>
    <row r="558" spans="1:25" ht="16" x14ac:dyDescent="0.8">
      <c r="A558" s="351">
        <v>9</v>
      </c>
      <c r="B558" s="420" t="s">
        <v>34</v>
      </c>
      <c r="C558" s="421">
        <v>44863</v>
      </c>
      <c r="D558" s="414">
        <f>12.5/24</f>
        <v>0.52083333333333337</v>
      </c>
      <c r="E558" s="349" t="s">
        <v>53</v>
      </c>
      <c r="F558" s="420" t="s">
        <v>122</v>
      </c>
      <c r="G558" s="349" t="s">
        <v>61</v>
      </c>
      <c r="H558" s="420" t="s">
        <v>130</v>
      </c>
      <c r="I558" s="349" t="s">
        <v>61</v>
      </c>
      <c r="J558" s="420" t="str">
        <f>F558</f>
        <v>Miami (FL)</v>
      </c>
      <c r="K558" s="379" t="str">
        <f t="shared" si="161"/>
        <v>Virginia</v>
      </c>
      <c r="L558" s="422">
        <v>2.5</v>
      </c>
      <c r="M558" s="418">
        <v>47.5</v>
      </c>
      <c r="N558" s="351" t="str">
        <f t="shared" ref="N558:N565" si="166">J558</f>
        <v>Miami (FL)</v>
      </c>
      <c r="O558" s="423">
        <v>14</v>
      </c>
      <c r="P558" s="436" t="str">
        <f t="shared" si="162"/>
        <v>Virginia</v>
      </c>
      <c r="Q558" s="408">
        <v>12</v>
      </c>
      <c r="R558" s="494" t="str">
        <f t="shared" si="163"/>
        <v>Virginia</v>
      </c>
      <c r="S558" s="494" t="str">
        <f t="shared" si="164"/>
        <v>Miami (FL)</v>
      </c>
      <c r="T558" s="356" t="str">
        <f>J558</f>
        <v>Miami (FL)</v>
      </c>
      <c r="U558" s="665" t="str">
        <f t="shared" si="165"/>
        <v>L</v>
      </c>
      <c r="V558" s="352" t="str">
        <f>LOWER(+H558)</f>
        <v>virginia</v>
      </c>
      <c r="W558" s="424">
        <v>30</v>
      </c>
      <c r="X558" s="352" t="str">
        <f>UPPER(+F558)</f>
        <v>MIAMI (FL)</v>
      </c>
      <c r="Y558" s="425">
        <v>28</v>
      </c>
    </row>
    <row r="559" spans="1:25" ht="16" x14ac:dyDescent="0.8">
      <c r="A559" s="351">
        <v>9</v>
      </c>
      <c r="B559" s="420" t="s">
        <v>34</v>
      </c>
      <c r="C559" s="421">
        <v>44863</v>
      </c>
      <c r="D559" s="414">
        <f>15.5/24</f>
        <v>0.64583333333333337</v>
      </c>
      <c r="E559" s="349" t="s">
        <v>256</v>
      </c>
      <c r="F559" s="420" t="s">
        <v>143</v>
      </c>
      <c r="G559" s="349" t="s">
        <v>64</v>
      </c>
      <c r="H559" s="420" t="s">
        <v>134</v>
      </c>
      <c r="I559" s="349" t="s">
        <v>64</v>
      </c>
      <c r="J559" s="420" t="str">
        <f>H559</f>
        <v>Iowa</v>
      </c>
      <c r="K559" s="379" t="str">
        <f t="shared" si="161"/>
        <v>Northwestern</v>
      </c>
      <c r="L559" s="422">
        <v>11</v>
      </c>
      <c r="M559" s="418">
        <v>37.5</v>
      </c>
      <c r="N559" s="351" t="str">
        <f t="shared" si="166"/>
        <v>Iowa</v>
      </c>
      <c r="O559" s="423">
        <v>33</v>
      </c>
      <c r="P559" s="436" t="str">
        <f t="shared" si="162"/>
        <v>Northwestern</v>
      </c>
      <c r="Q559" s="408">
        <v>13</v>
      </c>
      <c r="R559" s="494" t="str">
        <f t="shared" si="163"/>
        <v>Iowa</v>
      </c>
      <c r="S559" s="494" t="str">
        <f t="shared" si="164"/>
        <v>Northwestern</v>
      </c>
      <c r="T559" s="356" t="str">
        <f>K559</f>
        <v>Northwestern</v>
      </c>
      <c r="U559" s="665" t="str">
        <f t="shared" si="165"/>
        <v>L</v>
      </c>
      <c r="V559" s="352" t="str">
        <f>LOWER(+H559)</f>
        <v>iowa</v>
      </c>
      <c r="W559" s="424">
        <v>17</v>
      </c>
      <c r="X559" s="352" t="str">
        <f>UPPER(+F559)</f>
        <v>NORTHWESTERN</v>
      </c>
      <c r="Y559" s="425">
        <v>12</v>
      </c>
    </row>
    <row r="560" spans="1:25" ht="16" x14ac:dyDescent="0.8">
      <c r="A560" s="351">
        <v>9</v>
      </c>
      <c r="B560" s="420" t="s">
        <v>34</v>
      </c>
      <c r="C560" s="421">
        <v>44863</v>
      </c>
      <c r="D560" s="414">
        <f>19.5/24</f>
        <v>0.8125</v>
      </c>
      <c r="E560" s="349" t="s">
        <v>135</v>
      </c>
      <c r="F560" s="420" t="s">
        <v>139</v>
      </c>
      <c r="G560" s="349" t="s">
        <v>64</v>
      </c>
      <c r="H560" s="420" t="s">
        <v>137</v>
      </c>
      <c r="I560" s="349" t="s">
        <v>64</v>
      </c>
      <c r="J560" s="420" t="str">
        <f>H560</f>
        <v>Michigan</v>
      </c>
      <c r="K560" s="379" t="str">
        <f t="shared" si="161"/>
        <v>Michigan State</v>
      </c>
      <c r="L560" s="422">
        <v>21.5</v>
      </c>
      <c r="M560" s="418">
        <v>54.5</v>
      </c>
      <c r="N560" s="351" t="str">
        <f t="shared" si="166"/>
        <v>Michigan</v>
      </c>
      <c r="O560" s="423">
        <v>29</v>
      </c>
      <c r="P560" s="436" t="str">
        <f t="shared" si="162"/>
        <v>Michigan State</v>
      </c>
      <c r="Q560" s="408">
        <v>7</v>
      </c>
      <c r="R560" s="494" t="str">
        <f t="shared" si="163"/>
        <v>Michigan</v>
      </c>
      <c r="S560" s="494" t="str">
        <f t="shared" si="164"/>
        <v>Michigan State</v>
      </c>
      <c r="T560" s="356" t="str">
        <f>K560</f>
        <v>Michigan State</v>
      </c>
      <c r="U560" s="665" t="str">
        <f t="shared" si="165"/>
        <v>L</v>
      </c>
      <c r="V560" s="352" t="str">
        <f>UPPER(+F560)</f>
        <v>MICHIGAN STATE</v>
      </c>
      <c r="W560" s="424">
        <v>37</v>
      </c>
      <c r="X560" s="352" t="str">
        <f>LOWER(+H560)</f>
        <v>michigan</v>
      </c>
      <c r="Y560" s="425">
        <v>33</v>
      </c>
    </row>
    <row r="561" spans="1:25" ht="16" x14ac:dyDescent="0.8">
      <c r="A561" s="351">
        <v>9</v>
      </c>
      <c r="B561" s="420" t="s">
        <v>34</v>
      </c>
      <c r="C561" s="421">
        <v>44863</v>
      </c>
      <c r="D561" s="414">
        <f>15.5/24</f>
        <v>0.64583333333333337</v>
      </c>
      <c r="E561" s="349"/>
      <c r="F561" s="420" t="s">
        <v>92</v>
      </c>
      <c r="G561" s="349" t="s">
        <v>64</v>
      </c>
      <c r="H561" s="420" t="s">
        <v>69</v>
      </c>
      <c r="I561" s="349" t="s">
        <v>64</v>
      </c>
      <c r="J561" s="420" t="str">
        <f>H561</f>
        <v>Minnesota</v>
      </c>
      <c r="K561" s="379" t="str">
        <f t="shared" si="161"/>
        <v>Rutgers</v>
      </c>
      <c r="L561" s="422">
        <v>14</v>
      </c>
      <c r="M561" s="418">
        <v>41</v>
      </c>
      <c r="N561" s="351" t="str">
        <f t="shared" si="166"/>
        <v>Minnesota</v>
      </c>
      <c r="O561" s="423">
        <v>31</v>
      </c>
      <c r="P561" s="436" t="str">
        <f t="shared" si="162"/>
        <v>Rutgers</v>
      </c>
      <c r="Q561" s="408">
        <v>0</v>
      </c>
      <c r="R561" s="494" t="str">
        <f t="shared" si="163"/>
        <v>Minnesota</v>
      </c>
      <c r="S561" s="494" t="str">
        <f t="shared" si="164"/>
        <v>Rutgers</v>
      </c>
      <c r="T561" s="356" t="str">
        <f>K561</f>
        <v>Rutgers</v>
      </c>
      <c r="U561" s="665" t="str">
        <f t="shared" si="165"/>
        <v>L</v>
      </c>
      <c r="W561" s="424"/>
      <c r="X561" s="352" t="s">
        <v>404</v>
      </c>
      <c r="Y561" s="425"/>
    </row>
    <row r="562" spans="1:25" ht="16" x14ac:dyDescent="0.8">
      <c r="A562" s="351">
        <v>9</v>
      </c>
      <c r="B562" s="420" t="s">
        <v>34</v>
      </c>
      <c r="C562" s="421">
        <v>44863</v>
      </c>
      <c r="D562" s="414">
        <f>15.5/24</f>
        <v>0.64583333333333337</v>
      </c>
      <c r="E562" s="349"/>
      <c r="F562" s="420" t="s">
        <v>132</v>
      </c>
      <c r="G562" s="349" t="s">
        <v>64</v>
      </c>
      <c r="H562" s="420" t="s">
        <v>141</v>
      </c>
      <c r="I562" s="349" t="s">
        <v>64</v>
      </c>
      <c r="J562" s="420" t="str">
        <f>F562</f>
        <v>Illinois</v>
      </c>
      <c r="K562" s="379" t="str">
        <f t="shared" si="161"/>
        <v>Nebraska</v>
      </c>
      <c r="L562" s="422">
        <v>7.5</v>
      </c>
      <c r="M562" s="418">
        <v>50.5</v>
      </c>
      <c r="N562" s="351" t="str">
        <f t="shared" si="166"/>
        <v>Illinois</v>
      </c>
      <c r="O562" s="423">
        <v>26</v>
      </c>
      <c r="P562" s="436" t="str">
        <f t="shared" si="162"/>
        <v>Nebraska</v>
      </c>
      <c r="Q562" s="408">
        <v>9</v>
      </c>
      <c r="R562" s="494" t="str">
        <f t="shared" si="163"/>
        <v>Illinois</v>
      </c>
      <c r="S562" s="494" t="str">
        <f t="shared" si="164"/>
        <v>Nebraska</v>
      </c>
      <c r="T562" s="356" t="str">
        <f>J562</f>
        <v>Illinois</v>
      </c>
      <c r="U562" s="665" t="str">
        <f t="shared" si="165"/>
        <v>W</v>
      </c>
      <c r="V562" s="352" t="str">
        <f>UPPER(+F562)</f>
        <v>ILLINOIS</v>
      </c>
      <c r="W562" s="424">
        <v>30</v>
      </c>
      <c r="X562" s="352" t="str">
        <f>LOWER(+H562)</f>
        <v>nebraska</v>
      </c>
      <c r="Y562" s="425">
        <v>22</v>
      </c>
    </row>
    <row r="563" spans="1:25" ht="16" x14ac:dyDescent="0.8">
      <c r="A563" s="351">
        <v>9</v>
      </c>
      <c r="B563" s="420" t="s">
        <v>34</v>
      </c>
      <c r="C563" s="421">
        <v>44863</v>
      </c>
      <c r="D563" s="414">
        <f>12/24</f>
        <v>0.5</v>
      </c>
      <c r="E563" s="349" t="s">
        <v>118</v>
      </c>
      <c r="F563" s="420" t="s">
        <v>63</v>
      </c>
      <c r="G563" s="349" t="s">
        <v>64</v>
      </c>
      <c r="H563" s="420" t="s">
        <v>145</v>
      </c>
      <c r="I563" s="349" t="s">
        <v>64</v>
      </c>
      <c r="J563" s="420" t="str">
        <f>F563</f>
        <v>Ohio State</v>
      </c>
      <c r="K563" s="379" t="str">
        <f t="shared" si="161"/>
        <v>Penn State</v>
      </c>
      <c r="L563" s="422">
        <v>15.5</v>
      </c>
      <c r="M563" s="418">
        <v>61</v>
      </c>
      <c r="N563" s="351" t="str">
        <f t="shared" si="166"/>
        <v>Ohio State</v>
      </c>
      <c r="O563" s="423">
        <v>44</v>
      </c>
      <c r="P563" s="436" t="str">
        <f t="shared" si="162"/>
        <v>Penn State</v>
      </c>
      <c r="Q563" s="408">
        <v>31</v>
      </c>
      <c r="R563" s="494" t="str">
        <f t="shared" si="163"/>
        <v>Penn State</v>
      </c>
      <c r="S563" s="494" t="str">
        <f t="shared" si="164"/>
        <v>Ohio State</v>
      </c>
      <c r="T563" s="356" t="str">
        <f>J563</f>
        <v>Ohio State</v>
      </c>
      <c r="U563" s="665" t="str">
        <f t="shared" si="165"/>
        <v>L</v>
      </c>
      <c r="V563" s="352" t="str">
        <f>UPPER(+F563)</f>
        <v>OHIO STATE</v>
      </c>
      <c r="W563" s="424">
        <v>33</v>
      </c>
      <c r="X563" s="352" t="str">
        <f>LOWER(+H563)</f>
        <v>penn state</v>
      </c>
      <c r="Y563" s="425">
        <v>24</v>
      </c>
    </row>
    <row r="564" spans="1:25" ht="16" x14ac:dyDescent="0.8">
      <c r="A564" s="351">
        <v>9</v>
      </c>
      <c r="B564" s="420" t="s">
        <v>34</v>
      </c>
      <c r="C564" s="421">
        <v>44863</v>
      </c>
      <c r="D564" s="414">
        <f>12/24</f>
        <v>0.5</v>
      </c>
      <c r="E564" s="349" t="s">
        <v>70</v>
      </c>
      <c r="F564" s="420" t="s">
        <v>154</v>
      </c>
      <c r="G564" s="349" t="s">
        <v>73</v>
      </c>
      <c r="H564" s="420" t="s">
        <v>148</v>
      </c>
      <c r="I564" s="349" t="s">
        <v>73</v>
      </c>
      <c r="J564" s="420" t="str">
        <f>F564</f>
        <v>Oklahoma</v>
      </c>
      <c r="K564" s="379" t="str">
        <f t="shared" si="161"/>
        <v>Iowa State</v>
      </c>
      <c r="L564" s="422">
        <v>1.5</v>
      </c>
      <c r="M564" s="418">
        <v>55.5</v>
      </c>
      <c r="N564" s="351" t="str">
        <f t="shared" si="166"/>
        <v>Oklahoma</v>
      </c>
      <c r="O564" s="423">
        <v>27</v>
      </c>
      <c r="P564" s="436" t="str">
        <f t="shared" si="162"/>
        <v>Iowa State</v>
      </c>
      <c r="Q564" s="408">
        <v>13</v>
      </c>
      <c r="R564" s="494" t="str">
        <f t="shared" si="163"/>
        <v>Oklahoma</v>
      </c>
      <c r="S564" s="494" t="str">
        <f t="shared" si="164"/>
        <v>Iowa State</v>
      </c>
      <c r="T564" s="356" t="str">
        <f>J564</f>
        <v>Oklahoma</v>
      </c>
      <c r="U564" s="665" t="str">
        <f t="shared" si="165"/>
        <v>W</v>
      </c>
      <c r="V564" s="352" t="str">
        <f>UPPER(+F564)</f>
        <v>OKLAHOMA</v>
      </c>
      <c r="W564" s="424">
        <v>26</v>
      </c>
      <c r="X564" s="352" t="str">
        <f>LOWER(+H564)</f>
        <v>iowa state</v>
      </c>
      <c r="Y564" s="425">
        <v>21</v>
      </c>
    </row>
    <row r="565" spans="1:25" ht="16" x14ac:dyDescent="0.8">
      <c r="A565" s="351">
        <v>9</v>
      </c>
      <c r="B565" s="420" t="s">
        <v>34</v>
      </c>
      <c r="C565" s="421">
        <v>44863</v>
      </c>
      <c r="D565" s="414">
        <f>15.5/24</f>
        <v>0.64583333333333337</v>
      </c>
      <c r="E565" s="349" t="s">
        <v>118</v>
      </c>
      <c r="F565" s="420" t="s">
        <v>72</v>
      </c>
      <c r="G565" s="349" t="s">
        <v>73</v>
      </c>
      <c r="H565" s="420" t="s">
        <v>152</v>
      </c>
      <c r="I565" s="349" t="s">
        <v>73</v>
      </c>
      <c r="J565" s="420" t="str">
        <f>H565</f>
        <v>Kansas State</v>
      </c>
      <c r="K565" s="379" t="str">
        <f t="shared" si="161"/>
        <v>Oklahoma State</v>
      </c>
      <c r="L565" s="422">
        <v>1.5</v>
      </c>
      <c r="M565" s="418">
        <v>56.5</v>
      </c>
      <c r="N565" s="436" t="str">
        <f t="shared" si="166"/>
        <v>Kansas State</v>
      </c>
      <c r="O565" s="423">
        <v>48</v>
      </c>
      <c r="P565" s="436" t="str">
        <f t="shared" si="162"/>
        <v>Oklahoma State</v>
      </c>
      <c r="Q565" s="408">
        <v>0</v>
      </c>
      <c r="R565" s="494" t="str">
        <f t="shared" si="163"/>
        <v>Kansas State</v>
      </c>
      <c r="S565" s="494" t="str">
        <f t="shared" si="164"/>
        <v>Oklahoma State</v>
      </c>
      <c r="T565" s="356" t="str">
        <f>J565</f>
        <v>Kansas State</v>
      </c>
      <c r="U565" s="665" t="str">
        <f t="shared" si="165"/>
        <v>W</v>
      </c>
      <c r="V565" s="352" t="str">
        <f>LOWER(+H565)</f>
        <v>kansas state</v>
      </c>
      <c r="W565" s="424">
        <v>31</v>
      </c>
      <c r="X565" s="352" t="str">
        <f>UPPER(+F565)</f>
        <v>OKLAHOMA STATE</v>
      </c>
      <c r="Y565" s="425">
        <v>12</v>
      </c>
    </row>
    <row r="566" spans="1:25" ht="16" x14ac:dyDescent="0.8">
      <c r="A566" s="351">
        <v>9</v>
      </c>
      <c r="B566" s="420" t="s">
        <v>34</v>
      </c>
      <c r="C566" s="421">
        <v>44863</v>
      </c>
      <c r="D566" s="414">
        <f>19.5/24</f>
        <v>0.8125</v>
      </c>
      <c r="E566" s="349" t="s">
        <v>256</v>
      </c>
      <c r="F566" s="420" t="s">
        <v>146</v>
      </c>
      <c r="G566" s="349" t="s">
        <v>73</v>
      </c>
      <c r="H566" s="420" t="s">
        <v>159</v>
      </c>
      <c r="I566" s="349" t="s">
        <v>73</v>
      </c>
      <c r="J566" s="420" t="str">
        <f>H566</f>
        <v>Texas Tech</v>
      </c>
      <c r="K566" s="379" t="str">
        <f t="shared" si="161"/>
        <v>Baylor</v>
      </c>
      <c r="L566" s="422">
        <v>2.5</v>
      </c>
      <c r="M566" s="418">
        <v>62</v>
      </c>
      <c r="N566" s="436" t="str">
        <f>K566</f>
        <v>Baylor</v>
      </c>
      <c r="O566" s="423">
        <v>45</v>
      </c>
      <c r="P566" s="436" t="str">
        <f t="shared" si="162"/>
        <v>Texas Tech</v>
      </c>
      <c r="Q566" s="408">
        <v>17</v>
      </c>
      <c r="R566" s="494" t="str">
        <f t="shared" si="163"/>
        <v>Baylor</v>
      </c>
      <c r="S566" s="494" t="str">
        <f t="shared" si="164"/>
        <v>Texas Tech</v>
      </c>
      <c r="T566" s="356" t="str">
        <f t="shared" ref="T566:T573" si="167">K566</f>
        <v>Baylor</v>
      </c>
      <c r="U566" s="665" t="str">
        <f t="shared" si="165"/>
        <v>W</v>
      </c>
      <c r="V566" s="352" t="str">
        <f>UPPER(+F566)</f>
        <v>BAYLOR</v>
      </c>
      <c r="W566" s="424">
        <v>27</v>
      </c>
      <c r="X566" s="352" t="str">
        <f>LOWER(+H566)</f>
        <v>texas tech</v>
      </c>
      <c r="Y566" s="425">
        <v>24</v>
      </c>
    </row>
    <row r="567" spans="1:25" ht="16" x14ac:dyDescent="0.8">
      <c r="A567" s="351">
        <v>9</v>
      </c>
      <c r="B567" s="420" t="s">
        <v>34</v>
      </c>
      <c r="C567" s="421">
        <v>44863</v>
      </c>
      <c r="D567" s="414">
        <f>12/24</f>
        <v>0.5</v>
      </c>
      <c r="E567" s="349" t="s">
        <v>35</v>
      </c>
      <c r="F567" s="420" t="s">
        <v>155</v>
      </c>
      <c r="G567" s="349" t="s">
        <v>73</v>
      </c>
      <c r="H567" s="420" t="s">
        <v>222</v>
      </c>
      <c r="I567" s="349" t="s">
        <v>73</v>
      </c>
      <c r="J567" s="420" t="str">
        <f>F567</f>
        <v>TCU</v>
      </c>
      <c r="K567" s="379" t="str">
        <f t="shared" si="161"/>
        <v>West Virginia</v>
      </c>
      <c r="L567" s="422">
        <v>7</v>
      </c>
      <c r="M567" s="418">
        <v>69</v>
      </c>
      <c r="N567" s="351" t="str">
        <f>J567</f>
        <v>TCU</v>
      </c>
      <c r="O567" s="423">
        <v>41</v>
      </c>
      <c r="P567" s="436" t="str">
        <f t="shared" si="162"/>
        <v>West Virginia</v>
      </c>
      <c r="Q567" s="408">
        <v>31</v>
      </c>
      <c r="R567" s="494" t="str">
        <f t="shared" si="163"/>
        <v>TCU</v>
      </c>
      <c r="S567" s="494" t="str">
        <f t="shared" si="164"/>
        <v>West Virginia</v>
      </c>
      <c r="T567" s="356" t="str">
        <f t="shared" si="167"/>
        <v>West Virginia</v>
      </c>
      <c r="U567" s="665" t="str">
        <f t="shared" si="165"/>
        <v>L</v>
      </c>
      <c r="V567" s="352" t="str">
        <f>LOWER(+H567)</f>
        <v>west virginia</v>
      </c>
      <c r="W567" s="424">
        <v>29</v>
      </c>
      <c r="X567" s="352" t="str">
        <f>UPPER(+F567)</f>
        <v>TCU</v>
      </c>
      <c r="Y567" s="425">
        <v>17</v>
      </c>
    </row>
    <row r="568" spans="1:25" ht="16" x14ac:dyDescent="0.8">
      <c r="A568" s="351">
        <v>9</v>
      </c>
      <c r="B568" s="420" t="s">
        <v>34</v>
      </c>
      <c r="C568" s="421">
        <v>44863</v>
      </c>
      <c r="D568" s="414">
        <f>19/24</f>
        <v>0.79166666666666663</v>
      </c>
      <c r="E568" s="349"/>
      <c r="F568" s="420" t="s">
        <v>173</v>
      </c>
      <c r="G568" s="349" t="s">
        <v>39</v>
      </c>
      <c r="H568" s="420" t="s">
        <v>97</v>
      </c>
      <c r="I568" s="349" t="s">
        <v>39</v>
      </c>
      <c r="J568" s="420" t="str">
        <f>F568</f>
        <v>UAB</v>
      </c>
      <c r="K568" s="379" t="str">
        <f t="shared" si="161"/>
        <v>Florida Atlantic</v>
      </c>
      <c r="L568" s="422">
        <v>5</v>
      </c>
      <c r="M568" s="418">
        <v>48</v>
      </c>
      <c r="N568" s="436" t="str">
        <f>K568</f>
        <v>Florida Atlantic</v>
      </c>
      <c r="O568" s="423">
        <v>24</v>
      </c>
      <c r="P568" s="436" t="str">
        <f t="shared" si="162"/>
        <v>UAB</v>
      </c>
      <c r="Q568" s="408">
        <v>18</v>
      </c>
      <c r="R568" s="494" t="str">
        <f t="shared" si="163"/>
        <v>Florida Atlantic</v>
      </c>
      <c r="S568" s="494" t="str">
        <f t="shared" si="164"/>
        <v>UAB</v>
      </c>
      <c r="T568" s="356" t="str">
        <f t="shared" si="167"/>
        <v>Florida Atlantic</v>
      </c>
      <c r="U568" s="665" t="str">
        <f t="shared" si="165"/>
        <v>W</v>
      </c>
      <c r="V568" s="352" t="str">
        <f>UPPER(+F568)</f>
        <v>UAB</v>
      </c>
      <c r="W568" s="424">
        <v>31</v>
      </c>
      <c r="X568" s="352" t="str">
        <f>LOWER(+H568)</f>
        <v>florida atlantic</v>
      </c>
      <c r="Y568" s="425">
        <v>14</v>
      </c>
    </row>
    <row r="569" spans="1:25" ht="16" x14ac:dyDescent="0.8">
      <c r="A569" s="351">
        <v>9</v>
      </c>
      <c r="B569" s="420" t="s">
        <v>34</v>
      </c>
      <c r="C569" s="421">
        <v>44863</v>
      </c>
      <c r="D569" s="414">
        <f>14/24</f>
        <v>0.58333333333333337</v>
      </c>
      <c r="E569" s="349" t="s">
        <v>53</v>
      </c>
      <c r="F569" s="420" t="s">
        <v>100</v>
      </c>
      <c r="G569" s="349" t="s">
        <v>39</v>
      </c>
      <c r="H569" s="420" t="s">
        <v>38</v>
      </c>
      <c r="I569" s="349" t="s">
        <v>39</v>
      </c>
      <c r="J569" s="420" t="str">
        <f>H569</f>
        <v>Rice</v>
      </c>
      <c r="K569" s="379" t="str">
        <f t="shared" si="161"/>
        <v>UNC Charlotte</v>
      </c>
      <c r="L569" s="422">
        <v>16.5</v>
      </c>
      <c r="M569" s="418">
        <v>60.5</v>
      </c>
      <c r="N569" s="436" t="str">
        <f>K569</f>
        <v>UNC Charlotte</v>
      </c>
      <c r="O569" s="423">
        <v>56</v>
      </c>
      <c r="P569" s="436" t="str">
        <f t="shared" si="162"/>
        <v>Rice</v>
      </c>
      <c r="Q569" s="408">
        <v>23</v>
      </c>
      <c r="R569" s="494" t="str">
        <f t="shared" si="163"/>
        <v>UNC Charlotte</v>
      </c>
      <c r="S569" s="494" t="str">
        <f t="shared" si="164"/>
        <v>Rice</v>
      </c>
      <c r="T569" s="356" t="str">
        <f t="shared" si="167"/>
        <v>UNC Charlotte</v>
      </c>
      <c r="U569" s="665" t="str">
        <f t="shared" si="165"/>
        <v>W</v>
      </c>
      <c r="V569" s="352" t="str">
        <f>UPPER(+F569)</f>
        <v>UNC CHARLOTTE</v>
      </c>
      <c r="W569" s="424">
        <v>31</v>
      </c>
      <c r="X569" s="352" t="str">
        <f>LOWER(+H569)</f>
        <v>rice</v>
      </c>
      <c r="Y569" s="425">
        <v>24</v>
      </c>
    </row>
    <row r="570" spans="1:25" ht="16" x14ac:dyDescent="0.8">
      <c r="A570" s="351">
        <v>9</v>
      </c>
      <c r="B570" s="420" t="s">
        <v>34</v>
      </c>
      <c r="C570" s="421">
        <v>44863</v>
      </c>
      <c r="D570" s="414">
        <f>21/24</f>
        <v>0.875</v>
      </c>
      <c r="E570" s="349"/>
      <c r="F570" s="420" t="s">
        <v>165</v>
      </c>
      <c r="G570" s="349" t="s">
        <v>39</v>
      </c>
      <c r="H570" s="420" t="s">
        <v>153</v>
      </c>
      <c r="I570" s="349" t="s">
        <v>39</v>
      </c>
      <c r="J570" s="420" t="str">
        <f>H570</f>
        <v>UTEP</v>
      </c>
      <c r="K570" s="379" t="str">
        <f t="shared" si="161"/>
        <v>Middle Tenn St</v>
      </c>
      <c r="L570" s="422">
        <v>1</v>
      </c>
      <c r="M570" s="418">
        <v>52</v>
      </c>
      <c r="N570" s="436" t="str">
        <f>K570</f>
        <v>Middle Tenn St</v>
      </c>
      <c r="O570" s="423">
        <v>24</v>
      </c>
      <c r="P570" s="436" t="str">
        <f t="shared" si="162"/>
        <v>UTEP</v>
      </c>
      <c r="Q570" s="408">
        <v>13</v>
      </c>
      <c r="R570" s="494" t="str">
        <f t="shared" si="163"/>
        <v>Middle Tenn St</v>
      </c>
      <c r="S570" s="494" t="str">
        <f t="shared" si="164"/>
        <v>UTEP</v>
      </c>
      <c r="T570" s="356" t="str">
        <f t="shared" si="167"/>
        <v>Middle Tenn St</v>
      </c>
      <c r="U570" s="665" t="str">
        <f t="shared" si="165"/>
        <v>W</v>
      </c>
      <c r="W570" s="424"/>
      <c r="X570" s="352" t="s">
        <v>404</v>
      </c>
      <c r="Y570" s="425"/>
    </row>
    <row r="571" spans="1:25" ht="16" x14ac:dyDescent="0.8">
      <c r="A571" s="351">
        <v>9</v>
      </c>
      <c r="B571" s="420" t="s">
        <v>34</v>
      </c>
      <c r="C571" s="421">
        <v>44863</v>
      </c>
      <c r="D571" s="414">
        <f>15.5/24</f>
        <v>0.64583333333333337</v>
      </c>
      <c r="E571" s="349"/>
      <c r="F571" s="420" t="s">
        <v>167</v>
      </c>
      <c r="G571" s="349" t="s">
        <v>39</v>
      </c>
      <c r="H571" s="420" t="s">
        <v>177</v>
      </c>
      <c r="I571" s="349" t="s">
        <v>39</v>
      </c>
      <c r="J571" s="420" t="str">
        <f>H571</f>
        <v>Western Kentucky</v>
      </c>
      <c r="K571" s="379" t="str">
        <f>IF(+J571=H571,F571,H571)</f>
        <v>North Texas</v>
      </c>
      <c r="L571" s="422">
        <v>10</v>
      </c>
      <c r="M571" s="418">
        <v>68</v>
      </c>
      <c r="N571" s="436" t="str">
        <f>K571</f>
        <v>North Texas</v>
      </c>
      <c r="O571" s="423">
        <v>40</v>
      </c>
      <c r="P571" s="436" t="str">
        <f t="shared" si="162"/>
        <v>Western Kentucky</v>
      </c>
      <c r="Q571" s="408">
        <v>13</v>
      </c>
      <c r="R571" s="494" t="str">
        <f t="shared" si="163"/>
        <v>North Texas</v>
      </c>
      <c r="S571" s="494" t="str">
        <f t="shared" si="164"/>
        <v>Western Kentucky</v>
      </c>
      <c r="T571" s="356" t="str">
        <f t="shared" si="167"/>
        <v>North Texas</v>
      </c>
      <c r="U571" s="665" t="str">
        <f t="shared" si="165"/>
        <v>W</v>
      </c>
      <c r="W571" s="424"/>
      <c r="X571" s="352" t="s">
        <v>404</v>
      </c>
      <c r="Y571" s="425"/>
    </row>
    <row r="572" spans="1:25" ht="16" x14ac:dyDescent="0.8">
      <c r="A572" s="351">
        <v>9</v>
      </c>
      <c r="B572" s="420" t="s">
        <v>34</v>
      </c>
      <c r="C572" s="421">
        <v>44863</v>
      </c>
      <c r="D572" s="414">
        <f>12/24</f>
        <v>0.5</v>
      </c>
      <c r="E572" s="349" t="s">
        <v>445</v>
      </c>
      <c r="F572" s="420" t="s">
        <v>102</v>
      </c>
      <c r="G572" s="349" t="s">
        <v>61</v>
      </c>
      <c r="H572" s="420" t="s">
        <v>57</v>
      </c>
      <c r="I572" s="349" t="s">
        <v>43</v>
      </c>
      <c r="J572" s="420" t="str">
        <f>F572</f>
        <v>Boston College</v>
      </c>
      <c r="K572" s="379" t="str">
        <f t="shared" si="161"/>
        <v>Connecticut</v>
      </c>
      <c r="L572" s="422">
        <v>8</v>
      </c>
      <c r="M572" s="418">
        <v>44.5</v>
      </c>
      <c r="N572" s="436" t="str">
        <f>K572</f>
        <v>Connecticut</v>
      </c>
      <c r="O572" s="423">
        <v>13</v>
      </c>
      <c r="P572" s="436" t="str">
        <f t="shared" si="162"/>
        <v>Boston College</v>
      </c>
      <c r="Q572" s="408">
        <v>3</v>
      </c>
      <c r="R572" s="494" t="str">
        <f t="shared" si="163"/>
        <v>Connecticut</v>
      </c>
      <c r="S572" s="494" t="str">
        <f t="shared" si="164"/>
        <v>Boston College</v>
      </c>
      <c r="T572" s="356" t="str">
        <f t="shared" si="167"/>
        <v>Connecticut</v>
      </c>
      <c r="U572" s="665" t="str">
        <f t="shared" si="165"/>
        <v>W</v>
      </c>
      <c r="W572" s="424"/>
      <c r="X572" s="352" t="s">
        <v>404</v>
      </c>
      <c r="Y572" s="425"/>
    </row>
    <row r="573" spans="1:25" ht="16" x14ac:dyDescent="0.8">
      <c r="A573" s="351">
        <v>9</v>
      </c>
      <c r="B573" s="420" t="s">
        <v>34</v>
      </c>
      <c r="C573" s="421">
        <v>44863</v>
      </c>
      <c r="D573" s="414">
        <f>15.5/24</f>
        <v>0.64583333333333337</v>
      </c>
      <c r="E573" s="349" t="s">
        <v>53</v>
      </c>
      <c r="F573" s="420" t="s">
        <v>78</v>
      </c>
      <c r="G573" s="349" t="s">
        <v>43</v>
      </c>
      <c r="H573" s="420" t="s">
        <v>46</v>
      </c>
      <c r="I573" s="349" t="s">
        <v>43</v>
      </c>
      <c r="J573" s="420" t="str">
        <f>F573</f>
        <v>New Mexico State</v>
      </c>
      <c r="K573" s="379" t="str">
        <f t="shared" si="161"/>
        <v>Massachusetts</v>
      </c>
      <c r="L573" s="422">
        <v>2.5</v>
      </c>
      <c r="M573" s="418">
        <v>39</v>
      </c>
      <c r="N573" s="351" t="str">
        <f t="shared" ref="N573:N583" si="168">J573</f>
        <v>New Mexico State</v>
      </c>
      <c r="O573" s="423">
        <v>23</v>
      </c>
      <c r="P573" s="436" t="str">
        <f t="shared" si="162"/>
        <v>Massachusetts</v>
      </c>
      <c r="Q573" s="408">
        <v>13</v>
      </c>
      <c r="R573" s="494" t="str">
        <f t="shared" si="163"/>
        <v>New Mexico State</v>
      </c>
      <c r="S573" s="494" t="str">
        <f t="shared" si="164"/>
        <v>Massachusetts</v>
      </c>
      <c r="T573" s="356" t="str">
        <f t="shared" si="167"/>
        <v>Massachusetts</v>
      </c>
      <c r="U573" s="665" t="str">
        <f t="shared" si="165"/>
        <v>L</v>
      </c>
      <c r="V573" s="352" t="str">
        <f>UPPER(+F573)</f>
        <v>NEW MEXICO STATE</v>
      </c>
      <c r="W573" s="424">
        <v>44</v>
      </c>
      <c r="X573" s="352" t="str">
        <f>LOWER(+H573)</f>
        <v>massachusetts</v>
      </c>
      <c r="Y573" s="425">
        <v>27</v>
      </c>
    </row>
    <row r="574" spans="1:25" ht="16" x14ac:dyDescent="0.8">
      <c r="A574" s="351">
        <v>9</v>
      </c>
      <c r="B574" s="420" t="s">
        <v>34</v>
      </c>
      <c r="C574" s="421">
        <v>44863</v>
      </c>
      <c r="D574" s="414">
        <f>12/24</f>
        <v>0.5</v>
      </c>
      <c r="E574" s="349"/>
      <c r="F574" s="420" t="s">
        <v>162</v>
      </c>
      <c r="G574" s="349" t="s">
        <v>68</v>
      </c>
      <c r="H574" s="420" t="s">
        <v>144</v>
      </c>
      <c r="I574" s="349" t="s">
        <v>68</v>
      </c>
      <c r="J574" s="420" t="str">
        <f>F574</f>
        <v>Miami (OH)</v>
      </c>
      <c r="K574" s="379" t="str">
        <f t="shared" si="161"/>
        <v>Akron</v>
      </c>
      <c r="L574" s="422">
        <v>8.5</v>
      </c>
      <c r="M574" s="418">
        <v>48</v>
      </c>
      <c r="N574" s="351" t="str">
        <f t="shared" si="168"/>
        <v>Miami (OH)</v>
      </c>
      <c r="O574" s="423">
        <v>27</v>
      </c>
      <c r="P574" s="436" t="str">
        <f t="shared" si="162"/>
        <v>Akron</v>
      </c>
      <c r="Q574" s="408">
        <v>9</v>
      </c>
      <c r="R574" s="494" t="str">
        <f t="shared" si="163"/>
        <v>Miami (OH)</v>
      </c>
      <c r="S574" s="494" t="str">
        <f t="shared" si="164"/>
        <v>Akron</v>
      </c>
      <c r="T574" s="356" t="str">
        <f>J574</f>
        <v>Miami (OH)</v>
      </c>
      <c r="U574" s="665" t="str">
        <f t="shared" si="165"/>
        <v>W</v>
      </c>
      <c r="V574" s="352" t="str">
        <f>UPPER(+F574)</f>
        <v>MIAMI (OH)</v>
      </c>
      <c r="W574" s="424">
        <v>34</v>
      </c>
      <c r="X574" s="352" t="str">
        <f>LOWER(+H574)</f>
        <v>akron</v>
      </c>
      <c r="Y574" s="425">
        <v>21</v>
      </c>
    </row>
    <row r="575" spans="1:25" ht="16" x14ac:dyDescent="0.8">
      <c r="A575" s="351">
        <v>9</v>
      </c>
      <c r="B575" s="420" t="s">
        <v>34</v>
      </c>
      <c r="C575" s="421">
        <v>44863</v>
      </c>
      <c r="D575" s="414">
        <f>12/24</f>
        <v>0.5</v>
      </c>
      <c r="E575" s="349" t="s">
        <v>95</v>
      </c>
      <c r="F575" s="420" t="s">
        <v>101</v>
      </c>
      <c r="G575" s="349" t="s">
        <v>68</v>
      </c>
      <c r="H575" s="420" t="s">
        <v>77</v>
      </c>
      <c r="I575" s="349" t="s">
        <v>68</v>
      </c>
      <c r="J575" s="420" t="str">
        <f>H575</f>
        <v>Toledo</v>
      </c>
      <c r="K575" s="379" t="str">
        <f t="shared" si="161"/>
        <v>Eastern Michigan</v>
      </c>
      <c r="L575" s="422">
        <v>7</v>
      </c>
      <c r="M575" s="418">
        <v>57.5</v>
      </c>
      <c r="N575" s="351" t="str">
        <f t="shared" si="168"/>
        <v>Toledo</v>
      </c>
      <c r="O575" s="423">
        <v>27</v>
      </c>
      <c r="P575" s="436" t="str">
        <f t="shared" si="162"/>
        <v>Eastern Michigan</v>
      </c>
      <c r="Q575" s="408">
        <v>24</v>
      </c>
      <c r="R575" s="494" t="str">
        <f t="shared" si="163"/>
        <v>Eastern Michigan</v>
      </c>
      <c r="S575" s="494" t="str">
        <f t="shared" si="164"/>
        <v>Toledo</v>
      </c>
      <c r="T575" s="356" t="str">
        <f>J575</f>
        <v>Toledo</v>
      </c>
      <c r="U575" s="665" t="str">
        <f t="shared" si="165"/>
        <v>L</v>
      </c>
      <c r="V575" s="352" t="str">
        <f>UPPER(+F575)</f>
        <v>EASTERN MICHIGAN</v>
      </c>
      <c r="W575" s="424">
        <v>52</v>
      </c>
      <c r="X575" s="352" t="str">
        <f>LOWER(+H575)</f>
        <v>toledo</v>
      </c>
      <c r="Y575" s="425">
        <v>49</v>
      </c>
    </row>
    <row r="576" spans="1:25" ht="16" x14ac:dyDescent="0.8">
      <c r="A576" s="351">
        <v>9</v>
      </c>
      <c r="B576" s="420" t="s">
        <v>34</v>
      </c>
      <c r="C576" s="421">
        <v>44863</v>
      </c>
      <c r="D576" s="414">
        <f>19/24</f>
        <v>0.79166666666666663</v>
      </c>
      <c r="E576" s="349" t="s">
        <v>70</v>
      </c>
      <c r="F576" s="420" t="s">
        <v>48</v>
      </c>
      <c r="G576" s="349" t="s">
        <v>45</v>
      </c>
      <c r="H576" s="420" t="s">
        <v>186</v>
      </c>
      <c r="I576" s="349" t="s">
        <v>45</v>
      </c>
      <c r="J576" s="420" t="str">
        <f>H576</f>
        <v>Boise State</v>
      </c>
      <c r="K576" s="379" t="str">
        <f t="shared" si="161"/>
        <v>Colorado State</v>
      </c>
      <c r="L576" s="422">
        <v>27.5</v>
      </c>
      <c r="M576" s="418">
        <v>43</v>
      </c>
      <c r="N576" s="351" t="str">
        <f t="shared" si="168"/>
        <v>Boise State</v>
      </c>
      <c r="O576" s="423">
        <v>49</v>
      </c>
      <c r="P576" s="436" t="str">
        <f t="shared" si="162"/>
        <v>Colorado State</v>
      </c>
      <c r="Q576" s="408">
        <v>10</v>
      </c>
      <c r="R576" s="494" t="str">
        <f t="shared" si="163"/>
        <v>Boise State</v>
      </c>
      <c r="S576" s="494" t="str">
        <f t="shared" si="164"/>
        <v>Colorado State</v>
      </c>
      <c r="T576" s="356" t="str">
        <f>J576</f>
        <v>Boise State</v>
      </c>
      <c r="U576" s="665" t="str">
        <f t="shared" si="165"/>
        <v>W</v>
      </c>
      <c r="V576" s="352" t="str">
        <f>LOWER(+H576)</f>
        <v>boise state</v>
      </c>
      <c r="W576" s="424">
        <v>28</v>
      </c>
      <c r="X576" s="352" t="str">
        <f>UPPER(+F576)</f>
        <v>COLORADO STATE</v>
      </c>
      <c r="Y576" s="425">
        <v>19</v>
      </c>
    </row>
    <row r="577" spans="1:25" ht="16" x14ac:dyDescent="0.8">
      <c r="A577" s="351">
        <v>9</v>
      </c>
      <c r="B577" s="420" t="s">
        <v>34</v>
      </c>
      <c r="C577" s="421">
        <v>44863</v>
      </c>
      <c r="D577" s="414">
        <f>22.5/24</f>
        <v>0.9375</v>
      </c>
      <c r="E577" s="349" t="s">
        <v>70</v>
      </c>
      <c r="F577" s="420" t="s">
        <v>193</v>
      </c>
      <c r="G577" s="349" t="s">
        <v>45</v>
      </c>
      <c r="H577" s="420" t="s">
        <v>188</v>
      </c>
      <c r="I577" s="349" t="s">
        <v>45</v>
      </c>
      <c r="J577" s="420" t="str">
        <f>H577</f>
        <v>Fresno State</v>
      </c>
      <c r="K577" s="379" t="str">
        <f t="shared" si="161"/>
        <v>San Diego State</v>
      </c>
      <c r="L577" s="422">
        <v>8.5</v>
      </c>
      <c r="M577" s="418">
        <v>40.5</v>
      </c>
      <c r="N577" s="351" t="str">
        <f t="shared" si="168"/>
        <v>Fresno State</v>
      </c>
      <c r="O577" s="423">
        <v>32</v>
      </c>
      <c r="P577" s="436" t="str">
        <f t="shared" si="162"/>
        <v>San Diego State</v>
      </c>
      <c r="Q577" s="408">
        <v>28</v>
      </c>
      <c r="R577" s="494" t="str">
        <f t="shared" si="163"/>
        <v>San Diego State</v>
      </c>
      <c r="S577" s="494" t="str">
        <f t="shared" si="164"/>
        <v>Fresno State</v>
      </c>
      <c r="T577" s="356" t="str">
        <f>J577</f>
        <v>Fresno State</v>
      </c>
      <c r="U577" s="665" t="str">
        <f t="shared" si="165"/>
        <v>L</v>
      </c>
      <c r="V577" s="352" t="str">
        <f>LOWER(+H577)</f>
        <v>fresno state</v>
      </c>
      <c r="W577" s="424">
        <v>30</v>
      </c>
      <c r="X577" s="352" t="str">
        <f>UPPER(+F577)</f>
        <v>SAN DIEGO STATE</v>
      </c>
      <c r="Y577" s="425">
        <v>20</v>
      </c>
    </row>
    <row r="578" spans="1:25" ht="16" x14ac:dyDescent="0.8">
      <c r="A578" s="351">
        <v>9</v>
      </c>
      <c r="B578" s="420" t="s">
        <v>34</v>
      </c>
      <c r="C578" s="421">
        <v>44863</v>
      </c>
      <c r="D578" s="414">
        <f>23.999/24</f>
        <v>0.99995833333333328</v>
      </c>
      <c r="E578" s="349"/>
      <c r="F578" s="420" t="s">
        <v>133</v>
      </c>
      <c r="G578" s="349" t="s">
        <v>45</v>
      </c>
      <c r="H578" s="420" t="s">
        <v>44</v>
      </c>
      <c r="I578" s="349" t="s">
        <v>45</v>
      </c>
      <c r="J578" s="420" t="str">
        <f>F578</f>
        <v>Wyoming</v>
      </c>
      <c r="K578" s="379" t="str">
        <f t="shared" si="161"/>
        <v>Hawaii</v>
      </c>
      <c r="L578" s="422">
        <v>11.5</v>
      </c>
      <c r="M578" s="418">
        <v>49</v>
      </c>
      <c r="N578" s="351" t="str">
        <f t="shared" si="168"/>
        <v>Wyoming</v>
      </c>
      <c r="O578" s="423">
        <v>27</v>
      </c>
      <c r="P578" s="436" t="str">
        <f t="shared" si="162"/>
        <v>Hawaii</v>
      </c>
      <c r="Q578" s="408">
        <v>20</v>
      </c>
      <c r="R578" s="494" t="str">
        <f t="shared" si="163"/>
        <v>Hawaii</v>
      </c>
      <c r="S578" s="494" t="str">
        <f t="shared" si="164"/>
        <v>Wyoming</v>
      </c>
      <c r="T578" s="356" t="str">
        <f>K578</f>
        <v>Hawaii</v>
      </c>
      <c r="U578" s="665" t="str">
        <f t="shared" si="165"/>
        <v>W</v>
      </c>
      <c r="V578" s="352" t="str">
        <f>LOWER(+H578)</f>
        <v>hawaii</v>
      </c>
      <c r="W578" s="424">
        <v>38</v>
      </c>
      <c r="X578" s="352" t="str">
        <f>UPPER(+F578)</f>
        <v>WYOMING</v>
      </c>
      <c r="Y578" s="425">
        <v>14</v>
      </c>
    </row>
    <row r="579" spans="1:25" ht="16" x14ac:dyDescent="0.8">
      <c r="A579" s="351">
        <v>9</v>
      </c>
      <c r="B579" s="420" t="s">
        <v>34</v>
      </c>
      <c r="C579" s="421">
        <v>44863</v>
      </c>
      <c r="D579" s="414">
        <f>22.5/24</f>
        <v>0.9375</v>
      </c>
      <c r="E579" s="349" t="s">
        <v>445</v>
      </c>
      <c r="F579" s="420" t="s">
        <v>142</v>
      </c>
      <c r="G579" s="349" t="s">
        <v>45</v>
      </c>
      <c r="H579" s="420" t="s">
        <v>51</v>
      </c>
      <c r="I579" s="349" t="s">
        <v>45</v>
      </c>
      <c r="J579" s="420" t="str">
        <f>H579</f>
        <v>San Jose State</v>
      </c>
      <c r="K579" s="379" t="str">
        <f t="shared" si="161"/>
        <v>Nevada</v>
      </c>
      <c r="L579" s="422">
        <v>24.5</v>
      </c>
      <c r="M579" s="418">
        <v>44</v>
      </c>
      <c r="N579" s="351" t="str">
        <f t="shared" si="168"/>
        <v>San Jose State</v>
      </c>
      <c r="O579" s="423">
        <v>35</v>
      </c>
      <c r="P579" s="436" t="str">
        <f t="shared" si="162"/>
        <v>Nevada</v>
      </c>
      <c r="Q579" s="408">
        <v>28</v>
      </c>
      <c r="R579" s="494" t="str">
        <f t="shared" si="163"/>
        <v>Nevada</v>
      </c>
      <c r="S579" s="494" t="str">
        <f t="shared" si="164"/>
        <v>San Jose State</v>
      </c>
      <c r="T579" s="356" t="str">
        <f>K579</f>
        <v>Nevada</v>
      </c>
      <c r="U579" s="665" t="str">
        <f t="shared" si="165"/>
        <v>W</v>
      </c>
      <c r="V579" s="352" t="str">
        <f>UPPER(+F579)</f>
        <v>NEVADA</v>
      </c>
      <c r="W579" s="424">
        <v>27</v>
      </c>
      <c r="X579" s="352" t="str">
        <f>LOWER(+H579)</f>
        <v>san jose state</v>
      </c>
      <c r="Y579" s="425">
        <v>24</v>
      </c>
    </row>
    <row r="580" spans="1:25" ht="16" x14ac:dyDescent="0.8">
      <c r="A580" s="351">
        <v>9</v>
      </c>
      <c r="B580" s="420" t="s">
        <v>34</v>
      </c>
      <c r="C580" s="421">
        <v>44863</v>
      </c>
      <c r="D580" s="414">
        <f>19/24</f>
        <v>0.79166666666666663</v>
      </c>
      <c r="E580" s="349" t="s">
        <v>446</v>
      </c>
      <c r="F580" s="420" t="s">
        <v>202</v>
      </c>
      <c r="G580" s="349" t="s">
        <v>37</v>
      </c>
      <c r="H580" s="420" t="s">
        <v>198</v>
      </c>
      <c r="I580" s="349" t="s">
        <v>37</v>
      </c>
      <c r="J580" s="420" t="str">
        <f>F580</f>
        <v>Southern Cal</v>
      </c>
      <c r="K580" s="379" t="str">
        <f t="shared" si="161"/>
        <v>Arizona</v>
      </c>
      <c r="L580" s="422">
        <v>15</v>
      </c>
      <c r="M580" s="418">
        <v>75.5</v>
      </c>
      <c r="N580" s="351" t="str">
        <f t="shared" si="168"/>
        <v>Southern Cal</v>
      </c>
      <c r="O580" s="423">
        <v>45</v>
      </c>
      <c r="P580" s="436" t="str">
        <f t="shared" si="162"/>
        <v>Arizona</v>
      </c>
      <c r="Q580" s="408">
        <v>37</v>
      </c>
      <c r="R580" s="494" t="str">
        <f t="shared" si="163"/>
        <v>Arizona</v>
      </c>
      <c r="S580" s="494" t="str">
        <f t="shared" si="164"/>
        <v>Southern Cal</v>
      </c>
      <c r="T580" s="356" t="str">
        <f>J580</f>
        <v>Southern Cal</v>
      </c>
      <c r="U580" s="665" t="str">
        <f t="shared" si="165"/>
        <v>L</v>
      </c>
      <c r="V580" s="352" t="str">
        <f>LOWER(+H580)</f>
        <v>arizona</v>
      </c>
      <c r="W580" s="424">
        <v>31</v>
      </c>
      <c r="X580" s="352" t="str">
        <f>UPPER(+F580)</f>
        <v>SOUTHERN CAL</v>
      </c>
      <c r="Y580" s="425">
        <v>16</v>
      </c>
    </row>
    <row r="581" spans="1:25" ht="16" x14ac:dyDescent="0.8">
      <c r="A581" s="351">
        <v>9</v>
      </c>
      <c r="B581" s="420" t="s">
        <v>34</v>
      </c>
      <c r="C581" s="421">
        <v>44863</v>
      </c>
      <c r="D581" s="414">
        <f>15.5/24</f>
        <v>0.64583333333333337</v>
      </c>
      <c r="E581" s="349" t="s">
        <v>70</v>
      </c>
      <c r="F581" s="420" t="s">
        <v>200</v>
      </c>
      <c r="G581" s="349" t="s">
        <v>37</v>
      </c>
      <c r="H581" s="420" t="s">
        <v>123</v>
      </c>
      <c r="I581" s="349" t="s">
        <v>37</v>
      </c>
      <c r="J581" s="420" t="str">
        <f>F581</f>
        <v>Oregon</v>
      </c>
      <c r="K581" s="379" t="str">
        <f t="shared" si="161"/>
        <v>California</v>
      </c>
      <c r="L581" s="422">
        <v>17.5</v>
      </c>
      <c r="M581" s="418">
        <v>58</v>
      </c>
      <c r="N581" s="351" t="str">
        <f t="shared" si="168"/>
        <v>Oregon</v>
      </c>
      <c r="O581" s="423">
        <v>42</v>
      </c>
      <c r="P581" s="436" t="str">
        <f t="shared" si="162"/>
        <v>California</v>
      </c>
      <c r="Q581" s="408">
        <v>24</v>
      </c>
      <c r="R581" s="494" t="str">
        <f t="shared" si="163"/>
        <v>Oregon</v>
      </c>
      <c r="S581" s="494" t="str">
        <f t="shared" si="164"/>
        <v>California</v>
      </c>
      <c r="T581" s="356" t="str">
        <f>K581</f>
        <v>California</v>
      </c>
      <c r="U581" s="665" t="str">
        <f t="shared" si="165"/>
        <v>L</v>
      </c>
      <c r="V581" s="352" t="str">
        <f>UPPER(+F581)</f>
        <v>OREGON</v>
      </c>
      <c r="W581" s="424">
        <v>24</v>
      </c>
      <c r="X581" s="352" t="str">
        <f>LOWER(+H581)</f>
        <v>california</v>
      </c>
      <c r="Y581" s="425">
        <v>17</v>
      </c>
    </row>
    <row r="582" spans="1:25" ht="16" x14ac:dyDescent="0.8">
      <c r="A582" s="351">
        <v>9</v>
      </c>
      <c r="B582" s="420" t="s">
        <v>34</v>
      </c>
      <c r="C582" s="421">
        <v>44863</v>
      </c>
      <c r="D582" s="414">
        <f>19.5/24</f>
        <v>0.8125</v>
      </c>
      <c r="E582" s="349" t="s">
        <v>95</v>
      </c>
      <c r="F582" s="420" t="s">
        <v>79</v>
      </c>
      <c r="G582" s="349" t="s">
        <v>37</v>
      </c>
      <c r="H582" s="420" t="s">
        <v>104</v>
      </c>
      <c r="I582" s="349" t="s">
        <v>37</v>
      </c>
      <c r="J582" s="420" t="str">
        <f>F582</f>
        <v>Arizona State</v>
      </c>
      <c r="K582" s="379" t="str">
        <f t="shared" si="161"/>
        <v>Colorado</v>
      </c>
      <c r="L582" s="422">
        <v>13</v>
      </c>
      <c r="M582" s="418">
        <v>46.5</v>
      </c>
      <c r="N582" s="351" t="str">
        <f t="shared" si="168"/>
        <v>Arizona State</v>
      </c>
      <c r="O582" s="423">
        <v>42</v>
      </c>
      <c r="P582" s="436" t="str">
        <f t="shared" si="162"/>
        <v>Colorado</v>
      </c>
      <c r="Q582" s="408">
        <v>34</v>
      </c>
      <c r="R582" s="494" t="str">
        <f t="shared" si="163"/>
        <v>Colorado</v>
      </c>
      <c r="S582" s="494" t="str">
        <f t="shared" si="164"/>
        <v>Arizona State</v>
      </c>
      <c r="T582" s="356" t="str">
        <f>H582</f>
        <v>Colorado</v>
      </c>
      <c r="U582" s="665" t="str">
        <f t="shared" si="165"/>
        <v>W</v>
      </c>
      <c r="V582" s="352" t="str">
        <f>UPPER(+F582)</f>
        <v>ARIZONA STATE</v>
      </c>
      <c r="W582" s="424">
        <v>35</v>
      </c>
      <c r="X582" s="352" t="str">
        <f>LOWER(+H582)</f>
        <v>colorado</v>
      </c>
      <c r="Y582" s="425">
        <v>13</v>
      </c>
    </row>
    <row r="583" spans="1:25" ht="16" x14ac:dyDescent="0.8">
      <c r="A583" s="351">
        <v>9</v>
      </c>
      <c r="B583" s="420" t="s">
        <v>34</v>
      </c>
      <c r="C583" s="421">
        <v>44863</v>
      </c>
      <c r="D583" s="414">
        <f>22.5/24</f>
        <v>0.9375</v>
      </c>
      <c r="E583" s="349" t="s">
        <v>35</v>
      </c>
      <c r="F583" s="420" t="s">
        <v>36</v>
      </c>
      <c r="G583" s="349" t="s">
        <v>37</v>
      </c>
      <c r="H583" s="420" t="s">
        <v>224</v>
      </c>
      <c r="I583" s="349" t="s">
        <v>37</v>
      </c>
      <c r="J583" s="420" t="str">
        <f>H583</f>
        <v>UCLA</v>
      </c>
      <c r="K583" s="379" t="str">
        <f t="shared" si="161"/>
        <v>Stanford</v>
      </c>
      <c r="L583" s="422">
        <v>16.5</v>
      </c>
      <c r="M583" s="418">
        <v>64.5</v>
      </c>
      <c r="N583" s="351" t="str">
        <f t="shared" si="168"/>
        <v>UCLA</v>
      </c>
      <c r="O583" s="423">
        <v>38</v>
      </c>
      <c r="P583" s="436" t="str">
        <f t="shared" si="162"/>
        <v>Stanford</v>
      </c>
      <c r="Q583" s="408">
        <v>13</v>
      </c>
      <c r="R583" s="494" t="str">
        <f t="shared" si="163"/>
        <v>UCLA</v>
      </c>
      <c r="S583" s="494" t="str">
        <f t="shared" si="164"/>
        <v>Stanford</v>
      </c>
      <c r="T583" s="356" t="str">
        <f>J583</f>
        <v>UCLA</v>
      </c>
      <c r="U583" s="665" t="str">
        <f t="shared" si="165"/>
        <v>W</v>
      </c>
      <c r="V583" s="352" t="str">
        <f>LOWER(+H583)</f>
        <v>ucla</v>
      </c>
      <c r="W583" s="424">
        <v>35</v>
      </c>
      <c r="X583" s="352" t="str">
        <f>UPPER(+F583)</f>
        <v>STANFORD</v>
      </c>
      <c r="Y583" s="425">
        <v>24</v>
      </c>
    </row>
    <row r="584" spans="1:25" ht="16" x14ac:dyDescent="0.8">
      <c r="A584" s="351">
        <v>9</v>
      </c>
      <c r="B584" s="420" t="s">
        <v>34</v>
      </c>
      <c r="C584" s="421">
        <v>44863</v>
      </c>
      <c r="D584" s="414">
        <f>15.5/24</f>
        <v>0.64583333333333337</v>
      </c>
      <c r="E584" s="349"/>
      <c r="F584" s="420" t="s">
        <v>277</v>
      </c>
      <c r="G584" s="349" t="s">
        <v>41</v>
      </c>
      <c r="H584" s="420" t="s">
        <v>212</v>
      </c>
      <c r="I584" s="349" t="s">
        <v>59</v>
      </c>
      <c r="J584" s="420"/>
      <c r="K584" s="379"/>
      <c r="L584" s="422"/>
      <c r="M584" s="418"/>
      <c r="N584" s="351" t="str">
        <f>H584</f>
        <v>Appalachian State</v>
      </c>
      <c r="O584" s="423">
        <v>42</v>
      </c>
      <c r="P584" s="436" t="str">
        <f t="shared" si="162"/>
        <v>1AA Robert Morris</v>
      </c>
      <c r="Q584" s="408">
        <v>3</v>
      </c>
      <c r="R584" s="494"/>
      <c r="S584" s="494"/>
      <c r="T584" s="356"/>
      <c r="U584" s="349"/>
      <c r="W584" s="424"/>
      <c r="X584" s="352" t="s">
        <v>404</v>
      </c>
      <c r="Y584" s="425"/>
    </row>
    <row r="585" spans="1:25" ht="16" x14ac:dyDescent="0.8">
      <c r="A585" s="351">
        <v>9</v>
      </c>
      <c r="B585" s="420" t="s">
        <v>34</v>
      </c>
      <c r="C585" s="421">
        <v>44863</v>
      </c>
      <c r="D585" s="414">
        <f>16/24</f>
        <v>0.66666666666666663</v>
      </c>
      <c r="E585" s="349" t="s">
        <v>95</v>
      </c>
      <c r="F585" s="420" t="s">
        <v>214</v>
      </c>
      <c r="G585" s="349" t="s">
        <v>59</v>
      </c>
      <c r="H585" s="420" t="s">
        <v>140</v>
      </c>
      <c r="I585" s="349" t="s">
        <v>59</v>
      </c>
      <c r="J585" s="420" t="str">
        <f>F585</f>
        <v>South Alabama</v>
      </c>
      <c r="K585" s="379" t="str">
        <f t="shared" ref="K585:K592" si="169">IF(+J585=H585,F585,H585)</f>
        <v>Arkansas State</v>
      </c>
      <c r="L585" s="422">
        <v>12.5</v>
      </c>
      <c r="M585" s="418">
        <v>55.5</v>
      </c>
      <c r="N585" s="351" t="str">
        <f>J585</f>
        <v>South Alabama</v>
      </c>
      <c r="O585" s="423">
        <v>31</v>
      </c>
      <c r="P585" s="436" t="str">
        <f t="shared" si="162"/>
        <v>Arkansas State</v>
      </c>
      <c r="Q585" s="408">
        <v>3</v>
      </c>
      <c r="R585" s="494" t="str">
        <f t="shared" ref="R585:R592" si="170">IF(+N585=K585,+N585,IF(+O585-Q585&lt;L585,+K585,+J585))</f>
        <v>South Alabama</v>
      </c>
      <c r="S585" s="494" t="str">
        <f t="shared" ref="S585:S592" si="171">IF(+R585=J585,+K585,+J585)</f>
        <v>Arkansas State</v>
      </c>
      <c r="T585" s="356" t="str">
        <f>K585</f>
        <v>Arkansas State</v>
      </c>
      <c r="U585" s="665" t="str">
        <f t="shared" ref="U585:U592" si="172">IF($N585=$J585,IF($O585-$Q585=$L585,"T",IF($R585=T585,"W","L")),IF($R585=T585,"W","L"))</f>
        <v>L</v>
      </c>
      <c r="V585" s="352" t="str">
        <f>UPPER(+F585)</f>
        <v>SOUTH ALABAMA</v>
      </c>
      <c r="W585" s="424">
        <v>31</v>
      </c>
      <c r="X585" s="352" t="str">
        <f>LOWER(+H585)</f>
        <v>arkansas state</v>
      </c>
      <c r="Y585" s="425">
        <v>13</v>
      </c>
    </row>
    <row r="586" spans="1:25" ht="16" x14ac:dyDescent="0.8">
      <c r="A586" s="351">
        <v>9</v>
      </c>
      <c r="B586" s="420" t="s">
        <v>34</v>
      </c>
      <c r="C586" s="421">
        <v>44863</v>
      </c>
      <c r="D586" s="414">
        <f>15/24</f>
        <v>0.625</v>
      </c>
      <c r="E586" s="349"/>
      <c r="F586" s="420" t="s">
        <v>169</v>
      </c>
      <c r="G586" s="349" t="s">
        <v>59</v>
      </c>
      <c r="H586" s="420" t="s">
        <v>84</v>
      </c>
      <c r="I586" s="349" t="s">
        <v>59</v>
      </c>
      <c r="J586" s="420" t="str">
        <f>H586</f>
        <v>Georgia State</v>
      </c>
      <c r="K586" s="379" t="str">
        <f t="shared" si="169"/>
        <v>Old Dominion</v>
      </c>
      <c r="L586" s="422">
        <v>3.5</v>
      </c>
      <c r="M586" s="418">
        <v>55</v>
      </c>
      <c r="N586" s="351" t="str">
        <f>J586</f>
        <v>Georgia State</v>
      </c>
      <c r="O586" s="423">
        <v>31</v>
      </c>
      <c r="P586" s="436" t="str">
        <f t="shared" si="162"/>
        <v>Old Dominion</v>
      </c>
      <c r="Q586" s="408">
        <v>17</v>
      </c>
      <c r="R586" s="494" t="str">
        <f t="shared" si="170"/>
        <v>Georgia State</v>
      </c>
      <c r="S586" s="494" t="str">
        <f t="shared" si="171"/>
        <v>Old Dominion</v>
      </c>
      <c r="T586" s="356" t="str">
        <f>K586</f>
        <v>Old Dominion</v>
      </c>
      <c r="U586" s="665" t="str">
        <f t="shared" si="172"/>
        <v>L</v>
      </c>
      <c r="W586" s="424"/>
      <c r="X586" s="352" t="s">
        <v>404</v>
      </c>
      <c r="Y586" s="425"/>
    </row>
    <row r="587" spans="1:25" ht="16" x14ac:dyDescent="0.8">
      <c r="A587" s="351">
        <v>9</v>
      </c>
      <c r="B587" s="420" t="s">
        <v>34</v>
      </c>
      <c r="C587" s="421">
        <v>44863</v>
      </c>
      <c r="D587" s="414">
        <f>19/24</f>
        <v>0.79166666666666663</v>
      </c>
      <c r="E587" s="349" t="s">
        <v>359</v>
      </c>
      <c r="F587" s="420" t="s">
        <v>205</v>
      </c>
      <c r="G587" s="349" t="s">
        <v>59</v>
      </c>
      <c r="H587" s="420" t="s">
        <v>163</v>
      </c>
      <c r="I587" s="349" t="s">
        <v>59</v>
      </c>
      <c r="J587" s="420" t="str">
        <f>H587</f>
        <v>Marshall</v>
      </c>
      <c r="K587" s="379" t="str">
        <f t="shared" si="169"/>
        <v>Coastal Carolina</v>
      </c>
      <c r="L587" s="422">
        <v>2.5</v>
      </c>
      <c r="M587" s="418">
        <v>55.5</v>
      </c>
      <c r="N587" s="436" t="str">
        <f>K587</f>
        <v>Coastal Carolina</v>
      </c>
      <c r="O587" s="423">
        <v>24</v>
      </c>
      <c r="P587" s="436" t="str">
        <f t="shared" si="162"/>
        <v>Marshall</v>
      </c>
      <c r="Q587" s="408">
        <v>13</v>
      </c>
      <c r="R587" s="494" t="str">
        <f t="shared" si="170"/>
        <v>Coastal Carolina</v>
      </c>
      <c r="S587" s="494" t="str">
        <f t="shared" si="171"/>
        <v>Marshall</v>
      </c>
      <c r="T587" s="356" t="str">
        <f>J587</f>
        <v>Marshall</v>
      </c>
      <c r="U587" s="665" t="str">
        <f t="shared" si="172"/>
        <v>L</v>
      </c>
      <c r="W587" s="424"/>
      <c r="X587" s="352" t="s">
        <v>404</v>
      </c>
      <c r="Y587" s="425"/>
    </row>
    <row r="588" spans="1:25" ht="16" x14ac:dyDescent="0.8">
      <c r="A588" s="351">
        <v>9</v>
      </c>
      <c r="B588" s="420" t="s">
        <v>34</v>
      </c>
      <c r="C588" s="421">
        <v>44863</v>
      </c>
      <c r="D588" s="414">
        <f>12/24</f>
        <v>0.5</v>
      </c>
      <c r="E588" s="349" t="s">
        <v>85</v>
      </c>
      <c r="F588" s="420" t="s">
        <v>87</v>
      </c>
      <c r="G588" s="349" t="s">
        <v>85</v>
      </c>
      <c r="H588" s="420" t="s">
        <v>211</v>
      </c>
      <c r="I588" s="349" t="s">
        <v>85</v>
      </c>
      <c r="J588" s="420" t="str">
        <f>F588</f>
        <v>Arkansas</v>
      </c>
      <c r="K588" s="379" t="str">
        <f t="shared" si="169"/>
        <v>Auburn</v>
      </c>
      <c r="L588" s="422">
        <v>3.5</v>
      </c>
      <c r="M588" s="418">
        <v>61</v>
      </c>
      <c r="N588" s="436" t="str">
        <f>J588</f>
        <v>Arkansas</v>
      </c>
      <c r="O588" s="423">
        <v>41</v>
      </c>
      <c r="P588" s="436" t="str">
        <f t="shared" si="162"/>
        <v>Auburn</v>
      </c>
      <c r="Q588" s="408">
        <v>27</v>
      </c>
      <c r="R588" s="494" t="str">
        <f t="shared" si="170"/>
        <v>Arkansas</v>
      </c>
      <c r="S588" s="494" t="str">
        <f t="shared" si="171"/>
        <v>Auburn</v>
      </c>
      <c r="T588" s="356" t="str">
        <f>J588</f>
        <v>Arkansas</v>
      </c>
      <c r="U588" s="665" t="str">
        <f t="shared" si="172"/>
        <v>W</v>
      </c>
      <c r="V588" s="352" t="str">
        <f>LOWER(+H588)</f>
        <v>auburn</v>
      </c>
      <c r="W588" s="424">
        <v>38</v>
      </c>
      <c r="X588" s="352" t="str">
        <f>UPPER(+F588)</f>
        <v>ARKANSAS</v>
      </c>
      <c r="Y588" s="425">
        <v>23</v>
      </c>
    </row>
    <row r="589" spans="1:25" ht="16" x14ac:dyDescent="0.8">
      <c r="A589" s="351">
        <v>9</v>
      </c>
      <c r="B589" s="420" t="s">
        <v>34</v>
      </c>
      <c r="C589" s="421">
        <v>44863</v>
      </c>
      <c r="D589" s="414">
        <f>15.5/24</f>
        <v>0.64583333333333337</v>
      </c>
      <c r="E589" s="349" t="s">
        <v>303</v>
      </c>
      <c r="F589" s="420" t="s">
        <v>213</v>
      </c>
      <c r="G589" s="349" t="s">
        <v>85</v>
      </c>
      <c r="H589" s="420" t="s">
        <v>136</v>
      </c>
      <c r="I589" s="349" t="s">
        <v>85</v>
      </c>
      <c r="J589" s="420" t="str">
        <f>F589</f>
        <v>Georgia</v>
      </c>
      <c r="K589" s="379" t="str">
        <f t="shared" si="169"/>
        <v>Florida</v>
      </c>
      <c r="L589" s="422">
        <v>22.5</v>
      </c>
      <c r="M589" s="418">
        <v>56.5</v>
      </c>
      <c r="N589" s="436" t="str">
        <f>J589</f>
        <v>Georgia</v>
      </c>
      <c r="O589" s="423">
        <v>42</v>
      </c>
      <c r="P589" s="436" t="str">
        <f t="shared" si="162"/>
        <v>Florida</v>
      </c>
      <c r="Q589" s="408">
        <v>20</v>
      </c>
      <c r="R589" s="494" t="str">
        <f t="shared" si="170"/>
        <v>Florida</v>
      </c>
      <c r="S589" s="494" t="str">
        <f t="shared" si="171"/>
        <v>Georgia</v>
      </c>
      <c r="T589" s="356" t="str">
        <f>K589</f>
        <v>Florida</v>
      </c>
      <c r="U589" s="665" t="str">
        <f t="shared" si="172"/>
        <v>W</v>
      </c>
      <c r="V589" s="352" t="str">
        <f>UPPER(+F589)</f>
        <v>GEORGIA</v>
      </c>
      <c r="W589" s="424">
        <v>34</v>
      </c>
      <c r="X589" s="352" t="str">
        <f>LOWER(+H589)</f>
        <v>florida</v>
      </c>
      <c r="Y589" s="425">
        <v>7</v>
      </c>
    </row>
    <row r="590" spans="1:25" ht="16" x14ac:dyDescent="0.8">
      <c r="A590" s="351">
        <v>9</v>
      </c>
      <c r="B590" s="420" t="s">
        <v>34</v>
      </c>
      <c r="C590" s="421">
        <v>44863</v>
      </c>
      <c r="D590" s="414">
        <f>16/24</f>
        <v>0.66666666666666663</v>
      </c>
      <c r="E590" s="349" t="s">
        <v>85</v>
      </c>
      <c r="F590" s="420" t="s">
        <v>219</v>
      </c>
      <c r="G590" s="349" t="s">
        <v>85</v>
      </c>
      <c r="H590" s="420" t="s">
        <v>125</v>
      </c>
      <c r="I590" s="349" t="s">
        <v>85</v>
      </c>
      <c r="J590" s="420" t="str">
        <f>H590</f>
        <v>South Carolina</v>
      </c>
      <c r="K590" s="379" t="str">
        <f t="shared" si="169"/>
        <v>Missouri</v>
      </c>
      <c r="L590" s="422">
        <v>4</v>
      </c>
      <c r="M590" s="418">
        <v>47</v>
      </c>
      <c r="N590" s="436" t="str">
        <f>K590</f>
        <v>Missouri</v>
      </c>
      <c r="O590" s="423">
        <v>23</v>
      </c>
      <c r="P590" s="436" t="str">
        <f t="shared" si="162"/>
        <v>South Carolina</v>
      </c>
      <c r="Q590" s="408">
        <v>10</v>
      </c>
      <c r="R590" s="494" t="str">
        <f t="shared" si="170"/>
        <v>Missouri</v>
      </c>
      <c r="S590" s="494" t="str">
        <f t="shared" si="171"/>
        <v>South Carolina</v>
      </c>
      <c r="T590" s="356" t="str">
        <f>K590</f>
        <v>Missouri</v>
      </c>
      <c r="U590" s="665" t="str">
        <f t="shared" si="172"/>
        <v>W</v>
      </c>
      <c r="V590" s="352" t="str">
        <f>UPPER(+F590)</f>
        <v>MISSOURI</v>
      </c>
      <c r="W590" s="424">
        <v>31</v>
      </c>
      <c r="X590" s="352" t="str">
        <f>LOWER(+H590)</f>
        <v>south carolina</v>
      </c>
      <c r="Y590" s="425">
        <v>28</v>
      </c>
    </row>
    <row r="591" spans="1:25" ht="16" x14ac:dyDescent="0.8">
      <c r="A591" s="351">
        <v>9</v>
      </c>
      <c r="B591" s="420" t="s">
        <v>34</v>
      </c>
      <c r="C591" s="421">
        <v>44863</v>
      </c>
      <c r="D591" s="414">
        <f>19/24</f>
        <v>0.79166666666666663</v>
      </c>
      <c r="E591" s="349" t="s">
        <v>35</v>
      </c>
      <c r="F591" s="420" t="s">
        <v>170</v>
      </c>
      <c r="G591" s="349" t="s">
        <v>85</v>
      </c>
      <c r="H591" s="420" t="s">
        <v>226</v>
      </c>
      <c r="I591" s="349" t="s">
        <v>85</v>
      </c>
      <c r="J591" s="420" t="str">
        <f>H591</f>
        <v>Tennessee</v>
      </c>
      <c r="K591" s="379" t="str">
        <f t="shared" si="169"/>
        <v>Kentucky</v>
      </c>
      <c r="L591" s="422">
        <v>13</v>
      </c>
      <c r="M591" s="418">
        <v>63.5</v>
      </c>
      <c r="N591" s="436" t="str">
        <f>J591</f>
        <v>Tennessee</v>
      </c>
      <c r="O591" s="423">
        <v>44</v>
      </c>
      <c r="P591" s="436" t="str">
        <f t="shared" si="162"/>
        <v>Kentucky</v>
      </c>
      <c r="Q591" s="408">
        <v>6</v>
      </c>
      <c r="R591" s="494" t="str">
        <f t="shared" si="170"/>
        <v>Tennessee</v>
      </c>
      <c r="S591" s="494" t="str">
        <f t="shared" si="171"/>
        <v>Kentucky</v>
      </c>
      <c r="T591" s="356" t="str">
        <f>K591</f>
        <v>Kentucky</v>
      </c>
      <c r="U591" s="665" t="str">
        <f t="shared" si="172"/>
        <v>L</v>
      </c>
      <c r="V591" s="352" t="str">
        <f>LOWER(+H591)</f>
        <v>tennessee</v>
      </c>
      <c r="W591" s="424">
        <v>45</v>
      </c>
      <c r="X591" s="352" t="str">
        <f>UPPER(+F591)</f>
        <v>KENTUCKY</v>
      </c>
      <c r="Y591" s="425">
        <v>42</v>
      </c>
    </row>
    <row r="592" spans="1:25" ht="16" x14ac:dyDescent="0.8">
      <c r="A592" s="351">
        <v>9</v>
      </c>
      <c r="B592" s="420" t="s">
        <v>34</v>
      </c>
      <c r="C592" s="421">
        <v>44863</v>
      </c>
      <c r="D592" s="414">
        <f>19.5/24</f>
        <v>0.8125</v>
      </c>
      <c r="E592" s="349" t="s">
        <v>85</v>
      </c>
      <c r="F592" s="420" t="s">
        <v>215</v>
      </c>
      <c r="G592" s="349" t="s">
        <v>85</v>
      </c>
      <c r="H592" s="420" t="s">
        <v>223</v>
      </c>
      <c r="I592" s="349" t="s">
        <v>85</v>
      </c>
      <c r="J592" s="420" t="str">
        <f>F592</f>
        <v>Mississippi</v>
      </c>
      <c r="K592" s="379" t="str">
        <f t="shared" si="169"/>
        <v>Texas A&amp;M</v>
      </c>
      <c r="L592" s="422">
        <v>2.5</v>
      </c>
      <c r="M592" s="418">
        <v>55</v>
      </c>
      <c r="N592" s="436" t="str">
        <f>J592</f>
        <v>Mississippi</v>
      </c>
      <c r="O592" s="423">
        <v>31</v>
      </c>
      <c r="P592" s="436" t="str">
        <f t="shared" si="162"/>
        <v>Texas A&amp;M</v>
      </c>
      <c r="Q592" s="408">
        <v>28</v>
      </c>
      <c r="R592" s="494" t="str">
        <f t="shared" si="170"/>
        <v>Mississippi</v>
      </c>
      <c r="S592" s="494" t="str">
        <f t="shared" si="171"/>
        <v>Texas A&amp;M</v>
      </c>
      <c r="T592" s="356" t="str">
        <f>K592</f>
        <v>Texas A&amp;M</v>
      </c>
      <c r="U592" s="665" t="str">
        <f t="shared" si="172"/>
        <v>L</v>
      </c>
      <c r="V592" s="352" t="str">
        <f>UPPER(+F592)</f>
        <v>MISSISSIPPI</v>
      </c>
      <c r="W592" s="424">
        <v>29</v>
      </c>
      <c r="X592" s="352" t="str">
        <f>LOWER(+H592)</f>
        <v>texas a&amp;m</v>
      </c>
      <c r="Y592" s="425">
        <v>19</v>
      </c>
    </row>
    <row r="593" spans="1:25" ht="16" x14ac:dyDescent="0.8">
      <c r="A593" s="351">
        <v>10</v>
      </c>
      <c r="B593" s="420" t="s">
        <v>395</v>
      </c>
      <c r="C593" s="421">
        <v>44866</v>
      </c>
      <c r="D593" s="414">
        <f>19/24</f>
        <v>0.79166666666666663</v>
      </c>
      <c r="E593" s="349" t="s">
        <v>95</v>
      </c>
      <c r="F593" s="420" t="s">
        <v>131</v>
      </c>
      <c r="G593" s="349" t="s">
        <v>68</v>
      </c>
      <c r="H593" s="420" t="s">
        <v>113</v>
      </c>
      <c r="I593" s="349" t="s">
        <v>68</v>
      </c>
      <c r="J593" s="420" t="str">
        <f>H593</f>
        <v>Kent State</v>
      </c>
      <c r="K593" s="379" t="str">
        <f t="shared" ref="K593:K601" si="173">IF(+J593=H593,F593,H593)</f>
        <v>Ball State</v>
      </c>
      <c r="L593" s="422">
        <v>7</v>
      </c>
      <c r="M593" s="418">
        <v>62</v>
      </c>
      <c r="N593" s="436" t="str">
        <f>K593</f>
        <v>Ball State</v>
      </c>
      <c r="O593" s="423">
        <v>27</v>
      </c>
      <c r="P593" s="436" t="str">
        <f t="shared" ref="P593:P601" si="174">IF(+N593=H593,F593,H593)</f>
        <v>Kent State</v>
      </c>
      <c r="Q593" s="408">
        <v>20</v>
      </c>
      <c r="R593" s="494" t="str">
        <f t="shared" ref="R593:R601" si="175">IF(+N593=K593,+N593,IF(+O593-Q593&lt;L593,+K593,+J593))</f>
        <v>Ball State</v>
      </c>
      <c r="S593" s="494" t="str">
        <f t="shared" ref="S593:S601" si="176">IF(+R593=J593,+K593,+J593)</f>
        <v>Kent State</v>
      </c>
      <c r="T593" s="356" t="str">
        <f>K593</f>
        <v>Ball State</v>
      </c>
      <c r="U593" s="665" t="str">
        <f t="shared" ref="U593:U601" si="177">IF($N593=$J593,IF($O593-$Q593=$L593,"T",IF($R593=T593,"W","L")),IF($R593=T593,"W","L"))</f>
        <v>W</v>
      </c>
      <c r="W593" s="424"/>
      <c r="X593" s="352" t="s">
        <v>404</v>
      </c>
      <c r="Y593" s="425"/>
    </row>
    <row r="594" spans="1:25" ht="16" x14ac:dyDescent="0.8">
      <c r="A594" s="351">
        <v>10</v>
      </c>
      <c r="B594" s="420" t="s">
        <v>395</v>
      </c>
      <c r="C594" s="421">
        <v>44866</v>
      </c>
      <c r="D594" s="414">
        <f>19.5/24</f>
        <v>0.8125</v>
      </c>
      <c r="E594" s="349" t="s">
        <v>256</v>
      </c>
      <c r="F594" s="420" t="s">
        <v>67</v>
      </c>
      <c r="G594" s="349" t="s">
        <v>68</v>
      </c>
      <c r="H594" s="420" t="s">
        <v>182</v>
      </c>
      <c r="I594" s="349" t="s">
        <v>68</v>
      </c>
      <c r="J594" s="420" t="str">
        <f>F594</f>
        <v>Buffalo</v>
      </c>
      <c r="K594" s="379" t="str">
        <f t="shared" si="173"/>
        <v>Ohio</v>
      </c>
      <c r="L594" s="422">
        <v>2.5</v>
      </c>
      <c r="M594" s="418">
        <v>60</v>
      </c>
      <c r="N594" s="436" t="str">
        <f>K594</f>
        <v>Ohio</v>
      </c>
      <c r="O594" s="423">
        <v>45</v>
      </c>
      <c r="P594" s="436" t="str">
        <f t="shared" si="174"/>
        <v>Buffalo</v>
      </c>
      <c r="Q594" s="408">
        <v>24</v>
      </c>
      <c r="R594" s="494" t="str">
        <f t="shared" si="175"/>
        <v>Ohio</v>
      </c>
      <c r="S594" s="494" t="str">
        <f t="shared" si="176"/>
        <v>Buffalo</v>
      </c>
      <c r="T594" s="356" t="str">
        <f>J594</f>
        <v>Buffalo</v>
      </c>
      <c r="U594" s="665" t="str">
        <f t="shared" si="177"/>
        <v>L</v>
      </c>
      <c r="V594" s="352" t="str">
        <f>UPPER(+F594)</f>
        <v>BUFFALO</v>
      </c>
      <c r="W594" s="424">
        <v>27</v>
      </c>
      <c r="X594" s="352" t="str">
        <f>LOWER(+H594)</f>
        <v>ohio</v>
      </c>
      <c r="Y594" s="425">
        <v>26</v>
      </c>
    </row>
    <row r="595" spans="1:25" ht="16" x14ac:dyDescent="0.8">
      <c r="A595" s="351">
        <v>10</v>
      </c>
      <c r="B595" s="420" t="s">
        <v>396</v>
      </c>
      <c r="C595" s="421">
        <v>44867</v>
      </c>
      <c r="D595" s="414">
        <f>19/24</f>
        <v>0.79166666666666663</v>
      </c>
      <c r="E595" s="349" t="s">
        <v>95</v>
      </c>
      <c r="F595" s="420" t="s">
        <v>75</v>
      </c>
      <c r="G595" s="349" t="s">
        <v>68</v>
      </c>
      <c r="H595" s="420" t="s">
        <v>103</v>
      </c>
      <c r="I595" s="349" t="s">
        <v>68</v>
      </c>
      <c r="J595" s="420" t="str">
        <f>H595</f>
        <v>Northern Illinois</v>
      </c>
      <c r="K595" s="379" t="str">
        <f t="shared" si="173"/>
        <v>Central Michigan</v>
      </c>
      <c r="L595" s="422">
        <v>5</v>
      </c>
      <c r="M595" s="418">
        <v>56</v>
      </c>
      <c r="N595" s="436" t="str">
        <f>K595</f>
        <v>Central Michigan</v>
      </c>
      <c r="O595" s="423">
        <v>35</v>
      </c>
      <c r="P595" s="436" t="str">
        <f t="shared" si="174"/>
        <v>Northern Illinois</v>
      </c>
      <c r="Q595" s="408">
        <v>22</v>
      </c>
      <c r="R595" s="494" t="str">
        <f t="shared" si="175"/>
        <v>Central Michigan</v>
      </c>
      <c r="S595" s="494" t="str">
        <f t="shared" si="176"/>
        <v>Northern Illinois</v>
      </c>
      <c r="T595" s="356" t="str">
        <f>J595</f>
        <v>Northern Illinois</v>
      </c>
      <c r="U595" s="665" t="str">
        <f t="shared" si="177"/>
        <v>L</v>
      </c>
      <c r="V595" s="352" t="str">
        <f>LOWER(+H595)</f>
        <v>northern illinois</v>
      </c>
      <c r="W595" s="424">
        <v>39</v>
      </c>
      <c r="X595" s="352" t="str">
        <f>UPPER(+F595)</f>
        <v>CENTRAL MICHIGAN</v>
      </c>
      <c r="Y595" s="425">
        <v>38</v>
      </c>
    </row>
    <row r="596" spans="1:25" ht="16" x14ac:dyDescent="0.8">
      <c r="A596" s="351">
        <v>10</v>
      </c>
      <c r="B596" s="420" t="s">
        <v>396</v>
      </c>
      <c r="C596" s="421">
        <v>44867</v>
      </c>
      <c r="D596" s="414">
        <f>19.5/24</f>
        <v>0.8125</v>
      </c>
      <c r="E596" s="349" t="s">
        <v>256</v>
      </c>
      <c r="F596" s="420" t="s">
        <v>201</v>
      </c>
      <c r="G596" s="349" t="s">
        <v>68</v>
      </c>
      <c r="H596" s="420" t="s">
        <v>138</v>
      </c>
      <c r="I596" s="349" t="s">
        <v>68</v>
      </c>
      <c r="J596" s="420" t="str">
        <f>H596</f>
        <v>Bowling Green</v>
      </c>
      <c r="K596" s="379" t="str">
        <f t="shared" si="173"/>
        <v>Western Michigan</v>
      </c>
      <c r="L596" s="422">
        <v>4.5</v>
      </c>
      <c r="M596" s="418">
        <v>47.5</v>
      </c>
      <c r="N596" s="351" t="str">
        <f>J596</f>
        <v>Bowling Green</v>
      </c>
      <c r="O596" s="423">
        <v>13</v>
      </c>
      <c r="P596" s="436" t="str">
        <f t="shared" si="174"/>
        <v>Western Michigan</v>
      </c>
      <c r="Q596" s="408">
        <v>9</v>
      </c>
      <c r="R596" s="494" t="str">
        <f t="shared" si="175"/>
        <v>Western Michigan</v>
      </c>
      <c r="S596" s="494" t="str">
        <f t="shared" si="176"/>
        <v>Bowling Green</v>
      </c>
      <c r="T596" s="356" t="str">
        <f>J596</f>
        <v>Bowling Green</v>
      </c>
      <c r="U596" s="665" t="str">
        <f t="shared" si="177"/>
        <v>L</v>
      </c>
      <c r="W596" s="424"/>
      <c r="X596" s="352" t="s">
        <v>404</v>
      </c>
      <c r="Y596" s="425"/>
    </row>
    <row r="597" spans="1:25" ht="16" x14ac:dyDescent="0.8">
      <c r="A597" s="351">
        <v>10</v>
      </c>
      <c r="B597" s="420" t="s">
        <v>52</v>
      </c>
      <c r="C597" s="421">
        <v>44868</v>
      </c>
      <c r="D597" s="414">
        <f>19/24</f>
        <v>0.79166666666666663</v>
      </c>
      <c r="E597" s="349" t="s">
        <v>445</v>
      </c>
      <c r="F597" s="420" t="s">
        <v>153</v>
      </c>
      <c r="G597" s="349" t="s">
        <v>39</v>
      </c>
      <c r="H597" s="420" t="s">
        <v>38</v>
      </c>
      <c r="I597" s="349" t="s">
        <v>39</v>
      </c>
      <c r="J597" s="420" t="str">
        <f>H597</f>
        <v>Rice</v>
      </c>
      <c r="K597" s="379" t="str">
        <f t="shared" si="173"/>
        <v>UTEP</v>
      </c>
      <c r="L597" s="422">
        <v>3.5</v>
      </c>
      <c r="M597" s="418">
        <v>48.5</v>
      </c>
      <c r="N597" s="351" t="str">
        <f>J597</f>
        <v>Rice</v>
      </c>
      <c r="O597" s="423">
        <v>37</v>
      </c>
      <c r="P597" s="436" t="str">
        <f t="shared" si="174"/>
        <v>UTEP</v>
      </c>
      <c r="Q597" s="408">
        <v>30</v>
      </c>
      <c r="R597" s="494" t="str">
        <f t="shared" si="175"/>
        <v>Rice</v>
      </c>
      <c r="S597" s="494" t="str">
        <f t="shared" si="176"/>
        <v>UTEP</v>
      </c>
      <c r="T597" s="356" t="str">
        <f>J597</f>
        <v>Rice</v>
      </c>
      <c r="U597" s="665" t="str">
        <f t="shared" si="177"/>
        <v>W</v>
      </c>
      <c r="V597" s="352" t="str">
        <f>LOWER(+H597)</f>
        <v>rice</v>
      </c>
      <c r="W597" s="424">
        <v>38</v>
      </c>
      <c r="X597" s="352" t="str">
        <f>UPPER(+F597)</f>
        <v>UTEP</v>
      </c>
      <c r="Y597" s="425">
        <v>28</v>
      </c>
    </row>
    <row r="598" spans="1:25" ht="16" x14ac:dyDescent="0.8">
      <c r="A598" s="351">
        <v>10</v>
      </c>
      <c r="B598" s="420" t="s">
        <v>52</v>
      </c>
      <c r="C598" s="421">
        <v>44868</v>
      </c>
      <c r="D598" s="414">
        <f>19.5/24</f>
        <v>0.8125</v>
      </c>
      <c r="E598" s="349" t="s">
        <v>35</v>
      </c>
      <c r="F598" s="420" t="s">
        <v>212</v>
      </c>
      <c r="G598" s="349" t="s">
        <v>59</v>
      </c>
      <c r="H598" s="420" t="s">
        <v>205</v>
      </c>
      <c r="I598" s="349" t="s">
        <v>59</v>
      </c>
      <c r="J598" s="420" t="str">
        <f>F598</f>
        <v>Appalachian State</v>
      </c>
      <c r="K598" s="379" t="str">
        <f t="shared" si="173"/>
        <v>Coastal Carolina</v>
      </c>
      <c r="L598" s="422">
        <v>3</v>
      </c>
      <c r="M598" s="418">
        <v>64</v>
      </c>
      <c r="N598" s="436" t="str">
        <f>K598</f>
        <v>Coastal Carolina</v>
      </c>
      <c r="O598" s="423">
        <v>35</v>
      </c>
      <c r="P598" s="436" t="str">
        <f t="shared" si="174"/>
        <v>Appalachian State</v>
      </c>
      <c r="Q598" s="408">
        <v>28</v>
      </c>
      <c r="R598" s="494" t="str">
        <f t="shared" si="175"/>
        <v>Coastal Carolina</v>
      </c>
      <c r="S598" s="494" t="str">
        <f t="shared" si="176"/>
        <v>Appalachian State</v>
      </c>
      <c r="T598" s="356" t="str">
        <f>K598</f>
        <v>Coastal Carolina</v>
      </c>
      <c r="U598" s="665" t="str">
        <f t="shared" si="177"/>
        <v>W</v>
      </c>
      <c r="V598" s="352" t="str">
        <f>UPPER(+F598)</f>
        <v>APPALACHIAN STATE</v>
      </c>
      <c r="W598" s="424">
        <v>30</v>
      </c>
      <c r="X598" s="352" t="str">
        <f>LOWER(+H598)</f>
        <v>coastal carolina</v>
      </c>
      <c r="Y598" s="425"/>
    </row>
    <row r="599" spans="1:25" ht="16" x14ac:dyDescent="0.8">
      <c r="A599" s="351">
        <v>10</v>
      </c>
      <c r="B599" s="420" t="s">
        <v>88</v>
      </c>
      <c r="C599" s="421">
        <v>44869</v>
      </c>
      <c r="D599" s="414">
        <f>19/24</f>
        <v>0.79166666666666663</v>
      </c>
      <c r="E599" s="349" t="s">
        <v>445</v>
      </c>
      <c r="F599" s="420" t="s">
        <v>46</v>
      </c>
      <c r="G599" s="349" t="s">
        <v>43</v>
      </c>
      <c r="H599" s="420" t="s">
        <v>57</v>
      </c>
      <c r="I599" s="349" t="s">
        <v>43</v>
      </c>
      <c r="J599" s="420" t="str">
        <f>H599</f>
        <v>Connecticut</v>
      </c>
      <c r="K599" s="379" t="str">
        <f t="shared" si="173"/>
        <v>Massachusetts</v>
      </c>
      <c r="L599" s="422">
        <v>15.5</v>
      </c>
      <c r="M599" s="418">
        <v>40</v>
      </c>
      <c r="N599" s="351" t="str">
        <f t="shared" ref="N599:N604" si="178">J599</f>
        <v>Connecticut</v>
      </c>
      <c r="O599" s="423">
        <v>27</v>
      </c>
      <c r="P599" s="436" t="str">
        <f t="shared" si="174"/>
        <v>Massachusetts</v>
      </c>
      <c r="Q599" s="408">
        <v>20</v>
      </c>
      <c r="R599" s="494" t="str">
        <f t="shared" si="175"/>
        <v>Massachusetts</v>
      </c>
      <c r="S599" s="494" t="str">
        <f t="shared" si="176"/>
        <v>Connecticut</v>
      </c>
      <c r="T599" s="356" t="str">
        <f>J599</f>
        <v>Connecticut</v>
      </c>
      <c r="U599" s="665" t="str">
        <f t="shared" si="177"/>
        <v>L</v>
      </c>
      <c r="V599" s="352" t="str">
        <f>UPPER(+F599)</f>
        <v>MASSACHUSETTS</v>
      </c>
      <c r="W599" s="424">
        <v>27</v>
      </c>
      <c r="X599" s="352" t="str">
        <f>LOWER(+H599)</f>
        <v>connecticut</v>
      </c>
      <c r="Y599" s="425">
        <v>13</v>
      </c>
    </row>
    <row r="600" spans="1:25" ht="16" x14ac:dyDescent="0.8">
      <c r="A600" s="351">
        <v>10</v>
      </c>
      <c r="B600" s="420" t="s">
        <v>88</v>
      </c>
      <c r="C600" s="421">
        <v>44869</v>
      </c>
      <c r="D600" s="414">
        <f>19/24</f>
        <v>0.79166666666666663</v>
      </c>
      <c r="E600" s="349" t="s">
        <v>256</v>
      </c>
      <c r="F600" s="420" t="s">
        <v>115</v>
      </c>
      <c r="G600" s="349" t="s">
        <v>61</v>
      </c>
      <c r="H600" s="420" t="s">
        <v>102</v>
      </c>
      <c r="I600" s="349" t="s">
        <v>61</v>
      </c>
      <c r="J600" s="420" t="str">
        <f>F600</f>
        <v>Duke</v>
      </c>
      <c r="K600" s="379" t="str">
        <f t="shared" si="173"/>
        <v>Boston College</v>
      </c>
      <c r="L600" s="422">
        <v>9.5</v>
      </c>
      <c r="M600" s="418">
        <v>47.5</v>
      </c>
      <c r="N600" s="351" t="str">
        <f t="shared" si="178"/>
        <v>Duke</v>
      </c>
      <c r="O600" s="423">
        <v>38</v>
      </c>
      <c r="P600" s="436" t="str">
        <f t="shared" si="174"/>
        <v>Boston College</v>
      </c>
      <c r="Q600" s="408">
        <v>31</v>
      </c>
      <c r="R600" s="494" t="str">
        <f t="shared" si="175"/>
        <v>Boston College</v>
      </c>
      <c r="S600" s="494" t="str">
        <f t="shared" si="176"/>
        <v>Duke</v>
      </c>
      <c r="T600" s="356" t="str">
        <f>K600</f>
        <v>Boston College</v>
      </c>
      <c r="U600" s="665" t="str">
        <f t="shared" si="177"/>
        <v>W</v>
      </c>
      <c r="W600" s="424"/>
      <c r="X600" s="352" t="s">
        <v>404</v>
      </c>
      <c r="Y600" s="425"/>
    </row>
    <row r="601" spans="1:25" ht="16" x14ac:dyDescent="0.8">
      <c r="A601" s="351">
        <v>10</v>
      </c>
      <c r="B601" s="420" t="s">
        <v>88</v>
      </c>
      <c r="C601" s="421">
        <v>44869</v>
      </c>
      <c r="D601" s="414">
        <f>22.5/24</f>
        <v>0.9375</v>
      </c>
      <c r="E601" s="349" t="s">
        <v>256</v>
      </c>
      <c r="F601" s="420" t="s">
        <v>47</v>
      </c>
      <c r="G601" s="349" t="s">
        <v>37</v>
      </c>
      <c r="H601" s="420" t="s">
        <v>91</v>
      </c>
      <c r="I601" s="349" t="s">
        <v>37</v>
      </c>
      <c r="J601" s="420" t="str">
        <f>H601</f>
        <v>Washington</v>
      </c>
      <c r="K601" s="379" t="str">
        <f t="shared" si="173"/>
        <v>Oregon State</v>
      </c>
      <c r="L601" s="422">
        <v>4</v>
      </c>
      <c r="M601" s="418">
        <v>57</v>
      </c>
      <c r="N601" s="351" t="str">
        <f t="shared" si="178"/>
        <v>Washington</v>
      </c>
      <c r="O601" s="423">
        <v>24</v>
      </c>
      <c r="P601" s="436" t="str">
        <f t="shared" si="174"/>
        <v>Oregon State</v>
      </c>
      <c r="Q601" s="408">
        <v>21</v>
      </c>
      <c r="R601" s="494" t="str">
        <f t="shared" si="175"/>
        <v>Oregon State</v>
      </c>
      <c r="S601" s="494" t="str">
        <f t="shared" si="176"/>
        <v>Washington</v>
      </c>
      <c r="T601" s="356" t="str">
        <f>K601</f>
        <v>Oregon State</v>
      </c>
      <c r="U601" s="665" t="str">
        <f t="shared" si="177"/>
        <v>W</v>
      </c>
      <c r="V601" s="352" t="str">
        <f>UPPER(+F601)</f>
        <v>OREGON STATE</v>
      </c>
      <c r="W601" s="424">
        <v>27</v>
      </c>
      <c r="X601" s="352" t="str">
        <f>LOWER(+H601)</f>
        <v>washington</v>
      </c>
      <c r="Y601" s="425">
        <v>24</v>
      </c>
    </row>
    <row r="602" spans="1:25" ht="16" x14ac:dyDescent="0.8">
      <c r="A602" s="351">
        <v>10</v>
      </c>
      <c r="B602" s="420" t="s">
        <v>34</v>
      </c>
      <c r="C602" s="421">
        <v>44870</v>
      </c>
      <c r="D602" s="414">
        <f>16/24</f>
        <v>0.66666666666666663</v>
      </c>
      <c r="E602" s="349" t="s">
        <v>95</v>
      </c>
      <c r="F602" s="420" t="s">
        <v>96</v>
      </c>
      <c r="G602" s="349" t="s">
        <v>50</v>
      </c>
      <c r="H602" s="420" t="s">
        <v>55</v>
      </c>
      <c r="I602" s="349" t="s">
        <v>50</v>
      </c>
      <c r="J602" s="420" t="str">
        <f>H602</f>
        <v>Cincinnati</v>
      </c>
      <c r="K602" s="379" t="str">
        <f t="shared" ref="K602:K630" si="179">IF(+J602=H602,F602,H602)</f>
        <v>Navy</v>
      </c>
      <c r="L602" s="422">
        <v>19.5</v>
      </c>
      <c r="M602" s="418">
        <v>46.5</v>
      </c>
      <c r="N602" s="351" t="str">
        <f t="shared" si="178"/>
        <v>Cincinnati</v>
      </c>
      <c r="O602" s="423">
        <v>20</v>
      </c>
      <c r="P602" s="436" t="str">
        <f t="shared" ref="P602:P630" si="180">IF(+N602=H602,F602,H602)</f>
        <v>Navy</v>
      </c>
      <c r="Q602" s="408">
        <v>10</v>
      </c>
      <c r="R602" s="494" t="str">
        <f t="shared" ref="R602:R630" si="181">IF(+N602=K602,+N602,IF(+O602-Q602&lt;L602,+K602,+J602))</f>
        <v>Navy</v>
      </c>
      <c r="S602" s="494" t="str">
        <f t="shared" ref="S602:S630" si="182">IF(+R602=J602,+K602,+J602)</f>
        <v>Cincinnati</v>
      </c>
      <c r="T602" s="356" t="str">
        <f>K602</f>
        <v>Navy</v>
      </c>
      <c r="U602" s="665" t="str">
        <f t="shared" ref="U602:U630" si="183">IF($N602=$J602,IF($O602-$Q602=$L602,"T",IF($R602=T602,"W","L")),IF($R602=T602,"W","L"))</f>
        <v>W</v>
      </c>
      <c r="V602" s="352" t="str">
        <f>LOWER(+H602)</f>
        <v>cincinnati</v>
      </c>
      <c r="W602" s="424">
        <v>27</v>
      </c>
      <c r="X602" s="352" t="str">
        <f>UPPER(+F602)</f>
        <v>NAVY</v>
      </c>
      <c r="Y602" s="425">
        <v>20</v>
      </c>
    </row>
    <row r="603" spans="1:25" ht="16" x14ac:dyDescent="0.8">
      <c r="A603" s="351">
        <v>10</v>
      </c>
      <c r="B603" s="420" t="s">
        <v>34</v>
      </c>
      <c r="C603" s="421">
        <v>44870</v>
      </c>
      <c r="D603" s="414">
        <f>15.5/24</f>
        <v>0.64583333333333337</v>
      </c>
      <c r="E603" s="349" t="s">
        <v>256</v>
      </c>
      <c r="F603" s="420" t="s">
        <v>106</v>
      </c>
      <c r="G603" s="349" t="s">
        <v>50</v>
      </c>
      <c r="H603" s="420" t="s">
        <v>60</v>
      </c>
      <c r="I603" s="349" t="s">
        <v>50</v>
      </c>
      <c r="J603" s="420" t="str">
        <f>F603</f>
        <v>Central Florida</v>
      </c>
      <c r="K603" s="379" t="str">
        <f t="shared" si="179"/>
        <v>Memphis</v>
      </c>
      <c r="L603" s="422">
        <v>3.5</v>
      </c>
      <c r="M603" s="418">
        <v>58</v>
      </c>
      <c r="N603" s="351" t="str">
        <f t="shared" si="178"/>
        <v>Central Florida</v>
      </c>
      <c r="O603" s="423">
        <v>35</v>
      </c>
      <c r="P603" s="436" t="str">
        <f t="shared" si="180"/>
        <v>Memphis</v>
      </c>
      <c r="Q603" s="408">
        <v>28</v>
      </c>
      <c r="R603" s="494" t="str">
        <f t="shared" si="181"/>
        <v>Central Florida</v>
      </c>
      <c r="S603" s="494" t="str">
        <f t="shared" si="182"/>
        <v>Memphis</v>
      </c>
      <c r="T603" s="356" t="str">
        <f>K603</f>
        <v>Memphis</v>
      </c>
      <c r="U603" s="665" t="str">
        <f t="shared" si="183"/>
        <v>L</v>
      </c>
      <c r="V603" s="352" t="str">
        <f>UPPER(+F603)</f>
        <v>CENTRAL FLORIDA</v>
      </c>
      <c r="W603" s="424">
        <v>24</v>
      </c>
      <c r="X603" s="352" t="str">
        <f>LOWER(+H603)</f>
        <v>memphis</v>
      </c>
      <c r="Y603" s="425">
        <v>7</v>
      </c>
    </row>
    <row r="604" spans="1:25" ht="16" x14ac:dyDescent="0.8">
      <c r="A604" s="351">
        <v>10</v>
      </c>
      <c r="B604" s="420" t="s">
        <v>34</v>
      </c>
      <c r="C604" s="421">
        <v>44870</v>
      </c>
      <c r="D604" s="414">
        <f>19/24</f>
        <v>0.79166666666666663</v>
      </c>
      <c r="E604" s="349" t="s">
        <v>359</v>
      </c>
      <c r="F604" s="420" t="s">
        <v>174</v>
      </c>
      <c r="G604" s="349" t="s">
        <v>50</v>
      </c>
      <c r="H604" s="420" t="s">
        <v>109</v>
      </c>
      <c r="I604" s="349" t="s">
        <v>50</v>
      </c>
      <c r="J604" s="420" t="str">
        <f>H604</f>
        <v>SMU</v>
      </c>
      <c r="K604" s="379" t="str">
        <f t="shared" si="179"/>
        <v>Houston</v>
      </c>
      <c r="L604" s="422">
        <v>3.5</v>
      </c>
      <c r="M604" s="418">
        <v>67</v>
      </c>
      <c r="N604" s="351" t="str">
        <f t="shared" si="178"/>
        <v>SMU</v>
      </c>
      <c r="O604" s="423">
        <v>77</v>
      </c>
      <c r="P604" s="436" t="str">
        <f t="shared" si="180"/>
        <v>Houston</v>
      </c>
      <c r="Q604" s="408">
        <v>63</v>
      </c>
      <c r="R604" s="494" t="str">
        <f t="shared" si="181"/>
        <v>SMU</v>
      </c>
      <c r="S604" s="494" t="str">
        <f t="shared" si="182"/>
        <v>Houston</v>
      </c>
      <c r="T604" s="356" t="str">
        <f>J604</f>
        <v>SMU</v>
      </c>
      <c r="U604" s="665" t="str">
        <f t="shared" si="183"/>
        <v>W</v>
      </c>
      <c r="V604" s="352" t="str">
        <f>LOWER(+H604)</f>
        <v>smu</v>
      </c>
      <c r="W604" s="424">
        <v>34</v>
      </c>
      <c r="X604" s="352" t="str">
        <f>UPPER(+F604)</f>
        <v>HOUSTON</v>
      </c>
      <c r="Y604" s="425">
        <v>31</v>
      </c>
    </row>
    <row r="605" spans="1:25" ht="16" x14ac:dyDescent="0.8">
      <c r="A605" s="351">
        <v>10</v>
      </c>
      <c r="B605" s="420" t="s">
        <v>34</v>
      </c>
      <c r="C605" s="421">
        <v>44870</v>
      </c>
      <c r="D605" s="414">
        <f>14/24</f>
        <v>0.58333333333333337</v>
      </c>
      <c r="E605" s="349"/>
      <c r="F605" s="420" t="s">
        <v>49</v>
      </c>
      <c r="G605" s="349" t="s">
        <v>50</v>
      </c>
      <c r="H605" s="420" t="s">
        <v>180</v>
      </c>
      <c r="I605" s="349" t="s">
        <v>50</v>
      </c>
      <c r="J605" s="420" t="str">
        <f>F605</f>
        <v>South Florida</v>
      </c>
      <c r="K605" s="379" t="str">
        <f t="shared" si="179"/>
        <v>Temple</v>
      </c>
      <c r="L605" s="422">
        <v>3</v>
      </c>
      <c r="M605" s="418">
        <v>51</v>
      </c>
      <c r="N605" s="436" t="str">
        <f>K605</f>
        <v>Temple</v>
      </c>
      <c r="O605" s="423">
        <v>54</v>
      </c>
      <c r="P605" s="436" t="str">
        <f t="shared" si="180"/>
        <v>South Florida</v>
      </c>
      <c r="Q605" s="408">
        <v>28</v>
      </c>
      <c r="R605" s="494" t="str">
        <f t="shared" si="181"/>
        <v>Temple</v>
      </c>
      <c r="S605" s="494" t="str">
        <f t="shared" si="182"/>
        <v>South Florida</v>
      </c>
      <c r="T605" s="356" t="str">
        <f>J605</f>
        <v>South Florida</v>
      </c>
      <c r="U605" s="665" t="str">
        <f t="shared" si="183"/>
        <v>L</v>
      </c>
      <c r="V605" s="352" t="str">
        <f>UPPER(+F605)</f>
        <v>SOUTH FLORIDA</v>
      </c>
      <c r="W605" s="424">
        <v>34</v>
      </c>
      <c r="X605" s="352" t="str">
        <f>LOWER(+H605)</f>
        <v>temple</v>
      </c>
      <c r="Y605" s="425">
        <v>14</v>
      </c>
    </row>
    <row r="606" spans="1:25" ht="16" x14ac:dyDescent="0.8">
      <c r="A606" s="351">
        <v>10</v>
      </c>
      <c r="B606" s="420" t="s">
        <v>34</v>
      </c>
      <c r="C606" s="421">
        <v>44870</v>
      </c>
      <c r="D606" s="414">
        <f>12/24</f>
        <v>0.5</v>
      </c>
      <c r="E606" s="349" t="s">
        <v>95</v>
      </c>
      <c r="F606" s="420" t="s">
        <v>112</v>
      </c>
      <c r="G606" s="349" t="s">
        <v>50</v>
      </c>
      <c r="H606" s="420" t="s">
        <v>71</v>
      </c>
      <c r="I606" s="349" t="s">
        <v>50</v>
      </c>
      <c r="J606" s="420" t="str">
        <f>F606</f>
        <v>Tulane</v>
      </c>
      <c r="K606" s="379" t="str">
        <f t="shared" si="179"/>
        <v>Tulsa</v>
      </c>
      <c r="L606" s="422">
        <v>7.5</v>
      </c>
      <c r="M606" s="418">
        <v>57.5</v>
      </c>
      <c r="N606" s="351" t="str">
        <f>J606</f>
        <v>Tulane</v>
      </c>
      <c r="O606" s="423">
        <v>27</v>
      </c>
      <c r="P606" s="436" t="str">
        <f t="shared" si="180"/>
        <v>Tulsa</v>
      </c>
      <c r="Q606" s="408">
        <v>13</v>
      </c>
      <c r="R606" s="494" t="str">
        <f t="shared" si="181"/>
        <v>Tulane</v>
      </c>
      <c r="S606" s="494" t="str">
        <f t="shared" si="182"/>
        <v>Tulsa</v>
      </c>
      <c r="T606" s="356" t="str">
        <f>J606</f>
        <v>Tulane</v>
      </c>
      <c r="U606" s="665" t="str">
        <f t="shared" si="183"/>
        <v>W</v>
      </c>
      <c r="V606" s="352" t="str">
        <f>LOWER(+H606)</f>
        <v>tulsa</v>
      </c>
      <c r="W606" s="424">
        <v>20</v>
      </c>
      <c r="X606" s="352" t="str">
        <f>UPPER(+F606)</f>
        <v>TULANE</v>
      </c>
      <c r="Y606" s="425">
        <v>13</v>
      </c>
    </row>
    <row r="607" spans="1:25" ht="16" x14ac:dyDescent="0.8">
      <c r="A607" s="351">
        <v>10</v>
      </c>
      <c r="B607" s="420" t="s">
        <v>34</v>
      </c>
      <c r="C607" s="421">
        <v>44870</v>
      </c>
      <c r="D607" s="414">
        <f>19.5/24</f>
        <v>0.8125</v>
      </c>
      <c r="E607" s="349" t="s">
        <v>95</v>
      </c>
      <c r="F607" s="420" t="s">
        <v>442</v>
      </c>
      <c r="G607" s="349" t="s">
        <v>59</v>
      </c>
      <c r="H607" s="420" t="s">
        <v>120</v>
      </c>
      <c r="I607" s="349" t="s">
        <v>61</v>
      </c>
      <c r="J607" s="420" t="str">
        <f>H607</f>
        <v>Louisville</v>
      </c>
      <c r="K607" s="379" t="str">
        <f t="shared" ref="K607" si="184">IF(+J607=H607,F607,H607)</f>
        <v>James Madison</v>
      </c>
      <c r="L607" s="422">
        <v>7.5</v>
      </c>
      <c r="M607" s="418">
        <v>52.5</v>
      </c>
      <c r="N607" s="351" t="str">
        <f>J607</f>
        <v>Louisville</v>
      </c>
      <c r="O607" s="423">
        <v>34</v>
      </c>
      <c r="P607" s="436" t="str">
        <f t="shared" ref="P607" si="185">IF(+N607=H607,F607,H607)</f>
        <v>James Madison</v>
      </c>
      <c r="Q607" s="408">
        <v>10</v>
      </c>
      <c r="R607" s="494" t="str">
        <f t="shared" ref="R607" si="186">IF(+N607=K607,+N607,IF(+O607-Q607&lt;L607,+K607,+J607))</f>
        <v>Louisville</v>
      </c>
      <c r="S607" s="494" t="str">
        <f t="shared" ref="S607" si="187">IF(+R607=J607,+K607,+J607)</f>
        <v>James Madison</v>
      </c>
      <c r="T607" s="356" t="str">
        <f>K607</f>
        <v>James Madison</v>
      </c>
      <c r="U607" s="665" t="str">
        <f t="shared" ref="U607" si="188">IF($N607=$J607,IF($O607-$Q607=$L607,"T",IF($R607=T607,"W","L")),IF($R607=T607,"W","L"))</f>
        <v>L</v>
      </c>
      <c r="W607" s="424"/>
      <c r="X607" s="352" t="s">
        <v>404</v>
      </c>
      <c r="Y607" s="425"/>
    </row>
    <row r="608" spans="1:25" ht="16" x14ac:dyDescent="0.8">
      <c r="A608" s="351">
        <v>10</v>
      </c>
      <c r="B608" s="420" t="s">
        <v>34</v>
      </c>
      <c r="C608" s="421">
        <v>44870</v>
      </c>
      <c r="D608" s="414">
        <f>19.5/24</f>
        <v>0.8125</v>
      </c>
      <c r="E608" s="349" t="s">
        <v>135</v>
      </c>
      <c r="F608" s="420" t="s">
        <v>117</v>
      </c>
      <c r="G608" s="349" t="s">
        <v>61</v>
      </c>
      <c r="H608" s="420" t="s">
        <v>122</v>
      </c>
      <c r="I608" s="349" t="s">
        <v>61</v>
      </c>
      <c r="J608" s="420" t="str">
        <f>F608</f>
        <v>Florida State</v>
      </c>
      <c r="K608" s="379" t="str">
        <f t="shared" si="179"/>
        <v>Miami (FL)</v>
      </c>
      <c r="L608" s="422">
        <v>7.5</v>
      </c>
      <c r="M608" s="418">
        <v>53</v>
      </c>
      <c r="N608" s="351" t="str">
        <f>J608</f>
        <v>Florida State</v>
      </c>
      <c r="O608" s="423">
        <v>45</v>
      </c>
      <c r="P608" s="436" t="str">
        <f t="shared" si="180"/>
        <v>Miami (FL)</v>
      </c>
      <c r="Q608" s="408">
        <v>3</v>
      </c>
      <c r="R608" s="494" t="str">
        <f t="shared" si="181"/>
        <v>Florida State</v>
      </c>
      <c r="S608" s="494" t="str">
        <f t="shared" si="182"/>
        <v>Miami (FL)</v>
      </c>
      <c r="T608" s="356" t="str">
        <f>K608</f>
        <v>Miami (FL)</v>
      </c>
      <c r="U608" s="665" t="str">
        <f t="shared" si="183"/>
        <v>L</v>
      </c>
      <c r="V608" s="352" t="str">
        <f>UPPER(+F608)</f>
        <v>FLORIDA STATE</v>
      </c>
      <c r="W608" s="424">
        <v>31</v>
      </c>
      <c r="X608" s="352" t="str">
        <f>LOWER(+H608)</f>
        <v>miami (fl)</v>
      </c>
      <c r="Y608" s="425">
        <v>28</v>
      </c>
    </row>
    <row r="609" spans="1:25" ht="16" x14ac:dyDescent="0.8">
      <c r="A609" s="351">
        <v>10</v>
      </c>
      <c r="B609" s="420" t="s">
        <v>34</v>
      </c>
      <c r="C609" s="421">
        <v>44870</v>
      </c>
      <c r="D609" s="414">
        <f>20/24</f>
        <v>0.83333333333333337</v>
      </c>
      <c r="E609" s="349" t="s">
        <v>61</v>
      </c>
      <c r="F609" s="420" t="s">
        <v>62</v>
      </c>
      <c r="G609" s="349" t="s">
        <v>61</v>
      </c>
      <c r="H609" s="420" t="s">
        <v>126</v>
      </c>
      <c r="I609" s="349" t="s">
        <v>61</v>
      </c>
      <c r="J609" s="420" t="str">
        <f>F609</f>
        <v>Wake Forest</v>
      </c>
      <c r="K609" s="379" t="str">
        <f t="shared" si="179"/>
        <v>North Carolina St</v>
      </c>
      <c r="L609" s="422">
        <v>4.5</v>
      </c>
      <c r="M609" s="418">
        <v>54</v>
      </c>
      <c r="N609" s="436" t="str">
        <f>K609</f>
        <v>North Carolina St</v>
      </c>
      <c r="O609" s="423">
        <v>30</v>
      </c>
      <c r="P609" s="436" t="str">
        <f t="shared" si="180"/>
        <v>Wake Forest</v>
      </c>
      <c r="Q609" s="408">
        <v>21</v>
      </c>
      <c r="R609" s="494" t="str">
        <f t="shared" si="181"/>
        <v>North Carolina St</v>
      </c>
      <c r="S609" s="494" t="str">
        <f t="shared" si="182"/>
        <v>Wake Forest</v>
      </c>
      <c r="T609" s="356" t="str">
        <f>J609</f>
        <v>Wake Forest</v>
      </c>
      <c r="U609" s="665" t="str">
        <f t="shared" si="183"/>
        <v>L</v>
      </c>
      <c r="V609" s="352" t="str">
        <f>UPPER(+F609)</f>
        <v>WAKE FOREST</v>
      </c>
      <c r="W609" s="424">
        <v>45</v>
      </c>
      <c r="X609" s="352" t="str">
        <f>LOWER(+H609)</f>
        <v>north carolina st</v>
      </c>
      <c r="Y609" s="425">
        <v>42</v>
      </c>
    </row>
    <row r="610" spans="1:25" ht="16" x14ac:dyDescent="0.8">
      <c r="A610" s="351">
        <v>10</v>
      </c>
      <c r="B610" s="420" t="s">
        <v>34</v>
      </c>
      <c r="C610" s="421">
        <v>44870</v>
      </c>
      <c r="D610" s="414">
        <f>15.5/24</f>
        <v>0.64583333333333337</v>
      </c>
      <c r="E610" s="349" t="s">
        <v>61</v>
      </c>
      <c r="F610" s="420" t="s">
        <v>90</v>
      </c>
      <c r="G610" s="349" t="s">
        <v>61</v>
      </c>
      <c r="H610" s="420" t="s">
        <v>128</v>
      </c>
      <c r="I610" s="349" t="s">
        <v>61</v>
      </c>
      <c r="J610" s="420" t="str">
        <f>H610</f>
        <v>Pittsburgh</v>
      </c>
      <c r="K610" s="379" t="str">
        <f t="shared" si="179"/>
        <v>Syracuse</v>
      </c>
      <c r="L610" s="422">
        <v>3</v>
      </c>
      <c r="M610" s="418">
        <v>48</v>
      </c>
      <c r="N610" s="351" t="str">
        <f>J610</f>
        <v>Pittsburgh</v>
      </c>
      <c r="O610" s="423">
        <v>19</v>
      </c>
      <c r="P610" s="436" t="str">
        <f t="shared" si="180"/>
        <v>Syracuse</v>
      </c>
      <c r="Q610" s="408">
        <v>9</v>
      </c>
      <c r="R610" s="494" t="str">
        <f t="shared" si="181"/>
        <v>Pittsburgh</v>
      </c>
      <c r="S610" s="494" t="str">
        <f t="shared" si="182"/>
        <v>Syracuse</v>
      </c>
      <c r="T610" s="356" t="str">
        <f>K610</f>
        <v>Syracuse</v>
      </c>
      <c r="U610" s="665" t="str">
        <f t="shared" si="183"/>
        <v>L</v>
      </c>
      <c r="V610" s="352" t="str">
        <f>LOWER(+H610)</f>
        <v>pittsburgh</v>
      </c>
      <c r="W610" s="424">
        <v>31</v>
      </c>
      <c r="X610" s="352" t="str">
        <f>UPPER(+F610)</f>
        <v>SYRACUSE</v>
      </c>
      <c r="Y610" s="425">
        <v>14</v>
      </c>
    </row>
    <row r="611" spans="1:25" ht="16" x14ac:dyDescent="0.8">
      <c r="A611" s="351">
        <v>10</v>
      </c>
      <c r="B611" s="420" t="s">
        <v>34</v>
      </c>
      <c r="C611" s="421">
        <v>44870</v>
      </c>
      <c r="D611" s="414">
        <f>12/24</f>
        <v>0.5</v>
      </c>
      <c r="E611" s="349" t="s">
        <v>61</v>
      </c>
      <c r="F611" s="420" t="s">
        <v>124</v>
      </c>
      <c r="G611" s="349" t="s">
        <v>61</v>
      </c>
      <c r="H611" s="420" t="s">
        <v>130</v>
      </c>
      <c r="I611" s="349" t="s">
        <v>61</v>
      </c>
      <c r="J611" s="420" t="str">
        <f>F611</f>
        <v>North Carolina</v>
      </c>
      <c r="K611" s="379" t="str">
        <f t="shared" si="179"/>
        <v>Virginia</v>
      </c>
      <c r="L611" s="422">
        <v>7.5</v>
      </c>
      <c r="M611" s="418">
        <v>59</v>
      </c>
      <c r="N611" s="351" t="str">
        <f>J611</f>
        <v>North Carolina</v>
      </c>
      <c r="O611" s="423">
        <v>31</v>
      </c>
      <c r="P611" s="436" t="str">
        <f t="shared" si="180"/>
        <v>Virginia</v>
      </c>
      <c r="Q611" s="408">
        <v>28</v>
      </c>
      <c r="R611" s="494" t="str">
        <f t="shared" si="181"/>
        <v>Virginia</v>
      </c>
      <c r="S611" s="494" t="str">
        <f t="shared" si="182"/>
        <v>North Carolina</v>
      </c>
      <c r="T611" s="356" t="str">
        <f>K611</f>
        <v>Virginia</v>
      </c>
      <c r="U611" s="665" t="str">
        <f t="shared" si="183"/>
        <v>W</v>
      </c>
      <c r="V611" s="352" t="str">
        <f>UPPER(+F611)</f>
        <v>NORTH CAROLINA</v>
      </c>
      <c r="W611" s="424">
        <v>59</v>
      </c>
      <c r="X611" s="352" t="str">
        <f>LOWER(+H611)</f>
        <v>virginia</v>
      </c>
      <c r="Y611" s="425">
        <v>39</v>
      </c>
    </row>
    <row r="612" spans="1:25" ht="16" x14ac:dyDescent="0.8">
      <c r="A612" s="351">
        <v>10</v>
      </c>
      <c r="B612" s="420" t="s">
        <v>34</v>
      </c>
      <c r="C612" s="421">
        <v>44870</v>
      </c>
      <c r="D612" s="414">
        <f>12/24</f>
        <v>0.5</v>
      </c>
      <c r="E612" s="349" t="s">
        <v>53</v>
      </c>
      <c r="F612" s="420" t="s">
        <v>227</v>
      </c>
      <c r="G612" s="349" t="s">
        <v>61</v>
      </c>
      <c r="H612" s="420" t="s">
        <v>221</v>
      </c>
      <c r="I612" s="349" t="s">
        <v>61</v>
      </c>
      <c r="J612" s="420" t="str">
        <f>H612</f>
        <v>Virginia Tech</v>
      </c>
      <c r="K612" s="379" t="str">
        <f t="shared" si="179"/>
        <v>Georgia Tech</v>
      </c>
      <c r="L612" s="422">
        <v>3</v>
      </c>
      <c r="M612" s="418">
        <v>40.5</v>
      </c>
      <c r="N612" s="436" t="str">
        <f>K612</f>
        <v>Georgia Tech</v>
      </c>
      <c r="O612" s="423">
        <v>28</v>
      </c>
      <c r="P612" s="436" t="str">
        <f t="shared" si="180"/>
        <v>Virginia Tech</v>
      </c>
      <c r="Q612" s="408">
        <v>27</v>
      </c>
      <c r="R612" s="494" t="str">
        <f t="shared" si="181"/>
        <v>Georgia Tech</v>
      </c>
      <c r="S612" s="494" t="str">
        <f t="shared" si="182"/>
        <v>Virginia Tech</v>
      </c>
      <c r="T612" s="356" t="str">
        <f>J612</f>
        <v>Virginia Tech</v>
      </c>
      <c r="U612" s="665" t="str">
        <f t="shared" si="183"/>
        <v>L</v>
      </c>
      <c r="V612" s="352" t="str">
        <f>LOWER(+H612)</f>
        <v>virginia tech</v>
      </c>
      <c r="W612" s="424">
        <v>45</v>
      </c>
      <c r="X612" s="352" t="str">
        <f>UPPER(+F612)</f>
        <v>GEORGIA TECH</v>
      </c>
      <c r="Y612" s="425">
        <v>0</v>
      </c>
    </row>
    <row r="613" spans="1:25" ht="16" x14ac:dyDescent="0.8">
      <c r="A613" s="351">
        <v>10</v>
      </c>
      <c r="B613" s="420" t="s">
        <v>34</v>
      </c>
      <c r="C613" s="421">
        <v>44870</v>
      </c>
      <c r="D613" s="414">
        <f>15.5/24</f>
        <v>0.64583333333333337</v>
      </c>
      <c r="E613" s="349" t="s">
        <v>66</v>
      </c>
      <c r="F613" s="420" t="s">
        <v>139</v>
      </c>
      <c r="G613" s="349" t="s">
        <v>64</v>
      </c>
      <c r="H613" s="420" t="s">
        <v>132</v>
      </c>
      <c r="I613" s="349" t="s">
        <v>64</v>
      </c>
      <c r="J613" s="420" t="str">
        <f>H613</f>
        <v>Illinois</v>
      </c>
      <c r="K613" s="379" t="str">
        <f t="shared" si="179"/>
        <v>Michigan State</v>
      </c>
      <c r="L613" s="422">
        <v>16</v>
      </c>
      <c r="M613" s="418">
        <v>41.5</v>
      </c>
      <c r="N613" s="436" t="str">
        <f>K613</f>
        <v>Michigan State</v>
      </c>
      <c r="O613" s="423">
        <v>23</v>
      </c>
      <c r="P613" s="436" t="str">
        <f t="shared" si="180"/>
        <v>Illinois</v>
      </c>
      <c r="Q613" s="408">
        <v>15</v>
      </c>
      <c r="R613" s="494" t="str">
        <f t="shared" si="181"/>
        <v>Michigan State</v>
      </c>
      <c r="S613" s="494" t="str">
        <f t="shared" si="182"/>
        <v>Illinois</v>
      </c>
      <c r="T613" s="356" t="str">
        <f>K613</f>
        <v>Michigan State</v>
      </c>
      <c r="U613" s="665" t="str">
        <f t="shared" si="183"/>
        <v>W</v>
      </c>
      <c r="W613" s="424"/>
      <c r="X613" s="352" t="s">
        <v>404</v>
      </c>
      <c r="Y613" s="425"/>
    </row>
    <row r="614" spans="1:25" ht="16" x14ac:dyDescent="0.8">
      <c r="A614" s="351">
        <v>10</v>
      </c>
      <c r="B614" s="420" t="s">
        <v>34</v>
      </c>
      <c r="C614" s="421">
        <v>44870</v>
      </c>
      <c r="D614" s="414">
        <f>15.5/24</f>
        <v>0.64583333333333337</v>
      </c>
      <c r="E614" s="349" t="s">
        <v>135</v>
      </c>
      <c r="F614" s="420" t="s">
        <v>145</v>
      </c>
      <c r="G614" s="349" t="s">
        <v>64</v>
      </c>
      <c r="H614" s="420" t="s">
        <v>65</v>
      </c>
      <c r="I614" s="349" t="s">
        <v>64</v>
      </c>
      <c r="J614" s="420" t="str">
        <f>F614</f>
        <v>Penn State</v>
      </c>
      <c r="K614" s="379" t="str">
        <f t="shared" si="179"/>
        <v>Indiana</v>
      </c>
      <c r="L614" s="422">
        <v>14</v>
      </c>
      <c r="M614" s="418">
        <v>51</v>
      </c>
      <c r="N614" s="351" t="str">
        <f>J614</f>
        <v>Penn State</v>
      </c>
      <c r="O614" s="423">
        <v>45</v>
      </c>
      <c r="P614" s="436" t="str">
        <f t="shared" si="180"/>
        <v>Indiana</v>
      </c>
      <c r="Q614" s="408">
        <v>14</v>
      </c>
      <c r="R614" s="494" t="str">
        <f t="shared" si="181"/>
        <v>Penn State</v>
      </c>
      <c r="S614" s="494" t="str">
        <f t="shared" si="182"/>
        <v>Indiana</v>
      </c>
      <c r="T614" s="356" t="str">
        <f>J614</f>
        <v>Penn State</v>
      </c>
      <c r="U614" s="665" t="str">
        <f t="shared" si="183"/>
        <v>W</v>
      </c>
      <c r="V614" s="352" t="str">
        <f>UPPER(+F614)</f>
        <v>PENN STATE</v>
      </c>
      <c r="W614" s="424">
        <v>24</v>
      </c>
      <c r="X614" s="352" t="str">
        <f>LOWER(+H614)</f>
        <v>indiana</v>
      </c>
      <c r="Y614" s="425">
        <v>0</v>
      </c>
    </row>
    <row r="615" spans="1:25" ht="16" x14ac:dyDescent="0.8">
      <c r="A615" s="351">
        <v>10</v>
      </c>
      <c r="B615" s="420" t="s">
        <v>34</v>
      </c>
      <c r="C615" s="421">
        <v>44870</v>
      </c>
      <c r="D615" s="414">
        <f>12/24</f>
        <v>0.5</v>
      </c>
      <c r="E615" s="349" t="s">
        <v>256</v>
      </c>
      <c r="F615" s="420" t="s">
        <v>69</v>
      </c>
      <c r="G615" s="349" t="s">
        <v>64</v>
      </c>
      <c r="H615" s="420" t="s">
        <v>141</v>
      </c>
      <c r="I615" s="349" t="s">
        <v>64</v>
      </c>
      <c r="J615" s="420" t="str">
        <f>F615</f>
        <v>Minnesota</v>
      </c>
      <c r="K615" s="379" t="str">
        <f t="shared" si="179"/>
        <v>Nebraska</v>
      </c>
      <c r="L615" s="422">
        <v>16</v>
      </c>
      <c r="M615" s="418">
        <v>46.5</v>
      </c>
      <c r="N615" s="351" t="str">
        <f>J615</f>
        <v>Minnesota</v>
      </c>
      <c r="O615" s="423">
        <v>20</v>
      </c>
      <c r="P615" s="436" t="str">
        <f t="shared" si="180"/>
        <v>Nebraska</v>
      </c>
      <c r="Q615" s="408">
        <v>13</v>
      </c>
      <c r="R615" s="494" t="str">
        <f t="shared" si="181"/>
        <v>Nebraska</v>
      </c>
      <c r="S615" s="494" t="str">
        <f t="shared" si="182"/>
        <v>Minnesota</v>
      </c>
      <c r="T615" s="356" t="str">
        <f>K615</f>
        <v>Nebraska</v>
      </c>
      <c r="U615" s="665" t="str">
        <f t="shared" si="183"/>
        <v>W</v>
      </c>
      <c r="V615" s="352" t="str">
        <f>UPPER(+F615)</f>
        <v>MINNESOTA</v>
      </c>
      <c r="W615" s="424">
        <v>30</v>
      </c>
      <c r="X615" s="352" t="str">
        <f>LOWER(+H615)</f>
        <v>nebraska</v>
      </c>
      <c r="Y615" s="425">
        <v>23</v>
      </c>
    </row>
    <row r="616" spans="1:25" ht="16" x14ac:dyDescent="0.8">
      <c r="A616" s="351">
        <v>10</v>
      </c>
      <c r="B616" s="420" t="s">
        <v>34</v>
      </c>
      <c r="C616" s="421">
        <v>44870</v>
      </c>
      <c r="D616" s="414">
        <f>12/24</f>
        <v>0.5</v>
      </c>
      <c r="E616" s="349" t="s">
        <v>135</v>
      </c>
      <c r="F616" s="420" t="s">
        <v>63</v>
      </c>
      <c r="G616" s="349" t="s">
        <v>64</v>
      </c>
      <c r="H616" s="420" t="s">
        <v>143</v>
      </c>
      <c r="I616" s="349" t="s">
        <v>64</v>
      </c>
      <c r="J616" s="420" t="str">
        <f>F616</f>
        <v>Ohio State</v>
      </c>
      <c r="K616" s="379" t="str">
        <f t="shared" si="179"/>
        <v>Northwestern</v>
      </c>
      <c r="L616" s="422">
        <v>38.5</v>
      </c>
      <c r="M616" s="418">
        <v>61.5</v>
      </c>
      <c r="N616" s="351" t="str">
        <f>J616</f>
        <v>Ohio State</v>
      </c>
      <c r="O616" s="423">
        <v>21</v>
      </c>
      <c r="P616" s="436" t="str">
        <f t="shared" si="180"/>
        <v>Northwestern</v>
      </c>
      <c r="Q616" s="408">
        <v>7</v>
      </c>
      <c r="R616" s="494" t="str">
        <f t="shared" si="181"/>
        <v>Northwestern</v>
      </c>
      <c r="S616" s="494" t="str">
        <f t="shared" si="182"/>
        <v>Ohio State</v>
      </c>
      <c r="T616" s="356" t="str">
        <f>J616</f>
        <v>Ohio State</v>
      </c>
      <c r="U616" s="665" t="str">
        <f t="shared" si="183"/>
        <v>L</v>
      </c>
      <c r="W616" s="424"/>
      <c r="X616" s="352" t="s">
        <v>404</v>
      </c>
      <c r="Y616" s="425"/>
    </row>
    <row r="617" spans="1:25" ht="16" x14ac:dyDescent="0.8">
      <c r="A617" s="351">
        <v>10</v>
      </c>
      <c r="B617" s="420" t="s">
        <v>34</v>
      </c>
      <c r="C617" s="421">
        <v>44870</v>
      </c>
      <c r="D617" s="414">
        <f>12/24</f>
        <v>0.5</v>
      </c>
      <c r="E617" s="349" t="s">
        <v>70</v>
      </c>
      <c r="F617" s="420" t="s">
        <v>134</v>
      </c>
      <c r="G617" s="349" t="s">
        <v>64</v>
      </c>
      <c r="H617" s="420" t="s">
        <v>119</v>
      </c>
      <c r="I617" s="349" t="s">
        <v>64</v>
      </c>
      <c r="J617" s="420" t="str">
        <f>H617</f>
        <v>Purdue</v>
      </c>
      <c r="K617" s="379" t="str">
        <f t="shared" si="179"/>
        <v>Iowa</v>
      </c>
      <c r="L617" s="422">
        <v>4.5</v>
      </c>
      <c r="M617" s="418">
        <v>41.5</v>
      </c>
      <c r="N617" s="436" t="str">
        <f>K617</f>
        <v>Iowa</v>
      </c>
      <c r="O617" s="423">
        <v>24</v>
      </c>
      <c r="P617" s="436" t="str">
        <f t="shared" si="180"/>
        <v>Purdue</v>
      </c>
      <c r="Q617" s="408">
        <v>3</v>
      </c>
      <c r="R617" s="494" t="str">
        <f t="shared" si="181"/>
        <v>Iowa</v>
      </c>
      <c r="S617" s="494" t="str">
        <f t="shared" si="182"/>
        <v>Purdue</v>
      </c>
      <c r="T617" s="356" t="str">
        <f>K617</f>
        <v>Iowa</v>
      </c>
      <c r="U617" s="665" t="str">
        <f t="shared" si="183"/>
        <v>W</v>
      </c>
      <c r="V617" s="352" t="str">
        <f>LOWER(+H617)</f>
        <v>purdue</v>
      </c>
      <c r="W617" s="424">
        <v>24</v>
      </c>
      <c r="X617" s="352" t="str">
        <f>UPPER(+F617)</f>
        <v>IOWA</v>
      </c>
      <c r="Y617" s="425">
        <v>7</v>
      </c>
    </row>
    <row r="618" spans="1:25" ht="16" x14ac:dyDescent="0.8">
      <c r="A618" s="351">
        <v>10</v>
      </c>
      <c r="B618" s="420" t="s">
        <v>34</v>
      </c>
      <c r="C618" s="421">
        <v>44870</v>
      </c>
      <c r="D618" s="414">
        <f>19.5/24</f>
        <v>0.8125</v>
      </c>
      <c r="E618" s="349" t="s">
        <v>66</v>
      </c>
      <c r="F618" s="420" t="s">
        <v>137</v>
      </c>
      <c r="G618" s="349" t="s">
        <v>64</v>
      </c>
      <c r="H618" s="420" t="s">
        <v>92</v>
      </c>
      <c r="I618" s="349" t="s">
        <v>64</v>
      </c>
      <c r="J618" s="420" t="str">
        <f>F618</f>
        <v>Michigan</v>
      </c>
      <c r="K618" s="379" t="str">
        <f t="shared" si="179"/>
        <v>Rutgers</v>
      </c>
      <c r="L618" s="422">
        <v>26</v>
      </c>
      <c r="M618" s="418">
        <v>45.5</v>
      </c>
      <c r="N618" s="351" t="str">
        <f>J618</f>
        <v>Michigan</v>
      </c>
      <c r="O618" s="423">
        <v>52</v>
      </c>
      <c r="P618" s="436" t="str">
        <f t="shared" si="180"/>
        <v>Rutgers</v>
      </c>
      <c r="Q618" s="408">
        <v>17</v>
      </c>
      <c r="R618" s="494" t="str">
        <f t="shared" si="181"/>
        <v>Michigan</v>
      </c>
      <c r="S618" s="494" t="str">
        <f t="shared" si="182"/>
        <v>Rutgers</v>
      </c>
      <c r="T618" s="356" t="str">
        <f>K618</f>
        <v>Rutgers</v>
      </c>
      <c r="U618" s="665" t="str">
        <f t="shared" si="183"/>
        <v>L</v>
      </c>
      <c r="V618" s="352" t="str">
        <f>UPPER(+F618)</f>
        <v>MICHIGAN</v>
      </c>
      <c r="W618" s="424">
        <v>20</v>
      </c>
      <c r="X618" s="352" t="str">
        <f>LOWER(+H618)</f>
        <v>rutgers</v>
      </c>
      <c r="Y618" s="425">
        <v>13</v>
      </c>
    </row>
    <row r="619" spans="1:25" ht="16" x14ac:dyDescent="0.8">
      <c r="A619" s="351">
        <v>10</v>
      </c>
      <c r="B619" s="420" t="s">
        <v>34</v>
      </c>
      <c r="C619" s="421">
        <v>44870</v>
      </c>
      <c r="D619" s="414">
        <f>12/24</f>
        <v>0.5</v>
      </c>
      <c r="E619" s="349" t="s">
        <v>66</v>
      </c>
      <c r="F619" s="420" t="s">
        <v>156</v>
      </c>
      <c r="G619" s="349" t="s">
        <v>64</v>
      </c>
      <c r="H619" s="420" t="s">
        <v>94</v>
      </c>
      <c r="I619" s="349" t="s">
        <v>64</v>
      </c>
      <c r="J619" s="420" t="str">
        <f>H619</f>
        <v>Wisconsin</v>
      </c>
      <c r="K619" s="379" t="str">
        <f t="shared" si="179"/>
        <v>Maryland</v>
      </c>
      <c r="L619" s="422">
        <v>5</v>
      </c>
      <c r="M619" s="418">
        <v>52</v>
      </c>
      <c r="N619" s="351" t="str">
        <f>J619</f>
        <v>Wisconsin</v>
      </c>
      <c r="O619" s="423">
        <v>23</v>
      </c>
      <c r="P619" s="436" t="str">
        <f t="shared" si="180"/>
        <v>Maryland</v>
      </c>
      <c r="Q619" s="408">
        <v>10</v>
      </c>
      <c r="R619" s="494" t="str">
        <f t="shared" si="181"/>
        <v>Wisconsin</v>
      </c>
      <c r="S619" s="494" t="str">
        <f t="shared" si="182"/>
        <v>Maryland</v>
      </c>
      <c r="T619" s="356" t="str">
        <f>J619</f>
        <v>Wisconsin</v>
      </c>
      <c r="U619" s="665" t="str">
        <f t="shared" si="183"/>
        <v>W</v>
      </c>
      <c r="W619" s="424"/>
      <c r="X619" s="352" t="s">
        <v>404</v>
      </c>
      <c r="Y619" s="425"/>
    </row>
    <row r="620" spans="1:25" ht="16" x14ac:dyDescent="0.8">
      <c r="A620" s="351">
        <v>10</v>
      </c>
      <c r="B620" s="420" t="s">
        <v>34</v>
      </c>
      <c r="C620" s="421">
        <v>44870</v>
      </c>
      <c r="D620" s="414">
        <f>15.5/24</f>
        <v>0.64583333333333337</v>
      </c>
      <c r="E620" s="349"/>
      <c r="F620" s="420" t="s">
        <v>222</v>
      </c>
      <c r="G620" s="349" t="s">
        <v>73</v>
      </c>
      <c r="H620" s="420" t="s">
        <v>148</v>
      </c>
      <c r="I620" s="349" t="s">
        <v>73</v>
      </c>
      <c r="J620" s="420" t="str">
        <f>H620</f>
        <v>Iowa State</v>
      </c>
      <c r="K620" s="379" t="str">
        <f t="shared" si="179"/>
        <v>West Virginia</v>
      </c>
      <c r="L620" s="422">
        <v>7</v>
      </c>
      <c r="M620" s="418">
        <v>50.5</v>
      </c>
      <c r="N620" s="351" t="str">
        <f>J620</f>
        <v>Iowa State</v>
      </c>
      <c r="O620" s="423">
        <v>31</v>
      </c>
      <c r="P620" s="436" t="str">
        <f t="shared" si="180"/>
        <v>West Virginia</v>
      </c>
      <c r="Q620" s="408">
        <v>14</v>
      </c>
      <c r="R620" s="494" t="str">
        <f t="shared" si="181"/>
        <v>Iowa State</v>
      </c>
      <c r="S620" s="494" t="str">
        <f t="shared" si="182"/>
        <v>West Virginia</v>
      </c>
      <c r="T620" s="356" t="str">
        <f>J620</f>
        <v>Iowa State</v>
      </c>
      <c r="U620" s="665" t="str">
        <f t="shared" si="183"/>
        <v>W</v>
      </c>
      <c r="V620" s="352" t="str">
        <f>UPPER(+F620)</f>
        <v>WEST VIRGINIA</v>
      </c>
      <c r="W620" s="424">
        <v>38</v>
      </c>
      <c r="X620" s="352" t="str">
        <f>LOWER(+H620)</f>
        <v>iowa state</v>
      </c>
      <c r="Y620" s="425">
        <v>31</v>
      </c>
    </row>
    <row r="621" spans="1:25" ht="16" x14ac:dyDescent="0.8">
      <c r="A621" s="351">
        <v>10</v>
      </c>
      <c r="B621" s="420" t="s">
        <v>34</v>
      </c>
      <c r="C621" s="421">
        <v>44870</v>
      </c>
      <c r="D621" s="414">
        <f>15.5/24</f>
        <v>0.64583333333333337</v>
      </c>
      <c r="E621" s="349" t="s">
        <v>70</v>
      </c>
      <c r="F621" s="420" t="s">
        <v>72</v>
      </c>
      <c r="G621" s="349" t="s">
        <v>73</v>
      </c>
      <c r="H621" s="420" t="s">
        <v>150</v>
      </c>
      <c r="I621" s="349" t="s">
        <v>73</v>
      </c>
      <c r="J621" s="420" t="str">
        <f>F621</f>
        <v>Oklahoma State</v>
      </c>
      <c r="K621" s="379" t="str">
        <f t="shared" si="179"/>
        <v>Kansas</v>
      </c>
      <c r="L621" s="422">
        <v>2</v>
      </c>
      <c r="M621" s="418">
        <v>65.5</v>
      </c>
      <c r="N621" s="436" t="str">
        <f>K621</f>
        <v>Kansas</v>
      </c>
      <c r="O621" s="423">
        <v>37</v>
      </c>
      <c r="P621" s="436" t="str">
        <f t="shared" si="180"/>
        <v>Oklahoma State</v>
      </c>
      <c r="Q621" s="408">
        <v>16</v>
      </c>
      <c r="R621" s="494" t="str">
        <f t="shared" si="181"/>
        <v>Kansas</v>
      </c>
      <c r="S621" s="494" t="str">
        <f t="shared" si="182"/>
        <v>Oklahoma State</v>
      </c>
      <c r="T621" s="356" t="str">
        <f>K621</f>
        <v>Kansas</v>
      </c>
      <c r="U621" s="665" t="str">
        <f t="shared" si="183"/>
        <v>W</v>
      </c>
      <c r="V621" s="352" t="str">
        <f>UPPER(+F621)</f>
        <v>OKLAHOMA STATE</v>
      </c>
      <c r="W621" s="424">
        <v>55</v>
      </c>
      <c r="X621" s="352" t="str">
        <f>LOWER(+H621)</f>
        <v>kansas</v>
      </c>
      <c r="Y621" s="425">
        <v>3</v>
      </c>
    </row>
    <row r="622" spans="1:25" ht="16" x14ac:dyDescent="0.8">
      <c r="A622" s="351">
        <v>10</v>
      </c>
      <c r="B622" s="420" t="s">
        <v>34</v>
      </c>
      <c r="C622" s="421">
        <v>44870</v>
      </c>
      <c r="D622" s="414">
        <f>19/24</f>
        <v>0.79166666666666663</v>
      </c>
      <c r="E622" s="349" t="s">
        <v>70</v>
      </c>
      <c r="F622" s="420" t="s">
        <v>157</v>
      </c>
      <c r="G622" s="349" t="s">
        <v>73</v>
      </c>
      <c r="H622" s="420" t="s">
        <v>152</v>
      </c>
      <c r="I622" s="349" t="s">
        <v>73</v>
      </c>
      <c r="J622" s="420" t="str">
        <f>F622</f>
        <v>Texas</v>
      </c>
      <c r="K622" s="379" t="str">
        <f t="shared" si="179"/>
        <v>Kansas State</v>
      </c>
      <c r="L622" s="422">
        <v>2.5</v>
      </c>
      <c r="M622" s="418">
        <v>54</v>
      </c>
      <c r="N622" s="436" t="str">
        <f>J622</f>
        <v>Texas</v>
      </c>
      <c r="O622" s="423">
        <v>34</v>
      </c>
      <c r="P622" s="436" t="str">
        <f t="shared" si="180"/>
        <v>Kansas State</v>
      </c>
      <c r="Q622" s="408">
        <v>27</v>
      </c>
      <c r="R622" s="494" t="str">
        <f t="shared" si="181"/>
        <v>Texas</v>
      </c>
      <c r="S622" s="494" t="str">
        <f t="shared" si="182"/>
        <v>Kansas State</v>
      </c>
      <c r="T622" s="356" t="str">
        <f>J622</f>
        <v>Texas</v>
      </c>
      <c r="U622" s="665" t="str">
        <f t="shared" si="183"/>
        <v>W</v>
      </c>
      <c r="V622" s="352" t="str">
        <f>UPPER(+F622)</f>
        <v>TEXAS</v>
      </c>
      <c r="W622" s="424">
        <v>19</v>
      </c>
      <c r="X622" s="352" t="str">
        <f>LOWER(+H622)</f>
        <v>kansas state</v>
      </c>
      <c r="Y622" s="425">
        <v>14</v>
      </c>
    </row>
    <row r="623" spans="1:25" ht="16" x14ac:dyDescent="0.8">
      <c r="A623" s="351">
        <v>10</v>
      </c>
      <c r="B623" s="420" t="s">
        <v>34</v>
      </c>
      <c r="C623" s="421">
        <v>44870</v>
      </c>
      <c r="D623" s="414">
        <f>15/24</f>
        <v>0.625</v>
      </c>
      <c r="E623" s="349"/>
      <c r="F623" s="420" t="s">
        <v>146</v>
      </c>
      <c r="G623" s="349" t="s">
        <v>73</v>
      </c>
      <c r="H623" s="420" t="s">
        <v>154</v>
      </c>
      <c r="I623" s="349" t="s">
        <v>73</v>
      </c>
      <c r="J623" s="420" t="str">
        <f>H623</f>
        <v>Oklahoma</v>
      </c>
      <c r="K623" s="379" t="str">
        <f t="shared" si="179"/>
        <v>Baylor</v>
      </c>
      <c r="L623" s="422">
        <v>3.5</v>
      </c>
      <c r="M623" s="418">
        <v>57.5</v>
      </c>
      <c r="N623" s="436" t="str">
        <f>K623</f>
        <v>Baylor</v>
      </c>
      <c r="O623" s="423">
        <v>38</v>
      </c>
      <c r="P623" s="436" t="str">
        <f t="shared" si="180"/>
        <v>Oklahoma</v>
      </c>
      <c r="Q623" s="408">
        <v>35</v>
      </c>
      <c r="R623" s="494" t="str">
        <f t="shared" si="181"/>
        <v>Baylor</v>
      </c>
      <c r="S623" s="494" t="str">
        <f t="shared" si="182"/>
        <v>Oklahoma</v>
      </c>
      <c r="T623" s="356" t="str">
        <f>J623</f>
        <v>Oklahoma</v>
      </c>
      <c r="U623" s="665" t="str">
        <f t="shared" si="183"/>
        <v>L</v>
      </c>
      <c r="V623" s="352" t="str">
        <f>UPPER(+F623)</f>
        <v>BAYLOR</v>
      </c>
      <c r="W623" s="424">
        <v>27</v>
      </c>
      <c r="X623" s="352" t="str">
        <f>LOWER(+H623)</f>
        <v>oklahoma</v>
      </c>
      <c r="Y623" s="425">
        <v>14</v>
      </c>
    </row>
    <row r="624" spans="1:25" ht="16" x14ac:dyDescent="0.8">
      <c r="A624" s="351">
        <v>10</v>
      </c>
      <c r="B624" s="420" t="s">
        <v>34</v>
      </c>
      <c r="C624" s="421">
        <v>44870</v>
      </c>
      <c r="D624" s="414">
        <f>12/24</f>
        <v>0.5</v>
      </c>
      <c r="E624" s="349" t="s">
        <v>118</v>
      </c>
      <c r="F624" s="420" t="s">
        <v>159</v>
      </c>
      <c r="G624" s="349" t="s">
        <v>73</v>
      </c>
      <c r="H624" s="420" t="s">
        <v>155</v>
      </c>
      <c r="I624" s="349" t="s">
        <v>73</v>
      </c>
      <c r="J624" s="420" t="str">
        <f>H624</f>
        <v>TCU</v>
      </c>
      <c r="K624" s="379" t="str">
        <f t="shared" si="179"/>
        <v>Texas Tech</v>
      </c>
      <c r="L624" s="422">
        <v>9.5</v>
      </c>
      <c r="M624" s="418">
        <v>69.5</v>
      </c>
      <c r="N624" s="351" t="str">
        <f>J624</f>
        <v>TCU</v>
      </c>
      <c r="O624" s="423">
        <v>34</v>
      </c>
      <c r="P624" s="436" t="str">
        <f t="shared" si="180"/>
        <v>Texas Tech</v>
      </c>
      <c r="Q624" s="408">
        <v>24</v>
      </c>
      <c r="R624" s="494" t="str">
        <f t="shared" si="181"/>
        <v>TCU</v>
      </c>
      <c r="S624" s="494" t="str">
        <f t="shared" si="182"/>
        <v>Texas Tech</v>
      </c>
      <c r="T624" s="356" t="str">
        <f>K624</f>
        <v>Texas Tech</v>
      </c>
      <c r="U624" s="665" t="str">
        <f t="shared" si="183"/>
        <v>L</v>
      </c>
      <c r="V624" s="352" t="str">
        <f>LOWER(+H624)</f>
        <v>tcu</v>
      </c>
      <c r="W624" s="424">
        <v>52</v>
      </c>
      <c r="X624" s="352" t="str">
        <f>UPPER(+F624)</f>
        <v>TEXAS TECH</v>
      </c>
      <c r="Y624" s="425">
        <v>31</v>
      </c>
    </row>
    <row r="625" spans="1:25" ht="16" x14ac:dyDescent="0.8">
      <c r="A625" s="351">
        <v>10</v>
      </c>
      <c r="B625" s="420" t="s">
        <v>34</v>
      </c>
      <c r="C625" s="421">
        <v>44870</v>
      </c>
      <c r="D625" s="414">
        <f>15/24</f>
        <v>0.625</v>
      </c>
      <c r="E625" s="349"/>
      <c r="F625" s="420" t="s">
        <v>165</v>
      </c>
      <c r="G625" s="349" t="s">
        <v>39</v>
      </c>
      <c r="H625" s="420" t="s">
        <v>161</v>
      </c>
      <c r="I625" s="349" t="s">
        <v>39</v>
      </c>
      <c r="J625" s="420" t="str">
        <f>F625</f>
        <v>Middle Tenn St</v>
      </c>
      <c r="K625" s="379" t="str">
        <f t="shared" si="179"/>
        <v>Louisiana Tech</v>
      </c>
      <c r="L625" s="422">
        <v>2.5</v>
      </c>
      <c r="M625" s="418">
        <v>63</v>
      </c>
      <c r="N625" s="436" t="str">
        <f>K625</f>
        <v>Louisiana Tech</v>
      </c>
      <c r="O625" s="423">
        <v>40</v>
      </c>
      <c r="P625" s="436" t="str">
        <f t="shared" si="180"/>
        <v>Middle Tenn St</v>
      </c>
      <c r="Q625" s="408">
        <v>24</v>
      </c>
      <c r="R625" s="494" t="str">
        <f t="shared" si="181"/>
        <v>Louisiana Tech</v>
      </c>
      <c r="S625" s="494" t="str">
        <f t="shared" si="182"/>
        <v>Middle Tenn St</v>
      </c>
      <c r="T625" s="356" t="str">
        <f>J625</f>
        <v>Middle Tenn St</v>
      </c>
      <c r="U625" s="665" t="str">
        <f t="shared" si="183"/>
        <v>L</v>
      </c>
      <c r="W625" s="424"/>
      <c r="X625" s="352" t="s">
        <v>404</v>
      </c>
      <c r="Y625" s="425"/>
    </row>
    <row r="626" spans="1:25" ht="16" x14ac:dyDescent="0.8">
      <c r="A626" s="351">
        <v>10</v>
      </c>
      <c r="B626" s="420" t="s">
        <v>34</v>
      </c>
      <c r="C626" s="421">
        <v>44870</v>
      </c>
      <c r="D626" s="414">
        <f>16/24</f>
        <v>0.66666666666666663</v>
      </c>
      <c r="E626" s="349"/>
      <c r="F626" s="420" t="s">
        <v>105</v>
      </c>
      <c r="G626" s="349" t="s">
        <v>39</v>
      </c>
      <c r="H626" s="420" t="s">
        <v>167</v>
      </c>
      <c r="I626" s="349" t="s">
        <v>39</v>
      </c>
      <c r="J626" s="420" t="str">
        <f>H626</f>
        <v>North Texas</v>
      </c>
      <c r="K626" s="379" t="str">
        <f t="shared" si="179"/>
        <v>Florida Intl</v>
      </c>
      <c r="L626" s="422">
        <v>21</v>
      </c>
      <c r="M626" s="418">
        <v>62</v>
      </c>
      <c r="N626" s="351" t="str">
        <f>J626</f>
        <v>North Texas</v>
      </c>
      <c r="O626" s="423">
        <v>52</v>
      </c>
      <c r="P626" s="436" t="str">
        <f t="shared" si="180"/>
        <v>Florida Intl</v>
      </c>
      <c r="Q626" s="408">
        <v>14</v>
      </c>
      <c r="R626" s="494" t="str">
        <f t="shared" si="181"/>
        <v>North Texas</v>
      </c>
      <c r="S626" s="494" t="str">
        <f t="shared" si="182"/>
        <v>Florida Intl</v>
      </c>
      <c r="T626" s="356" t="str">
        <f>J626</f>
        <v>North Texas</v>
      </c>
      <c r="U626" s="665" t="str">
        <f t="shared" si="183"/>
        <v>W</v>
      </c>
      <c r="V626" s="352" t="str">
        <f>LOWER(+H626)</f>
        <v>north texas</v>
      </c>
      <c r="W626" s="424">
        <v>49</v>
      </c>
      <c r="X626" s="352" t="str">
        <f>UPPER(+F626)</f>
        <v>FLORIDA INTL</v>
      </c>
      <c r="Y626" s="425">
        <v>7</v>
      </c>
    </row>
    <row r="627" spans="1:25" ht="16" x14ac:dyDescent="0.8">
      <c r="A627" s="351">
        <v>10</v>
      </c>
      <c r="B627" s="420" t="s">
        <v>34</v>
      </c>
      <c r="C627" s="421">
        <v>44870</v>
      </c>
      <c r="D627" s="414">
        <f>15.5/24</f>
        <v>0.64583333333333337</v>
      </c>
      <c r="E627" s="349"/>
      <c r="F627" s="420" t="s">
        <v>175</v>
      </c>
      <c r="G627" s="349" t="s">
        <v>39</v>
      </c>
      <c r="H627" s="420" t="s">
        <v>173</v>
      </c>
      <c r="I627" s="349" t="s">
        <v>39</v>
      </c>
      <c r="J627" s="420" t="str">
        <f>F627</f>
        <v>UT San Antonio</v>
      </c>
      <c r="K627" s="379" t="str">
        <f t="shared" si="179"/>
        <v>UAB</v>
      </c>
      <c r="L627" s="422">
        <v>1.5</v>
      </c>
      <c r="M627" s="418">
        <v>52</v>
      </c>
      <c r="N627" s="351" t="str">
        <f>J627</f>
        <v>UT San Antonio</v>
      </c>
      <c r="O627" s="423">
        <v>44</v>
      </c>
      <c r="P627" s="436" t="str">
        <f t="shared" si="180"/>
        <v>UAB</v>
      </c>
      <c r="Q627" s="408">
        <v>38</v>
      </c>
      <c r="R627" s="494" t="str">
        <f t="shared" si="181"/>
        <v>UT San Antonio</v>
      </c>
      <c r="S627" s="494" t="str">
        <f t="shared" si="182"/>
        <v>UAB</v>
      </c>
      <c r="T627" s="356" t="str">
        <f>K627</f>
        <v>UAB</v>
      </c>
      <c r="U627" s="665" t="str">
        <f t="shared" si="183"/>
        <v>L</v>
      </c>
      <c r="V627" s="352" t="str">
        <f>UPPER(+F627)</f>
        <v>UT SAN ANTONIO</v>
      </c>
      <c r="W627" s="424">
        <v>34</v>
      </c>
      <c r="X627" s="352" t="str">
        <f>LOWER(+H627)</f>
        <v>uab</v>
      </c>
      <c r="Y627" s="425">
        <v>31</v>
      </c>
    </row>
    <row r="628" spans="1:25" ht="16" x14ac:dyDescent="0.8">
      <c r="A628" s="351">
        <v>10</v>
      </c>
      <c r="B628" s="420" t="s">
        <v>34</v>
      </c>
      <c r="C628" s="421">
        <v>44870</v>
      </c>
      <c r="D628" s="414">
        <f>12/24</f>
        <v>0.5</v>
      </c>
      <c r="E628" s="349" t="s">
        <v>445</v>
      </c>
      <c r="F628" s="420" t="s">
        <v>177</v>
      </c>
      <c r="G628" s="349" t="s">
        <v>39</v>
      </c>
      <c r="H628" s="420" t="s">
        <v>100</v>
      </c>
      <c r="I628" s="349" t="s">
        <v>39</v>
      </c>
      <c r="J628" s="420" t="str">
        <f>F628</f>
        <v>Western Kentucky</v>
      </c>
      <c r="K628" s="379" t="str">
        <f t="shared" si="179"/>
        <v>UNC Charlotte</v>
      </c>
      <c r="L628" s="422">
        <v>16.5</v>
      </c>
      <c r="M628" s="418">
        <v>72</v>
      </c>
      <c r="N628" s="351" t="str">
        <f>J628</f>
        <v>Western Kentucky</v>
      </c>
      <c r="O628" s="423">
        <v>59</v>
      </c>
      <c r="P628" s="436" t="str">
        <f t="shared" si="180"/>
        <v>UNC Charlotte</v>
      </c>
      <c r="Q628" s="408">
        <v>7</v>
      </c>
      <c r="R628" s="494" t="str">
        <f t="shared" si="181"/>
        <v>Western Kentucky</v>
      </c>
      <c r="S628" s="494" t="str">
        <f t="shared" si="182"/>
        <v>UNC Charlotte</v>
      </c>
      <c r="T628" s="356" t="str">
        <f>K628</f>
        <v>UNC Charlotte</v>
      </c>
      <c r="U628" s="665" t="str">
        <f t="shared" si="183"/>
        <v>L</v>
      </c>
      <c r="V628" s="352" t="str">
        <f>UPPER(+F628)</f>
        <v>WESTERN KENTUCKY</v>
      </c>
      <c r="W628" s="424">
        <v>45</v>
      </c>
      <c r="X628" s="352" t="str">
        <f>LOWER(+H628)</f>
        <v>unc charlotte</v>
      </c>
      <c r="Y628" s="425">
        <v>13</v>
      </c>
    </row>
    <row r="629" spans="1:25" ht="16" x14ac:dyDescent="0.8">
      <c r="A629" s="351">
        <v>10</v>
      </c>
      <c r="B629" s="420" t="s">
        <v>34</v>
      </c>
      <c r="C629" s="421">
        <v>44870</v>
      </c>
      <c r="D629" s="414">
        <f>11.5/24</f>
        <v>0.47916666666666669</v>
      </c>
      <c r="E629" s="349" t="s">
        <v>303</v>
      </c>
      <c r="F629" s="420" t="s">
        <v>184</v>
      </c>
      <c r="G629" s="349" t="s">
        <v>45</v>
      </c>
      <c r="H629" s="420" t="s">
        <v>99</v>
      </c>
      <c r="I629" s="349" t="s">
        <v>43</v>
      </c>
      <c r="J629" s="420" t="str">
        <f>F629</f>
        <v>Air Force</v>
      </c>
      <c r="K629" s="379" t="str">
        <f t="shared" si="179"/>
        <v>Army</v>
      </c>
      <c r="L629" s="422">
        <v>7</v>
      </c>
      <c r="M629" s="418">
        <v>40</v>
      </c>
      <c r="N629" s="351" t="str">
        <f>J629</f>
        <v>Air Force</v>
      </c>
      <c r="O629" s="423">
        <v>13</v>
      </c>
      <c r="P629" s="436" t="str">
        <f t="shared" si="180"/>
        <v>Army</v>
      </c>
      <c r="Q629" s="408">
        <v>7</v>
      </c>
      <c r="R629" s="494" t="str">
        <f t="shared" si="181"/>
        <v>Army</v>
      </c>
      <c r="S629" s="494" t="str">
        <f t="shared" si="182"/>
        <v>Air Force</v>
      </c>
      <c r="T629" s="356" t="str">
        <f>K629</f>
        <v>Army</v>
      </c>
      <c r="U629" s="665" t="str">
        <f t="shared" si="183"/>
        <v>W</v>
      </c>
      <c r="V629" s="352" t="str">
        <f>LOWER(+H629)</f>
        <v>army</v>
      </c>
      <c r="W629" s="424">
        <v>21</v>
      </c>
      <c r="X629" s="352" t="str">
        <f>UPPER(+F629)</f>
        <v>AIR FORCE</v>
      </c>
      <c r="Y629" s="425">
        <v>14</v>
      </c>
    </row>
    <row r="630" spans="1:25" ht="16" x14ac:dyDescent="0.8">
      <c r="A630" s="351">
        <v>10</v>
      </c>
      <c r="B630" s="420" t="s">
        <v>34</v>
      </c>
      <c r="C630" s="421">
        <v>44870</v>
      </c>
      <c r="D630" s="414">
        <f>19.5/24</f>
        <v>0.8125</v>
      </c>
      <c r="E630" s="349" t="s">
        <v>179</v>
      </c>
      <c r="F630" s="420" t="s">
        <v>114</v>
      </c>
      <c r="G630" s="349" t="s">
        <v>61</v>
      </c>
      <c r="H630" s="420" t="s">
        <v>181</v>
      </c>
      <c r="I630" s="349" t="s">
        <v>43</v>
      </c>
      <c r="J630" s="420" t="str">
        <f>F630</f>
        <v>Clemson</v>
      </c>
      <c r="K630" s="379" t="str">
        <f t="shared" si="179"/>
        <v>Notre Dame</v>
      </c>
      <c r="L630" s="422">
        <v>4</v>
      </c>
      <c r="M630" s="418">
        <v>44.5</v>
      </c>
      <c r="N630" s="436" t="str">
        <f>K630</f>
        <v>Notre Dame</v>
      </c>
      <c r="O630" s="423">
        <v>35</v>
      </c>
      <c r="P630" s="436" t="str">
        <f t="shared" si="180"/>
        <v>Clemson</v>
      </c>
      <c r="Q630" s="408">
        <v>14</v>
      </c>
      <c r="R630" s="494" t="str">
        <f t="shared" si="181"/>
        <v>Notre Dame</v>
      </c>
      <c r="S630" s="494" t="str">
        <f t="shared" si="182"/>
        <v>Clemson</v>
      </c>
      <c r="T630" s="356" t="str">
        <f>J630</f>
        <v>Clemson</v>
      </c>
      <c r="U630" s="665" t="str">
        <f t="shared" si="183"/>
        <v>L</v>
      </c>
      <c r="W630" s="424"/>
      <c r="X630" s="352" t="s">
        <v>404</v>
      </c>
      <c r="Y630" s="425"/>
    </row>
    <row r="631" spans="1:25" ht="16" x14ac:dyDescent="0.8">
      <c r="A631" s="351">
        <v>10</v>
      </c>
      <c r="B631" s="420" t="s">
        <v>34</v>
      </c>
      <c r="C631" s="421">
        <v>44870</v>
      </c>
      <c r="D631" s="414">
        <f>19/24</f>
        <v>0.79166666666666663</v>
      </c>
      <c r="E631" s="349" t="s">
        <v>367</v>
      </c>
      <c r="F631" s="420" t="s">
        <v>42</v>
      </c>
      <c r="G631" s="349" t="s">
        <v>43</v>
      </c>
      <c r="H631" s="420" t="s">
        <v>186</v>
      </c>
      <c r="I631" s="349" t="s">
        <v>45</v>
      </c>
      <c r="J631" s="420" t="str">
        <f>H631</f>
        <v>Boise State</v>
      </c>
      <c r="K631" s="379" t="str">
        <f t="shared" ref="K631:K652" si="189">IF(+J631=H631,F631,H631)</f>
        <v>BYU</v>
      </c>
      <c r="L631" s="422">
        <v>7.5</v>
      </c>
      <c r="M631" s="418">
        <v>55.5</v>
      </c>
      <c r="N631" s="436" t="str">
        <f>K631</f>
        <v>BYU</v>
      </c>
      <c r="O631" s="423">
        <v>31</v>
      </c>
      <c r="P631" s="436" t="str">
        <f t="shared" ref="P631:P652" si="190">IF(+N631=H631,F631,H631)</f>
        <v>Boise State</v>
      </c>
      <c r="Q631" s="408">
        <v>28</v>
      </c>
      <c r="R631" s="494" t="str">
        <f t="shared" ref="R631:R652" si="191">IF(+N631=K631,+N631,IF(+O631-Q631&lt;L631,+K631,+J631))</f>
        <v>BYU</v>
      </c>
      <c r="S631" s="494" t="str">
        <f t="shared" ref="S631:S652" si="192">IF(+R631=J631,+K631,+J631)</f>
        <v>Boise State</v>
      </c>
      <c r="T631" s="356" t="str">
        <f>J631</f>
        <v>Boise State</v>
      </c>
      <c r="U631" s="665" t="str">
        <f t="shared" ref="U631:U652" si="193">IF($N631=$J631,IF($O631-$Q631=$L631,"T",IF($R631=T631,"W","L")),IF($R631=T631,"W","L"))</f>
        <v>L</v>
      </c>
      <c r="V631" s="352" t="str">
        <f>LOWER(+H631)</f>
        <v>boise state</v>
      </c>
      <c r="W631" s="424">
        <v>26</v>
      </c>
      <c r="X631" s="352" t="str">
        <f>UPPER(+F631)</f>
        <v>BYU</v>
      </c>
      <c r="Y631" s="425">
        <v>17</v>
      </c>
    </row>
    <row r="632" spans="1:25" ht="16" x14ac:dyDescent="0.8">
      <c r="A632" s="351">
        <v>10</v>
      </c>
      <c r="B632" s="420" t="s">
        <v>34</v>
      </c>
      <c r="C632" s="421">
        <v>44870</v>
      </c>
      <c r="D632" s="414">
        <f>22.5/24</f>
        <v>0.9375</v>
      </c>
      <c r="E632" s="349" t="s">
        <v>367</v>
      </c>
      <c r="F632" s="420" t="s">
        <v>44</v>
      </c>
      <c r="G632" s="349" t="s">
        <v>45</v>
      </c>
      <c r="H632" s="420" t="s">
        <v>188</v>
      </c>
      <c r="I632" s="349" t="s">
        <v>45</v>
      </c>
      <c r="J632" s="420" t="str">
        <f>H632</f>
        <v>Fresno State</v>
      </c>
      <c r="K632" s="379" t="str">
        <f t="shared" si="189"/>
        <v>Hawaii</v>
      </c>
      <c r="L632" s="422">
        <v>24.5</v>
      </c>
      <c r="M632" s="418">
        <v>61.5</v>
      </c>
      <c r="N632" s="351" t="str">
        <f t="shared" ref="N632:N642" si="194">J632</f>
        <v>Fresno State</v>
      </c>
      <c r="O632" s="423">
        <v>55</v>
      </c>
      <c r="P632" s="436" t="str">
        <f t="shared" si="190"/>
        <v>Hawaii</v>
      </c>
      <c r="Q632" s="408">
        <v>13</v>
      </c>
      <c r="R632" s="494" t="str">
        <f t="shared" si="191"/>
        <v>Fresno State</v>
      </c>
      <c r="S632" s="494" t="str">
        <f t="shared" si="192"/>
        <v>Hawaii</v>
      </c>
      <c r="T632" s="356" t="str">
        <f>K632</f>
        <v>Hawaii</v>
      </c>
      <c r="U632" s="665" t="str">
        <f t="shared" si="193"/>
        <v>L</v>
      </c>
      <c r="V632" s="352" t="str">
        <f>UPPER(+F632)</f>
        <v>HAWAII</v>
      </c>
      <c r="W632" s="424">
        <v>27</v>
      </c>
      <c r="X632" s="352" t="str">
        <f>LOWER(+H632)</f>
        <v>fresno state</v>
      </c>
      <c r="Y632" s="425">
        <v>24</v>
      </c>
    </row>
    <row r="633" spans="1:25" ht="16" x14ac:dyDescent="0.8">
      <c r="A633" s="351">
        <v>10</v>
      </c>
      <c r="B633" s="420" t="s">
        <v>34</v>
      </c>
      <c r="C633" s="421">
        <v>44870</v>
      </c>
      <c r="D633" s="414">
        <f>19/24</f>
        <v>0.79166666666666663</v>
      </c>
      <c r="E633" s="349" t="s">
        <v>445</v>
      </c>
      <c r="F633" s="420" t="s">
        <v>196</v>
      </c>
      <c r="G633" s="349" t="s">
        <v>45</v>
      </c>
      <c r="H633" s="420" t="s">
        <v>193</v>
      </c>
      <c r="I633" s="349" t="s">
        <v>45</v>
      </c>
      <c r="J633" s="420" t="str">
        <f>H633</f>
        <v>San Diego State</v>
      </c>
      <c r="K633" s="379" t="str">
        <f t="shared" si="189"/>
        <v>UNLV</v>
      </c>
      <c r="L633" s="422">
        <v>6</v>
      </c>
      <c r="M633" s="418">
        <v>48</v>
      </c>
      <c r="N633" s="351" t="str">
        <f t="shared" si="194"/>
        <v>San Diego State</v>
      </c>
      <c r="O633" s="423">
        <v>14</v>
      </c>
      <c r="P633" s="436" t="str">
        <f t="shared" si="190"/>
        <v>UNLV</v>
      </c>
      <c r="Q633" s="408">
        <v>10</v>
      </c>
      <c r="R633" s="494" t="str">
        <f t="shared" si="191"/>
        <v>UNLV</v>
      </c>
      <c r="S633" s="494" t="str">
        <f t="shared" si="192"/>
        <v>San Diego State</v>
      </c>
      <c r="T633" s="356" t="str">
        <f>J633</f>
        <v>San Diego State</v>
      </c>
      <c r="U633" s="665" t="str">
        <f t="shared" si="193"/>
        <v>L</v>
      </c>
      <c r="V633" s="352" t="str">
        <f>LOWER(+H633)</f>
        <v>san diego state</v>
      </c>
      <c r="W633" s="424">
        <v>28</v>
      </c>
      <c r="X633" s="352" t="str">
        <f>UPPER(+F633)</f>
        <v>UNLV</v>
      </c>
      <c r="Y633" s="425">
        <v>20</v>
      </c>
    </row>
    <row r="634" spans="1:25" ht="16" x14ac:dyDescent="0.8">
      <c r="A634" s="351">
        <v>10</v>
      </c>
      <c r="B634" s="420" t="s">
        <v>34</v>
      </c>
      <c r="C634" s="421">
        <v>44870</v>
      </c>
      <c r="D634" s="414">
        <f>22.5/24</f>
        <v>0.9375</v>
      </c>
      <c r="E634" s="349"/>
      <c r="F634" s="420" t="s">
        <v>48</v>
      </c>
      <c r="G634" s="349" t="s">
        <v>45</v>
      </c>
      <c r="H634" s="420" t="s">
        <v>51</v>
      </c>
      <c r="I634" s="349" t="s">
        <v>45</v>
      </c>
      <c r="J634" s="420" t="str">
        <f>H634</f>
        <v>San Jose State</v>
      </c>
      <c r="K634" s="379" t="str">
        <f t="shared" si="189"/>
        <v>Colorado State</v>
      </c>
      <c r="L634" s="422">
        <v>24</v>
      </c>
      <c r="M634" s="418">
        <v>45</v>
      </c>
      <c r="N634" s="351" t="str">
        <f t="shared" si="194"/>
        <v>San Jose State</v>
      </c>
      <c r="O634" s="423">
        <v>28</v>
      </c>
      <c r="P634" s="436" t="str">
        <f t="shared" si="190"/>
        <v>Colorado State</v>
      </c>
      <c r="Q634" s="408">
        <v>16</v>
      </c>
      <c r="R634" s="494" t="str">
        <f t="shared" si="191"/>
        <v>Colorado State</v>
      </c>
      <c r="S634" s="494" t="str">
        <f t="shared" si="192"/>
        <v>San Jose State</v>
      </c>
      <c r="T634" s="356" t="str">
        <f>J634</f>
        <v>San Jose State</v>
      </c>
      <c r="U634" s="665" t="str">
        <f t="shared" si="193"/>
        <v>L</v>
      </c>
      <c r="V634" s="352" t="str">
        <f>UPPER(+F634)</f>
        <v>COLORADO STATE</v>
      </c>
      <c r="W634" s="424">
        <v>32</v>
      </c>
      <c r="X634" s="352" t="str">
        <f>LOWER(+H634)</f>
        <v>san jose state</v>
      </c>
      <c r="Y634" s="425">
        <v>14</v>
      </c>
    </row>
    <row r="635" spans="1:25" ht="16" x14ac:dyDescent="0.8">
      <c r="A635" s="351">
        <v>10</v>
      </c>
      <c r="B635" s="420" t="s">
        <v>34</v>
      </c>
      <c r="C635" s="421">
        <v>44870</v>
      </c>
      <c r="D635" s="414">
        <f>15.5/24</f>
        <v>0.64583333333333337</v>
      </c>
      <c r="E635" s="349" t="s">
        <v>445</v>
      </c>
      <c r="F635" s="420" t="s">
        <v>191</v>
      </c>
      <c r="G635" s="349" t="s">
        <v>45</v>
      </c>
      <c r="H635" s="420" t="s">
        <v>93</v>
      </c>
      <c r="I635" s="349" t="s">
        <v>45</v>
      </c>
      <c r="J635" s="420" t="str">
        <f>H635</f>
        <v>Utah State</v>
      </c>
      <c r="K635" s="379" t="str">
        <f t="shared" si="189"/>
        <v>New Mexico</v>
      </c>
      <c r="L635" s="422">
        <v>14.5</v>
      </c>
      <c r="M635" s="418">
        <v>43.5</v>
      </c>
      <c r="N635" s="351" t="str">
        <f t="shared" si="194"/>
        <v>Utah State</v>
      </c>
      <c r="O635" s="423">
        <v>27</v>
      </c>
      <c r="P635" s="436" t="str">
        <f t="shared" si="190"/>
        <v>New Mexico</v>
      </c>
      <c r="Q635" s="408">
        <v>10</v>
      </c>
      <c r="R635" s="494" t="str">
        <f t="shared" si="191"/>
        <v>Utah State</v>
      </c>
      <c r="S635" s="494" t="str">
        <f t="shared" si="192"/>
        <v>New Mexico</v>
      </c>
      <c r="T635" s="356" t="str">
        <f>K635</f>
        <v>New Mexico</v>
      </c>
      <c r="U635" s="665" t="str">
        <f t="shared" si="193"/>
        <v>L</v>
      </c>
      <c r="V635" s="352" t="str">
        <f>LOWER(+H635)</f>
        <v>utah state</v>
      </c>
      <c r="W635" s="424">
        <v>35</v>
      </c>
      <c r="X635" s="352" t="str">
        <f>UPPER(+F635)</f>
        <v>NEW MEXICO</v>
      </c>
      <c r="Y635" s="425">
        <v>10</v>
      </c>
    </row>
    <row r="636" spans="1:25" ht="16" x14ac:dyDescent="0.8">
      <c r="A636" s="351">
        <v>10</v>
      </c>
      <c r="B636" s="420" t="s">
        <v>34</v>
      </c>
      <c r="C636" s="421">
        <v>44870</v>
      </c>
      <c r="D636" s="414">
        <f>21.5/24</f>
        <v>0.89583333333333337</v>
      </c>
      <c r="E636" s="349" t="s">
        <v>70</v>
      </c>
      <c r="F636" s="420" t="s">
        <v>224</v>
      </c>
      <c r="G636" s="349" t="s">
        <v>37</v>
      </c>
      <c r="H636" s="420" t="s">
        <v>79</v>
      </c>
      <c r="I636" s="349" t="s">
        <v>37</v>
      </c>
      <c r="J636" s="420" t="str">
        <f>F636</f>
        <v>UCLA</v>
      </c>
      <c r="K636" s="379" t="str">
        <f t="shared" si="189"/>
        <v>Arizona State</v>
      </c>
      <c r="L636" s="422">
        <v>10.5</v>
      </c>
      <c r="M636" s="418">
        <v>66.5</v>
      </c>
      <c r="N636" s="351" t="str">
        <f t="shared" si="194"/>
        <v>UCLA</v>
      </c>
      <c r="O636" s="423">
        <v>50</v>
      </c>
      <c r="P636" s="436" t="str">
        <f t="shared" si="190"/>
        <v>Arizona State</v>
      </c>
      <c r="Q636" s="408">
        <v>36</v>
      </c>
      <c r="R636" s="494" t="str">
        <f t="shared" si="191"/>
        <v>UCLA</v>
      </c>
      <c r="S636" s="494" t="str">
        <f t="shared" si="192"/>
        <v>Arizona State</v>
      </c>
      <c r="T636" s="356" t="str">
        <f>J636</f>
        <v>UCLA</v>
      </c>
      <c r="U636" s="665" t="str">
        <f t="shared" si="193"/>
        <v>W</v>
      </c>
      <c r="V636" s="352" t="str">
        <f>UPPER(+F636)</f>
        <v>UCLA</v>
      </c>
      <c r="W636" s="424">
        <v>34</v>
      </c>
      <c r="X636" s="352" t="str">
        <f>LOWER(+H636)</f>
        <v>arizona state</v>
      </c>
      <c r="Y636" s="425">
        <v>16</v>
      </c>
    </row>
    <row r="637" spans="1:25" ht="16" x14ac:dyDescent="0.8">
      <c r="A637" s="351">
        <v>10</v>
      </c>
      <c r="B637" s="420" t="s">
        <v>34</v>
      </c>
      <c r="C637" s="421">
        <v>44870</v>
      </c>
      <c r="D637" s="414">
        <f>15.5/24</f>
        <v>0.64583333333333337</v>
      </c>
      <c r="E637" s="349" t="s">
        <v>35</v>
      </c>
      <c r="F637" s="420" t="s">
        <v>200</v>
      </c>
      <c r="G637" s="349" t="s">
        <v>37</v>
      </c>
      <c r="H637" s="420" t="s">
        <v>104</v>
      </c>
      <c r="I637" s="349" t="s">
        <v>37</v>
      </c>
      <c r="J637" s="420" t="str">
        <f>F637</f>
        <v>Oregon</v>
      </c>
      <c r="K637" s="379" t="str">
        <f t="shared" si="189"/>
        <v>Colorado</v>
      </c>
      <c r="L637" s="422">
        <v>31.5</v>
      </c>
      <c r="M637" s="418">
        <v>61</v>
      </c>
      <c r="N637" s="351" t="str">
        <f t="shared" si="194"/>
        <v>Oregon</v>
      </c>
      <c r="O637" s="423">
        <v>49</v>
      </c>
      <c r="P637" s="436" t="str">
        <f t="shared" si="190"/>
        <v>Colorado</v>
      </c>
      <c r="Q637" s="408">
        <v>10</v>
      </c>
      <c r="R637" s="494" t="str">
        <f t="shared" si="191"/>
        <v>Oregon</v>
      </c>
      <c r="S637" s="494" t="str">
        <f t="shared" si="192"/>
        <v>Colorado</v>
      </c>
      <c r="T637" s="356" t="str">
        <f>K637</f>
        <v>Colorado</v>
      </c>
      <c r="U637" s="665" t="str">
        <f t="shared" si="193"/>
        <v>L</v>
      </c>
      <c r="V637" s="352" t="str">
        <f>UPPER(+F637)</f>
        <v>OREGON</v>
      </c>
      <c r="W637" s="424">
        <v>52</v>
      </c>
      <c r="X637" s="352" t="str">
        <f>LOWER(+H637)</f>
        <v>colorado</v>
      </c>
      <c r="Y637" s="425">
        <v>29</v>
      </c>
    </row>
    <row r="638" spans="1:25" ht="16" x14ac:dyDescent="0.8">
      <c r="A638" s="351">
        <v>10</v>
      </c>
      <c r="B638" s="420" t="s">
        <v>34</v>
      </c>
      <c r="C638" s="421">
        <v>44870</v>
      </c>
      <c r="D638" s="414">
        <f>22.5/24</f>
        <v>0.9375</v>
      </c>
      <c r="E638" s="349" t="s">
        <v>35</v>
      </c>
      <c r="F638" s="420" t="s">
        <v>123</v>
      </c>
      <c r="G638" s="349" t="s">
        <v>37</v>
      </c>
      <c r="H638" s="420" t="s">
        <v>202</v>
      </c>
      <c r="I638" s="349" t="s">
        <v>37</v>
      </c>
      <c r="J638" s="420" t="str">
        <f>H638</f>
        <v>Southern Cal</v>
      </c>
      <c r="K638" s="379" t="str">
        <f t="shared" si="189"/>
        <v>California</v>
      </c>
      <c r="L638" s="422">
        <v>21</v>
      </c>
      <c r="M638" s="418">
        <v>59.5</v>
      </c>
      <c r="N638" s="351" t="str">
        <f t="shared" si="194"/>
        <v>Southern Cal</v>
      </c>
      <c r="O638" s="423">
        <v>41</v>
      </c>
      <c r="P638" s="436" t="str">
        <f t="shared" si="190"/>
        <v>California</v>
      </c>
      <c r="Q638" s="408">
        <v>35</v>
      </c>
      <c r="R638" s="494" t="str">
        <f t="shared" si="191"/>
        <v>California</v>
      </c>
      <c r="S638" s="494" t="str">
        <f t="shared" si="192"/>
        <v>Southern Cal</v>
      </c>
      <c r="T638" s="356" t="str">
        <f>J638</f>
        <v>Southern Cal</v>
      </c>
      <c r="U638" s="665" t="str">
        <f t="shared" si="193"/>
        <v>L</v>
      </c>
      <c r="W638" s="424"/>
      <c r="X638" s="352" t="s">
        <v>404</v>
      </c>
      <c r="Y638" s="425"/>
    </row>
    <row r="639" spans="1:25" ht="16" x14ac:dyDescent="0.8">
      <c r="A639" s="351">
        <v>10</v>
      </c>
      <c r="B639" s="420" t="s">
        <v>34</v>
      </c>
      <c r="C639" s="421">
        <v>44870</v>
      </c>
      <c r="D639" s="414">
        <f>15.5/24</f>
        <v>0.64583333333333337</v>
      </c>
      <c r="E639" s="349" t="s">
        <v>446</v>
      </c>
      <c r="F639" s="420" t="s">
        <v>204</v>
      </c>
      <c r="G639" s="349" t="s">
        <v>37</v>
      </c>
      <c r="H639" s="420" t="s">
        <v>36</v>
      </c>
      <c r="I639" s="349" t="s">
        <v>37</v>
      </c>
      <c r="J639" s="420" t="str">
        <f>F639</f>
        <v>Washington State</v>
      </c>
      <c r="K639" s="379" t="str">
        <f t="shared" si="189"/>
        <v>Stanford</v>
      </c>
      <c r="L639" s="422">
        <v>5</v>
      </c>
      <c r="M639" s="418">
        <v>49.5</v>
      </c>
      <c r="N639" s="351" t="str">
        <f t="shared" si="194"/>
        <v>Washington State</v>
      </c>
      <c r="O639" s="423">
        <v>52</v>
      </c>
      <c r="P639" s="436" t="str">
        <f t="shared" si="190"/>
        <v>Stanford</v>
      </c>
      <c r="Q639" s="408">
        <v>14</v>
      </c>
      <c r="R639" s="494" t="str">
        <f t="shared" si="191"/>
        <v>Washington State</v>
      </c>
      <c r="S639" s="494" t="str">
        <f t="shared" si="192"/>
        <v>Stanford</v>
      </c>
      <c r="T639" s="356" t="str">
        <f>J639</f>
        <v>Washington State</v>
      </c>
      <c r="U639" s="665" t="str">
        <f t="shared" si="193"/>
        <v>W</v>
      </c>
      <c r="V639" s="352" t="str">
        <f>UPPER(+F639)</f>
        <v>WASHINGTON STATE</v>
      </c>
      <c r="W639" s="424">
        <v>34</v>
      </c>
      <c r="X639" s="352" t="str">
        <f>LOWER(+H639)</f>
        <v>stanford</v>
      </c>
      <c r="Y639" s="425">
        <v>31</v>
      </c>
    </row>
    <row r="640" spans="1:25" ht="16" x14ac:dyDescent="0.8">
      <c r="A640" s="351">
        <v>10</v>
      </c>
      <c r="B640" s="420" t="s">
        <v>34</v>
      </c>
      <c r="C640" s="421">
        <v>44870</v>
      </c>
      <c r="D640" s="414">
        <f>19.5/24</f>
        <v>0.8125</v>
      </c>
      <c r="E640" s="349" t="s">
        <v>446</v>
      </c>
      <c r="F640" s="420" t="s">
        <v>198</v>
      </c>
      <c r="G640" s="349" t="s">
        <v>37</v>
      </c>
      <c r="H640" s="420" t="s">
        <v>81</v>
      </c>
      <c r="I640" s="349" t="s">
        <v>37</v>
      </c>
      <c r="J640" s="420" t="str">
        <f>H640</f>
        <v>Utah</v>
      </c>
      <c r="K640" s="379" t="str">
        <f t="shared" si="189"/>
        <v>Arizona</v>
      </c>
      <c r="L640" s="422">
        <v>17.5</v>
      </c>
      <c r="M640" s="418">
        <v>67</v>
      </c>
      <c r="N640" s="351" t="str">
        <f t="shared" si="194"/>
        <v>Utah</v>
      </c>
      <c r="O640" s="423">
        <v>45</v>
      </c>
      <c r="P640" s="436" t="str">
        <f t="shared" si="190"/>
        <v>Arizona</v>
      </c>
      <c r="Q640" s="408">
        <v>20</v>
      </c>
      <c r="R640" s="494" t="str">
        <f t="shared" si="191"/>
        <v>Utah</v>
      </c>
      <c r="S640" s="494" t="str">
        <f t="shared" si="192"/>
        <v>Arizona</v>
      </c>
      <c r="T640" s="356" t="str">
        <f>J640</f>
        <v>Utah</v>
      </c>
      <c r="U640" s="665" t="str">
        <f t="shared" si="193"/>
        <v>W</v>
      </c>
      <c r="V640" s="352" t="str">
        <f>LOWER(+H640)</f>
        <v>utah</v>
      </c>
      <c r="W640" s="424">
        <v>38</v>
      </c>
      <c r="X640" s="352" t="str">
        <f>UPPER(+F640)</f>
        <v>ARIZONA</v>
      </c>
      <c r="Y640" s="425">
        <v>29</v>
      </c>
    </row>
    <row r="641" spans="1:25" ht="16" x14ac:dyDescent="0.8">
      <c r="A641" s="351">
        <v>10</v>
      </c>
      <c r="B641" s="420" t="s">
        <v>34</v>
      </c>
      <c r="C641" s="421">
        <v>44870</v>
      </c>
      <c r="D641" s="414">
        <f>16/24</f>
        <v>0.66666666666666663</v>
      </c>
      <c r="E641" s="349"/>
      <c r="F641" s="420" t="s">
        <v>214</v>
      </c>
      <c r="G641" s="349" t="s">
        <v>59</v>
      </c>
      <c r="H641" s="420" t="s">
        <v>210</v>
      </c>
      <c r="I641" s="349" t="s">
        <v>59</v>
      </c>
      <c r="J641" s="420" t="str">
        <f>F641</f>
        <v>South Alabama</v>
      </c>
      <c r="K641" s="379" t="str">
        <f t="shared" si="189"/>
        <v>Georgia Southern</v>
      </c>
      <c r="L641" s="422">
        <v>4</v>
      </c>
      <c r="M641" s="418">
        <v>60.5</v>
      </c>
      <c r="N641" s="351" t="str">
        <f t="shared" si="194"/>
        <v>South Alabama</v>
      </c>
      <c r="O641" s="423">
        <v>38</v>
      </c>
      <c r="P641" s="436" t="str">
        <f t="shared" si="190"/>
        <v>Georgia Southern</v>
      </c>
      <c r="Q641" s="408">
        <v>31</v>
      </c>
      <c r="R641" s="494" t="str">
        <f t="shared" si="191"/>
        <v>South Alabama</v>
      </c>
      <c r="S641" s="494" t="str">
        <f t="shared" si="192"/>
        <v>Georgia Southern</v>
      </c>
      <c r="T641" s="356" t="str">
        <f>J641</f>
        <v>South Alabama</v>
      </c>
      <c r="U641" s="665" t="str">
        <f t="shared" si="193"/>
        <v>W</v>
      </c>
      <c r="V641" s="352" t="str">
        <f>UPPER(+F641)</f>
        <v>SOUTH ALABAMA</v>
      </c>
      <c r="W641" s="424">
        <v>41</v>
      </c>
      <c r="X641" s="352" t="str">
        <f>LOWER(+H641)</f>
        <v>georgia southern</v>
      </c>
      <c r="Y641" s="425">
        <v>14</v>
      </c>
    </row>
    <row r="642" spans="1:25" ht="16" x14ac:dyDescent="0.8">
      <c r="A642" s="351">
        <v>10</v>
      </c>
      <c r="B642" s="420" t="s">
        <v>34</v>
      </c>
      <c r="C642" s="421">
        <v>44870</v>
      </c>
      <c r="D642" s="414">
        <f>14/24</f>
        <v>0.58333333333333337</v>
      </c>
      <c r="E642" s="349"/>
      <c r="F642" s="420" t="s">
        <v>163</v>
      </c>
      <c r="G642" s="349" t="s">
        <v>59</v>
      </c>
      <c r="H642" s="420" t="s">
        <v>169</v>
      </c>
      <c r="I642" s="349" t="s">
        <v>59</v>
      </c>
      <c r="J642" s="420" t="str">
        <f>F642</f>
        <v>Marshall</v>
      </c>
      <c r="K642" s="379" t="str">
        <f t="shared" si="189"/>
        <v>Old Dominion</v>
      </c>
      <c r="L642" s="422">
        <v>2.5</v>
      </c>
      <c r="M642" s="418">
        <v>47</v>
      </c>
      <c r="N642" s="351" t="str">
        <f t="shared" si="194"/>
        <v>Marshall</v>
      </c>
      <c r="O642" s="423">
        <v>12</v>
      </c>
      <c r="P642" s="436" t="str">
        <f t="shared" si="190"/>
        <v>Old Dominion</v>
      </c>
      <c r="Q642" s="408">
        <v>0</v>
      </c>
      <c r="R642" s="494" t="str">
        <f t="shared" si="191"/>
        <v>Marshall</v>
      </c>
      <c r="S642" s="494" t="str">
        <f t="shared" si="192"/>
        <v>Old Dominion</v>
      </c>
      <c r="T642" s="356" t="str">
        <f>K642</f>
        <v>Old Dominion</v>
      </c>
      <c r="U642" s="665" t="str">
        <f t="shared" si="193"/>
        <v>L</v>
      </c>
      <c r="W642" s="424"/>
      <c r="X642" s="352" t="s">
        <v>404</v>
      </c>
      <c r="Y642" s="425"/>
    </row>
    <row r="643" spans="1:25" ht="16" x14ac:dyDescent="0.8">
      <c r="A643" s="351">
        <v>10</v>
      </c>
      <c r="B643" s="420" t="s">
        <v>34</v>
      </c>
      <c r="C643" s="421">
        <v>44870</v>
      </c>
      <c r="D643" s="414">
        <f>15/24</f>
        <v>0.625</v>
      </c>
      <c r="E643" s="349"/>
      <c r="F643" s="420" t="s">
        <v>84</v>
      </c>
      <c r="G643" s="349" t="s">
        <v>59</v>
      </c>
      <c r="H643" s="420" t="s">
        <v>171</v>
      </c>
      <c r="I643" s="349" t="s">
        <v>59</v>
      </c>
      <c r="J643" s="420" t="str">
        <f>H643</f>
        <v>Southern Miss</v>
      </c>
      <c r="K643" s="379" t="str">
        <f t="shared" si="189"/>
        <v>Georgia State</v>
      </c>
      <c r="L643" s="422">
        <v>2.5</v>
      </c>
      <c r="M643" s="418">
        <v>48.5</v>
      </c>
      <c r="N643" s="436" t="str">
        <f>K643</f>
        <v>Georgia State</v>
      </c>
      <c r="O643" s="423">
        <v>42</v>
      </c>
      <c r="P643" s="436" t="str">
        <f t="shared" si="190"/>
        <v>Southern Miss</v>
      </c>
      <c r="Q643" s="408">
        <v>14</v>
      </c>
      <c r="R643" s="494" t="str">
        <f t="shared" si="191"/>
        <v>Georgia State</v>
      </c>
      <c r="S643" s="494" t="str">
        <f t="shared" si="192"/>
        <v>Southern Miss</v>
      </c>
      <c r="T643" s="356" t="str">
        <f>J643</f>
        <v>Southern Miss</v>
      </c>
      <c r="U643" s="665" t="str">
        <f t="shared" si="193"/>
        <v>L</v>
      </c>
      <c r="W643" s="424"/>
      <c r="X643" s="352" t="s">
        <v>404</v>
      </c>
      <c r="Y643" s="425"/>
    </row>
    <row r="644" spans="1:25" ht="16" x14ac:dyDescent="0.8">
      <c r="A644" s="351">
        <v>10</v>
      </c>
      <c r="B644" s="420" t="s">
        <v>34</v>
      </c>
      <c r="C644" s="421">
        <v>44870</v>
      </c>
      <c r="D644" s="414">
        <f>17/24</f>
        <v>0.70833333333333337</v>
      </c>
      <c r="E644" s="349"/>
      <c r="F644" s="420" t="s">
        <v>185</v>
      </c>
      <c r="G644" s="349" t="s">
        <v>59</v>
      </c>
      <c r="H644" s="420" t="s">
        <v>209</v>
      </c>
      <c r="I644" s="349" t="s">
        <v>59</v>
      </c>
      <c r="J644" s="420" t="str">
        <f>F644</f>
        <v>Troy</v>
      </c>
      <c r="K644" s="379" t="str">
        <f t="shared" si="189"/>
        <v>UL Lafayette</v>
      </c>
      <c r="L644" s="422">
        <v>4.5</v>
      </c>
      <c r="M644" s="418">
        <v>43.5</v>
      </c>
      <c r="N644" s="351" t="str">
        <f>J644</f>
        <v>Troy</v>
      </c>
      <c r="O644" s="423">
        <v>23</v>
      </c>
      <c r="P644" s="436" t="str">
        <f t="shared" si="190"/>
        <v>UL Lafayette</v>
      </c>
      <c r="Q644" s="408">
        <v>17</v>
      </c>
      <c r="R644" s="494" t="str">
        <f t="shared" si="191"/>
        <v>Troy</v>
      </c>
      <c r="S644" s="494" t="str">
        <f t="shared" si="192"/>
        <v>UL Lafayette</v>
      </c>
      <c r="T644" s="356" t="str">
        <f>J644</f>
        <v>Troy</v>
      </c>
      <c r="U644" s="665" t="str">
        <f t="shared" si="193"/>
        <v>W</v>
      </c>
      <c r="V644" s="352" t="str">
        <f>LOWER(+H644)</f>
        <v>ul lafayette</v>
      </c>
      <c r="W644" s="424">
        <v>35</v>
      </c>
      <c r="X644" s="352" t="str">
        <f>UPPER(+F644)</f>
        <v>TROY</v>
      </c>
      <c r="Y644" s="425">
        <v>21</v>
      </c>
    </row>
    <row r="645" spans="1:25" ht="16" x14ac:dyDescent="0.8">
      <c r="A645" s="351">
        <v>10</v>
      </c>
      <c r="B645" s="420" t="s">
        <v>34</v>
      </c>
      <c r="C645" s="421">
        <v>44870</v>
      </c>
      <c r="D645" s="414">
        <f>17/24</f>
        <v>0.70833333333333337</v>
      </c>
      <c r="E645" s="349" t="s">
        <v>53</v>
      </c>
      <c r="F645" s="420" t="s">
        <v>207</v>
      </c>
      <c r="G645" s="349" t="s">
        <v>59</v>
      </c>
      <c r="H645" s="420" t="s">
        <v>58</v>
      </c>
      <c r="I645" s="349" t="s">
        <v>59</v>
      </c>
      <c r="J645" s="420" t="str">
        <f>H645</f>
        <v>UL Monroe</v>
      </c>
      <c r="K645" s="379" t="str">
        <f t="shared" si="189"/>
        <v>Texas State</v>
      </c>
      <c r="L645" s="422">
        <v>1</v>
      </c>
      <c r="M645" s="418">
        <v>52</v>
      </c>
      <c r="N645" s="351" t="str">
        <f>J645</f>
        <v>UL Monroe</v>
      </c>
      <c r="O645" s="423">
        <v>31</v>
      </c>
      <c r="P645" s="436" t="str">
        <f t="shared" si="190"/>
        <v>Texas State</v>
      </c>
      <c r="Q645" s="408">
        <v>30</v>
      </c>
      <c r="R645" s="494" t="str">
        <f t="shared" si="191"/>
        <v>UL Monroe</v>
      </c>
      <c r="S645" s="494" t="str">
        <f t="shared" si="192"/>
        <v>Texas State</v>
      </c>
      <c r="T645" s="356" t="str">
        <f>J645</f>
        <v>UL Monroe</v>
      </c>
      <c r="U645" s="665" t="str">
        <f t="shared" si="193"/>
        <v>T</v>
      </c>
      <c r="V645" s="352" t="str">
        <f>UPPER(+F645)</f>
        <v>TEXAS STATE</v>
      </c>
      <c r="W645" s="424">
        <v>27</v>
      </c>
      <c r="X645" s="352" t="str">
        <f>LOWER(+H645)</f>
        <v>ul monroe</v>
      </c>
      <c r="Y645" s="425">
        <v>19</v>
      </c>
    </row>
    <row r="646" spans="1:25" ht="16" x14ac:dyDescent="0.8">
      <c r="A646" s="351">
        <v>10</v>
      </c>
      <c r="B646" s="420" t="s">
        <v>34</v>
      </c>
      <c r="C646" s="421">
        <v>44870</v>
      </c>
      <c r="D646" s="414">
        <f>16/24</f>
        <v>0.66666666666666663</v>
      </c>
      <c r="E646" s="349" t="s">
        <v>85</v>
      </c>
      <c r="F646" s="420" t="s">
        <v>306</v>
      </c>
      <c r="G646" s="349" t="s">
        <v>43</v>
      </c>
      <c r="H646" s="420" t="s">
        <v>87</v>
      </c>
      <c r="I646" s="349" t="s">
        <v>85</v>
      </c>
      <c r="J646" s="420" t="str">
        <f>H646</f>
        <v>Arkansas</v>
      </c>
      <c r="K646" s="379" t="str">
        <f t="shared" si="189"/>
        <v>Liberty</v>
      </c>
      <c r="L646" s="422">
        <v>13.5</v>
      </c>
      <c r="M646" s="418">
        <v>63</v>
      </c>
      <c r="N646" s="436" t="str">
        <f>K646</f>
        <v>Liberty</v>
      </c>
      <c r="O646" s="423">
        <v>21</v>
      </c>
      <c r="P646" s="436" t="str">
        <f t="shared" si="190"/>
        <v>Arkansas</v>
      </c>
      <c r="Q646" s="408">
        <v>19</v>
      </c>
      <c r="R646" s="494" t="str">
        <f t="shared" si="191"/>
        <v>Liberty</v>
      </c>
      <c r="S646" s="494" t="str">
        <f t="shared" si="192"/>
        <v>Arkansas</v>
      </c>
      <c r="T646" s="356" t="str">
        <f>J646</f>
        <v>Arkansas</v>
      </c>
      <c r="U646" s="665" t="str">
        <f t="shared" si="193"/>
        <v>L</v>
      </c>
      <c r="W646" s="424"/>
      <c r="X646" s="352" t="s">
        <v>404</v>
      </c>
      <c r="Y646" s="425"/>
    </row>
    <row r="647" spans="1:25" ht="16" x14ac:dyDescent="0.8">
      <c r="A647" s="351">
        <v>10</v>
      </c>
      <c r="B647" s="420" t="s">
        <v>34</v>
      </c>
      <c r="C647" s="421">
        <v>44870</v>
      </c>
      <c r="D647" s="414">
        <f>15.5/24</f>
        <v>0.64583333333333337</v>
      </c>
      <c r="E647" s="349" t="s">
        <v>303</v>
      </c>
      <c r="F647" s="420" t="s">
        <v>226</v>
      </c>
      <c r="G647" s="349" t="s">
        <v>85</v>
      </c>
      <c r="H647" s="420" t="s">
        <v>213</v>
      </c>
      <c r="I647" s="349" t="s">
        <v>85</v>
      </c>
      <c r="J647" s="420" t="str">
        <f>H647</f>
        <v>Georgia</v>
      </c>
      <c r="K647" s="379" t="str">
        <f t="shared" si="189"/>
        <v>Tennessee</v>
      </c>
      <c r="L647" s="422">
        <v>8</v>
      </c>
      <c r="M647" s="418">
        <v>66</v>
      </c>
      <c r="N647" s="436" t="str">
        <f>J647</f>
        <v>Georgia</v>
      </c>
      <c r="O647" s="423">
        <v>27</v>
      </c>
      <c r="P647" s="436" t="str">
        <f t="shared" si="190"/>
        <v>Tennessee</v>
      </c>
      <c r="Q647" s="408">
        <v>13</v>
      </c>
      <c r="R647" s="494" t="str">
        <f t="shared" si="191"/>
        <v>Georgia</v>
      </c>
      <c r="S647" s="494" t="str">
        <f t="shared" si="192"/>
        <v>Tennessee</v>
      </c>
      <c r="T647" s="356" t="str">
        <f>K647</f>
        <v>Tennessee</v>
      </c>
      <c r="U647" s="665" t="str">
        <f t="shared" si="193"/>
        <v>L</v>
      </c>
      <c r="V647" s="352" t="str">
        <f>LOWER(+H647)</f>
        <v>georgia</v>
      </c>
      <c r="W647" s="424">
        <v>41</v>
      </c>
      <c r="X647" s="352" t="str">
        <f>UPPER(+F647)</f>
        <v>TENNESSEE</v>
      </c>
      <c r="Y647" s="425">
        <v>17</v>
      </c>
    </row>
    <row r="648" spans="1:25" ht="16" x14ac:dyDescent="0.8">
      <c r="A648" s="351">
        <v>10</v>
      </c>
      <c r="B648" s="420" t="s">
        <v>34</v>
      </c>
      <c r="C648" s="421">
        <v>44870</v>
      </c>
      <c r="D648" s="414">
        <f>19/24</f>
        <v>0.79166666666666663</v>
      </c>
      <c r="E648" s="349" t="s">
        <v>85</v>
      </c>
      <c r="F648" s="420" t="s">
        <v>116</v>
      </c>
      <c r="G648" s="349" t="s">
        <v>85</v>
      </c>
      <c r="H648" s="420" t="s">
        <v>178</v>
      </c>
      <c r="I648" s="349" t="s">
        <v>85</v>
      </c>
      <c r="J648" s="420" t="str">
        <f>F648</f>
        <v>Alabama</v>
      </c>
      <c r="K648" s="379" t="str">
        <f t="shared" si="189"/>
        <v>LSU</v>
      </c>
      <c r="L648" s="422">
        <v>13.5</v>
      </c>
      <c r="M648" s="418">
        <v>58</v>
      </c>
      <c r="N648" s="436" t="str">
        <f>K648</f>
        <v>LSU</v>
      </c>
      <c r="O648" s="423">
        <v>32</v>
      </c>
      <c r="P648" s="436" t="str">
        <f t="shared" si="190"/>
        <v>Alabama</v>
      </c>
      <c r="Q648" s="408">
        <v>31</v>
      </c>
      <c r="R648" s="494" t="str">
        <f t="shared" si="191"/>
        <v>LSU</v>
      </c>
      <c r="S648" s="494" t="str">
        <f t="shared" si="192"/>
        <v>Alabama</v>
      </c>
      <c r="T648" s="356" t="str">
        <f>K648</f>
        <v>LSU</v>
      </c>
      <c r="U648" s="665" t="str">
        <f t="shared" si="193"/>
        <v>W</v>
      </c>
      <c r="V648" s="352" t="str">
        <f>UPPER(+F648)</f>
        <v>ALABAMA</v>
      </c>
      <c r="W648" s="424">
        <v>20</v>
      </c>
      <c r="X648" s="352" t="str">
        <f>LOWER(+H648)</f>
        <v>lsu</v>
      </c>
      <c r="Y648" s="425">
        <v>14</v>
      </c>
    </row>
    <row r="649" spans="1:25" ht="16" x14ac:dyDescent="0.8">
      <c r="A649" s="351">
        <v>10</v>
      </c>
      <c r="B649" s="420" t="s">
        <v>34</v>
      </c>
      <c r="C649" s="421">
        <v>44870</v>
      </c>
      <c r="D649" s="414">
        <f>19.5/24</f>
        <v>0.8125</v>
      </c>
      <c r="E649" s="349" t="s">
        <v>256</v>
      </c>
      <c r="F649" s="420" t="s">
        <v>211</v>
      </c>
      <c r="G649" s="349" t="s">
        <v>85</v>
      </c>
      <c r="H649" s="420" t="s">
        <v>217</v>
      </c>
      <c r="I649" s="349" t="s">
        <v>85</v>
      </c>
      <c r="J649" s="420" t="str">
        <f>H649</f>
        <v>Mississippi State</v>
      </c>
      <c r="K649" s="379" t="str">
        <f t="shared" si="189"/>
        <v>Auburn</v>
      </c>
      <c r="L649" s="422">
        <v>13.5</v>
      </c>
      <c r="M649" s="418">
        <v>53</v>
      </c>
      <c r="N649" s="436" t="str">
        <f>J649</f>
        <v>Mississippi State</v>
      </c>
      <c r="O649" s="423">
        <v>39</v>
      </c>
      <c r="P649" s="436" t="str">
        <f t="shared" si="190"/>
        <v>Auburn</v>
      </c>
      <c r="Q649" s="408">
        <v>33</v>
      </c>
      <c r="R649" s="494" t="str">
        <f t="shared" si="191"/>
        <v>Auburn</v>
      </c>
      <c r="S649" s="494" t="str">
        <f t="shared" si="192"/>
        <v>Mississippi State</v>
      </c>
      <c r="T649" s="356" t="str">
        <f>K649</f>
        <v>Auburn</v>
      </c>
      <c r="U649" s="665" t="str">
        <f t="shared" si="193"/>
        <v>W</v>
      </c>
      <c r="V649" s="352" t="str">
        <f>LOWER(+H649)</f>
        <v>mississippi state</v>
      </c>
      <c r="W649" s="424">
        <v>43</v>
      </c>
      <c r="X649" s="352" t="str">
        <f>UPPER(+F649)</f>
        <v>AUBURN</v>
      </c>
      <c r="Y649" s="425">
        <v>34</v>
      </c>
    </row>
    <row r="650" spans="1:25" ht="16" x14ac:dyDescent="0.8">
      <c r="A650" s="351">
        <v>10</v>
      </c>
      <c r="B650" s="420" t="s">
        <v>34</v>
      </c>
      <c r="C650" s="421">
        <v>44870</v>
      </c>
      <c r="D650" s="414">
        <f>12/24</f>
        <v>0.5</v>
      </c>
      <c r="E650" s="349" t="s">
        <v>85</v>
      </c>
      <c r="F650" s="420" t="s">
        <v>170</v>
      </c>
      <c r="G650" s="349" t="s">
        <v>85</v>
      </c>
      <c r="H650" s="420" t="s">
        <v>219</v>
      </c>
      <c r="I650" s="349" t="s">
        <v>85</v>
      </c>
      <c r="J650" s="420" t="str">
        <f>F650</f>
        <v>Kentucky</v>
      </c>
      <c r="K650" s="379" t="str">
        <f t="shared" si="189"/>
        <v>Missouri</v>
      </c>
      <c r="L650" s="422">
        <v>2</v>
      </c>
      <c r="M650" s="418">
        <v>42</v>
      </c>
      <c r="N650" s="436" t="str">
        <f>J650</f>
        <v>Kentucky</v>
      </c>
      <c r="O650" s="423">
        <v>21</v>
      </c>
      <c r="P650" s="436" t="str">
        <f t="shared" si="190"/>
        <v>Missouri</v>
      </c>
      <c r="Q650" s="408">
        <v>17</v>
      </c>
      <c r="R650" s="494" t="str">
        <f t="shared" si="191"/>
        <v>Kentucky</v>
      </c>
      <c r="S650" s="494" t="str">
        <f t="shared" si="192"/>
        <v>Missouri</v>
      </c>
      <c r="T650" s="356" t="str">
        <f>K650</f>
        <v>Missouri</v>
      </c>
      <c r="U650" s="665" t="str">
        <f t="shared" si="193"/>
        <v>L</v>
      </c>
      <c r="V650" s="352" t="str">
        <f>UPPER(+F650)</f>
        <v>KENTUCKY</v>
      </c>
      <c r="W650" s="424">
        <v>35</v>
      </c>
      <c r="X650" s="352" t="str">
        <f>LOWER(+H650)</f>
        <v>missouri</v>
      </c>
      <c r="Y650" s="425">
        <v>28</v>
      </c>
    </row>
    <row r="651" spans="1:25" ht="16" x14ac:dyDescent="0.8">
      <c r="A651" s="351">
        <v>10</v>
      </c>
      <c r="B651" s="420" t="s">
        <v>34</v>
      </c>
      <c r="C651" s="421">
        <v>44870</v>
      </c>
      <c r="D651" s="414">
        <f>12/24</f>
        <v>0.5</v>
      </c>
      <c r="E651" s="349" t="s">
        <v>35</v>
      </c>
      <c r="F651" s="420" t="s">
        <v>136</v>
      </c>
      <c r="G651" s="349" t="s">
        <v>85</v>
      </c>
      <c r="H651" s="420" t="s">
        <v>223</v>
      </c>
      <c r="I651" s="349" t="s">
        <v>85</v>
      </c>
      <c r="J651" s="420" t="str">
        <f>H651</f>
        <v>Texas A&amp;M</v>
      </c>
      <c r="K651" s="379" t="str">
        <f t="shared" si="189"/>
        <v>Florida</v>
      </c>
      <c r="L651" s="422">
        <v>3</v>
      </c>
      <c r="M651" s="418">
        <v>54</v>
      </c>
      <c r="N651" s="436" t="str">
        <f>K651</f>
        <v>Florida</v>
      </c>
      <c r="O651" s="423">
        <v>41</v>
      </c>
      <c r="P651" s="436" t="str">
        <f t="shared" si="190"/>
        <v>Texas A&amp;M</v>
      </c>
      <c r="Q651" s="408">
        <v>24</v>
      </c>
      <c r="R651" s="494" t="str">
        <f t="shared" si="191"/>
        <v>Florida</v>
      </c>
      <c r="S651" s="494" t="str">
        <f t="shared" si="192"/>
        <v>Texas A&amp;M</v>
      </c>
      <c r="T651" s="356" t="str">
        <f>K651</f>
        <v>Florida</v>
      </c>
      <c r="U651" s="665" t="str">
        <f t="shared" si="193"/>
        <v>W</v>
      </c>
      <c r="W651" s="424"/>
      <c r="X651" s="352" t="s">
        <v>404</v>
      </c>
      <c r="Y651" s="425"/>
    </row>
    <row r="652" spans="1:25" ht="16" x14ac:dyDescent="0.8">
      <c r="A652" s="351">
        <v>10</v>
      </c>
      <c r="B652" s="420" t="s">
        <v>34</v>
      </c>
      <c r="C652" s="421">
        <v>44870</v>
      </c>
      <c r="D652" s="414">
        <f>19.5/24</f>
        <v>0.8125</v>
      </c>
      <c r="E652" s="349" t="s">
        <v>85</v>
      </c>
      <c r="F652" s="420" t="s">
        <v>125</v>
      </c>
      <c r="G652" s="349" t="s">
        <v>85</v>
      </c>
      <c r="H652" s="420" t="s">
        <v>164</v>
      </c>
      <c r="I652" s="349" t="s">
        <v>85</v>
      </c>
      <c r="J652" s="420" t="str">
        <f>F652</f>
        <v>South Carolina</v>
      </c>
      <c r="K652" s="379" t="str">
        <f t="shared" si="189"/>
        <v>Vanderbilt</v>
      </c>
      <c r="L652" s="422">
        <v>7</v>
      </c>
      <c r="M652" s="418">
        <v>48.5</v>
      </c>
      <c r="N652" s="436" t="str">
        <f>J652</f>
        <v>South Carolina</v>
      </c>
      <c r="O652" s="423">
        <v>38</v>
      </c>
      <c r="P652" s="436" t="str">
        <f t="shared" si="190"/>
        <v>Vanderbilt</v>
      </c>
      <c r="Q652" s="408">
        <v>27</v>
      </c>
      <c r="R652" s="494" t="str">
        <f t="shared" si="191"/>
        <v>South Carolina</v>
      </c>
      <c r="S652" s="494" t="str">
        <f t="shared" si="192"/>
        <v>Vanderbilt</v>
      </c>
      <c r="T652" s="356" t="str">
        <f>J652</f>
        <v>South Carolina</v>
      </c>
      <c r="U652" s="665" t="str">
        <f t="shared" si="193"/>
        <v>W</v>
      </c>
      <c r="V652" s="352" t="str">
        <f>UPPER(+F652)</f>
        <v>SOUTH CAROLINA</v>
      </c>
      <c r="W652" s="424">
        <v>21</v>
      </c>
      <c r="X652" s="352" t="str">
        <f>LOWER(+H652)</f>
        <v>vanderbilt</v>
      </c>
      <c r="Y652" s="425">
        <v>20</v>
      </c>
    </row>
    <row r="653" spans="1:25" ht="16" x14ac:dyDescent="0.8">
      <c r="A653" s="351">
        <v>11</v>
      </c>
      <c r="B653" s="420" t="s">
        <v>395</v>
      </c>
      <c r="C653" s="421">
        <v>44508</v>
      </c>
      <c r="D653" s="414">
        <f>19/24</f>
        <v>0.79166666666666663</v>
      </c>
      <c r="E653" s="349"/>
      <c r="F653" s="420" t="s">
        <v>101</v>
      </c>
      <c r="G653" s="349" t="s">
        <v>68</v>
      </c>
      <c r="H653" s="420" t="s">
        <v>144</v>
      </c>
      <c r="I653" s="349" t="s">
        <v>68</v>
      </c>
      <c r="J653" s="420" t="str">
        <f>F653</f>
        <v>Eastern Michigan</v>
      </c>
      <c r="K653" s="379" t="str">
        <f t="shared" ref="K653:K663" si="195">IF(+J653=H653,F653,H653)</f>
        <v>Akron</v>
      </c>
      <c r="L653" s="422">
        <v>7</v>
      </c>
      <c r="M653" s="418">
        <v>56.5</v>
      </c>
      <c r="N653" s="351" t="str">
        <f t="shared" ref="N653:N658" si="196">J653</f>
        <v>Eastern Michigan</v>
      </c>
      <c r="O653" s="423">
        <v>34</v>
      </c>
      <c r="P653" s="436" t="str">
        <f t="shared" ref="P653:P663" si="197">IF(+N653=H653,F653,H653)</f>
        <v>Akron</v>
      </c>
      <c r="Q653" s="408">
        <v>28</v>
      </c>
      <c r="R653" s="494" t="str">
        <f t="shared" ref="R653:R663" si="198">IF(+N653=K653,+N653,IF(+O653-Q653&lt;L653,+K653,+J653))</f>
        <v>Akron</v>
      </c>
      <c r="S653" s="494" t="str">
        <f t="shared" ref="S653:S663" si="199">IF(+R653=J653,+K653,+J653)</f>
        <v>Eastern Michigan</v>
      </c>
      <c r="T653" s="356" t="str">
        <f>K653</f>
        <v>Akron</v>
      </c>
      <c r="U653" s="665" t="str">
        <f t="shared" ref="U653:U663" si="200">IF($N653=$J653,IF($O653-$Q653=$L653,"T",IF($R653=T653,"W","L")),IF($R653=T653,"W","L"))</f>
        <v>W</v>
      </c>
      <c r="W653" s="424"/>
      <c r="X653" s="352" t="s">
        <v>404</v>
      </c>
      <c r="Y653" s="425"/>
    </row>
    <row r="654" spans="1:25" ht="16" x14ac:dyDescent="0.8">
      <c r="A654" s="351">
        <v>11</v>
      </c>
      <c r="B654" s="420" t="s">
        <v>395</v>
      </c>
      <c r="C654" s="421">
        <v>44508</v>
      </c>
      <c r="D654" s="414">
        <f>19.5/24</f>
        <v>0.8125</v>
      </c>
      <c r="E654" s="349" t="s">
        <v>256</v>
      </c>
      <c r="F654" s="420" t="s">
        <v>182</v>
      </c>
      <c r="G654" s="349" t="s">
        <v>68</v>
      </c>
      <c r="H654" s="420" t="s">
        <v>162</v>
      </c>
      <c r="I654" s="349" t="s">
        <v>68</v>
      </c>
      <c r="J654" s="420" t="str">
        <f>F654</f>
        <v>Ohio</v>
      </c>
      <c r="K654" s="379" t="str">
        <f t="shared" si="195"/>
        <v>Miami (OH)</v>
      </c>
      <c r="L654" s="422">
        <v>2</v>
      </c>
      <c r="M654" s="418">
        <v>50.5</v>
      </c>
      <c r="N654" s="351" t="str">
        <f t="shared" si="196"/>
        <v>Ohio</v>
      </c>
      <c r="O654" s="423">
        <v>37</v>
      </c>
      <c r="P654" s="436" t="str">
        <f t="shared" si="197"/>
        <v>Miami (OH)</v>
      </c>
      <c r="Q654" s="408">
        <v>21</v>
      </c>
      <c r="R654" s="494" t="str">
        <f t="shared" si="198"/>
        <v>Ohio</v>
      </c>
      <c r="S654" s="494" t="str">
        <f t="shared" si="199"/>
        <v>Miami (OH)</v>
      </c>
      <c r="T654" s="356" t="str">
        <f>J654</f>
        <v>Ohio</v>
      </c>
      <c r="U654" s="665" t="str">
        <f t="shared" si="200"/>
        <v>W</v>
      </c>
      <c r="V654" s="352" t="str">
        <f>UPPER(+F654)</f>
        <v>OHIO</v>
      </c>
      <c r="W654" s="424">
        <v>35</v>
      </c>
      <c r="X654" s="352" t="str">
        <f>LOWER(+H654)</f>
        <v>miami (oh)</v>
      </c>
      <c r="Y654" s="425">
        <v>33</v>
      </c>
    </row>
    <row r="655" spans="1:25" ht="16" x14ac:dyDescent="0.8">
      <c r="A655" s="351">
        <v>11</v>
      </c>
      <c r="B655" s="420" t="s">
        <v>395</v>
      </c>
      <c r="C655" s="421">
        <v>44508</v>
      </c>
      <c r="D655" s="414">
        <f>20/24</f>
        <v>0.83333333333333337</v>
      </c>
      <c r="E655" s="349" t="s">
        <v>35</v>
      </c>
      <c r="F655" s="420" t="s">
        <v>131</v>
      </c>
      <c r="G655" s="349" t="s">
        <v>68</v>
      </c>
      <c r="H655" s="420" t="s">
        <v>77</v>
      </c>
      <c r="I655" s="349" t="s">
        <v>68</v>
      </c>
      <c r="J655" s="420" t="str">
        <f>H655</f>
        <v>Toledo</v>
      </c>
      <c r="K655" s="379" t="str">
        <f t="shared" si="195"/>
        <v>Ball State</v>
      </c>
      <c r="L655" s="422">
        <v>11.5</v>
      </c>
      <c r="M655" s="418">
        <v>50.5</v>
      </c>
      <c r="N655" s="351" t="str">
        <f t="shared" si="196"/>
        <v>Toledo</v>
      </c>
      <c r="O655" s="423">
        <v>28</v>
      </c>
      <c r="P655" s="436" t="str">
        <f t="shared" si="197"/>
        <v>Ball State</v>
      </c>
      <c r="Q655" s="408">
        <v>21</v>
      </c>
      <c r="R655" s="494" t="str">
        <f t="shared" si="198"/>
        <v>Ball State</v>
      </c>
      <c r="S655" s="494" t="str">
        <f t="shared" si="199"/>
        <v>Toledo</v>
      </c>
      <c r="T655" s="356" t="str">
        <f>K655</f>
        <v>Ball State</v>
      </c>
      <c r="U655" s="665" t="str">
        <f t="shared" si="200"/>
        <v>W</v>
      </c>
      <c r="V655" s="352" t="str">
        <f>LOWER(+H655)</f>
        <v>toledo</v>
      </c>
      <c r="W655" s="424">
        <v>22</v>
      </c>
      <c r="X655" s="352" t="str">
        <f>UPPER(+F655)</f>
        <v>BALL STATE</v>
      </c>
      <c r="Y655" s="425">
        <v>12</v>
      </c>
    </row>
    <row r="656" spans="1:25" ht="16" x14ac:dyDescent="0.8">
      <c r="A656" s="351">
        <v>11</v>
      </c>
      <c r="B656" s="420" t="s">
        <v>396</v>
      </c>
      <c r="C656" s="421">
        <v>44874</v>
      </c>
      <c r="D656" s="414">
        <f>19/24</f>
        <v>0.79166666666666663</v>
      </c>
      <c r="E656" s="349"/>
      <c r="F656" s="420" t="s">
        <v>113</v>
      </c>
      <c r="G656" s="349" t="s">
        <v>68</v>
      </c>
      <c r="H656" s="420" t="s">
        <v>138</v>
      </c>
      <c r="I656" s="349" t="s">
        <v>68</v>
      </c>
      <c r="J656" s="420" t="str">
        <f>F656</f>
        <v>Kent State</v>
      </c>
      <c r="K656" s="379" t="str">
        <f t="shared" si="195"/>
        <v>Bowling Green</v>
      </c>
      <c r="L656" s="422">
        <v>2.5</v>
      </c>
      <c r="M656" s="418">
        <v>55</v>
      </c>
      <c r="N656" s="351" t="str">
        <f t="shared" si="196"/>
        <v>Kent State</v>
      </c>
      <c r="O656" s="423">
        <v>40</v>
      </c>
      <c r="P656" s="436" t="str">
        <f t="shared" si="197"/>
        <v>Bowling Green</v>
      </c>
      <c r="Q656" s="408">
        <v>6</v>
      </c>
      <c r="R656" s="494" t="str">
        <f t="shared" si="198"/>
        <v>Kent State</v>
      </c>
      <c r="S656" s="494" t="str">
        <f t="shared" si="199"/>
        <v>Bowling Green</v>
      </c>
      <c r="T656" s="356" t="str">
        <f>H656</f>
        <v>Bowling Green</v>
      </c>
      <c r="U656" s="665" t="str">
        <f t="shared" si="200"/>
        <v>L</v>
      </c>
      <c r="V656" s="352" t="str">
        <f>UPPER(+F656)</f>
        <v>KENT STATE</v>
      </c>
      <c r="W656" s="424">
        <v>27</v>
      </c>
      <c r="X656" s="352" t="str">
        <f>LOWER(+H656)</f>
        <v>bowling green</v>
      </c>
      <c r="Y656" s="425">
        <v>20</v>
      </c>
    </row>
    <row r="657" spans="1:25" ht="16" x14ac:dyDescent="0.8">
      <c r="A657" s="351">
        <v>11</v>
      </c>
      <c r="B657" s="420" t="s">
        <v>396</v>
      </c>
      <c r="C657" s="421">
        <v>44874</v>
      </c>
      <c r="D657" s="414">
        <f>19/24</f>
        <v>0.79166666666666663</v>
      </c>
      <c r="E657" s="349" t="s">
        <v>256</v>
      </c>
      <c r="F657" s="420" t="s">
        <v>67</v>
      </c>
      <c r="G657" s="349" t="s">
        <v>68</v>
      </c>
      <c r="H657" s="420" t="s">
        <v>75</v>
      </c>
      <c r="I657" s="349" t="s">
        <v>68</v>
      </c>
      <c r="J657" s="420" t="str">
        <f>H657</f>
        <v>Central Michigan</v>
      </c>
      <c r="K657" s="379" t="str">
        <f t="shared" si="195"/>
        <v>Buffalo</v>
      </c>
      <c r="L657" s="422">
        <v>1</v>
      </c>
      <c r="M657" s="418">
        <v>54</v>
      </c>
      <c r="N657" s="351" t="str">
        <f t="shared" si="196"/>
        <v>Central Michigan</v>
      </c>
      <c r="O657" s="423">
        <v>31</v>
      </c>
      <c r="P657" s="436" t="str">
        <f t="shared" si="197"/>
        <v>Buffalo</v>
      </c>
      <c r="Q657" s="408">
        <v>27</v>
      </c>
      <c r="R657" s="494" t="str">
        <f t="shared" si="198"/>
        <v>Central Michigan</v>
      </c>
      <c r="S657" s="494" t="str">
        <f t="shared" si="199"/>
        <v>Buffalo</v>
      </c>
      <c r="T657" s="356" t="str">
        <f>K657</f>
        <v>Buffalo</v>
      </c>
      <c r="U657" s="665" t="str">
        <f t="shared" si="200"/>
        <v>L</v>
      </c>
      <c r="W657" s="424"/>
      <c r="X657" s="352" t="s">
        <v>404</v>
      </c>
      <c r="Y657" s="425"/>
    </row>
    <row r="658" spans="1:25" ht="16" x14ac:dyDescent="0.8">
      <c r="A658" s="351">
        <v>11</v>
      </c>
      <c r="B658" s="420" t="s">
        <v>396</v>
      </c>
      <c r="C658" s="421">
        <v>44874</v>
      </c>
      <c r="D658" s="414">
        <f>19/24</f>
        <v>0.79166666666666663</v>
      </c>
      <c r="E658" s="349" t="s">
        <v>95</v>
      </c>
      <c r="F658" s="420" t="s">
        <v>103</v>
      </c>
      <c r="G658" s="349" t="s">
        <v>68</v>
      </c>
      <c r="H658" s="420" t="s">
        <v>201</v>
      </c>
      <c r="I658" s="349" t="s">
        <v>68</v>
      </c>
      <c r="J658" s="420" t="str">
        <f>F658</f>
        <v>Northern Illinois</v>
      </c>
      <c r="K658" s="379" t="str">
        <f t="shared" si="195"/>
        <v>Western Michigan</v>
      </c>
      <c r="L658" s="422">
        <v>0</v>
      </c>
      <c r="M658" s="418">
        <v>50</v>
      </c>
      <c r="N658" s="351" t="str">
        <f t="shared" si="196"/>
        <v>Northern Illinois</v>
      </c>
      <c r="O658" s="423">
        <v>24</v>
      </c>
      <c r="P658" s="436" t="str">
        <f t="shared" si="197"/>
        <v>Western Michigan</v>
      </c>
      <c r="Q658" s="408">
        <v>21</v>
      </c>
      <c r="R658" s="494" t="str">
        <f t="shared" si="198"/>
        <v>Northern Illinois</v>
      </c>
      <c r="S658" s="494" t="str">
        <f t="shared" si="199"/>
        <v>Western Michigan</v>
      </c>
      <c r="T658" s="356" t="str">
        <f>K658</f>
        <v>Western Michigan</v>
      </c>
      <c r="U658" s="665" t="str">
        <f t="shared" si="200"/>
        <v>L</v>
      </c>
      <c r="V658" s="352" t="str">
        <f>LOWER(+H658)</f>
        <v>western michigan</v>
      </c>
      <c r="W658" s="424">
        <v>42</v>
      </c>
      <c r="X658" s="352" t="str">
        <f>UPPER(+F658)</f>
        <v>NORTHERN ILLINOIS</v>
      </c>
      <c r="Y658" s="425">
        <v>21</v>
      </c>
    </row>
    <row r="659" spans="1:25" ht="16" x14ac:dyDescent="0.8">
      <c r="A659" s="351">
        <v>11</v>
      </c>
      <c r="B659" s="420" t="s">
        <v>52</v>
      </c>
      <c r="C659" s="421">
        <v>44874</v>
      </c>
      <c r="D659" s="414">
        <f>19.5/24</f>
        <v>0.8125</v>
      </c>
      <c r="E659" s="349" t="s">
        <v>35</v>
      </c>
      <c r="F659" s="420" t="s">
        <v>71</v>
      </c>
      <c r="G659" s="349" t="s">
        <v>50</v>
      </c>
      <c r="H659" s="420" t="s">
        <v>60</v>
      </c>
      <c r="I659" s="349" t="s">
        <v>50</v>
      </c>
      <c r="J659" s="420" t="str">
        <f>H659</f>
        <v>Memphis</v>
      </c>
      <c r="K659" s="379" t="str">
        <f t="shared" si="195"/>
        <v>Tulsa</v>
      </c>
      <c r="L659" s="422">
        <v>7</v>
      </c>
      <c r="M659" s="418">
        <v>62</v>
      </c>
      <c r="N659" s="351" t="str">
        <f>H659</f>
        <v>Memphis</v>
      </c>
      <c r="O659" s="423">
        <v>26</v>
      </c>
      <c r="P659" s="436" t="str">
        <f t="shared" si="197"/>
        <v>Tulsa</v>
      </c>
      <c r="Q659" s="408">
        <v>10</v>
      </c>
      <c r="R659" s="494" t="str">
        <f t="shared" si="198"/>
        <v>Memphis</v>
      </c>
      <c r="S659" s="494" t="str">
        <f t="shared" si="199"/>
        <v>Tulsa</v>
      </c>
      <c r="T659" s="356" t="str">
        <f>J659</f>
        <v>Memphis</v>
      </c>
      <c r="U659" s="665" t="str">
        <f t="shared" si="200"/>
        <v>W</v>
      </c>
      <c r="V659" s="352" t="str">
        <f>UPPER(+F659)</f>
        <v>TULSA</v>
      </c>
      <c r="W659" s="424">
        <v>35</v>
      </c>
      <c r="X659" s="352" t="str">
        <f>LOWER(+H659)</f>
        <v>memphis</v>
      </c>
      <c r="Y659" s="425">
        <v>29</v>
      </c>
    </row>
    <row r="660" spans="1:25" ht="16" x14ac:dyDescent="0.8">
      <c r="A660" s="351">
        <v>11</v>
      </c>
      <c r="B660" s="420" t="s">
        <v>52</v>
      </c>
      <c r="C660" s="421">
        <v>44874</v>
      </c>
      <c r="D660" s="414">
        <f>19.5/24</f>
        <v>0.8125</v>
      </c>
      <c r="E660" s="349" t="s">
        <v>95</v>
      </c>
      <c r="F660" s="420" t="s">
        <v>210</v>
      </c>
      <c r="G660" s="349" t="s">
        <v>59</v>
      </c>
      <c r="H660" s="420" t="s">
        <v>209</v>
      </c>
      <c r="I660" s="349" t="s">
        <v>59</v>
      </c>
      <c r="J660" s="420" t="str">
        <f>H660</f>
        <v>UL Lafayette</v>
      </c>
      <c r="K660" s="379" t="str">
        <f t="shared" si="195"/>
        <v>Georgia Southern</v>
      </c>
      <c r="L660" s="422">
        <v>3.5</v>
      </c>
      <c r="M660" s="418">
        <v>63.5</v>
      </c>
      <c r="N660" s="436" t="str">
        <f>J660</f>
        <v>UL Lafayette</v>
      </c>
      <c r="O660" s="423">
        <v>36</v>
      </c>
      <c r="P660" s="436" t="str">
        <f t="shared" si="197"/>
        <v>Georgia Southern</v>
      </c>
      <c r="Q660" s="408">
        <v>17</v>
      </c>
      <c r="R660" s="494" t="str">
        <f t="shared" si="198"/>
        <v>UL Lafayette</v>
      </c>
      <c r="S660" s="494" t="str">
        <f t="shared" si="199"/>
        <v>Georgia Southern</v>
      </c>
      <c r="T660" s="356" t="str">
        <f>K660</f>
        <v>Georgia Southern</v>
      </c>
      <c r="U660" s="665" t="str">
        <f t="shared" si="200"/>
        <v>L</v>
      </c>
      <c r="V660" s="352" t="str">
        <f>LOWER(+H660)</f>
        <v>ul lafayette</v>
      </c>
      <c r="W660" s="424">
        <v>28</v>
      </c>
      <c r="X660" s="352" t="str">
        <f>UPPER(+F660)</f>
        <v>GEORGIA SOUTHERN</v>
      </c>
      <c r="Y660" s="425">
        <v>20</v>
      </c>
    </row>
    <row r="661" spans="1:25" ht="16" x14ac:dyDescent="0.8">
      <c r="A661" s="351">
        <v>11</v>
      </c>
      <c r="B661" s="420" t="s">
        <v>88</v>
      </c>
      <c r="C661" s="421">
        <v>44875</v>
      </c>
      <c r="D661" s="414">
        <f>20/24</f>
        <v>0.83333333333333337</v>
      </c>
      <c r="E661" s="349" t="s">
        <v>256</v>
      </c>
      <c r="F661" s="420" t="s">
        <v>107</v>
      </c>
      <c r="G661" s="349" t="s">
        <v>50</v>
      </c>
      <c r="H661" s="420" t="s">
        <v>55</v>
      </c>
      <c r="I661" s="349" t="s">
        <v>50</v>
      </c>
      <c r="J661" s="420" t="str">
        <f>H661</f>
        <v>Cincinnati</v>
      </c>
      <c r="K661" s="379" t="str">
        <f t="shared" si="195"/>
        <v>East Carolina</v>
      </c>
      <c r="L661" s="422">
        <v>5.5</v>
      </c>
      <c r="M661" s="418">
        <v>52.5</v>
      </c>
      <c r="N661" s="436" t="str">
        <f>H661</f>
        <v>Cincinnati</v>
      </c>
      <c r="O661" s="423">
        <v>27</v>
      </c>
      <c r="P661" s="436" t="str">
        <f t="shared" si="197"/>
        <v>East Carolina</v>
      </c>
      <c r="Q661" s="408">
        <v>25</v>
      </c>
      <c r="R661" s="494" t="str">
        <f t="shared" si="198"/>
        <v>East Carolina</v>
      </c>
      <c r="S661" s="494" t="str">
        <f t="shared" si="199"/>
        <v>Cincinnati</v>
      </c>
      <c r="T661" s="356" t="str">
        <f>K661</f>
        <v>East Carolina</v>
      </c>
      <c r="U661" s="665" t="str">
        <f t="shared" si="200"/>
        <v>W</v>
      </c>
      <c r="V661" s="352" t="str">
        <f>LOWER(+H661)</f>
        <v>cincinnati</v>
      </c>
      <c r="W661" s="424">
        <v>35</v>
      </c>
      <c r="X661" s="352" t="str">
        <f>UPPER(+F661)</f>
        <v>EAST CAROLINA</v>
      </c>
      <c r="Y661" s="425">
        <v>13</v>
      </c>
    </row>
    <row r="662" spans="1:25" ht="16" x14ac:dyDescent="0.8">
      <c r="A662" s="351">
        <v>11</v>
      </c>
      <c r="B662" s="420" t="s">
        <v>88</v>
      </c>
      <c r="C662" s="421">
        <v>44875</v>
      </c>
      <c r="D662" s="414">
        <f>21.5/24</f>
        <v>0.89583333333333337</v>
      </c>
      <c r="E662" s="349" t="s">
        <v>70</v>
      </c>
      <c r="F662" s="420" t="s">
        <v>104</v>
      </c>
      <c r="G662" s="349" t="s">
        <v>37</v>
      </c>
      <c r="H662" s="420" t="s">
        <v>202</v>
      </c>
      <c r="I662" s="349" t="s">
        <v>37</v>
      </c>
      <c r="J662" s="420" t="str">
        <f>H662</f>
        <v>Southern Cal</v>
      </c>
      <c r="K662" s="379" t="str">
        <f t="shared" si="195"/>
        <v>Colorado</v>
      </c>
      <c r="L662" s="422">
        <v>34</v>
      </c>
      <c r="M662" s="418">
        <v>66</v>
      </c>
      <c r="N662" s="351" t="str">
        <f>H662</f>
        <v>Southern Cal</v>
      </c>
      <c r="O662" s="423">
        <v>55</v>
      </c>
      <c r="P662" s="436" t="str">
        <f t="shared" si="197"/>
        <v>Colorado</v>
      </c>
      <c r="Q662" s="408">
        <v>17</v>
      </c>
      <c r="R662" s="494" t="str">
        <f t="shared" si="198"/>
        <v>Southern Cal</v>
      </c>
      <c r="S662" s="494" t="str">
        <f t="shared" si="199"/>
        <v>Colorado</v>
      </c>
      <c r="T662" s="356" t="str">
        <f>J662</f>
        <v>Southern Cal</v>
      </c>
      <c r="U662" s="665" t="str">
        <f t="shared" si="200"/>
        <v>W</v>
      </c>
      <c r="V662" s="352" t="str">
        <f>LOWER(+H662)</f>
        <v>southern cal</v>
      </c>
      <c r="W662" s="424">
        <v>37</v>
      </c>
      <c r="X662" s="352" t="str">
        <f>UPPER(+F662)</f>
        <v>COLORADO</v>
      </c>
      <c r="Y662" s="425">
        <v>14</v>
      </c>
    </row>
    <row r="663" spans="1:25" ht="16" x14ac:dyDescent="0.8">
      <c r="A663" s="351">
        <v>11</v>
      </c>
      <c r="B663" s="420" t="s">
        <v>88</v>
      </c>
      <c r="C663" s="421">
        <v>44875</v>
      </c>
      <c r="D663" s="414">
        <f>22.5/24</f>
        <v>0.9375</v>
      </c>
      <c r="E663" s="349" t="s">
        <v>445</v>
      </c>
      <c r="F663" s="420" t="s">
        <v>188</v>
      </c>
      <c r="G663" s="349" t="s">
        <v>45</v>
      </c>
      <c r="H663" s="420" t="s">
        <v>196</v>
      </c>
      <c r="I663" s="349" t="s">
        <v>45</v>
      </c>
      <c r="J663" s="420" t="str">
        <f>F663</f>
        <v>Fresno State</v>
      </c>
      <c r="K663" s="379" t="str">
        <f t="shared" si="195"/>
        <v>UNLV</v>
      </c>
      <c r="L663" s="422">
        <v>9.5</v>
      </c>
      <c r="M663" s="418">
        <v>59</v>
      </c>
      <c r="N663" s="351" t="str">
        <f>F663</f>
        <v>Fresno State</v>
      </c>
      <c r="O663" s="423">
        <v>37</v>
      </c>
      <c r="P663" s="436" t="str">
        <f t="shared" si="197"/>
        <v>UNLV</v>
      </c>
      <c r="Q663" s="408">
        <v>30</v>
      </c>
      <c r="R663" s="494" t="str">
        <f t="shared" si="198"/>
        <v>UNLV</v>
      </c>
      <c r="S663" s="494" t="str">
        <f t="shared" si="199"/>
        <v>Fresno State</v>
      </c>
      <c r="T663" s="356" t="str">
        <f>J663</f>
        <v>Fresno State</v>
      </c>
      <c r="U663" s="665" t="str">
        <f t="shared" si="200"/>
        <v>L</v>
      </c>
      <c r="V663" s="352" t="str">
        <f>UPPER(+F663)</f>
        <v>FRESNO STATE</v>
      </c>
      <c r="W663" s="424">
        <v>38</v>
      </c>
      <c r="X663" s="352" t="str">
        <f>LOWER(+H663)</f>
        <v>unlv</v>
      </c>
      <c r="Y663" s="425">
        <v>30</v>
      </c>
    </row>
    <row r="664" spans="1:25" ht="16" x14ac:dyDescent="0.8">
      <c r="A664" s="351">
        <v>11</v>
      </c>
      <c r="B664" s="420" t="s">
        <v>34</v>
      </c>
      <c r="C664" s="421">
        <v>44877</v>
      </c>
      <c r="D664" s="414">
        <f>15/24</f>
        <v>0.625</v>
      </c>
      <c r="E664" s="349"/>
      <c r="F664" s="420" t="s">
        <v>180</v>
      </c>
      <c r="G664" s="349" t="s">
        <v>50</v>
      </c>
      <c r="H664" s="420" t="s">
        <v>174</v>
      </c>
      <c r="I664" s="349" t="s">
        <v>50</v>
      </c>
      <c r="J664" s="420" t="str">
        <f>H664</f>
        <v>Houston</v>
      </c>
      <c r="K664" s="379" t="str">
        <f t="shared" ref="K664:K692" si="201">IF(+J664=H664,F664,H664)</f>
        <v>Temple</v>
      </c>
      <c r="L664" s="422">
        <v>20</v>
      </c>
      <c r="M664" s="418">
        <v>57</v>
      </c>
      <c r="N664" s="351" t="str">
        <f>H664</f>
        <v>Houston</v>
      </c>
      <c r="O664" s="423">
        <v>43</v>
      </c>
      <c r="P664" s="436" t="str">
        <f t="shared" ref="P664:P693" si="202">IF(+N664=H664,F664,H664)</f>
        <v>Temple</v>
      </c>
      <c r="Q664" s="408">
        <v>36</v>
      </c>
      <c r="R664" s="494" t="str">
        <f t="shared" ref="R664:R692" si="203">IF(+N664=K664,+N664,IF(+O664-Q664&lt;L664,+K664,+J664))</f>
        <v>Temple</v>
      </c>
      <c r="S664" s="494" t="str">
        <f t="shared" ref="S664:S692" si="204">IF(+R664=J664,+K664,+J664)</f>
        <v>Houston</v>
      </c>
      <c r="T664" s="356" t="str">
        <f>J664</f>
        <v>Houston</v>
      </c>
      <c r="U664" s="665" t="str">
        <f t="shared" ref="U664:U692" si="205">IF($N664=$J664,IF($O664-$Q664=$L664,"T",IF($R664=T664,"W","L")),IF($R664=T664,"W","L"))</f>
        <v>L</v>
      </c>
      <c r="V664" s="352" t="str">
        <f>LOWER(+H664)</f>
        <v>houston</v>
      </c>
      <c r="W664" s="424">
        <v>37</v>
      </c>
      <c r="X664" s="352" t="str">
        <f>UPPER(+F664)</f>
        <v>TEMPLE</v>
      </c>
      <c r="Y664" s="425">
        <v>6</v>
      </c>
    </row>
    <row r="665" spans="1:25" ht="16" x14ac:dyDescent="0.8">
      <c r="A665" s="351">
        <v>11</v>
      </c>
      <c r="B665" s="420" t="s">
        <v>34</v>
      </c>
      <c r="C665" s="421">
        <v>44877</v>
      </c>
      <c r="D665" s="414">
        <f>12/24</f>
        <v>0.5</v>
      </c>
      <c r="E665" s="349" t="s">
        <v>135</v>
      </c>
      <c r="F665" s="420" t="s">
        <v>181</v>
      </c>
      <c r="G665" s="349" t="s">
        <v>43</v>
      </c>
      <c r="H665" s="420" t="s">
        <v>96</v>
      </c>
      <c r="I665" s="349" t="s">
        <v>50</v>
      </c>
      <c r="J665" s="420" t="str">
        <f>F665</f>
        <v>Notre Dame</v>
      </c>
      <c r="K665" s="379" t="str">
        <f t="shared" si="201"/>
        <v>Navy</v>
      </c>
      <c r="L665" s="422">
        <v>17</v>
      </c>
      <c r="M665" s="418">
        <v>41.5</v>
      </c>
      <c r="N665" s="436" t="str">
        <f>F665</f>
        <v>Notre Dame</v>
      </c>
      <c r="O665" s="423">
        <v>35</v>
      </c>
      <c r="P665" s="436" t="str">
        <f t="shared" si="202"/>
        <v>Navy</v>
      </c>
      <c r="Q665" s="408">
        <v>32</v>
      </c>
      <c r="R665" s="494" t="str">
        <f t="shared" si="203"/>
        <v>Navy</v>
      </c>
      <c r="S665" s="494" t="str">
        <f t="shared" si="204"/>
        <v>Notre Dame</v>
      </c>
      <c r="T665" s="356" t="str">
        <f>K665</f>
        <v>Navy</v>
      </c>
      <c r="U665" s="665" t="str">
        <f t="shared" si="205"/>
        <v>W</v>
      </c>
      <c r="V665" s="352" t="str">
        <f>UPPER(+F665)</f>
        <v>NOTRE DAME</v>
      </c>
      <c r="W665" s="424">
        <v>34</v>
      </c>
      <c r="X665" s="352" t="str">
        <f>LOWER(+H665)</f>
        <v>navy</v>
      </c>
      <c r="Y665" s="425">
        <v>6</v>
      </c>
    </row>
    <row r="666" spans="1:25" ht="16" x14ac:dyDescent="0.8">
      <c r="A666" s="351">
        <v>11</v>
      </c>
      <c r="B666" s="420" t="s">
        <v>34</v>
      </c>
      <c r="C666" s="421">
        <v>44877</v>
      </c>
      <c r="D666" s="414">
        <f>12/24</f>
        <v>0.5</v>
      </c>
      <c r="E666" s="349" t="s">
        <v>95</v>
      </c>
      <c r="F666" s="420" t="s">
        <v>109</v>
      </c>
      <c r="G666" s="349" t="s">
        <v>50</v>
      </c>
      <c r="H666" s="420" t="s">
        <v>49</v>
      </c>
      <c r="I666" s="349" t="s">
        <v>50</v>
      </c>
      <c r="J666" s="420" t="str">
        <f>F666</f>
        <v>SMU</v>
      </c>
      <c r="K666" s="379" t="str">
        <f t="shared" si="201"/>
        <v>South Florida</v>
      </c>
      <c r="L666" s="422">
        <v>17.5</v>
      </c>
      <c r="M666" s="418">
        <v>72</v>
      </c>
      <c r="N666" s="351" t="str">
        <f>F666</f>
        <v>SMU</v>
      </c>
      <c r="O666" s="423">
        <v>41</v>
      </c>
      <c r="P666" s="436" t="str">
        <f t="shared" si="202"/>
        <v>South Florida</v>
      </c>
      <c r="Q666" s="408">
        <v>23</v>
      </c>
      <c r="R666" s="494" t="str">
        <f t="shared" si="203"/>
        <v>SMU</v>
      </c>
      <c r="S666" s="494" t="str">
        <f t="shared" si="204"/>
        <v>South Florida</v>
      </c>
      <c r="T666" s="356" t="str">
        <f>K666</f>
        <v>South Florida</v>
      </c>
      <c r="U666" s="665" t="str">
        <f t="shared" si="205"/>
        <v>L</v>
      </c>
      <c r="V666" s="352" t="str">
        <f>UPPER(+F666)</f>
        <v>SMU</v>
      </c>
      <c r="W666" s="424">
        <v>41</v>
      </c>
      <c r="X666" s="352" t="str">
        <f>LOWER(+H666)</f>
        <v>south florida</v>
      </c>
      <c r="Y666" s="425">
        <v>17</v>
      </c>
    </row>
    <row r="667" spans="1:25" ht="16" x14ac:dyDescent="0.8">
      <c r="A667" s="351">
        <v>11</v>
      </c>
      <c r="B667" s="420" t="s">
        <v>34</v>
      </c>
      <c r="C667" s="421">
        <v>44877</v>
      </c>
      <c r="D667" s="414">
        <f>15.5/24</f>
        <v>0.64583333333333337</v>
      </c>
      <c r="E667" s="349" t="s">
        <v>256</v>
      </c>
      <c r="F667" s="420" t="s">
        <v>106</v>
      </c>
      <c r="G667" s="349" t="s">
        <v>50</v>
      </c>
      <c r="H667" s="420" t="s">
        <v>112</v>
      </c>
      <c r="I667" s="349" t="s">
        <v>50</v>
      </c>
      <c r="J667" s="420" t="str">
        <f>H667</f>
        <v>Tulane</v>
      </c>
      <c r="K667" s="379" t="str">
        <f t="shared" si="201"/>
        <v>Central Florida</v>
      </c>
      <c r="L667" s="422">
        <v>2</v>
      </c>
      <c r="M667" s="418">
        <v>54.5</v>
      </c>
      <c r="N667" s="351" t="str">
        <f>F667</f>
        <v>Central Florida</v>
      </c>
      <c r="O667" s="423">
        <v>38</v>
      </c>
      <c r="P667" s="436" t="str">
        <f t="shared" si="202"/>
        <v>Tulane</v>
      </c>
      <c r="Q667" s="408">
        <v>31</v>
      </c>
      <c r="R667" s="494" t="str">
        <f t="shared" si="203"/>
        <v>Central Florida</v>
      </c>
      <c r="S667" s="494" t="str">
        <f t="shared" si="204"/>
        <v>Tulane</v>
      </c>
      <c r="T667" s="356" t="str">
        <f>J667</f>
        <v>Tulane</v>
      </c>
      <c r="U667" s="665" t="str">
        <f t="shared" si="205"/>
        <v>L</v>
      </c>
      <c r="V667" s="352" t="str">
        <f>UPPER(+F667)</f>
        <v>CENTRAL FLORIDA</v>
      </c>
      <c r="W667" s="424">
        <v>14</v>
      </c>
      <c r="X667" s="352" t="str">
        <f>LOWER(+H667)</f>
        <v>tulane</v>
      </c>
      <c r="Y667" s="425">
        <v>10</v>
      </c>
    </row>
    <row r="668" spans="1:25" ht="16" x14ac:dyDescent="0.8">
      <c r="A668" s="351">
        <v>11</v>
      </c>
      <c r="B668" s="420" t="s">
        <v>34</v>
      </c>
      <c r="C668" s="421">
        <v>44877</v>
      </c>
      <c r="D668" s="414">
        <f>15.5/24</f>
        <v>0.64583333333333337</v>
      </c>
      <c r="E668" s="349" t="s">
        <v>35</v>
      </c>
      <c r="F668" s="420" t="s">
        <v>120</v>
      </c>
      <c r="G668" s="349" t="s">
        <v>61</v>
      </c>
      <c r="H668" s="420" t="s">
        <v>114</v>
      </c>
      <c r="I668" s="349" t="s">
        <v>61</v>
      </c>
      <c r="J668" s="420" t="str">
        <f>H668</f>
        <v>Clemson</v>
      </c>
      <c r="K668" s="379" t="str">
        <f t="shared" si="201"/>
        <v>Louisville</v>
      </c>
      <c r="L668" s="422">
        <v>7</v>
      </c>
      <c r="M668" s="418">
        <v>52</v>
      </c>
      <c r="N668" s="351" t="str">
        <f>H668</f>
        <v>Clemson</v>
      </c>
      <c r="O668" s="423">
        <v>31</v>
      </c>
      <c r="P668" s="436" t="str">
        <f t="shared" si="202"/>
        <v>Louisville</v>
      </c>
      <c r="Q668" s="408">
        <v>16</v>
      </c>
      <c r="R668" s="494" t="str">
        <f t="shared" si="203"/>
        <v>Clemson</v>
      </c>
      <c r="S668" s="494" t="str">
        <f t="shared" si="204"/>
        <v>Louisville</v>
      </c>
      <c r="T668" s="356" t="str">
        <f>J668</f>
        <v>Clemson</v>
      </c>
      <c r="U668" s="665" t="str">
        <f t="shared" si="205"/>
        <v>W</v>
      </c>
      <c r="V668" s="352" t="str">
        <f>LOWER(+H668)</f>
        <v>clemson</v>
      </c>
      <c r="W668" s="424">
        <v>30</v>
      </c>
      <c r="X668" s="352" t="str">
        <f>UPPER(+F668)</f>
        <v>LOUISVILLE</v>
      </c>
      <c r="Y668" s="425">
        <v>24</v>
      </c>
    </row>
    <row r="669" spans="1:25" ht="16" x14ac:dyDescent="0.8">
      <c r="A669" s="351">
        <v>11</v>
      </c>
      <c r="B669" s="420" t="s">
        <v>34</v>
      </c>
      <c r="C669" s="421">
        <v>44877</v>
      </c>
      <c r="D669" s="414">
        <f>12/24</f>
        <v>0.5</v>
      </c>
      <c r="E669" s="349" t="s">
        <v>53</v>
      </c>
      <c r="F669" s="420" t="s">
        <v>221</v>
      </c>
      <c r="G669" s="349" t="s">
        <v>61</v>
      </c>
      <c r="H669" s="420" t="s">
        <v>115</v>
      </c>
      <c r="I669" s="349" t="s">
        <v>61</v>
      </c>
      <c r="J669" s="420" t="str">
        <f>H669</f>
        <v>Duke</v>
      </c>
      <c r="K669" s="379" t="str">
        <f t="shared" si="201"/>
        <v>Virginia Tech</v>
      </c>
      <c r="L669" s="422">
        <v>9.5</v>
      </c>
      <c r="M669" s="418">
        <v>49.5</v>
      </c>
      <c r="N669" s="351" t="str">
        <f>H669</f>
        <v>Duke</v>
      </c>
      <c r="O669" s="423">
        <v>24</v>
      </c>
      <c r="P669" s="436" t="str">
        <f t="shared" si="202"/>
        <v>Virginia Tech</v>
      </c>
      <c r="Q669" s="408">
        <v>7</v>
      </c>
      <c r="R669" s="494" t="str">
        <f t="shared" si="203"/>
        <v>Duke</v>
      </c>
      <c r="S669" s="494" t="str">
        <f t="shared" si="204"/>
        <v>Virginia Tech</v>
      </c>
      <c r="T669" s="356" t="str">
        <f>J669</f>
        <v>Duke</v>
      </c>
      <c r="U669" s="665" t="str">
        <f t="shared" si="205"/>
        <v>W</v>
      </c>
      <c r="V669" s="352" t="str">
        <f>UPPER(+F669)</f>
        <v>VIRGINIA TECH</v>
      </c>
      <c r="W669" s="424">
        <v>48</v>
      </c>
      <c r="X669" s="352" t="str">
        <f>LOWER(+H669)</f>
        <v>duke</v>
      </c>
      <c r="Y669" s="425">
        <v>17</v>
      </c>
    </row>
    <row r="670" spans="1:25" ht="16" x14ac:dyDescent="0.8">
      <c r="A670" s="351">
        <v>11</v>
      </c>
      <c r="B670" s="420" t="s">
        <v>34</v>
      </c>
      <c r="C670" s="421">
        <v>44877</v>
      </c>
      <c r="D670" s="414">
        <f>15.5/24</f>
        <v>0.64583333333333337</v>
      </c>
      <c r="E670" s="349" t="s">
        <v>53</v>
      </c>
      <c r="F670" s="420" t="s">
        <v>122</v>
      </c>
      <c r="G670" s="349" t="s">
        <v>61</v>
      </c>
      <c r="H670" s="420" t="s">
        <v>227</v>
      </c>
      <c r="I670" s="349" t="s">
        <v>61</v>
      </c>
      <c r="J670" s="420" t="str">
        <f>H670</f>
        <v>Georgia Tech</v>
      </c>
      <c r="K670" s="379" t="str">
        <f t="shared" si="201"/>
        <v>Miami (FL)</v>
      </c>
      <c r="L670" s="422">
        <v>0</v>
      </c>
      <c r="M670" s="418">
        <v>44</v>
      </c>
      <c r="N670" s="351" t="str">
        <f t="shared" ref="N670:N675" si="206">F670</f>
        <v>Miami (FL)</v>
      </c>
      <c r="O670" s="423">
        <v>35</v>
      </c>
      <c r="P670" s="436" t="str">
        <f t="shared" si="202"/>
        <v>Georgia Tech</v>
      </c>
      <c r="Q670" s="408">
        <v>14</v>
      </c>
      <c r="R670" s="494" t="str">
        <f t="shared" si="203"/>
        <v>Miami (FL)</v>
      </c>
      <c r="S670" s="494" t="str">
        <f t="shared" si="204"/>
        <v>Georgia Tech</v>
      </c>
      <c r="T670" s="356" t="str">
        <f>J670</f>
        <v>Georgia Tech</v>
      </c>
      <c r="U670" s="665" t="str">
        <f t="shared" si="205"/>
        <v>L</v>
      </c>
      <c r="V670" s="352" t="str">
        <f>UPPER(+F670)</f>
        <v>MIAMI (FL)</v>
      </c>
      <c r="W670" s="424">
        <v>33</v>
      </c>
      <c r="X670" s="352" t="str">
        <f>LOWER(+H670)</f>
        <v>georgia tech</v>
      </c>
      <c r="Y670" s="425">
        <v>30</v>
      </c>
    </row>
    <row r="671" spans="1:25" ht="16" x14ac:dyDescent="0.8">
      <c r="A671" s="351">
        <v>11</v>
      </c>
      <c r="B671" s="420" t="s">
        <v>34</v>
      </c>
      <c r="C671" s="421">
        <v>44877</v>
      </c>
      <c r="D671" s="414">
        <f>15.5/24</f>
        <v>0.64583333333333337</v>
      </c>
      <c r="E671" s="349" t="s">
        <v>61</v>
      </c>
      <c r="F671" s="420" t="s">
        <v>102</v>
      </c>
      <c r="G671" s="349" t="s">
        <v>61</v>
      </c>
      <c r="H671" s="420" t="s">
        <v>126</v>
      </c>
      <c r="I671" s="349" t="s">
        <v>61</v>
      </c>
      <c r="J671" s="420" t="str">
        <f>H671</f>
        <v>North Carolina St</v>
      </c>
      <c r="K671" s="379" t="str">
        <f t="shared" si="201"/>
        <v>Boston College</v>
      </c>
      <c r="L671" s="422">
        <v>18</v>
      </c>
      <c r="M671" s="418">
        <v>42</v>
      </c>
      <c r="N671" s="351" t="str">
        <f t="shared" si="206"/>
        <v>Boston College</v>
      </c>
      <c r="O671" s="423">
        <v>21</v>
      </c>
      <c r="P671" s="436" t="str">
        <f t="shared" si="202"/>
        <v>North Carolina St</v>
      </c>
      <c r="Q671" s="408">
        <v>20</v>
      </c>
      <c r="R671" s="494" t="str">
        <f t="shared" si="203"/>
        <v>Boston College</v>
      </c>
      <c r="S671" s="494" t="str">
        <f t="shared" si="204"/>
        <v>North Carolina St</v>
      </c>
      <c r="T671" s="356" t="str">
        <f>J671</f>
        <v>North Carolina St</v>
      </c>
      <c r="U671" s="665" t="str">
        <f t="shared" si="205"/>
        <v>L</v>
      </c>
      <c r="V671" s="352" t="str">
        <f>LOWER(+H671)</f>
        <v>north carolina st</v>
      </c>
      <c r="W671" s="424">
        <v>33</v>
      </c>
      <c r="X671" s="352" t="str">
        <f>UPPER(+F671)</f>
        <v>BOSTON COLLEGE</v>
      </c>
      <c r="Y671" s="425">
        <v>7</v>
      </c>
    </row>
    <row r="672" spans="1:25" ht="16" x14ac:dyDescent="0.8">
      <c r="A672" s="351">
        <v>11</v>
      </c>
      <c r="B672" s="420" t="s">
        <v>34</v>
      </c>
      <c r="C672" s="421">
        <v>44877</v>
      </c>
      <c r="D672" s="414">
        <f>20/24</f>
        <v>0.83333333333333337</v>
      </c>
      <c r="E672" s="349" t="s">
        <v>61</v>
      </c>
      <c r="F672" s="420" t="s">
        <v>117</v>
      </c>
      <c r="G672" s="349" t="s">
        <v>61</v>
      </c>
      <c r="H672" s="420" t="s">
        <v>90</v>
      </c>
      <c r="I672" s="349" t="s">
        <v>61</v>
      </c>
      <c r="J672" s="420" t="str">
        <f>F672</f>
        <v>Florida State</v>
      </c>
      <c r="K672" s="379" t="str">
        <f t="shared" si="201"/>
        <v>Syracuse</v>
      </c>
      <c r="L672" s="422">
        <v>6.5</v>
      </c>
      <c r="M672" s="418">
        <v>51</v>
      </c>
      <c r="N672" s="351" t="str">
        <f t="shared" si="206"/>
        <v>Florida State</v>
      </c>
      <c r="O672" s="423">
        <v>38</v>
      </c>
      <c r="P672" s="436" t="str">
        <f t="shared" si="202"/>
        <v>Syracuse</v>
      </c>
      <c r="Q672" s="408">
        <v>3</v>
      </c>
      <c r="R672" s="494" t="str">
        <f t="shared" si="203"/>
        <v>Florida State</v>
      </c>
      <c r="S672" s="494" t="str">
        <f t="shared" si="204"/>
        <v>Syracuse</v>
      </c>
      <c r="T672" s="356" t="str">
        <f>K672</f>
        <v>Syracuse</v>
      </c>
      <c r="U672" s="665" t="str">
        <f t="shared" si="205"/>
        <v>L</v>
      </c>
      <c r="V672" s="352" t="str">
        <f>UPPER(+F672)</f>
        <v>FLORIDA STATE</v>
      </c>
      <c r="W672" s="424">
        <v>33</v>
      </c>
      <c r="X672" s="352" t="str">
        <f>LOWER(+H672)</f>
        <v>syracuse</v>
      </c>
      <c r="Y672" s="425">
        <v>30</v>
      </c>
    </row>
    <row r="673" spans="1:25" ht="16" x14ac:dyDescent="0.8">
      <c r="A673" s="351">
        <v>11</v>
      </c>
      <c r="B673" s="420" t="s">
        <v>34</v>
      </c>
      <c r="C673" s="421">
        <v>44877</v>
      </c>
      <c r="D673" s="414">
        <f>12/24</f>
        <v>0.5</v>
      </c>
      <c r="E673" s="349" t="s">
        <v>61</v>
      </c>
      <c r="F673" s="420" t="s">
        <v>128</v>
      </c>
      <c r="G673" s="349" t="s">
        <v>61</v>
      </c>
      <c r="H673" s="420" t="s">
        <v>130</v>
      </c>
      <c r="I673" s="349" t="s">
        <v>61</v>
      </c>
      <c r="J673" s="420" t="str">
        <f>F673</f>
        <v>Pittsburgh</v>
      </c>
      <c r="K673" s="379" t="str">
        <f t="shared" si="201"/>
        <v>Virginia</v>
      </c>
      <c r="L673" s="422">
        <v>4</v>
      </c>
      <c r="M673" s="418">
        <v>40</v>
      </c>
      <c r="N673" s="351" t="str">
        <f t="shared" si="206"/>
        <v>Pittsburgh</v>
      </c>
      <c r="O673" s="423">
        <v>37</v>
      </c>
      <c r="P673" s="436" t="str">
        <f t="shared" si="202"/>
        <v>Virginia</v>
      </c>
      <c r="Q673" s="408">
        <v>7</v>
      </c>
      <c r="R673" s="494" t="str">
        <f t="shared" si="203"/>
        <v>Pittsburgh</v>
      </c>
      <c r="S673" s="494" t="str">
        <f t="shared" si="204"/>
        <v>Virginia</v>
      </c>
      <c r="T673" s="356" t="str">
        <f>J673</f>
        <v>Pittsburgh</v>
      </c>
      <c r="U673" s="665" t="str">
        <f t="shared" si="205"/>
        <v>W</v>
      </c>
      <c r="V673" s="352" t="str">
        <f>UPPER(+F673)</f>
        <v>PITTSBURGH</v>
      </c>
      <c r="W673" s="424">
        <v>48</v>
      </c>
      <c r="X673" s="352" t="str">
        <f>LOWER(+H673)</f>
        <v>virginia</v>
      </c>
      <c r="Y673" s="425">
        <v>38</v>
      </c>
    </row>
    <row r="674" spans="1:25" ht="16" x14ac:dyDescent="0.8">
      <c r="A674" s="351">
        <v>11</v>
      </c>
      <c r="B674" s="420" t="s">
        <v>34</v>
      </c>
      <c r="C674" s="421">
        <v>44877</v>
      </c>
      <c r="D674" s="414">
        <f>19.5/24</f>
        <v>0.8125</v>
      </c>
      <c r="E674" s="349" t="s">
        <v>256</v>
      </c>
      <c r="F674" s="420" t="s">
        <v>124</v>
      </c>
      <c r="G674" s="349" t="s">
        <v>61</v>
      </c>
      <c r="H674" s="420" t="s">
        <v>62</v>
      </c>
      <c r="I674" s="349" t="s">
        <v>61</v>
      </c>
      <c r="J674" s="420" t="str">
        <f>H674</f>
        <v>Wake Forest</v>
      </c>
      <c r="K674" s="379" t="str">
        <f t="shared" si="201"/>
        <v>North Carolina</v>
      </c>
      <c r="L674" s="422">
        <v>3.5</v>
      </c>
      <c r="M674" s="418">
        <v>77</v>
      </c>
      <c r="N674" s="351" t="str">
        <f t="shared" si="206"/>
        <v>North Carolina</v>
      </c>
      <c r="O674" s="423">
        <v>36</v>
      </c>
      <c r="P674" s="436" t="str">
        <f t="shared" si="202"/>
        <v>Wake Forest</v>
      </c>
      <c r="Q674" s="408">
        <v>34</v>
      </c>
      <c r="R674" s="494" t="str">
        <f t="shared" si="203"/>
        <v>North Carolina</v>
      </c>
      <c r="S674" s="494" t="str">
        <f t="shared" si="204"/>
        <v>Wake Forest</v>
      </c>
      <c r="T674" s="356" t="str">
        <f>K674</f>
        <v>North Carolina</v>
      </c>
      <c r="U674" s="665" t="str">
        <f t="shared" si="205"/>
        <v>W</v>
      </c>
      <c r="V674" s="352" t="str">
        <f>UPPER(+F674)</f>
        <v>NORTH CAROLINA</v>
      </c>
      <c r="W674" s="424">
        <v>58</v>
      </c>
      <c r="X674" s="352" t="str">
        <f>LOWER(+H674)</f>
        <v>wake forest</v>
      </c>
      <c r="Y674" s="425">
        <v>44</v>
      </c>
    </row>
    <row r="675" spans="1:25" ht="16" x14ac:dyDescent="0.8">
      <c r="A675" s="351">
        <v>11</v>
      </c>
      <c r="B675" s="420" t="s">
        <v>34</v>
      </c>
      <c r="C675" s="421">
        <v>44877</v>
      </c>
      <c r="D675" s="414">
        <f>12/24</f>
        <v>0.5</v>
      </c>
      <c r="E675" s="349" t="s">
        <v>256</v>
      </c>
      <c r="F675" s="420" t="s">
        <v>119</v>
      </c>
      <c r="G675" s="349" t="s">
        <v>64</v>
      </c>
      <c r="H675" s="420" t="s">
        <v>132</v>
      </c>
      <c r="I675" s="349" t="s">
        <v>64</v>
      </c>
      <c r="J675" s="420" t="str">
        <f>H675</f>
        <v>Illinois</v>
      </c>
      <c r="K675" s="379" t="str">
        <f t="shared" si="201"/>
        <v>Purdue</v>
      </c>
      <c r="L675" s="422">
        <v>6.5</v>
      </c>
      <c r="M675" s="418">
        <v>44</v>
      </c>
      <c r="N675" s="351" t="str">
        <f t="shared" si="206"/>
        <v>Purdue</v>
      </c>
      <c r="O675" s="423">
        <v>31</v>
      </c>
      <c r="P675" s="436" t="str">
        <f t="shared" si="202"/>
        <v>Illinois</v>
      </c>
      <c r="Q675" s="408">
        <v>24</v>
      </c>
      <c r="R675" s="494" t="str">
        <f t="shared" si="203"/>
        <v>Purdue</v>
      </c>
      <c r="S675" s="494" t="str">
        <f t="shared" si="204"/>
        <v>Illinois</v>
      </c>
      <c r="T675" s="356" t="str">
        <f>J675</f>
        <v>Illinois</v>
      </c>
      <c r="U675" s="665" t="str">
        <f t="shared" si="205"/>
        <v>L</v>
      </c>
      <c r="V675" s="352" t="str">
        <f>UPPER(+F675)</f>
        <v>PURDUE</v>
      </c>
      <c r="W675" s="424">
        <v>13</v>
      </c>
      <c r="X675" s="352" t="str">
        <f>LOWER(+H675)</f>
        <v>illinois</v>
      </c>
      <c r="Y675" s="425">
        <v>9</v>
      </c>
    </row>
    <row r="676" spans="1:25" ht="16" x14ac:dyDescent="0.8">
      <c r="A676" s="351">
        <v>11</v>
      </c>
      <c r="B676" s="420" t="s">
        <v>34</v>
      </c>
      <c r="C676" s="421">
        <v>44877</v>
      </c>
      <c r="D676" s="414">
        <f>15.5/24</f>
        <v>0.64583333333333337</v>
      </c>
      <c r="E676" s="349" t="s">
        <v>70</v>
      </c>
      <c r="F676" s="420" t="s">
        <v>94</v>
      </c>
      <c r="G676" s="349" t="s">
        <v>64</v>
      </c>
      <c r="H676" s="420" t="s">
        <v>134</v>
      </c>
      <c r="I676" s="349" t="s">
        <v>64</v>
      </c>
      <c r="J676" s="420" t="str">
        <f>F676</f>
        <v>Wisconsin</v>
      </c>
      <c r="K676" s="379" t="str">
        <f t="shared" si="201"/>
        <v>Iowa</v>
      </c>
      <c r="L676" s="422">
        <v>1.5</v>
      </c>
      <c r="M676" s="418">
        <v>35</v>
      </c>
      <c r="N676" s="351" t="str">
        <f t="shared" ref="N676:N681" si="207">H676</f>
        <v>Iowa</v>
      </c>
      <c r="O676" s="423">
        <v>24</v>
      </c>
      <c r="P676" s="436" t="str">
        <f t="shared" si="202"/>
        <v>Wisconsin</v>
      </c>
      <c r="Q676" s="408">
        <v>10</v>
      </c>
      <c r="R676" s="494" t="str">
        <f t="shared" si="203"/>
        <v>Iowa</v>
      </c>
      <c r="S676" s="494" t="str">
        <f t="shared" si="204"/>
        <v>Wisconsin</v>
      </c>
      <c r="T676" s="356" t="str">
        <f>K676</f>
        <v>Iowa</v>
      </c>
      <c r="U676" s="665" t="str">
        <f t="shared" si="205"/>
        <v>W</v>
      </c>
      <c r="V676" s="352" t="str">
        <f t="shared" ref="V676:V682" si="208">LOWER(+H676)</f>
        <v>iowa</v>
      </c>
      <c r="W676" s="424">
        <v>27</v>
      </c>
      <c r="X676" s="352" t="str">
        <f t="shared" ref="X676:X682" si="209">UPPER(+F676)</f>
        <v>WISCONSIN</v>
      </c>
      <c r="Y676" s="425">
        <v>7</v>
      </c>
    </row>
    <row r="677" spans="1:25" ht="16" x14ac:dyDescent="0.8">
      <c r="A677" s="351">
        <v>11</v>
      </c>
      <c r="B677" s="420" t="s">
        <v>34</v>
      </c>
      <c r="C677" s="421">
        <v>44877</v>
      </c>
      <c r="D677" s="414">
        <f>15.5/24</f>
        <v>0.64583333333333337</v>
      </c>
      <c r="E677" s="349" t="s">
        <v>135</v>
      </c>
      <c r="F677" s="420" t="s">
        <v>141</v>
      </c>
      <c r="G677" s="349" t="s">
        <v>64</v>
      </c>
      <c r="H677" s="420" t="s">
        <v>137</v>
      </c>
      <c r="I677" s="349" t="s">
        <v>64</v>
      </c>
      <c r="J677" s="420" t="str">
        <f t="shared" ref="J677:J682" si="210">H677</f>
        <v>Michigan</v>
      </c>
      <c r="K677" s="379" t="str">
        <f t="shared" si="201"/>
        <v>Nebraska</v>
      </c>
      <c r="L677" s="422">
        <v>29.5</v>
      </c>
      <c r="M677" s="418">
        <v>49</v>
      </c>
      <c r="N677" s="436" t="str">
        <f t="shared" si="207"/>
        <v>Michigan</v>
      </c>
      <c r="O677" s="423">
        <v>34</v>
      </c>
      <c r="P677" s="436" t="str">
        <f t="shared" si="202"/>
        <v>Nebraska</v>
      </c>
      <c r="Q677" s="408">
        <v>3</v>
      </c>
      <c r="R677" s="494" t="str">
        <f t="shared" si="203"/>
        <v>Michigan</v>
      </c>
      <c r="S677" s="494" t="str">
        <f t="shared" si="204"/>
        <v>Nebraska</v>
      </c>
      <c r="T677" s="356" t="str">
        <f>K677</f>
        <v>Nebraska</v>
      </c>
      <c r="U677" s="665" t="str">
        <f t="shared" si="205"/>
        <v>L</v>
      </c>
      <c r="V677" s="352" t="str">
        <f t="shared" si="208"/>
        <v>michigan</v>
      </c>
      <c r="W677" s="424">
        <v>32</v>
      </c>
      <c r="X677" s="352" t="str">
        <f t="shared" si="209"/>
        <v>NEBRASKA</v>
      </c>
      <c r="Y677" s="425">
        <v>29</v>
      </c>
    </row>
    <row r="678" spans="1:25" ht="16" x14ac:dyDescent="0.8">
      <c r="A678" s="351">
        <v>11</v>
      </c>
      <c r="B678" s="420" t="s">
        <v>34</v>
      </c>
      <c r="C678" s="421">
        <v>44877</v>
      </c>
      <c r="D678" s="414">
        <f>12/24</f>
        <v>0.5</v>
      </c>
      <c r="E678" s="349" t="s">
        <v>66</v>
      </c>
      <c r="F678" s="420" t="s">
        <v>92</v>
      </c>
      <c r="G678" s="349" t="s">
        <v>64</v>
      </c>
      <c r="H678" s="420" t="s">
        <v>139</v>
      </c>
      <c r="I678" s="349" t="s">
        <v>64</v>
      </c>
      <c r="J678" s="420" t="str">
        <f t="shared" si="210"/>
        <v>Michigan State</v>
      </c>
      <c r="K678" s="379" t="str">
        <f t="shared" si="201"/>
        <v>Rutgers</v>
      </c>
      <c r="L678" s="422">
        <v>10</v>
      </c>
      <c r="M678" s="418">
        <v>41</v>
      </c>
      <c r="N678" s="351" t="str">
        <f t="shared" si="207"/>
        <v>Michigan State</v>
      </c>
      <c r="O678" s="423">
        <v>27</v>
      </c>
      <c r="P678" s="436" t="str">
        <f t="shared" si="202"/>
        <v>Rutgers</v>
      </c>
      <c r="Q678" s="408">
        <v>21</v>
      </c>
      <c r="R678" s="494" t="str">
        <f t="shared" si="203"/>
        <v>Rutgers</v>
      </c>
      <c r="S678" s="494" t="str">
        <f t="shared" si="204"/>
        <v>Michigan State</v>
      </c>
      <c r="T678" s="356" t="str">
        <f>J678</f>
        <v>Michigan State</v>
      </c>
      <c r="U678" s="665" t="str">
        <f t="shared" si="205"/>
        <v>L</v>
      </c>
      <c r="V678" s="352" t="str">
        <f t="shared" si="208"/>
        <v>michigan state</v>
      </c>
      <c r="W678" s="424">
        <v>31</v>
      </c>
      <c r="X678" s="352" t="str">
        <f t="shared" si="209"/>
        <v>RUTGERS</v>
      </c>
      <c r="Y678" s="425">
        <v>13</v>
      </c>
    </row>
    <row r="679" spans="1:25" ht="16" x14ac:dyDescent="0.8">
      <c r="A679" s="351">
        <v>11</v>
      </c>
      <c r="B679" s="420" t="s">
        <v>34</v>
      </c>
      <c r="C679" s="421">
        <v>44877</v>
      </c>
      <c r="D679" s="414">
        <f>15.5/24</f>
        <v>0.64583333333333337</v>
      </c>
      <c r="E679" s="349" t="s">
        <v>66</v>
      </c>
      <c r="F679" s="420" t="s">
        <v>143</v>
      </c>
      <c r="G679" s="349" t="s">
        <v>64</v>
      </c>
      <c r="H679" s="420" t="s">
        <v>69</v>
      </c>
      <c r="I679" s="349" t="s">
        <v>64</v>
      </c>
      <c r="J679" s="420" t="str">
        <f t="shared" si="210"/>
        <v>Minnesota</v>
      </c>
      <c r="K679" s="379" t="str">
        <f t="shared" si="201"/>
        <v>Northwestern</v>
      </c>
      <c r="L679" s="422">
        <v>17.5</v>
      </c>
      <c r="M679" s="418">
        <v>41</v>
      </c>
      <c r="N679" s="351" t="str">
        <f t="shared" si="207"/>
        <v>Minnesota</v>
      </c>
      <c r="O679" s="423">
        <v>31</v>
      </c>
      <c r="P679" s="436" t="str">
        <f t="shared" si="202"/>
        <v>Northwestern</v>
      </c>
      <c r="Q679" s="408">
        <v>3</v>
      </c>
      <c r="R679" s="494" t="str">
        <f t="shared" si="203"/>
        <v>Minnesota</v>
      </c>
      <c r="S679" s="494" t="str">
        <f t="shared" si="204"/>
        <v>Northwestern</v>
      </c>
      <c r="T679" s="356" t="str">
        <f>J679</f>
        <v>Minnesota</v>
      </c>
      <c r="U679" s="665" t="str">
        <f t="shared" si="205"/>
        <v>W</v>
      </c>
      <c r="V679" s="352" t="str">
        <f t="shared" si="208"/>
        <v>minnesota</v>
      </c>
      <c r="W679" s="424">
        <v>41</v>
      </c>
      <c r="X679" s="352" t="str">
        <f t="shared" si="209"/>
        <v>NORTHWESTERN</v>
      </c>
      <c r="Y679" s="425">
        <v>14</v>
      </c>
    </row>
    <row r="680" spans="1:25" ht="16" x14ac:dyDescent="0.8">
      <c r="A680" s="351">
        <v>11</v>
      </c>
      <c r="B680" s="420" t="s">
        <v>34</v>
      </c>
      <c r="C680" s="421">
        <v>44877</v>
      </c>
      <c r="D680" s="414">
        <f>12/24</f>
        <v>0.5</v>
      </c>
      <c r="E680" s="349" t="s">
        <v>118</v>
      </c>
      <c r="F680" s="420" t="s">
        <v>65</v>
      </c>
      <c r="G680" s="349" t="s">
        <v>64</v>
      </c>
      <c r="H680" s="420" t="s">
        <v>63</v>
      </c>
      <c r="I680" s="349" t="s">
        <v>64</v>
      </c>
      <c r="J680" s="420" t="str">
        <f t="shared" si="210"/>
        <v>Ohio State</v>
      </c>
      <c r="K680" s="379" t="str">
        <f t="shared" si="201"/>
        <v>Indiana</v>
      </c>
      <c r="L680" s="422">
        <v>40</v>
      </c>
      <c r="M680" s="418">
        <v>57.5</v>
      </c>
      <c r="N680" s="436" t="str">
        <f t="shared" si="207"/>
        <v>Ohio State</v>
      </c>
      <c r="O680" s="423">
        <v>56</v>
      </c>
      <c r="P680" s="436" t="str">
        <f t="shared" si="202"/>
        <v>Indiana</v>
      </c>
      <c r="Q680" s="408">
        <v>14</v>
      </c>
      <c r="R680" s="494" t="str">
        <f t="shared" si="203"/>
        <v>Ohio State</v>
      </c>
      <c r="S680" s="494" t="str">
        <f t="shared" si="204"/>
        <v>Indiana</v>
      </c>
      <c r="T680" s="356" t="str">
        <f>K680</f>
        <v>Indiana</v>
      </c>
      <c r="U680" s="665" t="str">
        <f t="shared" si="205"/>
        <v>L</v>
      </c>
      <c r="V680" s="352" t="str">
        <f t="shared" si="208"/>
        <v>ohio state</v>
      </c>
      <c r="W680" s="424">
        <v>54</v>
      </c>
      <c r="X680" s="352" t="str">
        <f t="shared" si="209"/>
        <v>INDIANA</v>
      </c>
      <c r="Y680" s="425">
        <v>7</v>
      </c>
    </row>
    <row r="681" spans="1:25" ht="16" x14ac:dyDescent="0.8">
      <c r="A681" s="351">
        <v>11</v>
      </c>
      <c r="B681" s="420" t="s">
        <v>34</v>
      </c>
      <c r="C681" s="421">
        <v>44877</v>
      </c>
      <c r="D681" s="414">
        <f>15.5/24</f>
        <v>0.64583333333333337</v>
      </c>
      <c r="E681" s="349" t="s">
        <v>118</v>
      </c>
      <c r="F681" s="420" t="s">
        <v>156</v>
      </c>
      <c r="G681" s="349" t="s">
        <v>64</v>
      </c>
      <c r="H681" s="420" t="s">
        <v>145</v>
      </c>
      <c r="I681" s="349" t="s">
        <v>64</v>
      </c>
      <c r="J681" s="420" t="str">
        <f t="shared" si="210"/>
        <v>Penn State</v>
      </c>
      <c r="K681" s="379" t="str">
        <f t="shared" si="201"/>
        <v>Maryland</v>
      </c>
      <c r="L681" s="422">
        <v>10</v>
      </c>
      <c r="M681" s="418">
        <v>59</v>
      </c>
      <c r="N681" s="351" t="str">
        <f t="shared" si="207"/>
        <v>Penn State</v>
      </c>
      <c r="O681" s="423">
        <v>30</v>
      </c>
      <c r="P681" s="436" t="str">
        <f t="shared" si="202"/>
        <v>Maryland</v>
      </c>
      <c r="Q681" s="408">
        <v>0</v>
      </c>
      <c r="R681" s="494" t="str">
        <f t="shared" si="203"/>
        <v>Penn State</v>
      </c>
      <c r="S681" s="494" t="str">
        <f t="shared" si="204"/>
        <v>Maryland</v>
      </c>
      <c r="T681" s="356" t="str">
        <f>J681</f>
        <v>Penn State</v>
      </c>
      <c r="U681" s="665" t="str">
        <f t="shared" si="205"/>
        <v>W</v>
      </c>
      <c r="V681" s="352" t="str">
        <f t="shared" si="208"/>
        <v>penn state</v>
      </c>
      <c r="W681" s="424">
        <v>31</v>
      </c>
      <c r="X681" s="352" t="str">
        <f t="shared" si="209"/>
        <v>MARYLAND</v>
      </c>
      <c r="Y681" s="425">
        <v>14</v>
      </c>
    </row>
    <row r="682" spans="1:25" ht="16" x14ac:dyDescent="0.8">
      <c r="A682" s="351">
        <v>11</v>
      </c>
      <c r="B682" s="420" t="s">
        <v>34</v>
      </c>
      <c r="C682" s="421">
        <v>44877</v>
      </c>
      <c r="D682" s="414">
        <f>19/24</f>
        <v>0.79166666666666663</v>
      </c>
      <c r="E682" s="349" t="s">
        <v>70</v>
      </c>
      <c r="F682" s="420" t="s">
        <v>152</v>
      </c>
      <c r="G682" s="349" t="s">
        <v>73</v>
      </c>
      <c r="H682" s="420" t="s">
        <v>146</v>
      </c>
      <c r="I682" s="349" t="s">
        <v>73</v>
      </c>
      <c r="J682" s="420" t="str">
        <f t="shared" si="210"/>
        <v>Baylor</v>
      </c>
      <c r="K682" s="379" t="str">
        <f t="shared" si="201"/>
        <v>Kansas State</v>
      </c>
      <c r="L682" s="422">
        <v>2.5</v>
      </c>
      <c r="M682" s="418">
        <v>53</v>
      </c>
      <c r="N682" s="351" t="str">
        <f>F682</f>
        <v>Kansas State</v>
      </c>
      <c r="O682" s="423">
        <v>31</v>
      </c>
      <c r="P682" s="436" t="str">
        <f t="shared" si="202"/>
        <v>Baylor</v>
      </c>
      <c r="Q682" s="408">
        <v>3</v>
      </c>
      <c r="R682" s="494" t="str">
        <f t="shared" si="203"/>
        <v>Kansas State</v>
      </c>
      <c r="S682" s="494" t="str">
        <f t="shared" si="204"/>
        <v>Baylor</v>
      </c>
      <c r="T682" s="356" t="str">
        <f>J682</f>
        <v>Baylor</v>
      </c>
      <c r="U682" s="665" t="str">
        <f t="shared" si="205"/>
        <v>L</v>
      </c>
      <c r="V682" s="352" t="str">
        <f t="shared" si="208"/>
        <v>baylor</v>
      </c>
      <c r="W682" s="424">
        <v>20</v>
      </c>
      <c r="X682" s="352" t="str">
        <f t="shared" si="209"/>
        <v>KANSAS STATE</v>
      </c>
      <c r="Y682" s="425">
        <v>10</v>
      </c>
    </row>
    <row r="683" spans="1:25" ht="16" x14ac:dyDescent="0.8">
      <c r="A683" s="351">
        <v>11</v>
      </c>
      <c r="B683" s="420" t="s">
        <v>34</v>
      </c>
      <c r="C683" s="421">
        <v>44877</v>
      </c>
      <c r="D683" s="414">
        <f>15.5/24</f>
        <v>0.64583333333333337</v>
      </c>
      <c r="E683" s="349" t="s">
        <v>95</v>
      </c>
      <c r="F683" s="420" t="s">
        <v>148</v>
      </c>
      <c r="G683" s="349" t="s">
        <v>73</v>
      </c>
      <c r="H683" s="420" t="s">
        <v>72</v>
      </c>
      <c r="I683" s="349" t="s">
        <v>73</v>
      </c>
      <c r="J683" s="420" t="str">
        <f>F683</f>
        <v>Iowa State</v>
      </c>
      <c r="K683" s="379" t="str">
        <f t="shared" si="201"/>
        <v>Oklahoma State</v>
      </c>
      <c r="L683" s="422">
        <v>1</v>
      </c>
      <c r="M683" s="418">
        <v>48.5</v>
      </c>
      <c r="N683" s="351" t="str">
        <f>H683</f>
        <v>Oklahoma State</v>
      </c>
      <c r="O683" s="423">
        <v>20</v>
      </c>
      <c r="P683" s="436" t="str">
        <f t="shared" si="202"/>
        <v>Iowa State</v>
      </c>
      <c r="Q683" s="408">
        <v>14</v>
      </c>
      <c r="R683" s="494" t="str">
        <f t="shared" si="203"/>
        <v>Oklahoma State</v>
      </c>
      <c r="S683" s="494" t="str">
        <f t="shared" si="204"/>
        <v>Iowa State</v>
      </c>
      <c r="T683" s="356" t="str">
        <f>J683</f>
        <v>Iowa State</v>
      </c>
      <c r="U683" s="665" t="str">
        <f t="shared" si="205"/>
        <v>L</v>
      </c>
      <c r="V683" s="352" t="str">
        <f>UPPER(+F683)</f>
        <v>IOWA STATE</v>
      </c>
      <c r="W683" s="424">
        <v>24</v>
      </c>
      <c r="X683" s="352" t="str">
        <f>LOWER(+H683)</f>
        <v>oklahoma state</v>
      </c>
      <c r="Y683" s="425">
        <v>21</v>
      </c>
    </row>
    <row r="684" spans="1:25" ht="16" x14ac:dyDescent="0.8">
      <c r="A684" s="351">
        <v>11</v>
      </c>
      <c r="B684" s="420" t="s">
        <v>34</v>
      </c>
      <c r="C684" s="421">
        <v>44877</v>
      </c>
      <c r="D684" s="414">
        <f>19.5/24</f>
        <v>0.8125</v>
      </c>
      <c r="E684" s="349" t="s">
        <v>135</v>
      </c>
      <c r="F684" s="420" t="s">
        <v>155</v>
      </c>
      <c r="G684" s="349" t="s">
        <v>73</v>
      </c>
      <c r="H684" s="420" t="s">
        <v>157</v>
      </c>
      <c r="I684" s="349" t="s">
        <v>73</v>
      </c>
      <c r="J684" s="420" t="str">
        <f>H684</f>
        <v>Texas</v>
      </c>
      <c r="K684" s="379" t="str">
        <f t="shared" si="201"/>
        <v>TCU</v>
      </c>
      <c r="L684" s="422">
        <v>7</v>
      </c>
      <c r="M684" s="418">
        <v>65.5</v>
      </c>
      <c r="N684" s="351" t="str">
        <f>F684</f>
        <v>TCU</v>
      </c>
      <c r="O684" s="423">
        <v>17</v>
      </c>
      <c r="P684" s="436" t="str">
        <f t="shared" si="202"/>
        <v>Texas</v>
      </c>
      <c r="Q684" s="408">
        <v>10</v>
      </c>
      <c r="R684" s="494" t="str">
        <f t="shared" si="203"/>
        <v>TCU</v>
      </c>
      <c r="S684" s="494" t="str">
        <f t="shared" si="204"/>
        <v>Texas</v>
      </c>
      <c r="T684" s="356" t="str">
        <f>J684</f>
        <v>Texas</v>
      </c>
      <c r="U684" s="665" t="str">
        <f t="shared" si="205"/>
        <v>L</v>
      </c>
      <c r="V684" s="352" t="str">
        <f>UPPER(+F684)</f>
        <v>TCU</v>
      </c>
      <c r="W684" s="424">
        <v>33</v>
      </c>
      <c r="X684" s="352" t="str">
        <f>LOWER(+H684)</f>
        <v>texas</v>
      </c>
      <c r="Y684" s="425">
        <v>31</v>
      </c>
    </row>
    <row r="685" spans="1:25" ht="16" x14ac:dyDescent="0.8">
      <c r="A685" s="351">
        <v>11</v>
      </c>
      <c r="B685" s="420" t="s">
        <v>34</v>
      </c>
      <c r="C685" s="421">
        <v>44877</v>
      </c>
      <c r="D685" s="414">
        <f>19/24</f>
        <v>0.79166666666666663</v>
      </c>
      <c r="E685" s="349"/>
      <c r="F685" s="420" t="s">
        <v>150</v>
      </c>
      <c r="G685" s="349" t="s">
        <v>73</v>
      </c>
      <c r="H685" s="420" t="s">
        <v>159</v>
      </c>
      <c r="I685" s="349" t="s">
        <v>73</v>
      </c>
      <c r="J685" s="420" t="str">
        <f>H685</f>
        <v>Texas Tech</v>
      </c>
      <c r="K685" s="379" t="str">
        <f t="shared" si="201"/>
        <v>Kansas</v>
      </c>
      <c r="L685" s="422">
        <v>3.5</v>
      </c>
      <c r="M685" s="418">
        <v>64</v>
      </c>
      <c r="N685" s="351" t="str">
        <f>H685</f>
        <v>Texas Tech</v>
      </c>
      <c r="O685" s="423">
        <v>43</v>
      </c>
      <c r="P685" s="436" t="str">
        <f t="shared" si="202"/>
        <v>Kansas</v>
      </c>
      <c r="Q685" s="408">
        <v>28</v>
      </c>
      <c r="R685" s="494" t="str">
        <f t="shared" si="203"/>
        <v>Texas Tech</v>
      </c>
      <c r="S685" s="494" t="str">
        <f t="shared" si="204"/>
        <v>Kansas</v>
      </c>
      <c r="T685" s="356" t="str">
        <f>K685</f>
        <v>Kansas</v>
      </c>
      <c r="U685" s="665" t="str">
        <f t="shared" si="205"/>
        <v>L</v>
      </c>
      <c r="V685" s="352" t="str">
        <f>LOWER(+H685)</f>
        <v>texas tech</v>
      </c>
      <c r="W685" s="424">
        <v>41</v>
      </c>
      <c r="X685" s="352" t="str">
        <f>UPPER(+F685)</f>
        <v>KANSAS</v>
      </c>
      <c r="Y685" s="425">
        <v>14</v>
      </c>
    </row>
    <row r="686" spans="1:25" ht="16" x14ac:dyDescent="0.8">
      <c r="A686" s="351">
        <v>11</v>
      </c>
      <c r="B686" s="420" t="s">
        <v>34</v>
      </c>
      <c r="C686" s="421">
        <v>44877</v>
      </c>
      <c r="D686" s="414">
        <f>12/24</f>
        <v>0.5</v>
      </c>
      <c r="E686" s="349" t="s">
        <v>70</v>
      </c>
      <c r="F686" s="420" t="s">
        <v>154</v>
      </c>
      <c r="G686" s="349" t="s">
        <v>73</v>
      </c>
      <c r="H686" s="420" t="s">
        <v>222</v>
      </c>
      <c r="I686" s="349" t="s">
        <v>73</v>
      </c>
      <c r="J686" s="420" t="str">
        <f>F686</f>
        <v>Oklahoma</v>
      </c>
      <c r="K686" s="379" t="str">
        <f t="shared" si="201"/>
        <v>West Virginia</v>
      </c>
      <c r="L686" s="422">
        <v>7.5</v>
      </c>
      <c r="M686" s="418">
        <v>66.5</v>
      </c>
      <c r="N686" s="436" t="str">
        <f>H686</f>
        <v>West Virginia</v>
      </c>
      <c r="O686" s="423">
        <v>23</v>
      </c>
      <c r="P686" s="436" t="str">
        <f t="shared" si="202"/>
        <v>Oklahoma</v>
      </c>
      <c r="Q686" s="408">
        <v>20</v>
      </c>
      <c r="R686" s="494" t="str">
        <f t="shared" si="203"/>
        <v>West Virginia</v>
      </c>
      <c r="S686" s="494" t="str">
        <f t="shared" si="204"/>
        <v>Oklahoma</v>
      </c>
      <c r="T686" s="356" t="str">
        <f>K686</f>
        <v>West Virginia</v>
      </c>
      <c r="U686" s="665" t="str">
        <f t="shared" si="205"/>
        <v>W</v>
      </c>
      <c r="V686" s="352" t="str">
        <f>UPPER(+F686)</f>
        <v>OKLAHOMA</v>
      </c>
      <c r="W686" s="424">
        <v>16</v>
      </c>
      <c r="X686" s="352" t="str">
        <f>LOWER(+H686)</f>
        <v>west virginia</v>
      </c>
      <c r="Y686" s="425">
        <v>13</v>
      </c>
    </row>
    <row r="687" spans="1:25" ht="16" x14ac:dyDescent="0.8">
      <c r="A687" s="351">
        <v>11</v>
      </c>
      <c r="B687" s="420" t="s">
        <v>34</v>
      </c>
      <c r="C687" s="421">
        <v>44877</v>
      </c>
      <c r="D687" s="414">
        <f>19/24</f>
        <v>0.79166666666666663</v>
      </c>
      <c r="E687" s="349"/>
      <c r="F687" s="420" t="s">
        <v>97</v>
      </c>
      <c r="G687" s="349" t="s">
        <v>39</v>
      </c>
      <c r="H687" s="420" t="s">
        <v>105</v>
      </c>
      <c r="I687" s="349" t="s">
        <v>39</v>
      </c>
      <c r="J687" s="420" t="str">
        <f>F687</f>
        <v>Florida Atlantic</v>
      </c>
      <c r="K687" s="379" t="str">
        <f t="shared" si="201"/>
        <v>Florida Intl</v>
      </c>
      <c r="L687" s="422">
        <v>16</v>
      </c>
      <c r="M687" s="418">
        <v>54.5</v>
      </c>
      <c r="N687" s="351" t="str">
        <f>F687</f>
        <v>Florida Atlantic</v>
      </c>
      <c r="O687" s="423">
        <v>52</v>
      </c>
      <c r="P687" s="436" t="str">
        <f t="shared" si="202"/>
        <v>Florida Intl</v>
      </c>
      <c r="Q687" s="408">
        <v>7</v>
      </c>
      <c r="R687" s="494" t="str">
        <f t="shared" si="203"/>
        <v>Florida Atlantic</v>
      </c>
      <c r="S687" s="494" t="str">
        <f t="shared" si="204"/>
        <v>Florida Intl</v>
      </c>
      <c r="T687" s="356" t="str">
        <f>J687</f>
        <v>Florida Atlantic</v>
      </c>
      <c r="U687" s="665" t="str">
        <f t="shared" si="205"/>
        <v>W</v>
      </c>
      <c r="V687" s="352" t="str">
        <f>UPPER(+F687)</f>
        <v>FLORIDA ATLANTIC</v>
      </c>
      <c r="W687" s="424">
        <v>58</v>
      </c>
      <c r="X687" s="352" t="str">
        <f>LOWER(+H687)</f>
        <v>florida intl</v>
      </c>
      <c r="Y687" s="425">
        <v>21</v>
      </c>
    </row>
    <row r="688" spans="1:25" ht="16" x14ac:dyDescent="0.8">
      <c r="A688" s="351">
        <v>11</v>
      </c>
      <c r="B688" s="420" t="s">
        <v>34</v>
      </c>
      <c r="C688" s="421">
        <v>44877</v>
      </c>
      <c r="D688" s="414">
        <f>15.5/24</f>
        <v>0.64583333333333337</v>
      </c>
      <c r="E688" s="349" t="s">
        <v>53</v>
      </c>
      <c r="F688" s="420" t="s">
        <v>100</v>
      </c>
      <c r="G688" s="349" t="s">
        <v>39</v>
      </c>
      <c r="H688" s="420" t="s">
        <v>165</v>
      </c>
      <c r="I688" s="349" t="s">
        <v>39</v>
      </c>
      <c r="J688" s="420" t="str">
        <f>H688</f>
        <v>Middle Tenn St</v>
      </c>
      <c r="K688" s="379" t="str">
        <f t="shared" si="201"/>
        <v>UNC Charlotte</v>
      </c>
      <c r="L688" s="422">
        <v>10.5</v>
      </c>
      <c r="M688" s="418">
        <v>67</v>
      </c>
      <c r="N688" s="351" t="str">
        <f t="shared" ref="N688:N694" si="211">H688</f>
        <v>Middle Tenn St</v>
      </c>
      <c r="O688" s="423">
        <v>24</v>
      </c>
      <c r="P688" s="436" t="str">
        <f t="shared" si="202"/>
        <v>UNC Charlotte</v>
      </c>
      <c r="Q688" s="408">
        <v>14</v>
      </c>
      <c r="R688" s="494" t="str">
        <f t="shared" si="203"/>
        <v>UNC Charlotte</v>
      </c>
      <c r="S688" s="494" t="str">
        <f t="shared" si="204"/>
        <v>Middle Tenn St</v>
      </c>
      <c r="T688" s="356" t="str">
        <f>J688</f>
        <v>Middle Tenn St</v>
      </c>
      <c r="U688" s="665" t="str">
        <f t="shared" si="205"/>
        <v>L</v>
      </c>
      <c r="V688" s="352" t="str">
        <f>UPPER(+F688)</f>
        <v>UNC CHARLOTTE</v>
      </c>
      <c r="W688" s="424">
        <v>42</v>
      </c>
      <c r="X688" s="352" t="str">
        <f>LOWER(+H688)</f>
        <v>middle tenn st</v>
      </c>
      <c r="Y688" s="425">
        <v>39</v>
      </c>
    </row>
    <row r="689" spans="1:25" ht="16" x14ac:dyDescent="0.8">
      <c r="A689" s="351">
        <v>11</v>
      </c>
      <c r="B689" s="420" t="s">
        <v>34</v>
      </c>
      <c r="C689" s="421">
        <v>44877</v>
      </c>
      <c r="D689" s="414">
        <f>15.5/24</f>
        <v>0.64583333333333337</v>
      </c>
      <c r="E689" s="349"/>
      <c r="F689" s="420" t="s">
        <v>167</v>
      </c>
      <c r="G689" s="349" t="s">
        <v>39</v>
      </c>
      <c r="H689" s="420" t="s">
        <v>173</v>
      </c>
      <c r="I689" s="349" t="s">
        <v>39</v>
      </c>
      <c r="J689" s="420" t="str">
        <f>H689</f>
        <v>UAB</v>
      </c>
      <c r="K689" s="379" t="str">
        <f t="shared" si="201"/>
        <v>North Texas</v>
      </c>
      <c r="L689" s="422">
        <v>5</v>
      </c>
      <c r="M689" s="418">
        <v>57.5</v>
      </c>
      <c r="N689" s="351" t="str">
        <f t="shared" si="211"/>
        <v>UAB</v>
      </c>
      <c r="O689" s="423">
        <v>41</v>
      </c>
      <c r="P689" s="436" t="str">
        <f t="shared" si="202"/>
        <v>North Texas</v>
      </c>
      <c r="Q689" s="408">
        <v>21</v>
      </c>
      <c r="R689" s="494" t="str">
        <f t="shared" si="203"/>
        <v>UAB</v>
      </c>
      <c r="S689" s="494" t="str">
        <f t="shared" si="204"/>
        <v>North Texas</v>
      </c>
      <c r="T689" s="356" t="str">
        <f>K689</f>
        <v>North Texas</v>
      </c>
      <c r="U689" s="665" t="str">
        <f t="shared" si="205"/>
        <v>L</v>
      </c>
      <c r="V689" s="352" t="str">
        <f>LOWER(+H689)</f>
        <v>uab</v>
      </c>
      <c r="W689" s="424">
        <v>40</v>
      </c>
      <c r="X689" s="352" t="str">
        <f>UPPER(+F689)</f>
        <v>NORTH TEXAS</v>
      </c>
      <c r="Y689" s="425">
        <v>6</v>
      </c>
    </row>
    <row r="690" spans="1:25" ht="16" x14ac:dyDescent="0.8">
      <c r="A690" s="351">
        <v>11</v>
      </c>
      <c r="B690" s="420" t="s">
        <v>34</v>
      </c>
      <c r="C690" s="421">
        <v>44877</v>
      </c>
      <c r="D690" s="414">
        <f>15.5/24</f>
        <v>0.64583333333333337</v>
      </c>
      <c r="E690" s="349"/>
      <c r="F690" s="420" t="s">
        <v>161</v>
      </c>
      <c r="G690" s="349" t="s">
        <v>39</v>
      </c>
      <c r="H690" s="420" t="s">
        <v>175</v>
      </c>
      <c r="I690" s="349" t="s">
        <v>39</v>
      </c>
      <c r="J690" s="420" t="str">
        <f>H690</f>
        <v>UT San Antonio</v>
      </c>
      <c r="K690" s="379" t="str">
        <f t="shared" si="201"/>
        <v>Louisiana Tech</v>
      </c>
      <c r="L690" s="422">
        <v>18</v>
      </c>
      <c r="M690" s="418">
        <v>68</v>
      </c>
      <c r="N690" s="351" t="str">
        <f t="shared" si="211"/>
        <v>UT San Antonio</v>
      </c>
      <c r="O690" s="423">
        <v>51</v>
      </c>
      <c r="P690" s="436" t="str">
        <f t="shared" si="202"/>
        <v>Louisiana Tech</v>
      </c>
      <c r="Q690" s="408">
        <v>7</v>
      </c>
      <c r="R690" s="494" t="str">
        <f t="shared" si="203"/>
        <v>UT San Antonio</v>
      </c>
      <c r="S690" s="494" t="str">
        <f t="shared" si="204"/>
        <v>Louisiana Tech</v>
      </c>
      <c r="T690" s="356" t="str">
        <f>J690</f>
        <v>UT San Antonio</v>
      </c>
      <c r="U690" s="665" t="str">
        <f t="shared" si="205"/>
        <v>W</v>
      </c>
      <c r="V690" s="352" t="str">
        <f>LOWER(+H690)</f>
        <v>ut san antonio</v>
      </c>
      <c r="W690" s="424">
        <v>45</v>
      </c>
      <c r="X690" s="352" t="str">
        <f>UPPER(+F690)</f>
        <v>LOUISIANA TECH</v>
      </c>
      <c r="Y690" s="425">
        <v>16</v>
      </c>
    </row>
    <row r="691" spans="1:25" ht="16" x14ac:dyDescent="0.8">
      <c r="A691" s="351">
        <v>11</v>
      </c>
      <c r="B691" s="420" t="s">
        <v>34</v>
      </c>
      <c r="C691" s="421">
        <v>44877</v>
      </c>
      <c r="D691" s="414">
        <f>14/24</f>
        <v>0.58333333333333337</v>
      </c>
      <c r="E691" s="349"/>
      <c r="F691" s="420" t="s">
        <v>38</v>
      </c>
      <c r="G691" s="349" t="s">
        <v>39</v>
      </c>
      <c r="H691" s="420" t="s">
        <v>177</v>
      </c>
      <c r="I691" s="349" t="s">
        <v>39</v>
      </c>
      <c r="J691" s="420" t="str">
        <f>H691</f>
        <v>Western Kentucky</v>
      </c>
      <c r="K691" s="379" t="str">
        <f t="shared" si="201"/>
        <v>Rice</v>
      </c>
      <c r="L691" s="422">
        <v>13</v>
      </c>
      <c r="M691" s="418">
        <v>62.5</v>
      </c>
      <c r="N691" s="351" t="str">
        <f t="shared" si="211"/>
        <v>Western Kentucky</v>
      </c>
      <c r="O691" s="423">
        <v>45</v>
      </c>
      <c r="P691" s="436" t="str">
        <f t="shared" si="202"/>
        <v>Rice</v>
      </c>
      <c r="Q691" s="408">
        <v>10</v>
      </c>
      <c r="R691" s="494" t="str">
        <f t="shared" si="203"/>
        <v>Western Kentucky</v>
      </c>
      <c r="S691" s="494" t="str">
        <f t="shared" si="204"/>
        <v>Rice</v>
      </c>
      <c r="T691" s="356" t="str">
        <f>J691</f>
        <v>Western Kentucky</v>
      </c>
      <c r="U691" s="665" t="str">
        <f t="shared" si="205"/>
        <v>W</v>
      </c>
      <c r="V691" s="352" t="str">
        <f>LOWER(+H691)</f>
        <v>western kentucky</v>
      </c>
      <c r="W691" s="424">
        <v>42</v>
      </c>
      <c r="X691" s="352" t="str">
        <f>UPPER(+F691)</f>
        <v>RICE</v>
      </c>
      <c r="Y691" s="425">
        <v>21</v>
      </c>
    </row>
    <row r="692" spans="1:25" ht="16" x14ac:dyDescent="0.8">
      <c r="A692" s="351">
        <v>11</v>
      </c>
      <c r="B692" s="420" t="s">
        <v>34</v>
      </c>
      <c r="C692" s="421">
        <v>44877</v>
      </c>
      <c r="D692" s="414">
        <f>12/24</f>
        <v>0.5</v>
      </c>
      <c r="E692" s="349" t="s">
        <v>445</v>
      </c>
      <c r="F692" s="420" t="s">
        <v>306</v>
      </c>
      <c r="G692" s="349" t="s">
        <v>43</v>
      </c>
      <c r="H692" s="420" t="s">
        <v>57</v>
      </c>
      <c r="I692" s="349" t="s">
        <v>43</v>
      </c>
      <c r="J692" s="420" t="str">
        <f>F692</f>
        <v>Liberty</v>
      </c>
      <c r="K692" s="379" t="str">
        <f t="shared" si="201"/>
        <v>Connecticut</v>
      </c>
      <c r="L692" s="422">
        <v>14.5</v>
      </c>
      <c r="M692" s="418">
        <v>45.5</v>
      </c>
      <c r="N692" s="351" t="str">
        <f t="shared" si="211"/>
        <v>Connecticut</v>
      </c>
      <c r="O692" s="423">
        <v>36</v>
      </c>
      <c r="P692" s="436" t="str">
        <f t="shared" si="202"/>
        <v>Liberty</v>
      </c>
      <c r="Q692" s="408">
        <v>33</v>
      </c>
      <c r="R692" s="494" t="str">
        <f t="shared" si="203"/>
        <v>Connecticut</v>
      </c>
      <c r="S692" s="494" t="str">
        <f t="shared" si="204"/>
        <v>Liberty</v>
      </c>
      <c r="T692" s="356" t="str">
        <f>K692</f>
        <v>Connecticut</v>
      </c>
      <c r="U692" s="665" t="str">
        <f t="shared" si="205"/>
        <v>W</v>
      </c>
      <c r="W692" s="424"/>
      <c r="X692" s="352" t="s">
        <v>404</v>
      </c>
      <c r="Y692" s="425"/>
    </row>
    <row r="693" spans="1:25" ht="16" x14ac:dyDescent="0.8">
      <c r="A693" s="351">
        <v>11</v>
      </c>
      <c r="B693" s="420" t="s">
        <v>34</v>
      </c>
      <c r="C693" s="421">
        <v>44877</v>
      </c>
      <c r="D693" s="414">
        <f>14/24</f>
        <v>0.58333333333333337</v>
      </c>
      <c r="E693" s="349"/>
      <c r="F693" s="420" t="s">
        <v>166</v>
      </c>
      <c r="G693" s="349" t="s">
        <v>41</v>
      </c>
      <c r="H693" s="420" t="s">
        <v>78</v>
      </c>
      <c r="I693" s="349" t="s">
        <v>43</v>
      </c>
      <c r="J693" s="420"/>
      <c r="K693" s="379"/>
      <c r="L693" s="422"/>
      <c r="M693" s="418"/>
      <c r="N693" s="351" t="str">
        <f t="shared" si="211"/>
        <v>New Mexico State</v>
      </c>
      <c r="O693" s="423">
        <v>51</v>
      </c>
      <c r="P693" s="436" t="str">
        <f t="shared" si="202"/>
        <v>1AA Lamar</v>
      </c>
      <c r="Q693" s="408">
        <v>14</v>
      </c>
      <c r="R693" s="494"/>
      <c r="S693" s="494"/>
      <c r="T693" s="356"/>
      <c r="U693" s="349"/>
      <c r="W693" s="424"/>
      <c r="X693" s="352" t="s">
        <v>404</v>
      </c>
      <c r="Y693" s="425"/>
    </row>
    <row r="694" spans="1:25" ht="16" x14ac:dyDescent="0.8">
      <c r="A694" s="351">
        <v>11</v>
      </c>
      <c r="B694" s="420" t="s">
        <v>34</v>
      </c>
      <c r="C694" s="421">
        <v>44877</v>
      </c>
      <c r="D694" s="414">
        <f>15.5/24</f>
        <v>0.64583333333333337</v>
      </c>
      <c r="E694" s="349" t="s">
        <v>445</v>
      </c>
      <c r="F694" s="420" t="s">
        <v>191</v>
      </c>
      <c r="G694" s="349" t="s">
        <v>45</v>
      </c>
      <c r="H694" s="420" t="s">
        <v>184</v>
      </c>
      <c r="I694" s="349" t="s">
        <v>45</v>
      </c>
      <c r="J694" s="420" t="str">
        <f>H694</f>
        <v>Air Force</v>
      </c>
      <c r="K694" s="379" t="str">
        <f t="shared" ref="K694:K717" si="212">IF(+J694=H694,F694,H694)</f>
        <v>New Mexico</v>
      </c>
      <c r="L694" s="422">
        <v>22.5</v>
      </c>
      <c r="M694" s="418">
        <v>37.5</v>
      </c>
      <c r="N694" s="351" t="str">
        <f t="shared" si="211"/>
        <v>Air Force</v>
      </c>
      <c r="O694" s="423">
        <v>35</v>
      </c>
      <c r="P694" s="436" t="str">
        <f t="shared" ref="P694:P717" si="213">IF(+N694=H694,F694,H694)</f>
        <v>New Mexico</v>
      </c>
      <c r="Q694" s="408">
        <v>3</v>
      </c>
      <c r="R694" s="494" t="str">
        <f t="shared" ref="R694:R717" si="214">IF(+N694=K694,+N694,IF(+O694-Q694&lt;L694,+K694,+J694))</f>
        <v>Air Force</v>
      </c>
      <c r="S694" s="494" t="str">
        <f t="shared" ref="S694:S717" si="215">IF(+R694=J694,+K694,+J694)</f>
        <v>New Mexico</v>
      </c>
      <c r="T694" s="356" t="str">
        <f>J694</f>
        <v>Air Force</v>
      </c>
      <c r="U694" s="665" t="str">
        <f t="shared" ref="U694:U717" si="216">IF($N694=$J694,IF($O694-$Q694=$L694,"T",IF($R694=T694,"W","L")),IF($R694=T694,"W","L"))</f>
        <v>W</v>
      </c>
      <c r="V694" s="352" t="str">
        <f>LOWER(+H694)</f>
        <v>air force</v>
      </c>
      <c r="W694" s="424">
        <v>38</v>
      </c>
      <c r="X694" s="352" t="str">
        <f>UPPER(+F694)</f>
        <v>NEW MEXICO</v>
      </c>
      <c r="Y694" s="425">
        <v>10</v>
      </c>
    </row>
    <row r="695" spans="1:25" ht="16" x14ac:dyDescent="0.8">
      <c r="A695" s="351">
        <v>11</v>
      </c>
      <c r="B695" s="420" t="s">
        <v>34</v>
      </c>
      <c r="C695" s="421">
        <v>44877</v>
      </c>
      <c r="D695" s="414">
        <f>19/24</f>
        <v>0.79166666666666663</v>
      </c>
      <c r="E695" s="349" t="s">
        <v>445</v>
      </c>
      <c r="F695" s="420" t="s">
        <v>133</v>
      </c>
      <c r="G695" s="349" t="s">
        <v>45</v>
      </c>
      <c r="H695" s="420" t="s">
        <v>48</v>
      </c>
      <c r="I695" s="349" t="s">
        <v>45</v>
      </c>
      <c r="J695" s="420" t="str">
        <f>F695</f>
        <v>Wyoming</v>
      </c>
      <c r="K695" s="379" t="str">
        <f t="shared" si="212"/>
        <v>Colorado State</v>
      </c>
      <c r="L695" s="422">
        <v>8.5</v>
      </c>
      <c r="M695" s="418">
        <v>42</v>
      </c>
      <c r="N695" s="351" t="str">
        <f>F695</f>
        <v>Wyoming</v>
      </c>
      <c r="O695" s="423">
        <v>14</v>
      </c>
      <c r="P695" s="436" t="str">
        <f t="shared" si="213"/>
        <v>Colorado State</v>
      </c>
      <c r="Q695" s="408">
        <v>13</v>
      </c>
      <c r="R695" s="494" t="str">
        <f t="shared" si="214"/>
        <v>Colorado State</v>
      </c>
      <c r="S695" s="494" t="str">
        <f t="shared" si="215"/>
        <v>Wyoming</v>
      </c>
      <c r="T695" s="356" t="str">
        <f>J695</f>
        <v>Wyoming</v>
      </c>
      <c r="U695" s="665" t="str">
        <f t="shared" si="216"/>
        <v>L</v>
      </c>
      <c r="V695" s="352" t="str">
        <f>UPPER(+F695)</f>
        <v>WYOMING</v>
      </c>
      <c r="W695" s="424">
        <v>31</v>
      </c>
      <c r="X695" s="352" t="str">
        <f>LOWER(+H695)</f>
        <v>colorado state</v>
      </c>
      <c r="Y695" s="425">
        <v>17</v>
      </c>
    </row>
    <row r="696" spans="1:25" ht="16" x14ac:dyDescent="0.8">
      <c r="A696" s="351">
        <v>11</v>
      </c>
      <c r="B696" s="420" t="s">
        <v>34</v>
      </c>
      <c r="C696" s="421">
        <v>44877</v>
      </c>
      <c r="D696" s="414">
        <f>23/24</f>
        <v>0.95833333333333337</v>
      </c>
      <c r="E696" s="349"/>
      <c r="F696" s="420" t="s">
        <v>93</v>
      </c>
      <c r="G696" s="349" t="s">
        <v>45</v>
      </c>
      <c r="H696" s="420" t="s">
        <v>44</v>
      </c>
      <c r="I696" s="349" t="s">
        <v>45</v>
      </c>
      <c r="J696" s="420" t="str">
        <f>F696</f>
        <v>Utah State</v>
      </c>
      <c r="K696" s="379" t="str">
        <f t="shared" si="212"/>
        <v>Hawaii</v>
      </c>
      <c r="L696" s="422">
        <v>11.5</v>
      </c>
      <c r="M696" s="418">
        <v>52.5</v>
      </c>
      <c r="N696" s="351" t="str">
        <f>F696</f>
        <v>Utah State</v>
      </c>
      <c r="O696" s="423">
        <v>41</v>
      </c>
      <c r="P696" s="436" t="str">
        <f t="shared" si="213"/>
        <v>Hawaii</v>
      </c>
      <c r="Q696" s="408">
        <v>34</v>
      </c>
      <c r="R696" s="494" t="str">
        <f t="shared" si="214"/>
        <v>Hawaii</v>
      </c>
      <c r="S696" s="494" t="str">
        <f t="shared" si="215"/>
        <v>Utah State</v>
      </c>
      <c r="T696" s="356" t="str">
        <f>K696</f>
        <v>Hawaii</v>
      </c>
      <c r="U696" s="665" t="str">
        <f t="shared" si="216"/>
        <v>W</v>
      </c>
      <c r="V696" s="352" t="str">
        <f>UPPER(+F696)</f>
        <v>UTAH STATE</v>
      </c>
      <c r="W696" s="424">
        <v>51</v>
      </c>
      <c r="X696" s="352" t="str">
        <f>LOWER(+H696)</f>
        <v>hawaii</v>
      </c>
      <c r="Y696" s="425">
        <v>31</v>
      </c>
    </row>
    <row r="697" spans="1:25" ht="16" x14ac:dyDescent="0.8">
      <c r="A697" s="351">
        <v>11</v>
      </c>
      <c r="B697" s="420" t="s">
        <v>34</v>
      </c>
      <c r="C697" s="421">
        <v>44877</v>
      </c>
      <c r="D697" s="414">
        <f>22.5/24</f>
        <v>0.9375</v>
      </c>
      <c r="E697" s="349" t="s">
        <v>445</v>
      </c>
      <c r="F697" s="420" t="s">
        <v>186</v>
      </c>
      <c r="G697" s="349" t="s">
        <v>45</v>
      </c>
      <c r="H697" s="420" t="s">
        <v>142</v>
      </c>
      <c r="I697" s="349" t="s">
        <v>45</v>
      </c>
      <c r="J697" s="420" t="str">
        <f>F697</f>
        <v>Boise State</v>
      </c>
      <c r="K697" s="379" t="str">
        <f t="shared" si="212"/>
        <v>Nevada</v>
      </c>
      <c r="L697" s="422">
        <v>21</v>
      </c>
      <c r="M697" s="418">
        <v>47.5</v>
      </c>
      <c r="N697" s="351" t="str">
        <f>F697</f>
        <v>Boise State</v>
      </c>
      <c r="O697" s="423">
        <v>41</v>
      </c>
      <c r="P697" s="436" t="str">
        <f t="shared" si="213"/>
        <v>Nevada</v>
      </c>
      <c r="Q697" s="408">
        <v>3</v>
      </c>
      <c r="R697" s="494" t="str">
        <f t="shared" si="214"/>
        <v>Boise State</v>
      </c>
      <c r="S697" s="494" t="str">
        <f t="shared" si="215"/>
        <v>Nevada</v>
      </c>
      <c r="T697" s="356" t="str">
        <f>K697</f>
        <v>Nevada</v>
      </c>
      <c r="U697" s="665" t="str">
        <f t="shared" si="216"/>
        <v>L</v>
      </c>
      <c r="V697" s="646" t="str">
        <f>LOWER(+H697)</f>
        <v>nevada</v>
      </c>
      <c r="W697" s="647">
        <v>41</v>
      </c>
      <c r="X697" s="646" t="str">
        <f>UPPER(+F697)</f>
        <v>BOISE STATE</v>
      </c>
      <c r="Y697" s="648">
        <v>31</v>
      </c>
    </row>
    <row r="698" spans="1:25" ht="16" x14ac:dyDescent="0.8">
      <c r="A698" s="351">
        <v>11</v>
      </c>
      <c r="B698" s="420" t="s">
        <v>34</v>
      </c>
      <c r="C698" s="421">
        <v>44877</v>
      </c>
      <c r="D698" s="414">
        <f>22.5/24</f>
        <v>0.9375</v>
      </c>
      <c r="E698" s="349" t="s">
        <v>70</v>
      </c>
      <c r="F698" s="420" t="s">
        <v>51</v>
      </c>
      <c r="G698" s="349" t="s">
        <v>45</v>
      </c>
      <c r="H698" s="420" t="s">
        <v>193</v>
      </c>
      <c r="I698" s="349" t="s">
        <v>45</v>
      </c>
      <c r="J698" s="420" t="str">
        <f>F698</f>
        <v>San Jose State</v>
      </c>
      <c r="K698" s="379" t="str">
        <f t="shared" si="212"/>
        <v>San Diego State</v>
      </c>
      <c r="L698" s="422">
        <v>2.5</v>
      </c>
      <c r="M698" s="418">
        <v>41.5</v>
      </c>
      <c r="N698" s="351" t="str">
        <f>H698</f>
        <v>San Diego State</v>
      </c>
      <c r="O698" s="423">
        <v>43</v>
      </c>
      <c r="P698" s="436" t="str">
        <f t="shared" si="213"/>
        <v>San Jose State</v>
      </c>
      <c r="Q698" s="408">
        <v>27</v>
      </c>
      <c r="R698" s="494" t="str">
        <f t="shared" si="214"/>
        <v>San Diego State</v>
      </c>
      <c r="S698" s="494" t="str">
        <f t="shared" si="215"/>
        <v>San Jose State</v>
      </c>
      <c r="T698" s="356" t="str">
        <f>J698</f>
        <v>San Jose State</v>
      </c>
      <c r="U698" s="665" t="str">
        <f t="shared" si="216"/>
        <v>L</v>
      </c>
      <c r="V698" s="352" t="str">
        <f>LOWER(+H698)</f>
        <v>san diego state</v>
      </c>
      <c r="W698" s="424">
        <v>19</v>
      </c>
      <c r="X698" s="352" t="str">
        <f>UPPER(+F698)</f>
        <v>SAN JOSE STATE</v>
      </c>
      <c r="Y698" s="425">
        <v>13</v>
      </c>
    </row>
    <row r="699" spans="1:25" ht="16" x14ac:dyDescent="0.8">
      <c r="A699" s="351">
        <v>11</v>
      </c>
      <c r="B699" s="420" t="s">
        <v>34</v>
      </c>
      <c r="C699" s="421">
        <v>44877</v>
      </c>
      <c r="D699" s="414">
        <f>19/24</f>
        <v>0.79166666666666663</v>
      </c>
      <c r="E699" s="349" t="s">
        <v>118</v>
      </c>
      <c r="F699" s="420" t="s">
        <v>91</v>
      </c>
      <c r="G699" s="349" t="s">
        <v>37</v>
      </c>
      <c r="H699" s="420" t="s">
        <v>200</v>
      </c>
      <c r="I699" s="349" t="s">
        <v>37</v>
      </c>
      <c r="J699" s="420" t="str">
        <f t="shared" ref="J699:J706" si="217">H699</f>
        <v>Oregon</v>
      </c>
      <c r="K699" s="379" t="str">
        <f t="shared" si="212"/>
        <v>Washington</v>
      </c>
      <c r="L699" s="422">
        <v>13.5</v>
      </c>
      <c r="M699" s="418">
        <v>72.5</v>
      </c>
      <c r="N699" s="351" t="str">
        <f>F699</f>
        <v>Washington</v>
      </c>
      <c r="O699" s="423">
        <v>37</v>
      </c>
      <c r="P699" s="436" t="str">
        <f t="shared" si="213"/>
        <v>Oregon</v>
      </c>
      <c r="Q699" s="408">
        <v>34</v>
      </c>
      <c r="R699" s="494" t="str">
        <f t="shared" si="214"/>
        <v>Washington</v>
      </c>
      <c r="S699" s="494" t="str">
        <f t="shared" si="215"/>
        <v>Oregon</v>
      </c>
      <c r="T699" s="356" t="str">
        <f>J699</f>
        <v>Oregon</v>
      </c>
      <c r="U699" s="665" t="str">
        <f t="shared" si="216"/>
        <v>L</v>
      </c>
      <c r="V699" s="352" t="str">
        <f>LOWER(+H699)</f>
        <v>oregon</v>
      </c>
      <c r="W699" s="424">
        <v>28</v>
      </c>
      <c r="X699" s="352" t="str">
        <f>UPPER(+F699)</f>
        <v>WASHINGTON</v>
      </c>
      <c r="Y699" s="425">
        <v>16</v>
      </c>
    </row>
    <row r="700" spans="1:25" ht="16" x14ac:dyDescent="0.8">
      <c r="A700" s="351">
        <v>11</v>
      </c>
      <c r="B700" s="420" t="s">
        <v>34</v>
      </c>
      <c r="C700" s="421">
        <v>44877</v>
      </c>
      <c r="D700" s="414">
        <f>21/24</f>
        <v>0.875</v>
      </c>
      <c r="E700" s="349" t="s">
        <v>446</v>
      </c>
      <c r="F700" s="420" t="s">
        <v>123</v>
      </c>
      <c r="G700" s="349" t="s">
        <v>37</v>
      </c>
      <c r="H700" s="420" t="s">
        <v>47</v>
      </c>
      <c r="I700" s="349" t="s">
        <v>37</v>
      </c>
      <c r="J700" s="420" t="str">
        <f t="shared" si="217"/>
        <v>Oregon State</v>
      </c>
      <c r="K700" s="379" t="str">
        <f t="shared" si="212"/>
        <v>California</v>
      </c>
      <c r="L700" s="422">
        <v>14</v>
      </c>
      <c r="M700" s="418">
        <v>49</v>
      </c>
      <c r="N700" s="351" t="str">
        <f>H700</f>
        <v>Oregon State</v>
      </c>
      <c r="O700" s="423">
        <v>38</v>
      </c>
      <c r="P700" s="436" t="str">
        <f t="shared" si="213"/>
        <v>California</v>
      </c>
      <c r="Q700" s="408">
        <v>10</v>
      </c>
      <c r="R700" s="494" t="str">
        <f t="shared" si="214"/>
        <v>Oregon State</v>
      </c>
      <c r="S700" s="494" t="str">
        <f t="shared" si="215"/>
        <v>California</v>
      </c>
      <c r="T700" s="356" t="str">
        <f>J700</f>
        <v>Oregon State</v>
      </c>
      <c r="U700" s="665" t="str">
        <f t="shared" si="216"/>
        <v>W</v>
      </c>
      <c r="V700" s="352" t="str">
        <f>UPPER(+F700)</f>
        <v>CALIFORNIA</v>
      </c>
      <c r="W700" s="424">
        <v>39</v>
      </c>
      <c r="X700" s="352" t="str">
        <f>LOWER(+H700)</f>
        <v>oregon state</v>
      </c>
      <c r="Y700" s="425">
        <v>25</v>
      </c>
    </row>
    <row r="701" spans="1:25" ht="16" x14ac:dyDescent="0.8">
      <c r="A701" s="351">
        <v>11</v>
      </c>
      <c r="B701" s="420" t="s">
        <v>34</v>
      </c>
      <c r="C701" s="421">
        <v>44877</v>
      </c>
      <c r="D701" s="414">
        <f>22.5/24</f>
        <v>0.9375</v>
      </c>
      <c r="E701" s="349" t="s">
        <v>118</v>
      </c>
      <c r="F701" s="420" t="s">
        <v>198</v>
      </c>
      <c r="G701" s="349" t="s">
        <v>37</v>
      </c>
      <c r="H701" s="420" t="s">
        <v>224</v>
      </c>
      <c r="I701" s="349" t="s">
        <v>37</v>
      </c>
      <c r="J701" s="420" t="str">
        <f t="shared" si="217"/>
        <v>UCLA</v>
      </c>
      <c r="K701" s="379" t="str">
        <f t="shared" si="212"/>
        <v>Arizona</v>
      </c>
      <c r="L701" s="422">
        <v>19.5</v>
      </c>
      <c r="M701" s="418">
        <v>77.5</v>
      </c>
      <c r="N701" s="351" t="str">
        <f>F701</f>
        <v>Arizona</v>
      </c>
      <c r="O701" s="423">
        <v>34</v>
      </c>
      <c r="P701" s="436" t="str">
        <f t="shared" si="213"/>
        <v>UCLA</v>
      </c>
      <c r="Q701" s="408">
        <v>28</v>
      </c>
      <c r="R701" s="494" t="str">
        <f t="shared" si="214"/>
        <v>Arizona</v>
      </c>
      <c r="S701" s="494" t="str">
        <f t="shared" si="215"/>
        <v>UCLA</v>
      </c>
      <c r="T701" s="356" t="str">
        <f>H701</f>
        <v>UCLA</v>
      </c>
      <c r="U701" s="665" t="str">
        <f t="shared" si="216"/>
        <v>L</v>
      </c>
      <c r="V701" s="352" t="str">
        <f>LOWER(+H701)</f>
        <v>ucla</v>
      </c>
      <c r="W701" s="424">
        <v>34</v>
      </c>
      <c r="X701" s="352" t="str">
        <f>UPPER(+F701)</f>
        <v>ARIZONA</v>
      </c>
      <c r="Y701" s="425">
        <v>16</v>
      </c>
    </row>
    <row r="702" spans="1:25" ht="16" x14ac:dyDescent="0.8">
      <c r="A702" s="351">
        <v>11</v>
      </c>
      <c r="B702" s="420" t="s">
        <v>34</v>
      </c>
      <c r="C702" s="421">
        <v>44877</v>
      </c>
      <c r="D702" s="414">
        <f>22/24</f>
        <v>0.91666666666666663</v>
      </c>
      <c r="E702" s="349" t="s">
        <v>35</v>
      </c>
      <c r="F702" s="420" t="s">
        <v>36</v>
      </c>
      <c r="G702" s="349" t="s">
        <v>37</v>
      </c>
      <c r="H702" s="420" t="s">
        <v>81</v>
      </c>
      <c r="I702" s="349" t="s">
        <v>37</v>
      </c>
      <c r="J702" s="420" t="str">
        <f t="shared" si="217"/>
        <v>Utah</v>
      </c>
      <c r="K702" s="379" t="str">
        <f t="shared" si="212"/>
        <v>Stanford</v>
      </c>
      <c r="L702" s="422">
        <v>24</v>
      </c>
      <c r="M702" s="418">
        <v>53.5</v>
      </c>
      <c r="N702" s="351" t="str">
        <f>H702</f>
        <v>Utah</v>
      </c>
      <c r="O702" s="423">
        <v>42</v>
      </c>
      <c r="P702" s="436" t="str">
        <f t="shared" si="213"/>
        <v>Stanford</v>
      </c>
      <c r="Q702" s="408">
        <v>7</v>
      </c>
      <c r="R702" s="494" t="str">
        <f t="shared" si="214"/>
        <v>Utah</v>
      </c>
      <c r="S702" s="494" t="str">
        <f t="shared" si="215"/>
        <v>Stanford</v>
      </c>
      <c r="T702" s="356" t="str">
        <f>K702</f>
        <v>Stanford</v>
      </c>
      <c r="U702" s="665" t="str">
        <f t="shared" si="216"/>
        <v>L</v>
      </c>
      <c r="V702" s="352" t="str">
        <f>LOWER(+H702)</f>
        <v>utah</v>
      </c>
      <c r="W702" s="424">
        <v>52</v>
      </c>
      <c r="X702" s="352" t="str">
        <f>UPPER(+F702)</f>
        <v>STANFORD</v>
      </c>
      <c r="Y702" s="425">
        <v>7</v>
      </c>
    </row>
    <row r="703" spans="1:25" ht="16" x14ac:dyDescent="0.8">
      <c r="A703" s="351">
        <v>11</v>
      </c>
      <c r="B703" s="420" t="s">
        <v>34</v>
      </c>
      <c r="C703" s="421">
        <v>44877</v>
      </c>
      <c r="D703" s="414">
        <f>15.5/24</f>
        <v>0.64583333333333337</v>
      </c>
      <c r="E703" s="349" t="s">
        <v>446</v>
      </c>
      <c r="F703" s="420" t="s">
        <v>79</v>
      </c>
      <c r="G703" s="349" t="s">
        <v>37</v>
      </c>
      <c r="H703" s="420" t="s">
        <v>204</v>
      </c>
      <c r="I703" s="349" t="s">
        <v>37</v>
      </c>
      <c r="J703" s="420" t="str">
        <f t="shared" si="217"/>
        <v>Washington State</v>
      </c>
      <c r="K703" s="379" t="str">
        <f t="shared" si="212"/>
        <v>Arizona State</v>
      </c>
      <c r="L703" s="422">
        <v>8</v>
      </c>
      <c r="M703" s="418">
        <v>61</v>
      </c>
      <c r="N703" s="351" t="str">
        <f>H703</f>
        <v>Washington State</v>
      </c>
      <c r="O703" s="423">
        <v>28</v>
      </c>
      <c r="P703" s="436" t="str">
        <f t="shared" si="213"/>
        <v>Arizona State</v>
      </c>
      <c r="Q703" s="408">
        <v>18</v>
      </c>
      <c r="R703" s="494" t="str">
        <f t="shared" si="214"/>
        <v>Washington State</v>
      </c>
      <c r="S703" s="494" t="str">
        <f t="shared" si="215"/>
        <v>Arizona State</v>
      </c>
      <c r="T703" s="356" t="str">
        <f>J703</f>
        <v>Washington State</v>
      </c>
      <c r="U703" s="665" t="str">
        <f t="shared" si="216"/>
        <v>W</v>
      </c>
      <c r="V703" s="352" t="str">
        <f>LOWER(+H703)</f>
        <v>washington state</v>
      </c>
      <c r="W703" s="424">
        <v>34</v>
      </c>
      <c r="X703" s="352" t="str">
        <f>UPPER(+F703)</f>
        <v>ARIZONA STATE</v>
      </c>
      <c r="Y703" s="425">
        <v>21</v>
      </c>
    </row>
    <row r="704" spans="1:25" ht="16" x14ac:dyDescent="0.8">
      <c r="A704" s="351">
        <v>11</v>
      </c>
      <c r="B704" s="420" t="s">
        <v>34</v>
      </c>
      <c r="C704" s="421">
        <v>44877</v>
      </c>
      <c r="D704" s="414">
        <f>15/24</f>
        <v>0.625</v>
      </c>
      <c r="E704" s="349" t="s">
        <v>53</v>
      </c>
      <c r="F704" s="420" t="s">
        <v>46</v>
      </c>
      <c r="G704" s="349" t="s">
        <v>43</v>
      </c>
      <c r="H704" s="420" t="s">
        <v>140</v>
      </c>
      <c r="I704" s="349" t="s">
        <v>59</v>
      </c>
      <c r="J704" s="420" t="str">
        <f t="shared" si="217"/>
        <v>Arkansas State</v>
      </c>
      <c r="K704" s="379" t="str">
        <f t="shared" si="212"/>
        <v>Massachusetts</v>
      </c>
      <c r="L704" s="422">
        <v>17</v>
      </c>
      <c r="M704" s="418">
        <v>49.5</v>
      </c>
      <c r="N704" s="351" t="str">
        <f>J704</f>
        <v>Arkansas State</v>
      </c>
      <c r="O704" s="423">
        <v>35</v>
      </c>
      <c r="P704" s="436" t="str">
        <f t="shared" si="213"/>
        <v>Massachusetts</v>
      </c>
      <c r="Q704" s="408">
        <v>33</v>
      </c>
      <c r="R704" s="494" t="str">
        <f t="shared" si="214"/>
        <v>Massachusetts</v>
      </c>
      <c r="S704" s="494" t="str">
        <f t="shared" si="215"/>
        <v>Arkansas State</v>
      </c>
      <c r="T704" s="356" t="str">
        <f>J704</f>
        <v>Arkansas State</v>
      </c>
      <c r="U704" s="665" t="str">
        <f t="shared" si="216"/>
        <v>L</v>
      </c>
      <c r="W704" s="424"/>
      <c r="X704" s="352" t="s">
        <v>404</v>
      </c>
      <c r="Y704" s="425"/>
    </row>
    <row r="705" spans="1:25" ht="15" customHeight="1" x14ac:dyDescent="0.8">
      <c r="A705" s="351">
        <v>11</v>
      </c>
      <c r="B705" s="420" t="s">
        <v>34</v>
      </c>
      <c r="C705" s="421">
        <v>44877</v>
      </c>
      <c r="D705" s="414">
        <v>0.54166666666666663</v>
      </c>
      <c r="E705" s="349"/>
      <c r="F705" s="420" t="s">
        <v>171</v>
      </c>
      <c r="G705" s="349" t="s">
        <v>59</v>
      </c>
      <c r="H705" s="420" t="s">
        <v>205</v>
      </c>
      <c r="I705" s="349" t="s">
        <v>59</v>
      </c>
      <c r="J705" s="420" t="str">
        <f>H705</f>
        <v>Coastal Carolina</v>
      </c>
      <c r="K705" s="379" t="str">
        <f>F705</f>
        <v>Southern Miss</v>
      </c>
      <c r="L705" s="422">
        <v>4.5</v>
      </c>
      <c r="M705" s="418">
        <v>48</v>
      </c>
      <c r="N705" s="351" t="str">
        <f>J705</f>
        <v>Coastal Carolina</v>
      </c>
      <c r="O705" s="423">
        <v>26</v>
      </c>
      <c r="P705" s="436" t="str">
        <f t="shared" ref="P705" si="218">IF(+N705=H705,F705,H705)</f>
        <v>Southern Miss</v>
      </c>
      <c r="Q705" s="408">
        <v>23</v>
      </c>
      <c r="R705" s="494" t="str">
        <f t="shared" ref="R705" si="219">IF(+N705=K705,+N705,IF(+O705-Q705&lt;L705,+K705,+J705))</f>
        <v>Southern Miss</v>
      </c>
      <c r="S705" s="494" t="str">
        <f t="shared" ref="S705" si="220">IF(+R705=J705,+K705,+J705)</f>
        <v>Coastal Carolina</v>
      </c>
      <c r="T705" s="492" t="str">
        <f>J705</f>
        <v>Coastal Carolina</v>
      </c>
      <c r="U705" s="665" t="str">
        <f t="shared" si="216"/>
        <v>L</v>
      </c>
      <c r="W705" s="424"/>
      <c r="X705" s="352" t="s">
        <v>404</v>
      </c>
      <c r="Y705" s="425"/>
    </row>
    <row r="706" spans="1:25" ht="16" x14ac:dyDescent="0.8">
      <c r="A706" s="351">
        <v>11</v>
      </c>
      <c r="B706" s="420" t="s">
        <v>34</v>
      </c>
      <c r="C706" s="421">
        <v>44877</v>
      </c>
      <c r="D706" s="414">
        <f>13/24</f>
        <v>0.54166666666666663</v>
      </c>
      <c r="E706" s="349"/>
      <c r="F706" s="420" t="s">
        <v>58</v>
      </c>
      <c r="G706" s="349" t="s">
        <v>59</v>
      </c>
      <c r="H706" s="420" t="s">
        <v>84</v>
      </c>
      <c r="I706" s="349" t="s">
        <v>59</v>
      </c>
      <c r="J706" s="420" t="str">
        <f t="shared" si="217"/>
        <v>Georgia State</v>
      </c>
      <c r="K706" s="379" t="str">
        <f t="shared" si="212"/>
        <v>UL Monroe</v>
      </c>
      <c r="L706" s="422">
        <v>14</v>
      </c>
      <c r="M706" s="418">
        <v>58.5</v>
      </c>
      <c r="N706" s="436" t="str">
        <f>K706</f>
        <v>UL Monroe</v>
      </c>
      <c r="O706" s="423">
        <v>31</v>
      </c>
      <c r="P706" s="436" t="str">
        <f t="shared" si="213"/>
        <v>Georgia State</v>
      </c>
      <c r="Q706" s="408">
        <v>28</v>
      </c>
      <c r="R706" s="494" t="str">
        <f t="shared" si="214"/>
        <v>UL Monroe</v>
      </c>
      <c r="S706" s="494" t="str">
        <f t="shared" si="215"/>
        <v>Georgia State</v>
      </c>
      <c r="T706" s="356" t="str">
        <f>J706</f>
        <v>Georgia State</v>
      </c>
      <c r="U706" s="665" t="str">
        <f t="shared" si="216"/>
        <v>L</v>
      </c>
      <c r="V706" s="352" t="str">
        <f>LOWER(+H706)</f>
        <v>georgia state</v>
      </c>
      <c r="W706" s="424">
        <v>55</v>
      </c>
      <c r="X706" s="352" t="str">
        <f>UPPER(+F706)</f>
        <v>UL MONROE</v>
      </c>
      <c r="Y706" s="425">
        <v>21</v>
      </c>
    </row>
    <row r="707" spans="1:25" ht="16" x14ac:dyDescent="0.8">
      <c r="A707" s="351">
        <v>11</v>
      </c>
      <c r="B707" s="420" t="s">
        <v>34</v>
      </c>
      <c r="C707" s="421">
        <v>44877</v>
      </c>
      <c r="D707" s="414">
        <f>15.5/24</f>
        <v>0.64583333333333337</v>
      </c>
      <c r="E707" s="349"/>
      <c r="F707" s="420" t="s">
        <v>212</v>
      </c>
      <c r="G707" s="349" t="s">
        <v>59</v>
      </c>
      <c r="H707" s="420" t="s">
        <v>163</v>
      </c>
      <c r="I707" s="349" t="s">
        <v>59</v>
      </c>
      <c r="J707" s="420" t="str">
        <f>F707</f>
        <v>Appalachian State</v>
      </c>
      <c r="K707" s="379" t="str">
        <f t="shared" si="212"/>
        <v>Marshall</v>
      </c>
      <c r="L707" s="422">
        <v>1</v>
      </c>
      <c r="M707" s="418">
        <v>47</v>
      </c>
      <c r="N707" s="436" t="str">
        <f>K707</f>
        <v>Marshall</v>
      </c>
      <c r="O707" s="423">
        <v>28</v>
      </c>
      <c r="P707" s="436" t="str">
        <f t="shared" si="213"/>
        <v>Appalachian State</v>
      </c>
      <c r="Q707" s="408">
        <v>21</v>
      </c>
      <c r="R707" s="494" t="str">
        <f t="shared" si="214"/>
        <v>Marshall</v>
      </c>
      <c r="S707" s="494" t="str">
        <f t="shared" si="215"/>
        <v>Appalachian State</v>
      </c>
      <c r="T707" s="356" t="str">
        <f>K707</f>
        <v>Marshall</v>
      </c>
      <c r="U707" s="665" t="str">
        <f t="shared" si="216"/>
        <v>W</v>
      </c>
      <c r="V707" s="352" t="str">
        <f>LOWER(+H707)</f>
        <v>marshall</v>
      </c>
      <c r="W707" s="424">
        <v>41</v>
      </c>
      <c r="X707" s="352" t="str">
        <f>UPPER(+F707)</f>
        <v>APPALACHIAN STATE</v>
      </c>
      <c r="Y707" s="425">
        <v>13</v>
      </c>
    </row>
    <row r="708" spans="1:25" ht="16" x14ac:dyDescent="0.8">
      <c r="A708" s="351">
        <v>11</v>
      </c>
      <c r="B708" s="420" t="s">
        <v>34</v>
      </c>
      <c r="C708" s="421">
        <v>44877</v>
      </c>
      <c r="D708" s="414">
        <f>13/24</f>
        <v>0.54166666666666663</v>
      </c>
      <c r="E708" s="349"/>
      <c r="F708" s="420" t="s">
        <v>442</v>
      </c>
      <c r="G708" s="349" t="s">
        <v>59</v>
      </c>
      <c r="H708" s="420" t="s">
        <v>169</v>
      </c>
      <c r="I708" s="349" t="s">
        <v>59</v>
      </c>
      <c r="J708" s="420" t="str">
        <f>F708</f>
        <v>James Madison</v>
      </c>
      <c r="K708" s="379" t="str">
        <f t="shared" si="212"/>
        <v>Old Dominion</v>
      </c>
      <c r="L708" s="422">
        <v>7.5</v>
      </c>
      <c r="M708" s="418">
        <v>46.5</v>
      </c>
      <c r="N708" s="351" t="str">
        <f>J708</f>
        <v>James Madison</v>
      </c>
      <c r="O708" s="423">
        <v>37</v>
      </c>
      <c r="P708" s="436" t="str">
        <f t="shared" si="213"/>
        <v>Old Dominion</v>
      </c>
      <c r="Q708" s="408">
        <v>23</v>
      </c>
      <c r="R708" s="494" t="str">
        <f t="shared" si="214"/>
        <v>James Madison</v>
      </c>
      <c r="S708" s="494" t="str">
        <f t="shared" si="215"/>
        <v>Old Dominion</v>
      </c>
      <c r="T708" s="356" t="str">
        <f>J708</f>
        <v>James Madison</v>
      </c>
      <c r="U708" s="665" t="str">
        <f t="shared" si="216"/>
        <v>W</v>
      </c>
      <c r="W708" s="424"/>
      <c r="X708" s="352" t="s">
        <v>404</v>
      </c>
      <c r="Y708" s="425"/>
    </row>
    <row r="709" spans="1:25" ht="16" x14ac:dyDescent="0.8">
      <c r="A709" s="351">
        <v>11</v>
      </c>
      <c r="B709" s="420" t="s">
        <v>34</v>
      </c>
      <c r="C709" s="421">
        <v>44877</v>
      </c>
      <c r="D709" s="414">
        <f>17/24</f>
        <v>0.70833333333333337</v>
      </c>
      <c r="E709" s="349"/>
      <c r="F709" s="420" t="s">
        <v>207</v>
      </c>
      <c r="G709" s="349" t="s">
        <v>59</v>
      </c>
      <c r="H709" s="420" t="s">
        <v>214</v>
      </c>
      <c r="I709" s="349" t="s">
        <v>59</v>
      </c>
      <c r="J709" s="420" t="str">
        <f>H709</f>
        <v>South Alabama</v>
      </c>
      <c r="K709" s="379" t="str">
        <f t="shared" si="212"/>
        <v>Texas State</v>
      </c>
      <c r="L709" s="422">
        <v>16.5</v>
      </c>
      <c r="M709" s="418">
        <v>47.5</v>
      </c>
      <c r="N709" s="351" t="str">
        <f>J709</f>
        <v>South Alabama</v>
      </c>
      <c r="O709" s="423">
        <v>38</v>
      </c>
      <c r="P709" s="436" t="str">
        <f t="shared" si="213"/>
        <v>Texas State</v>
      </c>
      <c r="Q709" s="408">
        <v>21</v>
      </c>
      <c r="R709" s="494" t="str">
        <f t="shared" si="214"/>
        <v>South Alabama</v>
      </c>
      <c r="S709" s="494" t="str">
        <f t="shared" si="215"/>
        <v>Texas State</v>
      </c>
      <c r="T709" s="356" t="str">
        <f>J709</f>
        <v>South Alabama</v>
      </c>
      <c r="U709" s="665" t="str">
        <f t="shared" si="216"/>
        <v>W</v>
      </c>
      <c r="V709" s="352" t="str">
        <f>UPPER(+F709)</f>
        <v>TEXAS STATE</v>
      </c>
      <c r="W709" s="424">
        <v>33</v>
      </c>
      <c r="X709" s="352" t="str">
        <f>LOWER(+H709)</f>
        <v>south alabama</v>
      </c>
      <c r="Y709" s="425">
        <v>31</v>
      </c>
    </row>
    <row r="710" spans="1:25" ht="16" x14ac:dyDescent="0.8">
      <c r="A710" s="351">
        <v>11</v>
      </c>
      <c r="B710" s="420" t="s">
        <v>34</v>
      </c>
      <c r="C710" s="421">
        <v>44877</v>
      </c>
      <c r="D710" s="414">
        <f>15.5/24</f>
        <v>0.64583333333333337</v>
      </c>
      <c r="E710" s="349" t="s">
        <v>359</v>
      </c>
      <c r="F710" s="420" t="s">
        <v>99</v>
      </c>
      <c r="G710" s="349" t="s">
        <v>43</v>
      </c>
      <c r="H710" s="420" t="s">
        <v>185</v>
      </c>
      <c r="I710" s="349" t="s">
        <v>59</v>
      </c>
      <c r="J710" s="420" t="str">
        <f>H710</f>
        <v>Troy</v>
      </c>
      <c r="K710" s="379" t="str">
        <f t="shared" si="212"/>
        <v>Army</v>
      </c>
      <c r="L710" s="422">
        <v>9</v>
      </c>
      <c r="M710" s="418">
        <v>46</v>
      </c>
      <c r="N710" s="351" t="str">
        <f>J710</f>
        <v>Troy</v>
      </c>
      <c r="O710" s="423">
        <v>10</v>
      </c>
      <c r="P710" s="436" t="str">
        <f t="shared" si="213"/>
        <v>Army</v>
      </c>
      <c r="Q710" s="408">
        <v>9</v>
      </c>
      <c r="R710" s="494" t="str">
        <f t="shared" si="214"/>
        <v>Army</v>
      </c>
      <c r="S710" s="494" t="str">
        <f t="shared" si="215"/>
        <v>Troy</v>
      </c>
      <c r="T710" s="356" t="str">
        <f>J710</f>
        <v>Troy</v>
      </c>
      <c r="U710" s="665" t="str">
        <f t="shared" si="216"/>
        <v>L</v>
      </c>
      <c r="W710" s="424"/>
      <c r="X710" s="352" t="s">
        <v>404</v>
      </c>
      <c r="Y710" s="425"/>
    </row>
    <row r="711" spans="1:25" ht="16" x14ac:dyDescent="0.8">
      <c r="A711" s="351">
        <v>11</v>
      </c>
      <c r="B711" s="420" t="s">
        <v>34</v>
      </c>
      <c r="C711" s="421">
        <v>44877</v>
      </c>
      <c r="D711" s="414">
        <f>12/24</f>
        <v>0.5</v>
      </c>
      <c r="E711" s="349" t="s">
        <v>35</v>
      </c>
      <c r="F711" s="420" t="s">
        <v>178</v>
      </c>
      <c r="G711" s="349" t="s">
        <v>85</v>
      </c>
      <c r="H711" s="420" t="s">
        <v>87</v>
      </c>
      <c r="I711" s="349" t="s">
        <v>85</v>
      </c>
      <c r="J711" s="420" t="str">
        <f>F711</f>
        <v>LSU</v>
      </c>
      <c r="K711" s="379" t="str">
        <f t="shared" si="212"/>
        <v>Arkansas</v>
      </c>
      <c r="L711" s="422">
        <v>3</v>
      </c>
      <c r="M711" s="418">
        <v>64</v>
      </c>
      <c r="N711" s="436" t="str">
        <f>F711</f>
        <v>LSU</v>
      </c>
      <c r="O711" s="423">
        <v>13</v>
      </c>
      <c r="P711" s="436" t="str">
        <f t="shared" si="213"/>
        <v>Arkansas</v>
      </c>
      <c r="Q711" s="408">
        <v>10</v>
      </c>
      <c r="R711" s="494" t="str">
        <f t="shared" si="214"/>
        <v>LSU</v>
      </c>
      <c r="S711" s="494" t="str">
        <f t="shared" si="215"/>
        <v>Arkansas</v>
      </c>
      <c r="T711" s="356" t="str">
        <f>K711</f>
        <v>Arkansas</v>
      </c>
      <c r="U711" s="665" t="str">
        <f t="shared" si="216"/>
        <v>T</v>
      </c>
      <c r="V711" s="352" t="str">
        <f>LOWER(+H711)</f>
        <v>arkansas</v>
      </c>
      <c r="W711" s="424">
        <v>16</v>
      </c>
      <c r="X711" s="352" t="str">
        <f>UPPER(+F711)</f>
        <v>LSU</v>
      </c>
      <c r="Y711" s="425">
        <v>13</v>
      </c>
    </row>
    <row r="712" spans="1:25" ht="16" x14ac:dyDescent="0.8">
      <c r="A712" s="351">
        <v>11</v>
      </c>
      <c r="B712" s="420" t="s">
        <v>34</v>
      </c>
      <c r="C712" s="421">
        <v>44877</v>
      </c>
      <c r="D712" s="414">
        <f>19.5/24</f>
        <v>0.8125</v>
      </c>
      <c r="E712" s="349" t="s">
        <v>85</v>
      </c>
      <c r="F712" s="420" t="s">
        <v>223</v>
      </c>
      <c r="G712" s="349" t="s">
        <v>85</v>
      </c>
      <c r="H712" s="420" t="s">
        <v>211</v>
      </c>
      <c r="I712" s="349" t="s">
        <v>85</v>
      </c>
      <c r="J712" s="420" t="str">
        <f>H712</f>
        <v>Auburn</v>
      </c>
      <c r="K712" s="379" t="str">
        <f t="shared" si="212"/>
        <v>Texas A&amp;M</v>
      </c>
      <c r="L712" s="422">
        <v>2</v>
      </c>
      <c r="M712" s="418">
        <v>49</v>
      </c>
      <c r="N712" s="436" t="str">
        <f>H712</f>
        <v>Auburn</v>
      </c>
      <c r="O712" s="423">
        <v>1</v>
      </c>
      <c r="P712" s="436" t="str">
        <f t="shared" si="213"/>
        <v>Texas A&amp;M</v>
      </c>
      <c r="Q712" s="408">
        <v>10</v>
      </c>
      <c r="R712" s="494" t="str">
        <f t="shared" si="214"/>
        <v>Texas A&amp;M</v>
      </c>
      <c r="S712" s="494" t="str">
        <f t="shared" si="215"/>
        <v>Auburn</v>
      </c>
      <c r="T712" s="356" t="str">
        <f>J712</f>
        <v>Auburn</v>
      </c>
      <c r="U712" s="665" t="str">
        <f t="shared" si="216"/>
        <v>L</v>
      </c>
      <c r="V712" s="352" t="str">
        <f>UPPER(+F712)</f>
        <v>TEXAS A&amp;M</v>
      </c>
      <c r="W712" s="424">
        <v>20</v>
      </c>
      <c r="X712" s="352" t="str">
        <f>LOWER(+H712)</f>
        <v>auburn</v>
      </c>
      <c r="Y712" s="425">
        <v>3</v>
      </c>
    </row>
    <row r="713" spans="1:25" ht="16" x14ac:dyDescent="0.8">
      <c r="A713" s="351">
        <v>11</v>
      </c>
      <c r="B713" s="420" t="s">
        <v>34</v>
      </c>
      <c r="C713" s="421">
        <v>44877</v>
      </c>
      <c r="D713" s="414">
        <f>16/24</f>
        <v>0.66666666666666663</v>
      </c>
      <c r="E713" s="349" t="s">
        <v>85</v>
      </c>
      <c r="F713" s="420" t="s">
        <v>125</v>
      </c>
      <c r="G713" s="349" t="s">
        <v>85</v>
      </c>
      <c r="H713" s="420" t="s">
        <v>136</v>
      </c>
      <c r="I713" s="349" t="s">
        <v>85</v>
      </c>
      <c r="J713" s="420" t="str">
        <f>H713</f>
        <v>Florida</v>
      </c>
      <c r="K713" s="379" t="str">
        <f t="shared" si="212"/>
        <v>South Carolina</v>
      </c>
      <c r="L713" s="422">
        <v>7.5</v>
      </c>
      <c r="M713" s="418">
        <v>59</v>
      </c>
      <c r="N713" s="436" t="str">
        <f>H713</f>
        <v>Florida</v>
      </c>
      <c r="O713" s="423">
        <v>38</v>
      </c>
      <c r="P713" s="436" t="str">
        <f t="shared" si="213"/>
        <v>South Carolina</v>
      </c>
      <c r="Q713" s="408">
        <v>6</v>
      </c>
      <c r="R713" s="494" t="str">
        <f t="shared" si="214"/>
        <v>Florida</v>
      </c>
      <c r="S713" s="494" t="str">
        <f t="shared" si="215"/>
        <v>South Carolina</v>
      </c>
      <c r="T713" s="356" t="str">
        <f>K713</f>
        <v>South Carolina</v>
      </c>
      <c r="U713" s="665" t="str">
        <f t="shared" si="216"/>
        <v>L</v>
      </c>
      <c r="V713" s="352" t="str">
        <f>UPPER(+F713)</f>
        <v>SOUTH CAROLINA</v>
      </c>
      <c r="W713" s="424">
        <v>40</v>
      </c>
      <c r="X713" s="352" t="str">
        <f>LOWER(+H713)</f>
        <v>florida</v>
      </c>
      <c r="Y713" s="425">
        <v>17</v>
      </c>
    </row>
    <row r="714" spans="1:25" ht="16" x14ac:dyDescent="0.8">
      <c r="A714" s="351">
        <v>11</v>
      </c>
      <c r="B714" s="420" t="s">
        <v>34</v>
      </c>
      <c r="C714" s="421">
        <v>44877</v>
      </c>
      <c r="D714" s="414">
        <f>12/24</f>
        <v>0.5</v>
      </c>
      <c r="E714" s="349" t="s">
        <v>85</v>
      </c>
      <c r="F714" s="420" t="s">
        <v>164</v>
      </c>
      <c r="G714" s="349" t="s">
        <v>85</v>
      </c>
      <c r="H714" s="420" t="s">
        <v>170</v>
      </c>
      <c r="I714" s="349" t="s">
        <v>85</v>
      </c>
      <c r="J714" s="420" t="str">
        <f>H714</f>
        <v>Kentucky</v>
      </c>
      <c r="K714" s="379" t="str">
        <f t="shared" si="212"/>
        <v>Vanderbilt</v>
      </c>
      <c r="L714" s="422">
        <v>18</v>
      </c>
      <c r="M714" s="418">
        <v>48</v>
      </c>
      <c r="N714" s="436" t="str">
        <f>F714</f>
        <v>Vanderbilt</v>
      </c>
      <c r="O714" s="423">
        <v>24</v>
      </c>
      <c r="P714" s="436" t="str">
        <f t="shared" si="213"/>
        <v>Kentucky</v>
      </c>
      <c r="Q714" s="408">
        <v>21</v>
      </c>
      <c r="R714" s="494" t="str">
        <f t="shared" si="214"/>
        <v>Vanderbilt</v>
      </c>
      <c r="S714" s="494" t="str">
        <f t="shared" si="215"/>
        <v>Kentucky</v>
      </c>
      <c r="T714" s="356" t="str">
        <f>K714</f>
        <v>Vanderbilt</v>
      </c>
      <c r="U714" s="665" t="str">
        <f t="shared" si="216"/>
        <v>W</v>
      </c>
      <c r="V714" s="352" t="str">
        <f>LOWER(+H714)</f>
        <v>kentucky</v>
      </c>
      <c r="W714" s="424">
        <v>34</v>
      </c>
      <c r="X714" s="352" t="str">
        <f>UPPER(+F714)</f>
        <v>VANDERBILT</v>
      </c>
      <c r="Y714" s="425">
        <v>17</v>
      </c>
    </row>
    <row r="715" spans="1:25" ht="16" x14ac:dyDescent="0.8">
      <c r="A715" s="351">
        <v>11</v>
      </c>
      <c r="B715" s="420" t="s">
        <v>34</v>
      </c>
      <c r="C715" s="421">
        <v>44877</v>
      </c>
      <c r="D715" s="414">
        <f>15.5/24</f>
        <v>0.64583333333333337</v>
      </c>
      <c r="E715" s="349" t="s">
        <v>303</v>
      </c>
      <c r="F715" s="420" t="s">
        <v>116</v>
      </c>
      <c r="G715" s="349" t="s">
        <v>85</v>
      </c>
      <c r="H715" s="420" t="s">
        <v>215</v>
      </c>
      <c r="I715" s="349" t="s">
        <v>85</v>
      </c>
      <c r="J715" s="420" t="str">
        <f>F715</f>
        <v>Alabama</v>
      </c>
      <c r="K715" s="379" t="str">
        <f t="shared" si="212"/>
        <v>Mississippi</v>
      </c>
      <c r="L715" s="422">
        <v>11.5</v>
      </c>
      <c r="M715" s="418">
        <v>65</v>
      </c>
      <c r="N715" s="436" t="str">
        <f>F715</f>
        <v>Alabama</v>
      </c>
      <c r="O715" s="423">
        <v>30</v>
      </c>
      <c r="P715" s="436" t="str">
        <f t="shared" si="213"/>
        <v>Mississippi</v>
      </c>
      <c r="Q715" s="408">
        <v>24</v>
      </c>
      <c r="R715" s="494" t="str">
        <f t="shared" si="214"/>
        <v>Mississippi</v>
      </c>
      <c r="S715" s="494" t="str">
        <f t="shared" si="215"/>
        <v>Alabama</v>
      </c>
      <c r="T715" s="356" t="str">
        <f>K715</f>
        <v>Mississippi</v>
      </c>
      <c r="U715" s="665" t="str">
        <f t="shared" si="216"/>
        <v>W</v>
      </c>
      <c r="V715" s="352" t="str">
        <f>UPPER(+F715)</f>
        <v>ALABAMA</v>
      </c>
      <c r="W715" s="424">
        <v>42</v>
      </c>
      <c r="X715" s="352" t="str">
        <f>LOWER(+H715)</f>
        <v>mississippi</v>
      </c>
      <c r="Y715" s="425">
        <v>21</v>
      </c>
    </row>
    <row r="716" spans="1:25" ht="16" x14ac:dyDescent="0.8">
      <c r="A716" s="351">
        <v>11</v>
      </c>
      <c r="B716" s="420" t="s">
        <v>34</v>
      </c>
      <c r="C716" s="421">
        <v>44877</v>
      </c>
      <c r="D716" s="414">
        <f>19/24</f>
        <v>0.79166666666666663</v>
      </c>
      <c r="E716" s="349" t="s">
        <v>35</v>
      </c>
      <c r="F716" s="420" t="s">
        <v>213</v>
      </c>
      <c r="G716" s="349" t="s">
        <v>85</v>
      </c>
      <c r="H716" s="420" t="s">
        <v>217</v>
      </c>
      <c r="I716" s="349" t="s">
        <v>85</v>
      </c>
      <c r="J716" s="420" t="str">
        <f>F716</f>
        <v>Georgia</v>
      </c>
      <c r="K716" s="379" t="str">
        <f t="shared" si="212"/>
        <v>Mississippi State</v>
      </c>
      <c r="L716" s="422">
        <v>16</v>
      </c>
      <c r="M716" s="418">
        <v>53.5</v>
      </c>
      <c r="N716" s="436" t="str">
        <f>F716</f>
        <v>Georgia</v>
      </c>
      <c r="O716" s="423">
        <v>45</v>
      </c>
      <c r="P716" s="436" t="str">
        <f t="shared" si="213"/>
        <v>Mississippi State</v>
      </c>
      <c r="Q716" s="408">
        <v>19</v>
      </c>
      <c r="R716" s="494" t="str">
        <f t="shared" si="214"/>
        <v>Georgia</v>
      </c>
      <c r="S716" s="494" t="str">
        <f t="shared" si="215"/>
        <v>Mississippi State</v>
      </c>
      <c r="T716" s="356" t="str">
        <f>K716</f>
        <v>Mississippi State</v>
      </c>
      <c r="U716" s="665" t="str">
        <f t="shared" si="216"/>
        <v>L</v>
      </c>
      <c r="W716" s="424"/>
      <c r="X716" s="352" t="s">
        <v>404</v>
      </c>
      <c r="Y716" s="425"/>
    </row>
    <row r="717" spans="1:25" ht="16" x14ac:dyDescent="0.8">
      <c r="A717" s="351">
        <v>11</v>
      </c>
      <c r="B717" s="420" t="s">
        <v>34</v>
      </c>
      <c r="C717" s="421">
        <v>44877</v>
      </c>
      <c r="D717" s="414">
        <f>12/24</f>
        <v>0.5</v>
      </c>
      <c r="E717" s="349" t="s">
        <v>303</v>
      </c>
      <c r="F717" s="420" t="s">
        <v>219</v>
      </c>
      <c r="G717" s="349" t="s">
        <v>85</v>
      </c>
      <c r="H717" s="420" t="s">
        <v>226</v>
      </c>
      <c r="I717" s="349" t="s">
        <v>85</v>
      </c>
      <c r="J717" s="420" t="str">
        <f>H717</f>
        <v>Tennessee</v>
      </c>
      <c r="K717" s="379" t="str">
        <f t="shared" si="212"/>
        <v>Missouri</v>
      </c>
      <c r="L717" s="422">
        <v>20.5</v>
      </c>
      <c r="M717" s="418">
        <v>56.5</v>
      </c>
      <c r="N717" s="436" t="str">
        <f>H717</f>
        <v>Tennessee</v>
      </c>
      <c r="O717" s="423">
        <v>66</v>
      </c>
      <c r="P717" s="436" t="str">
        <f t="shared" si="213"/>
        <v>Missouri</v>
      </c>
      <c r="Q717" s="408">
        <v>24</v>
      </c>
      <c r="R717" s="494" t="str">
        <f t="shared" si="214"/>
        <v>Tennessee</v>
      </c>
      <c r="S717" s="494" t="str">
        <f t="shared" si="215"/>
        <v>Missouri</v>
      </c>
      <c r="T717" s="356" t="str">
        <f>K717</f>
        <v>Missouri</v>
      </c>
      <c r="U717" s="665" t="str">
        <f t="shared" si="216"/>
        <v>L</v>
      </c>
      <c r="V717" s="352" t="str">
        <f>LOWER(+H717)</f>
        <v>tennessee</v>
      </c>
      <c r="W717" s="424">
        <v>62</v>
      </c>
      <c r="X717" s="352" t="str">
        <f>UPPER(+F717)</f>
        <v>MISSOURI</v>
      </c>
      <c r="Y717" s="425">
        <v>24</v>
      </c>
    </row>
    <row r="718" spans="1:25" ht="16" x14ac:dyDescent="0.8">
      <c r="A718" s="351">
        <v>12</v>
      </c>
      <c r="B718" s="420" t="s">
        <v>395</v>
      </c>
      <c r="C718" s="421">
        <v>44880</v>
      </c>
      <c r="D718" s="414">
        <f>19/24</f>
        <v>0.79166666666666663</v>
      </c>
      <c r="E718" s="349" t="s">
        <v>256</v>
      </c>
      <c r="F718" s="420" t="s">
        <v>182</v>
      </c>
      <c r="G718" s="349" t="s">
        <v>68</v>
      </c>
      <c r="H718" s="420" t="s">
        <v>131</v>
      </c>
      <c r="I718" s="349" t="s">
        <v>68</v>
      </c>
      <c r="J718" s="420" t="str">
        <f>F718</f>
        <v>Ohio</v>
      </c>
      <c r="K718" s="379" t="str">
        <f t="shared" ref="K718:K728" si="221">IF(+J718=H718,F718,H718)</f>
        <v>Ball State</v>
      </c>
      <c r="L718" s="422">
        <v>4</v>
      </c>
      <c r="M718" s="418">
        <v>57</v>
      </c>
      <c r="N718" s="351" t="str">
        <f>J718</f>
        <v>Ohio</v>
      </c>
      <c r="O718" s="423">
        <v>32</v>
      </c>
      <c r="P718" s="436" t="str">
        <f t="shared" ref="P718:P725" si="222">IF(+N718=H718,F718,H718)</f>
        <v>Ball State</v>
      </c>
      <c r="Q718" s="408">
        <v>18</v>
      </c>
      <c r="R718" s="494" t="str">
        <f t="shared" ref="R718:R727" si="223">IF(+N718=K718,+N718,IF(+O718-Q718&lt;L718,+K718,+J718))</f>
        <v>Ohio</v>
      </c>
      <c r="S718" s="494" t="str">
        <f t="shared" ref="S718:S727" si="224">IF(+R718=J718,+K718,+J718)</f>
        <v>Ball State</v>
      </c>
      <c r="T718" s="356" t="str">
        <f>J718</f>
        <v>Ohio</v>
      </c>
      <c r="U718" s="665" t="str">
        <f t="shared" ref="U718:U727" si="225">IF($N718=$J718,IF($O718-$Q718=$L718,"T",IF($R718=T718,"W","L")),IF($R718=T718,"W","L"))</f>
        <v>W</v>
      </c>
      <c r="W718" s="424"/>
      <c r="X718" s="352" t="s">
        <v>404</v>
      </c>
      <c r="Y718" s="425"/>
    </row>
    <row r="719" spans="1:25" ht="16" x14ac:dyDescent="0.8">
      <c r="A719" s="351">
        <v>12</v>
      </c>
      <c r="B719" s="420" t="s">
        <v>395</v>
      </c>
      <c r="C719" s="421">
        <v>44880</v>
      </c>
      <c r="D719" s="414">
        <f>19/24</f>
        <v>0.79166666666666663</v>
      </c>
      <c r="E719" s="349" t="s">
        <v>95</v>
      </c>
      <c r="F719" s="420" t="s">
        <v>138</v>
      </c>
      <c r="G719" s="349" t="s">
        <v>68</v>
      </c>
      <c r="H719" s="420" t="s">
        <v>77</v>
      </c>
      <c r="I719" s="349" t="s">
        <v>68</v>
      </c>
      <c r="J719" s="420" t="str">
        <f t="shared" ref="J719:J724" si="226">H719</f>
        <v>Toledo</v>
      </c>
      <c r="K719" s="379" t="str">
        <f t="shared" si="221"/>
        <v>Bowling Green</v>
      </c>
      <c r="L719" s="422">
        <v>17</v>
      </c>
      <c r="M719" s="418">
        <v>50</v>
      </c>
      <c r="N719" s="436" t="str">
        <f>K719</f>
        <v>Bowling Green</v>
      </c>
      <c r="O719" s="423">
        <v>42</v>
      </c>
      <c r="P719" s="436" t="str">
        <f t="shared" si="222"/>
        <v>Toledo</v>
      </c>
      <c r="Q719" s="408">
        <v>35</v>
      </c>
      <c r="R719" s="494" t="str">
        <f t="shared" si="223"/>
        <v>Bowling Green</v>
      </c>
      <c r="S719" s="494" t="str">
        <f t="shared" si="224"/>
        <v>Toledo</v>
      </c>
      <c r="T719" s="356" t="str">
        <f>F719</f>
        <v>Bowling Green</v>
      </c>
      <c r="U719" s="665" t="str">
        <f t="shared" si="225"/>
        <v>W</v>
      </c>
      <c r="V719" s="352" t="str">
        <f>LOWER(+H719)</f>
        <v>toledo</v>
      </c>
      <c r="W719" s="424">
        <v>49</v>
      </c>
      <c r="X719" s="352" t="str">
        <f>UPPER(+F719)</f>
        <v>BOWLING GREEN</v>
      </c>
      <c r="Y719" s="425">
        <v>17</v>
      </c>
    </row>
    <row r="720" spans="1:25" ht="16" x14ac:dyDescent="0.8">
      <c r="A720" s="351">
        <v>12</v>
      </c>
      <c r="B720" s="420" t="s">
        <v>396</v>
      </c>
      <c r="C720" s="421">
        <v>44881</v>
      </c>
      <c r="D720" s="414">
        <f>20/24</f>
        <v>0.83333333333333337</v>
      </c>
      <c r="E720" s="349" t="s">
        <v>95</v>
      </c>
      <c r="F720" s="420" t="s">
        <v>201</v>
      </c>
      <c r="G720" s="349" t="s">
        <v>68</v>
      </c>
      <c r="H720" s="420" t="s">
        <v>75</v>
      </c>
      <c r="I720" s="349" t="s">
        <v>68</v>
      </c>
      <c r="J720" s="420" t="str">
        <f t="shared" si="226"/>
        <v>Central Michigan</v>
      </c>
      <c r="K720" s="379" t="str">
        <f t="shared" si="221"/>
        <v>Western Michigan</v>
      </c>
      <c r="L720" s="422">
        <v>10.5</v>
      </c>
      <c r="M720" s="418">
        <v>49.5</v>
      </c>
      <c r="N720" s="436" t="str">
        <f>K720</f>
        <v>Western Michigan</v>
      </c>
      <c r="O720" s="423">
        <v>12</v>
      </c>
      <c r="P720" s="436" t="str">
        <f t="shared" si="222"/>
        <v>Central Michigan</v>
      </c>
      <c r="Q720" s="408">
        <v>10</v>
      </c>
      <c r="R720" s="494" t="str">
        <f t="shared" si="223"/>
        <v>Western Michigan</v>
      </c>
      <c r="S720" s="494" t="str">
        <f t="shared" si="224"/>
        <v>Central Michigan</v>
      </c>
      <c r="T720" s="356" t="str">
        <f>K720</f>
        <v>Western Michigan</v>
      </c>
      <c r="U720" s="665" t="str">
        <f t="shared" si="225"/>
        <v>W</v>
      </c>
      <c r="V720" s="352" t="str">
        <f>LOWER(+H720)</f>
        <v>central michigan</v>
      </c>
      <c r="W720" s="424">
        <v>42</v>
      </c>
      <c r="X720" s="352" t="str">
        <f>UPPER(+F720)</f>
        <v>WESTERN MICHIGAN</v>
      </c>
      <c r="Y720" s="425">
        <v>30</v>
      </c>
    </row>
    <row r="721" spans="1:25" ht="16" x14ac:dyDescent="0.8">
      <c r="A721" s="351">
        <v>12</v>
      </c>
      <c r="B721" s="420" t="s">
        <v>396</v>
      </c>
      <c r="C721" s="421">
        <v>44881</v>
      </c>
      <c r="D721" s="414">
        <f>18/24</f>
        <v>0.75</v>
      </c>
      <c r="E721" s="349" t="s">
        <v>256</v>
      </c>
      <c r="F721" s="420" t="s">
        <v>101</v>
      </c>
      <c r="G721" s="349" t="s">
        <v>68</v>
      </c>
      <c r="H721" s="420" t="s">
        <v>113</v>
      </c>
      <c r="I721" s="349" t="s">
        <v>68</v>
      </c>
      <c r="J721" s="420" t="str">
        <f t="shared" si="226"/>
        <v>Kent State</v>
      </c>
      <c r="K721" s="379" t="str">
        <f t="shared" si="221"/>
        <v>Eastern Michigan</v>
      </c>
      <c r="L721" s="422">
        <v>7.5</v>
      </c>
      <c r="M721" s="418">
        <v>60</v>
      </c>
      <c r="N721" s="436" t="str">
        <f>K721</f>
        <v>Eastern Michigan</v>
      </c>
      <c r="O721" s="423">
        <v>31</v>
      </c>
      <c r="P721" s="436" t="str">
        <f t="shared" si="222"/>
        <v>Kent State</v>
      </c>
      <c r="Q721" s="408">
        <v>24</v>
      </c>
      <c r="R721" s="494" t="str">
        <f t="shared" si="223"/>
        <v>Eastern Michigan</v>
      </c>
      <c r="S721" s="494" t="str">
        <f t="shared" si="224"/>
        <v>Kent State</v>
      </c>
      <c r="T721" s="356" t="str">
        <f>K721</f>
        <v>Eastern Michigan</v>
      </c>
      <c r="U721" s="665" t="str">
        <f t="shared" si="225"/>
        <v>W</v>
      </c>
      <c r="W721" s="424"/>
      <c r="X721" s="352" t="s">
        <v>404</v>
      </c>
      <c r="Y721" s="425"/>
    </row>
    <row r="722" spans="1:25" ht="16" x14ac:dyDescent="0.8">
      <c r="A722" s="351">
        <v>12</v>
      </c>
      <c r="B722" s="420" t="s">
        <v>396</v>
      </c>
      <c r="C722" s="421">
        <v>44881</v>
      </c>
      <c r="D722" s="414">
        <f>19/24</f>
        <v>0.79166666666666663</v>
      </c>
      <c r="E722" s="349"/>
      <c r="F722" s="420" t="s">
        <v>162</v>
      </c>
      <c r="G722" s="349" t="s">
        <v>68</v>
      </c>
      <c r="H722" s="420" t="s">
        <v>103</v>
      </c>
      <c r="I722" s="349" t="s">
        <v>68</v>
      </c>
      <c r="J722" s="420" t="str">
        <f t="shared" si="226"/>
        <v>Northern Illinois</v>
      </c>
      <c r="K722" s="379" t="str">
        <f t="shared" si="221"/>
        <v>Miami (OH)</v>
      </c>
      <c r="L722" s="422">
        <v>1</v>
      </c>
      <c r="M722" s="418">
        <v>46</v>
      </c>
      <c r="N722" s="436" t="str">
        <f>K722</f>
        <v>Miami (OH)</v>
      </c>
      <c r="O722" s="423">
        <v>29</v>
      </c>
      <c r="P722" s="436" t="str">
        <f t="shared" si="222"/>
        <v>Northern Illinois</v>
      </c>
      <c r="Q722" s="408">
        <v>23</v>
      </c>
      <c r="R722" s="494" t="str">
        <f t="shared" si="223"/>
        <v>Miami (OH)</v>
      </c>
      <c r="S722" s="494" t="str">
        <f t="shared" si="224"/>
        <v>Northern Illinois</v>
      </c>
      <c r="T722" s="356" t="str">
        <f>K722</f>
        <v>Miami (OH)</v>
      </c>
      <c r="U722" s="665" t="str">
        <f t="shared" si="225"/>
        <v>W</v>
      </c>
      <c r="W722" s="424"/>
      <c r="X722" s="352" t="s">
        <v>404</v>
      </c>
      <c r="Y722" s="425"/>
    </row>
    <row r="723" spans="1:25" ht="16" x14ac:dyDescent="0.8">
      <c r="A723" s="351">
        <v>12</v>
      </c>
      <c r="B723" s="420" t="s">
        <v>52</v>
      </c>
      <c r="C723" s="421">
        <v>44882</v>
      </c>
      <c r="D723" s="414">
        <f>19.5/24</f>
        <v>0.8125</v>
      </c>
      <c r="E723" s="349" t="s">
        <v>35</v>
      </c>
      <c r="F723" s="420" t="s">
        <v>109</v>
      </c>
      <c r="G723" s="349" t="s">
        <v>50</v>
      </c>
      <c r="H723" s="420" t="s">
        <v>112</v>
      </c>
      <c r="I723" s="349" t="s">
        <v>50</v>
      </c>
      <c r="J723" s="420" t="str">
        <f t="shared" si="226"/>
        <v>Tulane</v>
      </c>
      <c r="K723" s="379" t="str">
        <f t="shared" si="221"/>
        <v>SMU</v>
      </c>
      <c r="L723" s="422">
        <v>3</v>
      </c>
      <c r="M723" s="418">
        <v>65</v>
      </c>
      <c r="N723" s="351" t="str">
        <f>J723</f>
        <v>Tulane</v>
      </c>
      <c r="O723" s="423">
        <v>59</v>
      </c>
      <c r="P723" s="436" t="str">
        <f t="shared" si="222"/>
        <v>SMU</v>
      </c>
      <c r="Q723" s="408">
        <v>24</v>
      </c>
      <c r="R723" s="494" t="str">
        <f t="shared" si="223"/>
        <v>Tulane</v>
      </c>
      <c r="S723" s="494" t="str">
        <f t="shared" si="224"/>
        <v>SMU</v>
      </c>
      <c r="T723" s="356" t="str">
        <f>J723</f>
        <v>Tulane</v>
      </c>
      <c r="U723" s="665" t="str">
        <f t="shared" si="225"/>
        <v>W</v>
      </c>
      <c r="V723" s="352" t="str">
        <f>UPPER(+F723)</f>
        <v>SMU</v>
      </c>
      <c r="W723" s="424">
        <v>55</v>
      </c>
      <c r="X723" s="352" t="str">
        <f>LOWER(+H723)</f>
        <v>tulane</v>
      </c>
      <c r="Y723" s="425">
        <v>26</v>
      </c>
    </row>
    <row r="724" spans="1:25" ht="16" x14ac:dyDescent="0.8">
      <c r="A724" s="351">
        <v>12</v>
      </c>
      <c r="B724" s="420" t="s">
        <v>88</v>
      </c>
      <c r="C724" s="421">
        <v>44883</v>
      </c>
      <c r="D724" s="414">
        <f>21/24</f>
        <v>0.875</v>
      </c>
      <c r="E724" s="349" t="s">
        <v>256</v>
      </c>
      <c r="F724" s="420" t="s">
        <v>49</v>
      </c>
      <c r="G724" s="349" t="s">
        <v>50</v>
      </c>
      <c r="H724" s="420" t="s">
        <v>71</v>
      </c>
      <c r="I724" s="349" t="s">
        <v>50</v>
      </c>
      <c r="J724" s="420" t="str">
        <f t="shared" si="226"/>
        <v>Tulsa</v>
      </c>
      <c r="K724" s="379" t="str">
        <f t="shared" si="221"/>
        <v>South Florida</v>
      </c>
      <c r="L724" s="422">
        <v>14</v>
      </c>
      <c r="M724" s="418">
        <v>59</v>
      </c>
      <c r="N724" s="351" t="str">
        <f>J724</f>
        <v>Tulsa</v>
      </c>
      <c r="O724" s="423">
        <v>48</v>
      </c>
      <c r="P724" s="436" t="str">
        <f t="shared" si="222"/>
        <v>South Florida</v>
      </c>
      <c r="Q724" s="408">
        <v>42</v>
      </c>
      <c r="R724" s="494" t="str">
        <f t="shared" si="223"/>
        <v>South Florida</v>
      </c>
      <c r="S724" s="494" t="str">
        <f t="shared" si="224"/>
        <v>Tulsa</v>
      </c>
      <c r="T724" s="356" t="str">
        <f>K724</f>
        <v>South Florida</v>
      </c>
      <c r="U724" s="665" t="str">
        <f t="shared" si="225"/>
        <v>W</v>
      </c>
      <c r="V724" s="352" t="str">
        <f>LOWER(+H724)</f>
        <v>tulsa</v>
      </c>
      <c r="W724" s="424">
        <v>32</v>
      </c>
      <c r="X724" s="352" t="str">
        <f>UPPER(+F724)</f>
        <v>SOUTH FLORIDA</v>
      </c>
      <c r="Y724" s="425">
        <v>31</v>
      </c>
    </row>
    <row r="725" spans="1:25" ht="16" x14ac:dyDescent="0.8">
      <c r="A725" s="351">
        <v>12</v>
      </c>
      <c r="B725" s="420" t="s">
        <v>88</v>
      </c>
      <c r="C725" s="421">
        <v>44883</v>
      </c>
      <c r="D725" s="414">
        <f>21.75/24</f>
        <v>0.90625</v>
      </c>
      <c r="E725" s="349" t="s">
        <v>70</v>
      </c>
      <c r="F725" s="420" t="s">
        <v>193</v>
      </c>
      <c r="G725" s="349" t="s">
        <v>45</v>
      </c>
      <c r="H725" s="420" t="s">
        <v>191</v>
      </c>
      <c r="I725" s="349" t="s">
        <v>45</v>
      </c>
      <c r="J725" s="420" t="str">
        <f>F725</f>
        <v>San Diego State</v>
      </c>
      <c r="K725" s="379" t="str">
        <f t="shared" si="221"/>
        <v>New Mexico</v>
      </c>
      <c r="L725" s="422">
        <v>14</v>
      </c>
      <c r="M725" s="418">
        <v>39.5</v>
      </c>
      <c r="N725" s="351" t="str">
        <f>J725</f>
        <v>San Diego State</v>
      </c>
      <c r="O725" s="423">
        <v>23</v>
      </c>
      <c r="P725" s="436" t="str">
        <f t="shared" si="222"/>
        <v>New Mexico</v>
      </c>
      <c r="Q725" s="408">
        <v>10</v>
      </c>
      <c r="R725" s="494" t="str">
        <f t="shared" si="223"/>
        <v>New Mexico</v>
      </c>
      <c r="S725" s="494" t="str">
        <f t="shared" si="224"/>
        <v>San Diego State</v>
      </c>
      <c r="T725" s="356" t="str">
        <f>J725</f>
        <v>San Diego State</v>
      </c>
      <c r="U725" s="665" t="str">
        <f t="shared" si="225"/>
        <v>L</v>
      </c>
      <c r="V725" s="352" t="str">
        <f>UPPER(+F725)</f>
        <v>SAN DIEGO STATE</v>
      </c>
      <c r="W725" s="424">
        <v>31</v>
      </c>
      <c r="X725" s="352" t="str">
        <f>LOWER(+H725)</f>
        <v>new mexico</v>
      </c>
      <c r="Y725" s="425">
        <v>7</v>
      </c>
    </row>
    <row r="726" spans="1:25" ht="16" x14ac:dyDescent="0.8">
      <c r="A726" s="351">
        <v>12</v>
      </c>
      <c r="B726" s="420" t="s">
        <v>34</v>
      </c>
      <c r="C726" s="421">
        <v>44884</v>
      </c>
      <c r="D726" s="414">
        <f>11/24</f>
        <v>0.45833333333333331</v>
      </c>
      <c r="E726" s="349" t="s">
        <v>256</v>
      </c>
      <c r="F726" s="420" t="s">
        <v>96</v>
      </c>
      <c r="G726" s="349" t="s">
        <v>50</v>
      </c>
      <c r="H726" s="420" t="s">
        <v>106</v>
      </c>
      <c r="I726" s="349" t="s">
        <v>50</v>
      </c>
      <c r="J726" s="420" t="str">
        <f>H726</f>
        <v>Central Florida</v>
      </c>
      <c r="K726" s="379" t="str">
        <f t="shared" si="221"/>
        <v>Navy</v>
      </c>
      <c r="L726" s="422">
        <v>16.5</v>
      </c>
      <c r="M726" s="418">
        <v>53</v>
      </c>
      <c r="N726" s="436" t="str">
        <f>K726</f>
        <v>Navy</v>
      </c>
      <c r="O726" s="423">
        <v>17</v>
      </c>
      <c r="P726" s="436" t="str">
        <f t="shared" ref="P726:P755" si="227">IF(+N726=H726,F726,H726)</f>
        <v>Central Florida</v>
      </c>
      <c r="Q726" s="408">
        <v>14</v>
      </c>
      <c r="R726" s="494" t="str">
        <f t="shared" si="223"/>
        <v>Navy</v>
      </c>
      <c r="S726" s="494" t="str">
        <f t="shared" si="224"/>
        <v>Central Florida</v>
      </c>
      <c r="T726" s="356" t="str">
        <f>K726</f>
        <v>Navy</v>
      </c>
      <c r="U726" s="665" t="str">
        <f t="shared" si="225"/>
        <v>W</v>
      </c>
      <c r="V726" s="352" t="str">
        <f>UPPER(+F726)</f>
        <v>NAVY</v>
      </c>
      <c r="W726" s="424">
        <v>34</v>
      </c>
      <c r="X726" s="352" t="str">
        <f>LOWER(+H726)</f>
        <v>central florida</v>
      </c>
      <c r="Y726" s="425">
        <v>30</v>
      </c>
    </row>
    <row r="727" spans="1:25" ht="16" x14ac:dyDescent="0.8">
      <c r="A727" s="351">
        <v>12</v>
      </c>
      <c r="B727" s="420" t="s">
        <v>34</v>
      </c>
      <c r="C727" s="421">
        <v>44884</v>
      </c>
      <c r="D727" s="414">
        <f>14/24</f>
        <v>0.58333333333333337</v>
      </c>
      <c r="E727" s="349"/>
      <c r="F727" s="420" t="s">
        <v>174</v>
      </c>
      <c r="G727" s="349" t="s">
        <v>50</v>
      </c>
      <c r="H727" s="420" t="s">
        <v>107</v>
      </c>
      <c r="I727" s="349" t="s">
        <v>50</v>
      </c>
      <c r="J727" s="420" t="str">
        <f>H727</f>
        <v>East Carolina</v>
      </c>
      <c r="K727" s="379" t="str">
        <f t="shared" si="221"/>
        <v>Houston</v>
      </c>
      <c r="L727" s="422">
        <v>6</v>
      </c>
      <c r="M727" s="418">
        <v>67.5</v>
      </c>
      <c r="N727" s="436" t="str">
        <f>K727</f>
        <v>Houston</v>
      </c>
      <c r="O727" s="423">
        <v>42</v>
      </c>
      <c r="P727" s="436" t="str">
        <f t="shared" si="227"/>
        <v>East Carolina</v>
      </c>
      <c r="Q727" s="408">
        <v>3</v>
      </c>
      <c r="R727" s="494" t="str">
        <f t="shared" si="223"/>
        <v>Houston</v>
      </c>
      <c r="S727" s="494" t="str">
        <f t="shared" si="224"/>
        <v>East Carolina</v>
      </c>
      <c r="T727" s="356" t="str">
        <f>K727</f>
        <v>Houston</v>
      </c>
      <c r="U727" s="665" t="str">
        <f t="shared" si="225"/>
        <v>W</v>
      </c>
      <c r="V727" s="352" t="str">
        <f>UPPER(+F727)</f>
        <v>HOUSTON</v>
      </c>
      <c r="W727" s="424">
        <v>31</v>
      </c>
      <c r="X727" s="352" t="str">
        <f>LOWER(+H727)</f>
        <v>east carolina</v>
      </c>
      <c r="Y727" s="425">
        <v>24</v>
      </c>
    </row>
    <row r="728" spans="1:25" ht="16" x14ac:dyDescent="0.8">
      <c r="A728" s="351">
        <v>12</v>
      </c>
      <c r="B728" s="420" t="s">
        <v>34</v>
      </c>
      <c r="C728" s="421">
        <v>44884</v>
      </c>
      <c r="D728" s="414">
        <f>14/24</f>
        <v>0.58333333333333337</v>
      </c>
      <c r="E728" s="349"/>
      <c r="F728" s="420" t="s">
        <v>440</v>
      </c>
      <c r="G728" s="349" t="s">
        <v>41</v>
      </c>
      <c r="H728" s="420" t="s">
        <v>60</v>
      </c>
      <c r="I728" s="349" t="s">
        <v>50</v>
      </c>
      <c r="J728" s="420"/>
      <c r="K728" s="379" t="str">
        <f t="shared" si="221"/>
        <v>Memphis</v>
      </c>
      <c r="L728" s="422"/>
      <c r="M728" s="418"/>
      <c r="N728" s="436" t="str">
        <f>K728</f>
        <v>Memphis</v>
      </c>
      <c r="O728" s="423">
        <v>59</v>
      </c>
      <c r="P728" s="436" t="str">
        <f t="shared" si="227"/>
        <v>1AA North Alabama</v>
      </c>
      <c r="Q728" s="408">
        <v>0</v>
      </c>
      <c r="R728" s="494"/>
      <c r="S728" s="494"/>
      <c r="T728" s="356"/>
      <c r="U728" s="665"/>
      <c r="W728" s="424"/>
      <c r="X728" s="352" t="s">
        <v>404</v>
      </c>
      <c r="Y728" s="425"/>
    </row>
    <row r="729" spans="1:25" ht="16" x14ac:dyDescent="0.8">
      <c r="A729" s="351">
        <v>12</v>
      </c>
      <c r="B729" s="420" t="s">
        <v>34</v>
      </c>
      <c r="C729" s="421">
        <v>44884</v>
      </c>
      <c r="D729" s="414">
        <f>16/24</f>
        <v>0.66666666666666663</v>
      </c>
      <c r="E729" s="349" t="s">
        <v>95</v>
      </c>
      <c r="F729" s="420" t="s">
        <v>55</v>
      </c>
      <c r="G729" s="349" t="s">
        <v>50</v>
      </c>
      <c r="H729" s="420" t="s">
        <v>180</v>
      </c>
      <c r="I729" s="349" t="s">
        <v>50</v>
      </c>
      <c r="J729" s="420" t="str">
        <f>F729</f>
        <v>Cincinnati</v>
      </c>
      <c r="K729" s="379" t="str">
        <f t="shared" ref="K729:K753" si="228">IF(+J729=H729,F729,H729)</f>
        <v>Temple</v>
      </c>
      <c r="L729" s="422">
        <v>17</v>
      </c>
      <c r="M729" s="418">
        <v>50.5</v>
      </c>
      <c r="N729" s="351" t="str">
        <f>J729</f>
        <v>Cincinnati</v>
      </c>
      <c r="O729" s="423">
        <v>23</v>
      </c>
      <c r="P729" s="436" t="str">
        <f t="shared" si="227"/>
        <v>Temple</v>
      </c>
      <c r="Q729" s="408">
        <v>3</v>
      </c>
      <c r="R729" s="494" t="str">
        <f t="shared" ref="R729:R753" si="229">IF(+N729=K729,+N729,IF(+O729-Q729&lt;L729,+K729,+J729))</f>
        <v>Cincinnati</v>
      </c>
      <c r="S729" s="494" t="str">
        <f t="shared" ref="S729:S753" si="230">IF(+R729=J729,+K729,+J729)</f>
        <v>Temple</v>
      </c>
      <c r="T729" s="356" t="str">
        <f>J729</f>
        <v>Cincinnati</v>
      </c>
      <c r="U729" s="665" t="str">
        <f t="shared" ref="U729:U753" si="231">IF($N729=$J729,IF($O729-$Q729=$L729,"T",IF($R729=T729,"W","L")),IF($R729=T729,"W","L"))</f>
        <v>W</v>
      </c>
      <c r="V729" s="352" t="str">
        <f>UPPER(+F729)</f>
        <v>CINCINNATI</v>
      </c>
      <c r="W729" s="424">
        <v>52</v>
      </c>
      <c r="X729" s="352" t="str">
        <f>LOWER(+H729)</f>
        <v>temple</v>
      </c>
      <c r="Y729" s="425">
        <v>3</v>
      </c>
    </row>
    <row r="730" spans="1:25" ht="16" x14ac:dyDescent="0.8">
      <c r="A730" s="351">
        <v>12</v>
      </c>
      <c r="B730" s="420" t="s">
        <v>34</v>
      </c>
      <c r="C730" s="421">
        <v>44884</v>
      </c>
      <c r="D730" s="414">
        <f>15.5/24</f>
        <v>0.64583333333333337</v>
      </c>
      <c r="E730" s="349" t="s">
        <v>35</v>
      </c>
      <c r="F730" s="420" t="s">
        <v>122</v>
      </c>
      <c r="G730" s="349" t="s">
        <v>61</v>
      </c>
      <c r="H730" s="420" t="s">
        <v>114</v>
      </c>
      <c r="I730" s="349" t="s">
        <v>61</v>
      </c>
      <c r="J730" s="420" t="str">
        <f>H730</f>
        <v>Clemson</v>
      </c>
      <c r="K730" s="379" t="str">
        <f t="shared" si="228"/>
        <v>Miami (FL)</v>
      </c>
      <c r="L730" s="422">
        <v>19</v>
      </c>
      <c r="M730" s="418">
        <v>48</v>
      </c>
      <c r="N730" s="351" t="str">
        <f>J730</f>
        <v>Clemson</v>
      </c>
      <c r="O730" s="423">
        <v>40</v>
      </c>
      <c r="P730" s="436" t="str">
        <f t="shared" si="227"/>
        <v>Miami (FL)</v>
      </c>
      <c r="Q730" s="408">
        <v>10</v>
      </c>
      <c r="R730" s="494" t="str">
        <f t="shared" si="229"/>
        <v>Clemson</v>
      </c>
      <c r="S730" s="494" t="str">
        <f t="shared" si="230"/>
        <v>Miami (FL)</v>
      </c>
      <c r="T730" s="356" t="str">
        <f>J730</f>
        <v>Clemson</v>
      </c>
      <c r="U730" s="665" t="str">
        <f t="shared" si="231"/>
        <v>W</v>
      </c>
      <c r="W730" s="424"/>
      <c r="X730" s="352" t="s">
        <v>404</v>
      </c>
      <c r="Y730" s="425"/>
    </row>
    <row r="731" spans="1:25" ht="16" x14ac:dyDescent="0.8">
      <c r="A731" s="351">
        <v>12</v>
      </c>
      <c r="B731" s="420" t="s">
        <v>34</v>
      </c>
      <c r="C731" s="421">
        <v>44884</v>
      </c>
      <c r="D731" s="414">
        <f>12/24</f>
        <v>0.5</v>
      </c>
      <c r="E731" s="349" t="s">
        <v>53</v>
      </c>
      <c r="F731" s="420" t="s">
        <v>209</v>
      </c>
      <c r="G731" s="349" t="s">
        <v>59</v>
      </c>
      <c r="H731" s="420" t="s">
        <v>117</v>
      </c>
      <c r="I731" s="349" t="s">
        <v>61</v>
      </c>
      <c r="J731" s="420" t="str">
        <f>H731</f>
        <v>Florida State</v>
      </c>
      <c r="K731" s="379" t="str">
        <f t="shared" si="228"/>
        <v>UL Lafayette</v>
      </c>
      <c r="L731" s="422">
        <v>24</v>
      </c>
      <c r="M731" s="418">
        <v>52</v>
      </c>
      <c r="N731" s="351" t="str">
        <f>J731</f>
        <v>Florida State</v>
      </c>
      <c r="O731" s="423">
        <v>49</v>
      </c>
      <c r="P731" s="436" t="str">
        <f t="shared" si="227"/>
        <v>UL Lafayette</v>
      </c>
      <c r="Q731" s="408">
        <v>17</v>
      </c>
      <c r="R731" s="494" t="str">
        <f t="shared" si="229"/>
        <v>Florida State</v>
      </c>
      <c r="S731" s="494" t="str">
        <f t="shared" si="230"/>
        <v>UL Lafayette</v>
      </c>
      <c r="T731" s="356" t="str">
        <f>K731</f>
        <v>UL Lafayette</v>
      </c>
      <c r="U731" s="665" t="str">
        <f t="shared" si="231"/>
        <v>L</v>
      </c>
      <c r="W731" s="424"/>
      <c r="X731" s="352" t="s">
        <v>404</v>
      </c>
      <c r="Y731" s="425"/>
    </row>
    <row r="732" spans="1:25" ht="16" x14ac:dyDescent="0.8">
      <c r="A732" s="351">
        <v>12</v>
      </c>
      <c r="B732" s="420" t="s">
        <v>34</v>
      </c>
      <c r="C732" s="421">
        <v>44884</v>
      </c>
      <c r="D732" s="414">
        <f>15.5/24</f>
        <v>0.64583333333333337</v>
      </c>
      <c r="E732" s="349" t="s">
        <v>61</v>
      </c>
      <c r="F732" s="420" t="s">
        <v>126</v>
      </c>
      <c r="G732" s="349" t="s">
        <v>61</v>
      </c>
      <c r="H732" s="420" t="s">
        <v>120</v>
      </c>
      <c r="I732" s="349" t="s">
        <v>61</v>
      </c>
      <c r="J732" s="420" t="str">
        <f>H732</f>
        <v>Louisville</v>
      </c>
      <c r="K732" s="379" t="str">
        <f t="shared" si="228"/>
        <v>North Carolina St</v>
      </c>
      <c r="L732" s="422">
        <v>4</v>
      </c>
      <c r="M732" s="418">
        <v>45</v>
      </c>
      <c r="N732" s="351" t="str">
        <f>J732</f>
        <v>Louisville</v>
      </c>
      <c r="O732" s="423">
        <v>25</v>
      </c>
      <c r="P732" s="436" t="str">
        <f t="shared" si="227"/>
        <v>North Carolina St</v>
      </c>
      <c r="Q732" s="408">
        <v>10</v>
      </c>
      <c r="R732" s="494" t="str">
        <f t="shared" si="229"/>
        <v>Louisville</v>
      </c>
      <c r="S732" s="494" t="str">
        <f t="shared" si="230"/>
        <v>North Carolina St</v>
      </c>
      <c r="T732" s="356" t="str">
        <f>J732</f>
        <v>Louisville</v>
      </c>
      <c r="U732" s="665" t="str">
        <f t="shared" si="231"/>
        <v>W</v>
      </c>
      <c r="W732" s="424"/>
      <c r="X732" s="352" t="s">
        <v>404</v>
      </c>
      <c r="Y732" s="425"/>
    </row>
    <row r="733" spans="1:25" ht="16" x14ac:dyDescent="0.8">
      <c r="A733" s="351">
        <v>12</v>
      </c>
      <c r="B733" s="420" t="s">
        <v>34</v>
      </c>
      <c r="C733" s="421">
        <v>44884</v>
      </c>
      <c r="D733" s="414">
        <f>17.5/24</f>
        <v>0.72916666666666663</v>
      </c>
      <c r="E733" s="349" t="s">
        <v>256</v>
      </c>
      <c r="F733" s="420" t="s">
        <v>227</v>
      </c>
      <c r="G733" s="349" t="s">
        <v>61</v>
      </c>
      <c r="H733" s="420" t="s">
        <v>124</v>
      </c>
      <c r="I733" s="349" t="s">
        <v>61</v>
      </c>
      <c r="J733" s="420" t="str">
        <f>H733</f>
        <v>North Carolina</v>
      </c>
      <c r="K733" s="379" t="str">
        <f t="shared" si="228"/>
        <v>Georgia Tech</v>
      </c>
      <c r="L733" s="422">
        <v>21</v>
      </c>
      <c r="M733" s="418">
        <v>62.5</v>
      </c>
      <c r="N733" s="436" t="str">
        <f>K733</f>
        <v>Georgia Tech</v>
      </c>
      <c r="O733" s="423">
        <v>21</v>
      </c>
      <c r="P733" s="436" t="str">
        <f t="shared" si="227"/>
        <v>North Carolina</v>
      </c>
      <c r="Q733" s="408">
        <v>17</v>
      </c>
      <c r="R733" s="494" t="str">
        <f t="shared" si="229"/>
        <v>Georgia Tech</v>
      </c>
      <c r="S733" s="494" t="str">
        <f t="shared" si="230"/>
        <v>North Carolina</v>
      </c>
      <c r="T733" s="356" t="str">
        <f>K733</f>
        <v>Georgia Tech</v>
      </c>
      <c r="U733" s="665" t="str">
        <f t="shared" si="231"/>
        <v>W</v>
      </c>
      <c r="V733" s="646" t="str">
        <f>UPPER(+F733)</f>
        <v>GEORGIA TECH</v>
      </c>
      <c r="W733" s="647">
        <v>45</v>
      </c>
      <c r="X733" s="646" t="str">
        <f>LOWER(+H733)</f>
        <v>north carolina</v>
      </c>
      <c r="Y733" s="648">
        <v>42</v>
      </c>
    </row>
    <row r="734" spans="1:25" ht="16" x14ac:dyDescent="0.8">
      <c r="A734" s="351">
        <v>12</v>
      </c>
      <c r="B734" s="420" t="s">
        <v>34</v>
      </c>
      <c r="C734" s="421">
        <v>44884</v>
      </c>
      <c r="D734" s="414">
        <f>12/24</f>
        <v>0.5</v>
      </c>
      <c r="E734" s="349" t="s">
        <v>61</v>
      </c>
      <c r="F734" s="420" t="s">
        <v>115</v>
      </c>
      <c r="G734" s="349" t="s">
        <v>61</v>
      </c>
      <c r="H734" s="420" t="s">
        <v>128</v>
      </c>
      <c r="I734" s="349" t="s">
        <v>61</v>
      </c>
      <c r="J734" s="420" t="str">
        <f>H734</f>
        <v>Pittsburgh</v>
      </c>
      <c r="K734" s="379" t="str">
        <f t="shared" si="228"/>
        <v>Duke</v>
      </c>
      <c r="L734" s="422">
        <v>7.5</v>
      </c>
      <c r="M734" s="418">
        <v>52</v>
      </c>
      <c r="N734" s="351" t="str">
        <f>J734</f>
        <v>Pittsburgh</v>
      </c>
      <c r="O734" s="423">
        <v>28</v>
      </c>
      <c r="P734" s="436" t="str">
        <f t="shared" si="227"/>
        <v>Duke</v>
      </c>
      <c r="Q734" s="408">
        <v>26</v>
      </c>
      <c r="R734" s="494" t="str">
        <f t="shared" si="229"/>
        <v>Duke</v>
      </c>
      <c r="S734" s="494" t="str">
        <f t="shared" si="230"/>
        <v>Pittsburgh</v>
      </c>
      <c r="T734" s="356" t="str">
        <f>K734</f>
        <v>Duke</v>
      </c>
      <c r="U734" s="665" t="str">
        <f t="shared" si="231"/>
        <v>W</v>
      </c>
      <c r="V734" s="352" t="str">
        <f>LOWER(+H734)</f>
        <v>pittsburgh</v>
      </c>
      <c r="W734" s="424">
        <v>54</v>
      </c>
      <c r="X734" s="352" t="str">
        <f>UPPER(+F734)</f>
        <v>DUKE</v>
      </c>
      <c r="Y734" s="425">
        <v>29</v>
      </c>
    </row>
    <row r="735" spans="1:25" ht="16" x14ac:dyDescent="0.8">
      <c r="A735" s="351">
        <v>12</v>
      </c>
      <c r="B735" s="420" t="s">
        <v>34</v>
      </c>
      <c r="C735" s="421">
        <v>44884</v>
      </c>
      <c r="D735" s="414">
        <f>15.5/24</f>
        <v>0.64583333333333337</v>
      </c>
      <c r="E735" s="349" t="s">
        <v>53</v>
      </c>
      <c r="F735" s="420" t="s">
        <v>205</v>
      </c>
      <c r="G735" s="349" t="s">
        <v>59</v>
      </c>
      <c r="H735" s="420" t="s">
        <v>130</v>
      </c>
      <c r="I735" s="349" t="s">
        <v>61</v>
      </c>
      <c r="J735" s="420"/>
      <c r="K735" s="379" t="s">
        <v>412</v>
      </c>
      <c r="L735" s="422"/>
      <c r="M735" s="418"/>
      <c r="N735" s="351"/>
      <c r="O735" s="423"/>
      <c r="P735" s="436" t="s">
        <v>412</v>
      </c>
      <c r="Q735" s="408"/>
      <c r="R735" s="494">
        <f t="shared" si="229"/>
        <v>0</v>
      </c>
      <c r="S735" s="494" t="str">
        <f t="shared" si="230"/>
        <v>PPD</v>
      </c>
      <c r="T735" s="356"/>
      <c r="U735" s="665"/>
      <c r="W735" s="424"/>
      <c r="X735" s="352" t="s">
        <v>404</v>
      </c>
      <c r="Y735" s="425"/>
    </row>
    <row r="736" spans="1:25" ht="16" x14ac:dyDescent="0.8">
      <c r="A736" s="351">
        <v>12</v>
      </c>
      <c r="B736" s="420" t="s">
        <v>34</v>
      </c>
      <c r="C736" s="421">
        <v>44884</v>
      </c>
      <c r="D736" s="414">
        <f>20/24</f>
        <v>0.83333333333333337</v>
      </c>
      <c r="E736" s="349" t="s">
        <v>61</v>
      </c>
      <c r="F736" s="420" t="s">
        <v>90</v>
      </c>
      <c r="G736" s="349" t="s">
        <v>61</v>
      </c>
      <c r="H736" s="420" t="s">
        <v>62</v>
      </c>
      <c r="I736" s="349" t="s">
        <v>61</v>
      </c>
      <c r="J736" s="420" t="str">
        <f>H736</f>
        <v>Wake Forest</v>
      </c>
      <c r="K736" s="379" t="str">
        <f t="shared" si="228"/>
        <v>Syracuse</v>
      </c>
      <c r="L736" s="422">
        <v>10</v>
      </c>
      <c r="M736" s="418">
        <v>56</v>
      </c>
      <c r="N736" s="351" t="str">
        <f>J736</f>
        <v>Wake Forest</v>
      </c>
      <c r="O736" s="423">
        <v>45</v>
      </c>
      <c r="P736" s="436" t="str">
        <f t="shared" si="227"/>
        <v>Syracuse</v>
      </c>
      <c r="Q736" s="408">
        <v>35</v>
      </c>
      <c r="R736" s="494" t="str">
        <f t="shared" si="229"/>
        <v>Wake Forest</v>
      </c>
      <c r="S736" s="494" t="str">
        <f t="shared" si="230"/>
        <v>Syracuse</v>
      </c>
      <c r="T736" s="356" t="str">
        <f>J736</f>
        <v>Wake Forest</v>
      </c>
      <c r="U736" s="665" t="str">
        <f t="shared" si="231"/>
        <v>T</v>
      </c>
      <c r="V736" s="352" t="str">
        <f>LOWER(+H736)</f>
        <v>wake forest</v>
      </c>
      <c r="W736" s="424">
        <v>40</v>
      </c>
      <c r="X736" s="352" t="str">
        <f>UPPER(+F736)</f>
        <v>SYRACUSE</v>
      </c>
      <c r="Y736" s="425">
        <v>37</v>
      </c>
    </row>
    <row r="737" spans="1:25" ht="16" x14ac:dyDescent="0.8">
      <c r="A737" s="351">
        <v>12</v>
      </c>
      <c r="B737" s="420" t="s">
        <v>34</v>
      </c>
      <c r="C737" s="421">
        <v>44884</v>
      </c>
      <c r="D737" s="414">
        <f>15.5/24</f>
        <v>0.64583333333333337</v>
      </c>
      <c r="E737" s="349" t="s">
        <v>135</v>
      </c>
      <c r="F737" s="420" t="s">
        <v>63</v>
      </c>
      <c r="G737" s="349" t="s">
        <v>64</v>
      </c>
      <c r="H737" s="420" t="s">
        <v>156</v>
      </c>
      <c r="I737" s="349" t="s">
        <v>64</v>
      </c>
      <c r="J737" s="420" t="str">
        <f>F737</f>
        <v>Ohio State</v>
      </c>
      <c r="K737" s="379" t="str">
        <f t="shared" si="228"/>
        <v>Maryland</v>
      </c>
      <c r="L737" s="422">
        <v>27.5</v>
      </c>
      <c r="M737" s="418">
        <v>65</v>
      </c>
      <c r="N737" s="351" t="str">
        <f>J737</f>
        <v>Ohio State</v>
      </c>
      <c r="O737" s="423">
        <v>43</v>
      </c>
      <c r="P737" s="436" t="str">
        <f t="shared" si="227"/>
        <v>Maryland</v>
      </c>
      <c r="Q737" s="408">
        <v>30</v>
      </c>
      <c r="R737" s="494" t="str">
        <f t="shared" si="229"/>
        <v>Maryland</v>
      </c>
      <c r="S737" s="494" t="str">
        <f t="shared" si="230"/>
        <v>Ohio State</v>
      </c>
      <c r="T737" s="356" t="str">
        <f>H737</f>
        <v>Maryland</v>
      </c>
      <c r="U737" s="665" t="str">
        <f t="shared" si="231"/>
        <v>W</v>
      </c>
      <c r="V737" s="352" t="str">
        <f>UPPER(+F737)</f>
        <v>OHIO STATE</v>
      </c>
      <c r="W737" s="424">
        <v>66</v>
      </c>
      <c r="X737" s="352" t="str">
        <f>LOWER(+H737)</f>
        <v>maryland</v>
      </c>
      <c r="Y737" s="425">
        <v>17</v>
      </c>
    </row>
    <row r="738" spans="1:25" ht="16" x14ac:dyDescent="0.8">
      <c r="A738" s="351">
        <v>12</v>
      </c>
      <c r="B738" s="420" t="s">
        <v>34</v>
      </c>
      <c r="C738" s="421">
        <v>44884</v>
      </c>
      <c r="D738" s="414">
        <f>12/24</f>
        <v>0.5</v>
      </c>
      <c r="E738" s="349" t="s">
        <v>135</v>
      </c>
      <c r="F738" s="420" t="s">
        <v>132</v>
      </c>
      <c r="G738" s="349" t="s">
        <v>64</v>
      </c>
      <c r="H738" s="420" t="s">
        <v>137</v>
      </c>
      <c r="I738" s="349" t="s">
        <v>64</v>
      </c>
      <c r="J738" s="420" t="str">
        <f>H738</f>
        <v>Michigan</v>
      </c>
      <c r="K738" s="379" t="str">
        <f t="shared" si="228"/>
        <v>Illinois</v>
      </c>
      <c r="L738" s="422">
        <v>18</v>
      </c>
      <c r="M738" s="418">
        <v>42</v>
      </c>
      <c r="N738" s="351" t="str">
        <f>J738</f>
        <v>Michigan</v>
      </c>
      <c r="O738" s="423">
        <v>19</v>
      </c>
      <c r="P738" s="436" t="str">
        <f t="shared" si="227"/>
        <v>Illinois</v>
      </c>
      <c r="Q738" s="408">
        <v>17</v>
      </c>
      <c r="R738" s="494" t="str">
        <f t="shared" si="229"/>
        <v>Illinois</v>
      </c>
      <c r="S738" s="494" t="str">
        <f t="shared" si="230"/>
        <v>Michigan</v>
      </c>
      <c r="T738" s="356" t="str">
        <f>K738</f>
        <v>Illinois</v>
      </c>
      <c r="U738" s="665" t="str">
        <f t="shared" si="231"/>
        <v>W</v>
      </c>
      <c r="W738" s="424"/>
      <c r="X738" s="352" t="s">
        <v>404</v>
      </c>
      <c r="Y738" s="425"/>
    </row>
    <row r="739" spans="1:25" ht="16" x14ac:dyDescent="0.8">
      <c r="A739" s="351">
        <v>12</v>
      </c>
      <c r="B739" s="420" t="s">
        <v>34</v>
      </c>
      <c r="C739" s="421">
        <v>44884</v>
      </c>
      <c r="D739" s="414">
        <f>12/24</f>
        <v>0.5</v>
      </c>
      <c r="E739" s="349" t="s">
        <v>66</v>
      </c>
      <c r="F739" s="420" t="s">
        <v>65</v>
      </c>
      <c r="G739" s="349" t="s">
        <v>64</v>
      </c>
      <c r="H739" s="420" t="s">
        <v>139</v>
      </c>
      <c r="I739" s="349" t="s">
        <v>64</v>
      </c>
      <c r="J739" s="420" t="str">
        <f>H739</f>
        <v>Michigan State</v>
      </c>
      <c r="K739" s="379" t="str">
        <f t="shared" si="228"/>
        <v>Indiana</v>
      </c>
      <c r="L739" s="422">
        <v>10</v>
      </c>
      <c r="M739" s="418">
        <v>47.5</v>
      </c>
      <c r="N739" s="436" t="str">
        <f>K739</f>
        <v>Indiana</v>
      </c>
      <c r="O739" s="423">
        <v>39</v>
      </c>
      <c r="P739" s="436" t="str">
        <f t="shared" si="227"/>
        <v>Michigan State</v>
      </c>
      <c r="Q739" s="408">
        <v>31</v>
      </c>
      <c r="R739" s="494" t="str">
        <f t="shared" si="229"/>
        <v>Indiana</v>
      </c>
      <c r="S739" s="494" t="str">
        <f t="shared" si="230"/>
        <v>Michigan State</v>
      </c>
      <c r="T739" s="356" t="str">
        <f>J739</f>
        <v>Michigan State</v>
      </c>
      <c r="U739" s="665" t="str">
        <f t="shared" si="231"/>
        <v>L</v>
      </c>
      <c r="V739" s="352" t="str">
        <f>LOWER(+H739)</f>
        <v>michigan state</v>
      </c>
      <c r="W739" s="424">
        <v>20</v>
      </c>
      <c r="X739" s="352" t="str">
        <f>UPPER(+F739)</f>
        <v>INDIANA</v>
      </c>
      <c r="Y739" s="425">
        <v>15</v>
      </c>
    </row>
    <row r="740" spans="1:25" ht="16" x14ac:dyDescent="0.8">
      <c r="A740" s="351">
        <v>12</v>
      </c>
      <c r="B740" s="420" t="s">
        <v>34</v>
      </c>
      <c r="C740" s="421">
        <v>44884</v>
      </c>
      <c r="D740" s="414">
        <f>16/24</f>
        <v>0.66666666666666663</v>
      </c>
      <c r="E740" s="349" t="s">
        <v>118</v>
      </c>
      <c r="F740" s="420" t="s">
        <v>134</v>
      </c>
      <c r="G740" s="349" t="s">
        <v>64</v>
      </c>
      <c r="H740" s="420" t="s">
        <v>69</v>
      </c>
      <c r="I740" s="349" t="s">
        <v>64</v>
      </c>
      <c r="J740" s="420" t="str">
        <f>H740</f>
        <v>Minnesota</v>
      </c>
      <c r="K740" s="379" t="str">
        <f t="shared" si="228"/>
        <v>Iowa</v>
      </c>
      <c r="L740" s="422">
        <v>3</v>
      </c>
      <c r="M740" s="418">
        <v>32.5</v>
      </c>
      <c r="N740" s="436" t="str">
        <f>K740</f>
        <v>Iowa</v>
      </c>
      <c r="O740" s="423">
        <v>13</v>
      </c>
      <c r="P740" s="436" t="str">
        <f t="shared" si="227"/>
        <v>Minnesota</v>
      </c>
      <c r="Q740" s="408">
        <v>10</v>
      </c>
      <c r="R740" s="494" t="str">
        <f t="shared" si="229"/>
        <v>Iowa</v>
      </c>
      <c r="S740" s="494" t="str">
        <f t="shared" si="230"/>
        <v>Minnesota</v>
      </c>
      <c r="T740" s="356" t="str">
        <f>K740</f>
        <v>Iowa</v>
      </c>
      <c r="U740" s="665" t="str">
        <f t="shared" si="231"/>
        <v>W</v>
      </c>
      <c r="V740" s="352" t="str">
        <f>UPPER(+F740)</f>
        <v>IOWA</v>
      </c>
      <c r="W740" s="424">
        <v>27</v>
      </c>
      <c r="X740" s="352" t="str">
        <f>LOWER(+H740)</f>
        <v>minnesota</v>
      </c>
      <c r="Y740" s="425">
        <v>22</v>
      </c>
    </row>
    <row r="741" spans="1:25" ht="16" x14ac:dyDescent="0.8">
      <c r="A741" s="351">
        <v>12</v>
      </c>
      <c r="B741" s="420" t="s">
        <v>34</v>
      </c>
      <c r="C741" s="421">
        <v>44884</v>
      </c>
      <c r="D741" s="414">
        <f>12/24</f>
        <v>0.5</v>
      </c>
      <c r="E741" s="349" t="s">
        <v>35</v>
      </c>
      <c r="F741" s="420" t="s">
        <v>94</v>
      </c>
      <c r="G741" s="349" t="s">
        <v>64</v>
      </c>
      <c r="H741" s="420" t="s">
        <v>141</v>
      </c>
      <c r="I741" s="349" t="s">
        <v>64</v>
      </c>
      <c r="J741" s="420" t="str">
        <f>F741</f>
        <v>Wisconsin</v>
      </c>
      <c r="K741" s="379" t="str">
        <f t="shared" si="228"/>
        <v>Nebraska</v>
      </c>
      <c r="L741" s="422">
        <v>12.5</v>
      </c>
      <c r="M741" s="418">
        <v>39</v>
      </c>
      <c r="N741" s="351" t="str">
        <f>J741</f>
        <v>Wisconsin</v>
      </c>
      <c r="O741" s="423">
        <v>15</v>
      </c>
      <c r="P741" s="436" t="str">
        <f t="shared" si="227"/>
        <v>Nebraska</v>
      </c>
      <c r="Q741" s="408">
        <v>14</v>
      </c>
      <c r="R741" s="494" t="str">
        <f t="shared" si="229"/>
        <v>Nebraska</v>
      </c>
      <c r="S741" s="494" t="str">
        <f t="shared" si="230"/>
        <v>Wisconsin</v>
      </c>
      <c r="T741" s="356" t="str">
        <f>H741</f>
        <v>Nebraska</v>
      </c>
      <c r="U741" s="665" t="str">
        <f t="shared" si="231"/>
        <v>W</v>
      </c>
      <c r="V741" s="352" t="str">
        <f>UPPER(+F741)</f>
        <v>WISCONSIN</v>
      </c>
      <c r="W741" s="424">
        <v>35</v>
      </c>
      <c r="X741" s="352" t="str">
        <f>LOWER(+H741)</f>
        <v>nebraska</v>
      </c>
      <c r="Y741" s="425">
        <v>28</v>
      </c>
    </row>
    <row r="742" spans="1:25" ht="16" x14ac:dyDescent="0.8">
      <c r="A742" s="351">
        <v>12</v>
      </c>
      <c r="B742" s="420" t="s">
        <v>34</v>
      </c>
      <c r="C742" s="421">
        <v>44884</v>
      </c>
      <c r="D742" s="414">
        <f>12/24</f>
        <v>0.5</v>
      </c>
      <c r="E742" s="349" t="s">
        <v>70</v>
      </c>
      <c r="F742" s="420" t="s">
        <v>143</v>
      </c>
      <c r="G742" s="349" t="s">
        <v>64</v>
      </c>
      <c r="H742" s="420" t="s">
        <v>119</v>
      </c>
      <c r="I742" s="349" t="s">
        <v>64</v>
      </c>
      <c r="J742" s="420" t="str">
        <f>H742</f>
        <v>Purdue</v>
      </c>
      <c r="K742" s="379" t="str">
        <f t="shared" si="228"/>
        <v>Northwestern</v>
      </c>
      <c r="L742" s="422">
        <v>20</v>
      </c>
      <c r="M742" s="418">
        <v>46</v>
      </c>
      <c r="N742" s="351" t="str">
        <f>J742</f>
        <v>Purdue</v>
      </c>
      <c r="O742" s="423">
        <v>17</v>
      </c>
      <c r="P742" s="436" t="str">
        <f t="shared" si="227"/>
        <v>Northwestern</v>
      </c>
      <c r="Q742" s="408">
        <v>9</v>
      </c>
      <c r="R742" s="494" t="str">
        <f t="shared" si="229"/>
        <v>Northwestern</v>
      </c>
      <c r="S742" s="494" t="str">
        <f t="shared" si="230"/>
        <v>Purdue</v>
      </c>
      <c r="T742" s="356" t="str">
        <f>F742</f>
        <v>Northwestern</v>
      </c>
      <c r="U742" s="665" t="str">
        <f t="shared" si="231"/>
        <v>W</v>
      </c>
      <c r="V742" s="352" t="str">
        <f>LOWER(+H742)</f>
        <v>purdue</v>
      </c>
      <c r="W742" s="424">
        <v>32</v>
      </c>
      <c r="X742" s="352" t="str">
        <f>UPPER(+F742)</f>
        <v>NORTHWESTERN</v>
      </c>
      <c r="Y742" s="425">
        <v>14</v>
      </c>
    </row>
    <row r="743" spans="1:25" ht="16" x14ac:dyDescent="0.8">
      <c r="A743" s="351">
        <v>12</v>
      </c>
      <c r="B743" s="420" t="s">
        <v>34</v>
      </c>
      <c r="C743" s="421">
        <v>44884</v>
      </c>
      <c r="D743" s="414">
        <f>15.5/24</f>
        <v>0.64583333333333337</v>
      </c>
      <c r="E743" s="349" t="s">
        <v>66</v>
      </c>
      <c r="F743" s="420" t="s">
        <v>145</v>
      </c>
      <c r="G743" s="349" t="s">
        <v>64</v>
      </c>
      <c r="H743" s="420" t="s">
        <v>92</v>
      </c>
      <c r="I743" s="349" t="s">
        <v>64</v>
      </c>
      <c r="J743" s="420" t="str">
        <f>F743</f>
        <v>Penn State</v>
      </c>
      <c r="K743" s="379" t="str">
        <f t="shared" si="228"/>
        <v>Rutgers</v>
      </c>
      <c r="L743" s="422">
        <v>19</v>
      </c>
      <c r="M743" s="418">
        <v>45</v>
      </c>
      <c r="N743" s="351" t="str">
        <f>J743</f>
        <v>Penn State</v>
      </c>
      <c r="O743" s="423">
        <v>55</v>
      </c>
      <c r="P743" s="436" t="str">
        <f t="shared" si="227"/>
        <v>Rutgers</v>
      </c>
      <c r="Q743" s="408">
        <v>10</v>
      </c>
      <c r="R743" s="494" t="str">
        <f t="shared" si="229"/>
        <v>Penn State</v>
      </c>
      <c r="S743" s="494" t="str">
        <f t="shared" si="230"/>
        <v>Rutgers</v>
      </c>
      <c r="T743" s="356" t="str">
        <f>F743</f>
        <v>Penn State</v>
      </c>
      <c r="U743" s="665" t="str">
        <f t="shared" si="231"/>
        <v>W</v>
      </c>
      <c r="V743" s="352" t="str">
        <f>UPPER(+F743)</f>
        <v>PENN STATE</v>
      </c>
      <c r="W743" s="424">
        <v>28</v>
      </c>
      <c r="X743" s="352" t="str">
        <f>LOWER(+H743)</f>
        <v>rutgers</v>
      </c>
      <c r="Y743" s="425">
        <v>0</v>
      </c>
    </row>
    <row r="744" spans="1:25" ht="16" x14ac:dyDescent="0.8">
      <c r="A744" s="351">
        <v>12</v>
      </c>
      <c r="B744" s="420" t="s">
        <v>34</v>
      </c>
      <c r="C744" s="421">
        <v>44884</v>
      </c>
      <c r="D744" s="414">
        <f>12/24</f>
        <v>0.5</v>
      </c>
      <c r="E744" s="349" t="s">
        <v>118</v>
      </c>
      <c r="F744" s="420" t="s">
        <v>155</v>
      </c>
      <c r="G744" s="349" t="s">
        <v>73</v>
      </c>
      <c r="H744" s="420" t="s">
        <v>146</v>
      </c>
      <c r="I744" s="349" t="s">
        <v>73</v>
      </c>
      <c r="J744" s="420" t="str">
        <f>F744</f>
        <v>TCU</v>
      </c>
      <c r="K744" s="379" t="str">
        <f t="shared" si="228"/>
        <v>Baylor</v>
      </c>
      <c r="L744" s="422">
        <v>2.5</v>
      </c>
      <c r="M744" s="418">
        <v>58</v>
      </c>
      <c r="N744" s="351" t="str">
        <f>J744</f>
        <v>TCU</v>
      </c>
      <c r="O744" s="423">
        <v>29</v>
      </c>
      <c r="P744" s="436" t="str">
        <f t="shared" si="227"/>
        <v>Baylor</v>
      </c>
      <c r="Q744" s="408">
        <v>28</v>
      </c>
      <c r="R744" s="494" t="str">
        <f t="shared" si="229"/>
        <v>Baylor</v>
      </c>
      <c r="S744" s="494" t="str">
        <f t="shared" si="230"/>
        <v>TCU</v>
      </c>
      <c r="T744" s="356" t="str">
        <f>K744</f>
        <v>Baylor</v>
      </c>
      <c r="U744" s="665" t="str">
        <f t="shared" si="231"/>
        <v>W</v>
      </c>
      <c r="V744" s="352" t="str">
        <f>UPPER(+F744)</f>
        <v>TCU</v>
      </c>
      <c r="W744" s="424">
        <v>30</v>
      </c>
      <c r="X744" s="352" t="str">
        <f>LOWER(+H744)</f>
        <v>baylor</v>
      </c>
      <c r="Y744" s="425">
        <v>28</v>
      </c>
    </row>
    <row r="745" spans="1:25" ht="16" x14ac:dyDescent="0.8">
      <c r="A745" s="351">
        <v>12</v>
      </c>
      <c r="B745" s="420" t="s">
        <v>34</v>
      </c>
      <c r="C745" s="421">
        <v>44884</v>
      </c>
      <c r="D745" s="414">
        <f>19/24</f>
        <v>0.79166666666666663</v>
      </c>
      <c r="E745" s="349" t="s">
        <v>70</v>
      </c>
      <c r="F745" s="420" t="s">
        <v>159</v>
      </c>
      <c r="G745" s="349" t="s">
        <v>73</v>
      </c>
      <c r="H745" s="420" t="s">
        <v>148</v>
      </c>
      <c r="I745" s="349" t="s">
        <v>73</v>
      </c>
      <c r="J745" s="420" t="str">
        <f>H745</f>
        <v>Iowa State</v>
      </c>
      <c r="K745" s="379" t="str">
        <f t="shared" si="228"/>
        <v>Texas Tech</v>
      </c>
      <c r="L745" s="422">
        <v>3.5</v>
      </c>
      <c r="M745" s="418">
        <v>47.5</v>
      </c>
      <c r="N745" s="436" t="str">
        <f>K745</f>
        <v>Texas Tech</v>
      </c>
      <c r="O745" s="423">
        <v>14</v>
      </c>
      <c r="P745" s="436" t="str">
        <f t="shared" si="227"/>
        <v>Iowa State</v>
      </c>
      <c r="Q745" s="408">
        <v>10</v>
      </c>
      <c r="R745" s="494" t="str">
        <f t="shared" si="229"/>
        <v>Texas Tech</v>
      </c>
      <c r="S745" s="494" t="str">
        <f t="shared" si="230"/>
        <v>Iowa State</v>
      </c>
      <c r="T745" s="356" t="str">
        <f>J745</f>
        <v>Iowa State</v>
      </c>
      <c r="U745" s="665" t="str">
        <f t="shared" si="231"/>
        <v>L</v>
      </c>
      <c r="V745" s="352" t="str">
        <f>UPPER(+F745)</f>
        <v>TEXAS TECH</v>
      </c>
      <c r="W745" s="424">
        <v>41</v>
      </c>
      <c r="X745" s="352" t="str">
        <f>LOWER(+H745)</f>
        <v>iowa state</v>
      </c>
      <c r="Y745" s="425">
        <v>38</v>
      </c>
    </row>
    <row r="746" spans="1:25" ht="16" x14ac:dyDescent="0.8">
      <c r="A746" s="351">
        <v>12</v>
      </c>
      <c r="B746" s="420" t="s">
        <v>34</v>
      </c>
      <c r="C746" s="421">
        <v>44884</v>
      </c>
      <c r="D746" s="414">
        <f>15.5/24</f>
        <v>0.64583333333333337</v>
      </c>
      <c r="E746" s="349" t="s">
        <v>70</v>
      </c>
      <c r="F746" s="420" t="s">
        <v>157</v>
      </c>
      <c r="G746" s="349" t="s">
        <v>73</v>
      </c>
      <c r="H746" s="420" t="s">
        <v>150</v>
      </c>
      <c r="I746" s="349" t="s">
        <v>73</v>
      </c>
      <c r="J746" s="420" t="str">
        <f>F746</f>
        <v>Texas</v>
      </c>
      <c r="K746" s="379" t="str">
        <f t="shared" si="228"/>
        <v>Kansas</v>
      </c>
      <c r="L746" s="422">
        <v>9</v>
      </c>
      <c r="M746" s="418">
        <v>63.5</v>
      </c>
      <c r="N746" s="351" t="str">
        <f>J746</f>
        <v>Texas</v>
      </c>
      <c r="O746" s="423">
        <v>55</v>
      </c>
      <c r="P746" s="436" t="str">
        <f t="shared" si="227"/>
        <v>Kansas</v>
      </c>
      <c r="Q746" s="408">
        <v>14</v>
      </c>
      <c r="R746" s="494" t="str">
        <f t="shared" si="229"/>
        <v>Texas</v>
      </c>
      <c r="S746" s="494" t="str">
        <f t="shared" si="230"/>
        <v>Kansas</v>
      </c>
      <c r="T746" s="356" t="str">
        <f>K746</f>
        <v>Kansas</v>
      </c>
      <c r="U746" s="665" t="str">
        <f t="shared" si="231"/>
        <v>L</v>
      </c>
      <c r="V746" s="352" t="str">
        <f>LOWER(+H746)</f>
        <v>kansas</v>
      </c>
      <c r="W746" s="424">
        <v>57</v>
      </c>
      <c r="X746" s="352" t="str">
        <f>UPPER(+F746)</f>
        <v>TEXAS</v>
      </c>
      <c r="Y746" s="425">
        <v>56</v>
      </c>
    </row>
    <row r="747" spans="1:25" ht="16" x14ac:dyDescent="0.8">
      <c r="A747" s="351">
        <v>12</v>
      </c>
      <c r="B747" s="420" t="s">
        <v>34</v>
      </c>
      <c r="C747" s="421">
        <v>44884</v>
      </c>
      <c r="D747" s="414">
        <f>19.5/24</f>
        <v>0.8125</v>
      </c>
      <c r="E747" s="349" t="s">
        <v>135</v>
      </c>
      <c r="F747" s="420" t="s">
        <v>72</v>
      </c>
      <c r="G747" s="349" t="s">
        <v>73</v>
      </c>
      <c r="H747" s="420" t="s">
        <v>154</v>
      </c>
      <c r="I747" s="349" t="s">
        <v>73</v>
      </c>
      <c r="J747" s="420" t="str">
        <f>H747</f>
        <v>Oklahoma</v>
      </c>
      <c r="K747" s="379" t="str">
        <f t="shared" si="228"/>
        <v>Oklahoma State</v>
      </c>
      <c r="L747" s="422">
        <v>7</v>
      </c>
      <c r="M747" s="418">
        <v>66</v>
      </c>
      <c r="N747" s="351" t="str">
        <f>J747</f>
        <v>Oklahoma</v>
      </c>
      <c r="O747" s="423">
        <v>28</v>
      </c>
      <c r="P747" s="436" t="str">
        <f t="shared" si="227"/>
        <v>Oklahoma State</v>
      </c>
      <c r="Q747" s="408">
        <v>13</v>
      </c>
      <c r="R747" s="494" t="str">
        <f t="shared" si="229"/>
        <v>Oklahoma</v>
      </c>
      <c r="S747" s="494" t="str">
        <f t="shared" si="230"/>
        <v>Oklahoma State</v>
      </c>
      <c r="T747" s="356" t="str">
        <f>K747</f>
        <v>Oklahoma State</v>
      </c>
      <c r="U747" s="665" t="str">
        <f t="shared" si="231"/>
        <v>L</v>
      </c>
      <c r="V747" s="352" t="str">
        <f>UPPER(+F747)</f>
        <v>OKLAHOMA STATE</v>
      </c>
      <c r="W747" s="424">
        <v>37</v>
      </c>
      <c r="X747" s="352" t="str">
        <f>LOWER(+H747)</f>
        <v>oklahoma</v>
      </c>
      <c r="Y747" s="425">
        <v>33</v>
      </c>
    </row>
    <row r="748" spans="1:25" ht="16" x14ac:dyDescent="0.8">
      <c r="A748" s="351">
        <v>12</v>
      </c>
      <c r="B748" s="420" t="s">
        <v>34</v>
      </c>
      <c r="C748" s="421">
        <v>44884</v>
      </c>
      <c r="D748" s="414">
        <f>14/24</f>
        <v>0.58333333333333337</v>
      </c>
      <c r="E748" s="349"/>
      <c r="F748" s="420" t="s">
        <v>152</v>
      </c>
      <c r="G748" s="349" t="s">
        <v>73</v>
      </c>
      <c r="H748" s="420" t="s">
        <v>222</v>
      </c>
      <c r="I748" s="349" t="s">
        <v>73</v>
      </c>
      <c r="J748" s="420" t="str">
        <f>F748</f>
        <v>Kansas State</v>
      </c>
      <c r="K748" s="379" t="str">
        <f t="shared" si="228"/>
        <v>West Virginia</v>
      </c>
      <c r="L748" s="422">
        <v>7.5</v>
      </c>
      <c r="M748" s="418">
        <v>54.5</v>
      </c>
      <c r="N748" s="436" t="str">
        <f>J748</f>
        <v>Kansas State</v>
      </c>
      <c r="O748" s="423">
        <v>48</v>
      </c>
      <c r="P748" s="436" t="str">
        <f t="shared" si="227"/>
        <v>West Virginia</v>
      </c>
      <c r="Q748" s="408">
        <v>31</v>
      </c>
      <c r="R748" s="494" t="str">
        <f t="shared" si="229"/>
        <v>Kansas State</v>
      </c>
      <c r="S748" s="494" t="str">
        <f t="shared" si="230"/>
        <v>West Virginia</v>
      </c>
      <c r="T748" s="356" t="str">
        <f>K748</f>
        <v>West Virginia</v>
      </c>
      <c r="U748" s="665" t="str">
        <f t="shared" si="231"/>
        <v>L</v>
      </c>
      <c r="V748" s="352" t="str">
        <f>UPPER(+F748)</f>
        <v>KANSAS STATE</v>
      </c>
      <c r="W748" s="424">
        <v>34</v>
      </c>
      <c r="X748" s="352" t="str">
        <f>LOWER(+H748)</f>
        <v>west virginia</v>
      </c>
      <c r="Y748" s="425">
        <v>17</v>
      </c>
    </row>
    <row r="749" spans="1:25" ht="16" x14ac:dyDescent="0.8">
      <c r="A749" s="351">
        <v>12</v>
      </c>
      <c r="B749" s="420" t="s">
        <v>34</v>
      </c>
      <c r="C749" s="421">
        <v>44884</v>
      </c>
      <c r="D749" s="414">
        <f>15.5/24</f>
        <v>0.64583333333333337</v>
      </c>
      <c r="E749" s="349"/>
      <c r="F749" s="420" t="s">
        <v>97</v>
      </c>
      <c r="G749" s="349" t="s">
        <v>39</v>
      </c>
      <c r="H749" s="420" t="s">
        <v>165</v>
      </c>
      <c r="I749" s="349" t="s">
        <v>39</v>
      </c>
      <c r="J749" s="420" t="str">
        <f>F749</f>
        <v>Florida Atlantic</v>
      </c>
      <c r="K749" s="379" t="str">
        <f t="shared" si="228"/>
        <v>Middle Tenn St</v>
      </c>
      <c r="L749" s="422">
        <v>6</v>
      </c>
      <c r="M749" s="418">
        <v>51</v>
      </c>
      <c r="N749" s="436" t="str">
        <f>K749</f>
        <v>Middle Tenn St</v>
      </c>
      <c r="O749" s="423">
        <v>49</v>
      </c>
      <c r="P749" s="436" t="str">
        <f t="shared" si="227"/>
        <v>Florida Atlantic</v>
      </c>
      <c r="Q749" s="408">
        <v>21</v>
      </c>
      <c r="R749" s="494" t="str">
        <f t="shared" si="229"/>
        <v>Middle Tenn St</v>
      </c>
      <c r="S749" s="494" t="str">
        <f t="shared" si="230"/>
        <v>Florida Atlantic</v>
      </c>
      <c r="T749" s="356" t="str">
        <f>K749</f>
        <v>Middle Tenn St</v>
      </c>
      <c r="U749" s="665" t="str">
        <f t="shared" si="231"/>
        <v>W</v>
      </c>
      <c r="V749" s="352" t="str">
        <f>LOWER(+H749)</f>
        <v>middle tenn st</v>
      </c>
      <c r="W749" s="424">
        <v>27</v>
      </c>
      <c r="X749" s="352" t="str">
        <f>UPPER(+F749)</f>
        <v>FLORIDA ATLANTIC</v>
      </c>
      <c r="Y749" s="425">
        <v>17</v>
      </c>
    </row>
    <row r="750" spans="1:25" ht="16" x14ac:dyDescent="0.8">
      <c r="A750" s="351">
        <v>12</v>
      </c>
      <c r="B750" s="420" t="s">
        <v>34</v>
      </c>
      <c r="C750" s="421">
        <v>44884</v>
      </c>
      <c r="D750" s="414">
        <f>13/24</f>
        <v>0.54166666666666663</v>
      </c>
      <c r="E750" s="349"/>
      <c r="F750" s="420" t="s">
        <v>175</v>
      </c>
      <c r="G750" s="349" t="s">
        <v>39</v>
      </c>
      <c r="H750" s="420" t="s">
        <v>38</v>
      </c>
      <c r="I750" s="349" t="s">
        <v>39</v>
      </c>
      <c r="J750" s="420" t="str">
        <f>F750</f>
        <v>UT San Antonio</v>
      </c>
      <c r="K750" s="379" t="str">
        <f t="shared" si="228"/>
        <v>Rice</v>
      </c>
      <c r="L750" s="422">
        <v>13</v>
      </c>
      <c r="M750" s="418">
        <v>60</v>
      </c>
      <c r="N750" s="351" t="str">
        <f>J750</f>
        <v>UT San Antonio</v>
      </c>
      <c r="O750" s="423">
        <v>41</v>
      </c>
      <c r="P750" s="436" t="str">
        <f t="shared" si="227"/>
        <v>Rice</v>
      </c>
      <c r="Q750" s="408">
        <v>7</v>
      </c>
      <c r="R750" s="494" t="str">
        <f t="shared" si="229"/>
        <v>UT San Antonio</v>
      </c>
      <c r="S750" s="494" t="str">
        <f t="shared" si="230"/>
        <v>Rice</v>
      </c>
      <c r="T750" s="356" t="str">
        <f>J750</f>
        <v>UT San Antonio</v>
      </c>
      <c r="U750" s="665" t="str">
        <f t="shared" si="231"/>
        <v>W</v>
      </c>
      <c r="V750" s="352" t="str">
        <f>UPPER(+F750)</f>
        <v>UT SAN ANTONIO</v>
      </c>
      <c r="W750" s="424">
        <v>45</v>
      </c>
      <c r="X750" s="352" t="str">
        <f>LOWER(+H750)</f>
        <v>rice</v>
      </c>
      <c r="Y750" s="425">
        <v>0</v>
      </c>
    </row>
    <row r="751" spans="1:25" ht="16" x14ac:dyDescent="0.8">
      <c r="A751" s="351">
        <v>12</v>
      </c>
      <c r="B751" s="420" t="s">
        <v>34</v>
      </c>
      <c r="C751" s="421">
        <v>44884</v>
      </c>
      <c r="D751" s="414">
        <f>15.5/24</f>
        <v>0.64583333333333337</v>
      </c>
      <c r="E751" s="349" t="s">
        <v>53</v>
      </c>
      <c r="F751" s="420" t="s">
        <v>161</v>
      </c>
      <c r="G751" s="349" t="s">
        <v>39</v>
      </c>
      <c r="H751" s="420" t="s">
        <v>100</v>
      </c>
      <c r="I751" s="349" t="s">
        <v>39</v>
      </c>
      <c r="J751" s="420" t="str">
        <f>F751</f>
        <v>Louisiana Tech</v>
      </c>
      <c r="K751" s="379" t="str">
        <f t="shared" si="228"/>
        <v>UNC Charlotte</v>
      </c>
      <c r="L751" s="422">
        <v>3</v>
      </c>
      <c r="M751" s="418">
        <v>64.5</v>
      </c>
      <c r="N751" s="436" t="str">
        <f>K751</f>
        <v>UNC Charlotte</v>
      </c>
      <c r="O751" s="423">
        <v>26</v>
      </c>
      <c r="P751" s="436" t="str">
        <f t="shared" si="227"/>
        <v>Louisiana Tech</v>
      </c>
      <c r="Q751" s="408">
        <v>21</v>
      </c>
      <c r="R751" s="494" t="str">
        <f t="shared" si="229"/>
        <v>UNC Charlotte</v>
      </c>
      <c r="S751" s="494" t="str">
        <f t="shared" si="230"/>
        <v>Louisiana Tech</v>
      </c>
      <c r="T751" s="356" t="str">
        <f>K751</f>
        <v>UNC Charlotte</v>
      </c>
      <c r="U751" s="665" t="str">
        <f t="shared" si="231"/>
        <v>W</v>
      </c>
      <c r="V751" s="352" t="str">
        <f>UPPER(+F751)</f>
        <v>LOUISIANA TECH</v>
      </c>
      <c r="W751" s="424">
        <v>42</v>
      </c>
      <c r="X751" s="352" t="str">
        <f>LOWER(+H751)</f>
        <v>unc charlotte</v>
      </c>
      <c r="Y751" s="425">
        <v>32</v>
      </c>
    </row>
    <row r="752" spans="1:25" ht="16" x14ac:dyDescent="0.8">
      <c r="A752" s="351">
        <v>12</v>
      </c>
      <c r="B752" s="420" t="s">
        <v>34</v>
      </c>
      <c r="C752" s="421">
        <v>44884</v>
      </c>
      <c r="D752" s="414">
        <f>16/24</f>
        <v>0.66666666666666663</v>
      </c>
      <c r="E752" s="349"/>
      <c r="F752" s="420" t="s">
        <v>105</v>
      </c>
      <c r="G752" s="349" t="s">
        <v>39</v>
      </c>
      <c r="H752" s="420" t="s">
        <v>153</v>
      </c>
      <c r="I752" s="349" t="s">
        <v>39</v>
      </c>
      <c r="J752" s="420" t="str">
        <f>H752</f>
        <v>UTEP</v>
      </c>
      <c r="K752" s="379" t="str">
        <f t="shared" si="228"/>
        <v>Florida Intl</v>
      </c>
      <c r="L752" s="422">
        <v>14</v>
      </c>
      <c r="M752" s="418">
        <v>51</v>
      </c>
      <c r="N752" s="351" t="str">
        <f>J752</f>
        <v>UTEP</v>
      </c>
      <c r="O752" s="423">
        <v>40</v>
      </c>
      <c r="P752" s="436" t="str">
        <f t="shared" si="227"/>
        <v>Florida Intl</v>
      </c>
      <c r="Q752" s="408">
        <v>6</v>
      </c>
      <c r="R752" s="494" t="str">
        <f t="shared" si="229"/>
        <v>UTEP</v>
      </c>
      <c r="S752" s="494" t="str">
        <f t="shared" si="230"/>
        <v>Florida Intl</v>
      </c>
      <c r="T752" s="356" t="str">
        <f>J752</f>
        <v>UTEP</v>
      </c>
      <c r="U752" s="665" t="str">
        <f t="shared" si="231"/>
        <v>W</v>
      </c>
      <c r="W752" s="424"/>
      <c r="X752" s="352" t="s">
        <v>404</v>
      </c>
      <c r="Y752" s="425"/>
    </row>
    <row r="753" spans="1:25" ht="16" x14ac:dyDescent="0.8">
      <c r="A753" s="351">
        <v>12</v>
      </c>
      <c r="B753" s="420" t="s">
        <v>34</v>
      </c>
      <c r="C753" s="421">
        <v>44884</v>
      </c>
      <c r="D753" s="414">
        <f>12/24</f>
        <v>0.5</v>
      </c>
      <c r="E753" s="349" t="s">
        <v>445</v>
      </c>
      <c r="F753" s="420" t="s">
        <v>57</v>
      </c>
      <c r="G753" s="349" t="s">
        <v>43</v>
      </c>
      <c r="H753" s="420" t="s">
        <v>99</v>
      </c>
      <c r="I753" s="349" t="s">
        <v>43</v>
      </c>
      <c r="J753" s="420" t="str">
        <f>H753</f>
        <v>Army</v>
      </c>
      <c r="K753" s="379" t="str">
        <f t="shared" si="228"/>
        <v>Connecticut</v>
      </c>
      <c r="L753" s="422">
        <v>10</v>
      </c>
      <c r="M753" s="418">
        <v>43.5</v>
      </c>
      <c r="N753" s="351" t="str">
        <f>J753</f>
        <v>Army</v>
      </c>
      <c r="O753" s="423">
        <v>34</v>
      </c>
      <c r="P753" s="436" t="str">
        <f t="shared" si="227"/>
        <v>Connecticut</v>
      </c>
      <c r="Q753" s="408">
        <v>17</v>
      </c>
      <c r="R753" s="494" t="str">
        <f t="shared" si="229"/>
        <v>Army</v>
      </c>
      <c r="S753" s="494" t="str">
        <f t="shared" si="230"/>
        <v>Connecticut</v>
      </c>
      <c r="T753" s="356" t="str">
        <f>K753</f>
        <v>Connecticut</v>
      </c>
      <c r="U753" s="665" t="str">
        <f t="shared" si="231"/>
        <v>L</v>
      </c>
      <c r="V753" s="352" t="str">
        <f>LOWER(+H753)</f>
        <v>army</v>
      </c>
      <c r="W753" s="424">
        <v>52</v>
      </c>
      <c r="X753" s="352" t="str">
        <f>UPPER(+F753)</f>
        <v>CONNECTICUT</v>
      </c>
      <c r="Y753" s="425">
        <v>21</v>
      </c>
    </row>
    <row r="754" spans="1:25" ht="16" x14ac:dyDescent="0.8">
      <c r="A754" s="351">
        <v>12</v>
      </c>
      <c r="B754" s="420" t="s">
        <v>34</v>
      </c>
      <c r="C754" s="421">
        <v>44884</v>
      </c>
      <c r="D754" s="414">
        <f>15.5/24</f>
        <v>0.64583333333333337</v>
      </c>
      <c r="E754" s="349" t="s">
        <v>53</v>
      </c>
      <c r="F754" s="420" t="s">
        <v>408</v>
      </c>
      <c r="G754" s="349" t="s">
        <v>41</v>
      </c>
      <c r="H754" s="420" t="s">
        <v>42</v>
      </c>
      <c r="I754" s="349" t="s">
        <v>43</v>
      </c>
      <c r="J754" s="420"/>
      <c r="K754" s="379" t="str">
        <f>IF(+J754=H754,F754,H754)</f>
        <v>BYU</v>
      </c>
      <c r="L754" s="422"/>
      <c r="M754" s="418"/>
      <c r="N754" s="436" t="str">
        <f>K754</f>
        <v>BYU</v>
      </c>
      <c r="O754" s="423">
        <v>52</v>
      </c>
      <c r="P754" s="436" t="str">
        <f t="shared" si="227"/>
        <v>1AA Dixie State</v>
      </c>
      <c r="Q754" s="408">
        <v>26</v>
      </c>
      <c r="R754" s="494" t="str">
        <f>IF(+N754=K754,+N754,IF(+O754-Q754&lt;L754,+K754,+J754))</f>
        <v>BYU</v>
      </c>
      <c r="S754" s="494">
        <f>IF(+R754=J754,+K754,+J754)</f>
        <v>0</v>
      </c>
      <c r="T754" s="356"/>
      <c r="U754" s="665"/>
      <c r="W754" s="424"/>
      <c r="X754" s="352" t="s">
        <v>404</v>
      </c>
      <c r="Y754" s="425"/>
    </row>
    <row r="755" spans="1:25" ht="16" x14ac:dyDescent="0.8">
      <c r="A755" s="351">
        <v>12</v>
      </c>
      <c r="B755" s="420" t="s">
        <v>34</v>
      </c>
      <c r="C755" s="421">
        <v>44884</v>
      </c>
      <c r="D755" s="414">
        <f>12/24</f>
        <v>0.5</v>
      </c>
      <c r="E755" s="349"/>
      <c r="F755" s="420" t="s">
        <v>221</v>
      </c>
      <c r="G755" s="349" t="s">
        <v>61</v>
      </c>
      <c r="H755" s="420" t="s">
        <v>306</v>
      </c>
      <c r="I755" s="349" t="s">
        <v>43</v>
      </c>
      <c r="J755" s="420" t="str">
        <f>H755</f>
        <v>Liberty</v>
      </c>
      <c r="K755" s="379" t="str">
        <f t="shared" ref="K755:K774" si="232">IF(+J755=H755,F755,H755)</f>
        <v>Virginia Tech</v>
      </c>
      <c r="L755" s="422">
        <v>10</v>
      </c>
      <c r="M755" s="418">
        <v>46.5</v>
      </c>
      <c r="N755" s="436" t="str">
        <f>K755</f>
        <v>Virginia Tech</v>
      </c>
      <c r="O755" s="423">
        <v>23</v>
      </c>
      <c r="P755" s="436" t="str">
        <f t="shared" si="227"/>
        <v>Liberty</v>
      </c>
      <c r="Q755" s="408">
        <v>22</v>
      </c>
      <c r="R755" s="494" t="str">
        <f t="shared" ref="R755:R774" si="233">IF(+N755=K755,+N755,IF(+O755-Q755&lt;L755,+K755,+J755))</f>
        <v>Virginia Tech</v>
      </c>
      <c r="S755" s="494" t="str">
        <f t="shared" ref="S755:S774" si="234">IF(+R755=J755,+K755,+J755)</f>
        <v>Liberty</v>
      </c>
      <c r="T755" s="356" t="str">
        <f>J755</f>
        <v>Liberty</v>
      </c>
      <c r="U755" s="665" t="str">
        <f t="shared" ref="U755:U774" si="235">IF($N755=$J755,IF($O755-$Q755=$L755,"T",IF($R755=T755,"W","L")),IF($R755=T755,"W","L"))</f>
        <v>L</v>
      </c>
      <c r="W755" s="424"/>
      <c r="X755" s="352" t="s">
        <v>404</v>
      </c>
      <c r="Y755" s="425"/>
    </row>
    <row r="756" spans="1:25" ht="16" x14ac:dyDescent="0.8">
      <c r="A756" s="351">
        <v>12</v>
      </c>
      <c r="B756" s="420" t="s">
        <v>34</v>
      </c>
      <c r="C756" s="421">
        <v>44884</v>
      </c>
      <c r="D756" s="414">
        <f>14.5/24</f>
        <v>0.60416666666666663</v>
      </c>
      <c r="E756" s="349" t="s">
        <v>179</v>
      </c>
      <c r="F756" s="420" t="s">
        <v>102</v>
      </c>
      <c r="G756" s="349" t="s">
        <v>61</v>
      </c>
      <c r="H756" s="420" t="s">
        <v>181</v>
      </c>
      <c r="I756" s="349" t="s">
        <v>43</v>
      </c>
      <c r="J756" s="420" t="str">
        <f>H756</f>
        <v>Notre Dame</v>
      </c>
      <c r="K756" s="379" t="str">
        <f t="shared" si="232"/>
        <v>Boston College</v>
      </c>
      <c r="L756" s="422">
        <v>20.5</v>
      </c>
      <c r="M756" s="418">
        <v>44.5</v>
      </c>
      <c r="N756" s="351" t="str">
        <f>J756</f>
        <v>Notre Dame</v>
      </c>
      <c r="O756" s="423">
        <v>44</v>
      </c>
      <c r="P756" s="436" t="str">
        <f t="shared" ref="P756:P779" si="236">IF(+N756=H756,F756,H756)</f>
        <v>Boston College</v>
      </c>
      <c r="Q756" s="408">
        <v>0</v>
      </c>
      <c r="R756" s="494" t="str">
        <f t="shared" si="233"/>
        <v>Notre Dame</v>
      </c>
      <c r="S756" s="494" t="str">
        <f t="shared" si="234"/>
        <v>Boston College</v>
      </c>
      <c r="T756" s="356" t="str">
        <f>K756</f>
        <v>Boston College</v>
      </c>
      <c r="U756" s="665" t="str">
        <f t="shared" si="235"/>
        <v>L</v>
      </c>
      <c r="W756" s="424"/>
      <c r="X756" s="352" t="s">
        <v>404</v>
      </c>
      <c r="Y756" s="425"/>
    </row>
    <row r="757" spans="1:25" ht="16" x14ac:dyDescent="0.8">
      <c r="A757" s="351">
        <v>12</v>
      </c>
      <c r="B757" s="420" t="s">
        <v>34</v>
      </c>
      <c r="C757" s="421">
        <v>44884</v>
      </c>
      <c r="D757" s="414">
        <f>15.5/24</f>
        <v>0.64583333333333337</v>
      </c>
      <c r="E757" s="349" t="s">
        <v>445</v>
      </c>
      <c r="F757" s="420" t="s">
        <v>144</v>
      </c>
      <c r="G757" s="349" t="s">
        <v>68</v>
      </c>
      <c r="H757" s="420" t="s">
        <v>67</v>
      </c>
      <c r="I757" s="349" t="s">
        <v>68</v>
      </c>
      <c r="J757" s="420" t="str">
        <f>H757</f>
        <v>Buffalo</v>
      </c>
      <c r="K757" s="379" t="str">
        <f t="shared" si="232"/>
        <v>Akron</v>
      </c>
      <c r="L757" s="422">
        <v>13.5</v>
      </c>
      <c r="M757" s="418">
        <v>47.5</v>
      </c>
      <c r="N757" s="351"/>
      <c r="O757" s="423"/>
      <c r="P757" s="436" t="s">
        <v>412</v>
      </c>
      <c r="Q757" s="408"/>
      <c r="R757" s="494"/>
      <c r="S757" s="494"/>
      <c r="T757" s="356"/>
      <c r="U757" s="665"/>
      <c r="V757" s="352" t="str">
        <f>LOWER(+H757)</f>
        <v>buffalo</v>
      </c>
      <c r="W757" s="424">
        <v>45</v>
      </c>
      <c r="X757" s="352" t="str">
        <f>UPPER(+F757)</f>
        <v>AKRON</v>
      </c>
      <c r="Y757" s="425">
        <v>10</v>
      </c>
    </row>
    <row r="758" spans="1:25" ht="16" x14ac:dyDescent="0.8">
      <c r="A758" s="351">
        <v>12</v>
      </c>
      <c r="B758" s="420" t="s">
        <v>34</v>
      </c>
      <c r="C758" s="421">
        <v>44884</v>
      </c>
      <c r="D758" s="414">
        <f>21/24</f>
        <v>0.875</v>
      </c>
      <c r="E758" s="349" t="s">
        <v>367</v>
      </c>
      <c r="F758" s="420" t="s">
        <v>48</v>
      </c>
      <c r="G758" s="349" t="s">
        <v>45</v>
      </c>
      <c r="H758" s="420" t="s">
        <v>184</v>
      </c>
      <c r="I758" s="349" t="s">
        <v>45</v>
      </c>
      <c r="J758" s="420" t="str">
        <f>H758</f>
        <v>Air Force</v>
      </c>
      <c r="K758" s="379" t="str">
        <f t="shared" si="232"/>
        <v>Colorado State</v>
      </c>
      <c r="L758" s="422">
        <v>21.5</v>
      </c>
      <c r="M758" s="418">
        <v>44</v>
      </c>
      <c r="N758" s="351" t="str">
        <f>J758</f>
        <v>Air Force</v>
      </c>
      <c r="O758" s="423">
        <v>24</v>
      </c>
      <c r="P758" s="436" t="str">
        <f t="shared" si="236"/>
        <v>Colorado State</v>
      </c>
      <c r="Q758" s="408">
        <v>12</v>
      </c>
      <c r="R758" s="494" t="str">
        <f t="shared" si="233"/>
        <v>Colorado State</v>
      </c>
      <c r="S758" s="494" t="str">
        <f t="shared" si="234"/>
        <v>Air Force</v>
      </c>
      <c r="T758" s="356" t="str">
        <f>K758</f>
        <v>Colorado State</v>
      </c>
      <c r="U758" s="665" t="str">
        <f t="shared" si="235"/>
        <v>W</v>
      </c>
      <c r="V758" s="352" t="str">
        <f>LOWER(+H758)</f>
        <v>air force</v>
      </c>
      <c r="W758" s="424">
        <v>35</v>
      </c>
      <c r="X758" s="352" t="str">
        <f>UPPER(+F758)</f>
        <v>COLORADO STATE</v>
      </c>
      <c r="Y758" s="425">
        <v>21</v>
      </c>
    </row>
    <row r="759" spans="1:25" ht="16" x14ac:dyDescent="0.8">
      <c r="A759" s="351">
        <v>12</v>
      </c>
      <c r="B759" s="420" t="s">
        <v>34</v>
      </c>
      <c r="C759" s="421">
        <v>44884</v>
      </c>
      <c r="D759" s="414">
        <f>23/24</f>
        <v>0.95833333333333337</v>
      </c>
      <c r="E759" s="349"/>
      <c r="F759" s="420" t="s">
        <v>196</v>
      </c>
      <c r="G759" s="349" t="s">
        <v>45</v>
      </c>
      <c r="H759" s="420" t="s">
        <v>44</v>
      </c>
      <c r="I759" s="349" t="s">
        <v>45</v>
      </c>
      <c r="J759" s="420" t="str">
        <f t="shared" ref="J759:J764" si="237">F759</f>
        <v>UNLV</v>
      </c>
      <c r="K759" s="379" t="str">
        <f t="shared" si="232"/>
        <v>Hawaii</v>
      </c>
      <c r="L759" s="422">
        <v>11</v>
      </c>
      <c r="M759" s="418">
        <v>56</v>
      </c>
      <c r="N759" s="436" t="str">
        <f>K759</f>
        <v>Hawaii</v>
      </c>
      <c r="O759" s="423">
        <v>31</v>
      </c>
      <c r="P759" s="436" t="str">
        <f t="shared" si="236"/>
        <v>UNLV</v>
      </c>
      <c r="Q759" s="408">
        <v>25</v>
      </c>
      <c r="R759" s="494" t="str">
        <f t="shared" si="233"/>
        <v>Hawaii</v>
      </c>
      <c r="S759" s="494" t="str">
        <f t="shared" si="234"/>
        <v>UNLV</v>
      </c>
      <c r="T759" s="356" t="str">
        <f>K759</f>
        <v>Hawaii</v>
      </c>
      <c r="U759" s="665" t="str">
        <f t="shared" si="235"/>
        <v>W</v>
      </c>
      <c r="V759" s="352" t="str">
        <f>UPPER(+F759)</f>
        <v>UNLV</v>
      </c>
      <c r="W759" s="424">
        <v>27</v>
      </c>
      <c r="X759" s="352" t="str">
        <f>LOWER(+H759)</f>
        <v>hawaii</v>
      </c>
      <c r="Y759" s="425">
        <v>13</v>
      </c>
    </row>
    <row r="760" spans="1:25" ht="16" x14ac:dyDescent="0.8">
      <c r="A760" s="351">
        <v>12</v>
      </c>
      <c r="B760" s="420" t="s">
        <v>34</v>
      </c>
      <c r="C760" s="421">
        <v>44884</v>
      </c>
      <c r="D760" s="414">
        <f>22.5/24</f>
        <v>0.9375</v>
      </c>
      <c r="E760" s="349" t="s">
        <v>445</v>
      </c>
      <c r="F760" s="420" t="s">
        <v>188</v>
      </c>
      <c r="G760" s="349" t="s">
        <v>45</v>
      </c>
      <c r="H760" s="420" t="s">
        <v>142</v>
      </c>
      <c r="I760" s="349" t="s">
        <v>45</v>
      </c>
      <c r="J760" s="420" t="str">
        <f t="shared" si="237"/>
        <v>Fresno State</v>
      </c>
      <c r="K760" s="379" t="str">
        <f t="shared" si="232"/>
        <v>Nevada</v>
      </c>
      <c r="L760" s="422">
        <v>22.5</v>
      </c>
      <c r="M760" s="418">
        <v>53.5</v>
      </c>
      <c r="N760" s="351" t="str">
        <f>J760</f>
        <v>Fresno State</v>
      </c>
      <c r="O760" s="423">
        <v>41</v>
      </c>
      <c r="P760" s="436" t="str">
        <f t="shared" si="236"/>
        <v>Nevada</v>
      </c>
      <c r="Q760" s="408">
        <v>14</v>
      </c>
      <c r="R760" s="494" t="str">
        <f t="shared" si="233"/>
        <v>Fresno State</v>
      </c>
      <c r="S760" s="494" t="str">
        <f t="shared" si="234"/>
        <v>Nevada</v>
      </c>
      <c r="T760" s="356" t="str">
        <f>K760</f>
        <v>Nevada</v>
      </c>
      <c r="U760" s="665" t="str">
        <f t="shared" si="235"/>
        <v>L</v>
      </c>
      <c r="V760" s="352" t="str">
        <f>UPPER(+F760)</f>
        <v>FRESNO STATE</v>
      </c>
      <c r="W760" s="424">
        <v>34</v>
      </c>
      <c r="X760" s="352" t="str">
        <f>LOWER(+H760)</f>
        <v>nevada</v>
      </c>
      <c r="Y760" s="425">
        <v>32</v>
      </c>
    </row>
    <row r="761" spans="1:25" ht="16" x14ac:dyDescent="0.8">
      <c r="A761" s="351">
        <v>12</v>
      </c>
      <c r="B761" s="420" t="s">
        <v>34</v>
      </c>
      <c r="C761" s="421">
        <v>44884</v>
      </c>
      <c r="D761" s="414">
        <f>21.75</f>
        <v>21.75</v>
      </c>
      <c r="E761" s="349" t="s">
        <v>70</v>
      </c>
      <c r="F761" s="420" t="s">
        <v>51</v>
      </c>
      <c r="G761" s="349" t="s">
        <v>45</v>
      </c>
      <c r="H761" s="420" t="s">
        <v>93</v>
      </c>
      <c r="I761" s="349" t="s">
        <v>45</v>
      </c>
      <c r="J761" s="420" t="str">
        <f t="shared" si="237"/>
        <v>San Jose State</v>
      </c>
      <c r="K761" s="379" t="str">
        <f t="shared" ref="K761" si="238">IF(+J761=H761,F761,H761)</f>
        <v>Utah State</v>
      </c>
      <c r="L761" s="422">
        <v>2.5</v>
      </c>
      <c r="M761" s="418">
        <v>51</v>
      </c>
      <c r="N761" s="436" t="str">
        <f>K761</f>
        <v>Utah State</v>
      </c>
      <c r="O761" s="423">
        <v>35</v>
      </c>
      <c r="P761" s="436" t="str">
        <f t="shared" ref="P761" si="239">IF(+N761=H761,F761,H761)</f>
        <v>San Jose State</v>
      </c>
      <c r="Q761" s="408">
        <v>31</v>
      </c>
      <c r="R761" s="494" t="str">
        <f t="shared" ref="R761" si="240">IF(+N761=K761,+N761,IF(+O761-Q761&lt;L761,+K761,+J761))</f>
        <v>Utah State</v>
      </c>
      <c r="S761" s="494" t="str">
        <f t="shared" ref="S761" si="241">IF(+R761=J761,+K761,+J761)</f>
        <v>San Jose State</v>
      </c>
      <c r="T761" s="356" t="str">
        <f>J761</f>
        <v>San Jose State</v>
      </c>
      <c r="U761" s="665" t="str">
        <f t="shared" ref="U761" si="242">IF($N761=$J761,IF($O761-$Q761=$L761,"T",IF($R761=T761,"W","L")),IF($R761=T761,"W","L"))</f>
        <v>L</v>
      </c>
      <c r="V761" s="352" t="str">
        <f>LOWER(+H761)</f>
        <v>utah state</v>
      </c>
      <c r="W761" s="424">
        <v>48</v>
      </c>
      <c r="X761" s="352" t="str">
        <f>UPPER(+F761)</f>
        <v>SAN JOSE STATE</v>
      </c>
      <c r="Y761" s="425">
        <v>17</v>
      </c>
    </row>
    <row r="762" spans="1:25" ht="16" x14ac:dyDescent="0.8">
      <c r="A762" s="351">
        <v>12</v>
      </c>
      <c r="B762" s="420" t="s">
        <v>34</v>
      </c>
      <c r="C762" s="421">
        <v>44884</v>
      </c>
      <c r="D762" s="414">
        <f>19/24</f>
        <v>0.79166666666666663</v>
      </c>
      <c r="E762" s="349" t="s">
        <v>445</v>
      </c>
      <c r="F762" s="420" t="s">
        <v>186</v>
      </c>
      <c r="G762" s="349" t="s">
        <v>45</v>
      </c>
      <c r="H762" s="420" t="s">
        <v>133</v>
      </c>
      <c r="I762" s="349" t="s">
        <v>45</v>
      </c>
      <c r="J762" s="420" t="str">
        <f t="shared" si="237"/>
        <v>Boise State</v>
      </c>
      <c r="K762" s="379" t="str">
        <f t="shared" si="232"/>
        <v>Wyoming</v>
      </c>
      <c r="L762" s="422">
        <v>14</v>
      </c>
      <c r="M762" s="418">
        <v>44</v>
      </c>
      <c r="N762" s="351" t="str">
        <f t="shared" ref="N762:N774" si="243">J762</f>
        <v>Boise State</v>
      </c>
      <c r="O762" s="423">
        <v>20</v>
      </c>
      <c r="P762" s="436" t="str">
        <f t="shared" si="236"/>
        <v>Wyoming</v>
      </c>
      <c r="Q762" s="408">
        <v>17</v>
      </c>
      <c r="R762" s="494" t="str">
        <f t="shared" si="233"/>
        <v>Wyoming</v>
      </c>
      <c r="S762" s="494" t="str">
        <f t="shared" si="234"/>
        <v>Boise State</v>
      </c>
      <c r="T762" s="356" t="str">
        <f>K762</f>
        <v>Wyoming</v>
      </c>
      <c r="U762" s="665" t="str">
        <f t="shared" si="235"/>
        <v>W</v>
      </c>
      <c r="V762" s="352" t="str">
        <f>UPPER(+F762)</f>
        <v>BOISE STATE</v>
      </c>
      <c r="W762" s="424">
        <v>23</v>
      </c>
      <c r="X762" s="352" t="str">
        <f>LOWER(+H762)</f>
        <v>wyoming</v>
      </c>
      <c r="Y762" s="425">
        <v>13</v>
      </c>
    </row>
    <row r="763" spans="1:25" ht="16" x14ac:dyDescent="0.8">
      <c r="A763" s="351">
        <v>12</v>
      </c>
      <c r="B763" s="420" t="s">
        <v>34</v>
      </c>
      <c r="C763" s="421">
        <v>44884</v>
      </c>
      <c r="D763" s="414">
        <f>14/24</f>
        <v>0.58333333333333337</v>
      </c>
      <c r="E763" s="349" t="s">
        <v>446</v>
      </c>
      <c r="F763" s="420" t="s">
        <v>204</v>
      </c>
      <c r="G763" s="349" t="s">
        <v>37</v>
      </c>
      <c r="H763" s="420" t="s">
        <v>198</v>
      </c>
      <c r="I763" s="349" t="s">
        <v>37</v>
      </c>
      <c r="J763" s="420" t="str">
        <f t="shared" si="237"/>
        <v>Washington State</v>
      </c>
      <c r="K763" s="379" t="str">
        <f t="shared" si="232"/>
        <v>Arizona</v>
      </c>
      <c r="L763" s="422">
        <v>4</v>
      </c>
      <c r="M763" s="418">
        <v>63</v>
      </c>
      <c r="N763" s="351" t="str">
        <f t="shared" si="243"/>
        <v>Washington State</v>
      </c>
      <c r="O763" s="423">
        <v>31</v>
      </c>
      <c r="P763" s="436" t="str">
        <f t="shared" si="236"/>
        <v>Arizona</v>
      </c>
      <c r="Q763" s="408">
        <v>20</v>
      </c>
      <c r="R763" s="494" t="str">
        <f t="shared" si="233"/>
        <v>Washington State</v>
      </c>
      <c r="S763" s="494" t="str">
        <f t="shared" si="234"/>
        <v>Arizona</v>
      </c>
      <c r="T763" s="356" t="str">
        <f>J763</f>
        <v>Washington State</v>
      </c>
      <c r="U763" s="665" t="str">
        <f t="shared" si="235"/>
        <v>W</v>
      </c>
      <c r="V763" s="352" t="str">
        <f>UPPER(+F763)</f>
        <v>WASHINGTON STATE</v>
      </c>
      <c r="W763" s="424">
        <v>34</v>
      </c>
      <c r="X763" s="352" t="str">
        <f>LOWER(+H763)</f>
        <v>arizona</v>
      </c>
      <c r="Y763" s="425">
        <v>21</v>
      </c>
    </row>
    <row r="764" spans="1:25" ht="16" x14ac:dyDescent="0.8">
      <c r="A764" s="351">
        <v>12</v>
      </c>
      <c r="B764" s="420" t="s">
        <v>34</v>
      </c>
      <c r="C764" s="421">
        <v>44884</v>
      </c>
      <c r="D764" s="414">
        <f>14.25/24</f>
        <v>0.59375</v>
      </c>
      <c r="E764" s="349" t="s">
        <v>256</v>
      </c>
      <c r="F764" s="420" t="s">
        <v>47</v>
      </c>
      <c r="G764" s="349" t="s">
        <v>37</v>
      </c>
      <c r="H764" s="420" t="s">
        <v>79</v>
      </c>
      <c r="I764" s="349" t="s">
        <v>37</v>
      </c>
      <c r="J764" s="420" t="str">
        <f t="shared" si="237"/>
        <v>Oregon State</v>
      </c>
      <c r="K764" s="379" t="str">
        <f t="shared" si="232"/>
        <v>Arizona State</v>
      </c>
      <c r="L764" s="422">
        <v>8</v>
      </c>
      <c r="M764" s="418">
        <v>54</v>
      </c>
      <c r="N764" s="351" t="str">
        <f t="shared" si="243"/>
        <v>Oregon State</v>
      </c>
      <c r="O764" s="423">
        <v>31</v>
      </c>
      <c r="P764" s="436" t="str">
        <f t="shared" si="236"/>
        <v>Arizona State</v>
      </c>
      <c r="Q764" s="408">
        <v>7</v>
      </c>
      <c r="R764" s="494" t="str">
        <f t="shared" si="233"/>
        <v>Oregon State</v>
      </c>
      <c r="S764" s="494" t="str">
        <f t="shared" si="234"/>
        <v>Arizona State</v>
      </c>
      <c r="T764" s="356" t="str">
        <f>J764</f>
        <v>Oregon State</v>
      </c>
      <c r="U764" s="665" t="str">
        <f t="shared" si="235"/>
        <v>W</v>
      </c>
      <c r="W764" s="424"/>
      <c r="X764" s="352" t="s">
        <v>404</v>
      </c>
      <c r="Y764" s="425"/>
    </row>
    <row r="765" spans="1:25" ht="16" x14ac:dyDescent="0.8">
      <c r="A765" s="351">
        <v>12</v>
      </c>
      <c r="B765" s="420" t="s">
        <v>34</v>
      </c>
      <c r="C765" s="421">
        <v>44884</v>
      </c>
      <c r="D765" s="414">
        <f>17.5/24</f>
        <v>0.72916666666666663</v>
      </c>
      <c r="E765" s="349" t="s">
        <v>446</v>
      </c>
      <c r="F765" s="420" t="s">
        <v>36</v>
      </c>
      <c r="G765" s="349" t="s">
        <v>37</v>
      </c>
      <c r="H765" s="420" t="s">
        <v>123</v>
      </c>
      <c r="I765" s="349" t="s">
        <v>37</v>
      </c>
      <c r="J765" s="420" t="str">
        <f>H765</f>
        <v>California</v>
      </c>
      <c r="K765" s="379" t="str">
        <f t="shared" si="232"/>
        <v>Stanford</v>
      </c>
      <c r="L765" s="422">
        <v>5</v>
      </c>
      <c r="M765" s="418">
        <v>46</v>
      </c>
      <c r="N765" s="351" t="str">
        <f t="shared" si="243"/>
        <v>California</v>
      </c>
      <c r="O765" s="423">
        <v>27</v>
      </c>
      <c r="P765" s="436" t="str">
        <f t="shared" si="236"/>
        <v>Stanford</v>
      </c>
      <c r="Q765" s="408">
        <v>20</v>
      </c>
      <c r="R765" s="494" t="str">
        <f t="shared" si="233"/>
        <v>California</v>
      </c>
      <c r="S765" s="494" t="str">
        <f t="shared" si="234"/>
        <v>Stanford</v>
      </c>
      <c r="T765" s="356" t="str">
        <f>K765</f>
        <v>Stanford</v>
      </c>
      <c r="U765" s="665" t="str">
        <f t="shared" si="235"/>
        <v>L</v>
      </c>
      <c r="V765" s="352" t="str">
        <f>LOWER(+H765)</f>
        <v>california</v>
      </c>
      <c r="W765" s="424">
        <v>41</v>
      </c>
      <c r="X765" s="352" t="str">
        <f>UPPER(+F765)</f>
        <v>STANFORD</v>
      </c>
      <c r="Y765" s="425">
        <v>11</v>
      </c>
    </row>
    <row r="766" spans="1:25" ht="16" x14ac:dyDescent="0.8">
      <c r="A766" s="351">
        <v>12</v>
      </c>
      <c r="B766" s="420" t="s">
        <v>34</v>
      </c>
      <c r="C766" s="421">
        <v>44884</v>
      </c>
      <c r="D766" s="414">
        <f>22.5/24</f>
        <v>0.9375</v>
      </c>
      <c r="E766" s="349" t="s">
        <v>35</v>
      </c>
      <c r="F766" s="420" t="s">
        <v>81</v>
      </c>
      <c r="G766" s="349" t="s">
        <v>37</v>
      </c>
      <c r="H766" s="420" t="s">
        <v>200</v>
      </c>
      <c r="I766" s="349" t="s">
        <v>37</v>
      </c>
      <c r="J766" s="420" t="str">
        <f>H766</f>
        <v>Oregon</v>
      </c>
      <c r="K766" s="379" t="str">
        <f t="shared" si="232"/>
        <v>Utah</v>
      </c>
      <c r="L766" s="422">
        <v>3</v>
      </c>
      <c r="M766" s="418">
        <v>62</v>
      </c>
      <c r="N766" s="351" t="str">
        <f t="shared" si="243"/>
        <v>Oregon</v>
      </c>
      <c r="O766" s="423">
        <v>29</v>
      </c>
      <c r="P766" s="436" t="str">
        <f t="shared" si="236"/>
        <v>Utah</v>
      </c>
      <c r="Q766" s="408">
        <v>17</v>
      </c>
      <c r="R766" s="494" t="str">
        <f t="shared" si="233"/>
        <v>Oregon</v>
      </c>
      <c r="S766" s="494" t="str">
        <f t="shared" si="234"/>
        <v>Utah</v>
      </c>
      <c r="T766" s="356" t="str">
        <f>J766</f>
        <v>Oregon</v>
      </c>
      <c r="U766" s="665" t="str">
        <f t="shared" si="235"/>
        <v>W</v>
      </c>
      <c r="V766" s="352" t="str">
        <f>UPPER(+F766)</f>
        <v>UTAH</v>
      </c>
      <c r="W766" s="424">
        <v>38</v>
      </c>
      <c r="X766" s="352" t="str">
        <f>LOWER(+H766)</f>
        <v>oregon</v>
      </c>
      <c r="Y766" s="425">
        <v>7</v>
      </c>
    </row>
    <row r="767" spans="1:25" ht="16" x14ac:dyDescent="0.8">
      <c r="A767" s="351">
        <v>12</v>
      </c>
      <c r="B767" s="420" t="s">
        <v>34</v>
      </c>
      <c r="C767" s="421">
        <v>44884</v>
      </c>
      <c r="D767" s="414">
        <f>20/24</f>
        <v>0.83333333333333337</v>
      </c>
      <c r="E767" s="349" t="s">
        <v>118</v>
      </c>
      <c r="F767" s="420" t="s">
        <v>202</v>
      </c>
      <c r="G767" s="349" t="s">
        <v>37</v>
      </c>
      <c r="H767" s="420" t="s">
        <v>224</v>
      </c>
      <c r="I767" s="349" t="s">
        <v>37</v>
      </c>
      <c r="J767" s="420" t="str">
        <f>F767</f>
        <v>Southern Cal</v>
      </c>
      <c r="K767" s="379" t="str">
        <f t="shared" si="232"/>
        <v>UCLA</v>
      </c>
      <c r="L767" s="422">
        <v>1.5</v>
      </c>
      <c r="M767" s="418">
        <v>75</v>
      </c>
      <c r="N767" s="351" t="str">
        <f t="shared" si="243"/>
        <v>Southern Cal</v>
      </c>
      <c r="O767" s="423">
        <v>48</v>
      </c>
      <c r="P767" s="436" t="str">
        <f t="shared" si="236"/>
        <v>UCLA</v>
      </c>
      <c r="Q767" s="408">
        <v>45</v>
      </c>
      <c r="R767" s="494" t="str">
        <f t="shared" si="233"/>
        <v>Southern Cal</v>
      </c>
      <c r="S767" s="494" t="str">
        <f t="shared" si="234"/>
        <v>UCLA</v>
      </c>
      <c r="T767" s="356" t="str">
        <f>K767</f>
        <v>UCLA</v>
      </c>
      <c r="U767" s="665" t="str">
        <f t="shared" si="235"/>
        <v>L</v>
      </c>
      <c r="V767" s="352" t="str">
        <f>LOWER(+H767)</f>
        <v>ucla</v>
      </c>
      <c r="W767" s="424">
        <v>62</v>
      </c>
      <c r="X767" s="352" t="str">
        <f>UPPER(+F767)</f>
        <v>SOUTHERN CAL</v>
      </c>
      <c r="Y767" s="425">
        <v>33</v>
      </c>
    </row>
    <row r="768" spans="1:25" ht="16" x14ac:dyDescent="0.8">
      <c r="A768" s="351">
        <v>12</v>
      </c>
      <c r="B768" s="420" t="s">
        <v>34</v>
      </c>
      <c r="C768" s="421">
        <v>44884</v>
      </c>
      <c r="D768" s="414">
        <f>21/24</f>
        <v>0.875</v>
      </c>
      <c r="E768" s="349" t="s">
        <v>446</v>
      </c>
      <c r="F768" s="420" t="s">
        <v>104</v>
      </c>
      <c r="G768" s="349" t="s">
        <v>37</v>
      </c>
      <c r="H768" s="420" t="s">
        <v>91</v>
      </c>
      <c r="I768" s="349" t="s">
        <v>37</v>
      </c>
      <c r="J768" s="420" t="str">
        <f>H768</f>
        <v>Washington</v>
      </c>
      <c r="K768" s="379" t="str">
        <f t="shared" si="232"/>
        <v>Colorado</v>
      </c>
      <c r="L768" s="422">
        <v>30.5</v>
      </c>
      <c r="M768" s="418">
        <v>64</v>
      </c>
      <c r="N768" s="351" t="str">
        <f t="shared" si="243"/>
        <v>Washington</v>
      </c>
      <c r="O768" s="423">
        <v>54</v>
      </c>
      <c r="P768" s="436" t="str">
        <f t="shared" si="236"/>
        <v>Colorado</v>
      </c>
      <c r="Q768" s="408">
        <v>7</v>
      </c>
      <c r="R768" s="494" t="str">
        <f t="shared" si="233"/>
        <v>Washington</v>
      </c>
      <c r="S768" s="494" t="str">
        <f t="shared" si="234"/>
        <v>Colorado</v>
      </c>
      <c r="T768" s="356" t="str">
        <f>F768</f>
        <v>Colorado</v>
      </c>
      <c r="U768" s="665" t="str">
        <f t="shared" si="235"/>
        <v>L</v>
      </c>
      <c r="V768" s="352" t="str">
        <f>LOWER(+H768)</f>
        <v>washington</v>
      </c>
      <c r="W768" s="424">
        <v>20</v>
      </c>
      <c r="X768" s="352" t="str">
        <f>UPPER(+F768)</f>
        <v>COLORADO</v>
      </c>
      <c r="Y768" s="425">
        <v>17</v>
      </c>
    </row>
    <row r="769" spans="1:25" ht="16" x14ac:dyDescent="0.8">
      <c r="A769" s="351">
        <v>12</v>
      </c>
      <c r="B769" s="420" t="s">
        <v>34</v>
      </c>
      <c r="C769" s="421">
        <v>44884</v>
      </c>
      <c r="D769" s="414">
        <f>14.5/24</f>
        <v>0.60416666666666663</v>
      </c>
      <c r="E769" s="349"/>
      <c r="F769" s="420" t="s">
        <v>169</v>
      </c>
      <c r="G769" s="349" t="s">
        <v>59</v>
      </c>
      <c r="H769" s="420" t="s">
        <v>212</v>
      </c>
      <c r="I769" s="349" t="s">
        <v>59</v>
      </c>
      <c r="J769" s="420" t="str">
        <f>H769</f>
        <v>Appalachian State</v>
      </c>
      <c r="K769" s="379" t="str">
        <f t="shared" si="232"/>
        <v>Old Dominion</v>
      </c>
      <c r="L769" s="422">
        <v>16</v>
      </c>
      <c r="M769" s="418">
        <v>51</v>
      </c>
      <c r="N769" s="351" t="str">
        <f t="shared" si="243"/>
        <v>Appalachian State</v>
      </c>
      <c r="O769" s="423">
        <v>27</v>
      </c>
      <c r="P769" s="436" t="str">
        <f t="shared" si="236"/>
        <v>Old Dominion</v>
      </c>
      <c r="Q769" s="408">
        <v>14</v>
      </c>
      <c r="R769" s="494" t="str">
        <f t="shared" si="233"/>
        <v>Old Dominion</v>
      </c>
      <c r="S769" s="494" t="str">
        <f t="shared" si="234"/>
        <v>Appalachian State</v>
      </c>
      <c r="T769" s="356" t="str">
        <f>J769</f>
        <v>Appalachian State</v>
      </c>
      <c r="U769" s="665" t="str">
        <f t="shared" si="235"/>
        <v>L</v>
      </c>
      <c r="W769" s="424"/>
      <c r="X769" s="352" t="s">
        <v>404</v>
      </c>
      <c r="Y769" s="425"/>
    </row>
    <row r="770" spans="1:25" ht="16" x14ac:dyDescent="0.8">
      <c r="A770" s="351">
        <v>12</v>
      </c>
      <c r="B770" s="420" t="s">
        <v>34</v>
      </c>
      <c r="C770" s="421">
        <v>44884</v>
      </c>
      <c r="D770" s="414">
        <f>18/24</f>
        <v>0.75</v>
      </c>
      <c r="E770" s="349"/>
      <c r="F770" s="420" t="s">
        <v>163</v>
      </c>
      <c r="G770" s="349" t="s">
        <v>59</v>
      </c>
      <c r="H770" s="420" t="s">
        <v>210</v>
      </c>
      <c r="I770" s="349" t="s">
        <v>59</v>
      </c>
      <c r="J770" s="420" t="str">
        <f>F770</f>
        <v>Marshall</v>
      </c>
      <c r="K770" s="379" t="str">
        <f t="shared" si="232"/>
        <v>Georgia Southern</v>
      </c>
      <c r="L770" s="422">
        <v>4.5</v>
      </c>
      <c r="M770" s="418">
        <v>54</v>
      </c>
      <c r="N770" s="351" t="str">
        <f t="shared" si="243"/>
        <v>Marshall</v>
      </c>
      <c r="O770" s="423">
        <v>23</v>
      </c>
      <c r="P770" s="436" t="str">
        <f t="shared" si="236"/>
        <v>Georgia Southern</v>
      </c>
      <c r="Q770" s="408">
        <v>10</v>
      </c>
      <c r="R770" s="494" t="str">
        <f t="shared" si="233"/>
        <v>Marshall</v>
      </c>
      <c r="S770" s="494" t="str">
        <f t="shared" si="234"/>
        <v>Georgia Southern</v>
      </c>
      <c r="T770" s="356" t="str">
        <f>J770</f>
        <v>Marshall</v>
      </c>
      <c r="U770" s="665" t="str">
        <f t="shared" si="235"/>
        <v>W</v>
      </c>
      <c r="W770" s="424"/>
      <c r="X770" s="352" t="s">
        <v>404</v>
      </c>
      <c r="Y770" s="425"/>
    </row>
    <row r="771" spans="1:25" ht="16" x14ac:dyDescent="0.8">
      <c r="A771" s="351">
        <v>12</v>
      </c>
      <c r="B771" s="420" t="s">
        <v>34</v>
      </c>
      <c r="C771" s="421">
        <v>44884</v>
      </c>
      <c r="D771" s="414">
        <f>14/24</f>
        <v>0.58333333333333337</v>
      </c>
      <c r="E771" s="349"/>
      <c r="F771" s="420" t="s">
        <v>84</v>
      </c>
      <c r="G771" s="349" t="s">
        <v>59</v>
      </c>
      <c r="H771" s="420" t="s">
        <v>442</v>
      </c>
      <c r="I771" s="349" t="s">
        <v>59</v>
      </c>
      <c r="J771" s="420" t="str">
        <f>H771</f>
        <v>James Madison</v>
      </c>
      <c r="K771" s="379" t="str">
        <f t="shared" si="232"/>
        <v>Georgia State</v>
      </c>
      <c r="L771" s="422">
        <v>9</v>
      </c>
      <c r="M771" s="418">
        <v>52.5</v>
      </c>
      <c r="N771" s="351" t="str">
        <f t="shared" si="243"/>
        <v>James Madison</v>
      </c>
      <c r="O771" s="423">
        <v>42</v>
      </c>
      <c r="P771" s="436" t="str">
        <f t="shared" si="236"/>
        <v>Georgia State</v>
      </c>
      <c r="Q771" s="408">
        <v>40</v>
      </c>
      <c r="R771" s="494" t="str">
        <f t="shared" si="233"/>
        <v>Georgia State</v>
      </c>
      <c r="S771" s="494" t="str">
        <f t="shared" si="234"/>
        <v>James Madison</v>
      </c>
      <c r="T771" s="356" t="str">
        <f>K771</f>
        <v>Georgia State</v>
      </c>
      <c r="U771" s="665" t="str">
        <f t="shared" si="235"/>
        <v>W</v>
      </c>
      <c r="W771" s="424"/>
      <c r="X771" s="352" t="s">
        <v>404</v>
      </c>
      <c r="Y771" s="425"/>
    </row>
    <row r="772" spans="1:25" ht="16" x14ac:dyDescent="0.8">
      <c r="A772" s="351">
        <v>12</v>
      </c>
      <c r="B772" s="420" t="s">
        <v>34</v>
      </c>
      <c r="C772" s="421">
        <v>44884</v>
      </c>
      <c r="D772" s="414">
        <f>15.5/24</f>
        <v>0.64583333333333337</v>
      </c>
      <c r="E772" s="349" t="s">
        <v>359</v>
      </c>
      <c r="F772" s="420" t="s">
        <v>214</v>
      </c>
      <c r="G772" s="349" t="s">
        <v>59</v>
      </c>
      <c r="H772" s="420" t="s">
        <v>171</v>
      </c>
      <c r="I772" s="349" t="s">
        <v>59</v>
      </c>
      <c r="J772" s="420" t="str">
        <f>F772</f>
        <v>South Alabama</v>
      </c>
      <c r="K772" s="379" t="str">
        <f t="shared" si="232"/>
        <v>Southern Miss</v>
      </c>
      <c r="L772" s="422">
        <v>7.5</v>
      </c>
      <c r="M772" s="418">
        <v>45.5</v>
      </c>
      <c r="N772" s="351" t="str">
        <f t="shared" si="243"/>
        <v>South Alabama</v>
      </c>
      <c r="O772" s="423">
        <v>27</v>
      </c>
      <c r="P772" s="436" t="str">
        <f t="shared" si="236"/>
        <v>Southern Miss</v>
      </c>
      <c r="Q772" s="408">
        <v>20</v>
      </c>
      <c r="R772" s="494" t="str">
        <f t="shared" si="233"/>
        <v>Southern Miss</v>
      </c>
      <c r="S772" s="494" t="str">
        <f t="shared" si="234"/>
        <v>South Alabama</v>
      </c>
      <c r="T772" s="356" t="str">
        <f>J772</f>
        <v>South Alabama</v>
      </c>
      <c r="U772" s="665" t="str">
        <f t="shared" si="235"/>
        <v>L</v>
      </c>
      <c r="W772" s="424"/>
      <c r="X772" s="352" t="s">
        <v>404</v>
      </c>
      <c r="Y772" s="425"/>
    </row>
    <row r="773" spans="1:25" ht="16" x14ac:dyDescent="0.8">
      <c r="A773" s="351">
        <v>12</v>
      </c>
      <c r="B773" s="420" t="s">
        <v>34</v>
      </c>
      <c r="C773" s="421">
        <v>44884</v>
      </c>
      <c r="D773" s="414">
        <f>17/24</f>
        <v>0.70833333333333337</v>
      </c>
      <c r="E773" s="349" t="s">
        <v>53</v>
      </c>
      <c r="F773" s="420" t="s">
        <v>140</v>
      </c>
      <c r="G773" s="349" t="s">
        <v>59</v>
      </c>
      <c r="H773" s="420" t="s">
        <v>207</v>
      </c>
      <c r="I773" s="349" t="s">
        <v>59</v>
      </c>
      <c r="J773" s="420" t="str">
        <f>H773</f>
        <v>Texas State</v>
      </c>
      <c r="K773" s="379" t="str">
        <f t="shared" si="232"/>
        <v>Arkansas State</v>
      </c>
      <c r="L773" s="422">
        <v>5.5</v>
      </c>
      <c r="M773" s="418">
        <v>51</v>
      </c>
      <c r="N773" s="351" t="str">
        <f t="shared" si="243"/>
        <v>Texas State</v>
      </c>
      <c r="O773" s="423">
        <v>16</v>
      </c>
      <c r="P773" s="436" t="str">
        <f t="shared" si="236"/>
        <v>Arkansas State</v>
      </c>
      <c r="Q773" s="408">
        <v>13</v>
      </c>
      <c r="R773" s="494" t="str">
        <f t="shared" si="233"/>
        <v>Arkansas State</v>
      </c>
      <c r="S773" s="494" t="str">
        <f t="shared" si="234"/>
        <v>Texas State</v>
      </c>
      <c r="T773" s="356" t="str">
        <f>K773</f>
        <v>Arkansas State</v>
      </c>
      <c r="U773" s="665" t="str">
        <f t="shared" si="235"/>
        <v>W</v>
      </c>
      <c r="V773" s="352" t="str">
        <f>LOWER(+H773)</f>
        <v>texas state</v>
      </c>
      <c r="W773" s="424">
        <v>24</v>
      </c>
      <c r="X773" s="352" t="str">
        <f>UPPER(+F773)</f>
        <v>ARKANSAS STATE</v>
      </c>
      <c r="Y773" s="425">
        <v>22</v>
      </c>
    </row>
    <row r="774" spans="1:25" ht="16" x14ac:dyDescent="0.8">
      <c r="A774" s="351">
        <v>12</v>
      </c>
      <c r="B774" s="420" t="s">
        <v>34</v>
      </c>
      <c r="C774" s="421">
        <v>44884</v>
      </c>
      <c r="D774" s="414">
        <f>15.5/24</f>
        <v>0.64583333333333337</v>
      </c>
      <c r="E774" s="349"/>
      <c r="F774" s="420" t="s">
        <v>58</v>
      </c>
      <c r="G774" s="349" t="s">
        <v>59</v>
      </c>
      <c r="H774" s="420" t="s">
        <v>185</v>
      </c>
      <c r="I774" s="349" t="s">
        <v>59</v>
      </c>
      <c r="J774" s="420" t="str">
        <f>H774</f>
        <v>Troy</v>
      </c>
      <c r="K774" s="379" t="str">
        <f t="shared" si="232"/>
        <v>UL Monroe</v>
      </c>
      <c r="L774" s="422">
        <v>14.5</v>
      </c>
      <c r="M774" s="418">
        <v>47.5</v>
      </c>
      <c r="N774" s="351" t="str">
        <f t="shared" si="243"/>
        <v>Troy</v>
      </c>
      <c r="O774" s="423">
        <v>34</v>
      </c>
      <c r="P774" s="436" t="str">
        <f t="shared" si="236"/>
        <v>UL Monroe</v>
      </c>
      <c r="Q774" s="408">
        <v>16</v>
      </c>
      <c r="R774" s="494" t="str">
        <f t="shared" si="233"/>
        <v>Troy</v>
      </c>
      <c r="S774" s="494" t="str">
        <f t="shared" si="234"/>
        <v>UL Monroe</v>
      </c>
      <c r="T774" s="356" t="str">
        <f>J774</f>
        <v>Troy</v>
      </c>
      <c r="U774" s="665" t="str">
        <f t="shared" si="235"/>
        <v>W</v>
      </c>
      <c r="V774" s="352" t="str">
        <f>UPPER(+F774)</f>
        <v>UL MONROE</v>
      </c>
      <c r="W774" s="424">
        <v>29</v>
      </c>
      <c r="X774" s="352" t="str">
        <f>LOWER(+H774)</f>
        <v>troy</v>
      </c>
      <c r="Y774" s="425">
        <v>16</v>
      </c>
    </row>
    <row r="775" spans="1:25" ht="16" x14ac:dyDescent="0.8">
      <c r="A775" s="351">
        <v>12</v>
      </c>
      <c r="B775" s="420" t="s">
        <v>34</v>
      </c>
      <c r="C775" s="421">
        <v>44884</v>
      </c>
      <c r="D775" s="414">
        <f>12/24</f>
        <v>0.5</v>
      </c>
      <c r="E775" s="349" t="s">
        <v>85</v>
      </c>
      <c r="F775" s="420" t="s">
        <v>54</v>
      </c>
      <c r="G775" s="349" t="s">
        <v>41</v>
      </c>
      <c r="H775" s="420" t="s">
        <v>116</v>
      </c>
      <c r="I775" s="349" t="s">
        <v>85</v>
      </c>
      <c r="J775" s="420"/>
      <c r="K775" s="379" t="str">
        <f t="shared" ref="K775:K784" si="244">IF(+J775=H775,F775,H775)</f>
        <v>Alabama</v>
      </c>
      <c r="L775" s="422"/>
      <c r="M775" s="418"/>
      <c r="N775" s="436" t="str">
        <f>K775</f>
        <v>Alabama</v>
      </c>
      <c r="O775" s="423">
        <v>34</v>
      </c>
      <c r="P775" s="436" t="str">
        <f t="shared" ref="P775" si="245">IF(+N775=H775,F775,H775)</f>
        <v>1AA Austin Peay</v>
      </c>
      <c r="Q775" s="408">
        <v>0</v>
      </c>
      <c r="R775" s="494" t="str">
        <f t="shared" ref="R775:R784" si="246">IF(+N775=K775,+N775,IF(+O775-Q775&lt;L775,+K775,+J775))</f>
        <v>Alabama</v>
      </c>
      <c r="S775" s="494">
        <f t="shared" ref="S775:S784" si="247">IF(+R775=J775,+K775,+J775)</f>
        <v>0</v>
      </c>
      <c r="T775" s="356"/>
      <c r="U775" s="665"/>
      <c r="W775" s="424"/>
      <c r="X775" s="352" t="s">
        <v>404</v>
      </c>
      <c r="Y775" s="425"/>
    </row>
    <row r="776" spans="1:25" ht="16" x14ac:dyDescent="0.8">
      <c r="A776" s="351">
        <v>12</v>
      </c>
      <c r="B776" s="420" t="s">
        <v>34</v>
      </c>
      <c r="C776" s="421">
        <v>44884</v>
      </c>
      <c r="D776" s="414">
        <f>19.5/24</f>
        <v>0.8125</v>
      </c>
      <c r="E776" s="349" t="s">
        <v>85</v>
      </c>
      <c r="F776" s="420" t="s">
        <v>215</v>
      </c>
      <c r="G776" s="349" t="s">
        <v>85</v>
      </c>
      <c r="H776" s="420" t="s">
        <v>87</v>
      </c>
      <c r="I776" s="349" t="s">
        <v>85</v>
      </c>
      <c r="J776" s="420" t="str">
        <f>F776</f>
        <v>Mississippi</v>
      </c>
      <c r="K776" s="379" t="str">
        <f t="shared" si="244"/>
        <v>Arkansas</v>
      </c>
      <c r="L776" s="422">
        <v>2.5</v>
      </c>
      <c r="M776" s="418">
        <v>61</v>
      </c>
      <c r="N776" s="436" t="str">
        <f>K776</f>
        <v>Arkansas</v>
      </c>
      <c r="O776" s="423">
        <v>42</v>
      </c>
      <c r="P776" s="436" t="str">
        <f t="shared" si="236"/>
        <v>Mississippi</v>
      </c>
      <c r="Q776" s="408">
        <v>27</v>
      </c>
      <c r="R776" s="494" t="str">
        <f t="shared" si="246"/>
        <v>Arkansas</v>
      </c>
      <c r="S776" s="494" t="str">
        <f t="shared" si="247"/>
        <v>Mississippi</v>
      </c>
      <c r="T776" s="356" t="str">
        <f>K776</f>
        <v>Arkansas</v>
      </c>
      <c r="U776" s="665" t="str">
        <f t="shared" ref="U776:U784" si="248">IF($N776=$J776,IF($O776-$Q776=$L776,"T",IF($R776=T776,"W","L")),IF($R776=T776,"W","L"))</f>
        <v>W</v>
      </c>
      <c r="V776" s="352" t="str">
        <f>UPPER(+F776)</f>
        <v>MISSISSIPPI</v>
      </c>
      <c r="W776" s="424">
        <v>52</v>
      </c>
      <c r="X776" s="352" t="str">
        <f>LOWER(+H776)</f>
        <v>arkansas</v>
      </c>
      <c r="Y776" s="425">
        <v>51</v>
      </c>
    </row>
    <row r="777" spans="1:25" ht="16" x14ac:dyDescent="0.8">
      <c r="A777" s="351">
        <v>12</v>
      </c>
      <c r="B777" s="420" t="s">
        <v>34</v>
      </c>
      <c r="C777" s="421">
        <v>44884</v>
      </c>
      <c r="D777" s="414">
        <f>16/24</f>
        <v>0.66666666666666663</v>
      </c>
      <c r="E777" s="349" t="s">
        <v>85</v>
      </c>
      <c r="F777" s="420" t="s">
        <v>177</v>
      </c>
      <c r="G777" s="349" t="s">
        <v>39</v>
      </c>
      <c r="H777" s="420" t="s">
        <v>211</v>
      </c>
      <c r="I777" s="349" t="s">
        <v>85</v>
      </c>
      <c r="J777" s="420" t="str">
        <f>H777</f>
        <v>Auburn</v>
      </c>
      <c r="K777" s="379" t="str">
        <f t="shared" si="244"/>
        <v>Western Kentucky</v>
      </c>
      <c r="L777" s="422">
        <v>5.5</v>
      </c>
      <c r="M777" s="418">
        <v>52.5</v>
      </c>
      <c r="N777" s="351" t="str">
        <f>J777</f>
        <v>Auburn</v>
      </c>
      <c r="O777" s="423">
        <v>41</v>
      </c>
      <c r="P777" s="436" t="str">
        <f t="shared" si="236"/>
        <v>Western Kentucky</v>
      </c>
      <c r="Q777" s="408">
        <v>17</v>
      </c>
      <c r="R777" s="494" t="str">
        <f t="shared" si="246"/>
        <v>Auburn</v>
      </c>
      <c r="S777" s="494" t="str">
        <f t="shared" si="247"/>
        <v>Western Kentucky</v>
      </c>
      <c r="T777" s="356" t="str">
        <f>J777</f>
        <v>Auburn</v>
      </c>
      <c r="U777" s="665" t="str">
        <f t="shared" si="248"/>
        <v>W</v>
      </c>
      <c r="W777" s="424"/>
      <c r="X777" s="352" t="s">
        <v>404</v>
      </c>
      <c r="Y777" s="425"/>
    </row>
    <row r="778" spans="1:25" ht="16" x14ac:dyDescent="0.8">
      <c r="A778" s="351">
        <v>12</v>
      </c>
      <c r="B778" s="420" t="s">
        <v>34</v>
      </c>
      <c r="C778" s="421">
        <v>44884</v>
      </c>
      <c r="D778" s="414">
        <f>15.5/24</f>
        <v>0.64583333333333337</v>
      </c>
      <c r="E778" s="349" t="s">
        <v>303</v>
      </c>
      <c r="F778" s="420" t="s">
        <v>213</v>
      </c>
      <c r="G778" s="349" t="s">
        <v>85</v>
      </c>
      <c r="H778" s="420" t="s">
        <v>170</v>
      </c>
      <c r="I778" s="349" t="s">
        <v>85</v>
      </c>
      <c r="J778" s="420" t="str">
        <f>F778</f>
        <v>Georgia</v>
      </c>
      <c r="K778" s="379" t="str">
        <f t="shared" si="244"/>
        <v>Kentucky</v>
      </c>
      <c r="L778" s="422">
        <v>22.5</v>
      </c>
      <c r="M778" s="418">
        <v>49</v>
      </c>
      <c r="N778" s="436" t="str">
        <f>J778</f>
        <v>Georgia</v>
      </c>
      <c r="O778" s="423">
        <v>16</v>
      </c>
      <c r="P778" s="436" t="str">
        <f t="shared" si="236"/>
        <v>Kentucky</v>
      </c>
      <c r="Q778" s="408">
        <v>6</v>
      </c>
      <c r="R778" s="494" t="str">
        <f t="shared" si="246"/>
        <v>Kentucky</v>
      </c>
      <c r="S778" s="494" t="str">
        <f t="shared" si="247"/>
        <v>Georgia</v>
      </c>
      <c r="T778" s="356" t="str">
        <f>J778</f>
        <v>Georgia</v>
      </c>
      <c r="U778" s="665" t="str">
        <f t="shared" si="248"/>
        <v>L</v>
      </c>
      <c r="V778" s="352" t="str">
        <f>UPPER(+F778)</f>
        <v>GEORGIA</v>
      </c>
      <c r="W778" s="424">
        <v>30</v>
      </c>
      <c r="X778" s="352" t="str">
        <f>LOWER(+H778)</f>
        <v>kentucky</v>
      </c>
      <c r="Y778" s="425">
        <v>13</v>
      </c>
    </row>
    <row r="779" spans="1:25" ht="16" x14ac:dyDescent="0.8">
      <c r="A779" s="351">
        <v>12</v>
      </c>
      <c r="B779" s="420" t="s">
        <v>34</v>
      </c>
      <c r="C779" s="421">
        <v>44884</v>
      </c>
      <c r="D779" s="414">
        <f>21/24</f>
        <v>0.875</v>
      </c>
      <c r="E779" s="349" t="s">
        <v>256</v>
      </c>
      <c r="F779" s="420" t="s">
        <v>173</v>
      </c>
      <c r="G779" s="349" t="s">
        <v>39</v>
      </c>
      <c r="H779" s="420" t="s">
        <v>178</v>
      </c>
      <c r="I779" s="349" t="s">
        <v>85</v>
      </c>
      <c r="J779" s="420" t="str">
        <f>H779</f>
        <v>LSU</v>
      </c>
      <c r="K779" s="379" t="str">
        <f t="shared" si="244"/>
        <v>UAB</v>
      </c>
      <c r="L779" s="422">
        <v>14.5</v>
      </c>
      <c r="M779" s="418">
        <v>52.5</v>
      </c>
      <c r="N779" s="351" t="str">
        <f>J779</f>
        <v>LSU</v>
      </c>
      <c r="O779" s="423">
        <v>41</v>
      </c>
      <c r="P779" s="436" t="str">
        <f t="shared" si="236"/>
        <v>UAB</v>
      </c>
      <c r="Q779" s="408">
        <v>10</v>
      </c>
      <c r="R779" s="494" t="str">
        <f t="shared" si="246"/>
        <v>LSU</v>
      </c>
      <c r="S779" s="494" t="str">
        <f t="shared" si="247"/>
        <v>UAB</v>
      </c>
      <c r="T779" s="356" t="str">
        <f>K779</f>
        <v>UAB</v>
      </c>
      <c r="U779" s="665" t="str">
        <f t="shared" si="248"/>
        <v>L</v>
      </c>
      <c r="W779" s="424"/>
      <c r="X779" s="352" t="s">
        <v>404</v>
      </c>
      <c r="Y779" s="425"/>
    </row>
    <row r="780" spans="1:25" ht="16" x14ac:dyDescent="0.8">
      <c r="A780" s="351">
        <v>12</v>
      </c>
      <c r="B780" s="420" t="s">
        <v>34</v>
      </c>
      <c r="C780" s="421">
        <v>44884</v>
      </c>
      <c r="D780" s="414">
        <f>12/24</f>
        <v>0.5</v>
      </c>
      <c r="E780" s="349" t="s">
        <v>85</v>
      </c>
      <c r="F780" s="420" t="s">
        <v>392</v>
      </c>
      <c r="G780" s="349" t="s">
        <v>41</v>
      </c>
      <c r="H780" s="420" t="s">
        <v>217</v>
      </c>
      <c r="I780" s="349" t="s">
        <v>85</v>
      </c>
      <c r="J780" s="420"/>
      <c r="K780" s="379" t="str">
        <f t="shared" si="244"/>
        <v>Mississippi State</v>
      </c>
      <c r="L780" s="422"/>
      <c r="M780" s="418"/>
      <c r="N780" s="436" t="str">
        <f>K780</f>
        <v>Mississippi State</v>
      </c>
      <c r="O780" s="423">
        <v>45</v>
      </c>
      <c r="P780" s="436" t="str">
        <f t="shared" ref="P780:P784" si="249">IF(+N780=H780,F780,H780)</f>
        <v>1AA East Tenn State</v>
      </c>
      <c r="Q780" s="408">
        <v>7</v>
      </c>
      <c r="R780" s="494" t="str">
        <f t="shared" si="246"/>
        <v>Mississippi State</v>
      </c>
      <c r="S780" s="494">
        <f t="shared" si="247"/>
        <v>0</v>
      </c>
      <c r="T780" s="356"/>
      <c r="U780" s="665"/>
      <c r="W780" s="424"/>
      <c r="X780" s="352" t="s">
        <v>404</v>
      </c>
      <c r="Y780" s="425"/>
    </row>
    <row r="781" spans="1:25" ht="16" x14ac:dyDescent="0.8">
      <c r="A781" s="351">
        <v>12</v>
      </c>
      <c r="B781" s="420" t="s">
        <v>34</v>
      </c>
      <c r="C781" s="421">
        <v>44884</v>
      </c>
      <c r="D781" s="414">
        <f>19.5/24</f>
        <v>0.8125</v>
      </c>
      <c r="E781" s="349" t="s">
        <v>95</v>
      </c>
      <c r="F781" s="420" t="s">
        <v>78</v>
      </c>
      <c r="G781" s="349" t="s">
        <v>43</v>
      </c>
      <c r="H781" s="420" t="s">
        <v>219</v>
      </c>
      <c r="I781" s="349" t="s">
        <v>85</v>
      </c>
      <c r="J781" s="420" t="str">
        <f>H781</f>
        <v>Missouri</v>
      </c>
      <c r="K781" s="379" t="str">
        <f t="shared" si="244"/>
        <v>New Mexico State</v>
      </c>
      <c r="L781" s="422">
        <v>28.5</v>
      </c>
      <c r="M781" s="418">
        <v>46.5</v>
      </c>
      <c r="N781" s="351" t="str">
        <f>J781</f>
        <v>Missouri</v>
      </c>
      <c r="O781" s="423">
        <v>45</v>
      </c>
      <c r="P781" s="436" t="str">
        <f t="shared" si="249"/>
        <v>New Mexico State</v>
      </c>
      <c r="Q781" s="408">
        <v>14</v>
      </c>
      <c r="R781" s="494" t="str">
        <f t="shared" si="246"/>
        <v>Missouri</v>
      </c>
      <c r="S781" s="494" t="str">
        <f t="shared" si="247"/>
        <v>New Mexico State</v>
      </c>
      <c r="T781" s="356" t="str">
        <f>K781</f>
        <v>New Mexico State</v>
      </c>
      <c r="U781" s="665" t="str">
        <f t="shared" si="248"/>
        <v>L</v>
      </c>
      <c r="W781" s="424"/>
      <c r="X781" s="352" t="s">
        <v>404</v>
      </c>
      <c r="Y781" s="425"/>
    </row>
    <row r="782" spans="1:25" ht="16" x14ac:dyDescent="0.8">
      <c r="A782" s="351">
        <v>12</v>
      </c>
      <c r="B782" s="420" t="s">
        <v>34</v>
      </c>
      <c r="C782" s="421">
        <v>44884</v>
      </c>
      <c r="D782" s="414">
        <f>19/24</f>
        <v>0.79166666666666663</v>
      </c>
      <c r="E782" s="349" t="s">
        <v>35</v>
      </c>
      <c r="F782" s="420" t="s">
        <v>226</v>
      </c>
      <c r="G782" s="349" t="s">
        <v>85</v>
      </c>
      <c r="H782" s="420" t="s">
        <v>125</v>
      </c>
      <c r="I782" s="349" t="s">
        <v>85</v>
      </c>
      <c r="J782" s="420" t="str">
        <f>F782</f>
        <v>Tennessee</v>
      </c>
      <c r="K782" s="379" t="str">
        <f t="shared" si="244"/>
        <v>South Carolina</v>
      </c>
      <c r="L782" s="422">
        <v>22</v>
      </c>
      <c r="M782" s="418">
        <v>66.5</v>
      </c>
      <c r="N782" s="436" t="str">
        <f>K782</f>
        <v>South Carolina</v>
      </c>
      <c r="O782" s="423">
        <v>63</v>
      </c>
      <c r="P782" s="436" t="str">
        <f t="shared" si="249"/>
        <v>Tennessee</v>
      </c>
      <c r="Q782" s="408">
        <v>38</v>
      </c>
      <c r="R782" s="494" t="str">
        <f t="shared" si="246"/>
        <v>South Carolina</v>
      </c>
      <c r="S782" s="494" t="str">
        <f t="shared" si="247"/>
        <v>Tennessee</v>
      </c>
      <c r="T782" s="356" t="str">
        <f>K782</f>
        <v>South Carolina</v>
      </c>
      <c r="U782" s="665" t="str">
        <f t="shared" si="248"/>
        <v>W</v>
      </c>
      <c r="V782" s="352" t="s">
        <v>453</v>
      </c>
      <c r="W782" s="424">
        <v>45</v>
      </c>
      <c r="X782" s="352" t="s">
        <v>454</v>
      </c>
      <c r="Y782" s="425">
        <v>20</v>
      </c>
    </row>
    <row r="783" spans="1:25" ht="16" x14ac:dyDescent="0.8">
      <c r="A783" s="351">
        <v>12</v>
      </c>
      <c r="B783" s="420" t="s">
        <v>34</v>
      </c>
      <c r="C783" s="421">
        <v>44884</v>
      </c>
      <c r="D783" s="414">
        <f>12/24</f>
        <v>0.5</v>
      </c>
      <c r="E783" s="349" t="s">
        <v>85</v>
      </c>
      <c r="F783" s="420" t="s">
        <v>46</v>
      </c>
      <c r="G783" s="349" t="s">
        <v>43</v>
      </c>
      <c r="H783" s="420" t="s">
        <v>223</v>
      </c>
      <c r="I783" s="349" t="s">
        <v>85</v>
      </c>
      <c r="J783" s="420" t="str">
        <f>H783</f>
        <v>Texas A&amp;M</v>
      </c>
      <c r="K783" s="379" t="str">
        <f t="shared" si="244"/>
        <v>Massachusetts</v>
      </c>
      <c r="L783" s="422">
        <v>33.5</v>
      </c>
      <c r="M783" s="418">
        <v>47.5</v>
      </c>
      <c r="N783" s="351" t="str">
        <f>J783</f>
        <v>Texas A&amp;M</v>
      </c>
      <c r="O783" s="423">
        <v>20</v>
      </c>
      <c r="P783" s="436" t="str">
        <f t="shared" si="249"/>
        <v>Massachusetts</v>
      </c>
      <c r="Q783" s="408">
        <v>3</v>
      </c>
      <c r="R783" s="494" t="str">
        <f t="shared" si="246"/>
        <v>Massachusetts</v>
      </c>
      <c r="S783" s="494" t="str">
        <f t="shared" si="247"/>
        <v>Texas A&amp;M</v>
      </c>
      <c r="T783" s="356" t="str">
        <f>K783</f>
        <v>Massachusetts</v>
      </c>
      <c r="U783" s="665" t="str">
        <f t="shared" si="248"/>
        <v>W</v>
      </c>
      <c r="W783" s="424"/>
      <c r="X783" s="352" t="s">
        <v>404</v>
      </c>
      <c r="Y783" s="425"/>
    </row>
    <row r="784" spans="1:25" ht="16" x14ac:dyDescent="0.8">
      <c r="A784" s="351">
        <v>12</v>
      </c>
      <c r="B784" s="420" t="s">
        <v>34</v>
      </c>
      <c r="C784" s="421">
        <v>44884</v>
      </c>
      <c r="D784" s="414">
        <f>12/24</f>
        <v>0.5</v>
      </c>
      <c r="E784" s="349" t="s">
        <v>85</v>
      </c>
      <c r="F784" s="420" t="s">
        <v>136</v>
      </c>
      <c r="G784" s="349" t="s">
        <v>85</v>
      </c>
      <c r="H784" s="420" t="s">
        <v>164</v>
      </c>
      <c r="I784" s="349" t="s">
        <v>85</v>
      </c>
      <c r="J784" s="420" t="str">
        <f>F784</f>
        <v>Florida</v>
      </c>
      <c r="K784" s="379" t="str">
        <f t="shared" si="244"/>
        <v>Vanderbilt</v>
      </c>
      <c r="L784" s="422">
        <v>14</v>
      </c>
      <c r="M784" s="418">
        <v>57</v>
      </c>
      <c r="N784" s="436" t="str">
        <f>K784</f>
        <v>Vanderbilt</v>
      </c>
      <c r="O784" s="423">
        <v>31</v>
      </c>
      <c r="P784" s="436" t="str">
        <f t="shared" si="249"/>
        <v>Florida</v>
      </c>
      <c r="Q784" s="408">
        <v>24</v>
      </c>
      <c r="R784" s="494" t="str">
        <f t="shared" si="246"/>
        <v>Vanderbilt</v>
      </c>
      <c r="S784" s="494" t="str">
        <f t="shared" si="247"/>
        <v>Florida</v>
      </c>
      <c r="T784" s="356" t="str">
        <f>K784</f>
        <v>Vanderbilt</v>
      </c>
      <c r="U784" s="665" t="str">
        <f t="shared" si="248"/>
        <v>W</v>
      </c>
      <c r="V784" s="352" t="str">
        <f>UPPER(+F784)</f>
        <v>FLORIDA</v>
      </c>
      <c r="W784" s="424">
        <v>42</v>
      </c>
      <c r="X784" s="352" t="str">
        <f>LOWER(+H784)</f>
        <v>vanderbilt</v>
      </c>
      <c r="Y784" s="425">
        <v>0</v>
      </c>
    </row>
    <row r="785" spans="1:25" ht="16" x14ac:dyDescent="0.8">
      <c r="A785" s="351">
        <v>13</v>
      </c>
      <c r="B785" s="420" t="s">
        <v>52</v>
      </c>
      <c r="C785" s="421">
        <v>44889</v>
      </c>
      <c r="D785" s="414">
        <f>19/24</f>
        <v>0.79166666666666663</v>
      </c>
      <c r="E785" s="349" t="s">
        <v>35</v>
      </c>
      <c r="F785" s="420" t="s">
        <v>217</v>
      </c>
      <c r="G785" s="349" t="s">
        <v>85</v>
      </c>
      <c r="H785" s="420" t="s">
        <v>215</v>
      </c>
      <c r="I785" s="349" t="s">
        <v>85</v>
      </c>
      <c r="J785" s="420" t="str">
        <f>H785</f>
        <v>Mississippi</v>
      </c>
      <c r="K785" s="379" t="str">
        <f t="shared" ref="K785:K798" si="250">IF(+J785=H785,F785,H785)</f>
        <v>Mississippi State</v>
      </c>
      <c r="L785" s="422">
        <v>2.5</v>
      </c>
      <c r="M785" s="418">
        <v>64.5</v>
      </c>
      <c r="N785" s="436" t="str">
        <f>F785</f>
        <v>Mississippi State</v>
      </c>
      <c r="O785" s="423">
        <v>24</v>
      </c>
      <c r="P785" s="436" t="str">
        <f t="shared" ref="P785:P798" si="251">IF(+N785=H785,F785,H785)</f>
        <v>Mississippi</v>
      </c>
      <c r="Q785" s="408">
        <v>22</v>
      </c>
      <c r="R785" s="494" t="str">
        <f t="shared" ref="R785:R798" si="252">IF(+N785=K785,+N785,IF(+O785-Q785&lt;L785,+K785,+J785))</f>
        <v>Mississippi State</v>
      </c>
      <c r="S785" s="494" t="str">
        <f t="shared" ref="S785:S798" si="253">IF(+R785=J785,+K785,+J785)</f>
        <v>Mississippi</v>
      </c>
      <c r="T785" s="356" t="str">
        <f>F785</f>
        <v>Mississippi State</v>
      </c>
      <c r="U785" s="665" t="str">
        <f t="shared" ref="U785:U798" si="254">IF($N785=$J785,IF($O785-$Q785=$L785,"T",IF($R785=T785,"W","L")),IF($R785=T785,"W","L"))</f>
        <v>W</v>
      </c>
      <c r="V785" s="352" t="str">
        <f>LOWER(+H785)</f>
        <v>mississippi</v>
      </c>
      <c r="W785" s="424">
        <v>31</v>
      </c>
      <c r="X785" s="352" t="str">
        <f>UPPER(+F785)</f>
        <v>MISSISSIPPI STATE</v>
      </c>
      <c r="Y785" s="425">
        <v>21</v>
      </c>
    </row>
    <row r="786" spans="1:25" ht="16" x14ac:dyDescent="0.8">
      <c r="A786" s="351">
        <v>13</v>
      </c>
      <c r="B786" s="420" t="s">
        <v>88</v>
      </c>
      <c r="C786" s="421">
        <v>44890</v>
      </c>
      <c r="D786" s="414">
        <f>12/24</f>
        <v>0.5</v>
      </c>
      <c r="E786" s="349" t="s">
        <v>135</v>
      </c>
      <c r="F786" s="420" t="s">
        <v>112</v>
      </c>
      <c r="G786" s="349" t="s">
        <v>50</v>
      </c>
      <c r="H786" s="420" t="s">
        <v>55</v>
      </c>
      <c r="I786" s="349" t="s">
        <v>50</v>
      </c>
      <c r="J786" s="420" t="str">
        <f>F786</f>
        <v>Tulane</v>
      </c>
      <c r="K786" s="379" t="str">
        <f t="shared" si="250"/>
        <v>Cincinnati</v>
      </c>
      <c r="L786" s="422">
        <v>1</v>
      </c>
      <c r="M786" s="418">
        <v>44</v>
      </c>
      <c r="N786" s="351" t="str">
        <f>F786</f>
        <v>Tulane</v>
      </c>
      <c r="O786" s="423">
        <v>27</v>
      </c>
      <c r="P786" s="436" t="str">
        <f t="shared" si="251"/>
        <v>Cincinnati</v>
      </c>
      <c r="Q786" s="408">
        <v>24</v>
      </c>
      <c r="R786" s="494" t="str">
        <f t="shared" si="252"/>
        <v>Tulane</v>
      </c>
      <c r="S786" s="494" t="str">
        <f t="shared" si="253"/>
        <v>Cincinnati</v>
      </c>
      <c r="T786" s="356" t="str">
        <f>J786</f>
        <v>Tulane</v>
      </c>
      <c r="U786" s="665" t="str">
        <f t="shared" si="254"/>
        <v>W</v>
      </c>
      <c r="V786" s="352" t="str">
        <f>LOWER(+H786)</f>
        <v>cincinnati</v>
      </c>
      <c r="W786" s="424">
        <v>31</v>
      </c>
      <c r="X786" s="352" t="str">
        <f>UPPER(+F786)</f>
        <v>TULANE</v>
      </c>
      <c r="Y786" s="425">
        <v>12</v>
      </c>
    </row>
    <row r="787" spans="1:25" ht="16" x14ac:dyDescent="0.8">
      <c r="A787" s="351">
        <v>13</v>
      </c>
      <c r="B787" s="420" t="s">
        <v>88</v>
      </c>
      <c r="C787" s="421">
        <v>44890</v>
      </c>
      <c r="D787" s="414">
        <f>12/24</f>
        <v>0.5</v>
      </c>
      <c r="E787" s="349" t="s">
        <v>303</v>
      </c>
      <c r="F787" s="420" t="s">
        <v>93</v>
      </c>
      <c r="G787" s="349" t="s">
        <v>45</v>
      </c>
      <c r="H787" s="420" t="s">
        <v>186</v>
      </c>
      <c r="I787" s="349" t="s">
        <v>45</v>
      </c>
      <c r="J787" s="420" t="str">
        <f>H787</f>
        <v>Boise State</v>
      </c>
      <c r="K787" s="379" t="str">
        <f t="shared" si="250"/>
        <v>Utah State</v>
      </c>
      <c r="L787" s="422">
        <v>17</v>
      </c>
      <c r="M787" s="418">
        <v>51.5</v>
      </c>
      <c r="N787" s="351" t="str">
        <f>H787</f>
        <v>Boise State</v>
      </c>
      <c r="O787" s="423">
        <v>42</v>
      </c>
      <c r="P787" s="436" t="str">
        <f t="shared" si="251"/>
        <v>Utah State</v>
      </c>
      <c r="Q787" s="408">
        <v>23</v>
      </c>
      <c r="R787" s="494" t="str">
        <f t="shared" si="252"/>
        <v>Boise State</v>
      </c>
      <c r="S787" s="494" t="str">
        <f t="shared" si="253"/>
        <v>Utah State</v>
      </c>
      <c r="T787" s="356" t="str">
        <f>J787</f>
        <v>Boise State</v>
      </c>
      <c r="U787" s="665" t="str">
        <f t="shared" si="254"/>
        <v>W</v>
      </c>
      <c r="V787" s="352" t="str">
        <f>LOWER(+H787)</f>
        <v>boise state</v>
      </c>
      <c r="W787" s="424">
        <v>27</v>
      </c>
      <c r="X787" s="352" t="str">
        <f>UPPER(+F787)</f>
        <v>UTAH STATE</v>
      </c>
      <c r="Y787" s="425">
        <v>3</v>
      </c>
    </row>
    <row r="788" spans="1:25" ht="16" x14ac:dyDescent="0.8">
      <c r="A788" s="351">
        <v>13</v>
      </c>
      <c r="B788" s="420" t="s">
        <v>88</v>
      </c>
      <c r="C788" s="421">
        <v>44890</v>
      </c>
      <c r="D788" s="414">
        <f>12/24</f>
        <v>0.5</v>
      </c>
      <c r="E788" s="349" t="s">
        <v>35</v>
      </c>
      <c r="F788" s="420" t="s">
        <v>146</v>
      </c>
      <c r="G788" s="349" t="s">
        <v>73</v>
      </c>
      <c r="H788" s="420" t="s">
        <v>157</v>
      </c>
      <c r="I788" s="349" t="s">
        <v>73</v>
      </c>
      <c r="J788" s="420" t="str">
        <f>H788</f>
        <v>Texas</v>
      </c>
      <c r="K788" s="379" t="str">
        <f t="shared" si="250"/>
        <v>Baylor</v>
      </c>
      <c r="L788" s="422">
        <v>10</v>
      </c>
      <c r="M788" s="418">
        <v>55.5</v>
      </c>
      <c r="N788" s="351" t="str">
        <f>H788</f>
        <v>Texas</v>
      </c>
      <c r="O788" s="423">
        <v>38</v>
      </c>
      <c r="P788" s="436" t="str">
        <f t="shared" si="251"/>
        <v>Baylor</v>
      </c>
      <c r="Q788" s="408">
        <v>27</v>
      </c>
      <c r="R788" s="494" t="str">
        <f t="shared" si="252"/>
        <v>Texas</v>
      </c>
      <c r="S788" s="494" t="str">
        <f t="shared" si="253"/>
        <v>Baylor</v>
      </c>
      <c r="T788" s="356" t="str">
        <f>K788</f>
        <v>Baylor</v>
      </c>
      <c r="U788" s="665" t="str">
        <f t="shared" si="254"/>
        <v>L</v>
      </c>
      <c r="V788" s="352" t="str">
        <f>LOWER(+H788)</f>
        <v>texas</v>
      </c>
      <c r="W788" s="424">
        <v>27</v>
      </c>
      <c r="X788" s="352" t="str">
        <f>UPPER(+F788)</f>
        <v>BAYLOR</v>
      </c>
      <c r="Y788" s="425">
        <v>18</v>
      </c>
    </row>
    <row r="789" spans="1:25" ht="16" x14ac:dyDescent="0.8">
      <c r="A789" s="351">
        <v>13</v>
      </c>
      <c r="B789" s="420" t="s">
        <v>88</v>
      </c>
      <c r="C789" s="421">
        <v>44890</v>
      </c>
      <c r="D789" s="414">
        <f>12/24</f>
        <v>0.5</v>
      </c>
      <c r="E789" s="349" t="s">
        <v>445</v>
      </c>
      <c r="F789" s="420" t="s">
        <v>75</v>
      </c>
      <c r="G789" s="349" t="s">
        <v>68</v>
      </c>
      <c r="H789" s="420" t="s">
        <v>101</v>
      </c>
      <c r="I789" s="349" t="s">
        <v>68</v>
      </c>
      <c r="J789" s="420" t="str">
        <f>H789</f>
        <v>Eastern Michigan</v>
      </c>
      <c r="K789" s="379" t="str">
        <f t="shared" si="250"/>
        <v>Central Michigan</v>
      </c>
      <c r="L789" s="422">
        <v>1</v>
      </c>
      <c r="M789" s="418">
        <v>53</v>
      </c>
      <c r="N789" s="351" t="str">
        <f>H789</f>
        <v>Eastern Michigan</v>
      </c>
      <c r="O789" s="423">
        <v>38</v>
      </c>
      <c r="P789" s="436" t="str">
        <f t="shared" si="251"/>
        <v>Central Michigan</v>
      </c>
      <c r="Q789" s="408">
        <v>19</v>
      </c>
      <c r="R789" s="494" t="str">
        <f t="shared" si="252"/>
        <v>Eastern Michigan</v>
      </c>
      <c r="S789" s="494" t="str">
        <f t="shared" si="253"/>
        <v>Central Michigan</v>
      </c>
      <c r="T789" s="356" t="str">
        <f>K789</f>
        <v>Central Michigan</v>
      </c>
      <c r="U789" s="665" t="str">
        <f t="shared" si="254"/>
        <v>L</v>
      </c>
      <c r="V789" s="352" t="str">
        <f>UPPER(+F789)</f>
        <v>CENTRAL MICHIGAN</v>
      </c>
      <c r="W789" s="424">
        <v>31</v>
      </c>
      <c r="X789" s="352" t="str">
        <f>LOWER(+H789)</f>
        <v>eastern michigan</v>
      </c>
      <c r="Y789" s="425">
        <v>10</v>
      </c>
    </row>
    <row r="790" spans="1:25" ht="16" x14ac:dyDescent="0.8">
      <c r="A790" s="351">
        <v>13</v>
      </c>
      <c r="B790" s="420" t="s">
        <v>88</v>
      </c>
      <c r="C790" s="421">
        <v>44890</v>
      </c>
      <c r="D790" s="414">
        <f>12/24</f>
        <v>0.5</v>
      </c>
      <c r="E790" s="349" t="s">
        <v>95</v>
      </c>
      <c r="F790" s="420" t="s">
        <v>77</v>
      </c>
      <c r="G790" s="349" t="s">
        <v>68</v>
      </c>
      <c r="H790" s="420" t="s">
        <v>201</v>
      </c>
      <c r="I790" s="349" t="s">
        <v>68</v>
      </c>
      <c r="J790" s="420" t="str">
        <f>F790</f>
        <v>Toledo</v>
      </c>
      <c r="K790" s="379" t="str">
        <f t="shared" si="250"/>
        <v>Western Michigan</v>
      </c>
      <c r="L790" s="422">
        <v>8.5</v>
      </c>
      <c r="M790" s="418">
        <v>50.5</v>
      </c>
      <c r="N790" s="351" t="str">
        <f>H790</f>
        <v>Western Michigan</v>
      </c>
      <c r="O790" s="423">
        <v>20</v>
      </c>
      <c r="P790" s="436" t="str">
        <f t="shared" si="251"/>
        <v>Toledo</v>
      </c>
      <c r="Q790" s="408">
        <v>14</v>
      </c>
      <c r="R790" s="494" t="str">
        <f t="shared" si="252"/>
        <v>Western Michigan</v>
      </c>
      <c r="S790" s="494" t="str">
        <f t="shared" si="253"/>
        <v>Toledo</v>
      </c>
      <c r="T790" s="356" t="str">
        <f>K790</f>
        <v>Western Michigan</v>
      </c>
      <c r="U790" s="665" t="str">
        <f t="shared" si="254"/>
        <v>W</v>
      </c>
      <c r="V790" s="352" t="str">
        <f>UPPER(+F790)</f>
        <v>TOLEDO</v>
      </c>
      <c r="W790" s="424">
        <v>34</v>
      </c>
      <c r="X790" s="352" t="str">
        <f>LOWER(+H790)</f>
        <v>western michigan</v>
      </c>
      <c r="Y790" s="425">
        <v>15</v>
      </c>
    </row>
    <row r="791" spans="1:25" ht="16" x14ac:dyDescent="0.8">
      <c r="A791" s="351">
        <v>13</v>
      </c>
      <c r="B791" s="420" t="s">
        <v>88</v>
      </c>
      <c r="C791" s="421">
        <v>44890</v>
      </c>
      <c r="D791" s="414">
        <f>15/24</f>
        <v>0.625</v>
      </c>
      <c r="E791" s="349" t="s">
        <v>70</v>
      </c>
      <c r="F791" s="420" t="s">
        <v>79</v>
      </c>
      <c r="G791" s="349" t="s">
        <v>37</v>
      </c>
      <c r="H791" s="420" t="s">
        <v>198</v>
      </c>
      <c r="I791" s="349" t="s">
        <v>37</v>
      </c>
      <c r="J791" s="420" t="str">
        <f>H791</f>
        <v>Arizona</v>
      </c>
      <c r="K791" s="379" t="str">
        <f t="shared" si="250"/>
        <v>Arizona State</v>
      </c>
      <c r="L791" s="422">
        <v>4</v>
      </c>
      <c r="M791" s="418">
        <v>66.5</v>
      </c>
      <c r="N791" s="351" t="str">
        <f>H791</f>
        <v>Arizona</v>
      </c>
      <c r="O791" s="423">
        <v>38</v>
      </c>
      <c r="P791" s="436" t="str">
        <f t="shared" si="251"/>
        <v>Arizona State</v>
      </c>
      <c r="Q791" s="408">
        <v>35</v>
      </c>
      <c r="R791" s="494" t="str">
        <f t="shared" si="252"/>
        <v>Arizona State</v>
      </c>
      <c r="S791" s="494" t="str">
        <f t="shared" si="253"/>
        <v>Arizona</v>
      </c>
      <c r="T791" s="356" t="str">
        <f>J791</f>
        <v>Arizona</v>
      </c>
      <c r="U791" s="665" t="str">
        <f t="shared" si="254"/>
        <v>L</v>
      </c>
      <c r="V791" s="352" t="str">
        <f>LOWER(+H791)</f>
        <v>arizona</v>
      </c>
      <c r="W791" s="424">
        <v>38</v>
      </c>
      <c r="X791" s="352" t="str">
        <f>UPPER(+F791)</f>
        <v>ARIZONA STATE</v>
      </c>
      <c r="Y791" s="425">
        <v>15</v>
      </c>
    </row>
    <row r="792" spans="1:25" ht="16" x14ac:dyDescent="0.8">
      <c r="A792" s="351">
        <v>13</v>
      </c>
      <c r="B792" s="420" t="s">
        <v>88</v>
      </c>
      <c r="C792" s="421">
        <v>44890</v>
      </c>
      <c r="D792" s="414">
        <f>15.5/24</f>
        <v>0.64583333333333337</v>
      </c>
      <c r="E792" s="349" t="s">
        <v>135</v>
      </c>
      <c r="F792" s="420" t="s">
        <v>126</v>
      </c>
      <c r="G792" s="349" t="s">
        <v>61</v>
      </c>
      <c r="H792" s="420" t="s">
        <v>124</v>
      </c>
      <c r="I792" s="349" t="s">
        <v>61</v>
      </c>
      <c r="J792" s="420" t="str">
        <f>H792</f>
        <v>North Carolina</v>
      </c>
      <c r="K792" s="379" t="str">
        <f t="shared" si="250"/>
        <v>North Carolina St</v>
      </c>
      <c r="L792" s="422">
        <v>6.5</v>
      </c>
      <c r="M792" s="418">
        <v>55.5</v>
      </c>
      <c r="N792" s="351" t="str">
        <f>F792</f>
        <v>North Carolina St</v>
      </c>
      <c r="O792" s="423">
        <v>30</v>
      </c>
      <c r="P792" s="436" t="str">
        <f t="shared" si="251"/>
        <v>North Carolina</v>
      </c>
      <c r="Q792" s="408">
        <v>27</v>
      </c>
      <c r="R792" s="494" t="str">
        <f t="shared" si="252"/>
        <v>North Carolina St</v>
      </c>
      <c r="S792" s="494" t="str">
        <f t="shared" si="253"/>
        <v>North Carolina</v>
      </c>
      <c r="T792" s="356" t="str">
        <f>J792</f>
        <v>North Carolina</v>
      </c>
      <c r="U792" s="665" t="str">
        <f t="shared" si="254"/>
        <v>L</v>
      </c>
      <c r="V792" s="352" t="str">
        <f>UPPER(+F792)</f>
        <v>NORTH CAROLINA ST</v>
      </c>
      <c r="W792" s="424">
        <v>34</v>
      </c>
      <c r="X792" s="352" t="str">
        <f>LOWER(+H792)</f>
        <v>north carolina</v>
      </c>
      <c r="Y792" s="425">
        <v>30</v>
      </c>
    </row>
    <row r="793" spans="1:25" ht="16" x14ac:dyDescent="0.8">
      <c r="A793" s="351">
        <v>13</v>
      </c>
      <c r="B793" s="420" t="s">
        <v>88</v>
      </c>
      <c r="C793" s="421">
        <v>44890</v>
      </c>
      <c r="D793" s="414">
        <f>15.5/24</f>
        <v>0.64583333333333337</v>
      </c>
      <c r="E793" s="349" t="s">
        <v>135</v>
      </c>
      <c r="F793" s="420" t="s">
        <v>87</v>
      </c>
      <c r="G793" s="349" t="s">
        <v>85</v>
      </c>
      <c r="H793" s="420" t="s">
        <v>219</v>
      </c>
      <c r="I793" s="349" t="s">
        <v>85</v>
      </c>
      <c r="J793" s="420" t="str">
        <f>F793</f>
        <v>Arkansas</v>
      </c>
      <c r="K793" s="379" t="str">
        <f t="shared" si="250"/>
        <v>Missouri</v>
      </c>
      <c r="L793" s="422">
        <v>3.5</v>
      </c>
      <c r="M793" s="418">
        <v>55.5</v>
      </c>
      <c r="N793" s="436" t="str">
        <f>H793</f>
        <v>Missouri</v>
      </c>
      <c r="O793" s="423">
        <v>29</v>
      </c>
      <c r="P793" s="436" t="str">
        <f t="shared" si="251"/>
        <v>Arkansas</v>
      </c>
      <c r="Q793" s="408">
        <v>27</v>
      </c>
      <c r="R793" s="494" t="str">
        <f t="shared" si="252"/>
        <v>Missouri</v>
      </c>
      <c r="S793" s="494" t="str">
        <f t="shared" si="253"/>
        <v>Arkansas</v>
      </c>
      <c r="T793" s="356" t="str">
        <f>K793</f>
        <v>Missouri</v>
      </c>
      <c r="U793" s="665" t="str">
        <f t="shared" si="254"/>
        <v>W</v>
      </c>
      <c r="W793" s="424"/>
      <c r="X793" s="352" t="s">
        <v>404</v>
      </c>
      <c r="Y793" s="425"/>
    </row>
    <row r="794" spans="1:25" ht="16" x14ac:dyDescent="0.8">
      <c r="A794" s="351">
        <v>13</v>
      </c>
      <c r="B794" s="420" t="s">
        <v>88</v>
      </c>
      <c r="C794" s="421">
        <v>44890</v>
      </c>
      <c r="D794" s="414">
        <f>15.5/24</f>
        <v>0.64583333333333337</v>
      </c>
      <c r="E794" s="349" t="s">
        <v>303</v>
      </c>
      <c r="F794" s="420" t="s">
        <v>191</v>
      </c>
      <c r="G794" s="349" t="s">
        <v>45</v>
      </c>
      <c r="H794" s="420" t="s">
        <v>48</v>
      </c>
      <c r="I794" s="349" t="s">
        <v>45</v>
      </c>
      <c r="J794" s="420" t="str">
        <f>H794</f>
        <v>Colorado State</v>
      </c>
      <c r="K794" s="379" t="str">
        <f t="shared" si="250"/>
        <v>New Mexico</v>
      </c>
      <c r="L794" s="422">
        <v>7</v>
      </c>
      <c r="M794" s="418">
        <v>36</v>
      </c>
      <c r="N794" s="351" t="str">
        <f>H794</f>
        <v>Colorado State</v>
      </c>
      <c r="O794" s="423">
        <v>17</v>
      </c>
      <c r="P794" s="436" t="str">
        <f t="shared" si="251"/>
        <v>New Mexico</v>
      </c>
      <c r="Q794" s="408">
        <v>0</v>
      </c>
      <c r="R794" s="494" t="str">
        <f t="shared" si="252"/>
        <v>Colorado State</v>
      </c>
      <c r="S794" s="494" t="str">
        <f t="shared" si="253"/>
        <v>New Mexico</v>
      </c>
      <c r="T794" s="356" t="str">
        <f>J794</f>
        <v>Colorado State</v>
      </c>
      <c r="U794" s="665" t="str">
        <f t="shared" si="254"/>
        <v>W</v>
      </c>
      <c r="V794" s="352" t="str">
        <f>LOWER(+H794)</f>
        <v>colorado state</v>
      </c>
      <c r="W794" s="424">
        <v>36</v>
      </c>
      <c r="X794" s="352" t="str">
        <f>UPPER(+F794)</f>
        <v>NEW MEXICO</v>
      </c>
      <c r="Y794" s="425">
        <v>7</v>
      </c>
    </row>
    <row r="795" spans="1:25" ht="16" x14ac:dyDescent="0.8">
      <c r="A795" s="351">
        <v>13</v>
      </c>
      <c r="B795" s="420" t="s">
        <v>88</v>
      </c>
      <c r="C795" s="421">
        <v>44890</v>
      </c>
      <c r="D795" s="414">
        <f>16/24</f>
        <v>0.66666666666666663</v>
      </c>
      <c r="E795" s="349" t="s">
        <v>66</v>
      </c>
      <c r="F795" s="420" t="s">
        <v>141</v>
      </c>
      <c r="G795" s="349" t="s">
        <v>64</v>
      </c>
      <c r="H795" s="420" t="s">
        <v>134</v>
      </c>
      <c r="I795" s="349" t="s">
        <v>64</v>
      </c>
      <c r="J795" s="420" t="str">
        <f>H795</f>
        <v>Iowa</v>
      </c>
      <c r="K795" s="379" t="str">
        <f t="shared" si="250"/>
        <v>Nebraska</v>
      </c>
      <c r="L795" s="422">
        <v>10.5</v>
      </c>
      <c r="M795" s="418">
        <v>38.5</v>
      </c>
      <c r="N795" s="351" t="str">
        <f>F795</f>
        <v>Nebraska</v>
      </c>
      <c r="O795" s="423">
        <v>24</v>
      </c>
      <c r="P795" s="436" t="str">
        <f t="shared" si="251"/>
        <v>Iowa</v>
      </c>
      <c r="Q795" s="408">
        <v>17</v>
      </c>
      <c r="R795" s="494" t="str">
        <f t="shared" si="252"/>
        <v>Nebraska</v>
      </c>
      <c r="S795" s="494" t="str">
        <f t="shared" si="253"/>
        <v>Iowa</v>
      </c>
      <c r="T795" s="356" t="str">
        <f>K795</f>
        <v>Nebraska</v>
      </c>
      <c r="U795" s="665" t="str">
        <f t="shared" si="254"/>
        <v>W</v>
      </c>
      <c r="V795" s="352" t="str">
        <f>LOWER(+H795)</f>
        <v>iowa</v>
      </c>
      <c r="W795" s="424">
        <v>28</v>
      </c>
      <c r="X795" s="352" t="str">
        <f>UPPER(+F795)</f>
        <v>NEBRASKA</v>
      </c>
      <c r="Y795" s="425">
        <v>21</v>
      </c>
    </row>
    <row r="796" spans="1:25" ht="16" x14ac:dyDescent="0.8">
      <c r="A796" s="351">
        <v>13</v>
      </c>
      <c r="B796" s="420" t="s">
        <v>88</v>
      </c>
      <c r="C796" s="421">
        <v>44890</v>
      </c>
      <c r="D796" s="414">
        <f>16.5/24</f>
        <v>0.6875</v>
      </c>
      <c r="E796" s="349" t="s">
        <v>118</v>
      </c>
      <c r="F796" s="420" t="s">
        <v>224</v>
      </c>
      <c r="G796" s="349" t="s">
        <v>37</v>
      </c>
      <c r="H796" s="420" t="s">
        <v>123</v>
      </c>
      <c r="I796" s="349" t="s">
        <v>37</v>
      </c>
      <c r="J796" s="420" t="str">
        <f>F796</f>
        <v>UCLA</v>
      </c>
      <c r="K796" s="379" t="str">
        <f t="shared" si="250"/>
        <v>California</v>
      </c>
      <c r="L796" s="422">
        <v>11</v>
      </c>
      <c r="M796" s="418">
        <v>61.5</v>
      </c>
      <c r="N796" s="351" t="str">
        <f>F796</f>
        <v>UCLA</v>
      </c>
      <c r="O796" s="423">
        <v>35</v>
      </c>
      <c r="P796" s="436" t="str">
        <f t="shared" si="251"/>
        <v>California</v>
      </c>
      <c r="Q796" s="408">
        <v>28</v>
      </c>
      <c r="R796" s="494" t="str">
        <f t="shared" si="252"/>
        <v>California</v>
      </c>
      <c r="S796" s="494" t="str">
        <f t="shared" si="253"/>
        <v>UCLA</v>
      </c>
      <c r="T796" s="356" t="str">
        <f>J796</f>
        <v>UCLA</v>
      </c>
      <c r="U796" s="665" t="str">
        <f t="shared" si="254"/>
        <v>L</v>
      </c>
      <c r="V796" s="352" t="str">
        <f>UPPER(+F796)</f>
        <v>UCLA</v>
      </c>
      <c r="W796" s="424">
        <v>42</v>
      </c>
      <c r="X796" s="352" t="str">
        <f>LOWER(+H796)</f>
        <v>california</v>
      </c>
      <c r="Y796" s="425">
        <v>14</v>
      </c>
    </row>
    <row r="797" spans="1:25" ht="16" x14ac:dyDescent="0.8">
      <c r="A797" s="351">
        <v>13</v>
      </c>
      <c r="B797" s="420" t="s">
        <v>88</v>
      </c>
      <c r="C797" s="421">
        <v>44890</v>
      </c>
      <c r="D797" s="414">
        <f>19.5/24</f>
        <v>0.8125</v>
      </c>
      <c r="E797" s="349" t="s">
        <v>135</v>
      </c>
      <c r="F797" s="420" t="s">
        <v>136</v>
      </c>
      <c r="G797" s="349" t="s">
        <v>85</v>
      </c>
      <c r="H797" s="420" t="s">
        <v>117</v>
      </c>
      <c r="I797" s="349" t="s">
        <v>61</v>
      </c>
      <c r="J797" s="420" t="str">
        <f>H797</f>
        <v>Florida State</v>
      </c>
      <c r="K797" s="379" t="str">
        <f t="shared" si="250"/>
        <v>Florida</v>
      </c>
      <c r="L797" s="422">
        <v>10</v>
      </c>
      <c r="M797" s="418">
        <v>58</v>
      </c>
      <c r="N797" s="351" t="str">
        <f>H797</f>
        <v>Florida State</v>
      </c>
      <c r="O797" s="423">
        <v>45</v>
      </c>
      <c r="P797" s="436" t="str">
        <f t="shared" si="251"/>
        <v>Florida</v>
      </c>
      <c r="Q797" s="408">
        <v>38</v>
      </c>
      <c r="R797" s="494" t="str">
        <f t="shared" si="252"/>
        <v>Florida</v>
      </c>
      <c r="S797" s="494" t="str">
        <f t="shared" si="253"/>
        <v>Florida State</v>
      </c>
      <c r="T797" s="356" t="str">
        <f>K797</f>
        <v>Florida</v>
      </c>
      <c r="U797" s="665" t="str">
        <f t="shared" si="254"/>
        <v>W</v>
      </c>
      <c r="V797" s="352" t="str">
        <f>UPPER(+F797)</f>
        <v>FLORIDA</v>
      </c>
      <c r="W797" s="424">
        <v>24</v>
      </c>
      <c r="X797" s="352" t="str">
        <f>LOWER(+H797)</f>
        <v>florida state</v>
      </c>
      <c r="Y797" s="425">
        <v>121</v>
      </c>
    </row>
    <row r="798" spans="1:25" ht="16" x14ac:dyDescent="0.8">
      <c r="A798" s="351">
        <v>13</v>
      </c>
      <c r="B798" s="420" t="s">
        <v>88</v>
      </c>
      <c r="C798" s="421">
        <v>44890</v>
      </c>
      <c r="D798" s="414">
        <f>22/24</f>
        <v>0.91666666666666663</v>
      </c>
      <c r="E798" s="349" t="s">
        <v>70</v>
      </c>
      <c r="F798" s="420" t="s">
        <v>133</v>
      </c>
      <c r="G798" s="349" t="s">
        <v>45</v>
      </c>
      <c r="H798" s="420" t="s">
        <v>188</v>
      </c>
      <c r="I798" s="349" t="s">
        <v>45</v>
      </c>
      <c r="J798" s="420" t="str">
        <f>H798</f>
        <v>Fresno State</v>
      </c>
      <c r="K798" s="379" t="str">
        <f t="shared" si="250"/>
        <v>Wyoming</v>
      </c>
      <c r="L798" s="422">
        <v>14.5</v>
      </c>
      <c r="M798" s="418">
        <v>50.5</v>
      </c>
      <c r="N798" s="351" t="str">
        <f>H798</f>
        <v>Fresno State</v>
      </c>
      <c r="O798" s="423">
        <v>30</v>
      </c>
      <c r="P798" s="436" t="str">
        <f t="shared" si="251"/>
        <v>Wyoming</v>
      </c>
      <c r="Q798" s="408">
        <v>0</v>
      </c>
      <c r="R798" s="494" t="str">
        <f t="shared" si="252"/>
        <v>Fresno State</v>
      </c>
      <c r="S798" s="494" t="str">
        <f t="shared" si="253"/>
        <v>Wyoming</v>
      </c>
      <c r="T798" s="356" t="str">
        <f>K798</f>
        <v>Wyoming</v>
      </c>
      <c r="U798" s="665" t="str">
        <f t="shared" si="254"/>
        <v>L</v>
      </c>
      <c r="V798" s="352" t="str">
        <f>LOWER(+H798)</f>
        <v>fresno state</v>
      </c>
      <c r="W798" s="424">
        <v>17</v>
      </c>
      <c r="X798" s="352" t="str">
        <f>UPPER(+F798)</f>
        <v>WYOMING</v>
      </c>
      <c r="Y798" s="425">
        <v>10</v>
      </c>
    </row>
    <row r="799" spans="1:25" ht="16" x14ac:dyDescent="0.8">
      <c r="A799" s="351">
        <v>13</v>
      </c>
      <c r="B799" s="420" t="s">
        <v>34</v>
      </c>
      <c r="C799" s="421">
        <v>44891</v>
      </c>
      <c r="D799" s="414">
        <f>19.5/24</f>
        <v>0.8125</v>
      </c>
      <c r="E799" s="349" t="s">
        <v>95</v>
      </c>
      <c r="F799" s="354" t="s">
        <v>71</v>
      </c>
      <c r="G799" s="349" t="s">
        <v>50</v>
      </c>
      <c r="H799" s="420" t="s">
        <v>174</v>
      </c>
      <c r="I799" s="349" t="s">
        <v>50</v>
      </c>
      <c r="J799" s="420" t="str">
        <f>H799</f>
        <v>Houston</v>
      </c>
      <c r="K799" s="379" t="str">
        <f t="shared" ref="K799:K825" si="255">IF(+J799=H799,F799,H799)</f>
        <v>Tulsa</v>
      </c>
      <c r="L799" s="422">
        <v>12</v>
      </c>
      <c r="M799" s="418">
        <v>66.5</v>
      </c>
      <c r="N799" s="371" t="str">
        <f>F799</f>
        <v>Tulsa</v>
      </c>
      <c r="O799" s="423">
        <v>37</v>
      </c>
      <c r="P799" s="436" t="str">
        <f t="shared" ref="P799:P825" si="256">IF(+N799=H799,F799,H799)</f>
        <v>Houston</v>
      </c>
      <c r="Q799" s="408">
        <v>30</v>
      </c>
      <c r="R799" s="494" t="str">
        <f t="shared" ref="R799:R825" si="257">IF(+N799=K799,+N799,IF(+O799-Q799&lt;L799,+K799,+J799))</f>
        <v>Tulsa</v>
      </c>
      <c r="S799" s="494" t="str">
        <f t="shared" ref="S799:S825" si="258">IF(+R799=J799,+K799,+J799)</f>
        <v>Houston</v>
      </c>
      <c r="T799" s="356" t="str">
        <f>K799</f>
        <v>Tulsa</v>
      </c>
      <c r="U799" s="665" t="str">
        <f t="shared" ref="U799:U825" si="259">IF($N799=$J799,IF($O799-$Q799=$L799,"T",IF($R799=T799,"W","L")),IF($R799=T799,"W","L"))</f>
        <v>W</v>
      </c>
      <c r="V799" s="352" t="str">
        <f>LOWER(+H799)</f>
        <v>houston</v>
      </c>
      <c r="W799" s="424">
        <v>45</v>
      </c>
      <c r="X799" s="352" t="str">
        <f>UPPER(+F799)</f>
        <v>TULSA</v>
      </c>
      <c r="Y799" s="425">
        <v>10</v>
      </c>
    </row>
    <row r="800" spans="1:25" ht="16" x14ac:dyDescent="0.8">
      <c r="A800" s="351">
        <v>13</v>
      </c>
      <c r="B800" s="420" t="s">
        <v>34</v>
      </c>
      <c r="C800" s="421">
        <v>44891</v>
      </c>
      <c r="D800" s="414">
        <f>15.5/24</f>
        <v>0.64583333333333337</v>
      </c>
      <c r="E800" s="349" t="s">
        <v>256</v>
      </c>
      <c r="F800" s="420" t="s">
        <v>60</v>
      </c>
      <c r="G800" s="349" t="s">
        <v>50</v>
      </c>
      <c r="H800" s="420" t="s">
        <v>109</v>
      </c>
      <c r="I800" s="349" t="s">
        <v>50</v>
      </c>
      <c r="J800" s="420" t="str">
        <f>H800</f>
        <v>SMU</v>
      </c>
      <c r="K800" s="379" t="str">
        <f t="shared" si="255"/>
        <v>Memphis</v>
      </c>
      <c r="L800" s="422">
        <v>4.5</v>
      </c>
      <c r="M800" s="418">
        <v>69.5</v>
      </c>
      <c r="N800" s="351" t="str">
        <f>H800</f>
        <v>SMU</v>
      </c>
      <c r="O800" s="423">
        <v>34</v>
      </c>
      <c r="P800" s="436" t="str">
        <f t="shared" si="256"/>
        <v>Memphis</v>
      </c>
      <c r="Q800" s="408">
        <v>31</v>
      </c>
      <c r="R800" s="494" t="str">
        <f t="shared" si="257"/>
        <v>Memphis</v>
      </c>
      <c r="S800" s="494" t="str">
        <f t="shared" si="258"/>
        <v>SMU</v>
      </c>
      <c r="T800" s="356" t="str">
        <f>J800</f>
        <v>SMU</v>
      </c>
      <c r="U800" s="665" t="str">
        <f t="shared" si="259"/>
        <v>L</v>
      </c>
      <c r="V800" s="352" t="str">
        <f>UPPER(+F800)</f>
        <v>MEMPHIS</v>
      </c>
      <c r="W800" s="424">
        <v>54</v>
      </c>
      <c r="X800" s="352" t="str">
        <f>LOWER(+H800)</f>
        <v>smu</v>
      </c>
      <c r="Y800" s="425">
        <v>48</v>
      </c>
    </row>
    <row r="801" spans="1:25" ht="16" x14ac:dyDescent="0.8">
      <c r="A801" s="351">
        <v>13</v>
      </c>
      <c r="B801" s="420" t="s">
        <v>34</v>
      </c>
      <c r="C801" s="421">
        <v>44891</v>
      </c>
      <c r="D801" s="414">
        <f>19/24</f>
        <v>0.79166666666666663</v>
      </c>
      <c r="E801" s="349" t="s">
        <v>256</v>
      </c>
      <c r="F801" s="420" t="s">
        <v>106</v>
      </c>
      <c r="G801" s="349" t="s">
        <v>50</v>
      </c>
      <c r="H801" s="420" t="s">
        <v>49</v>
      </c>
      <c r="I801" s="349" t="s">
        <v>50</v>
      </c>
      <c r="J801" s="420" t="str">
        <f>F801</f>
        <v>Central Florida</v>
      </c>
      <c r="K801" s="379" t="str">
        <f t="shared" si="255"/>
        <v>South Florida</v>
      </c>
      <c r="L801" s="422">
        <v>20</v>
      </c>
      <c r="M801" s="418">
        <v>67.5</v>
      </c>
      <c r="N801" s="351" t="str">
        <f>F801</f>
        <v>Central Florida</v>
      </c>
      <c r="O801" s="423">
        <v>46</v>
      </c>
      <c r="P801" s="436" t="str">
        <f t="shared" si="256"/>
        <v>South Florida</v>
      </c>
      <c r="Q801" s="408">
        <v>39</v>
      </c>
      <c r="R801" s="494" t="str">
        <f t="shared" si="257"/>
        <v>South Florida</v>
      </c>
      <c r="S801" s="494" t="str">
        <f t="shared" si="258"/>
        <v>Central Florida</v>
      </c>
      <c r="T801" s="356" t="str">
        <f>K801</f>
        <v>South Florida</v>
      </c>
      <c r="U801" s="665" t="str">
        <f t="shared" si="259"/>
        <v>W</v>
      </c>
      <c r="V801" s="352" t="str">
        <f>UPPER(+F801)</f>
        <v>CENTRAL FLORIDA</v>
      </c>
      <c r="W801" s="424">
        <v>17</v>
      </c>
      <c r="X801" s="352" t="str">
        <f>LOWER(+H801)</f>
        <v>south florida</v>
      </c>
      <c r="Y801" s="425">
        <v>13</v>
      </c>
    </row>
    <row r="802" spans="1:25" ht="16" x14ac:dyDescent="0.8">
      <c r="A802" s="351">
        <v>13</v>
      </c>
      <c r="B802" s="420" t="s">
        <v>34</v>
      </c>
      <c r="C802" s="421">
        <v>44891</v>
      </c>
      <c r="D802" s="414">
        <f>13/24</f>
        <v>0.54166666666666663</v>
      </c>
      <c r="E802" s="349"/>
      <c r="F802" s="420" t="s">
        <v>107</v>
      </c>
      <c r="G802" s="349" t="s">
        <v>50</v>
      </c>
      <c r="H802" s="420" t="s">
        <v>180</v>
      </c>
      <c r="I802" s="349" t="s">
        <v>50</v>
      </c>
      <c r="J802" s="420" t="str">
        <f>F802</f>
        <v>East Carolina</v>
      </c>
      <c r="K802" s="379" t="str">
        <f t="shared" si="255"/>
        <v>Temple</v>
      </c>
      <c r="L802" s="422">
        <v>9.5</v>
      </c>
      <c r="M802" s="418">
        <v>51.5</v>
      </c>
      <c r="N802" s="351" t="str">
        <f>F802</f>
        <v>East Carolina</v>
      </c>
      <c r="O802" s="423">
        <v>49</v>
      </c>
      <c r="P802" s="436" t="str">
        <f t="shared" si="256"/>
        <v>Temple</v>
      </c>
      <c r="Q802" s="408">
        <v>46</v>
      </c>
      <c r="R802" s="494" t="str">
        <f t="shared" si="257"/>
        <v>Temple</v>
      </c>
      <c r="S802" s="494" t="str">
        <f t="shared" si="258"/>
        <v>East Carolina</v>
      </c>
      <c r="T802" s="356" t="str">
        <f>J802</f>
        <v>East Carolina</v>
      </c>
      <c r="U802" s="665" t="str">
        <f t="shared" si="259"/>
        <v>L</v>
      </c>
      <c r="V802" s="352" t="str">
        <f>UPPER(+F802)</f>
        <v>EAST CAROLINA</v>
      </c>
      <c r="W802" s="424">
        <v>45</v>
      </c>
      <c r="X802" s="352" t="str">
        <f>LOWER(+H802)</f>
        <v>temple</v>
      </c>
      <c r="Y802" s="425">
        <v>3</v>
      </c>
    </row>
    <row r="803" spans="1:25" ht="16" x14ac:dyDescent="0.8">
      <c r="A803" s="351">
        <v>13</v>
      </c>
      <c r="B803" s="420" t="s">
        <v>34</v>
      </c>
      <c r="C803" s="421">
        <v>44891</v>
      </c>
      <c r="D803" s="414">
        <f>19.5/24</f>
        <v>0.8125</v>
      </c>
      <c r="E803" s="349"/>
      <c r="F803" s="420" t="s">
        <v>90</v>
      </c>
      <c r="G803" s="349" t="s">
        <v>61</v>
      </c>
      <c r="H803" s="420" t="s">
        <v>102</v>
      </c>
      <c r="I803" s="349" t="s">
        <v>61</v>
      </c>
      <c r="J803" s="420" t="str">
        <f>F803</f>
        <v>Syracuse</v>
      </c>
      <c r="K803" s="379" t="str">
        <f t="shared" si="255"/>
        <v>Boston College</v>
      </c>
      <c r="L803" s="422">
        <v>10.5</v>
      </c>
      <c r="M803" s="418">
        <v>47</v>
      </c>
      <c r="N803" s="351" t="str">
        <f>F803</f>
        <v>Syracuse</v>
      </c>
      <c r="O803" s="423">
        <v>32</v>
      </c>
      <c r="P803" s="436" t="str">
        <f t="shared" si="256"/>
        <v>Boston College</v>
      </c>
      <c r="Q803" s="408">
        <v>23</v>
      </c>
      <c r="R803" s="494" t="str">
        <f t="shared" si="257"/>
        <v>Boston College</v>
      </c>
      <c r="S803" s="494" t="str">
        <f t="shared" si="258"/>
        <v>Syracuse</v>
      </c>
      <c r="T803" s="356" t="str">
        <f>K803</f>
        <v>Boston College</v>
      </c>
      <c r="U803" s="665" t="str">
        <f t="shared" si="259"/>
        <v>W</v>
      </c>
      <c r="V803" s="352" t="str">
        <f>UPPER(+F803)</f>
        <v>SYRACUSE</v>
      </c>
      <c r="W803" s="424">
        <v>21</v>
      </c>
      <c r="X803" s="352" t="str">
        <f>LOWER(+H803)</f>
        <v>boston college</v>
      </c>
      <c r="Y803" s="425">
        <v>6</v>
      </c>
    </row>
    <row r="804" spans="1:25" ht="16" x14ac:dyDescent="0.8">
      <c r="A804" s="351">
        <v>13</v>
      </c>
      <c r="B804" s="420" t="s">
        <v>34</v>
      </c>
      <c r="C804" s="421">
        <v>44891</v>
      </c>
      <c r="D804" s="414">
        <f>12/24</f>
        <v>0.5</v>
      </c>
      <c r="E804" s="349" t="s">
        <v>135</v>
      </c>
      <c r="F804" s="420" t="s">
        <v>125</v>
      </c>
      <c r="G804" s="349" t="s">
        <v>85</v>
      </c>
      <c r="H804" s="420" t="s">
        <v>114</v>
      </c>
      <c r="I804" s="349" t="s">
        <v>61</v>
      </c>
      <c r="J804" s="420" t="str">
        <f>H804</f>
        <v>Clemson</v>
      </c>
      <c r="K804" s="379" t="str">
        <f t="shared" si="255"/>
        <v>South Carolina</v>
      </c>
      <c r="L804" s="422">
        <v>14.5</v>
      </c>
      <c r="M804" s="418">
        <v>53</v>
      </c>
      <c r="N804" s="351" t="str">
        <f>F804</f>
        <v>South Carolina</v>
      </c>
      <c r="O804" s="423">
        <v>31</v>
      </c>
      <c r="P804" s="436" t="str">
        <f t="shared" si="256"/>
        <v>Clemson</v>
      </c>
      <c r="Q804" s="408">
        <v>30</v>
      </c>
      <c r="R804" s="494" t="str">
        <f t="shared" si="257"/>
        <v>South Carolina</v>
      </c>
      <c r="S804" s="494" t="str">
        <f t="shared" si="258"/>
        <v>Clemson</v>
      </c>
      <c r="T804" s="356" t="str">
        <f>K804</f>
        <v>South Carolina</v>
      </c>
      <c r="U804" s="665" t="str">
        <f t="shared" si="259"/>
        <v>W</v>
      </c>
      <c r="V804" s="352" t="str">
        <f>LOWER(+H804)</f>
        <v>clemson</v>
      </c>
      <c r="W804" s="424">
        <v>30</v>
      </c>
      <c r="X804" s="352" t="str">
        <f>UPPER(+F804)</f>
        <v>SOUTH CAROLINA</v>
      </c>
      <c r="Y804" s="425">
        <v>0</v>
      </c>
    </row>
    <row r="805" spans="1:25" ht="16" x14ac:dyDescent="0.8">
      <c r="A805" s="351">
        <v>13</v>
      </c>
      <c r="B805" s="420" t="s">
        <v>34</v>
      </c>
      <c r="C805" s="421">
        <v>44891</v>
      </c>
      <c r="D805" s="414">
        <f>15.5/24</f>
        <v>0.64583333333333337</v>
      </c>
      <c r="E805" s="349" t="s">
        <v>61</v>
      </c>
      <c r="F805" s="420" t="s">
        <v>62</v>
      </c>
      <c r="G805" s="349" t="s">
        <v>61</v>
      </c>
      <c r="H805" s="420" t="s">
        <v>115</v>
      </c>
      <c r="I805" s="349" t="s">
        <v>61</v>
      </c>
      <c r="J805" s="420" t="str">
        <f>F805</f>
        <v>Wake Forest</v>
      </c>
      <c r="K805" s="379" t="str">
        <f t="shared" si="255"/>
        <v>Duke</v>
      </c>
      <c r="L805" s="422">
        <v>3.5</v>
      </c>
      <c r="M805" s="418">
        <v>66.5</v>
      </c>
      <c r="N805" s="351" t="str">
        <f>H805</f>
        <v>Duke</v>
      </c>
      <c r="O805" s="423">
        <v>34</v>
      </c>
      <c r="P805" s="436" t="str">
        <f t="shared" si="256"/>
        <v>Wake Forest</v>
      </c>
      <c r="Q805" s="408">
        <v>31</v>
      </c>
      <c r="R805" s="494" t="str">
        <f t="shared" si="257"/>
        <v>Duke</v>
      </c>
      <c r="S805" s="494" t="str">
        <f t="shared" si="258"/>
        <v>Wake Forest</v>
      </c>
      <c r="T805" s="356" t="str">
        <f>K805</f>
        <v>Duke</v>
      </c>
      <c r="U805" s="665" t="str">
        <f t="shared" si="259"/>
        <v>W</v>
      </c>
      <c r="V805" s="352" t="str">
        <f>UPPER(+F805)</f>
        <v>WAKE FOREST</v>
      </c>
      <c r="W805" s="424">
        <v>45</v>
      </c>
      <c r="X805" s="352" t="str">
        <f>LOWER(+H805)</f>
        <v>duke</v>
      </c>
      <c r="Y805" s="425">
        <v>7</v>
      </c>
    </row>
    <row r="806" spans="1:25" ht="16" x14ac:dyDescent="0.8">
      <c r="A806" s="351">
        <v>13</v>
      </c>
      <c r="B806" s="420" t="s">
        <v>34</v>
      </c>
      <c r="C806" s="421">
        <v>44891</v>
      </c>
      <c r="D806" s="414">
        <f>20/24</f>
        <v>0.83333333333333337</v>
      </c>
      <c r="E806" s="349" t="s">
        <v>61</v>
      </c>
      <c r="F806" s="420" t="s">
        <v>128</v>
      </c>
      <c r="G806" s="349" t="s">
        <v>61</v>
      </c>
      <c r="H806" s="420" t="s">
        <v>122</v>
      </c>
      <c r="I806" s="349" t="s">
        <v>61</v>
      </c>
      <c r="J806" s="420" t="str">
        <f>F806</f>
        <v>Pittsburgh</v>
      </c>
      <c r="K806" s="379" t="str">
        <f t="shared" si="255"/>
        <v>Miami (FL)</v>
      </c>
      <c r="L806" s="422">
        <v>6.5</v>
      </c>
      <c r="M806" s="418">
        <v>43</v>
      </c>
      <c r="N806" s="351" t="str">
        <f>F806</f>
        <v>Pittsburgh</v>
      </c>
      <c r="O806" s="423">
        <v>42</v>
      </c>
      <c r="P806" s="436" t="str">
        <f t="shared" si="256"/>
        <v>Miami (FL)</v>
      </c>
      <c r="Q806" s="408">
        <v>16</v>
      </c>
      <c r="R806" s="494" t="str">
        <f t="shared" si="257"/>
        <v>Pittsburgh</v>
      </c>
      <c r="S806" s="494" t="str">
        <f t="shared" si="258"/>
        <v>Miami (FL)</v>
      </c>
      <c r="T806" s="356" t="str">
        <f>J806</f>
        <v>Pittsburgh</v>
      </c>
      <c r="U806" s="665" t="str">
        <f t="shared" si="259"/>
        <v>W</v>
      </c>
      <c r="V806" s="352" t="str">
        <f>LOWER(+H806)</f>
        <v>miami (fl)</v>
      </c>
      <c r="W806" s="424">
        <v>38</v>
      </c>
      <c r="X806" s="352" t="str">
        <f>UPPER(+F806)</f>
        <v>PITTSBURGH</v>
      </c>
      <c r="Y806" s="425">
        <v>34</v>
      </c>
    </row>
    <row r="807" spans="1:25" ht="16" x14ac:dyDescent="0.8">
      <c r="A807" s="351">
        <v>13</v>
      </c>
      <c r="B807" s="420" t="s">
        <v>34</v>
      </c>
      <c r="C807" s="421">
        <v>44891</v>
      </c>
      <c r="D807" s="414"/>
      <c r="E807" s="349"/>
      <c r="F807" s="420" t="s">
        <v>130</v>
      </c>
      <c r="G807" s="349" t="s">
        <v>61</v>
      </c>
      <c r="H807" s="420" t="s">
        <v>221</v>
      </c>
      <c r="I807" s="349" t="s">
        <v>61</v>
      </c>
      <c r="J807" s="420"/>
      <c r="K807" s="379" t="s">
        <v>455</v>
      </c>
      <c r="L807" s="422"/>
      <c r="M807" s="418"/>
      <c r="N807" s="351"/>
      <c r="O807" s="423"/>
      <c r="P807" s="436" t="s">
        <v>456</v>
      </c>
      <c r="Q807" s="408"/>
      <c r="R807" s="494">
        <f t="shared" si="257"/>
        <v>0</v>
      </c>
      <c r="S807" s="494" t="str">
        <f t="shared" si="258"/>
        <v>CANCELED</v>
      </c>
      <c r="T807" s="356"/>
      <c r="U807" s="665"/>
      <c r="V807" s="352" t="str">
        <f>UPPER(+F807)</f>
        <v>VIRGINIA</v>
      </c>
      <c r="W807" s="424">
        <v>39</v>
      </c>
      <c r="X807" s="352" t="str">
        <f>LOWER(+H807)</f>
        <v>virginia tech</v>
      </c>
      <c r="Y807" s="425">
        <v>30</v>
      </c>
    </row>
    <row r="808" spans="1:25" ht="16" x14ac:dyDescent="0.8">
      <c r="A808" s="351">
        <v>13</v>
      </c>
      <c r="B808" s="420" t="s">
        <v>34</v>
      </c>
      <c r="C808" s="421">
        <v>44891</v>
      </c>
      <c r="D808" s="414">
        <f>15.5/24</f>
        <v>0.64583333333333337</v>
      </c>
      <c r="E808" s="349" t="s">
        <v>66</v>
      </c>
      <c r="F808" s="420" t="s">
        <v>119</v>
      </c>
      <c r="G808" s="349" t="s">
        <v>64</v>
      </c>
      <c r="H808" s="420" t="s">
        <v>65</v>
      </c>
      <c r="I808" s="349" t="s">
        <v>64</v>
      </c>
      <c r="J808" s="420" t="str">
        <f>F808</f>
        <v>Purdue</v>
      </c>
      <c r="K808" s="379" t="str">
        <f t="shared" si="255"/>
        <v>Indiana</v>
      </c>
      <c r="L808" s="422">
        <v>10.5</v>
      </c>
      <c r="M808" s="418">
        <v>53.5</v>
      </c>
      <c r="N808" s="351" t="str">
        <f>F808</f>
        <v>Purdue</v>
      </c>
      <c r="O808" s="423">
        <v>30</v>
      </c>
      <c r="P808" s="436" t="str">
        <f t="shared" si="256"/>
        <v>Indiana</v>
      </c>
      <c r="Q808" s="408">
        <v>16</v>
      </c>
      <c r="R808" s="494" t="str">
        <f t="shared" si="257"/>
        <v>Purdue</v>
      </c>
      <c r="S808" s="494" t="str">
        <f t="shared" si="258"/>
        <v>Indiana</v>
      </c>
      <c r="T808" s="356" t="str">
        <f>K808</f>
        <v>Indiana</v>
      </c>
      <c r="U808" s="665" t="str">
        <f t="shared" si="259"/>
        <v>L</v>
      </c>
      <c r="V808" s="352" t="str">
        <f>UPPER(+F808)</f>
        <v>PURDUE</v>
      </c>
      <c r="W808" s="424">
        <v>44</v>
      </c>
      <c r="X808" s="352" t="str">
        <f>LOWER(+H808)</f>
        <v>indiana</v>
      </c>
      <c r="Y808" s="425"/>
    </row>
    <row r="809" spans="1:25" ht="16" x14ac:dyDescent="0.8">
      <c r="A809" s="351">
        <v>13</v>
      </c>
      <c r="B809" s="420" t="s">
        <v>34</v>
      </c>
      <c r="C809" s="421">
        <v>44891</v>
      </c>
      <c r="D809" s="414">
        <f>12/24</f>
        <v>0.5</v>
      </c>
      <c r="E809" s="349" t="s">
        <v>66</v>
      </c>
      <c r="F809" s="420" t="s">
        <v>92</v>
      </c>
      <c r="G809" s="349" t="s">
        <v>64</v>
      </c>
      <c r="H809" s="420" t="s">
        <v>156</v>
      </c>
      <c r="I809" s="349" t="s">
        <v>64</v>
      </c>
      <c r="J809" s="420" t="str">
        <f>H809</f>
        <v>Maryland</v>
      </c>
      <c r="K809" s="379" t="str">
        <f t="shared" si="255"/>
        <v>Rutgers</v>
      </c>
      <c r="L809" s="422">
        <v>14</v>
      </c>
      <c r="M809" s="418">
        <v>49.5</v>
      </c>
      <c r="N809" s="351" t="str">
        <f>H809</f>
        <v>Maryland</v>
      </c>
      <c r="O809" s="423">
        <v>37</v>
      </c>
      <c r="P809" s="436" t="str">
        <f t="shared" si="256"/>
        <v>Rutgers</v>
      </c>
      <c r="Q809" s="408">
        <v>0</v>
      </c>
      <c r="R809" s="494" t="str">
        <f t="shared" si="257"/>
        <v>Maryland</v>
      </c>
      <c r="S809" s="494" t="str">
        <f t="shared" si="258"/>
        <v>Rutgers</v>
      </c>
      <c r="T809" s="356" t="str">
        <f>K809</f>
        <v>Rutgers</v>
      </c>
      <c r="U809" s="665" t="str">
        <f t="shared" si="259"/>
        <v>L</v>
      </c>
      <c r="V809" s="352" t="str">
        <f>LOWER(+H809)</f>
        <v>maryland</v>
      </c>
      <c r="W809" s="424">
        <v>40</v>
      </c>
      <c r="X809" s="352" t="str">
        <f>UPPER(+F809)</f>
        <v>RUTGERS</v>
      </c>
      <c r="Y809" s="425">
        <v>16</v>
      </c>
    </row>
    <row r="810" spans="1:25" ht="16" x14ac:dyDescent="0.8">
      <c r="A810" s="351">
        <v>13</v>
      </c>
      <c r="B810" s="420" t="s">
        <v>34</v>
      </c>
      <c r="C810" s="421">
        <v>44891</v>
      </c>
      <c r="D810" s="414">
        <f>15.5/24</f>
        <v>0.64583333333333337</v>
      </c>
      <c r="E810" s="349"/>
      <c r="F810" s="420" t="s">
        <v>132</v>
      </c>
      <c r="G810" s="349" t="s">
        <v>64</v>
      </c>
      <c r="H810" s="420" t="s">
        <v>143</v>
      </c>
      <c r="I810" s="349" t="s">
        <v>64</v>
      </c>
      <c r="J810" s="420" t="str">
        <f>F810</f>
        <v>Illinois</v>
      </c>
      <c r="K810" s="379" t="str">
        <f t="shared" si="255"/>
        <v>Northwestern</v>
      </c>
      <c r="L810" s="422">
        <v>14.5</v>
      </c>
      <c r="M810" s="418">
        <v>38</v>
      </c>
      <c r="N810" s="351" t="str">
        <f>F810</f>
        <v>Illinois</v>
      </c>
      <c r="O810" s="423">
        <v>41</v>
      </c>
      <c r="P810" s="436" t="str">
        <f t="shared" si="256"/>
        <v>Northwestern</v>
      </c>
      <c r="Q810" s="408">
        <v>3</v>
      </c>
      <c r="R810" s="494" t="str">
        <f t="shared" si="257"/>
        <v>Illinois</v>
      </c>
      <c r="S810" s="494" t="str">
        <f t="shared" si="258"/>
        <v>Northwestern</v>
      </c>
      <c r="T810" s="356" t="str">
        <f>J810</f>
        <v>Illinois</v>
      </c>
      <c r="U810" s="665" t="str">
        <f t="shared" si="259"/>
        <v>W</v>
      </c>
      <c r="V810" s="352" t="str">
        <f>UPPER(+F810)</f>
        <v>ILLINOIS</v>
      </c>
      <c r="W810" s="424">
        <v>47</v>
      </c>
      <c r="X810" s="352" t="str">
        <f>LOWER(+H810)</f>
        <v>northwestern</v>
      </c>
      <c r="Y810" s="425">
        <v>14</v>
      </c>
    </row>
    <row r="811" spans="1:25" ht="16" x14ac:dyDescent="0.8">
      <c r="A811" s="351">
        <v>13</v>
      </c>
      <c r="B811" s="420" t="s">
        <v>34</v>
      </c>
      <c r="C811" s="421">
        <v>44891</v>
      </c>
      <c r="D811" s="414">
        <f>12/24</f>
        <v>0.5</v>
      </c>
      <c r="E811" s="349" t="s">
        <v>135</v>
      </c>
      <c r="F811" s="420" t="s">
        <v>137</v>
      </c>
      <c r="G811" s="349" t="s">
        <v>64</v>
      </c>
      <c r="H811" s="420" t="s">
        <v>63</v>
      </c>
      <c r="I811" s="349" t="s">
        <v>64</v>
      </c>
      <c r="J811" s="420" t="str">
        <f t="shared" ref="J811:J816" si="260">H811</f>
        <v>Ohio State</v>
      </c>
      <c r="K811" s="379" t="str">
        <f t="shared" si="255"/>
        <v>Michigan</v>
      </c>
      <c r="L811" s="422">
        <v>8</v>
      </c>
      <c r="M811" s="418">
        <v>55.5</v>
      </c>
      <c r="N811" s="351" t="str">
        <f>F811</f>
        <v>Michigan</v>
      </c>
      <c r="O811" s="423">
        <v>45</v>
      </c>
      <c r="P811" s="436" t="str">
        <f t="shared" si="256"/>
        <v>Ohio State</v>
      </c>
      <c r="Q811" s="408">
        <v>23</v>
      </c>
      <c r="R811" s="494" t="str">
        <f t="shared" si="257"/>
        <v>Michigan</v>
      </c>
      <c r="S811" s="494" t="str">
        <f t="shared" si="258"/>
        <v>Ohio State</v>
      </c>
      <c r="T811" s="356" t="str">
        <f>J811</f>
        <v>Ohio State</v>
      </c>
      <c r="U811" s="665" t="str">
        <f t="shared" si="259"/>
        <v>L</v>
      </c>
      <c r="V811" s="352" t="str">
        <f>UPPER(+F811)</f>
        <v>MICHIGAN</v>
      </c>
      <c r="W811" s="424">
        <v>42</v>
      </c>
      <c r="X811" s="352" t="str">
        <f>LOWER(+H811)</f>
        <v>ohio state</v>
      </c>
      <c r="Y811" s="425">
        <v>7</v>
      </c>
    </row>
    <row r="812" spans="1:25" ht="16" x14ac:dyDescent="0.8">
      <c r="A812" s="351">
        <v>13</v>
      </c>
      <c r="B812" s="420" t="s">
        <v>34</v>
      </c>
      <c r="C812" s="421">
        <v>44891</v>
      </c>
      <c r="D812" s="414">
        <f>16/24</f>
        <v>0.66666666666666663</v>
      </c>
      <c r="E812" s="349" t="s">
        <v>70</v>
      </c>
      <c r="F812" s="420" t="s">
        <v>139</v>
      </c>
      <c r="G812" s="349" t="s">
        <v>64</v>
      </c>
      <c r="H812" s="420" t="s">
        <v>145</v>
      </c>
      <c r="I812" s="349" t="s">
        <v>64</v>
      </c>
      <c r="J812" s="420" t="str">
        <f t="shared" si="260"/>
        <v>Penn State</v>
      </c>
      <c r="K812" s="379" t="str">
        <f t="shared" si="255"/>
        <v>Michigan State</v>
      </c>
      <c r="L812" s="422">
        <v>19</v>
      </c>
      <c r="M812" s="418">
        <v>53</v>
      </c>
      <c r="N812" s="351" t="str">
        <f>H812</f>
        <v>Penn State</v>
      </c>
      <c r="O812" s="423">
        <v>35</v>
      </c>
      <c r="P812" s="436" t="str">
        <f t="shared" si="256"/>
        <v>Michigan State</v>
      </c>
      <c r="Q812" s="408">
        <v>16</v>
      </c>
      <c r="R812" s="494" t="str">
        <f t="shared" si="257"/>
        <v>Penn State</v>
      </c>
      <c r="S812" s="494" t="str">
        <f t="shared" si="258"/>
        <v>Michigan State</v>
      </c>
      <c r="T812" s="356" t="str">
        <f>K812</f>
        <v>Michigan State</v>
      </c>
      <c r="U812" s="665" t="str">
        <f t="shared" si="259"/>
        <v>T</v>
      </c>
      <c r="V812" s="352" t="str">
        <f>UPPER(+F812)</f>
        <v>MICHIGAN STATE</v>
      </c>
      <c r="W812" s="424">
        <v>30</v>
      </c>
      <c r="X812" s="352" t="str">
        <f>LOWER(+H812)</f>
        <v>penn state</v>
      </c>
      <c r="Y812" s="425">
        <v>27</v>
      </c>
    </row>
    <row r="813" spans="1:25" ht="16" x14ac:dyDescent="0.8">
      <c r="A813" s="351">
        <v>13</v>
      </c>
      <c r="B813" s="420" t="s">
        <v>34</v>
      </c>
      <c r="C813" s="421">
        <v>44891</v>
      </c>
      <c r="D813" s="414">
        <f>15.5/24</f>
        <v>0.64583333333333337</v>
      </c>
      <c r="E813" s="349" t="s">
        <v>35</v>
      </c>
      <c r="F813" s="420" t="s">
        <v>69</v>
      </c>
      <c r="G813" s="349" t="s">
        <v>64</v>
      </c>
      <c r="H813" s="420" t="s">
        <v>94</v>
      </c>
      <c r="I813" s="349" t="s">
        <v>64</v>
      </c>
      <c r="J813" s="420" t="str">
        <f t="shared" si="260"/>
        <v>Wisconsin</v>
      </c>
      <c r="K813" s="379" t="str">
        <f t="shared" si="255"/>
        <v>Minnesota</v>
      </c>
      <c r="L813" s="422">
        <v>3.5</v>
      </c>
      <c r="M813" s="418">
        <v>36</v>
      </c>
      <c r="N813" s="351" t="str">
        <f>F813</f>
        <v>Minnesota</v>
      </c>
      <c r="O813" s="423">
        <v>23</v>
      </c>
      <c r="P813" s="436" t="str">
        <f t="shared" si="256"/>
        <v>Wisconsin</v>
      </c>
      <c r="Q813" s="408">
        <v>16</v>
      </c>
      <c r="R813" s="494" t="str">
        <f t="shared" si="257"/>
        <v>Minnesota</v>
      </c>
      <c r="S813" s="494" t="str">
        <f t="shared" si="258"/>
        <v>Wisconsin</v>
      </c>
      <c r="T813" s="356" t="str">
        <f>J813</f>
        <v>Wisconsin</v>
      </c>
      <c r="U813" s="665" t="str">
        <f t="shared" si="259"/>
        <v>L</v>
      </c>
      <c r="V813" s="352" t="str">
        <f>UPPER(+F813)</f>
        <v>MINNESOTA</v>
      </c>
      <c r="W813" s="424">
        <v>23</v>
      </c>
      <c r="X813" s="352" t="str">
        <f>LOWER(+H813)</f>
        <v>wisconsin</v>
      </c>
      <c r="Y813" s="425">
        <v>13</v>
      </c>
    </row>
    <row r="814" spans="1:25" ht="16" x14ac:dyDescent="0.8">
      <c r="A814" s="351">
        <v>13</v>
      </c>
      <c r="B814" s="420" t="s">
        <v>34</v>
      </c>
      <c r="C814" s="421">
        <v>44891</v>
      </c>
      <c r="D814" s="414">
        <f>20/24</f>
        <v>0.83333333333333337</v>
      </c>
      <c r="E814" s="349" t="s">
        <v>118</v>
      </c>
      <c r="F814" s="420" t="s">
        <v>150</v>
      </c>
      <c r="G814" s="349" t="s">
        <v>73</v>
      </c>
      <c r="H814" s="420" t="s">
        <v>152</v>
      </c>
      <c r="I814" s="349" t="s">
        <v>73</v>
      </c>
      <c r="J814" s="420" t="str">
        <f t="shared" si="260"/>
        <v>Kansas State</v>
      </c>
      <c r="K814" s="379" t="str">
        <f t="shared" si="255"/>
        <v>Kansas</v>
      </c>
      <c r="L814" s="422">
        <v>11.5</v>
      </c>
      <c r="M814" s="418">
        <v>62.5</v>
      </c>
      <c r="N814" s="351" t="str">
        <f>H814</f>
        <v>Kansas State</v>
      </c>
      <c r="O814" s="423">
        <v>47</v>
      </c>
      <c r="P814" s="436" t="str">
        <f t="shared" si="256"/>
        <v>Kansas</v>
      </c>
      <c r="Q814" s="408">
        <v>27</v>
      </c>
      <c r="R814" s="494" t="str">
        <f t="shared" si="257"/>
        <v>Kansas State</v>
      </c>
      <c r="S814" s="494" t="str">
        <f t="shared" si="258"/>
        <v>Kansas</v>
      </c>
      <c r="T814" s="356" t="str">
        <f>J814</f>
        <v>Kansas State</v>
      </c>
      <c r="U814" s="665" t="str">
        <f t="shared" si="259"/>
        <v>W</v>
      </c>
      <c r="V814" s="352" t="str">
        <f>LOWER(+H814)</f>
        <v>kansas state</v>
      </c>
      <c r="W814" s="424">
        <v>21</v>
      </c>
      <c r="X814" s="352" t="str">
        <f>UPPER(+F814)</f>
        <v>KANSAS</v>
      </c>
      <c r="Y814" s="425">
        <v>17</v>
      </c>
    </row>
    <row r="815" spans="1:25" ht="16" x14ac:dyDescent="0.8">
      <c r="A815" s="351">
        <v>13</v>
      </c>
      <c r="B815" s="420" t="s">
        <v>34</v>
      </c>
      <c r="C815" s="421">
        <v>44891</v>
      </c>
      <c r="D815" s="414">
        <f>12/24</f>
        <v>0.5</v>
      </c>
      <c r="E815" s="349" t="s">
        <v>256</v>
      </c>
      <c r="F815" s="420" t="s">
        <v>222</v>
      </c>
      <c r="G815" s="349" t="s">
        <v>73</v>
      </c>
      <c r="H815" s="420" t="s">
        <v>72</v>
      </c>
      <c r="I815" s="349" t="s">
        <v>73</v>
      </c>
      <c r="J815" s="420" t="str">
        <f t="shared" si="260"/>
        <v>Oklahoma State</v>
      </c>
      <c r="K815" s="379" t="str">
        <f t="shared" si="255"/>
        <v>West Virginia</v>
      </c>
      <c r="L815" s="422">
        <v>7.5</v>
      </c>
      <c r="M815" s="418">
        <v>62.5</v>
      </c>
      <c r="N815" s="351" t="str">
        <f>F815</f>
        <v>West Virginia</v>
      </c>
      <c r="O815" s="423">
        <v>24</v>
      </c>
      <c r="P815" s="436" t="str">
        <f t="shared" si="256"/>
        <v>Oklahoma State</v>
      </c>
      <c r="Q815" s="408">
        <v>19</v>
      </c>
      <c r="R815" s="494" t="str">
        <f t="shared" si="257"/>
        <v>West Virginia</v>
      </c>
      <c r="S815" s="494" t="str">
        <f t="shared" si="258"/>
        <v>Oklahoma State</v>
      </c>
      <c r="T815" s="356" t="str">
        <f>K815</f>
        <v>West Virginia</v>
      </c>
      <c r="U815" s="665" t="str">
        <f t="shared" si="259"/>
        <v>W</v>
      </c>
      <c r="V815" s="352" t="str">
        <f>LOWER(+H815)</f>
        <v>oklahoma state</v>
      </c>
      <c r="W815" s="424">
        <v>24</v>
      </c>
      <c r="X815" s="352" t="str">
        <f>UPPER(+F815)</f>
        <v>WEST VIRGINIA</v>
      </c>
      <c r="Y815" s="425">
        <v>3</v>
      </c>
    </row>
    <row r="816" spans="1:25" ht="16" x14ac:dyDescent="0.8">
      <c r="A816" s="351">
        <v>13</v>
      </c>
      <c r="B816" s="420" t="s">
        <v>34</v>
      </c>
      <c r="C816" s="421">
        <v>44891</v>
      </c>
      <c r="D816" s="414">
        <f>16/24</f>
        <v>0.66666666666666663</v>
      </c>
      <c r="E816" s="349" t="s">
        <v>118</v>
      </c>
      <c r="F816" s="420" t="s">
        <v>148</v>
      </c>
      <c r="G816" s="349" t="s">
        <v>73</v>
      </c>
      <c r="H816" s="420" t="s">
        <v>155</v>
      </c>
      <c r="I816" s="349" t="s">
        <v>73</v>
      </c>
      <c r="J816" s="420" t="str">
        <f t="shared" si="260"/>
        <v>TCU</v>
      </c>
      <c r="K816" s="379" t="str">
        <f t="shared" si="255"/>
        <v>Iowa State</v>
      </c>
      <c r="L816" s="422">
        <v>9.5</v>
      </c>
      <c r="M816" s="418">
        <v>46.5</v>
      </c>
      <c r="N816" s="351" t="str">
        <f>H816</f>
        <v>TCU</v>
      </c>
      <c r="O816" s="423">
        <v>62</v>
      </c>
      <c r="P816" s="436" t="str">
        <f t="shared" si="256"/>
        <v>Iowa State</v>
      </c>
      <c r="Q816" s="408">
        <v>14</v>
      </c>
      <c r="R816" s="494" t="str">
        <f t="shared" si="257"/>
        <v>TCU</v>
      </c>
      <c r="S816" s="494" t="str">
        <f t="shared" si="258"/>
        <v>Iowa State</v>
      </c>
      <c r="T816" s="356" t="str">
        <f>K816</f>
        <v>Iowa State</v>
      </c>
      <c r="U816" s="665" t="str">
        <f t="shared" si="259"/>
        <v>L</v>
      </c>
      <c r="V816" s="352" t="str">
        <f>UPPER(+F816)</f>
        <v>IOWA STATE</v>
      </c>
      <c r="W816" s="424">
        <v>48</v>
      </c>
      <c r="X816" s="352" t="str">
        <f>LOWER(+H816)</f>
        <v>tcu</v>
      </c>
      <c r="Y816" s="425">
        <v>14</v>
      </c>
    </row>
    <row r="817" spans="1:25" ht="16" x14ac:dyDescent="0.8">
      <c r="A817" s="351">
        <v>13</v>
      </c>
      <c r="B817" s="420" t="s">
        <v>34</v>
      </c>
      <c r="C817" s="421">
        <v>44891</v>
      </c>
      <c r="D817" s="414">
        <f>19.5/24</f>
        <v>0.8125</v>
      </c>
      <c r="E817" s="349" t="s">
        <v>70</v>
      </c>
      <c r="F817" s="420" t="s">
        <v>154</v>
      </c>
      <c r="G817" s="349" t="s">
        <v>73</v>
      </c>
      <c r="H817" s="420" t="s">
        <v>159</v>
      </c>
      <c r="I817" s="349" t="s">
        <v>73</v>
      </c>
      <c r="J817" s="420" t="str">
        <f>F817</f>
        <v>Oklahoma</v>
      </c>
      <c r="K817" s="379" t="str">
        <f t="shared" si="255"/>
        <v>Texas Tech</v>
      </c>
      <c r="L817" s="422">
        <v>2</v>
      </c>
      <c r="M817" s="418">
        <v>63.5</v>
      </c>
      <c r="N817" s="351" t="str">
        <f>H817</f>
        <v>Texas Tech</v>
      </c>
      <c r="O817" s="423">
        <v>51</v>
      </c>
      <c r="P817" s="436" t="str">
        <f t="shared" si="256"/>
        <v>Oklahoma</v>
      </c>
      <c r="Q817" s="408">
        <v>48</v>
      </c>
      <c r="R817" s="494" t="str">
        <f t="shared" si="257"/>
        <v>Texas Tech</v>
      </c>
      <c r="S817" s="494" t="str">
        <f t="shared" si="258"/>
        <v>Oklahoma</v>
      </c>
      <c r="T817" s="356" t="str">
        <f>J817</f>
        <v>Oklahoma</v>
      </c>
      <c r="U817" s="665" t="str">
        <f t="shared" si="259"/>
        <v>L</v>
      </c>
      <c r="V817" s="352" t="str">
        <f>UPPER(+F817)</f>
        <v>OKLAHOMA</v>
      </c>
      <c r="W817" s="424">
        <v>52</v>
      </c>
      <c r="X817" s="352" t="str">
        <f>LOWER(+H817)</f>
        <v>texas tech</v>
      </c>
      <c r="Y817" s="425">
        <v>21</v>
      </c>
    </row>
    <row r="818" spans="1:25" ht="16" x14ac:dyDescent="0.8">
      <c r="A818" s="351">
        <v>13</v>
      </c>
      <c r="B818" s="420" t="s">
        <v>34</v>
      </c>
      <c r="C818" s="421">
        <v>44891</v>
      </c>
      <c r="D818" s="414">
        <f>12/24</f>
        <v>0.5</v>
      </c>
      <c r="E818" s="349" t="s">
        <v>445</v>
      </c>
      <c r="F818" s="420" t="s">
        <v>177</v>
      </c>
      <c r="G818" s="349" t="s">
        <v>39</v>
      </c>
      <c r="H818" s="420" t="s">
        <v>97</v>
      </c>
      <c r="I818" s="349" t="s">
        <v>39</v>
      </c>
      <c r="J818" s="420" t="str">
        <f>F818</f>
        <v>Western Kentucky</v>
      </c>
      <c r="K818" s="379" t="str">
        <f t="shared" si="255"/>
        <v>Florida Atlantic</v>
      </c>
      <c r="L818" s="422">
        <v>7.5</v>
      </c>
      <c r="M818" s="418">
        <v>61.5</v>
      </c>
      <c r="N818" s="351" t="str">
        <f>F818</f>
        <v>Western Kentucky</v>
      </c>
      <c r="O818" s="423">
        <v>32</v>
      </c>
      <c r="P818" s="436" t="str">
        <f t="shared" si="256"/>
        <v>Florida Atlantic</v>
      </c>
      <c r="Q818" s="408">
        <v>31</v>
      </c>
      <c r="R818" s="494" t="str">
        <f t="shared" si="257"/>
        <v>Florida Atlantic</v>
      </c>
      <c r="S818" s="494" t="str">
        <f t="shared" si="258"/>
        <v>Western Kentucky</v>
      </c>
      <c r="T818" s="356" t="str">
        <f>K818</f>
        <v>Florida Atlantic</v>
      </c>
      <c r="U818" s="665" t="str">
        <f t="shared" si="259"/>
        <v>W</v>
      </c>
      <c r="V818" s="352" t="str">
        <f>UPPER(+F818)</f>
        <v>WESTERN KENTUCKY</v>
      </c>
      <c r="W818" s="424">
        <v>52</v>
      </c>
      <c r="X818" s="352" t="str">
        <f>LOWER(+H818)</f>
        <v>florida atlantic</v>
      </c>
      <c r="Y818" s="425">
        <v>17</v>
      </c>
    </row>
    <row r="819" spans="1:25" ht="16" x14ac:dyDescent="0.8">
      <c r="A819" s="351">
        <v>13</v>
      </c>
      <c r="B819" s="420" t="s">
        <v>34</v>
      </c>
      <c r="C819" s="421">
        <v>44891</v>
      </c>
      <c r="D819" s="414">
        <f>18/24</f>
        <v>0.75</v>
      </c>
      <c r="E819" s="349" t="s">
        <v>53</v>
      </c>
      <c r="F819" s="420" t="s">
        <v>165</v>
      </c>
      <c r="G819" s="349" t="s">
        <v>39</v>
      </c>
      <c r="H819" s="420" t="s">
        <v>105</v>
      </c>
      <c r="I819" s="349" t="s">
        <v>39</v>
      </c>
      <c r="J819" s="420" t="str">
        <f>F819</f>
        <v>Middle Tenn St</v>
      </c>
      <c r="K819" s="379" t="str">
        <f t="shared" si="255"/>
        <v>Florida Intl</v>
      </c>
      <c r="L819" s="422">
        <v>19.5</v>
      </c>
      <c r="M819" s="418">
        <v>55</v>
      </c>
      <c r="N819" s="351" t="str">
        <f>F819</f>
        <v>Middle Tenn St</v>
      </c>
      <c r="O819" s="423">
        <v>33</v>
      </c>
      <c r="P819" s="436" t="str">
        <f t="shared" si="256"/>
        <v>Florida Intl</v>
      </c>
      <c r="Q819" s="408">
        <v>28</v>
      </c>
      <c r="R819" s="494" t="str">
        <f t="shared" si="257"/>
        <v>Florida Intl</v>
      </c>
      <c r="S819" s="494" t="str">
        <f t="shared" si="258"/>
        <v>Middle Tenn St</v>
      </c>
      <c r="T819" s="356" t="str">
        <f>K819</f>
        <v>Florida Intl</v>
      </c>
      <c r="U819" s="665" t="str">
        <f t="shared" si="259"/>
        <v>W</v>
      </c>
      <c r="V819" s="352" t="str">
        <f>UPPER(+F819)</f>
        <v>MIDDLE TENN ST</v>
      </c>
      <c r="W819" s="424">
        <v>50</v>
      </c>
      <c r="X819" s="352" t="str">
        <f>LOWER(+H819)</f>
        <v>florida intl</v>
      </c>
      <c r="Y819" s="425">
        <v>10</v>
      </c>
    </row>
    <row r="820" spans="1:25" ht="16" x14ac:dyDescent="0.8">
      <c r="A820" s="351">
        <v>13</v>
      </c>
      <c r="B820" s="420" t="s">
        <v>34</v>
      </c>
      <c r="C820" s="421">
        <v>44891</v>
      </c>
      <c r="D820" s="414">
        <f>15.5/24</f>
        <v>0.64583333333333337</v>
      </c>
      <c r="E820" s="349" t="s">
        <v>445</v>
      </c>
      <c r="F820" s="420" t="s">
        <v>173</v>
      </c>
      <c r="G820" s="349" t="s">
        <v>39</v>
      </c>
      <c r="H820" s="420" t="s">
        <v>161</v>
      </c>
      <c r="I820" s="349" t="s">
        <v>39</v>
      </c>
      <c r="J820" s="420" t="str">
        <f>F820</f>
        <v>UAB</v>
      </c>
      <c r="K820" s="379" t="str">
        <f t="shared" si="255"/>
        <v>Louisiana Tech</v>
      </c>
      <c r="L820" s="422">
        <v>17.5</v>
      </c>
      <c r="M820" s="418">
        <v>57.5</v>
      </c>
      <c r="N820" s="351" t="str">
        <f>F820</f>
        <v>UAB</v>
      </c>
      <c r="O820" s="423">
        <v>37</v>
      </c>
      <c r="P820" s="436" t="str">
        <f t="shared" si="256"/>
        <v>Louisiana Tech</v>
      </c>
      <c r="Q820" s="408">
        <v>27</v>
      </c>
      <c r="R820" s="494" t="str">
        <f t="shared" si="257"/>
        <v>Louisiana Tech</v>
      </c>
      <c r="S820" s="494" t="str">
        <f t="shared" si="258"/>
        <v>UAB</v>
      </c>
      <c r="T820" s="356" t="str">
        <f>K820</f>
        <v>Louisiana Tech</v>
      </c>
      <c r="U820" s="665" t="str">
        <f t="shared" si="259"/>
        <v>W</v>
      </c>
      <c r="V820" s="352" t="str">
        <f>UPPER(+F820)</f>
        <v>UAB</v>
      </c>
      <c r="W820" s="424">
        <v>52</v>
      </c>
      <c r="X820" s="352" t="str">
        <f>LOWER(+H820)</f>
        <v>louisiana tech</v>
      </c>
      <c r="Y820" s="425">
        <v>38</v>
      </c>
    </row>
    <row r="821" spans="1:25" ht="16" x14ac:dyDescent="0.8">
      <c r="A821" s="351">
        <v>13</v>
      </c>
      <c r="B821" s="420" t="s">
        <v>34</v>
      </c>
      <c r="C821" s="421">
        <v>44891</v>
      </c>
      <c r="D821" s="414">
        <f>14/24</f>
        <v>0.58333333333333337</v>
      </c>
      <c r="E821" s="349"/>
      <c r="F821" s="420" t="s">
        <v>38</v>
      </c>
      <c r="G821" s="349" t="s">
        <v>39</v>
      </c>
      <c r="H821" s="420" t="s">
        <v>167</v>
      </c>
      <c r="I821" s="349" t="s">
        <v>39</v>
      </c>
      <c r="J821" s="420" t="str">
        <f>H821</f>
        <v>North Texas</v>
      </c>
      <c r="K821" s="379" t="str">
        <f t="shared" si="255"/>
        <v>Rice</v>
      </c>
      <c r="L821" s="422">
        <v>14.5</v>
      </c>
      <c r="M821" s="418">
        <v>58.5</v>
      </c>
      <c r="N821" s="351" t="str">
        <f>H821</f>
        <v>North Texas</v>
      </c>
      <c r="O821" s="423">
        <v>21</v>
      </c>
      <c r="P821" s="436" t="str">
        <f t="shared" si="256"/>
        <v>Rice</v>
      </c>
      <c r="Q821" s="408">
        <v>17</v>
      </c>
      <c r="R821" s="494" t="str">
        <f t="shared" si="257"/>
        <v>Rice</v>
      </c>
      <c r="S821" s="494" t="str">
        <f t="shared" si="258"/>
        <v>North Texas</v>
      </c>
      <c r="T821" s="356" t="str">
        <f>J821</f>
        <v>North Texas</v>
      </c>
      <c r="U821" s="665" t="str">
        <f t="shared" si="259"/>
        <v>L</v>
      </c>
      <c r="V821" s="352" t="str">
        <f>LOWER(+H821)</f>
        <v>north texas</v>
      </c>
      <c r="W821" s="424">
        <v>30</v>
      </c>
      <c r="X821" s="352" t="str">
        <f>UPPER(+F821)</f>
        <v>RICE</v>
      </c>
      <c r="Y821" s="425">
        <v>24</v>
      </c>
    </row>
    <row r="822" spans="1:25" ht="16" x14ac:dyDescent="0.8">
      <c r="A822" s="351">
        <v>13</v>
      </c>
      <c r="B822" s="420" t="s">
        <v>34</v>
      </c>
      <c r="C822" s="421">
        <v>44891</v>
      </c>
      <c r="D822" s="414">
        <f>15.5/24</f>
        <v>0.64583333333333337</v>
      </c>
      <c r="E822" s="349"/>
      <c r="F822" s="420" t="s">
        <v>153</v>
      </c>
      <c r="G822" s="349" t="s">
        <v>39</v>
      </c>
      <c r="H822" s="420" t="s">
        <v>175</v>
      </c>
      <c r="I822" s="349" t="s">
        <v>39</v>
      </c>
      <c r="J822" s="420" t="str">
        <f>H822</f>
        <v>UT San Antonio</v>
      </c>
      <c r="K822" s="379" t="str">
        <f t="shared" si="255"/>
        <v>UTEP</v>
      </c>
      <c r="L822" s="422">
        <v>17</v>
      </c>
      <c r="M822" s="418">
        <v>56</v>
      </c>
      <c r="N822" s="351" t="str">
        <f>H822</f>
        <v>UT San Antonio</v>
      </c>
      <c r="O822" s="423">
        <v>34</v>
      </c>
      <c r="P822" s="436" t="str">
        <f t="shared" si="256"/>
        <v>UTEP</v>
      </c>
      <c r="Q822" s="408">
        <v>31</v>
      </c>
      <c r="R822" s="494" t="str">
        <f t="shared" si="257"/>
        <v>UTEP</v>
      </c>
      <c r="S822" s="494" t="str">
        <f t="shared" si="258"/>
        <v>UT San Antonio</v>
      </c>
      <c r="T822" s="356" t="str">
        <f>K822</f>
        <v>UTEP</v>
      </c>
      <c r="U822" s="665" t="str">
        <f t="shared" si="259"/>
        <v>W</v>
      </c>
      <c r="V822" s="352" t="str">
        <f>LOWER(+H822)</f>
        <v>ut san antonio</v>
      </c>
      <c r="W822" s="424">
        <v>44</v>
      </c>
      <c r="X822" s="352" t="str">
        <f>UPPER(+F822)</f>
        <v>UTEP</v>
      </c>
      <c r="Y822" s="425">
        <v>23</v>
      </c>
    </row>
    <row r="823" spans="1:25" ht="16" x14ac:dyDescent="0.8">
      <c r="A823" s="351">
        <v>13</v>
      </c>
      <c r="B823" s="420" t="s">
        <v>34</v>
      </c>
      <c r="C823" s="421">
        <v>44891</v>
      </c>
      <c r="D823" s="414">
        <f>12/24</f>
        <v>0.5</v>
      </c>
      <c r="E823" s="349"/>
      <c r="F823" s="420" t="s">
        <v>78</v>
      </c>
      <c r="G823" s="349" t="s">
        <v>43</v>
      </c>
      <c r="H823" s="420" t="s">
        <v>306</v>
      </c>
      <c r="I823" s="349" t="s">
        <v>43</v>
      </c>
      <c r="J823" s="420" t="str">
        <f>H823</f>
        <v>Liberty</v>
      </c>
      <c r="K823" s="379" t="str">
        <f t="shared" si="255"/>
        <v>New Mexico State</v>
      </c>
      <c r="L823" s="422">
        <v>24</v>
      </c>
      <c r="M823" s="418">
        <v>50.5</v>
      </c>
      <c r="N823" s="351" t="str">
        <f>F823</f>
        <v>New Mexico State</v>
      </c>
      <c r="O823" s="423">
        <v>49</v>
      </c>
      <c r="P823" s="436" t="str">
        <f t="shared" si="256"/>
        <v>Liberty</v>
      </c>
      <c r="Q823" s="408">
        <v>14</v>
      </c>
      <c r="R823" s="494" t="str">
        <f t="shared" si="257"/>
        <v>New Mexico State</v>
      </c>
      <c r="S823" s="494" t="str">
        <f t="shared" si="258"/>
        <v>Liberty</v>
      </c>
      <c r="T823" s="356" t="str">
        <f>J823</f>
        <v>Liberty</v>
      </c>
      <c r="U823" s="665" t="str">
        <f t="shared" si="259"/>
        <v>L</v>
      </c>
      <c r="W823" s="424"/>
      <c r="X823" s="352" t="s">
        <v>404</v>
      </c>
      <c r="Y823" s="425"/>
    </row>
    <row r="824" spans="1:25" ht="16" x14ac:dyDescent="0.8">
      <c r="A824" s="351">
        <v>13</v>
      </c>
      <c r="B824" s="420" t="s">
        <v>34</v>
      </c>
      <c r="C824" s="421">
        <v>44891</v>
      </c>
      <c r="D824" s="414">
        <f>12/24</f>
        <v>0.5</v>
      </c>
      <c r="E824" s="349"/>
      <c r="F824" s="420" t="s">
        <v>99</v>
      </c>
      <c r="G824" s="349" t="s">
        <v>43</v>
      </c>
      <c r="H824" s="420" t="s">
        <v>46</v>
      </c>
      <c r="I824" s="349" t="s">
        <v>43</v>
      </c>
      <c r="J824" s="420" t="str">
        <f>F824</f>
        <v>Army</v>
      </c>
      <c r="K824" s="379" t="str">
        <f t="shared" si="255"/>
        <v>Massachusetts</v>
      </c>
      <c r="L824" s="422">
        <v>19.5</v>
      </c>
      <c r="M824" s="418">
        <v>45</v>
      </c>
      <c r="N824" s="351" t="str">
        <f>F824</f>
        <v>Army</v>
      </c>
      <c r="O824" s="423">
        <v>44</v>
      </c>
      <c r="P824" s="436" t="str">
        <f t="shared" si="256"/>
        <v>Massachusetts</v>
      </c>
      <c r="Q824" s="408">
        <v>7</v>
      </c>
      <c r="R824" s="494" t="str">
        <f t="shared" si="257"/>
        <v>Army</v>
      </c>
      <c r="S824" s="494" t="str">
        <f t="shared" si="258"/>
        <v>Massachusetts</v>
      </c>
      <c r="T824" s="356" t="str">
        <f>K824</f>
        <v>Massachusetts</v>
      </c>
      <c r="U824" s="665" t="str">
        <f t="shared" si="259"/>
        <v>L</v>
      </c>
      <c r="V824" s="352" t="str">
        <f>UPPER(+F824)</f>
        <v>ARMY</v>
      </c>
      <c r="W824" s="424">
        <v>33</v>
      </c>
      <c r="X824" s="352" t="str">
        <f>LOWER(+H824)</f>
        <v>massachusetts</v>
      </c>
      <c r="Y824" s="425">
        <v>17</v>
      </c>
    </row>
    <row r="825" spans="1:25" ht="16" x14ac:dyDescent="0.8">
      <c r="A825" s="351">
        <v>13</v>
      </c>
      <c r="B825" s="420" t="s">
        <v>34</v>
      </c>
      <c r="C825" s="421">
        <v>44891</v>
      </c>
      <c r="D825" s="414">
        <f>13/24</f>
        <v>0.54166666666666663</v>
      </c>
      <c r="E825" s="349"/>
      <c r="F825" s="420" t="s">
        <v>113</v>
      </c>
      <c r="G825" s="349" t="s">
        <v>68</v>
      </c>
      <c r="H825" s="420" t="s">
        <v>67</v>
      </c>
      <c r="I825" s="349" t="s">
        <v>68</v>
      </c>
      <c r="J825" s="420" t="str">
        <f>H825</f>
        <v>Buffalo</v>
      </c>
      <c r="K825" s="379" t="str">
        <f t="shared" si="255"/>
        <v>Kent State</v>
      </c>
      <c r="L825" s="422">
        <v>4.5</v>
      </c>
      <c r="M825" s="418">
        <v>52.5</v>
      </c>
      <c r="N825" s="351" t="str">
        <f>F825</f>
        <v>Kent State</v>
      </c>
      <c r="O825" s="423">
        <v>30</v>
      </c>
      <c r="P825" s="436" t="str">
        <f t="shared" si="256"/>
        <v>Buffalo</v>
      </c>
      <c r="Q825" s="408">
        <v>27</v>
      </c>
      <c r="R825" s="494" t="str">
        <f t="shared" si="257"/>
        <v>Kent State</v>
      </c>
      <c r="S825" s="494" t="str">
        <f t="shared" si="258"/>
        <v>Buffalo</v>
      </c>
      <c r="T825" s="356" t="str">
        <f>J825</f>
        <v>Buffalo</v>
      </c>
      <c r="U825" s="665" t="str">
        <f t="shared" si="259"/>
        <v>L</v>
      </c>
      <c r="V825" s="352" t="str">
        <f>UPPER(+F825)</f>
        <v>KENT STATE</v>
      </c>
      <c r="W825" s="424">
        <v>48</v>
      </c>
      <c r="X825" s="352" t="str">
        <f>LOWER(+H825)</f>
        <v>buffalo</v>
      </c>
      <c r="Y825" s="425">
        <v>38</v>
      </c>
    </row>
    <row r="826" spans="1:25" ht="16" x14ac:dyDescent="0.8">
      <c r="A826" s="351">
        <v>13</v>
      </c>
      <c r="B826" s="420" t="s">
        <v>395</v>
      </c>
      <c r="C826" s="421">
        <v>44887</v>
      </c>
      <c r="D826" s="414">
        <f>19/24</f>
        <v>0.79166666666666663</v>
      </c>
      <c r="E826" s="349"/>
      <c r="F826" s="420" t="s">
        <v>131</v>
      </c>
      <c r="G826" s="349" t="s">
        <v>68</v>
      </c>
      <c r="H826" s="420" t="s">
        <v>162</v>
      </c>
      <c r="I826" s="349" t="s">
        <v>68</v>
      </c>
      <c r="J826" s="420" t="str">
        <f>H826</f>
        <v>Miami (OH)</v>
      </c>
      <c r="K826" s="379" t="str">
        <f t="shared" ref="K826:K847" si="261">IF(+J826=H826,F826,H826)</f>
        <v>Ball State</v>
      </c>
      <c r="L826" s="422">
        <v>2.5</v>
      </c>
      <c r="M826" s="418">
        <v>44.5</v>
      </c>
      <c r="N826" s="351" t="str">
        <f>H826</f>
        <v>Miami (OH)</v>
      </c>
      <c r="O826" s="423">
        <v>18</v>
      </c>
      <c r="P826" s="436" t="str">
        <f t="shared" ref="P826:P848" si="262">IF(+N826=H826,F826,H826)</f>
        <v>Ball State</v>
      </c>
      <c r="Q826" s="408">
        <v>17</v>
      </c>
      <c r="R826" s="494" t="str">
        <f t="shared" ref="R826:R847" si="263">IF(+N826=K826,+N826,IF(+O826-Q826&lt;L826,+K826,+J826))</f>
        <v>Ball State</v>
      </c>
      <c r="S826" s="494" t="str">
        <f t="shared" ref="S826:S847" si="264">IF(+R826=J826,+K826,+J826)</f>
        <v>Miami (OH)</v>
      </c>
      <c r="T826" s="356" t="str">
        <f>J826</f>
        <v>Miami (OH)</v>
      </c>
      <c r="U826" s="665" t="str">
        <f t="shared" ref="U826:U847" si="265">IF($N826=$J826,IF($O826-$Q826=$L826,"T",IF($R826=T826,"W","L")),IF($R826=T826,"W","L"))</f>
        <v>L</v>
      </c>
      <c r="V826" s="352" t="str">
        <f>LOWER(+H826)</f>
        <v>miami (oh)</v>
      </c>
      <c r="W826" s="424">
        <v>24</v>
      </c>
      <c r="X826" s="352" t="str">
        <f>UPPER(+F826)</f>
        <v>BALL STATE</v>
      </c>
      <c r="Y826" s="425">
        <v>17</v>
      </c>
    </row>
    <row r="827" spans="1:25" ht="16" x14ac:dyDescent="0.8">
      <c r="A827" s="351">
        <v>13</v>
      </c>
      <c r="B827" s="420" t="s">
        <v>34</v>
      </c>
      <c r="C827" s="421">
        <v>44891</v>
      </c>
      <c r="D827" s="414">
        <f>13.5/24</f>
        <v>0.5625</v>
      </c>
      <c r="E827" s="349"/>
      <c r="F827" s="420" t="s">
        <v>144</v>
      </c>
      <c r="G827" s="349" t="s">
        <v>68</v>
      </c>
      <c r="H827" s="420" t="s">
        <v>103</v>
      </c>
      <c r="I827" s="349" t="s">
        <v>68</v>
      </c>
      <c r="J827" s="420" t="str">
        <f>H827</f>
        <v>Northern Illinois</v>
      </c>
      <c r="K827" s="379" t="str">
        <f t="shared" si="261"/>
        <v>Akron</v>
      </c>
      <c r="L827" s="422">
        <v>10</v>
      </c>
      <c r="M827" s="418">
        <v>53</v>
      </c>
      <c r="N827" s="351" t="str">
        <f>F827</f>
        <v>Akron</v>
      </c>
      <c r="O827" s="423">
        <v>44</v>
      </c>
      <c r="P827" s="436" t="str">
        <f t="shared" si="262"/>
        <v>Northern Illinois</v>
      </c>
      <c r="Q827" s="408">
        <v>12</v>
      </c>
      <c r="R827" s="494" t="str">
        <f t="shared" si="263"/>
        <v>Akron</v>
      </c>
      <c r="S827" s="494" t="str">
        <f t="shared" si="264"/>
        <v>Northern Illinois</v>
      </c>
      <c r="T827" s="356" t="str">
        <f>J827</f>
        <v>Northern Illinois</v>
      </c>
      <c r="U827" s="665" t="str">
        <f t="shared" si="265"/>
        <v>L</v>
      </c>
      <c r="W827" s="424"/>
      <c r="X827" s="352" t="s">
        <v>404</v>
      </c>
      <c r="Y827" s="425"/>
    </row>
    <row r="828" spans="1:25" ht="16" x14ac:dyDescent="0.8">
      <c r="A828" s="351">
        <v>13</v>
      </c>
      <c r="B828" s="420" t="s">
        <v>395</v>
      </c>
      <c r="C828" s="421">
        <v>44887</v>
      </c>
      <c r="D828" s="414">
        <f>19/24</f>
        <v>0.79166666666666663</v>
      </c>
      <c r="E828" s="349"/>
      <c r="F828" s="420" t="s">
        <v>138</v>
      </c>
      <c r="G828" s="349" t="s">
        <v>68</v>
      </c>
      <c r="H828" s="420" t="s">
        <v>182</v>
      </c>
      <c r="I828" s="349" t="s">
        <v>68</v>
      </c>
      <c r="J828" s="420" t="str">
        <f>H828</f>
        <v>Ohio</v>
      </c>
      <c r="K828" s="379" t="str">
        <f t="shared" si="261"/>
        <v>Bowling Green</v>
      </c>
      <c r="L828" s="422">
        <v>6.5</v>
      </c>
      <c r="M828" s="418">
        <v>51.5</v>
      </c>
      <c r="N828" s="351" t="str">
        <f>H828</f>
        <v>Ohio</v>
      </c>
      <c r="O828" s="423">
        <v>38</v>
      </c>
      <c r="P828" s="436" t="str">
        <f t="shared" si="262"/>
        <v>Bowling Green</v>
      </c>
      <c r="Q828" s="408">
        <v>14</v>
      </c>
      <c r="R828" s="494" t="str">
        <f t="shared" si="263"/>
        <v>Ohio</v>
      </c>
      <c r="S828" s="494" t="str">
        <f t="shared" si="264"/>
        <v>Bowling Green</v>
      </c>
      <c r="T828" s="356" t="str">
        <f>K828</f>
        <v>Bowling Green</v>
      </c>
      <c r="U828" s="665" t="str">
        <f t="shared" si="265"/>
        <v>L</v>
      </c>
      <c r="V828" s="352" t="str">
        <f>UPPER(+F828)</f>
        <v>BOWLING GREEN</v>
      </c>
      <c r="W828" s="424">
        <v>21</v>
      </c>
      <c r="X828" s="352" t="str">
        <f>LOWER(+H828)</f>
        <v>ohio</v>
      </c>
      <c r="Y828" s="425">
        <v>10</v>
      </c>
    </row>
    <row r="829" spans="1:25" ht="16" x14ac:dyDescent="0.8">
      <c r="A829" s="351">
        <v>13</v>
      </c>
      <c r="B829" s="420" t="s">
        <v>34</v>
      </c>
      <c r="C829" s="421">
        <v>44891</v>
      </c>
      <c r="D829" s="414">
        <f>21/24</f>
        <v>0.875</v>
      </c>
      <c r="E829" s="349" t="s">
        <v>445</v>
      </c>
      <c r="F829" s="420" t="s">
        <v>184</v>
      </c>
      <c r="G829" s="349" t="s">
        <v>45</v>
      </c>
      <c r="H829" s="420" t="s">
        <v>193</v>
      </c>
      <c r="I829" s="349" t="s">
        <v>45</v>
      </c>
      <c r="J829" s="420" t="str">
        <f>F829</f>
        <v>Air Force</v>
      </c>
      <c r="K829" s="379" t="str">
        <f t="shared" si="261"/>
        <v>San Diego State</v>
      </c>
      <c r="L829" s="422">
        <v>1.5</v>
      </c>
      <c r="M829" s="418">
        <v>42.5</v>
      </c>
      <c r="N829" s="351" t="str">
        <f>F829</f>
        <v>Air Force</v>
      </c>
      <c r="O829" s="423">
        <v>13</v>
      </c>
      <c r="P829" s="436" t="str">
        <f t="shared" si="262"/>
        <v>San Diego State</v>
      </c>
      <c r="Q829" s="408">
        <v>3</v>
      </c>
      <c r="R829" s="494" t="str">
        <f t="shared" si="263"/>
        <v>Air Force</v>
      </c>
      <c r="S829" s="494" t="str">
        <f t="shared" si="264"/>
        <v>San Diego State</v>
      </c>
      <c r="T829" s="356" t="str">
        <f>J829</f>
        <v>Air Force</v>
      </c>
      <c r="U829" s="665" t="str">
        <f t="shared" si="265"/>
        <v>W</v>
      </c>
      <c r="V829" s="352" t="str">
        <f>LOWER(+H829)</f>
        <v>san diego state</v>
      </c>
      <c r="W829" s="424">
        <v>20</v>
      </c>
      <c r="X829" s="352" t="str">
        <f>UPPER(+F829)</f>
        <v>AIR FORCE</v>
      </c>
      <c r="Y829" s="425">
        <v>14</v>
      </c>
    </row>
    <row r="830" spans="1:25" ht="16" x14ac:dyDescent="0.8">
      <c r="A830" s="351">
        <v>13</v>
      </c>
      <c r="B830" s="420" t="s">
        <v>34</v>
      </c>
      <c r="C830" s="421">
        <v>44891</v>
      </c>
      <c r="D830" s="414">
        <f>15.5/24</f>
        <v>0.64583333333333337</v>
      </c>
      <c r="E830" s="349"/>
      <c r="F830" s="420" t="s">
        <v>44</v>
      </c>
      <c r="G830" s="349" t="s">
        <v>45</v>
      </c>
      <c r="H830" s="420" t="s">
        <v>51</v>
      </c>
      <c r="I830" s="349" t="s">
        <v>45</v>
      </c>
      <c r="J830" s="420" t="str">
        <f>H830</f>
        <v>San Jose State</v>
      </c>
      <c r="K830" s="379" t="str">
        <f t="shared" si="261"/>
        <v>Hawaii</v>
      </c>
      <c r="L830" s="422">
        <v>15</v>
      </c>
      <c r="M830" s="418">
        <v>57.5</v>
      </c>
      <c r="N830" s="351" t="str">
        <f>H830</f>
        <v>San Jose State</v>
      </c>
      <c r="O830" s="423">
        <v>27</v>
      </c>
      <c r="P830" s="436" t="str">
        <f t="shared" si="262"/>
        <v>Hawaii</v>
      </c>
      <c r="Q830" s="408">
        <v>14</v>
      </c>
      <c r="R830" s="494" t="str">
        <f t="shared" si="263"/>
        <v>Hawaii</v>
      </c>
      <c r="S830" s="494" t="str">
        <f t="shared" si="264"/>
        <v>San Jose State</v>
      </c>
      <c r="T830" s="356" t="str">
        <f>K830</f>
        <v>Hawaii</v>
      </c>
      <c r="U830" s="665" t="str">
        <f t="shared" si="265"/>
        <v>W</v>
      </c>
      <c r="V830" s="352" t="str">
        <f>LOWER(+H830)</f>
        <v>san jose state</v>
      </c>
      <c r="W830" s="424">
        <v>17</v>
      </c>
      <c r="X830" s="352" t="str">
        <f>UPPER(+F830)</f>
        <v>HAWAII</v>
      </c>
      <c r="Y830" s="425">
        <v>13</v>
      </c>
    </row>
    <row r="831" spans="1:25" ht="16" x14ac:dyDescent="0.8">
      <c r="A831" s="351">
        <v>13</v>
      </c>
      <c r="B831" s="420" t="s">
        <v>34</v>
      </c>
      <c r="C831" s="421">
        <v>44891</v>
      </c>
      <c r="D831" s="414">
        <f>18/24</f>
        <v>0.75</v>
      </c>
      <c r="E831" s="349"/>
      <c r="F831" s="420" t="s">
        <v>142</v>
      </c>
      <c r="G831" s="349" t="s">
        <v>45</v>
      </c>
      <c r="H831" s="420" t="s">
        <v>196</v>
      </c>
      <c r="I831" s="349" t="s">
        <v>45</v>
      </c>
      <c r="J831" s="420" t="str">
        <f>F831</f>
        <v>Nevada</v>
      </c>
      <c r="K831" s="379" t="str">
        <f t="shared" si="261"/>
        <v>UNLV</v>
      </c>
      <c r="L831" s="422">
        <v>12</v>
      </c>
      <c r="M831" s="418">
        <v>49</v>
      </c>
      <c r="N831" s="351" t="str">
        <f>H831</f>
        <v>UNLV</v>
      </c>
      <c r="O831" s="423">
        <v>27</v>
      </c>
      <c r="P831" s="436" t="str">
        <f t="shared" si="262"/>
        <v>Nevada</v>
      </c>
      <c r="Q831" s="408">
        <v>22</v>
      </c>
      <c r="R831" s="494" t="str">
        <f t="shared" si="263"/>
        <v>UNLV</v>
      </c>
      <c r="S831" s="494" t="str">
        <f t="shared" si="264"/>
        <v>Nevada</v>
      </c>
      <c r="T831" s="356" t="str">
        <f>J831</f>
        <v>Nevada</v>
      </c>
      <c r="U831" s="665" t="str">
        <f t="shared" si="265"/>
        <v>L</v>
      </c>
      <c r="V831" s="352" t="str">
        <f>UPPER(+F831)</f>
        <v>NEVADA</v>
      </c>
      <c r="W831" s="424">
        <v>51</v>
      </c>
      <c r="X831" s="352" t="str">
        <f>LOWER(+H831)</f>
        <v>unlv</v>
      </c>
      <c r="Y831" s="425">
        <v>20</v>
      </c>
    </row>
    <row r="832" spans="1:25" ht="16" x14ac:dyDescent="0.8">
      <c r="A832" s="351">
        <v>13</v>
      </c>
      <c r="B832" s="420" t="s">
        <v>34</v>
      </c>
      <c r="C832" s="421">
        <v>44891</v>
      </c>
      <c r="D832" s="414">
        <f>16/24</f>
        <v>0.66666666666666663</v>
      </c>
      <c r="E832" s="349" t="s">
        <v>446</v>
      </c>
      <c r="F832" s="420" t="s">
        <v>81</v>
      </c>
      <c r="G832" s="349" t="s">
        <v>37</v>
      </c>
      <c r="H832" s="420" t="s">
        <v>104</v>
      </c>
      <c r="I832" s="349" t="s">
        <v>37</v>
      </c>
      <c r="J832" s="420" t="str">
        <f>F832</f>
        <v>Utah</v>
      </c>
      <c r="K832" s="379" t="str">
        <f t="shared" si="261"/>
        <v>Colorado</v>
      </c>
      <c r="L832" s="422">
        <v>30</v>
      </c>
      <c r="M832" s="418">
        <v>52</v>
      </c>
      <c r="N832" s="351" t="str">
        <f>F832</f>
        <v>Utah</v>
      </c>
      <c r="O832" s="423">
        <v>63</v>
      </c>
      <c r="P832" s="436" t="str">
        <f t="shared" si="262"/>
        <v>Colorado</v>
      </c>
      <c r="Q832" s="408">
        <v>21</v>
      </c>
      <c r="R832" s="494" t="str">
        <f t="shared" si="263"/>
        <v>Utah</v>
      </c>
      <c r="S832" s="494" t="str">
        <f t="shared" si="264"/>
        <v>Colorado</v>
      </c>
      <c r="T832" s="356" t="str">
        <f>K832</f>
        <v>Colorado</v>
      </c>
      <c r="U832" s="665" t="str">
        <f t="shared" si="265"/>
        <v>L</v>
      </c>
      <c r="V832" s="352" t="str">
        <f>UPPER(+F832)</f>
        <v>UTAH</v>
      </c>
      <c r="W832" s="424">
        <v>28</v>
      </c>
      <c r="X832" s="352" t="str">
        <f>LOWER(+H832)</f>
        <v>colorado</v>
      </c>
      <c r="Y832" s="425">
        <v>13</v>
      </c>
    </row>
    <row r="833" spans="1:25" ht="16" x14ac:dyDescent="0.8">
      <c r="A833" s="351">
        <v>13</v>
      </c>
      <c r="B833" s="420" t="s">
        <v>34</v>
      </c>
      <c r="C833" s="421">
        <v>44891</v>
      </c>
      <c r="D833" s="414">
        <f>15.5/24</f>
        <v>0.64583333333333337</v>
      </c>
      <c r="E833" s="349" t="s">
        <v>135</v>
      </c>
      <c r="F833" s="420" t="s">
        <v>200</v>
      </c>
      <c r="G833" s="349" t="s">
        <v>37</v>
      </c>
      <c r="H833" s="420" t="s">
        <v>47</v>
      </c>
      <c r="I833" s="349" t="s">
        <v>37</v>
      </c>
      <c r="J833" s="420" t="str">
        <f>F833</f>
        <v>Oregon</v>
      </c>
      <c r="K833" s="379" t="str">
        <f t="shared" si="261"/>
        <v>Oregon State</v>
      </c>
      <c r="L833" s="422">
        <v>3</v>
      </c>
      <c r="M833" s="418">
        <v>59</v>
      </c>
      <c r="N833" s="351" t="str">
        <f>H833</f>
        <v>Oregon State</v>
      </c>
      <c r="O833" s="423">
        <v>38</v>
      </c>
      <c r="P833" s="436" t="str">
        <f t="shared" si="262"/>
        <v>Oregon</v>
      </c>
      <c r="Q833" s="408">
        <v>34</v>
      </c>
      <c r="R833" s="494" t="str">
        <f t="shared" si="263"/>
        <v>Oregon State</v>
      </c>
      <c r="S833" s="494" t="str">
        <f t="shared" si="264"/>
        <v>Oregon</v>
      </c>
      <c r="T833" s="356" t="str">
        <f>K833</f>
        <v>Oregon State</v>
      </c>
      <c r="U833" s="665" t="str">
        <f t="shared" si="265"/>
        <v>W</v>
      </c>
      <c r="V833" s="352" t="str">
        <f>UPPER(+F833)</f>
        <v>OREGON</v>
      </c>
      <c r="W833" s="424">
        <v>38</v>
      </c>
      <c r="X833" s="352" t="str">
        <f>LOWER(+H833)</f>
        <v>oregon state</v>
      </c>
      <c r="Y833" s="425">
        <v>29</v>
      </c>
    </row>
    <row r="834" spans="1:25" ht="16" x14ac:dyDescent="0.8">
      <c r="A834" s="351">
        <v>13</v>
      </c>
      <c r="B834" s="420" t="s">
        <v>34</v>
      </c>
      <c r="C834" s="421">
        <v>44891</v>
      </c>
      <c r="D834" s="414">
        <f>19.5/24</f>
        <v>0.8125</v>
      </c>
      <c r="E834" s="349" t="s">
        <v>135</v>
      </c>
      <c r="F834" s="420" t="s">
        <v>181</v>
      </c>
      <c r="G834" s="349" t="s">
        <v>43</v>
      </c>
      <c r="H834" s="420" t="s">
        <v>202</v>
      </c>
      <c r="I834" s="349" t="s">
        <v>37</v>
      </c>
      <c r="J834" s="420" t="str">
        <f>H834</f>
        <v>Southern Cal</v>
      </c>
      <c r="K834" s="379" t="str">
        <f t="shared" si="261"/>
        <v>Notre Dame</v>
      </c>
      <c r="L834" s="422">
        <v>4.5</v>
      </c>
      <c r="M834" s="418">
        <v>64.5</v>
      </c>
      <c r="N834" s="351" t="str">
        <f>H834</f>
        <v>Southern Cal</v>
      </c>
      <c r="O834" s="423">
        <v>38</v>
      </c>
      <c r="P834" s="436" t="str">
        <f t="shared" si="262"/>
        <v>Notre Dame</v>
      </c>
      <c r="Q834" s="408">
        <v>27</v>
      </c>
      <c r="R834" s="494" t="str">
        <f t="shared" si="263"/>
        <v>Southern Cal</v>
      </c>
      <c r="S834" s="494" t="str">
        <f t="shared" si="264"/>
        <v>Notre Dame</v>
      </c>
      <c r="T834" s="356" t="str">
        <f>K834</f>
        <v>Notre Dame</v>
      </c>
      <c r="U834" s="665" t="str">
        <f t="shared" si="265"/>
        <v>L</v>
      </c>
      <c r="V834" s="352" t="str">
        <f>UPPER(+F834)</f>
        <v>NOTRE DAME</v>
      </c>
      <c r="W834" s="424">
        <v>31</v>
      </c>
      <c r="X834" s="352" t="str">
        <f>LOWER(+H834)</f>
        <v>southern cal</v>
      </c>
      <c r="Y834" s="425">
        <v>16</v>
      </c>
    </row>
    <row r="835" spans="1:25" ht="16" x14ac:dyDescent="0.8">
      <c r="A835" s="351">
        <v>13</v>
      </c>
      <c r="B835" s="420" t="s">
        <v>34</v>
      </c>
      <c r="C835" s="421">
        <v>44891</v>
      </c>
      <c r="D835" s="414">
        <f>23/24</f>
        <v>0.95833333333333337</v>
      </c>
      <c r="E835" s="349" t="s">
        <v>70</v>
      </c>
      <c r="F835" s="420" t="s">
        <v>42</v>
      </c>
      <c r="G835" s="349" t="s">
        <v>43</v>
      </c>
      <c r="H835" s="420" t="s">
        <v>36</v>
      </c>
      <c r="I835" s="349" t="s">
        <v>37</v>
      </c>
      <c r="J835" s="420" t="str">
        <f>F835</f>
        <v>BYU</v>
      </c>
      <c r="K835" s="379" t="str">
        <f t="shared" si="261"/>
        <v>Stanford</v>
      </c>
      <c r="L835" s="422">
        <v>6.5</v>
      </c>
      <c r="M835" s="418">
        <v>57.5</v>
      </c>
      <c r="N835" s="351" t="str">
        <f>F835</f>
        <v>BYU</v>
      </c>
      <c r="O835" s="423">
        <v>35</v>
      </c>
      <c r="P835" s="436" t="str">
        <f t="shared" si="262"/>
        <v>Stanford</v>
      </c>
      <c r="Q835" s="408">
        <v>26</v>
      </c>
      <c r="R835" s="494" t="str">
        <f t="shared" si="263"/>
        <v>BYU</v>
      </c>
      <c r="S835" s="494" t="str">
        <f t="shared" si="264"/>
        <v>Stanford</v>
      </c>
      <c r="T835" s="356" t="str">
        <f>J835</f>
        <v>BYU</v>
      </c>
      <c r="U835" s="665" t="str">
        <f t="shared" si="265"/>
        <v>W</v>
      </c>
      <c r="W835" s="424"/>
      <c r="X835" s="352" t="s">
        <v>404</v>
      </c>
      <c r="Y835" s="425"/>
    </row>
    <row r="836" spans="1:25" ht="16" x14ac:dyDescent="0.8">
      <c r="A836" s="351">
        <v>13</v>
      </c>
      <c r="B836" s="420" t="s">
        <v>34</v>
      </c>
      <c r="C836" s="421">
        <v>44891</v>
      </c>
      <c r="D836" s="414">
        <f>22.5/24</f>
        <v>0.9375</v>
      </c>
      <c r="E836" s="349" t="s">
        <v>35</v>
      </c>
      <c r="F836" s="420" t="s">
        <v>91</v>
      </c>
      <c r="G836" s="349" t="s">
        <v>37</v>
      </c>
      <c r="H836" s="420" t="s">
        <v>204</v>
      </c>
      <c r="I836" s="349" t="s">
        <v>37</v>
      </c>
      <c r="J836" s="420" t="str">
        <f>F836</f>
        <v>Washington</v>
      </c>
      <c r="K836" s="379" t="str">
        <f t="shared" si="261"/>
        <v>Washington State</v>
      </c>
      <c r="L836" s="422">
        <v>2</v>
      </c>
      <c r="M836" s="418">
        <v>60</v>
      </c>
      <c r="N836" s="351" t="str">
        <f>F836</f>
        <v>Washington</v>
      </c>
      <c r="O836" s="423">
        <v>51</v>
      </c>
      <c r="P836" s="436" t="str">
        <f t="shared" si="262"/>
        <v>Washington State</v>
      </c>
      <c r="Q836" s="408">
        <v>33</v>
      </c>
      <c r="R836" s="494" t="str">
        <f t="shared" si="263"/>
        <v>Washington</v>
      </c>
      <c r="S836" s="494" t="str">
        <f t="shared" si="264"/>
        <v>Washington State</v>
      </c>
      <c r="T836" s="356" t="str">
        <f>K836</f>
        <v>Washington State</v>
      </c>
      <c r="U836" s="665" t="str">
        <f t="shared" si="265"/>
        <v>L</v>
      </c>
      <c r="V836" s="352" t="str">
        <f>LOWER(+H836)</f>
        <v>washington state</v>
      </c>
      <c r="W836" s="424">
        <v>40</v>
      </c>
      <c r="X836" s="352" t="str">
        <f>UPPER(+F836)</f>
        <v>WASHINGTON</v>
      </c>
      <c r="Y836" s="425">
        <v>13</v>
      </c>
    </row>
    <row r="837" spans="1:25" ht="16" x14ac:dyDescent="0.8">
      <c r="A837" s="351">
        <v>13</v>
      </c>
      <c r="B837" s="420" t="s">
        <v>34</v>
      </c>
      <c r="C837" s="421">
        <v>44891</v>
      </c>
      <c r="D837" s="414">
        <f>15.5/24</f>
        <v>0.64583333333333337</v>
      </c>
      <c r="E837" s="349" t="s">
        <v>95</v>
      </c>
      <c r="F837" s="420" t="s">
        <v>185</v>
      </c>
      <c r="G837" s="349" t="s">
        <v>59</v>
      </c>
      <c r="H837" s="420" t="s">
        <v>140</v>
      </c>
      <c r="I837" s="349" t="s">
        <v>59</v>
      </c>
      <c r="J837" s="420" t="str">
        <f>F837</f>
        <v>Troy</v>
      </c>
      <c r="K837" s="379" t="str">
        <f t="shared" si="261"/>
        <v>Arkansas State</v>
      </c>
      <c r="L837" s="422">
        <v>13.5</v>
      </c>
      <c r="M837" s="418">
        <v>45.5</v>
      </c>
      <c r="N837" s="351" t="str">
        <f>F837</f>
        <v>Troy</v>
      </c>
      <c r="O837" s="423">
        <v>48</v>
      </c>
      <c r="P837" s="436" t="str">
        <f t="shared" si="262"/>
        <v>Arkansas State</v>
      </c>
      <c r="Q837" s="408">
        <v>19</v>
      </c>
      <c r="R837" s="494" t="str">
        <f t="shared" si="263"/>
        <v>Troy</v>
      </c>
      <c r="S837" s="494" t="str">
        <f t="shared" si="264"/>
        <v>Arkansas State</v>
      </c>
      <c r="T837" s="356" t="str">
        <f>J837</f>
        <v>Troy</v>
      </c>
      <c r="U837" s="665" t="str">
        <f t="shared" si="265"/>
        <v>W</v>
      </c>
      <c r="W837" s="424"/>
      <c r="X837" s="352" t="s">
        <v>404</v>
      </c>
      <c r="Y837" s="425"/>
    </row>
    <row r="838" spans="1:25" ht="16" x14ac:dyDescent="0.8">
      <c r="A838" s="351">
        <v>13</v>
      </c>
      <c r="B838" s="420" t="s">
        <v>34</v>
      </c>
      <c r="C838" s="421">
        <v>44891</v>
      </c>
      <c r="D838" s="414">
        <f>18/24</f>
        <v>0.75</v>
      </c>
      <c r="E838" s="349"/>
      <c r="F838" s="420" t="s">
        <v>212</v>
      </c>
      <c r="G838" s="349" t="s">
        <v>59</v>
      </c>
      <c r="H838" s="420" t="s">
        <v>210</v>
      </c>
      <c r="I838" s="349" t="s">
        <v>59</v>
      </c>
      <c r="J838" s="420" t="str">
        <f>F838</f>
        <v>Appalachian State</v>
      </c>
      <c r="K838" s="379" t="str">
        <f t="shared" si="261"/>
        <v>Georgia Southern</v>
      </c>
      <c r="L838" s="422">
        <v>5.5</v>
      </c>
      <c r="M838" s="418">
        <v>62.5</v>
      </c>
      <c r="N838" s="351" t="str">
        <f>H838</f>
        <v>Georgia Southern</v>
      </c>
      <c r="O838" s="423">
        <v>51</v>
      </c>
      <c r="P838" s="436" t="str">
        <f t="shared" si="262"/>
        <v>Appalachian State</v>
      </c>
      <c r="Q838" s="408">
        <v>48</v>
      </c>
      <c r="R838" s="494" t="str">
        <f t="shared" si="263"/>
        <v>Georgia Southern</v>
      </c>
      <c r="S838" s="494" t="str">
        <f t="shared" si="264"/>
        <v>Appalachian State</v>
      </c>
      <c r="T838" s="356" t="str">
        <f>J838</f>
        <v>Appalachian State</v>
      </c>
      <c r="U838" s="665" t="str">
        <f t="shared" si="265"/>
        <v>L</v>
      </c>
      <c r="V838" s="352" t="str">
        <f>UPPER(+F838)</f>
        <v>APPALACHIAN STATE</v>
      </c>
      <c r="W838" s="424">
        <v>27</v>
      </c>
      <c r="X838" s="352" t="str">
        <f>LOWER(+H838)</f>
        <v>georgia southern</v>
      </c>
      <c r="Y838" s="425">
        <v>3</v>
      </c>
    </row>
    <row r="839" spans="1:25" ht="16" x14ac:dyDescent="0.8">
      <c r="A839" s="351">
        <v>13</v>
      </c>
      <c r="B839" s="420" t="s">
        <v>34</v>
      </c>
      <c r="C839" s="421">
        <v>44891</v>
      </c>
      <c r="D839" s="414">
        <f>12/24</f>
        <v>0.5</v>
      </c>
      <c r="E839" s="349" t="s">
        <v>95</v>
      </c>
      <c r="F839" s="420" t="s">
        <v>205</v>
      </c>
      <c r="G839" s="349" t="s">
        <v>59</v>
      </c>
      <c r="H839" s="420" t="s">
        <v>442</v>
      </c>
      <c r="I839" s="349" t="s">
        <v>59</v>
      </c>
      <c r="J839" s="420" t="str">
        <f>H839</f>
        <v>James Madison</v>
      </c>
      <c r="K839" s="379" t="str">
        <f t="shared" si="261"/>
        <v>Coastal Carolina</v>
      </c>
      <c r="L839" s="422">
        <v>14.5</v>
      </c>
      <c r="M839" s="418">
        <v>53</v>
      </c>
      <c r="N839" s="351" t="str">
        <f>H839</f>
        <v>James Madison</v>
      </c>
      <c r="O839" s="423">
        <v>47</v>
      </c>
      <c r="P839" s="436" t="str">
        <f t="shared" si="262"/>
        <v>Coastal Carolina</v>
      </c>
      <c r="Q839" s="408">
        <v>7</v>
      </c>
      <c r="R839" s="494" t="str">
        <f t="shared" si="263"/>
        <v>James Madison</v>
      </c>
      <c r="S839" s="494" t="str">
        <f t="shared" si="264"/>
        <v>Coastal Carolina</v>
      </c>
      <c r="T839" s="356" t="str">
        <f>K839</f>
        <v>Coastal Carolina</v>
      </c>
      <c r="U839" s="665" t="str">
        <f t="shared" si="265"/>
        <v>L</v>
      </c>
      <c r="W839" s="424"/>
      <c r="X839" s="352" t="s">
        <v>404</v>
      </c>
      <c r="Y839" s="425"/>
    </row>
    <row r="840" spans="1:25" ht="16" x14ac:dyDescent="0.8">
      <c r="A840" s="351">
        <v>13</v>
      </c>
      <c r="B840" s="420" t="s">
        <v>34</v>
      </c>
      <c r="C840" s="421">
        <v>44891</v>
      </c>
      <c r="D840" s="414">
        <f>12/24</f>
        <v>0.5</v>
      </c>
      <c r="E840" s="349"/>
      <c r="F840" s="420" t="s">
        <v>84</v>
      </c>
      <c r="G840" s="349" t="s">
        <v>59</v>
      </c>
      <c r="H840" s="420" t="s">
        <v>163</v>
      </c>
      <c r="I840" s="349" t="s">
        <v>59</v>
      </c>
      <c r="J840" s="420" t="str">
        <f>H840</f>
        <v>Marshall</v>
      </c>
      <c r="K840" s="379" t="str">
        <f t="shared" si="261"/>
        <v>Georgia State</v>
      </c>
      <c r="L840" s="422">
        <v>6</v>
      </c>
      <c r="M840" s="418">
        <v>45.5</v>
      </c>
      <c r="N840" s="351" t="str">
        <f>H840</f>
        <v>Marshall</v>
      </c>
      <c r="O840" s="423">
        <v>28</v>
      </c>
      <c r="P840" s="436" t="str">
        <f t="shared" si="262"/>
        <v>Georgia State</v>
      </c>
      <c r="Q840" s="408">
        <v>23</v>
      </c>
      <c r="R840" s="494" t="str">
        <f t="shared" si="263"/>
        <v>Georgia State</v>
      </c>
      <c r="S840" s="494" t="str">
        <f t="shared" si="264"/>
        <v>Marshall</v>
      </c>
      <c r="T840" s="356" t="str">
        <f>J840</f>
        <v>Marshall</v>
      </c>
      <c r="U840" s="665" t="str">
        <f t="shared" si="265"/>
        <v>L</v>
      </c>
      <c r="V840" s="352" t="str">
        <f>LOWER(+H840)</f>
        <v>marshall</v>
      </c>
      <c r="W840" s="424">
        <v>21</v>
      </c>
      <c r="X840" s="352" t="str">
        <f>UPPER(+F840)</f>
        <v>GEORGIA STATE</v>
      </c>
      <c r="Y840" s="425">
        <v>17</v>
      </c>
    </row>
    <row r="841" spans="1:25" ht="16" x14ac:dyDescent="0.8">
      <c r="A841" s="351">
        <v>13</v>
      </c>
      <c r="B841" s="420" t="s">
        <v>34</v>
      </c>
      <c r="C841" s="421">
        <v>44891</v>
      </c>
      <c r="D841" s="414">
        <f>12/24</f>
        <v>0.5</v>
      </c>
      <c r="E841" s="349"/>
      <c r="F841" s="420" t="s">
        <v>169</v>
      </c>
      <c r="G841" s="349" t="s">
        <v>59</v>
      </c>
      <c r="H841" s="420" t="s">
        <v>214</v>
      </c>
      <c r="I841" s="349" t="s">
        <v>59</v>
      </c>
      <c r="J841" s="420" t="str">
        <f>H841</f>
        <v>South Alabama</v>
      </c>
      <c r="K841" s="379" t="str">
        <f t="shared" si="261"/>
        <v>Old Dominion</v>
      </c>
      <c r="L841" s="422">
        <v>16</v>
      </c>
      <c r="M841" s="418">
        <v>47.5</v>
      </c>
      <c r="N841" s="351" t="str">
        <f>H841</f>
        <v>South Alabama</v>
      </c>
      <c r="O841" s="423">
        <v>27</v>
      </c>
      <c r="P841" s="436" t="str">
        <f t="shared" si="262"/>
        <v>Old Dominion</v>
      </c>
      <c r="Q841" s="408">
        <v>20</v>
      </c>
      <c r="R841" s="494" t="str">
        <f t="shared" si="263"/>
        <v>Old Dominion</v>
      </c>
      <c r="S841" s="494" t="str">
        <f t="shared" si="264"/>
        <v>South Alabama</v>
      </c>
      <c r="T841" s="356" t="str">
        <f>J841</f>
        <v>South Alabama</v>
      </c>
      <c r="U841" s="665" t="str">
        <f t="shared" si="265"/>
        <v>L</v>
      </c>
      <c r="W841" s="424"/>
      <c r="X841" s="352" t="s">
        <v>404</v>
      </c>
      <c r="Y841" s="425"/>
    </row>
    <row r="842" spans="1:25" ht="16" x14ac:dyDescent="0.8">
      <c r="A842" s="351">
        <v>13</v>
      </c>
      <c r="B842" s="420" t="s">
        <v>34</v>
      </c>
      <c r="C842" s="421">
        <v>44891</v>
      </c>
      <c r="D842" s="414">
        <f>17/24</f>
        <v>0.70833333333333337</v>
      </c>
      <c r="E842" s="349"/>
      <c r="F842" s="420" t="s">
        <v>209</v>
      </c>
      <c r="G842" s="349" t="s">
        <v>59</v>
      </c>
      <c r="H842" s="420" t="s">
        <v>207</v>
      </c>
      <c r="I842" s="349" t="s">
        <v>59</v>
      </c>
      <c r="J842" s="420" t="str">
        <f>F842</f>
        <v>UL Lafayette</v>
      </c>
      <c r="K842" s="379" t="str">
        <f t="shared" si="261"/>
        <v>Texas State</v>
      </c>
      <c r="L842" s="422">
        <v>5.5</v>
      </c>
      <c r="M842" s="418">
        <v>45</v>
      </c>
      <c r="N842" s="351" t="str">
        <f>F842</f>
        <v>UL Lafayette</v>
      </c>
      <c r="O842" s="423">
        <v>41</v>
      </c>
      <c r="P842" s="436" t="str">
        <f t="shared" si="262"/>
        <v>Texas State</v>
      </c>
      <c r="Q842" s="408">
        <v>13</v>
      </c>
      <c r="R842" s="494" t="str">
        <f t="shared" si="263"/>
        <v>UL Lafayette</v>
      </c>
      <c r="S842" s="494" t="str">
        <f t="shared" si="264"/>
        <v>Texas State</v>
      </c>
      <c r="T842" s="356" t="str">
        <f>J842</f>
        <v>UL Lafayette</v>
      </c>
      <c r="U842" s="665" t="str">
        <f t="shared" si="265"/>
        <v>W</v>
      </c>
      <c r="V842" s="352" t="str">
        <f>UPPER(+F842)</f>
        <v>UL LAFAYETTE</v>
      </c>
      <c r="W842" s="424">
        <v>45</v>
      </c>
      <c r="X842" s="352" t="str">
        <f>LOWER(+H842)</f>
        <v>texas state</v>
      </c>
      <c r="Y842" s="425">
        <v>0</v>
      </c>
    </row>
    <row r="843" spans="1:25" ht="16" x14ac:dyDescent="0.8">
      <c r="A843" s="351">
        <v>13</v>
      </c>
      <c r="B843" s="420" t="s">
        <v>34</v>
      </c>
      <c r="C843" s="421">
        <v>44891</v>
      </c>
      <c r="D843" s="414">
        <f>17/24</f>
        <v>0.70833333333333337</v>
      </c>
      <c r="E843" s="349"/>
      <c r="F843" s="420" t="s">
        <v>171</v>
      </c>
      <c r="G843" s="349" t="s">
        <v>59</v>
      </c>
      <c r="H843" s="420" t="s">
        <v>58</v>
      </c>
      <c r="I843" s="349" t="s">
        <v>59</v>
      </c>
      <c r="J843" s="420" t="str">
        <f>F843</f>
        <v>Southern Miss</v>
      </c>
      <c r="K843" s="379" t="str">
        <f t="shared" si="261"/>
        <v>UL Monroe</v>
      </c>
      <c r="L843" s="422">
        <v>3.5</v>
      </c>
      <c r="M843" s="418">
        <v>50</v>
      </c>
      <c r="N843" s="351" t="str">
        <f>F843</f>
        <v>Southern Miss</v>
      </c>
      <c r="O843" s="423">
        <v>20</v>
      </c>
      <c r="P843" s="436" t="str">
        <f t="shared" si="262"/>
        <v>UL Monroe</v>
      </c>
      <c r="Q843" s="408">
        <v>10</v>
      </c>
      <c r="R843" s="494" t="str">
        <f t="shared" si="263"/>
        <v>Southern Miss</v>
      </c>
      <c r="S843" s="494" t="str">
        <f t="shared" si="264"/>
        <v>UL Monroe</v>
      </c>
      <c r="T843" s="356" t="str">
        <f>J843</f>
        <v>Southern Miss</v>
      </c>
      <c r="U843" s="665" t="str">
        <f t="shared" si="265"/>
        <v>W</v>
      </c>
      <c r="W843" s="424"/>
      <c r="X843" s="352" t="s">
        <v>404</v>
      </c>
      <c r="Y843" s="425"/>
    </row>
    <row r="844" spans="1:25" ht="16" x14ac:dyDescent="0.8">
      <c r="A844" s="351">
        <v>13</v>
      </c>
      <c r="B844" s="420" t="s">
        <v>34</v>
      </c>
      <c r="C844" s="421">
        <v>44891</v>
      </c>
      <c r="D844" s="414">
        <f>15.5/24</f>
        <v>0.64583333333333337</v>
      </c>
      <c r="E844" s="349" t="s">
        <v>303</v>
      </c>
      <c r="F844" s="420" t="s">
        <v>211</v>
      </c>
      <c r="G844" s="349" t="s">
        <v>85</v>
      </c>
      <c r="H844" s="420" t="s">
        <v>116</v>
      </c>
      <c r="I844" s="349" t="s">
        <v>85</v>
      </c>
      <c r="J844" s="420" t="str">
        <f>H844</f>
        <v>Alabama</v>
      </c>
      <c r="K844" s="379" t="str">
        <f t="shared" si="261"/>
        <v>Auburn</v>
      </c>
      <c r="L844" s="422">
        <v>22.5</v>
      </c>
      <c r="M844" s="418">
        <v>49.5</v>
      </c>
      <c r="N844" s="436" t="str">
        <f>H844</f>
        <v>Alabama</v>
      </c>
      <c r="O844" s="423">
        <v>49</v>
      </c>
      <c r="P844" s="436" t="str">
        <f t="shared" si="262"/>
        <v>Auburn</v>
      </c>
      <c r="Q844" s="408">
        <v>27</v>
      </c>
      <c r="R844" s="494" t="str">
        <f t="shared" si="263"/>
        <v>Auburn</v>
      </c>
      <c r="S844" s="494" t="str">
        <f t="shared" si="264"/>
        <v>Alabama</v>
      </c>
      <c r="T844" s="356" t="str">
        <f>K844</f>
        <v>Auburn</v>
      </c>
      <c r="U844" s="665" t="str">
        <f t="shared" si="265"/>
        <v>W</v>
      </c>
      <c r="V844" s="352" t="str">
        <f>LOWER(+H844)</f>
        <v>alabama</v>
      </c>
      <c r="W844" s="424">
        <v>24</v>
      </c>
      <c r="X844" s="352" t="str">
        <f>UPPER(+F844)</f>
        <v>AUBURN</v>
      </c>
      <c r="Y844" s="425">
        <v>22</v>
      </c>
    </row>
    <row r="845" spans="1:25" ht="16" x14ac:dyDescent="0.8">
      <c r="A845" s="351">
        <v>13</v>
      </c>
      <c r="B845" s="420" t="s">
        <v>34</v>
      </c>
      <c r="C845" s="421">
        <v>44891</v>
      </c>
      <c r="D845" s="414">
        <f>12/24</f>
        <v>0.5</v>
      </c>
      <c r="E845" s="349" t="s">
        <v>35</v>
      </c>
      <c r="F845" s="420" t="s">
        <v>227</v>
      </c>
      <c r="G845" s="349" t="s">
        <v>61</v>
      </c>
      <c r="H845" s="420" t="s">
        <v>213</v>
      </c>
      <c r="I845" s="349" t="s">
        <v>85</v>
      </c>
      <c r="J845" s="420" t="str">
        <f>H845</f>
        <v>Georgia</v>
      </c>
      <c r="K845" s="379" t="str">
        <f t="shared" si="261"/>
        <v>Georgia Tech</v>
      </c>
      <c r="L845" s="422">
        <v>36</v>
      </c>
      <c r="M845" s="418">
        <v>49</v>
      </c>
      <c r="N845" s="351" t="str">
        <f>H845</f>
        <v>Georgia</v>
      </c>
      <c r="O845" s="423">
        <v>37</v>
      </c>
      <c r="P845" s="436" t="str">
        <f t="shared" si="262"/>
        <v>Georgia Tech</v>
      </c>
      <c r="Q845" s="408">
        <v>14</v>
      </c>
      <c r="R845" s="494" t="str">
        <f t="shared" si="263"/>
        <v>Georgia Tech</v>
      </c>
      <c r="S845" s="494" t="str">
        <f t="shared" si="264"/>
        <v>Georgia</v>
      </c>
      <c r="T845" s="356" t="str">
        <f>K845</f>
        <v>Georgia Tech</v>
      </c>
      <c r="U845" s="665" t="str">
        <f t="shared" si="265"/>
        <v>W</v>
      </c>
      <c r="V845" s="352" t="str">
        <f>LOWER(+H845)</f>
        <v>georgia</v>
      </c>
      <c r="W845" s="424">
        <v>45</v>
      </c>
      <c r="X845" s="352" t="str">
        <f>UPPER(+F845)</f>
        <v>GEORGIA TECH</v>
      </c>
      <c r="Y845" s="425">
        <v>0</v>
      </c>
    </row>
    <row r="846" spans="1:25" ht="16" x14ac:dyDescent="0.8">
      <c r="A846" s="351">
        <v>13</v>
      </c>
      <c r="B846" s="420" t="s">
        <v>34</v>
      </c>
      <c r="C846" s="421">
        <v>44891</v>
      </c>
      <c r="D846" s="414">
        <f>15/24</f>
        <v>0.625</v>
      </c>
      <c r="E846" s="349" t="s">
        <v>85</v>
      </c>
      <c r="F846" s="420" t="s">
        <v>120</v>
      </c>
      <c r="G846" s="349" t="s">
        <v>61</v>
      </c>
      <c r="H846" s="420" t="s">
        <v>170</v>
      </c>
      <c r="I846" s="349" t="s">
        <v>85</v>
      </c>
      <c r="J846" s="420" t="str">
        <f>H846</f>
        <v>Kentucky</v>
      </c>
      <c r="K846" s="379" t="str">
        <f t="shared" si="261"/>
        <v>Louisville</v>
      </c>
      <c r="L846" s="422">
        <v>2.5</v>
      </c>
      <c r="M846" s="418">
        <v>43</v>
      </c>
      <c r="N846" s="371" t="str">
        <f>H846</f>
        <v>Kentucky</v>
      </c>
      <c r="O846" s="423">
        <v>26</v>
      </c>
      <c r="P846" s="436" t="str">
        <f t="shared" si="262"/>
        <v>Louisville</v>
      </c>
      <c r="Q846" s="408">
        <v>13</v>
      </c>
      <c r="R846" s="494" t="str">
        <f t="shared" si="263"/>
        <v>Kentucky</v>
      </c>
      <c r="S846" s="494" t="str">
        <f t="shared" si="264"/>
        <v>Louisville</v>
      </c>
      <c r="T846" s="356" t="str">
        <f>J846</f>
        <v>Kentucky</v>
      </c>
      <c r="U846" s="665" t="str">
        <f t="shared" si="265"/>
        <v>W</v>
      </c>
      <c r="V846" s="352" t="str">
        <f>LOWER(+H846)</f>
        <v>kentucky</v>
      </c>
      <c r="W846" s="424">
        <v>52</v>
      </c>
      <c r="X846" s="352" t="str">
        <f>UPPER(+F846)</f>
        <v>LOUISVILLE</v>
      </c>
      <c r="Y846" s="425">
        <v>21</v>
      </c>
    </row>
    <row r="847" spans="1:25" ht="16" x14ac:dyDescent="0.8">
      <c r="A847" s="351">
        <v>13</v>
      </c>
      <c r="B847" s="420" t="s">
        <v>34</v>
      </c>
      <c r="C847" s="421">
        <v>44891</v>
      </c>
      <c r="D847" s="414">
        <f>19/24</f>
        <v>0.79166666666666663</v>
      </c>
      <c r="E847" s="349" t="s">
        <v>35</v>
      </c>
      <c r="F847" s="420" t="s">
        <v>178</v>
      </c>
      <c r="G847" s="349" t="s">
        <v>85</v>
      </c>
      <c r="H847" s="420" t="s">
        <v>223</v>
      </c>
      <c r="I847" s="349" t="s">
        <v>85</v>
      </c>
      <c r="J847" s="420" t="str">
        <f>F847</f>
        <v>LSU</v>
      </c>
      <c r="K847" s="379" t="str">
        <f t="shared" si="261"/>
        <v>Texas A&amp;M</v>
      </c>
      <c r="L847" s="422">
        <v>10</v>
      </c>
      <c r="M847" s="418">
        <v>47.5</v>
      </c>
      <c r="N847" s="436" t="str">
        <f>H847</f>
        <v>Texas A&amp;M</v>
      </c>
      <c r="O847" s="423">
        <v>38</v>
      </c>
      <c r="P847" s="436" t="str">
        <f t="shared" si="262"/>
        <v>LSU</v>
      </c>
      <c r="Q847" s="408">
        <v>23</v>
      </c>
      <c r="R847" s="494" t="str">
        <f t="shared" si="263"/>
        <v>Texas A&amp;M</v>
      </c>
      <c r="S847" s="494" t="str">
        <f t="shared" si="264"/>
        <v>LSU</v>
      </c>
      <c r="T847" s="356" t="str">
        <f>K847</f>
        <v>Texas A&amp;M</v>
      </c>
      <c r="U847" s="665" t="str">
        <f t="shared" si="265"/>
        <v>W</v>
      </c>
      <c r="V847" s="646" t="str">
        <f>UPPER(+F847)</f>
        <v>LSU</v>
      </c>
      <c r="W847" s="647">
        <v>27</v>
      </c>
      <c r="X847" s="646" t="str">
        <f>LOWER(+H847)</f>
        <v>texas a&amp;m</v>
      </c>
      <c r="Y847" s="648">
        <v>24</v>
      </c>
    </row>
    <row r="848" spans="1:25" ht="16" x14ac:dyDescent="0.8">
      <c r="A848" s="351">
        <v>13</v>
      </c>
      <c r="B848" s="420" t="s">
        <v>34</v>
      </c>
      <c r="C848" s="421">
        <v>44891</v>
      </c>
      <c r="D848" s="414">
        <f>19.5/24</f>
        <v>0.8125</v>
      </c>
      <c r="E848" s="349" t="s">
        <v>35</v>
      </c>
      <c r="F848" s="420" t="s">
        <v>226</v>
      </c>
      <c r="G848" s="349" t="s">
        <v>85</v>
      </c>
      <c r="H848" s="420" t="s">
        <v>164</v>
      </c>
      <c r="I848" s="349" t="s">
        <v>85</v>
      </c>
      <c r="J848" s="420" t="str">
        <f>F848</f>
        <v>Tennessee</v>
      </c>
      <c r="K848" s="379" t="str">
        <f>IF(+J848=H848,F848,H848)</f>
        <v>Vanderbilt</v>
      </c>
      <c r="L848" s="422">
        <v>14</v>
      </c>
      <c r="M848" s="418">
        <v>64</v>
      </c>
      <c r="N848" s="436" t="str">
        <f>F848</f>
        <v>Tennessee</v>
      </c>
      <c r="O848" s="423">
        <v>56</v>
      </c>
      <c r="P848" s="436" t="str">
        <f t="shared" si="262"/>
        <v>Vanderbilt</v>
      </c>
      <c r="Q848" s="408">
        <v>0</v>
      </c>
      <c r="R848" s="494" t="str">
        <f>IF(+N848=K848,+N848,IF(+O848-Q848&lt;L848,+K848,+J848))</f>
        <v>Tennessee</v>
      </c>
      <c r="S848" s="494" t="str">
        <f>IF(+R848=J848,+K848,+J848)</f>
        <v>Vanderbilt</v>
      </c>
      <c r="T848" s="356" t="str">
        <f>J848</f>
        <v>Tennessee</v>
      </c>
      <c r="U848" s="665" t="str">
        <f t="shared" ref="U848" si="266">IF($N848=$J848,IF($O848-$Q848=$L848,"T",IF($R848=T848,"W","L")),IF($R848=T848,"W","L"))</f>
        <v>W</v>
      </c>
      <c r="V848" s="352" t="str">
        <f>UPPER(+F848)</f>
        <v>TENNESSEE</v>
      </c>
      <c r="W848" s="424">
        <v>45</v>
      </c>
      <c r="X848" s="352" t="str">
        <f>LOWER(+H848)</f>
        <v>vanderbilt</v>
      </c>
      <c r="Y848" s="425">
        <v>21</v>
      </c>
    </row>
    <row r="849" spans="1:25" ht="16" x14ac:dyDescent="0.8">
      <c r="A849" s="351">
        <v>14</v>
      </c>
      <c r="B849" s="420" t="s">
        <v>88</v>
      </c>
      <c r="C849" s="421">
        <v>44897</v>
      </c>
      <c r="D849" s="414">
        <f>13/24</f>
        <v>0.54166666666666663</v>
      </c>
      <c r="E849" s="349"/>
      <c r="F849" s="420" t="s">
        <v>144</v>
      </c>
      <c r="G849" s="349" t="s">
        <v>68</v>
      </c>
      <c r="H849" s="420" t="s">
        <v>67</v>
      </c>
      <c r="I849" s="349" t="s">
        <v>68</v>
      </c>
      <c r="J849" s="420" t="str">
        <f>H849</f>
        <v>Buffalo</v>
      </c>
      <c r="K849" s="379" t="str">
        <f t="shared" ref="K849" si="267">IF(+J849=H849,F849,H849)</f>
        <v>Akron</v>
      </c>
      <c r="L849" s="422">
        <v>11.5</v>
      </c>
      <c r="M849" s="418">
        <v>55</v>
      </c>
      <c r="N849" s="436" t="str">
        <f>J849</f>
        <v>Buffalo</v>
      </c>
      <c r="O849" s="423">
        <v>23</v>
      </c>
      <c r="P849" s="436" t="str">
        <f t="shared" ref="P849" si="268">IF(+N849=H849,F849,H849)</f>
        <v>Akron</v>
      </c>
      <c r="Q849" s="408">
        <v>22</v>
      </c>
      <c r="R849" s="494" t="str">
        <f t="shared" ref="R849" si="269">IF(+N849=K849,+N849,IF(+O849-Q849&lt;L849,+K849,+J849))</f>
        <v>Akron</v>
      </c>
      <c r="S849" s="494" t="str">
        <f t="shared" ref="S849" si="270">IF(+R849=J849,+K849,+J849)</f>
        <v>Buffalo</v>
      </c>
      <c r="T849" s="356" t="str">
        <f>J849</f>
        <v>Buffalo</v>
      </c>
      <c r="U849" s="665" t="str">
        <f t="shared" ref="U849" si="271">IF($N849=$J849,IF($O849-$Q849=$L849,"T",IF($R849=T849,"W","L")),IF($R849=T849,"W","L"))</f>
        <v>L</v>
      </c>
      <c r="W849" s="424"/>
      <c r="Y849" s="425"/>
    </row>
    <row r="850" spans="1:25" ht="16" x14ac:dyDescent="0.8">
      <c r="A850" s="351">
        <v>14</v>
      </c>
      <c r="B850" s="420" t="s">
        <v>34</v>
      </c>
      <c r="C850" s="421">
        <v>44898</v>
      </c>
      <c r="D850" s="414"/>
      <c r="E850" s="349"/>
      <c r="F850" s="420" t="s">
        <v>458</v>
      </c>
      <c r="G850" s="349" t="s">
        <v>41</v>
      </c>
      <c r="H850" s="420" t="s">
        <v>78</v>
      </c>
      <c r="I850" s="349" t="s">
        <v>43</v>
      </c>
      <c r="J850" s="420"/>
      <c r="K850" s="379"/>
      <c r="L850" s="422"/>
      <c r="M850" s="418"/>
      <c r="N850" s="436" t="str">
        <f>H850</f>
        <v>New Mexico State</v>
      </c>
      <c r="O850" s="423">
        <v>65</v>
      </c>
      <c r="P850" s="436" t="str">
        <f t="shared" ref="P850" si="272">IF(+N850=H850,F850,H850)</f>
        <v>1AA Valparaiso</v>
      </c>
      <c r="Q850" s="408">
        <v>3</v>
      </c>
      <c r="R850" s="494">
        <f t="shared" ref="R850" si="273">IF(+N850=K850,+N850,IF(+O850-Q850&lt;L850,+K850,+J850))</f>
        <v>0</v>
      </c>
      <c r="S850" s="494">
        <f t="shared" ref="S850" si="274">IF(+R850=J850,+K850,+J850)</f>
        <v>0</v>
      </c>
      <c r="T850" s="356"/>
      <c r="U850" s="665"/>
      <c r="W850" s="424"/>
      <c r="X850" s="352" t="s">
        <v>404</v>
      </c>
      <c r="Y850" s="425"/>
    </row>
    <row r="851" spans="1:25" ht="16" x14ac:dyDescent="0.8">
      <c r="A851" s="351">
        <v>15</v>
      </c>
      <c r="B851" s="420" t="s">
        <v>34</v>
      </c>
      <c r="C851" s="421">
        <v>44905</v>
      </c>
      <c r="D851" s="414"/>
      <c r="E851" s="349"/>
      <c r="F851" s="420" t="s">
        <v>99</v>
      </c>
      <c r="G851" s="349" t="s">
        <v>43</v>
      </c>
      <c r="H851" s="420" t="s">
        <v>96</v>
      </c>
      <c r="I851" s="349" t="s">
        <v>50</v>
      </c>
      <c r="J851" s="420"/>
      <c r="K851" s="379" t="str">
        <f>IF(+J851=H851,F851,H851)</f>
        <v>Navy</v>
      </c>
      <c r="L851" s="422"/>
      <c r="M851" s="418"/>
      <c r="N851" s="351"/>
      <c r="O851" s="423"/>
      <c r="P851" s="436" t="str">
        <f>IF(+N851=H851,F851,H851)</f>
        <v>Navy</v>
      </c>
      <c r="Q851" s="408"/>
      <c r="R851" s="494">
        <f>IF(+N851=K851,+N851,IF(+O851-Q851&lt;L851,+K851,+J851))</f>
        <v>0</v>
      </c>
      <c r="S851" s="494" t="str">
        <f>IF(+R851=J851,+K851,+J851)</f>
        <v>Navy</v>
      </c>
      <c r="T851" s="356"/>
      <c r="U851" s="665" t="str">
        <f>IF($N851=$J851,IF($O851-$Q851=$L851,"T",IF($R851=T851,"W","L")),IF($R851=T851,"W","L"))</f>
        <v>T</v>
      </c>
      <c r="V851" s="352" t="str">
        <f>LOWER(+H851)</f>
        <v>navy</v>
      </c>
      <c r="W851" s="424">
        <v>17</v>
      </c>
      <c r="X851" s="352" t="str">
        <f>UPPER(+F851)</f>
        <v>ARMY</v>
      </c>
      <c r="Y851" s="425">
        <v>13</v>
      </c>
    </row>
    <row r="852" spans="1:25" ht="16" x14ac:dyDescent="0.8">
      <c r="A852" s="351" t="s">
        <v>457</v>
      </c>
      <c r="B852" s="420" t="s">
        <v>88</v>
      </c>
      <c r="C852" s="421">
        <v>44897</v>
      </c>
      <c r="D852" s="414">
        <f>19.5/24</f>
        <v>0.8125</v>
      </c>
      <c r="E852" s="349" t="s">
        <v>445</v>
      </c>
      <c r="F852" s="420" t="s">
        <v>167</v>
      </c>
      <c r="G852" s="349" t="s">
        <v>39</v>
      </c>
      <c r="H852" s="420" t="s">
        <v>175</v>
      </c>
      <c r="I852" s="349" t="s">
        <v>39</v>
      </c>
      <c r="J852" s="420" t="str">
        <f>H852</f>
        <v>UT San Antonio</v>
      </c>
      <c r="K852" s="379" t="str">
        <f t="shared" ref="K852:K861" si="275">IF(+J852=H852,F852,H852)</f>
        <v>North Texas</v>
      </c>
      <c r="L852" s="422">
        <v>8.5</v>
      </c>
      <c r="M852" s="418">
        <v>70</v>
      </c>
      <c r="N852" s="436" t="str">
        <f>J852</f>
        <v>UT San Antonio</v>
      </c>
      <c r="O852" s="423">
        <v>48</v>
      </c>
      <c r="P852" s="436" t="str">
        <f t="shared" ref="P852:P861" si="276">IF(+N852=H852,F852,H852)</f>
        <v>North Texas</v>
      </c>
      <c r="Q852" s="408">
        <v>27</v>
      </c>
      <c r="R852" s="494" t="str">
        <f t="shared" ref="R852:R861" si="277">IF(+N852=K852,+N852,IF(+O852-Q852&lt;L852,+K852,+J852))</f>
        <v>UT San Antonio</v>
      </c>
      <c r="S852" s="494" t="str">
        <f t="shared" ref="S852:S861" si="278">IF(+R852=J852,+K852,+J852)</f>
        <v>North Texas</v>
      </c>
      <c r="T852" s="356" t="str">
        <f>K852</f>
        <v>North Texas</v>
      </c>
      <c r="U852" s="665" t="str">
        <f t="shared" ref="U852:U861" si="279">IF($N852=$J852,IF($O852-$Q852=$L852,"T",IF($R852=T852,"W","L")),IF($R852=T852,"W","L"))</f>
        <v>L</v>
      </c>
      <c r="W852" s="424"/>
      <c r="Y852" s="425"/>
    </row>
    <row r="853" spans="1:25" ht="16" x14ac:dyDescent="0.8">
      <c r="A853" s="351" t="s">
        <v>457</v>
      </c>
      <c r="B853" s="420" t="s">
        <v>88</v>
      </c>
      <c r="C853" s="421">
        <v>44897</v>
      </c>
      <c r="D853" s="414">
        <f>20/24</f>
        <v>0.83333333333333337</v>
      </c>
      <c r="E853" s="349" t="s">
        <v>118</v>
      </c>
      <c r="F853" s="420" t="s">
        <v>81</v>
      </c>
      <c r="G853" s="349" t="s">
        <v>37</v>
      </c>
      <c r="H853" s="420" t="s">
        <v>202</v>
      </c>
      <c r="I853" s="349" t="s">
        <v>37</v>
      </c>
      <c r="J853" s="420" t="str">
        <f>H853</f>
        <v>Southern Cal</v>
      </c>
      <c r="K853" s="379" t="str">
        <f t="shared" si="275"/>
        <v>Utah</v>
      </c>
      <c r="L853" s="422">
        <v>2.5</v>
      </c>
      <c r="M853" s="418">
        <v>67</v>
      </c>
      <c r="N853" s="436" t="str">
        <f>K853</f>
        <v>Utah</v>
      </c>
      <c r="O853" s="423">
        <v>47</v>
      </c>
      <c r="P853" s="436" t="str">
        <f t="shared" si="276"/>
        <v>Southern Cal</v>
      </c>
      <c r="Q853" s="408">
        <v>24</v>
      </c>
      <c r="R853" s="494" t="str">
        <f t="shared" si="277"/>
        <v>Utah</v>
      </c>
      <c r="S853" s="494" t="str">
        <f t="shared" si="278"/>
        <v>Southern Cal</v>
      </c>
      <c r="T853" s="356" t="str">
        <f>J853</f>
        <v>Southern Cal</v>
      </c>
      <c r="U853" s="665" t="str">
        <f t="shared" si="279"/>
        <v>L</v>
      </c>
      <c r="W853" s="424"/>
      <c r="Y853" s="425"/>
    </row>
    <row r="854" spans="1:25" ht="16" x14ac:dyDescent="0.8">
      <c r="A854" s="351" t="s">
        <v>457</v>
      </c>
      <c r="B854" s="420" t="s">
        <v>34</v>
      </c>
      <c r="C854" s="421">
        <v>44898</v>
      </c>
      <c r="D854" s="414">
        <f>12/24</f>
        <v>0.5</v>
      </c>
      <c r="E854" s="349" t="s">
        <v>135</v>
      </c>
      <c r="F854" s="420" t="s">
        <v>152</v>
      </c>
      <c r="G854" s="349" t="s">
        <v>73</v>
      </c>
      <c r="H854" s="420" t="s">
        <v>155</v>
      </c>
      <c r="I854" s="349" t="s">
        <v>73</v>
      </c>
      <c r="J854" s="420" t="str">
        <f>H854</f>
        <v>TCU</v>
      </c>
      <c r="K854" s="379" t="str">
        <f t="shared" si="275"/>
        <v>Kansas State</v>
      </c>
      <c r="L854" s="422">
        <v>1.5</v>
      </c>
      <c r="M854" s="418">
        <v>62</v>
      </c>
      <c r="N854" s="436" t="str">
        <f>K854</f>
        <v>Kansas State</v>
      </c>
      <c r="O854" s="423">
        <v>31</v>
      </c>
      <c r="P854" s="436" t="str">
        <f t="shared" si="276"/>
        <v>TCU</v>
      </c>
      <c r="Q854" s="408">
        <v>28</v>
      </c>
      <c r="R854" s="494" t="str">
        <f t="shared" si="277"/>
        <v>Kansas State</v>
      </c>
      <c r="S854" s="494" t="str">
        <f t="shared" si="278"/>
        <v>TCU</v>
      </c>
      <c r="T854" s="356" t="str">
        <f>J854</f>
        <v>TCU</v>
      </c>
      <c r="U854" s="665" t="str">
        <f t="shared" si="279"/>
        <v>L</v>
      </c>
      <c r="W854" s="424"/>
      <c r="Y854" s="425"/>
    </row>
    <row r="855" spans="1:25" ht="16" x14ac:dyDescent="0.8">
      <c r="A855" s="351" t="s">
        <v>457</v>
      </c>
      <c r="B855" s="420" t="s">
        <v>34</v>
      </c>
      <c r="C855" s="421">
        <v>44898</v>
      </c>
      <c r="D855" s="414">
        <f>12/24</f>
        <v>0.5</v>
      </c>
      <c r="E855" s="349" t="s">
        <v>35</v>
      </c>
      <c r="F855" s="420" t="s">
        <v>77</v>
      </c>
      <c r="G855" s="349" t="s">
        <v>68</v>
      </c>
      <c r="H855" s="420" t="s">
        <v>182</v>
      </c>
      <c r="I855" s="349" t="s">
        <v>68</v>
      </c>
      <c r="J855" s="420" t="str">
        <f>F855</f>
        <v>Toledo</v>
      </c>
      <c r="K855" s="379" t="str">
        <f t="shared" si="275"/>
        <v>Ohio</v>
      </c>
      <c r="L855" s="422">
        <v>3</v>
      </c>
      <c r="M855" s="418">
        <v>54.5</v>
      </c>
      <c r="N855" s="436" t="str">
        <f>J855</f>
        <v>Toledo</v>
      </c>
      <c r="O855" s="423">
        <v>17</v>
      </c>
      <c r="P855" s="436" t="str">
        <f t="shared" si="276"/>
        <v>Ohio</v>
      </c>
      <c r="Q855" s="408">
        <v>7</v>
      </c>
      <c r="R855" s="494" t="str">
        <f t="shared" si="277"/>
        <v>Toledo</v>
      </c>
      <c r="S855" s="494" t="str">
        <f t="shared" si="278"/>
        <v>Ohio</v>
      </c>
      <c r="T855" s="356" t="str">
        <f>K855</f>
        <v>Ohio</v>
      </c>
      <c r="U855" s="665" t="str">
        <f t="shared" si="279"/>
        <v>L</v>
      </c>
      <c r="W855" s="424"/>
      <c r="Y855" s="425"/>
    </row>
    <row r="856" spans="1:25" ht="16" x14ac:dyDescent="0.8">
      <c r="A856" s="351" t="s">
        <v>457</v>
      </c>
      <c r="B856" s="420" t="s">
        <v>34</v>
      </c>
      <c r="C856" s="421">
        <v>44898</v>
      </c>
      <c r="D856" s="414">
        <f>15.5/24</f>
        <v>0.64583333333333337</v>
      </c>
      <c r="E856" s="349" t="s">
        <v>35</v>
      </c>
      <c r="F856" s="420" t="s">
        <v>205</v>
      </c>
      <c r="G856" s="349" t="s">
        <v>59</v>
      </c>
      <c r="H856" s="420" t="s">
        <v>185</v>
      </c>
      <c r="I856" s="349" t="s">
        <v>59</v>
      </c>
      <c r="J856" s="420" t="str">
        <f>H856</f>
        <v>Troy</v>
      </c>
      <c r="K856" s="379" t="str">
        <f t="shared" si="275"/>
        <v>Coastal Carolina</v>
      </c>
      <c r="L856" s="422">
        <v>8.5</v>
      </c>
      <c r="M856" s="418">
        <v>48</v>
      </c>
      <c r="N856" s="436" t="str">
        <f>J856</f>
        <v>Troy</v>
      </c>
      <c r="O856" s="423">
        <v>45</v>
      </c>
      <c r="P856" s="436" t="str">
        <f t="shared" si="276"/>
        <v>Coastal Carolina</v>
      </c>
      <c r="Q856" s="408">
        <v>26</v>
      </c>
      <c r="R856" s="494" t="str">
        <f t="shared" si="277"/>
        <v>Troy</v>
      </c>
      <c r="S856" s="494" t="str">
        <f t="shared" si="278"/>
        <v>Coastal Carolina</v>
      </c>
      <c r="T856" s="356" t="str">
        <f>J856</f>
        <v>Troy</v>
      </c>
      <c r="U856" s="665" t="str">
        <f t="shared" si="279"/>
        <v>W</v>
      </c>
      <c r="W856" s="424"/>
      <c r="Y856" s="425"/>
    </row>
    <row r="857" spans="1:25" ht="16" x14ac:dyDescent="0.8">
      <c r="A857" s="351" t="s">
        <v>457</v>
      </c>
      <c r="B857" s="420" t="s">
        <v>34</v>
      </c>
      <c r="C857" s="421">
        <v>44898</v>
      </c>
      <c r="D857" s="414">
        <f>16/24</f>
        <v>0.66666666666666663</v>
      </c>
      <c r="E857" s="349" t="s">
        <v>303</v>
      </c>
      <c r="F857" s="420" t="s">
        <v>178</v>
      </c>
      <c r="G857" s="349" t="s">
        <v>85</v>
      </c>
      <c r="H857" s="420" t="s">
        <v>213</v>
      </c>
      <c r="I857" s="349" t="s">
        <v>85</v>
      </c>
      <c r="J857" s="420" t="str">
        <f>H857</f>
        <v>Georgia</v>
      </c>
      <c r="K857" s="379" t="str">
        <f t="shared" si="275"/>
        <v>LSU</v>
      </c>
      <c r="L857" s="422">
        <v>17.5</v>
      </c>
      <c r="M857" s="418">
        <v>51.5</v>
      </c>
      <c r="N857" s="436" t="str">
        <f>J857</f>
        <v>Georgia</v>
      </c>
      <c r="O857" s="423">
        <v>50</v>
      </c>
      <c r="P857" s="436" t="str">
        <f t="shared" si="276"/>
        <v>LSU</v>
      </c>
      <c r="Q857" s="408">
        <v>30</v>
      </c>
      <c r="R857" s="494" t="str">
        <f t="shared" si="277"/>
        <v>Georgia</v>
      </c>
      <c r="S857" s="494" t="str">
        <f t="shared" si="278"/>
        <v>LSU</v>
      </c>
      <c r="T857" s="356" t="str">
        <f>K857</f>
        <v>LSU</v>
      </c>
      <c r="U857" s="665" t="str">
        <f t="shared" si="279"/>
        <v>L</v>
      </c>
      <c r="W857" s="424"/>
      <c r="Y857" s="425"/>
    </row>
    <row r="858" spans="1:25" ht="16" x14ac:dyDescent="0.8">
      <c r="A858" s="351" t="s">
        <v>457</v>
      </c>
      <c r="B858" s="420" t="s">
        <v>34</v>
      </c>
      <c r="C858" s="421">
        <v>44898</v>
      </c>
      <c r="D858" s="414">
        <f>16/24</f>
        <v>0.66666666666666663</v>
      </c>
      <c r="E858" s="349" t="s">
        <v>135</v>
      </c>
      <c r="F858" s="420" t="s">
        <v>106</v>
      </c>
      <c r="G858" s="349" t="s">
        <v>50</v>
      </c>
      <c r="H858" s="420" t="s">
        <v>112</v>
      </c>
      <c r="I858" s="349" t="s">
        <v>50</v>
      </c>
      <c r="J858" s="420" t="str">
        <f>H858</f>
        <v>Tulane</v>
      </c>
      <c r="K858" s="379" t="str">
        <f t="shared" si="275"/>
        <v>Central Florida</v>
      </c>
      <c r="L858" s="422">
        <v>3.5</v>
      </c>
      <c r="M858" s="418">
        <v>57</v>
      </c>
      <c r="N858" s="436" t="str">
        <f>J858</f>
        <v>Tulane</v>
      </c>
      <c r="O858" s="423">
        <v>45</v>
      </c>
      <c r="P858" s="436" t="str">
        <f t="shared" si="276"/>
        <v>Central Florida</v>
      </c>
      <c r="Q858" s="408">
        <v>28</v>
      </c>
      <c r="R858" s="494" t="str">
        <f t="shared" si="277"/>
        <v>Tulane</v>
      </c>
      <c r="S858" s="494" t="str">
        <f t="shared" si="278"/>
        <v>Central Florida</v>
      </c>
      <c r="T858" s="356" t="str">
        <f>J858</f>
        <v>Tulane</v>
      </c>
      <c r="U858" s="665" t="str">
        <f t="shared" si="279"/>
        <v>W</v>
      </c>
      <c r="W858" s="424"/>
      <c r="Y858" s="425"/>
    </row>
    <row r="859" spans="1:25" ht="16" x14ac:dyDescent="0.8">
      <c r="A859" s="351" t="s">
        <v>457</v>
      </c>
      <c r="B859" s="420" t="s">
        <v>34</v>
      </c>
      <c r="C859" s="421">
        <v>44898</v>
      </c>
      <c r="D859" s="414">
        <f>16/24</f>
        <v>0.66666666666666663</v>
      </c>
      <c r="E859" s="349" t="s">
        <v>118</v>
      </c>
      <c r="F859" s="420" t="s">
        <v>188</v>
      </c>
      <c r="G859" s="349" t="s">
        <v>45</v>
      </c>
      <c r="H859" s="420" t="s">
        <v>186</v>
      </c>
      <c r="I859" s="349" t="s">
        <v>45</v>
      </c>
      <c r="J859" s="420" t="str">
        <f>H859</f>
        <v>Boise State</v>
      </c>
      <c r="K859" s="379" t="str">
        <f t="shared" si="275"/>
        <v>Fresno State</v>
      </c>
      <c r="L859" s="422">
        <v>3</v>
      </c>
      <c r="M859" s="418">
        <v>54.5</v>
      </c>
      <c r="N859" s="436" t="str">
        <f>K859</f>
        <v>Fresno State</v>
      </c>
      <c r="O859" s="423">
        <v>28</v>
      </c>
      <c r="P859" s="436" t="str">
        <f t="shared" si="276"/>
        <v>Boise State</v>
      </c>
      <c r="Q859" s="408">
        <v>16</v>
      </c>
      <c r="R859" s="494" t="str">
        <f t="shared" si="277"/>
        <v>Fresno State</v>
      </c>
      <c r="S859" s="494" t="str">
        <f t="shared" si="278"/>
        <v>Boise State</v>
      </c>
      <c r="T859" s="356" t="str">
        <f>K859</f>
        <v>Fresno State</v>
      </c>
      <c r="U859" s="665" t="str">
        <f t="shared" si="279"/>
        <v>W</v>
      </c>
      <c r="W859" s="424"/>
      <c r="Y859" s="425"/>
    </row>
    <row r="860" spans="1:25" ht="16" x14ac:dyDescent="0.8">
      <c r="A860" s="351" t="s">
        <v>457</v>
      </c>
      <c r="B860" s="420" t="s">
        <v>34</v>
      </c>
      <c r="C860" s="421">
        <v>44898</v>
      </c>
      <c r="D860" s="414">
        <f>20/24</f>
        <v>0.83333333333333337</v>
      </c>
      <c r="E860" s="349" t="s">
        <v>118</v>
      </c>
      <c r="F860" s="420" t="s">
        <v>119</v>
      </c>
      <c r="G860" s="349" t="s">
        <v>64</v>
      </c>
      <c r="H860" s="420" t="s">
        <v>137</v>
      </c>
      <c r="I860" s="349" t="s">
        <v>64</v>
      </c>
      <c r="J860" s="420" t="str">
        <f>H860</f>
        <v>Michigan</v>
      </c>
      <c r="K860" s="379" t="str">
        <f t="shared" si="275"/>
        <v>Purdue</v>
      </c>
      <c r="L860" s="422">
        <v>17</v>
      </c>
      <c r="M860" s="418">
        <v>52</v>
      </c>
      <c r="N860" s="436" t="str">
        <f>J860</f>
        <v>Michigan</v>
      </c>
      <c r="O860" s="423">
        <v>43</v>
      </c>
      <c r="P860" s="436" t="str">
        <f t="shared" si="276"/>
        <v>Purdue</v>
      </c>
      <c r="Q860" s="408">
        <v>22</v>
      </c>
      <c r="R860" s="494" t="str">
        <f t="shared" si="277"/>
        <v>Michigan</v>
      </c>
      <c r="S860" s="494" t="str">
        <f t="shared" si="278"/>
        <v>Purdue</v>
      </c>
      <c r="T860" s="356" t="str">
        <f>J860</f>
        <v>Michigan</v>
      </c>
      <c r="U860" s="665" t="str">
        <f t="shared" si="279"/>
        <v>W</v>
      </c>
      <c r="W860" s="424"/>
      <c r="Y860" s="425"/>
    </row>
    <row r="861" spans="1:25" ht="16" x14ac:dyDescent="0.8">
      <c r="A861" s="351" t="s">
        <v>457</v>
      </c>
      <c r="B861" s="420" t="s">
        <v>34</v>
      </c>
      <c r="C861" s="421">
        <v>44898</v>
      </c>
      <c r="D861" s="414">
        <f>20/24</f>
        <v>0.83333333333333337</v>
      </c>
      <c r="E861" s="349" t="s">
        <v>135</v>
      </c>
      <c r="F861" s="420" t="s">
        <v>114</v>
      </c>
      <c r="G861" s="349" t="s">
        <v>61</v>
      </c>
      <c r="H861" s="420" t="s">
        <v>124</v>
      </c>
      <c r="I861" s="349" t="s">
        <v>61</v>
      </c>
      <c r="J861" s="420" t="str">
        <f>F861</f>
        <v>Clemson</v>
      </c>
      <c r="K861" s="379" t="str">
        <f t="shared" si="275"/>
        <v>North Carolina</v>
      </c>
      <c r="L861" s="422">
        <v>7.5</v>
      </c>
      <c r="M861" s="418">
        <v>63.5</v>
      </c>
      <c r="N861" s="436" t="str">
        <f>J861</f>
        <v>Clemson</v>
      </c>
      <c r="O861" s="423">
        <v>39</v>
      </c>
      <c r="P861" s="436" t="str">
        <f t="shared" si="276"/>
        <v>North Carolina</v>
      </c>
      <c r="Q861" s="408">
        <v>10</v>
      </c>
      <c r="R861" s="494" t="str">
        <f t="shared" si="277"/>
        <v>Clemson</v>
      </c>
      <c r="S861" s="494" t="str">
        <f t="shared" si="278"/>
        <v>North Carolina</v>
      </c>
      <c r="T861" s="356" t="str">
        <f>K861</f>
        <v>North Carolina</v>
      </c>
      <c r="U861" s="665" t="str">
        <f t="shared" si="279"/>
        <v>L</v>
      </c>
      <c r="W861" s="424"/>
      <c r="Y861" s="425"/>
    </row>
    <row r="862" spans="1:25" ht="18.25" x14ac:dyDescent="1.25">
      <c r="A862" s="410" t="s">
        <v>384</v>
      </c>
      <c r="B862" s="427" t="s">
        <v>264</v>
      </c>
      <c r="C862" s="428"/>
      <c r="D862" s="429" t="s">
        <v>264</v>
      </c>
      <c r="E862" s="430" t="s">
        <v>265</v>
      </c>
      <c r="F862" s="427"/>
      <c r="G862" s="355"/>
      <c r="H862" s="427" t="s">
        <v>266</v>
      </c>
      <c r="I862" s="430" t="s">
        <v>267</v>
      </c>
      <c r="J862" s="431">
        <v>1</v>
      </c>
      <c r="K862" s="556">
        <v>2</v>
      </c>
      <c r="L862" s="432">
        <v>3</v>
      </c>
      <c r="M862" s="432">
        <v>4</v>
      </c>
      <c r="N862" s="432">
        <v>5</v>
      </c>
      <c r="O862" s="433">
        <v>6</v>
      </c>
      <c r="P862" s="434">
        <f>+O862+1</f>
        <v>7</v>
      </c>
      <c r="Q862" s="434">
        <f>+P862+1</f>
        <v>8</v>
      </c>
      <c r="R862" s="434">
        <f>+Q862+1</f>
        <v>9</v>
      </c>
      <c r="S862" s="434">
        <f>+R862+1</f>
        <v>10</v>
      </c>
      <c r="T862" s="434">
        <v>11</v>
      </c>
      <c r="U862" s="434">
        <f>+T862+1</f>
        <v>12</v>
      </c>
      <c r="V862" s="352" t="s">
        <v>397</v>
      </c>
      <c r="W862" s="435"/>
      <c r="Y862" s="432"/>
    </row>
  </sheetData>
  <autoFilter ref="A3:Z862" xr:uid="{B94A50E8-3956-4B91-9168-0C991EBAD562}">
    <sortState xmlns:xlrd2="http://schemas.microsoft.com/office/spreadsheetml/2017/richdata2" ref="A6:Z847">
      <sortCondition ref="C3:C862"/>
    </sortState>
  </autoFilter>
  <sortState xmlns:xlrd2="http://schemas.microsoft.com/office/spreadsheetml/2017/richdata2" ref="A4:Z847">
    <sortCondition ref="A4:A847"/>
    <sortCondition ref="I4:I847"/>
    <sortCondition ref="H4:H847"/>
  </sortState>
  <mergeCells count="5">
    <mergeCell ref="F2:I2"/>
    <mergeCell ref="N2:Q2"/>
    <mergeCell ref="R2:S2"/>
    <mergeCell ref="N1:Q1"/>
    <mergeCell ref="V2:Y2"/>
  </mergeCells>
  <pageMargins left="0.7" right="0.7" top="0.75" bottom="0.75" header="0.3" footer="0.3"/>
  <pageSetup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pageSetUpPr fitToPage="1"/>
  </sheetPr>
  <dimension ref="A1:W1054"/>
  <sheetViews>
    <sheetView view="pageBreakPreview" topLeftCell="A122" zoomScale="75" zoomScaleNormal="75" zoomScaleSheetLayoutView="75" workbookViewId="0">
      <selection activeCell="A134" sqref="A134"/>
    </sheetView>
  </sheetViews>
  <sheetFormatPr defaultColWidth="8.86328125" defaultRowHeight="16" x14ac:dyDescent="0.8"/>
  <cols>
    <col min="1" max="1" width="5.6796875" style="46" customWidth="1"/>
    <col min="2" max="2" width="5.6796875" style="47" hidden="1" customWidth="1"/>
    <col min="3" max="3" width="13" style="72" hidden="1" customWidth="1"/>
    <col min="4" max="4" width="11.6796875" style="73" hidden="1" customWidth="1"/>
    <col min="5" max="5" width="9.1328125" style="50" hidden="1" customWidth="1"/>
    <col min="6" max="6" width="24.453125" style="53" customWidth="1"/>
    <col min="7" max="7" width="8.6796875" style="50" hidden="1" customWidth="1"/>
    <col min="8" max="8" width="24.453125" style="53" customWidth="1"/>
    <col min="9" max="9" width="8.6796875" style="50" hidden="1" customWidth="1"/>
    <col min="10" max="10" width="24.453125" style="53" customWidth="1"/>
    <col min="11" max="11" width="24.453125" style="50" customWidth="1"/>
    <col min="12" max="12" width="8" style="60" customWidth="1"/>
    <col min="13" max="13" width="8" style="61" customWidth="1"/>
    <col min="14" max="14" width="24.453125" style="53" customWidth="1"/>
    <col min="15" max="15" width="5.6796875" style="56" customWidth="1"/>
    <col min="16" max="16" width="24.453125" style="56" customWidth="1"/>
    <col min="17" max="17" width="5.6796875" style="50" customWidth="1"/>
    <col min="18" max="18" width="24.453125" style="53" customWidth="1"/>
    <col min="19" max="19" width="24.453125" style="56" customWidth="1"/>
    <col min="20" max="20" width="27.6796875" style="53" customWidth="1"/>
    <col min="21" max="21" width="6.54296875" style="50" customWidth="1"/>
    <col min="22" max="16384" width="8.86328125" style="9"/>
  </cols>
  <sheetData>
    <row r="1" spans="1:23" s="21" customFormat="1" ht="16" customHeight="1" x14ac:dyDescent="0.8">
      <c r="A1" s="10"/>
      <c r="B1" s="10"/>
      <c r="C1" s="11"/>
      <c r="D1" s="12"/>
      <c r="E1" s="13"/>
      <c r="F1" s="895" t="s">
        <v>2</v>
      </c>
      <c r="G1" s="900"/>
      <c r="H1" s="900"/>
      <c r="I1" s="896"/>
      <c r="J1" s="14"/>
      <c r="K1" s="13"/>
      <c r="L1" s="15"/>
      <c r="M1" s="16"/>
      <c r="N1" s="895" t="s">
        <v>3</v>
      </c>
      <c r="O1" s="900"/>
      <c r="P1" s="900"/>
      <c r="Q1" s="896"/>
      <c r="R1" s="895" t="s">
        <v>4</v>
      </c>
      <c r="S1" s="896"/>
      <c r="T1" s="14"/>
      <c r="U1" s="13"/>
      <c r="V1" s="9"/>
      <c r="W1" s="9"/>
    </row>
    <row r="2" spans="1:23" s="21" customFormat="1" ht="16" customHeight="1" x14ac:dyDescent="0.8">
      <c r="A2" s="22" t="s">
        <v>10</v>
      </c>
      <c r="B2" s="23" t="s">
        <v>11</v>
      </c>
      <c r="C2" s="24" t="s">
        <v>12</v>
      </c>
      <c r="D2" s="25" t="s">
        <v>13</v>
      </c>
      <c r="E2" s="26" t="s">
        <v>14</v>
      </c>
      <c r="F2" s="27" t="s">
        <v>6</v>
      </c>
      <c r="G2" s="26" t="s">
        <v>15</v>
      </c>
      <c r="H2" s="27" t="s">
        <v>8</v>
      </c>
      <c r="I2" s="26" t="s">
        <v>15</v>
      </c>
      <c r="J2" s="27" t="s">
        <v>16</v>
      </c>
      <c r="K2" s="26" t="s">
        <v>17</v>
      </c>
      <c r="L2" s="28" t="s">
        <v>18</v>
      </c>
      <c r="M2" s="29" t="s">
        <v>19</v>
      </c>
      <c r="N2" s="27" t="s">
        <v>20</v>
      </c>
      <c r="O2" s="30"/>
      <c r="P2" s="30" t="s">
        <v>21</v>
      </c>
      <c r="Q2" s="31"/>
      <c r="R2" s="27" t="s">
        <v>20</v>
      </c>
      <c r="S2" s="30" t="s">
        <v>21</v>
      </c>
      <c r="T2" s="27" t="s">
        <v>22</v>
      </c>
      <c r="U2" s="26" t="s">
        <v>23</v>
      </c>
      <c r="V2" s="9"/>
      <c r="W2" s="9"/>
    </row>
    <row r="3" spans="1:23" x14ac:dyDescent="0.8">
      <c r="A3" s="38"/>
      <c r="B3" s="39"/>
      <c r="C3" s="40"/>
      <c r="D3" s="41"/>
      <c r="E3" s="42"/>
      <c r="F3" s="897" t="str">
        <f>F5</f>
        <v>Arizona</v>
      </c>
      <c r="G3" s="903"/>
      <c r="H3" s="903"/>
      <c r="I3" s="904"/>
      <c r="J3" s="43"/>
      <c r="K3" s="42"/>
      <c r="L3" s="44"/>
      <c r="M3" s="45"/>
      <c r="N3" s="43"/>
      <c r="O3" s="5"/>
      <c r="P3" s="5"/>
      <c r="Q3" s="42"/>
      <c r="R3" s="43"/>
      <c r="S3" s="5"/>
      <c r="T3" s="43"/>
      <c r="U3" s="42"/>
    </row>
    <row r="4" spans="1:23" x14ac:dyDescent="0.8">
      <c r="A4" s="46">
        <f>IF(+All!$H48="Arizona",+All!A48,IF(+All!$F48="Arizona",+All!A48,0))</f>
        <v>1</v>
      </c>
      <c r="B4" s="348" t="str">
        <f>IF(+All!$H48="Arizona",+All!B48,IF(+All!$F48="Arizona",+All!B48,0))</f>
        <v>Sat</v>
      </c>
      <c r="C4" s="48">
        <f>IF(+All!$H48="Arizona",+All!C48,IF(+All!$F48="Arizona",+All!C48,0))</f>
        <v>44807</v>
      </c>
      <c r="D4" s="490">
        <f>IF(+All!$H48="Arizona",+All!D48,IF(+All!$F48="Arizona",+All!D48,0))</f>
        <v>0.64583333333333337</v>
      </c>
      <c r="E4" s="461" t="str">
        <f>IF(+All!$H48="Arizona",+All!E48,IF(+All!$F48="Arizona",+All!E48,0))</f>
        <v>CBSSN</v>
      </c>
      <c r="F4" s="51" t="str">
        <f>IF(+All!$H48="Arizona",+All!F48,IF(+All!$F48="Arizona",+All!F48,0))</f>
        <v>Arizona</v>
      </c>
      <c r="G4" s="52" t="str">
        <f>IF(+All!$H48="Arizona",+All!G48,IF(+All!$F48="Arizona",+All!G48,0))</f>
        <v>P12</v>
      </c>
      <c r="H4" s="51" t="str">
        <f>IF(+All!$H48="Arizona",+All!H48,IF(+All!$F48="Arizona",+All!H48,0))</f>
        <v>San Diego State</v>
      </c>
      <c r="I4" s="52" t="str">
        <f>IF(+All!$H48="Arizona",+All!I48,IF(+All!$F48="Arizona",+All!I48,0))</f>
        <v>MWC</v>
      </c>
      <c r="J4" s="460" t="str">
        <f>IF(+All!$H48="Arizona",+All!J48,IF(+All!$F48="Arizona",+All!J48,0))</f>
        <v>San Diego State</v>
      </c>
      <c r="K4" s="461" t="str">
        <f>IF(+All!$H48="Arizona",+All!K48,IF(+All!$F48="Arizona",+All!K48,0))</f>
        <v>Arizona</v>
      </c>
      <c r="L4" s="54">
        <f>IF(+All!$H48="Arizona",+All!L48,IF(+All!$F48="Arizona",+All!L48,0))</f>
        <v>6</v>
      </c>
      <c r="M4" s="55">
        <f>IF(+All!$H48="Arizona",+All!M48,IF(+All!$F48="Arizona",+All!M48,0))</f>
        <v>47</v>
      </c>
      <c r="N4" s="460" t="str">
        <f>IF(+All!$H48="Arizona",+All!N48,IF(+All!$F48="Arizona",+All!N48,0))</f>
        <v>Arizona</v>
      </c>
      <c r="O4" s="462">
        <f>IF(+All!$H48="Arizona",+All!O48,IF(+All!$F48="Arizona",+All!O48,0))</f>
        <v>38</v>
      </c>
      <c r="P4" s="462" t="str">
        <f>IF(+All!$H48="Arizona",+All!P48,IF(+All!$F48="Arizona",+All!P48,0))</f>
        <v>San Diego State</v>
      </c>
      <c r="Q4" s="461">
        <f>IF(+All!$H48="Arizona",+All!Q48,IF(+All!$F48="Arizona",+All!Q48,0))</f>
        <v>20</v>
      </c>
      <c r="R4" s="460" t="str">
        <f>IF(+All!$H48="Arizona",+All!R48,IF(+All!$F48="Arizona",+All!R48,0))</f>
        <v>Arizona</v>
      </c>
      <c r="S4" s="462" t="str">
        <f>IF(+All!$H48="Arizona",+All!S48,IF(+All!$F48="Arizona",+All!S48,0))</f>
        <v>San Diego State</v>
      </c>
      <c r="T4" s="460" t="str">
        <f>IF(+All!$H48="Arizona",+All!T48,IF(+All!$F48="Arizona",+All!T48,0))</f>
        <v>San Diego State</v>
      </c>
      <c r="U4" s="461" t="str">
        <f>IF(+All!$H48="Arizona",+All!U48,IF(+All!$F48="Arizona",+All!U48,0))</f>
        <v>L</v>
      </c>
    </row>
    <row r="5" spans="1:23" x14ac:dyDescent="0.8">
      <c r="A5" s="46">
        <f>IF(+All!$H177="Arizona",+All!A177,IF(+All!$F177="Arizona",+All!A177,0))</f>
        <v>2</v>
      </c>
      <c r="B5" s="348" t="str">
        <f>IF(+All!$H177="Arizona",+All!B177,IF(+All!$F177="Arizona",+All!B177,0))</f>
        <v>Sat</v>
      </c>
      <c r="C5" s="48">
        <f>IF(+All!$H177="Arizona",+All!C177,IF(+All!$F177="Arizona",+All!C177,0))</f>
        <v>44814</v>
      </c>
      <c r="D5" s="490">
        <f>IF(+All!$H177="Arizona",+All!D177,IF(+All!$F177="Arizona",+All!D177,0))</f>
        <v>0.95833333333333337</v>
      </c>
      <c r="E5" s="461" t="str">
        <f>IF(+All!$H177="Arizona",+All!E177,IF(+All!$F177="Arizona",+All!E177,0))</f>
        <v>FS1</v>
      </c>
      <c r="F5" s="51" t="str">
        <f>IF(+All!$H177="Arizona",+All!F177,IF(+All!$F177="Arizona",+All!F177,0))</f>
        <v>Arizona</v>
      </c>
      <c r="G5" s="52" t="str">
        <f>IF(+All!$H177="Arizona",+All!G177,IF(+All!$F177="Arizona",+All!G177,0))</f>
        <v>P12</v>
      </c>
      <c r="H5" s="51" t="str">
        <f>IF(+All!$H177="Arizona",+All!H177,IF(+All!$F177="Arizona",+All!H177,0))</f>
        <v>Mississippi State</v>
      </c>
      <c r="I5" s="52" t="str">
        <f>IF(+All!$H177="Arizona",+All!I177,IF(+All!$F177="Arizona",+All!I177,0))</f>
        <v>SEC</v>
      </c>
      <c r="J5" s="460" t="str">
        <f>IF(+All!$H177="Arizona",+All!J177,IF(+All!$F177="Arizona",+All!J177,0))</f>
        <v>Mississippi State</v>
      </c>
      <c r="K5" s="461" t="str">
        <f>IF(+All!$H177="Arizona",+All!K177,IF(+All!$F177="Arizona",+All!K177,0))</f>
        <v>Arizona</v>
      </c>
      <c r="L5" s="54">
        <f>IF(+All!$H177="Arizona",+All!L177,IF(+All!$F177="Arizona",+All!L177,0))</f>
        <v>11</v>
      </c>
      <c r="M5" s="55">
        <f>IF(+All!$H177="Arizona",+All!M177,IF(+All!$F177="Arizona",+All!M177,0))</f>
        <v>59.5</v>
      </c>
      <c r="N5" s="460" t="str">
        <f>IF(+All!$H177="Arizona",+All!N177,IF(+All!$F177="Arizona",+All!N177,0))</f>
        <v>Mississippi State</v>
      </c>
      <c r="O5" s="462">
        <f>IF(+All!$H177="Arizona",+All!O177,IF(+All!$F177="Arizona",+All!O177,0))</f>
        <v>39</v>
      </c>
      <c r="P5" s="462" t="str">
        <f>IF(+All!$H177="Arizona",+All!P177,IF(+All!$F177="Arizona",+All!P177,0))</f>
        <v>Arizona</v>
      </c>
      <c r="Q5" s="461">
        <f>IF(+All!$H177="Arizona",+All!Q177,IF(+All!$F177="Arizona",+All!Q177,0))</f>
        <v>17</v>
      </c>
      <c r="R5" s="460" t="str">
        <f>IF(+All!$H177="Arizona",+All!R177,IF(+All!$F177="Arizona",+All!R177,0))</f>
        <v>Mississippi State</v>
      </c>
      <c r="S5" s="462" t="str">
        <f>IF(+All!$H177="Arizona",+All!S177,IF(+All!$F177="Arizona",+All!S177,0))</f>
        <v>Arizona</v>
      </c>
      <c r="T5" s="460" t="str">
        <f>IF(+All!$H177="Arizona",+All!T177,IF(+All!$F177="Arizona",+All!T177,0))</f>
        <v>Arizona</v>
      </c>
      <c r="U5" s="461" t="str">
        <f>IF(+All!$H177="Arizona",+All!U177,IF(+All!$F177="Arizona",+All!U177,0))</f>
        <v>L</v>
      </c>
    </row>
    <row r="6" spans="1:23" x14ac:dyDescent="0.8">
      <c r="A6" s="46">
        <f>IF(+All!$H229="Arizona",+All!A229,IF(+All!$F229="Arizona",+All!A229,0))</f>
        <v>3</v>
      </c>
      <c r="B6" s="348" t="str">
        <f>IF(+All!$H229="Arizona",+All!B229,IF(+All!$F229="Arizona",+All!B229,0))</f>
        <v>Sat</v>
      </c>
      <c r="C6" s="48">
        <f>IF(+All!$H229="Arizona",+All!C229,IF(+All!$F229="Arizona",+All!C229,0))</f>
        <v>44821</v>
      </c>
      <c r="D6" s="490">
        <f>IF(+All!$H229="Arizona",+All!D229,IF(+All!$F229="Arizona",+All!D229,0))</f>
        <v>0.95833333333333337</v>
      </c>
      <c r="E6" s="461" t="str">
        <f>IF(+All!$H229="Arizona",+All!E229,IF(+All!$F229="Arizona",+All!E229,0))</f>
        <v>FS1</v>
      </c>
      <c r="F6" s="51" t="str">
        <f>IF(+All!$H229="Arizona",+All!F229,IF(+All!$F229="Arizona",+All!F229,0))</f>
        <v>1AA North Dakota</v>
      </c>
      <c r="G6" s="52" t="str">
        <f>IF(+All!$H229="Arizona",+All!G229,IF(+All!$F229="Arizona",+All!G229,0))</f>
        <v>1AA</v>
      </c>
      <c r="H6" s="51" t="str">
        <f>IF(+All!$H229="Arizona",+All!H229,IF(+All!$F229="Arizona",+All!H229,0))</f>
        <v>Arizona</v>
      </c>
      <c r="I6" s="52" t="str">
        <f>IF(+All!$H229="Arizona",+All!I229,IF(+All!$F229="Arizona",+All!I229,0))</f>
        <v>P12</v>
      </c>
      <c r="J6" s="460">
        <f>IF(+All!$H229="Arizona",+All!J229,IF(+All!$F229="Arizona",+All!J229,0))</f>
        <v>0</v>
      </c>
      <c r="K6" s="461">
        <f>IF(+All!$H229="Arizona",+All!K229,IF(+All!$F229="Arizona",+All!K229,0))</f>
        <v>0</v>
      </c>
      <c r="L6" s="54">
        <f>IF(+All!$H229="Arizona",+All!L229,IF(+All!$F229="Arizona",+All!L229,0))</f>
        <v>0</v>
      </c>
      <c r="M6" s="55">
        <f>IF(+All!$H229="Arizona",+All!M229,IF(+All!$F229="Arizona",+All!M229,0))</f>
        <v>0</v>
      </c>
      <c r="N6" s="460" t="str">
        <f>IF(+All!$H229="Arizona",+All!N229,IF(+All!$F229="Arizona",+All!N229,0))</f>
        <v>Arizona</v>
      </c>
      <c r="O6" s="462">
        <f>IF(+All!$H229="Arizona",+All!O229,IF(+All!$F229="Arizona",+All!O229,0))</f>
        <v>31</v>
      </c>
      <c r="P6" s="462" t="str">
        <f>IF(+All!$H229="Arizona",+All!P229,IF(+All!$F229="Arizona",+All!P229,0))</f>
        <v>1AA North Dakota</v>
      </c>
      <c r="Q6" s="461">
        <f>IF(+All!$H229="Arizona",+All!Q229,IF(+All!$F229="Arizona",+All!Q229,0))</f>
        <v>28</v>
      </c>
      <c r="R6" s="460">
        <f>IF(+All!$H229="Arizona",+All!R229,IF(+All!$F229="Arizona",+All!R229,0))</f>
        <v>0</v>
      </c>
      <c r="S6" s="462">
        <f>IF(+All!$H229="Arizona",+All!S229,IF(+All!$F229="Arizona",+All!S229,0))</f>
        <v>0</v>
      </c>
      <c r="T6" s="460">
        <f>IF(+All!$H229="Arizona",+All!T229,IF(+All!$F229="Arizona",+All!T229,0))</f>
        <v>0</v>
      </c>
      <c r="U6" s="461">
        <f>IF(+All!$H229="Arizona",+All!U229,IF(+All!$F229="Arizona",+All!U229,0))</f>
        <v>0</v>
      </c>
    </row>
    <row r="7" spans="1:23" x14ac:dyDescent="0.8">
      <c r="A7" s="46">
        <f>IF(+All!$H296="Arizona",+All!A296,IF(+All!$F296="Arizona",+All!A296,0))</f>
        <v>4</v>
      </c>
      <c r="B7" s="348" t="str">
        <f>IF(+All!$H296="Arizona",+All!B296,IF(+All!$F296="Arizona",+All!B296,0))</f>
        <v>Sat</v>
      </c>
      <c r="C7" s="48">
        <f>IF(+All!$H296="Arizona",+All!C296,IF(+All!$F296="Arizona",+All!C296,0))</f>
        <v>44828</v>
      </c>
      <c r="D7" s="490">
        <f>IF(+All!$H296="Arizona",+All!D296,IF(+All!$F296="Arizona",+All!D296,0))</f>
        <v>0.9375</v>
      </c>
      <c r="E7" s="461" t="str">
        <f>IF(+All!$H296="Arizona",+All!E296,IF(+All!$F296="Arizona",+All!E296,0))</f>
        <v>PAC12</v>
      </c>
      <c r="F7" s="51" t="str">
        <f>IF(+All!$H296="Arizona",+All!F296,IF(+All!$F296="Arizona",+All!F296,0))</f>
        <v>Arizona</v>
      </c>
      <c r="G7" s="52" t="str">
        <f>IF(+All!$H296="Arizona",+All!G296,IF(+All!$F296="Arizona",+All!G296,0))</f>
        <v>P12</v>
      </c>
      <c r="H7" s="51" t="str">
        <f>IF(+All!$H296="Arizona",+All!H296,IF(+All!$F296="Arizona",+All!H296,0))</f>
        <v>California</v>
      </c>
      <c r="I7" s="52" t="str">
        <f>IF(+All!$H296="Arizona",+All!I296,IF(+All!$F296="Arizona",+All!I296,0))</f>
        <v>P12</v>
      </c>
      <c r="J7" s="460" t="str">
        <f>IF(+All!$H296="Arizona",+All!J296,IF(+All!$F296="Arizona",+All!J296,0))</f>
        <v>California</v>
      </c>
      <c r="K7" s="461" t="str">
        <f>IF(+All!$H296="Arizona",+All!K296,IF(+All!$F296="Arizona",+All!K296,0))</f>
        <v>Arizona</v>
      </c>
      <c r="L7" s="54">
        <f>IF(+All!$H296="Arizona",+All!L296,IF(+All!$F296="Arizona",+All!L296,0))</f>
        <v>3</v>
      </c>
      <c r="M7" s="55">
        <f>IF(+All!$H296="Arizona",+All!M296,IF(+All!$F296="Arizona",+All!M296,0))</f>
        <v>50.5</v>
      </c>
      <c r="N7" s="460" t="str">
        <f>IF(+All!$H296="Arizona",+All!N296,IF(+All!$F296="Arizona",+All!N296,0))</f>
        <v>California</v>
      </c>
      <c r="O7" s="462">
        <f>IF(+All!$H296="Arizona",+All!O296,IF(+All!$F296="Arizona",+All!O296,0))</f>
        <v>49</v>
      </c>
      <c r="P7" s="462" t="str">
        <f>IF(+All!$H296="Arizona",+All!P296,IF(+All!$F296="Arizona",+All!P296,0))</f>
        <v>Arizona</v>
      </c>
      <c r="Q7" s="461">
        <f>IF(+All!$H296="Arizona",+All!Q296,IF(+All!$F296="Arizona",+All!Q296,0))</f>
        <v>31</v>
      </c>
      <c r="R7" s="460" t="str">
        <f>IF(+All!$H296="Arizona",+All!R296,IF(+All!$F296="Arizona",+All!R296,0))</f>
        <v>California</v>
      </c>
      <c r="S7" s="462" t="str">
        <f>IF(+All!$H296="Arizona",+All!S296,IF(+All!$F296="Arizona",+All!S296,0))</f>
        <v>Arizona</v>
      </c>
      <c r="T7" s="460" t="str">
        <f>IF(+All!$H296="Arizona",+All!T296,IF(+All!$F296="Arizona",+All!T296,0))</f>
        <v>Arizona</v>
      </c>
      <c r="U7" s="461" t="str">
        <f>IF(+All!$H296="Arizona",+All!U296,IF(+All!$F296="Arizona",+All!U296,0))</f>
        <v>L</v>
      </c>
    </row>
    <row r="8" spans="1:23" x14ac:dyDescent="0.8">
      <c r="A8" s="46">
        <f>IF(+All!$H363="Arizona",+All!A363,IF(+All!$F363="Arizona",+All!A363,0))</f>
        <v>5</v>
      </c>
      <c r="B8" s="348" t="str">
        <f>IF(+All!$H363="Arizona",+All!B363,IF(+All!$F363="Arizona",+All!B363,0))</f>
        <v>Sat</v>
      </c>
      <c r="C8" s="48">
        <f>IF(+All!$H363="Arizona",+All!C363,IF(+All!$F363="Arizona",+All!C363,0))</f>
        <v>44835</v>
      </c>
      <c r="D8" s="490">
        <f>IF(+All!$H363="Arizona",+All!D363,IF(+All!$F363="Arizona",+All!D363,0))</f>
        <v>0.89583333333333337</v>
      </c>
      <c r="E8" s="461" t="str">
        <f>IF(+All!$H363="Arizona",+All!E363,IF(+All!$F363="Arizona",+All!E363,0))</f>
        <v>PAC12</v>
      </c>
      <c r="F8" s="51" t="str">
        <f>IF(+All!$H363="Arizona",+All!F363,IF(+All!$F363="Arizona",+All!F363,0))</f>
        <v>Colorado</v>
      </c>
      <c r="G8" s="52" t="str">
        <f>IF(+All!$H363="Arizona",+All!G363,IF(+All!$F363="Arizona",+All!G363,0))</f>
        <v>P12</v>
      </c>
      <c r="H8" s="51" t="str">
        <f>IF(+All!$H363="Arizona",+All!H363,IF(+All!$F363="Arizona",+All!H363,0))</f>
        <v>Arizona</v>
      </c>
      <c r="I8" s="52" t="str">
        <f>IF(+All!$H363="Arizona",+All!I363,IF(+All!$F363="Arizona",+All!I363,0))</f>
        <v>P12</v>
      </c>
      <c r="J8" s="460" t="str">
        <f>IF(+All!$H363="Arizona",+All!J363,IF(+All!$F363="Arizona",+All!J363,0))</f>
        <v>Arizona</v>
      </c>
      <c r="K8" s="461" t="str">
        <f>IF(+All!$H363="Arizona",+All!K363,IF(+All!$F363="Arizona",+All!K363,0))</f>
        <v>Colorado</v>
      </c>
      <c r="L8" s="54">
        <f>IF(+All!$H363="Arizona",+All!L363,IF(+All!$F363="Arizona",+All!L363,0))</f>
        <v>17.5</v>
      </c>
      <c r="M8" s="55">
        <f>IF(+All!$H363="Arizona",+All!M363,IF(+All!$F363="Arizona",+All!M363,0))</f>
        <v>56.5</v>
      </c>
      <c r="N8" s="460" t="str">
        <f>IF(+All!$H363="Arizona",+All!N363,IF(+All!$F363="Arizona",+All!N363,0))</f>
        <v>Arizona</v>
      </c>
      <c r="O8" s="462">
        <f>IF(+All!$H363="Arizona",+All!O363,IF(+All!$F363="Arizona",+All!O363,0))</f>
        <v>43</v>
      </c>
      <c r="P8" s="462" t="str">
        <f>IF(+All!$H363="Arizona",+All!P363,IF(+All!$F363="Arizona",+All!P363,0))</f>
        <v>Colorado</v>
      </c>
      <c r="Q8" s="461">
        <f>IF(+All!$H363="Arizona",+All!Q363,IF(+All!$F363="Arizona",+All!Q363,0))</f>
        <v>20</v>
      </c>
      <c r="R8" s="460" t="str">
        <f>IF(+All!$H363="Arizona",+All!R363,IF(+All!$F363="Arizona",+All!R363,0))</f>
        <v>Arizona</v>
      </c>
      <c r="S8" s="462" t="str">
        <f>IF(+All!$H363="Arizona",+All!S363,IF(+All!$F363="Arizona",+All!S363,0))</f>
        <v>Colorado</v>
      </c>
      <c r="T8" s="460" t="str">
        <f>IF(+All!$H363="Arizona",+All!T363,IF(+All!$F363="Arizona",+All!T363,0))</f>
        <v>Arizona</v>
      </c>
      <c r="U8" s="461" t="str">
        <f>IF(+All!$H363="Arizona",+All!U363,IF(+All!$F363="Arizona",+All!U363,0))</f>
        <v>W</v>
      </c>
    </row>
    <row r="9" spans="1:23" x14ac:dyDescent="0.8">
      <c r="A9" s="46">
        <f>IF(+All!$H421="Arizona",+All!A421,IF(+All!$F421="Arizona",+All!A421,0))</f>
        <v>6</v>
      </c>
      <c r="B9" s="348" t="str">
        <f>IF(+All!$H421="Arizona",+All!B421,IF(+All!$F421="Arizona",+All!B421,0))</f>
        <v>Sat</v>
      </c>
      <c r="C9" s="48">
        <f>IF(+All!$H421="Arizona",+All!C421,IF(+All!$F421="Arizona",+All!C421,0))</f>
        <v>44842</v>
      </c>
      <c r="D9" s="490">
        <f>IF(+All!$H421="Arizona",+All!D421,IF(+All!$F421="Arizona",+All!D421,0))</f>
        <v>0.875</v>
      </c>
      <c r="E9" s="461" t="str">
        <f>IF(+All!$H421="Arizona",+All!E421,IF(+All!$F421="Arizona",+All!E421,0))</f>
        <v>PAC12</v>
      </c>
      <c r="F9" s="51" t="str">
        <f>IF(+All!$H421="Arizona",+All!F421,IF(+All!$F421="Arizona",+All!F421,0))</f>
        <v>Oregon</v>
      </c>
      <c r="G9" s="52" t="str">
        <f>IF(+All!$H421="Arizona",+All!G421,IF(+All!$F421="Arizona",+All!G421,0))</f>
        <v>P12</v>
      </c>
      <c r="H9" s="51" t="str">
        <f>IF(+All!$H421="Arizona",+All!H421,IF(+All!$F421="Arizona",+All!H421,0))</f>
        <v>Arizona</v>
      </c>
      <c r="I9" s="52" t="str">
        <f>IF(+All!$H421="Arizona",+All!I421,IF(+All!$F421="Arizona",+All!I421,0))</f>
        <v>P12</v>
      </c>
      <c r="J9" s="460" t="str">
        <f>IF(+All!$H421="Arizona",+All!J421,IF(+All!$F421="Arizona",+All!J421,0))</f>
        <v>Oregon</v>
      </c>
      <c r="K9" s="461" t="str">
        <f>IF(+All!$H421="Arizona",+All!K421,IF(+All!$F421="Arizona",+All!K421,0))</f>
        <v>Arizona</v>
      </c>
      <c r="L9" s="54">
        <f>IF(+All!$H421="Arizona",+All!L421,IF(+All!$F421="Arizona",+All!L421,0))</f>
        <v>13</v>
      </c>
      <c r="M9" s="55">
        <f>IF(+All!$H421="Arizona",+All!M421,IF(+All!$F421="Arizona",+All!M421,0))</f>
        <v>70</v>
      </c>
      <c r="N9" s="460" t="str">
        <f>IF(+All!$H421="Arizona",+All!N421,IF(+All!$F421="Arizona",+All!N421,0))</f>
        <v>Oregon</v>
      </c>
      <c r="O9" s="462">
        <f>IF(+All!$H421="Arizona",+All!O421,IF(+All!$F421="Arizona",+All!O421,0))</f>
        <v>49</v>
      </c>
      <c r="P9" s="462" t="str">
        <f>IF(+All!$H421="Arizona",+All!P421,IF(+All!$F421="Arizona",+All!P421,0))</f>
        <v>Arizona</v>
      </c>
      <c r="Q9" s="461">
        <f>IF(+All!$H421="Arizona",+All!Q421,IF(+All!$F421="Arizona",+All!Q421,0))</f>
        <v>22</v>
      </c>
      <c r="R9" s="460" t="str">
        <f>IF(+All!$H421="Arizona",+All!R421,IF(+All!$F421="Arizona",+All!R421,0))</f>
        <v>Oregon</v>
      </c>
      <c r="S9" s="462" t="str">
        <f>IF(+All!$H421="Arizona",+All!S421,IF(+All!$F421="Arizona",+All!S421,0))</f>
        <v>Arizona</v>
      </c>
      <c r="T9" s="460" t="str">
        <f>IF(+All!$H421="Arizona",+All!T421,IF(+All!$F421="Arizona",+All!T421,0))</f>
        <v>Oregon</v>
      </c>
      <c r="U9" s="461" t="str">
        <f>IF(+All!$H421="Arizona",+All!U421,IF(+All!$F421="Arizona",+All!U421,0))</f>
        <v>W</v>
      </c>
    </row>
    <row r="10" spans="1:23" x14ac:dyDescent="0.8">
      <c r="A10" s="46">
        <f>IF(+All!$H480="Arizona",+All!A480,IF(+All!$F480="Arizona",+All!A480,0))</f>
        <v>7</v>
      </c>
      <c r="B10" s="348" t="str">
        <f>IF(+All!$H480="Arizona",+All!B480,IF(+All!$F480="Arizona",+All!B480,0))</f>
        <v>Sat</v>
      </c>
      <c r="C10" s="48">
        <f>IF(+All!$H480="Arizona",+All!C480,IF(+All!$F480="Arizona",+All!C480,0))</f>
        <v>44849</v>
      </c>
      <c r="D10" s="490">
        <f>IF(+All!$H480="Arizona",+All!D480,IF(+All!$F480="Arizona",+All!D480,0))</f>
        <v>0.72916666666666663</v>
      </c>
      <c r="E10" s="461" t="str">
        <f>IF(+All!$H480="Arizona",+All!E480,IF(+All!$F480="Arizona",+All!E480,0))</f>
        <v>PAC12</v>
      </c>
      <c r="F10" s="51" t="str">
        <f>IF(+All!$H480="Arizona",+All!F480,IF(+All!$F480="Arizona",+All!F480,0))</f>
        <v>Arizona</v>
      </c>
      <c r="G10" s="52" t="str">
        <f>IF(+All!$H480="Arizona",+All!G480,IF(+All!$F480="Arizona",+All!G480,0))</f>
        <v>P12</v>
      </c>
      <c r="H10" s="51" t="str">
        <f>IF(+All!$H480="Arizona",+All!H480,IF(+All!$F480="Arizona",+All!H480,0))</f>
        <v>Washington</v>
      </c>
      <c r="I10" s="52" t="str">
        <f>IF(+All!$H480="Arizona",+All!I480,IF(+All!$F480="Arizona",+All!I480,0))</f>
        <v>P12</v>
      </c>
      <c r="J10" s="460" t="str">
        <f>IF(+All!$H480="Arizona",+All!J480,IF(+All!$F480="Arizona",+All!J480,0))</f>
        <v>Washington</v>
      </c>
      <c r="K10" s="461" t="str">
        <f>IF(+All!$H480="Arizona",+All!K480,IF(+All!$F480="Arizona",+All!K480,0))</f>
        <v>Arizona</v>
      </c>
      <c r="L10" s="54">
        <f>IF(+All!$H480="Arizona",+All!L480,IF(+All!$F480="Arizona",+All!L480,0))</f>
        <v>14</v>
      </c>
      <c r="M10" s="55">
        <f>IF(+All!$H480="Arizona",+All!M480,IF(+All!$F480="Arizona",+All!M480,0))</f>
        <v>73</v>
      </c>
      <c r="N10" s="460" t="str">
        <f>IF(+All!$H480="Arizona",+All!N480,IF(+All!$F480="Arizona",+All!N480,0))</f>
        <v>Washington</v>
      </c>
      <c r="O10" s="462">
        <f>IF(+All!$H480="Arizona",+All!O480,IF(+All!$F480="Arizona",+All!O480,0))</f>
        <v>49</v>
      </c>
      <c r="P10" s="462" t="str">
        <f>IF(+All!$H480="Arizona",+All!P480,IF(+All!$F480="Arizona",+All!P480,0))</f>
        <v>Arizona</v>
      </c>
      <c r="Q10" s="461">
        <f>IF(+All!$H480="Arizona",+All!Q480,IF(+All!$F480="Arizona",+All!Q480,0))</f>
        <v>39</v>
      </c>
      <c r="R10" s="460" t="str">
        <f>IF(+All!$H480="Arizona",+All!R480,IF(+All!$F480="Arizona",+All!R480,0))</f>
        <v>Arizona</v>
      </c>
      <c r="S10" s="462" t="str">
        <f>IF(+All!$H480="Arizona",+All!S480,IF(+All!$F480="Arizona",+All!S480,0))</f>
        <v>Washington</v>
      </c>
      <c r="T10" s="460" t="str">
        <f>IF(+All!$H480="Arizona",+All!T480,IF(+All!$F480="Arizona",+All!T480,0))</f>
        <v>Arizona</v>
      </c>
      <c r="U10" s="461" t="str">
        <f>IF(+All!$H480="Arizona",+All!U480,IF(+All!$F480="Arizona",+All!U480,0))</f>
        <v>W</v>
      </c>
    </row>
    <row r="11" spans="1:23" x14ac:dyDescent="0.8">
      <c r="A11" s="46" t="e">
        <f>IF(+All!#REF!="Arizona",+All!#REF!,IF(+All!#REF!="Arizona",+All!#REF!,0))</f>
        <v>#REF!</v>
      </c>
      <c r="B11" s="348" t="e">
        <f>IF(+All!#REF!="Arizona",+All!#REF!,IF(+All!#REF!="Arizona",+All!#REF!,0))</f>
        <v>#REF!</v>
      </c>
      <c r="C11" s="48" t="e">
        <f>IF(+All!#REF!="Arizona",+All!#REF!,IF(+All!#REF!="Arizona",+All!#REF!,0))</f>
        <v>#REF!</v>
      </c>
      <c r="D11" s="490" t="e">
        <f>IF(+All!#REF!="Arizona",+All!#REF!,IF(+All!#REF!="Arizona",+All!#REF!,0))</f>
        <v>#REF!</v>
      </c>
      <c r="E11" s="461" t="e">
        <f>IF(+All!#REF!="Arizona",+All!#REF!,IF(+All!#REF!="Arizona",+All!#REF!,0))</f>
        <v>#REF!</v>
      </c>
      <c r="F11" s="51" t="e">
        <f>IF(+All!#REF!="Arizona",+All!#REF!,IF(+All!#REF!="Arizona",+All!#REF!,0))</f>
        <v>#REF!</v>
      </c>
      <c r="G11" s="52" t="e">
        <f>IF(+All!#REF!="Arizona",+All!#REF!,IF(+All!#REF!="Arizona",+All!#REF!,0))</f>
        <v>#REF!</v>
      </c>
      <c r="H11" s="51" t="e">
        <f>IF(+All!#REF!="Arizona",+All!#REF!,IF(+All!#REF!="Arizona",+All!#REF!,0))</f>
        <v>#REF!</v>
      </c>
      <c r="I11" s="52" t="e">
        <f>IF(+All!#REF!="Arizona",+All!#REF!,IF(+All!#REF!="Arizona",+All!#REF!,0))</f>
        <v>#REF!</v>
      </c>
      <c r="J11" s="460" t="e">
        <f>IF(+All!#REF!="Arizona",+All!#REF!,IF(+All!#REF!="Arizona",+All!#REF!,0))</f>
        <v>#REF!</v>
      </c>
      <c r="K11" s="461" t="e">
        <f>IF(+All!#REF!="Arizona",+All!#REF!,IF(+All!#REF!="Arizona",+All!#REF!,0))</f>
        <v>#REF!</v>
      </c>
      <c r="L11" s="54" t="e">
        <f>IF(+All!#REF!="Arizona",+All!#REF!,IF(+All!#REF!="Arizona",+All!#REF!,0))</f>
        <v>#REF!</v>
      </c>
      <c r="M11" s="55" t="e">
        <f>IF(+All!#REF!="Arizona",+All!#REF!,IF(+All!#REF!="Arizona",+All!#REF!,0))</f>
        <v>#REF!</v>
      </c>
      <c r="N11" s="460" t="e">
        <f>IF(+All!#REF!="Arizona",+All!#REF!,IF(+All!#REF!="Arizona",+All!#REF!,0))</f>
        <v>#REF!</v>
      </c>
      <c r="O11" s="462" t="e">
        <f>IF(+All!#REF!="Arizona",+All!#REF!,IF(+All!#REF!="Arizona",+All!#REF!,0))</f>
        <v>#REF!</v>
      </c>
      <c r="P11" s="462" t="e">
        <f>IF(+All!#REF!="Arizona",+All!#REF!,IF(+All!#REF!="Arizona",+All!#REF!,0))</f>
        <v>#REF!</v>
      </c>
      <c r="Q11" s="461" t="e">
        <f>IF(+All!#REF!="Arizona",+All!#REF!,IF(+All!#REF!="Arizona",+All!#REF!,0))</f>
        <v>#REF!</v>
      </c>
      <c r="R11" s="460" t="e">
        <f>IF(+All!#REF!="Arizona",+All!#REF!,IF(+All!#REF!="Arizona",+All!#REF!,0))</f>
        <v>#REF!</v>
      </c>
      <c r="S11" s="462" t="e">
        <f>IF(+All!#REF!="Arizona",+All!#REF!,IF(+All!#REF!="Arizona",+All!#REF!,0))</f>
        <v>#REF!</v>
      </c>
      <c r="T11" s="460" t="e">
        <f>IF(+All!#REF!="Arizona",+All!#REF!,IF(+All!#REF!="Arizona",+All!#REF!,0))</f>
        <v>#REF!</v>
      </c>
      <c r="U11" s="461" t="e">
        <f>IF(+All!#REF!="Arizona",+All!#REF!,IF(+All!#REF!="Arizona",+All!#REF!,0))</f>
        <v>#REF!</v>
      </c>
    </row>
    <row r="12" spans="1:23" x14ac:dyDescent="0.8">
      <c r="A12" s="46">
        <f>IF(+All!$H580="Arizona",+All!A580,IF(+All!$F580="Arizona",+All!A580,0))</f>
        <v>9</v>
      </c>
      <c r="B12" s="348" t="str">
        <f>IF(+All!$H580="Arizona",+All!B580,IF(+All!$F580="Arizona",+All!B580,0))</f>
        <v>Sat</v>
      </c>
      <c r="C12" s="48">
        <f>IF(+All!$H580="Arizona",+All!C580,IF(+All!$F580="Arizona",+All!C580,0))</f>
        <v>44863</v>
      </c>
      <c r="D12" s="490">
        <f>IF(+All!$H580="Arizona",+All!D580,IF(+All!$F580="Arizona",+All!D580,0))</f>
        <v>0.79166666666666663</v>
      </c>
      <c r="E12" s="461" t="str">
        <f>IF(+All!$H580="Arizona",+All!E580,IF(+All!$F580="Arizona",+All!E580,0))</f>
        <v>PAC12</v>
      </c>
      <c r="F12" s="51" t="str">
        <f>IF(+All!$H580="Arizona",+All!F580,IF(+All!$F580="Arizona",+All!F580,0))</f>
        <v>Southern Cal</v>
      </c>
      <c r="G12" s="52" t="str">
        <f>IF(+All!$H580="Arizona",+All!G580,IF(+All!$F580="Arizona",+All!G580,0))</f>
        <v>P12</v>
      </c>
      <c r="H12" s="51" t="str">
        <f>IF(+All!$H580="Arizona",+All!H580,IF(+All!$F580="Arizona",+All!H580,0))</f>
        <v>Arizona</v>
      </c>
      <c r="I12" s="52" t="str">
        <f>IF(+All!$H580="Arizona",+All!I580,IF(+All!$F580="Arizona",+All!I580,0))</f>
        <v>P12</v>
      </c>
      <c r="J12" s="460" t="str">
        <f>IF(+All!$H580="Arizona",+All!J580,IF(+All!$F580="Arizona",+All!J580,0))</f>
        <v>Southern Cal</v>
      </c>
      <c r="K12" s="461" t="str">
        <f>IF(+All!$H580="Arizona",+All!K580,IF(+All!$F580="Arizona",+All!K580,0))</f>
        <v>Arizona</v>
      </c>
      <c r="L12" s="54">
        <f>IF(+All!$H580="Arizona",+All!L580,IF(+All!$F580="Arizona",+All!L580,0))</f>
        <v>15</v>
      </c>
      <c r="M12" s="55">
        <f>IF(+All!$H580="Arizona",+All!M580,IF(+All!$F580="Arizona",+All!M580,0))</f>
        <v>75.5</v>
      </c>
      <c r="N12" s="460" t="str">
        <f>IF(+All!$H580="Arizona",+All!N580,IF(+All!$F580="Arizona",+All!N580,0))</f>
        <v>Southern Cal</v>
      </c>
      <c r="O12" s="462">
        <f>IF(+All!$H580="Arizona",+All!O580,IF(+All!$F580="Arizona",+All!O580,0))</f>
        <v>45</v>
      </c>
      <c r="P12" s="462" t="str">
        <f>IF(+All!$H580="Arizona",+All!P580,IF(+All!$F580="Arizona",+All!P580,0))</f>
        <v>Arizona</v>
      </c>
      <c r="Q12" s="461">
        <f>IF(+All!$H580="Arizona",+All!Q580,IF(+All!$F580="Arizona",+All!Q580,0))</f>
        <v>37</v>
      </c>
      <c r="R12" s="460" t="str">
        <f>IF(+All!$H580="Arizona",+All!R580,IF(+All!$F580="Arizona",+All!R580,0))</f>
        <v>Arizona</v>
      </c>
      <c r="S12" s="462" t="str">
        <f>IF(+All!$H580="Arizona",+All!S580,IF(+All!$F580="Arizona",+All!S580,0))</f>
        <v>Southern Cal</v>
      </c>
      <c r="T12" s="460" t="str">
        <f>IF(+All!$H580="Arizona",+All!T580,IF(+All!$F580="Arizona",+All!T580,0))</f>
        <v>Southern Cal</v>
      </c>
      <c r="U12" s="461" t="str">
        <f>IF(+All!$H580="Arizona",+All!U580,IF(+All!$F580="Arizona",+All!U580,0))</f>
        <v>L</v>
      </c>
    </row>
    <row r="13" spans="1:23" x14ac:dyDescent="0.8">
      <c r="A13" s="46">
        <f>IF(+All!$H640="Arizona",+All!A640,IF(+All!$F640="Arizona",+All!A640,0))</f>
        <v>10</v>
      </c>
      <c r="B13" s="348" t="str">
        <f>IF(+All!$H640="Arizona",+All!B640,IF(+All!$F640="Arizona",+All!B640,0))</f>
        <v>Sat</v>
      </c>
      <c r="C13" s="48">
        <f>IF(+All!$H640="Arizona",+All!C640,IF(+All!$F640="Arizona",+All!C640,0))</f>
        <v>44870</v>
      </c>
      <c r="D13" s="490">
        <f>IF(+All!$H640="Arizona",+All!D640,IF(+All!$F640="Arizona",+All!D640,0))</f>
        <v>0.8125</v>
      </c>
      <c r="E13" s="461" t="str">
        <f>IF(+All!$H640="Arizona",+All!E640,IF(+All!$F640="Arizona",+All!E640,0))</f>
        <v>PAC12</v>
      </c>
      <c r="F13" s="51" t="str">
        <f>IF(+All!$H640="Arizona",+All!F640,IF(+All!$F640="Arizona",+All!F640,0))</f>
        <v>Arizona</v>
      </c>
      <c r="G13" s="52" t="str">
        <f>IF(+All!$H640="Arizona",+All!G640,IF(+All!$F640="Arizona",+All!G640,0))</f>
        <v>P12</v>
      </c>
      <c r="H13" s="51" t="str">
        <f>IF(+All!$H640="Arizona",+All!H640,IF(+All!$F640="Arizona",+All!H640,0))</f>
        <v>Utah</v>
      </c>
      <c r="I13" s="52" t="str">
        <f>IF(+All!$H640="Arizona",+All!I640,IF(+All!$F640="Arizona",+All!I640,0))</f>
        <v>P12</v>
      </c>
      <c r="J13" s="460" t="str">
        <f>IF(+All!$H640="Arizona",+All!J640,IF(+All!$F640="Arizona",+All!J640,0))</f>
        <v>Utah</v>
      </c>
      <c r="K13" s="461" t="str">
        <f>IF(+All!$H640="Arizona",+All!K640,IF(+All!$F640="Arizona",+All!K640,0))</f>
        <v>Arizona</v>
      </c>
      <c r="L13" s="54">
        <f>IF(+All!$H640="Arizona",+All!L640,IF(+All!$F640="Arizona",+All!L640,0))</f>
        <v>17.5</v>
      </c>
      <c r="M13" s="55">
        <f>IF(+All!$H640="Arizona",+All!M640,IF(+All!$F640="Arizona",+All!M640,0))</f>
        <v>67</v>
      </c>
      <c r="N13" s="460" t="str">
        <f>IF(+All!$H640="Arizona",+All!N640,IF(+All!$F640="Arizona",+All!N640,0))</f>
        <v>Utah</v>
      </c>
      <c r="O13" s="462">
        <f>IF(+All!$H640="Arizona",+All!O640,IF(+All!$F640="Arizona",+All!O640,0))</f>
        <v>45</v>
      </c>
      <c r="P13" s="462" t="str">
        <f>IF(+All!$H640="Arizona",+All!P640,IF(+All!$F640="Arizona",+All!P640,0))</f>
        <v>Arizona</v>
      </c>
      <c r="Q13" s="461">
        <f>IF(+All!$H640="Arizona",+All!Q640,IF(+All!$F640="Arizona",+All!Q640,0))</f>
        <v>20</v>
      </c>
      <c r="R13" s="460" t="str">
        <f>IF(+All!$H640="Arizona",+All!R640,IF(+All!$F640="Arizona",+All!R640,0))</f>
        <v>Utah</v>
      </c>
      <c r="S13" s="462" t="str">
        <f>IF(+All!$H640="Arizona",+All!S640,IF(+All!$F640="Arizona",+All!S640,0))</f>
        <v>Arizona</v>
      </c>
      <c r="T13" s="460" t="str">
        <f>IF(+All!$H640="Arizona",+All!T640,IF(+All!$F640="Arizona",+All!T640,0))</f>
        <v>Utah</v>
      </c>
      <c r="U13" s="461" t="str">
        <f>IF(+All!$H640="Arizona",+All!U640,IF(+All!$F640="Arizona",+All!U640,0))</f>
        <v>W</v>
      </c>
    </row>
    <row r="14" spans="1:23" x14ac:dyDescent="0.8">
      <c r="A14" s="46">
        <f>IF(+All!$H701="Arizona",+All!A701,IF(+All!$F701="Arizona",+All!A701,0))</f>
        <v>11</v>
      </c>
      <c r="B14" s="348" t="str">
        <f>IF(+All!$H701="Arizona",+All!B701,IF(+All!$F701="Arizona",+All!B701,0))</f>
        <v>Sat</v>
      </c>
      <c r="C14" s="48">
        <f>IF(+All!$H701="Arizona",+All!C701,IF(+All!$F701="Arizona",+All!C701,0))</f>
        <v>44877</v>
      </c>
      <c r="D14" s="490">
        <f>IF(+All!$H701="Arizona",+All!D701,IF(+All!$F701="Arizona",+All!D701,0))</f>
        <v>0.9375</v>
      </c>
      <c r="E14" s="461" t="str">
        <f>IF(+All!$H701="Arizona",+All!E701,IF(+All!$F701="Arizona",+All!E701,0))</f>
        <v>Fox</v>
      </c>
      <c r="F14" s="51" t="str">
        <f>IF(+All!$H701="Arizona",+All!F701,IF(+All!$F701="Arizona",+All!F701,0))</f>
        <v>Arizona</v>
      </c>
      <c r="G14" s="52" t="str">
        <f>IF(+All!$H701="Arizona",+All!G701,IF(+All!$F701="Arizona",+All!G701,0))</f>
        <v>P12</v>
      </c>
      <c r="H14" s="51" t="str">
        <f>IF(+All!$H701="Arizona",+All!H701,IF(+All!$F701="Arizona",+All!H701,0))</f>
        <v>UCLA</v>
      </c>
      <c r="I14" s="52" t="str">
        <f>IF(+All!$H701="Arizona",+All!I701,IF(+All!$F701="Arizona",+All!I701,0))</f>
        <v>P12</v>
      </c>
      <c r="J14" s="460" t="str">
        <f>IF(+All!$H701="Arizona",+All!J701,IF(+All!$F701="Arizona",+All!J701,0))</f>
        <v>UCLA</v>
      </c>
      <c r="K14" s="461" t="str">
        <f>IF(+All!$H701="Arizona",+All!K701,IF(+All!$F701="Arizona",+All!K701,0))</f>
        <v>Arizona</v>
      </c>
      <c r="L14" s="54">
        <f>IF(+All!$H701="Arizona",+All!L701,IF(+All!$F701="Arizona",+All!L701,0))</f>
        <v>19.5</v>
      </c>
      <c r="M14" s="55">
        <f>IF(+All!$H701="Arizona",+All!M701,IF(+All!$F701="Arizona",+All!M701,0))</f>
        <v>77.5</v>
      </c>
      <c r="N14" s="460" t="str">
        <f>IF(+All!$H701="Arizona",+All!N701,IF(+All!$F701="Arizona",+All!N701,0))</f>
        <v>Arizona</v>
      </c>
      <c r="O14" s="462">
        <f>IF(+All!$H701="Arizona",+All!O701,IF(+All!$F701="Arizona",+All!O701,0))</f>
        <v>34</v>
      </c>
      <c r="P14" s="462" t="str">
        <f>IF(+All!$H701="Arizona",+All!P701,IF(+All!$F701="Arizona",+All!P701,0))</f>
        <v>UCLA</v>
      </c>
      <c r="Q14" s="461">
        <f>IF(+All!$H701="Arizona",+All!Q701,IF(+All!$F701="Arizona",+All!Q701,0))</f>
        <v>28</v>
      </c>
      <c r="R14" s="460" t="str">
        <f>IF(+All!$H701="Arizona",+All!R701,IF(+All!$F701="Arizona",+All!R701,0))</f>
        <v>Arizona</v>
      </c>
      <c r="S14" s="462" t="str">
        <f>IF(+All!$H701="Arizona",+All!S701,IF(+All!$F701="Arizona",+All!S701,0))</f>
        <v>UCLA</v>
      </c>
      <c r="T14" s="460" t="str">
        <f>IF(+All!$H701="Arizona",+All!T701,IF(+All!$F701="Arizona",+All!T701,0))</f>
        <v>UCLA</v>
      </c>
      <c r="U14" s="461" t="str">
        <f>IF(+All!$H701="Arizona",+All!U701,IF(+All!$F701="Arizona",+All!U701,0))</f>
        <v>L</v>
      </c>
    </row>
    <row r="15" spans="1:23" x14ac:dyDescent="0.8">
      <c r="A15" s="46">
        <f>IF(+All!$H763="Arizona",+All!A763,IF(+All!$F763="Arizona",+All!A763,0))</f>
        <v>12</v>
      </c>
      <c r="B15" s="348" t="str">
        <f>IF(+All!$H763="Arizona",+All!B763,IF(+All!$F763="Arizona",+All!B763,0))</f>
        <v>Sat</v>
      </c>
      <c r="C15" s="48">
        <f>IF(+All!$H763="Arizona",+All!C763,IF(+All!$F763="Arizona",+All!C763,0))</f>
        <v>44884</v>
      </c>
      <c r="D15" s="490">
        <f>IF(+All!$H763="Arizona",+All!D763,IF(+All!$F763="Arizona",+All!D763,0))</f>
        <v>0.58333333333333337</v>
      </c>
      <c r="E15" s="461" t="str">
        <f>IF(+All!$H763="Arizona",+All!E763,IF(+All!$F763="Arizona",+All!E763,0))</f>
        <v>PAC12</v>
      </c>
      <c r="F15" s="51" t="str">
        <f>IF(+All!$H763="Arizona",+All!F763,IF(+All!$F763="Arizona",+All!F763,0))</f>
        <v>Washington State</v>
      </c>
      <c r="G15" s="52" t="str">
        <f>IF(+All!$H763="Arizona",+All!G763,IF(+All!$F763="Arizona",+All!G763,0))</f>
        <v>P12</v>
      </c>
      <c r="H15" s="51" t="str">
        <f>IF(+All!$H763="Arizona",+All!H763,IF(+All!$F763="Arizona",+All!H763,0))</f>
        <v>Arizona</v>
      </c>
      <c r="I15" s="52" t="str">
        <f>IF(+All!$H763="Arizona",+All!I763,IF(+All!$F763="Arizona",+All!I763,0))</f>
        <v>P12</v>
      </c>
      <c r="J15" s="460" t="str">
        <f>IF(+All!$H763="Arizona",+All!J763,IF(+All!$F763="Arizona",+All!J763,0))</f>
        <v>Washington State</v>
      </c>
      <c r="K15" s="461" t="str">
        <f>IF(+All!$H763="Arizona",+All!K763,IF(+All!$F763="Arizona",+All!K763,0))</f>
        <v>Arizona</v>
      </c>
      <c r="L15" s="54">
        <f>IF(+All!$H763="Arizona",+All!L763,IF(+All!$F763="Arizona",+All!L763,0))</f>
        <v>4</v>
      </c>
      <c r="M15" s="55">
        <f>IF(+All!$H763="Arizona",+All!M763,IF(+All!$F763="Arizona",+All!M763,0))</f>
        <v>63</v>
      </c>
      <c r="N15" s="460" t="str">
        <f>IF(+All!$H763="Arizona",+All!N763,IF(+All!$F763="Arizona",+All!N763,0))</f>
        <v>Washington State</v>
      </c>
      <c r="O15" s="462">
        <f>IF(+All!$H763="Arizona",+All!O763,IF(+All!$F763="Arizona",+All!O763,0))</f>
        <v>31</v>
      </c>
      <c r="P15" s="462" t="str">
        <f>IF(+All!$H763="Arizona",+All!P763,IF(+All!$F763="Arizona",+All!P763,0))</f>
        <v>Arizona</v>
      </c>
      <c r="Q15" s="461">
        <f>IF(+All!$H763="Arizona",+All!Q763,IF(+All!$F763="Arizona",+All!Q763,0))</f>
        <v>20</v>
      </c>
      <c r="R15" s="460" t="str">
        <f>IF(+All!$H763="Arizona",+All!R763,IF(+All!$F763="Arizona",+All!R763,0))</f>
        <v>Washington State</v>
      </c>
      <c r="S15" s="462" t="str">
        <f>IF(+All!$H763="Arizona",+All!S763,IF(+All!$F763="Arizona",+All!S763,0))</f>
        <v>Arizona</v>
      </c>
      <c r="T15" s="460" t="str">
        <f>IF(+All!$H763="Arizona",+All!T763,IF(+All!$F763="Arizona",+All!T763,0))</f>
        <v>Washington State</v>
      </c>
      <c r="U15" s="461" t="str">
        <f>IF(+All!$H763="Arizona",+All!U763,IF(+All!$F763="Arizona",+All!U763,0))</f>
        <v>W</v>
      </c>
    </row>
    <row r="16" spans="1:23" x14ac:dyDescent="0.8">
      <c r="A16" s="46">
        <f>IF(+All!$H791="Arizona",+All!A791,IF(+All!$F791="Arizona",+All!A791,0))</f>
        <v>13</v>
      </c>
      <c r="B16" s="348" t="str">
        <f>IF(+All!$H791="Arizona",+All!B791,IF(+All!$F791="Arizona",+All!B791,0))</f>
        <v>Fri</v>
      </c>
      <c r="C16" s="48">
        <f>IF(+All!$H791="Arizona",+All!C791,IF(+All!$F791="Arizona",+All!C791,0))</f>
        <v>44890</v>
      </c>
      <c r="D16" s="490">
        <f>IF(+All!$H791="Arizona",+All!D791,IF(+All!$F791="Arizona",+All!D791,0))</f>
        <v>0.625</v>
      </c>
      <c r="E16" s="461" t="str">
        <f>IF(+All!$H791="Arizona",+All!E791,IF(+All!$F791="Arizona",+All!E791,0))</f>
        <v>FS1</v>
      </c>
      <c r="F16" s="51" t="str">
        <f>IF(+All!$H791="Arizona",+All!F791,IF(+All!$F791="Arizona",+All!F791,0))</f>
        <v>Arizona State</v>
      </c>
      <c r="G16" s="52" t="str">
        <f>IF(+All!$H791="Arizona",+All!G791,IF(+All!$F791="Arizona",+All!G791,0))</f>
        <v>P12</v>
      </c>
      <c r="H16" s="51" t="str">
        <f>IF(+All!$H791="Arizona",+All!H791,IF(+All!$F791="Arizona",+All!H791,0))</f>
        <v>Arizona</v>
      </c>
      <c r="I16" s="52" t="str">
        <f>IF(+All!$H791="Arizona",+All!I791,IF(+All!$F791="Arizona",+All!I791,0))</f>
        <v>P12</v>
      </c>
      <c r="J16" s="460" t="str">
        <f>IF(+All!$H791="Arizona",+All!J791,IF(+All!$F791="Arizona",+All!J791,0))</f>
        <v>Arizona</v>
      </c>
      <c r="K16" s="461" t="str">
        <f>IF(+All!$H791="Arizona",+All!K791,IF(+All!$F791="Arizona",+All!K791,0))</f>
        <v>Arizona State</v>
      </c>
      <c r="L16" s="54">
        <f>IF(+All!$H791="Arizona",+All!L791,IF(+All!$F791="Arizona",+All!L791,0))</f>
        <v>4</v>
      </c>
      <c r="M16" s="55">
        <f>IF(+All!$H791="Arizona",+All!M791,IF(+All!$F791="Arizona",+All!M791,0))</f>
        <v>66.5</v>
      </c>
      <c r="N16" s="460" t="str">
        <f>IF(+All!$H791="Arizona",+All!N791,IF(+All!$F791="Arizona",+All!N791,0))</f>
        <v>Arizona</v>
      </c>
      <c r="O16" s="462">
        <f>IF(+All!$H791="Arizona",+All!O791,IF(+All!$F791="Arizona",+All!O791,0))</f>
        <v>38</v>
      </c>
      <c r="P16" s="462" t="str">
        <f>IF(+All!$H791="Arizona",+All!P791,IF(+All!$F791="Arizona",+All!P791,0))</f>
        <v>Arizona State</v>
      </c>
      <c r="Q16" s="461">
        <f>IF(+All!$H791="Arizona",+All!Q791,IF(+All!$F791="Arizona",+All!Q791,0))</f>
        <v>35</v>
      </c>
      <c r="R16" s="460" t="str">
        <f>IF(+All!$H791="Arizona",+All!R791,IF(+All!$F791="Arizona",+All!R791,0))</f>
        <v>Arizona State</v>
      </c>
      <c r="S16" s="462" t="str">
        <f>IF(+All!$H791="Arizona",+All!S791,IF(+All!$F791="Arizona",+All!S791,0))</f>
        <v>Arizona</v>
      </c>
      <c r="T16" s="460" t="str">
        <f>IF(+All!$H791="Arizona",+All!T791,IF(+All!$F791="Arizona",+All!T791,0))</f>
        <v>Arizona</v>
      </c>
      <c r="U16" s="461" t="str">
        <f>IF(+All!$H791="Arizona",+All!U791,IF(+All!$F791="Arizona",+All!U791,0))</f>
        <v>L</v>
      </c>
    </row>
    <row r="17" spans="1:21" x14ac:dyDescent="0.8">
      <c r="A17" s="38"/>
      <c r="B17" s="39"/>
      <c r="C17" s="40"/>
      <c r="D17" s="41"/>
      <c r="E17" s="463"/>
      <c r="F17" s="897" t="str">
        <f>H18</f>
        <v>Arizona State</v>
      </c>
      <c r="G17" s="903"/>
      <c r="H17" s="903"/>
      <c r="I17" s="904"/>
      <c r="J17" s="459"/>
      <c r="K17" s="463"/>
      <c r="L17" s="44"/>
      <c r="M17" s="45"/>
      <c r="N17" s="459"/>
      <c r="O17" s="5"/>
      <c r="P17" s="5"/>
      <c r="Q17" s="463"/>
      <c r="R17" s="459"/>
      <c r="S17" s="5"/>
      <c r="T17" s="459"/>
      <c r="U17" s="463"/>
    </row>
    <row r="18" spans="1:21" x14ac:dyDescent="0.8">
      <c r="A18" s="46">
        <f>IF(+All!$H66="Arizona State",+All!A66,IF(+All!$F66="Arizona State",+All!A66,0))</f>
        <v>1</v>
      </c>
      <c r="B18" s="348" t="str">
        <f>IF(+All!$H66="Arizona State",+All!B66,IF(+All!$F66="Arizona State",+All!B66,0))</f>
        <v>Thurs</v>
      </c>
      <c r="C18" s="72">
        <f>IF(+All!$H66="Arizona State",+All!C66,IF(+All!$F66="Arizona State",+All!C66,0))</f>
        <v>44805</v>
      </c>
      <c r="D18" s="73">
        <f>IF(+All!$H66="Arizona State",+All!D66,IF(+All!$F66="Arizona State",+All!D66,0))</f>
        <v>0.91666666666666663</v>
      </c>
      <c r="E18" s="461" t="str">
        <f>IF(+All!$H66="Arizona State",+All!E66,IF(+All!$F66="Arizona State",+All!E66,0))</f>
        <v>PAC12</v>
      </c>
      <c r="F18" s="460" t="str">
        <f>IF(+All!$H66="Arizona State",+All!F66,IF(+All!$F66="Arizona State",+All!F66,0))</f>
        <v>1AA Northern Arizona</v>
      </c>
      <c r="G18" s="461" t="str">
        <f>IF(+All!$H66="Arizona State",+All!G66,IF(+All!$F66="Arizona State",+All!G66,0))</f>
        <v>1AA</v>
      </c>
      <c r="H18" s="460" t="str">
        <f>IF(+All!$H66="Arizona State",+All!H66,IF(+All!$F66="Arizona State",+All!H66,0))</f>
        <v>Arizona State</v>
      </c>
      <c r="I18" s="461" t="str">
        <f>IF(+All!$H66="Arizona State",+All!I66,IF(+All!$F66="Arizona State",+All!I66,0))</f>
        <v>P12</v>
      </c>
      <c r="J18" s="460">
        <f>IF(+All!$H66="Arizona State",+All!J66,IF(+All!$F66="Arizona State",+All!J66,0))</f>
        <v>0</v>
      </c>
      <c r="K18" s="461">
        <f>IF(+All!$H66="Arizona State",+All!K66,IF(+All!$F66="Arizona State",+All!K66,0))</f>
        <v>0</v>
      </c>
      <c r="L18" s="60">
        <f>IF(+All!$H66="Arizona State",+All!L66,IF(+All!$F66="Arizona State",+All!L66,0))</f>
        <v>0</v>
      </c>
      <c r="M18" s="61">
        <f>IF(+All!$H66="Arizona State",+All!M66,IF(+All!$F66="Arizona State",+All!M66,0))</f>
        <v>0</v>
      </c>
      <c r="N18" s="460" t="str">
        <f>IF(+All!$H66="Arizona State",+All!N66,IF(+All!$F66="Arizona State",+All!N66,0))</f>
        <v>Arizona State</v>
      </c>
      <c r="O18" s="462">
        <f>IF(+All!$H66="Arizona State",+All!O66,IF(+All!$F66="Arizona State",+All!O66,0))</f>
        <v>40</v>
      </c>
      <c r="P18" s="462" t="str">
        <f>IF(+All!$H66="Arizona State",+All!P66,IF(+All!$F66="Arizona State",+All!P66,0))</f>
        <v>1AA Northern Arizona</v>
      </c>
      <c r="Q18" s="461">
        <f>IF(+All!$H66="Arizona State",+All!Q66,IF(+All!$F66="Arizona State",+All!Q66,0))</f>
        <v>3</v>
      </c>
      <c r="R18" s="460">
        <f>IF(+All!$H66="Arizona State",+All!R66,IF(+All!$F66="Arizona State",+All!R66,0))</f>
        <v>0</v>
      </c>
      <c r="S18" s="462">
        <f>IF(+All!$H66="Arizona State",+All!S66,IF(+All!$F66="Arizona State",+All!S66,0))</f>
        <v>0</v>
      </c>
      <c r="T18" s="460">
        <f>IF(+All!$H66="Arizona State",+All!T66,IF(+All!$F66="Arizona State",+All!T66,0))</f>
        <v>0</v>
      </c>
      <c r="U18" s="461">
        <f>IF(+All!$H66="Arizona State",+All!U66,IF(+All!$F66="Arizona State",+All!U66,0))</f>
        <v>0</v>
      </c>
    </row>
    <row r="19" spans="1:21" x14ac:dyDescent="0.8">
      <c r="A19" s="46">
        <f>IF(+All!$H129="Arizona State",+All!A129,IF(+All!$F129="Arizona State",+All!A129,0))</f>
        <v>2</v>
      </c>
      <c r="B19" s="348" t="str">
        <f>IF(+All!$H129="Arizona State",+All!B129,IF(+All!$F129="Arizona State",+All!B129,0))</f>
        <v>Sat</v>
      </c>
      <c r="C19" s="72">
        <f>IF(+All!$H129="Arizona State",+All!C129,IF(+All!$F129="Arizona State",+All!C129,0))</f>
        <v>44814</v>
      </c>
      <c r="D19" s="73">
        <f>IF(+All!$H129="Arizona State",+All!D129,IF(+All!$F129="Arizona State",+All!D129,0))</f>
        <v>0.8125</v>
      </c>
      <c r="E19" s="461" t="str">
        <f>IF(+All!$H129="Arizona State",+All!E129,IF(+All!$F129="Arizona State",+All!E129,0))</f>
        <v>ESPN2</v>
      </c>
      <c r="F19" s="460" t="str">
        <f>IF(+All!$H129="Arizona State",+All!F129,IF(+All!$F129="Arizona State",+All!F129,0))</f>
        <v>Arizona State</v>
      </c>
      <c r="G19" s="461" t="str">
        <f>IF(+All!$H129="Arizona State",+All!G129,IF(+All!$F129="Arizona State",+All!G129,0))</f>
        <v>P12</v>
      </c>
      <c r="H19" s="460" t="str">
        <f>IF(+All!$H129="Arizona State",+All!H129,IF(+All!$F129="Arizona State",+All!H129,0))</f>
        <v>Oklahoma State</v>
      </c>
      <c r="I19" s="461" t="str">
        <f>IF(+All!$H129="Arizona State",+All!I129,IF(+All!$F129="Arizona State",+All!I129,0))</f>
        <v>B12</v>
      </c>
      <c r="J19" s="460" t="str">
        <f>IF(+All!$H129="Arizona State",+All!J129,IF(+All!$F129="Arizona State",+All!J129,0))</f>
        <v>Oklahoma State</v>
      </c>
      <c r="K19" s="461" t="str">
        <f>IF(+All!$H129="Arizona State",+All!K129,IF(+All!$F129="Arizona State",+All!K129,0))</f>
        <v>Arizona State</v>
      </c>
      <c r="L19" s="60">
        <f>IF(+All!$H129="Arizona State",+All!L129,IF(+All!$F129="Arizona State",+All!L129,0))</f>
        <v>11</v>
      </c>
      <c r="M19" s="61">
        <f>IF(+All!$H129="Arizona State",+All!M129,IF(+All!$F129="Arizona State",+All!M129,0))</f>
        <v>57.5</v>
      </c>
      <c r="N19" s="460" t="str">
        <f>IF(+All!$H129="Arizona State",+All!N129,IF(+All!$F129="Arizona State",+All!N129,0))</f>
        <v>Oklahoma State</v>
      </c>
      <c r="O19" s="462">
        <f>IF(+All!$H129="Arizona State",+All!O129,IF(+All!$F129="Arizona State",+All!O129,0))</f>
        <v>34</v>
      </c>
      <c r="P19" s="462" t="str">
        <f>IF(+All!$H129="Arizona State",+All!P129,IF(+All!$F129="Arizona State",+All!P129,0))</f>
        <v>Arizona State</v>
      </c>
      <c r="Q19" s="461">
        <f>IF(+All!$H129="Arizona State",+All!Q129,IF(+All!$F129="Arizona State",+All!Q129,0))</f>
        <v>17</v>
      </c>
      <c r="R19" s="460" t="str">
        <f>IF(+All!$H129="Arizona State",+All!R129,IF(+All!$F129="Arizona State",+All!R129,0))</f>
        <v>Oklahoma State</v>
      </c>
      <c r="S19" s="462" t="str">
        <f>IF(+All!$H129="Arizona State",+All!S129,IF(+All!$F129="Arizona State",+All!S129,0))</f>
        <v>Arizona State</v>
      </c>
      <c r="T19" s="460" t="str">
        <f>IF(+All!$H129="Arizona State",+All!T129,IF(+All!$F129="Arizona State",+All!T129,0))</f>
        <v>Arizona State</v>
      </c>
      <c r="U19" s="461" t="str">
        <f>IF(+All!$H129="Arizona State",+All!U129,IF(+All!$F129="Arizona State",+All!U129,0))</f>
        <v>L</v>
      </c>
    </row>
    <row r="20" spans="1:21" x14ac:dyDescent="0.8">
      <c r="A20" s="46">
        <f>IF(+All!$H230="Arizona State",+All!A230,IF(+All!$F230="Arizona State",+All!A230,0))</f>
        <v>3</v>
      </c>
      <c r="B20" s="348" t="str">
        <f>IF(+All!$H230="Arizona State",+All!B230,IF(+All!$F230="Arizona State",+All!B230,0))</f>
        <v>Sat</v>
      </c>
      <c r="C20" s="72">
        <f>IF(+All!$H230="Arizona State",+All!C230,IF(+All!$F230="Arizona State",+All!C230,0))</f>
        <v>44821</v>
      </c>
      <c r="D20" s="73">
        <f>IF(+All!$H230="Arizona State",+All!D230,IF(+All!$F230="Arizona State",+All!D230,0))</f>
        <v>0.95833333333333337</v>
      </c>
      <c r="E20" s="461" t="str">
        <f>IF(+All!$H230="Arizona State",+All!E230,IF(+All!$F230="Arizona State",+All!E230,0))</f>
        <v>PAC12</v>
      </c>
      <c r="F20" s="460" t="str">
        <f>IF(+All!$H230="Arizona State",+All!F230,IF(+All!$F230="Arizona State",+All!F230,0))</f>
        <v>Eastern Michigan</v>
      </c>
      <c r="G20" s="461" t="str">
        <f>IF(+All!$H230="Arizona State",+All!G230,IF(+All!$F230="Arizona State",+All!G230,0))</f>
        <v>MAC</v>
      </c>
      <c r="H20" s="460" t="str">
        <f>IF(+All!$H230="Arizona State",+All!H230,IF(+All!$F230="Arizona State",+All!H230,0))</f>
        <v>Arizona State</v>
      </c>
      <c r="I20" s="461" t="str">
        <f>IF(+All!$H230="Arizona State",+All!I230,IF(+All!$F230="Arizona State",+All!I230,0))</f>
        <v>P12</v>
      </c>
      <c r="J20" s="460" t="str">
        <f>IF(+All!$H230="Arizona State",+All!J230,IF(+All!$F230="Arizona State",+All!J230,0))</f>
        <v>Arizona State</v>
      </c>
      <c r="K20" s="461" t="str">
        <f>IF(+All!$H230="Arizona State",+All!K230,IF(+All!$F230="Arizona State",+All!K230,0))</f>
        <v>Eastern Michigan</v>
      </c>
      <c r="L20" s="60">
        <f>IF(+All!$H230="Arizona State",+All!L230,IF(+All!$F230="Arizona State",+All!L230,0))</f>
        <v>20</v>
      </c>
      <c r="M20" s="61">
        <f>IF(+All!$H230="Arizona State",+All!M230,IF(+All!$F230="Arizona State",+All!M230,0))</f>
        <v>56.5</v>
      </c>
      <c r="N20" s="460" t="str">
        <f>IF(+All!$H230="Arizona State",+All!N230,IF(+All!$F230="Arizona State",+All!N230,0))</f>
        <v>Eastern Michigan</v>
      </c>
      <c r="O20" s="462">
        <f>IF(+All!$H230="Arizona State",+All!O230,IF(+All!$F230="Arizona State",+All!O230,0))</f>
        <v>30</v>
      </c>
      <c r="P20" s="462" t="str">
        <f>IF(+All!$H230="Arizona State",+All!P230,IF(+All!$F230="Arizona State",+All!P230,0))</f>
        <v>Arizona State</v>
      </c>
      <c r="Q20" s="461">
        <f>IF(+All!$H230="Arizona State",+All!Q230,IF(+All!$F230="Arizona State",+All!Q230,0))</f>
        <v>21</v>
      </c>
      <c r="R20" s="460" t="str">
        <f>IF(+All!$H230="Arizona State",+All!R230,IF(+All!$F230="Arizona State",+All!R230,0))</f>
        <v>Eastern Michigan</v>
      </c>
      <c r="S20" s="462" t="str">
        <f>IF(+All!$H230="Arizona State",+All!S230,IF(+All!$F230="Arizona State",+All!S230,0))</f>
        <v>Arizona State</v>
      </c>
      <c r="T20" s="460" t="str">
        <f>IF(+All!$H230="Arizona State",+All!T230,IF(+All!$F230="Arizona State",+All!T230,0))</f>
        <v>Eastern Michigan</v>
      </c>
      <c r="U20" s="461" t="str">
        <f>IF(+All!$H230="Arizona State",+All!U230,IF(+All!$F230="Arizona State",+All!U230,0))</f>
        <v>W</v>
      </c>
    </row>
    <row r="21" spans="1:21" x14ac:dyDescent="0.8">
      <c r="A21" s="46">
        <f>IF(+All!$H295="Arizona State",+All!A295,IF(+All!$F295="Arizona State",+All!A295,0))</f>
        <v>4</v>
      </c>
      <c r="B21" s="348" t="str">
        <f>IF(+All!$H295="Arizona State",+All!B295,IF(+All!$F295="Arizona State",+All!B295,0))</f>
        <v>Sat</v>
      </c>
      <c r="C21" s="72">
        <f>IF(+All!$H295="Arizona State",+All!C295,IF(+All!$F295="Arizona State",+All!C295,0))</f>
        <v>44828</v>
      </c>
      <c r="D21" s="73">
        <f>IF(+All!$H295="Arizona State",+All!D295,IF(+All!$F295="Arizona State",+All!D295,0))</f>
        <v>0.9375</v>
      </c>
      <c r="E21" s="461" t="str">
        <f>IF(+All!$H295="Arizona State",+All!E295,IF(+All!$F295="Arizona State",+All!E295,0))</f>
        <v>ESPN</v>
      </c>
      <c r="F21" s="460" t="str">
        <f>IF(+All!$H295="Arizona State",+All!F295,IF(+All!$F295="Arizona State",+All!F295,0))</f>
        <v>Utah</v>
      </c>
      <c r="G21" s="461" t="str">
        <f>IF(+All!$H295="Arizona State",+All!G295,IF(+All!$F295="Arizona State",+All!G295,0))</f>
        <v>P12</v>
      </c>
      <c r="H21" s="460" t="str">
        <f>IF(+All!$H295="Arizona State",+All!H295,IF(+All!$F295="Arizona State",+All!H295,0))</f>
        <v>Arizona State</v>
      </c>
      <c r="I21" s="461" t="str">
        <f>IF(+All!$H295="Arizona State",+All!I295,IF(+All!$F295="Arizona State",+All!I295,0))</f>
        <v>P12</v>
      </c>
      <c r="J21" s="460" t="str">
        <f>IF(+All!$H295="Arizona State",+All!J295,IF(+All!$F295="Arizona State",+All!J295,0))</f>
        <v>Utah</v>
      </c>
      <c r="K21" s="461" t="str">
        <f>IF(+All!$H295="Arizona State",+All!K295,IF(+All!$F295="Arizona State",+All!K295,0))</f>
        <v>Arizona State</v>
      </c>
      <c r="L21" s="60">
        <f>IF(+All!$H295="Arizona State",+All!L295,IF(+All!$F295="Arizona State",+All!L295,0))</f>
        <v>14</v>
      </c>
      <c r="M21" s="61">
        <f>IF(+All!$H295="Arizona State",+All!M295,IF(+All!$F295="Arizona State",+All!M295,0))</f>
        <v>54</v>
      </c>
      <c r="N21" s="460" t="str">
        <f>IF(+All!$H295="Arizona State",+All!N295,IF(+All!$F295="Arizona State",+All!N295,0))</f>
        <v>Utah</v>
      </c>
      <c r="O21" s="462">
        <f>IF(+All!$H295="Arizona State",+All!O295,IF(+All!$F295="Arizona State",+All!O295,0))</f>
        <v>34</v>
      </c>
      <c r="P21" s="462" t="str">
        <f>IF(+All!$H295="Arizona State",+All!P295,IF(+All!$F295="Arizona State",+All!P295,0))</f>
        <v>Arizona State</v>
      </c>
      <c r="Q21" s="461">
        <f>IF(+All!$H295="Arizona State",+All!Q295,IF(+All!$F295="Arizona State",+All!Q295,0))</f>
        <v>13</v>
      </c>
      <c r="R21" s="460" t="str">
        <f>IF(+All!$H295="Arizona State",+All!R295,IF(+All!$F295="Arizona State",+All!R295,0))</f>
        <v>Utah</v>
      </c>
      <c r="S21" s="462" t="str">
        <f>IF(+All!$H295="Arizona State",+All!S295,IF(+All!$F295="Arizona State",+All!S295,0))</f>
        <v>Arizona State</v>
      </c>
      <c r="T21" s="460" t="str">
        <f>IF(+All!$H295="Arizona State",+All!T295,IF(+All!$F295="Arizona State",+All!T295,0))</f>
        <v>Utah</v>
      </c>
      <c r="U21" s="461" t="str">
        <f>IF(+All!$H295="Arizona State",+All!U295,IF(+All!$F295="Arizona State",+All!U295,0))</f>
        <v>W</v>
      </c>
    </row>
    <row r="22" spans="1:21" x14ac:dyDescent="0.8">
      <c r="A22" s="46">
        <f>IF(+All!$H365="Arizona State",+All!A365,IF(+All!$F365="Arizona State",+All!A365,0))</f>
        <v>5</v>
      </c>
      <c r="B22" s="348" t="str">
        <f>IF(+All!$H365="Arizona State",+All!B365,IF(+All!$F365="Arizona State",+All!B365,0))</f>
        <v>Sat</v>
      </c>
      <c r="C22" s="72">
        <f>IF(+All!$H365="Arizona State",+All!C365,IF(+All!$F365="Arizona State",+All!C365,0))</f>
        <v>44835</v>
      </c>
      <c r="D22" s="73">
        <f>IF(+All!$H365="Arizona State",+All!D365,IF(+All!$F365="Arizona State",+All!D365,0))</f>
        <v>0.9375</v>
      </c>
      <c r="E22" s="461" t="str">
        <f>IF(+All!$H365="Arizona State",+All!E365,IF(+All!$F365="Arizona State",+All!E365,0))</f>
        <v>ESPN</v>
      </c>
      <c r="F22" s="460" t="str">
        <f>IF(+All!$H365="Arizona State",+All!F365,IF(+All!$F365="Arizona State",+All!F365,0))</f>
        <v>Arizona State</v>
      </c>
      <c r="G22" s="461" t="str">
        <f>IF(+All!$H365="Arizona State",+All!G365,IF(+All!$F365="Arizona State",+All!G365,0))</f>
        <v>P12</v>
      </c>
      <c r="H22" s="460" t="str">
        <f>IF(+All!$H365="Arizona State",+All!H365,IF(+All!$F365="Arizona State",+All!H365,0))</f>
        <v>Southern Cal</v>
      </c>
      <c r="I22" s="461" t="str">
        <f>IF(+All!$H365="Arizona State",+All!I365,IF(+All!$F365="Arizona State",+All!I365,0))</f>
        <v>P12</v>
      </c>
      <c r="J22" s="460" t="str">
        <f>IF(+All!$H365="Arizona State",+All!J365,IF(+All!$F365="Arizona State",+All!J365,0))</f>
        <v>Southern Cal</v>
      </c>
      <c r="K22" s="461" t="str">
        <f>IF(+All!$H365="Arizona State",+All!K365,IF(+All!$F365="Arizona State",+All!K365,0))</f>
        <v>Arizona State</v>
      </c>
      <c r="L22" s="60">
        <f>IF(+All!$H365="Arizona State",+All!L365,IF(+All!$F365="Arizona State",+All!L365,0))</f>
        <v>26</v>
      </c>
      <c r="M22" s="61">
        <f>IF(+All!$H365="Arizona State",+All!M365,IF(+All!$F365="Arizona State",+All!M365,0))</f>
        <v>60.5</v>
      </c>
      <c r="N22" s="460" t="str">
        <f>IF(+All!$H365="Arizona State",+All!N365,IF(+All!$F365="Arizona State",+All!N365,0))</f>
        <v>Southern Cal</v>
      </c>
      <c r="O22" s="462">
        <f>IF(+All!$H365="Arizona State",+All!O365,IF(+All!$F365="Arizona State",+All!O365,0))</f>
        <v>42</v>
      </c>
      <c r="P22" s="462" t="str">
        <f>IF(+All!$H365="Arizona State",+All!P365,IF(+All!$F365="Arizona State",+All!P365,0))</f>
        <v>Arizona State</v>
      </c>
      <c r="Q22" s="461">
        <f>IF(+All!$H365="Arizona State",+All!Q365,IF(+All!$F365="Arizona State",+All!Q365,0))</f>
        <v>25</v>
      </c>
      <c r="R22" s="460" t="str">
        <f>IF(+All!$H365="Arizona State",+All!R365,IF(+All!$F365="Arizona State",+All!R365,0))</f>
        <v>Arizona State</v>
      </c>
      <c r="S22" s="462" t="str">
        <f>IF(+All!$H365="Arizona State",+All!S365,IF(+All!$F365="Arizona State",+All!S365,0))</f>
        <v>Southern Cal</v>
      </c>
      <c r="T22" s="460" t="str">
        <f>IF(+All!$H365="Arizona State",+All!T365,IF(+All!$F365="Arizona State",+All!T365,0))</f>
        <v>Southern Cal</v>
      </c>
      <c r="U22" s="461" t="str">
        <f>IF(+All!$H365="Arizona State",+All!U365,IF(+All!$F365="Arizona State",+All!U365,0))</f>
        <v>L</v>
      </c>
    </row>
    <row r="23" spans="1:21" x14ac:dyDescent="0.8">
      <c r="A23" s="46">
        <f>IF(+All!$H422="Arizona State",+All!A422,IF(+All!$F422="Arizona State",+All!A422,0))</f>
        <v>6</v>
      </c>
      <c r="B23" s="348" t="str">
        <f>IF(+All!$H422="Arizona State",+All!B422,IF(+All!$F422="Arizona State",+All!B422,0))</f>
        <v>Sat</v>
      </c>
      <c r="C23" s="72">
        <f>IF(+All!$H422="Arizona State",+All!C422,IF(+All!$F422="Arizona State",+All!C422,0))</f>
        <v>44842</v>
      </c>
      <c r="D23" s="73">
        <f>IF(+All!$H422="Arizona State",+All!D422,IF(+All!$F422="Arizona State",+All!D422,0))</f>
        <v>0.66666666666666663</v>
      </c>
      <c r="E23" s="461" t="str">
        <f>IF(+All!$H422="Arizona State",+All!E422,IF(+All!$F422="Arizona State",+All!E422,0))</f>
        <v>PAC12</v>
      </c>
      <c r="F23" s="460" t="str">
        <f>IF(+All!$H422="Arizona State",+All!F422,IF(+All!$F422="Arizona State",+All!F422,0))</f>
        <v>Washington</v>
      </c>
      <c r="G23" s="461" t="str">
        <f>IF(+All!$H422="Arizona State",+All!G422,IF(+All!$F422="Arizona State",+All!G422,0))</f>
        <v>P12</v>
      </c>
      <c r="H23" s="460" t="str">
        <f>IF(+All!$H422="Arizona State",+All!H422,IF(+All!$F422="Arizona State",+All!H422,0))</f>
        <v>Arizona State</v>
      </c>
      <c r="I23" s="461" t="str">
        <f>IF(+All!$H422="Arizona State",+All!I422,IF(+All!$F422="Arizona State",+All!I422,0))</f>
        <v>P12</v>
      </c>
      <c r="J23" s="460" t="str">
        <f>IF(+All!$H422="Arizona State",+All!J422,IF(+All!$F422="Arizona State",+All!J422,0))</f>
        <v>Washington</v>
      </c>
      <c r="K23" s="461" t="str">
        <f>IF(+All!$H422="Arizona State",+All!K422,IF(+All!$F422="Arizona State",+All!K422,0))</f>
        <v>Arizona State</v>
      </c>
      <c r="L23" s="60">
        <f>IF(+All!$H422="Arizona State",+All!L422,IF(+All!$F422="Arizona State",+All!L422,0))</f>
        <v>14</v>
      </c>
      <c r="M23" s="61">
        <f>IF(+All!$H422="Arizona State",+All!M422,IF(+All!$F422="Arizona State",+All!M422,0))</f>
        <v>57</v>
      </c>
      <c r="N23" s="460" t="str">
        <f>IF(+All!$H422="Arizona State",+All!N422,IF(+All!$F422="Arizona State",+All!N422,0))</f>
        <v>Arizona State</v>
      </c>
      <c r="O23" s="462">
        <f>IF(+All!$H422="Arizona State",+All!O422,IF(+All!$F422="Arizona State",+All!O422,0))</f>
        <v>45</v>
      </c>
      <c r="P23" s="462" t="str">
        <f>IF(+All!$H422="Arizona State",+All!P422,IF(+All!$F422="Arizona State",+All!P422,0))</f>
        <v>Washington</v>
      </c>
      <c r="Q23" s="461">
        <f>IF(+All!$H422="Arizona State",+All!Q422,IF(+All!$F422="Arizona State",+All!Q422,0))</f>
        <v>38</v>
      </c>
      <c r="R23" s="460" t="str">
        <f>IF(+All!$H422="Arizona State",+All!R422,IF(+All!$F422="Arizona State",+All!R422,0))</f>
        <v>Arizona State</v>
      </c>
      <c r="S23" s="462" t="str">
        <f>IF(+All!$H422="Arizona State",+All!S422,IF(+All!$F422="Arizona State",+All!S422,0))</f>
        <v>Washington</v>
      </c>
      <c r="T23" s="460" t="str">
        <f>IF(+All!$H422="Arizona State",+All!T422,IF(+All!$F422="Arizona State",+All!T422,0))</f>
        <v>Washington</v>
      </c>
      <c r="U23" s="461" t="str">
        <f>IF(+All!$H422="Arizona State",+All!U422,IF(+All!$F422="Arizona State",+All!U422,0))</f>
        <v>L</v>
      </c>
    </row>
    <row r="24" spans="1:21" x14ac:dyDescent="0.8">
      <c r="A24" s="46" t="e">
        <f>IF(+All!#REF!="Arizona State",+All!#REF!,IF(+All!#REF!="Arizona State",+All!#REF!,0))</f>
        <v>#REF!</v>
      </c>
      <c r="B24" s="348" t="e">
        <f>IF(+All!#REF!="Arizona State",+All!#REF!,IF(+All!#REF!="Arizona State",+All!#REF!,0))</f>
        <v>#REF!</v>
      </c>
      <c r="C24" s="72" t="e">
        <f>IF(+All!#REF!="Arizona State",+All!#REF!,IF(+All!#REF!="Arizona State",+All!#REF!,0))</f>
        <v>#REF!</v>
      </c>
      <c r="D24" s="73" t="e">
        <f>IF(+All!#REF!="Arizona State",+All!#REF!,IF(+All!#REF!="Arizona State",+All!#REF!,0))</f>
        <v>#REF!</v>
      </c>
      <c r="E24" s="461" t="e">
        <f>IF(+All!#REF!="Arizona State",+All!#REF!,IF(+All!#REF!="Arizona State",+All!#REF!,0))</f>
        <v>#REF!</v>
      </c>
      <c r="F24" s="460" t="e">
        <f>IF(+All!#REF!="Arizona State",+All!#REF!,IF(+All!#REF!="Arizona State",+All!#REF!,0))</f>
        <v>#REF!</v>
      </c>
      <c r="G24" s="461" t="e">
        <f>IF(+All!#REF!="Arizona State",+All!#REF!,IF(+All!#REF!="Arizona State",+All!#REF!,0))</f>
        <v>#REF!</v>
      </c>
      <c r="H24" s="460" t="e">
        <f>IF(+All!#REF!="Arizona State",+All!#REF!,IF(+All!#REF!="Arizona State",+All!#REF!,0))</f>
        <v>#REF!</v>
      </c>
      <c r="I24" s="461" t="e">
        <f>IF(+All!#REF!="Arizona State",+All!#REF!,IF(+All!#REF!="Arizona State",+All!#REF!,0))</f>
        <v>#REF!</v>
      </c>
      <c r="J24" s="460" t="e">
        <f>IF(+All!#REF!="Arizona State",+All!#REF!,IF(+All!#REF!="Arizona State",+All!#REF!,0))</f>
        <v>#REF!</v>
      </c>
      <c r="K24" s="461" t="e">
        <f>IF(+All!#REF!="Arizona State",+All!#REF!,IF(+All!#REF!="Arizona State",+All!#REF!,0))</f>
        <v>#REF!</v>
      </c>
      <c r="L24" s="60" t="e">
        <f>IF(+All!#REF!="Arizona State",+All!#REF!,IF(+All!#REF!="Arizona State",+All!#REF!,0))</f>
        <v>#REF!</v>
      </c>
      <c r="M24" s="61" t="e">
        <f>IF(+All!#REF!="Arizona State",+All!#REF!,IF(+All!#REF!="Arizona State",+All!#REF!,0))</f>
        <v>#REF!</v>
      </c>
      <c r="N24" s="460" t="e">
        <f>IF(+All!#REF!="Arizona State",+All!#REF!,IF(+All!#REF!="Arizona State",+All!#REF!,0))</f>
        <v>#REF!</v>
      </c>
      <c r="O24" s="462" t="e">
        <f>IF(+All!#REF!="Arizona State",+All!#REF!,IF(+All!#REF!="Arizona State",+All!#REF!,0))</f>
        <v>#REF!</v>
      </c>
      <c r="P24" s="462" t="e">
        <f>IF(+All!#REF!="Arizona State",+All!#REF!,IF(+All!#REF!="Arizona State",+All!#REF!,0))</f>
        <v>#REF!</v>
      </c>
      <c r="Q24" s="461" t="e">
        <f>IF(+All!#REF!="Arizona State",+All!#REF!,IF(+All!#REF!="Arizona State",+All!#REF!,0))</f>
        <v>#REF!</v>
      </c>
      <c r="R24" s="460" t="e">
        <f>IF(+All!#REF!="Arizona State",+All!#REF!,IF(+All!#REF!="Arizona State",+All!#REF!,0))</f>
        <v>#REF!</v>
      </c>
      <c r="S24" s="462" t="e">
        <f>IF(+All!#REF!="Arizona State",+All!#REF!,IF(+All!#REF!="Arizona State",+All!#REF!,0))</f>
        <v>#REF!</v>
      </c>
      <c r="T24" s="460" t="e">
        <f>IF(+All!#REF!="Arizona State",+All!#REF!,IF(+All!#REF!="Arizona State",+All!#REF!,0))</f>
        <v>#REF!</v>
      </c>
      <c r="U24" s="461" t="e">
        <f>IF(+All!#REF!="Arizona State",+All!#REF!,IF(+All!#REF!="Arizona State",+All!#REF!,0))</f>
        <v>#REF!</v>
      </c>
    </row>
    <row r="25" spans="1:21" x14ac:dyDescent="0.8">
      <c r="A25" s="46">
        <f>IF(+All!$H535="Arizona State",+All!A535,IF(+All!$F535="Arizona State",+All!A535,0))</f>
        <v>8</v>
      </c>
      <c r="B25" s="348" t="str">
        <f>IF(+All!$H535="Arizona State",+All!B535,IF(+All!$F535="Arizona State",+All!B535,0))</f>
        <v>Sat</v>
      </c>
      <c r="C25" s="72">
        <f>IF(+All!$H535="Arizona State",+All!C535,IF(+All!$F535="Arizona State",+All!C535,0))</f>
        <v>44856</v>
      </c>
      <c r="D25" s="73">
        <f>IF(+All!$H535="Arizona State",+All!D535,IF(+All!$F535="Arizona State",+All!D535,0))</f>
        <v>0.66666666666666663</v>
      </c>
      <c r="E25" s="461" t="str">
        <f>IF(+All!$H535="Arizona State",+All!E535,IF(+All!$F535="Arizona State",+All!E535,0))</f>
        <v>PAC12</v>
      </c>
      <c r="F25" s="460" t="str">
        <f>IF(+All!$H535="Arizona State",+All!F535,IF(+All!$F535="Arizona State",+All!F535,0))</f>
        <v>Arizona State</v>
      </c>
      <c r="G25" s="461" t="str">
        <f>IF(+All!$H535="Arizona State",+All!G535,IF(+All!$F535="Arizona State",+All!G535,0))</f>
        <v>P12</v>
      </c>
      <c r="H25" s="460" t="str">
        <f>IF(+All!$H535="Arizona State",+All!H535,IF(+All!$F535="Arizona State",+All!H535,0))</f>
        <v>Stanford</v>
      </c>
      <c r="I25" s="461" t="str">
        <f>IF(+All!$H535="Arizona State",+All!I535,IF(+All!$F535="Arizona State",+All!I535,0))</f>
        <v>P12</v>
      </c>
      <c r="J25" s="460" t="str">
        <f>IF(+All!$H535="Arizona State",+All!J535,IF(+All!$F535="Arizona State",+All!J535,0))</f>
        <v>Stanford</v>
      </c>
      <c r="K25" s="461" t="str">
        <f>IF(+All!$H535="Arizona State",+All!K535,IF(+All!$F535="Arizona State",+All!K535,0))</f>
        <v>Arizona State</v>
      </c>
      <c r="L25" s="60">
        <f>IF(+All!$H535="Arizona State",+All!L535,IF(+All!$F535="Arizona State",+All!L535,0))</f>
        <v>3</v>
      </c>
      <c r="M25" s="61">
        <f>IF(+All!$H535="Arizona State",+All!M535,IF(+All!$F535="Arizona State",+All!M535,0))</f>
        <v>55.5</v>
      </c>
      <c r="N25" s="460" t="str">
        <f>IF(+All!$H535="Arizona State",+All!N535,IF(+All!$F535="Arizona State",+All!N535,0))</f>
        <v>Stanford</v>
      </c>
      <c r="O25" s="462">
        <f>IF(+All!$H535="Arizona State",+All!O535,IF(+All!$F535="Arizona State",+All!O535,0))</f>
        <v>15</v>
      </c>
      <c r="P25" s="462" t="str">
        <f>IF(+All!$H535="Arizona State",+All!P535,IF(+All!$F535="Arizona State",+All!P535,0))</f>
        <v>Arizona State</v>
      </c>
      <c r="Q25" s="461">
        <f>IF(+All!$H535="Arizona State",+All!Q535,IF(+All!$F535="Arizona State",+All!Q535,0))</f>
        <v>14</v>
      </c>
      <c r="R25" s="460" t="str">
        <f>IF(+All!$H535="Arizona State",+All!R535,IF(+All!$F535="Arizona State",+All!R535,0))</f>
        <v>Arizona State</v>
      </c>
      <c r="S25" s="462" t="str">
        <f>IF(+All!$H535="Arizona State",+All!S535,IF(+All!$F535="Arizona State",+All!S535,0))</f>
        <v>Stanford</v>
      </c>
      <c r="T25" s="460" t="str">
        <f>IF(+All!$H535="Arizona State",+All!T535,IF(+All!$F535="Arizona State",+All!T535,0))</f>
        <v>Stanford</v>
      </c>
      <c r="U25" s="461" t="str">
        <f>IF(+All!$H535="Arizona State",+All!U535,IF(+All!$F535="Arizona State",+All!U535,0))</f>
        <v>L</v>
      </c>
    </row>
    <row r="26" spans="1:21" x14ac:dyDescent="0.8">
      <c r="A26" s="46">
        <f>IF(+All!$H582="Arizona State",+All!A582,IF(+All!$F582="Arizona State",+All!A582,0))</f>
        <v>9</v>
      </c>
      <c r="B26" s="348" t="str">
        <f>IF(+All!$H582="Arizona State",+All!B582,IF(+All!$F582="Arizona State",+All!B582,0))</f>
        <v>Sat</v>
      </c>
      <c r="C26" s="72">
        <f>IF(+All!$H582="Arizona State",+All!C582,IF(+All!$F582="Arizona State",+All!C582,0))</f>
        <v>44863</v>
      </c>
      <c r="D26" s="73">
        <f>IF(+All!$H582="Arizona State",+All!D582,IF(+All!$F582="Arizona State",+All!D582,0))</f>
        <v>0.8125</v>
      </c>
      <c r="E26" s="461" t="str">
        <f>IF(+All!$H582="Arizona State",+All!E582,IF(+All!$F582="Arizona State",+All!E582,0))</f>
        <v>ESPNU</v>
      </c>
      <c r="F26" s="460" t="str">
        <f>IF(+All!$H582="Arizona State",+All!F582,IF(+All!$F582="Arizona State",+All!F582,0))</f>
        <v>Arizona State</v>
      </c>
      <c r="G26" s="461" t="str">
        <f>IF(+All!$H582="Arizona State",+All!G582,IF(+All!$F582="Arizona State",+All!G582,0))</f>
        <v>P12</v>
      </c>
      <c r="H26" s="460" t="str">
        <f>IF(+All!$H582="Arizona State",+All!H582,IF(+All!$F582="Arizona State",+All!H582,0))</f>
        <v>Colorado</v>
      </c>
      <c r="I26" s="461" t="str">
        <f>IF(+All!$H582="Arizona State",+All!I582,IF(+All!$F582="Arizona State",+All!I582,0))</f>
        <v>P12</v>
      </c>
      <c r="J26" s="460" t="str">
        <f>IF(+All!$H582="Arizona State",+All!J582,IF(+All!$F582="Arizona State",+All!J582,0))</f>
        <v>Arizona State</v>
      </c>
      <c r="K26" s="461" t="str">
        <f>IF(+All!$H582="Arizona State",+All!K582,IF(+All!$F582="Arizona State",+All!K582,0))</f>
        <v>Colorado</v>
      </c>
      <c r="L26" s="60">
        <f>IF(+All!$H582="Arizona State",+All!L582,IF(+All!$F582="Arizona State",+All!L582,0))</f>
        <v>13</v>
      </c>
      <c r="M26" s="61">
        <f>IF(+All!$H582="Arizona State",+All!M582,IF(+All!$F582="Arizona State",+All!M582,0))</f>
        <v>46.5</v>
      </c>
      <c r="N26" s="460" t="str">
        <f>IF(+All!$H582="Arizona State",+All!N582,IF(+All!$F582="Arizona State",+All!N582,0))</f>
        <v>Arizona State</v>
      </c>
      <c r="O26" s="462">
        <f>IF(+All!$H582="Arizona State",+All!O582,IF(+All!$F582="Arizona State",+All!O582,0))</f>
        <v>42</v>
      </c>
      <c r="P26" s="462" t="str">
        <f>IF(+All!$H582="Arizona State",+All!P582,IF(+All!$F582="Arizona State",+All!P582,0))</f>
        <v>Colorado</v>
      </c>
      <c r="Q26" s="461">
        <f>IF(+All!$H582="Arizona State",+All!Q582,IF(+All!$F582="Arizona State",+All!Q582,0))</f>
        <v>34</v>
      </c>
      <c r="R26" s="460" t="str">
        <f>IF(+All!$H582="Arizona State",+All!R582,IF(+All!$F582="Arizona State",+All!R582,0))</f>
        <v>Colorado</v>
      </c>
      <c r="S26" s="462" t="str">
        <f>IF(+All!$H582="Arizona State",+All!S582,IF(+All!$F582="Arizona State",+All!S582,0))</f>
        <v>Arizona State</v>
      </c>
      <c r="T26" s="460" t="str">
        <f>IF(+All!$H582="Arizona State",+All!T582,IF(+All!$F582="Arizona State",+All!T582,0))</f>
        <v>Colorado</v>
      </c>
      <c r="U26" s="461" t="str">
        <f>IF(+All!$H582="Arizona State",+All!U582,IF(+All!$F582="Arizona State",+All!U582,0))</f>
        <v>W</v>
      </c>
    </row>
    <row r="27" spans="1:21" x14ac:dyDescent="0.8">
      <c r="A27" s="46">
        <f>IF(+All!$H636="Arizona State",+All!A636,IF(+All!$F636="Arizona State",+All!A636,0))</f>
        <v>10</v>
      </c>
      <c r="B27" s="348" t="str">
        <f>IF(+All!$H636="Arizona State",+All!B636,IF(+All!$F636="Arizona State",+All!B636,0))</f>
        <v>Sat</v>
      </c>
      <c r="C27" s="72">
        <f>IF(+All!$H636="Arizona State",+All!C636,IF(+All!$F636="Arizona State",+All!C636,0))</f>
        <v>44870</v>
      </c>
      <c r="D27" s="73">
        <f>IF(+All!$H636="Arizona State",+All!D636,IF(+All!$F636="Arizona State",+All!D636,0))</f>
        <v>0.89583333333333337</v>
      </c>
      <c r="E27" s="461" t="str">
        <f>IF(+All!$H636="Arizona State",+All!E636,IF(+All!$F636="Arizona State",+All!E636,0))</f>
        <v>FS1</v>
      </c>
      <c r="F27" s="460" t="str">
        <f>IF(+All!$H636="Arizona State",+All!F636,IF(+All!$F636="Arizona State",+All!F636,0))</f>
        <v>UCLA</v>
      </c>
      <c r="G27" s="461" t="str">
        <f>IF(+All!$H636="Arizona State",+All!G636,IF(+All!$F636="Arizona State",+All!G636,0))</f>
        <v>P12</v>
      </c>
      <c r="H27" s="460" t="str">
        <f>IF(+All!$H636="Arizona State",+All!H636,IF(+All!$F636="Arizona State",+All!H636,0))</f>
        <v>Arizona State</v>
      </c>
      <c r="I27" s="461" t="str">
        <f>IF(+All!$H636="Arizona State",+All!I636,IF(+All!$F636="Arizona State",+All!I636,0))</f>
        <v>P12</v>
      </c>
      <c r="J27" s="460" t="str">
        <f>IF(+All!$H636="Arizona State",+All!J636,IF(+All!$F636="Arizona State",+All!J636,0))</f>
        <v>UCLA</v>
      </c>
      <c r="K27" s="461" t="str">
        <f>IF(+All!$H636="Arizona State",+All!K636,IF(+All!$F636="Arizona State",+All!K636,0))</f>
        <v>Arizona State</v>
      </c>
      <c r="L27" s="60">
        <f>IF(+All!$H636="Arizona State",+All!L636,IF(+All!$F636="Arizona State",+All!L636,0))</f>
        <v>10.5</v>
      </c>
      <c r="M27" s="61">
        <f>IF(+All!$H636="Arizona State",+All!M636,IF(+All!$F636="Arizona State",+All!M636,0))</f>
        <v>66.5</v>
      </c>
      <c r="N27" s="460" t="str">
        <f>IF(+All!$H636="Arizona State",+All!N636,IF(+All!$F636="Arizona State",+All!N636,0))</f>
        <v>UCLA</v>
      </c>
      <c r="O27" s="462">
        <f>IF(+All!$H636="Arizona State",+All!O636,IF(+All!$F636="Arizona State",+All!O636,0))</f>
        <v>50</v>
      </c>
      <c r="P27" s="462" t="str">
        <f>IF(+All!$H636="Arizona State",+All!P636,IF(+All!$F636="Arizona State",+All!P636,0))</f>
        <v>Arizona State</v>
      </c>
      <c r="Q27" s="461">
        <f>IF(+All!$H636="Arizona State",+All!Q636,IF(+All!$F636="Arizona State",+All!Q636,0))</f>
        <v>36</v>
      </c>
      <c r="R27" s="460" t="str">
        <f>IF(+All!$H636="Arizona State",+All!R636,IF(+All!$F636="Arizona State",+All!R636,0))</f>
        <v>UCLA</v>
      </c>
      <c r="S27" s="462" t="str">
        <f>IF(+All!$H636="Arizona State",+All!S636,IF(+All!$F636="Arizona State",+All!S636,0))</f>
        <v>Arizona State</v>
      </c>
      <c r="T27" s="460" t="str">
        <f>IF(+All!$H636="Arizona State",+All!T636,IF(+All!$F636="Arizona State",+All!T636,0))</f>
        <v>UCLA</v>
      </c>
      <c r="U27" s="461" t="str">
        <f>IF(+All!$H636="Arizona State",+All!U636,IF(+All!$F636="Arizona State",+All!U636,0))</f>
        <v>W</v>
      </c>
    </row>
    <row r="28" spans="1:21" x14ac:dyDescent="0.8">
      <c r="A28" s="46">
        <f>IF(+All!$H703="Arizona State",+All!A703,IF(+All!$F703="Arizona State",+All!A703,0))</f>
        <v>11</v>
      </c>
      <c r="B28" s="348" t="str">
        <f>IF(+All!$H703="Arizona State",+All!B703,IF(+All!$F703="Arizona State",+All!B703,0))</f>
        <v>Sat</v>
      </c>
      <c r="C28" s="72">
        <f>IF(+All!$H703="Arizona State",+All!C703,IF(+All!$F703="Arizona State",+All!C703,0))</f>
        <v>44877</v>
      </c>
      <c r="D28" s="73">
        <f>IF(+All!$H703="Arizona State",+All!D703,IF(+All!$F703="Arizona State",+All!D703,0))</f>
        <v>0.64583333333333337</v>
      </c>
      <c r="E28" s="461" t="str">
        <f>IF(+All!$H703="Arizona State",+All!E703,IF(+All!$F703="Arizona State",+All!E703,0))</f>
        <v>PAC12</v>
      </c>
      <c r="F28" s="460" t="str">
        <f>IF(+All!$H703="Arizona State",+All!F703,IF(+All!$F703="Arizona State",+All!F703,0))</f>
        <v>Arizona State</v>
      </c>
      <c r="G28" s="461" t="str">
        <f>IF(+All!$H703="Arizona State",+All!G703,IF(+All!$F703="Arizona State",+All!G703,0))</f>
        <v>P12</v>
      </c>
      <c r="H28" s="460" t="str">
        <f>IF(+All!$H703="Arizona State",+All!H703,IF(+All!$F703="Arizona State",+All!H703,0))</f>
        <v>Washington State</v>
      </c>
      <c r="I28" s="461" t="str">
        <f>IF(+All!$H703="Arizona State",+All!I703,IF(+All!$F703="Arizona State",+All!I703,0))</f>
        <v>P12</v>
      </c>
      <c r="J28" s="460" t="str">
        <f>IF(+All!$H703="Arizona State",+All!J703,IF(+All!$F703="Arizona State",+All!J703,0))</f>
        <v>Washington State</v>
      </c>
      <c r="K28" s="461" t="str">
        <f>IF(+All!$H703="Arizona State",+All!K703,IF(+All!$F703="Arizona State",+All!K703,0))</f>
        <v>Arizona State</v>
      </c>
      <c r="L28" s="60">
        <f>IF(+All!$H703="Arizona State",+All!L703,IF(+All!$F703="Arizona State",+All!L703,0))</f>
        <v>8</v>
      </c>
      <c r="M28" s="61">
        <f>IF(+All!$H703="Arizona State",+All!M703,IF(+All!$F703="Arizona State",+All!M703,0))</f>
        <v>61</v>
      </c>
      <c r="N28" s="460" t="str">
        <f>IF(+All!$H703="Arizona State",+All!N703,IF(+All!$F703="Arizona State",+All!N703,0))</f>
        <v>Washington State</v>
      </c>
      <c r="O28" s="462">
        <f>IF(+All!$H703="Arizona State",+All!O703,IF(+All!$F703="Arizona State",+All!O703,0))</f>
        <v>28</v>
      </c>
      <c r="P28" s="462" t="str">
        <f>IF(+All!$H703="Arizona State",+All!P703,IF(+All!$F703="Arizona State",+All!P703,0))</f>
        <v>Arizona State</v>
      </c>
      <c r="Q28" s="461">
        <f>IF(+All!$H703="Arizona State",+All!Q703,IF(+All!$F703="Arizona State",+All!Q703,0))</f>
        <v>18</v>
      </c>
      <c r="R28" s="460" t="str">
        <f>IF(+All!$H703="Arizona State",+All!R703,IF(+All!$F703="Arizona State",+All!R703,0))</f>
        <v>Washington State</v>
      </c>
      <c r="S28" s="462" t="str">
        <f>IF(+All!$H703="Arizona State",+All!S703,IF(+All!$F703="Arizona State",+All!S703,0))</f>
        <v>Arizona State</v>
      </c>
      <c r="T28" s="460" t="str">
        <f>IF(+All!$H703="Arizona State",+All!T703,IF(+All!$F703="Arizona State",+All!T703,0))</f>
        <v>Washington State</v>
      </c>
      <c r="U28" s="461" t="str">
        <f>IF(+All!$H703="Arizona State",+All!U703,IF(+All!$F703="Arizona State",+All!U703,0))</f>
        <v>W</v>
      </c>
    </row>
    <row r="29" spans="1:21" x14ac:dyDescent="0.8">
      <c r="A29" s="46">
        <f>IF(+All!$H764="Arizona State",+All!A764,IF(+All!$F764="Arizona State",+All!A764,0))</f>
        <v>12</v>
      </c>
      <c r="B29" s="348" t="str">
        <f>IF(+All!$H764="Arizona State",+All!B764,IF(+All!$F764="Arizona State",+All!B764,0))</f>
        <v>Sat</v>
      </c>
      <c r="C29" s="72">
        <f>IF(+All!$H764="Arizona State",+All!C764,IF(+All!$F764="Arizona State",+All!C764,0))</f>
        <v>44884</v>
      </c>
      <c r="D29" s="73">
        <f>IF(+All!$H764="Arizona State",+All!D764,IF(+All!$F764="Arizona State",+All!D764,0))</f>
        <v>0.59375</v>
      </c>
      <c r="E29" s="461" t="str">
        <f>IF(+All!$H764="Arizona State",+All!E764,IF(+All!$F764="Arizona State",+All!E764,0))</f>
        <v>ESPN2</v>
      </c>
      <c r="F29" s="460" t="str">
        <f>IF(+All!$H764="Arizona State",+All!F764,IF(+All!$F764="Arizona State",+All!F764,0))</f>
        <v>Oregon State</v>
      </c>
      <c r="G29" s="461" t="str">
        <f>IF(+All!$H764="Arizona State",+All!G764,IF(+All!$F764="Arizona State",+All!G764,0))</f>
        <v>P12</v>
      </c>
      <c r="H29" s="460" t="str">
        <f>IF(+All!$H764="Arizona State",+All!H764,IF(+All!$F764="Arizona State",+All!H764,0))</f>
        <v>Arizona State</v>
      </c>
      <c r="I29" s="461" t="str">
        <f>IF(+All!$H764="Arizona State",+All!I764,IF(+All!$F764="Arizona State",+All!I764,0))</f>
        <v>P12</v>
      </c>
      <c r="J29" s="460" t="str">
        <f>IF(+All!$H764="Arizona State",+All!J764,IF(+All!$F764="Arizona State",+All!J764,0))</f>
        <v>Oregon State</v>
      </c>
      <c r="K29" s="461" t="str">
        <f>IF(+All!$H764="Arizona State",+All!K764,IF(+All!$F764="Arizona State",+All!K764,0))</f>
        <v>Arizona State</v>
      </c>
      <c r="L29" s="60">
        <f>IF(+All!$H764="Arizona State",+All!L764,IF(+All!$F764="Arizona State",+All!L764,0))</f>
        <v>8</v>
      </c>
      <c r="M29" s="61">
        <f>IF(+All!$H764="Arizona State",+All!M764,IF(+All!$F764="Arizona State",+All!M764,0))</f>
        <v>54</v>
      </c>
      <c r="N29" s="460" t="str">
        <f>IF(+All!$H764="Arizona State",+All!N764,IF(+All!$F764="Arizona State",+All!N764,0))</f>
        <v>Oregon State</v>
      </c>
      <c r="O29" s="462">
        <f>IF(+All!$H764="Arizona State",+All!O764,IF(+All!$F764="Arizona State",+All!O764,0))</f>
        <v>31</v>
      </c>
      <c r="P29" s="462" t="str">
        <f>IF(+All!$H764="Arizona State",+All!P764,IF(+All!$F764="Arizona State",+All!P764,0))</f>
        <v>Arizona State</v>
      </c>
      <c r="Q29" s="461">
        <f>IF(+All!$H764="Arizona State",+All!Q764,IF(+All!$F764="Arizona State",+All!Q764,0))</f>
        <v>7</v>
      </c>
      <c r="R29" s="460" t="str">
        <f>IF(+All!$H764="Arizona State",+All!R764,IF(+All!$F764="Arizona State",+All!R764,0))</f>
        <v>Oregon State</v>
      </c>
      <c r="S29" s="462" t="str">
        <f>IF(+All!$H764="Arizona State",+All!S764,IF(+All!$F764="Arizona State",+All!S764,0))</f>
        <v>Arizona State</v>
      </c>
      <c r="T29" s="460" t="str">
        <f>IF(+All!$H764="Arizona State",+All!T764,IF(+All!$F764="Arizona State",+All!T764,0))</f>
        <v>Oregon State</v>
      </c>
      <c r="U29" s="461" t="str">
        <f>IF(+All!$H764="Arizona State",+All!U764,IF(+All!$F764="Arizona State",+All!U764,0))</f>
        <v>W</v>
      </c>
    </row>
    <row r="30" spans="1:21" x14ac:dyDescent="0.8">
      <c r="A30" s="46">
        <f>IF(+All!$H791="Arizona State",+All!A791,IF(+All!$F791="Arizona State",+All!A791,0))</f>
        <v>13</v>
      </c>
      <c r="B30" s="348" t="str">
        <f>IF(+All!$H791="Arizona State",+All!B791,IF(+All!$F791="Arizona State",+All!B791,0))</f>
        <v>Fri</v>
      </c>
      <c r="C30" s="72">
        <f>IF(+All!$H791="Arizona State",+All!C791,IF(+All!$F791="Arizona State",+All!C791,0))</f>
        <v>44890</v>
      </c>
      <c r="D30" s="73">
        <f>IF(+All!$H791="Arizona State",+All!D791,IF(+All!$F791="Arizona State",+All!D791,0))</f>
        <v>0.625</v>
      </c>
      <c r="E30" s="461" t="str">
        <f>IF(+All!$H791="Arizona State",+All!E791,IF(+All!$F791="Arizona State",+All!E791,0))</f>
        <v>FS1</v>
      </c>
      <c r="F30" s="460" t="str">
        <f>IF(+All!$H791="Arizona State",+All!F791,IF(+All!$F791="Arizona State",+All!F791,0))</f>
        <v>Arizona State</v>
      </c>
      <c r="G30" s="461" t="str">
        <f>IF(+All!$H791="Arizona State",+All!G791,IF(+All!$F791="Arizona State",+All!G791,0))</f>
        <v>P12</v>
      </c>
      <c r="H30" s="460" t="str">
        <f>IF(+All!$H791="Arizona State",+All!H791,IF(+All!$F791="Arizona State",+All!H791,0))</f>
        <v>Arizona</v>
      </c>
      <c r="I30" s="461" t="str">
        <f>IF(+All!$H791="Arizona State",+All!I791,IF(+All!$F791="Arizona State",+All!I791,0))</f>
        <v>P12</v>
      </c>
      <c r="J30" s="460" t="str">
        <f>IF(+All!$H791="Arizona State",+All!J791,IF(+All!$F791="Arizona State",+All!J791,0))</f>
        <v>Arizona</v>
      </c>
      <c r="K30" s="461" t="str">
        <f>IF(+All!$H791="Arizona State",+All!K791,IF(+All!$F791="Arizona State",+All!K791,0))</f>
        <v>Arizona State</v>
      </c>
      <c r="L30" s="60">
        <f>IF(+All!$H791="Arizona State",+All!L791,IF(+All!$F791="Arizona State",+All!L791,0))</f>
        <v>4</v>
      </c>
      <c r="M30" s="61">
        <f>IF(+All!$H791="Arizona State",+All!M791,IF(+All!$F791="Arizona State",+All!M791,0))</f>
        <v>66.5</v>
      </c>
      <c r="N30" s="460" t="str">
        <f>IF(+All!$H791="Arizona State",+All!N791,IF(+All!$F791="Arizona State",+All!N791,0))</f>
        <v>Arizona</v>
      </c>
      <c r="O30" s="462">
        <f>IF(+All!$H791="Arizona State",+All!O791,IF(+All!$F791="Arizona State",+All!O791,0))</f>
        <v>38</v>
      </c>
      <c r="P30" s="462" t="str">
        <f>IF(+All!$H791="Arizona State",+All!P791,IF(+All!$F791="Arizona State",+All!P791,0))</f>
        <v>Arizona State</v>
      </c>
      <c r="Q30" s="461">
        <f>IF(+All!$H791="Arizona State",+All!Q791,IF(+All!$F791="Arizona State",+All!Q791,0))</f>
        <v>35</v>
      </c>
      <c r="R30" s="460" t="str">
        <f>IF(+All!$H791="Arizona State",+All!R791,IF(+All!$F791="Arizona State",+All!R791,0))</f>
        <v>Arizona State</v>
      </c>
      <c r="S30" s="462" t="str">
        <f>IF(+All!$H791="Arizona State",+All!S791,IF(+All!$F791="Arizona State",+All!S791,0))</f>
        <v>Arizona</v>
      </c>
      <c r="T30" s="460" t="str">
        <f>IF(+All!$H791="Arizona State",+All!T791,IF(+All!$F791="Arizona State",+All!T791,0))</f>
        <v>Arizona</v>
      </c>
      <c r="U30" s="461" t="str">
        <f>IF(+All!$H791="Arizona State",+All!U791,IF(+All!$F791="Arizona State",+All!U791,0))</f>
        <v>L</v>
      </c>
    </row>
    <row r="31" spans="1:21" x14ac:dyDescent="0.8">
      <c r="A31" s="38"/>
      <c r="B31" s="39"/>
      <c r="C31" s="40"/>
      <c r="D31" s="41"/>
      <c r="E31" s="463"/>
      <c r="F31" s="897" t="str">
        <f>H32</f>
        <v>California</v>
      </c>
      <c r="G31" s="903"/>
      <c r="H31" s="903"/>
      <c r="I31" s="904"/>
      <c r="J31" s="459"/>
      <c r="K31" s="463"/>
      <c r="L31" s="44"/>
      <c r="M31" s="45"/>
      <c r="N31" s="459"/>
      <c r="O31" s="5"/>
      <c r="P31" s="5"/>
      <c r="Q31" s="463"/>
      <c r="R31" s="459"/>
      <c r="S31" s="5"/>
      <c r="T31" s="459"/>
      <c r="U31" s="463"/>
    </row>
    <row r="32" spans="1:21" x14ac:dyDescent="0.8">
      <c r="A32" s="46">
        <f>IF(+All!$H67="California",+All!A67,IF(+All!$F67="California",+All!A67,0))</f>
        <v>1</v>
      </c>
      <c r="B32" s="348" t="str">
        <f>IF(+All!$H67="California",+All!B67,IF(+All!$F67="California",+All!B67,0))</f>
        <v>Sat</v>
      </c>
      <c r="C32" s="72">
        <f>IF(+All!$H67="California",+All!C67,IF(+All!$F67="California",+All!C67,0))</f>
        <v>44807</v>
      </c>
      <c r="D32" s="73">
        <f>IF(+All!$H67="California",+All!D67,IF(+All!$F67="California",+All!D67,0))</f>
        <v>0.66666666666666663</v>
      </c>
      <c r="E32" s="461">
        <f>IF(+All!$H67="California",+All!E67,IF(+All!$F67="California",+All!E67,0))</f>
        <v>0</v>
      </c>
      <c r="F32" s="460" t="str">
        <f>IF(+All!$H67="California",+All!F67,IF(+All!$F67="California",+All!F67,0))</f>
        <v>1AA UC Davis</v>
      </c>
      <c r="G32" s="461" t="str">
        <f>IF(+All!$H67="California",+All!G67,IF(+All!$F67="California",+All!G67,0))</f>
        <v>1AA</v>
      </c>
      <c r="H32" s="460" t="str">
        <f>IF(+All!$H67="California",+All!H67,IF(+All!$F67="California",+All!H67,0))</f>
        <v>California</v>
      </c>
      <c r="I32" s="461" t="str">
        <f>IF(+All!$H67="California",+All!I67,IF(+All!$F67="California",+All!I67,0))</f>
        <v>P12</v>
      </c>
      <c r="J32" s="460">
        <f>IF(+All!$H67="California",+All!J67,IF(+All!$F67="California",+All!J67,0))</f>
        <v>0</v>
      </c>
      <c r="K32" s="461">
        <f>IF(+All!$H67="California",+All!K67,IF(+All!$F67="California",+All!K67,0))</f>
        <v>0</v>
      </c>
      <c r="L32" s="60">
        <f>IF(+All!$H67="California",+All!L67,IF(+All!$F67="California",+All!L67,0))</f>
        <v>0</v>
      </c>
      <c r="M32" s="61">
        <f>IF(+All!$H67="California",+All!M67,IF(+All!$F67="California",+All!M67,0))</f>
        <v>0</v>
      </c>
      <c r="N32" s="460" t="str">
        <f>IF(+All!$H67="California",+All!N67,IF(+All!$F67="California",+All!N67,0))</f>
        <v>California</v>
      </c>
      <c r="O32" s="462">
        <f>IF(+All!$H67="California",+All!O67,IF(+All!$F67="California",+All!O67,0))</f>
        <v>34</v>
      </c>
      <c r="P32" s="462" t="str">
        <f>IF(+All!$H67="California",+All!P67,IF(+All!$F67="California",+All!P67,0))</f>
        <v>1AA UC Davis</v>
      </c>
      <c r="Q32" s="461">
        <f>IF(+All!$H67="California",+All!Q67,IF(+All!$F67="California",+All!Q67,0))</f>
        <v>13</v>
      </c>
      <c r="R32" s="460">
        <f>IF(+All!$H67="California",+All!R67,IF(+All!$F67="California",+All!R67,0))</f>
        <v>0</v>
      </c>
      <c r="S32" s="462">
        <f>IF(+All!$H67="California",+All!S67,IF(+All!$F67="California",+All!S67,0))</f>
        <v>0</v>
      </c>
      <c r="T32" s="460">
        <f>IF(+All!$H67="California",+All!T67,IF(+All!$F67="California",+All!T67,0))</f>
        <v>0</v>
      </c>
      <c r="U32" s="461">
        <f>IF(+All!$H67="California",+All!U67,IF(+All!$F67="California",+All!U67,0))</f>
        <v>0</v>
      </c>
    </row>
    <row r="33" spans="1:21" x14ac:dyDescent="0.8">
      <c r="A33" s="46">
        <f>IF(+All!$H159="California",+All!A159,IF(+All!$F159="California",+All!A159,0))</f>
        <v>2</v>
      </c>
      <c r="B33" s="348" t="str">
        <f>IF(+All!$H159="California",+All!B159,IF(+All!$F159="California",+All!B159,0))</f>
        <v>Sat</v>
      </c>
      <c r="C33" s="72">
        <f>IF(+All!$H159="California",+All!C159,IF(+All!$F159="California",+All!C159,0))</f>
        <v>44814</v>
      </c>
      <c r="D33" s="73">
        <f>IF(+All!$H159="California",+All!D159,IF(+All!$F159="California",+All!D159,0))</f>
        <v>0.66666666666666663</v>
      </c>
      <c r="E33" s="461">
        <f>IF(+All!$H159="California",+All!E159,IF(+All!$F159="California",+All!E159,0))</f>
        <v>0</v>
      </c>
      <c r="F33" s="460" t="str">
        <f>IF(+All!$H159="California",+All!F159,IF(+All!$F159="California",+All!F159,0))</f>
        <v>UNLV</v>
      </c>
      <c r="G33" s="461" t="str">
        <f>IF(+All!$H159="California",+All!G159,IF(+All!$F159="California",+All!G159,0))</f>
        <v>MWC</v>
      </c>
      <c r="H33" s="460" t="str">
        <f>IF(+All!$H159="California",+All!H159,IF(+All!$F159="California",+All!H159,0))</f>
        <v>California</v>
      </c>
      <c r="I33" s="461" t="str">
        <f>IF(+All!$H159="California",+All!I159,IF(+All!$F159="California",+All!I159,0))</f>
        <v>P12</v>
      </c>
      <c r="J33" s="460" t="str">
        <f>IF(+All!$H159="California",+All!J159,IF(+All!$F159="California",+All!J159,0))</f>
        <v>California</v>
      </c>
      <c r="K33" s="461" t="str">
        <f>IF(+All!$H159="California",+All!K159,IF(+All!$F159="California",+All!K159,0))</f>
        <v>UNLV</v>
      </c>
      <c r="L33" s="60">
        <f>IF(+All!$H159="California",+All!L159,IF(+All!$F159="California",+All!L159,0))</f>
        <v>13</v>
      </c>
      <c r="M33" s="61">
        <f>IF(+All!$H159="California",+All!M159,IF(+All!$F159="California",+All!M159,0))</f>
        <v>49</v>
      </c>
      <c r="N33" s="460" t="str">
        <f>IF(+All!$H159="California",+All!N159,IF(+All!$F159="California",+All!N159,0))</f>
        <v>California</v>
      </c>
      <c r="O33" s="462">
        <f>IF(+All!$H159="California",+All!O159,IF(+All!$F159="California",+All!O159,0))</f>
        <v>20</v>
      </c>
      <c r="P33" s="462" t="str">
        <f>IF(+All!$H159="California",+All!P159,IF(+All!$F159="California",+All!P159,0))</f>
        <v>UNLV</v>
      </c>
      <c r="Q33" s="461">
        <f>IF(+All!$H159="California",+All!Q159,IF(+All!$F159="California",+All!Q159,0))</f>
        <v>14</v>
      </c>
      <c r="R33" s="460" t="str">
        <f>IF(+All!$H159="California",+All!R159,IF(+All!$F159="California",+All!R159,0))</f>
        <v>UNLV</v>
      </c>
      <c r="S33" s="462" t="str">
        <f>IF(+All!$H159="California",+All!S159,IF(+All!$F159="California",+All!S159,0))</f>
        <v>California</v>
      </c>
      <c r="T33" s="460" t="str">
        <f>IF(+All!$H159="California",+All!T159,IF(+All!$F159="California",+All!T159,0))</f>
        <v>California</v>
      </c>
      <c r="U33" s="461" t="str">
        <f>IF(+All!$H159="California",+All!U159,IF(+All!$F159="California",+All!U159,0))</f>
        <v>L</v>
      </c>
    </row>
    <row r="34" spans="1:21" x14ac:dyDescent="0.8">
      <c r="A34" s="46">
        <f>IF(+All!$H218="California",+All!A218,IF(+All!$F218="California",+All!A218,0))</f>
        <v>3</v>
      </c>
      <c r="B34" s="348" t="str">
        <f>IF(+All!$H218="California",+All!B218,IF(+All!$F218="California",+All!B218,0))</f>
        <v>Sat</v>
      </c>
      <c r="C34" s="72">
        <f>IF(+All!$H218="California",+All!C218,IF(+All!$F218="California",+All!C218,0))</f>
        <v>44821</v>
      </c>
      <c r="D34" s="73">
        <f>IF(+All!$H218="California",+All!D218,IF(+All!$F218="California",+All!D218,0))</f>
        <v>0.60416666666666663</v>
      </c>
      <c r="E34" s="461" t="str">
        <f>IF(+All!$H218="California",+All!E218,IF(+All!$F218="California",+All!E218,0))</f>
        <v>NBC</v>
      </c>
      <c r="F34" s="460" t="str">
        <f>IF(+All!$H218="California",+All!F218,IF(+All!$F218="California",+All!F218,0))</f>
        <v>California</v>
      </c>
      <c r="G34" s="461" t="str">
        <f>IF(+All!$H218="California",+All!G218,IF(+All!$F218="California",+All!G218,0))</f>
        <v>P12</v>
      </c>
      <c r="H34" s="460" t="str">
        <f>IF(+All!$H218="California",+All!H218,IF(+All!$F218="California",+All!H218,0))</f>
        <v>Notre Dame</v>
      </c>
      <c r="I34" s="461" t="str">
        <f>IF(+All!$H218="California",+All!I218,IF(+All!$F218="California",+All!I218,0))</f>
        <v>Ind</v>
      </c>
      <c r="J34" s="460" t="str">
        <f>IF(+All!$H218="California",+All!J218,IF(+All!$F218="California",+All!J218,0))</f>
        <v>Notre Dame</v>
      </c>
      <c r="K34" s="461" t="str">
        <f>IF(+All!$H218="California",+All!K218,IF(+All!$F218="California",+All!K218,0))</f>
        <v>California</v>
      </c>
      <c r="L34" s="60">
        <f>IF(+All!$H218="California",+All!L218,IF(+All!$F218="California",+All!L218,0))</f>
        <v>11</v>
      </c>
      <c r="M34" s="61">
        <f>IF(+All!$H218="California",+All!M218,IF(+All!$F218="California",+All!M218,0))</f>
        <v>41</v>
      </c>
      <c r="N34" s="460" t="str">
        <f>IF(+All!$H218="California",+All!N218,IF(+All!$F218="California",+All!N218,0))</f>
        <v>Notre Dame</v>
      </c>
      <c r="O34" s="462">
        <f>IF(+All!$H218="California",+All!O218,IF(+All!$F218="California",+All!O218,0))</f>
        <v>27</v>
      </c>
      <c r="P34" s="462" t="str">
        <f>IF(+All!$H218="California",+All!P218,IF(+All!$F218="California",+All!P218,0))</f>
        <v>California</v>
      </c>
      <c r="Q34" s="461">
        <f>IF(+All!$H218="California",+All!Q218,IF(+All!$F218="California",+All!Q218,0))</f>
        <v>14</v>
      </c>
      <c r="R34" s="460" t="str">
        <f>IF(+All!$H218="California",+All!R218,IF(+All!$F218="California",+All!R218,0))</f>
        <v>Notre Dame</v>
      </c>
      <c r="S34" s="462" t="str">
        <f>IF(+All!$H218="California",+All!S218,IF(+All!$F218="California",+All!S218,0))</f>
        <v>California</v>
      </c>
      <c r="T34" s="460" t="str">
        <f>IF(+All!$H218="California",+All!T218,IF(+All!$F218="California",+All!T218,0))</f>
        <v>Notre Dame</v>
      </c>
      <c r="U34" s="461" t="str">
        <f>IF(+All!$H218="California",+All!U218,IF(+All!$F218="California",+All!U218,0))</f>
        <v>W</v>
      </c>
    </row>
    <row r="35" spans="1:21" x14ac:dyDescent="0.8">
      <c r="A35" s="46">
        <f>IF(+All!$H296="California",+All!A296,IF(+All!$F296="California",+All!A296,0))</f>
        <v>4</v>
      </c>
      <c r="B35" s="348" t="str">
        <f>IF(+All!$H296="California",+All!B296,IF(+All!$F296="California",+All!B296,0))</f>
        <v>Sat</v>
      </c>
      <c r="C35" s="72">
        <f>IF(+All!$H296="California",+All!C296,IF(+All!$F296="California",+All!C296,0))</f>
        <v>44828</v>
      </c>
      <c r="D35" s="73">
        <f>IF(+All!$H296="California",+All!D296,IF(+All!$F296="California",+All!D296,0))</f>
        <v>0.9375</v>
      </c>
      <c r="E35" s="461" t="str">
        <f>IF(+All!$H296="California",+All!E296,IF(+All!$F296="California",+All!E296,0))</f>
        <v>PAC12</v>
      </c>
      <c r="F35" s="460" t="str">
        <f>IF(+All!$H296="California",+All!F296,IF(+All!$F296="California",+All!F296,0))</f>
        <v>Arizona</v>
      </c>
      <c r="G35" s="461" t="str">
        <f>IF(+All!$H296="California",+All!G296,IF(+All!$F296="California",+All!G296,0))</f>
        <v>P12</v>
      </c>
      <c r="H35" s="460" t="str">
        <f>IF(+All!$H296="California",+All!H296,IF(+All!$F296="California",+All!H296,0))</f>
        <v>California</v>
      </c>
      <c r="I35" s="461" t="str">
        <f>IF(+All!$H296="California",+All!I296,IF(+All!$F296="California",+All!I296,0))</f>
        <v>P12</v>
      </c>
      <c r="J35" s="460" t="str">
        <f>IF(+All!$H296="California",+All!J296,IF(+All!$F296="California",+All!J296,0))</f>
        <v>California</v>
      </c>
      <c r="K35" s="461" t="str">
        <f>IF(+All!$H296="California",+All!K296,IF(+All!$F296="California",+All!K296,0))</f>
        <v>Arizona</v>
      </c>
      <c r="L35" s="60">
        <f>IF(+All!$H296="California",+All!L296,IF(+All!$F296="California",+All!L296,0))</f>
        <v>3</v>
      </c>
      <c r="M35" s="61">
        <f>IF(+All!$H296="California",+All!M296,IF(+All!$F296="California",+All!M296,0))</f>
        <v>50.5</v>
      </c>
      <c r="N35" s="460" t="str">
        <f>IF(+All!$H296="California",+All!N296,IF(+All!$F296="California",+All!N296,0))</f>
        <v>California</v>
      </c>
      <c r="O35" s="462">
        <f>IF(+All!$H296="California",+All!O296,IF(+All!$F296="California",+All!O296,0))</f>
        <v>49</v>
      </c>
      <c r="P35" s="462" t="str">
        <f>IF(+All!$H296="California",+All!P296,IF(+All!$F296="California",+All!P296,0))</f>
        <v>Arizona</v>
      </c>
      <c r="Q35" s="461">
        <f>IF(+All!$H296="California",+All!Q296,IF(+All!$F296="California",+All!Q296,0))</f>
        <v>31</v>
      </c>
      <c r="R35" s="460" t="str">
        <f>IF(+All!$H296="California",+All!R296,IF(+All!$F296="California",+All!R296,0))</f>
        <v>California</v>
      </c>
      <c r="S35" s="462" t="str">
        <f>IF(+All!$H296="California",+All!S296,IF(+All!$F296="California",+All!S296,0))</f>
        <v>Arizona</v>
      </c>
      <c r="T35" s="460" t="str">
        <f>IF(+All!$H296="California",+All!T296,IF(+All!$F296="California",+All!T296,0))</f>
        <v>Arizona</v>
      </c>
      <c r="U35" s="461" t="str">
        <f>IF(+All!$H296="California",+All!U296,IF(+All!$F296="California",+All!U296,0))</f>
        <v>L</v>
      </c>
    </row>
    <row r="36" spans="1:21" x14ac:dyDescent="0.8">
      <c r="A36" s="46">
        <f>IF(+All!$H367="California",+All!A367,IF(+All!$F367="California",+All!A367,0))</f>
        <v>5</v>
      </c>
      <c r="B36" s="348" t="str">
        <f>IF(+All!$H367="California",+All!B367,IF(+All!$F367="California",+All!B367,0))</f>
        <v>Sat</v>
      </c>
      <c r="C36" s="72">
        <f>IF(+All!$H367="California",+All!C367,IF(+All!$F367="California",+All!C367,0))</f>
        <v>44835</v>
      </c>
      <c r="D36" s="73">
        <f>IF(+All!$H367="California",+All!D367,IF(+All!$F367="California",+All!D367,0))</f>
        <v>0.72916666666666663</v>
      </c>
      <c r="E36" s="461" t="str">
        <f>IF(+All!$H367="California",+All!E367,IF(+All!$F367="California",+All!E367,0))</f>
        <v>PAC12</v>
      </c>
      <c r="F36" s="460" t="str">
        <f>IF(+All!$H367="California",+All!F367,IF(+All!$F367="California",+All!F367,0))</f>
        <v>California</v>
      </c>
      <c r="G36" s="461" t="str">
        <f>IF(+All!$H367="California",+All!G367,IF(+All!$F367="California",+All!G367,0))</f>
        <v>P12</v>
      </c>
      <c r="H36" s="460" t="str">
        <f>IF(+All!$H367="California",+All!H367,IF(+All!$F367="California",+All!H367,0))</f>
        <v>Washington State</v>
      </c>
      <c r="I36" s="461" t="str">
        <f>IF(+All!$H367="California",+All!I367,IF(+All!$F367="California",+All!I367,0))</f>
        <v>P12</v>
      </c>
      <c r="J36" s="460" t="str">
        <f>IF(+All!$H367="California",+All!J367,IF(+All!$F367="California",+All!J367,0))</f>
        <v>Washington State</v>
      </c>
      <c r="K36" s="461" t="str">
        <f>IF(+All!$H367="California",+All!K367,IF(+All!$F367="California",+All!K367,0))</f>
        <v>California</v>
      </c>
      <c r="L36" s="60">
        <f>IF(+All!$H367="California",+All!L367,IF(+All!$F367="California",+All!L367,0))</f>
        <v>3.5</v>
      </c>
      <c r="M36" s="61">
        <f>IF(+All!$H367="California",+All!M367,IF(+All!$F367="California",+All!M367,0))</f>
        <v>53.5</v>
      </c>
      <c r="N36" s="460" t="str">
        <f>IF(+All!$H367="California",+All!N367,IF(+All!$F367="California",+All!N367,0))</f>
        <v>Washington State</v>
      </c>
      <c r="O36" s="462">
        <f>IF(+All!$H367="California",+All!O367,IF(+All!$F367="California",+All!O367,0))</f>
        <v>28</v>
      </c>
      <c r="P36" s="462" t="str">
        <f>IF(+All!$H367="California",+All!P367,IF(+All!$F367="California",+All!P367,0))</f>
        <v>California</v>
      </c>
      <c r="Q36" s="461">
        <f>IF(+All!$H367="California",+All!Q367,IF(+All!$F367="California",+All!Q367,0))</f>
        <v>9</v>
      </c>
      <c r="R36" s="460" t="str">
        <f>IF(+All!$H367="California",+All!R367,IF(+All!$F367="California",+All!R367,0))</f>
        <v>Washington State</v>
      </c>
      <c r="S36" s="462" t="str">
        <f>IF(+All!$H367="California",+All!S367,IF(+All!$F367="California",+All!S367,0))</f>
        <v>California</v>
      </c>
      <c r="T36" s="460" t="str">
        <f>IF(+All!$H367="California",+All!T367,IF(+All!$F367="California",+All!T367,0))</f>
        <v>Washington State</v>
      </c>
      <c r="U36" s="461" t="str">
        <f>IF(+All!$H367="California",+All!U367,IF(+All!$F367="California",+All!U367,0))</f>
        <v>W</v>
      </c>
    </row>
    <row r="37" spans="1:21" x14ac:dyDescent="0.8">
      <c r="A37" s="46" t="e">
        <f>IF(+All!#REF!="California",+All!#REF!,IF(+All!#REF!="California",+All!#REF!,0))</f>
        <v>#REF!</v>
      </c>
      <c r="B37" s="348" t="e">
        <f>IF(+All!#REF!="California",+All!#REF!,IF(+All!#REF!="California",+All!#REF!,0))</f>
        <v>#REF!</v>
      </c>
      <c r="C37" s="72" t="e">
        <f>IF(+All!#REF!="California",+All!#REF!,IF(+All!#REF!="California",+All!#REF!,0))</f>
        <v>#REF!</v>
      </c>
      <c r="D37" s="73" t="e">
        <f>IF(+All!#REF!="California",+All!#REF!,IF(+All!#REF!="California",+All!#REF!,0))</f>
        <v>#REF!</v>
      </c>
      <c r="E37" s="461" t="e">
        <f>IF(+All!#REF!="California",+All!#REF!,IF(+All!#REF!="California",+All!#REF!,0))</f>
        <v>#REF!</v>
      </c>
      <c r="F37" s="460" t="e">
        <f>IF(+All!#REF!="California",+All!#REF!,IF(+All!#REF!="California",+All!#REF!,0))</f>
        <v>#REF!</v>
      </c>
      <c r="G37" s="461" t="e">
        <f>IF(+All!#REF!="California",+All!#REF!,IF(+All!#REF!="California",+All!#REF!,0))</f>
        <v>#REF!</v>
      </c>
      <c r="H37" s="460" t="e">
        <f>IF(+All!#REF!="California",+All!#REF!,IF(+All!#REF!="California",+All!#REF!,0))</f>
        <v>#REF!</v>
      </c>
      <c r="I37" s="461" t="e">
        <f>IF(+All!#REF!="California",+All!#REF!,IF(+All!#REF!="California",+All!#REF!,0))</f>
        <v>#REF!</v>
      </c>
      <c r="J37" s="460" t="e">
        <f>IF(+All!#REF!="California",+All!#REF!,IF(+All!#REF!="California",+All!#REF!,0))</f>
        <v>#REF!</v>
      </c>
      <c r="K37" s="461" t="e">
        <f>IF(+All!#REF!="California",+All!#REF!,IF(+All!#REF!="California",+All!#REF!,0))</f>
        <v>#REF!</v>
      </c>
      <c r="L37" s="60" t="e">
        <f>IF(+All!#REF!="California",+All!#REF!,IF(+All!#REF!="California",+All!#REF!,0))</f>
        <v>#REF!</v>
      </c>
      <c r="M37" s="61" t="e">
        <f>IF(+All!#REF!="California",+All!#REF!,IF(+All!#REF!="California",+All!#REF!,0))</f>
        <v>#REF!</v>
      </c>
      <c r="N37" s="460" t="e">
        <f>IF(+All!#REF!="California",+All!#REF!,IF(+All!#REF!="California",+All!#REF!,0))</f>
        <v>#REF!</v>
      </c>
      <c r="O37" s="462" t="e">
        <f>IF(+All!#REF!="California",+All!#REF!,IF(+All!#REF!="California",+All!#REF!,0))</f>
        <v>#REF!</v>
      </c>
      <c r="P37" s="462" t="e">
        <f>IF(+All!#REF!="California",+All!#REF!,IF(+All!#REF!="California",+All!#REF!,0))</f>
        <v>#REF!</v>
      </c>
      <c r="Q37" s="461" t="e">
        <f>IF(+All!#REF!="California",+All!#REF!,IF(+All!#REF!="California",+All!#REF!,0))</f>
        <v>#REF!</v>
      </c>
      <c r="R37" s="460" t="e">
        <f>IF(+All!#REF!="California",+All!#REF!,IF(+All!#REF!="California",+All!#REF!,0))</f>
        <v>#REF!</v>
      </c>
      <c r="S37" s="462" t="e">
        <f>IF(+All!#REF!="California",+All!#REF!,IF(+All!#REF!="California",+All!#REF!,0))</f>
        <v>#REF!</v>
      </c>
      <c r="T37" s="460" t="e">
        <f>IF(+All!#REF!="California",+All!#REF!,IF(+All!#REF!="California",+All!#REF!,0))</f>
        <v>#REF!</v>
      </c>
      <c r="U37" s="461" t="e">
        <f>IF(+All!#REF!="California",+All!#REF!,IF(+All!#REF!="California",+All!#REF!,0))</f>
        <v>#REF!</v>
      </c>
    </row>
    <row r="38" spans="1:21" x14ac:dyDescent="0.8">
      <c r="A38" s="46">
        <f>IF(+All!$H477="California",+All!A477,IF(+All!$F477="California",+All!A477,0))</f>
        <v>7</v>
      </c>
      <c r="B38" s="348" t="str">
        <f>IF(+All!$H477="California",+All!B477,IF(+All!$F477="California",+All!B477,0))</f>
        <v>Sat</v>
      </c>
      <c r="C38" s="72">
        <f>IF(+All!$H477="California",+All!C477,IF(+All!$F477="California",+All!C477,0))</f>
        <v>44849</v>
      </c>
      <c r="D38" s="73">
        <f>IF(+All!$H477="California",+All!D477,IF(+All!$F477="California",+All!D477,0))</f>
        <v>0.58333333333333337</v>
      </c>
      <c r="E38" s="461" t="str">
        <f>IF(+All!$H477="California",+All!E477,IF(+All!$F477="California",+All!E477,0))</f>
        <v>PAC12</v>
      </c>
      <c r="F38" s="460" t="str">
        <f>IF(+All!$H477="California",+All!F477,IF(+All!$F477="California",+All!F477,0))</f>
        <v>California</v>
      </c>
      <c r="G38" s="461" t="str">
        <f>IF(+All!$H477="California",+All!G477,IF(+All!$F477="California",+All!G477,0))</f>
        <v>P12</v>
      </c>
      <c r="H38" s="460" t="str">
        <f>IF(+All!$H477="California",+All!H477,IF(+All!$F477="California",+All!H477,0))</f>
        <v>Colorado</v>
      </c>
      <c r="I38" s="461" t="str">
        <f>IF(+All!$H477="California",+All!I477,IF(+All!$F477="California",+All!I477,0))</f>
        <v>P12</v>
      </c>
      <c r="J38" s="460" t="str">
        <f>IF(+All!$H477="California",+All!J477,IF(+All!$F477="California",+All!J477,0))</f>
        <v>California</v>
      </c>
      <c r="K38" s="461" t="str">
        <f>IF(+All!$H477="California",+All!K477,IF(+All!$F477="California",+All!K477,0))</f>
        <v>Colorado</v>
      </c>
      <c r="L38" s="60">
        <f>IF(+All!$H477="California",+All!L477,IF(+All!$F477="California",+All!L477,0))</f>
        <v>14.5</v>
      </c>
      <c r="M38" s="61">
        <f>IF(+All!$H477="California",+All!M477,IF(+All!$F477="California",+All!M477,0))</f>
        <v>48</v>
      </c>
      <c r="N38" s="460" t="str">
        <f>IF(+All!$H477="California",+All!N477,IF(+All!$F477="California",+All!N477,0))</f>
        <v>Colorado</v>
      </c>
      <c r="O38" s="462">
        <f>IF(+All!$H477="California",+All!O477,IF(+All!$F477="California",+All!O477,0))</f>
        <v>20</v>
      </c>
      <c r="P38" s="462" t="str">
        <f>IF(+All!$H477="California",+All!P477,IF(+All!$F477="California",+All!P477,0))</f>
        <v>California</v>
      </c>
      <c r="Q38" s="461">
        <f>IF(+All!$H477="California",+All!Q477,IF(+All!$F477="California",+All!Q477,0))</f>
        <v>13</v>
      </c>
      <c r="R38" s="460" t="str">
        <f>IF(+All!$H477="California",+All!R477,IF(+All!$F477="California",+All!R477,0))</f>
        <v>Colorado</v>
      </c>
      <c r="S38" s="462" t="str">
        <f>IF(+All!$H477="California",+All!S477,IF(+All!$F477="California",+All!S477,0))</f>
        <v>California</v>
      </c>
      <c r="T38" s="460" t="str">
        <f>IF(+All!$H477="California",+All!T477,IF(+All!$F477="California",+All!T477,0))</f>
        <v>California</v>
      </c>
      <c r="U38" s="461" t="str">
        <f>IF(+All!$H477="California",+All!U477,IF(+All!$F477="California",+All!U477,0))</f>
        <v>L</v>
      </c>
    </row>
    <row r="39" spans="1:21" x14ac:dyDescent="0.8">
      <c r="A39" s="46">
        <f>IF(+All!$H532="California",+All!A532,IF(+All!$F532="California",+All!A532,0))</f>
        <v>8</v>
      </c>
      <c r="B39" s="348" t="str">
        <f>IF(+All!$H532="California",+All!B532,IF(+All!$F532="California",+All!B532,0))</f>
        <v>Sat</v>
      </c>
      <c r="C39" s="72">
        <f>IF(+All!$H532="California",+All!C532,IF(+All!$F532="California",+All!C532,0))</f>
        <v>44856</v>
      </c>
      <c r="D39" s="73">
        <f>IF(+All!$H532="California",+All!D532,IF(+All!$F532="California",+All!D532,0))</f>
        <v>0.9375</v>
      </c>
      <c r="E39" s="461" t="str">
        <f>IF(+All!$H532="California",+All!E532,IF(+All!$F532="California",+All!E532,0))</f>
        <v>ESPN</v>
      </c>
      <c r="F39" s="460" t="str">
        <f>IF(+All!$H532="California",+All!F532,IF(+All!$F532="California",+All!F532,0))</f>
        <v>Washington</v>
      </c>
      <c r="G39" s="461" t="str">
        <f>IF(+All!$H532="California",+All!G532,IF(+All!$F532="California",+All!G532,0))</f>
        <v>P12</v>
      </c>
      <c r="H39" s="460" t="str">
        <f>IF(+All!$H532="California",+All!H532,IF(+All!$F532="California",+All!H532,0))</f>
        <v>California</v>
      </c>
      <c r="I39" s="461" t="str">
        <f>IF(+All!$H532="California",+All!I532,IF(+All!$F532="California",+All!I532,0))</f>
        <v>P12</v>
      </c>
      <c r="J39" s="460" t="str">
        <f>IF(+All!$H532="California",+All!J532,IF(+All!$F532="California",+All!J532,0))</f>
        <v>Washington</v>
      </c>
      <c r="K39" s="461" t="str">
        <f>IF(+All!$H532="California",+All!K532,IF(+All!$F532="California",+All!K532,0))</f>
        <v>California</v>
      </c>
      <c r="L39" s="60">
        <f>IF(+All!$H532="California",+All!L532,IF(+All!$F532="California",+All!L532,0))</f>
        <v>7.5</v>
      </c>
      <c r="M39" s="61">
        <f>IF(+All!$H532="California",+All!M532,IF(+All!$F532="California",+All!M532,0))</f>
        <v>56.5</v>
      </c>
      <c r="N39" s="460" t="str">
        <f>IF(+All!$H532="California",+All!N532,IF(+All!$F532="California",+All!N532,0))</f>
        <v>Washington</v>
      </c>
      <c r="O39" s="462">
        <f>IF(+All!$H532="California",+All!O532,IF(+All!$F532="California",+All!O532,0))</f>
        <v>28</v>
      </c>
      <c r="P39" s="462" t="str">
        <f>IF(+All!$H532="California",+All!P532,IF(+All!$F532="California",+All!P532,0))</f>
        <v>California</v>
      </c>
      <c r="Q39" s="461">
        <f>IF(+All!$H532="California",+All!Q532,IF(+All!$F532="California",+All!Q532,0))</f>
        <v>21</v>
      </c>
      <c r="R39" s="460" t="str">
        <f>IF(+All!$H532="California",+All!R532,IF(+All!$F532="California",+All!R532,0))</f>
        <v>California</v>
      </c>
      <c r="S39" s="462" t="str">
        <f>IF(+All!$H532="California",+All!S532,IF(+All!$F532="California",+All!S532,0))</f>
        <v>Washington</v>
      </c>
      <c r="T39" s="460" t="str">
        <f>IF(+All!$H532="California",+All!T532,IF(+All!$F532="California",+All!T532,0))</f>
        <v>California</v>
      </c>
      <c r="U39" s="461" t="str">
        <f>IF(+All!$H532="California",+All!U532,IF(+All!$F532="California",+All!U532,0))</f>
        <v>W</v>
      </c>
    </row>
    <row r="40" spans="1:21" x14ac:dyDescent="0.8">
      <c r="A40" s="46">
        <f>IF(+All!$H581="California",+All!A581,IF(+All!$F581="California",+All!A581,0))</f>
        <v>9</v>
      </c>
      <c r="B40" s="348" t="str">
        <f>IF(+All!$H581="California",+All!B581,IF(+All!$F581="California",+All!B581,0))</f>
        <v>Sat</v>
      </c>
      <c r="C40" s="72">
        <f>IF(+All!$H581="California",+All!C581,IF(+All!$F581="California",+All!C581,0))</f>
        <v>44863</v>
      </c>
      <c r="D40" s="73">
        <f>IF(+All!$H581="California",+All!D581,IF(+All!$F581="California",+All!D581,0))</f>
        <v>0.64583333333333337</v>
      </c>
      <c r="E40" s="461" t="str">
        <f>IF(+All!$H581="California",+All!E581,IF(+All!$F581="California",+All!E581,0))</f>
        <v>FS1</v>
      </c>
      <c r="F40" s="460" t="str">
        <f>IF(+All!$H581="California",+All!F581,IF(+All!$F581="California",+All!F581,0))</f>
        <v>Oregon</v>
      </c>
      <c r="G40" s="461" t="str">
        <f>IF(+All!$H581="California",+All!G581,IF(+All!$F581="California",+All!G581,0))</f>
        <v>P12</v>
      </c>
      <c r="H40" s="460" t="str">
        <f>IF(+All!$H581="California",+All!H581,IF(+All!$F581="California",+All!H581,0))</f>
        <v>California</v>
      </c>
      <c r="I40" s="461" t="str">
        <f>IF(+All!$H581="California",+All!I581,IF(+All!$F581="California",+All!I581,0))</f>
        <v>P12</v>
      </c>
      <c r="J40" s="460" t="str">
        <f>IF(+All!$H581="California",+All!J581,IF(+All!$F581="California",+All!J581,0))</f>
        <v>Oregon</v>
      </c>
      <c r="K40" s="461" t="str">
        <f>IF(+All!$H581="California",+All!K581,IF(+All!$F581="California",+All!K581,0))</f>
        <v>California</v>
      </c>
      <c r="L40" s="60">
        <f>IF(+All!$H581="California",+All!L581,IF(+All!$F581="California",+All!L581,0))</f>
        <v>17.5</v>
      </c>
      <c r="M40" s="61">
        <f>IF(+All!$H581="California",+All!M581,IF(+All!$F581="California",+All!M581,0))</f>
        <v>58</v>
      </c>
      <c r="N40" s="460" t="str">
        <f>IF(+All!$H581="California",+All!N581,IF(+All!$F581="California",+All!N581,0))</f>
        <v>Oregon</v>
      </c>
      <c r="O40" s="462">
        <f>IF(+All!$H581="California",+All!O581,IF(+All!$F581="California",+All!O581,0))</f>
        <v>42</v>
      </c>
      <c r="P40" s="462" t="str">
        <f>IF(+All!$H581="California",+All!P581,IF(+All!$F581="California",+All!P581,0))</f>
        <v>California</v>
      </c>
      <c r="Q40" s="461">
        <f>IF(+All!$H581="California",+All!Q581,IF(+All!$F581="California",+All!Q581,0))</f>
        <v>24</v>
      </c>
      <c r="R40" s="460" t="str">
        <f>IF(+All!$H581="California",+All!R581,IF(+All!$F581="California",+All!R581,0))</f>
        <v>Oregon</v>
      </c>
      <c r="S40" s="462" t="str">
        <f>IF(+All!$H581="California",+All!S581,IF(+All!$F581="California",+All!S581,0))</f>
        <v>California</v>
      </c>
      <c r="T40" s="460" t="str">
        <f>IF(+All!$H581="California",+All!T581,IF(+All!$F581="California",+All!T581,0))</f>
        <v>California</v>
      </c>
      <c r="U40" s="461" t="str">
        <f>IF(+All!$H581="California",+All!U581,IF(+All!$F581="California",+All!U581,0))</f>
        <v>L</v>
      </c>
    </row>
    <row r="41" spans="1:21" x14ac:dyDescent="0.8">
      <c r="A41" s="46">
        <f>IF(+All!$H638="California",+All!A638,IF(+All!$F638="California",+All!A638,0))</f>
        <v>10</v>
      </c>
      <c r="B41" s="348" t="str">
        <f>IF(+All!$H638="California",+All!B638,IF(+All!$F638="California",+All!B638,0))</f>
        <v>Sat</v>
      </c>
      <c r="C41" s="72">
        <f>IF(+All!$H638="California",+All!C638,IF(+All!$F638="California",+All!C638,0))</f>
        <v>44870</v>
      </c>
      <c r="D41" s="73">
        <f>IF(+All!$H638="California",+All!D638,IF(+All!$F638="California",+All!D638,0))</f>
        <v>0.9375</v>
      </c>
      <c r="E41" s="461" t="str">
        <f>IF(+All!$H638="California",+All!E638,IF(+All!$F638="California",+All!E638,0))</f>
        <v>ESPN</v>
      </c>
      <c r="F41" s="460" t="str">
        <f>IF(+All!$H638="California",+All!F638,IF(+All!$F638="California",+All!F638,0))</f>
        <v>California</v>
      </c>
      <c r="G41" s="461" t="str">
        <f>IF(+All!$H638="California",+All!G638,IF(+All!$F638="California",+All!G638,0))</f>
        <v>P12</v>
      </c>
      <c r="H41" s="460" t="str">
        <f>IF(+All!$H638="California",+All!H638,IF(+All!$F638="California",+All!H638,0))</f>
        <v>Southern Cal</v>
      </c>
      <c r="I41" s="461" t="str">
        <f>IF(+All!$H638="California",+All!I638,IF(+All!$F638="California",+All!I638,0))</f>
        <v>P12</v>
      </c>
      <c r="J41" s="460" t="str">
        <f>IF(+All!$H638="California",+All!J638,IF(+All!$F638="California",+All!J638,0))</f>
        <v>Southern Cal</v>
      </c>
      <c r="K41" s="461" t="str">
        <f>IF(+All!$H638="California",+All!K638,IF(+All!$F638="California",+All!K638,0))</f>
        <v>California</v>
      </c>
      <c r="L41" s="60">
        <f>IF(+All!$H638="California",+All!L638,IF(+All!$F638="California",+All!L638,0))</f>
        <v>21</v>
      </c>
      <c r="M41" s="61">
        <f>IF(+All!$H638="California",+All!M638,IF(+All!$F638="California",+All!M638,0))</f>
        <v>59.5</v>
      </c>
      <c r="N41" s="460" t="str">
        <f>IF(+All!$H638="California",+All!N638,IF(+All!$F638="California",+All!N638,0))</f>
        <v>Southern Cal</v>
      </c>
      <c r="O41" s="462">
        <f>IF(+All!$H638="California",+All!O638,IF(+All!$F638="California",+All!O638,0))</f>
        <v>41</v>
      </c>
      <c r="P41" s="462" t="str">
        <f>IF(+All!$H638="California",+All!P638,IF(+All!$F638="California",+All!P638,0))</f>
        <v>California</v>
      </c>
      <c r="Q41" s="461">
        <f>IF(+All!$H638="California",+All!Q638,IF(+All!$F638="California",+All!Q638,0))</f>
        <v>35</v>
      </c>
      <c r="R41" s="460" t="str">
        <f>IF(+All!$H638="California",+All!R638,IF(+All!$F638="California",+All!R638,0))</f>
        <v>California</v>
      </c>
      <c r="S41" s="462" t="str">
        <f>IF(+All!$H638="California",+All!S638,IF(+All!$F638="California",+All!S638,0))</f>
        <v>Southern Cal</v>
      </c>
      <c r="T41" s="460" t="str">
        <f>IF(+All!$H638="California",+All!T638,IF(+All!$F638="California",+All!T638,0))</f>
        <v>Southern Cal</v>
      </c>
      <c r="U41" s="461" t="str">
        <f>IF(+All!$H638="California",+All!U638,IF(+All!$F638="California",+All!U638,0))</f>
        <v>L</v>
      </c>
    </row>
    <row r="42" spans="1:21" x14ac:dyDescent="0.8">
      <c r="A42" s="46">
        <f>IF(+All!$H700="California",+All!A700,IF(+All!$F700="California",+All!A700,0))</f>
        <v>11</v>
      </c>
      <c r="B42" s="348" t="str">
        <f>IF(+All!$H700="California",+All!B700,IF(+All!$F700="California",+All!B700,0))</f>
        <v>Sat</v>
      </c>
      <c r="C42" s="72">
        <f>IF(+All!$H700="California",+All!C700,IF(+All!$F700="California",+All!C700,0))</f>
        <v>44877</v>
      </c>
      <c r="D42" s="73">
        <f>IF(+All!$H700="California",+All!D700,IF(+All!$F700="California",+All!D700,0))</f>
        <v>0.875</v>
      </c>
      <c r="E42" s="461" t="str">
        <f>IF(+All!$H700="California",+All!E700,IF(+All!$F700="California",+All!E700,0))</f>
        <v>PAC12</v>
      </c>
      <c r="F42" s="460" t="str">
        <f>IF(+All!$H700="California",+All!F700,IF(+All!$F700="California",+All!F700,0))</f>
        <v>California</v>
      </c>
      <c r="G42" s="461" t="str">
        <f>IF(+All!$H700="California",+All!G700,IF(+All!$F700="California",+All!G700,0))</f>
        <v>P12</v>
      </c>
      <c r="H42" s="460" t="str">
        <f>IF(+All!$H700="California",+All!H700,IF(+All!$F700="California",+All!H700,0))</f>
        <v>Oregon State</v>
      </c>
      <c r="I42" s="461" t="str">
        <f>IF(+All!$H700="California",+All!I700,IF(+All!$F700="California",+All!I700,0))</f>
        <v>P12</v>
      </c>
      <c r="J42" s="460" t="str">
        <f>IF(+All!$H700="California",+All!J700,IF(+All!$F700="California",+All!J700,0))</f>
        <v>Oregon State</v>
      </c>
      <c r="K42" s="461" t="str">
        <f>IF(+All!$H700="California",+All!K700,IF(+All!$F700="California",+All!K700,0))</f>
        <v>California</v>
      </c>
      <c r="L42" s="60">
        <f>IF(+All!$H700="California",+All!L700,IF(+All!$F700="California",+All!L700,0))</f>
        <v>14</v>
      </c>
      <c r="M42" s="61">
        <f>IF(+All!$H700="California",+All!M700,IF(+All!$F700="California",+All!M700,0))</f>
        <v>49</v>
      </c>
      <c r="N42" s="460" t="str">
        <f>IF(+All!$H700="California",+All!N700,IF(+All!$F700="California",+All!N700,0))</f>
        <v>Oregon State</v>
      </c>
      <c r="O42" s="462">
        <f>IF(+All!$H700="California",+All!O700,IF(+All!$F700="California",+All!O700,0))</f>
        <v>38</v>
      </c>
      <c r="P42" s="462" t="str">
        <f>IF(+All!$H700="California",+All!P700,IF(+All!$F700="California",+All!P700,0))</f>
        <v>California</v>
      </c>
      <c r="Q42" s="461">
        <f>IF(+All!$H700="California",+All!Q700,IF(+All!$F700="California",+All!Q700,0))</f>
        <v>10</v>
      </c>
      <c r="R42" s="460" t="str">
        <f>IF(+All!$H700="California",+All!R700,IF(+All!$F700="California",+All!R700,0))</f>
        <v>Oregon State</v>
      </c>
      <c r="S42" s="462" t="str">
        <f>IF(+All!$H700="California",+All!S700,IF(+All!$F700="California",+All!S700,0))</f>
        <v>California</v>
      </c>
      <c r="T42" s="460" t="str">
        <f>IF(+All!$H700="California",+All!T700,IF(+All!$F700="California",+All!T700,0))</f>
        <v>Oregon State</v>
      </c>
      <c r="U42" s="461" t="str">
        <f>IF(+All!$H700="California",+All!U700,IF(+All!$F700="California",+All!U700,0))</f>
        <v>W</v>
      </c>
    </row>
    <row r="43" spans="1:21" x14ac:dyDescent="0.8">
      <c r="A43" s="46">
        <f>IF(+All!$H765="California",+All!A765,IF(+All!$F765="California",+All!A765,0))</f>
        <v>12</v>
      </c>
      <c r="B43" s="348" t="str">
        <f>IF(+All!$H765="California",+All!B765,IF(+All!$F765="California",+All!B765,0))</f>
        <v>Sat</v>
      </c>
      <c r="C43" s="72">
        <f>IF(+All!$H765="California",+All!C765,IF(+All!$F765="California",+All!C765,0))</f>
        <v>44884</v>
      </c>
      <c r="D43" s="73">
        <f>IF(+All!$H765="California",+All!D765,IF(+All!$F765="California",+All!D765,0))</f>
        <v>0.72916666666666663</v>
      </c>
      <c r="E43" s="461" t="str">
        <f>IF(+All!$H765="California",+All!E765,IF(+All!$F765="California",+All!E765,0))</f>
        <v>PAC12</v>
      </c>
      <c r="F43" s="460" t="str">
        <f>IF(+All!$H765="California",+All!F765,IF(+All!$F765="California",+All!F765,0))</f>
        <v>Stanford</v>
      </c>
      <c r="G43" s="461" t="str">
        <f>IF(+All!$H765="California",+All!G765,IF(+All!$F765="California",+All!G765,0))</f>
        <v>P12</v>
      </c>
      <c r="H43" s="460" t="str">
        <f>IF(+All!$H765="California",+All!H765,IF(+All!$F765="California",+All!H765,0))</f>
        <v>California</v>
      </c>
      <c r="I43" s="461" t="str">
        <f>IF(+All!$H765="California",+All!I765,IF(+All!$F765="California",+All!I765,0))</f>
        <v>P12</v>
      </c>
      <c r="J43" s="460" t="str">
        <f>IF(+All!$H765="California",+All!J765,IF(+All!$F765="California",+All!J765,0))</f>
        <v>California</v>
      </c>
      <c r="K43" s="461" t="str">
        <f>IF(+All!$H765="California",+All!K765,IF(+All!$F765="California",+All!K765,0))</f>
        <v>Stanford</v>
      </c>
      <c r="L43" s="60">
        <f>IF(+All!$H765="California",+All!L765,IF(+All!$F765="California",+All!L765,0))</f>
        <v>5</v>
      </c>
      <c r="M43" s="61">
        <f>IF(+All!$H765="California",+All!M765,IF(+All!$F765="California",+All!M765,0))</f>
        <v>46</v>
      </c>
      <c r="N43" s="460" t="str">
        <f>IF(+All!$H765="California",+All!N765,IF(+All!$F765="California",+All!N765,0))</f>
        <v>California</v>
      </c>
      <c r="O43" s="462">
        <f>IF(+All!$H765="California",+All!O765,IF(+All!$F765="California",+All!O765,0))</f>
        <v>27</v>
      </c>
      <c r="P43" s="462" t="str">
        <f>IF(+All!$H765="California",+All!P765,IF(+All!$F765="California",+All!P765,0))</f>
        <v>Stanford</v>
      </c>
      <c r="Q43" s="461">
        <f>IF(+All!$H765="California",+All!Q765,IF(+All!$F765="California",+All!Q765,0))</f>
        <v>20</v>
      </c>
      <c r="R43" s="460" t="str">
        <f>IF(+All!$H765="California",+All!R765,IF(+All!$F765="California",+All!R765,0))</f>
        <v>California</v>
      </c>
      <c r="S43" s="462" t="str">
        <f>IF(+All!$H765="California",+All!S765,IF(+All!$F765="California",+All!S765,0))</f>
        <v>Stanford</v>
      </c>
      <c r="T43" s="460" t="str">
        <f>IF(+All!$H765="California",+All!T765,IF(+All!$F765="California",+All!T765,0))</f>
        <v>Stanford</v>
      </c>
      <c r="U43" s="461" t="str">
        <f>IF(+All!$H765="California",+All!U765,IF(+All!$F765="California",+All!U765,0))</f>
        <v>L</v>
      </c>
    </row>
    <row r="44" spans="1:21" x14ac:dyDescent="0.8">
      <c r="A44" s="46">
        <f>IF(+All!$H796="California",+All!A796,IF(+All!$F796="California",+All!A796,0))</f>
        <v>13</v>
      </c>
      <c r="B44" s="348" t="str">
        <f>IF(+All!$H796="California",+All!B796,IF(+All!$F796="California",+All!B796,0))</f>
        <v>Fri</v>
      </c>
      <c r="C44" s="72">
        <f>IF(+All!$H796="California",+All!C796,IF(+All!$F796="California",+All!C796,0))</f>
        <v>44890</v>
      </c>
      <c r="D44" s="73">
        <f>IF(+All!$H796="California",+All!D796,IF(+All!$F796="California",+All!D796,0))</f>
        <v>0.6875</v>
      </c>
      <c r="E44" s="461" t="str">
        <f>IF(+All!$H796="California",+All!E796,IF(+All!$F796="California",+All!E796,0))</f>
        <v>Fox</v>
      </c>
      <c r="F44" s="460" t="str">
        <f>IF(+All!$H796="California",+All!F796,IF(+All!$F796="California",+All!F796,0))</f>
        <v>UCLA</v>
      </c>
      <c r="G44" s="461" t="str">
        <f>IF(+All!$H796="California",+All!G796,IF(+All!$F796="California",+All!G796,0))</f>
        <v>P12</v>
      </c>
      <c r="H44" s="460" t="str">
        <f>IF(+All!$H796="California",+All!H796,IF(+All!$F796="California",+All!H796,0))</f>
        <v>California</v>
      </c>
      <c r="I44" s="461" t="str">
        <f>IF(+All!$H796="California",+All!I796,IF(+All!$F796="California",+All!I796,0))</f>
        <v>P12</v>
      </c>
      <c r="J44" s="460" t="str">
        <f>IF(+All!$H796="California",+All!J796,IF(+All!$F796="California",+All!J796,0))</f>
        <v>UCLA</v>
      </c>
      <c r="K44" s="461" t="str">
        <f>IF(+All!$H796="California",+All!K796,IF(+All!$F796="California",+All!K796,0))</f>
        <v>California</v>
      </c>
      <c r="L44" s="60">
        <f>IF(+All!$H796="California",+All!L796,IF(+All!$F796="California",+All!L796,0))</f>
        <v>11</v>
      </c>
      <c r="M44" s="61">
        <f>IF(+All!$H796="California",+All!M796,IF(+All!$F796="California",+All!M796,0))</f>
        <v>61.5</v>
      </c>
      <c r="N44" s="460" t="str">
        <f>IF(+All!$H796="California",+All!N796,IF(+All!$F796="California",+All!N796,0))</f>
        <v>UCLA</v>
      </c>
      <c r="O44" s="462">
        <f>IF(+All!$H796="California",+All!O796,IF(+All!$F796="California",+All!O796,0))</f>
        <v>35</v>
      </c>
      <c r="P44" s="462" t="str">
        <f>IF(+All!$H796="California",+All!P796,IF(+All!$F796="California",+All!P796,0))</f>
        <v>California</v>
      </c>
      <c r="Q44" s="461">
        <f>IF(+All!$H796="California",+All!Q796,IF(+All!$F796="California",+All!Q796,0))</f>
        <v>28</v>
      </c>
      <c r="R44" s="460" t="str">
        <f>IF(+All!$H796="California",+All!R796,IF(+All!$F796="California",+All!R796,0))</f>
        <v>California</v>
      </c>
      <c r="S44" s="462" t="str">
        <f>IF(+All!$H796="California",+All!S796,IF(+All!$F796="California",+All!S796,0))</f>
        <v>UCLA</v>
      </c>
      <c r="T44" s="460" t="str">
        <f>IF(+All!$H796="California",+All!T796,IF(+All!$F796="California",+All!T796,0))</f>
        <v>UCLA</v>
      </c>
      <c r="U44" s="461" t="str">
        <f>IF(+All!$H796="California",+All!U796,IF(+All!$F796="California",+All!U796,0))</f>
        <v>L</v>
      </c>
    </row>
    <row r="45" spans="1:21" x14ac:dyDescent="0.8">
      <c r="A45" s="38"/>
      <c r="B45" s="39"/>
      <c r="C45" s="40"/>
      <c r="D45" s="41"/>
      <c r="E45" s="463"/>
      <c r="F45" s="897" t="str">
        <f>F47</f>
        <v>Colorado</v>
      </c>
      <c r="G45" s="903"/>
      <c r="H45" s="903"/>
      <c r="I45" s="904"/>
      <c r="J45" s="459"/>
      <c r="K45" s="463"/>
      <c r="L45" s="44"/>
      <c r="M45" s="45"/>
      <c r="N45" s="459"/>
      <c r="O45" s="5"/>
      <c r="P45" s="5"/>
      <c r="Q45" s="463"/>
      <c r="R45" s="459"/>
      <c r="S45" s="5"/>
      <c r="T45" s="459"/>
      <c r="U45" s="463"/>
    </row>
    <row r="46" spans="1:21" x14ac:dyDescent="0.8">
      <c r="A46" s="46">
        <f>IF(+All!$H31="Colorado",+All!A31,IF(+All!$F31="Colorado",+All!A31,0))</f>
        <v>1</v>
      </c>
      <c r="B46" s="348" t="str">
        <f>IF(+All!$H31="Colorado",+All!B31,IF(+All!$F31="Colorado",+All!B31,0))</f>
        <v>Fri</v>
      </c>
      <c r="C46" s="72">
        <f>IF(+All!$H31="Colorado",+All!C31,IF(+All!$F31="Colorado",+All!C31,0))</f>
        <v>44806</v>
      </c>
      <c r="D46" s="73">
        <f>IF(+All!$H31="Colorado",+All!D31,IF(+All!$F31="Colorado",+All!D31,0))</f>
        <v>0.91666666666666663</v>
      </c>
      <c r="E46" s="461" t="str">
        <f>IF(+All!$H31="Colorado",+All!E31,IF(+All!$F31="Colorado",+All!E31,0))</f>
        <v>ESPN</v>
      </c>
      <c r="F46" s="460" t="str">
        <f>IF(+All!$H31="Colorado",+All!F31,IF(+All!$F31="Colorado",+All!F31,0))</f>
        <v>TCU</v>
      </c>
      <c r="G46" s="461" t="str">
        <f>IF(+All!$H31="Colorado",+All!G31,IF(+All!$F31="Colorado",+All!G31,0))</f>
        <v>B12</v>
      </c>
      <c r="H46" s="460" t="str">
        <f>IF(+All!$H31="Colorado",+All!H31,IF(+All!$F31="Colorado",+All!H31,0))</f>
        <v>Colorado</v>
      </c>
      <c r="I46" s="461" t="str">
        <f>IF(+All!$H31="Colorado",+All!I31,IF(+All!$F31="Colorado",+All!I31,0))</f>
        <v>P12</v>
      </c>
      <c r="J46" s="460" t="str">
        <f>IF(+All!$H31="Colorado",+All!J31,IF(+All!$F31="Colorado",+All!J31,0))</f>
        <v>TCU</v>
      </c>
      <c r="K46" s="461" t="str">
        <f>IF(+All!$H31="Colorado",+All!K31,IF(+All!$F31="Colorado",+All!K31,0))</f>
        <v>Colorado</v>
      </c>
      <c r="L46" s="60">
        <f>IF(+All!$H31="Colorado",+All!L31,IF(+All!$F31="Colorado",+All!L31,0))</f>
        <v>13.5</v>
      </c>
      <c r="M46" s="61">
        <f>IF(+All!$H31="Colorado",+All!M31,IF(+All!$F31="Colorado",+All!M31,0))</f>
        <v>55.5</v>
      </c>
      <c r="N46" s="460" t="str">
        <f>IF(+All!$H31="Colorado",+All!N31,IF(+All!$F31="Colorado",+All!N31,0))</f>
        <v>TCU</v>
      </c>
      <c r="O46" s="462">
        <f>IF(+All!$H31="Colorado",+All!O31,IF(+All!$F31="Colorado",+All!O31,0))</f>
        <v>38</v>
      </c>
      <c r="P46" s="462" t="str">
        <f>IF(+All!$H31="Colorado",+All!P31,IF(+All!$F31="Colorado",+All!P31,0))</f>
        <v>Colorado</v>
      </c>
      <c r="Q46" s="461">
        <f>IF(+All!$H31="Colorado",+All!Q31,IF(+All!$F31="Colorado",+All!Q31,0))</f>
        <v>13</v>
      </c>
      <c r="R46" s="460" t="str">
        <f>IF(+All!$H31="Colorado",+All!R31,IF(+All!$F31="Colorado",+All!R31,0))</f>
        <v>TCU</v>
      </c>
      <c r="S46" s="462" t="str">
        <f>IF(+All!$H31="Colorado",+All!S31,IF(+All!$F31="Colorado",+All!S31,0))</f>
        <v>Colorado</v>
      </c>
      <c r="T46" s="460" t="str">
        <f>IF(+All!$H31="Colorado",+All!T31,IF(+All!$F31="Colorado",+All!T31,0))</f>
        <v>Colorado</v>
      </c>
      <c r="U46" s="461" t="str">
        <f>IF(+All!$H31="Colorado",+All!U31,IF(+All!$F31="Colorado",+All!U31,0))</f>
        <v>L</v>
      </c>
    </row>
    <row r="47" spans="1:21" x14ac:dyDescent="0.8">
      <c r="A47" s="46">
        <f>IF(+All!$H151="Colorado",+All!A151,IF(+All!$F151="Colorado",+All!A151,0))</f>
        <v>2</v>
      </c>
      <c r="B47" s="348" t="str">
        <f>IF(+All!$H151="Colorado",+All!B151,IF(+All!$F151="Colorado",+All!B151,0))</f>
        <v>Sat</v>
      </c>
      <c r="C47" s="72">
        <f>IF(+All!$H151="Colorado",+All!C151,IF(+All!$F151="Colorado",+All!C151,0))</f>
        <v>44814</v>
      </c>
      <c r="D47" s="73">
        <f>IF(+All!$H151="Colorado",+All!D151,IF(+All!$F151="Colorado",+All!D151,0))</f>
        <v>0.64583333333333337</v>
      </c>
      <c r="E47" s="461" t="str">
        <f>IF(+All!$H151="Colorado",+All!E151,IF(+All!$F151="Colorado",+All!E151,0))</f>
        <v>CBS</v>
      </c>
      <c r="F47" s="460" t="str">
        <f>IF(+All!$H151="Colorado",+All!F151,IF(+All!$F151="Colorado",+All!F151,0))</f>
        <v>Colorado</v>
      </c>
      <c r="G47" s="461" t="str">
        <f>IF(+All!$H151="Colorado",+All!G151,IF(+All!$F151="Colorado",+All!G151,0))</f>
        <v>P12</v>
      </c>
      <c r="H47" s="460" t="str">
        <f>IF(+All!$H151="Colorado",+All!H151,IF(+All!$F151="Colorado",+All!H151,0))</f>
        <v>Air Force</v>
      </c>
      <c r="I47" s="461" t="str">
        <f>IF(+All!$H151="Colorado",+All!I151,IF(+All!$F151="Colorado",+All!I151,0))</f>
        <v>MWC</v>
      </c>
      <c r="J47" s="460" t="str">
        <f>IF(+All!$H151="Colorado",+All!J151,IF(+All!$F151="Colorado",+All!J151,0))</f>
        <v>Air Force</v>
      </c>
      <c r="K47" s="461" t="str">
        <f>IF(+All!$H151="Colorado",+All!K151,IF(+All!$F151="Colorado",+All!K151,0))</f>
        <v>Colorado</v>
      </c>
      <c r="L47" s="60">
        <f>IF(+All!$H151="Colorado",+All!L151,IF(+All!$F151="Colorado",+All!L151,0))</f>
        <v>17.5</v>
      </c>
      <c r="M47" s="61">
        <f>IF(+All!$H151="Colorado",+All!M151,IF(+All!$F151="Colorado",+All!M151,0))</f>
        <v>49</v>
      </c>
      <c r="N47" s="460" t="str">
        <f>IF(+All!$H151="Colorado",+All!N151,IF(+All!$F151="Colorado",+All!N151,0))</f>
        <v>Air Force</v>
      </c>
      <c r="O47" s="462">
        <f>IF(+All!$H151="Colorado",+All!O151,IF(+All!$F151="Colorado",+All!O151,0))</f>
        <v>41</v>
      </c>
      <c r="P47" s="462" t="str">
        <f>IF(+All!$H151="Colorado",+All!P151,IF(+All!$F151="Colorado",+All!P151,0))</f>
        <v>Colorado</v>
      </c>
      <c r="Q47" s="461">
        <f>IF(+All!$H151="Colorado",+All!Q151,IF(+All!$F151="Colorado",+All!Q151,0))</f>
        <v>10</v>
      </c>
      <c r="R47" s="460" t="str">
        <f>IF(+All!$H151="Colorado",+All!R151,IF(+All!$F151="Colorado",+All!R151,0))</f>
        <v>Air Force</v>
      </c>
      <c r="S47" s="462" t="str">
        <f>IF(+All!$H151="Colorado",+All!S151,IF(+All!$F151="Colorado",+All!S151,0))</f>
        <v>Colorado</v>
      </c>
      <c r="T47" s="460" t="str">
        <f>IF(+All!$H151="Colorado",+All!T151,IF(+All!$F151="Colorado",+All!T151,0))</f>
        <v>Colorado</v>
      </c>
      <c r="U47" s="461" t="str">
        <f>IF(+All!$H151="Colorado",+All!U151,IF(+All!$F151="Colorado",+All!U151,0))</f>
        <v>L</v>
      </c>
    </row>
    <row r="48" spans="1:21" x14ac:dyDescent="0.8">
      <c r="A48" s="46">
        <f>IF(+All!$H201="Colorado",+All!A201,IF(+All!$F201="Colorado",+All!A201,0))</f>
        <v>3</v>
      </c>
      <c r="B48" s="348" t="str">
        <f>IF(+All!$H201="Colorado",+All!B201,IF(+All!$F201="Colorado",+All!B201,0))</f>
        <v>Sat</v>
      </c>
      <c r="C48" s="72">
        <f>IF(+All!$H201="Colorado",+All!C201,IF(+All!$F201="Colorado",+All!C201,0))</f>
        <v>44821</v>
      </c>
      <c r="D48" s="73">
        <f>IF(+All!$H201="Colorado",+All!D201,IF(+All!$F201="Colorado",+All!D201,0))</f>
        <v>0.64583333333333337</v>
      </c>
      <c r="E48" s="461" t="str">
        <f>IF(+All!$H201="Colorado",+All!E201,IF(+All!$F201="Colorado",+All!E201,0))</f>
        <v>ESPN2</v>
      </c>
      <c r="F48" s="460" t="str">
        <f>IF(+All!$H201="Colorado",+All!F201,IF(+All!$F201="Colorado",+All!F201,0))</f>
        <v>Colorado</v>
      </c>
      <c r="G48" s="461" t="str">
        <f>IF(+All!$H201="Colorado",+All!G201,IF(+All!$F201="Colorado",+All!G201,0))</f>
        <v>P12</v>
      </c>
      <c r="H48" s="460" t="str">
        <f>IF(+All!$H201="Colorado",+All!H201,IF(+All!$F201="Colorado",+All!H201,0))</f>
        <v>Minnesota</v>
      </c>
      <c r="I48" s="461" t="str">
        <f>IF(+All!$H201="Colorado",+All!I201,IF(+All!$F201="Colorado",+All!I201,0))</f>
        <v>B10</v>
      </c>
      <c r="J48" s="460" t="str">
        <f>IF(+All!$H201="Colorado",+All!J201,IF(+All!$F201="Colorado",+All!J201,0))</f>
        <v>Minnesota</v>
      </c>
      <c r="K48" s="461" t="str">
        <f>IF(+All!$H201="Colorado",+All!K201,IF(+All!$F201="Colorado",+All!K201,0))</f>
        <v>Colorado</v>
      </c>
      <c r="L48" s="60">
        <f>IF(+All!$H201="Colorado",+All!L201,IF(+All!$F201="Colorado",+All!L201,0))</f>
        <v>27</v>
      </c>
      <c r="M48" s="61">
        <f>IF(+All!$H201="Colorado",+All!M201,IF(+All!$F201="Colorado",+All!M201,0))</f>
        <v>46</v>
      </c>
      <c r="N48" s="460" t="str">
        <f>IF(+All!$H201="Colorado",+All!N201,IF(+All!$F201="Colorado",+All!N201,0))</f>
        <v>Minnesota</v>
      </c>
      <c r="O48" s="462">
        <f>IF(+All!$H201="Colorado",+All!O201,IF(+All!$F201="Colorado",+All!O201,0))</f>
        <v>49</v>
      </c>
      <c r="P48" s="462" t="str">
        <f>IF(+All!$H201="Colorado",+All!P201,IF(+All!$F201="Colorado",+All!P201,0))</f>
        <v>Colorado</v>
      </c>
      <c r="Q48" s="461">
        <f>IF(+All!$H201="Colorado",+All!Q201,IF(+All!$F201="Colorado",+All!Q201,0))</f>
        <v>7</v>
      </c>
      <c r="R48" s="460" t="str">
        <f>IF(+All!$H201="Colorado",+All!R201,IF(+All!$F201="Colorado",+All!R201,0))</f>
        <v>Minnesota</v>
      </c>
      <c r="S48" s="462" t="str">
        <f>IF(+All!$H201="Colorado",+All!S201,IF(+All!$F201="Colorado",+All!S201,0))</f>
        <v>Colorado</v>
      </c>
      <c r="T48" s="460" t="str">
        <f>IF(+All!$H201="Colorado",+All!T201,IF(+All!$F201="Colorado",+All!T201,0))</f>
        <v>Colorado</v>
      </c>
      <c r="U48" s="461" t="str">
        <f>IF(+All!$H201="Colorado",+All!U201,IF(+All!$F201="Colorado",+All!U201,0))</f>
        <v>L</v>
      </c>
    </row>
    <row r="49" spans="1:21" x14ac:dyDescent="0.8">
      <c r="A49" s="46">
        <f>IF(+All!$H297="Colorado",+All!A297,IF(+All!$F297="Colorado",+All!A297,0))</f>
        <v>4</v>
      </c>
      <c r="B49" s="348" t="str">
        <f>IF(+All!$H297="Colorado",+All!B297,IF(+All!$F297="Colorado",+All!B297,0))</f>
        <v>Sat</v>
      </c>
      <c r="C49" s="72">
        <f>IF(+All!$H297="Colorado",+All!C297,IF(+All!$F297="Colorado",+All!C297,0))</f>
        <v>44828</v>
      </c>
      <c r="D49" s="73">
        <f>IF(+All!$H297="Colorado",+All!D297,IF(+All!$F297="Colorado",+All!D297,0))</f>
        <v>0.66666666666666663</v>
      </c>
      <c r="E49" s="461" t="str">
        <f>IF(+All!$H297="Colorado",+All!E297,IF(+All!$F297="Colorado",+All!E297,0))</f>
        <v>PAC12</v>
      </c>
      <c r="F49" s="460" t="str">
        <f>IF(+All!$H297="Colorado",+All!F297,IF(+All!$F297="Colorado",+All!F297,0))</f>
        <v>UCLA</v>
      </c>
      <c r="G49" s="461" t="str">
        <f>IF(+All!$H297="Colorado",+All!G297,IF(+All!$F297="Colorado",+All!G297,0))</f>
        <v>P12</v>
      </c>
      <c r="H49" s="460" t="str">
        <f>IF(+All!$H297="Colorado",+All!H297,IF(+All!$F297="Colorado",+All!H297,0))</f>
        <v>Colorado</v>
      </c>
      <c r="I49" s="461" t="str">
        <f>IF(+All!$H297="Colorado",+All!I297,IF(+All!$F297="Colorado",+All!I297,0))</f>
        <v>P12</v>
      </c>
      <c r="J49" s="460" t="str">
        <f>IF(+All!$H297="Colorado",+All!J297,IF(+All!$F297="Colorado",+All!J297,0))</f>
        <v>UCLA</v>
      </c>
      <c r="K49" s="461" t="str">
        <f>IF(+All!$H297="Colorado",+All!K297,IF(+All!$F297="Colorado",+All!K297,0))</f>
        <v>Colorado</v>
      </c>
      <c r="L49" s="60">
        <f>IF(+All!$H297="Colorado",+All!L297,IF(+All!$F297="Colorado",+All!L297,0))</f>
        <v>21</v>
      </c>
      <c r="M49" s="61">
        <f>IF(+All!$H297="Colorado",+All!M297,IF(+All!$F297="Colorado",+All!M297,0))</f>
        <v>56.5</v>
      </c>
      <c r="N49" s="460" t="str">
        <f>IF(+All!$H297="Colorado",+All!N297,IF(+All!$F297="Colorado",+All!N297,0))</f>
        <v>UCLA</v>
      </c>
      <c r="O49" s="462">
        <f>IF(+All!$H297="Colorado",+All!O297,IF(+All!$F297="Colorado",+All!O297,0))</f>
        <v>45</v>
      </c>
      <c r="P49" s="462" t="str">
        <f>IF(+All!$H297="Colorado",+All!P297,IF(+All!$F297="Colorado",+All!P297,0))</f>
        <v>Colorado</v>
      </c>
      <c r="Q49" s="461">
        <f>IF(+All!$H297="Colorado",+All!Q297,IF(+All!$F297="Colorado",+All!Q297,0))</f>
        <v>17</v>
      </c>
      <c r="R49" s="460" t="str">
        <f>IF(+All!$H297="Colorado",+All!R297,IF(+All!$F297="Colorado",+All!R297,0))</f>
        <v>UCLA</v>
      </c>
      <c r="S49" s="462" t="str">
        <f>IF(+All!$H297="Colorado",+All!S297,IF(+All!$F297="Colorado",+All!S297,0))</f>
        <v>Colorado</v>
      </c>
      <c r="T49" s="460" t="str">
        <f>IF(+All!$H297="Colorado",+All!T297,IF(+All!$F297="Colorado",+All!T297,0))</f>
        <v>UCLA</v>
      </c>
      <c r="U49" s="461" t="str">
        <f>IF(+All!$H297="Colorado",+All!U297,IF(+All!$F297="Colorado",+All!U297,0))</f>
        <v>W</v>
      </c>
    </row>
    <row r="50" spans="1:21" x14ac:dyDescent="0.8">
      <c r="A50" s="46">
        <f>IF(+All!$H363="Colorado",+All!A363,IF(+All!$F363="Colorado",+All!A363,0))</f>
        <v>5</v>
      </c>
      <c r="B50" s="348" t="str">
        <f>IF(+All!$H363="Colorado",+All!B363,IF(+All!$F363="Colorado",+All!B363,0))</f>
        <v>Sat</v>
      </c>
      <c r="C50" s="72">
        <f>IF(+All!$H363="Colorado",+All!C363,IF(+All!$F363="Colorado",+All!C363,0))</f>
        <v>44835</v>
      </c>
      <c r="D50" s="73">
        <f>IF(+All!$H363="Colorado",+All!D363,IF(+All!$F363="Colorado",+All!D363,0))</f>
        <v>0.89583333333333337</v>
      </c>
      <c r="E50" s="461" t="str">
        <f>IF(+All!$H363="Colorado",+All!E363,IF(+All!$F363="Colorado",+All!E363,0))</f>
        <v>PAC12</v>
      </c>
      <c r="F50" s="460" t="str">
        <f>IF(+All!$H363="Colorado",+All!F363,IF(+All!$F363="Colorado",+All!F363,0))</f>
        <v>Colorado</v>
      </c>
      <c r="G50" s="461" t="str">
        <f>IF(+All!$H363="Colorado",+All!G363,IF(+All!$F363="Colorado",+All!G363,0))</f>
        <v>P12</v>
      </c>
      <c r="H50" s="460" t="str">
        <f>IF(+All!$H363="Colorado",+All!H363,IF(+All!$F363="Colorado",+All!H363,0))</f>
        <v>Arizona</v>
      </c>
      <c r="I50" s="461" t="str">
        <f>IF(+All!$H363="Colorado",+All!I363,IF(+All!$F363="Colorado",+All!I363,0))</f>
        <v>P12</v>
      </c>
      <c r="J50" s="460" t="str">
        <f>IF(+All!$H363="Colorado",+All!J363,IF(+All!$F363="Colorado",+All!J363,0))</f>
        <v>Arizona</v>
      </c>
      <c r="K50" s="461" t="str">
        <f>IF(+All!$H363="Colorado",+All!K363,IF(+All!$F363="Colorado",+All!K363,0))</f>
        <v>Colorado</v>
      </c>
      <c r="L50" s="60">
        <f>IF(+All!$H363="Colorado",+All!L363,IF(+All!$F363="Colorado",+All!L363,0))</f>
        <v>17.5</v>
      </c>
      <c r="M50" s="61">
        <f>IF(+All!$H363="Colorado",+All!M363,IF(+All!$F363="Colorado",+All!M363,0))</f>
        <v>56.5</v>
      </c>
      <c r="N50" s="460" t="str">
        <f>IF(+All!$H363="Colorado",+All!N363,IF(+All!$F363="Colorado",+All!N363,0))</f>
        <v>Arizona</v>
      </c>
      <c r="O50" s="462">
        <f>IF(+All!$H363="Colorado",+All!O363,IF(+All!$F363="Colorado",+All!O363,0))</f>
        <v>43</v>
      </c>
      <c r="P50" s="462" t="str">
        <f>IF(+All!$H363="Colorado",+All!P363,IF(+All!$F363="Colorado",+All!P363,0))</f>
        <v>Colorado</v>
      </c>
      <c r="Q50" s="461">
        <f>IF(+All!$H363="Colorado",+All!Q363,IF(+All!$F363="Colorado",+All!Q363,0))</f>
        <v>20</v>
      </c>
      <c r="R50" s="460" t="str">
        <f>IF(+All!$H363="Colorado",+All!R363,IF(+All!$F363="Colorado",+All!R363,0))</f>
        <v>Arizona</v>
      </c>
      <c r="S50" s="462" t="str">
        <f>IF(+All!$H363="Colorado",+All!S363,IF(+All!$F363="Colorado",+All!S363,0))</f>
        <v>Colorado</v>
      </c>
      <c r="T50" s="460" t="str">
        <f>IF(+All!$H363="Colorado",+All!T363,IF(+All!$F363="Colorado",+All!T363,0))</f>
        <v>Arizona</v>
      </c>
      <c r="U50" s="461" t="str">
        <f>IF(+All!$H363="Colorado",+All!U363,IF(+All!$F363="Colorado",+All!U363,0))</f>
        <v>W</v>
      </c>
    </row>
    <row r="51" spans="1:21" x14ac:dyDescent="0.8">
      <c r="A51" s="46" t="e">
        <f>IF(+All!#REF!="Colorado",+All!#REF!,IF(+All!#REF!="Colorado",+All!#REF!,0))</f>
        <v>#REF!</v>
      </c>
      <c r="B51" s="348" t="e">
        <f>IF(+All!#REF!="Colorado",+All!#REF!,IF(+All!#REF!="Colorado",+All!#REF!,0))</f>
        <v>#REF!</v>
      </c>
      <c r="C51" s="72" t="e">
        <f>IF(+All!#REF!="Colorado",+All!#REF!,IF(+All!#REF!="Colorado",+All!#REF!,0))</f>
        <v>#REF!</v>
      </c>
      <c r="D51" s="73" t="e">
        <f>IF(+All!#REF!="Colorado",+All!#REF!,IF(+All!#REF!="Colorado",+All!#REF!,0))</f>
        <v>#REF!</v>
      </c>
      <c r="E51" s="461" t="e">
        <f>IF(+All!#REF!="Colorado",+All!#REF!,IF(+All!#REF!="Colorado",+All!#REF!,0))</f>
        <v>#REF!</v>
      </c>
      <c r="F51" s="460" t="e">
        <f>IF(+All!#REF!="Colorado",+All!#REF!,IF(+All!#REF!="Colorado",+All!#REF!,0))</f>
        <v>#REF!</v>
      </c>
      <c r="G51" s="461" t="e">
        <f>IF(+All!#REF!="Colorado",+All!#REF!,IF(+All!#REF!="Colorado",+All!#REF!,0))</f>
        <v>#REF!</v>
      </c>
      <c r="H51" s="460" t="e">
        <f>IF(+All!#REF!="Colorado",+All!#REF!,IF(+All!#REF!="Colorado",+All!#REF!,0))</f>
        <v>#REF!</v>
      </c>
      <c r="I51" s="461" t="e">
        <f>IF(+All!#REF!="Colorado",+All!#REF!,IF(+All!#REF!="Colorado",+All!#REF!,0))</f>
        <v>#REF!</v>
      </c>
      <c r="J51" s="460" t="e">
        <f>IF(+All!#REF!="Colorado",+All!#REF!,IF(+All!#REF!="Colorado",+All!#REF!,0))</f>
        <v>#REF!</v>
      </c>
      <c r="K51" s="461" t="e">
        <f>IF(+All!#REF!="Colorado",+All!#REF!,IF(+All!#REF!="Colorado",+All!#REF!,0))</f>
        <v>#REF!</v>
      </c>
      <c r="L51" s="60" t="e">
        <f>IF(+All!#REF!="Colorado",+All!#REF!,IF(+All!#REF!="Colorado",+All!#REF!,0))</f>
        <v>#REF!</v>
      </c>
      <c r="M51" s="61" t="e">
        <f>IF(+All!#REF!="Colorado",+All!#REF!,IF(+All!#REF!="Colorado",+All!#REF!,0))</f>
        <v>#REF!</v>
      </c>
      <c r="N51" s="460" t="e">
        <f>IF(+All!#REF!="Colorado",+All!#REF!,IF(+All!#REF!="Colorado",+All!#REF!,0))</f>
        <v>#REF!</v>
      </c>
      <c r="O51" s="462" t="e">
        <f>IF(+All!#REF!="Colorado",+All!#REF!,IF(+All!#REF!="Colorado",+All!#REF!,0))</f>
        <v>#REF!</v>
      </c>
      <c r="P51" s="462" t="e">
        <f>IF(+All!#REF!="Colorado",+All!#REF!,IF(+All!#REF!="Colorado",+All!#REF!,0))</f>
        <v>#REF!</v>
      </c>
      <c r="Q51" s="461" t="e">
        <f>IF(+All!#REF!="Colorado",+All!#REF!,IF(+All!#REF!="Colorado",+All!#REF!,0))</f>
        <v>#REF!</v>
      </c>
      <c r="R51" s="460" t="e">
        <f>IF(+All!#REF!="Colorado",+All!#REF!,IF(+All!#REF!="Colorado",+All!#REF!,0))</f>
        <v>#REF!</v>
      </c>
      <c r="S51" s="462" t="e">
        <f>IF(+All!#REF!="Colorado",+All!#REF!,IF(+All!#REF!="Colorado",+All!#REF!,0))</f>
        <v>#REF!</v>
      </c>
      <c r="T51" s="460" t="e">
        <f>IF(+All!#REF!="Colorado",+All!#REF!,IF(+All!#REF!="Colorado",+All!#REF!,0))</f>
        <v>#REF!</v>
      </c>
      <c r="U51" s="461" t="e">
        <f>IF(+All!#REF!="Colorado",+All!#REF!,IF(+All!#REF!="Colorado",+All!#REF!,0))</f>
        <v>#REF!</v>
      </c>
    </row>
    <row r="52" spans="1:21" x14ac:dyDescent="0.8">
      <c r="A52" s="46">
        <f>IF(+All!$H477="Colorado",+All!A477,IF(+All!$F477="Colorado",+All!A477,0))</f>
        <v>7</v>
      </c>
      <c r="B52" s="348" t="str">
        <f>IF(+All!$H477="Colorado",+All!B477,IF(+All!$F477="Colorado",+All!B477,0))</f>
        <v>Sat</v>
      </c>
      <c r="C52" s="72">
        <f>IF(+All!$H477="Colorado",+All!C477,IF(+All!$F477="Colorado",+All!C477,0))</f>
        <v>44849</v>
      </c>
      <c r="D52" s="73">
        <f>IF(+All!$H477="Colorado",+All!D477,IF(+All!$F477="Colorado",+All!D477,0))</f>
        <v>0.58333333333333337</v>
      </c>
      <c r="E52" s="461" t="str">
        <f>IF(+All!$H477="Colorado",+All!E477,IF(+All!$F477="Colorado",+All!E477,0))</f>
        <v>PAC12</v>
      </c>
      <c r="F52" s="460" t="str">
        <f>IF(+All!$H477="Colorado",+All!F477,IF(+All!$F477="Colorado",+All!F477,0))</f>
        <v>California</v>
      </c>
      <c r="G52" s="461" t="str">
        <f>IF(+All!$H477="Colorado",+All!G477,IF(+All!$F477="Colorado",+All!G477,0))</f>
        <v>P12</v>
      </c>
      <c r="H52" s="460" t="str">
        <f>IF(+All!$H477="Colorado",+All!H477,IF(+All!$F477="Colorado",+All!H477,0))</f>
        <v>Colorado</v>
      </c>
      <c r="I52" s="461" t="str">
        <f>IF(+All!$H477="Colorado",+All!I477,IF(+All!$F477="Colorado",+All!I477,0))</f>
        <v>P12</v>
      </c>
      <c r="J52" s="460" t="str">
        <f>IF(+All!$H477="Colorado",+All!J477,IF(+All!$F477="Colorado",+All!J477,0))</f>
        <v>California</v>
      </c>
      <c r="K52" s="461" t="str">
        <f>IF(+All!$H477="Colorado",+All!K477,IF(+All!$F477="Colorado",+All!K477,0))</f>
        <v>Colorado</v>
      </c>
      <c r="L52" s="60">
        <f>IF(+All!$H477="Colorado",+All!L477,IF(+All!$F477="Colorado",+All!L477,0))</f>
        <v>14.5</v>
      </c>
      <c r="M52" s="61">
        <f>IF(+All!$H477="Colorado",+All!M477,IF(+All!$F477="Colorado",+All!M477,0))</f>
        <v>48</v>
      </c>
      <c r="N52" s="460" t="str">
        <f>IF(+All!$H477="Colorado",+All!N477,IF(+All!$F477="Colorado",+All!N477,0))</f>
        <v>Colorado</v>
      </c>
      <c r="O52" s="462">
        <f>IF(+All!$H477="Colorado",+All!O477,IF(+All!$F477="Colorado",+All!O477,0))</f>
        <v>20</v>
      </c>
      <c r="P52" s="462" t="str">
        <f>IF(+All!$H477="Colorado",+All!P477,IF(+All!$F477="Colorado",+All!P477,0))</f>
        <v>California</v>
      </c>
      <c r="Q52" s="461">
        <f>IF(+All!$H477="Colorado",+All!Q477,IF(+All!$F477="Colorado",+All!Q477,0))</f>
        <v>13</v>
      </c>
      <c r="R52" s="460" t="str">
        <f>IF(+All!$H477="Colorado",+All!R477,IF(+All!$F477="Colorado",+All!R477,0))</f>
        <v>Colorado</v>
      </c>
      <c r="S52" s="462" t="str">
        <f>IF(+All!$H477="Colorado",+All!S477,IF(+All!$F477="Colorado",+All!S477,0))</f>
        <v>California</v>
      </c>
      <c r="T52" s="460" t="str">
        <f>IF(+All!$H477="Colorado",+All!T477,IF(+All!$F477="Colorado",+All!T477,0))</f>
        <v>California</v>
      </c>
      <c r="U52" s="461" t="str">
        <f>IF(+All!$H477="Colorado",+All!U477,IF(+All!$F477="Colorado",+All!U477,0))</f>
        <v>L</v>
      </c>
    </row>
    <row r="53" spans="1:21" x14ac:dyDescent="0.8">
      <c r="A53" s="46">
        <f>IF(+All!$H534="Colorado",+All!A534,IF(+All!$F534="Colorado",+All!A534,0))</f>
        <v>8</v>
      </c>
      <c r="B53" s="348" t="str">
        <f>IF(+All!$H534="Colorado",+All!B534,IF(+All!$F534="Colorado",+All!B534,0))</f>
        <v>Sat</v>
      </c>
      <c r="C53" s="72">
        <f>IF(+All!$H534="Colorado",+All!C534,IF(+All!$F534="Colorado",+All!C534,0))</f>
        <v>44856</v>
      </c>
      <c r="D53" s="73">
        <f>IF(+All!$H534="Colorado",+All!D534,IF(+All!$F534="Colorado",+All!D534,0))</f>
        <v>0.83333333333333337</v>
      </c>
      <c r="E53" s="461" t="str">
        <f>IF(+All!$H534="Colorado",+All!E534,IF(+All!$F534="Colorado",+All!E534,0))</f>
        <v>PAC12</v>
      </c>
      <c r="F53" s="460" t="str">
        <f>IF(+All!$H534="Colorado",+All!F534,IF(+All!$F534="Colorado",+All!F534,0))</f>
        <v>Colorado</v>
      </c>
      <c r="G53" s="461" t="str">
        <f>IF(+All!$H534="Colorado",+All!G534,IF(+All!$F534="Colorado",+All!G534,0))</f>
        <v>P12</v>
      </c>
      <c r="H53" s="460" t="str">
        <f>IF(+All!$H534="Colorado",+All!H534,IF(+All!$F534="Colorado",+All!H534,0))</f>
        <v>Oregon State</v>
      </c>
      <c r="I53" s="461" t="str">
        <f>IF(+All!$H534="Colorado",+All!I534,IF(+All!$F534="Colorado",+All!I534,0))</f>
        <v>P12</v>
      </c>
      <c r="J53" s="460" t="str">
        <f>IF(+All!$H534="Colorado",+All!J534,IF(+All!$F534="Colorado",+All!J534,0))</f>
        <v>Oregon State</v>
      </c>
      <c r="K53" s="461" t="str">
        <f>IF(+All!$H534="Colorado",+All!K534,IF(+All!$F534="Colorado",+All!K534,0))</f>
        <v>Colorado</v>
      </c>
      <c r="L53" s="60">
        <f>IF(+All!$H534="Colorado",+All!L534,IF(+All!$F534="Colorado",+All!L534,0))</f>
        <v>24</v>
      </c>
      <c r="M53" s="61">
        <f>IF(+All!$H534="Colorado",+All!M534,IF(+All!$F534="Colorado",+All!M534,0))</f>
        <v>50</v>
      </c>
      <c r="N53" s="460" t="str">
        <f>IF(+All!$H534="Colorado",+All!N534,IF(+All!$F534="Colorado",+All!N534,0))</f>
        <v>Oregon State</v>
      </c>
      <c r="O53" s="462">
        <f>IF(+All!$H534="Colorado",+All!O534,IF(+All!$F534="Colorado",+All!O534,0))</f>
        <v>42</v>
      </c>
      <c r="P53" s="462" t="str">
        <f>IF(+All!$H534="Colorado",+All!P534,IF(+All!$F534="Colorado",+All!P534,0))</f>
        <v>Colorado</v>
      </c>
      <c r="Q53" s="461">
        <f>IF(+All!$H534="Colorado",+All!Q534,IF(+All!$F534="Colorado",+All!Q534,0))</f>
        <v>9</v>
      </c>
      <c r="R53" s="460" t="str">
        <f>IF(+All!$H534="Colorado",+All!R534,IF(+All!$F534="Colorado",+All!R534,0))</f>
        <v>Oregon State</v>
      </c>
      <c r="S53" s="462" t="str">
        <f>IF(+All!$H534="Colorado",+All!S534,IF(+All!$F534="Colorado",+All!S534,0))</f>
        <v>Colorado</v>
      </c>
      <c r="T53" s="460" t="str">
        <f>IF(+All!$H534="Colorado",+All!T534,IF(+All!$F534="Colorado",+All!T534,0))</f>
        <v>Oregon State</v>
      </c>
      <c r="U53" s="461" t="str">
        <f>IF(+All!$H534="Colorado",+All!U534,IF(+All!$F534="Colorado",+All!U534,0))</f>
        <v>W</v>
      </c>
    </row>
    <row r="54" spans="1:21" x14ac:dyDescent="0.8">
      <c r="A54" s="46">
        <f>IF(+All!$H582="Colorado",+All!A582,IF(+All!$F582="Colorado",+All!A582,0))</f>
        <v>9</v>
      </c>
      <c r="B54" s="348" t="str">
        <f>IF(+All!$H582="Colorado",+All!B582,IF(+All!$F582="Colorado",+All!B582,0))</f>
        <v>Sat</v>
      </c>
      <c r="C54" s="72">
        <f>IF(+All!$H582="Colorado",+All!C582,IF(+All!$F582="Colorado",+All!C582,0))</f>
        <v>44863</v>
      </c>
      <c r="D54" s="73">
        <f>IF(+All!$H582="Colorado",+All!D582,IF(+All!$F582="Colorado",+All!D582,0))</f>
        <v>0.8125</v>
      </c>
      <c r="E54" s="461" t="str">
        <f>IF(+All!$H582="Colorado",+All!E582,IF(+All!$F582="Colorado",+All!E582,0))</f>
        <v>ESPNU</v>
      </c>
      <c r="F54" s="460" t="str">
        <f>IF(+All!$H582="Colorado",+All!F582,IF(+All!$F582="Colorado",+All!F582,0))</f>
        <v>Arizona State</v>
      </c>
      <c r="G54" s="461" t="str">
        <f>IF(+All!$H582="Colorado",+All!G582,IF(+All!$F582="Colorado",+All!G582,0))</f>
        <v>P12</v>
      </c>
      <c r="H54" s="460" t="str">
        <f>IF(+All!$H582="Colorado",+All!H582,IF(+All!$F582="Colorado",+All!H582,0))</f>
        <v>Colorado</v>
      </c>
      <c r="I54" s="461" t="str">
        <f>IF(+All!$H582="Colorado",+All!I582,IF(+All!$F582="Colorado",+All!I582,0))</f>
        <v>P12</v>
      </c>
      <c r="J54" s="460" t="str">
        <f>IF(+All!$H582="Colorado",+All!J582,IF(+All!$F582="Colorado",+All!J582,0))</f>
        <v>Arizona State</v>
      </c>
      <c r="K54" s="461" t="str">
        <f>IF(+All!$H582="Colorado",+All!K582,IF(+All!$F582="Colorado",+All!K582,0))</f>
        <v>Colorado</v>
      </c>
      <c r="L54" s="60">
        <f>IF(+All!$H582="Colorado",+All!L582,IF(+All!$F582="Colorado",+All!L582,0))</f>
        <v>13</v>
      </c>
      <c r="M54" s="61">
        <f>IF(+All!$H582="Colorado",+All!M582,IF(+All!$F582="Colorado",+All!M582,0))</f>
        <v>46.5</v>
      </c>
      <c r="N54" s="460" t="str">
        <f>IF(+All!$H582="Colorado",+All!N582,IF(+All!$F582="Colorado",+All!N582,0))</f>
        <v>Arizona State</v>
      </c>
      <c r="O54" s="462">
        <f>IF(+All!$H582="Colorado",+All!O582,IF(+All!$F582="Colorado",+All!O582,0))</f>
        <v>42</v>
      </c>
      <c r="P54" s="462" t="str">
        <f>IF(+All!$H582="Colorado",+All!P582,IF(+All!$F582="Colorado",+All!P582,0))</f>
        <v>Colorado</v>
      </c>
      <c r="Q54" s="461">
        <f>IF(+All!$H582="Colorado",+All!Q582,IF(+All!$F582="Colorado",+All!Q582,0))</f>
        <v>34</v>
      </c>
      <c r="R54" s="460" t="str">
        <f>IF(+All!$H582="Colorado",+All!R582,IF(+All!$F582="Colorado",+All!R582,0))</f>
        <v>Colorado</v>
      </c>
      <c r="S54" s="462" t="str">
        <f>IF(+All!$H582="Colorado",+All!S582,IF(+All!$F582="Colorado",+All!S582,0))</f>
        <v>Arizona State</v>
      </c>
      <c r="T54" s="460" t="str">
        <f>IF(+All!$H582="Colorado",+All!T582,IF(+All!$F582="Colorado",+All!T582,0))</f>
        <v>Colorado</v>
      </c>
      <c r="U54" s="461" t="str">
        <f>IF(+All!$H582="Colorado",+All!U582,IF(+All!$F582="Colorado",+All!U582,0))</f>
        <v>W</v>
      </c>
    </row>
    <row r="55" spans="1:21" x14ac:dyDescent="0.8">
      <c r="A55" s="46">
        <f>IF(+All!$H637="Colorado",+All!A637,IF(+All!$F637="Colorado",+All!A637,0))</f>
        <v>10</v>
      </c>
      <c r="B55" s="348" t="str">
        <f>IF(+All!$H637="Colorado",+All!B637,IF(+All!$F637="Colorado",+All!B637,0))</f>
        <v>Sat</v>
      </c>
      <c r="C55" s="72">
        <f>IF(+All!$H637="Colorado",+All!C637,IF(+All!$F637="Colorado",+All!C637,0))</f>
        <v>44870</v>
      </c>
      <c r="D55" s="73">
        <f>IF(+All!$H637="Colorado",+All!D637,IF(+All!$F637="Colorado",+All!D637,0))</f>
        <v>0.64583333333333337</v>
      </c>
      <c r="E55" s="461" t="str">
        <f>IF(+All!$H637="Colorado",+All!E637,IF(+All!$F637="Colorado",+All!E637,0))</f>
        <v>ESPN</v>
      </c>
      <c r="F55" s="460" t="str">
        <f>IF(+All!$H637="Colorado",+All!F637,IF(+All!$F637="Colorado",+All!F637,0))</f>
        <v>Oregon</v>
      </c>
      <c r="G55" s="461" t="str">
        <f>IF(+All!$H637="Colorado",+All!G637,IF(+All!$F637="Colorado",+All!G637,0))</f>
        <v>P12</v>
      </c>
      <c r="H55" s="460" t="str">
        <f>IF(+All!$H637="Colorado",+All!H637,IF(+All!$F637="Colorado",+All!H637,0))</f>
        <v>Colorado</v>
      </c>
      <c r="I55" s="461" t="str">
        <f>IF(+All!$H637="Colorado",+All!I637,IF(+All!$F637="Colorado",+All!I637,0))</f>
        <v>P12</v>
      </c>
      <c r="J55" s="460" t="str">
        <f>IF(+All!$H637="Colorado",+All!J637,IF(+All!$F637="Colorado",+All!J637,0))</f>
        <v>Oregon</v>
      </c>
      <c r="K55" s="461" t="str">
        <f>IF(+All!$H637="Colorado",+All!K637,IF(+All!$F637="Colorado",+All!K637,0))</f>
        <v>Colorado</v>
      </c>
      <c r="L55" s="60">
        <f>IF(+All!$H637="Colorado",+All!L637,IF(+All!$F637="Colorado",+All!L637,0))</f>
        <v>31.5</v>
      </c>
      <c r="M55" s="61">
        <f>IF(+All!$H637="Colorado",+All!M637,IF(+All!$F637="Colorado",+All!M637,0))</f>
        <v>61</v>
      </c>
      <c r="N55" s="460" t="str">
        <f>IF(+All!$H637="Colorado",+All!N637,IF(+All!$F637="Colorado",+All!N637,0))</f>
        <v>Oregon</v>
      </c>
      <c r="O55" s="462">
        <f>IF(+All!$H637="Colorado",+All!O637,IF(+All!$F637="Colorado",+All!O637,0))</f>
        <v>49</v>
      </c>
      <c r="P55" s="462" t="str">
        <f>IF(+All!$H637="Colorado",+All!P637,IF(+All!$F637="Colorado",+All!P637,0))</f>
        <v>Colorado</v>
      </c>
      <c r="Q55" s="461">
        <f>IF(+All!$H637="Colorado",+All!Q637,IF(+All!$F637="Colorado",+All!Q637,0))</f>
        <v>10</v>
      </c>
      <c r="R55" s="460" t="str">
        <f>IF(+All!$H637="Colorado",+All!R637,IF(+All!$F637="Colorado",+All!R637,0))</f>
        <v>Oregon</v>
      </c>
      <c r="S55" s="462" t="str">
        <f>IF(+All!$H637="Colorado",+All!S637,IF(+All!$F637="Colorado",+All!S637,0))</f>
        <v>Colorado</v>
      </c>
      <c r="T55" s="460" t="str">
        <f>IF(+All!$H637="Colorado",+All!T637,IF(+All!$F637="Colorado",+All!T637,0))</f>
        <v>Colorado</v>
      </c>
      <c r="U55" s="461" t="str">
        <f>IF(+All!$H637="Colorado",+All!U637,IF(+All!$F637="Colorado",+All!U637,0))</f>
        <v>L</v>
      </c>
    </row>
    <row r="56" spans="1:21" x14ac:dyDescent="0.8">
      <c r="A56" s="46">
        <f>IF(+All!$H662="Colorado",+All!A662,IF(+All!$F662="Colorado",+All!A662,0))</f>
        <v>11</v>
      </c>
      <c r="B56" s="348" t="str">
        <f>IF(+All!$H662="Colorado",+All!B662,IF(+All!$F662="Colorado",+All!B662,0))</f>
        <v>Fri</v>
      </c>
      <c r="C56" s="72">
        <f>IF(+All!$H662="Colorado",+All!C662,IF(+All!$F662="Colorado",+All!C662,0))</f>
        <v>44875</v>
      </c>
      <c r="D56" s="73">
        <f>IF(+All!$H662="Colorado",+All!D662,IF(+All!$F662="Colorado",+All!D662,0))</f>
        <v>0.89583333333333337</v>
      </c>
      <c r="E56" s="461" t="str">
        <f>IF(+All!$H662="Colorado",+All!E662,IF(+All!$F662="Colorado",+All!E662,0))</f>
        <v>FS1</v>
      </c>
      <c r="F56" s="460" t="str">
        <f>IF(+All!$H662="Colorado",+All!F662,IF(+All!$F662="Colorado",+All!F662,0))</f>
        <v>Colorado</v>
      </c>
      <c r="G56" s="461" t="str">
        <f>IF(+All!$H662="Colorado",+All!G662,IF(+All!$F662="Colorado",+All!G662,0))</f>
        <v>P12</v>
      </c>
      <c r="H56" s="460" t="str">
        <f>IF(+All!$H662="Colorado",+All!H662,IF(+All!$F662="Colorado",+All!H662,0))</f>
        <v>Southern Cal</v>
      </c>
      <c r="I56" s="461" t="str">
        <f>IF(+All!$H662="Colorado",+All!I662,IF(+All!$F662="Colorado",+All!I662,0))</f>
        <v>P12</v>
      </c>
      <c r="J56" s="460" t="str">
        <f>IF(+All!$H662="Colorado",+All!J662,IF(+All!$F662="Colorado",+All!J662,0))</f>
        <v>Southern Cal</v>
      </c>
      <c r="K56" s="461" t="str">
        <f>IF(+All!$H662="Colorado",+All!K662,IF(+All!$F662="Colorado",+All!K662,0))</f>
        <v>Colorado</v>
      </c>
      <c r="L56" s="60">
        <f>IF(+All!$H662="Colorado",+All!L662,IF(+All!$F662="Colorado",+All!L662,0))</f>
        <v>34</v>
      </c>
      <c r="M56" s="61">
        <f>IF(+All!$H662="Colorado",+All!M662,IF(+All!$F662="Colorado",+All!M662,0))</f>
        <v>66</v>
      </c>
      <c r="N56" s="460" t="str">
        <f>IF(+All!$H662="Colorado",+All!N662,IF(+All!$F662="Colorado",+All!N662,0))</f>
        <v>Southern Cal</v>
      </c>
      <c r="O56" s="462">
        <f>IF(+All!$H662="Colorado",+All!O662,IF(+All!$F662="Colorado",+All!O662,0))</f>
        <v>55</v>
      </c>
      <c r="P56" s="462" t="str">
        <f>IF(+All!$H662="Colorado",+All!P662,IF(+All!$F662="Colorado",+All!P662,0))</f>
        <v>Colorado</v>
      </c>
      <c r="Q56" s="461">
        <f>IF(+All!$H662="Colorado",+All!Q662,IF(+All!$F662="Colorado",+All!Q662,0))</f>
        <v>17</v>
      </c>
      <c r="R56" s="460" t="str">
        <f>IF(+All!$H662="Colorado",+All!R662,IF(+All!$F662="Colorado",+All!R662,0))</f>
        <v>Southern Cal</v>
      </c>
      <c r="S56" s="462" t="str">
        <f>IF(+All!$H662="Colorado",+All!S662,IF(+All!$F662="Colorado",+All!S662,0))</f>
        <v>Colorado</v>
      </c>
      <c r="T56" s="460" t="str">
        <f>IF(+All!$H662="Colorado",+All!T662,IF(+All!$F662="Colorado",+All!T662,0))</f>
        <v>Southern Cal</v>
      </c>
      <c r="U56" s="461" t="str">
        <f>IF(+All!$H662="Colorado",+All!U662,IF(+All!$F662="Colorado",+All!U662,0))</f>
        <v>W</v>
      </c>
    </row>
    <row r="57" spans="1:21" x14ac:dyDescent="0.8">
      <c r="A57" s="46">
        <f>IF(+All!$H768="Colorado",+All!A768,IF(+All!$F768="Colorado",+All!A768,0))</f>
        <v>12</v>
      </c>
      <c r="B57" s="348" t="str">
        <f>IF(+All!$H768="Colorado",+All!B768,IF(+All!$F768="Colorado",+All!B768,0))</f>
        <v>Sat</v>
      </c>
      <c r="C57" s="72">
        <f>IF(+All!$H768="Colorado",+All!C768,IF(+All!$F768="Colorado",+All!C768,0))</f>
        <v>44884</v>
      </c>
      <c r="D57" s="73">
        <f>IF(+All!$H768="Colorado",+All!D768,IF(+All!$F768="Colorado",+All!D768,0))</f>
        <v>0.875</v>
      </c>
      <c r="E57" s="461" t="str">
        <f>IF(+All!$H768="Colorado",+All!E768,IF(+All!$F768="Colorado",+All!E768,0))</f>
        <v>PAC12</v>
      </c>
      <c r="F57" s="460" t="str">
        <f>IF(+All!$H768="Colorado",+All!F768,IF(+All!$F768="Colorado",+All!F768,0))</f>
        <v>Colorado</v>
      </c>
      <c r="G57" s="461" t="str">
        <f>IF(+All!$H768="Colorado",+All!G768,IF(+All!$F768="Colorado",+All!G768,0))</f>
        <v>P12</v>
      </c>
      <c r="H57" s="460" t="str">
        <f>IF(+All!$H768="Colorado",+All!H768,IF(+All!$F768="Colorado",+All!H768,0))</f>
        <v>Washington</v>
      </c>
      <c r="I57" s="461" t="str">
        <f>IF(+All!$H768="Colorado",+All!I768,IF(+All!$F768="Colorado",+All!I768,0))</f>
        <v>P12</v>
      </c>
      <c r="J57" s="460" t="str">
        <f>IF(+All!$H768="Colorado",+All!J768,IF(+All!$F768="Colorado",+All!J768,0))</f>
        <v>Washington</v>
      </c>
      <c r="K57" s="461" t="str">
        <f>IF(+All!$H768="Colorado",+All!K768,IF(+All!$F768="Colorado",+All!K768,0))</f>
        <v>Colorado</v>
      </c>
      <c r="L57" s="60">
        <f>IF(+All!$H768="Colorado",+All!L768,IF(+All!$F768="Colorado",+All!L768,0))</f>
        <v>30.5</v>
      </c>
      <c r="M57" s="61">
        <f>IF(+All!$H768="Colorado",+All!M768,IF(+All!$F768="Colorado",+All!M768,0))</f>
        <v>64</v>
      </c>
      <c r="N57" s="460" t="str">
        <f>IF(+All!$H768="Colorado",+All!N768,IF(+All!$F768="Colorado",+All!N768,0))</f>
        <v>Washington</v>
      </c>
      <c r="O57" s="462">
        <f>IF(+All!$H768="Colorado",+All!O768,IF(+All!$F768="Colorado",+All!O768,0))</f>
        <v>54</v>
      </c>
      <c r="P57" s="462" t="str">
        <f>IF(+All!$H768="Colorado",+All!P768,IF(+All!$F768="Colorado",+All!P768,0))</f>
        <v>Colorado</v>
      </c>
      <c r="Q57" s="461">
        <f>IF(+All!$H768="Colorado",+All!Q768,IF(+All!$F768="Colorado",+All!Q768,0))</f>
        <v>7</v>
      </c>
      <c r="R57" s="460" t="str">
        <f>IF(+All!$H768="Colorado",+All!R768,IF(+All!$F768="Colorado",+All!R768,0))</f>
        <v>Washington</v>
      </c>
      <c r="S57" s="462" t="str">
        <f>IF(+All!$H768="Colorado",+All!S768,IF(+All!$F768="Colorado",+All!S768,0))</f>
        <v>Colorado</v>
      </c>
      <c r="T57" s="460" t="str">
        <f>IF(+All!$H768="Colorado",+All!T768,IF(+All!$F768="Colorado",+All!T768,0))</f>
        <v>Colorado</v>
      </c>
      <c r="U57" s="461" t="str">
        <f>IF(+All!$H768="Colorado",+All!U768,IF(+All!$F768="Colorado",+All!U768,0))</f>
        <v>L</v>
      </c>
    </row>
    <row r="58" spans="1:21" x14ac:dyDescent="0.8">
      <c r="A58" s="46">
        <f>IF(+All!$H832="Colorado",+All!A832,IF(+All!$F832="Colorado",+All!A832,0))</f>
        <v>13</v>
      </c>
      <c r="B58" s="348" t="str">
        <f>IF(+All!$H832="Colorado",+All!B832,IF(+All!$F832="Colorado",+All!B832,0))</f>
        <v>Sat</v>
      </c>
      <c r="C58" s="72">
        <f>IF(+All!$H832="Colorado",+All!C832,IF(+All!$F832="Colorado",+All!C832,0))</f>
        <v>44891</v>
      </c>
      <c r="D58" s="73">
        <f>IF(+All!$H832="Colorado",+All!D832,IF(+All!$F832="Colorado",+All!D832,0))</f>
        <v>0.66666666666666663</v>
      </c>
      <c r="E58" s="461" t="str">
        <f>IF(+All!$H832="Colorado",+All!E832,IF(+All!$F832="Colorado",+All!E832,0))</f>
        <v>PAC12</v>
      </c>
      <c r="F58" s="460" t="str">
        <f>IF(+All!$H832="Colorado",+All!F832,IF(+All!$F832="Colorado",+All!F832,0))</f>
        <v>Utah</v>
      </c>
      <c r="G58" s="461" t="str">
        <f>IF(+All!$H832="Colorado",+All!G832,IF(+All!$F832="Colorado",+All!G832,0))</f>
        <v>P12</v>
      </c>
      <c r="H58" s="460" t="str">
        <f>IF(+All!$H832="Colorado",+All!H832,IF(+All!$F832="Colorado",+All!H832,0))</f>
        <v>Colorado</v>
      </c>
      <c r="I58" s="461" t="str">
        <f>IF(+All!$H832="Colorado",+All!I832,IF(+All!$F832="Colorado",+All!I832,0))</f>
        <v>P12</v>
      </c>
      <c r="J58" s="460" t="str">
        <f>IF(+All!$H832="Colorado",+All!J832,IF(+All!$F832="Colorado",+All!J832,0))</f>
        <v>Utah</v>
      </c>
      <c r="K58" s="461" t="str">
        <f>IF(+All!$H832="Colorado",+All!K832,IF(+All!$F832="Colorado",+All!K832,0))</f>
        <v>Colorado</v>
      </c>
      <c r="L58" s="60">
        <f>IF(+All!$H832="Colorado",+All!L832,IF(+All!$F832="Colorado",+All!L832,0))</f>
        <v>30</v>
      </c>
      <c r="M58" s="61">
        <f>IF(+All!$H832="Colorado",+All!M832,IF(+All!$F832="Colorado",+All!M832,0))</f>
        <v>52</v>
      </c>
      <c r="N58" s="460" t="str">
        <f>IF(+All!$H832="Colorado",+All!N832,IF(+All!$F832="Colorado",+All!N832,0))</f>
        <v>Utah</v>
      </c>
      <c r="O58" s="462">
        <f>IF(+All!$H832="Colorado",+All!O832,IF(+All!$F832="Colorado",+All!O832,0))</f>
        <v>63</v>
      </c>
      <c r="P58" s="462" t="str">
        <f>IF(+All!$H832="Colorado",+All!P832,IF(+All!$F832="Colorado",+All!P832,0))</f>
        <v>Colorado</v>
      </c>
      <c r="Q58" s="461">
        <f>IF(+All!$H832="Colorado",+All!Q832,IF(+All!$F832="Colorado",+All!Q832,0))</f>
        <v>21</v>
      </c>
      <c r="R58" s="460" t="str">
        <f>IF(+All!$H832="Colorado",+All!R832,IF(+All!$F832="Colorado",+All!R832,0))</f>
        <v>Utah</v>
      </c>
      <c r="S58" s="462" t="str">
        <f>IF(+All!$H832="Colorado",+All!S832,IF(+All!$F832="Colorado",+All!S832,0))</f>
        <v>Colorado</v>
      </c>
      <c r="T58" s="460" t="str">
        <f>IF(+All!$H832="Colorado",+All!T832,IF(+All!$F832="Colorado",+All!T832,0))</f>
        <v>Colorado</v>
      </c>
      <c r="U58" s="461" t="str">
        <f>IF(+All!$H832="Colorado",+All!U832,IF(+All!$F832="Colorado",+All!U832,0))</f>
        <v>L</v>
      </c>
    </row>
    <row r="59" spans="1:21" x14ac:dyDescent="0.8">
      <c r="B59" s="348"/>
      <c r="E59" s="461"/>
      <c r="F59" s="897" t="str">
        <f>H61</f>
        <v>Oregon</v>
      </c>
      <c r="G59" s="903"/>
      <c r="H59" s="903"/>
      <c r="I59" s="904"/>
      <c r="J59" s="460"/>
      <c r="K59" s="461"/>
      <c r="N59" s="460"/>
      <c r="O59" s="462"/>
      <c r="P59" s="462"/>
      <c r="Q59" s="461"/>
      <c r="R59" s="460"/>
      <c r="S59" s="462"/>
      <c r="T59" s="460"/>
      <c r="U59" s="461"/>
    </row>
    <row r="60" spans="1:21" x14ac:dyDescent="0.8">
      <c r="A60" s="46">
        <f>IF(+All!$H56="Oregon",+All!A56,IF(+All!$F56="Oregon",+All!A56,0))</f>
        <v>1</v>
      </c>
      <c r="B60" s="348" t="str">
        <f>IF(+All!$H56="Oregon",+All!B56,IF(+All!$F56="Oregon",+All!B56,0))</f>
        <v>Sat</v>
      </c>
      <c r="C60" s="72">
        <f>IF(+All!$H56="Oregon",+All!C56,IF(+All!$F56="Oregon",+All!C56,0))</f>
        <v>44807</v>
      </c>
      <c r="D60" s="73">
        <f>IF(+All!$H56="Oregon",+All!D56,IF(+All!$F56="Oregon",+All!D56,0))</f>
        <v>0.64583333333333337</v>
      </c>
      <c r="E60" s="461" t="str">
        <f>IF(+All!$H56="Oregon",+All!E56,IF(+All!$F56="Oregon",+All!E56,0))</f>
        <v>ABC</v>
      </c>
      <c r="F60" s="460" t="str">
        <f>IF(+All!$H56="Oregon",+All!F56,IF(+All!$F56="Oregon",+All!F56,0))</f>
        <v>Georgia</v>
      </c>
      <c r="G60" s="461" t="str">
        <f>IF(+All!$H56="Oregon",+All!G56,IF(+All!$F56="Oregon",+All!G56,0))</f>
        <v>SEC</v>
      </c>
      <c r="H60" s="460" t="str">
        <f>IF(+All!$H56="Oregon",+All!H56,IF(+All!$F56="Oregon",+All!H56,0))</f>
        <v>Oregon</v>
      </c>
      <c r="I60" s="461" t="str">
        <f>IF(+All!$H56="Oregon",+All!I56,IF(+All!$F56="Oregon",+All!I56,0))</f>
        <v>P12</v>
      </c>
      <c r="J60" s="460" t="str">
        <f>IF(+All!$H56="Oregon",+All!J56,IF(+All!$F56="Oregon",+All!J56,0))</f>
        <v>Georgia</v>
      </c>
      <c r="K60" s="461" t="str">
        <f>IF(+All!$H56="Oregon",+All!K56,IF(+All!$F56="Oregon",+All!K56,0))</f>
        <v>Oregon</v>
      </c>
      <c r="L60" s="60">
        <f>IF(+All!$H56="Oregon",+All!L56,IF(+All!$F56="Oregon",+All!L56,0))</f>
        <v>17</v>
      </c>
      <c r="M60" s="61">
        <f>IF(+All!$H56="Oregon",+All!M56,IF(+All!$F56="Oregon",+All!M56,0))</f>
        <v>52.5</v>
      </c>
      <c r="N60" s="460" t="str">
        <f>IF(+All!$H56="Oregon",+All!N56,IF(+All!$F56="Oregon",+All!N56,0))</f>
        <v>Georgia</v>
      </c>
      <c r="O60" s="462">
        <f>IF(+All!$H56="Oregon",+All!O56,IF(+All!$F56="Oregon",+All!O56,0))</f>
        <v>49</v>
      </c>
      <c r="P60" s="462" t="str">
        <f>IF(+All!$H56="Oregon",+All!P56,IF(+All!$F56="Oregon",+All!P56,0))</f>
        <v>Oregon</v>
      </c>
      <c r="Q60" s="461">
        <f>IF(+All!$H56="Oregon",+All!Q56,IF(+All!$F56="Oregon",+All!Q56,0))</f>
        <v>3</v>
      </c>
      <c r="R60" s="460" t="str">
        <f>IF(+All!$H56="Oregon",+All!R56,IF(+All!$F56="Oregon",+All!R56,0))</f>
        <v>Georgia</v>
      </c>
      <c r="S60" s="462" t="str">
        <f>IF(+All!$H56="Oregon",+All!S56,IF(+All!$F56="Oregon",+All!S56,0))</f>
        <v>Oregon</v>
      </c>
      <c r="T60" s="460" t="str">
        <f>IF(+All!$H56="Oregon",+All!T56,IF(+All!$F56="Oregon",+All!T56,0))</f>
        <v>Georgia</v>
      </c>
      <c r="U60" s="461" t="str">
        <f>IF(+All!$H56="Oregon",+All!U56,IF(+All!$F56="Oregon",+All!U56,0))</f>
        <v>W</v>
      </c>
    </row>
    <row r="61" spans="1:21" x14ac:dyDescent="0.8">
      <c r="A61" s="46">
        <f>IF(+All!$H160="Oregon",+All!A160,IF(+All!$F160="Oregon",+All!A160,0))</f>
        <v>2</v>
      </c>
      <c r="B61" s="348" t="str">
        <f>IF(+All!$H160="Oregon",+All!B160,IF(+All!$F160="Oregon",+All!B160,0))</f>
        <v>Sat</v>
      </c>
      <c r="C61" s="72">
        <f>IF(+All!$H160="Oregon",+All!C160,IF(+All!$F160="Oregon",+All!C160,0))</f>
        <v>44814</v>
      </c>
      <c r="D61" s="73">
        <f>IF(+All!$H160="Oregon",+All!D160,IF(+All!$F160="Oregon",+All!D160,0))</f>
        <v>0.85416666666666663</v>
      </c>
      <c r="E61" s="461">
        <f>IF(+All!$H160="Oregon",+All!E160,IF(+All!$F160="Oregon",+All!E160,0))</f>
        <v>0</v>
      </c>
      <c r="F61" s="460" t="str">
        <f>IF(+All!$H160="Oregon",+All!F160,IF(+All!$F160="Oregon",+All!F160,0))</f>
        <v>1AA Eastern Washington</v>
      </c>
      <c r="G61" s="461" t="str">
        <f>IF(+All!$H160="Oregon",+All!G160,IF(+All!$F160="Oregon",+All!G160,0))</f>
        <v>1AA</v>
      </c>
      <c r="H61" s="460" t="str">
        <f>IF(+All!$H160="Oregon",+All!H160,IF(+All!$F160="Oregon",+All!H160,0))</f>
        <v>Oregon</v>
      </c>
      <c r="I61" s="461" t="str">
        <f>IF(+All!$H160="Oregon",+All!I160,IF(+All!$F160="Oregon",+All!I160,0))</f>
        <v>P12</v>
      </c>
      <c r="J61" s="460">
        <f>IF(+All!$H160="Oregon",+All!J160,IF(+All!$F160="Oregon",+All!J160,0))</f>
        <v>0</v>
      </c>
      <c r="K61" s="461">
        <f>IF(+All!$H160="Oregon",+All!K160,IF(+All!$F160="Oregon",+All!K160,0))</f>
        <v>0</v>
      </c>
      <c r="L61" s="60">
        <f>IF(+All!$H160="Oregon",+All!L160,IF(+All!$F160="Oregon",+All!L160,0))</f>
        <v>0</v>
      </c>
      <c r="M61" s="61">
        <f>IF(+All!$H160="Oregon",+All!M160,IF(+All!$F160="Oregon",+All!M160,0))</f>
        <v>0</v>
      </c>
      <c r="N61" s="460" t="str">
        <f>IF(+All!$H160="Oregon",+All!N160,IF(+All!$F160="Oregon",+All!N160,0))</f>
        <v>Oregon</v>
      </c>
      <c r="O61" s="462">
        <f>IF(+All!$H160="Oregon",+All!O160,IF(+All!$F160="Oregon",+All!O160,0))</f>
        <v>70</v>
      </c>
      <c r="P61" s="462" t="str">
        <f>IF(+All!$H160="Oregon",+All!P160,IF(+All!$F160="Oregon",+All!P160,0))</f>
        <v>1AA Eastern Washington</v>
      </c>
      <c r="Q61" s="461">
        <f>IF(+All!$H160="Oregon",+All!Q160,IF(+All!$F160="Oregon",+All!Q160,0))</f>
        <v>14</v>
      </c>
      <c r="R61" s="460">
        <f>IF(+All!$H160="Oregon",+All!R160,IF(+All!$F160="Oregon",+All!R160,0))</f>
        <v>0</v>
      </c>
      <c r="S61" s="462">
        <f>IF(+All!$H160="Oregon",+All!S160,IF(+All!$F160="Oregon",+All!S160,0))</f>
        <v>0</v>
      </c>
      <c r="T61" s="460">
        <f>IF(+All!$H160="Oregon",+All!T160,IF(+All!$F160="Oregon",+All!T160,0))</f>
        <v>0</v>
      </c>
      <c r="U61" s="461">
        <f>IF(+All!$H160="Oregon",+All!U160,IF(+All!$F160="Oregon",+All!U160,0))</f>
        <v>0</v>
      </c>
    </row>
    <row r="62" spans="1:21" x14ac:dyDescent="0.8">
      <c r="A62" s="46">
        <f>IF(+All!$H231="Oregon",+All!A231,IF(+All!$F231="Oregon",+All!A231,0))</f>
        <v>3</v>
      </c>
      <c r="B62" s="348" t="str">
        <f>IF(+All!$H231="Oregon",+All!B231,IF(+All!$F231="Oregon",+All!B231,0))</f>
        <v>Sat</v>
      </c>
      <c r="C62" s="72">
        <f>IF(+All!$H231="Oregon",+All!C231,IF(+All!$F231="Oregon",+All!C231,0))</f>
        <v>44821</v>
      </c>
      <c r="D62" s="73">
        <f>IF(+All!$H231="Oregon",+All!D231,IF(+All!$F231="Oregon",+All!D231,0))</f>
        <v>0.64583333333333337</v>
      </c>
      <c r="E62" s="461" t="str">
        <f>IF(+All!$H231="Oregon",+All!E231,IF(+All!$F231="Oregon",+All!E231,0))</f>
        <v>Fox</v>
      </c>
      <c r="F62" s="460" t="str">
        <f>IF(+All!$H231="Oregon",+All!F231,IF(+All!$F231="Oregon",+All!F231,0))</f>
        <v>BYU</v>
      </c>
      <c r="G62" s="461" t="str">
        <f>IF(+All!$H231="Oregon",+All!G231,IF(+All!$F231="Oregon",+All!G231,0))</f>
        <v>Ind</v>
      </c>
      <c r="H62" s="460" t="str">
        <f>IF(+All!$H231="Oregon",+All!H231,IF(+All!$F231="Oregon",+All!H231,0))</f>
        <v>Oregon</v>
      </c>
      <c r="I62" s="461" t="str">
        <f>IF(+All!$H231="Oregon",+All!I231,IF(+All!$F231="Oregon",+All!I231,0))</f>
        <v>P12</v>
      </c>
      <c r="J62" s="460" t="str">
        <f>IF(+All!$H231="Oregon",+All!J231,IF(+All!$F231="Oregon",+All!J231,0))</f>
        <v>Oregon</v>
      </c>
      <c r="K62" s="461" t="str">
        <f>IF(+All!$H231="Oregon",+All!K231,IF(+All!$F231="Oregon",+All!K231,0))</f>
        <v>BYU</v>
      </c>
      <c r="L62" s="60">
        <f>IF(+All!$H231="Oregon",+All!L231,IF(+All!$F231="Oregon",+All!L231,0))</f>
        <v>3.5</v>
      </c>
      <c r="M62" s="61">
        <f>IF(+All!$H231="Oregon",+All!M231,IF(+All!$F231="Oregon",+All!M231,0))</f>
        <v>58</v>
      </c>
      <c r="N62" s="460" t="str">
        <f>IF(+All!$H231="Oregon",+All!N231,IF(+All!$F231="Oregon",+All!N231,0))</f>
        <v>Oregon</v>
      </c>
      <c r="O62" s="462">
        <f>IF(+All!$H231="Oregon",+All!O231,IF(+All!$F231="Oregon",+All!O231,0))</f>
        <v>41</v>
      </c>
      <c r="P62" s="462" t="str">
        <f>IF(+All!$H231="Oregon",+All!P231,IF(+All!$F231="Oregon",+All!P231,0))</f>
        <v>BYU</v>
      </c>
      <c r="Q62" s="461">
        <f>IF(+All!$H231="Oregon",+All!Q231,IF(+All!$F231="Oregon",+All!Q231,0))</f>
        <v>20</v>
      </c>
      <c r="R62" s="460" t="str">
        <f>IF(+All!$H231="Oregon",+All!R231,IF(+All!$F231="Oregon",+All!R231,0))</f>
        <v>Oregon</v>
      </c>
      <c r="S62" s="462" t="str">
        <f>IF(+All!$H231="Oregon",+All!S231,IF(+All!$F231="Oregon",+All!S231,0))</f>
        <v>BYU</v>
      </c>
      <c r="T62" s="460" t="str">
        <f>IF(+All!$H231="Oregon",+All!T231,IF(+All!$F231="Oregon",+All!T231,0))</f>
        <v>BYU</v>
      </c>
      <c r="U62" s="461" t="str">
        <f>IF(+All!$H231="Oregon",+All!U231,IF(+All!$F231="Oregon",+All!U231,0))</f>
        <v>L</v>
      </c>
    </row>
    <row r="63" spans="1:21" x14ac:dyDescent="0.8">
      <c r="A63" s="46">
        <f>IF(+All!$H300="Oregon",+All!A300,IF(+All!$F300="Oregon",+All!A300,0))</f>
        <v>4</v>
      </c>
      <c r="B63" s="348" t="str">
        <f>IF(+All!$H300="Oregon",+All!B300,IF(+All!$F300="Oregon",+All!B300,0))</f>
        <v>Sat</v>
      </c>
      <c r="C63" s="72">
        <f>IF(+All!$H300="Oregon",+All!C300,IF(+All!$F300="Oregon",+All!C300,0))</f>
        <v>44828</v>
      </c>
      <c r="D63" s="73">
        <f>IF(+All!$H300="Oregon",+All!D300,IF(+All!$F300="Oregon",+All!D300,0))</f>
        <v>0.64583333333333337</v>
      </c>
      <c r="E63" s="461" t="str">
        <f>IF(+All!$H300="Oregon",+All!E300,IF(+All!$F300="Oregon",+All!E300,0))</f>
        <v>Fox</v>
      </c>
      <c r="F63" s="460" t="str">
        <f>IF(+All!$H300="Oregon",+All!F300,IF(+All!$F300="Oregon",+All!F300,0))</f>
        <v>Oregon</v>
      </c>
      <c r="G63" s="461" t="str">
        <f>IF(+All!$H300="Oregon",+All!G300,IF(+All!$F300="Oregon",+All!G300,0))</f>
        <v>P12</v>
      </c>
      <c r="H63" s="460" t="str">
        <f>IF(+All!$H300="Oregon",+All!H300,IF(+All!$F300="Oregon",+All!H300,0))</f>
        <v>Washington State</v>
      </c>
      <c r="I63" s="461" t="str">
        <f>IF(+All!$H300="Oregon",+All!I300,IF(+All!$F300="Oregon",+All!I300,0))</f>
        <v>P12</v>
      </c>
      <c r="J63" s="460" t="str">
        <f>IF(+All!$H300="Oregon",+All!J300,IF(+All!$F300="Oregon",+All!J300,0))</f>
        <v>Oregon</v>
      </c>
      <c r="K63" s="461" t="str">
        <f>IF(+All!$H300="Oregon",+All!K300,IF(+All!$F300="Oregon",+All!K300,0))</f>
        <v>Washington State</v>
      </c>
      <c r="L63" s="60">
        <f>IF(+All!$H300="Oregon",+All!L300,IF(+All!$F300="Oregon",+All!L300,0))</f>
        <v>6.5</v>
      </c>
      <c r="M63" s="61">
        <f>IF(+All!$H300="Oregon",+All!M300,IF(+All!$F300="Oregon",+All!M300,0))</f>
        <v>57.5</v>
      </c>
      <c r="N63" s="460" t="str">
        <f>IF(+All!$H300="Oregon",+All!N300,IF(+All!$F300="Oregon",+All!N300,0))</f>
        <v>Oregon</v>
      </c>
      <c r="O63" s="462">
        <f>IF(+All!$H300="Oregon",+All!O300,IF(+All!$F300="Oregon",+All!O300,0))</f>
        <v>44</v>
      </c>
      <c r="P63" s="462" t="str">
        <f>IF(+All!$H300="Oregon",+All!P300,IF(+All!$F300="Oregon",+All!P300,0))</f>
        <v>Washington State</v>
      </c>
      <c r="Q63" s="461">
        <f>IF(+All!$H300="Oregon",+All!Q300,IF(+All!$F300="Oregon",+All!Q300,0))</f>
        <v>41</v>
      </c>
      <c r="R63" s="460" t="str">
        <f>IF(+All!$H300="Oregon",+All!R300,IF(+All!$F300="Oregon",+All!R300,0))</f>
        <v>Washington State</v>
      </c>
      <c r="S63" s="462" t="str">
        <f>IF(+All!$H300="Oregon",+All!S300,IF(+All!$F300="Oregon",+All!S300,0))</f>
        <v>Oregon</v>
      </c>
      <c r="T63" s="460" t="str">
        <f>IF(+All!$H300="Oregon",+All!T300,IF(+All!$F300="Oregon",+All!T300,0))</f>
        <v>Washington State</v>
      </c>
      <c r="U63" s="461" t="str">
        <f>IF(+All!$H300="Oregon",+All!U300,IF(+All!$F300="Oregon",+All!U300,0))</f>
        <v>W</v>
      </c>
    </row>
    <row r="64" spans="1:21" x14ac:dyDescent="0.8">
      <c r="A64" s="46">
        <f>IF(+All!$H364="Oregon",+All!A364,IF(+All!$F364="Oregon",+All!A364,0))</f>
        <v>5</v>
      </c>
      <c r="B64" s="348" t="str">
        <f>IF(+All!$H364="Oregon",+All!B364,IF(+All!$F364="Oregon",+All!B364,0))</f>
        <v>Sat</v>
      </c>
      <c r="C64" s="72">
        <f>IF(+All!$H364="Oregon",+All!C364,IF(+All!$F364="Oregon",+All!C364,0))</f>
        <v>44835</v>
      </c>
      <c r="D64" s="73">
        <f>IF(+All!$H364="Oregon",+All!D364,IF(+All!$F364="Oregon",+All!D364,0))</f>
        <v>0.95833333333333337</v>
      </c>
      <c r="E64" s="461" t="str">
        <f>IF(+All!$H364="Oregon",+All!E364,IF(+All!$F364="Oregon",+All!E364,0))</f>
        <v>FS1</v>
      </c>
      <c r="F64" s="460" t="str">
        <f>IF(+All!$H364="Oregon",+All!F364,IF(+All!$F364="Oregon",+All!F364,0))</f>
        <v>Stanford</v>
      </c>
      <c r="G64" s="461" t="str">
        <f>IF(+All!$H364="Oregon",+All!G364,IF(+All!$F364="Oregon",+All!G364,0))</f>
        <v>P12</v>
      </c>
      <c r="H64" s="460" t="str">
        <f>IF(+All!$H364="Oregon",+All!H364,IF(+All!$F364="Oregon",+All!H364,0))</f>
        <v>Oregon</v>
      </c>
      <c r="I64" s="461" t="str">
        <f>IF(+All!$H364="Oregon",+All!I364,IF(+All!$F364="Oregon",+All!I364,0))</f>
        <v>P12</v>
      </c>
      <c r="J64" s="460" t="str">
        <f>IF(+All!$H364="Oregon",+All!J364,IF(+All!$F364="Oregon",+All!J364,0))</f>
        <v>Oregon</v>
      </c>
      <c r="K64" s="461" t="str">
        <f>IF(+All!$H364="Oregon",+All!K364,IF(+All!$F364="Oregon",+All!K364,0))</f>
        <v>Stanford</v>
      </c>
      <c r="L64" s="60">
        <f>IF(+All!$H364="Oregon",+All!L364,IF(+All!$F364="Oregon",+All!L364,0))</f>
        <v>16.5</v>
      </c>
      <c r="M64" s="61">
        <f>IF(+All!$H364="Oregon",+All!M364,IF(+All!$F364="Oregon",+All!M364,0))</f>
        <v>63</v>
      </c>
      <c r="N64" s="460" t="str">
        <f>IF(+All!$H364="Oregon",+All!N364,IF(+All!$F364="Oregon",+All!N364,0))</f>
        <v>Oregon</v>
      </c>
      <c r="O64" s="462">
        <f>IF(+All!$H364="Oregon",+All!O364,IF(+All!$F364="Oregon",+All!O364,0))</f>
        <v>45</v>
      </c>
      <c r="P64" s="462" t="str">
        <f>IF(+All!$H364="Oregon",+All!P364,IF(+All!$F364="Oregon",+All!P364,0))</f>
        <v>Stanford</v>
      </c>
      <c r="Q64" s="461">
        <f>IF(+All!$H364="Oregon",+All!Q364,IF(+All!$F364="Oregon",+All!Q364,0))</f>
        <v>27</v>
      </c>
      <c r="R64" s="460" t="str">
        <f>IF(+All!$H364="Oregon",+All!R364,IF(+All!$F364="Oregon",+All!R364,0))</f>
        <v>Oregon</v>
      </c>
      <c r="S64" s="462" t="str">
        <f>IF(+All!$H364="Oregon",+All!S364,IF(+All!$F364="Oregon",+All!S364,0))</f>
        <v>Stanford</v>
      </c>
      <c r="T64" s="460" t="str">
        <f>IF(+All!$H364="Oregon",+All!T364,IF(+All!$F364="Oregon",+All!T364,0))</f>
        <v>Oregon</v>
      </c>
      <c r="U64" s="461" t="str">
        <f>IF(+All!$H364="Oregon",+All!U364,IF(+All!$F364="Oregon",+All!U364,0))</f>
        <v>W</v>
      </c>
    </row>
    <row r="65" spans="1:21" x14ac:dyDescent="0.8">
      <c r="A65" s="46">
        <f>IF(+All!$H421="Oregon",+All!A421,IF(+All!$F421="Oregon",+All!A421,0))</f>
        <v>6</v>
      </c>
      <c r="B65" s="348" t="str">
        <f>IF(+All!$H421="Oregon",+All!B421,IF(+All!$F421="Oregon",+All!B421,0))</f>
        <v>Sat</v>
      </c>
      <c r="C65" s="72">
        <f>IF(+All!$H421="Oregon",+All!C421,IF(+All!$F421="Oregon",+All!C421,0))</f>
        <v>44842</v>
      </c>
      <c r="D65" s="73">
        <f>IF(+All!$H421="Oregon",+All!D421,IF(+All!$F421="Oregon",+All!D421,0))</f>
        <v>0.875</v>
      </c>
      <c r="E65" s="461" t="str">
        <f>IF(+All!$H421="Oregon",+All!E421,IF(+All!$F421="Oregon",+All!E421,0))</f>
        <v>PAC12</v>
      </c>
      <c r="F65" s="460" t="str">
        <f>IF(+All!$H421="Oregon",+All!F421,IF(+All!$F421="Oregon",+All!F421,0))</f>
        <v>Oregon</v>
      </c>
      <c r="G65" s="461" t="str">
        <f>IF(+All!$H421="Oregon",+All!G421,IF(+All!$F421="Oregon",+All!G421,0))</f>
        <v>P12</v>
      </c>
      <c r="H65" s="460" t="str">
        <f>IF(+All!$H421="Oregon",+All!H421,IF(+All!$F421="Oregon",+All!H421,0))</f>
        <v>Arizona</v>
      </c>
      <c r="I65" s="461" t="str">
        <f>IF(+All!$H421="Oregon",+All!I421,IF(+All!$F421="Oregon",+All!I421,0))</f>
        <v>P12</v>
      </c>
      <c r="J65" s="460" t="str">
        <f>IF(+All!$H421="Oregon",+All!J421,IF(+All!$F421="Oregon",+All!J421,0))</f>
        <v>Oregon</v>
      </c>
      <c r="K65" s="461" t="str">
        <f>IF(+All!$H421="Oregon",+All!K421,IF(+All!$F421="Oregon",+All!K421,0))</f>
        <v>Arizona</v>
      </c>
      <c r="L65" s="60">
        <f>IF(+All!$H421="Oregon",+All!L421,IF(+All!$F421="Oregon",+All!L421,0))</f>
        <v>13</v>
      </c>
      <c r="M65" s="61">
        <f>IF(+All!$H421="Oregon",+All!M421,IF(+All!$F421="Oregon",+All!M421,0))</f>
        <v>70</v>
      </c>
      <c r="N65" s="460" t="str">
        <f>IF(+All!$H421="Oregon",+All!N421,IF(+All!$F421="Oregon",+All!N421,0))</f>
        <v>Oregon</v>
      </c>
      <c r="O65" s="462">
        <f>IF(+All!$H421="Oregon",+All!O421,IF(+All!$F421="Oregon",+All!O421,0))</f>
        <v>49</v>
      </c>
      <c r="P65" s="462" t="str">
        <f>IF(+All!$H421="Oregon",+All!P421,IF(+All!$F421="Oregon",+All!P421,0))</f>
        <v>Arizona</v>
      </c>
      <c r="Q65" s="461">
        <f>IF(+All!$H421="Oregon",+All!Q421,IF(+All!$F421="Oregon",+All!Q421,0))</f>
        <v>22</v>
      </c>
      <c r="R65" s="460" t="str">
        <f>IF(+All!$H421="Oregon",+All!R421,IF(+All!$F421="Oregon",+All!R421,0))</f>
        <v>Oregon</v>
      </c>
      <c r="S65" s="462" t="str">
        <f>IF(+All!$H421="Oregon",+All!S421,IF(+All!$F421="Oregon",+All!S421,0))</f>
        <v>Arizona</v>
      </c>
      <c r="T65" s="460" t="str">
        <f>IF(+All!$H421="Oregon",+All!T421,IF(+All!$F421="Oregon",+All!T421,0))</f>
        <v>Oregon</v>
      </c>
      <c r="U65" s="461" t="str">
        <f>IF(+All!$H421="Oregon",+All!U421,IF(+All!$F421="Oregon",+All!U421,0))</f>
        <v>W</v>
      </c>
    </row>
    <row r="66" spans="1:21" x14ac:dyDescent="0.8">
      <c r="A66" s="46" t="e">
        <f>IF(+All!#REF!="Oregon",+All!#REF!,IF(+All!#REF!="Oregon",+All!#REF!,0))</f>
        <v>#REF!</v>
      </c>
      <c r="B66" s="348" t="e">
        <f>IF(+All!#REF!="Oregon",+All!#REF!,IF(+All!#REF!="Oregon",+All!#REF!,0))</f>
        <v>#REF!</v>
      </c>
      <c r="C66" s="72" t="e">
        <f>IF(+All!#REF!="Oregon",+All!#REF!,IF(+All!#REF!="Oregon",+All!#REF!,0))</f>
        <v>#REF!</v>
      </c>
      <c r="D66" s="73" t="e">
        <f>IF(+All!#REF!="Oregon",+All!#REF!,IF(+All!#REF!="Oregon",+All!#REF!,0))</f>
        <v>#REF!</v>
      </c>
      <c r="E66" s="461" t="e">
        <f>IF(+All!#REF!="Oregon",+All!#REF!,IF(+All!#REF!="Oregon",+All!#REF!,0))</f>
        <v>#REF!</v>
      </c>
      <c r="F66" s="460" t="e">
        <f>IF(+All!#REF!="Oregon",+All!#REF!,IF(+All!#REF!="Oregon",+All!#REF!,0))</f>
        <v>#REF!</v>
      </c>
      <c r="G66" s="461" t="e">
        <f>IF(+All!#REF!="Oregon",+All!#REF!,IF(+All!#REF!="Oregon",+All!#REF!,0))</f>
        <v>#REF!</v>
      </c>
      <c r="H66" s="460" t="e">
        <f>IF(+All!#REF!="Oregon",+All!#REF!,IF(+All!#REF!="Oregon",+All!#REF!,0))</f>
        <v>#REF!</v>
      </c>
      <c r="I66" s="461" t="e">
        <f>IF(+All!#REF!="Oregon",+All!#REF!,IF(+All!#REF!="Oregon",+All!#REF!,0))</f>
        <v>#REF!</v>
      </c>
      <c r="J66" s="460" t="e">
        <f>IF(+All!#REF!="Oregon",+All!#REF!,IF(+All!#REF!="Oregon",+All!#REF!,0))</f>
        <v>#REF!</v>
      </c>
      <c r="K66" s="461" t="e">
        <f>IF(+All!#REF!="Oregon",+All!#REF!,IF(+All!#REF!="Oregon",+All!#REF!,0))</f>
        <v>#REF!</v>
      </c>
      <c r="L66" s="60" t="e">
        <f>IF(+All!#REF!="Oregon",+All!#REF!,IF(+All!#REF!="Oregon",+All!#REF!,0))</f>
        <v>#REF!</v>
      </c>
      <c r="M66" s="61" t="e">
        <f>IF(+All!#REF!="Oregon",+All!#REF!,IF(+All!#REF!="Oregon",+All!#REF!,0))</f>
        <v>#REF!</v>
      </c>
      <c r="N66" s="460" t="e">
        <f>IF(+All!#REF!="Oregon",+All!#REF!,IF(+All!#REF!="Oregon",+All!#REF!,0))</f>
        <v>#REF!</v>
      </c>
      <c r="O66" s="462" t="e">
        <f>IF(+All!#REF!="Oregon",+All!#REF!,IF(+All!#REF!="Oregon",+All!#REF!,0))</f>
        <v>#REF!</v>
      </c>
      <c r="P66" s="462" t="e">
        <f>IF(+All!#REF!="Oregon",+All!#REF!,IF(+All!#REF!="Oregon",+All!#REF!,0))</f>
        <v>#REF!</v>
      </c>
      <c r="Q66" s="461" t="e">
        <f>IF(+All!#REF!="Oregon",+All!#REF!,IF(+All!#REF!="Oregon",+All!#REF!,0))</f>
        <v>#REF!</v>
      </c>
      <c r="R66" s="460" t="e">
        <f>IF(+All!#REF!="Oregon",+All!#REF!,IF(+All!#REF!="Oregon",+All!#REF!,0))</f>
        <v>#REF!</v>
      </c>
      <c r="S66" s="462" t="e">
        <f>IF(+All!#REF!="Oregon",+All!#REF!,IF(+All!#REF!="Oregon",+All!#REF!,0))</f>
        <v>#REF!</v>
      </c>
      <c r="T66" s="460" t="e">
        <f>IF(+All!#REF!="Oregon",+All!#REF!,IF(+All!#REF!="Oregon",+All!#REF!,0))</f>
        <v>#REF!</v>
      </c>
      <c r="U66" s="461" t="e">
        <f>IF(+All!#REF!="Oregon",+All!#REF!,IF(+All!#REF!="Oregon",+All!#REF!,0))</f>
        <v>#REF!</v>
      </c>
    </row>
    <row r="67" spans="1:21" x14ac:dyDescent="0.8">
      <c r="A67" s="46">
        <f>IF(+All!$H533="Oregon",+All!A533,IF(+All!$F533="Oregon",+All!A533,0))</f>
        <v>8</v>
      </c>
      <c r="B67" s="348" t="str">
        <f>IF(+All!$H533="Oregon",+All!B533,IF(+All!$F533="Oregon",+All!B533,0))</f>
        <v>Sat</v>
      </c>
      <c r="C67" s="72">
        <f>IF(+All!$H533="Oregon",+All!C533,IF(+All!$F533="Oregon",+All!C533,0))</f>
        <v>44856</v>
      </c>
      <c r="D67" s="73">
        <f>IF(+All!$H533="Oregon",+All!D533,IF(+All!$F533="Oregon",+All!D533,0))</f>
        <v>0.64583333333333337</v>
      </c>
      <c r="E67" s="461" t="str">
        <f>IF(+All!$H533="Oregon",+All!E533,IF(+All!$F533="Oregon",+All!E533,0))</f>
        <v>FS1</v>
      </c>
      <c r="F67" s="460" t="str">
        <f>IF(+All!$H533="Oregon",+All!F533,IF(+All!$F533="Oregon",+All!F533,0))</f>
        <v>UCLA</v>
      </c>
      <c r="G67" s="461" t="str">
        <f>IF(+All!$H533="Oregon",+All!G533,IF(+All!$F533="Oregon",+All!G533,0))</f>
        <v>P12</v>
      </c>
      <c r="H67" s="460" t="str">
        <f>IF(+All!$H533="Oregon",+All!H533,IF(+All!$F533="Oregon",+All!H533,0))</f>
        <v>Oregon</v>
      </c>
      <c r="I67" s="461" t="str">
        <f>IF(+All!$H533="Oregon",+All!I533,IF(+All!$F533="Oregon",+All!I533,0))</f>
        <v>P12</v>
      </c>
      <c r="J67" s="460" t="str">
        <f>IF(+All!$H533="Oregon",+All!J533,IF(+All!$F533="Oregon",+All!J533,0))</f>
        <v>Oregon</v>
      </c>
      <c r="K67" s="461" t="str">
        <f>IF(+All!$H533="Oregon",+All!K533,IF(+All!$F533="Oregon",+All!K533,0))</f>
        <v>UCLA</v>
      </c>
      <c r="L67" s="60">
        <f>IF(+All!$H533="Oregon",+All!L533,IF(+All!$F533="Oregon",+All!L533,0))</f>
        <v>6</v>
      </c>
      <c r="M67" s="61">
        <f>IF(+All!$H533="Oregon",+All!M533,IF(+All!$F533="Oregon",+All!M533,0))</f>
        <v>69.5</v>
      </c>
      <c r="N67" s="460" t="str">
        <f>IF(+All!$H533="Oregon",+All!N533,IF(+All!$F533="Oregon",+All!N533,0))</f>
        <v>Oregon</v>
      </c>
      <c r="O67" s="462">
        <f>IF(+All!$H533="Oregon",+All!O533,IF(+All!$F533="Oregon",+All!O533,0))</f>
        <v>45</v>
      </c>
      <c r="P67" s="462" t="str">
        <f>IF(+All!$H533="Oregon",+All!P533,IF(+All!$F533="Oregon",+All!P533,0))</f>
        <v>UCLA</v>
      </c>
      <c r="Q67" s="461">
        <f>IF(+All!$H533="Oregon",+All!Q533,IF(+All!$F533="Oregon",+All!Q533,0))</f>
        <v>30</v>
      </c>
      <c r="R67" s="460" t="str">
        <f>IF(+All!$H533="Oregon",+All!R533,IF(+All!$F533="Oregon",+All!R533,0))</f>
        <v>Oregon</v>
      </c>
      <c r="S67" s="462" t="str">
        <f>IF(+All!$H533="Oregon",+All!S533,IF(+All!$F533="Oregon",+All!S533,0))</f>
        <v>UCLA</v>
      </c>
      <c r="T67" s="460" t="str">
        <f>IF(+All!$H533="Oregon",+All!T533,IF(+All!$F533="Oregon",+All!T533,0))</f>
        <v>UCLA</v>
      </c>
      <c r="U67" s="461" t="str">
        <f>IF(+All!$H533="Oregon",+All!U533,IF(+All!$F533="Oregon",+All!U533,0))</f>
        <v>L</v>
      </c>
    </row>
    <row r="68" spans="1:21" x14ac:dyDescent="0.8">
      <c r="A68" s="46">
        <f>IF(+All!$H581="Oregon",+All!A581,IF(+All!$F581="Oregon",+All!A581,0))</f>
        <v>9</v>
      </c>
      <c r="B68" s="348" t="str">
        <f>IF(+All!$H581="Oregon",+All!B581,IF(+All!$F581="Oregon",+All!B581,0))</f>
        <v>Sat</v>
      </c>
      <c r="C68" s="72">
        <f>IF(+All!$H581="Oregon",+All!C581,IF(+All!$F581="Oregon",+All!C581,0))</f>
        <v>44863</v>
      </c>
      <c r="D68" s="73">
        <f>IF(+All!$H581="Oregon",+All!D581,IF(+All!$F581="Oregon",+All!D581,0))</f>
        <v>0.64583333333333337</v>
      </c>
      <c r="E68" s="461" t="str">
        <f>IF(+All!$H581="Oregon",+All!E581,IF(+All!$F581="Oregon",+All!E581,0))</f>
        <v>FS1</v>
      </c>
      <c r="F68" s="460" t="str">
        <f>IF(+All!$H581="Oregon",+All!F581,IF(+All!$F581="Oregon",+All!F581,0))</f>
        <v>Oregon</v>
      </c>
      <c r="G68" s="461" t="str">
        <f>IF(+All!$H581="Oregon",+All!G581,IF(+All!$F581="Oregon",+All!G581,0))</f>
        <v>P12</v>
      </c>
      <c r="H68" s="460" t="str">
        <f>IF(+All!$H581="Oregon",+All!H581,IF(+All!$F581="Oregon",+All!H581,0))</f>
        <v>California</v>
      </c>
      <c r="I68" s="461" t="str">
        <f>IF(+All!$H581="Oregon",+All!I581,IF(+All!$F581="Oregon",+All!I581,0))</f>
        <v>P12</v>
      </c>
      <c r="J68" s="460" t="str">
        <f>IF(+All!$H581="Oregon",+All!J581,IF(+All!$F581="Oregon",+All!J581,0))</f>
        <v>Oregon</v>
      </c>
      <c r="K68" s="461" t="str">
        <f>IF(+All!$H581="Oregon",+All!K581,IF(+All!$F581="Oregon",+All!K581,0))</f>
        <v>California</v>
      </c>
      <c r="L68" s="60">
        <f>IF(+All!$H581="Oregon",+All!L581,IF(+All!$F581="Oregon",+All!L581,0))</f>
        <v>17.5</v>
      </c>
      <c r="M68" s="61">
        <f>IF(+All!$H581="Oregon",+All!M581,IF(+All!$F581="Oregon",+All!M581,0))</f>
        <v>58</v>
      </c>
      <c r="N68" s="460" t="str">
        <f>IF(+All!$H581="Oregon",+All!N581,IF(+All!$F581="Oregon",+All!N581,0))</f>
        <v>Oregon</v>
      </c>
      <c r="O68" s="462">
        <f>IF(+All!$H581="Oregon",+All!O581,IF(+All!$F581="Oregon",+All!O581,0))</f>
        <v>42</v>
      </c>
      <c r="P68" s="462" t="str">
        <f>IF(+All!$H581="Oregon",+All!P581,IF(+All!$F581="Oregon",+All!P581,0))</f>
        <v>California</v>
      </c>
      <c r="Q68" s="461">
        <f>IF(+All!$H581="Oregon",+All!Q581,IF(+All!$F581="Oregon",+All!Q581,0))</f>
        <v>24</v>
      </c>
      <c r="R68" s="460" t="str">
        <f>IF(+All!$H581="Oregon",+All!R581,IF(+All!$F581="Oregon",+All!R581,0))</f>
        <v>Oregon</v>
      </c>
      <c r="S68" s="462" t="str">
        <f>IF(+All!$H581="Oregon",+All!S581,IF(+All!$F581="Oregon",+All!S581,0))</f>
        <v>California</v>
      </c>
      <c r="T68" s="460" t="str">
        <f>IF(+All!$H581="Oregon",+All!T581,IF(+All!$F581="Oregon",+All!T581,0))</f>
        <v>California</v>
      </c>
      <c r="U68" s="461" t="str">
        <f>IF(+All!$H581="Oregon",+All!U581,IF(+All!$F581="Oregon",+All!U581,0))</f>
        <v>L</v>
      </c>
    </row>
    <row r="69" spans="1:21" x14ac:dyDescent="0.8">
      <c r="A69" s="46">
        <f>IF(+All!$H637="Oregon",+All!A637,IF(+All!$F637="Oregon",+All!A637,0))</f>
        <v>10</v>
      </c>
      <c r="B69" s="348" t="str">
        <f>IF(+All!$H637="Oregon",+All!B637,IF(+All!$F637="Oregon",+All!B637,0))</f>
        <v>Sat</v>
      </c>
      <c r="C69" s="72">
        <f>IF(+All!$H637="Oregon",+All!C637,IF(+All!$F637="Oregon",+All!C637,0))</f>
        <v>44870</v>
      </c>
      <c r="D69" s="73">
        <f>IF(+All!$H637="Oregon",+All!D637,IF(+All!$F637="Oregon",+All!D637,0))</f>
        <v>0.64583333333333337</v>
      </c>
      <c r="E69" s="461" t="str">
        <f>IF(+All!$H637="Oregon",+All!E637,IF(+All!$F637="Oregon",+All!E637,0))</f>
        <v>ESPN</v>
      </c>
      <c r="F69" s="460" t="str">
        <f>IF(+All!$H637="Oregon",+All!F637,IF(+All!$F637="Oregon",+All!F637,0))</f>
        <v>Oregon</v>
      </c>
      <c r="G69" s="461" t="str">
        <f>IF(+All!$H637="Oregon",+All!G637,IF(+All!$F637="Oregon",+All!G637,0))</f>
        <v>P12</v>
      </c>
      <c r="H69" s="460" t="str">
        <f>IF(+All!$H637="Oregon",+All!H637,IF(+All!$F637="Oregon",+All!H637,0))</f>
        <v>Colorado</v>
      </c>
      <c r="I69" s="461" t="str">
        <f>IF(+All!$H637="Oregon",+All!I637,IF(+All!$F637="Oregon",+All!I637,0))</f>
        <v>P12</v>
      </c>
      <c r="J69" s="460" t="str">
        <f>IF(+All!$H637="Oregon",+All!J637,IF(+All!$F637="Oregon",+All!J637,0))</f>
        <v>Oregon</v>
      </c>
      <c r="K69" s="461" t="str">
        <f>IF(+All!$H637="Oregon",+All!K637,IF(+All!$F637="Oregon",+All!K637,0))</f>
        <v>Colorado</v>
      </c>
      <c r="L69" s="60">
        <f>IF(+All!$H637="Oregon",+All!L637,IF(+All!$F637="Oregon",+All!L637,0))</f>
        <v>31.5</v>
      </c>
      <c r="M69" s="61">
        <f>IF(+All!$H637="Oregon",+All!M637,IF(+All!$F637="Oregon",+All!M637,0))</f>
        <v>61</v>
      </c>
      <c r="N69" s="460" t="str">
        <f>IF(+All!$H637="Oregon",+All!N637,IF(+All!$F637="Oregon",+All!N637,0))</f>
        <v>Oregon</v>
      </c>
      <c r="O69" s="462">
        <f>IF(+All!$H637="Oregon",+All!O637,IF(+All!$F637="Oregon",+All!O637,0))</f>
        <v>49</v>
      </c>
      <c r="P69" s="462" t="str">
        <f>IF(+All!$H637="Oregon",+All!P637,IF(+All!$F637="Oregon",+All!P637,0))</f>
        <v>Colorado</v>
      </c>
      <c r="Q69" s="461">
        <f>IF(+All!$H637="Oregon",+All!Q637,IF(+All!$F637="Oregon",+All!Q637,0))</f>
        <v>10</v>
      </c>
      <c r="R69" s="460" t="str">
        <f>IF(+All!$H637="Oregon",+All!R637,IF(+All!$F637="Oregon",+All!R637,0))</f>
        <v>Oregon</v>
      </c>
      <c r="S69" s="462" t="str">
        <f>IF(+All!$H637="Oregon",+All!S637,IF(+All!$F637="Oregon",+All!S637,0))</f>
        <v>Colorado</v>
      </c>
      <c r="T69" s="460" t="str">
        <f>IF(+All!$H637="Oregon",+All!T637,IF(+All!$F637="Oregon",+All!T637,0))</f>
        <v>Colorado</v>
      </c>
      <c r="U69" s="461" t="str">
        <f>IF(+All!$H637="Oregon",+All!U637,IF(+All!$F637="Oregon",+All!U637,0))</f>
        <v>L</v>
      </c>
    </row>
    <row r="70" spans="1:21" x14ac:dyDescent="0.8">
      <c r="A70" s="46">
        <f>IF(+All!$H699="Oregon",+All!A699,IF(+All!$F699="Oregon",+All!A699,0))</f>
        <v>11</v>
      </c>
      <c r="B70" s="348" t="str">
        <f>IF(+All!$H699="Oregon",+All!B699,IF(+All!$F699="Oregon",+All!B699,0))</f>
        <v>Sat</v>
      </c>
      <c r="C70" s="72">
        <f>IF(+All!$H699="Oregon",+All!C699,IF(+All!$F699="Oregon",+All!C699,0))</f>
        <v>44877</v>
      </c>
      <c r="D70" s="73">
        <f>IF(+All!$H699="Oregon",+All!D699,IF(+All!$F699="Oregon",+All!D699,0))</f>
        <v>0.79166666666666663</v>
      </c>
      <c r="E70" s="461" t="str">
        <f>IF(+All!$H699="Oregon",+All!E699,IF(+All!$F699="Oregon",+All!E699,0))</f>
        <v>Fox</v>
      </c>
      <c r="F70" s="460" t="str">
        <f>IF(+All!$H699="Oregon",+All!F699,IF(+All!$F699="Oregon",+All!F699,0))</f>
        <v>Washington</v>
      </c>
      <c r="G70" s="461" t="str">
        <f>IF(+All!$H699="Oregon",+All!G699,IF(+All!$F699="Oregon",+All!G699,0))</f>
        <v>P12</v>
      </c>
      <c r="H70" s="460" t="str">
        <f>IF(+All!$H699="Oregon",+All!H699,IF(+All!$F699="Oregon",+All!H699,0))</f>
        <v>Oregon</v>
      </c>
      <c r="I70" s="461" t="str">
        <f>IF(+All!$H699="Oregon",+All!I699,IF(+All!$F699="Oregon",+All!I699,0))</f>
        <v>P12</v>
      </c>
      <c r="J70" s="460" t="str">
        <f>IF(+All!$H699="Oregon",+All!J699,IF(+All!$F699="Oregon",+All!J699,0))</f>
        <v>Oregon</v>
      </c>
      <c r="K70" s="461" t="str">
        <f>IF(+All!$H699="Oregon",+All!K699,IF(+All!$F699="Oregon",+All!K699,0))</f>
        <v>Washington</v>
      </c>
      <c r="L70" s="60">
        <f>IF(+All!$H699="Oregon",+All!L699,IF(+All!$F699="Oregon",+All!L699,0))</f>
        <v>13.5</v>
      </c>
      <c r="M70" s="61">
        <f>IF(+All!$H699="Oregon",+All!M699,IF(+All!$F699="Oregon",+All!M699,0))</f>
        <v>72.5</v>
      </c>
      <c r="N70" s="460" t="str">
        <f>IF(+All!$H699="Oregon",+All!N699,IF(+All!$F699="Oregon",+All!N699,0))</f>
        <v>Washington</v>
      </c>
      <c r="O70" s="462">
        <f>IF(+All!$H699="Oregon",+All!O699,IF(+All!$F699="Oregon",+All!O699,0))</f>
        <v>37</v>
      </c>
      <c r="P70" s="462" t="str">
        <f>IF(+All!$H699="Oregon",+All!P699,IF(+All!$F699="Oregon",+All!P699,0))</f>
        <v>Oregon</v>
      </c>
      <c r="Q70" s="461">
        <f>IF(+All!$H699="Oregon",+All!Q699,IF(+All!$F699="Oregon",+All!Q699,0))</f>
        <v>34</v>
      </c>
      <c r="R70" s="460" t="str">
        <f>IF(+All!$H699="Oregon",+All!R699,IF(+All!$F699="Oregon",+All!R699,0))</f>
        <v>Washington</v>
      </c>
      <c r="S70" s="462" t="str">
        <f>IF(+All!$H699="Oregon",+All!S699,IF(+All!$F699="Oregon",+All!S699,0))</f>
        <v>Oregon</v>
      </c>
      <c r="T70" s="460" t="str">
        <f>IF(+All!$H699="Oregon",+All!T699,IF(+All!$F699="Oregon",+All!T699,0))</f>
        <v>Oregon</v>
      </c>
      <c r="U70" s="461" t="str">
        <f>IF(+All!$H699="Oregon",+All!U699,IF(+All!$F699="Oregon",+All!U699,0))</f>
        <v>L</v>
      </c>
    </row>
    <row r="71" spans="1:21" x14ac:dyDescent="0.8">
      <c r="A71" s="46">
        <f>IF(+All!$H766="Oregon",+All!A766,IF(+All!$F766="Oregon",+All!A766,0))</f>
        <v>12</v>
      </c>
      <c r="B71" s="348" t="str">
        <f>IF(+All!$H766="Oregon",+All!B766,IF(+All!$F766="Oregon",+All!B766,0))</f>
        <v>Sat</v>
      </c>
      <c r="C71" s="72">
        <f>IF(+All!$H766="Oregon",+All!C766,IF(+All!$F766="Oregon",+All!C766,0))</f>
        <v>44884</v>
      </c>
      <c r="D71" s="73">
        <f>IF(+All!$H766="Oregon",+All!D766,IF(+All!$F766="Oregon",+All!D766,0))</f>
        <v>0.9375</v>
      </c>
      <c r="E71" s="461" t="str">
        <f>IF(+All!$H766="Oregon",+All!E766,IF(+All!$F766="Oregon",+All!E766,0))</f>
        <v>ESPN</v>
      </c>
      <c r="F71" s="460" t="str">
        <f>IF(+All!$H766="Oregon",+All!F766,IF(+All!$F766="Oregon",+All!F766,0))</f>
        <v>Utah</v>
      </c>
      <c r="G71" s="461" t="str">
        <f>IF(+All!$H766="Oregon",+All!G766,IF(+All!$F766="Oregon",+All!G766,0))</f>
        <v>P12</v>
      </c>
      <c r="H71" s="460" t="str">
        <f>IF(+All!$H766="Oregon",+All!H766,IF(+All!$F766="Oregon",+All!H766,0))</f>
        <v>Oregon</v>
      </c>
      <c r="I71" s="461" t="str">
        <f>IF(+All!$H766="Oregon",+All!I766,IF(+All!$F766="Oregon",+All!I766,0))</f>
        <v>P12</v>
      </c>
      <c r="J71" s="460" t="str">
        <f>IF(+All!$H766="Oregon",+All!J766,IF(+All!$F766="Oregon",+All!J766,0))</f>
        <v>Oregon</v>
      </c>
      <c r="K71" s="461" t="str">
        <f>IF(+All!$H766="Oregon",+All!K766,IF(+All!$F766="Oregon",+All!K766,0))</f>
        <v>Utah</v>
      </c>
      <c r="L71" s="60">
        <f>IF(+All!$H766="Oregon",+All!L766,IF(+All!$F766="Oregon",+All!L766,0))</f>
        <v>3</v>
      </c>
      <c r="M71" s="61">
        <f>IF(+All!$H766="Oregon",+All!M766,IF(+All!$F766="Oregon",+All!M766,0))</f>
        <v>62</v>
      </c>
      <c r="N71" s="460" t="str">
        <f>IF(+All!$H766="Oregon",+All!N766,IF(+All!$F766="Oregon",+All!N766,0))</f>
        <v>Oregon</v>
      </c>
      <c r="O71" s="462">
        <f>IF(+All!$H766="Oregon",+All!O766,IF(+All!$F766="Oregon",+All!O766,0))</f>
        <v>29</v>
      </c>
      <c r="P71" s="462" t="str">
        <f>IF(+All!$H766="Oregon",+All!P766,IF(+All!$F766="Oregon",+All!P766,0))</f>
        <v>Utah</v>
      </c>
      <c r="Q71" s="461">
        <f>IF(+All!$H766="Oregon",+All!Q766,IF(+All!$F766="Oregon",+All!Q766,0))</f>
        <v>17</v>
      </c>
      <c r="R71" s="460" t="str">
        <f>IF(+All!$H766="Oregon",+All!R766,IF(+All!$F766="Oregon",+All!R766,0))</f>
        <v>Oregon</v>
      </c>
      <c r="S71" s="462" t="str">
        <f>IF(+All!$H766="Oregon",+All!S766,IF(+All!$F766="Oregon",+All!S766,0))</f>
        <v>Utah</v>
      </c>
      <c r="T71" s="460" t="str">
        <f>IF(+All!$H766="Oregon",+All!T766,IF(+All!$F766="Oregon",+All!T766,0))</f>
        <v>Oregon</v>
      </c>
      <c r="U71" s="461" t="str">
        <f>IF(+All!$H766="Oregon",+All!U766,IF(+All!$F766="Oregon",+All!U766,0))</f>
        <v>W</v>
      </c>
    </row>
    <row r="72" spans="1:21" x14ac:dyDescent="0.8">
      <c r="A72" s="46">
        <f>IF(+All!$H833="Oregon",+All!A833,IF(+All!$F833="Oregon",+All!A833,0))</f>
        <v>13</v>
      </c>
      <c r="B72" s="348" t="str">
        <f>IF(+All!$H833="Oregon",+All!B833,IF(+All!$F833="Oregon",+All!B833,0))</f>
        <v>Sat</v>
      </c>
      <c r="C72" s="72">
        <f>IF(+All!$H833="Oregon",+All!C833,IF(+All!$F833="Oregon",+All!C833,0))</f>
        <v>44891</v>
      </c>
      <c r="D72" s="73">
        <f>IF(+All!$H833="Oregon",+All!D833,IF(+All!$F833="Oregon",+All!D833,0))</f>
        <v>0.64583333333333337</v>
      </c>
      <c r="E72" s="461" t="str">
        <f>IF(+All!$H833="Oregon",+All!E833,IF(+All!$F833="Oregon",+All!E833,0))</f>
        <v>ABC</v>
      </c>
      <c r="F72" s="460" t="str">
        <f>IF(+All!$H833="Oregon",+All!F833,IF(+All!$F833="Oregon",+All!F833,0))</f>
        <v>Oregon</v>
      </c>
      <c r="G72" s="461" t="str">
        <f>IF(+All!$H833="Oregon",+All!G833,IF(+All!$F833="Oregon",+All!G833,0))</f>
        <v>P12</v>
      </c>
      <c r="H72" s="460" t="str">
        <f>IF(+All!$H833="Oregon",+All!H833,IF(+All!$F833="Oregon",+All!H833,0))</f>
        <v>Oregon State</v>
      </c>
      <c r="I72" s="461" t="str">
        <f>IF(+All!$H833="Oregon",+All!I833,IF(+All!$F833="Oregon",+All!I833,0))</f>
        <v>P12</v>
      </c>
      <c r="J72" s="460" t="str">
        <f>IF(+All!$H833="Oregon",+All!J833,IF(+All!$F833="Oregon",+All!J833,0))</f>
        <v>Oregon</v>
      </c>
      <c r="K72" s="461" t="str">
        <f>IF(+All!$H833="Oregon",+All!K833,IF(+All!$F833="Oregon",+All!K833,0))</f>
        <v>Oregon State</v>
      </c>
      <c r="L72" s="60">
        <f>IF(+All!$H833="Oregon",+All!L833,IF(+All!$F833="Oregon",+All!L833,0))</f>
        <v>3</v>
      </c>
      <c r="M72" s="61">
        <f>IF(+All!$H833="Oregon",+All!M833,IF(+All!$F833="Oregon",+All!M833,0))</f>
        <v>59</v>
      </c>
      <c r="N72" s="460" t="str">
        <f>IF(+All!$H833="Oregon",+All!N833,IF(+All!$F833="Oregon",+All!N833,0))</f>
        <v>Oregon State</v>
      </c>
      <c r="O72" s="462">
        <f>IF(+All!$H833="Oregon",+All!O833,IF(+All!$F833="Oregon",+All!O833,0))</f>
        <v>38</v>
      </c>
      <c r="P72" s="462" t="str">
        <f>IF(+All!$H833="Oregon",+All!P833,IF(+All!$F833="Oregon",+All!P833,0))</f>
        <v>Oregon</v>
      </c>
      <c r="Q72" s="461">
        <f>IF(+All!$H833="Oregon",+All!Q833,IF(+All!$F833="Oregon",+All!Q833,0))</f>
        <v>34</v>
      </c>
      <c r="R72" s="460" t="str">
        <f>IF(+All!$H833="Oregon",+All!R833,IF(+All!$F833="Oregon",+All!R833,0))</f>
        <v>Oregon State</v>
      </c>
      <c r="S72" s="462" t="str">
        <f>IF(+All!$H833="Oregon",+All!S833,IF(+All!$F833="Oregon",+All!S833,0))</f>
        <v>Oregon</v>
      </c>
      <c r="T72" s="460" t="str">
        <f>IF(+All!$H833="Oregon",+All!T833,IF(+All!$F833="Oregon",+All!T833,0))</f>
        <v>Oregon State</v>
      </c>
      <c r="U72" s="461" t="str">
        <f>IF(+All!$H833="Oregon",+All!U833,IF(+All!$F833="Oregon",+All!U833,0))</f>
        <v>W</v>
      </c>
    </row>
    <row r="73" spans="1:21" x14ac:dyDescent="0.8">
      <c r="B73" s="348"/>
      <c r="E73" s="461"/>
      <c r="F73" s="897" t="str">
        <f>F75</f>
        <v>Oregon State</v>
      </c>
      <c r="G73" s="903"/>
      <c r="H73" s="903"/>
      <c r="I73" s="904"/>
      <c r="J73" s="460"/>
      <c r="K73" s="461"/>
      <c r="N73" s="460"/>
      <c r="O73" s="462"/>
      <c r="P73" s="462"/>
      <c r="Q73" s="461"/>
      <c r="R73" s="460"/>
      <c r="S73" s="462"/>
      <c r="T73" s="460"/>
      <c r="U73" s="461"/>
    </row>
    <row r="74" spans="1:21" x14ac:dyDescent="0.8">
      <c r="A74" s="46">
        <f>IF(+All!$H91="Oregon State",+All!A91,IF(+All!$F91="Oregon State",+All!A91,0))</f>
        <v>1</v>
      </c>
      <c r="B74" s="348" t="str">
        <f>IF(+All!$H91="Oregon State",+All!B91,IF(+All!$F91="Oregon State",+All!B91,0))</f>
        <v>Sat</v>
      </c>
      <c r="C74" s="72">
        <f>IF(+All!$H91="Oregon State",+All!C91,IF(+All!$F91="Oregon State",+All!C91,0))</f>
        <v>44807</v>
      </c>
      <c r="D74" s="73">
        <f>IF(+All!$H91="Oregon State",+All!D91,IF(+All!$F91="Oregon State",+All!D91,0))</f>
        <v>0.9375</v>
      </c>
      <c r="E74" s="461" t="str">
        <f>IF(+All!$H91="Oregon State",+All!E91,IF(+All!$F91="Oregon State",+All!E91,0))</f>
        <v>ESPN</v>
      </c>
      <c r="F74" s="460" t="str">
        <f>IF(+All!$H91="Oregon State",+All!F91,IF(+All!$F91="Oregon State",+All!F91,0))</f>
        <v>Boise State</v>
      </c>
      <c r="G74" s="461" t="str">
        <f>IF(+All!$H91="Oregon State",+All!G91,IF(+All!$F91="Oregon State",+All!G91,0))</f>
        <v>MWC</v>
      </c>
      <c r="H74" s="460" t="str">
        <f>IF(+All!$H91="Oregon State",+All!H91,IF(+All!$F91="Oregon State",+All!H91,0))</f>
        <v>Oregon State</v>
      </c>
      <c r="I74" s="461" t="str">
        <f>IF(+All!$H91="Oregon State",+All!I91,IF(+All!$F91="Oregon State",+All!I91,0))</f>
        <v>P12</v>
      </c>
      <c r="J74" s="460" t="str">
        <f>IF(+All!$H91="Oregon State",+All!J91,IF(+All!$F91="Oregon State",+All!J91,0))</f>
        <v>Oregon State</v>
      </c>
      <c r="K74" s="461" t="str">
        <f>IF(+All!$H91="Oregon State",+All!K91,IF(+All!$F91="Oregon State",+All!K91,0))</f>
        <v>Boise State</v>
      </c>
      <c r="L74" s="60">
        <f>IF(+All!$H91="Oregon State",+All!L91,IF(+All!$F91="Oregon State",+All!L91,0))</f>
        <v>2.5</v>
      </c>
      <c r="M74" s="61">
        <f>IF(+All!$H91="Oregon State",+All!M91,IF(+All!$F91="Oregon State",+All!M91,0))</f>
        <v>56.5</v>
      </c>
      <c r="N74" s="460" t="str">
        <f>IF(+All!$H91="Oregon State",+All!N91,IF(+All!$F91="Oregon State",+All!N91,0))</f>
        <v>Oregon State</v>
      </c>
      <c r="O74" s="462">
        <f>IF(+All!$H91="Oregon State",+All!O91,IF(+All!$F91="Oregon State",+All!O91,0))</f>
        <v>34</v>
      </c>
      <c r="P74" s="462" t="str">
        <f>IF(+All!$H91="Oregon State",+All!P91,IF(+All!$F91="Oregon State",+All!P91,0))</f>
        <v>Boise State</v>
      </c>
      <c r="Q74" s="461">
        <f>IF(+All!$H91="Oregon State",+All!Q91,IF(+All!$F91="Oregon State",+All!Q91,0))</f>
        <v>17</v>
      </c>
      <c r="R74" s="460" t="str">
        <f>IF(+All!$H91="Oregon State",+All!R91,IF(+All!$F91="Oregon State",+All!R91,0))</f>
        <v>Oregon State</v>
      </c>
      <c r="S74" s="462" t="str">
        <f>IF(+All!$H91="Oregon State",+All!S91,IF(+All!$F91="Oregon State",+All!S91,0))</f>
        <v>Boise State</v>
      </c>
      <c r="T74" s="460" t="str">
        <f>IF(+All!$H91="Oregon State",+All!T91,IF(+All!$F91="Oregon State",+All!T91,0))</f>
        <v>Boise State</v>
      </c>
      <c r="U74" s="461" t="str">
        <f>IF(+All!$H91="Oregon State",+All!U91,IF(+All!$F91="Oregon State",+All!U91,0))</f>
        <v>L</v>
      </c>
    </row>
    <row r="75" spans="1:21" x14ac:dyDescent="0.8">
      <c r="A75" s="46">
        <f>IF(+All!$H153="Oregon State",+All!A153,IF(+All!$F153="Oregon State",+All!A153,0))</f>
        <v>2</v>
      </c>
      <c r="B75" s="348" t="str">
        <f>IF(+All!$H153="Oregon State",+All!B153,IF(+All!$F153="Oregon State",+All!B153,0))</f>
        <v>Sat</v>
      </c>
      <c r="C75" s="72">
        <f>IF(+All!$H153="Oregon State",+All!C153,IF(+All!$F153="Oregon State",+All!C153,0))</f>
        <v>44814</v>
      </c>
      <c r="D75" s="73">
        <f>IF(+All!$H153="Oregon State",+All!D153,IF(+All!$F153="Oregon State",+All!D153,0))</f>
        <v>0.9375</v>
      </c>
      <c r="E75" s="461" t="str">
        <f>IF(+All!$H153="Oregon State",+All!E153,IF(+All!$F153="Oregon State",+All!E153,0))</f>
        <v>cbssn</v>
      </c>
      <c r="F75" s="460" t="str">
        <f>IF(+All!$H153="Oregon State",+All!F153,IF(+All!$F153="Oregon State",+All!F153,0))</f>
        <v>Oregon State</v>
      </c>
      <c r="G75" s="461" t="str">
        <f>IF(+All!$H153="Oregon State",+All!G153,IF(+All!$F153="Oregon State",+All!G153,0))</f>
        <v>P12</v>
      </c>
      <c r="H75" s="460" t="str">
        <f>IF(+All!$H153="Oregon State",+All!H153,IF(+All!$F153="Oregon State",+All!H153,0))</f>
        <v>Fresno State</v>
      </c>
      <c r="I75" s="461" t="str">
        <f>IF(+All!$H153="Oregon State",+All!I153,IF(+All!$F153="Oregon State",+All!I153,0))</f>
        <v>MWC</v>
      </c>
      <c r="J75" s="460" t="str">
        <f>IF(+All!$H153="Oregon State",+All!J153,IF(+All!$F153="Oregon State",+All!J153,0))</f>
        <v>Oregon State</v>
      </c>
      <c r="K75" s="461" t="str">
        <f>IF(+All!$H153="Oregon State",+All!K153,IF(+All!$F153="Oregon State",+All!K153,0))</f>
        <v>Fresno State</v>
      </c>
      <c r="L75" s="60">
        <f>IF(+All!$H153="Oregon State",+All!L153,IF(+All!$F153="Oregon State",+All!L153,0))</f>
        <v>0</v>
      </c>
      <c r="M75" s="61">
        <f>IF(+All!$H153="Oregon State",+All!M153,IF(+All!$F153="Oregon State",+All!M153,0))</f>
        <v>61</v>
      </c>
      <c r="N75" s="460" t="str">
        <f>IF(+All!$H153="Oregon State",+All!N153,IF(+All!$F153="Oregon State",+All!N153,0))</f>
        <v>Oregon State</v>
      </c>
      <c r="O75" s="462">
        <f>IF(+All!$H153="Oregon State",+All!O153,IF(+All!$F153="Oregon State",+All!O153,0))</f>
        <v>35</v>
      </c>
      <c r="P75" s="462" t="str">
        <f>IF(+All!$H153="Oregon State",+All!P153,IF(+All!$F153="Oregon State",+All!P153,0))</f>
        <v>Fresno State</v>
      </c>
      <c r="Q75" s="461">
        <f>IF(+All!$H153="Oregon State",+All!Q153,IF(+All!$F153="Oregon State",+All!Q153,0))</f>
        <v>32</v>
      </c>
      <c r="R75" s="460" t="str">
        <f>IF(+All!$H153="Oregon State",+All!R153,IF(+All!$F153="Oregon State",+All!R153,0))</f>
        <v>Oregon State</v>
      </c>
      <c r="S75" s="462" t="str">
        <f>IF(+All!$H153="Oregon State",+All!S153,IF(+All!$F153="Oregon State",+All!S153,0))</f>
        <v>Fresno State</v>
      </c>
      <c r="T75" s="460" t="str">
        <f>IF(+All!$H153="Oregon State",+All!T153,IF(+All!$F153="Oregon State",+All!T153,0))</f>
        <v>Fresno State</v>
      </c>
      <c r="U75" s="461" t="str">
        <f>IF(+All!$H153="Oregon State",+All!U153,IF(+All!$F153="Oregon State",+All!U153,0))</f>
        <v>L</v>
      </c>
    </row>
    <row r="76" spans="1:21" x14ac:dyDescent="0.8">
      <c r="A76" s="46">
        <f>IF(+All!$H232="Oregon State",+All!A232,IF(+All!$F232="Oregon State",+All!A232,0))</f>
        <v>3</v>
      </c>
      <c r="B76" s="348" t="str">
        <f>IF(+All!$H232="Oregon State",+All!B232,IF(+All!$F232="Oregon State",+All!B232,0))</f>
        <v>Sat</v>
      </c>
      <c r="C76" s="72">
        <f>IF(+All!$H232="Oregon State",+All!C232,IF(+All!$F232="Oregon State",+All!C232,0))</f>
        <v>44821</v>
      </c>
      <c r="D76" s="73">
        <f>IF(+All!$H232="Oregon State",+All!D232,IF(+All!$F232="Oregon State",+All!D232,0))</f>
        <v>0.83333333333333337</v>
      </c>
      <c r="E76" s="461" t="str">
        <f>IF(+All!$H232="Oregon State",+All!E232,IF(+All!$F232="Oregon State",+All!E232,0))</f>
        <v>PAC12</v>
      </c>
      <c r="F76" s="460" t="str">
        <f>IF(+All!$H232="Oregon State",+All!F232,IF(+All!$F232="Oregon State",+All!F232,0))</f>
        <v>1AA Montana State</v>
      </c>
      <c r="G76" s="461" t="str">
        <f>IF(+All!$H232="Oregon State",+All!G232,IF(+All!$F232="Oregon State",+All!G232,0))</f>
        <v>1AA</v>
      </c>
      <c r="H76" s="460" t="str">
        <f>IF(+All!$H232="Oregon State",+All!H232,IF(+All!$F232="Oregon State",+All!H232,0))</f>
        <v>Oregon State</v>
      </c>
      <c r="I76" s="461" t="str">
        <f>IF(+All!$H232="Oregon State",+All!I232,IF(+All!$F232="Oregon State",+All!I232,0))</f>
        <v>P12</v>
      </c>
      <c r="J76" s="460">
        <f>IF(+All!$H232="Oregon State",+All!J232,IF(+All!$F232="Oregon State",+All!J232,0))</f>
        <v>0</v>
      </c>
      <c r="K76" s="461">
        <f>IF(+All!$H232="Oregon State",+All!K232,IF(+All!$F232="Oregon State",+All!K232,0))</f>
        <v>0</v>
      </c>
      <c r="L76" s="60">
        <f>IF(+All!$H232="Oregon State",+All!L232,IF(+All!$F232="Oregon State",+All!L232,0))</f>
        <v>0</v>
      </c>
      <c r="M76" s="61">
        <f>IF(+All!$H232="Oregon State",+All!M232,IF(+All!$F232="Oregon State",+All!M232,0))</f>
        <v>0</v>
      </c>
      <c r="N76" s="460" t="str">
        <f>IF(+All!$H232="Oregon State",+All!N232,IF(+All!$F232="Oregon State",+All!N232,0))</f>
        <v>Oregon State</v>
      </c>
      <c r="O76" s="462">
        <f>IF(+All!$H232="Oregon State",+All!O232,IF(+All!$F232="Oregon State",+All!O232,0))</f>
        <v>68</v>
      </c>
      <c r="P76" s="462" t="str">
        <f>IF(+All!$H232="Oregon State",+All!P232,IF(+All!$F232="Oregon State",+All!P232,0))</f>
        <v>1AA Montana State</v>
      </c>
      <c r="Q76" s="461">
        <f>IF(+All!$H232="Oregon State",+All!Q232,IF(+All!$F232="Oregon State",+All!Q232,0))</f>
        <v>28</v>
      </c>
      <c r="R76" s="460">
        <f>IF(+All!$H232="Oregon State",+All!R232,IF(+All!$F232="Oregon State",+All!R232,0))</f>
        <v>0</v>
      </c>
      <c r="S76" s="462">
        <f>IF(+All!$H232="Oregon State",+All!S232,IF(+All!$F232="Oregon State",+All!S232,0))</f>
        <v>0</v>
      </c>
      <c r="T76" s="460">
        <f>IF(+All!$H232="Oregon State",+All!T232,IF(+All!$F232="Oregon State",+All!T232,0))</f>
        <v>0</v>
      </c>
      <c r="U76" s="461">
        <f>IF(+All!$H232="Oregon State",+All!U232,IF(+All!$F232="Oregon State",+All!U232,0))</f>
        <v>0</v>
      </c>
    </row>
    <row r="77" spans="1:21" x14ac:dyDescent="0.8">
      <c r="A77" s="46">
        <f>IF(+All!$H298="Oregon State",+All!A298,IF(+All!$F298="Oregon State",+All!A298,0))</f>
        <v>4</v>
      </c>
      <c r="B77" s="348" t="str">
        <f>IF(+All!$H298="Oregon State",+All!B298,IF(+All!$F298="Oregon State",+All!B298,0))</f>
        <v>Sat</v>
      </c>
      <c r="C77" s="72">
        <f>IF(+All!$H298="Oregon State",+All!C298,IF(+All!$F298="Oregon State",+All!C298,0))</f>
        <v>44828</v>
      </c>
      <c r="D77" s="73">
        <f>IF(+All!$H298="Oregon State",+All!D298,IF(+All!$F298="Oregon State",+All!D298,0))</f>
        <v>0.89583333333333337</v>
      </c>
      <c r="E77" s="461" t="str">
        <f>IF(+All!$H298="Oregon State",+All!E298,IF(+All!$F298="Oregon State",+All!E298,0))</f>
        <v>PAC12</v>
      </c>
      <c r="F77" s="460" t="str">
        <f>IF(+All!$H298="Oregon State",+All!F298,IF(+All!$F298="Oregon State",+All!F298,0))</f>
        <v>Southern Cal</v>
      </c>
      <c r="G77" s="461" t="str">
        <f>IF(+All!$H298="Oregon State",+All!G298,IF(+All!$F298="Oregon State",+All!G298,0))</f>
        <v>P12</v>
      </c>
      <c r="H77" s="460" t="str">
        <f>IF(+All!$H298="Oregon State",+All!H298,IF(+All!$F298="Oregon State",+All!H298,0))</f>
        <v>Oregon State</v>
      </c>
      <c r="I77" s="461" t="str">
        <f>IF(+All!$H298="Oregon State",+All!I298,IF(+All!$F298="Oregon State",+All!I298,0))</f>
        <v>P12</v>
      </c>
      <c r="J77" s="460" t="str">
        <f>IF(+All!$H298="Oregon State",+All!J298,IF(+All!$F298="Oregon State",+All!J298,0))</f>
        <v>Southern Cal</v>
      </c>
      <c r="K77" s="461" t="str">
        <f>IF(+All!$H298="Oregon State",+All!K298,IF(+All!$F298="Oregon State",+All!K298,0))</f>
        <v>Oregon State</v>
      </c>
      <c r="L77" s="60">
        <f>IF(+All!$H298="Oregon State",+All!L298,IF(+All!$F298="Oregon State",+All!L298,0))</f>
        <v>5.5</v>
      </c>
      <c r="M77" s="61">
        <f>IF(+All!$H298="Oregon State",+All!M298,IF(+All!$F298="Oregon State",+All!M298,0))</f>
        <v>70.5</v>
      </c>
      <c r="N77" s="460" t="str">
        <f>IF(+All!$H298="Oregon State",+All!N298,IF(+All!$F298="Oregon State",+All!N298,0))</f>
        <v>Southern Cal</v>
      </c>
      <c r="O77" s="462">
        <f>IF(+All!$H298="Oregon State",+All!O298,IF(+All!$F298="Oregon State",+All!O298,0))</f>
        <v>17</v>
      </c>
      <c r="P77" s="462" t="str">
        <f>IF(+All!$H298="Oregon State",+All!P298,IF(+All!$F298="Oregon State",+All!P298,0))</f>
        <v>Oregon State</v>
      </c>
      <c r="Q77" s="461">
        <f>IF(+All!$H298="Oregon State",+All!Q298,IF(+All!$F298="Oregon State",+All!Q298,0))</f>
        <v>14</v>
      </c>
      <c r="R77" s="460" t="str">
        <f>IF(+All!$H298="Oregon State",+All!R298,IF(+All!$F298="Oregon State",+All!R298,0))</f>
        <v>Oregon State</v>
      </c>
      <c r="S77" s="462" t="str">
        <f>IF(+All!$H298="Oregon State",+All!S298,IF(+All!$F298="Oregon State",+All!S298,0))</f>
        <v>Southern Cal</v>
      </c>
      <c r="T77" s="460" t="str">
        <f>IF(+All!$H298="Oregon State",+All!T298,IF(+All!$F298="Oregon State",+All!T298,0))</f>
        <v>Southern Cal</v>
      </c>
      <c r="U77" s="461" t="str">
        <f>IF(+All!$H298="Oregon State",+All!U298,IF(+All!$F298="Oregon State",+All!U298,0))</f>
        <v>L</v>
      </c>
    </row>
    <row r="78" spans="1:21" x14ac:dyDescent="0.8">
      <c r="A78" s="46">
        <f>IF(+All!$H366="Oregon State",+All!A366,IF(+All!$F366="Oregon State",+All!A366,0))</f>
        <v>5</v>
      </c>
      <c r="B78" s="348" t="str">
        <f>IF(+All!$H366="Oregon State",+All!B366,IF(+All!$F366="Oregon State",+All!B366,0))</f>
        <v>Sat</v>
      </c>
      <c r="C78" s="72">
        <f>IF(+All!$H366="Oregon State",+All!C366,IF(+All!$F366="Oregon State",+All!C366,0))</f>
        <v>44835</v>
      </c>
      <c r="D78" s="73">
        <f>IF(+All!$H366="Oregon State",+All!D366,IF(+All!$F366="Oregon State",+All!D366,0))</f>
        <v>0.58333333333333337</v>
      </c>
      <c r="E78" s="461" t="str">
        <f>IF(+All!$H366="Oregon State",+All!E366,IF(+All!$F366="Oregon State",+All!E366,0))</f>
        <v>PAC12</v>
      </c>
      <c r="F78" s="460" t="str">
        <f>IF(+All!$H366="Oregon State",+All!F366,IF(+All!$F366="Oregon State",+All!F366,0))</f>
        <v>Oregon State</v>
      </c>
      <c r="G78" s="461" t="str">
        <f>IF(+All!$H366="Oregon State",+All!G366,IF(+All!$F366="Oregon State",+All!G366,0))</f>
        <v>P12</v>
      </c>
      <c r="H78" s="460" t="str">
        <f>IF(+All!$H366="Oregon State",+All!H366,IF(+All!$F366="Oregon State",+All!H366,0))</f>
        <v>Utah</v>
      </c>
      <c r="I78" s="461" t="str">
        <f>IF(+All!$H366="Oregon State",+All!I366,IF(+All!$F366="Oregon State",+All!I366,0))</f>
        <v>P12</v>
      </c>
      <c r="J78" s="460" t="str">
        <f>IF(+All!$H366="Oregon State",+All!J366,IF(+All!$F366="Oregon State",+All!J366,0))</f>
        <v>Utah</v>
      </c>
      <c r="K78" s="461" t="str">
        <f>IF(+All!$H366="Oregon State",+All!K366,IF(+All!$F366="Oregon State",+All!K366,0))</f>
        <v>Oregon State</v>
      </c>
      <c r="L78" s="60">
        <f>IF(+All!$H366="Oregon State",+All!L366,IF(+All!$F366="Oregon State",+All!L366,0))</f>
        <v>10.5</v>
      </c>
      <c r="M78" s="61">
        <f>IF(+All!$H366="Oregon State",+All!M366,IF(+All!$F366="Oregon State",+All!M366,0))</f>
        <v>55</v>
      </c>
      <c r="N78" s="460" t="str">
        <f>IF(+All!$H366="Oregon State",+All!N366,IF(+All!$F366="Oregon State",+All!N366,0))</f>
        <v>Utah</v>
      </c>
      <c r="O78" s="462">
        <f>IF(+All!$H366="Oregon State",+All!O366,IF(+All!$F366="Oregon State",+All!O366,0))</f>
        <v>42</v>
      </c>
      <c r="P78" s="462" t="str">
        <f>IF(+All!$H366="Oregon State",+All!P366,IF(+All!$F366="Oregon State",+All!P366,0))</f>
        <v>Oregon State</v>
      </c>
      <c r="Q78" s="461">
        <f>IF(+All!$H366="Oregon State",+All!Q366,IF(+All!$F366="Oregon State",+All!Q366,0))</f>
        <v>16</v>
      </c>
      <c r="R78" s="460" t="str">
        <f>IF(+All!$H366="Oregon State",+All!R366,IF(+All!$F366="Oregon State",+All!R366,0))</f>
        <v>Utah</v>
      </c>
      <c r="S78" s="462" t="str">
        <f>IF(+All!$H366="Oregon State",+All!S366,IF(+All!$F366="Oregon State",+All!S366,0))</f>
        <v>Oregon State</v>
      </c>
      <c r="T78" s="460" t="str">
        <f>IF(+All!$H366="Oregon State",+All!T366,IF(+All!$F366="Oregon State",+All!T366,0))</f>
        <v>Oregon State</v>
      </c>
      <c r="U78" s="461" t="str">
        <f>IF(+All!$H366="Oregon State",+All!U366,IF(+All!$F366="Oregon State",+All!U366,0))</f>
        <v>L</v>
      </c>
    </row>
    <row r="79" spans="1:21" x14ac:dyDescent="0.8">
      <c r="A79" s="46">
        <f>IF(+All!$H424="Oregon State",+All!A424,IF(+All!$F424="Oregon State",+All!A424,0))</f>
        <v>6</v>
      </c>
      <c r="B79" s="348" t="str">
        <f>IF(+All!$H424="Oregon State",+All!B424,IF(+All!$F424="Oregon State",+All!B424,0))</f>
        <v>Sat</v>
      </c>
      <c r="C79" s="72">
        <f>IF(+All!$H424="Oregon State",+All!C424,IF(+All!$F424="Oregon State",+All!C424,0))</f>
        <v>44842</v>
      </c>
      <c r="D79" s="73">
        <f>IF(+All!$H424="Oregon State",+All!D424,IF(+All!$F424="Oregon State",+All!D424,0))</f>
        <v>0.95833333333333337</v>
      </c>
      <c r="E79" s="461" t="str">
        <f>IF(+All!$H424="Oregon State",+All!E424,IF(+All!$F424="Oregon State",+All!E424,0))</f>
        <v>ESPN</v>
      </c>
      <c r="F79" s="460" t="str">
        <f>IF(+All!$H424="Oregon State",+All!F424,IF(+All!$F424="Oregon State",+All!F424,0))</f>
        <v>Oregon State</v>
      </c>
      <c r="G79" s="461" t="str">
        <f>IF(+All!$H424="Oregon State",+All!G424,IF(+All!$F424="Oregon State",+All!G424,0))</f>
        <v>P12</v>
      </c>
      <c r="H79" s="460" t="str">
        <f>IF(+All!$H424="Oregon State",+All!H424,IF(+All!$F424="Oregon State",+All!H424,0))</f>
        <v>Stanford</v>
      </c>
      <c r="I79" s="461" t="str">
        <f>IF(+All!$H424="Oregon State",+All!I424,IF(+All!$F424="Oregon State",+All!I424,0))</f>
        <v>P12</v>
      </c>
      <c r="J79" s="460" t="str">
        <f>IF(+All!$H424="Oregon State",+All!J424,IF(+All!$F424="Oregon State",+All!J424,0))</f>
        <v>Oregon State</v>
      </c>
      <c r="K79" s="461" t="str">
        <f>IF(+All!$H424="Oregon State",+All!K424,IF(+All!$F424="Oregon State",+All!K424,0))</f>
        <v>Stanford</v>
      </c>
      <c r="L79" s="60">
        <f>IF(+All!$H424="Oregon State",+All!L424,IF(+All!$F424="Oregon State",+All!L424,0))</f>
        <v>7</v>
      </c>
      <c r="M79" s="61">
        <f>IF(+All!$H424="Oregon State",+All!M424,IF(+All!$F424="Oregon State",+All!M424,0))</f>
        <v>57</v>
      </c>
      <c r="N79" s="460" t="str">
        <f>IF(+All!$H424="Oregon State",+All!N424,IF(+All!$F424="Oregon State",+All!N424,0))</f>
        <v>Oregon State</v>
      </c>
      <c r="O79" s="462">
        <f>IF(+All!$H424="Oregon State",+All!O424,IF(+All!$F424="Oregon State",+All!O424,0))</f>
        <v>28</v>
      </c>
      <c r="P79" s="462" t="str">
        <f>IF(+All!$H424="Oregon State",+All!P424,IF(+All!$F424="Oregon State",+All!P424,0))</f>
        <v>Stanford</v>
      </c>
      <c r="Q79" s="461">
        <f>IF(+All!$H424="Oregon State",+All!Q424,IF(+All!$F424="Oregon State",+All!Q424,0))</f>
        <v>27</v>
      </c>
      <c r="R79" s="460" t="str">
        <f>IF(+All!$H424="Oregon State",+All!R424,IF(+All!$F424="Oregon State",+All!R424,0))</f>
        <v>Stanford</v>
      </c>
      <c r="S79" s="462" t="str">
        <f>IF(+All!$H424="Oregon State",+All!S424,IF(+All!$F424="Oregon State",+All!S424,0))</f>
        <v>Oregon State</v>
      </c>
      <c r="T79" s="460" t="str">
        <f>IF(+All!$H424="Oregon State",+All!T424,IF(+All!$F424="Oregon State",+All!T424,0))</f>
        <v>Stanford</v>
      </c>
      <c r="U79" s="461" t="str">
        <f>IF(+All!$H424="Oregon State",+All!U424,IF(+All!$F424="Oregon State",+All!U424,0))</f>
        <v>W</v>
      </c>
    </row>
    <row r="80" spans="1:21" x14ac:dyDescent="0.8">
      <c r="A80" s="46">
        <f>IF(+All!$H478="Oregon State",+All!A478,IF(+All!$F478="Oregon State",+All!A478,0))</f>
        <v>7</v>
      </c>
      <c r="B80" s="348" t="str">
        <f>IF(+All!$H478="Oregon State",+All!B478,IF(+All!$F478="Oregon State",+All!B478,0))</f>
        <v>Sat</v>
      </c>
      <c r="C80" s="72">
        <f>IF(+All!$H478="Oregon State",+All!C478,IF(+All!$F478="Oregon State",+All!C478,0))</f>
        <v>44849</v>
      </c>
      <c r="D80" s="73">
        <f>IF(+All!$H478="Oregon State",+All!D478,IF(+All!$F478="Oregon State",+All!D478,0))</f>
        <v>0.875</v>
      </c>
      <c r="E80" s="461" t="str">
        <f>IF(+All!$H478="Oregon State",+All!E478,IF(+All!$F478="Oregon State",+All!E478,0))</f>
        <v>PAC12</v>
      </c>
      <c r="F80" s="460" t="str">
        <f>IF(+All!$H478="Oregon State",+All!F478,IF(+All!$F478="Oregon State",+All!F478,0))</f>
        <v>Washington State</v>
      </c>
      <c r="G80" s="461" t="str">
        <f>IF(+All!$H478="Oregon State",+All!G478,IF(+All!$F478="Oregon State",+All!G478,0))</f>
        <v>P12</v>
      </c>
      <c r="H80" s="460" t="str">
        <f>IF(+All!$H478="Oregon State",+All!H478,IF(+All!$F478="Oregon State",+All!H478,0))</f>
        <v>Oregon State</v>
      </c>
      <c r="I80" s="461" t="str">
        <f>IF(+All!$H478="Oregon State",+All!I478,IF(+All!$F478="Oregon State",+All!I478,0))</f>
        <v>P12</v>
      </c>
      <c r="J80" s="460" t="str">
        <f>IF(+All!$H478="Oregon State",+All!J478,IF(+All!$F478="Oregon State",+All!J478,0))</f>
        <v>Oregon State</v>
      </c>
      <c r="K80" s="461" t="str">
        <f>IF(+All!$H478="Oregon State",+All!K478,IF(+All!$F478="Oregon State",+All!K478,0))</f>
        <v>Washington State</v>
      </c>
      <c r="L80" s="60">
        <f>IF(+All!$H478="Oregon State",+All!L478,IF(+All!$F478="Oregon State",+All!L478,0))</f>
        <v>3.5</v>
      </c>
      <c r="M80" s="61">
        <f>IF(+All!$H478="Oregon State",+All!M478,IF(+All!$F478="Oregon State",+All!M478,0))</f>
        <v>53</v>
      </c>
      <c r="N80" s="460" t="str">
        <f>IF(+All!$H478="Oregon State",+All!N478,IF(+All!$F478="Oregon State",+All!N478,0))</f>
        <v>Oregon State</v>
      </c>
      <c r="O80" s="462">
        <f>IF(+All!$H478="Oregon State",+All!O478,IF(+All!$F478="Oregon State",+All!O478,0))</f>
        <v>24</v>
      </c>
      <c r="P80" s="462" t="str">
        <f>IF(+All!$H478="Oregon State",+All!P478,IF(+All!$F478="Oregon State",+All!P478,0))</f>
        <v>Washington State</v>
      </c>
      <c r="Q80" s="461">
        <f>IF(+All!$H478="Oregon State",+All!Q478,IF(+All!$F478="Oregon State",+All!Q478,0))</f>
        <v>10</v>
      </c>
      <c r="R80" s="460" t="str">
        <f>IF(+All!$H478="Oregon State",+All!R478,IF(+All!$F478="Oregon State",+All!R478,0))</f>
        <v>Oregon State</v>
      </c>
      <c r="S80" s="462" t="str">
        <f>IF(+All!$H478="Oregon State",+All!S478,IF(+All!$F478="Oregon State",+All!S478,0))</f>
        <v>Washington State</v>
      </c>
      <c r="T80" s="460" t="str">
        <f>IF(+All!$H478="Oregon State",+All!T478,IF(+All!$F478="Oregon State",+All!T478,0))</f>
        <v>Washington State</v>
      </c>
      <c r="U80" s="461" t="str">
        <f>IF(+All!$H478="Oregon State",+All!U478,IF(+All!$F478="Oregon State",+All!U478,0))</f>
        <v>L</v>
      </c>
    </row>
    <row r="81" spans="1:21" x14ac:dyDescent="0.8">
      <c r="A81" s="46">
        <f>IF(+All!$H534="Oregon State",+All!A534,IF(+All!$F534="Oregon State",+All!A534,0))</f>
        <v>8</v>
      </c>
      <c r="B81" s="348" t="str">
        <f>IF(+All!$H534="Oregon State",+All!B534,IF(+All!$F534="Oregon State",+All!B534,0))</f>
        <v>Sat</v>
      </c>
      <c r="C81" s="72">
        <f>IF(+All!$H534="Oregon State",+All!C534,IF(+All!$F534="Oregon State",+All!C534,0))</f>
        <v>44856</v>
      </c>
      <c r="D81" s="73">
        <f>IF(+All!$H534="Oregon State",+All!D534,IF(+All!$F534="Oregon State",+All!D534,0))</f>
        <v>0.83333333333333337</v>
      </c>
      <c r="E81" s="461" t="str">
        <f>IF(+All!$H534="Oregon State",+All!E534,IF(+All!$F534="Oregon State",+All!E534,0))</f>
        <v>PAC12</v>
      </c>
      <c r="F81" s="460" t="str">
        <f>IF(+All!$H534="Oregon State",+All!F534,IF(+All!$F534="Oregon State",+All!F534,0))</f>
        <v>Colorado</v>
      </c>
      <c r="G81" s="461" t="str">
        <f>IF(+All!$H534="Oregon State",+All!G534,IF(+All!$F534="Oregon State",+All!G534,0))</f>
        <v>P12</v>
      </c>
      <c r="H81" s="460" t="str">
        <f>IF(+All!$H534="Oregon State",+All!H534,IF(+All!$F534="Oregon State",+All!H534,0))</f>
        <v>Oregon State</v>
      </c>
      <c r="I81" s="461" t="str">
        <f>IF(+All!$H534="Oregon State",+All!I534,IF(+All!$F534="Oregon State",+All!I534,0))</f>
        <v>P12</v>
      </c>
      <c r="J81" s="460" t="str">
        <f>IF(+All!$H534="Oregon State",+All!J534,IF(+All!$F534="Oregon State",+All!J534,0))</f>
        <v>Oregon State</v>
      </c>
      <c r="K81" s="461" t="str">
        <f>IF(+All!$H534="Oregon State",+All!K534,IF(+All!$F534="Oregon State",+All!K534,0))</f>
        <v>Colorado</v>
      </c>
      <c r="L81" s="60">
        <f>IF(+All!$H534="Oregon State",+All!L534,IF(+All!$F534="Oregon State",+All!L534,0))</f>
        <v>24</v>
      </c>
      <c r="M81" s="61">
        <f>IF(+All!$H534="Oregon State",+All!M534,IF(+All!$F534="Oregon State",+All!M534,0))</f>
        <v>50</v>
      </c>
      <c r="N81" s="460" t="str">
        <f>IF(+All!$H534="Oregon State",+All!N534,IF(+All!$F534="Oregon State",+All!N534,0))</f>
        <v>Oregon State</v>
      </c>
      <c r="O81" s="462">
        <f>IF(+All!$H534="Oregon State",+All!O534,IF(+All!$F534="Oregon State",+All!O534,0))</f>
        <v>42</v>
      </c>
      <c r="P81" s="462" t="str">
        <f>IF(+All!$H534="Oregon State",+All!P534,IF(+All!$F534="Oregon State",+All!P534,0))</f>
        <v>Colorado</v>
      </c>
      <c r="Q81" s="461">
        <f>IF(+All!$H534="Oregon State",+All!Q534,IF(+All!$F534="Oregon State",+All!Q534,0))</f>
        <v>9</v>
      </c>
      <c r="R81" s="460" t="str">
        <f>IF(+All!$H534="Oregon State",+All!R534,IF(+All!$F534="Oregon State",+All!R534,0))</f>
        <v>Oregon State</v>
      </c>
      <c r="S81" s="462" t="str">
        <f>IF(+All!$H534="Oregon State",+All!S534,IF(+All!$F534="Oregon State",+All!S534,0))</f>
        <v>Colorado</v>
      </c>
      <c r="T81" s="460" t="str">
        <f>IF(+All!$H534="Oregon State",+All!T534,IF(+All!$F534="Oregon State",+All!T534,0))</f>
        <v>Oregon State</v>
      </c>
      <c r="U81" s="461" t="str">
        <f>IF(+All!$H534="Oregon State",+All!U534,IF(+All!$F534="Oregon State",+All!U534,0))</f>
        <v>W</v>
      </c>
    </row>
    <row r="82" spans="1:21" x14ac:dyDescent="0.8">
      <c r="A82" s="46" t="e">
        <f>IF(+All!#REF!="Oregon State",+All!#REF!,IF(+All!#REF!="Oregon State",+All!#REF!,0))</f>
        <v>#REF!</v>
      </c>
      <c r="B82" s="348" t="e">
        <f>IF(+All!#REF!="Oregon State",+All!#REF!,IF(+All!#REF!="Oregon State",+All!#REF!,0))</f>
        <v>#REF!</v>
      </c>
      <c r="C82" s="72" t="e">
        <f>IF(+All!#REF!="Oregon State",+All!#REF!,IF(+All!#REF!="Oregon State",+All!#REF!,0))</f>
        <v>#REF!</v>
      </c>
      <c r="D82" s="73" t="e">
        <f>IF(+All!#REF!="Oregon State",+All!#REF!,IF(+All!#REF!="Oregon State",+All!#REF!,0))</f>
        <v>#REF!</v>
      </c>
      <c r="E82" s="461" t="e">
        <f>IF(+All!#REF!="Oregon State",+All!#REF!,IF(+All!#REF!="Oregon State",+All!#REF!,0))</f>
        <v>#REF!</v>
      </c>
      <c r="F82" s="460" t="e">
        <f>IF(+All!#REF!="Oregon State",+All!#REF!,IF(+All!#REF!="Oregon State",+All!#REF!,0))</f>
        <v>#REF!</v>
      </c>
      <c r="G82" s="461" t="e">
        <f>IF(+All!#REF!="Oregon State",+All!#REF!,IF(+All!#REF!="Oregon State",+All!#REF!,0))</f>
        <v>#REF!</v>
      </c>
      <c r="H82" s="460" t="e">
        <f>IF(+All!#REF!="Oregon State",+All!#REF!,IF(+All!#REF!="Oregon State",+All!#REF!,0))</f>
        <v>#REF!</v>
      </c>
      <c r="I82" s="461" t="e">
        <f>IF(+All!#REF!="Oregon State",+All!#REF!,IF(+All!#REF!="Oregon State",+All!#REF!,0))</f>
        <v>#REF!</v>
      </c>
      <c r="J82" s="460" t="e">
        <f>IF(+All!#REF!="Oregon State",+All!#REF!,IF(+All!#REF!="Oregon State",+All!#REF!,0))</f>
        <v>#REF!</v>
      </c>
      <c r="K82" s="461" t="e">
        <f>IF(+All!#REF!="Oregon State",+All!#REF!,IF(+All!#REF!="Oregon State",+All!#REF!,0))</f>
        <v>#REF!</v>
      </c>
      <c r="L82" s="60" t="e">
        <f>IF(+All!#REF!="Oregon State",+All!#REF!,IF(+All!#REF!="Oregon State",+All!#REF!,0))</f>
        <v>#REF!</v>
      </c>
      <c r="M82" s="61" t="e">
        <f>IF(+All!#REF!="Oregon State",+All!#REF!,IF(+All!#REF!="Oregon State",+All!#REF!,0))</f>
        <v>#REF!</v>
      </c>
      <c r="N82" s="460" t="e">
        <f>IF(+All!#REF!="Oregon State",+All!#REF!,IF(+All!#REF!="Oregon State",+All!#REF!,0))</f>
        <v>#REF!</v>
      </c>
      <c r="O82" s="462" t="e">
        <f>IF(+All!#REF!="Oregon State",+All!#REF!,IF(+All!#REF!="Oregon State",+All!#REF!,0))</f>
        <v>#REF!</v>
      </c>
      <c r="P82" s="462" t="e">
        <f>IF(+All!#REF!="Oregon State",+All!#REF!,IF(+All!#REF!="Oregon State",+All!#REF!,0))</f>
        <v>#REF!</v>
      </c>
      <c r="Q82" s="461" t="e">
        <f>IF(+All!#REF!="Oregon State",+All!#REF!,IF(+All!#REF!="Oregon State",+All!#REF!,0))</f>
        <v>#REF!</v>
      </c>
      <c r="R82" s="460" t="e">
        <f>IF(+All!#REF!="Oregon State",+All!#REF!,IF(+All!#REF!="Oregon State",+All!#REF!,0))</f>
        <v>#REF!</v>
      </c>
      <c r="S82" s="462" t="e">
        <f>IF(+All!#REF!="Oregon State",+All!#REF!,IF(+All!#REF!="Oregon State",+All!#REF!,0))</f>
        <v>#REF!</v>
      </c>
      <c r="T82" s="460" t="e">
        <f>IF(+All!#REF!="Oregon State",+All!#REF!,IF(+All!#REF!="Oregon State",+All!#REF!,0))</f>
        <v>#REF!</v>
      </c>
      <c r="U82" s="461" t="e">
        <f>IF(+All!#REF!="Oregon State",+All!#REF!,IF(+All!#REF!="Oregon State",+All!#REF!,0))</f>
        <v>#REF!</v>
      </c>
    </row>
    <row r="83" spans="1:21" x14ac:dyDescent="0.8">
      <c r="A83" s="46">
        <f>IF(+All!$H601="Oregon State",+All!A601,IF(+All!$F601="Oregon State",+All!A601,0))</f>
        <v>10</v>
      </c>
      <c r="B83" s="348" t="str">
        <f>IF(+All!$H601="Oregon State",+All!B601,IF(+All!$F601="Oregon State",+All!B601,0))</f>
        <v>Fri</v>
      </c>
      <c r="C83" s="72">
        <f>IF(+All!$H601="Oregon State",+All!C601,IF(+All!$F601="Oregon State",+All!C601,0))</f>
        <v>44869</v>
      </c>
      <c r="D83" s="73">
        <f>IF(+All!$H601="Oregon State",+All!D601,IF(+All!$F601="Oregon State",+All!D601,0))</f>
        <v>0.9375</v>
      </c>
      <c r="E83" s="461" t="str">
        <f>IF(+All!$H601="Oregon State",+All!E601,IF(+All!$F601="Oregon State",+All!E601,0))</f>
        <v>ESPN2</v>
      </c>
      <c r="F83" s="460" t="str">
        <f>IF(+All!$H601="Oregon State",+All!F601,IF(+All!$F601="Oregon State",+All!F601,0))</f>
        <v>Oregon State</v>
      </c>
      <c r="G83" s="461" t="str">
        <f>IF(+All!$H601="Oregon State",+All!G601,IF(+All!$F601="Oregon State",+All!G601,0))</f>
        <v>P12</v>
      </c>
      <c r="H83" s="460" t="str">
        <f>IF(+All!$H601="Oregon State",+All!H601,IF(+All!$F601="Oregon State",+All!H601,0))</f>
        <v>Washington</v>
      </c>
      <c r="I83" s="461" t="str">
        <f>IF(+All!$H601="Oregon State",+All!I601,IF(+All!$F601="Oregon State",+All!I601,0))</f>
        <v>P12</v>
      </c>
      <c r="J83" s="460" t="str">
        <f>IF(+All!$H601="Oregon State",+All!J601,IF(+All!$F601="Oregon State",+All!J601,0))</f>
        <v>Washington</v>
      </c>
      <c r="K83" s="461" t="str">
        <f>IF(+All!$H601="Oregon State",+All!K601,IF(+All!$F601="Oregon State",+All!K601,0))</f>
        <v>Oregon State</v>
      </c>
      <c r="L83" s="60">
        <f>IF(+All!$H601="Oregon State",+All!L601,IF(+All!$F601="Oregon State",+All!L601,0))</f>
        <v>4</v>
      </c>
      <c r="M83" s="61">
        <f>IF(+All!$H601="Oregon State",+All!M601,IF(+All!$F601="Oregon State",+All!M601,0))</f>
        <v>57</v>
      </c>
      <c r="N83" s="460" t="str">
        <f>IF(+All!$H601="Oregon State",+All!N601,IF(+All!$F601="Oregon State",+All!N601,0))</f>
        <v>Washington</v>
      </c>
      <c r="O83" s="462">
        <f>IF(+All!$H601="Oregon State",+All!O601,IF(+All!$F601="Oregon State",+All!O601,0))</f>
        <v>24</v>
      </c>
      <c r="P83" s="462" t="str">
        <f>IF(+All!$H601="Oregon State",+All!P601,IF(+All!$F601="Oregon State",+All!P601,0))</f>
        <v>Oregon State</v>
      </c>
      <c r="Q83" s="461">
        <f>IF(+All!$H601="Oregon State",+All!Q601,IF(+All!$F601="Oregon State",+All!Q601,0))</f>
        <v>21</v>
      </c>
      <c r="R83" s="460" t="str">
        <f>IF(+All!$H601="Oregon State",+All!R601,IF(+All!$F601="Oregon State",+All!R601,0))</f>
        <v>Oregon State</v>
      </c>
      <c r="S83" s="462" t="str">
        <f>IF(+All!$H601="Oregon State",+All!S601,IF(+All!$F601="Oregon State",+All!S601,0))</f>
        <v>Washington</v>
      </c>
      <c r="T83" s="460" t="str">
        <f>IF(+All!$H601="Oregon State",+All!T601,IF(+All!$F601="Oregon State",+All!T601,0))</f>
        <v>Oregon State</v>
      </c>
      <c r="U83" s="461" t="str">
        <f>IF(+All!$H601="Oregon State",+All!U601,IF(+All!$F601="Oregon State",+All!U601,0))</f>
        <v>W</v>
      </c>
    </row>
    <row r="84" spans="1:21" x14ac:dyDescent="0.8">
      <c r="A84" s="46">
        <f>IF(+All!$H700="Oregon State",+All!A700,IF(+All!$F700="Oregon State",+All!A700,0))</f>
        <v>11</v>
      </c>
      <c r="B84" s="348" t="str">
        <f>IF(+All!$H700="Oregon State",+All!B700,IF(+All!$F700="Oregon State",+All!B700,0))</f>
        <v>Sat</v>
      </c>
      <c r="C84" s="72">
        <f>IF(+All!$H700="Oregon State",+All!C700,IF(+All!$F700="Oregon State",+All!C700,0))</f>
        <v>44877</v>
      </c>
      <c r="D84" s="73">
        <f>IF(+All!$H700="Oregon State",+All!D700,IF(+All!$F700="Oregon State",+All!D700,0))</f>
        <v>0.875</v>
      </c>
      <c r="E84" s="461" t="str">
        <f>IF(+All!$H700="Oregon State",+All!E700,IF(+All!$F700="Oregon State",+All!E700,0))</f>
        <v>PAC12</v>
      </c>
      <c r="F84" s="460" t="str">
        <f>IF(+All!$H700="Oregon State",+All!F700,IF(+All!$F700="Oregon State",+All!F700,0))</f>
        <v>California</v>
      </c>
      <c r="G84" s="461" t="str">
        <f>IF(+All!$H700="Oregon State",+All!G700,IF(+All!$F700="Oregon State",+All!G700,0))</f>
        <v>P12</v>
      </c>
      <c r="H84" s="460" t="str">
        <f>IF(+All!$H700="Oregon State",+All!H700,IF(+All!$F700="Oregon State",+All!H700,0))</f>
        <v>Oregon State</v>
      </c>
      <c r="I84" s="461" t="str">
        <f>IF(+All!$H700="Oregon State",+All!I700,IF(+All!$F700="Oregon State",+All!I700,0))</f>
        <v>P12</v>
      </c>
      <c r="J84" s="460" t="str">
        <f>IF(+All!$H700="Oregon State",+All!J700,IF(+All!$F700="Oregon State",+All!J700,0))</f>
        <v>Oregon State</v>
      </c>
      <c r="K84" s="461" t="str">
        <f>IF(+All!$H700="Oregon State",+All!K700,IF(+All!$F700="Oregon State",+All!K700,0))</f>
        <v>California</v>
      </c>
      <c r="L84" s="60">
        <f>IF(+All!$H700="Oregon State",+All!L700,IF(+All!$F700="Oregon State",+All!L700,0))</f>
        <v>14</v>
      </c>
      <c r="M84" s="61">
        <f>IF(+All!$H700="Oregon State",+All!M700,IF(+All!$F700="Oregon State",+All!M700,0))</f>
        <v>49</v>
      </c>
      <c r="N84" s="460" t="str">
        <f>IF(+All!$H700="Oregon State",+All!N700,IF(+All!$F700="Oregon State",+All!N700,0))</f>
        <v>Oregon State</v>
      </c>
      <c r="O84" s="462">
        <f>IF(+All!$H700="Oregon State",+All!O700,IF(+All!$F700="Oregon State",+All!O700,0))</f>
        <v>38</v>
      </c>
      <c r="P84" s="462" t="str">
        <f>IF(+All!$H700="Oregon State",+All!P700,IF(+All!$F700="Oregon State",+All!P700,0))</f>
        <v>California</v>
      </c>
      <c r="Q84" s="461">
        <f>IF(+All!$H700="Oregon State",+All!Q700,IF(+All!$F700="Oregon State",+All!Q700,0))</f>
        <v>10</v>
      </c>
      <c r="R84" s="460" t="str">
        <f>IF(+All!$H700="Oregon State",+All!R700,IF(+All!$F700="Oregon State",+All!R700,0))</f>
        <v>Oregon State</v>
      </c>
      <c r="S84" s="462" t="str">
        <f>IF(+All!$H700="Oregon State",+All!S700,IF(+All!$F700="Oregon State",+All!S700,0))</f>
        <v>California</v>
      </c>
      <c r="T84" s="460" t="str">
        <f>IF(+All!$H700="Oregon State",+All!T700,IF(+All!$F700="Oregon State",+All!T700,0))</f>
        <v>Oregon State</v>
      </c>
      <c r="U84" s="461" t="str">
        <f>IF(+All!$H700="Oregon State",+All!U700,IF(+All!$F700="Oregon State",+All!U700,0))</f>
        <v>W</v>
      </c>
    </row>
    <row r="85" spans="1:21" x14ac:dyDescent="0.8">
      <c r="A85" s="46">
        <f>IF(+All!$H764="Oregon State",+All!A764,IF(+All!$F764="Oregon State",+All!A764,0))</f>
        <v>12</v>
      </c>
      <c r="B85" s="348" t="str">
        <f>IF(+All!$H764="Oregon State",+All!B764,IF(+All!$F764="Oregon State",+All!B764,0))</f>
        <v>Sat</v>
      </c>
      <c r="C85" s="72">
        <f>IF(+All!$H764="Oregon State",+All!C764,IF(+All!$F764="Oregon State",+All!C764,0))</f>
        <v>44884</v>
      </c>
      <c r="D85" s="73">
        <f>IF(+All!$H764="Oregon State",+All!D764,IF(+All!$F764="Oregon State",+All!D764,0))</f>
        <v>0.59375</v>
      </c>
      <c r="E85" s="461" t="str">
        <f>IF(+All!$H764="Oregon State",+All!E764,IF(+All!$F764="Oregon State",+All!E764,0))</f>
        <v>ESPN2</v>
      </c>
      <c r="F85" s="460" t="str">
        <f>IF(+All!$H764="Oregon State",+All!F764,IF(+All!$F764="Oregon State",+All!F764,0))</f>
        <v>Oregon State</v>
      </c>
      <c r="G85" s="461" t="str">
        <f>IF(+All!$H764="Oregon State",+All!G764,IF(+All!$F764="Oregon State",+All!G764,0))</f>
        <v>P12</v>
      </c>
      <c r="H85" s="460" t="str">
        <f>IF(+All!$H764="Oregon State",+All!H764,IF(+All!$F764="Oregon State",+All!H764,0))</f>
        <v>Arizona State</v>
      </c>
      <c r="I85" s="461" t="str">
        <f>IF(+All!$H764="Oregon State",+All!I764,IF(+All!$F764="Oregon State",+All!I764,0))</f>
        <v>P12</v>
      </c>
      <c r="J85" s="460" t="str">
        <f>IF(+All!$H764="Oregon State",+All!J764,IF(+All!$F764="Oregon State",+All!J764,0))</f>
        <v>Oregon State</v>
      </c>
      <c r="K85" s="461" t="str">
        <f>IF(+All!$H764="Oregon State",+All!K764,IF(+All!$F764="Oregon State",+All!K764,0))</f>
        <v>Arizona State</v>
      </c>
      <c r="L85" s="60">
        <f>IF(+All!$H764="Oregon State",+All!L764,IF(+All!$F764="Oregon State",+All!L764,0))</f>
        <v>8</v>
      </c>
      <c r="M85" s="61">
        <f>IF(+All!$H764="Oregon State",+All!M764,IF(+All!$F764="Oregon State",+All!M764,0))</f>
        <v>54</v>
      </c>
      <c r="N85" s="460" t="str">
        <f>IF(+All!$H764="Oregon State",+All!N764,IF(+All!$F764="Oregon State",+All!N764,0))</f>
        <v>Oregon State</v>
      </c>
      <c r="O85" s="462">
        <f>IF(+All!$H764="Oregon State",+All!O764,IF(+All!$F764="Oregon State",+All!O764,0))</f>
        <v>31</v>
      </c>
      <c r="P85" s="462" t="str">
        <f>IF(+All!$H764="Oregon State",+All!P764,IF(+All!$F764="Oregon State",+All!P764,0))</f>
        <v>Arizona State</v>
      </c>
      <c r="Q85" s="461">
        <f>IF(+All!$H764="Oregon State",+All!Q764,IF(+All!$F764="Oregon State",+All!Q764,0))</f>
        <v>7</v>
      </c>
      <c r="R85" s="460" t="str">
        <f>IF(+All!$H764="Oregon State",+All!R764,IF(+All!$F764="Oregon State",+All!R764,0))</f>
        <v>Oregon State</v>
      </c>
      <c r="S85" s="462" t="str">
        <f>IF(+All!$H764="Oregon State",+All!S764,IF(+All!$F764="Oregon State",+All!S764,0))</f>
        <v>Arizona State</v>
      </c>
      <c r="T85" s="460" t="str">
        <f>IF(+All!$H764="Oregon State",+All!T764,IF(+All!$F764="Oregon State",+All!T764,0))</f>
        <v>Oregon State</v>
      </c>
      <c r="U85" s="461" t="str">
        <f>IF(+All!$H764="Oregon State",+All!U764,IF(+All!$F764="Oregon State",+All!U764,0))</f>
        <v>W</v>
      </c>
    </row>
    <row r="86" spans="1:21" ht="16.899999999999999" customHeight="1" x14ac:dyDescent="0.8">
      <c r="A86" s="46">
        <f>IF(+All!$H833="Oregon State",+All!A833,IF(+All!$F833="Oregon State",+All!A833,0))</f>
        <v>13</v>
      </c>
      <c r="B86" s="348" t="str">
        <f>IF(+All!$H833="Oregon State",+All!B833,IF(+All!$F833="Oregon State",+All!B833,0))</f>
        <v>Sat</v>
      </c>
      <c r="C86" s="72">
        <f>IF(+All!$H833="Oregon State",+All!C833,IF(+All!$F833="Oregon State",+All!C833,0))</f>
        <v>44891</v>
      </c>
      <c r="D86" s="73">
        <f>IF(+All!$H833="Oregon State",+All!D833,IF(+All!$F833="Oregon State",+All!D833,0))</f>
        <v>0.64583333333333337</v>
      </c>
      <c r="E86" s="461" t="str">
        <f>IF(+All!$H833="Oregon State",+All!E833,IF(+All!$F833="Oregon State",+All!E833,0))</f>
        <v>ABC</v>
      </c>
      <c r="F86" s="460" t="str">
        <f>IF(+All!$H833="Oregon State",+All!F833,IF(+All!$F833="Oregon State",+All!F833,0))</f>
        <v>Oregon</v>
      </c>
      <c r="G86" s="461" t="str">
        <f>IF(+All!$H833="Oregon State",+All!G833,IF(+All!$F833="Oregon State",+All!G833,0))</f>
        <v>P12</v>
      </c>
      <c r="H86" s="460" t="str">
        <f>IF(+All!$H833="Oregon State",+All!H833,IF(+All!$F833="Oregon State",+All!H833,0))</f>
        <v>Oregon State</v>
      </c>
      <c r="I86" s="461" t="str">
        <f>IF(+All!$H833="Oregon State",+All!I833,IF(+All!$F833="Oregon State",+All!I833,0))</f>
        <v>P12</v>
      </c>
      <c r="J86" s="460" t="str">
        <f>IF(+All!$H833="Oregon State",+All!J833,IF(+All!$F833="Oregon State",+All!J833,0))</f>
        <v>Oregon</v>
      </c>
      <c r="K86" s="461" t="str">
        <f>IF(+All!$H833="Oregon State",+All!K833,IF(+All!$F833="Oregon State",+All!K833,0))</f>
        <v>Oregon State</v>
      </c>
      <c r="L86" s="60">
        <f>IF(+All!$H833="Oregon State",+All!L833,IF(+All!$F833="Oregon State",+All!L833,0))</f>
        <v>3</v>
      </c>
      <c r="M86" s="61">
        <f>IF(+All!$H833="Oregon State",+All!M833,IF(+All!$F833="Oregon State",+All!M833,0))</f>
        <v>59</v>
      </c>
      <c r="N86" s="460" t="str">
        <f>IF(+All!$H833="Oregon State",+All!N833,IF(+All!$F833="Oregon State",+All!N833,0))</f>
        <v>Oregon State</v>
      </c>
      <c r="O86" s="462">
        <f>IF(+All!$H833="Oregon State",+All!O833,IF(+All!$F833="Oregon State",+All!O833,0))</f>
        <v>38</v>
      </c>
      <c r="P86" s="462" t="str">
        <f>IF(+All!$H833="Oregon State",+All!P833,IF(+All!$F833="Oregon State",+All!P833,0))</f>
        <v>Oregon</v>
      </c>
      <c r="Q86" s="461">
        <f>IF(+All!$H833="Oregon State",+All!Q833,IF(+All!$F833="Oregon State",+All!Q833,0))</f>
        <v>34</v>
      </c>
      <c r="R86" s="460" t="str">
        <f>IF(+All!$H833="Oregon State",+All!R833,IF(+All!$F833="Oregon State",+All!R833,0))</f>
        <v>Oregon State</v>
      </c>
      <c r="S86" s="462" t="str">
        <f>IF(+All!$H833="Oregon State",+All!S833,IF(+All!$F833="Oregon State",+All!S833,0))</f>
        <v>Oregon</v>
      </c>
      <c r="T86" s="460" t="str">
        <f>IF(+All!$H833="Oregon State",+All!T833,IF(+All!$F833="Oregon State",+All!T833,0))</f>
        <v>Oregon State</v>
      </c>
      <c r="U86" s="461" t="str">
        <f>IF(+All!$H833="Oregon State",+All!U833,IF(+All!$F833="Oregon State",+All!U833,0))</f>
        <v>W</v>
      </c>
    </row>
    <row r="87" spans="1:21" ht="16.899999999999999" customHeight="1" x14ac:dyDescent="0.8">
      <c r="B87" s="348"/>
      <c r="E87" s="461"/>
      <c r="F87" s="897" t="str">
        <f>H88</f>
        <v>Stanford</v>
      </c>
      <c r="G87" s="903"/>
      <c r="H87" s="903"/>
      <c r="I87" s="904"/>
      <c r="J87" s="460"/>
      <c r="K87" s="461"/>
      <c r="N87" s="460"/>
      <c r="O87" s="462"/>
      <c r="P87" s="462"/>
      <c r="Q87" s="461"/>
      <c r="R87" s="460"/>
      <c r="S87" s="462"/>
      <c r="T87" s="460"/>
      <c r="U87" s="461"/>
    </row>
    <row r="88" spans="1:21" ht="16.899999999999999" customHeight="1" x14ac:dyDescent="0.8">
      <c r="A88" s="46">
        <f>IF(+All!$H72="Stanford",+All!A72,IF(+All!$F72="Stanford",+All!A72,0))</f>
        <v>1</v>
      </c>
      <c r="B88" s="348" t="str">
        <f>IF(+All!$H72="Stanford",+All!B72,IF(+All!$F72="Stanford",+All!B72,0))</f>
        <v>Sat</v>
      </c>
      <c r="C88" s="72">
        <f>IF(+All!$H72="Stanford",+All!C72,IF(+All!$F72="Stanford",+All!C72,0))</f>
        <v>44807</v>
      </c>
      <c r="D88" s="73">
        <f>IF(+All!$H72="Stanford",+All!D72,IF(+All!$F72="Stanford",+All!D72,0))</f>
        <v>0.83333333333333337</v>
      </c>
      <c r="E88" s="461">
        <f>IF(+All!$H72="Stanford",+All!E72,IF(+All!$F72="Stanford",+All!E72,0))</f>
        <v>0</v>
      </c>
      <c r="F88" s="460" t="str">
        <f>IF(+All!$H72="Stanford",+All!F72,IF(+All!$F72="Stanford",+All!F72,0))</f>
        <v>1AA Colgate</v>
      </c>
      <c r="G88" s="461" t="str">
        <f>IF(+All!$H72="Stanford",+All!G72,IF(+All!$F72="Stanford",+All!G72,0))</f>
        <v>1AA</v>
      </c>
      <c r="H88" s="460" t="str">
        <f>IF(+All!$H72="Stanford",+All!H72,IF(+All!$F72="Stanford",+All!H72,0))</f>
        <v>Stanford</v>
      </c>
      <c r="I88" s="461" t="str">
        <f>IF(+All!$H72="Stanford",+All!I72,IF(+All!$F72="Stanford",+All!I72,0))</f>
        <v>P12</v>
      </c>
      <c r="J88" s="460">
        <f>IF(+All!$H72="Stanford",+All!J72,IF(+All!$F72="Stanford",+All!J72,0))</f>
        <v>0</v>
      </c>
      <c r="K88" s="461">
        <f>IF(+All!$H72="Stanford",+All!K72,IF(+All!$F72="Stanford",+All!K72,0))</f>
        <v>0</v>
      </c>
      <c r="L88" s="60">
        <f>IF(+All!$H72="Stanford",+All!L72,IF(+All!$F72="Stanford",+All!L72,0))</f>
        <v>0</v>
      </c>
      <c r="M88" s="61">
        <f>IF(+All!$H72="Stanford",+All!M72,IF(+All!$F72="Stanford",+All!M72,0))</f>
        <v>0</v>
      </c>
      <c r="N88" s="460" t="str">
        <f>IF(+All!$H72="Stanford",+All!N72,IF(+All!$F72="Stanford",+All!N72,0))</f>
        <v>Stanford</v>
      </c>
      <c r="O88" s="462">
        <f>IF(+All!$H72="Stanford",+All!O72,IF(+All!$F72="Stanford",+All!O72,0))</f>
        <v>41</v>
      </c>
      <c r="P88" s="462" t="str">
        <f>IF(+All!$H72="Stanford",+All!P72,IF(+All!$F72="Stanford",+All!P72,0))</f>
        <v>1AA Colgate</v>
      </c>
      <c r="Q88" s="461">
        <f>IF(+All!$H72="Stanford",+All!Q72,IF(+All!$F72="Stanford",+All!Q72,0))</f>
        <v>10</v>
      </c>
      <c r="R88" s="460">
        <f>IF(+All!$H72="Stanford",+All!R72,IF(+All!$F72="Stanford",+All!R72,0))</f>
        <v>0</v>
      </c>
      <c r="S88" s="462">
        <f>IF(+All!$H72="Stanford",+All!S72,IF(+All!$F72="Stanford",+All!S72,0))</f>
        <v>0</v>
      </c>
      <c r="T88" s="460">
        <f>IF(+All!$H72="Stanford",+All!T72,IF(+All!$F72="Stanford",+All!T72,0))</f>
        <v>0</v>
      </c>
      <c r="U88" s="461">
        <f>IF(+All!$H72="Stanford",+All!U72,IF(+All!$F72="Stanford",+All!U72,0))</f>
        <v>0</v>
      </c>
    </row>
    <row r="89" spans="1:21" x14ac:dyDescent="0.8">
      <c r="A89" s="46">
        <f>IF(+All!$H161="Stanford",+All!A161,IF(+All!$F161="Stanford",+All!A161,0))</f>
        <v>2</v>
      </c>
      <c r="B89" s="348" t="str">
        <f>IF(+All!$H161="Stanford",+All!B161,IF(+All!$F161="Stanford",+All!B161,0))</f>
        <v>Sat</v>
      </c>
      <c r="C89" s="72">
        <f>IF(+All!$H161="Stanford",+All!C161,IF(+All!$F161="Stanford",+All!C161,0))</f>
        <v>44814</v>
      </c>
      <c r="D89" s="73">
        <f>IF(+All!$H161="Stanford",+All!D161,IF(+All!$F161="Stanford",+All!D161,0))</f>
        <v>0.8125</v>
      </c>
      <c r="E89" s="461" t="str">
        <f>IF(+All!$H161="Stanford",+All!E161,IF(+All!$F161="Stanford",+All!E161,0))</f>
        <v>ABC</v>
      </c>
      <c r="F89" s="460" t="str">
        <f>IF(+All!$H161="Stanford",+All!F161,IF(+All!$F161="Stanford",+All!F161,0))</f>
        <v>Southern Cal</v>
      </c>
      <c r="G89" s="461" t="str">
        <f>IF(+All!$H161="Stanford",+All!G161,IF(+All!$F161="Stanford",+All!G161,0))</f>
        <v>P12</v>
      </c>
      <c r="H89" s="460" t="str">
        <f>IF(+All!$H161="Stanford",+All!H161,IF(+All!$F161="Stanford",+All!H161,0))</f>
        <v>Stanford</v>
      </c>
      <c r="I89" s="461" t="str">
        <f>IF(+All!$H161="Stanford",+All!I161,IF(+All!$F161="Stanford",+All!I161,0))</f>
        <v>P12</v>
      </c>
      <c r="J89" s="460" t="str">
        <f>IF(+All!$H161="Stanford",+All!J161,IF(+All!$F161="Stanford",+All!J161,0))</f>
        <v>Southern Cal</v>
      </c>
      <c r="K89" s="461" t="str">
        <f>IF(+All!$H161="Stanford",+All!K161,IF(+All!$F161="Stanford",+All!K161,0))</f>
        <v>Stanford</v>
      </c>
      <c r="L89" s="60">
        <f>IF(+All!$H161="Stanford",+All!L161,IF(+All!$F161="Stanford",+All!L161,0))</f>
        <v>8.5</v>
      </c>
      <c r="M89" s="61">
        <f>IF(+All!$H161="Stanford",+All!M161,IF(+All!$F161="Stanford",+All!M161,0))</f>
        <v>67</v>
      </c>
      <c r="N89" s="460" t="str">
        <f>IF(+All!$H161="Stanford",+All!N161,IF(+All!$F161="Stanford",+All!N161,0))</f>
        <v>Southern Cal</v>
      </c>
      <c r="O89" s="462">
        <f>IF(+All!$H161="Stanford",+All!O161,IF(+All!$F161="Stanford",+All!O161,0))</f>
        <v>41</v>
      </c>
      <c r="P89" s="462" t="str">
        <f>IF(+All!$H161="Stanford",+All!P161,IF(+All!$F161="Stanford",+All!P161,0))</f>
        <v>Stanford</v>
      </c>
      <c r="Q89" s="461">
        <f>IF(+All!$H161="Stanford",+All!Q161,IF(+All!$F161="Stanford",+All!Q161,0))</f>
        <v>28</v>
      </c>
      <c r="R89" s="460" t="str">
        <f>IF(+All!$H161="Stanford",+All!R161,IF(+All!$F161="Stanford",+All!R161,0))</f>
        <v>Southern Cal</v>
      </c>
      <c r="S89" s="462" t="str">
        <f>IF(+All!$H161="Stanford",+All!S161,IF(+All!$F161="Stanford",+All!S161,0))</f>
        <v>Stanford</v>
      </c>
      <c r="T89" s="460" t="str">
        <f>IF(+All!$H161="Stanford",+All!T161,IF(+All!$F161="Stanford",+All!T161,0))</f>
        <v>Southern Cal</v>
      </c>
      <c r="U89" s="461" t="str">
        <f>IF(+All!$H161="Stanford",+All!U161,IF(+All!$F161="Stanford",+All!U161,0))</f>
        <v>W</v>
      </c>
    </row>
    <row r="90" spans="1:21" x14ac:dyDescent="0.8">
      <c r="A90" s="46" t="e">
        <f>IF(+All!#REF!="Stanford",+All!#REF!,IF(+All!#REF!="Stanford",+All!#REF!,0))</f>
        <v>#REF!</v>
      </c>
      <c r="B90" s="348" t="e">
        <f>IF(+All!#REF!="Stanford",+All!#REF!,IF(+All!#REF!="Stanford",+All!#REF!,0))</f>
        <v>#REF!</v>
      </c>
      <c r="C90" s="72" t="e">
        <f>IF(+All!#REF!="Stanford",+All!#REF!,IF(+All!#REF!="Stanford",+All!#REF!,0))</f>
        <v>#REF!</v>
      </c>
      <c r="D90" s="73" t="e">
        <f>IF(+All!#REF!="Stanford",+All!#REF!,IF(+All!#REF!="Stanford",+All!#REF!,0))</f>
        <v>#REF!</v>
      </c>
      <c r="E90" s="461" t="e">
        <f>IF(+All!#REF!="Stanford",+All!#REF!,IF(+All!#REF!="Stanford",+All!#REF!,0))</f>
        <v>#REF!</v>
      </c>
      <c r="F90" s="460" t="e">
        <f>IF(+All!#REF!="Stanford",+All!#REF!,IF(+All!#REF!="Stanford",+All!#REF!,0))</f>
        <v>#REF!</v>
      </c>
      <c r="G90" s="461" t="e">
        <f>IF(+All!#REF!="Stanford",+All!#REF!,IF(+All!#REF!="Stanford",+All!#REF!,0))</f>
        <v>#REF!</v>
      </c>
      <c r="H90" s="460" t="e">
        <f>IF(+All!#REF!="Stanford",+All!#REF!,IF(+All!#REF!="Stanford",+All!#REF!,0))</f>
        <v>#REF!</v>
      </c>
      <c r="I90" s="461" t="e">
        <f>IF(+All!#REF!="Stanford",+All!#REF!,IF(+All!#REF!="Stanford",+All!#REF!,0))</f>
        <v>#REF!</v>
      </c>
      <c r="J90" s="460" t="e">
        <f>IF(+All!#REF!="Stanford",+All!#REF!,IF(+All!#REF!="Stanford",+All!#REF!,0))</f>
        <v>#REF!</v>
      </c>
      <c r="K90" s="461" t="e">
        <f>IF(+All!#REF!="Stanford",+All!#REF!,IF(+All!#REF!="Stanford",+All!#REF!,0))</f>
        <v>#REF!</v>
      </c>
      <c r="L90" s="60" t="e">
        <f>IF(+All!#REF!="Stanford",+All!#REF!,IF(+All!#REF!="Stanford",+All!#REF!,0))</f>
        <v>#REF!</v>
      </c>
      <c r="M90" s="61" t="e">
        <f>IF(+All!#REF!="Stanford",+All!#REF!,IF(+All!#REF!="Stanford",+All!#REF!,0))</f>
        <v>#REF!</v>
      </c>
      <c r="N90" s="460" t="e">
        <f>IF(+All!#REF!="Stanford",+All!#REF!,IF(+All!#REF!="Stanford",+All!#REF!,0))</f>
        <v>#REF!</v>
      </c>
      <c r="O90" s="462" t="e">
        <f>IF(+All!#REF!="Stanford",+All!#REF!,IF(+All!#REF!="Stanford",+All!#REF!,0))</f>
        <v>#REF!</v>
      </c>
      <c r="P90" s="462" t="e">
        <f>IF(+All!#REF!="Stanford",+All!#REF!,IF(+All!#REF!="Stanford",+All!#REF!,0))</f>
        <v>#REF!</v>
      </c>
      <c r="Q90" s="461" t="e">
        <f>IF(+All!#REF!="Stanford",+All!#REF!,IF(+All!#REF!="Stanford",+All!#REF!,0))</f>
        <v>#REF!</v>
      </c>
      <c r="R90" s="460" t="e">
        <f>IF(+All!#REF!="Stanford",+All!#REF!,IF(+All!#REF!="Stanford",+All!#REF!,0))</f>
        <v>#REF!</v>
      </c>
      <c r="S90" s="462" t="e">
        <f>IF(+All!#REF!="Stanford",+All!#REF!,IF(+All!#REF!="Stanford",+All!#REF!,0))</f>
        <v>#REF!</v>
      </c>
      <c r="T90" s="460" t="e">
        <f>IF(+All!#REF!="Stanford",+All!#REF!,IF(+All!#REF!="Stanford",+All!#REF!,0))</f>
        <v>#REF!</v>
      </c>
      <c r="U90" s="461" t="e">
        <f>IF(+All!#REF!="Stanford",+All!#REF!,IF(+All!#REF!="Stanford",+All!#REF!,0))</f>
        <v>#REF!</v>
      </c>
    </row>
    <row r="91" spans="1:21" x14ac:dyDescent="0.8">
      <c r="A91" s="46">
        <f>IF(+All!$H299="Stanford",+All!A299,IF(+All!$F299="Stanford",+All!A299,0))</f>
        <v>4</v>
      </c>
      <c r="B91" s="348" t="str">
        <f>IF(+All!$H299="Stanford",+All!B299,IF(+All!$F299="Stanford",+All!B299,0))</f>
        <v>Sat</v>
      </c>
      <c r="C91" s="72">
        <f>IF(+All!$H299="Stanford",+All!C299,IF(+All!$F299="Stanford",+All!C299,0))</f>
        <v>44828</v>
      </c>
      <c r="D91" s="73">
        <f>IF(+All!$H299="Stanford",+All!D299,IF(+All!$F299="Stanford",+All!D299,0))</f>
        <v>0.9375</v>
      </c>
      <c r="E91" s="461" t="str">
        <f>IF(+All!$H299="Stanford",+All!E299,IF(+All!$F299="Stanford",+All!E299,0))</f>
        <v>FS1</v>
      </c>
      <c r="F91" s="460" t="str">
        <f>IF(+All!$H299="Stanford",+All!F299,IF(+All!$F299="Stanford",+All!F299,0))</f>
        <v>Stanford</v>
      </c>
      <c r="G91" s="461" t="str">
        <f>IF(+All!$H299="Stanford",+All!G299,IF(+All!$F299="Stanford",+All!G299,0))</f>
        <v>P12</v>
      </c>
      <c r="H91" s="460" t="str">
        <f>IF(+All!$H299="Stanford",+All!H299,IF(+All!$F299="Stanford",+All!H299,0))</f>
        <v>Washington</v>
      </c>
      <c r="I91" s="461" t="str">
        <f>IF(+All!$H299="Stanford",+All!I299,IF(+All!$F299="Stanford",+All!I299,0))</f>
        <v>P12</v>
      </c>
      <c r="J91" s="460" t="str">
        <f>IF(+All!$H299="Stanford",+All!J299,IF(+All!$F299="Stanford",+All!J299,0))</f>
        <v>Washington</v>
      </c>
      <c r="K91" s="461" t="str">
        <f>IF(+All!$H299="Stanford",+All!K299,IF(+All!$F299="Stanford",+All!K299,0))</f>
        <v>Stanford</v>
      </c>
      <c r="L91" s="60">
        <f>IF(+All!$H299="Stanford",+All!L299,IF(+All!$F299="Stanford",+All!L299,0))</f>
        <v>14</v>
      </c>
      <c r="M91" s="61">
        <f>IF(+All!$H299="Stanford",+All!M299,IF(+All!$F299="Stanford",+All!M299,0))</f>
        <v>64</v>
      </c>
      <c r="N91" s="460" t="str">
        <f>IF(+All!$H299="Stanford",+All!N299,IF(+All!$F299="Stanford",+All!N299,0))</f>
        <v>Washington</v>
      </c>
      <c r="O91" s="462">
        <f>IF(+All!$H299="Stanford",+All!O299,IF(+All!$F299="Stanford",+All!O299,0))</f>
        <v>40</v>
      </c>
      <c r="P91" s="462" t="str">
        <f>IF(+All!$H299="Stanford",+All!P299,IF(+All!$F299="Stanford",+All!P299,0))</f>
        <v>Stanford</v>
      </c>
      <c r="Q91" s="461">
        <f>IF(+All!$H299="Stanford",+All!Q299,IF(+All!$F299="Stanford",+All!Q299,0))</f>
        <v>22</v>
      </c>
      <c r="R91" s="460" t="str">
        <f>IF(+All!$H299="Stanford",+All!R299,IF(+All!$F299="Stanford",+All!R299,0))</f>
        <v>Washington</v>
      </c>
      <c r="S91" s="462" t="str">
        <f>IF(+All!$H299="Stanford",+All!S299,IF(+All!$F299="Stanford",+All!S299,0))</f>
        <v>Stanford</v>
      </c>
      <c r="T91" s="460" t="str">
        <f>IF(+All!$H299="Stanford",+All!T299,IF(+All!$F299="Stanford",+All!T299,0))</f>
        <v>Washington</v>
      </c>
      <c r="U91" s="461" t="str">
        <f>IF(+All!$H299="Stanford",+All!U299,IF(+All!$F299="Stanford",+All!U299,0))</f>
        <v>W</v>
      </c>
    </row>
    <row r="92" spans="1:21" x14ac:dyDescent="0.8">
      <c r="A92" s="46">
        <f>IF(+All!$H364="Stanford",+All!A364,IF(+All!$F364="Stanford",+All!A364,0))</f>
        <v>5</v>
      </c>
      <c r="B92" s="348" t="str">
        <f>IF(+All!$H364="Stanford",+All!B364,IF(+All!$F364="Stanford",+All!B364,0))</f>
        <v>Sat</v>
      </c>
      <c r="C92" s="72">
        <f>IF(+All!$H364="Stanford",+All!C364,IF(+All!$F364="Stanford",+All!C364,0))</f>
        <v>44835</v>
      </c>
      <c r="D92" s="73">
        <f>IF(+All!$H364="Stanford",+All!D364,IF(+All!$F364="Stanford",+All!D364,0))</f>
        <v>0.95833333333333337</v>
      </c>
      <c r="E92" s="461" t="str">
        <f>IF(+All!$H364="Stanford",+All!E364,IF(+All!$F364="Stanford",+All!E364,0))</f>
        <v>FS1</v>
      </c>
      <c r="F92" s="460" t="str">
        <f>IF(+All!$H364="Stanford",+All!F364,IF(+All!$F364="Stanford",+All!F364,0))</f>
        <v>Stanford</v>
      </c>
      <c r="G92" s="461" t="str">
        <f>IF(+All!$H364="Stanford",+All!G364,IF(+All!$F364="Stanford",+All!G364,0))</f>
        <v>P12</v>
      </c>
      <c r="H92" s="460" t="str">
        <f>IF(+All!$H364="Stanford",+All!H364,IF(+All!$F364="Stanford",+All!H364,0))</f>
        <v>Oregon</v>
      </c>
      <c r="I92" s="461" t="str">
        <f>IF(+All!$H364="Stanford",+All!I364,IF(+All!$F364="Stanford",+All!I364,0))</f>
        <v>P12</v>
      </c>
      <c r="J92" s="460" t="str">
        <f>IF(+All!$H364="Stanford",+All!J364,IF(+All!$F364="Stanford",+All!J364,0))</f>
        <v>Oregon</v>
      </c>
      <c r="K92" s="461" t="str">
        <f>IF(+All!$H364="Stanford",+All!K364,IF(+All!$F364="Stanford",+All!K364,0))</f>
        <v>Stanford</v>
      </c>
      <c r="L92" s="60">
        <f>IF(+All!$H364="Stanford",+All!L364,IF(+All!$F364="Stanford",+All!L364,0))</f>
        <v>16.5</v>
      </c>
      <c r="M92" s="61">
        <f>IF(+All!$H364="Stanford",+All!M364,IF(+All!$F364="Stanford",+All!M364,0))</f>
        <v>63</v>
      </c>
      <c r="N92" s="460" t="str">
        <f>IF(+All!$H364="Stanford",+All!N364,IF(+All!$F364="Stanford",+All!N364,0))</f>
        <v>Oregon</v>
      </c>
      <c r="O92" s="462">
        <f>IF(+All!$H364="Stanford",+All!O364,IF(+All!$F364="Stanford",+All!O364,0))</f>
        <v>45</v>
      </c>
      <c r="P92" s="462" t="str">
        <f>IF(+All!$H364="Stanford",+All!P364,IF(+All!$F364="Stanford",+All!P364,0))</f>
        <v>Stanford</v>
      </c>
      <c r="Q92" s="461">
        <f>IF(+All!$H364="Stanford",+All!Q364,IF(+All!$F364="Stanford",+All!Q364,0))</f>
        <v>27</v>
      </c>
      <c r="R92" s="460" t="str">
        <f>IF(+All!$H364="Stanford",+All!R364,IF(+All!$F364="Stanford",+All!R364,0))</f>
        <v>Oregon</v>
      </c>
      <c r="S92" s="462" t="str">
        <f>IF(+All!$H364="Stanford",+All!S364,IF(+All!$F364="Stanford",+All!S364,0))</f>
        <v>Stanford</v>
      </c>
      <c r="T92" s="460" t="str">
        <f>IF(+All!$H364="Stanford",+All!T364,IF(+All!$F364="Stanford",+All!T364,0))</f>
        <v>Oregon</v>
      </c>
      <c r="U92" s="461" t="str">
        <f>IF(+All!$H364="Stanford",+All!U364,IF(+All!$F364="Stanford",+All!U364,0))</f>
        <v>W</v>
      </c>
    </row>
    <row r="93" spans="1:21" x14ac:dyDescent="0.8">
      <c r="A93" s="46">
        <f>IF(+All!$H424="Stanford",+All!A424,IF(+All!$F424="Stanford",+All!A424,0))</f>
        <v>6</v>
      </c>
      <c r="B93" s="348" t="str">
        <f>IF(+All!$H424="Stanford",+All!B424,IF(+All!$F424="Stanford",+All!B424,0))</f>
        <v>Sat</v>
      </c>
      <c r="C93" s="72">
        <f>IF(+All!$H424="Stanford",+All!C424,IF(+All!$F424="Stanford",+All!C424,0))</f>
        <v>44842</v>
      </c>
      <c r="D93" s="73">
        <f>IF(+All!$H424="Stanford",+All!D424,IF(+All!$F424="Stanford",+All!D424,0))</f>
        <v>0.95833333333333337</v>
      </c>
      <c r="E93" s="461" t="str">
        <f>IF(+All!$H424="Stanford",+All!E424,IF(+All!$F424="Stanford",+All!E424,0))</f>
        <v>ESPN</v>
      </c>
      <c r="F93" s="460" t="str">
        <f>IF(+All!$H424="Stanford",+All!F424,IF(+All!$F424="Stanford",+All!F424,0))</f>
        <v>Oregon State</v>
      </c>
      <c r="G93" s="461" t="str">
        <f>IF(+All!$H424="Stanford",+All!G424,IF(+All!$F424="Stanford",+All!G424,0))</f>
        <v>P12</v>
      </c>
      <c r="H93" s="460" t="str">
        <f>IF(+All!$H424="Stanford",+All!H424,IF(+All!$F424="Stanford",+All!H424,0))</f>
        <v>Stanford</v>
      </c>
      <c r="I93" s="461" t="str">
        <f>IF(+All!$H424="Stanford",+All!I424,IF(+All!$F424="Stanford",+All!I424,0))</f>
        <v>P12</v>
      </c>
      <c r="J93" s="460" t="str">
        <f>IF(+All!$H424="Stanford",+All!J424,IF(+All!$F424="Stanford",+All!J424,0))</f>
        <v>Oregon State</v>
      </c>
      <c r="K93" s="461" t="str">
        <f>IF(+All!$H424="Stanford",+All!K424,IF(+All!$F424="Stanford",+All!K424,0))</f>
        <v>Stanford</v>
      </c>
      <c r="L93" s="60">
        <f>IF(+All!$H424="Stanford",+All!L424,IF(+All!$F424="Stanford",+All!L424,0))</f>
        <v>7</v>
      </c>
      <c r="M93" s="61">
        <f>IF(+All!$H424="Stanford",+All!M424,IF(+All!$F424="Stanford",+All!M424,0))</f>
        <v>57</v>
      </c>
      <c r="N93" s="460" t="str">
        <f>IF(+All!$H424="Stanford",+All!N424,IF(+All!$F424="Stanford",+All!N424,0))</f>
        <v>Oregon State</v>
      </c>
      <c r="O93" s="462">
        <f>IF(+All!$H424="Stanford",+All!O424,IF(+All!$F424="Stanford",+All!O424,0))</f>
        <v>28</v>
      </c>
      <c r="P93" s="462" t="str">
        <f>IF(+All!$H424="Stanford",+All!P424,IF(+All!$F424="Stanford",+All!P424,0))</f>
        <v>Stanford</v>
      </c>
      <c r="Q93" s="461">
        <f>IF(+All!$H424="Stanford",+All!Q424,IF(+All!$F424="Stanford",+All!Q424,0))</f>
        <v>27</v>
      </c>
      <c r="R93" s="460" t="str">
        <f>IF(+All!$H424="Stanford",+All!R424,IF(+All!$F424="Stanford",+All!R424,0))</f>
        <v>Stanford</v>
      </c>
      <c r="S93" s="462" t="str">
        <f>IF(+All!$H424="Stanford",+All!S424,IF(+All!$F424="Stanford",+All!S424,0))</f>
        <v>Oregon State</v>
      </c>
      <c r="T93" s="460" t="str">
        <f>IF(+All!$H424="Stanford",+All!T424,IF(+All!$F424="Stanford",+All!T424,0))</f>
        <v>Stanford</v>
      </c>
      <c r="U93" s="461" t="str">
        <f>IF(+All!$H424="Stanford",+All!U424,IF(+All!$F424="Stanford",+All!U424,0))</f>
        <v>W</v>
      </c>
    </row>
    <row r="94" spans="1:21" x14ac:dyDescent="0.8">
      <c r="A94" s="46">
        <f>IF(+All!$H466="Stanford",+All!A466,IF(+All!$F466="Stanford",+All!A466,0))</f>
        <v>7</v>
      </c>
      <c r="B94" s="348" t="str">
        <f>IF(+All!$H466="Stanford",+All!B466,IF(+All!$F466="Stanford",+All!B466,0))</f>
        <v>Sat</v>
      </c>
      <c r="C94" s="72">
        <f>IF(+All!$H466="Stanford",+All!C466,IF(+All!$F466="Stanford",+All!C466,0))</f>
        <v>44849</v>
      </c>
      <c r="D94" s="73">
        <f>IF(+All!$H466="Stanford",+All!D466,IF(+All!$F466="Stanford",+All!D466,0))</f>
        <v>0.8125</v>
      </c>
      <c r="E94" s="461" t="str">
        <f>IF(+All!$H466="Stanford",+All!E466,IF(+All!$F466="Stanford",+All!E466,0))</f>
        <v>BNBC</v>
      </c>
      <c r="F94" s="460" t="str">
        <f>IF(+All!$H466="Stanford",+All!F466,IF(+All!$F466="Stanford",+All!F466,0))</f>
        <v>Stanford</v>
      </c>
      <c r="G94" s="461" t="str">
        <f>IF(+All!$H466="Stanford",+All!G466,IF(+All!$F466="Stanford",+All!G466,0))</f>
        <v>P12</v>
      </c>
      <c r="H94" s="460" t="str">
        <f>IF(+All!$H466="Stanford",+All!H466,IF(+All!$F466="Stanford",+All!H466,0))</f>
        <v>Notre Dame</v>
      </c>
      <c r="I94" s="461" t="str">
        <f>IF(+All!$H466="Stanford",+All!I466,IF(+All!$F466="Stanford",+All!I466,0))</f>
        <v>Ind</v>
      </c>
      <c r="J94" s="460" t="str">
        <f>IF(+All!$H466="Stanford",+All!J466,IF(+All!$F466="Stanford",+All!J466,0))</f>
        <v>Notre Dame</v>
      </c>
      <c r="K94" s="461" t="str">
        <f>IF(+All!$H466="Stanford",+All!K466,IF(+All!$F466="Stanford",+All!K466,0))</f>
        <v>Stanford</v>
      </c>
      <c r="L94" s="60">
        <f>IF(+All!$H466="Stanford",+All!L466,IF(+All!$F466="Stanford",+All!L466,0))</f>
        <v>17</v>
      </c>
      <c r="M94" s="61">
        <f>IF(+All!$H466="Stanford",+All!M466,IF(+All!$F466="Stanford",+All!M466,0))</f>
        <v>53</v>
      </c>
      <c r="N94" s="460" t="str">
        <f>IF(+All!$H466="Stanford",+All!N466,IF(+All!$F466="Stanford",+All!N466,0))</f>
        <v>Stanford</v>
      </c>
      <c r="O94" s="462">
        <f>IF(+All!$H466="Stanford",+All!O466,IF(+All!$F466="Stanford",+All!O466,0))</f>
        <v>16</v>
      </c>
      <c r="P94" s="462" t="str">
        <f>IF(+All!$H466="Stanford",+All!P466,IF(+All!$F466="Stanford",+All!P466,0))</f>
        <v>Notre Dame</v>
      </c>
      <c r="Q94" s="461">
        <f>IF(+All!$H466="Stanford",+All!Q466,IF(+All!$F466="Stanford",+All!Q466,0))</f>
        <v>14</v>
      </c>
      <c r="R94" s="460" t="str">
        <f>IF(+All!$H466="Stanford",+All!R466,IF(+All!$F466="Stanford",+All!R466,0))</f>
        <v>Stanford</v>
      </c>
      <c r="S94" s="462" t="str">
        <f>IF(+All!$H466="Stanford",+All!S466,IF(+All!$F466="Stanford",+All!S466,0))</f>
        <v>Notre Dame</v>
      </c>
      <c r="T94" s="460" t="str">
        <f>IF(+All!$H466="Stanford",+All!T466,IF(+All!$F466="Stanford",+All!T466,0))</f>
        <v>Stanford</v>
      </c>
      <c r="U94" s="461" t="str">
        <f>IF(+All!$H466="Stanford",+All!U466,IF(+All!$F466="Stanford",+All!U466,0))</f>
        <v>W</v>
      </c>
    </row>
    <row r="95" spans="1:21" x14ac:dyDescent="0.8">
      <c r="A95" s="46">
        <f>IF(+All!$H535="Stanford",+All!A535,IF(+All!$F535="Stanford",+All!A535,0))</f>
        <v>8</v>
      </c>
      <c r="B95" s="348" t="str">
        <f>IF(+All!$H535="Stanford",+All!B535,IF(+All!$F535="Stanford",+All!B535,0))</f>
        <v>Sat</v>
      </c>
      <c r="C95" s="72">
        <f>IF(+All!$H535="Stanford",+All!C535,IF(+All!$F535="Stanford",+All!C535,0))</f>
        <v>44856</v>
      </c>
      <c r="D95" s="73">
        <f>IF(+All!$H535="Stanford",+All!D535,IF(+All!$F535="Stanford",+All!D535,0))</f>
        <v>0.66666666666666663</v>
      </c>
      <c r="E95" s="461" t="str">
        <f>IF(+All!$H535="Stanford",+All!E535,IF(+All!$F535="Stanford",+All!E535,0))</f>
        <v>PAC12</v>
      </c>
      <c r="F95" s="460" t="str">
        <f>IF(+All!$H535="Stanford",+All!F535,IF(+All!$F535="Stanford",+All!F535,0))</f>
        <v>Arizona State</v>
      </c>
      <c r="G95" s="461" t="str">
        <f>IF(+All!$H535="Stanford",+All!G535,IF(+All!$F535="Stanford",+All!G535,0))</f>
        <v>P12</v>
      </c>
      <c r="H95" s="460" t="str">
        <f>IF(+All!$H535="Stanford",+All!H535,IF(+All!$F535="Stanford",+All!H535,0))</f>
        <v>Stanford</v>
      </c>
      <c r="I95" s="461" t="str">
        <f>IF(+All!$H535="Stanford",+All!I535,IF(+All!$F535="Stanford",+All!I535,0))</f>
        <v>P12</v>
      </c>
      <c r="J95" s="460" t="str">
        <f>IF(+All!$H535="Stanford",+All!J535,IF(+All!$F535="Stanford",+All!J535,0))</f>
        <v>Stanford</v>
      </c>
      <c r="K95" s="461" t="str">
        <f>IF(+All!$H535="Stanford",+All!K535,IF(+All!$F535="Stanford",+All!K535,0))</f>
        <v>Arizona State</v>
      </c>
      <c r="L95" s="60">
        <f>IF(+All!$H535="Stanford",+All!L535,IF(+All!$F535="Stanford",+All!L535,0))</f>
        <v>3</v>
      </c>
      <c r="M95" s="61">
        <f>IF(+All!$H535="Stanford",+All!M535,IF(+All!$F535="Stanford",+All!M535,0))</f>
        <v>55.5</v>
      </c>
      <c r="N95" s="460" t="str">
        <f>IF(+All!$H535="Stanford",+All!N535,IF(+All!$F535="Stanford",+All!N535,0))</f>
        <v>Stanford</v>
      </c>
      <c r="O95" s="462">
        <f>IF(+All!$H535="Stanford",+All!O535,IF(+All!$F535="Stanford",+All!O535,0))</f>
        <v>15</v>
      </c>
      <c r="P95" s="462" t="str">
        <f>IF(+All!$H535="Stanford",+All!P535,IF(+All!$F535="Stanford",+All!P535,0))</f>
        <v>Arizona State</v>
      </c>
      <c r="Q95" s="461">
        <f>IF(+All!$H535="Stanford",+All!Q535,IF(+All!$F535="Stanford",+All!Q535,0))</f>
        <v>14</v>
      </c>
      <c r="R95" s="460" t="str">
        <f>IF(+All!$H535="Stanford",+All!R535,IF(+All!$F535="Stanford",+All!R535,0))</f>
        <v>Arizona State</v>
      </c>
      <c r="S95" s="462" t="str">
        <f>IF(+All!$H535="Stanford",+All!S535,IF(+All!$F535="Stanford",+All!S535,0))</f>
        <v>Stanford</v>
      </c>
      <c r="T95" s="460" t="str">
        <f>IF(+All!$H535="Stanford",+All!T535,IF(+All!$F535="Stanford",+All!T535,0))</f>
        <v>Stanford</v>
      </c>
      <c r="U95" s="461" t="str">
        <f>IF(+All!$H535="Stanford",+All!U535,IF(+All!$F535="Stanford",+All!U535,0))</f>
        <v>L</v>
      </c>
    </row>
    <row r="96" spans="1:21" x14ac:dyDescent="0.8">
      <c r="A96" s="46">
        <f>IF(+All!$H583="Stanford",+All!A583,IF(+All!$F583="Stanford",+All!A583,0))</f>
        <v>9</v>
      </c>
      <c r="B96" s="348" t="str">
        <f>IF(+All!$H583="Stanford",+All!B583,IF(+All!$F583="Stanford",+All!B583,0))</f>
        <v>Sat</v>
      </c>
      <c r="C96" s="72">
        <f>IF(+All!$H583="Stanford",+All!C583,IF(+All!$F583="Stanford",+All!C583,0))</f>
        <v>44863</v>
      </c>
      <c r="D96" s="73">
        <f>IF(+All!$H583="Stanford",+All!D583,IF(+All!$F583="Stanford",+All!D583,0))</f>
        <v>0.9375</v>
      </c>
      <c r="E96" s="461" t="str">
        <f>IF(+All!$H583="Stanford",+All!E583,IF(+All!$F583="Stanford",+All!E583,0))</f>
        <v>ESPN</v>
      </c>
      <c r="F96" s="460" t="str">
        <f>IF(+All!$H583="Stanford",+All!F583,IF(+All!$F583="Stanford",+All!F583,0))</f>
        <v>Stanford</v>
      </c>
      <c r="G96" s="461" t="str">
        <f>IF(+All!$H583="Stanford",+All!G583,IF(+All!$F583="Stanford",+All!G583,0))</f>
        <v>P12</v>
      </c>
      <c r="H96" s="460" t="str">
        <f>IF(+All!$H583="Stanford",+All!H583,IF(+All!$F583="Stanford",+All!H583,0))</f>
        <v>UCLA</v>
      </c>
      <c r="I96" s="461" t="str">
        <f>IF(+All!$H583="Stanford",+All!I583,IF(+All!$F583="Stanford",+All!I583,0))</f>
        <v>P12</v>
      </c>
      <c r="J96" s="460" t="str">
        <f>IF(+All!$H583="Stanford",+All!J583,IF(+All!$F583="Stanford",+All!J583,0))</f>
        <v>UCLA</v>
      </c>
      <c r="K96" s="461" t="str">
        <f>IF(+All!$H583="Stanford",+All!K583,IF(+All!$F583="Stanford",+All!K583,0))</f>
        <v>Stanford</v>
      </c>
      <c r="L96" s="60">
        <f>IF(+All!$H583="Stanford",+All!L583,IF(+All!$F583="Stanford",+All!L583,0))</f>
        <v>16.5</v>
      </c>
      <c r="M96" s="61">
        <f>IF(+All!$H583="Stanford",+All!M583,IF(+All!$F583="Stanford",+All!M583,0))</f>
        <v>64.5</v>
      </c>
      <c r="N96" s="460" t="str">
        <f>IF(+All!$H583="Stanford",+All!N583,IF(+All!$F583="Stanford",+All!N583,0))</f>
        <v>UCLA</v>
      </c>
      <c r="O96" s="462">
        <f>IF(+All!$H583="Stanford",+All!O583,IF(+All!$F583="Stanford",+All!O583,0))</f>
        <v>38</v>
      </c>
      <c r="P96" s="462" t="str">
        <f>IF(+All!$H583="Stanford",+All!P583,IF(+All!$F583="Stanford",+All!P583,0))</f>
        <v>Stanford</v>
      </c>
      <c r="Q96" s="461">
        <f>IF(+All!$H583="Stanford",+All!Q583,IF(+All!$F583="Stanford",+All!Q583,0))</f>
        <v>13</v>
      </c>
      <c r="R96" s="460" t="str">
        <f>IF(+All!$H583="Stanford",+All!R583,IF(+All!$F583="Stanford",+All!R583,0))</f>
        <v>UCLA</v>
      </c>
      <c r="S96" s="462" t="str">
        <f>IF(+All!$H583="Stanford",+All!S583,IF(+All!$F583="Stanford",+All!S583,0))</f>
        <v>Stanford</v>
      </c>
      <c r="T96" s="460" t="str">
        <f>IF(+All!$H583="Stanford",+All!T583,IF(+All!$F583="Stanford",+All!T583,0))</f>
        <v>UCLA</v>
      </c>
      <c r="U96" s="461" t="str">
        <f>IF(+All!$H583="Stanford",+All!U583,IF(+All!$F583="Stanford",+All!U583,0))</f>
        <v>W</v>
      </c>
    </row>
    <row r="97" spans="1:21" x14ac:dyDescent="0.8">
      <c r="A97" s="46">
        <f>IF(+All!$H639="Stanford",+All!A639,IF(+All!$F639="Stanford",+All!A639,0))</f>
        <v>10</v>
      </c>
      <c r="B97" s="348" t="str">
        <f>IF(+All!$H639="Stanford",+All!B639,IF(+All!$F639="Stanford",+All!B639,0))</f>
        <v>Sat</v>
      </c>
      <c r="C97" s="72">
        <f>IF(+All!$H639="Stanford",+All!C639,IF(+All!$F639="Stanford",+All!C639,0))</f>
        <v>44870</v>
      </c>
      <c r="D97" s="73">
        <f>IF(+All!$H639="Stanford",+All!D639,IF(+All!$F639="Stanford",+All!D639,0))</f>
        <v>0.64583333333333337</v>
      </c>
      <c r="E97" s="461" t="str">
        <f>IF(+All!$H639="Stanford",+All!E639,IF(+All!$F639="Stanford",+All!E639,0))</f>
        <v>PAC12</v>
      </c>
      <c r="F97" s="460" t="str">
        <f>IF(+All!$H639="Stanford",+All!F639,IF(+All!$F639="Stanford",+All!F639,0))</f>
        <v>Washington State</v>
      </c>
      <c r="G97" s="461" t="str">
        <f>IF(+All!$H639="Stanford",+All!G639,IF(+All!$F639="Stanford",+All!G639,0))</f>
        <v>P12</v>
      </c>
      <c r="H97" s="460" t="str">
        <f>IF(+All!$H639="Stanford",+All!H639,IF(+All!$F639="Stanford",+All!H639,0))</f>
        <v>Stanford</v>
      </c>
      <c r="I97" s="461" t="str">
        <f>IF(+All!$H639="Stanford",+All!I639,IF(+All!$F639="Stanford",+All!I639,0))</f>
        <v>P12</v>
      </c>
      <c r="J97" s="460" t="str">
        <f>IF(+All!$H639="Stanford",+All!J639,IF(+All!$F639="Stanford",+All!J639,0))</f>
        <v>Washington State</v>
      </c>
      <c r="K97" s="461" t="str">
        <f>IF(+All!$H639="Stanford",+All!K639,IF(+All!$F639="Stanford",+All!K639,0))</f>
        <v>Stanford</v>
      </c>
      <c r="L97" s="60">
        <f>IF(+All!$H639="Stanford",+All!L639,IF(+All!$F639="Stanford",+All!L639,0))</f>
        <v>5</v>
      </c>
      <c r="M97" s="61">
        <f>IF(+All!$H639="Stanford",+All!M639,IF(+All!$F639="Stanford",+All!M639,0))</f>
        <v>49.5</v>
      </c>
      <c r="N97" s="460" t="str">
        <f>IF(+All!$H639="Stanford",+All!N639,IF(+All!$F639="Stanford",+All!N639,0))</f>
        <v>Washington State</v>
      </c>
      <c r="O97" s="462">
        <f>IF(+All!$H639="Stanford",+All!O639,IF(+All!$F639="Stanford",+All!O639,0))</f>
        <v>52</v>
      </c>
      <c r="P97" s="462" t="str">
        <f>IF(+All!$H639="Stanford",+All!P639,IF(+All!$F639="Stanford",+All!P639,0))</f>
        <v>Stanford</v>
      </c>
      <c r="Q97" s="461">
        <f>IF(+All!$H639="Stanford",+All!Q639,IF(+All!$F639="Stanford",+All!Q639,0))</f>
        <v>14</v>
      </c>
      <c r="R97" s="460" t="str">
        <f>IF(+All!$H639="Stanford",+All!R639,IF(+All!$F639="Stanford",+All!R639,0))</f>
        <v>Washington State</v>
      </c>
      <c r="S97" s="462" t="str">
        <f>IF(+All!$H639="Stanford",+All!S639,IF(+All!$F639="Stanford",+All!S639,0))</f>
        <v>Stanford</v>
      </c>
      <c r="T97" s="460" t="str">
        <f>IF(+All!$H639="Stanford",+All!T639,IF(+All!$F639="Stanford",+All!T639,0))</f>
        <v>Washington State</v>
      </c>
      <c r="U97" s="461" t="str">
        <f>IF(+All!$H639="Stanford",+All!U639,IF(+All!$F639="Stanford",+All!U639,0))</f>
        <v>W</v>
      </c>
    </row>
    <row r="98" spans="1:21" x14ac:dyDescent="0.8">
      <c r="A98" s="46">
        <f>IF(+All!$H702="Stanford",+All!A702,IF(+All!$F702="Stanford",+All!A702,0))</f>
        <v>11</v>
      </c>
      <c r="B98" s="348" t="str">
        <f>IF(+All!$H702="Stanford",+All!B702,IF(+All!$F702="Stanford",+All!B702,0))</f>
        <v>Sat</v>
      </c>
      <c r="C98" s="72">
        <f>IF(+All!$H702="Stanford",+All!C702,IF(+All!$F702="Stanford",+All!C702,0))</f>
        <v>44877</v>
      </c>
      <c r="D98" s="73">
        <f>IF(+All!$H702="Stanford",+All!D702,IF(+All!$F702="Stanford",+All!D702,0))</f>
        <v>0.91666666666666663</v>
      </c>
      <c r="E98" s="461" t="str">
        <f>IF(+All!$H702="Stanford",+All!E702,IF(+All!$F702="Stanford",+All!E702,0))</f>
        <v>ESPN</v>
      </c>
      <c r="F98" s="460" t="str">
        <f>IF(+All!$H702="Stanford",+All!F702,IF(+All!$F702="Stanford",+All!F702,0))</f>
        <v>Stanford</v>
      </c>
      <c r="G98" s="461" t="str">
        <f>IF(+All!$H702="Stanford",+All!G702,IF(+All!$F702="Stanford",+All!G702,0))</f>
        <v>P12</v>
      </c>
      <c r="H98" s="460" t="str">
        <f>IF(+All!$H702="Stanford",+All!H702,IF(+All!$F702="Stanford",+All!H702,0))</f>
        <v>Utah</v>
      </c>
      <c r="I98" s="461" t="str">
        <f>IF(+All!$H702="Stanford",+All!I702,IF(+All!$F702="Stanford",+All!I702,0))</f>
        <v>P12</v>
      </c>
      <c r="J98" s="460" t="str">
        <f>IF(+All!$H702="Stanford",+All!J702,IF(+All!$F702="Stanford",+All!J702,0))</f>
        <v>Utah</v>
      </c>
      <c r="K98" s="461" t="str">
        <f>IF(+All!$H702="Stanford",+All!K702,IF(+All!$F702="Stanford",+All!K702,0))</f>
        <v>Stanford</v>
      </c>
      <c r="L98" s="60">
        <f>IF(+All!$H702="Stanford",+All!L702,IF(+All!$F702="Stanford",+All!L702,0))</f>
        <v>24</v>
      </c>
      <c r="M98" s="61">
        <f>IF(+All!$H702="Stanford",+All!M702,IF(+All!$F702="Stanford",+All!M702,0))</f>
        <v>53.5</v>
      </c>
      <c r="N98" s="460" t="str">
        <f>IF(+All!$H702="Stanford",+All!N702,IF(+All!$F702="Stanford",+All!N702,0))</f>
        <v>Utah</v>
      </c>
      <c r="O98" s="462">
        <f>IF(+All!$H702="Stanford",+All!O702,IF(+All!$F702="Stanford",+All!O702,0))</f>
        <v>42</v>
      </c>
      <c r="P98" s="462" t="str">
        <f>IF(+All!$H702="Stanford",+All!P702,IF(+All!$F702="Stanford",+All!P702,0))</f>
        <v>Stanford</v>
      </c>
      <c r="Q98" s="461">
        <f>IF(+All!$H702="Stanford",+All!Q702,IF(+All!$F702="Stanford",+All!Q702,0))</f>
        <v>7</v>
      </c>
      <c r="R98" s="460" t="str">
        <f>IF(+All!$H702="Stanford",+All!R702,IF(+All!$F702="Stanford",+All!R702,0))</f>
        <v>Utah</v>
      </c>
      <c r="S98" s="462" t="str">
        <f>IF(+All!$H702="Stanford",+All!S702,IF(+All!$F702="Stanford",+All!S702,0))</f>
        <v>Stanford</v>
      </c>
      <c r="T98" s="460" t="str">
        <f>IF(+All!$H702="Stanford",+All!T702,IF(+All!$F702="Stanford",+All!T702,0))</f>
        <v>Stanford</v>
      </c>
      <c r="U98" s="461" t="str">
        <f>IF(+All!$H702="Stanford",+All!U702,IF(+All!$F702="Stanford",+All!U702,0))</f>
        <v>L</v>
      </c>
    </row>
    <row r="99" spans="1:21" x14ac:dyDescent="0.8">
      <c r="A99" s="46">
        <f>IF(+All!$H765="Stanford",+All!A765,IF(+All!$F765="Stanford",+All!A765,0))</f>
        <v>12</v>
      </c>
      <c r="B99" s="348" t="str">
        <f>IF(+All!$H765="Stanford",+All!B765,IF(+All!$F765="Stanford",+All!B765,0))</f>
        <v>Sat</v>
      </c>
      <c r="C99" s="72">
        <f>IF(+All!$H765="Stanford",+All!C765,IF(+All!$F765="Stanford",+All!C765,0))</f>
        <v>44884</v>
      </c>
      <c r="D99" s="73">
        <f>IF(+All!$H765="Stanford",+All!D765,IF(+All!$F765="Stanford",+All!D765,0))</f>
        <v>0.72916666666666663</v>
      </c>
      <c r="E99" s="461" t="str">
        <f>IF(+All!$H765="Stanford",+All!E765,IF(+All!$F765="Stanford",+All!E765,0))</f>
        <v>PAC12</v>
      </c>
      <c r="F99" s="460" t="str">
        <f>IF(+All!$H765="Stanford",+All!F765,IF(+All!$F765="Stanford",+All!F765,0))</f>
        <v>Stanford</v>
      </c>
      <c r="G99" s="461" t="str">
        <f>IF(+All!$H765="Stanford",+All!G765,IF(+All!$F765="Stanford",+All!G765,0))</f>
        <v>P12</v>
      </c>
      <c r="H99" s="460" t="str">
        <f>IF(+All!$H765="Stanford",+All!H765,IF(+All!$F765="Stanford",+All!H765,0))</f>
        <v>California</v>
      </c>
      <c r="I99" s="461" t="str">
        <f>IF(+All!$H765="Stanford",+All!I765,IF(+All!$F765="Stanford",+All!I765,0))</f>
        <v>P12</v>
      </c>
      <c r="J99" s="460" t="str">
        <f>IF(+All!$H765="Stanford",+All!J765,IF(+All!$F765="Stanford",+All!J765,0))</f>
        <v>California</v>
      </c>
      <c r="K99" s="461" t="str">
        <f>IF(+All!$H765="Stanford",+All!K765,IF(+All!$F765="Stanford",+All!K765,0))</f>
        <v>Stanford</v>
      </c>
      <c r="L99" s="60">
        <f>IF(+All!$H765="Stanford",+All!L765,IF(+All!$F765="Stanford",+All!L765,0))</f>
        <v>5</v>
      </c>
      <c r="M99" s="61">
        <f>IF(+All!$H765="Stanford",+All!M765,IF(+All!$F765="Stanford",+All!M765,0))</f>
        <v>46</v>
      </c>
      <c r="N99" s="460" t="str">
        <f>IF(+All!$H765="Stanford",+All!N765,IF(+All!$F765="Stanford",+All!N765,0))</f>
        <v>California</v>
      </c>
      <c r="O99" s="462">
        <f>IF(+All!$H765="Stanford",+All!O765,IF(+All!$F765="Stanford",+All!O765,0))</f>
        <v>27</v>
      </c>
      <c r="P99" s="462" t="str">
        <f>IF(+All!$H765="Stanford",+All!P765,IF(+All!$F765="Stanford",+All!P765,0))</f>
        <v>Stanford</v>
      </c>
      <c r="Q99" s="461">
        <f>IF(+All!$H765="Stanford",+All!Q765,IF(+All!$F765="Stanford",+All!Q765,0))</f>
        <v>20</v>
      </c>
      <c r="R99" s="460" t="str">
        <f>IF(+All!$H765="Stanford",+All!R765,IF(+All!$F765="Stanford",+All!R765,0))</f>
        <v>California</v>
      </c>
      <c r="S99" s="462" t="str">
        <f>IF(+All!$H765="Stanford",+All!S765,IF(+All!$F765="Stanford",+All!S765,0))</f>
        <v>Stanford</v>
      </c>
      <c r="T99" s="460" t="str">
        <f>IF(+All!$H765="Stanford",+All!T765,IF(+All!$F765="Stanford",+All!T765,0))</f>
        <v>Stanford</v>
      </c>
      <c r="U99" s="461" t="str">
        <f>IF(+All!$H765="Stanford",+All!U765,IF(+All!$F765="Stanford",+All!U765,0))</f>
        <v>L</v>
      </c>
    </row>
    <row r="100" spans="1:21" ht="16.899999999999999" customHeight="1" x14ac:dyDescent="0.8">
      <c r="A100" s="46">
        <f>IF(+All!$H835="Stanford",+All!A835,IF(+All!$F835="Stanford",+All!A835,0))</f>
        <v>13</v>
      </c>
      <c r="B100" s="348" t="str">
        <f>IF(+All!$H835="Stanford",+All!B835,IF(+All!$F835="Stanford",+All!B835,0))</f>
        <v>Sat</v>
      </c>
      <c r="C100" s="72">
        <f>IF(+All!$H835="Stanford",+All!C835,IF(+All!$F835="Stanford",+All!C835,0))</f>
        <v>44891</v>
      </c>
      <c r="D100" s="73">
        <f>IF(+All!$H835="Stanford",+All!D835,IF(+All!$F835="Stanford",+All!D835,0))</f>
        <v>0.95833333333333337</v>
      </c>
      <c r="E100" s="461" t="str">
        <f>IF(+All!$H835="Stanford",+All!E835,IF(+All!$F835="Stanford",+All!E835,0))</f>
        <v>FS1</v>
      </c>
      <c r="F100" s="460" t="str">
        <f>IF(+All!$H835="Stanford",+All!F835,IF(+All!$F835="Stanford",+All!F835,0))</f>
        <v>BYU</v>
      </c>
      <c r="G100" s="461" t="str">
        <f>IF(+All!$H835="Stanford",+All!G835,IF(+All!$F835="Stanford",+All!G835,0))</f>
        <v>Ind</v>
      </c>
      <c r="H100" s="460" t="str">
        <f>IF(+All!$H835="Stanford",+All!H835,IF(+All!$F835="Stanford",+All!H835,0))</f>
        <v>Stanford</v>
      </c>
      <c r="I100" s="461" t="str">
        <f>IF(+All!$H835="Stanford",+All!I835,IF(+All!$F835="Stanford",+All!I835,0))</f>
        <v>P12</v>
      </c>
      <c r="J100" s="460" t="str">
        <f>IF(+All!$H835="Stanford",+All!J835,IF(+All!$F835="Stanford",+All!J835,0))</f>
        <v>BYU</v>
      </c>
      <c r="K100" s="461" t="str">
        <f>IF(+All!$H835="Stanford",+All!K835,IF(+All!$F835="Stanford",+All!K835,0))</f>
        <v>Stanford</v>
      </c>
      <c r="L100" s="60">
        <f>IF(+All!$H835="Stanford",+All!L835,IF(+All!$F835="Stanford",+All!L835,0))</f>
        <v>6.5</v>
      </c>
      <c r="M100" s="61">
        <f>IF(+All!$H835="Stanford",+All!M835,IF(+All!$F835="Stanford",+All!M835,0))</f>
        <v>57.5</v>
      </c>
      <c r="N100" s="460" t="str">
        <f>IF(+All!$H835="Stanford",+All!N835,IF(+All!$F835="Stanford",+All!N835,0))</f>
        <v>BYU</v>
      </c>
      <c r="O100" s="462">
        <f>IF(+All!$H835="Stanford",+All!O835,IF(+All!$F835="Stanford",+All!O835,0))</f>
        <v>35</v>
      </c>
      <c r="P100" s="462" t="str">
        <f>IF(+All!$H835="Stanford",+All!P835,IF(+All!$F835="Stanford",+All!P835,0))</f>
        <v>Stanford</v>
      </c>
      <c r="Q100" s="461">
        <f>IF(+All!$H835="Stanford",+All!Q835,IF(+All!$F835="Stanford",+All!Q835,0))</f>
        <v>26</v>
      </c>
      <c r="R100" s="460" t="str">
        <f>IF(+All!$H835="Stanford",+All!R835,IF(+All!$F835="Stanford",+All!R835,0))</f>
        <v>BYU</v>
      </c>
      <c r="S100" s="462" t="str">
        <f>IF(+All!$H835="Stanford",+All!S835,IF(+All!$F835="Stanford",+All!S835,0))</f>
        <v>Stanford</v>
      </c>
      <c r="T100" s="460" t="str">
        <f>IF(+All!$H835="Stanford",+All!T835,IF(+All!$F835="Stanford",+All!T835,0))</f>
        <v>BYU</v>
      </c>
      <c r="U100" s="461" t="str">
        <f>IF(+All!$H835="Stanford",+All!U835,IF(+All!$F835="Stanford",+All!U835,0))</f>
        <v>W</v>
      </c>
    </row>
    <row r="101" spans="1:21" ht="16.899999999999999" customHeight="1" x14ac:dyDescent="0.8">
      <c r="B101" s="348"/>
      <c r="E101" s="461"/>
      <c r="F101" s="897" t="str">
        <f>F103</f>
        <v>Southern Cal</v>
      </c>
      <c r="G101" s="903"/>
      <c r="H101" s="903"/>
      <c r="I101" s="904"/>
      <c r="J101" s="460"/>
      <c r="K101" s="461"/>
      <c r="N101" s="460"/>
      <c r="O101" s="462"/>
      <c r="P101" s="462"/>
      <c r="Q101" s="461"/>
      <c r="R101" s="460"/>
      <c r="S101" s="462"/>
      <c r="T101" s="460"/>
      <c r="U101" s="461"/>
    </row>
    <row r="102" spans="1:21" x14ac:dyDescent="0.8">
      <c r="A102" s="46">
        <f>IF(+All!$H69="Southern Cal",+All!A69,IF(+All!$F69="Southern Cal",+All!A69,0))</f>
        <v>1</v>
      </c>
      <c r="B102" s="348" t="str">
        <f>IF(+All!$H69="Southern Cal",+All!B69,IF(+All!$F69="Southern Cal",+All!B69,0))</f>
        <v>Sat</v>
      </c>
      <c r="C102" s="72">
        <f>IF(+All!$H69="Southern Cal",+All!C69,IF(+All!$F69="Southern Cal",+All!C69,0))</f>
        <v>44807</v>
      </c>
      <c r="D102" s="73">
        <f>IF(+All!$H69="Southern Cal",+All!D69,IF(+All!$F69="Southern Cal",+All!D69,0))</f>
        <v>0.75</v>
      </c>
      <c r="E102" s="461" t="str">
        <f>IF(+All!$H69="Southern Cal",+All!E69,IF(+All!$F69="Southern Cal",+All!E69,0))</f>
        <v>PAC12</v>
      </c>
      <c r="F102" s="460" t="str">
        <f>IF(+All!$H69="Southern Cal",+All!F69,IF(+All!$F69="Southern Cal",+All!F69,0))</f>
        <v>Rice</v>
      </c>
      <c r="G102" s="461" t="str">
        <f>IF(+All!$H69="Southern Cal",+All!G69,IF(+All!$F69="Southern Cal",+All!G69,0))</f>
        <v>CUSA</v>
      </c>
      <c r="H102" s="460" t="str">
        <f>IF(+All!$H69="Southern Cal",+All!H69,IF(+All!$F69="Southern Cal",+All!H69,0))</f>
        <v>Southern Cal</v>
      </c>
      <c r="I102" s="461" t="str">
        <f>IF(+All!$H69="Southern Cal",+All!I69,IF(+All!$F69="Southern Cal",+All!I69,0))</f>
        <v>P12</v>
      </c>
      <c r="J102" s="460" t="str">
        <f>IF(+All!$H69="Southern Cal",+All!J69,IF(+All!$F69="Southern Cal",+All!J69,0))</f>
        <v>Southern Cal</v>
      </c>
      <c r="K102" s="461" t="str">
        <f>IF(+All!$H69="Southern Cal",+All!K69,IF(+All!$F69="Southern Cal",+All!K69,0))</f>
        <v>Rice</v>
      </c>
      <c r="L102" s="60">
        <f>IF(+All!$H69="Southern Cal",+All!L69,IF(+All!$F69="Southern Cal",+All!L69,0))</f>
        <v>32.5</v>
      </c>
      <c r="M102" s="61">
        <f>IF(+All!$H69="Southern Cal",+All!M69,IF(+All!$F69="Southern Cal",+All!M69,0))</f>
        <v>61.5</v>
      </c>
      <c r="N102" s="460" t="str">
        <f>IF(+All!$H69="Southern Cal",+All!N69,IF(+All!$F69="Southern Cal",+All!N69,0))</f>
        <v>Southern Cal</v>
      </c>
      <c r="O102" s="462">
        <f>IF(+All!$H69="Southern Cal",+All!O69,IF(+All!$F69="Southern Cal",+All!O69,0))</f>
        <v>66</v>
      </c>
      <c r="P102" s="462" t="str">
        <f>IF(+All!$H69="Southern Cal",+All!P69,IF(+All!$F69="Southern Cal",+All!P69,0))</f>
        <v>Rice</v>
      </c>
      <c r="Q102" s="461">
        <f>IF(+All!$H69="Southern Cal",+All!Q69,IF(+All!$F69="Southern Cal",+All!Q69,0))</f>
        <v>14</v>
      </c>
      <c r="R102" s="460" t="str">
        <f>IF(+All!$H69="Southern Cal",+All!R69,IF(+All!$F69="Southern Cal",+All!R69,0))</f>
        <v>Southern Cal</v>
      </c>
      <c r="S102" s="462" t="str">
        <f>IF(+All!$H69="Southern Cal",+All!S69,IF(+All!$F69="Southern Cal",+All!S69,0))</f>
        <v>Rice</v>
      </c>
      <c r="T102" s="460" t="str">
        <f>IF(+All!$H69="Southern Cal",+All!T69,IF(+All!$F69="Southern Cal",+All!T69,0))</f>
        <v>Southern Cal</v>
      </c>
      <c r="U102" s="461" t="str">
        <f>IF(+All!$H69="Southern Cal",+All!U69,IF(+All!$F69="Southern Cal",+All!U69,0))</f>
        <v>W</v>
      </c>
    </row>
    <row r="103" spans="1:21" x14ac:dyDescent="0.8">
      <c r="A103" s="46">
        <f>IF(+All!$H161="Southern Cal",+All!A161,IF(+All!$F161="Southern Cal",+All!A161,0))</f>
        <v>2</v>
      </c>
      <c r="B103" s="348" t="str">
        <f>IF(+All!$H161="Southern Cal",+All!B161,IF(+All!$F161="Southern Cal",+All!B161,0))</f>
        <v>Sat</v>
      </c>
      <c r="C103" s="72">
        <f>IF(+All!$H161="Southern Cal",+All!C161,IF(+All!$F161="Southern Cal",+All!C161,0))</f>
        <v>44814</v>
      </c>
      <c r="D103" s="73">
        <f>IF(+All!$H161="Southern Cal",+All!D161,IF(+All!$F161="Southern Cal",+All!D161,0))</f>
        <v>0.8125</v>
      </c>
      <c r="E103" s="461" t="str">
        <f>IF(+All!$H161="Southern Cal",+All!E161,IF(+All!$F161="Southern Cal",+All!E161,0))</f>
        <v>ABC</v>
      </c>
      <c r="F103" s="460" t="str">
        <f>IF(+All!$H161="Southern Cal",+All!F161,IF(+All!$F161="Southern Cal",+All!F161,0))</f>
        <v>Southern Cal</v>
      </c>
      <c r="G103" s="461" t="str">
        <f>IF(+All!$H161="Southern Cal",+All!G161,IF(+All!$F161="Southern Cal",+All!G161,0))</f>
        <v>P12</v>
      </c>
      <c r="H103" s="460" t="str">
        <f>IF(+All!$H161="Southern Cal",+All!H161,IF(+All!$F161="Southern Cal",+All!H161,0))</f>
        <v>Stanford</v>
      </c>
      <c r="I103" s="461" t="str">
        <f>IF(+All!$H161="Southern Cal",+All!I161,IF(+All!$F161="Southern Cal",+All!I161,0))</f>
        <v>P12</v>
      </c>
      <c r="J103" s="460" t="str">
        <f>IF(+All!$H161="Southern Cal",+All!J161,IF(+All!$F161="Southern Cal",+All!J161,0))</f>
        <v>Southern Cal</v>
      </c>
      <c r="K103" s="461" t="str">
        <f>IF(+All!$H161="Southern Cal",+All!K161,IF(+All!$F161="Southern Cal",+All!K161,0))</f>
        <v>Stanford</v>
      </c>
      <c r="L103" s="60">
        <f>IF(+All!$H161="Southern Cal",+All!L161,IF(+All!$F161="Southern Cal",+All!L161,0))</f>
        <v>8.5</v>
      </c>
      <c r="M103" s="61">
        <f>IF(+All!$H161="Southern Cal",+All!M161,IF(+All!$F161="Southern Cal",+All!M161,0))</f>
        <v>67</v>
      </c>
      <c r="N103" s="460" t="str">
        <f>IF(+All!$H161="Southern Cal",+All!N161,IF(+All!$F161="Southern Cal",+All!N161,0))</f>
        <v>Southern Cal</v>
      </c>
      <c r="O103" s="462">
        <f>IF(+All!$H161="Southern Cal",+All!O161,IF(+All!$F161="Southern Cal",+All!O161,0))</f>
        <v>41</v>
      </c>
      <c r="P103" s="462" t="str">
        <f>IF(+All!$H161="Southern Cal",+All!P161,IF(+All!$F161="Southern Cal",+All!P161,0))</f>
        <v>Stanford</v>
      </c>
      <c r="Q103" s="461">
        <f>IF(+All!$H161="Southern Cal",+All!Q161,IF(+All!$F161="Southern Cal",+All!Q161,0))</f>
        <v>28</v>
      </c>
      <c r="R103" s="460" t="str">
        <f>IF(+All!$H161="Southern Cal",+All!R161,IF(+All!$F161="Southern Cal",+All!R161,0))</f>
        <v>Southern Cal</v>
      </c>
      <c r="S103" s="462" t="str">
        <f>IF(+All!$H161="Southern Cal",+All!S161,IF(+All!$F161="Southern Cal",+All!S161,0))</f>
        <v>Stanford</v>
      </c>
      <c r="T103" s="460" t="str">
        <f>IF(+All!$H161="Southern Cal",+All!T161,IF(+All!$F161="Southern Cal",+All!T161,0))</f>
        <v>Southern Cal</v>
      </c>
      <c r="U103" s="461" t="str">
        <f>IF(+All!$H161="Southern Cal",+All!U161,IF(+All!$F161="Southern Cal",+All!U161,0))</f>
        <v>W</v>
      </c>
    </row>
    <row r="104" spans="1:21" x14ac:dyDescent="0.8">
      <c r="A104" s="46">
        <f>IF(+All!$H233="Southern Cal",+All!A233,IF(+All!$F233="Southern Cal",+All!A233,0))</f>
        <v>3</v>
      </c>
      <c r="B104" s="348" t="str">
        <f>IF(+All!$H233="Southern Cal",+All!B233,IF(+All!$F233="Southern Cal",+All!B233,0))</f>
        <v>Sat</v>
      </c>
      <c r="C104" s="72">
        <f>IF(+All!$H233="Southern Cal",+All!C233,IF(+All!$F233="Southern Cal",+All!C233,0))</f>
        <v>44821</v>
      </c>
      <c r="D104" s="73">
        <f>IF(+All!$H233="Southern Cal",+All!D233,IF(+All!$F233="Southern Cal",+All!D233,0))</f>
        <v>0.9375</v>
      </c>
      <c r="E104" s="461" t="str">
        <f>IF(+All!$H233="Southern Cal",+All!E233,IF(+All!$F233="Southern Cal",+All!E233,0))</f>
        <v>Fox</v>
      </c>
      <c r="F104" s="460" t="str">
        <f>IF(+All!$H233="Southern Cal",+All!F233,IF(+All!$F233="Southern Cal",+All!F233,0))</f>
        <v>Fresno State</v>
      </c>
      <c r="G104" s="461" t="str">
        <f>IF(+All!$H233="Southern Cal",+All!G233,IF(+All!$F233="Southern Cal",+All!G233,0))</f>
        <v>MWC</v>
      </c>
      <c r="H104" s="460" t="str">
        <f>IF(+All!$H233="Southern Cal",+All!H233,IF(+All!$F233="Southern Cal",+All!H233,0))</f>
        <v>Southern Cal</v>
      </c>
      <c r="I104" s="461" t="str">
        <f>IF(+All!$H233="Southern Cal",+All!I233,IF(+All!$F233="Southern Cal",+All!I233,0))</f>
        <v>P12</v>
      </c>
      <c r="J104" s="460" t="str">
        <f>IF(+All!$H233="Southern Cal",+All!J233,IF(+All!$F233="Southern Cal",+All!J233,0))</f>
        <v>Southern Cal</v>
      </c>
      <c r="K104" s="461" t="str">
        <f>IF(+All!$H233="Southern Cal",+All!K233,IF(+All!$F233="Southern Cal",+All!K233,0))</f>
        <v>Fresno State</v>
      </c>
      <c r="L104" s="60">
        <f>IF(+All!$H233="Southern Cal",+All!L233,IF(+All!$F233="Southern Cal",+All!L233,0))</f>
        <v>12.5</v>
      </c>
      <c r="M104" s="61">
        <f>IF(+All!$H233="Southern Cal",+All!M233,IF(+All!$F233="Southern Cal",+All!M233,0))</f>
        <v>73.5</v>
      </c>
      <c r="N104" s="460" t="str">
        <f>IF(+All!$H233="Southern Cal",+All!N233,IF(+All!$F233="Southern Cal",+All!N233,0))</f>
        <v>Southern Cal</v>
      </c>
      <c r="O104" s="462">
        <f>IF(+All!$H233="Southern Cal",+All!O233,IF(+All!$F233="Southern Cal",+All!O233,0))</f>
        <v>45</v>
      </c>
      <c r="P104" s="462" t="str">
        <f>IF(+All!$H233="Southern Cal",+All!P233,IF(+All!$F233="Southern Cal",+All!P233,0))</f>
        <v>Fresno State</v>
      </c>
      <c r="Q104" s="461">
        <f>IF(+All!$H233="Southern Cal",+All!Q233,IF(+All!$F233="Southern Cal",+All!Q233,0))</f>
        <v>17</v>
      </c>
      <c r="R104" s="460" t="str">
        <f>IF(+All!$H233="Southern Cal",+All!R233,IF(+All!$F233="Southern Cal",+All!R233,0))</f>
        <v>Southern Cal</v>
      </c>
      <c r="S104" s="462" t="str">
        <f>IF(+All!$H233="Southern Cal",+All!S233,IF(+All!$F233="Southern Cal",+All!S233,0))</f>
        <v>Fresno State</v>
      </c>
      <c r="T104" s="460" t="str">
        <f>IF(+All!$H233="Southern Cal",+All!T233,IF(+All!$F233="Southern Cal",+All!T233,0))</f>
        <v>Southern Cal</v>
      </c>
      <c r="U104" s="461" t="str">
        <f>IF(+All!$H233="Southern Cal",+All!U233,IF(+All!$F233="Southern Cal",+All!U233,0))</f>
        <v>W</v>
      </c>
    </row>
    <row r="105" spans="1:21" x14ac:dyDescent="0.8">
      <c r="A105" s="46">
        <f>IF(+All!$H298="Southern Cal",+All!A298,IF(+All!$F298="Southern Cal",+All!A298,0))</f>
        <v>4</v>
      </c>
      <c r="B105" s="348" t="str">
        <f>IF(+All!$H298="Southern Cal",+All!B298,IF(+All!$F298="Southern Cal",+All!B298,0))</f>
        <v>Sat</v>
      </c>
      <c r="C105" s="72">
        <f>IF(+All!$H298="Southern Cal",+All!C298,IF(+All!$F298="Southern Cal",+All!C298,0))</f>
        <v>44828</v>
      </c>
      <c r="D105" s="73">
        <f>IF(+All!$H298="Southern Cal",+All!D298,IF(+All!$F298="Southern Cal",+All!D298,0))</f>
        <v>0.89583333333333337</v>
      </c>
      <c r="E105" s="461" t="str">
        <f>IF(+All!$H298="Southern Cal",+All!E298,IF(+All!$F298="Southern Cal",+All!E298,0))</f>
        <v>PAC12</v>
      </c>
      <c r="F105" s="460" t="str">
        <f>IF(+All!$H298="Southern Cal",+All!F298,IF(+All!$F298="Southern Cal",+All!F298,0))</f>
        <v>Southern Cal</v>
      </c>
      <c r="G105" s="461" t="str">
        <f>IF(+All!$H298="Southern Cal",+All!G298,IF(+All!$F298="Southern Cal",+All!G298,0))</f>
        <v>P12</v>
      </c>
      <c r="H105" s="460" t="str">
        <f>IF(+All!$H298="Southern Cal",+All!H298,IF(+All!$F298="Southern Cal",+All!H298,0))</f>
        <v>Oregon State</v>
      </c>
      <c r="I105" s="461" t="str">
        <f>IF(+All!$H298="Southern Cal",+All!I298,IF(+All!$F298="Southern Cal",+All!I298,0))</f>
        <v>P12</v>
      </c>
      <c r="J105" s="460" t="str">
        <f>IF(+All!$H298="Southern Cal",+All!J298,IF(+All!$F298="Southern Cal",+All!J298,0))</f>
        <v>Southern Cal</v>
      </c>
      <c r="K105" s="461" t="str">
        <f>IF(+All!$H298="Southern Cal",+All!K298,IF(+All!$F298="Southern Cal",+All!K298,0))</f>
        <v>Oregon State</v>
      </c>
      <c r="L105" s="60">
        <f>IF(+All!$H298="Southern Cal",+All!L298,IF(+All!$F298="Southern Cal",+All!L298,0))</f>
        <v>5.5</v>
      </c>
      <c r="M105" s="61">
        <f>IF(+All!$H298="Southern Cal",+All!M298,IF(+All!$F298="Southern Cal",+All!M298,0))</f>
        <v>70.5</v>
      </c>
      <c r="N105" s="460" t="str">
        <f>IF(+All!$H298="Southern Cal",+All!N298,IF(+All!$F298="Southern Cal",+All!N298,0))</f>
        <v>Southern Cal</v>
      </c>
      <c r="O105" s="462">
        <f>IF(+All!$H298="Southern Cal",+All!O298,IF(+All!$F298="Southern Cal",+All!O298,0))</f>
        <v>17</v>
      </c>
      <c r="P105" s="462" t="str">
        <f>IF(+All!$H298="Southern Cal",+All!P298,IF(+All!$F298="Southern Cal",+All!P298,0))</f>
        <v>Oregon State</v>
      </c>
      <c r="Q105" s="461">
        <f>IF(+All!$H298="Southern Cal",+All!Q298,IF(+All!$F298="Southern Cal",+All!Q298,0))</f>
        <v>14</v>
      </c>
      <c r="R105" s="460" t="str">
        <f>IF(+All!$H298="Southern Cal",+All!R298,IF(+All!$F298="Southern Cal",+All!R298,0))</f>
        <v>Oregon State</v>
      </c>
      <c r="S105" s="462" t="str">
        <f>IF(+All!$H298="Southern Cal",+All!S298,IF(+All!$F298="Southern Cal",+All!S298,0))</f>
        <v>Southern Cal</v>
      </c>
      <c r="T105" s="460" t="str">
        <f>IF(+All!$H298="Southern Cal",+All!T298,IF(+All!$F298="Southern Cal",+All!T298,0))</f>
        <v>Southern Cal</v>
      </c>
      <c r="U105" s="461" t="str">
        <f>IF(+All!$H298="Southern Cal",+All!U298,IF(+All!$F298="Southern Cal",+All!U298,0))</f>
        <v>L</v>
      </c>
    </row>
    <row r="106" spans="1:21" x14ac:dyDescent="0.8">
      <c r="A106" s="46">
        <f>IF(+All!$H365="Southern Cal",+All!A365,IF(+All!$F365="Southern Cal",+All!A365,0))</f>
        <v>5</v>
      </c>
      <c r="B106" s="348" t="str">
        <f>IF(+All!$H365="Southern Cal",+All!B365,IF(+All!$F365="Southern Cal",+All!B365,0))</f>
        <v>Sat</v>
      </c>
      <c r="C106" s="72">
        <f>IF(+All!$H365="Southern Cal",+All!C365,IF(+All!$F365="Southern Cal",+All!C365,0))</f>
        <v>44835</v>
      </c>
      <c r="D106" s="73">
        <f>IF(+All!$H365="Southern Cal",+All!D365,IF(+All!$F365="Southern Cal",+All!D365,0))</f>
        <v>0.9375</v>
      </c>
      <c r="E106" s="461" t="str">
        <f>IF(+All!$H365="Southern Cal",+All!E365,IF(+All!$F365="Southern Cal",+All!E365,0))</f>
        <v>ESPN</v>
      </c>
      <c r="F106" s="460" t="str">
        <f>IF(+All!$H365="Southern Cal",+All!F365,IF(+All!$F365="Southern Cal",+All!F365,0))</f>
        <v>Arizona State</v>
      </c>
      <c r="G106" s="461" t="str">
        <f>IF(+All!$H365="Southern Cal",+All!G365,IF(+All!$F365="Southern Cal",+All!G365,0))</f>
        <v>P12</v>
      </c>
      <c r="H106" s="460" t="str">
        <f>IF(+All!$H365="Southern Cal",+All!H365,IF(+All!$F365="Southern Cal",+All!H365,0))</f>
        <v>Southern Cal</v>
      </c>
      <c r="I106" s="461" t="str">
        <f>IF(+All!$H365="Southern Cal",+All!I365,IF(+All!$F365="Southern Cal",+All!I365,0))</f>
        <v>P12</v>
      </c>
      <c r="J106" s="460" t="str">
        <f>IF(+All!$H365="Southern Cal",+All!J365,IF(+All!$F365="Southern Cal",+All!J365,0))</f>
        <v>Southern Cal</v>
      </c>
      <c r="K106" s="461" t="str">
        <f>IF(+All!$H365="Southern Cal",+All!K365,IF(+All!$F365="Southern Cal",+All!K365,0))</f>
        <v>Arizona State</v>
      </c>
      <c r="L106" s="60">
        <f>IF(+All!$H365="Southern Cal",+All!L365,IF(+All!$F365="Southern Cal",+All!L365,0))</f>
        <v>26</v>
      </c>
      <c r="M106" s="61">
        <f>IF(+All!$H365="Southern Cal",+All!M365,IF(+All!$F365="Southern Cal",+All!M365,0))</f>
        <v>60.5</v>
      </c>
      <c r="N106" s="460" t="str">
        <f>IF(+All!$H365="Southern Cal",+All!N365,IF(+All!$F365="Southern Cal",+All!N365,0))</f>
        <v>Southern Cal</v>
      </c>
      <c r="O106" s="462">
        <f>IF(+All!$H365="Southern Cal",+All!O365,IF(+All!$F365="Southern Cal",+All!O365,0))</f>
        <v>42</v>
      </c>
      <c r="P106" s="462" t="str">
        <f>IF(+All!$H365="Southern Cal",+All!P365,IF(+All!$F365="Southern Cal",+All!P365,0))</f>
        <v>Arizona State</v>
      </c>
      <c r="Q106" s="461">
        <f>IF(+All!$H365="Southern Cal",+All!Q365,IF(+All!$F365="Southern Cal",+All!Q365,0))</f>
        <v>25</v>
      </c>
      <c r="R106" s="460" t="str">
        <f>IF(+All!$H365="Southern Cal",+All!R365,IF(+All!$F365="Southern Cal",+All!R365,0))</f>
        <v>Arizona State</v>
      </c>
      <c r="S106" s="462" t="str">
        <f>IF(+All!$H365="Southern Cal",+All!S365,IF(+All!$F365="Southern Cal",+All!S365,0))</f>
        <v>Southern Cal</v>
      </c>
      <c r="T106" s="460" t="str">
        <f>IF(+All!$H365="Southern Cal",+All!T365,IF(+All!$F365="Southern Cal",+All!T365,0))</f>
        <v>Southern Cal</v>
      </c>
      <c r="U106" s="461" t="str">
        <f>IF(+All!$H365="Southern Cal",+All!U365,IF(+All!$F365="Southern Cal",+All!U365,0))</f>
        <v>L</v>
      </c>
    </row>
    <row r="107" spans="1:21" x14ac:dyDescent="0.8">
      <c r="A107" s="46">
        <f>IF(+All!$H423="Southern Cal",+All!A423,IF(+All!$F423="Southern Cal",+All!A423,0))</f>
        <v>6</v>
      </c>
      <c r="B107" s="348" t="str">
        <f>IF(+All!$H423="Southern Cal",+All!B423,IF(+All!$F423="Southern Cal",+All!B423,0))</f>
        <v>Sat</v>
      </c>
      <c r="C107" s="72">
        <f>IF(+All!$H423="Southern Cal",+All!C423,IF(+All!$F423="Southern Cal",+All!C423,0))</f>
        <v>44842</v>
      </c>
      <c r="D107" s="73">
        <f>IF(+All!$H423="Southern Cal",+All!D423,IF(+All!$F423="Southern Cal",+All!D423,0))</f>
        <v>0.8125</v>
      </c>
      <c r="E107" s="461" t="str">
        <f>IF(+All!$H423="Southern Cal",+All!E423,IF(+All!$F423="Southern Cal",+All!E423,0))</f>
        <v>Fox</v>
      </c>
      <c r="F107" s="460" t="str">
        <f>IF(+All!$H423="Southern Cal",+All!F423,IF(+All!$F423="Southern Cal",+All!F423,0))</f>
        <v>Washington State</v>
      </c>
      <c r="G107" s="461" t="str">
        <f>IF(+All!$H423="Southern Cal",+All!G423,IF(+All!$F423="Southern Cal",+All!G423,0))</f>
        <v>P12</v>
      </c>
      <c r="H107" s="460" t="str">
        <f>IF(+All!$H423="Southern Cal",+All!H423,IF(+All!$F423="Southern Cal",+All!H423,0))</f>
        <v>Southern Cal</v>
      </c>
      <c r="I107" s="461" t="str">
        <f>IF(+All!$H423="Southern Cal",+All!I423,IF(+All!$F423="Southern Cal",+All!I423,0))</f>
        <v>P12</v>
      </c>
      <c r="J107" s="460" t="str">
        <f>IF(+All!$H423="Southern Cal",+All!J423,IF(+All!$F423="Southern Cal",+All!J423,0))</f>
        <v>Southern Cal</v>
      </c>
      <c r="K107" s="461" t="str">
        <f>IF(+All!$H423="Southern Cal",+All!K423,IF(+All!$F423="Southern Cal",+All!K423,0))</f>
        <v>Washington State</v>
      </c>
      <c r="L107" s="60">
        <f>IF(+All!$H423="Southern Cal",+All!L423,IF(+All!$F423="Southern Cal",+All!L423,0))</f>
        <v>13</v>
      </c>
      <c r="M107" s="61">
        <f>IF(+All!$H423="Southern Cal",+All!M423,IF(+All!$F423="Southern Cal",+All!M423,0))</f>
        <v>66</v>
      </c>
      <c r="N107" s="460" t="str">
        <f>IF(+All!$H423="Southern Cal",+All!N423,IF(+All!$F423="Southern Cal",+All!N423,0))</f>
        <v>Southern Cal</v>
      </c>
      <c r="O107" s="462">
        <f>IF(+All!$H423="Southern Cal",+All!O423,IF(+All!$F423="Southern Cal",+All!O423,0))</f>
        <v>30</v>
      </c>
      <c r="P107" s="462" t="str">
        <f>IF(+All!$H423="Southern Cal",+All!P423,IF(+All!$F423="Southern Cal",+All!P423,0))</f>
        <v>Washington State</v>
      </c>
      <c r="Q107" s="461">
        <f>IF(+All!$H423="Southern Cal",+All!Q423,IF(+All!$F423="Southern Cal",+All!Q423,0))</f>
        <v>14</v>
      </c>
      <c r="R107" s="460" t="str">
        <f>IF(+All!$H423="Southern Cal",+All!R423,IF(+All!$F423="Southern Cal",+All!R423,0))</f>
        <v>Southern Cal</v>
      </c>
      <c r="S107" s="462" t="str">
        <f>IF(+All!$H423="Southern Cal",+All!S423,IF(+All!$F423="Southern Cal",+All!S423,0))</f>
        <v>Washington State</v>
      </c>
      <c r="T107" s="460" t="str">
        <f>IF(+All!$H423="Southern Cal",+All!T423,IF(+All!$F423="Southern Cal",+All!T423,0))</f>
        <v>Washington State</v>
      </c>
      <c r="U107" s="461" t="str">
        <f>IF(+All!$H423="Southern Cal",+All!U423,IF(+All!$F423="Southern Cal",+All!U423,0))</f>
        <v>L</v>
      </c>
    </row>
    <row r="108" spans="1:21" x14ac:dyDescent="0.8">
      <c r="A108" s="46">
        <f>IF(+All!$H479="Southern Cal",+All!A479,IF(+All!$F479="Southern Cal",+All!A479,0))</f>
        <v>7</v>
      </c>
      <c r="B108" s="348" t="str">
        <f>IF(+All!$H479="Southern Cal",+All!B479,IF(+All!$F479="Southern Cal",+All!B479,0))</f>
        <v>Sat</v>
      </c>
      <c r="C108" s="72">
        <f>IF(+All!$H479="Southern Cal",+All!C479,IF(+All!$F479="Southern Cal",+All!C479,0))</f>
        <v>44849</v>
      </c>
      <c r="D108" s="73">
        <f>IF(+All!$H479="Southern Cal",+All!D479,IF(+All!$F479="Southern Cal",+All!D479,0))</f>
        <v>0.83333333333333337</v>
      </c>
      <c r="E108" s="461" t="str">
        <f>IF(+All!$H479="Southern Cal",+All!E479,IF(+All!$F479="Southern Cal",+All!E479,0))</f>
        <v>Fox</v>
      </c>
      <c r="F108" s="460" t="str">
        <f>IF(+All!$H479="Southern Cal",+All!F479,IF(+All!$F479="Southern Cal",+All!F479,0))</f>
        <v>Southern Cal</v>
      </c>
      <c r="G108" s="461" t="str">
        <f>IF(+All!$H479="Southern Cal",+All!G479,IF(+All!$F479="Southern Cal",+All!G479,0))</f>
        <v>P12</v>
      </c>
      <c r="H108" s="460" t="str">
        <f>IF(+All!$H479="Southern Cal",+All!H479,IF(+All!$F479="Southern Cal",+All!H479,0))</f>
        <v>Utah</v>
      </c>
      <c r="I108" s="461" t="str">
        <f>IF(+All!$H479="Southern Cal",+All!I479,IF(+All!$F479="Southern Cal",+All!I479,0))</f>
        <v>P12</v>
      </c>
      <c r="J108" s="460" t="str">
        <f>IF(+All!$H479="Southern Cal",+All!J479,IF(+All!$F479="Southern Cal",+All!J479,0))</f>
        <v>Utah</v>
      </c>
      <c r="K108" s="461" t="str">
        <f>IF(+All!$H479="Southern Cal",+All!K479,IF(+All!$F479="Southern Cal",+All!K479,0))</f>
        <v>Southern Cal</v>
      </c>
      <c r="L108" s="60">
        <f>IF(+All!$H479="Southern Cal",+All!L479,IF(+All!$F479="Southern Cal",+All!L479,0))</f>
        <v>3.5</v>
      </c>
      <c r="M108" s="61">
        <f>IF(+All!$H479="Southern Cal",+All!M479,IF(+All!$F479="Southern Cal",+All!M479,0))</f>
        <v>65</v>
      </c>
      <c r="N108" s="460" t="str">
        <f>IF(+All!$H479="Southern Cal",+All!N479,IF(+All!$F479="Southern Cal",+All!N479,0))</f>
        <v>Utah</v>
      </c>
      <c r="O108" s="462">
        <f>IF(+All!$H479="Southern Cal",+All!O479,IF(+All!$F479="Southern Cal",+All!O479,0))</f>
        <v>43</v>
      </c>
      <c r="P108" s="462" t="str">
        <f>IF(+All!$H479="Southern Cal",+All!P479,IF(+All!$F479="Southern Cal",+All!P479,0))</f>
        <v>Southern Cal</v>
      </c>
      <c r="Q108" s="461">
        <f>IF(+All!$H479="Southern Cal",+All!Q479,IF(+All!$F479="Southern Cal",+All!Q479,0))</f>
        <v>42</v>
      </c>
      <c r="R108" s="460" t="str">
        <f>IF(+All!$H479="Southern Cal",+All!R479,IF(+All!$F479="Southern Cal",+All!R479,0))</f>
        <v>Southern Cal</v>
      </c>
      <c r="S108" s="462" t="str">
        <f>IF(+All!$H479="Southern Cal",+All!S479,IF(+All!$F479="Southern Cal",+All!S479,0))</f>
        <v>Utah</v>
      </c>
      <c r="T108" s="460" t="str">
        <f>IF(+All!$H479="Southern Cal",+All!T479,IF(+All!$F479="Southern Cal",+All!T479,0))</f>
        <v>Southern Cal</v>
      </c>
      <c r="U108" s="461" t="str">
        <f>IF(+All!$H479="Southern Cal",+All!U479,IF(+All!$F479="Southern Cal",+All!U479,0))</f>
        <v>W</v>
      </c>
    </row>
    <row r="109" spans="1:21" x14ac:dyDescent="0.8">
      <c r="A109" s="46" t="e">
        <f>IF(+All!#REF!="Southern Cal",+All!#REF!,IF(+All!#REF!="Southern Cal",+All!#REF!,0))</f>
        <v>#REF!</v>
      </c>
      <c r="B109" s="348" t="e">
        <f>IF(+All!#REF!="Southern Cal",+All!#REF!,IF(+All!#REF!="Southern Cal",+All!#REF!,0))</f>
        <v>#REF!</v>
      </c>
      <c r="C109" s="72" t="e">
        <f>IF(+All!#REF!="Southern Cal",+All!#REF!,IF(+All!#REF!="Southern Cal",+All!#REF!,0))</f>
        <v>#REF!</v>
      </c>
      <c r="D109" s="73" t="e">
        <f>IF(+All!#REF!="Southern Cal",+All!#REF!,IF(+All!#REF!="Southern Cal",+All!#REF!,0))</f>
        <v>#REF!</v>
      </c>
      <c r="E109" s="461" t="e">
        <f>IF(+All!#REF!="Southern Cal",+All!#REF!,IF(+All!#REF!="Southern Cal",+All!#REF!,0))</f>
        <v>#REF!</v>
      </c>
      <c r="F109" s="460" t="e">
        <f>IF(+All!#REF!="Southern Cal",+All!#REF!,IF(+All!#REF!="Southern Cal",+All!#REF!,0))</f>
        <v>#REF!</v>
      </c>
      <c r="G109" s="461" t="e">
        <f>IF(+All!#REF!="Southern Cal",+All!#REF!,IF(+All!#REF!="Southern Cal",+All!#REF!,0))</f>
        <v>#REF!</v>
      </c>
      <c r="H109" s="460" t="e">
        <f>IF(+All!#REF!="Southern Cal",+All!#REF!,IF(+All!#REF!="Southern Cal",+All!#REF!,0))</f>
        <v>#REF!</v>
      </c>
      <c r="I109" s="461" t="e">
        <f>IF(+All!#REF!="Southern Cal",+All!#REF!,IF(+All!#REF!="Southern Cal",+All!#REF!,0))</f>
        <v>#REF!</v>
      </c>
      <c r="J109" s="460" t="e">
        <f>IF(+All!#REF!="Southern Cal",+All!#REF!,IF(+All!#REF!="Southern Cal",+All!#REF!,0))</f>
        <v>#REF!</v>
      </c>
      <c r="K109" s="461" t="e">
        <f>IF(+All!#REF!="Southern Cal",+All!#REF!,IF(+All!#REF!="Southern Cal",+All!#REF!,0))</f>
        <v>#REF!</v>
      </c>
      <c r="L109" s="60" t="e">
        <f>IF(+All!#REF!="Southern Cal",+All!#REF!,IF(+All!#REF!="Southern Cal",+All!#REF!,0))</f>
        <v>#REF!</v>
      </c>
      <c r="M109" s="61" t="e">
        <f>IF(+All!#REF!="Southern Cal",+All!#REF!,IF(+All!#REF!="Southern Cal",+All!#REF!,0))</f>
        <v>#REF!</v>
      </c>
      <c r="N109" s="460" t="e">
        <f>IF(+All!#REF!="Southern Cal",+All!#REF!,IF(+All!#REF!="Southern Cal",+All!#REF!,0))</f>
        <v>#REF!</v>
      </c>
      <c r="O109" s="462" t="e">
        <f>IF(+All!#REF!="Southern Cal",+All!#REF!,IF(+All!#REF!="Southern Cal",+All!#REF!,0))</f>
        <v>#REF!</v>
      </c>
      <c r="P109" s="462" t="e">
        <f>IF(+All!#REF!="Southern Cal",+All!#REF!,IF(+All!#REF!="Southern Cal",+All!#REF!,0))</f>
        <v>#REF!</v>
      </c>
      <c r="Q109" s="461" t="e">
        <f>IF(+All!#REF!="Southern Cal",+All!#REF!,IF(+All!#REF!="Southern Cal",+All!#REF!,0))</f>
        <v>#REF!</v>
      </c>
      <c r="R109" s="460" t="e">
        <f>IF(+All!#REF!="Southern Cal",+All!#REF!,IF(+All!#REF!="Southern Cal",+All!#REF!,0))</f>
        <v>#REF!</v>
      </c>
      <c r="S109" s="462" t="e">
        <f>IF(+All!#REF!="Southern Cal",+All!#REF!,IF(+All!#REF!="Southern Cal",+All!#REF!,0))</f>
        <v>#REF!</v>
      </c>
      <c r="T109" s="460" t="e">
        <f>IF(+All!#REF!="Southern Cal",+All!#REF!,IF(+All!#REF!="Southern Cal",+All!#REF!,0))</f>
        <v>#REF!</v>
      </c>
      <c r="U109" s="461" t="e">
        <f>IF(+All!#REF!="Southern Cal",+All!#REF!,IF(+All!#REF!="Southern Cal",+All!#REF!,0))</f>
        <v>#REF!</v>
      </c>
    </row>
    <row r="110" spans="1:21" x14ac:dyDescent="0.8">
      <c r="A110" s="46">
        <f>IF(+All!$H580="Southern Cal",+All!A580,IF(+All!$F580="Southern Cal",+All!A580,0))</f>
        <v>9</v>
      </c>
      <c r="B110" s="348" t="str">
        <f>IF(+All!$H580="Southern Cal",+All!B580,IF(+All!$F580="Southern Cal",+All!B580,0))</f>
        <v>Sat</v>
      </c>
      <c r="C110" s="72">
        <f>IF(+All!$H580="Southern Cal",+All!C580,IF(+All!$F580="Southern Cal",+All!C580,0))</f>
        <v>44863</v>
      </c>
      <c r="D110" s="73">
        <f>IF(+All!$H580="Southern Cal",+All!D580,IF(+All!$F580="Southern Cal",+All!D580,0))</f>
        <v>0.79166666666666663</v>
      </c>
      <c r="E110" s="461" t="str">
        <f>IF(+All!$H580="Southern Cal",+All!E580,IF(+All!$F580="Southern Cal",+All!E580,0))</f>
        <v>PAC12</v>
      </c>
      <c r="F110" s="460" t="str">
        <f>IF(+All!$H580="Southern Cal",+All!F580,IF(+All!$F580="Southern Cal",+All!F580,0))</f>
        <v>Southern Cal</v>
      </c>
      <c r="G110" s="461" t="str">
        <f>IF(+All!$H580="Southern Cal",+All!G580,IF(+All!$F580="Southern Cal",+All!G580,0))</f>
        <v>P12</v>
      </c>
      <c r="H110" s="460" t="str">
        <f>IF(+All!$H580="Southern Cal",+All!H580,IF(+All!$F580="Southern Cal",+All!H580,0))</f>
        <v>Arizona</v>
      </c>
      <c r="I110" s="461" t="str">
        <f>IF(+All!$H580="Southern Cal",+All!I580,IF(+All!$F580="Southern Cal",+All!I580,0))</f>
        <v>P12</v>
      </c>
      <c r="J110" s="460" t="str">
        <f>IF(+All!$H580="Southern Cal",+All!J580,IF(+All!$F580="Southern Cal",+All!J580,0))</f>
        <v>Southern Cal</v>
      </c>
      <c r="K110" s="461" t="str">
        <f>IF(+All!$H580="Southern Cal",+All!K580,IF(+All!$F580="Southern Cal",+All!K580,0))</f>
        <v>Arizona</v>
      </c>
      <c r="L110" s="60">
        <f>IF(+All!$H580="Southern Cal",+All!L580,IF(+All!$F580="Southern Cal",+All!L580,0))</f>
        <v>15</v>
      </c>
      <c r="M110" s="61">
        <f>IF(+All!$H580="Southern Cal",+All!M580,IF(+All!$F580="Southern Cal",+All!M580,0))</f>
        <v>75.5</v>
      </c>
      <c r="N110" s="460" t="str">
        <f>IF(+All!$H580="Southern Cal",+All!N580,IF(+All!$F580="Southern Cal",+All!N580,0))</f>
        <v>Southern Cal</v>
      </c>
      <c r="O110" s="462">
        <f>IF(+All!$H580="Southern Cal",+All!O580,IF(+All!$F580="Southern Cal",+All!O580,0))</f>
        <v>45</v>
      </c>
      <c r="P110" s="462" t="str">
        <f>IF(+All!$H580="Southern Cal",+All!P580,IF(+All!$F580="Southern Cal",+All!P580,0))</f>
        <v>Arizona</v>
      </c>
      <c r="Q110" s="461">
        <f>IF(+All!$H580="Southern Cal",+All!Q580,IF(+All!$F580="Southern Cal",+All!Q580,0))</f>
        <v>37</v>
      </c>
      <c r="R110" s="460" t="str">
        <f>IF(+All!$H580="Southern Cal",+All!R580,IF(+All!$F580="Southern Cal",+All!R580,0))</f>
        <v>Arizona</v>
      </c>
      <c r="S110" s="462" t="str">
        <f>IF(+All!$H580="Southern Cal",+All!S580,IF(+All!$F580="Southern Cal",+All!S580,0))</f>
        <v>Southern Cal</v>
      </c>
      <c r="T110" s="460" t="str">
        <f>IF(+All!$H580="Southern Cal",+All!T580,IF(+All!$F580="Southern Cal",+All!T580,0))</f>
        <v>Southern Cal</v>
      </c>
      <c r="U110" s="461" t="str">
        <f>IF(+All!$H580="Southern Cal",+All!U580,IF(+All!$F580="Southern Cal",+All!U580,0))</f>
        <v>L</v>
      </c>
    </row>
    <row r="111" spans="1:21" x14ac:dyDescent="0.8">
      <c r="A111" s="46">
        <f>IF(+All!$H638="Southern Cal",+All!A638,IF(+All!$F638="Southern Cal",+All!A638,0))</f>
        <v>10</v>
      </c>
      <c r="B111" s="348" t="str">
        <f>IF(+All!$H638="Southern Cal",+All!B638,IF(+All!$F638="Southern Cal",+All!B638,0))</f>
        <v>Sat</v>
      </c>
      <c r="C111" s="72">
        <f>IF(+All!$H638="Southern Cal",+All!C638,IF(+All!$F638="Southern Cal",+All!C638,0))</f>
        <v>44870</v>
      </c>
      <c r="D111" s="73">
        <f>IF(+All!$H638="Southern Cal",+All!D638,IF(+All!$F638="Southern Cal",+All!D638,0))</f>
        <v>0.9375</v>
      </c>
      <c r="E111" s="461" t="str">
        <f>IF(+All!$H638="Southern Cal",+All!E638,IF(+All!$F638="Southern Cal",+All!E638,0))</f>
        <v>ESPN</v>
      </c>
      <c r="F111" s="460" t="str">
        <f>IF(+All!$H638="Southern Cal",+All!F638,IF(+All!$F638="Southern Cal",+All!F638,0))</f>
        <v>California</v>
      </c>
      <c r="G111" s="461" t="str">
        <f>IF(+All!$H638="Southern Cal",+All!G638,IF(+All!$F638="Southern Cal",+All!G638,0))</f>
        <v>P12</v>
      </c>
      <c r="H111" s="460" t="str">
        <f>IF(+All!$H638="Southern Cal",+All!H638,IF(+All!$F638="Southern Cal",+All!H638,0))</f>
        <v>Southern Cal</v>
      </c>
      <c r="I111" s="461" t="str">
        <f>IF(+All!$H638="Southern Cal",+All!I638,IF(+All!$F638="Southern Cal",+All!I638,0))</f>
        <v>P12</v>
      </c>
      <c r="J111" s="460" t="str">
        <f>IF(+All!$H638="Southern Cal",+All!J638,IF(+All!$F638="Southern Cal",+All!J638,0))</f>
        <v>Southern Cal</v>
      </c>
      <c r="K111" s="461" t="str">
        <f>IF(+All!$H638="Southern Cal",+All!K638,IF(+All!$F638="Southern Cal",+All!K638,0))</f>
        <v>California</v>
      </c>
      <c r="L111" s="60">
        <f>IF(+All!$H638="Southern Cal",+All!L638,IF(+All!$F638="Southern Cal",+All!L638,0))</f>
        <v>21</v>
      </c>
      <c r="M111" s="61">
        <f>IF(+All!$H638="Southern Cal",+All!M638,IF(+All!$F638="Southern Cal",+All!M638,0))</f>
        <v>59.5</v>
      </c>
      <c r="N111" s="460" t="str">
        <f>IF(+All!$H638="Southern Cal",+All!N638,IF(+All!$F638="Southern Cal",+All!N638,0))</f>
        <v>Southern Cal</v>
      </c>
      <c r="O111" s="462">
        <f>IF(+All!$H638="Southern Cal",+All!O638,IF(+All!$F638="Southern Cal",+All!O638,0))</f>
        <v>41</v>
      </c>
      <c r="P111" s="462" t="str">
        <f>IF(+All!$H638="Southern Cal",+All!P638,IF(+All!$F638="Southern Cal",+All!P638,0))</f>
        <v>California</v>
      </c>
      <c r="Q111" s="461">
        <f>IF(+All!$H638="Southern Cal",+All!Q638,IF(+All!$F638="Southern Cal",+All!Q638,0))</f>
        <v>35</v>
      </c>
      <c r="R111" s="460" t="str">
        <f>IF(+All!$H638="Southern Cal",+All!R638,IF(+All!$F638="Southern Cal",+All!R638,0))</f>
        <v>California</v>
      </c>
      <c r="S111" s="462" t="str">
        <f>IF(+All!$H638="Southern Cal",+All!S638,IF(+All!$F638="Southern Cal",+All!S638,0))</f>
        <v>Southern Cal</v>
      </c>
      <c r="T111" s="460" t="str">
        <f>IF(+All!$H638="Southern Cal",+All!T638,IF(+All!$F638="Southern Cal",+All!T638,0))</f>
        <v>Southern Cal</v>
      </c>
      <c r="U111" s="461" t="str">
        <f>IF(+All!$H638="Southern Cal",+All!U638,IF(+All!$F638="Southern Cal",+All!U638,0))</f>
        <v>L</v>
      </c>
    </row>
    <row r="112" spans="1:21" x14ac:dyDescent="0.8">
      <c r="A112" s="46">
        <f>IF(+All!$H662="Southern Cal",+All!A662,IF(+All!$F662="Southern Cal",+All!A662,0))</f>
        <v>11</v>
      </c>
      <c r="B112" s="348" t="str">
        <f>IF(+All!$H662="Southern Cal",+All!B662,IF(+All!$F662="Southern Cal",+All!B662,0))</f>
        <v>Fri</v>
      </c>
      <c r="C112" s="72">
        <f>IF(+All!$H662="Southern Cal",+All!C662,IF(+All!$F662="Southern Cal",+All!C662,0))</f>
        <v>44875</v>
      </c>
      <c r="D112" s="73">
        <f>IF(+All!$H662="Southern Cal",+All!D662,IF(+All!$F662="Southern Cal",+All!D662,0))</f>
        <v>0.89583333333333337</v>
      </c>
      <c r="E112" s="461" t="str">
        <f>IF(+All!$H662="Southern Cal",+All!E662,IF(+All!$F662="Southern Cal",+All!E662,0))</f>
        <v>FS1</v>
      </c>
      <c r="F112" s="460" t="str">
        <f>IF(+All!$H662="Southern Cal",+All!F662,IF(+All!$F662="Southern Cal",+All!F662,0))</f>
        <v>Colorado</v>
      </c>
      <c r="G112" s="461" t="str">
        <f>IF(+All!$H662="Southern Cal",+All!G662,IF(+All!$F662="Southern Cal",+All!G662,0))</f>
        <v>P12</v>
      </c>
      <c r="H112" s="460" t="str">
        <f>IF(+All!$H662="Southern Cal",+All!H662,IF(+All!$F662="Southern Cal",+All!H662,0))</f>
        <v>Southern Cal</v>
      </c>
      <c r="I112" s="461" t="str">
        <f>IF(+All!$H662="Southern Cal",+All!I662,IF(+All!$F662="Southern Cal",+All!I662,0))</f>
        <v>P12</v>
      </c>
      <c r="J112" s="460" t="str">
        <f>IF(+All!$H662="Southern Cal",+All!J662,IF(+All!$F662="Southern Cal",+All!J662,0))</f>
        <v>Southern Cal</v>
      </c>
      <c r="K112" s="461" t="str">
        <f>IF(+All!$H662="Southern Cal",+All!K662,IF(+All!$F662="Southern Cal",+All!K662,0))</f>
        <v>Colorado</v>
      </c>
      <c r="L112" s="60">
        <f>IF(+All!$H662="Southern Cal",+All!L662,IF(+All!$F662="Southern Cal",+All!L662,0))</f>
        <v>34</v>
      </c>
      <c r="M112" s="61">
        <f>IF(+All!$H662="Southern Cal",+All!M662,IF(+All!$F662="Southern Cal",+All!M662,0))</f>
        <v>66</v>
      </c>
      <c r="N112" s="460" t="str">
        <f>IF(+All!$H662="Southern Cal",+All!N662,IF(+All!$F662="Southern Cal",+All!N662,0))</f>
        <v>Southern Cal</v>
      </c>
      <c r="O112" s="462">
        <f>IF(+All!$H662="Southern Cal",+All!O662,IF(+All!$F662="Southern Cal",+All!O662,0))</f>
        <v>55</v>
      </c>
      <c r="P112" s="462" t="str">
        <f>IF(+All!$H662="Southern Cal",+All!P662,IF(+All!$F662="Southern Cal",+All!P662,0))</f>
        <v>Colorado</v>
      </c>
      <c r="Q112" s="461">
        <f>IF(+All!$H662="Southern Cal",+All!Q662,IF(+All!$F662="Southern Cal",+All!Q662,0))</f>
        <v>17</v>
      </c>
      <c r="R112" s="460" t="str">
        <f>IF(+All!$H662="Southern Cal",+All!R662,IF(+All!$F662="Southern Cal",+All!R662,0))</f>
        <v>Southern Cal</v>
      </c>
      <c r="S112" s="462" t="str">
        <f>IF(+All!$H662="Southern Cal",+All!S662,IF(+All!$F662="Southern Cal",+All!S662,0))</f>
        <v>Colorado</v>
      </c>
      <c r="T112" s="460" t="str">
        <f>IF(+All!$H662="Southern Cal",+All!T662,IF(+All!$F662="Southern Cal",+All!T662,0))</f>
        <v>Southern Cal</v>
      </c>
      <c r="U112" s="461" t="str">
        <f>IF(+All!$H662="Southern Cal",+All!U662,IF(+All!$F662="Southern Cal",+All!U662,0))</f>
        <v>W</v>
      </c>
    </row>
    <row r="113" spans="1:21" ht="16.899999999999999" customHeight="1" x14ac:dyDescent="0.8">
      <c r="A113" s="46">
        <f>IF(+All!$H767="Southern Cal",+All!A767,IF(+All!$F767="Southern Cal",+All!A767,0))</f>
        <v>12</v>
      </c>
      <c r="B113" s="348" t="str">
        <f>IF(+All!$H767="Southern Cal",+All!B767,IF(+All!$F767="Southern Cal",+All!B767,0))</f>
        <v>Sat</v>
      </c>
      <c r="C113" s="72">
        <f>IF(+All!$H767="Southern Cal",+All!C767,IF(+All!$F767="Southern Cal",+All!C767,0))</f>
        <v>44884</v>
      </c>
      <c r="D113" s="73">
        <f>IF(+All!$H767="Southern Cal",+All!D767,IF(+All!$F767="Southern Cal",+All!D767,0))</f>
        <v>0.83333333333333337</v>
      </c>
      <c r="E113" s="461" t="str">
        <f>IF(+All!$H767="Southern Cal",+All!E767,IF(+All!$F767="Southern Cal",+All!E767,0))</f>
        <v>Fox</v>
      </c>
      <c r="F113" s="460" t="str">
        <f>IF(+All!$H767="Southern Cal",+All!F767,IF(+All!$F767="Southern Cal",+All!F767,0))</f>
        <v>Southern Cal</v>
      </c>
      <c r="G113" s="461" t="str">
        <f>IF(+All!$H767="Southern Cal",+All!G767,IF(+All!$F767="Southern Cal",+All!G767,0))</f>
        <v>P12</v>
      </c>
      <c r="H113" s="460" t="str">
        <f>IF(+All!$H767="Southern Cal",+All!H767,IF(+All!$F767="Southern Cal",+All!H767,0))</f>
        <v>UCLA</v>
      </c>
      <c r="I113" s="461" t="str">
        <f>IF(+All!$H767="Southern Cal",+All!I767,IF(+All!$F767="Southern Cal",+All!I767,0))</f>
        <v>P12</v>
      </c>
      <c r="J113" s="460" t="str">
        <f>IF(+All!$H767="Southern Cal",+All!J767,IF(+All!$F767="Southern Cal",+All!J767,0))</f>
        <v>Southern Cal</v>
      </c>
      <c r="K113" s="461" t="str">
        <f>IF(+All!$H767="Southern Cal",+All!K767,IF(+All!$F767="Southern Cal",+All!K767,0))</f>
        <v>UCLA</v>
      </c>
      <c r="L113" s="60">
        <f>IF(+All!$H767="Southern Cal",+All!L767,IF(+All!$F767="Southern Cal",+All!L767,0))</f>
        <v>1.5</v>
      </c>
      <c r="M113" s="61">
        <f>IF(+All!$H767="Southern Cal",+All!M767,IF(+All!$F767="Southern Cal",+All!M767,0))</f>
        <v>75</v>
      </c>
      <c r="N113" s="460" t="str">
        <f>IF(+All!$H767="Southern Cal",+All!N767,IF(+All!$F767="Southern Cal",+All!N767,0))</f>
        <v>Southern Cal</v>
      </c>
      <c r="O113" s="462">
        <f>IF(+All!$H767="Southern Cal",+All!O767,IF(+All!$F767="Southern Cal",+All!O767,0))</f>
        <v>48</v>
      </c>
      <c r="P113" s="462" t="str">
        <f>IF(+All!$H767="Southern Cal",+All!P767,IF(+All!$F767="Southern Cal",+All!P767,0))</f>
        <v>UCLA</v>
      </c>
      <c r="Q113" s="461">
        <f>IF(+All!$H767="Southern Cal",+All!Q767,IF(+All!$F767="Southern Cal",+All!Q767,0))</f>
        <v>45</v>
      </c>
      <c r="R113" s="460" t="str">
        <f>IF(+All!$H767="Southern Cal",+All!R767,IF(+All!$F767="Southern Cal",+All!R767,0))</f>
        <v>Southern Cal</v>
      </c>
      <c r="S113" s="462" t="str">
        <f>IF(+All!$H767="Southern Cal",+All!S767,IF(+All!$F767="Southern Cal",+All!S767,0))</f>
        <v>UCLA</v>
      </c>
      <c r="T113" s="460" t="str">
        <f>IF(+All!$H767="Southern Cal",+All!T767,IF(+All!$F767="Southern Cal",+All!T767,0))</f>
        <v>UCLA</v>
      </c>
      <c r="U113" s="461" t="str">
        <f>IF(+All!$H767="Southern Cal",+All!U767,IF(+All!$F767="Southern Cal",+All!U767,0))</f>
        <v>L</v>
      </c>
    </row>
    <row r="114" spans="1:21" x14ac:dyDescent="0.8">
      <c r="A114" s="46">
        <f>IF(+All!$H834="Southern Cal",+All!A834,IF(+All!$F834="Southern Cal",+All!A834,0))</f>
        <v>13</v>
      </c>
      <c r="B114" s="348" t="str">
        <f>IF(+All!$H834="Southern Cal",+All!B834,IF(+All!$F834="Southern Cal",+All!B834,0))</f>
        <v>Sat</v>
      </c>
      <c r="C114" s="72">
        <f>IF(+All!$H834="Southern Cal",+All!C834,IF(+All!$F834="Southern Cal",+All!C834,0))</f>
        <v>44891</v>
      </c>
      <c r="D114" s="73">
        <f>IF(+All!$H834="Southern Cal",+All!D834,IF(+All!$F834="Southern Cal",+All!D834,0))</f>
        <v>0.8125</v>
      </c>
      <c r="E114" s="461" t="str">
        <f>IF(+All!$H834="Southern Cal",+All!E834,IF(+All!$F834="Southern Cal",+All!E834,0))</f>
        <v>ABC</v>
      </c>
      <c r="F114" s="460" t="str">
        <f>IF(+All!$H834="Southern Cal",+All!F834,IF(+All!$F834="Southern Cal",+All!F834,0))</f>
        <v>Notre Dame</v>
      </c>
      <c r="G114" s="461" t="str">
        <f>IF(+All!$H834="Southern Cal",+All!G834,IF(+All!$F834="Southern Cal",+All!G834,0))</f>
        <v>Ind</v>
      </c>
      <c r="H114" s="460" t="str">
        <f>IF(+All!$H834="Southern Cal",+All!H834,IF(+All!$F834="Southern Cal",+All!H834,0))</f>
        <v>Southern Cal</v>
      </c>
      <c r="I114" s="461" t="str">
        <f>IF(+All!$H834="Southern Cal",+All!I834,IF(+All!$F834="Southern Cal",+All!I834,0))</f>
        <v>P12</v>
      </c>
      <c r="J114" s="460" t="str">
        <f>IF(+All!$H834="Southern Cal",+All!J834,IF(+All!$F834="Southern Cal",+All!J834,0))</f>
        <v>Southern Cal</v>
      </c>
      <c r="K114" s="461" t="str">
        <f>IF(+All!$H834="Southern Cal",+All!K834,IF(+All!$F834="Southern Cal",+All!K834,0))</f>
        <v>Notre Dame</v>
      </c>
      <c r="L114" s="60">
        <f>IF(+All!$H834="Southern Cal",+All!L834,IF(+All!$F834="Southern Cal",+All!L834,0))</f>
        <v>4.5</v>
      </c>
      <c r="M114" s="61">
        <f>IF(+All!$H834="Southern Cal",+All!M834,IF(+All!$F834="Southern Cal",+All!M834,0))</f>
        <v>64.5</v>
      </c>
      <c r="N114" s="460" t="str">
        <f>IF(+All!$H834="Southern Cal",+All!N834,IF(+All!$F834="Southern Cal",+All!N834,0))</f>
        <v>Southern Cal</v>
      </c>
      <c r="O114" s="462">
        <f>IF(+All!$H834="Southern Cal",+All!O834,IF(+All!$F834="Southern Cal",+All!O834,0))</f>
        <v>38</v>
      </c>
      <c r="P114" s="462" t="str">
        <f>IF(+All!$H834="Southern Cal",+All!P834,IF(+All!$F834="Southern Cal",+All!P834,0))</f>
        <v>Notre Dame</v>
      </c>
      <c r="Q114" s="461">
        <f>IF(+All!$H834="Southern Cal",+All!Q834,IF(+All!$F834="Southern Cal",+All!Q834,0))</f>
        <v>27</v>
      </c>
      <c r="R114" s="460" t="str">
        <f>IF(+All!$H834="Southern Cal",+All!R834,IF(+All!$F834="Southern Cal",+All!R834,0))</f>
        <v>Southern Cal</v>
      </c>
      <c r="S114" s="462" t="str">
        <f>IF(+All!$H834="Southern Cal",+All!S834,IF(+All!$F834="Southern Cal",+All!S834,0))</f>
        <v>Notre Dame</v>
      </c>
      <c r="T114" s="460" t="str">
        <f>IF(+All!$H834="Southern Cal",+All!T834,IF(+All!$F834="Southern Cal",+All!T834,0))</f>
        <v>Notre Dame</v>
      </c>
      <c r="U114" s="461" t="str">
        <f>IF(+All!$H834="Southern Cal",+All!U834,IF(+All!$F834="Southern Cal",+All!U834,0))</f>
        <v>L</v>
      </c>
    </row>
    <row r="115" spans="1:21" x14ac:dyDescent="0.8">
      <c r="B115" s="348"/>
      <c r="E115" s="461"/>
      <c r="F115" s="897" t="str">
        <f>H117</f>
        <v>UCLA</v>
      </c>
      <c r="G115" s="903"/>
      <c r="H115" s="903"/>
      <c r="I115" s="904"/>
      <c r="J115" s="460"/>
      <c r="K115" s="461"/>
      <c r="N115" s="460"/>
      <c r="O115" s="462"/>
      <c r="P115" s="462"/>
      <c r="Q115" s="461"/>
      <c r="R115" s="460"/>
      <c r="S115" s="462"/>
      <c r="T115" s="460"/>
      <c r="U115" s="461"/>
    </row>
    <row r="116" spans="1:21" x14ac:dyDescent="0.8">
      <c r="A116" s="46">
        <f>IF(+All!$H43="UCLA",+All!A43,IF(+All!$F43="UCLA",+All!A43,0))</f>
        <v>1</v>
      </c>
      <c r="B116" s="348" t="str">
        <f>IF(+All!$H43="UCLA",+All!B43,IF(+All!$F43="UCLA",+All!B43,0))</f>
        <v>Sat</v>
      </c>
      <c r="C116" s="72">
        <f>IF(+All!$H43="UCLA",+All!C43,IF(+All!$F43="UCLA",+All!C43,0))</f>
        <v>44807</v>
      </c>
      <c r="D116" s="73">
        <f>IF(+All!$H43="UCLA",+All!D43,IF(+All!$F43="UCLA",+All!D43,0))</f>
        <v>0.60416666666666663</v>
      </c>
      <c r="E116" s="461" t="str">
        <f>IF(+All!$H43="UCLA",+All!E43,IF(+All!$F43="UCLA",+All!E43,0))</f>
        <v>PAC12</v>
      </c>
      <c r="F116" s="460" t="str">
        <f>IF(+All!$H43="UCLA",+All!F43,IF(+All!$F43="UCLA",+All!F43,0))</f>
        <v>Bowling Green</v>
      </c>
      <c r="G116" s="461" t="str">
        <f>IF(+All!$H43="UCLA",+All!G43,IF(+All!$F43="UCLA",+All!G43,0))</f>
        <v>MAC</v>
      </c>
      <c r="H116" s="460" t="str">
        <f>IF(+All!$H43="UCLA",+All!H43,IF(+All!$F43="UCLA",+All!H43,0))</f>
        <v>UCLA</v>
      </c>
      <c r="I116" s="461" t="str">
        <f>IF(+All!$H43="UCLA",+All!I43,IF(+All!$F43="UCLA",+All!I43,0))</f>
        <v>P12</v>
      </c>
      <c r="J116" s="460" t="str">
        <f>IF(+All!$H43="UCLA",+All!J43,IF(+All!$F43="UCLA",+All!J43,0))</f>
        <v>UCLA</v>
      </c>
      <c r="K116" s="461" t="str">
        <f>IF(+All!$H43="UCLA",+All!K43,IF(+All!$F43="UCLA",+All!K43,0))</f>
        <v>Bowling Green</v>
      </c>
      <c r="L116" s="60">
        <f>IF(+All!$H43="UCLA",+All!L43,IF(+All!$F43="UCLA",+All!L43,0))</f>
        <v>24.5</v>
      </c>
      <c r="M116" s="61">
        <f>IF(+All!$H43="UCLA",+All!M43,IF(+All!$F43="UCLA",+All!M43,0))</f>
        <v>57</v>
      </c>
      <c r="N116" s="460" t="str">
        <f>IF(+All!$H43="UCLA",+All!N43,IF(+All!$F43="UCLA",+All!N43,0))</f>
        <v>UCLA</v>
      </c>
      <c r="O116" s="462">
        <f>IF(+All!$H43="UCLA",+All!O43,IF(+All!$F43="UCLA",+All!O43,0))</f>
        <v>45</v>
      </c>
      <c r="P116" s="462" t="str">
        <f>IF(+All!$H43="UCLA",+All!P43,IF(+All!$F43="UCLA",+All!P43,0))</f>
        <v>Bowling Green</v>
      </c>
      <c r="Q116" s="461">
        <f>IF(+All!$H43="UCLA",+All!Q43,IF(+All!$F43="UCLA",+All!Q43,0))</f>
        <v>17</v>
      </c>
      <c r="R116" s="460" t="str">
        <f>IF(+All!$H43="UCLA",+All!R43,IF(+All!$F43="UCLA",+All!R43,0))</f>
        <v>UCLA</v>
      </c>
      <c r="S116" s="462" t="str">
        <f>IF(+All!$H43="UCLA",+All!S43,IF(+All!$F43="UCLA",+All!S43,0))</f>
        <v>Bowling Green</v>
      </c>
      <c r="T116" s="460" t="str">
        <f>IF(+All!$H43="UCLA",+All!T43,IF(+All!$F43="UCLA",+All!T43,0))</f>
        <v>UCLA</v>
      </c>
      <c r="U116" s="461" t="str">
        <f>IF(+All!$H43="UCLA",+All!U43,IF(+All!$F43="UCLA",+All!U43,0))</f>
        <v>W</v>
      </c>
    </row>
    <row r="117" spans="1:21" x14ac:dyDescent="0.8">
      <c r="A117" s="46">
        <f>IF(+All!$H162="UCLA",+All!A162,IF(+All!$F162="UCLA",+All!A162,0))</f>
        <v>2</v>
      </c>
      <c r="B117" s="348" t="str">
        <f>IF(+All!$H162="UCLA",+All!B162,IF(+All!$F162="UCLA",+All!B162,0))</f>
        <v>Sat</v>
      </c>
      <c r="C117" s="72">
        <f>IF(+All!$H162="UCLA",+All!C162,IF(+All!$F162="UCLA",+All!C162,0))</f>
        <v>44814</v>
      </c>
      <c r="D117" s="73">
        <f>IF(+All!$H162="UCLA",+All!D162,IF(+All!$F162="UCLA",+All!D162,0))</f>
        <v>0.70833333333333337</v>
      </c>
      <c r="E117" s="461">
        <f>IF(+All!$H162="UCLA",+All!E162,IF(+All!$F162="UCLA",+All!E162,0))</f>
        <v>0</v>
      </c>
      <c r="F117" s="460" t="str">
        <f>IF(+All!$H162="UCLA",+All!F162,IF(+All!$F162="UCLA",+All!F162,0))</f>
        <v>1AA Alabama State</v>
      </c>
      <c r="G117" s="461" t="str">
        <f>IF(+All!$H162="UCLA",+All!G162,IF(+All!$F162="UCLA",+All!G162,0))</f>
        <v>1AA</v>
      </c>
      <c r="H117" s="460" t="str">
        <f>IF(+All!$H162="UCLA",+All!H162,IF(+All!$F162="UCLA",+All!H162,0))</f>
        <v>UCLA</v>
      </c>
      <c r="I117" s="461" t="str">
        <f>IF(+All!$H162="UCLA",+All!I162,IF(+All!$F162="UCLA",+All!I162,0))</f>
        <v>P12</v>
      </c>
      <c r="J117" s="460">
        <f>IF(+All!$H162="UCLA",+All!J162,IF(+All!$F162="UCLA",+All!J162,0))</f>
        <v>0</v>
      </c>
      <c r="K117" s="461">
        <f>IF(+All!$H162="UCLA",+All!K162,IF(+All!$F162="UCLA",+All!K162,0))</f>
        <v>0</v>
      </c>
      <c r="L117" s="60">
        <f>IF(+All!$H162="UCLA",+All!L162,IF(+All!$F162="UCLA",+All!L162,0))</f>
        <v>0</v>
      </c>
      <c r="M117" s="61">
        <f>IF(+All!$H162="UCLA",+All!M162,IF(+All!$F162="UCLA",+All!M162,0))</f>
        <v>0</v>
      </c>
      <c r="N117" s="460" t="str">
        <f>IF(+All!$H162="UCLA",+All!N162,IF(+All!$F162="UCLA",+All!N162,0))</f>
        <v>UCLA</v>
      </c>
      <c r="O117" s="462">
        <f>IF(+All!$H162="UCLA",+All!O162,IF(+All!$F162="UCLA",+All!O162,0))</f>
        <v>45</v>
      </c>
      <c r="P117" s="462" t="str">
        <f>IF(+All!$H162="UCLA",+All!P162,IF(+All!$F162="UCLA",+All!P162,0))</f>
        <v>1AA Alabama State</v>
      </c>
      <c r="Q117" s="461">
        <f>IF(+All!$H162="UCLA",+All!Q162,IF(+All!$F162="UCLA",+All!Q162,0))</f>
        <v>7</v>
      </c>
      <c r="R117" s="460">
        <f>IF(+All!$H162="UCLA",+All!R162,IF(+All!$F162="UCLA",+All!R162,0))</f>
        <v>0</v>
      </c>
      <c r="S117" s="462">
        <f>IF(+All!$H162="UCLA",+All!S162,IF(+All!$F162="UCLA",+All!S162,0))</f>
        <v>0</v>
      </c>
      <c r="T117" s="460">
        <f>IF(+All!$H162="UCLA",+All!T162,IF(+All!$F162="UCLA",+All!T162,0))</f>
        <v>0</v>
      </c>
      <c r="U117" s="461">
        <f>IF(+All!$H162="UCLA",+All!U162,IF(+All!$F162="UCLA",+All!U162,0))</f>
        <v>0</v>
      </c>
    </row>
    <row r="118" spans="1:21" x14ac:dyDescent="0.8">
      <c r="A118" s="46">
        <f>IF(+All!$H234="UCLA",+All!A234,IF(+All!$F234="UCLA",+All!A234,0))</f>
        <v>3</v>
      </c>
      <c r="B118" s="348" t="str">
        <f>IF(+All!$H234="UCLA",+All!B234,IF(+All!$F234="UCLA",+All!B234,0))</f>
        <v>Sat</v>
      </c>
      <c r="C118" s="72">
        <f>IF(+All!$H234="UCLA",+All!C234,IF(+All!$F234="UCLA",+All!C234,0))</f>
        <v>44821</v>
      </c>
      <c r="D118" s="73">
        <f>IF(+All!$H234="UCLA",+All!D234,IF(+All!$F234="UCLA",+All!D234,0))</f>
        <v>0.58333333333333337</v>
      </c>
      <c r="E118" s="461" t="str">
        <f>IF(+All!$H234="UCLA",+All!E234,IF(+All!$F234="UCLA",+All!E234,0))</f>
        <v>PAC12</v>
      </c>
      <c r="F118" s="460" t="str">
        <f>IF(+All!$H234="UCLA",+All!F234,IF(+All!$F234="UCLA",+All!F234,0))</f>
        <v>South Alabama</v>
      </c>
      <c r="G118" s="461" t="str">
        <f>IF(+All!$H234="UCLA",+All!G234,IF(+All!$F234="UCLA",+All!G234,0))</f>
        <v>SB</v>
      </c>
      <c r="H118" s="460" t="str">
        <f>IF(+All!$H234="UCLA",+All!H234,IF(+All!$F234="UCLA",+All!H234,0))</f>
        <v>UCLA</v>
      </c>
      <c r="I118" s="461" t="str">
        <f>IF(+All!$H234="UCLA",+All!I234,IF(+All!$F234="UCLA",+All!I234,0))</f>
        <v>P12</v>
      </c>
      <c r="J118" s="460" t="str">
        <f>IF(+All!$H234="UCLA",+All!J234,IF(+All!$F234="UCLA",+All!J234,0))</f>
        <v>UCLA</v>
      </c>
      <c r="K118" s="461" t="str">
        <f>IF(+All!$H234="UCLA",+All!K234,IF(+All!$F234="UCLA",+All!K234,0))</f>
        <v>South Alabama</v>
      </c>
      <c r="L118" s="60">
        <f>IF(+All!$H234="UCLA",+All!L234,IF(+All!$F234="UCLA",+All!L234,0))</f>
        <v>15.5</v>
      </c>
      <c r="M118" s="61">
        <f>IF(+All!$H234="UCLA",+All!M234,IF(+All!$F234="UCLA",+All!M234,0))</f>
        <v>60</v>
      </c>
      <c r="N118" s="460" t="str">
        <f>IF(+All!$H234="UCLA",+All!N234,IF(+All!$F234="UCLA",+All!N234,0))</f>
        <v>UCLA</v>
      </c>
      <c r="O118" s="462">
        <f>IF(+All!$H234="UCLA",+All!O234,IF(+All!$F234="UCLA",+All!O234,0))</f>
        <v>32</v>
      </c>
      <c r="P118" s="462" t="str">
        <f>IF(+All!$H234="UCLA",+All!P234,IF(+All!$F234="UCLA",+All!P234,0))</f>
        <v>South Alabama</v>
      </c>
      <c r="Q118" s="461">
        <f>IF(+All!$H234="UCLA",+All!Q234,IF(+All!$F234="UCLA",+All!Q234,0))</f>
        <v>31</v>
      </c>
      <c r="R118" s="460" t="str">
        <f>IF(+All!$H234="UCLA",+All!R234,IF(+All!$F234="UCLA",+All!R234,0))</f>
        <v>South Alabama</v>
      </c>
      <c r="S118" s="462" t="str">
        <f>IF(+All!$H234="UCLA",+All!S234,IF(+All!$F234="UCLA",+All!S234,0))</f>
        <v>UCLA</v>
      </c>
      <c r="T118" s="460" t="str">
        <f>IF(+All!$H234="UCLA",+All!T234,IF(+All!$F234="UCLA",+All!T234,0))</f>
        <v>UCLA</v>
      </c>
      <c r="U118" s="461" t="str">
        <f>IF(+All!$H234="UCLA",+All!U234,IF(+All!$F234="UCLA",+All!U234,0))</f>
        <v>L</v>
      </c>
    </row>
    <row r="119" spans="1:21" x14ac:dyDescent="0.8">
      <c r="A119" s="46">
        <f>IF(+All!$H297="UCLA",+All!A297,IF(+All!$F297="UCLA",+All!A297,0))</f>
        <v>4</v>
      </c>
      <c r="B119" s="348" t="str">
        <f>IF(+All!$H297="UCLA",+All!B297,IF(+All!$F297="UCLA",+All!B297,0))</f>
        <v>Sat</v>
      </c>
      <c r="C119" s="72">
        <f>IF(+All!$H297="UCLA",+All!C297,IF(+All!$F297="UCLA",+All!C297,0))</f>
        <v>44828</v>
      </c>
      <c r="D119" s="73">
        <f>IF(+All!$H297="UCLA",+All!D297,IF(+All!$F297="UCLA",+All!D297,0))</f>
        <v>0.66666666666666663</v>
      </c>
      <c r="E119" s="461" t="str">
        <f>IF(+All!$H297="UCLA",+All!E297,IF(+All!$F297="UCLA",+All!E297,0))</f>
        <v>PAC12</v>
      </c>
      <c r="F119" s="460" t="str">
        <f>IF(+All!$H297="UCLA",+All!F297,IF(+All!$F297="UCLA",+All!F297,0))</f>
        <v>UCLA</v>
      </c>
      <c r="G119" s="461" t="str">
        <f>IF(+All!$H297="UCLA",+All!G297,IF(+All!$F297="UCLA",+All!G297,0))</f>
        <v>P12</v>
      </c>
      <c r="H119" s="460" t="str">
        <f>IF(+All!$H297="UCLA",+All!H297,IF(+All!$F297="UCLA",+All!H297,0))</f>
        <v>Colorado</v>
      </c>
      <c r="I119" s="461" t="str">
        <f>IF(+All!$H297="UCLA",+All!I297,IF(+All!$F297="UCLA",+All!I297,0))</f>
        <v>P12</v>
      </c>
      <c r="J119" s="460" t="str">
        <f>IF(+All!$H297="UCLA",+All!J297,IF(+All!$F297="UCLA",+All!J297,0))</f>
        <v>UCLA</v>
      </c>
      <c r="K119" s="461" t="str">
        <f>IF(+All!$H297="UCLA",+All!K297,IF(+All!$F297="UCLA",+All!K297,0))</f>
        <v>Colorado</v>
      </c>
      <c r="L119" s="60">
        <f>IF(+All!$H297="UCLA",+All!L297,IF(+All!$F297="UCLA",+All!L297,0))</f>
        <v>21</v>
      </c>
      <c r="M119" s="61">
        <f>IF(+All!$H297="UCLA",+All!M297,IF(+All!$F297="UCLA",+All!M297,0))</f>
        <v>56.5</v>
      </c>
      <c r="N119" s="460" t="str">
        <f>IF(+All!$H297="UCLA",+All!N297,IF(+All!$F297="UCLA",+All!N297,0))</f>
        <v>UCLA</v>
      </c>
      <c r="O119" s="462">
        <f>IF(+All!$H297="UCLA",+All!O297,IF(+All!$F297="UCLA",+All!O297,0))</f>
        <v>45</v>
      </c>
      <c r="P119" s="462" t="str">
        <f>IF(+All!$H297="UCLA",+All!P297,IF(+All!$F297="UCLA",+All!P297,0))</f>
        <v>Colorado</v>
      </c>
      <c r="Q119" s="461">
        <f>IF(+All!$H297="UCLA",+All!Q297,IF(+All!$F297="UCLA",+All!Q297,0))</f>
        <v>17</v>
      </c>
      <c r="R119" s="460" t="str">
        <f>IF(+All!$H297="UCLA",+All!R297,IF(+All!$F297="UCLA",+All!R297,0))</f>
        <v>UCLA</v>
      </c>
      <c r="S119" s="462" t="str">
        <f>IF(+All!$H297="UCLA",+All!S297,IF(+All!$F297="UCLA",+All!S297,0))</f>
        <v>Colorado</v>
      </c>
      <c r="T119" s="460" t="str">
        <f>IF(+All!$H297="UCLA",+All!T297,IF(+All!$F297="UCLA",+All!T297,0))</f>
        <v>UCLA</v>
      </c>
      <c r="U119" s="461" t="str">
        <f>IF(+All!$H297="UCLA",+All!U297,IF(+All!$F297="UCLA",+All!U297,0))</f>
        <v>W</v>
      </c>
    </row>
    <row r="120" spans="1:21" x14ac:dyDescent="0.8">
      <c r="A120" s="46">
        <f>IF(+All!$H323="UCLA",+All!A323,IF(+All!$F323="UCLA",+All!A323,0))</f>
        <v>5</v>
      </c>
      <c r="B120" s="348" t="str">
        <f>IF(+All!$H323="UCLA",+All!B323,IF(+All!$F323="UCLA",+All!B323,0))</f>
        <v>Fri</v>
      </c>
      <c r="C120" s="72">
        <f>IF(+All!$H323="UCLA",+All!C323,IF(+All!$F323="UCLA",+All!C323,0))</f>
        <v>44834</v>
      </c>
      <c r="D120" s="73">
        <f>IF(+All!$H323="UCLA",+All!D323,IF(+All!$F323="UCLA",+All!D323,0))</f>
        <v>0.9375</v>
      </c>
      <c r="E120" s="461" t="str">
        <f>IF(+All!$H323="UCLA",+All!E323,IF(+All!$F323="UCLA",+All!E323,0))</f>
        <v>ESPN</v>
      </c>
      <c r="F120" s="460" t="str">
        <f>IF(+All!$H323="UCLA",+All!F323,IF(+All!$F323="UCLA",+All!F323,0))</f>
        <v>Washington</v>
      </c>
      <c r="G120" s="461" t="str">
        <f>IF(+All!$H323="UCLA",+All!G323,IF(+All!$F323="UCLA",+All!G323,0))</f>
        <v>P12</v>
      </c>
      <c r="H120" s="460" t="str">
        <f>IF(+All!$H323="UCLA",+All!H323,IF(+All!$F323="UCLA",+All!H323,0))</f>
        <v>UCLA</v>
      </c>
      <c r="I120" s="461" t="str">
        <f>IF(+All!$H323="UCLA",+All!I323,IF(+All!$F323="UCLA",+All!I323,0))</f>
        <v>P12</v>
      </c>
      <c r="J120" s="460" t="str">
        <f>IF(+All!$H323="UCLA",+All!J323,IF(+All!$F323="UCLA",+All!J323,0))</f>
        <v>Washington</v>
      </c>
      <c r="K120" s="461" t="str">
        <f>IF(+All!$H323="UCLA",+All!K323,IF(+All!$F323="UCLA",+All!K323,0))</f>
        <v>UCLA</v>
      </c>
      <c r="L120" s="60">
        <f>IF(+All!$H323="UCLA",+All!L323,IF(+All!$F323="UCLA",+All!L323,0))</f>
        <v>3</v>
      </c>
      <c r="M120" s="61">
        <f>IF(+All!$H323="UCLA",+All!M323,IF(+All!$F323="UCLA",+All!M323,0))</f>
        <v>66</v>
      </c>
      <c r="N120" s="460" t="str">
        <f>IF(+All!$H323="UCLA",+All!N323,IF(+All!$F323="UCLA",+All!N323,0))</f>
        <v>UCLA</v>
      </c>
      <c r="O120" s="462">
        <f>IF(+All!$H323="UCLA",+All!O323,IF(+All!$F323="UCLA",+All!O323,0))</f>
        <v>40</v>
      </c>
      <c r="P120" s="462" t="str">
        <f>IF(+All!$H323="UCLA",+All!P323,IF(+All!$F323="UCLA",+All!P323,0))</f>
        <v>Washington</v>
      </c>
      <c r="Q120" s="461">
        <f>IF(+All!$H323="UCLA",+All!Q323,IF(+All!$F323="UCLA",+All!Q323,0))</f>
        <v>32</v>
      </c>
      <c r="R120" s="460" t="str">
        <f>IF(+All!$H323="UCLA",+All!R323,IF(+All!$F323="UCLA",+All!R323,0))</f>
        <v>UCLA</v>
      </c>
      <c r="S120" s="462" t="str">
        <f>IF(+All!$H323="UCLA",+All!S323,IF(+All!$F323="UCLA",+All!S323,0))</f>
        <v>Washington</v>
      </c>
      <c r="T120" s="460" t="str">
        <f>IF(+All!$H323="UCLA",+All!T323,IF(+All!$F323="UCLA",+All!T323,0))</f>
        <v>Washington</v>
      </c>
      <c r="U120" s="461" t="str">
        <f>IF(+All!$H323="UCLA",+All!U323,IF(+All!$F323="UCLA",+All!U323,0))</f>
        <v>L</v>
      </c>
    </row>
    <row r="121" spans="1:21" x14ac:dyDescent="0.8">
      <c r="A121" s="46">
        <f>IF(+All!$H425="UCLA",+All!A425,IF(+All!$F425="UCLA",+All!A425,0))</f>
        <v>6</v>
      </c>
      <c r="B121" s="348" t="str">
        <f>IF(+All!$H425="UCLA",+All!B425,IF(+All!$F425="UCLA",+All!B425,0))</f>
        <v>Sat</v>
      </c>
      <c r="C121" s="72">
        <f>IF(+All!$H425="UCLA",+All!C425,IF(+All!$F425="UCLA",+All!C425,0))</f>
        <v>44842</v>
      </c>
      <c r="D121" s="73">
        <f>IF(+All!$H425="UCLA",+All!D425,IF(+All!$F425="UCLA",+All!D425,0))</f>
        <v>0.64583333333333337</v>
      </c>
      <c r="E121" s="461" t="str">
        <f>IF(+All!$H425="UCLA",+All!E425,IF(+All!$F425="UCLA",+All!E425,0))</f>
        <v>Fox</v>
      </c>
      <c r="F121" s="460" t="str">
        <f>IF(+All!$H425="UCLA",+All!F425,IF(+All!$F425="UCLA",+All!F425,0))</f>
        <v>Utah</v>
      </c>
      <c r="G121" s="461" t="str">
        <f>IF(+All!$H425="UCLA",+All!G425,IF(+All!$F425="UCLA",+All!G425,0))</f>
        <v>P12</v>
      </c>
      <c r="H121" s="460" t="str">
        <f>IF(+All!$H425="UCLA",+All!H425,IF(+All!$F425="UCLA",+All!H425,0))</f>
        <v>UCLA</v>
      </c>
      <c r="I121" s="461" t="str">
        <f>IF(+All!$H425="UCLA",+All!I425,IF(+All!$F425="UCLA",+All!I425,0))</f>
        <v>P12</v>
      </c>
      <c r="J121" s="460" t="str">
        <f>IF(+All!$H425="UCLA",+All!J425,IF(+All!$F425="UCLA",+All!J425,0))</f>
        <v>Utah</v>
      </c>
      <c r="K121" s="461" t="str">
        <f>IF(+All!$H425="UCLA",+All!K425,IF(+All!$F425="UCLA",+All!K425,0))</f>
        <v>UCLA</v>
      </c>
      <c r="L121" s="60">
        <f>IF(+All!$H425="UCLA",+All!L425,IF(+All!$F425="UCLA",+All!L425,0))</f>
        <v>3.5</v>
      </c>
      <c r="M121" s="61">
        <f>IF(+All!$H425="UCLA",+All!M425,IF(+All!$F425="UCLA",+All!M425,0))</f>
        <v>64.5</v>
      </c>
      <c r="N121" s="460" t="str">
        <f>IF(+All!$H425="UCLA",+All!N425,IF(+All!$F425="UCLA",+All!N425,0))</f>
        <v>UCLA</v>
      </c>
      <c r="O121" s="462">
        <f>IF(+All!$H425="UCLA",+All!O425,IF(+All!$F425="UCLA",+All!O425,0))</f>
        <v>42</v>
      </c>
      <c r="P121" s="462" t="str">
        <f>IF(+All!$H425="UCLA",+All!P425,IF(+All!$F425="UCLA",+All!P425,0))</f>
        <v>Utah</v>
      </c>
      <c r="Q121" s="461">
        <f>IF(+All!$H425="UCLA",+All!Q425,IF(+All!$F425="UCLA",+All!Q425,0))</f>
        <v>32</v>
      </c>
      <c r="R121" s="460" t="str">
        <f>IF(+All!$H425="UCLA",+All!R425,IF(+All!$F425="UCLA",+All!R425,0))</f>
        <v>UCLA</v>
      </c>
      <c r="S121" s="462" t="str">
        <f>IF(+All!$H425="UCLA",+All!S425,IF(+All!$F425="UCLA",+All!S425,0))</f>
        <v>Utah</v>
      </c>
      <c r="T121" s="460" t="str">
        <f>IF(+All!$H425="UCLA",+All!T425,IF(+All!$F425="UCLA",+All!T425,0))</f>
        <v>UCLA</v>
      </c>
      <c r="U121" s="461" t="str">
        <f>IF(+All!$H425="UCLA",+All!U425,IF(+All!$F425="UCLA",+All!U425,0))</f>
        <v>W</v>
      </c>
    </row>
    <row r="122" spans="1:21" x14ac:dyDescent="0.8">
      <c r="A122" s="46" t="e">
        <f>IF(+All!#REF!="UCLA",+All!#REF!,IF(+All!#REF!="UCLA",+All!#REF!,0))</f>
        <v>#REF!</v>
      </c>
      <c r="B122" s="348" t="e">
        <f>IF(+All!#REF!="UCLA",+All!#REF!,IF(+All!#REF!="UCLA",+All!#REF!,0))</f>
        <v>#REF!</v>
      </c>
      <c r="C122" s="72" t="e">
        <f>IF(+All!#REF!="UCLA",+All!#REF!,IF(+All!#REF!="UCLA",+All!#REF!,0))</f>
        <v>#REF!</v>
      </c>
      <c r="D122" s="73" t="e">
        <f>IF(+All!#REF!="UCLA",+All!#REF!,IF(+All!#REF!="UCLA",+All!#REF!,0))</f>
        <v>#REF!</v>
      </c>
      <c r="E122" s="461" t="e">
        <f>IF(+All!#REF!="UCLA",+All!#REF!,IF(+All!#REF!="UCLA",+All!#REF!,0))</f>
        <v>#REF!</v>
      </c>
      <c r="F122" s="460" t="e">
        <f>IF(+All!#REF!="UCLA",+All!#REF!,IF(+All!#REF!="UCLA",+All!#REF!,0))</f>
        <v>#REF!</v>
      </c>
      <c r="G122" s="461" t="e">
        <f>IF(+All!#REF!="UCLA",+All!#REF!,IF(+All!#REF!="UCLA",+All!#REF!,0))</f>
        <v>#REF!</v>
      </c>
      <c r="H122" s="460" t="e">
        <f>IF(+All!#REF!="UCLA",+All!#REF!,IF(+All!#REF!="UCLA",+All!#REF!,0))</f>
        <v>#REF!</v>
      </c>
      <c r="I122" s="461" t="e">
        <f>IF(+All!#REF!="UCLA",+All!#REF!,IF(+All!#REF!="UCLA",+All!#REF!,0))</f>
        <v>#REF!</v>
      </c>
      <c r="J122" s="460" t="e">
        <f>IF(+All!#REF!="UCLA",+All!#REF!,IF(+All!#REF!="UCLA",+All!#REF!,0))</f>
        <v>#REF!</v>
      </c>
      <c r="K122" s="461" t="e">
        <f>IF(+All!#REF!="UCLA",+All!#REF!,IF(+All!#REF!="UCLA",+All!#REF!,0))</f>
        <v>#REF!</v>
      </c>
      <c r="L122" s="60" t="e">
        <f>IF(+All!#REF!="UCLA",+All!#REF!,IF(+All!#REF!="UCLA",+All!#REF!,0))</f>
        <v>#REF!</v>
      </c>
      <c r="M122" s="61" t="e">
        <f>IF(+All!#REF!="UCLA",+All!#REF!,IF(+All!#REF!="UCLA",+All!#REF!,0))</f>
        <v>#REF!</v>
      </c>
      <c r="N122" s="460" t="e">
        <f>IF(+All!#REF!="UCLA",+All!#REF!,IF(+All!#REF!="UCLA",+All!#REF!,0))</f>
        <v>#REF!</v>
      </c>
      <c r="O122" s="462" t="e">
        <f>IF(+All!#REF!="UCLA",+All!#REF!,IF(+All!#REF!="UCLA",+All!#REF!,0))</f>
        <v>#REF!</v>
      </c>
      <c r="P122" s="462" t="e">
        <f>IF(+All!#REF!="UCLA",+All!#REF!,IF(+All!#REF!="UCLA",+All!#REF!,0))</f>
        <v>#REF!</v>
      </c>
      <c r="Q122" s="461" t="e">
        <f>IF(+All!#REF!="UCLA",+All!#REF!,IF(+All!#REF!="UCLA",+All!#REF!,0))</f>
        <v>#REF!</v>
      </c>
      <c r="R122" s="460" t="e">
        <f>IF(+All!#REF!="UCLA",+All!#REF!,IF(+All!#REF!="UCLA",+All!#REF!,0))</f>
        <v>#REF!</v>
      </c>
      <c r="S122" s="462" t="e">
        <f>IF(+All!#REF!="UCLA",+All!#REF!,IF(+All!#REF!="UCLA",+All!#REF!,0))</f>
        <v>#REF!</v>
      </c>
      <c r="T122" s="460" t="e">
        <f>IF(+All!#REF!="UCLA",+All!#REF!,IF(+All!#REF!="UCLA",+All!#REF!,0))</f>
        <v>#REF!</v>
      </c>
      <c r="U122" s="461" t="e">
        <f>IF(+All!#REF!="UCLA",+All!#REF!,IF(+All!#REF!="UCLA",+All!#REF!,0))</f>
        <v>#REF!</v>
      </c>
    </row>
    <row r="123" spans="1:21" x14ac:dyDescent="0.8">
      <c r="A123" s="46">
        <f>IF(+All!$H533="UCLA",+All!A533,IF(+All!$F533="UCLA",+All!A533,0))</f>
        <v>8</v>
      </c>
      <c r="B123" s="348" t="str">
        <f>IF(+All!$H533="UCLA",+All!B533,IF(+All!$F533="UCLA",+All!B533,0))</f>
        <v>Sat</v>
      </c>
      <c r="C123" s="72">
        <f>IF(+All!$H533="UCLA",+All!C533,IF(+All!$F533="UCLA",+All!C533,0))</f>
        <v>44856</v>
      </c>
      <c r="D123" s="73">
        <f>IF(+All!$H533="UCLA",+All!D533,IF(+All!$F533="UCLA",+All!D533,0))</f>
        <v>0.64583333333333337</v>
      </c>
      <c r="E123" s="461" t="str">
        <f>IF(+All!$H533="UCLA",+All!E533,IF(+All!$F533="UCLA",+All!E533,0))</f>
        <v>FS1</v>
      </c>
      <c r="F123" s="460" t="str">
        <f>IF(+All!$H533="UCLA",+All!F533,IF(+All!$F533="UCLA",+All!F533,0))</f>
        <v>UCLA</v>
      </c>
      <c r="G123" s="461" t="str">
        <f>IF(+All!$H533="UCLA",+All!G533,IF(+All!$F533="UCLA",+All!G533,0))</f>
        <v>P12</v>
      </c>
      <c r="H123" s="460" t="str">
        <f>IF(+All!$H533="UCLA",+All!H533,IF(+All!$F533="UCLA",+All!H533,0))</f>
        <v>Oregon</v>
      </c>
      <c r="I123" s="461" t="str">
        <f>IF(+All!$H533="UCLA",+All!I533,IF(+All!$F533="UCLA",+All!I533,0))</f>
        <v>P12</v>
      </c>
      <c r="J123" s="460" t="str">
        <f>IF(+All!$H533="UCLA",+All!J533,IF(+All!$F533="UCLA",+All!J533,0))</f>
        <v>Oregon</v>
      </c>
      <c r="K123" s="461" t="str">
        <f>IF(+All!$H533="UCLA",+All!K533,IF(+All!$F533="UCLA",+All!K533,0))</f>
        <v>UCLA</v>
      </c>
      <c r="L123" s="60">
        <f>IF(+All!$H533="UCLA",+All!L533,IF(+All!$F533="UCLA",+All!L533,0))</f>
        <v>6</v>
      </c>
      <c r="M123" s="61">
        <f>IF(+All!$H533="UCLA",+All!M533,IF(+All!$F533="UCLA",+All!M533,0))</f>
        <v>69.5</v>
      </c>
      <c r="N123" s="460" t="str">
        <f>IF(+All!$H533="UCLA",+All!N533,IF(+All!$F533="UCLA",+All!N533,0))</f>
        <v>Oregon</v>
      </c>
      <c r="O123" s="462">
        <f>IF(+All!$H533="UCLA",+All!O533,IF(+All!$F533="UCLA",+All!O533,0))</f>
        <v>45</v>
      </c>
      <c r="P123" s="462" t="str">
        <f>IF(+All!$H533="UCLA",+All!P533,IF(+All!$F533="UCLA",+All!P533,0))</f>
        <v>UCLA</v>
      </c>
      <c r="Q123" s="461">
        <f>IF(+All!$H533="UCLA",+All!Q533,IF(+All!$F533="UCLA",+All!Q533,0))</f>
        <v>30</v>
      </c>
      <c r="R123" s="460" t="str">
        <f>IF(+All!$H533="UCLA",+All!R533,IF(+All!$F533="UCLA",+All!R533,0))</f>
        <v>Oregon</v>
      </c>
      <c r="S123" s="462" t="str">
        <f>IF(+All!$H533="UCLA",+All!S533,IF(+All!$F533="UCLA",+All!S533,0))</f>
        <v>UCLA</v>
      </c>
      <c r="T123" s="460" t="str">
        <f>IF(+All!$H533="UCLA",+All!T533,IF(+All!$F533="UCLA",+All!T533,0))</f>
        <v>UCLA</v>
      </c>
      <c r="U123" s="461" t="str">
        <f>IF(+All!$H533="UCLA",+All!U533,IF(+All!$F533="UCLA",+All!U533,0))</f>
        <v>L</v>
      </c>
    </row>
    <row r="124" spans="1:21" x14ac:dyDescent="0.8">
      <c r="A124" s="46">
        <f>IF(+All!$H583="UCLA",+All!A583,IF(+All!$F583="UCLA",+All!A583,0))</f>
        <v>9</v>
      </c>
      <c r="B124" s="348" t="str">
        <f>IF(+All!$H583="UCLA",+All!B583,IF(+All!$F583="UCLA",+All!B583,0))</f>
        <v>Sat</v>
      </c>
      <c r="C124" s="72">
        <f>IF(+All!$H583="UCLA",+All!C583,IF(+All!$F583="UCLA",+All!C583,0))</f>
        <v>44863</v>
      </c>
      <c r="D124" s="73">
        <f>IF(+All!$H583="UCLA",+All!D583,IF(+All!$F583="UCLA",+All!D583,0))</f>
        <v>0.9375</v>
      </c>
      <c r="E124" s="461" t="str">
        <f>IF(+All!$H583="UCLA",+All!E583,IF(+All!$F583="UCLA",+All!E583,0))</f>
        <v>ESPN</v>
      </c>
      <c r="F124" s="460" t="str">
        <f>IF(+All!$H583="UCLA",+All!F583,IF(+All!$F583="UCLA",+All!F583,0))</f>
        <v>Stanford</v>
      </c>
      <c r="G124" s="461" t="str">
        <f>IF(+All!$H583="UCLA",+All!G583,IF(+All!$F583="UCLA",+All!G583,0))</f>
        <v>P12</v>
      </c>
      <c r="H124" s="460" t="str">
        <f>IF(+All!$H583="UCLA",+All!H583,IF(+All!$F583="UCLA",+All!H583,0))</f>
        <v>UCLA</v>
      </c>
      <c r="I124" s="461" t="str">
        <f>IF(+All!$H583="UCLA",+All!I583,IF(+All!$F583="UCLA",+All!I583,0))</f>
        <v>P12</v>
      </c>
      <c r="J124" s="460" t="str">
        <f>IF(+All!$H583="UCLA",+All!J583,IF(+All!$F583="UCLA",+All!J583,0))</f>
        <v>UCLA</v>
      </c>
      <c r="K124" s="461" t="str">
        <f>IF(+All!$H583="UCLA",+All!K583,IF(+All!$F583="UCLA",+All!K583,0))</f>
        <v>Stanford</v>
      </c>
      <c r="L124" s="60">
        <f>IF(+All!$H583="UCLA",+All!L583,IF(+All!$F583="UCLA",+All!L583,0))</f>
        <v>16.5</v>
      </c>
      <c r="M124" s="61">
        <f>IF(+All!$H583="UCLA",+All!M583,IF(+All!$F583="UCLA",+All!M583,0))</f>
        <v>64.5</v>
      </c>
      <c r="N124" s="460" t="str">
        <f>IF(+All!$H583="UCLA",+All!N583,IF(+All!$F583="UCLA",+All!N583,0))</f>
        <v>UCLA</v>
      </c>
      <c r="O124" s="462">
        <f>IF(+All!$H583="UCLA",+All!O583,IF(+All!$F583="UCLA",+All!O583,0))</f>
        <v>38</v>
      </c>
      <c r="P124" s="462" t="str">
        <f>IF(+All!$H583="UCLA",+All!P583,IF(+All!$F583="UCLA",+All!P583,0))</f>
        <v>Stanford</v>
      </c>
      <c r="Q124" s="461">
        <f>IF(+All!$H583="UCLA",+All!Q583,IF(+All!$F583="UCLA",+All!Q583,0))</f>
        <v>13</v>
      </c>
      <c r="R124" s="460" t="str">
        <f>IF(+All!$H583="UCLA",+All!R583,IF(+All!$F583="UCLA",+All!R583,0))</f>
        <v>UCLA</v>
      </c>
      <c r="S124" s="462" t="str">
        <f>IF(+All!$H583="UCLA",+All!S583,IF(+All!$F583="UCLA",+All!S583,0))</f>
        <v>Stanford</v>
      </c>
      <c r="T124" s="460" t="str">
        <f>IF(+All!$H583="UCLA",+All!T583,IF(+All!$F583="UCLA",+All!T583,0))</f>
        <v>UCLA</v>
      </c>
      <c r="U124" s="461" t="str">
        <f>IF(+All!$H583="UCLA",+All!U583,IF(+All!$F583="UCLA",+All!U583,0))</f>
        <v>W</v>
      </c>
    </row>
    <row r="125" spans="1:21" x14ac:dyDescent="0.8">
      <c r="A125" s="46">
        <f>IF(+All!$H636="UCLA",+All!A636,IF(+All!$F636="UCLA",+All!A636,0))</f>
        <v>10</v>
      </c>
      <c r="B125" s="348" t="str">
        <f>IF(+All!$H636="UCLA",+All!B636,IF(+All!$F636="UCLA",+All!B636,0))</f>
        <v>Sat</v>
      </c>
      <c r="C125" s="72">
        <f>IF(+All!$H636="UCLA",+All!C636,IF(+All!$F636="UCLA",+All!C636,0))</f>
        <v>44870</v>
      </c>
      <c r="D125" s="73">
        <f>IF(+All!$H636="UCLA",+All!D636,IF(+All!$F636="UCLA",+All!D636,0))</f>
        <v>0.89583333333333337</v>
      </c>
      <c r="E125" s="461" t="str">
        <f>IF(+All!$H636="UCLA",+All!E636,IF(+All!$F636="UCLA",+All!E636,0))</f>
        <v>FS1</v>
      </c>
      <c r="F125" s="460" t="str">
        <f>IF(+All!$H636="UCLA",+All!F636,IF(+All!$F636="UCLA",+All!F636,0))</f>
        <v>UCLA</v>
      </c>
      <c r="G125" s="461" t="str">
        <f>IF(+All!$H636="UCLA",+All!G636,IF(+All!$F636="UCLA",+All!G636,0))</f>
        <v>P12</v>
      </c>
      <c r="H125" s="460" t="str">
        <f>IF(+All!$H636="UCLA",+All!H636,IF(+All!$F636="UCLA",+All!H636,0))</f>
        <v>Arizona State</v>
      </c>
      <c r="I125" s="461" t="str">
        <f>IF(+All!$H636="UCLA",+All!I636,IF(+All!$F636="UCLA",+All!I636,0))</f>
        <v>P12</v>
      </c>
      <c r="J125" s="460" t="str">
        <f>IF(+All!$H636="UCLA",+All!J636,IF(+All!$F636="UCLA",+All!J636,0))</f>
        <v>UCLA</v>
      </c>
      <c r="K125" s="461" t="str">
        <f>IF(+All!$H636="UCLA",+All!K636,IF(+All!$F636="UCLA",+All!K636,0))</f>
        <v>Arizona State</v>
      </c>
      <c r="L125" s="60">
        <f>IF(+All!$H636="UCLA",+All!L636,IF(+All!$F636="UCLA",+All!L636,0))</f>
        <v>10.5</v>
      </c>
      <c r="M125" s="61">
        <f>IF(+All!$H636="UCLA",+All!M636,IF(+All!$F636="UCLA",+All!M636,0))</f>
        <v>66.5</v>
      </c>
      <c r="N125" s="460" t="str">
        <f>IF(+All!$H636="UCLA",+All!N636,IF(+All!$F636="UCLA",+All!N636,0))</f>
        <v>UCLA</v>
      </c>
      <c r="O125" s="462">
        <f>IF(+All!$H636="UCLA",+All!O636,IF(+All!$F636="UCLA",+All!O636,0))</f>
        <v>50</v>
      </c>
      <c r="P125" s="462" t="str">
        <f>IF(+All!$H636="UCLA",+All!P636,IF(+All!$F636="UCLA",+All!P636,0))</f>
        <v>Arizona State</v>
      </c>
      <c r="Q125" s="461">
        <f>IF(+All!$H636="UCLA",+All!Q636,IF(+All!$F636="UCLA",+All!Q636,0))</f>
        <v>36</v>
      </c>
      <c r="R125" s="460" t="str">
        <f>IF(+All!$H636="UCLA",+All!R636,IF(+All!$F636="UCLA",+All!R636,0))</f>
        <v>UCLA</v>
      </c>
      <c r="S125" s="462" t="str">
        <f>IF(+All!$H636="UCLA",+All!S636,IF(+All!$F636="UCLA",+All!S636,0))</f>
        <v>Arizona State</v>
      </c>
      <c r="T125" s="460" t="str">
        <f>IF(+All!$H636="UCLA",+All!T636,IF(+All!$F636="UCLA",+All!T636,0))</f>
        <v>UCLA</v>
      </c>
      <c r="U125" s="461" t="str">
        <f>IF(+All!$H636="UCLA",+All!U636,IF(+All!$F636="UCLA",+All!U636,0))</f>
        <v>W</v>
      </c>
    </row>
    <row r="126" spans="1:21" x14ac:dyDescent="0.8">
      <c r="A126" s="46">
        <f>IF(+All!$H701="UCLA",+All!A701,IF(+All!$F701="UCLA",+All!A701,0))</f>
        <v>11</v>
      </c>
      <c r="B126" s="348" t="str">
        <f>IF(+All!$H701="UCLA",+All!B701,IF(+All!$F701="UCLA",+All!B701,0))</f>
        <v>Sat</v>
      </c>
      <c r="C126" s="72">
        <f>IF(+All!$H701="UCLA",+All!C701,IF(+All!$F701="UCLA",+All!C701,0))</f>
        <v>44877</v>
      </c>
      <c r="D126" s="73">
        <f>IF(+All!$H701="UCLA",+All!D701,IF(+All!$F701="UCLA",+All!D701,0))</f>
        <v>0.9375</v>
      </c>
      <c r="E126" s="461" t="str">
        <f>IF(+All!$H701="UCLA",+All!E701,IF(+All!$F701="UCLA",+All!E701,0))</f>
        <v>Fox</v>
      </c>
      <c r="F126" s="460" t="str">
        <f>IF(+All!$H701="UCLA",+All!F701,IF(+All!$F701="UCLA",+All!F701,0))</f>
        <v>Arizona</v>
      </c>
      <c r="G126" s="461" t="str">
        <f>IF(+All!$H701="UCLA",+All!G701,IF(+All!$F701="UCLA",+All!G701,0))</f>
        <v>P12</v>
      </c>
      <c r="H126" s="460" t="str">
        <f>IF(+All!$H701="UCLA",+All!H701,IF(+All!$F701="UCLA",+All!H701,0))</f>
        <v>UCLA</v>
      </c>
      <c r="I126" s="461" t="str">
        <f>IF(+All!$H701="UCLA",+All!I701,IF(+All!$F701="UCLA",+All!I701,0))</f>
        <v>P12</v>
      </c>
      <c r="J126" s="460" t="str">
        <f>IF(+All!$H701="UCLA",+All!J701,IF(+All!$F701="UCLA",+All!J701,0))</f>
        <v>UCLA</v>
      </c>
      <c r="K126" s="461" t="str">
        <f>IF(+All!$H701="UCLA",+All!K701,IF(+All!$F701="UCLA",+All!K701,0))</f>
        <v>Arizona</v>
      </c>
      <c r="L126" s="60">
        <f>IF(+All!$H701="UCLA",+All!L701,IF(+All!$F701="UCLA",+All!L701,0))</f>
        <v>19.5</v>
      </c>
      <c r="M126" s="61">
        <f>IF(+All!$H701="UCLA",+All!M701,IF(+All!$F701="UCLA",+All!M701,0))</f>
        <v>77.5</v>
      </c>
      <c r="N126" s="460" t="str">
        <f>IF(+All!$H701="UCLA",+All!N701,IF(+All!$F701="UCLA",+All!N701,0))</f>
        <v>Arizona</v>
      </c>
      <c r="O126" s="462">
        <f>IF(+All!$H701="UCLA",+All!O701,IF(+All!$F701="UCLA",+All!O701,0))</f>
        <v>34</v>
      </c>
      <c r="P126" s="462" t="str">
        <f>IF(+All!$H701="UCLA",+All!P701,IF(+All!$F701="UCLA",+All!P701,0))</f>
        <v>UCLA</v>
      </c>
      <c r="Q126" s="461">
        <f>IF(+All!$H701="UCLA",+All!Q701,IF(+All!$F701="UCLA",+All!Q701,0))</f>
        <v>28</v>
      </c>
      <c r="R126" s="460" t="str">
        <f>IF(+All!$H701="UCLA",+All!R701,IF(+All!$F701="UCLA",+All!R701,0))</f>
        <v>Arizona</v>
      </c>
      <c r="S126" s="462" t="str">
        <f>IF(+All!$H701="UCLA",+All!S701,IF(+All!$F701="UCLA",+All!S701,0))</f>
        <v>UCLA</v>
      </c>
      <c r="T126" s="460" t="str">
        <f>IF(+All!$H701="UCLA",+All!T701,IF(+All!$F701="UCLA",+All!T701,0))</f>
        <v>UCLA</v>
      </c>
      <c r="U126" s="461" t="str">
        <f>IF(+All!$H701="UCLA",+All!U701,IF(+All!$F701="UCLA",+All!U701,0))</f>
        <v>L</v>
      </c>
    </row>
    <row r="127" spans="1:21" ht="16.899999999999999" customHeight="1" x14ac:dyDescent="0.8">
      <c r="A127" s="46">
        <f>IF(+All!$H767="UCLA",+All!A767,IF(+All!$F767="UCLA",+All!A767,0))</f>
        <v>12</v>
      </c>
      <c r="B127" s="348" t="str">
        <f>IF(+All!$H767="UCLA",+All!B767,IF(+All!$F767="UCLA",+All!B767,0))</f>
        <v>Sat</v>
      </c>
      <c r="C127" s="72">
        <f>IF(+All!$H767="UCLA",+All!C767,IF(+All!$F767="UCLA",+All!C767,0))</f>
        <v>44884</v>
      </c>
      <c r="D127" s="73">
        <f>IF(+All!$H767="UCLA",+All!D767,IF(+All!$F767="UCLA",+All!D767,0))</f>
        <v>0.83333333333333337</v>
      </c>
      <c r="E127" s="461" t="str">
        <f>IF(+All!$H767="UCLA",+All!E767,IF(+All!$F767="UCLA",+All!E767,0))</f>
        <v>Fox</v>
      </c>
      <c r="F127" s="460" t="str">
        <f>IF(+All!$H767="UCLA",+All!F767,IF(+All!$F767="UCLA",+All!F767,0))</f>
        <v>Southern Cal</v>
      </c>
      <c r="G127" s="461" t="str">
        <f>IF(+All!$H767="UCLA",+All!G767,IF(+All!$F767="UCLA",+All!G767,0))</f>
        <v>P12</v>
      </c>
      <c r="H127" s="460" t="str">
        <f>IF(+All!$H767="UCLA",+All!H767,IF(+All!$F767="UCLA",+All!H767,0))</f>
        <v>UCLA</v>
      </c>
      <c r="I127" s="461" t="str">
        <f>IF(+All!$H767="UCLA",+All!I767,IF(+All!$F767="UCLA",+All!I767,0))</f>
        <v>P12</v>
      </c>
      <c r="J127" s="460" t="str">
        <f>IF(+All!$H767="UCLA",+All!J767,IF(+All!$F767="UCLA",+All!J767,0))</f>
        <v>Southern Cal</v>
      </c>
      <c r="K127" s="461" t="str">
        <f>IF(+All!$H767="UCLA",+All!K767,IF(+All!$F767="UCLA",+All!K767,0))</f>
        <v>UCLA</v>
      </c>
      <c r="L127" s="60">
        <f>IF(+All!$H767="UCLA",+All!L767,IF(+All!$F767="UCLA",+All!L767,0))</f>
        <v>1.5</v>
      </c>
      <c r="M127" s="61">
        <f>IF(+All!$H767="UCLA",+All!M767,IF(+All!$F767="UCLA",+All!M767,0))</f>
        <v>75</v>
      </c>
      <c r="N127" s="460" t="str">
        <f>IF(+All!$H767="UCLA",+All!N767,IF(+All!$F767="UCLA",+All!N767,0))</f>
        <v>Southern Cal</v>
      </c>
      <c r="O127" s="462">
        <f>IF(+All!$H767="UCLA",+All!O767,IF(+All!$F767="UCLA",+All!O767,0))</f>
        <v>48</v>
      </c>
      <c r="P127" s="462" t="str">
        <f>IF(+All!$H767="UCLA",+All!P767,IF(+All!$F767="UCLA",+All!P767,0))</f>
        <v>UCLA</v>
      </c>
      <c r="Q127" s="461">
        <f>IF(+All!$H767="UCLA",+All!Q767,IF(+All!$F767="UCLA",+All!Q767,0))</f>
        <v>45</v>
      </c>
      <c r="R127" s="460" t="str">
        <f>IF(+All!$H767="UCLA",+All!R767,IF(+All!$F767="UCLA",+All!R767,0))</f>
        <v>Southern Cal</v>
      </c>
      <c r="S127" s="462" t="str">
        <f>IF(+All!$H767="UCLA",+All!S767,IF(+All!$F767="UCLA",+All!S767,0))</f>
        <v>UCLA</v>
      </c>
      <c r="T127" s="460" t="str">
        <f>IF(+All!$H767="UCLA",+All!T767,IF(+All!$F767="UCLA",+All!T767,0))</f>
        <v>UCLA</v>
      </c>
      <c r="U127" s="461" t="str">
        <f>IF(+All!$H767="UCLA",+All!U767,IF(+All!$F767="UCLA",+All!U767,0))</f>
        <v>L</v>
      </c>
    </row>
    <row r="128" spans="1:21" x14ac:dyDescent="0.8">
      <c r="A128" s="46">
        <f>IF(+All!$H796="UCLA",+All!A796,IF(+All!$F796="UCLA",+All!A796,0))</f>
        <v>13</v>
      </c>
      <c r="B128" s="348" t="str">
        <f>IF(+All!$H796="UCLA",+All!B796,IF(+All!$F796="UCLA",+All!B796,0))</f>
        <v>Fri</v>
      </c>
      <c r="C128" s="72">
        <f>IF(+All!$H796="UCLA",+All!C796,IF(+All!$F796="UCLA",+All!C796,0))</f>
        <v>44890</v>
      </c>
      <c r="D128" s="73">
        <f>IF(+All!$H796="UCLA",+All!D796,IF(+All!$F796="UCLA",+All!D796,0))</f>
        <v>0.6875</v>
      </c>
      <c r="E128" s="461" t="str">
        <f>IF(+All!$H796="UCLA",+All!E796,IF(+All!$F796="UCLA",+All!E796,0))</f>
        <v>Fox</v>
      </c>
      <c r="F128" s="460" t="str">
        <f>IF(+All!$H796="UCLA",+All!F796,IF(+All!$F796="UCLA",+All!F796,0))</f>
        <v>UCLA</v>
      </c>
      <c r="G128" s="461" t="str">
        <f>IF(+All!$H796="UCLA",+All!G796,IF(+All!$F796="UCLA",+All!G796,0))</f>
        <v>P12</v>
      </c>
      <c r="H128" s="460" t="str">
        <f>IF(+All!$H796="UCLA",+All!H796,IF(+All!$F796="UCLA",+All!H796,0))</f>
        <v>California</v>
      </c>
      <c r="I128" s="461" t="str">
        <f>IF(+All!$H796="UCLA",+All!I796,IF(+All!$F796="UCLA",+All!I796,0))</f>
        <v>P12</v>
      </c>
      <c r="J128" s="460" t="str">
        <f>IF(+All!$H796="UCLA",+All!J796,IF(+All!$F796="UCLA",+All!J796,0))</f>
        <v>UCLA</v>
      </c>
      <c r="K128" s="461" t="str">
        <f>IF(+All!$H796="UCLA",+All!K796,IF(+All!$F796="UCLA",+All!K796,0))</f>
        <v>California</v>
      </c>
      <c r="L128" s="60">
        <f>IF(+All!$H796="UCLA",+All!L796,IF(+All!$F796="UCLA",+All!L796,0))</f>
        <v>11</v>
      </c>
      <c r="M128" s="61">
        <f>IF(+All!$H796="UCLA",+All!M796,IF(+All!$F796="UCLA",+All!M796,0))</f>
        <v>61.5</v>
      </c>
      <c r="N128" s="460" t="str">
        <f>IF(+All!$H796="UCLA",+All!N796,IF(+All!$F796="UCLA",+All!N796,0))</f>
        <v>UCLA</v>
      </c>
      <c r="O128" s="462">
        <f>IF(+All!$H796="UCLA",+All!O796,IF(+All!$F796="UCLA",+All!O796,0))</f>
        <v>35</v>
      </c>
      <c r="P128" s="462" t="str">
        <f>IF(+All!$H796="UCLA",+All!P796,IF(+All!$F796="UCLA",+All!P796,0))</f>
        <v>California</v>
      </c>
      <c r="Q128" s="461">
        <f>IF(+All!$H796="UCLA",+All!Q796,IF(+All!$F796="UCLA",+All!Q796,0))</f>
        <v>28</v>
      </c>
      <c r="R128" s="460" t="str">
        <f>IF(+All!$H796="UCLA",+All!R796,IF(+All!$F796="UCLA",+All!R796,0))</f>
        <v>California</v>
      </c>
      <c r="S128" s="462" t="str">
        <f>IF(+All!$H796="UCLA",+All!S796,IF(+All!$F796="UCLA",+All!S796,0))</f>
        <v>UCLA</v>
      </c>
      <c r="T128" s="460" t="str">
        <f>IF(+All!$H796="UCLA",+All!T796,IF(+All!$F796="UCLA",+All!T796,0))</f>
        <v>UCLA</v>
      </c>
      <c r="U128" s="461" t="str">
        <f>IF(+All!$H796="UCLA",+All!U796,IF(+All!$F796="UCLA",+All!U796,0))</f>
        <v>L</v>
      </c>
    </row>
    <row r="129" spans="1:21" x14ac:dyDescent="0.8">
      <c r="B129" s="348"/>
      <c r="E129" s="461"/>
      <c r="F129" s="897" t="str">
        <f>H131</f>
        <v>Utah</v>
      </c>
      <c r="G129" s="903"/>
      <c r="H129" s="903"/>
      <c r="I129" s="904"/>
      <c r="J129" s="460"/>
      <c r="K129" s="461"/>
      <c r="N129" s="460"/>
      <c r="O129" s="462"/>
      <c r="P129" s="462"/>
      <c r="Q129" s="461"/>
      <c r="R129" s="460"/>
      <c r="S129" s="462"/>
      <c r="T129" s="460"/>
      <c r="U129" s="461"/>
    </row>
    <row r="130" spans="1:21" x14ac:dyDescent="0.8">
      <c r="A130" s="46">
        <f>IF(+All!$H76="Utah",+All!A76,IF(+All!$F76="Utah",+All!A76,0))</f>
        <v>1</v>
      </c>
      <c r="B130" s="348" t="str">
        <f>IF(+All!$H76="Utah",+All!B76,IF(+All!$F76="Utah",+All!B76,0))</f>
        <v>Sat</v>
      </c>
      <c r="C130" s="72">
        <f>IF(+All!$H76="Utah",+All!C76,IF(+All!$F76="Utah",+All!C76,0))</f>
        <v>44807</v>
      </c>
      <c r="D130" s="73">
        <f>IF(+All!$H76="Utah",+All!D76,IF(+All!$F76="Utah",+All!D76,0))</f>
        <v>0.79166666666666663</v>
      </c>
      <c r="E130" s="461" t="str">
        <f>IF(+All!$H76="Utah",+All!E76,IF(+All!$F76="Utah",+All!E76,0))</f>
        <v>ESPN</v>
      </c>
      <c r="F130" s="460" t="str">
        <f>IF(+All!$H76="Utah",+All!F76,IF(+All!$F76="Utah",+All!F76,0))</f>
        <v>Utah</v>
      </c>
      <c r="G130" s="461" t="str">
        <f>IF(+All!$H76="Utah",+All!G76,IF(+All!$F76="Utah",+All!G76,0))</f>
        <v>P12</v>
      </c>
      <c r="H130" s="460" t="str">
        <f>IF(+All!$H76="Utah",+All!H76,IF(+All!$F76="Utah",+All!H76,0))</f>
        <v>Florida</v>
      </c>
      <c r="I130" s="461" t="str">
        <f>IF(+All!$H76="Utah",+All!I76,IF(+All!$F76="Utah",+All!I76,0))</f>
        <v>SEC</v>
      </c>
      <c r="J130" s="460" t="str">
        <f>IF(+All!$H76="Utah",+All!J76,IF(+All!$F76="Utah",+All!J76,0))</f>
        <v>Utah</v>
      </c>
      <c r="K130" s="461" t="str">
        <f>IF(+All!$H76="Utah",+All!K76,IF(+All!$F76="Utah",+All!K76,0))</f>
        <v>Florida</v>
      </c>
      <c r="L130" s="60">
        <f>IF(+All!$H76="Utah",+All!L76,IF(+All!$F76="Utah",+All!L76,0))</f>
        <v>3</v>
      </c>
      <c r="M130" s="61">
        <f>IF(+All!$H76="Utah",+All!M76,IF(+All!$F76="Utah",+All!M76,0))</f>
        <v>51</v>
      </c>
      <c r="N130" s="460" t="str">
        <f>IF(+All!$H76="Utah",+All!N76,IF(+All!$F76="Utah",+All!N76,0))</f>
        <v>Florida</v>
      </c>
      <c r="O130" s="462">
        <f>IF(+All!$H76="Utah",+All!O76,IF(+All!$F76="Utah",+All!O76,0))</f>
        <v>29</v>
      </c>
      <c r="P130" s="462" t="str">
        <f>IF(+All!$H76="Utah",+All!P76,IF(+All!$F76="Utah",+All!P76,0))</f>
        <v>Utah</v>
      </c>
      <c r="Q130" s="461">
        <f>IF(+All!$H76="Utah",+All!Q76,IF(+All!$F76="Utah",+All!Q76,0))</f>
        <v>26</v>
      </c>
      <c r="R130" s="460" t="str">
        <f>IF(+All!$H76="Utah",+All!R76,IF(+All!$F76="Utah",+All!R76,0))</f>
        <v>Florida</v>
      </c>
      <c r="S130" s="462" t="str">
        <f>IF(+All!$H76="Utah",+All!S76,IF(+All!$F76="Utah",+All!S76,0))</f>
        <v>Utah</v>
      </c>
      <c r="T130" s="460" t="str">
        <f>IF(+All!$H76="Utah",+All!T76,IF(+All!$F76="Utah",+All!T76,0))</f>
        <v>Utah</v>
      </c>
      <c r="U130" s="461" t="str">
        <f>IF(+All!$H76="Utah",+All!U76,IF(+All!$F76="Utah",+All!U76,0))</f>
        <v>L</v>
      </c>
    </row>
    <row r="131" spans="1:21" x14ac:dyDescent="0.8">
      <c r="A131" s="46">
        <f>IF(+All!$H163="Utah",+All!A163,IF(+All!$F163="Utah",+All!A163,0))</f>
        <v>2</v>
      </c>
      <c r="B131" s="348" t="str">
        <f>IF(+All!$H163="Utah",+All!B163,IF(+All!$F163="Utah",+All!B163,0))</f>
        <v>Sat</v>
      </c>
      <c r="C131" s="72">
        <f>IF(+All!$H163="Utah",+All!C163,IF(+All!$F163="Utah",+All!C163,0))</f>
        <v>44814</v>
      </c>
      <c r="D131" s="73">
        <f>IF(+All!$H163="Utah",+All!D163,IF(+All!$F163="Utah",+All!D163,0))</f>
        <v>0.5625</v>
      </c>
      <c r="E131" s="461">
        <f>IF(+All!$H163="Utah",+All!E163,IF(+All!$F163="Utah",+All!E163,0))</f>
        <v>0</v>
      </c>
      <c r="F131" s="460" t="str">
        <f>IF(+All!$H163="Utah",+All!F163,IF(+All!$F163="Utah",+All!F163,0))</f>
        <v>1AA Southern Utah</v>
      </c>
      <c r="G131" s="461" t="str">
        <f>IF(+All!$H163="Utah",+All!G163,IF(+All!$F163="Utah",+All!G163,0))</f>
        <v>1AA</v>
      </c>
      <c r="H131" s="460" t="str">
        <f>IF(+All!$H163="Utah",+All!H163,IF(+All!$F163="Utah",+All!H163,0))</f>
        <v>Utah</v>
      </c>
      <c r="I131" s="461" t="str">
        <f>IF(+All!$H163="Utah",+All!I163,IF(+All!$F163="Utah",+All!I163,0))</f>
        <v>P12</v>
      </c>
      <c r="J131" s="460">
        <f>IF(+All!$H163="Utah",+All!J163,IF(+All!$F163="Utah",+All!J163,0))</f>
        <v>0</v>
      </c>
      <c r="K131" s="461">
        <f>IF(+All!$H163="Utah",+All!K163,IF(+All!$F163="Utah",+All!K163,0))</f>
        <v>0</v>
      </c>
      <c r="L131" s="60">
        <f>IF(+All!$H163="Utah",+All!L163,IF(+All!$F163="Utah",+All!L163,0))</f>
        <v>0</v>
      </c>
      <c r="M131" s="61">
        <f>IF(+All!$H163="Utah",+All!M163,IF(+All!$F163="Utah",+All!M163,0))</f>
        <v>0</v>
      </c>
      <c r="N131" s="460" t="str">
        <f>IF(+All!$H163="Utah",+All!N163,IF(+All!$F163="Utah",+All!N163,0))</f>
        <v>Utah</v>
      </c>
      <c r="O131" s="462">
        <f>IF(+All!$H163="Utah",+All!O163,IF(+All!$F163="Utah",+All!O163,0))</f>
        <v>73</v>
      </c>
      <c r="P131" s="462" t="str">
        <f>IF(+All!$H163="Utah",+All!P163,IF(+All!$F163="Utah",+All!P163,0))</f>
        <v>1AA Southern Utah</v>
      </c>
      <c r="Q131" s="461">
        <f>IF(+All!$H163="Utah",+All!Q163,IF(+All!$F163="Utah",+All!Q163,0))</f>
        <v>7</v>
      </c>
      <c r="R131" s="460">
        <f>IF(+All!$H163="Utah",+All!R163,IF(+All!$F163="Utah",+All!R163,0))</f>
        <v>0</v>
      </c>
      <c r="S131" s="462">
        <f>IF(+All!$H163="Utah",+All!S163,IF(+All!$F163="Utah",+All!S163,0))</f>
        <v>0</v>
      </c>
      <c r="T131" s="460">
        <f>IF(+All!$H163="Utah",+All!T163,IF(+All!$F163="Utah",+All!T163,0))</f>
        <v>0</v>
      </c>
      <c r="U131" s="461">
        <f>IF(+All!$H163="Utah",+All!U163,IF(+All!$F163="Utah",+All!U163,0))</f>
        <v>0</v>
      </c>
    </row>
    <row r="132" spans="1:21" x14ac:dyDescent="0.8">
      <c r="A132" s="46">
        <f>IF(+All!$H235="Utah",+All!A235,IF(+All!$F235="Utah",+All!A235,0))</f>
        <v>3</v>
      </c>
      <c r="B132" s="348" t="str">
        <f>IF(+All!$H235="Utah",+All!B235,IF(+All!$F235="Utah",+All!B235,0))</f>
        <v>Sat</v>
      </c>
      <c r="C132" s="72">
        <f>IF(+All!$H235="Utah",+All!C235,IF(+All!$F235="Utah",+All!C235,0))</f>
        <v>44821</v>
      </c>
      <c r="D132" s="73">
        <f>IF(+All!$H235="Utah",+All!D235,IF(+All!$F235="Utah",+All!D235,0))</f>
        <v>0.91666666666666663</v>
      </c>
      <c r="E132" s="461" t="str">
        <f>IF(+All!$H235="Utah",+All!E235,IF(+All!$F235="Utah",+All!E235,0))</f>
        <v>ESPN2</v>
      </c>
      <c r="F132" s="460" t="str">
        <f>IF(+All!$H235="Utah",+All!F235,IF(+All!$F235="Utah",+All!F235,0))</f>
        <v>San Diego State</v>
      </c>
      <c r="G132" s="461" t="str">
        <f>IF(+All!$H235="Utah",+All!G235,IF(+All!$F235="Utah",+All!G235,0))</f>
        <v>MWC</v>
      </c>
      <c r="H132" s="460" t="str">
        <f>IF(+All!$H235="Utah",+All!H235,IF(+All!$F235="Utah",+All!H235,0))</f>
        <v>Utah</v>
      </c>
      <c r="I132" s="461" t="str">
        <f>IF(+All!$H235="Utah",+All!I235,IF(+All!$F235="Utah",+All!I235,0))</f>
        <v>P12</v>
      </c>
      <c r="J132" s="460" t="str">
        <f>IF(+All!$H235="Utah",+All!J235,IF(+All!$F235="Utah",+All!J235,0))</f>
        <v>Utah</v>
      </c>
      <c r="K132" s="461" t="str">
        <f>IF(+All!$H235="Utah",+All!K235,IF(+All!$F235="Utah",+All!K235,0))</f>
        <v>San Diego State</v>
      </c>
      <c r="L132" s="60">
        <f>IF(+All!$H235="Utah",+All!L235,IF(+All!$F235="Utah",+All!L235,0))</f>
        <v>21.5</v>
      </c>
      <c r="M132" s="61">
        <f>IF(+All!$H235="Utah",+All!M235,IF(+All!$F235="Utah",+All!M235,0))</f>
        <v>49</v>
      </c>
      <c r="N132" s="460" t="str">
        <f>IF(+All!$H235="Utah",+All!N235,IF(+All!$F235="Utah",+All!N235,0))</f>
        <v>Utah</v>
      </c>
      <c r="O132" s="462">
        <f>IF(+All!$H235="Utah",+All!O235,IF(+All!$F235="Utah",+All!O235,0))</f>
        <v>35</v>
      </c>
      <c r="P132" s="462" t="str">
        <f>IF(+All!$H235="Utah",+All!P235,IF(+All!$F235="Utah",+All!P235,0))</f>
        <v>San Diego State</v>
      </c>
      <c r="Q132" s="461">
        <f>IF(+All!$H235="Utah",+All!Q235,IF(+All!$F235="Utah",+All!Q235,0))</f>
        <v>7</v>
      </c>
      <c r="R132" s="460" t="str">
        <f>IF(+All!$H235="Utah",+All!R235,IF(+All!$F235="Utah",+All!R235,0))</f>
        <v>Utah</v>
      </c>
      <c r="S132" s="462" t="str">
        <f>IF(+All!$H235="Utah",+All!S235,IF(+All!$F235="Utah",+All!S235,0))</f>
        <v>San Diego State</v>
      </c>
      <c r="T132" s="460" t="str">
        <f>IF(+All!$H235="Utah",+All!T235,IF(+All!$F235="Utah",+All!T235,0))</f>
        <v>Utah</v>
      </c>
      <c r="U132" s="461" t="str">
        <f>IF(+All!$H235="Utah",+All!U235,IF(+All!$F235="Utah",+All!U235,0))</f>
        <v>W</v>
      </c>
    </row>
    <row r="133" spans="1:21" x14ac:dyDescent="0.8">
      <c r="A133" s="46">
        <f>IF(+All!$H295="Utah",+All!A295,IF(+All!$F295="Utah",+All!A295,0))</f>
        <v>4</v>
      </c>
      <c r="B133" s="348" t="str">
        <f>IF(+All!$H295="Utah",+All!B295,IF(+All!$F295="Utah",+All!B295,0))</f>
        <v>Sat</v>
      </c>
      <c r="C133" s="72">
        <f>IF(+All!$H295="Utah",+All!C295,IF(+All!$F295="Utah",+All!C295,0))</f>
        <v>44828</v>
      </c>
      <c r="D133" s="73">
        <f>IF(+All!$H295="Utah",+All!D295,IF(+All!$F295="Utah",+All!D295,0))</f>
        <v>0.9375</v>
      </c>
      <c r="E133" s="461" t="str">
        <f>IF(+All!$H295="Utah",+All!E295,IF(+All!$F295="Utah",+All!E295,0))</f>
        <v>ESPN</v>
      </c>
      <c r="F133" s="460" t="str">
        <f>IF(+All!$H295="Utah",+All!F295,IF(+All!$F295="Utah",+All!F295,0))</f>
        <v>Utah</v>
      </c>
      <c r="G133" s="461" t="str">
        <f>IF(+All!$H295="Utah",+All!G295,IF(+All!$F295="Utah",+All!G295,0))</f>
        <v>P12</v>
      </c>
      <c r="H133" s="460" t="str">
        <f>IF(+All!$H295="Utah",+All!H295,IF(+All!$F295="Utah",+All!H295,0))</f>
        <v>Arizona State</v>
      </c>
      <c r="I133" s="461" t="str">
        <f>IF(+All!$H295="Utah",+All!I295,IF(+All!$F295="Utah",+All!I295,0))</f>
        <v>P12</v>
      </c>
      <c r="J133" s="460" t="str">
        <f>IF(+All!$H295="Utah",+All!J295,IF(+All!$F295="Utah",+All!J295,0))</f>
        <v>Utah</v>
      </c>
      <c r="K133" s="461" t="str">
        <f>IF(+All!$H295="Utah",+All!K295,IF(+All!$F295="Utah",+All!K295,0))</f>
        <v>Arizona State</v>
      </c>
      <c r="L133" s="60">
        <f>IF(+All!$H295="Utah",+All!L295,IF(+All!$F295="Utah",+All!L295,0))</f>
        <v>14</v>
      </c>
      <c r="M133" s="61">
        <f>IF(+All!$H295="Utah",+All!M295,IF(+All!$F295="Utah",+All!M295,0))</f>
        <v>54</v>
      </c>
      <c r="N133" s="460" t="str">
        <f>IF(+All!$H295="Utah",+All!N295,IF(+All!$F295="Utah",+All!N295,0))</f>
        <v>Utah</v>
      </c>
      <c r="O133" s="462">
        <f>IF(+All!$H295="Utah",+All!O295,IF(+All!$F295="Utah",+All!O295,0))</f>
        <v>34</v>
      </c>
      <c r="P133" s="462" t="str">
        <f>IF(+All!$H295="Utah",+All!P295,IF(+All!$F295="Utah",+All!P295,0))</f>
        <v>Arizona State</v>
      </c>
      <c r="Q133" s="461">
        <f>IF(+All!$H295="Utah",+All!Q295,IF(+All!$F295="Utah",+All!Q295,0))</f>
        <v>13</v>
      </c>
      <c r="R133" s="460" t="str">
        <f>IF(+All!$H295="Utah",+All!R295,IF(+All!$F295="Utah",+All!R295,0))</f>
        <v>Utah</v>
      </c>
      <c r="S133" s="462" t="str">
        <f>IF(+All!$H295="Utah",+All!S295,IF(+All!$F295="Utah",+All!S295,0))</f>
        <v>Arizona State</v>
      </c>
      <c r="T133" s="460" t="str">
        <f>IF(+All!$H295="Utah",+All!T295,IF(+All!$F295="Utah",+All!T295,0))</f>
        <v>Utah</v>
      </c>
      <c r="U133" s="461" t="str">
        <f>IF(+All!$H295="Utah",+All!U295,IF(+All!$F295="Utah",+All!U295,0))</f>
        <v>W</v>
      </c>
    </row>
    <row r="134" spans="1:21" x14ac:dyDescent="0.8">
      <c r="A134" s="46">
        <f>IF(+All!$H366="Utah",+All!A366,IF(+All!$F366="Utah",+All!A366,0))</f>
        <v>5</v>
      </c>
      <c r="B134" s="348" t="str">
        <f>IF(+All!$H366="Utah",+All!B366,IF(+All!$F366="Utah",+All!B366,0))</f>
        <v>Sat</v>
      </c>
      <c r="C134" s="72">
        <f>IF(+All!$H366="Utah",+All!C366,IF(+All!$F366="Utah",+All!C366,0))</f>
        <v>44835</v>
      </c>
      <c r="D134" s="73">
        <f>IF(+All!$H366="Utah",+All!D366,IF(+All!$F366="Utah",+All!D366,0))</f>
        <v>0.58333333333333337</v>
      </c>
      <c r="E134" s="461" t="str">
        <f>IF(+All!$H366="Utah",+All!E366,IF(+All!$F366="Utah",+All!E366,0))</f>
        <v>PAC12</v>
      </c>
      <c r="F134" s="460" t="str">
        <f>IF(+All!$H366="Utah",+All!F366,IF(+All!$F366="Utah",+All!F366,0))</f>
        <v>Oregon State</v>
      </c>
      <c r="G134" s="461" t="str">
        <f>IF(+All!$H366="Utah",+All!G366,IF(+All!$F366="Utah",+All!G366,0))</f>
        <v>P12</v>
      </c>
      <c r="H134" s="460" t="str">
        <f>IF(+All!$H366="Utah",+All!H366,IF(+All!$F366="Utah",+All!H366,0))</f>
        <v>Utah</v>
      </c>
      <c r="I134" s="461" t="str">
        <f>IF(+All!$H366="Utah",+All!I366,IF(+All!$F366="Utah",+All!I366,0))</f>
        <v>P12</v>
      </c>
      <c r="J134" s="460" t="str">
        <f>IF(+All!$H366="Utah",+All!J366,IF(+All!$F366="Utah",+All!J366,0))</f>
        <v>Utah</v>
      </c>
      <c r="K134" s="461" t="str">
        <f>IF(+All!$H366="Utah",+All!K366,IF(+All!$F366="Utah",+All!K366,0))</f>
        <v>Oregon State</v>
      </c>
      <c r="L134" s="60">
        <f>IF(+All!$H366="Utah",+All!L366,IF(+All!$F366="Utah",+All!L366,0))</f>
        <v>10.5</v>
      </c>
      <c r="M134" s="61">
        <f>IF(+All!$H366="Utah",+All!M366,IF(+All!$F366="Utah",+All!M366,0))</f>
        <v>55</v>
      </c>
      <c r="N134" s="460" t="str">
        <f>IF(+All!$H366="Utah",+All!N366,IF(+All!$F366="Utah",+All!N366,0))</f>
        <v>Utah</v>
      </c>
      <c r="O134" s="462">
        <f>IF(+All!$H366="Utah",+All!O366,IF(+All!$F366="Utah",+All!O366,0))</f>
        <v>42</v>
      </c>
      <c r="P134" s="462" t="str">
        <f>IF(+All!$H366="Utah",+All!P366,IF(+All!$F366="Utah",+All!P366,0))</f>
        <v>Oregon State</v>
      </c>
      <c r="Q134" s="461">
        <f>IF(+All!$H366="Utah",+All!Q366,IF(+All!$F366="Utah",+All!Q366,0))</f>
        <v>16</v>
      </c>
      <c r="R134" s="460" t="str">
        <f>IF(+All!$H366="Utah",+All!R366,IF(+All!$F366="Utah",+All!R366,0))</f>
        <v>Utah</v>
      </c>
      <c r="S134" s="462" t="str">
        <f>IF(+All!$H366="Utah",+All!S366,IF(+All!$F366="Utah",+All!S366,0))</f>
        <v>Oregon State</v>
      </c>
      <c r="T134" s="460" t="str">
        <f>IF(+All!$H366="Utah",+All!T366,IF(+All!$F366="Utah",+All!T366,0))</f>
        <v>Oregon State</v>
      </c>
      <c r="U134" s="461" t="str">
        <f>IF(+All!$H366="Utah",+All!U366,IF(+All!$F366="Utah",+All!U366,0))</f>
        <v>L</v>
      </c>
    </row>
    <row r="135" spans="1:21" x14ac:dyDescent="0.8">
      <c r="A135" s="46">
        <f>IF(+All!$H425="Utah",+All!A425,IF(+All!$F425="Utah",+All!A425,0))</f>
        <v>6</v>
      </c>
      <c r="B135" s="348" t="str">
        <f>IF(+All!$H425="Utah",+All!B425,IF(+All!$F425="Utah",+All!B425,0))</f>
        <v>Sat</v>
      </c>
      <c r="C135" s="72">
        <f>IF(+All!$H425="Utah",+All!C425,IF(+All!$F425="Utah",+All!C425,0))</f>
        <v>44842</v>
      </c>
      <c r="D135" s="73">
        <f>IF(+All!$H425="Utah",+All!D425,IF(+All!$F425="Utah",+All!D425,0))</f>
        <v>0.64583333333333337</v>
      </c>
      <c r="E135" s="461" t="str">
        <f>IF(+All!$H425="Utah",+All!E425,IF(+All!$F425="Utah",+All!E425,0))</f>
        <v>Fox</v>
      </c>
      <c r="F135" s="460" t="str">
        <f>IF(+All!$H425="Utah",+All!F425,IF(+All!$F425="Utah",+All!F425,0))</f>
        <v>Utah</v>
      </c>
      <c r="G135" s="461" t="str">
        <f>IF(+All!$H425="Utah",+All!G425,IF(+All!$F425="Utah",+All!G425,0))</f>
        <v>P12</v>
      </c>
      <c r="H135" s="460" t="str">
        <f>IF(+All!$H425="Utah",+All!H425,IF(+All!$F425="Utah",+All!H425,0))</f>
        <v>UCLA</v>
      </c>
      <c r="I135" s="461" t="str">
        <f>IF(+All!$H425="Utah",+All!I425,IF(+All!$F425="Utah",+All!I425,0))</f>
        <v>P12</v>
      </c>
      <c r="J135" s="460" t="str">
        <f>IF(+All!$H425="Utah",+All!J425,IF(+All!$F425="Utah",+All!J425,0))</f>
        <v>Utah</v>
      </c>
      <c r="K135" s="461" t="str">
        <f>IF(+All!$H425="Utah",+All!K425,IF(+All!$F425="Utah",+All!K425,0))</f>
        <v>UCLA</v>
      </c>
      <c r="L135" s="60">
        <f>IF(+All!$H425="Utah",+All!L425,IF(+All!$F425="Utah",+All!L425,0))</f>
        <v>3.5</v>
      </c>
      <c r="M135" s="61">
        <f>IF(+All!$H425="Utah",+All!M425,IF(+All!$F425="Utah",+All!M425,0))</f>
        <v>64.5</v>
      </c>
      <c r="N135" s="460" t="str">
        <f>IF(+All!$H425="Utah",+All!N425,IF(+All!$F425="Utah",+All!N425,0))</f>
        <v>UCLA</v>
      </c>
      <c r="O135" s="462">
        <f>IF(+All!$H425="Utah",+All!O425,IF(+All!$F425="Utah",+All!O425,0))</f>
        <v>42</v>
      </c>
      <c r="P135" s="462" t="str">
        <f>IF(+All!$H425="Utah",+All!P425,IF(+All!$F425="Utah",+All!P425,0))</f>
        <v>Utah</v>
      </c>
      <c r="Q135" s="461">
        <f>IF(+All!$H425="Utah",+All!Q425,IF(+All!$F425="Utah",+All!Q425,0))</f>
        <v>32</v>
      </c>
      <c r="R135" s="460" t="str">
        <f>IF(+All!$H425="Utah",+All!R425,IF(+All!$F425="Utah",+All!R425,0))</f>
        <v>UCLA</v>
      </c>
      <c r="S135" s="462" t="str">
        <f>IF(+All!$H425="Utah",+All!S425,IF(+All!$F425="Utah",+All!S425,0))</f>
        <v>Utah</v>
      </c>
      <c r="T135" s="460" t="str">
        <f>IF(+All!$H425="Utah",+All!T425,IF(+All!$F425="Utah",+All!T425,0))</f>
        <v>UCLA</v>
      </c>
      <c r="U135" s="461" t="str">
        <f>IF(+All!$H425="Utah",+All!U425,IF(+All!$F425="Utah",+All!U425,0))</f>
        <v>W</v>
      </c>
    </row>
    <row r="136" spans="1:21" x14ac:dyDescent="0.8">
      <c r="A136" s="46">
        <f>IF(+All!$H479="Utah",+All!A479,IF(+All!$F479="Utah",+All!A479,0))</f>
        <v>7</v>
      </c>
      <c r="B136" s="348" t="str">
        <f>IF(+All!$H479="Utah",+All!B479,IF(+All!$F479="Utah",+All!B479,0))</f>
        <v>Sat</v>
      </c>
      <c r="C136" s="72">
        <f>IF(+All!$H479="Utah",+All!C479,IF(+All!$F479="Utah",+All!C479,0))</f>
        <v>44849</v>
      </c>
      <c r="D136" s="73">
        <f>IF(+All!$H479="Utah",+All!D479,IF(+All!$F479="Utah",+All!D479,0))</f>
        <v>0.83333333333333337</v>
      </c>
      <c r="E136" s="461" t="str">
        <f>IF(+All!$H479="Utah",+All!E479,IF(+All!$F479="Utah",+All!E479,0))</f>
        <v>Fox</v>
      </c>
      <c r="F136" s="460" t="str">
        <f>IF(+All!$H479="Utah",+All!F479,IF(+All!$F479="Utah",+All!F479,0))</f>
        <v>Southern Cal</v>
      </c>
      <c r="G136" s="461" t="str">
        <f>IF(+All!$H479="Utah",+All!G479,IF(+All!$F479="Utah",+All!G479,0))</f>
        <v>P12</v>
      </c>
      <c r="H136" s="460" t="str">
        <f>IF(+All!$H479="Utah",+All!H479,IF(+All!$F479="Utah",+All!H479,0))</f>
        <v>Utah</v>
      </c>
      <c r="I136" s="461" t="str">
        <f>IF(+All!$H479="Utah",+All!I479,IF(+All!$F479="Utah",+All!I479,0))</f>
        <v>P12</v>
      </c>
      <c r="J136" s="460" t="str">
        <f>IF(+All!$H479="Utah",+All!J479,IF(+All!$F479="Utah",+All!J479,0))</f>
        <v>Utah</v>
      </c>
      <c r="K136" s="461" t="str">
        <f>IF(+All!$H479="Utah",+All!K479,IF(+All!$F479="Utah",+All!K479,0))</f>
        <v>Southern Cal</v>
      </c>
      <c r="L136" s="60">
        <f>IF(+All!$H479="Utah",+All!L479,IF(+All!$F479="Utah",+All!L479,0))</f>
        <v>3.5</v>
      </c>
      <c r="M136" s="61">
        <f>IF(+All!$H479="Utah",+All!M479,IF(+All!$F479="Utah",+All!M479,0))</f>
        <v>65</v>
      </c>
      <c r="N136" s="460" t="str">
        <f>IF(+All!$H479="Utah",+All!N479,IF(+All!$F479="Utah",+All!N479,0))</f>
        <v>Utah</v>
      </c>
      <c r="O136" s="462">
        <f>IF(+All!$H479="Utah",+All!O479,IF(+All!$F479="Utah",+All!O479,0))</f>
        <v>43</v>
      </c>
      <c r="P136" s="462" t="str">
        <f>IF(+All!$H479="Utah",+All!P479,IF(+All!$F479="Utah",+All!P479,0))</f>
        <v>Southern Cal</v>
      </c>
      <c r="Q136" s="461">
        <f>IF(+All!$H479="Utah",+All!Q479,IF(+All!$F479="Utah",+All!Q479,0))</f>
        <v>42</v>
      </c>
      <c r="R136" s="460" t="str">
        <f>IF(+All!$H479="Utah",+All!R479,IF(+All!$F479="Utah",+All!R479,0))</f>
        <v>Southern Cal</v>
      </c>
      <c r="S136" s="462" t="str">
        <f>IF(+All!$H479="Utah",+All!S479,IF(+All!$F479="Utah",+All!S479,0))</f>
        <v>Utah</v>
      </c>
      <c r="T136" s="460" t="str">
        <f>IF(+All!$H479="Utah",+All!T479,IF(+All!$F479="Utah",+All!T479,0))</f>
        <v>Southern Cal</v>
      </c>
      <c r="U136" s="461" t="str">
        <f>IF(+All!$H479="Utah",+All!U479,IF(+All!$F479="Utah",+All!U479,0))</f>
        <v>W</v>
      </c>
    </row>
    <row r="137" spans="1:21" x14ac:dyDescent="0.8">
      <c r="A137" s="46" t="e">
        <f>IF(+All!#REF!="Utah",+All!#REF!,IF(+All!#REF!="Utah",+All!#REF!,0))</f>
        <v>#REF!</v>
      </c>
      <c r="B137" s="348" t="e">
        <f>IF(+All!#REF!="Utah",+All!#REF!,IF(+All!#REF!="Utah",+All!#REF!,0))</f>
        <v>#REF!</v>
      </c>
      <c r="C137" s="72" t="e">
        <f>IF(+All!#REF!="Utah",+All!#REF!,IF(+All!#REF!="Utah",+All!#REF!,0))</f>
        <v>#REF!</v>
      </c>
      <c r="D137" s="73" t="e">
        <f>IF(+All!#REF!="Utah",+All!#REF!,IF(+All!#REF!="Utah",+All!#REF!,0))</f>
        <v>#REF!</v>
      </c>
      <c r="E137" s="461" t="e">
        <f>IF(+All!#REF!="Utah",+All!#REF!,IF(+All!#REF!="Utah",+All!#REF!,0))</f>
        <v>#REF!</v>
      </c>
      <c r="F137" s="460" t="e">
        <f>IF(+All!#REF!="Utah",+All!#REF!,IF(+All!#REF!="Utah",+All!#REF!,0))</f>
        <v>#REF!</v>
      </c>
      <c r="G137" s="461" t="e">
        <f>IF(+All!#REF!="Utah",+All!#REF!,IF(+All!#REF!="Utah",+All!#REF!,0))</f>
        <v>#REF!</v>
      </c>
      <c r="H137" s="460" t="e">
        <f>IF(+All!#REF!="Utah",+All!#REF!,IF(+All!#REF!="Utah",+All!#REF!,0))</f>
        <v>#REF!</v>
      </c>
      <c r="I137" s="461" t="e">
        <f>IF(+All!#REF!="Utah",+All!#REF!,IF(+All!#REF!="Utah",+All!#REF!,0))</f>
        <v>#REF!</v>
      </c>
      <c r="J137" s="460" t="e">
        <f>IF(+All!#REF!="Utah",+All!#REF!,IF(+All!#REF!="Utah",+All!#REF!,0))</f>
        <v>#REF!</v>
      </c>
      <c r="K137" s="461" t="e">
        <f>IF(+All!#REF!="Utah",+All!#REF!,IF(+All!#REF!="Utah",+All!#REF!,0))</f>
        <v>#REF!</v>
      </c>
      <c r="L137" s="60" t="e">
        <f>IF(+All!#REF!="Utah",+All!#REF!,IF(+All!#REF!="Utah",+All!#REF!,0))</f>
        <v>#REF!</v>
      </c>
      <c r="M137" s="61" t="e">
        <f>IF(+All!#REF!="Utah",+All!#REF!,IF(+All!#REF!="Utah",+All!#REF!,0))</f>
        <v>#REF!</v>
      </c>
      <c r="N137" s="460" t="e">
        <f>IF(+All!#REF!="Utah",+All!#REF!,IF(+All!#REF!="Utah",+All!#REF!,0))</f>
        <v>#REF!</v>
      </c>
      <c r="O137" s="462" t="e">
        <f>IF(+All!#REF!="Utah",+All!#REF!,IF(+All!#REF!="Utah",+All!#REF!,0))</f>
        <v>#REF!</v>
      </c>
      <c r="P137" s="462" t="e">
        <f>IF(+All!#REF!="Utah",+All!#REF!,IF(+All!#REF!="Utah",+All!#REF!,0))</f>
        <v>#REF!</v>
      </c>
      <c r="Q137" s="461" t="e">
        <f>IF(+All!#REF!="Utah",+All!#REF!,IF(+All!#REF!="Utah",+All!#REF!,0))</f>
        <v>#REF!</v>
      </c>
      <c r="R137" s="460" t="e">
        <f>IF(+All!#REF!="Utah",+All!#REF!,IF(+All!#REF!="Utah",+All!#REF!,0))</f>
        <v>#REF!</v>
      </c>
      <c r="S137" s="462" t="e">
        <f>IF(+All!#REF!="Utah",+All!#REF!,IF(+All!#REF!="Utah",+All!#REF!,0))</f>
        <v>#REF!</v>
      </c>
      <c r="T137" s="460" t="e">
        <f>IF(+All!#REF!="Utah",+All!#REF!,IF(+All!#REF!="Utah",+All!#REF!,0))</f>
        <v>#REF!</v>
      </c>
      <c r="U137" s="461" t="e">
        <f>IF(+All!#REF!="Utah",+All!#REF!,IF(+All!#REF!="Utah",+All!#REF!,0))</f>
        <v>#REF!</v>
      </c>
    </row>
    <row r="138" spans="1:21" x14ac:dyDescent="0.8">
      <c r="A138" s="46">
        <f>IF(+All!$H546="Utah",+All!A546,IF(+All!$F546="Utah",+All!A546,0))</f>
        <v>9</v>
      </c>
      <c r="B138" s="348" t="str">
        <f>IF(+All!$H546="Utah",+All!B546,IF(+All!$F546="Utah",+All!B546,0))</f>
        <v>Thurs</v>
      </c>
      <c r="C138" s="72">
        <f>IF(+All!$H546="Utah",+All!C546,IF(+All!$F546="Utah",+All!C546,0))</f>
        <v>44861</v>
      </c>
      <c r="D138" s="73">
        <f>IF(+All!$H546="Utah",+All!D546,IF(+All!$F546="Utah",+All!D546,0))</f>
        <v>0.91666666666666663</v>
      </c>
      <c r="E138" s="461" t="str">
        <f>IF(+All!$H546="Utah",+All!E546,IF(+All!$F546="Utah",+All!E546,0))</f>
        <v>FS1</v>
      </c>
      <c r="F138" s="460" t="str">
        <f>IF(+All!$H546="Utah",+All!F546,IF(+All!$F546="Utah",+All!F546,0))</f>
        <v>Utah</v>
      </c>
      <c r="G138" s="461" t="str">
        <f>IF(+All!$H546="Utah",+All!G546,IF(+All!$F546="Utah",+All!G546,0))</f>
        <v>P12</v>
      </c>
      <c r="H138" s="460" t="str">
        <f>IF(+All!$H546="Utah",+All!H546,IF(+All!$F546="Utah",+All!H546,0))</f>
        <v>Washington State</v>
      </c>
      <c r="I138" s="461" t="str">
        <f>IF(+All!$H546="Utah",+All!I546,IF(+All!$F546="Utah",+All!I546,0))</f>
        <v>P12</v>
      </c>
      <c r="J138" s="460" t="str">
        <f>IF(+All!$H546="Utah",+All!J546,IF(+All!$F546="Utah",+All!J546,0))</f>
        <v>Utah</v>
      </c>
      <c r="K138" s="461" t="str">
        <f>IF(+All!$H546="Utah",+All!K546,IF(+All!$F546="Utah",+All!K546,0))</f>
        <v>Washington State</v>
      </c>
      <c r="L138" s="60">
        <f>IF(+All!$H546="Utah",+All!L546,IF(+All!$F546="Utah",+All!L546,0))</f>
        <v>7.5</v>
      </c>
      <c r="M138" s="61">
        <f>IF(+All!$H546="Utah",+All!M546,IF(+All!$F546="Utah",+All!M546,0))</f>
        <v>55</v>
      </c>
      <c r="N138" s="460" t="str">
        <f>IF(+All!$H546="Utah",+All!N546,IF(+All!$F546="Utah",+All!N546,0))</f>
        <v>Utah</v>
      </c>
      <c r="O138" s="462">
        <f>IF(+All!$H546="Utah",+All!O546,IF(+All!$F546="Utah",+All!O546,0))</f>
        <v>21</v>
      </c>
      <c r="P138" s="462" t="str">
        <f>IF(+All!$H546="Utah",+All!P546,IF(+All!$F546="Utah",+All!P546,0))</f>
        <v>Washington State</v>
      </c>
      <c r="Q138" s="461">
        <f>IF(+All!$H546="Utah",+All!Q546,IF(+All!$F546="Utah",+All!Q546,0))</f>
        <v>17</v>
      </c>
      <c r="R138" s="460" t="str">
        <f>IF(+All!$H546="Utah",+All!R546,IF(+All!$F546="Utah",+All!R546,0))</f>
        <v>Washington State</v>
      </c>
      <c r="S138" s="462" t="str">
        <f>IF(+All!$H546="Utah",+All!S546,IF(+All!$F546="Utah",+All!S546,0))</f>
        <v>Utah</v>
      </c>
      <c r="T138" s="460" t="str">
        <f>IF(+All!$H546="Utah",+All!T546,IF(+All!$F546="Utah",+All!T546,0))</f>
        <v>Washington State</v>
      </c>
      <c r="U138" s="461" t="str">
        <f>IF(+All!$H546="Utah",+All!U546,IF(+All!$F546="Utah",+All!U546,0))</f>
        <v>W</v>
      </c>
    </row>
    <row r="139" spans="1:21" x14ac:dyDescent="0.8">
      <c r="A139" s="46">
        <f>IF(+All!$H640="Utah",+All!A640,IF(+All!$F640="Utah",+All!A640,0))</f>
        <v>10</v>
      </c>
      <c r="B139" s="348" t="str">
        <f>IF(+All!$H640="Utah",+All!B640,IF(+All!$F640="Utah",+All!B640,0))</f>
        <v>Sat</v>
      </c>
      <c r="C139" s="72">
        <f>IF(+All!$H640="Utah",+All!C640,IF(+All!$F640="Utah",+All!C640,0))</f>
        <v>44870</v>
      </c>
      <c r="D139" s="73">
        <f>IF(+All!$H640="Utah",+All!D640,IF(+All!$F640="Utah",+All!D640,0))</f>
        <v>0.8125</v>
      </c>
      <c r="E139" s="461" t="str">
        <f>IF(+All!$H640="Utah",+All!E640,IF(+All!$F640="Utah",+All!E640,0))</f>
        <v>PAC12</v>
      </c>
      <c r="F139" s="460" t="str">
        <f>IF(+All!$H640="Utah",+All!F640,IF(+All!$F640="Utah",+All!F640,0))</f>
        <v>Arizona</v>
      </c>
      <c r="G139" s="461" t="str">
        <f>IF(+All!$H640="Utah",+All!G640,IF(+All!$F640="Utah",+All!G640,0))</f>
        <v>P12</v>
      </c>
      <c r="H139" s="460" t="str">
        <f>IF(+All!$H640="Utah",+All!H640,IF(+All!$F640="Utah",+All!H640,0))</f>
        <v>Utah</v>
      </c>
      <c r="I139" s="461" t="str">
        <f>IF(+All!$H640="Utah",+All!I640,IF(+All!$F640="Utah",+All!I640,0))</f>
        <v>P12</v>
      </c>
      <c r="J139" s="460" t="str">
        <f>IF(+All!$H640="Utah",+All!J640,IF(+All!$F640="Utah",+All!J640,0))</f>
        <v>Utah</v>
      </c>
      <c r="K139" s="461" t="str">
        <f>IF(+All!$H640="Utah",+All!K640,IF(+All!$F640="Utah",+All!K640,0))</f>
        <v>Arizona</v>
      </c>
      <c r="L139" s="60">
        <f>IF(+All!$H640="Utah",+All!L640,IF(+All!$F640="Utah",+All!L640,0))</f>
        <v>17.5</v>
      </c>
      <c r="M139" s="61">
        <f>IF(+All!$H640="Utah",+All!M640,IF(+All!$F640="Utah",+All!M640,0))</f>
        <v>67</v>
      </c>
      <c r="N139" s="460" t="str">
        <f>IF(+All!$H640="Utah",+All!N640,IF(+All!$F640="Utah",+All!N640,0))</f>
        <v>Utah</v>
      </c>
      <c r="O139" s="462">
        <f>IF(+All!$H640="Utah",+All!O640,IF(+All!$F640="Utah",+All!O640,0))</f>
        <v>45</v>
      </c>
      <c r="P139" s="462" t="str">
        <f>IF(+All!$H640="Utah",+All!P640,IF(+All!$F640="Utah",+All!P640,0))</f>
        <v>Arizona</v>
      </c>
      <c r="Q139" s="461">
        <f>IF(+All!$H640="Utah",+All!Q640,IF(+All!$F640="Utah",+All!Q640,0))</f>
        <v>20</v>
      </c>
      <c r="R139" s="460" t="str">
        <f>IF(+All!$H640="Utah",+All!R640,IF(+All!$F640="Utah",+All!R640,0))</f>
        <v>Utah</v>
      </c>
      <c r="S139" s="462" t="str">
        <f>IF(+All!$H640="Utah",+All!S640,IF(+All!$F640="Utah",+All!S640,0))</f>
        <v>Arizona</v>
      </c>
      <c r="T139" s="460" t="str">
        <f>IF(+All!$H640="Utah",+All!T640,IF(+All!$F640="Utah",+All!T640,0))</f>
        <v>Utah</v>
      </c>
      <c r="U139" s="461" t="str">
        <f>IF(+All!$H640="Utah",+All!U640,IF(+All!$F640="Utah",+All!U640,0))</f>
        <v>W</v>
      </c>
    </row>
    <row r="140" spans="1:21" x14ac:dyDescent="0.8">
      <c r="A140" s="46">
        <f>IF(+All!$H702="Utah",+All!A702,IF(+All!$F702="Utah",+All!A702,0))</f>
        <v>11</v>
      </c>
      <c r="B140" s="348" t="str">
        <f>IF(+All!$H702="Utah",+All!B702,IF(+All!$F702="Utah",+All!B702,0))</f>
        <v>Sat</v>
      </c>
      <c r="C140" s="72">
        <f>IF(+All!$H702="Utah",+All!C702,IF(+All!$F702="Utah",+All!C702,0))</f>
        <v>44877</v>
      </c>
      <c r="D140" s="73">
        <f>IF(+All!$H702="Utah",+All!D702,IF(+All!$F702="Utah",+All!D702,0))</f>
        <v>0.91666666666666663</v>
      </c>
      <c r="E140" s="461" t="str">
        <f>IF(+All!$H702="Utah",+All!E702,IF(+All!$F702="Utah",+All!E702,0))</f>
        <v>ESPN</v>
      </c>
      <c r="F140" s="460" t="str">
        <f>IF(+All!$H702="Utah",+All!F702,IF(+All!$F702="Utah",+All!F702,0))</f>
        <v>Stanford</v>
      </c>
      <c r="G140" s="461" t="str">
        <f>IF(+All!$H702="Utah",+All!G702,IF(+All!$F702="Utah",+All!G702,0))</f>
        <v>P12</v>
      </c>
      <c r="H140" s="460" t="str">
        <f>IF(+All!$H702="Utah",+All!H702,IF(+All!$F702="Utah",+All!H702,0))</f>
        <v>Utah</v>
      </c>
      <c r="I140" s="461" t="str">
        <f>IF(+All!$H702="Utah",+All!I702,IF(+All!$F702="Utah",+All!I702,0))</f>
        <v>P12</v>
      </c>
      <c r="J140" s="460" t="str">
        <f>IF(+All!$H702="Utah",+All!J702,IF(+All!$F702="Utah",+All!J702,0))</f>
        <v>Utah</v>
      </c>
      <c r="K140" s="461" t="str">
        <f>IF(+All!$H702="Utah",+All!K702,IF(+All!$F702="Utah",+All!K702,0))</f>
        <v>Stanford</v>
      </c>
      <c r="L140" s="60">
        <f>IF(+All!$H702="Utah",+All!L702,IF(+All!$F702="Utah",+All!L702,0))</f>
        <v>24</v>
      </c>
      <c r="M140" s="61">
        <f>IF(+All!$H702="Utah",+All!M702,IF(+All!$F702="Utah",+All!M702,0))</f>
        <v>53.5</v>
      </c>
      <c r="N140" s="460" t="str">
        <f>IF(+All!$H702="Utah",+All!N702,IF(+All!$F702="Utah",+All!N702,0))</f>
        <v>Utah</v>
      </c>
      <c r="O140" s="462">
        <f>IF(+All!$H702="Utah",+All!O702,IF(+All!$F702="Utah",+All!O702,0))</f>
        <v>42</v>
      </c>
      <c r="P140" s="462" t="str">
        <f>IF(+All!$H702="Utah",+All!P702,IF(+All!$F702="Utah",+All!P702,0))</f>
        <v>Stanford</v>
      </c>
      <c r="Q140" s="461">
        <f>IF(+All!$H702="Utah",+All!Q702,IF(+All!$F702="Utah",+All!Q702,0))</f>
        <v>7</v>
      </c>
      <c r="R140" s="460" t="str">
        <f>IF(+All!$H702="Utah",+All!R702,IF(+All!$F702="Utah",+All!R702,0))</f>
        <v>Utah</v>
      </c>
      <c r="S140" s="462" t="str">
        <f>IF(+All!$H702="Utah",+All!S702,IF(+All!$F702="Utah",+All!S702,0))</f>
        <v>Stanford</v>
      </c>
      <c r="T140" s="460" t="str">
        <f>IF(+All!$H702="Utah",+All!T702,IF(+All!$F702="Utah",+All!T702,0))</f>
        <v>Stanford</v>
      </c>
      <c r="U140" s="461" t="str">
        <f>IF(+All!$H702="Utah",+All!U702,IF(+All!$F702="Utah",+All!U702,0))</f>
        <v>L</v>
      </c>
    </row>
    <row r="141" spans="1:21" ht="16.899999999999999" customHeight="1" x14ac:dyDescent="0.8">
      <c r="A141" s="46">
        <f>IF(+All!$H766="Utah",+All!A766,IF(+All!$F766="Utah",+All!A766,0))</f>
        <v>12</v>
      </c>
      <c r="B141" s="348" t="str">
        <f>IF(+All!$H766="Utah",+All!B766,IF(+All!$F766="Utah",+All!B766,0))</f>
        <v>Sat</v>
      </c>
      <c r="C141" s="72">
        <f>IF(+All!$H766="Utah",+All!C766,IF(+All!$F766="Utah",+All!C766,0))</f>
        <v>44884</v>
      </c>
      <c r="D141" s="73">
        <f>IF(+All!$H766="Utah",+All!D766,IF(+All!$F766="Utah",+All!D766,0))</f>
        <v>0.9375</v>
      </c>
      <c r="E141" s="461" t="str">
        <f>IF(+All!$H766="Utah",+All!E766,IF(+All!$F766="Utah",+All!E766,0))</f>
        <v>ESPN</v>
      </c>
      <c r="F141" s="460" t="str">
        <f>IF(+All!$H766="Utah",+All!F766,IF(+All!$F766="Utah",+All!F766,0))</f>
        <v>Utah</v>
      </c>
      <c r="G141" s="461" t="str">
        <f>IF(+All!$H766="Utah",+All!G766,IF(+All!$F766="Utah",+All!G766,0))</f>
        <v>P12</v>
      </c>
      <c r="H141" s="460" t="str">
        <f>IF(+All!$H766="Utah",+All!H766,IF(+All!$F766="Utah",+All!H766,0))</f>
        <v>Oregon</v>
      </c>
      <c r="I141" s="461" t="str">
        <f>IF(+All!$H766="Utah",+All!I766,IF(+All!$F766="Utah",+All!I766,0))</f>
        <v>P12</v>
      </c>
      <c r="J141" s="460" t="str">
        <f>IF(+All!$H766="Utah",+All!J766,IF(+All!$F766="Utah",+All!J766,0))</f>
        <v>Oregon</v>
      </c>
      <c r="K141" s="461" t="str">
        <f>IF(+All!$H766="Utah",+All!K766,IF(+All!$F766="Utah",+All!K766,0))</f>
        <v>Utah</v>
      </c>
      <c r="L141" s="60">
        <f>IF(+All!$H766="Utah",+All!L766,IF(+All!$F766="Utah",+All!L766,0))</f>
        <v>3</v>
      </c>
      <c r="M141" s="61">
        <f>IF(+All!$H766="Utah",+All!M766,IF(+All!$F766="Utah",+All!M766,0))</f>
        <v>62</v>
      </c>
      <c r="N141" s="460" t="str">
        <f>IF(+All!$H766="Utah",+All!N766,IF(+All!$F766="Utah",+All!N766,0))</f>
        <v>Oregon</v>
      </c>
      <c r="O141" s="462">
        <f>IF(+All!$H766="Utah",+All!O766,IF(+All!$F766="Utah",+All!O766,0))</f>
        <v>29</v>
      </c>
      <c r="P141" s="462" t="str">
        <f>IF(+All!$H766="Utah",+All!P766,IF(+All!$F766="Utah",+All!P766,0))</f>
        <v>Utah</v>
      </c>
      <c r="Q141" s="461">
        <f>IF(+All!$H766="Utah",+All!Q766,IF(+All!$F766="Utah",+All!Q766,0))</f>
        <v>17</v>
      </c>
      <c r="R141" s="460" t="str">
        <f>IF(+All!$H766="Utah",+All!R766,IF(+All!$F766="Utah",+All!R766,0))</f>
        <v>Oregon</v>
      </c>
      <c r="S141" s="462" t="str">
        <f>IF(+All!$H766="Utah",+All!S766,IF(+All!$F766="Utah",+All!S766,0))</f>
        <v>Utah</v>
      </c>
      <c r="T141" s="460" t="str">
        <f>IF(+All!$H766="Utah",+All!T766,IF(+All!$F766="Utah",+All!T766,0))</f>
        <v>Oregon</v>
      </c>
      <c r="U141" s="461" t="str">
        <f>IF(+All!$H766="Utah",+All!U766,IF(+All!$F766="Utah",+All!U766,0))</f>
        <v>W</v>
      </c>
    </row>
    <row r="142" spans="1:21" x14ac:dyDescent="0.8">
      <c r="A142" s="46">
        <f>IF(+All!$H832="Utah",+All!A832,IF(+All!$F832="Utah",+All!A832,0))</f>
        <v>13</v>
      </c>
      <c r="B142" s="348" t="str">
        <f>IF(+All!$H832="Utah",+All!B832,IF(+All!$F832="Utah",+All!B832,0))</f>
        <v>Sat</v>
      </c>
      <c r="C142" s="72">
        <f>IF(+All!$H832="Utah",+All!C832,IF(+All!$F832="Utah",+All!C832,0))</f>
        <v>44891</v>
      </c>
      <c r="D142" s="73">
        <f>IF(+All!$H832="Utah",+All!D832,IF(+All!$F832="Utah",+All!D832,0))</f>
        <v>0.66666666666666663</v>
      </c>
      <c r="E142" s="461" t="str">
        <f>IF(+All!$H832="Utah",+All!E832,IF(+All!$F832="Utah",+All!E832,0))</f>
        <v>PAC12</v>
      </c>
      <c r="F142" s="460" t="str">
        <f>IF(+All!$H832="Utah",+All!F832,IF(+All!$F832="Utah",+All!F832,0))</f>
        <v>Utah</v>
      </c>
      <c r="G142" s="461" t="str">
        <f>IF(+All!$H832="Utah",+All!G832,IF(+All!$F832="Utah",+All!G832,0))</f>
        <v>P12</v>
      </c>
      <c r="H142" s="460" t="str">
        <f>IF(+All!$H832="Utah",+All!H832,IF(+All!$F832="Utah",+All!H832,0))</f>
        <v>Colorado</v>
      </c>
      <c r="I142" s="461" t="str">
        <f>IF(+All!$H832="Utah",+All!I832,IF(+All!$F832="Utah",+All!I832,0))</f>
        <v>P12</v>
      </c>
      <c r="J142" s="460" t="str">
        <f>IF(+All!$H832="Utah",+All!J832,IF(+All!$F832="Utah",+All!J832,0))</f>
        <v>Utah</v>
      </c>
      <c r="K142" s="461" t="str">
        <f>IF(+All!$H832="Utah",+All!K832,IF(+All!$F832="Utah",+All!K832,0))</f>
        <v>Colorado</v>
      </c>
      <c r="L142" s="60">
        <f>IF(+All!$H832="Utah",+All!L832,IF(+All!$F832="Utah",+All!L832,0))</f>
        <v>30</v>
      </c>
      <c r="M142" s="61">
        <f>IF(+All!$H832="Utah",+All!M832,IF(+All!$F832="Utah",+All!M832,0))</f>
        <v>52</v>
      </c>
      <c r="N142" s="460" t="str">
        <f>IF(+All!$H832="Utah",+All!N832,IF(+All!$F832="Utah",+All!N832,0))</f>
        <v>Utah</v>
      </c>
      <c r="O142" s="462">
        <f>IF(+All!$H832="Utah",+All!O832,IF(+All!$F832="Utah",+All!O832,0))</f>
        <v>63</v>
      </c>
      <c r="P142" s="462" t="str">
        <f>IF(+All!$H832="Utah",+All!P832,IF(+All!$F832="Utah",+All!P832,0))</f>
        <v>Colorado</v>
      </c>
      <c r="Q142" s="461">
        <f>IF(+All!$H832="Utah",+All!Q832,IF(+All!$F832="Utah",+All!Q832,0))</f>
        <v>21</v>
      </c>
      <c r="R142" s="460" t="str">
        <f>IF(+All!$H832="Utah",+All!R832,IF(+All!$F832="Utah",+All!R832,0))</f>
        <v>Utah</v>
      </c>
      <c r="S142" s="462" t="str">
        <f>IF(+All!$H832="Utah",+All!S832,IF(+All!$F832="Utah",+All!S832,0))</f>
        <v>Colorado</v>
      </c>
      <c r="T142" s="460" t="str">
        <f>IF(+All!$H832="Utah",+All!T832,IF(+All!$F832="Utah",+All!T832,0))</f>
        <v>Colorado</v>
      </c>
      <c r="U142" s="461" t="str">
        <f>IF(+All!$H832="Utah",+All!U832,IF(+All!$F832="Utah",+All!U832,0))</f>
        <v>L</v>
      </c>
    </row>
    <row r="143" spans="1:21" x14ac:dyDescent="0.8">
      <c r="B143" s="348"/>
      <c r="E143" s="461"/>
      <c r="F143" s="897" t="str">
        <f>H145</f>
        <v>Washington</v>
      </c>
      <c r="G143" s="903"/>
      <c r="H143" s="903"/>
      <c r="I143" s="904"/>
      <c r="J143" s="460"/>
      <c r="K143" s="461"/>
      <c r="N143" s="460"/>
      <c r="O143" s="462"/>
      <c r="P143" s="462"/>
      <c r="Q143" s="461"/>
      <c r="R143" s="460"/>
      <c r="S143" s="462"/>
      <c r="T143" s="460"/>
      <c r="U143" s="461"/>
    </row>
    <row r="144" spans="1:21" x14ac:dyDescent="0.8">
      <c r="A144" s="46">
        <f>IF(+All!$H92="Washington",+All!A92,IF(+All!$F92="Washington",+All!A92,0))</f>
        <v>1</v>
      </c>
      <c r="B144" s="348" t="str">
        <f>IF(+All!$H92="Washington",+All!B92,IF(+All!$F92="Washington",+All!B92,0))</f>
        <v>Sat</v>
      </c>
      <c r="C144" s="72">
        <f>IF(+All!$H92="Washington",+All!C92,IF(+All!$F92="Washington",+All!C92,0))</f>
        <v>44807</v>
      </c>
      <c r="D144" s="73">
        <f>IF(+All!$H92="Washington",+All!D92,IF(+All!$F92="Washington",+All!D92,0))</f>
        <v>0.9375</v>
      </c>
      <c r="E144" s="461" t="str">
        <f>IF(+All!$H92="Washington",+All!E92,IF(+All!$F92="Washington",+All!E92,0))</f>
        <v>FS1</v>
      </c>
      <c r="F144" s="460" t="str">
        <f>IF(+All!$H92="Washington",+All!F92,IF(+All!$F92="Washington",+All!F92,0))</f>
        <v>Kent State</v>
      </c>
      <c r="G144" s="461" t="str">
        <f>IF(+All!$H92="Washington",+All!G92,IF(+All!$F92="Washington",+All!G92,0))</f>
        <v>MAC</v>
      </c>
      <c r="H144" s="460" t="str">
        <f>IF(+All!$H92="Washington",+All!H92,IF(+All!$F92="Washington",+All!H92,0))</f>
        <v>Washington</v>
      </c>
      <c r="I144" s="461" t="str">
        <f>IF(+All!$H92="Washington",+All!I92,IF(+All!$F92="Washington",+All!I92,0))</f>
        <v>P12</v>
      </c>
      <c r="J144" s="460" t="str">
        <f>IF(+All!$H92="Washington",+All!J92,IF(+All!$F92="Washington",+All!J92,0))</f>
        <v>Washington</v>
      </c>
      <c r="K144" s="461" t="str">
        <f>IF(+All!$H92="Washington",+All!K92,IF(+All!$F92="Washington",+All!K92,0))</f>
        <v>Kent State</v>
      </c>
      <c r="L144" s="60">
        <f>IF(+All!$H92="Washington",+All!L92,IF(+All!$F92="Washington",+All!L92,0))</f>
        <v>23</v>
      </c>
      <c r="M144" s="61">
        <f>IF(+All!$H92="Washington",+All!M92,IF(+All!$F92="Washington",+All!M92,0))</f>
        <v>59.5</v>
      </c>
      <c r="N144" s="460" t="str">
        <f>IF(+All!$H92="Washington",+All!N92,IF(+All!$F92="Washington",+All!N92,0))</f>
        <v>Washington</v>
      </c>
      <c r="O144" s="462">
        <f>IF(+All!$H92="Washington",+All!O92,IF(+All!$F92="Washington",+All!O92,0))</f>
        <v>45</v>
      </c>
      <c r="P144" s="462" t="str">
        <f>IF(+All!$H92="Washington",+All!P92,IF(+All!$F92="Washington",+All!P92,0))</f>
        <v>Kent State</v>
      </c>
      <c r="Q144" s="461">
        <f>IF(+All!$H92="Washington",+All!Q92,IF(+All!$F92="Washington",+All!Q92,0))</f>
        <v>10</v>
      </c>
      <c r="R144" s="460" t="str">
        <f>IF(+All!$H92="Washington",+All!R92,IF(+All!$F92="Washington",+All!R92,0))</f>
        <v>Washington</v>
      </c>
      <c r="S144" s="462" t="str">
        <f>IF(+All!$H92="Washington",+All!S92,IF(+All!$F92="Washington",+All!S92,0))</f>
        <v>Kent State</v>
      </c>
      <c r="T144" s="460" t="str">
        <f>IF(+All!$H92="Washington",+All!T92,IF(+All!$F92="Washington",+All!T92,0))</f>
        <v>Kent State</v>
      </c>
      <c r="U144" s="461" t="str">
        <f>IF(+All!$H92="Washington",+All!U92,IF(+All!$F92="Washington",+All!U92,0))</f>
        <v>L</v>
      </c>
    </row>
    <row r="145" spans="1:21" x14ac:dyDescent="0.8">
      <c r="A145" s="46">
        <f>IF(+All!$H164="Washington",+All!A164,IF(+All!$F164="Washington",+All!A164,0))</f>
        <v>2</v>
      </c>
      <c r="B145" s="348" t="str">
        <f>IF(+All!$H164="Washington",+All!B164,IF(+All!$F164="Washington",+All!B164,0))</f>
        <v>Sat</v>
      </c>
      <c r="C145" s="72">
        <f>IF(+All!$H164="Washington",+All!C164,IF(+All!$F164="Washington",+All!C164,0))</f>
        <v>44814</v>
      </c>
      <c r="D145" s="73">
        <f>IF(+All!$H164="Washington",+All!D164,IF(+All!$F164="Washington",+All!D164,0))</f>
        <v>0.66666666666666663</v>
      </c>
      <c r="E145" s="461">
        <f>IF(+All!$H164="Washington",+All!E164,IF(+All!$F164="Washington",+All!E164,0))</f>
        <v>0</v>
      </c>
      <c r="F145" s="460" t="str">
        <f>IF(+All!$H164="Washington",+All!F164,IF(+All!$F164="Washington",+All!F164,0))</f>
        <v>1AA Portland State</v>
      </c>
      <c r="G145" s="461" t="str">
        <f>IF(+All!$H164="Washington",+All!G164,IF(+All!$F164="Washington",+All!G164,0))</f>
        <v>1AA</v>
      </c>
      <c r="H145" s="460" t="str">
        <f>IF(+All!$H164="Washington",+All!H164,IF(+All!$F164="Washington",+All!H164,0))</f>
        <v>Washington</v>
      </c>
      <c r="I145" s="461" t="str">
        <f>IF(+All!$H164="Washington",+All!I164,IF(+All!$F164="Washington",+All!I164,0))</f>
        <v>P12</v>
      </c>
      <c r="J145" s="460">
        <f>IF(+All!$H164="Washington",+All!J164,IF(+All!$F164="Washington",+All!J164,0))</f>
        <v>0</v>
      </c>
      <c r="K145" s="461">
        <f>IF(+All!$H164="Washington",+All!K164,IF(+All!$F164="Washington",+All!K164,0))</f>
        <v>0</v>
      </c>
      <c r="L145" s="60">
        <f>IF(+All!$H164="Washington",+All!L164,IF(+All!$F164="Washington",+All!L164,0))</f>
        <v>0</v>
      </c>
      <c r="M145" s="61">
        <f>IF(+All!$H164="Washington",+All!M164,IF(+All!$F164="Washington",+All!M164,0))</f>
        <v>0</v>
      </c>
      <c r="N145" s="460" t="str">
        <f>IF(+All!$H164="Washington",+All!N164,IF(+All!$F164="Washington",+All!N164,0))</f>
        <v>Washington</v>
      </c>
      <c r="O145" s="462">
        <f>IF(+All!$H164="Washington",+All!O164,IF(+All!$F164="Washington",+All!O164,0))</f>
        <v>52</v>
      </c>
      <c r="P145" s="462" t="str">
        <f>IF(+All!$H164="Washington",+All!P164,IF(+All!$F164="Washington",+All!P164,0))</f>
        <v>1AA Portland State</v>
      </c>
      <c r="Q145" s="461">
        <f>IF(+All!$H164="Washington",+All!Q164,IF(+All!$F164="Washington",+All!Q164,0))</f>
        <v>6</v>
      </c>
      <c r="R145" s="460">
        <f>IF(+All!$H164="Washington",+All!R164,IF(+All!$F164="Washington",+All!R164,0))</f>
        <v>0</v>
      </c>
      <c r="S145" s="462">
        <f>IF(+All!$H164="Washington",+All!S164,IF(+All!$F164="Washington",+All!S164,0))</f>
        <v>0</v>
      </c>
      <c r="T145" s="460">
        <f>IF(+All!$H164="Washington",+All!T164,IF(+All!$F164="Washington",+All!T164,0))</f>
        <v>0</v>
      </c>
      <c r="U145" s="461">
        <f>IF(+All!$H164="Washington",+All!U164,IF(+All!$F164="Washington",+All!U164,0))</f>
        <v>0</v>
      </c>
    </row>
    <row r="146" spans="1:21" x14ac:dyDescent="0.8">
      <c r="A146" s="46">
        <f>IF(+All!$H236="Washington",+All!A236,IF(+All!$F236="Washington",+All!A236,0))</f>
        <v>3</v>
      </c>
      <c r="B146" s="348" t="str">
        <f>IF(+All!$H236="Washington",+All!B236,IF(+All!$F236="Washington",+All!B236,0))</f>
        <v>Sat</v>
      </c>
      <c r="C146" s="72">
        <f>IF(+All!$H236="Washington",+All!C236,IF(+All!$F236="Washington",+All!C236,0))</f>
        <v>44821</v>
      </c>
      <c r="D146" s="73">
        <f>IF(+All!$H236="Washington",+All!D236,IF(+All!$F236="Washington",+All!D236,0))</f>
        <v>0.8125</v>
      </c>
      <c r="E146" s="461" t="str">
        <f>IF(+All!$H236="Washington",+All!E236,IF(+All!$F236="Washington",+All!E236,0))</f>
        <v>ABC</v>
      </c>
      <c r="F146" s="460" t="str">
        <f>IF(+All!$H236="Washington",+All!F236,IF(+All!$F236="Washington",+All!F236,0))</f>
        <v>Michigan State</v>
      </c>
      <c r="G146" s="461" t="str">
        <f>IF(+All!$H236="Washington",+All!G236,IF(+All!$F236="Washington",+All!G236,0))</f>
        <v>B10</v>
      </c>
      <c r="H146" s="460" t="str">
        <f>IF(+All!$H236="Washington",+All!H236,IF(+All!$F236="Washington",+All!H236,0))</f>
        <v>Washington</v>
      </c>
      <c r="I146" s="461" t="str">
        <f>IF(+All!$H236="Washington",+All!I236,IF(+All!$F236="Washington",+All!I236,0))</f>
        <v>P12</v>
      </c>
      <c r="J146" s="460" t="str">
        <f>IF(+All!$H236="Washington",+All!J236,IF(+All!$F236="Washington",+All!J236,0))</f>
        <v>Washington</v>
      </c>
      <c r="K146" s="461" t="str">
        <f>IF(+All!$H236="Washington",+All!K236,IF(+All!$F236="Washington",+All!K236,0))</f>
        <v>Michigan State</v>
      </c>
      <c r="L146" s="60">
        <f>IF(+All!$H236="Washington",+All!L236,IF(+All!$F236="Washington",+All!L236,0))</f>
        <v>3</v>
      </c>
      <c r="M146" s="61">
        <f>IF(+All!$H236="Washington",+All!M236,IF(+All!$F236="Washington",+All!M236,0))</f>
        <v>56.5</v>
      </c>
      <c r="N146" s="460" t="str">
        <f>IF(+All!$H236="Washington",+All!N236,IF(+All!$F236="Washington",+All!N236,0))</f>
        <v>Washington</v>
      </c>
      <c r="O146" s="462">
        <f>IF(+All!$H236="Washington",+All!O236,IF(+All!$F236="Washington",+All!O236,0))</f>
        <v>39</v>
      </c>
      <c r="P146" s="462" t="str">
        <f>IF(+All!$H236="Washington",+All!P236,IF(+All!$F236="Washington",+All!P236,0))</f>
        <v>Michigan State</v>
      </c>
      <c r="Q146" s="461">
        <f>IF(+All!$H236="Washington",+All!Q236,IF(+All!$F236="Washington",+All!Q236,0))</f>
        <v>28</v>
      </c>
      <c r="R146" s="460" t="str">
        <f>IF(+All!$H236="Washington",+All!R236,IF(+All!$F236="Washington",+All!R236,0))</f>
        <v>Washington</v>
      </c>
      <c r="S146" s="462" t="str">
        <f>IF(+All!$H236="Washington",+All!S236,IF(+All!$F236="Washington",+All!S236,0))</f>
        <v>Michigan State</v>
      </c>
      <c r="T146" s="460" t="str">
        <f>IF(+All!$H236="Washington",+All!T236,IF(+All!$F236="Washington",+All!T236,0))</f>
        <v>Michigan State</v>
      </c>
      <c r="U146" s="461" t="str">
        <f>IF(+All!$H236="Washington",+All!U236,IF(+All!$F236="Washington",+All!U236,0))</f>
        <v>L</v>
      </c>
    </row>
    <row r="147" spans="1:21" x14ac:dyDescent="0.8">
      <c r="A147" s="46">
        <f>IF(+All!$H299="Washington",+All!A299,IF(+All!$F299="Washington",+All!A299,0))</f>
        <v>4</v>
      </c>
      <c r="B147" s="348" t="str">
        <f>IF(+All!$H299="Washington",+All!B299,IF(+All!$F299="Washington",+All!B299,0))</f>
        <v>Sat</v>
      </c>
      <c r="C147" s="72">
        <f>IF(+All!$H299="Washington",+All!C299,IF(+All!$F299="Washington",+All!C299,0))</f>
        <v>44828</v>
      </c>
      <c r="D147" s="73">
        <f>IF(+All!$H299="Washington",+All!D299,IF(+All!$F299="Washington",+All!D299,0))</f>
        <v>0.9375</v>
      </c>
      <c r="E147" s="461" t="str">
        <f>IF(+All!$H299="Washington",+All!E299,IF(+All!$F299="Washington",+All!E299,0))</f>
        <v>FS1</v>
      </c>
      <c r="F147" s="460" t="str">
        <f>IF(+All!$H299="Washington",+All!F299,IF(+All!$F299="Washington",+All!F299,0))</f>
        <v>Stanford</v>
      </c>
      <c r="G147" s="461" t="str">
        <f>IF(+All!$H299="Washington",+All!G299,IF(+All!$F299="Washington",+All!G299,0))</f>
        <v>P12</v>
      </c>
      <c r="H147" s="460" t="str">
        <f>IF(+All!$H299="Washington",+All!H299,IF(+All!$F299="Washington",+All!H299,0))</f>
        <v>Washington</v>
      </c>
      <c r="I147" s="461" t="str">
        <f>IF(+All!$H299="Washington",+All!I299,IF(+All!$F299="Washington",+All!I299,0))</f>
        <v>P12</v>
      </c>
      <c r="J147" s="460" t="str">
        <f>IF(+All!$H299="Washington",+All!J299,IF(+All!$F299="Washington",+All!J299,0))</f>
        <v>Washington</v>
      </c>
      <c r="K147" s="461" t="str">
        <f>IF(+All!$H299="Washington",+All!K299,IF(+All!$F299="Washington",+All!K299,0))</f>
        <v>Stanford</v>
      </c>
      <c r="L147" s="60">
        <f>IF(+All!$H299="Washington",+All!L299,IF(+All!$F299="Washington",+All!L299,0))</f>
        <v>14</v>
      </c>
      <c r="M147" s="61">
        <f>IF(+All!$H299="Washington",+All!M299,IF(+All!$F299="Washington",+All!M299,0))</f>
        <v>64</v>
      </c>
      <c r="N147" s="460" t="str">
        <f>IF(+All!$H299="Washington",+All!N299,IF(+All!$F299="Washington",+All!N299,0))</f>
        <v>Washington</v>
      </c>
      <c r="O147" s="462">
        <f>IF(+All!$H299="Washington",+All!O299,IF(+All!$F299="Washington",+All!O299,0))</f>
        <v>40</v>
      </c>
      <c r="P147" s="462" t="str">
        <f>IF(+All!$H299="Washington",+All!P299,IF(+All!$F299="Washington",+All!P299,0))</f>
        <v>Stanford</v>
      </c>
      <c r="Q147" s="461">
        <f>IF(+All!$H299="Washington",+All!Q299,IF(+All!$F299="Washington",+All!Q299,0))</f>
        <v>22</v>
      </c>
      <c r="R147" s="460" t="str">
        <f>IF(+All!$H299="Washington",+All!R299,IF(+All!$F299="Washington",+All!R299,0))</f>
        <v>Washington</v>
      </c>
      <c r="S147" s="462" t="str">
        <f>IF(+All!$H299="Washington",+All!S299,IF(+All!$F299="Washington",+All!S299,0))</f>
        <v>Stanford</v>
      </c>
      <c r="T147" s="460" t="str">
        <f>IF(+All!$H299="Washington",+All!T299,IF(+All!$F299="Washington",+All!T299,0))</f>
        <v>Washington</v>
      </c>
      <c r="U147" s="461" t="str">
        <f>IF(+All!$H299="Washington",+All!U299,IF(+All!$F299="Washington",+All!U299,0))</f>
        <v>W</v>
      </c>
    </row>
    <row r="148" spans="1:21" x14ac:dyDescent="0.8">
      <c r="A148" s="46">
        <f>IF(+All!$H323="Washington",+All!A323,IF(+All!$F323="Washington",+All!A323,0))</f>
        <v>5</v>
      </c>
      <c r="B148" s="348" t="str">
        <f>IF(+All!$H323="Washington",+All!B323,IF(+All!$F323="Washington",+All!B323,0))</f>
        <v>Fri</v>
      </c>
      <c r="C148" s="72">
        <f>IF(+All!$H323="Washington",+All!C323,IF(+All!$F323="Washington",+All!C323,0))</f>
        <v>44834</v>
      </c>
      <c r="D148" s="73">
        <f>IF(+All!$H323="Washington",+All!D323,IF(+All!$F323="Washington",+All!D323,0))</f>
        <v>0.9375</v>
      </c>
      <c r="E148" s="461" t="str">
        <f>IF(+All!$H323="Washington",+All!E323,IF(+All!$F323="Washington",+All!E323,0))</f>
        <v>ESPN</v>
      </c>
      <c r="F148" s="460" t="str">
        <f>IF(+All!$H323="Washington",+All!F323,IF(+All!$F323="Washington",+All!F323,0))</f>
        <v>Washington</v>
      </c>
      <c r="G148" s="461" t="str">
        <f>IF(+All!$H323="Washington",+All!G323,IF(+All!$F323="Washington",+All!G323,0))</f>
        <v>P12</v>
      </c>
      <c r="H148" s="460" t="str">
        <f>IF(+All!$H323="Washington",+All!H323,IF(+All!$F323="Washington",+All!H323,0))</f>
        <v>UCLA</v>
      </c>
      <c r="I148" s="461" t="str">
        <f>IF(+All!$H323="Washington",+All!I323,IF(+All!$F323="Washington",+All!I323,0))</f>
        <v>P12</v>
      </c>
      <c r="J148" s="460" t="str">
        <f>IF(+All!$H323="Washington",+All!J323,IF(+All!$F323="Washington",+All!J323,0))</f>
        <v>Washington</v>
      </c>
      <c r="K148" s="461" t="str">
        <f>IF(+All!$H323="Washington",+All!K323,IF(+All!$F323="Washington",+All!K323,0))</f>
        <v>UCLA</v>
      </c>
      <c r="L148" s="60">
        <f>IF(+All!$H323="Washington",+All!L323,IF(+All!$F323="Washington",+All!L323,0))</f>
        <v>3</v>
      </c>
      <c r="M148" s="61">
        <f>IF(+All!$H323="Washington",+All!M323,IF(+All!$F323="Washington",+All!M323,0))</f>
        <v>66</v>
      </c>
      <c r="N148" s="460" t="str">
        <f>IF(+All!$H323="Washington",+All!N323,IF(+All!$F323="Washington",+All!N323,0))</f>
        <v>UCLA</v>
      </c>
      <c r="O148" s="462">
        <f>IF(+All!$H323="Washington",+All!O323,IF(+All!$F323="Washington",+All!O323,0))</f>
        <v>40</v>
      </c>
      <c r="P148" s="462" t="str">
        <f>IF(+All!$H323="Washington",+All!P323,IF(+All!$F323="Washington",+All!P323,0))</f>
        <v>Washington</v>
      </c>
      <c r="Q148" s="461">
        <f>IF(+All!$H323="Washington",+All!Q323,IF(+All!$F323="Washington",+All!Q323,0))</f>
        <v>32</v>
      </c>
      <c r="R148" s="460" t="str">
        <f>IF(+All!$H323="Washington",+All!R323,IF(+All!$F323="Washington",+All!R323,0))</f>
        <v>UCLA</v>
      </c>
      <c r="S148" s="462" t="str">
        <f>IF(+All!$H323="Washington",+All!S323,IF(+All!$F323="Washington",+All!S323,0))</f>
        <v>Washington</v>
      </c>
      <c r="T148" s="460" t="str">
        <f>IF(+All!$H323="Washington",+All!T323,IF(+All!$F323="Washington",+All!T323,0))</f>
        <v>Washington</v>
      </c>
      <c r="U148" s="461" t="str">
        <f>IF(+All!$H323="Washington",+All!U323,IF(+All!$F323="Washington",+All!U323,0))</f>
        <v>L</v>
      </c>
    </row>
    <row r="149" spans="1:21" x14ac:dyDescent="0.8">
      <c r="A149" s="46">
        <f>IF(+All!$H422="Washington",+All!A422,IF(+All!$F422="Washington",+All!A422,0))</f>
        <v>6</v>
      </c>
      <c r="B149" s="348" t="str">
        <f>IF(+All!$H422="Washington",+All!B422,IF(+All!$F422="Washington",+All!B422,0))</f>
        <v>Sat</v>
      </c>
      <c r="C149" s="72">
        <f>IF(+All!$H422="Washington",+All!C422,IF(+All!$F422="Washington",+All!C422,0))</f>
        <v>44842</v>
      </c>
      <c r="D149" s="73">
        <f>IF(+All!$H422="Washington",+All!D422,IF(+All!$F422="Washington",+All!D422,0))</f>
        <v>0.66666666666666663</v>
      </c>
      <c r="E149" s="461" t="str">
        <f>IF(+All!$H422="Washington",+All!E422,IF(+All!$F422="Washington",+All!E422,0))</f>
        <v>PAC12</v>
      </c>
      <c r="F149" s="460" t="str">
        <f>IF(+All!$H422="Washington",+All!F422,IF(+All!$F422="Washington",+All!F422,0))</f>
        <v>Washington</v>
      </c>
      <c r="G149" s="461" t="str">
        <f>IF(+All!$H422="Washington",+All!G422,IF(+All!$F422="Washington",+All!G422,0))</f>
        <v>P12</v>
      </c>
      <c r="H149" s="460" t="str">
        <f>IF(+All!$H422="Washington",+All!H422,IF(+All!$F422="Washington",+All!H422,0))</f>
        <v>Arizona State</v>
      </c>
      <c r="I149" s="461" t="str">
        <f>IF(+All!$H422="Washington",+All!I422,IF(+All!$F422="Washington",+All!I422,0))</f>
        <v>P12</v>
      </c>
      <c r="J149" s="460" t="str">
        <f>IF(+All!$H422="Washington",+All!J422,IF(+All!$F422="Washington",+All!J422,0))</f>
        <v>Washington</v>
      </c>
      <c r="K149" s="461" t="str">
        <f>IF(+All!$H422="Washington",+All!K422,IF(+All!$F422="Washington",+All!K422,0))</f>
        <v>Arizona State</v>
      </c>
      <c r="L149" s="60">
        <f>IF(+All!$H422="Washington",+All!L422,IF(+All!$F422="Washington",+All!L422,0))</f>
        <v>14</v>
      </c>
      <c r="M149" s="61">
        <f>IF(+All!$H422="Washington",+All!M422,IF(+All!$F422="Washington",+All!M422,0))</f>
        <v>57</v>
      </c>
      <c r="N149" s="460" t="str">
        <f>IF(+All!$H422="Washington",+All!N422,IF(+All!$F422="Washington",+All!N422,0))</f>
        <v>Arizona State</v>
      </c>
      <c r="O149" s="462">
        <f>IF(+All!$H422="Washington",+All!O422,IF(+All!$F422="Washington",+All!O422,0))</f>
        <v>45</v>
      </c>
      <c r="P149" s="462" t="str">
        <f>IF(+All!$H422="Washington",+All!P422,IF(+All!$F422="Washington",+All!P422,0))</f>
        <v>Washington</v>
      </c>
      <c r="Q149" s="461">
        <f>IF(+All!$H422="Washington",+All!Q422,IF(+All!$F422="Washington",+All!Q422,0))</f>
        <v>38</v>
      </c>
      <c r="R149" s="460" t="str">
        <f>IF(+All!$H422="Washington",+All!R422,IF(+All!$F422="Washington",+All!R422,0))</f>
        <v>Arizona State</v>
      </c>
      <c r="S149" s="462" t="str">
        <f>IF(+All!$H422="Washington",+All!S422,IF(+All!$F422="Washington",+All!S422,0))</f>
        <v>Washington</v>
      </c>
      <c r="T149" s="460" t="str">
        <f>IF(+All!$H422="Washington",+All!T422,IF(+All!$F422="Washington",+All!T422,0))</f>
        <v>Washington</v>
      </c>
      <c r="U149" s="461" t="str">
        <f>IF(+All!$H422="Washington",+All!U422,IF(+All!$F422="Washington",+All!U422,0))</f>
        <v>L</v>
      </c>
    </row>
    <row r="150" spans="1:21" x14ac:dyDescent="0.8">
      <c r="A150" s="46">
        <f>IF(+All!$H480="Washington",+All!A480,IF(+All!$F480="Washington",+All!A480,0))</f>
        <v>7</v>
      </c>
      <c r="B150" s="348" t="str">
        <f>IF(+All!$H480="Washington",+All!B480,IF(+All!$F480="Washington",+All!B480,0))</f>
        <v>Sat</v>
      </c>
      <c r="C150" s="72">
        <f>IF(+All!$H480="Washington",+All!C480,IF(+All!$F480="Washington",+All!C480,0))</f>
        <v>44849</v>
      </c>
      <c r="D150" s="73">
        <f>IF(+All!$H480="Washington",+All!D480,IF(+All!$F480="Washington",+All!D480,0))</f>
        <v>0.72916666666666663</v>
      </c>
      <c r="E150" s="461" t="str">
        <f>IF(+All!$H480="Washington",+All!E480,IF(+All!$F480="Washington",+All!E480,0))</f>
        <v>PAC12</v>
      </c>
      <c r="F150" s="460" t="str">
        <f>IF(+All!$H480="Washington",+All!F480,IF(+All!$F480="Washington",+All!F480,0))</f>
        <v>Arizona</v>
      </c>
      <c r="G150" s="461" t="str">
        <f>IF(+All!$H480="Washington",+All!G480,IF(+All!$F480="Washington",+All!G480,0))</f>
        <v>P12</v>
      </c>
      <c r="H150" s="460" t="str">
        <f>IF(+All!$H480="Washington",+All!H480,IF(+All!$F480="Washington",+All!H480,0))</f>
        <v>Washington</v>
      </c>
      <c r="I150" s="461" t="str">
        <f>IF(+All!$H480="Washington",+All!I480,IF(+All!$F480="Washington",+All!I480,0))</f>
        <v>P12</v>
      </c>
      <c r="J150" s="460" t="str">
        <f>IF(+All!$H480="Washington",+All!J480,IF(+All!$F480="Washington",+All!J480,0))</f>
        <v>Washington</v>
      </c>
      <c r="K150" s="461" t="str">
        <f>IF(+All!$H480="Washington",+All!K480,IF(+All!$F480="Washington",+All!K480,0))</f>
        <v>Arizona</v>
      </c>
      <c r="L150" s="60">
        <f>IF(+All!$H480="Washington",+All!L480,IF(+All!$F480="Washington",+All!L480,0))</f>
        <v>14</v>
      </c>
      <c r="M150" s="61">
        <f>IF(+All!$H480="Washington",+All!M480,IF(+All!$F480="Washington",+All!M480,0))</f>
        <v>73</v>
      </c>
      <c r="N150" s="460" t="str">
        <f>IF(+All!$H480="Washington",+All!N480,IF(+All!$F480="Washington",+All!N480,0))</f>
        <v>Washington</v>
      </c>
      <c r="O150" s="462">
        <f>IF(+All!$H480="Washington",+All!O480,IF(+All!$F480="Washington",+All!O480,0))</f>
        <v>49</v>
      </c>
      <c r="P150" s="462" t="str">
        <f>IF(+All!$H480="Washington",+All!P480,IF(+All!$F480="Washington",+All!P480,0))</f>
        <v>Arizona</v>
      </c>
      <c r="Q150" s="461">
        <f>IF(+All!$H480="Washington",+All!Q480,IF(+All!$F480="Washington",+All!Q480,0))</f>
        <v>39</v>
      </c>
      <c r="R150" s="460" t="str">
        <f>IF(+All!$H480="Washington",+All!R480,IF(+All!$F480="Washington",+All!R480,0))</f>
        <v>Arizona</v>
      </c>
      <c r="S150" s="462" t="str">
        <f>IF(+All!$H480="Washington",+All!S480,IF(+All!$F480="Washington",+All!S480,0))</f>
        <v>Washington</v>
      </c>
      <c r="T150" s="460" t="str">
        <f>IF(+All!$H480="Washington",+All!T480,IF(+All!$F480="Washington",+All!T480,0))</f>
        <v>Arizona</v>
      </c>
      <c r="U150" s="461" t="str">
        <f>IF(+All!$H480="Washington",+All!U480,IF(+All!$F480="Washington",+All!U480,0))</f>
        <v>W</v>
      </c>
    </row>
    <row r="151" spans="1:21" x14ac:dyDescent="0.8">
      <c r="A151" s="46">
        <f>IF(+All!$H532="Washington",+All!A532,IF(+All!$F532="Washington",+All!A532,0))</f>
        <v>8</v>
      </c>
      <c r="B151" s="348" t="str">
        <f>IF(+All!$H532="Washington",+All!B532,IF(+All!$F532="Washington",+All!B532,0))</f>
        <v>Sat</v>
      </c>
      <c r="C151" s="72">
        <f>IF(+All!$H532="Washington",+All!C532,IF(+All!$F532="Washington",+All!C532,0))</f>
        <v>44856</v>
      </c>
      <c r="D151" s="73">
        <f>IF(+All!$H532="Washington",+All!D532,IF(+All!$F532="Washington",+All!D532,0))</f>
        <v>0.9375</v>
      </c>
      <c r="E151" s="461" t="str">
        <f>IF(+All!$H532="Washington",+All!E532,IF(+All!$F532="Washington",+All!E532,0))</f>
        <v>ESPN</v>
      </c>
      <c r="F151" s="460" t="str">
        <f>IF(+All!$H532="Washington",+All!F532,IF(+All!$F532="Washington",+All!F532,0))</f>
        <v>Washington</v>
      </c>
      <c r="G151" s="461" t="str">
        <f>IF(+All!$H532="Washington",+All!G532,IF(+All!$F532="Washington",+All!G532,0))</f>
        <v>P12</v>
      </c>
      <c r="H151" s="460" t="str">
        <f>IF(+All!$H532="Washington",+All!H532,IF(+All!$F532="Washington",+All!H532,0))</f>
        <v>California</v>
      </c>
      <c r="I151" s="461" t="str">
        <f>IF(+All!$H532="Washington",+All!I532,IF(+All!$F532="Washington",+All!I532,0))</f>
        <v>P12</v>
      </c>
      <c r="J151" s="460" t="str">
        <f>IF(+All!$H532="Washington",+All!J532,IF(+All!$F532="Washington",+All!J532,0))</f>
        <v>Washington</v>
      </c>
      <c r="K151" s="461" t="str">
        <f>IF(+All!$H532="Washington",+All!K532,IF(+All!$F532="Washington",+All!K532,0))</f>
        <v>California</v>
      </c>
      <c r="L151" s="60">
        <f>IF(+All!$H532="Washington",+All!L532,IF(+All!$F532="Washington",+All!L532,0))</f>
        <v>7.5</v>
      </c>
      <c r="M151" s="61">
        <f>IF(+All!$H532="Washington",+All!M532,IF(+All!$F532="Washington",+All!M532,0))</f>
        <v>56.5</v>
      </c>
      <c r="N151" s="460" t="str">
        <f>IF(+All!$H532="Washington",+All!N532,IF(+All!$F532="Washington",+All!N532,0))</f>
        <v>Washington</v>
      </c>
      <c r="O151" s="462">
        <f>IF(+All!$H532="Washington",+All!O532,IF(+All!$F532="Washington",+All!O532,0))</f>
        <v>28</v>
      </c>
      <c r="P151" s="462" t="str">
        <f>IF(+All!$H532="Washington",+All!P532,IF(+All!$F532="Washington",+All!P532,0))</f>
        <v>California</v>
      </c>
      <c r="Q151" s="461">
        <f>IF(+All!$H532="Washington",+All!Q532,IF(+All!$F532="Washington",+All!Q532,0))</f>
        <v>21</v>
      </c>
      <c r="R151" s="460" t="str">
        <f>IF(+All!$H532="Washington",+All!R532,IF(+All!$F532="Washington",+All!R532,0))</f>
        <v>California</v>
      </c>
      <c r="S151" s="462" t="str">
        <f>IF(+All!$H532="Washington",+All!S532,IF(+All!$F532="Washington",+All!S532,0))</f>
        <v>Washington</v>
      </c>
      <c r="T151" s="460" t="str">
        <f>IF(+All!$H532="Washington",+All!T532,IF(+All!$F532="Washington",+All!T532,0))</f>
        <v>California</v>
      </c>
      <c r="U151" s="461" t="str">
        <f>IF(+All!$H532="Washington",+All!U532,IF(+All!$F532="Washington",+All!U532,0))</f>
        <v>W</v>
      </c>
    </row>
    <row r="152" spans="1:21" x14ac:dyDescent="0.8">
      <c r="A152" s="46" t="e">
        <f>IF(+All!#REF!="Washington",+All!#REF!,IF(+All!#REF!="Washington",+All!#REF!,0))</f>
        <v>#REF!</v>
      </c>
      <c r="B152" s="348" t="e">
        <f>IF(+All!#REF!="Washington",+All!#REF!,IF(+All!#REF!="Washington",+All!#REF!,0))</f>
        <v>#REF!</v>
      </c>
      <c r="C152" s="72" t="e">
        <f>IF(+All!#REF!="Washington",+All!#REF!,IF(+All!#REF!="Washington",+All!#REF!,0))</f>
        <v>#REF!</v>
      </c>
      <c r="D152" s="73" t="e">
        <f>IF(+All!#REF!="Washington",+All!#REF!,IF(+All!#REF!="Washington",+All!#REF!,0))</f>
        <v>#REF!</v>
      </c>
      <c r="E152" s="461" t="e">
        <f>IF(+All!#REF!="Washington",+All!#REF!,IF(+All!#REF!="Washington",+All!#REF!,0))</f>
        <v>#REF!</v>
      </c>
      <c r="F152" s="460" t="e">
        <f>IF(+All!#REF!="Washington",+All!#REF!,IF(+All!#REF!="Washington",+All!#REF!,0))</f>
        <v>#REF!</v>
      </c>
      <c r="G152" s="461" t="e">
        <f>IF(+All!#REF!="Washington",+All!#REF!,IF(+All!#REF!="Washington",+All!#REF!,0))</f>
        <v>#REF!</v>
      </c>
      <c r="H152" s="460" t="e">
        <f>IF(+All!#REF!="Washington",+All!#REF!,IF(+All!#REF!="Washington",+All!#REF!,0))</f>
        <v>#REF!</v>
      </c>
      <c r="I152" s="461" t="e">
        <f>IF(+All!#REF!="Washington",+All!#REF!,IF(+All!#REF!="Washington",+All!#REF!,0))</f>
        <v>#REF!</v>
      </c>
      <c r="J152" s="460" t="e">
        <f>IF(+All!#REF!="Washington",+All!#REF!,IF(+All!#REF!="Washington",+All!#REF!,0))</f>
        <v>#REF!</v>
      </c>
      <c r="K152" s="461" t="e">
        <f>IF(+All!#REF!="Washington",+All!#REF!,IF(+All!#REF!="Washington",+All!#REF!,0))</f>
        <v>#REF!</v>
      </c>
      <c r="L152" s="60" t="e">
        <f>IF(+All!#REF!="Washington",+All!#REF!,IF(+All!#REF!="Washington",+All!#REF!,0))</f>
        <v>#REF!</v>
      </c>
      <c r="M152" s="61" t="e">
        <f>IF(+All!#REF!="Washington",+All!#REF!,IF(+All!#REF!="Washington",+All!#REF!,0))</f>
        <v>#REF!</v>
      </c>
      <c r="N152" s="460" t="e">
        <f>IF(+All!#REF!="Washington",+All!#REF!,IF(+All!#REF!="Washington",+All!#REF!,0))</f>
        <v>#REF!</v>
      </c>
      <c r="O152" s="462" t="e">
        <f>IF(+All!#REF!="Washington",+All!#REF!,IF(+All!#REF!="Washington",+All!#REF!,0))</f>
        <v>#REF!</v>
      </c>
      <c r="P152" s="462" t="e">
        <f>IF(+All!#REF!="Washington",+All!#REF!,IF(+All!#REF!="Washington",+All!#REF!,0))</f>
        <v>#REF!</v>
      </c>
      <c r="Q152" s="461" t="e">
        <f>IF(+All!#REF!="Washington",+All!#REF!,IF(+All!#REF!="Washington",+All!#REF!,0))</f>
        <v>#REF!</v>
      </c>
      <c r="R152" s="460" t="e">
        <f>IF(+All!#REF!="Washington",+All!#REF!,IF(+All!#REF!="Washington",+All!#REF!,0))</f>
        <v>#REF!</v>
      </c>
      <c r="S152" s="462" t="e">
        <f>IF(+All!#REF!="Washington",+All!#REF!,IF(+All!#REF!="Washington",+All!#REF!,0))</f>
        <v>#REF!</v>
      </c>
      <c r="T152" s="460" t="e">
        <f>IF(+All!#REF!="Washington",+All!#REF!,IF(+All!#REF!="Washington",+All!#REF!,0))</f>
        <v>#REF!</v>
      </c>
      <c r="U152" s="461" t="e">
        <f>IF(+All!#REF!="Washington",+All!#REF!,IF(+All!#REF!="Washington",+All!#REF!,0))</f>
        <v>#REF!</v>
      </c>
    </row>
    <row r="153" spans="1:21" x14ac:dyDescent="0.8">
      <c r="A153" s="46">
        <f>IF(+All!$H601="Washington",+All!A601,IF(+All!$F601="Washington",+All!A601,0))</f>
        <v>10</v>
      </c>
      <c r="B153" s="348" t="str">
        <f>IF(+All!$H601="Washington",+All!B601,IF(+All!$F601="Washington",+All!B601,0))</f>
        <v>Fri</v>
      </c>
      <c r="C153" s="72">
        <f>IF(+All!$H601="Washington",+All!C601,IF(+All!$F601="Washington",+All!C601,0))</f>
        <v>44869</v>
      </c>
      <c r="D153" s="73">
        <f>IF(+All!$H601="Washington",+All!D601,IF(+All!$F601="Washington",+All!D601,0))</f>
        <v>0.9375</v>
      </c>
      <c r="E153" s="461" t="str">
        <f>IF(+All!$H601="Washington",+All!E601,IF(+All!$F601="Washington",+All!E601,0))</f>
        <v>ESPN2</v>
      </c>
      <c r="F153" s="460" t="str">
        <f>IF(+All!$H601="Washington",+All!F601,IF(+All!$F601="Washington",+All!F601,0))</f>
        <v>Oregon State</v>
      </c>
      <c r="G153" s="461" t="str">
        <f>IF(+All!$H601="Washington",+All!G601,IF(+All!$F601="Washington",+All!G601,0))</f>
        <v>P12</v>
      </c>
      <c r="H153" s="460" t="str">
        <f>IF(+All!$H601="Washington",+All!H601,IF(+All!$F601="Washington",+All!H601,0))</f>
        <v>Washington</v>
      </c>
      <c r="I153" s="461" t="str">
        <f>IF(+All!$H601="Washington",+All!I601,IF(+All!$F601="Washington",+All!I601,0))</f>
        <v>P12</v>
      </c>
      <c r="J153" s="460" t="str">
        <f>IF(+All!$H601="Washington",+All!J601,IF(+All!$F601="Washington",+All!J601,0))</f>
        <v>Washington</v>
      </c>
      <c r="K153" s="461" t="str">
        <f>IF(+All!$H601="Washington",+All!K601,IF(+All!$F601="Washington",+All!K601,0))</f>
        <v>Oregon State</v>
      </c>
      <c r="L153" s="60">
        <f>IF(+All!$H601="Washington",+All!L601,IF(+All!$F601="Washington",+All!L601,0))</f>
        <v>4</v>
      </c>
      <c r="M153" s="61">
        <f>IF(+All!$H601="Washington",+All!M601,IF(+All!$F601="Washington",+All!M601,0))</f>
        <v>57</v>
      </c>
      <c r="N153" s="460" t="str">
        <f>IF(+All!$H601="Washington",+All!N601,IF(+All!$F601="Washington",+All!N601,0))</f>
        <v>Washington</v>
      </c>
      <c r="O153" s="462">
        <f>IF(+All!$H601="Washington",+All!O601,IF(+All!$F601="Washington",+All!O601,0))</f>
        <v>24</v>
      </c>
      <c r="P153" s="462" t="str">
        <f>IF(+All!$H601="Washington",+All!P601,IF(+All!$F601="Washington",+All!P601,0))</f>
        <v>Oregon State</v>
      </c>
      <c r="Q153" s="461">
        <f>IF(+All!$H601="Washington",+All!Q601,IF(+All!$F601="Washington",+All!Q601,0))</f>
        <v>21</v>
      </c>
      <c r="R153" s="460" t="str">
        <f>IF(+All!$H601="Washington",+All!R601,IF(+All!$F601="Washington",+All!R601,0))</f>
        <v>Oregon State</v>
      </c>
      <c r="S153" s="462" t="str">
        <f>IF(+All!$H601="Washington",+All!S601,IF(+All!$F601="Washington",+All!S601,0))</f>
        <v>Washington</v>
      </c>
      <c r="T153" s="460" t="str">
        <f>IF(+All!$H601="Washington",+All!T601,IF(+All!$F601="Washington",+All!T601,0))</f>
        <v>Oregon State</v>
      </c>
      <c r="U153" s="461" t="str">
        <f>IF(+All!$H601="Washington",+All!U601,IF(+All!$F601="Washington",+All!U601,0))</f>
        <v>W</v>
      </c>
    </row>
    <row r="154" spans="1:21" x14ac:dyDescent="0.8">
      <c r="A154" s="46">
        <f>IF(+All!$H699="Washington",+All!A699,IF(+All!$F699="Washington",+All!A699,0))</f>
        <v>11</v>
      </c>
      <c r="B154" s="348" t="str">
        <f>IF(+All!$H699="Washington",+All!B699,IF(+All!$F699="Washington",+All!B699,0))</f>
        <v>Sat</v>
      </c>
      <c r="C154" s="72">
        <f>IF(+All!$H699="Washington",+All!C699,IF(+All!$F699="Washington",+All!C699,0))</f>
        <v>44877</v>
      </c>
      <c r="D154" s="73">
        <f>IF(+All!$H699="Washington",+All!D699,IF(+All!$F699="Washington",+All!D699,0))</f>
        <v>0.79166666666666663</v>
      </c>
      <c r="E154" s="461" t="str">
        <f>IF(+All!$H699="Washington",+All!E699,IF(+All!$F699="Washington",+All!E699,0))</f>
        <v>Fox</v>
      </c>
      <c r="F154" s="460" t="str">
        <f>IF(+All!$H699="Washington",+All!F699,IF(+All!$F699="Washington",+All!F699,0))</f>
        <v>Washington</v>
      </c>
      <c r="G154" s="461" t="str">
        <f>IF(+All!$H699="Washington",+All!G699,IF(+All!$F699="Washington",+All!G699,0))</f>
        <v>P12</v>
      </c>
      <c r="H154" s="460" t="str">
        <f>IF(+All!$H699="Washington",+All!H699,IF(+All!$F699="Washington",+All!H699,0))</f>
        <v>Oregon</v>
      </c>
      <c r="I154" s="461" t="str">
        <f>IF(+All!$H699="Washington",+All!I699,IF(+All!$F699="Washington",+All!I699,0))</f>
        <v>P12</v>
      </c>
      <c r="J154" s="460" t="str">
        <f>IF(+All!$H699="Washington",+All!J699,IF(+All!$F699="Washington",+All!J699,0))</f>
        <v>Oregon</v>
      </c>
      <c r="K154" s="461" t="str">
        <f>IF(+All!$H699="Washington",+All!K699,IF(+All!$F699="Washington",+All!K699,0))</f>
        <v>Washington</v>
      </c>
      <c r="L154" s="60">
        <f>IF(+All!$H699="Washington",+All!L699,IF(+All!$F699="Washington",+All!L699,0))</f>
        <v>13.5</v>
      </c>
      <c r="M154" s="61">
        <f>IF(+All!$H699="Washington",+All!M699,IF(+All!$F699="Washington",+All!M699,0))</f>
        <v>72.5</v>
      </c>
      <c r="N154" s="460" t="str">
        <f>IF(+All!$H699="Washington",+All!N699,IF(+All!$F699="Washington",+All!N699,0))</f>
        <v>Washington</v>
      </c>
      <c r="O154" s="462">
        <f>IF(+All!$H699="Washington",+All!O699,IF(+All!$F699="Washington",+All!O699,0))</f>
        <v>37</v>
      </c>
      <c r="P154" s="462" t="str">
        <f>IF(+All!$H699="Washington",+All!P699,IF(+All!$F699="Washington",+All!P699,0))</f>
        <v>Oregon</v>
      </c>
      <c r="Q154" s="461">
        <f>IF(+All!$H699="Washington",+All!Q699,IF(+All!$F699="Washington",+All!Q699,0))</f>
        <v>34</v>
      </c>
      <c r="R154" s="460" t="str">
        <f>IF(+All!$H699="Washington",+All!R699,IF(+All!$F699="Washington",+All!R699,0))</f>
        <v>Washington</v>
      </c>
      <c r="S154" s="462" t="str">
        <f>IF(+All!$H699="Washington",+All!S699,IF(+All!$F699="Washington",+All!S699,0))</f>
        <v>Oregon</v>
      </c>
      <c r="T154" s="460" t="str">
        <f>IF(+All!$H699="Washington",+All!T699,IF(+All!$F699="Washington",+All!T699,0))</f>
        <v>Oregon</v>
      </c>
      <c r="U154" s="461" t="str">
        <f>IF(+All!$H699="Washington",+All!U699,IF(+All!$F699="Washington",+All!U699,0))</f>
        <v>L</v>
      </c>
    </row>
    <row r="155" spans="1:21" ht="16.899999999999999" customHeight="1" x14ac:dyDescent="0.8">
      <c r="A155" s="46">
        <f>IF(+All!$H768="Washington",+All!A768,IF(+All!$F768="Washington",+All!A768,0))</f>
        <v>12</v>
      </c>
      <c r="B155" s="348" t="str">
        <f>IF(+All!$H768="Washington",+All!B768,IF(+All!$F768="Washington",+All!B768,0))</f>
        <v>Sat</v>
      </c>
      <c r="C155" s="72">
        <f>IF(+All!$H768="Washington",+All!C768,IF(+All!$F768="Washington",+All!C768,0))</f>
        <v>44884</v>
      </c>
      <c r="D155" s="73">
        <f>IF(+All!$H768="Washington",+All!D768,IF(+All!$F768="Washington",+All!D768,0))</f>
        <v>0.875</v>
      </c>
      <c r="E155" s="461" t="str">
        <f>IF(+All!$H768="Washington",+All!E768,IF(+All!$F768="Washington",+All!E768,0))</f>
        <v>PAC12</v>
      </c>
      <c r="F155" s="460" t="str">
        <f>IF(+All!$H768="Washington",+All!F768,IF(+All!$F768="Washington",+All!F768,0))</f>
        <v>Colorado</v>
      </c>
      <c r="G155" s="461" t="str">
        <f>IF(+All!$H768="Washington",+All!G768,IF(+All!$F768="Washington",+All!G768,0))</f>
        <v>P12</v>
      </c>
      <c r="H155" s="460" t="str">
        <f>IF(+All!$H768="Washington",+All!H768,IF(+All!$F768="Washington",+All!H768,0))</f>
        <v>Washington</v>
      </c>
      <c r="I155" s="461" t="str">
        <f>IF(+All!$H768="Washington",+All!I768,IF(+All!$F768="Washington",+All!I768,0))</f>
        <v>P12</v>
      </c>
      <c r="J155" s="460" t="str">
        <f>IF(+All!$H768="Washington",+All!J768,IF(+All!$F768="Washington",+All!J768,0))</f>
        <v>Washington</v>
      </c>
      <c r="K155" s="461" t="str">
        <f>IF(+All!$H768="Washington",+All!K768,IF(+All!$F768="Washington",+All!K768,0))</f>
        <v>Colorado</v>
      </c>
      <c r="L155" s="60">
        <f>IF(+All!$H768="Washington",+All!L768,IF(+All!$F768="Washington",+All!L768,0))</f>
        <v>30.5</v>
      </c>
      <c r="M155" s="61">
        <f>IF(+All!$H768="Washington",+All!M768,IF(+All!$F768="Washington",+All!M768,0))</f>
        <v>64</v>
      </c>
      <c r="N155" s="460" t="str">
        <f>IF(+All!$H768="Washington",+All!N768,IF(+All!$F768="Washington",+All!N768,0))</f>
        <v>Washington</v>
      </c>
      <c r="O155" s="462">
        <f>IF(+All!$H768="Washington",+All!O768,IF(+All!$F768="Washington",+All!O768,0))</f>
        <v>54</v>
      </c>
      <c r="P155" s="462" t="str">
        <f>IF(+All!$H768="Washington",+All!P768,IF(+All!$F768="Washington",+All!P768,0))</f>
        <v>Colorado</v>
      </c>
      <c r="Q155" s="461">
        <f>IF(+All!$H768="Washington",+All!Q768,IF(+All!$F768="Washington",+All!Q768,0))</f>
        <v>7</v>
      </c>
      <c r="R155" s="460" t="str">
        <f>IF(+All!$H768="Washington",+All!R768,IF(+All!$F768="Washington",+All!R768,0))</f>
        <v>Washington</v>
      </c>
      <c r="S155" s="462" t="str">
        <f>IF(+All!$H768="Washington",+All!S768,IF(+All!$F768="Washington",+All!S768,0))</f>
        <v>Colorado</v>
      </c>
      <c r="T155" s="460" t="str">
        <f>IF(+All!$H768="Washington",+All!T768,IF(+All!$F768="Washington",+All!T768,0))</f>
        <v>Colorado</v>
      </c>
      <c r="U155" s="461" t="str">
        <f>IF(+All!$H768="Washington",+All!U768,IF(+All!$F768="Washington",+All!U768,0))</f>
        <v>L</v>
      </c>
    </row>
    <row r="156" spans="1:21" x14ac:dyDescent="0.8">
      <c r="A156" s="46">
        <f>IF(+All!$H836="Washington",+All!A836,IF(+All!$F836="Washington",+All!A836,0))</f>
        <v>13</v>
      </c>
      <c r="B156" s="348" t="str">
        <f>IF(+All!$H836="Washington",+All!B836,IF(+All!$F836="Washington",+All!B836,0))</f>
        <v>Sat</v>
      </c>
      <c r="C156" s="72">
        <f>IF(+All!$H836="Washington",+All!C836,IF(+All!$F836="Washington",+All!C836,0))</f>
        <v>44891</v>
      </c>
      <c r="D156" s="73">
        <f>IF(+All!$H836="Washington",+All!D836,IF(+All!$F836="Washington",+All!D836,0))</f>
        <v>0.9375</v>
      </c>
      <c r="E156" s="461" t="str">
        <f>IF(+All!$H836="Washington",+All!E836,IF(+All!$F836="Washington",+All!E836,0))</f>
        <v>ESPN</v>
      </c>
      <c r="F156" s="460" t="str">
        <f>IF(+All!$H836="Washington",+All!F836,IF(+All!$F836="Washington",+All!F836,0))</f>
        <v>Washington</v>
      </c>
      <c r="G156" s="461" t="str">
        <f>IF(+All!$H836="Washington",+All!G836,IF(+All!$F836="Washington",+All!G836,0))</f>
        <v>P12</v>
      </c>
      <c r="H156" s="460" t="str">
        <f>IF(+All!$H836="Washington",+All!H836,IF(+All!$F836="Washington",+All!H836,0))</f>
        <v>Washington State</v>
      </c>
      <c r="I156" s="461" t="str">
        <f>IF(+All!$H836="Washington",+All!I836,IF(+All!$F836="Washington",+All!I836,0))</f>
        <v>P12</v>
      </c>
      <c r="J156" s="460" t="str">
        <f>IF(+All!$H836="Washington",+All!J836,IF(+All!$F836="Washington",+All!J836,0))</f>
        <v>Washington</v>
      </c>
      <c r="K156" s="461" t="str">
        <f>IF(+All!$H836="Washington",+All!K836,IF(+All!$F836="Washington",+All!K836,0))</f>
        <v>Washington State</v>
      </c>
      <c r="L156" s="60">
        <f>IF(+All!$H836="Washington",+All!L836,IF(+All!$F836="Washington",+All!L836,0))</f>
        <v>2</v>
      </c>
      <c r="M156" s="61">
        <f>IF(+All!$H836="Washington",+All!M836,IF(+All!$F836="Washington",+All!M836,0))</f>
        <v>60</v>
      </c>
      <c r="N156" s="460" t="str">
        <f>IF(+All!$H836="Washington",+All!N836,IF(+All!$F836="Washington",+All!N836,0))</f>
        <v>Washington</v>
      </c>
      <c r="O156" s="462">
        <f>IF(+All!$H836="Washington",+All!O836,IF(+All!$F836="Washington",+All!O836,0))</f>
        <v>51</v>
      </c>
      <c r="P156" s="462" t="str">
        <f>IF(+All!$H836="Washington",+All!P836,IF(+All!$F836="Washington",+All!P836,0))</f>
        <v>Washington State</v>
      </c>
      <c r="Q156" s="461">
        <f>IF(+All!$H836="Washington",+All!Q836,IF(+All!$F836="Washington",+All!Q836,0))</f>
        <v>33</v>
      </c>
      <c r="R156" s="460" t="str">
        <f>IF(+All!$H836="Washington",+All!R836,IF(+All!$F836="Washington",+All!R836,0))</f>
        <v>Washington</v>
      </c>
      <c r="S156" s="462" t="str">
        <f>IF(+All!$H836="Washington",+All!S836,IF(+All!$F836="Washington",+All!S836,0))</f>
        <v>Washington State</v>
      </c>
      <c r="T156" s="460" t="str">
        <f>IF(+All!$H836="Washington",+All!T836,IF(+All!$F836="Washington",+All!T836,0))</f>
        <v>Washington State</v>
      </c>
      <c r="U156" s="461" t="str">
        <f>IF(+All!$H836="Washington",+All!U836,IF(+All!$F836="Washington",+All!U836,0))</f>
        <v>L</v>
      </c>
    </row>
    <row r="157" spans="1:21" x14ac:dyDescent="0.8">
      <c r="B157" s="348"/>
      <c r="E157" s="461"/>
      <c r="F157" s="897" t="str">
        <f>H158</f>
        <v>Washington State</v>
      </c>
      <c r="G157" s="903"/>
      <c r="H157" s="903"/>
      <c r="I157" s="904"/>
      <c r="J157" s="460"/>
      <c r="K157" s="461"/>
      <c r="N157" s="460"/>
      <c r="O157" s="462"/>
      <c r="P157" s="462"/>
      <c r="Q157" s="461"/>
      <c r="R157" s="460"/>
      <c r="S157" s="462"/>
      <c r="T157" s="460"/>
      <c r="U157" s="461"/>
    </row>
    <row r="158" spans="1:21" x14ac:dyDescent="0.8">
      <c r="A158" s="46">
        <f>IF(+All!$H75="Washington State",+All!A75,IF(+All!$F75="Washington State",+All!A75,0))</f>
        <v>1</v>
      </c>
      <c r="B158" s="348" t="str">
        <f>IF(+All!$H75="Washington State",+All!B75,IF(+All!$F75="Washington State",+All!B75,0))</f>
        <v>Sat</v>
      </c>
      <c r="C158" s="72">
        <f>IF(+All!$H75="Washington State",+All!C75,IF(+All!$F75="Washington State",+All!C75,0))</f>
        <v>44807</v>
      </c>
      <c r="D158" s="73">
        <f>IF(+All!$H75="Washington State",+All!D75,IF(+All!$F75="Washington State",+All!D75,0))</f>
        <v>0.89583333333333337</v>
      </c>
      <c r="E158" s="461" t="str">
        <f>IF(+All!$H75="Washington State",+All!E75,IF(+All!$F75="Washington State",+All!E75,0))</f>
        <v>PAC12</v>
      </c>
      <c r="F158" s="460" t="str">
        <f>IF(+All!$H75="Washington State",+All!F75,IF(+All!$F75="Washington State",+All!F75,0))</f>
        <v>1AA Idaho</v>
      </c>
      <c r="G158" s="461" t="str">
        <f>IF(+All!$H75="Washington State",+All!G75,IF(+All!$F75="Washington State",+All!G75,0))</f>
        <v>1AA</v>
      </c>
      <c r="H158" s="460" t="str">
        <f>IF(+All!$H75="Washington State",+All!H75,IF(+All!$F75="Washington State",+All!H75,0))</f>
        <v>Washington State</v>
      </c>
      <c r="I158" s="461" t="str">
        <f>IF(+All!$H75="Washington State",+All!I75,IF(+All!$F75="Washington State",+All!I75,0))</f>
        <v>P12</v>
      </c>
      <c r="J158" s="460">
        <f>IF(+All!$H75="Washington State",+All!J75,IF(+All!$F75="Washington State",+All!J75,0))</f>
        <v>0</v>
      </c>
      <c r="K158" s="461">
        <f>IF(+All!$H75="Washington State",+All!K75,IF(+All!$F75="Washington State",+All!K75,0))</f>
        <v>0</v>
      </c>
      <c r="L158" s="60">
        <f>IF(+All!$H75="Washington State",+All!L75,IF(+All!$F75="Washington State",+All!L75,0))</f>
        <v>0</v>
      </c>
      <c r="M158" s="61">
        <f>IF(+All!$H75="Washington State",+All!M75,IF(+All!$F75="Washington State",+All!M75,0))</f>
        <v>0</v>
      </c>
      <c r="N158" s="460" t="str">
        <f>IF(+All!$H75="Washington State",+All!N75,IF(+All!$F75="Washington State",+All!N75,0))</f>
        <v>Washington State</v>
      </c>
      <c r="O158" s="462">
        <f>IF(+All!$H75="Washington State",+All!O75,IF(+All!$F75="Washington State",+All!O75,0))</f>
        <v>24</v>
      </c>
      <c r="P158" s="462" t="str">
        <f>IF(+All!$H75="Washington State",+All!P75,IF(+All!$F75="Washington State",+All!P75,0))</f>
        <v>1AA Idaho</v>
      </c>
      <c r="Q158" s="461">
        <f>IF(+All!$H75="Washington State",+All!Q75,IF(+All!$F75="Washington State",+All!Q75,0))</f>
        <v>17</v>
      </c>
      <c r="R158" s="460">
        <f>IF(+All!$H75="Washington State",+All!R75,IF(+All!$F75="Washington State",+All!R75,0))</f>
        <v>0</v>
      </c>
      <c r="S158" s="462">
        <f>IF(+All!$H75="Washington State",+All!S75,IF(+All!$F75="Washington State",+All!S75,0))</f>
        <v>0</v>
      </c>
      <c r="T158" s="460">
        <f>IF(+All!$H75="Washington State",+All!T75,IF(+All!$F75="Washington State",+All!T75,0))</f>
        <v>0</v>
      </c>
      <c r="U158" s="461">
        <f>IF(+All!$H75="Washington State",+All!U75,IF(+All!$F75="Washington State",+All!U75,0))</f>
        <v>0</v>
      </c>
    </row>
    <row r="159" spans="1:21" x14ac:dyDescent="0.8">
      <c r="A159" s="46">
        <f>IF(+All!$H126="Washington State",+All!A126,IF(+All!$F126="Washington State",+All!A126,0))</f>
        <v>2</v>
      </c>
      <c r="B159" s="348" t="str">
        <f>IF(+All!$H126="Washington State",+All!B126,IF(+All!$F126="Washington State",+All!B126,0))</f>
        <v>Sat</v>
      </c>
      <c r="C159" s="72">
        <f>IF(+All!$H126="Washington State",+All!C126,IF(+All!$F126="Washington State",+All!C126,0))</f>
        <v>44814</v>
      </c>
      <c r="D159" s="73">
        <f>IF(+All!$H126="Washington State",+All!D126,IF(+All!$F126="Washington State",+All!D126,0))</f>
        <v>0.64583333333333337</v>
      </c>
      <c r="E159" s="461" t="str">
        <f>IF(+All!$H126="Washington State",+All!E126,IF(+All!$F126="Washington State",+All!E126,0))</f>
        <v>Fox</v>
      </c>
      <c r="F159" s="460" t="str">
        <f>IF(+All!$H126="Washington State",+All!F126,IF(+All!$F126="Washington State",+All!F126,0))</f>
        <v>Washington State</v>
      </c>
      <c r="G159" s="461" t="str">
        <f>IF(+All!$H126="Washington State",+All!G126,IF(+All!$F126="Washington State",+All!G126,0))</f>
        <v>P12</v>
      </c>
      <c r="H159" s="460" t="str">
        <f>IF(+All!$H126="Washington State",+All!H126,IF(+All!$F126="Washington State",+All!H126,0))</f>
        <v>Wisconsin</v>
      </c>
      <c r="I159" s="461" t="str">
        <f>IF(+All!$H126="Washington State",+All!I126,IF(+All!$F126="Washington State",+All!I126,0))</f>
        <v>B10</v>
      </c>
      <c r="J159" s="460" t="str">
        <f>IF(+All!$H126="Washington State",+All!J126,IF(+All!$F126="Washington State",+All!J126,0))</f>
        <v>Wisconsin</v>
      </c>
      <c r="K159" s="461" t="str">
        <f>IF(+All!$H126="Washington State",+All!K126,IF(+All!$F126="Washington State",+All!K126,0))</f>
        <v>Washington State</v>
      </c>
      <c r="L159" s="60">
        <f>IF(+All!$H126="Washington State",+All!L126,IF(+All!$F126="Washington State",+All!L126,0))</f>
        <v>17</v>
      </c>
      <c r="M159" s="61">
        <f>IF(+All!$H126="Washington State",+All!M126,IF(+All!$F126="Washington State",+All!M126,0))</f>
        <v>49</v>
      </c>
      <c r="N159" s="460" t="str">
        <f>IF(+All!$H126="Washington State",+All!N126,IF(+All!$F126="Washington State",+All!N126,0))</f>
        <v>Washington State</v>
      </c>
      <c r="O159" s="462">
        <f>IF(+All!$H126="Washington State",+All!O126,IF(+All!$F126="Washington State",+All!O126,0))</f>
        <v>17</v>
      </c>
      <c r="P159" s="462" t="str">
        <f>IF(+All!$H126="Washington State",+All!P126,IF(+All!$F126="Washington State",+All!P126,0))</f>
        <v>Wisconsin</v>
      </c>
      <c r="Q159" s="461">
        <f>IF(+All!$H126="Washington State",+All!Q126,IF(+All!$F126="Washington State",+All!Q126,0))</f>
        <v>14</v>
      </c>
      <c r="R159" s="460" t="str">
        <f>IF(+All!$H126="Washington State",+All!R126,IF(+All!$F126="Washington State",+All!R126,0))</f>
        <v>Washington State</v>
      </c>
      <c r="S159" s="462" t="str">
        <f>IF(+All!$H126="Washington State",+All!S126,IF(+All!$F126="Washington State",+All!S126,0))</f>
        <v>Wisconsin</v>
      </c>
      <c r="T159" s="460" t="str">
        <f>IF(+All!$H126="Washington State",+All!T126,IF(+All!$F126="Washington State",+All!T126,0))</f>
        <v>Washington State</v>
      </c>
      <c r="U159" s="461" t="str">
        <f>IF(+All!$H126="Washington State",+All!U126,IF(+All!$F126="Washington State",+All!U126,0))</f>
        <v>W</v>
      </c>
    </row>
    <row r="160" spans="1:21" x14ac:dyDescent="0.8">
      <c r="A160" s="46">
        <f>IF(+All!$H237="Washington State",+All!A237,IF(+All!$F237="Washington State",+All!A237,0))</f>
        <v>3</v>
      </c>
      <c r="B160" s="348" t="str">
        <f>IF(+All!$H237="Washington State",+All!B237,IF(+All!$F237="Washington State",+All!B237,0))</f>
        <v>Sat</v>
      </c>
      <c r="C160" s="72">
        <f>IF(+All!$H237="Washington State",+All!C237,IF(+All!$F237="Washington State",+All!C237,0))</f>
        <v>44821</v>
      </c>
      <c r="D160" s="73">
        <f>IF(+All!$H237="Washington State",+All!D237,IF(+All!$F237="Washington State",+All!D237,0))</f>
        <v>0.70833333333333337</v>
      </c>
      <c r="E160" s="461" t="str">
        <f>IF(+All!$H237="Washington State",+All!E237,IF(+All!$F237="Washington State",+All!E237,0))</f>
        <v>PAC12</v>
      </c>
      <c r="F160" s="460" t="str">
        <f>IF(+All!$H237="Washington State",+All!F237,IF(+All!$F237="Washington State",+All!F237,0))</f>
        <v>Colorado State</v>
      </c>
      <c r="G160" s="461" t="str">
        <f>IF(+All!$H237="Washington State",+All!G237,IF(+All!$F237="Washington State",+All!G237,0))</f>
        <v>MWC</v>
      </c>
      <c r="H160" s="460" t="str">
        <f>IF(+All!$H237="Washington State",+All!H237,IF(+All!$F237="Washington State",+All!H237,0))</f>
        <v>Washington State</v>
      </c>
      <c r="I160" s="461" t="str">
        <f>IF(+All!$H237="Washington State",+All!I237,IF(+All!$F237="Washington State",+All!I237,0))</f>
        <v>P12</v>
      </c>
      <c r="J160" s="460" t="str">
        <f>IF(+All!$H237="Washington State",+All!J237,IF(+All!$F237="Washington State",+All!J237,0))</f>
        <v>Washington State</v>
      </c>
      <c r="K160" s="461" t="str">
        <f>IF(+All!$H237="Washington State",+All!K237,IF(+All!$F237="Washington State",+All!K237,0))</f>
        <v>Colorado State</v>
      </c>
      <c r="L160" s="60">
        <f>IF(+All!$H237="Washington State",+All!L237,IF(+All!$F237="Washington State",+All!L237,0))</f>
        <v>17</v>
      </c>
      <c r="M160" s="61">
        <f>IF(+All!$H237="Washington State",+All!M237,IF(+All!$F237="Washington State",+All!M237,0))</f>
        <v>53</v>
      </c>
      <c r="N160" s="460" t="str">
        <f>IF(+All!$H237="Washington State",+All!N237,IF(+All!$F237="Washington State",+All!N237,0))</f>
        <v>Washington State</v>
      </c>
      <c r="O160" s="462">
        <f>IF(+All!$H237="Washington State",+All!O237,IF(+All!$F237="Washington State",+All!O237,0))</f>
        <v>38</v>
      </c>
      <c r="P160" s="462" t="str">
        <f>IF(+All!$H237="Washington State",+All!P237,IF(+All!$F237="Washington State",+All!P237,0))</f>
        <v>Colorado State</v>
      </c>
      <c r="Q160" s="461">
        <f>IF(+All!$H237="Washington State",+All!Q237,IF(+All!$F237="Washington State",+All!Q237,0))</f>
        <v>7</v>
      </c>
      <c r="R160" s="460" t="str">
        <f>IF(+All!$H237="Washington State",+All!R237,IF(+All!$F237="Washington State",+All!R237,0))</f>
        <v>Washington State</v>
      </c>
      <c r="S160" s="462" t="str">
        <f>IF(+All!$H237="Washington State",+All!S237,IF(+All!$F237="Washington State",+All!S237,0))</f>
        <v>Colorado State</v>
      </c>
      <c r="T160" s="460" t="str">
        <f>IF(+All!$H237="Washington State",+All!T237,IF(+All!$F237="Washington State",+All!T237,0))</f>
        <v>Washington State</v>
      </c>
      <c r="U160" s="461" t="str">
        <f>IF(+All!$H237="Washington State",+All!U237,IF(+All!$F237="Washington State",+All!U237,0))</f>
        <v>W</v>
      </c>
    </row>
    <row r="161" spans="1:21" x14ac:dyDescent="0.8">
      <c r="A161" s="46">
        <f>IF(+All!$H300="Washington State",+All!A300,IF(+All!$F300="Washington State",+All!A300,0))</f>
        <v>4</v>
      </c>
      <c r="B161" s="348" t="str">
        <f>IF(+All!$H300="Washington State",+All!B300,IF(+All!$F300="Washington State",+All!B300,0))</f>
        <v>Sat</v>
      </c>
      <c r="C161" s="72">
        <f>IF(+All!$H300="Washington State",+All!C300,IF(+All!$F300="Washington State",+All!C300,0))</f>
        <v>44828</v>
      </c>
      <c r="D161" s="73">
        <f>IF(+All!$H300="Washington State",+All!D300,IF(+All!$F300="Washington State",+All!D300,0))</f>
        <v>0.64583333333333337</v>
      </c>
      <c r="E161" s="461" t="str">
        <f>IF(+All!$H300="Washington State",+All!E300,IF(+All!$F300="Washington State",+All!E300,0))</f>
        <v>Fox</v>
      </c>
      <c r="F161" s="460" t="str">
        <f>IF(+All!$H300="Washington State",+All!F300,IF(+All!$F300="Washington State",+All!F300,0))</f>
        <v>Oregon</v>
      </c>
      <c r="G161" s="461" t="str">
        <f>IF(+All!$H300="Washington State",+All!G300,IF(+All!$F300="Washington State",+All!G300,0))</f>
        <v>P12</v>
      </c>
      <c r="H161" s="460" t="str">
        <f>IF(+All!$H300="Washington State",+All!H300,IF(+All!$F300="Washington State",+All!H300,0))</f>
        <v>Washington State</v>
      </c>
      <c r="I161" s="461" t="str">
        <f>IF(+All!$H300="Washington State",+All!I300,IF(+All!$F300="Washington State",+All!I300,0))</f>
        <v>P12</v>
      </c>
      <c r="J161" s="460" t="str">
        <f>IF(+All!$H300="Washington State",+All!J300,IF(+All!$F300="Washington State",+All!J300,0))</f>
        <v>Oregon</v>
      </c>
      <c r="K161" s="461" t="str">
        <f>IF(+All!$H300="Washington State",+All!K300,IF(+All!$F300="Washington State",+All!K300,0))</f>
        <v>Washington State</v>
      </c>
      <c r="L161" s="60">
        <f>IF(+All!$H300="Washington State",+All!L300,IF(+All!$F300="Washington State",+All!L300,0))</f>
        <v>6.5</v>
      </c>
      <c r="M161" s="61">
        <f>IF(+All!$H300="Washington State",+All!M300,IF(+All!$F300="Washington State",+All!M300,0))</f>
        <v>57.5</v>
      </c>
      <c r="N161" s="460" t="str">
        <f>IF(+All!$H300="Washington State",+All!N300,IF(+All!$F300="Washington State",+All!N300,0))</f>
        <v>Oregon</v>
      </c>
      <c r="O161" s="462">
        <f>IF(+All!$H300="Washington State",+All!O300,IF(+All!$F300="Washington State",+All!O300,0))</f>
        <v>44</v>
      </c>
      <c r="P161" s="462" t="str">
        <f>IF(+All!$H300="Washington State",+All!P300,IF(+All!$F300="Washington State",+All!P300,0))</f>
        <v>Washington State</v>
      </c>
      <c r="Q161" s="461">
        <f>IF(+All!$H300="Washington State",+All!Q300,IF(+All!$F300="Washington State",+All!Q300,0))</f>
        <v>41</v>
      </c>
      <c r="R161" s="460" t="str">
        <f>IF(+All!$H300="Washington State",+All!R300,IF(+All!$F300="Washington State",+All!R300,0))</f>
        <v>Washington State</v>
      </c>
      <c r="S161" s="462" t="str">
        <f>IF(+All!$H300="Washington State",+All!S300,IF(+All!$F300="Washington State",+All!S300,0))</f>
        <v>Oregon</v>
      </c>
      <c r="T161" s="460" t="str">
        <f>IF(+All!$H300="Washington State",+All!T300,IF(+All!$F300="Washington State",+All!T300,0))</f>
        <v>Washington State</v>
      </c>
      <c r="U161" s="461" t="str">
        <f>IF(+All!$H300="Washington State",+All!U300,IF(+All!$F300="Washington State",+All!U300,0))</f>
        <v>W</v>
      </c>
    </row>
    <row r="162" spans="1:21" x14ac:dyDescent="0.8">
      <c r="A162" s="46">
        <f>IF(+All!$H367="Washington State",+All!A367,IF(+All!$F367="Washington State",+All!A367,0))</f>
        <v>5</v>
      </c>
      <c r="B162" s="348" t="str">
        <f>IF(+All!$H367="Washington State",+All!B367,IF(+All!$F367="Washington State",+All!B367,0))</f>
        <v>Sat</v>
      </c>
      <c r="C162" s="72">
        <f>IF(+All!$H367="Washington State",+All!C367,IF(+All!$F367="Washington State",+All!C367,0))</f>
        <v>44835</v>
      </c>
      <c r="D162" s="73">
        <f>IF(+All!$H367="Washington State",+All!D367,IF(+All!$F367="Washington State",+All!D367,0))</f>
        <v>0.72916666666666663</v>
      </c>
      <c r="E162" s="461" t="str">
        <f>IF(+All!$H367="Washington State",+All!E367,IF(+All!$F367="Washington State",+All!E367,0))</f>
        <v>PAC12</v>
      </c>
      <c r="F162" s="460" t="str">
        <f>IF(+All!$H367="Washington State",+All!F367,IF(+All!$F367="Washington State",+All!F367,0))</f>
        <v>California</v>
      </c>
      <c r="G162" s="461" t="str">
        <f>IF(+All!$H367="Washington State",+All!G367,IF(+All!$F367="Washington State",+All!G367,0))</f>
        <v>P12</v>
      </c>
      <c r="H162" s="460" t="str">
        <f>IF(+All!$H367="Washington State",+All!H367,IF(+All!$F367="Washington State",+All!H367,0))</f>
        <v>Washington State</v>
      </c>
      <c r="I162" s="461" t="str">
        <f>IF(+All!$H367="Washington State",+All!I367,IF(+All!$F367="Washington State",+All!I367,0))</f>
        <v>P12</v>
      </c>
      <c r="J162" s="460" t="str">
        <f>IF(+All!$H367="Washington State",+All!J367,IF(+All!$F367="Washington State",+All!J367,0))</f>
        <v>Washington State</v>
      </c>
      <c r="K162" s="461" t="str">
        <f>IF(+All!$H367="Washington State",+All!K367,IF(+All!$F367="Washington State",+All!K367,0))</f>
        <v>California</v>
      </c>
      <c r="L162" s="60">
        <f>IF(+All!$H367="Washington State",+All!L367,IF(+All!$F367="Washington State",+All!L367,0))</f>
        <v>3.5</v>
      </c>
      <c r="M162" s="61">
        <f>IF(+All!$H367="Washington State",+All!M367,IF(+All!$F367="Washington State",+All!M367,0))</f>
        <v>53.5</v>
      </c>
      <c r="N162" s="460" t="str">
        <f>IF(+All!$H367="Washington State",+All!N367,IF(+All!$F367="Washington State",+All!N367,0))</f>
        <v>Washington State</v>
      </c>
      <c r="O162" s="462">
        <f>IF(+All!$H367="Washington State",+All!O367,IF(+All!$F367="Washington State",+All!O367,0))</f>
        <v>28</v>
      </c>
      <c r="P162" s="462" t="str">
        <f>IF(+All!$H367="Washington State",+All!P367,IF(+All!$F367="Washington State",+All!P367,0))</f>
        <v>California</v>
      </c>
      <c r="Q162" s="461">
        <f>IF(+All!$H367="Washington State",+All!Q367,IF(+All!$F367="Washington State",+All!Q367,0))</f>
        <v>9</v>
      </c>
      <c r="R162" s="460" t="str">
        <f>IF(+All!$H367="Washington State",+All!R367,IF(+All!$F367="Washington State",+All!R367,0))</f>
        <v>Washington State</v>
      </c>
      <c r="S162" s="462" t="str">
        <f>IF(+All!$H367="Washington State",+All!S367,IF(+All!$F367="Washington State",+All!S367,0))</f>
        <v>California</v>
      </c>
      <c r="T162" s="460" t="str">
        <f>IF(+All!$H367="Washington State",+All!T367,IF(+All!$F367="Washington State",+All!T367,0))</f>
        <v>Washington State</v>
      </c>
      <c r="U162" s="461" t="str">
        <f>IF(+All!$H367="Washington State",+All!U367,IF(+All!$F367="Washington State",+All!U367,0))</f>
        <v>W</v>
      </c>
    </row>
    <row r="163" spans="1:21" x14ac:dyDescent="0.8">
      <c r="A163" s="46">
        <f>IF(+All!$H423="Washington State",+All!A423,IF(+All!$F423="Washington State",+All!A423,0))</f>
        <v>6</v>
      </c>
      <c r="B163" s="348" t="str">
        <f>IF(+All!$H423="Washington State",+All!B423,IF(+All!$F423="Washington State",+All!B423,0))</f>
        <v>Sat</v>
      </c>
      <c r="C163" s="72">
        <f>IF(+All!$H423="Washington State",+All!C423,IF(+All!$F423="Washington State",+All!C423,0))</f>
        <v>44842</v>
      </c>
      <c r="D163" s="73">
        <f>IF(+All!$H423="Washington State",+All!D423,IF(+All!$F423="Washington State",+All!D423,0))</f>
        <v>0.8125</v>
      </c>
      <c r="E163" s="461" t="str">
        <f>IF(+All!$H423="Washington State",+All!E423,IF(+All!$F423="Washington State",+All!E423,0))</f>
        <v>Fox</v>
      </c>
      <c r="F163" s="460" t="str">
        <f>IF(+All!$H423="Washington State",+All!F423,IF(+All!$F423="Washington State",+All!F423,0))</f>
        <v>Washington State</v>
      </c>
      <c r="G163" s="461" t="str">
        <f>IF(+All!$H423="Washington State",+All!G423,IF(+All!$F423="Washington State",+All!G423,0))</f>
        <v>P12</v>
      </c>
      <c r="H163" s="460" t="str">
        <f>IF(+All!$H423="Washington State",+All!H423,IF(+All!$F423="Washington State",+All!H423,0))</f>
        <v>Southern Cal</v>
      </c>
      <c r="I163" s="461" t="str">
        <f>IF(+All!$H423="Washington State",+All!I423,IF(+All!$F423="Washington State",+All!I423,0))</f>
        <v>P12</v>
      </c>
      <c r="J163" s="460" t="str">
        <f>IF(+All!$H423="Washington State",+All!J423,IF(+All!$F423="Washington State",+All!J423,0))</f>
        <v>Southern Cal</v>
      </c>
      <c r="K163" s="461" t="str">
        <f>IF(+All!$H423="Washington State",+All!K423,IF(+All!$F423="Washington State",+All!K423,0))</f>
        <v>Washington State</v>
      </c>
      <c r="L163" s="60">
        <f>IF(+All!$H423="Washington State",+All!L423,IF(+All!$F423="Washington State",+All!L423,0))</f>
        <v>13</v>
      </c>
      <c r="M163" s="61">
        <f>IF(+All!$H423="Washington State",+All!M423,IF(+All!$F423="Washington State",+All!M423,0))</f>
        <v>66</v>
      </c>
      <c r="N163" s="460" t="str">
        <f>IF(+All!$H423="Washington State",+All!N423,IF(+All!$F423="Washington State",+All!N423,0))</f>
        <v>Southern Cal</v>
      </c>
      <c r="O163" s="462">
        <f>IF(+All!$H423="Washington State",+All!O423,IF(+All!$F423="Washington State",+All!O423,0))</f>
        <v>30</v>
      </c>
      <c r="P163" s="462" t="str">
        <f>IF(+All!$H423="Washington State",+All!P423,IF(+All!$F423="Washington State",+All!P423,0))</f>
        <v>Washington State</v>
      </c>
      <c r="Q163" s="461">
        <f>IF(+All!$H423="Washington State",+All!Q423,IF(+All!$F423="Washington State",+All!Q423,0))</f>
        <v>14</v>
      </c>
      <c r="R163" s="460" t="str">
        <f>IF(+All!$H423="Washington State",+All!R423,IF(+All!$F423="Washington State",+All!R423,0))</f>
        <v>Southern Cal</v>
      </c>
      <c r="S163" s="462" t="str">
        <f>IF(+All!$H423="Washington State",+All!S423,IF(+All!$F423="Washington State",+All!S423,0))</f>
        <v>Washington State</v>
      </c>
      <c r="T163" s="460" t="str">
        <f>IF(+All!$H423="Washington State",+All!T423,IF(+All!$F423="Washington State",+All!T423,0))</f>
        <v>Washington State</v>
      </c>
      <c r="U163" s="461" t="str">
        <f>IF(+All!$H423="Washington State",+All!U423,IF(+All!$F423="Washington State",+All!U423,0))</f>
        <v>L</v>
      </c>
    </row>
    <row r="164" spans="1:21" x14ac:dyDescent="0.8">
      <c r="A164" s="46">
        <f>IF(+All!$H478="Washington State",+All!A478,IF(+All!$F478="Washington State",+All!A478,0))</f>
        <v>7</v>
      </c>
      <c r="B164" s="348" t="str">
        <f>IF(+All!$H478="Washington State",+All!B478,IF(+All!$F478="Washington State",+All!B478,0))</f>
        <v>Sat</v>
      </c>
      <c r="C164" s="72">
        <f>IF(+All!$H478="Washington State",+All!C478,IF(+All!$F478="Washington State",+All!C478,0))</f>
        <v>44849</v>
      </c>
      <c r="D164" s="73">
        <f>IF(+All!$H478="Washington State",+All!D478,IF(+All!$F478="Washington State",+All!D478,0))</f>
        <v>0.875</v>
      </c>
      <c r="E164" s="461" t="str">
        <f>IF(+All!$H478="Washington State",+All!E478,IF(+All!$F478="Washington State",+All!E478,0))</f>
        <v>PAC12</v>
      </c>
      <c r="F164" s="460" t="str">
        <f>IF(+All!$H478="Washington State",+All!F478,IF(+All!$F478="Washington State",+All!F478,0))</f>
        <v>Washington State</v>
      </c>
      <c r="G164" s="461" t="str">
        <f>IF(+All!$H478="Washington State",+All!G478,IF(+All!$F478="Washington State",+All!G478,0))</f>
        <v>P12</v>
      </c>
      <c r="H164" s="460" t="str">
        <f>IF(+All!$H478="Washington State",+All!H478,IF(+All!$F478="Washington State",+All!H478,0))</f>
        <v>Oregon State</v>
      </c>
      <c r="I164" s="461" t="str">
        <f>IF(+All!$H478="Washington State",+All!I478,IF(+All!$F478="Washington State",+All!I478,0))</f>
        <v>P12</v>
      </c>
      <c r="J164" s="460" t="str">
        <f>IF(+All!$H478="Washington State",+All!J478,IF(+All!$F478="Washington State",+All!J478,0))</f>
        <v>Oregon State</v>
      </c>
      <c r="K164" s="461" t="str">
        <f>IF(+All!$H478="Washington State",+All!K478,IF(+All!$F478="Washington State",+All!K478,0))</f>
        <v>Washington State</v>
      </c>
      <c r="L164" s="60">
        <f>IF(+All!$H478="Washington State",+All!L478,IF(+All!$F478="Washington State",+All!L478,0))</f>
        <v>3.5</v>
      </c>
      <c r="M164" s="61">
        <f>IF(+All!$H478="Washington State",+All!M478,IF(+All!$F478="Washington State",+All!M478,0))</f>
        <v>53</v>
      </c>
      <c r="N164" s="460" t="str">
        <f>IF(+All!$H478="Washington State",+All!N478,IF(+All!$F478="Washington State",+All!N478,0))</f>
        <v>Oregon State</v>
      </c>
      <c r="O164" s="462">
        <f>IF(+All!$H478="Washington State",+All!O478,IF(+All!$F478="Washington State",+All!O478,0))</f>
        <v>24</v>
      </c>
      <c r="P164" s="462" t="str">
        <f>IF(+All!$H478="Washington State",+All!P478,IF(+All!$F478="Washington State",+All!P478,0))</f>
        <v>Washington State</v>
      </c>
      <c r="Q164" s="461">
        <f>IF(+All!$H478="Washington State",+All!Q478,IF(+All!$F478="Washington State",+All!Q478,0))</f>
        <v>10</v>
      </c>
      <c r="R164" s="460" t="str">
        <f>IF(+All!$H478="Washington State",+All!R478,IF(+All!$F478="Washington State",+All!R478,0))</f>
        <v>Oregon State</v>
      </c>
      <c r="S164" s="462" t="str">
        <f>IF(+All!$H478="Washington State",+All!S478,IF(+All!$F478="Washington State",+All!S478,0))</f>
        <v>Washington State</v>
      </c>
      <c r="T164" s="460" t="str">
        <f>IF(+All!$H478="Washington State",+All!T478,IF(+All!$F478="Washington State",+All!T478,0))</f>
        <v>Washington State</v>
      </c>
      <c r="U164" s="461" t="str">
        <f>IF(+All!$H478="Washington State",+All!U478,IF(+All!$F478="Washington State",+All!U478,0))</f>
        <v>L</v>
      </c>
    </row>
    <row r="165" spans="1:21" x14ac:dyDescent="0.8">
      <c r="A165" s="46" t="e">
        <f>IF(+All!#REF!="Washington State",+All!#REF!,IF(+All!#REF!="Washington State",+All!#REF!,0))</f>
        <v>#REF!</v>
      </c>
      <c r="B165" s="348" t="e">
        <f>IF(+All!#REF!="Washington State",+All!#REF!,IF(+All!#REF!="Washington State",+All!#REF!,0))</f>
        <v>#REF!</v>
      </c>
      <c r="C165" s="72" t="e">
        <f>IF(+All!#REF!="Washington State",+All!#REF!,IF(+All!#REF!="Washington State",+All!#REF!,0))</f>
        <v>#REF!</v>
      </c>
      <c r="D165" s="73" t="e">
        <f>IF(+All!#REF!="Washington State",+All!#REF!,IF(+All!#REF!="Washington State",+All!#REF!,0))</f>
        <v>#REF!</v>
      </c>
      <c r="E165" s="461" t="e">
        <f>IF(+All!#REF!="Washington State",+All!#REF!,IF(+All!#REF!="Washington State",+All!#REF!,0))</f>
        <v>#REF!</v>
      </c>
      <c r="F165" s="460" t="e">
        <f>IF(+All!#REF!="Washington State",+All!#REF!,IF(+All!#REF!="Washington State",+All!#REF!,0))</f>
        <v>#REF!</v>
      </c>
      <c r="G165" s="461" t="e">
        <f>IF(+All!#REF!="Washington State",+All!#REF!,IF(+All!#REF!="Washington State",+All!#REF!,0))</f>
        <v>#REF!</v>
      </c>
      <c r="H165" s="460" t="e">
        <f>IF(+All!#REF!="Washington State",+All!#REF!,IF(+All!#REF!="Washington State",+All!#REF!,0))</f>
        <v>#REF!</v>
      </c>
      <c r="I165" s="461" t="e">
        <f>IF(+All!#REF!="Washington State",+All!#REF!,IF(+All!#REF!="Washington State",+All!#REF!,0))</f>
        <v>#REF!</v>
      </c>
      <c r="J165" s="460" t="e">
        <f>IF(+All!#REF!="Washington State",+All!#REF!,IF(+All!#REF!="Washington State",+All!#REF!,0))</f>
        <v>#REF!</v>
      </c>
      <c r="K165" s="461" t="e">
        <f>IF(+All!#REF!="Washington State",+All!#REF!,IF(+All!#REF!="Washington State",+All!#REF!,0))</f>
        <v>#REF!</v>
      </c>
      <c r="L165" s="60" t="e">
        <f>IF(+All!#REF!="Washington State",+All!#REF!,IF(+All!#REF!="Washington State",+All!#REF!,0))</f>
        <v>#REF!</v>
      </c>
      <c r="M165" s="61" t="e">
        <f>IF(+All!#REF!="Washington State",+All!#REF!,IF(+All!#REF!="Washington State",+All!#REF!,0))</f>
        <v>#REF!</v>
      </c>
      <c r="N165" s="460" t="e">
        <f>IF(+All!#REF!="Washington State",+All!#REF!,IF(+All!#REF!="Washington State",+All!#REF!,0))</f>
        <v>#REF!</v>
      </c>
      <c r="O165" s="462" t="e">
        <f>IF(+All!#REF!="Washington State",+All!#REF!,IF(+All!#REF!="Washington State",+All!#REF!,0))</f>
        <v>#REF!</v>
      </c>
      <c r="P165" s="462" t="e">
        <f>IF(+All!#REF!="Washington State",+All!#REF!,IF(+All!#REF!="Washington State",+All!#REF!,0))</f>
        <v>#REF!</v>
      </c>
      <c r="Q165" s="461" t="e">
        <f>IF(+All!#REF!="Washington State",+All!#REF!,IF(+All!#REF!="Washington State",+All!#REF!,0))</f>
        <v>#REF!</v>
      </c>
      <c r="R165" s="460" t="e">
        <f>IF(+All!#REF!="Washington State",+All!#REF!,IF(+All!#REF!="Washington State",+All!#REF!,0))</f>
        <v>#REF!</v>
      </c>
      <c r="S165" s="462" t="e">
        <f>IF(+All!#REF!="Washington State",+All!#REF!,IF(+All!#REF!="Washington State",+All!#REF!,0))</f>
        <v>#REF!</v>
      </c>
      <c r="T165" s="460" t="e">
        <f>IF(+All!#REF!="Washington State",+All!#REF!,IF(+All!#REF!="Washington State",+All!#REF!,0))</f>
        <v>#REF!</v>
      </c>
      <c r="U165" s="461" t="e">
        <f>IF(+All!#REF!="Washington State",+All!#REF!,IF(+All!#REF!="Washington State",+All!#REF!,0))</f>
        <v>#REF!</v>
      </c>
    </row>
    <row r="166" spans="1:21" x14ac:dyDescent="0.8">
      <c r="A166" s="46">
        <f>IF(+All!$H546="Washington State",+All!A546,IF(+All!$F546="Washington State",+All!A546,0))</f>
        <v>9</v>
      </c>
      <c r="B166" s="348" t="str">
        <f>IF(+All!$H546="Washington State",+All!B546,IF(+All!$F546="Washington State",+All!B546,0))</f>
        <v>Thurs</v>
      </c>
      <c r="C166" s="72">
        <f>IF(+All!$H546="Washington State",+All!C546,IF(+All!$F546="Washington State",+All!C546,0))</f>
        <v>44861</v>
      </c>
      <c r="D166" s="73">
        <f>IF(+All!$H546="Washington State",+All!D546,IF(+All!$F546="Washington State",+All!D546,0))</f>
        <v>0.91666666666666663</v>
      </c>
      <c r="E166" s="461" t="str">
        <f>IF(+All!$H546="Washington State",+All!E546,IF(+All!$F546="Washington State",+All!E546,0))</f>
        <v>FS1</v>
      </c>
      <c r="F166" s="460" t="str">
        <f>IF(+All!$H546="Washington State",+All!F546,IF(+All!$F546="Washington State",+All!F546,0))</f>
        <v>Utah</v>
      </c>
      <c r="G166" s="461" t="str">
        <f>IF(+All!$H546="Washington State",+All!G546,IF(+All!$F546="Washington State",+All!G546,0))</f>
        <v>P12</v>
      </c>
      <c r="H166" s="460" t="str">
        <f>IF(+All!$H546="Washington State",+All!H546,IF(+All!$F546="Washington State",+All!H546,0))</f>
        <v>Washington State</v>
      </c>
      <c r="I166" s="461" t="str">
        <f>IF(+All!$H546="Washington State",+All!I546,IF(+All!$F546="Washington State",+All!I546,0))</f>
        <v>P12</v>
      </c>
      <c r="J166" s="460" t="str">
        <f>IF(+All!$H546="Washington State",+All!J546,IF(+All!$F546="Washington State",+All!J546,0))</f>
        <v>Utah</v>
      </c>
      <c r="K166" s="461" t="str">
        <f>IF(+All!$H546="Washington State",+All!K546,IF(+All!$F546="Washington State",+All!K546,0))</f>
        <v>Washington State</v>
      </c>
      <c r="L166" s="60">
        <f>IF(+All!$H546="Washington State",+All!L546,IF(+All!$F546="Washington State",+All!L546,0))</f>
        <v>7.5</v>
      </c>
      <c r="M166" s="61">
        <f>IF(+All!$H546="Washington State",+All!M546,IF(+All!$F546="Washington State",+All!M546,0))</f>
        <v>55</v>
      </c>
      <c r="N166" s="460" t="str">
        <f>IF(+All!$H546="Washington State",+All!N546,IF(+All!$F546="Washington State",+All!N546,0))</f>
        <v>Utah</v>
      </c>
      <c r="O166" s="462">
        <f>IF(+All!$H546="Washington State",+All!O546,IF(+All!$F546="Washington State",+All!O546,0))</f>
        <v>21</v>
      </c>
      <c r="P166" s="462" t="str">
        <f>IF(+All!$H546="Washington State",+All!P546,IF(+All!$F546="Washington State",+All!P546,0))</f>
        <v>Washington State</v>
      </c>
      <c r="Q166" s="461">
        <f>IF(+All!$H546="Washington State",+All!Q546,IF(+All!$F546="Washington State",+All!Q546,0))</f>
        <v>17</v>
      </c>
      <c r="R166" s="460" t="str">
        <f>IF(+All!$H546="Washington State",+All!R546,IF(+All!$F546="Washington State",+All!R546,0))</f>
        <v>Washington State</v>
      </c>
      <c r="S166" s="462" t="str">
        <f>IF(+All!$H546="Washington State",+All!S546,IF(+All!$F546="Washington State",+All!S546,0))</f>
        <v>Utah</v>
      </c>
      <c r="T166" s="460" t="str">
        <f>IF(+All!$H546="Washington State",+All!T546,IF(+All!$F546="Washington State",+All!T546,0))</f>
        <v>Washington State</v>
      </c>
      <c r="U166" s="461" t="str">
        <f>IF(+All!$H546="Washington State",+All!U546,IF(+All!$F546="Washington State",+All!U546,0))</f>
        <v>W</v>
      </c>
    </row>
    <row r="167" spans="1:21" x14ac:dyDescent="0.8">
      <c r="A167" s="46">
        <f>IF(+All!$H639="Washington State",+All!A639,IF(+All!$F639="Washington State",+All!A639,0))</f>
        <v>10</v>
      </c>
      <c r="B167" s="348" t="str">
        <f>IF(+All!$H639="Washington State",+All!B639,IF(+All!$F639="Washington State",+All!B639,0))</f>
        <v>Sat</v>
      </c>
      <c r="C167" s="72">
        <f>IF(+All!$H639="Washington State",+All!C639,IF(+All!$F639="Washington State",+All!C639,0))</f>
        <v>44870</v>
      </c>
      <c r="D167" s="73">
        <f>IF(+All!$H639="Washington State",+All!D639,IF(+All!$F639="Washington State",+All!D639,0))</f>
        <v>0.64583333333333337</v>
      </c>
      <c r="E167" s="461" t="str">
        <f>IF(+All!$H639="Washington State",+All!E639,IF(+All!$F639="Washington State",+All!E639,0))</f>
        <v>PAC12</v>
      </c>
      <c r="F167" s="460" t="str">
        <f>IF(+All!$H639="Washington State",+All!F639,IF(+All!$F639="Washington State",+All!F639,0))</f>
        <v>Washington State</v>
      </c>
      <c r="G167" s="461" t="str">
        <f>IF(+All!$H639="Washington State",+All!G639,IF(+All!$F639="Washington State",+All!G639,0))</f>
        <v>P12</v>
      </c>
      <c r="H167" s="460" t="str">
        <f>IF(+All!$H639="Washington State",+All!H639,IF(+All!$F639="Washington State",+All!H639,0))</f>
        <v>Stanford</v>
      </c>
      <c r="I167" s="461" t="str">
        <f>IF(+All!$H639="Washington State",+All!I639,IF(+All!$F639="Washington State",+All!I639,0))</f>
        <v>P12</v>
      </c>
      <c r="J167" s="460" t="str">
        <f>IF(+All!$H639="Washington State",+All!J639,IF(+All!$F639="Washington State",+All!J639,0))</f>
        <v>Washington State</v>
      </c>
      <c r="K167" s="461" t="str">
        <f>IF(+All!$H639="Washington State",+All!K639,IF(+All!$F639="Washington State",+All!K639,0))</f>
        <v>Stanford</v>
      </c>
      <c r="L167" s="60">
        <f>IF(+All!$H639="Washington State",+All!L639,IF(+All!$F639="Washington State",+All!L639,0))</f>
        <v>5</v>
      </c>
      <c r="M167" s="61">
        <f>IF(+All!$H639="Washington State",+All!M639,IF(+All!$F639="Washington State",+All!M639,0))</f>
        <v>49.5</v>
      </c>
      <c r="N167" s="460" t="str">
        <f>IF(+All!$H639="Washington State",+All!N639,IF(+All!$F639="Washington State",+All!N639,0))</f>
        <v>Washington State</v>
      </c>
      <c r="O167" s="462">
        <f>IF(+All!$H639="Washington State",+All!O639,IF(+All!$F639="Washington State",+All!O639,0))</f>
        <v>52</v>
      </c>
      <c r="P167" s="462" t="str">
        <f>IF(+All!$H639="Washington State",+All!P639,IF(+All!$F639="Washington State",+All!P639,0))</f>
        <v>Stanford</v>
      </c>
      <c r="Q167" s="461">
        <f>IF(+All!$H639="Washington State",+All!Q639,IF(+All!$F639="Washington State",+All!Q639,0))</f>
        <v>14</v>
      </c>
      <c r="R167" s="460" t="str">
        <f>IF(+All!$H639="Washington State",+All!R639,IF(+All!$F639="Washington State",+All!R639,0))</f>
        <v>Washington State</v>
      </c>
      <c r="S167" s="462" t="str">
        <f>IF(+All!$H639="Washington State",+All!S639,IF(+All!$F639="Washington State",+All!S639,0))</f>
        <v>Stanford</v>
      </c>
      <c r="T167" s="460" t="str">
        <f>IF(+All!$H639="Washington State",+All!T639,IF(+All!$F639="Washington State",+All!T639,0))</f>
        <v>Washington State</v>
      </c>
      <c r="U167" s="461" t="str">
        <f>IF(+All!$H639="Washington State",+All!U639,IF(+All!$F639="Washington State",+All!U639,0))</f>
        <v>W</v>
      </c>
    </row>
    <row r="168" spans="1:21" x14ac:dyDescent="0.8">
      <c r="A168" s="46">
        <f>IF(+All!$H703="Washington State",+All!A703,IF(+All!$F703="Washington State",+All!A703,0))</f>
        <v>11</v>
      </c>
      <c r="B168" s="348" t="str">
        <f>IF(+All!$H703="Washington State",+All!B703,IF(+All!$F703="Washington State",+All!B703,0))</f>
        <v>Sat</v>
      </c>
      <c r="C168" s="72">
        <f>IF(+All!$H703="Washington State",+All!C703,IF(+All!$F703="Washington State",+All!C703,0))</f>
        <v>44877</v>
      </c>
      <c r="D168" s="73">
        <f>IF(+All!$H703="Washington State",+All!D703,IF(+All!$F703="Washington State",+All!D703,0))</f>
        <v>0.64583333333333337</v>
      </c>
      <c r="E168" s="461" t="str">
        <f>IF(+All!$H703="Washington State",+All!E703,IF(+All!$F703="Washington State",+All!E703,0))</f>
        <v>PAC12</v>
      </c>
      <c r="F168" s="460" t="str">
        <f>IF(+All!$H703="Washington State",+All!F703,IF(+All!$F703="Washington State",+All!F703,0))</f>
        <v>Arizona State</v>
      </c>
      <c r="G168" s="461" t="str">
        <f>IF(+All!$H703="Washington State",+All!G703,IF(+All!$F703="Washington State",+All!G703,0))</f>
        <v>P12</v>
      </c>
      <c r="H168" s="460" t="str">
        <f>IF(+All!$H703="Washington State",+All!H703,IF(+All!$F703="Washington State",+All!H703,0))</f>
        <v>Washington State</v>
      </c>
      <c r="I168" s="461" t="str">
        <f>IF(+All!$H703="Washington State",+All!I703,IF(+All!$F703="Washington State",+All!I703,0))</f>
        <v>P12</v>
      </c>
      <c r="J168" s="460" t="str">
        <f>IF(+All!$H703="Washington State",+All!J703,IF(+All!$F703="Washington State",+All!J703,0))</f>
        <v>Washington State</v>
      </c>
      <c r="K168" s="461" t="str">
        <f>IF(+All!$H703="Washington State",+All!K703,IF(+All!$F703="Washington State",+All!K703,0))</f>
        <v>Arizona State</v>
      </c>
      <c r="L168" s="60">
        <f>IF(+All!$H703="Washington State",+All!L703,IF(+All!$F703="Washington State",+All!L703,0))</f>
        <v>8</v>
      </c>
      <c r="M168" s="61">
        <f>IF(+All!$H703="Washington State",+All!M703,IF(+All!$F703="Washington State",+All!M703,0))</f>
        <v>61</v>
      </c>
      <c r="N168" s="460" t="str">
        <f>IF(+All!$H703="Washington State",+All!N703,IF(+All!$F703="Washington State",+All!N703,0))</f>
        <v>Washington State</v>
      </c>
      <c r="O168" s="462">
        <f>IF(+All!$H703="Washington State",+All!O703,IF(+All!$F703="Washington State",+All!O703,0))</f>
        <v>28</v>
      </c>
      <c r="P168" s="462" t="str">
        <f>IF(+All!$H703="Washington State",+All!P703,IF(+All!$F703="Washington State",+All!P703,0))</f>
        <v>Arizona State</v>
      </c>
      <c r="Q168" s="461">
        <f>IF(+All!$H703="Washington State",+All!Q703,IF(+All!$F703="Washington State",+All!Q703,0))</f>
        <v>18</v>
      </c>
      <c r="R168" s="460" t="str">
        <f>IF(+All!$H703="Washington State",+All!R703,IF(+All!$F703="Washington State",+All!R703,0))</f>
        <v>Washington State</v>
      </c>
      <c r="S168" s="462" t="str">
        <f>IF(+All!$H703="Washington State",+All!S703,IF(+All!$F703="Washington State",+All!S703,0))</f>
        <v>Arizona State</v>
      </c>
      <c r="T168" s="460" t="str">
        <f>IF(+All!$H703="Washington State",+All!T703,IF(+All!$F703="Washington State",+All!T703,0))</f>
        <v>Washington State</v>
      </c>
      <c r="U168" s="461" t="str">
        <f>IF(+All!$H703="Washington State",+All!U703,IF(+All!$F703="Washington State",+All!U703,0))</f>
        <v>W</v>
      </c>
    </row>
    <row r="169" spans="1:21" x14ac:dyDescent="0.8">
      <c r="A169" s="46">
        <f>IF(+All!$H763="Washington State",+All!A763,IF(+All!$F763="Washington State",+All!A763,0))</f>
        <v>12</v>
      </c>
      <c r="B169" s="348" t="str">
        <f>IF(+All!$H763="Washington State",+All!B763,IF(+All!$F763="Washington State",+All!B763,0))</f>
        <v>Sat</v>
      </c>
      <c r="C169" s="72">
        <f>IF(+All!$H763="Washington State",+All!C763,IF(+All!$F763="Washington State",+All!C763,0))</f>
        <v>44884</v>
      </c>
      <c r="D169" s="73">
        <f>IF(+All!$H763="Washington State",+All!D763,IF(+All!$F763="Washington State",+All!D763,0))</f>
        <v>0.58333333333333337</v>
      </c>
      <c r="E169" s="461" t="str">
        <f>IF(+All!$H763="Washington State",+All!E763,IF(+All!$F763="Washington State",+All!E763,0))</f>
        <v>PAC12</v>
      </c>
      <c r="F169" s="460" t="str">
        <f>IF(+All!$H763="Washington State",+All!F763,IF(+All!$F763="Washington State",+All!F763,0))</f>
        <v>Washington State</v>
      </c>
      <c r="G169" s="461" t="str">
        <f>IF(+All!$H763="Washington State",+All!G763,IF(+All!$F763="Washington State",+All!G763,0))</f>
        <v>P12</v>
      </c>
      <c r="H169" s="460" t="str">
        <f>IF(+All!$H763="Washington State",+All!H763,IF(+All!$F763="Washington State",+All!H763,0))</f>
        <v>Arizona</v>
      </c>
      <c r="I169" s="461" t="str">
        <f>IF(+All!$H763="Washington State",+All!I763,IF(+All!$F763="Washington State",+All!I763,0))</f>
        <v>P12</v>
      </c>
      <c r="J169" s="460" t="str">
        <f>IF(+All!$H763="Washington State",+All!J763,IF(+All!$F763="Washington State",+All!J763,0))</f>
        <v>Washington State</v>
      </c>
      <c r="K169" s="461" t="str">
        <f>IF(+All!$H763="Washington State",+All!K763,IF(+All!$F763="Washington State",+All!K763,0))</f>
        <v>Arizona</v>
      </c>
      <c r="L169" s="60">
        <f>IF(+All!$H763="Washington State",+All!L763,IF(+All!$F763="Washington State",+All!L763,0))</f>
        <v>4</v>
      </c>
      <c r="M169" s="61">
        <f>IF(+All!$H763="Washington State",+All!M763,IF(+All!$F763="Washington State",+All!M763,0))</f>
        <v>63</v>
      </c>
      <c r="N169" s="460" t="str">
        <f>IF(+All!$H763="Washington State",+All!N763,IF(+All!$F763="Washington State",+All!N763,0))</f>
        <v>Washington State</v>
      </c>
      <c r="O169" s="462">
        <f>IF(+All!$H763="Washington State",+All!O763,IF(+All!$F763="Washington State",+All!O763,0))</f>
        <v>31</v>
      </c>
      <c r="P169" s="462" t="str">
        <f>IF(+All!$H763="Washington State",+All!P763,IF(+All!$F763="Washington State",+All!P763,0))</f>
        <v>Arizona</v>
      </c>
      <c r="Q169" s="461">
        <f>IF(+All!$H763="Washington State",+All!Q763,IF(+All!$F763="Washington State",+All!Q763,0))</f>
        <v>20</v>
      </c>
      <c r="R169" s="460" t="str">
        <f>IF(+All!$H763="Washington State",+All!R763,IF(+All!$F763="Washington State",+All!R763,0))</f>
        <v>Washington State</v>
      </c>
      <c r="S169" s="462" t="str">
        <f>IF(+All!$H763="Washington State",+All!S763,IF(+All!$F763="Washington State",+All!S763,0))</f>
        <v>Arizona</v>
      </c>
      <c r="T169" s="460" t="str">
        <f>IF(+All!$H763="Washington State",+All!T763,IF(+All!$F763="Washington State",+All!T763,0))</f>
        <v>Washington State</v>
      </c>
      <c r="U169" s="461" t="str">
        <f>IF(+All!$H763="Washington State",+All!U763,IF(+All!$F763="Washington State",+All!U763,0))</f>
        <v>W</v>
      </c>
    </row>
    <row r="170" spans="1:21" x14ac:dyDescent="0.8">
      <c r="A170" s="46">
        <f>IF(+All!$H836="Washington State",+All!A836,IF(+All!$F836="Washington State",+All!A836,0))</f>
        <v>13</v>
      </c>
      <c r="B170" s="348" t="str">
        <f>IF(+All!$H836="Washington State",+All!B836,IF(+All!$F836="Washington State",+All!B836,0))</f>
        <v>Sat</v>
      </c>
      <c r="C170" s="72">
        <f>IF(+All!$H836="Washington State",+All!C836,IF(+All!$F836="Washington State",+All!C836,0))</f>
        <v>44891</v>
      </c>
      <c r="D170" s="73">
        <f>IF(+All!$H836="Washington State",+All!D836,IF(+All!$F836="Washington State",+All!D836,0))</f>
        <v>0.9375</v>
      </c>
      <c r="E170" s="461" t="str">
        <f>IF(+All!$H836="Washington State",+All!E836,IF(+All!$F836="Washington State",+All!E836,0))</f>
        <v>ESPN</v>
      </c>
      <c r="F170" s="460" t="str">
        <f>IF(+All!$H836="Washington State",+All!F836,IF(+All!$F836="Washington State",+All!F836,0))</f>
        <v>Washington</v>
      </c>
      <c r="G170" s="461" t="str">
        <f>IF(+All!$H836="Washington State",+All!G836,IF(+All!$F836="Washington State",+All!G836,0))</f>
        <v>P12</v>
      </c>
      <c r="H170" s="460" t="str">
        <f>IF(+All!$H836="Washington State",+All!H836,IF(+All!$F836="Washington State",+All!H836,0))</f>
        <v>Washington State</v>
      </c>
      <c r="I170" s="461" t="str">
        <f>IF(+All!$H836="Washington State",+All!I836,IF(+All!$F836="Washington State",+All!I836,0))</f>
        <v>P12</v>
      </c>
      <c r="J170" s="460" t="str">
        <f>IF(+All!$H836="Washington State",+All!J836,IF(+All!$F836="Washington State",+All!J836,0))</f>
        <v>Washington</v>
      </c>
      <c r="K170" s="461" t="str">
        <f>IF(+All!$H836="Washington State",+All!K836,IF(+All!$F836="Washington State",+All!K836,0))</f>
        <v>Washington State</v>
      </c>
      <c r="L170" s="60">
        <f>IF(+All!$H836="Washington State",+All!L836,IF(+All!$F836="Washington State",+All!L836,0))</f>
        <v>2</v>
      </c>
      <c r="M170" s="61">
        <f>IF(+All!$H836="Washington State",+All!M836,IF(+All!$F836="Washington State",+All!M836,0))</f>
        <v>60</v>
      </c>
      <c r="N170" s="460" t="str">
        <f>IF(+All!$H836="Washington State",+All!N836,IF(+All!$F836="Washington State",+All!N836,0))</f>
        <v>Washington</v>
      </c>
      <c r="O170" s="462">
        <f>IF(+All!$H836="Washington State",+All!O836,IF(+All!$F836="Washington State",+All!O836,0))</f>
        <v>51</v>
      </c>
      <c r="P170" s="462" t="str">
        <f>IF(+All!$H836="Washington State",+All!P836,IF(+All!$F836="Washington State",+All!P836,0))</f>
        <v>Washington State</v>
      </c>
      <c r="Q170" s="461">
        <f>IF(+All!$H836="Washington State",+All!Q836,IF(+All!$F836="Washington State",+All!Q836,0))</f>
        <v>33</v>
      </c>
      <c r="R170" s="460" t="str">
        <f>IF(+All!$H836="Washington State",+All!R836,IF(+All!$F836="Washington State",+All!R836,0))</f>
        <v>Washington</v>
      </c>
      <c r="S170" s="462" t="str">
        <f>IF(+All!$H836="Washington State",+All!S836,IF(+All!$F836="Washington State",+All!S836,0))</f>
        <v>Washington State</v>
      </c>
      <c r="T170" s="460" t="str">
        <f>IF(+All!$H836="Washington State",+All!T836,IF(+All!$F836="Washington State",+All!T836,0))</f>
        <v>Washington State</v>
      </c>
      <c r="U170" s="461" t="str">
        <f>IF(+All!$H836="Washington State",+All!U836,IF(+All!$F836="Washington State",+All!U836,0))</f>
        <v>L</v>
      </c>
    </row>
    <row r="1054" spans="1:1" x14ac:dyDescent="0.8">
      <c r="A1054" s="9"/>
    </row>
  </sheetData>
  <sortState xmlns:xlrd2="http://schemas.microsoft.com/office/spreadsheetml/2017/richdata2" ref="A158:U170">
    <sortCondition ref="A158:A170"/>
    <sortCondition ref="F158:F170"/>
  </sortState>
  <mergeCells count="15">
    <mergeCell ref="F1:I1"/>
    <mergeCell ref="N1:Q1"/>
    <mergeCell ref="R1:S1"/>
    <mergeCell ref="F129:I129"/>
    <mergeCell ref="F143:I143"/>
    <mergeCell ref="F157:I157"/>
    <mergeCell ref="F3:I3"/>
    <mergeCell ref="F17:I17"/>
    <mergeCell ref="F31:I31"/>
    <mergeCell ref="F45:I45"/>
    <mergeCell ref="F59:I59"/>
    <mergeCell ref="F73:I73"/>
    <mergeCell ref="F87:I87"/>
    <mergeCell ref="F101:I101"/>
    <mergeCell ref="F115:I115"/>
  </mergeCells>
  <pageMargins left="0.25" right="0.25" top="0.25" bottom="0.25" header="0" footer="0"/>
  <pageSetup scale="58" fitToHeight="0" orientation="landscape" r:id="rId1"/>
  <headerFooter alignWithMargins="0">
    <oddFooter>&amp;C&amp;36PAC 12</oddFooter>
  </headerFooter>
  <rowBreaks count="2" manualBreakCount="2">
    <brk id="58" max="18" man="1"/>
    <brk id="114" max="18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pageSetUpPr fitToPage="1"/>
  </sheetPr>
  <dimension ref="A1:V197"/>
  <sheetViews>
    <sheetView view="pageBreakPreview" topLeftCell="N1" zoomScale="75" zoomScaleNormal="75" zoomScaleSheetLayoutView="75" workbookViewId="0">
      <selection activeCell="AD15" sqref="AD15"/>
    </sheetView>
  </sheetViews>
  <sheetFormatPr defaultColWidth="8.86328125" defaultRowHeight="16" x14ac:dyDescent="0.8"/>
  <cols>
    <col min="1" max="1" width="5.6796875" style="46" customWidth="1"/>
    <col min="2" max="2" width="5.6796875" style="348" hidden="1" customWidth="1"/>
    <col min="3" max="3" width="13" style="72" hidden="1" customWidth="1"/>
    <col min="4" max="4" width="11.6796875" style="73" hidden="1" customWidth="1"/>
    <col min="5" max="5" width="9.1328125" style="461" hidden="1" customWidth="1"/>
    <col min="6" max="6" width="24.453125" style="460" customWidth="1"/>
    <col min="7" max="7" width="8.6796875" style="461" hidden="1" customWidth="1"/>
    <col min="8" max="8" width="24.453125" style="460" customWidth="1"/>
    <col min="9" max="9" width="8.6796875" style="461" hidden="1" customWidth="1"/>
    <col min="10" max="10" width="24.453125" style="460" customWidth="1"/>
    <col min="11" max="11" width="24.453125" style="461" customWidth="1"/>
    <col min="12" max="12" width="8" style="60" customWidth="1"/>
    <col min="13" max="13" width="8" style="61" customWidth="1"/>
    <col min="14" max="14" width="24.453125" style="460" customWidth="1"/>
    <col min="15" max="15" width="5.6796875" style="462" customWidth="1"/>
    <col min="16" max="16" width="24.453125" style="462" customWidth="1"/>
    <col min="17" max="17" width="5.6796875" style="461" customWidth="1"/>
    <col min="18" max="18" width="24.453125" style="460" customWidth="1"/>
    <col min="19" max="19" width="24.453125" style="462" customWidth="1"/>
    <col min="20" max="20" width="27.6796875" style="460" customWidth="1"/>
    <col min="21" max="21" width="6.54296875" style="461" customWidth="1"/>
    <col min="22" max="22" width="8.86328125" style="478"/>
    <col min="23" max="16384" width="8.86328125" style="9"/>
  </cols>
  <sheetData>
    <row r="1" spans="1:22" s="21" customFormat="1" ht="16" customHeight="1" x14ac:dyDescent="0.8">
      <c r="A1" s="10"/>
      <c r="B1" s="10"/>
      <c r="C1" s="11"/>
      <c r="D1" s="12"/>
      <c r="E1" s="669"/>
      <c r="F1" s="895" t="s">
        <v>2</v>
      </c>
      <c r="G1" s="900"/>
      <c r="H1" s="900"/>
      <c r="I1" s="896"/>
      <c r="J1" s="668"/>
      <c r="K1" s="669"/>
      <c r="L1" s="15"/>
      <c r="M1" s="16"/>
      <c r="N1" s="895" t="s">
        <v>3</v>
      </c>
      <c r="O1" s="900"/>
      <c r="P1" s="900"/>
      <c r="Q1" s="896"/>
      <c r="R1" s="895" t="s">
        <v>4</v>
      </c>
      <c r="S1" s="896"/>
      <c r="T1" s="668"/>
      <c r="U1" s="669"/>
      <c r="V1" s="478"/>
    </row>
    <row r="2" spans="1:22" s="21" customFormat="1" ht="16" customHeight="1" x14ac:dyDescent="0.8">
      <c r="A2" s="22" t="s">
        <v>10</v>
      </c>
      <c r="B2" s="23" t="s">
        <v>11</v>
      </c>
      <c r="C2" s="24" t="s">
        <v>12</v>
      </c>
      <c r="D2" s="25" t="s">
        <v>13</v>
      </c>
      <c r="E2" s="456" t="s">
        <v>14</v>
      </c>
      <c r="F2" s="27" t="s">
        <v>6</v>
      </c>
      <c r="G2" s="456" t="s">
        <v>15</v>
      </c>
      <c r="H2" s="27" t="s">
        <v>8</v>
      </c>
      <c r="I2" s="456" t="s">
        <v>15</v>
      </c>
      <c r="J2" s="27" t="s">
        <v>16</v>
      </c>
      <c r="K2" s="456" t="s">
        <v>17</v>
      </c>
      <c r="L2" s="28" t="s">
        <v>18</v>
      </c>
      <c r="M2" s="29" t="s">
        <v>19</v>
      </c>
      <c r="N2" s="27" t="s">
        <v>20</v>
      </c>
      <c r="O2" s="455"/>
      <c r="P2" s="455" t="s">
        <v>21</v>
      </c>
      <c r="Q2" s="31"/>
      <c r="R2" s="27" t="s">
        <v>20</v>
      </c>
      <c r="S2" s="455" t="s">
        <v>21</v>
      </c>
      <c r="T2" s="27" t="s">
        <v>22</v>
      </c>
      <c r="U2" s="456" t="s">
        <v>23</v>
      </c>
      <c r="V2" s="478"/>
    </row>
    <row r="3" spans="1:22" x14ac:dyDescent="0.8">
      <c r="A3" s="38"/>
      <c r="B3" s="39"/>
      <c r="C3" s="40"/>
      <c r="D3" s="41"/>
      <c r="E3" s="463"/>
      <c r="F3" s="897" t="str">
        <f>F5</f>
        <v>Appalachian State</v>
      </c>
      <c r="G3" s="911"/>
      <c r="H3" s="911"/>
      <c r="I3" s="912"/>
      <c r="J3" s="459"/>
      <c r="K3" s="463"/>
      <c r="L3" s="44"/>
      <c r="M3" s="45"/>
      <c r="N3" s="459"/>
      <c r="O3" s="5"/>
      <c r="P3" s="5"/>
      <c r="Q3" s="463"/>
      <c r="R3" s="459"/>
      <c r="S3" s="5"/>
      <c r="T3" s="459"/>
      <c r="U3" s="463"/>
    </row>
    <row r="4" spans="1:22" s="75" customFormat="1" x14ac:dyDescent="0.8">
      <c r="A4" s="721">
        <f>IF(+All!$F37="Appalachian State",+All!A37,IF(+All!$H37="Appalachian State",+All!A37,0))</f>
        <v>1</v>
      </c>
      <c r="B4" s="348" t="str">
        <f>IF(+All!$F37="Appalachian State",+All!B37,IF(+All!$H37="Appalachian State",+All!B37,0))</f>
        <v>Sat</v>
      </c>
      <c r="C4" s="48">
        <f>IF(+All!$F37="Appalachian State",+All!C37,IF(+All!$H37="Appalachian State",+All!C37,0))</f>
        <v>44807</v>
      </c>
      <c r="D4" s="490">
        <f>IF(+All!$F37="Appalachian State",+All!D37,IF(+All!$H37="Appalachian State",+All!D37,0))</f>
        <v>0.5</v>
      </c>
      <c r="E4" s="461" t="str">
        <f>IF(+All!$F37="Appalachian State",+All!E37,IF(+All!$H37="Appalachian State",+All!E37,0))</f>
        <v>ESPNU</v>
      </c>
      <c r="F4" s="51" t="str">
        <f>IF(+All!$F37="Appalachian State",+All!F37,IF(+All!$H37="Appalachian State",+All!F37,0))</f>
        <v>North Carolina</v>
      </c>
      <c r="G4" s="52" t="str">
        <f>IF(+All!$F37="Appalachian State",+All!G37,IF(+All!$H37="Appalachian State",+All!G37,0))</f>
        <v>ACC</v>
      </c>
      <c r="H4" s="51" t="str">
        <f>IF(+All!$F37="Appalachian State",+All!H37,IF(+All!$H37="Appalachian State",+All!H37,0))</f>
        <v>Appalachian State</v>
      </c>
      <c r="I4" s="52" t="str">
        <f>IF(+All!$F37="Appalachian State",+All!I37,IF(+All!$H37="Appalachian State",+All!I37,0))</f>
        <v>SB</v>
      </c>
      <c r="J4" s="460" t="str">
        <f>IF(+All!$F37="Appalachian State",+All!J37,IF(+All!$H37="Appalachian State",+All!J37,0))</f>
        <v>North Carolina</v>
      </c>
      <c r="K4" s="461" t="str">
        <f>IF(+All!$F37="Appalachian State",+All!K37,IF(+All!$H37="Appalachian State",+All!K37,0))</f>
        <v>Appalachian State</v>
      </c>
      <c r="L4" s="54">
        <f>IF(+All!$F37="Appalachian State",+All!L37,IF(+All!$H37="Appalachian State",+All!L37,0))</f>
        <v>1</v>
      </c>
      <c r="M4" s="55">
        <f>IF(+All!$F37="Appalachian State",+All!M37,IF(+All!$H37="Appalachian State",+All!M37,0))</f>
        <v>55.5</v>
      </c>
      <c r="N4" s="460" t="str">
        <f>IF(+All!$F37="Appalachian State",+All!N37,IF(+All!$H37="Appalachian State",+All!N37,0))</f>
        <v>North Carolina</v>
      </c>
      <c r="O4" s="462">
        <f>IF(+All!$F37="Appalachian State",+All!O37,IF(+All!$H37="Appalachian State",+All!O37,0))</f>
        <v>63</v>
      </c>
      <c r="P4" s="462" t="str">
        <f>IF(+All!$F37="Appalachian State",+All!P37,IF(+All!$H37="Appalachian State",+All!P37,0))</f>
        <v>Appalachian State</v>
      </c>
      <c r="Q4" s="461">
        <f>IF(+All!$F37="Appalachian State",+All!Q37,IF(+All!$H37="Appalachian State",+All!Q37,0))</f>
        <v>61</v>
      </c>
      <c r="R4" s="460" t="str">
        <f>IF(+All!$F37="Appalachian State",+All!R37,IF(+All!$H37="Appalachian State",+All!R37,0))</f>
        <v>North Carolina</v>
      </c>
      <c r="S4" s="462" t="str">
        <f>IF(+All!$F37="Appalachian State",+All!S37,IF(+All!$H37="Appalachian State",+All!S37,0))</f>
        <v>Appalachian State</v>
      </c>
      <c r="T4" s="460" t="str">
        <f>IF(+All!$F37="Appalachian State",+All!T37,IF(+All!$H37="Appalachian State",+All!T37,0))</f>
        <v>North Carolina</v>
      </c>
      <c r="U4" s="461" t="str">
        <f>IF(+All!$F37="Appalachian State",+All!U37,IF(+All!$H37="Appalachian State",+All!U37,0))</f>
        <v>W</v>
      </c>
      <c r="V4" s="482"/>
    </row>
    <row r="5" spans="1:22" s="75" customFormat="1" x14ac:dyDescent="0.8">
      <c r="A5" s="721">
        <f>IF(+All!$F178="Appalachian State",+All!A178,IF(+All!$H178="Appalachian State",+All!A178,0))</f>
        <v>2</v>
      </c>
      <c r="B5" s="348" t="str">
        <f>IF(+All!$F178="Appalachian State",+All!B178,IF(+All!$H178="Appalachian State",+All!B178,0))</f>
        <v>Sat</v>
      </c>
      <c r="C5" s="48">
        <f>IF(+All!$F178="Appalachian State",+All!C178,IF(+All!$H178="Appalachian State",+All!C178,0))</f>
        <v>44814</v>
      </c>
      <c r="D5" s="490">
        <f>IF(+All!$F178="Appalachian State",+All!D178,IF(+All!$H178="Appalachian State",+All!D178,0))</f>
        <v>0.64583333333333337</v>
      </c>
      <c r="E5" s="461" t="str">
        <f>IF(+All!$F178="Appalachian State",+All!E178,IF(+All!$H178="Appalachian State",+All!E178,0))</f>
        <v>ESPN2</v>
      </c>
      <c r="F5" s="51" t="str">
        <f>IF(+All!$F178="Appalachian State",+All!F178,IF(+All!$H178="Appalachian State",+All!F178,0))</f>
        <v>Appalachian State</v>
      </c>
      <c r="G5" s="52" t="str">
        <f>IF(+All!$F178="Appalachian State",+All!G178,IF(+All!$H178="Appalachian State",+All!G178,0))</f>
        <v>SB</v>
      </c>
      <c r="H5" s="51" t="str">
        <f>IF(+All!$F178="Appalachian State",+All!H178,IF(+All!$H178="Appalachian State",+All!H178,0))</f>
        <v>Texas A&amp;M</v>
      </c>
      <c r="I5" s="52" t="str">
        <f>IF(+All!$F178="Appalachian State",+All!I178,IF(+All!$H178="Appalachian State",+All!I178,0))</f>
        <v>SEC</v>
      </c>
      <c r="J5" s="460" t="str">
        <f>IF(+All!$F178="Appalachian State",+All!J178,IF(+All!$H178="Appalachian State",+All!J178,0))</f>
        <v>Texas A&amp;M</v>
      </c>
      <c r="K5" s="461" t="str">
        <f>IF(+All!$F178="Appalachian State",+All!K178,IF(+All!$H178="Appalachian State",+All!K178,0))</f>
        <v>Appalachian State</v>
      </c>
      <c r="L5" s="54">
        <f>IF(+All!$F178="Appalachian State",+All!L178,IF(+All!$H178="Appalachian State",+All!L178,0))</f>
        <v>18.5</v>
      </c>
      <c r="M5" s="55">
        <f>IF(+All!$F178="Appalachian State",+All!M178,IF(+All!$H178="Appalachian State",+All!M178,0))</f>
        <v>52.5</v>
      </c>
      <c r="N5" s="460" t="str">
        <f>IF(+All!$F178="Appalachian State",+All!N178,IF(+All!$H178="Appalachian State",+All!N178,0))</f>
        <v>Appalachian State</v>
      </c>
      <c r="O5" s="462">
        <f>IF(+All!$F178="Appalachian State",+All!O178,IF(+All!$H178="Appalachian State",+All!O178,0))</f>
        <v>17</v>
      </c>
      <c r="P5" s="462" t="str">
        <f>IF(+All!$F178="Appalachian State",+All!P178,IF(+All!$H178="Appalachian State",+All!P178,0))</f>
        <v>Texas A&amp;M</v>
      </c>
      <c r="Q5" s="461">
        <f>IF(+All!$F178="Appalachian State",+All!Q178,IF(+All!$H178="Appalachian State",+All!Q178,0))</f>
        <v>14</v>
      </c>
      <c r="R5" s="460" t="str">
        <f>IF(+All!$F178="Appalachian State",+All!R178,IF(+All!$H178="Appalachian State",+All!R178,0))</f>
        <v>Appalachian State</v>
      </c>
      <c r="S5" s="462" t="str">
        <f>IF(+All!$F178="Appalachian State",+All!S178,IF(+All!$H178="Appalachian State",+All!S178,0))</f>
        <v>Texas A&amp;M</v>
      </c>
      <c r="T5" s="460" t="str">
        <f>IF(+All!$F178="Appalachian State",+All!T178,IF(+All!$H178="Appalachian State",+All!T178,0))</f>
        <v>Appalachian State</v>
      </c>
      <c r="U5" s="461" t="str">
        <f>IF(+All!$F178="Appalachian State",+All!U178,IF(+All!$H178="Appalachian State",+All!U178,0))</f>
        <v>W</v>
      </c>
      <c r="V5" s="482"/>
    </row>
    <row r="6" spans="1:22" s="75" customFormat="1" x14ac:dyDescent="0.8">
      <c r="A6" s="721">
        <f>IF(+All!$F241="Appalachian State",+All!A241,IF(+All!$H241="Appalachian State",+All!A241,0))</f>
        <v>3</v>
      </c>
      <c r="B6" s="348" t="str">
        <f>IF(+All!$F241="Appalachian State",+All!B241,IF(+All!$H241="Appalachian State",+All!B241,0))</f>
        <v>Sat</v>
      </c>
      <c r="C6" s="48">
        <f>IF(+All!$F241="Appalachian State",+All!C241,IF(+All!$H241="Appalachian State",+All!C241,0))</f>
        <v>44821</v>
      </c>
      <c r="D6" s="490">
        <f>IF(+All!$F241="Appalachian State",+All!D241,IF(+All!$H241="Appalachian State",+All!D241,0))</f>
        <v>0.64583333333333337</v>
      </c>
      <c r="E6" s="461">
        <f>IF(+All!$F241="Appalachian State",+All!E241,IF(+All!$H241="Appalachian State",+All!E241,0))</f>
        <v>0</v>
      </c>
      <c r="F6" s="51" t="str">
        <f>IF(+All!$F241="Appalachian State",+All!F241,IF(+All!$H241="Appalachian State",+All!F241,0))</f>
        <v>Appalachian State</v>
      </c>
      <c r="G6" s="52" t="str">
        <f>IF(+All!$F241="Appalachian State",+All!G241,IF(+All!$H241="Appalachian State",+All!G241,0))</f>
        <v>SB</v>
      </c>
      <c r="H6" s="51" t="str">
        <f>IF(+All!$F241="Appalachian State",+All!H241,IF(+All!$H241="Appalachian State",+All!H241,0))</f>
        <v>Troy</v>
      </c>
      <c r="I6" s="52" t="str">
        <f>IF(+All!$F241="Appalachian State",+All!I241,IF(+All!$H241="Appalachian State",+All!I241,0))</f>
        <v>SB</v>
      </c>
      <c r="J6" s="460" t="str">
        <f>IF(+All!$F241="Appalachian State",+All!J241,IF(+All!$H241="Appalachian State",+All!J241,0))</f>
        <v>Appalachian State</v>
      </c>
      <c r="K6" s="461" t="str">
        <f>IF(+All!$F241="Appalachian State",+All!K241,IF(+All!$H241="Appalachian State",+All!K241,0))</f>
        <v>Troy</v>
      </c>
      <c r="L6" s="54">
        <f>IF(+All!$F241="Appalachian State",+All!L241,IF(+All!$H241="Appalachian State",+All!L241,0))</f>
        <v>12.5</v>
      </c>
      <c r="M6" s="55">
        <f>IF(+All!$F241="Appalachian State",+All!M241,IF(+All!$H241="Appalachian State",+All!M241,0))</f>
        <v>52</v>
      </c>
      <c r="N6" s="460" t="str">
        <f>IF(+All!$F241="Appalachian State",+All!N241,IF(+All!$H241="Appalachian State",+All!N241,0))</f>
        <v>Appalachian State</v>
      </c>
      <c r="O6" s="462">
        <f>IF(+All!$F241="Appalachian State",+All!O241,IF(+All!$H241="Appalachian State",+All!O241,0))</f>
        <v>32</v>
      </c>
      <c r="P6" s="462" t="str">
        <f>IF(+All!$F241="Appalachian State",+All!P241,IF(+All!$H241="Appalachian State",+All!P241,0))</f>
        <v>Troy</v>
      </c>
      <c r="Q6" s="461">
        <f>IF(+All!$F241="Appalachian State",+All!Q241,IF(+All!$H241="Appalachian State",+All!Q241,0))</f>
        <v>28</v>
      </c>
      <c r="R6" s="460" t="str">
        <f>IF(+All!$F241="Appalachian State",+All!R241,IF(+All!$H241="Appalachian State",+All!R241,0))</f>
        <v>Troy</v>
      </c>
      <c r="S6" s="462" t="str">
        <f>IF(+All!$F241="Appalachian State",+All!S241,IF(+All!$H241="Appalachian State",+All!S241,0))</f>
        <v>Appalachian State</v>
      </c>
      <c r="T6" s="460" t="str">
        <f>IF(+All!$F241="Appalachian State",+All!T241,IF(+All!$H241="Appalachian State",+All!T241,0))</f>
        <v>Troy</v>
      </c>
      <c r="U6" s="461" t="str">
        <f>IF(+All!$F241="Appalachian State",+All!U241,IF(+All!$H241="Appalachian State",+All!U241,0))</f>
        <v>W</v>
      </c>
      <c r="V6" s="482"/>
    </row>
    <row r="7" spans="1:22" s="75" customFormat="1" x14ac:dyDescent="0.8">
      <c r="A7" s="721">
        <f>IF(+All!$F301="Appalachian State",+All!A301,IF(+All!$H301="Appalachian State",+All!A301,0))</f>
        <v>4</v>
      </c>
      <c r="B7" s="348" t="str">
        <f>IF(+All!$F301="Appalachian State",+All!B301,IF(+All!$H301="Appalachian State",+All!B301,0))</f>
        <v>Sat</v>
      </c>
      <c r="C7" s="48">
        <f>IF(+All!$F301="Appalachian State",+All!C301,IF(+All!$H301="Appalachian State",+All!C301,0))</f>
        <v>44828</v>
      </c>
      <c r="D7" s="490">
        <f>IF(+All!$F301="Appalachian State",+All!D301,IF(+All!$H301="Appalachian State",+All!D301,0))</f>
        <v>0.64583333333333337</v>
      </c>
      <c r="E7" s="461">
        <f>IF(+All!$F301="Appalachian State",+All!E301,IF(+All!$H301="Appalachian State",+All!E301,0))</f>
        <v>0</v>
      </c>
      <c r="F7" s="51" t="str">
        <f>IF(+All!$F301="Appalachian State",+All!F301,IF(+All!$H301="Appalachian State",+All!F301,0))</f>
        <v>James Madison</v>
      </c>
      <c r="G7" s="52" t="str">
        <f>IF(+All!$F301="Appalachian State",+All!G301,IF(+All!$H301="Appalachian State",+All!G301,0))</f>
        <v>SB</v>
      </c>
      <c r="H7" s="51" t="str">
        <f>IF(+All!$F301="Appalachian State",+All!H301,IF(+All!$H301="Appalachian State",+All!H301,0))</f>
        <v>Appalachian State</v>
      </c>
      <c r="I7" s="52" t="str">
        <f>IF(+All!$F301="Appalachian State",+All!I301,IF(+All!$H301="Appalachian State",+All!I301,0))</f>
        <v>SB</v>
      </c>
      <c r="J7" s="460" t="str">
        <f>IF(+All!$F301="Appalachian State",+All!J301,IF(+All!$H301="Appalachian State",+All!J301,0))</f>
        <v>Appalachian State</v>
      </c>
      <c r="K7" s="461" t="str">
        <f>IF(+All!$F301="Appalachian State",+All!K301,IF(+All!$H301="Appalachian State",+All!K301,0))</f>
        <v>James Madison</v>
      </c>
      <c r="L7" s="54">
        <f>IF(+All!$F301="Appalachian State",+All!L301,IF(+All!$H301="Appalachian State",+All!L301,0))</f>
        <v>7</v>
      </c>
      <c r="M7" s="55">
        <f>IF(+All!$F301="Appalachian State",+All!M301,IF(+All!$H301="Appalachian State",+All!M301,0))</f>
        <v>59</v>
      </c>
      <c r="N7" s="460" t="str">
        <f>IF(+All!$F301="Appalachian State",+All!N301,IF(+All!$H301="Appalachian State",+All!N301,0))</f>
        <v>James Madison</v>
      </c>
      <c r="O7" s="462">
        <f>IF(+All!$F301="Appalachian State",+All!O301,IF(+All!$H301="Appalachian State",+All!O301,0))</f>
        <v>32</v>
      </c>
      <c r="P7" s="462" t="str">
        <f>IF(+All!$F301="Appalachian State",+All!P301,IF(+All!$H301="Appalachian State",+All!P301,0))</f>
        <v>Appalachian State</v>
      </c>
      <c r="Q7" s="461">
        <f>IF(+All!$F301="Appalachian State",+All!Q301,IF(+All!$H301="Appalachian State",+All!Q301,0))</f>
        <v>28</v>
      </c>
      <c r="R7" s="460" t="str">
        <f>IF(+All!$F301="Appalachian State",+All!R301,IF(+All!$H301="Appalachian State",+All!R301,0))</f>
        <v>James Madison</v>
      </c>
      <c r="S7" s="462" t="str">
        <f>IF(+All!$F301="Appalachian State",+All!S301,IF(+All!$H301="Appalachian State",+All!S301,0))</f>
        <v>Appalachian State</v>
      </c>
      <c r="T7" s="460" t="str">
        <f>IF(+All!$F301="Appalachian State",+All!T301,IF(+All!$H301="Appalachian State",+All!T301,0))</f>
        <v>James Madison</v>
      </c>
      <c r="U7" s="461" t="str">
        <f>IF(+All!$F301="Appalachian State",+All!U301,IF(+All!$H301="Appalachian State",+All!U301,0))</f>
        <v>W</v>
      </c>
      <c r="V7" s="482"/>
    </row>
    <row r="8" spans="1:22" s="75" customFormat="1" x14ac:dyDescent="0.8">
      <c r="A8" s="721">
        <f>IF(+All!$F368="Appalachian State",+All!A368,IF(+All!$H368="Appalachian State",+All!A368,0))</f>
        <v>5</v>
      </c>
      <c r="B8" s="348" t="str">
        <f>IF(+All!$F368="Appalachian State",+All!B368,IF(+All!$H368="Appalachian State",+All!B368,0))</f>
        <v>Sat</v>
      </c>
      <c r="C8" s="48">
        <f>IF(+All!$F368="Appalachian State",+All!C368,IF(+All!$H368="Appalachian State",+All!C368,0))</f>
        <v>44835</v>
      </c>
      <c r="D8" s="490">
        <f>IF(+All!$F368="Appalachian State",+All!D368,IF(+All!$H368="Appalachian State",+All!D368,0))</f>
        <v>0.64583333333333337</v>
      </c>
      <c r="E8" s="461">
        <f>IF(+All!$F368="Appalachian State",+All!E368,IF(+All!$H368="Appalachian State",+All!E368,0))</f>
        <v>0</v>
      </c>
      <c r="F8" s="51" t="str">
        <f>IF(+All!$F368="Appalachian State",+All!F368,IF(+All!$H368="Appalachian State",+All!F368,0))</f>
        <v>1AA Citadel</v>
      </c>
      <c r="G8" s="52" t="str">
        <f>IF(+All!$F368="Appalachian State",+All!G368,IF(+All!$H368="Appalachian State",+All!G368,0))</f>
        <v>1AA</v>
      </c>
      <c r="H8" s="51" t="str">
        <f>IF(+All!$F368="Appalachian State",+All!H368,IF(+All!$H368="Appalachian State",+All!H368,0))</f>
        <v>Appalachian State</v>
      </c>
      <c r="I8" s="52" t="str">
        <f>IF(+All!$F368="Appalachian State",+All!I368,IF(+All!$H368="Appalachian State",+All!I368,0))</f>
        <v>SB</v>
      </c>
      <c r="J8" s="460">
        <f>IF(+All!$F368="Appalachian State",+All!J368,IF(+All!$H368="Appalachian State",+All!J368,0))</f>
        <v>0</v>
      </c>
      <c r="K8" s="461">
        <f>IF(+All!$F368="Appalachian State",+All!K368,IF(+All!$H368="Appalachian State",+All!K368,0))</f>
        <v>0</v>
      </c>
      <c r="L8" s="54">
        <f>IF(+All!$F368="Appalachian State",+All!L368,IF(+All!$H368="Appalachian State",+All!L368,0))</f>
        <v>0</v>
      </c>
      <c r="M8" s="55">
        <f>IF(+All!$F368="Appalachian State",+All!M368,IF(+All!$H368="Appalachian State",+All!M368,0))</f>
        <v>0</v>
      </c>
      <c r="N8" s="460" t="str">
        <f>IF(+All!$F368="Appalachian State",+All!N368,IF(+All!$H368="Appalachian State",+All!N368,0))</f>
        <v>Appalachian State</v>
      </c>
      <c r="O8" s="462">
        <f>IF(+All!$F368="Appalachian State",+All!O368,IF(+All!$H368="Appalachian State",+All!O368,0))</f>
        <v>49</v>
      </c>
      <c r="P8" s="462" t="str">
        <f>IF(+All!$F368="Appalachian State",+All!P368,IF(+All!$H368="Appalachian State",+All!P368,0))</f>
        <v>1AA Citadel</v>
      </c>
      <c r="Q8" s="461">
        <f>IF(+All!$F368="Appalachian State",+All!Q368,IF(+All!$H368="Appalachian State",+All!Q368,0))</f>
        <v>0</v>
      </c>
      <c r="R8" s="460">
        <f>IF(+All!$F368="Appalachian State",+All!R368,IF(+All!$H368="Appalachian State",+All!R368,0))</f>
        <v>0</v>
      </c>
      <c r="S8" s="462">
        <f>IF(+All!$F368="Appalachian State",+All!S368,IF(+All!$H368="Appalachian State",+All!S368,0))</f>
        <v>0</v>
      </c>
      <c r="T8" s="460">
        <f>IF(+All!$F368="Appalachian State",+All!T368,IF(+All!$H368="Appalachian State",+All!T368,0))</f>
        <v>0</v>
      </c>
      <c r="U8" s="461">
        <f>IF(+All!$F368="Appalachian State",+All!U368,IF(+All!$H368="Appalachian State",+All!U368,0))</f>
        <v>0</v>
      </c>
      <c r="V8" s="482"/>
    </row>
    <row r="9" spans="1:22" s="75" customFormat="1" x14ac:dyDescent="0.8">
      <c r="A9" s="721">
        <f>IF(+All!$F428="Appalachian State",+All!A428,IF(+All!$H428="Appalachian State",+All!A428,0))</f>
        <v>6</v>
      </c>
      <c r="B9" s="348" t="str">
        <f>IF(+All!$F428="Appalachian State",+All!B428,IF(+All!$H428="Appalachian State",+All!B428,0))</f>
        <v>Sat</v>
      </c>
      <c r="C9" s="48">
        <f>IF(+All!$F428="Appalachian State",+All!C428,IF(+All!$H428="Appalachian State",+All!C428,0))</f>
        <v>44842</v>
      </c>
      <c r="D9" s="490">
        <f>IF(+All!$F428="Appalachian State",+All!D428,IF(+All!$H428="Appalachian State",+All!D428,0))</f>
        <v>0.79166666666666663</v>
      </c>
      <c r="E9" s="461">
        <f>IF(+All!$F428="Appalachian State",+All!E428,IF(+All!$H428="Appalachian State",+All!E428,0))</f>
        <v>0</v>
      </c>
      <c r="F9" s="51" t="str">
        <f>IF(+All!$F428="Appalachian State",+All!F428,IF(+All!$H428="Appalachian State",+All!F428,0))</f>
        <v>Appalachian State</v>
      </c>
      <c r="G9" s="52" t="str">
        <f>IF(+All!$F428="Appalachian State",+All!G428,IF(+All!$H428="Appalachian State",+All!G428,0))</f>
        <v>SB</v>
      </c>
      <c r="H9" s="51" t="str">
        <f>IF(+All!$F428="Appalachian State",+All!H428,IF(+All!$H428="Appalachian State",+All!H428,0))</f>
        <v>Texas State</v>
      </c>
      <c r="I9" s="52" t="str">
        <f>IF(+All!$F428="Appalachian State",+All!I428,IF(+All!$H428="Appalachian State",+All!I428,0))</f>
        <v>SB</v>
      </c>
      <c r="J9" s="460" t="str">
        <f>IF(+All!$F428="Appalachian State",+All!J428,IF(+All!$H428="Appalachian State",+All!J428,0))</f>
        <v>Appalachian State</v>
      </c>
      <c r="K9" s="461" t="str">
        <f>IF(+All!$F428="Appalachian State",+All!K428,IF(+All!$H428="Appalachian State",+All!K428,0))</f>
        <v>Texas State</v>
      </c>
      <c r="L9" s="54">
        <f>IF(+All!$F428="Appalachian State",+All!L428,IF(+All!$H428="Appalachian State",+All!L428,0))</f>
        <v>19</v>
      </c>
      <c r="M9" s="55">
        <f>IF(+All!$F428="Appalachian State",+All!M428,IF(+All!$H428="Appalachian State",+All!M428,0))</f>
        <v>55</v>
      </c>
      <c r="N9" s="460" t="str">
        <f>IF(+All!$F428="Appalachian State",+All!N428,IF(+All!$H428="Appalachian State",+All!N428,0))</f>
        <v>Texas State</v>
      </c>
      <c r="O9" s="462">
        <f>IF(+All!$F428="Appalachian State",+All!O428,IF(+All!$H428="Appalachian State",+All!O428,0))</f>
        <v>36</v>
      </c>
      <c r="P9" s="462" t="str">
        <f>IF(+All!$F428="Appalachian State",+All!P428,IF(+All!$H428="Appalachian State",+All!P428,0))</f>
        <v>Appalachian State</v>
      </c>
      <c r="Q9" s="461">
        <f>IF(+All!$F428="Appalachian State",+All!Q428,IF(+All!$H428="Appalachian State",+All!Q428,0))</f>
        <v>24</v>
      </c>
      <c r="R9" s="460" t="str">
        <f>IF(+All!$F428="Appalachian State",+All!R428,IF(+All!$H428="Appalachian State",+All!R428,0))</f>
        <v>Texas State</v>
      </c>
      <c r="S9" s="462" t="str">
        <f>IF(+All!$F428="Appalachian State",+All!S428,IF(+All!$H428="Appalachian State",+All!S428,0))</f>
        <v>Appalachian State</v>
      </c>
      <c r="T9" s="460" t="str">
        <f>IF(+All!$F428="Appalachian State",+All!T428,IF(+All!$H428="Appalachian State",+All!T428,0))</f>
        <v>Appalachian State</v>
      </c>
      <c r="U9" s="461" t="str">
        <f>IF(+All!$F428="Appalachian State",+All!U428,IF(+All!$H428="Appalachian State",+All!U428,0))</f>
        <v>L</v>
      </c>
      <c r="V9" s="482"/>
    </row>
    <row r="10" spans="1:22" s="75" customFormat="1" x14ac:dyDescent="0.8">
      <c r="A10" s="721" t="e">
        <f>IF(+All!#REF!="Appalachian State",+All!#REF!,IF(+All!#REF!="Appalachian State",+All!#REF!,0))</f>
        <v>#REF!</v>
      </c>
      <c r="B10" s="348" t="e">
        <f>IF(+All!#REF!="Appalachian State",+All!#REF!,IF(+All!#REF!="Appalachian State",+All!#REF!,0))</f>
        <v>#REF!</v>
      </c>
      <c r="C10" s="48" t="e">
        <f>IF(+All!#REF!="Appalachian State",+All!#REF!,IF(+All!#REF!="Appalachian State",+All!#REF!,0))</f>
        <v>#REF!</v>
      </c>
      <c r="D10" s="490" t="e">
        <f>IF(+All!#REF!="Appalachian State",+All!#REF!,IF(+All!#REF!="Appalachian State",+All!#REF!,0))</f>
        <v>#REF!</v>
      </c>
      <c r="E10" s="461" t="e">
        <f>IF(+All!#REF!="Appalachian State",+All!#REF!,IF(+All!#REF!="Appalachian State",+All!#REF!,0))</f>
        <v>#REF!</v>
      </c>
      <c r="F10" s="51" t="e">
        <f>IF(+All!#REF!="Appalachian State",+All!#REF!,IF(+All!#REF!="Appalachian State",+All!#REF!,0))</f>
        <v>#REF!</v>
      </c>
      <c r="G10" s="52" t="e">
        <f>IF(+All!#REF!="Appalachian State",+All!#REF!,IF(+All!#REF!="Appalachian State",+All!#REF!,0))</f>
        <v>#REF!</v>
      </c>
      <c r="H10" s="51" t="e">
        <f>IF(+All!#REF!="Appalachian State",+All!#REF!,IF(+All!#REF!="Appalachian State",+All!#REF!,0))</f>
        <v>#REF!</v>
      </c>
      <c r="I10" s="52" t="e">
        <f>IF(+All!#REF!="Appalachian State",+All!#REF!,IF(+All!#REF!="Appalachian State",+All!#REF!,0))</f>
        <v>#REF!</v>
      </c>
      <c r="J10" s="460" t="e">
        <f>IF(+All!#REF!="Appalachian State",+All!#REF!,IF(+All!#REF!="Appalachian State",+All!#REF!,0))</f>
        <v>#REF!</v>
      </c>
      <c r="K10" s="461" t="e">
        <f>IF(+All!#REF!="Appalachian State",+All!#REF!,IF(+All!#REF!="Appalachian State",+All!#REF!,0))</f>
        <v>#REF!</v>
      </c>
      <c r="L10" s="54" t="e">
        <f>IF(+All!#REF!="Appalachian State",+All!#REF!,IF(+All!#REF!="Appalachian State",+All!#REF!,0))</f>
        <v>#REF!</v>
      </c>
      <c r="M10" s="55" t="e">
        <f>IF(+All!#REF!="Appalachian State",+All!#REF!,IF(+All!#REF!="Appalachian State",+All!#REF!,0))</f>
        <v>#REF!</v>
      </c>
      <c r="N10" s="460" t="e">
        <f>IF(+All!#REF!="Appalachian State",+All!#REF!,IF(+All!#REF!="Appalachian State",+All!#REF!,0))</f>
        <v>#REF!</v>
      </c>
      <c r="O10" s="462" t="e">
        <f>IF(+All!#REF!="Appalachian State",+All!#REF!,IF(+All!#REF!="Appalachian State",+All!#REF!,0))</f>
        <v>#REF!</v>
      </c>
      <c r="P10" s="462" t="e">
        <f>IF(+All!#REF!="Appalachian State",+All!#REF!,IF(+All!#REF!="Appalachian State",+All!#REF!,0))</f>
        <v>#REF!</v>
      </c>
      <c r="Q10" s="461" t="e">
        <f>IF(+All!#REF!="Appalachian State",+All!#REF!,IF(+All!#REF!="Appalachian State",+All!#REF!,0))</f>
        <v>#REF!</v>
      </c>
      <c r="R10" s="460" t="e">
        <f>IF(+All!#REF!="Appalachian State",+All!#REF!,IF(+All!#REF!="Appalachian State",+All!#REF!,0))</f>
        <v>#REF!</v>
      </c>
      <c r="S10" s="462" t="e">
        <f>IF(+All!#REF!="Appalachian State",+All!#REF!,IF(+All!#REF!="Appalachian State",+All!#REF!,0))</f>
        <v>#REF!</v>
      </c>
      <c r="T10" s="460" t="e">
        <f>IF(+All!#REF!="Appalachian State",+All!#REF!,IF(+All!#REF!="Appalachian State",+All!#REF!,0))</f>
        <v>#REF!</v>
      </c>
      <c r="U10" s="461" t="e">
        <f>IF(+All!#REF!="Appalachian State",+All!#REF!,IF(+All!#REF!="Appalachian State",+All!#REF!,0))</f>
        <v>#REF!</v>
      </c>
      <c r="V10" s="482"/>
    </row>
    <row r="11" spans="1:22" s="75" customFormat="1" x14ac:dyDescent="0.8">
      <c r="A11" s="721">
        <f>IF(+All!$F491="Appalachian State",+All!A491,IF(+All!$H491="Appalachian State",+All!A491,0))</f>
        <v>8</v>
      </c>
      <c r="B11" s="348" t="str">
        <f>IF(+All!$F491="Appalachian State",+All!B491,IF(+All!$H491="Appalachian State",+All!B491,0))</f>
        <v>Weds</v>
      </c>
      <c r="C11" s="48">
        <f>IF(+All!$F491="Appalachian State",+All!C491,IF(+All!$H491="Appalachian State",+All!C491,0))</f>
        <v>44853</v>
      </c>
      <c r="D11" s="490">
        <f>IF(+All!$F491="Appalachian State",+All!D491,IF(+All!$H491="Appalachian State",+All!D491,0))</f>
        <v>0.8125</v>
      </c>
      <c r="E11" s="461" t="str">
        <f>IF(+All!$F491="Appalachian State",+All!E491,IF(+All!$H491="Appalachian State",+All!E491,0))</f>
        <v>ESPN2</v>
      </c>
      <c r="F11" s="51" t="str">
        <f>IF(+All!$F491="Appalachian State",+All!F491,IF(+All!$H491="Appalachian State",+All!F491,0))</f>
        <v>Georgia State</v>
      </c>
      <c r="G11" s="52" t="str">
        <f>IF(+All!$F491="Appalachian State",+All!G491,IF(+All!$H491="Appalachian State",+All!G491,0))</f>
        <v>SB</v>
      </c>
      <c r="H11" s="51" t="str">
        <f>IF(+All!$F491="Appalachian State",+All!H491,IF(+All!$H491="Appalachian State",+All!H491,0))</f>
        <v>Appalachian State</v>
      </c>
      <c r="I11" s="52" t="str">
        <f>IF(+All!$F491="Appalachian State",+All!I491,IF(+All!$H491="Appalachian State",+All!I491,0))</f>
        <v>SB</v>
      </c>
      <c r="J11" s="460" t="str">
        <f>IF(+All!$F491="Appalachian State",+All!J491,IF(+All!$H491="Appalachian State",+All!J491,0))</f>
        <v>Appalachian State</v>
      </c>
      <c r="K11" s="461" t="str">
        <f>IF(+All!$F491="Appalachian State",+All!K491,IF(+All!$H491="Appalachian State",+All!K491,0))</f>
        <v>Georgia State</v>
      </c>
      <c r="L11" s="54">
        <f>IF(+All!$F491="Appalachian State",+All!L491,IF(+All!$H491="Appalachian State",+All!L491,0))</f>
        <v>9.5</v>
      </c>
      <c r="M11" s="55">
        <f>IF(+All!$F491="Appalachian State",+All!M491,IF(+All!$H491="Appalachian State",+All!M491,0))</f>
        <v>58.5</v>
      </c>
      <c r="N11" s="460" t="str">
        <f>IF(+All!$F491="Appalachian State",+All!N491,IF(+All!$H491="Appalachian State",+All!N491,0))</f>
        <v>Appalachian State</v>
      </c>
      <c r="O11" s="462">
        <f>IF(+All!$F491="Appalachian State",+All!O491,IF(+All!$H491="Appalachian State",+All!O491,0))</f>
        <v>42</v>
      </c>
      <c r="P11" s="462" t="str">
        <f>IF(+All!$F491="Appalachian State",+All!P491,IF(+All!$H491="Appalachian State",+All!P491,0))</f>
        <v>Georgia State</v>
      </c>
      <c r="Q11" s="461">
        <f>IF(+All!$F491="Appalachian State",+All!Q491,IF(+All!$H491="Appalachian State",+All!Q491,0))</f>
        <v>17</v>
      </c>
      <c r="R11" s="460" t="str">
        <f>IF(+All!$F491="Appalachian State",+All!R491,IF(+All!$H491="Appalachian State",+All!R491,0))</f>
        <v>Appalachian State</v>
      </c>
      <c r="S11" s="462" t="str">
        <f>IF(+All!$F491="Appalachian State",+All!S491,IF(+All!$H491="Appalachian State",+All!S491,0))</f>
        <v>Georgia State</v>
      </c>
      <c r="T11" s="460" t="str">
        <f>IF(+All!$F491="Appalachian State",+All!T491,IF(+All!$H491="Appalachian State",+All!T491,0))</f>
        <v>Georgia State</v>
      </c>
      <c r="U11" s="461" t="str">
        <f>IF(+All!$F491="Appalachian State",+All!U491,IF(+All!$H491="Appalachian State",+All!U491,0))</f>
        <v>L</v>
      </c>
      <c r="V11" s="482"/>
    </row>
    <row r="12" spans="1:22" s="75" customFormat="1" x14ac:dyDescent="0.8">
      <c r="A12" s="721">
        <f>IF(+All!$F584="Appalachian State",+All!A584,IF(+All!$H584="Appalachian State",+All!A584,0))</f>
        <v>9</v>
      </c>
      <c r="B12" s="348" t="str">
        <f>IF(+All!$F584="Appalachian State",+All!B584,IF(+All!$H584="Appalachian State",+All!B584,0))</f>
        <v>Sat</v>
      </c>
      <c r="C12" s="48">
        <f>IF(+All!$F584="Appalachian State",+All!C584,IF(+All!$H584="Appalachian State",+All!C584,0))</f>
        <v>44863</v>
      </c>
      <c r="D12" s="490">
        <f>IF(+All!$F584="Appalachian State",+All!D584,IF(+All!$H584="Appalachian State",+All!D584,0))</f>
        <v>0.64583333333333337</v>
      </c>
      <c r="E12" s="461">
        <f>IF(+All!$F584="Appalachian State",+All!E584,IF(+All!$H584="Appalachian State",+All!E584,0))</f>
        <v>0</v>
      </c>
      <c r="F12" s="51" t="str">
        <f>IF(+All!$F584="Appalachian State",+All!F584,IF(+All!$H584="Appalachian State",+All!F584,0))</f>
        <v>1AA Robert Morris</v>
      </c>
      <c r="G12" s="52" t="str">
        <f>IF(+All!$F584="Appalachian State",+All!G584,IF(+All!$H584="Appalachian State",+All!G584,0))</f>
        <v>1AA</v>
      </c>
      <c r="H12" s="51" t="str">
        <f>IF(+All!$F584="Appalachian State",+All!H584,IF(+All!$H584="Appalachian State",+All!H584,0))</f>
        <v>Appalachian State</v>
      </c>
      <c r="I12" s="52" t="str">
        <f>IF(+All!$F584="Appalachian State",+All!I584,IF(+All!$H584="Appalachian State",+All!I584,0))</f>
        <v>SB</v>
      </c>
      <c r="J12" s="460">
        <f>IF(+All!$F584="Appalachian State",+All!J584,IF(+All!$H584="Appalachian State",+All!J584,0))</f>
        <v>0</v>
      </c>
      <c r="K12" s="461">
        <f>IF(+All!$F584="Appalachian State",+All!K584,IF(+All!$H584="Appalachian State",+All!K584,0))</f>
        <v>0</v>
      </c>
      <c r="L12" s="54">
        <f>IF(+All!$F584="Appalachian State",+All!L584,IF(+All!$H584="Appalachian State",+All!L584,0))</f>
        <v>0</v>
      </c>
      <c r="M12" s="55">
        <f>IF(+All!$F584="Appalachian State",+All!M584,IF(+All!$H584="Appalachian State",+All!M584,0))</f>
        <v>0</v>
      </c>
      <c r="N12" s="460" t="str">
        <f>IF(+All!$F584="Appalachian State",+All!N584,IF(+All!$H584="Appalachian State",+All!N584,0))</f>
        <v>Appalachian State</v>
      </c>
      <c r="O12" s="462">
        <f>IF(+All!$F584="Appalachian State",+All!O584,IF(+All!$H584="Appalachian State",+All!O584,0))</f>
        <v>42</v>
      </c>
      <c r="P12" s="462" t="str">
        <f>IF(+All!$F584="Appalachian State",+All!P584,IF(+All!$H584="Appalachian State",+All!P584,0))</f>
        <v>1AA Robert Morris</v>
      </c>
      <c r="Q12" s="461">
        <f>IF(+All!$F584="Appalachian State",+All!Q584,IF(+All!$H584="Appalachian State",+All!Q584,0))</f>
        <v>3</v>
      </c>
      <c r="R12" s="460">
        <f>IF(+All!$F584="Appalachian State",+All!R584,IF(+All!$H584="Appalachian State",+All!R584,0))</f>
        <v>0</v>
      </c>
      <c r="S12" s="462">
        <f>IF(+All!$F584="Appalachian State",+All!S584,IF(+All!$H584="Appalachian State",+All!S584,0))</f>
        <v>0</v>
      </c>
      <c r="T12" s="460">
        <f>IF(+All!$F584="Appalachian State",+All!T584,IF(+All!$H584="Appalachian State",+All!T584,0))</f>
        <v>0</v>
      </c>
      <c r="U12" s="461">
        <f>IF(+All!$F584="Appalachian State",+All!U584,IF(+All!$H584="Appalachian State",+All!U584,0))</f>
        <v>0</v>
      </c>
      <c r="V12" s="482"/>
    </row>
    <row r="13" spans="1:22" s="75" customFormat="1" x14ac:dyDescent="0.8">
      <c r="A13" s="721">
        <f>IF(+All!$F598="Appalachian State",+All!A598,IF(+All!$H598="Appalachian State",+All!A598,0))</f>
        <v>10</v>
      </c>
      <c r="B13" s="348" t="str">
        <f>IF(+All!$F598="Appalachian State",+All!B598,IF(+All!$H598="Appalachian State",+All!B598,0))</f>
        <v>Thurs</v>
      </c>
      <c r="C13" s="48">
        <f>IF(+All!$F598="Appalachian State",+All!C598,IF(+All!$H598="Appalachian State",+All!C598,0))</f>
        <v>44868</v>
      </c>
      <c r="D13" s="490">
        <f>IF(+All!$F598="Appalachian State",+All!D598,IF(+All!$H598="Appalachian State",+All!D598,0))</f>
        <v>0.8125</v>
      </c>
      <c r="E13" s="461" t="str">
        <f>IF(+All!$F598="Appalachian State",+All!E598,IF(+All!$H598="Appalachian State",+All!E598,0))</f>
        <v>ESPN</v>
      </c>
      <c r="F13" s="51" t="str">
        <f>IF(+All!$F598="Appalachian State",+All!F598,IF(+All!$H598="Appalachian State",+All!F598,0))</f>
        <v>Appalachian State</v>
      </c>
      <c r="G13" s="52" t="str">
        <f>IF(+All!$F598="Appalachian State",+All!G598,IF(+All!$H598="Appalachian State",+All!G598,0))</f>
        <v>SB</v>
      </c>
      <c r="H13" s="51" t="str">
        <f>IF(+All!$F598="Appalachian State",+All!H598,IF(+All!$H598="Appalachian State",+All!H598,0))</f>
        <v>Coastal Carolina</v>
      </c>
      <c r="I13" s="52" t="str">
        <f>IF(+All!$F598="Appalachian State",+All!I598,IF(+All!$H598="Appalachian State",+All!I598,0))</f>
        <v>SB</v>
      </c>
      <c r="J13" s="460" t="str">
        <f>IF(+All!$F598="Appalachian State",+All!J598,IF(+All!$H598="Appalachian State",+All!J598,0))</f>
        <v>Appalachian State</v>
      </c>
      <c r="K13" s="461" t="str">
        <f>IF(+All!$F598="Appalachian State",+All!K598,IF(+All!$H598="Appalachian State",+All!K598,0))</f>
        <v>Coastal Carolina</v>
      </c>
      <c r="L13" s="54">
        <f>IF(+All!$F598="Appalachian State",+All!L598,IF(+All!$H598="Appalachian State",+All!L598,0))</f>
        <v>3</v>
      </c>
      <c r="M13" s="55">
        <f>IF(+All!$F598="Appalachian State",+All!M598,IF(+All!$H598="Appalachian State",+All!M598,0))</f>
        <v>64</v>
      </c>
      <c r="N13" s="460" t="str">
        <f>IF(+All!$F598="Appalachian State",+All!N598,IF(+All!$H598="Appalachian State",+All!N598,0))</f>
        <v>Coastal Carolina</v>
      </c>
      <c r="O13" s="462">
        <f>IF(+All!$F598="Appalachian State",+All!O598,IF(+All!$H598="Appalachian State",+All!O598,0))</f>
        <v>35</v>
      </c>
      <c r="P13" s="462" t="str">
        <f>IF(+All!$F598="Appalachian State",+All!P598,IF(+All!$H598="Appalachian State",+All!P598,0))</f>
        <v>Appalachian State</v>
      </c>
      <c r="Q13" s="461">
        <f>IF(+All!$F598="Appalachian State",+All!Q598,IF(+All!$H598="Appalachian State",+All!Q598,0))</f>
        <v>28</v>
      </c>
      <c r="R13" s="460" t="str">
        <f>IF(+All!$F598="Appalachian State",+All!R598,IF(+All!$H598="Appalachian State",+All!R598,0))</f>
        <v>Coastal Carolina</v>
      </c>
      <c r="S13" s="462" t="str">
        <f>IF(+All!$F598="Appalachian State",+All!S598,IF(+All!$H598="Appalachian State",+All!S598,0))</f>
        <v>Appalachian State</v>
      </c>
      <c r="T13" s="460" t="str">
        <f>IF(+All!$F598="Appalachian State",+All!T598,IF(+All!$H598="Appalachian State",+All!T598,0))</f>
        <v>Coastal Carolina</v>
      </c>
      <c r="U13" s="461" t="str">
        <f>IF(+All!$F598="Appalachian State",+All!U598,IF(+All!$H598="Appalachian State",+All!U598,0))</f>
        <v>W</v>
      </c>
      <c r="V13" s="482"/>
    </row>
    <row r="14" spans="1:22" s="75" customFormat="1" x14ac:dyDescent="0.8">
      <c r="A14" s="721">
        <f>IF(+All!$F707="Appalachian State",+All!A707,IF(+All!$H707="Appalachian State",+All!A707,0))</f>
        <v>11</v>
      </c>
      <c r="B14" s="348" t="str">
        <f>IF(+All!$F707="Appalachian State",+All!B707,IF(+All!$H707="Appalachian State",+All!B707,0))</f>
        <v>Sat</v>
      </c>
      <c r="C14" s="48">
        <f>IF(+All!$F707="Appalachian State",+All!C707,IF(+All!$H707="Appalachian State",+All!C707,0))</f>
        <v>44877</v>
      </c>
      <c r="D14" s="490">
        <f>IF(+All!$F707="Appalachian State",+All!D707,IF(+All!$H707="Appalachian State",+All!D707,0))</f>
        <v>0.64583333333333337</v>
      </c>
      <c r="E14" s="461">
        <f>IF(+All!$F707="Appalachian State",+All!E707,IF(+All!$H707="Appalachian State",+All!E707,0))</f>
        <v>0</v>
      </c>
      <c r="F14" s="51" t="str">
        <f>IF(+All!$F707="Appalachian State",+All!F707,IF(+All!$H707="Appalachian State",+All!F707,0))</f>
        <v>Appalachian State</v>
      </c>
      <c r="G14" s="52" t="str">
        <f>IF(+All!$F707="Appalachian State",+All!G707,IF(+All!$H707="Appalachian State",+All!G707,0))</f>
        <v>SB</v>
      </c>
      <c r="H14" s="51" t="str">
        <f>IF(+All!$F707="Appalachian State",+All!H707,IF(+All!$H707="Appalachian State",+All!H707,0))</f>
        <v>Marshall</v>
      </c>
      <c r="I14" s="52" t="str">
        <f>IF(+All!$F707="Appalachian State",+All!I707,IF(+All!$H707="Appalachian State",+All!I707,0))</f>
        <v>SB</v>
      </c>
      <c r="J14" s="460" t="str">
        <f>IF(+All!$F707="Appalachian State",+All!J707,IF(+All!$H707="Appalachian State",+All!J707,0))</f>
        <v>Appalachian State</v>
      </c>
      <c r="K14" s="461" t="str">
        <f>IF(+All!$F707="Appalachian State",+All!K707,IF(+All!$H707="Appalachian State",+All!K707,0))</f>
        <v>Marshall</v>
      </c>
      <c r="L14" s="54">
        <f>IF(+All!$F707="Appalachian State",+All!L707,IF(+All!$H707="Appalachian State",+All!L707,0))</f>
        <v>1</v>
      </c>
      <c r="M14" s="55">
        <f>IF(+All!$F707="Appalachian State",+All!M707,IF(+All!$H707="Appalachian State",+All!M707,0))</f>
        <v>47</v>
      </c>
      <c r="N14" s="460" t="str">
        <f>IF(+All!$F707="Appalachian State",+All!N707,IF(+All!$H707="Appalachian State",+All!N707,0))</f>
        <v>Marshall</v>
      </c>
      <c r="O14" s="462">
        <f>IF(+All!$F707="Appalachian State",+All!O707,IF(+All!$H707="Appalachian State",+All!O707,0))</f>
        <v>28</v>
      </c>
      <c r="P14" s="462" t="str">
        <f>IF(+All!$F707="Appalachian State",+All!P707,IF(+All!$H707="Appalachian State",+All!P707,0))</f>
        <v>Appalachian State</v>
      </c>
      <c r="Q14" s="461">
        <f>IF(+All!$F707="Appalachian State",+All!Q707,IF(+All!$H707="Appalachian State",+All!Q707,0))</f>
        <v>21</v>
      </c>
      <c r="R14" s="460" t="str">
        <f>IF(+All!$F707="Appalachian State",+All!R707,IF(+All!$H707="Appalachian State",+All!R707,0))</f>
        <v>Marshall</v>
      </c>
      <c r="S14" s="462" t="str">
        <f>IF(+All!$F707="Appalachian State",+All!S707,IF(+All!$H707="Appalachian State",+All!S707,0))</f>
        <v>Appalachian State</v>
      </c>
      <c r="T14" s="460" t="str">
        <f>IF(+All!$F707="Appalachian State",+All!T707,IF(+All!$H707="Appalachian State",+All!T707,0))</f>
        <v>Marshall</v>
      </c>
      <c r="U14" s="461" t="str">
        <f>IF(+All!$F707="Appalachian State",+All!U707,IF(+All!$H707="Appalachian State",+All!U707,0))</f>
        <v>W</v>
      </c>
      <c r="V14" s="482"/>
    </row>
    <row r="15" spans="1:22" s="75" customFormat="1" x14ac:dyDescent="0.8">
      <c r="A15" s="721">
        <f>IF(+All!$F769="Appalachian State",+All!A769,IF(+All!$H769="Appalachian State",+All!A769,0))</f>
        <v>12</v>
      </c>
      <c r="B15" s="348" t="str">
        <f>IF(+All!$F769="Appalachian State",+All!B769,IF(+All!$H769="Appalachian State",+All!B769,0))</f>
        <v>Sat</v>
      </c>
      <c r="C15" s="48">
        <f>IF(+All!$F769="Appalachian State",+All!C769,IF(+All!$H769="Appalachian State",+All!C769,0))</f>
        <v>44884</v>
      </c>
      <c r="D15" s="490">
        <f>IF(+All!$F769="Appalachian State",+All!D769,IF(+All!$H769="Appalachian State",+All!D769,0))</f>
        <v>0.60416666666666663</v>
      </c>
      <c r="E15" s="461">
        <f>IF(+All!$F769="Appalachian State",+All!E769,IF(+All!$H769="Appalachian State",+All!E769,0))</f>
        <v>0</v>
      </c>
      <c r="F15" s="51" t="str">
        <f>IF(+All!$F769="Appalachian State",+All!F769,IF(+All!$H769="Appalachian State",+All!F769,0))</f>
        <v>Old Dominion</v>
      </c>
      <c r="G15" s="52" t="str">
        <f>IF(+All!$F769="Appalachian State",+All!G769,IF(+All!$H769="Appalachian State",+All!G769,0))</f>
        <v>SB</v>
      </c>
      <c r="H15" s="51" t="str">
        <f>IF(+All!$F769="Appalachian State",+All!H769,IF(+All!$H769="Appalachian State",+All!H769,0))</f>
        <v>Appalachian State</v>
      </c>
      <c r="I15" s="52" t="str">
        <f>IF(+All!$F769="Appalachian State",+All!I769,IF(+All!$H769="Appalachian State",+All!I769,0))</f>
        <v>SB</v>
      </c>
      <c r="J15" s="460" t="str">
        <f>IF(+All!$F769="Appalachian State",+All!J769,IF(+All!$H769="Appalachian State",+All!J769,0))</f>
        <v>Appalachian State</v>
      </c>
      <c r="K15" s="461" t="str">
        <f>IF(+All!$F769="Appalachian State",+All!K769,IF(+All!$H769="Appalachian State",+All!K769,0))</f>
        <v>Old Dominion</v>
      </c>
      <c r="L15" s="54">
        <f>IF(+All!$F769="Appalachian State",+All!L769,IF(+All!$H769="Appalachian State",+All!L769,0))</f>
        <v>16</v>
      </c>
      <c r="M15" s="55">
        <f>IF(+All!$F769="Appalachian State",+All!M769,IF(+All!$H769="Appalachian State",+All!M769,0))</f>
        <v>51</v>
      </c>
      <c r="N15" s="460" t="str">
        <f>IF(+All!$F769="Appalachian State",+All!N769,IF(+All!$H769="Appalachian State",+All!N769,0))</f>
        <v>Appalachian State</v>
      </c>
      <c r="O15" s="462">
        <f>IF(+All!$F769="Appalachian State",+All!O769,IF(+All!$H769="Appalachian State",+All!O769,0))</f>
        <v>27</v>
      </c>
      <c r="P15" s="462" t="str">
        <f>IF(+All!$F769="Appalachian State",+All!P769,IF(+All!$H769="Appalachian State",+All!P769,0))</f>
        <v>Old Dominion</v>
      </c>
      <c r="Q15" s="461">
        <f>IF(+All!$F769="Appalachian State",+All!Q769,IF(+All!$H769="Appalachian State",+All!Q769,0))</f>
        <v>14</v>
      </c>
      <c r="R15" s="460" t="str">
        <f>IF(+All!$F769="Appalachian State",+All!R769,IF(+All!$H769="Appalachian State",+All!R769,0))</f>
        <v>Old Dominion</v>
      </c>
      <c r="S15" s="462" t="str">
        <f>IF(+All!$F769="Appalachian State",+All!S769,IF(+All!$H769="Appalachian State",+All!S769,0))</f>
        <v>Appalachian State</v>
      </c>
      <c r="T15" s="460" t="str">
        <f>IF(+All!$F769="Appalachian State",+All!T769,IF(+All!$H769="Appalachian State",+All!T769,0))</f>
        <v>Appalachian State</v>
      </c>
      <c r="U15" s="461" t="str">
        <f>IF(+All!$F769="Appalachian State",+All!U769,IF(+All!$H769="Appalachian State",+All!U769,0))</f>
        <v>L</v>
      </c>
      <c r="V15" s="482"/>
    </row>
    <row r="16" spans="1:22" s="75" customFormat="1" x14ac:dyDescent="0.8">
      <c r="A16" s="721">
        <f>IF(+All!$F838="Appalachian State",+All!A838,IF(+All!$H838="Appalachian State",+All!A838,0))</f>
        <v>13</v>
      </c>
      <c r="B16" s="348" t="str">
        <f>IF(+All!$F838="Appalachian State",+All!B838,IF(+All!$H838="Appalachian State",+All!B838,0))</f>
        <v>Sat</v>
      </c>
      <c r="C16" s="48">
        <f>IF(+All!$F838="Appalachian State",+All!C838,IF(+All!$H838="Appalachian State",+All!C838,0))</f>
        <v>44891</v>
      </c>
      <c r="D16" s="490">
        <f>IF(+All!$F838="Appalachian State",+All!D838,IF(+All!$H838="Appalachian State",+All!D838,0))</f>
        <v>0.75</v>
      </c>
      <c r="E16" s="461">
        <f>IF(+All!$F838="Appalachian State",+All!E838,IF(+All!$H838="Appalachian State",+All!E838,0))</f>
        <v>0</v>
      </c>
      <c r="F16" s="51" t="str">
        <f>IF(+All!$F838="Appalachian State",+All!F838,IF(+All!$H838="Appalachian State",+All!F838,0))</f>
        <v>Appalachian State</v>
      </c>
      <c r="G16" s="52" t="str">
        <f>IF(+All!$F838="Appalachian State",+All!G838,IF(+All!$H838="Appalachian State",+All!G838,0))</f>
        <v>SB</v>
      </c>
      <c r="H16" s="51" t="str">
        <f>IF(+All!$F838="Appalachian State",+All!H838,IF(+All!$H838="Appalachian State",+All!H838,0))</f>
        <v>Georgia Southern</v>
      </c>
      <c r="I16" s="52" t="str">
        <f>IF(+All!$F838="Appalachian State",+All!I838,IF(+All!$H838="Appalachian State",+All!I838,0))</f>
        <v>SB</v>
      </c>
      <c r="J16" s="460" t="str">
        <f>IF(+All!$F838="Appalachian State",+All!J838,IF(+All!$H838="Appalachian State",+All!J838,0))</f>
        <v>Appalachian State</v>
      </c>
      <c r="K16" s="461" t="str">
        <f>IF(+All!$F838="Appalachian State",+All!K838,IF(+All!$H838="Appalachian State",+All!K838,0))</f>
        <v>Georgia Southern</v>
      </c>
      <c r="L16" s="54">
        <f>IF(+All!$F838="Appalachian State",+All!L838,IF(+All!$H838="Appalachian State",+All!L838,0))</f>
        <v>5.5</v>
      </c>
      <c r="M16" s="55">
        <f>IF(+All!$F838="Appalachian State",+All!M838,IF(+All!$H838="Appalachian State",+All!M838,0))</f>
        <v>62.5</v>
      </c>
      <c r="N16" s="460" t="str">
        <f>IF(+All!$F838="Appalachian State",+All!N838,IF(+All!$H838="Appalachian State",+All!N838,0))</f>
        <v>Georgia Southern</v>
      </c>
      <c r="O16" s="462">
        <f>IF(+All!$F838="Appalachian State",+All!O838,IF(+All!$H838="Appalachian State",+All!O838,0))</f>
        <v>51</v>
      </c>
      <c r="P16" s="462" t="str">
        <f>IF(+All!$F838="Appalachian State",+All!P838,IF(+All!$H838="Appalachian State",+All!P838,0))</f>
        <v>Appalachian State</v>
      </c>
      <c r="Q16" s="461">
        <f>IF(+All!$F838="Appalachian State",+All!Q838,IF(+All!$H838="Appalachian State",+All!Q838,0))</f>
        <v>48</v>
      </c>
      <c r="R16" s="460" t="str">
        <f>IF(+All!$F838="Appalachian State",+All!R838,IF(+All!$H838="Appalachian State",+All!R838,0))</f>
        <v>Georgia Southern</v>
      </c>
      <c r="S16" s="462" t="str">
        <f>IF(+All!$F838="Appalachian State",+All!S838,IF(+All!$H838="Appalachian State",+All!S838,0))</f>
        <v>Appalachian State</v>
      </c>
      <c r="T16" s="460" t="str">
        <f>IF(+All!$F838="Appalachian State",+All!T838,IF(+All!$H838="Appalachian State",+All!T838,0))</f>
        <v>Appalachian State</v>
      </c>
      <c r="U16" s="461" t="str">
        <f>IF(+All!$F838="Appalachian State",+All!U838,IF(+All!$H838="Appalachian State",+All!U838,0))</f>
        <v>L</v>
      </c>
      <c r="V16" s="482"/>
    </row>
    <row r="17" spans="1:22" s="75" customFormat="1" x14ac:dyDescent="0.8">
      <c r="A17" s="46"/>
      <c r="B17" s="46"/>
      <c r="C17" s="62"/>
      <c r="D17" s="490"/>
      <c r="E17" s="461"/>
      <c r="F17" s="897" t="str">
        <f>H18</f>
        <v>Arkansas State</v>
      </c>
      <c r="G17" s="911"/>
      <c r="H17" s="911"/>
      <c r="I17" s="912"/>
      <c r="J17" s="460"/>
      <c r="K17" s="461"/>
      <c r="L17" s="54"/>
      <c r="M17" s="55"/>
      <c r="N17" s="460"/>
      <c r="O17" s="462"/>
      <c r="P17" s="462"/>
      <c r="Q17" s="461"/>
      <c r="R17" s="460"/>
      <c r="S17" s="462"/>
      <c r="T17" s="460"/>
      <c r="U17" s="461"/>
      <c r="V17" s="482"/>
    </row>
    <row r="18" spans="1:22" s="75" customFormat="1" x14ac:dyDescent="0.8">
      <c r="A18" s="46">
        <f>IF(+All!$F77="Arkansas State",+All!A77,IF(+All!$H77="Arkansas State",+All!A77,0))</f>
        <v>1</v>
      </c>
      <c r="B18" s="348" t="str">
        <f>IF(+All!$F77="Arkansas State",+All!B77,IF(+All!$H77="Arkansas State",+All!B77,0))</f>
        <v>Sat</v>
      </c>
      <c r="C18" s="48">
        <f>IF(+All!$F77="Arkansas State",+All!C77,IF(+All!$H77="Arkansas State",+All!C77,0))</f>
        <v>414067</v>
      </c>
      <c r="D18" s="490">
        <f>IF(+All!$F77="Arkansas State",+All!D77,IF(+All!$H77="Arkansas State",+All!D77,0))</f>
        <v>0.79166666666666663</v>
      </c>
      <c r="E18" s="461" t="str">
        <f>IF(+All!$F77="Arkansas State",+All!E77,IF(+All!$H77="Arkansas State",+All!E77,0))</f>
        <v>espn3</v>
      </c>
      <c r="F18" s="51" t="str">
        <f>IF(+All!$F77="Arkansas State",+All!F77,IF(+All!$H77="Arkansas State",+All!F77,0))</f>
        <v>1AA Grambling</v>
      </c>
      <c r="G18" s="52" t="str">
        <f>IF(+All!$F77="Arkansas State",+All!G77,IF(+All!$H77="Arkansas State",+All!G77,0))</f>
        <v>1AA</v>
      </c>
      <c r="H18" s="51" t="str">
        <f>IF(+All!$F77="Arkansas State",+All!H77,IF(+All!$H77="Arkansas State",+All!H77,0))</f>
        <v>Arkansas State</v>
      </c>
      <c r="I18" s="52" t="str">
        <f>IF(+All!$F77="Arkansas State",+All!I77,IF(+All!$H77="Arkansas State",+All!I77,0))</f>
        <v>SB</v>
      </c>
      <c r="J18" s="460">
        <f>IF(+All!$F77="Arkansas State",+All!J77,IF(+All!$H77="Arkansas State",+All!J77,0))</f>
        <v>0</v>
      </c>
      <c r="K18" s="461">
        <f>IF(+All!$F77="Arkansas State",+All!K77,IF(+All!$H77="Arkansas State",+All!K77,0))</f>
        <v>0</v>
      </c>
      <c r="L18" s="54">
        <f>IF(+All!$F77="Arkansas State",+All!L77,IF(+All!$H77="Arkansas State",+All!L77,0))</f>
        <v>0</v>
      </c>
      <c r="M18" s="55">
        <f>IF(+All!$F77="Arkansas State",+All!M77,IF(+All!$H77="Arkansas State",+All!M77,0))</f>
        <v>0</v>
      </c>
      <c r="N18" s="460" t="str">
        <f>IF(+All!$F77="Arkansas State",+All!N77,IF(+All!$H77="Arkansas State",+All!N77,0))</f>
        <v>Arkansas State</v>
      </c>
      <c r="O18" s="462">
        <f>IF(+All!$F77="Arkansas State",+All!O77,IF(+All!$H77="Arkansas State",+All!O77,0))</f>
        <v>58</v>
      </c>
      <c r="P18" s="462" t="str">
        <f>IF(+All!$F77="Arkansas State",+All!P77,IF(+All!$H77="Arkansas State",+All!P77,0))</f>
        <v>1AA Grambling</v>
      </c>
      <c r="Q18" s="461">
        <f>IF(+All!$F77="Arkansas State",+All!Q77,IF(+All!$H77="Arkansas State",+All!Q77,0))</f>
        <v>3</v>
      </c>
      <c r="R18" s="460">
        <f>IF(+All!$F77="Arkansas State",+All!R77,IF(+All!$H77="Arkansas State",+All!R77,0))</f>
        <v>0</v>
      </c>
      <c r="S18" s="462">
        <f>IF(+All!$F77="Arkansas State",+All!S77,IF(+All!$H77="Arkansas State",+All!S77,0))</f>
        <v>0</v>
      </c>
      <c r="T18" s="460">
        <f>IF(+All!$F77="Arkansas State",+All!T77,IF(+All!$H77="Arkansas State",+All!T77,0))</f>
        <v>0</v>
      </c>
      <c r="U18" s="461">
        <f>IF(+All!$F77="Arkansas State",+All!U77,IF(+All!$H77="Arkansas State",+All!U77,0))</f>
        <v>0</v>
      </c>
      <c r="V18" s="482"/>
    </row>
    <row r="19" spans="1:22" s="75" customFormat="1" x14ac:dyDescent="0.8">
      <c r="A19" s="46">
        <f>IF(+All!$F122="Arkansas State",+All!A122,IF(+All!$H122="Arkansas State",+All!A122,0))</f>
        <v>2</v>
      </c>
      <c r="B19" s="348" t="str">
        <f>IF(+All!$F122="Arkansas State",+All!B122,IF(+All!$H122="Arkansas State",+All!B122,0))</f>
        <v>Sat</v>
      </c>
      <c r="C19" s="48">
        <f>IF(+All!$F122="Arkansas State",+All!C122,IF(+All!$H122="Arkansas State",+All!C122,0))</f>
        <v>44814</v>
      </c>
      <c r="D19" s="490">
        <f>IF(+All!$F122="Arkansas State",+All!D122,IF(+All!$H122="Arkansas State",+All!D122,0))</f>
        <v>0.5</v>
      </c>
      <c r="E19" s="461" t="str">
        <f>IF(+All!$F122="Arkansas State",+All!E122,IF(+All!$H122="Arkansas State",+All!E122,0))</f>
        <v>BTN</v>
      </c>
      <c r="F19" s="51" t="str">
        <f>IF(+All!$F122="Arkansas State",+All!F122,IF(+All!$H122="Arkansas State",+All!F122,0))</f>
        <v>Arkansas State</v>
      </c>
      <c r="G19" s="52" t="str">
        <f>IF(+All!$F122="Arkansas State",+All!G122,IF(+All!$H122="Arkansas State",+All!G122,0))</f>
        <v>SB</v>
      </c>
      <c r="H19" s="51" t="str">
        <f>IF(+All!$F122="Arkansas State",+All!H122,IF(+All!$H122="Arkansas State",+All!H122,0))</f>
        <v>Ohio State</v>
      </c>
      <c r="I19" s="52" t="str">
        <f>IF(+All!$F122="Arkansas State",+All!I122,IF(+All!$H122="Arkansas State",+All!I122,0))</f>
        <v>B10</v>
      </c>
      <c r="J19" s="460" t="str">
        <f>IF(+All!$F122="Arkansas State",+All!J122,IF(+All!$H122="Arkansas State",+All!J122,0))</f>
        <v>Ohio State</v>
      </c>
      <c r="K19" s="461" t="str">
        <f>IF(+All!$F122="Arkansas State",+All!K122,IF(+All!$H122="Arkansas State",+All!K122,0))</f>
        <v>Arkansas State</v>
      </c>
      <c r="L19" s="54">
        <f>IF(+All!$F122="Arkansas State",+All!L122,IF(+All!$H122="Arkansas State",+All!L122,0))</f>
        <v>43.5</v>
      </c>
      <c r="M19" s="55">
        <f>IF(+All!$F122="Arkansas State",+All!M122,IF(+All!$H122="Arkansas State",+All!M122,0))</f>
        <v>68.5</v>
      </c>
      <c r="N19" s="460" t="str">
        <f>IF(+All!$F122="Arkansas State",+All!N122,IF(+All!$H122="Arkansas State",+All!N122,0))</f>
        <v>Ohio State</v>
      </c>
      <c r="O19" s="462">
        <f>IF(+All!$F122="Arkansas State",+All!O122,IF(+All!$H122="Arkansas State",+All!O122,0))</f>
        <v>45</v>
      </c>
      <c r="P19" s="462" t="str">
        <f>IF(+All!$F122="Arkansas State",+All!P122,IF(+All!$H122="Arkansas State",+All!P122,0))</f>
        <v>Arkansas State</v>
      </c>
      <c r="Q19" s="461">
        <f>IF(+All!$F122="Arkansas State",+All!Q122,IF(+All!$H122="Arkansas State",+All!Q122,0))</f>
        <v>12</v>
      </c>
      <c r="R19" s="460" t="str">
        <f>IF(+All!$F122="Arkansas State",+All!R122,IF(+All!$H122="Arkansas State",+All!R122,0))</f>
        <v>Arkansas State</v>
      </c>
      <c r="S19" s="462" t="str">
        <f>IF(+All!$F122="Arkansas State",+All!S122,IF(+All!$H122="Arkansas State",+All!S122,0))</f>
        <v>Ohio State</v>
      </c>
      <c r="T19" s="460" t="str">
        <f>IF(+All!$F122="Arkansas State",+All!T122,IF(+All!$H122="Arkansas State",+All!T122,0))</f>
        <v>Arkansas State</v>
      </c>
      <c r="U19" s="461" t="str">
        <f>IF(+All!$F122="Arkansas State",+All!U122,IF(+All!$H122="Arkansas State",+All!U122,0))</f>
        <v>W</v>
      </c>
      <c r="V19" s="482"/>
    </row>
    <row r="20" spans="1:22" s="75" customFormat="1" x14ac:dyDescent="0.8">
      <c r="A20" s="46">
        <f>IF(+All!$F185="Arkansas State",+All!A185,IF(+All!$H185="Arkansas State",+All!A185,0))</f>
        <v>3</v>
      </c>
      <c r="B20" s="348" t="str">
        <f>IF(+All!$F185="Arkansas State",+All!B185,IF(+All!$H185="Arkansas State",+All!B185,0))</f>
        <v>Sat</v>
      </c>
      <c r="C20" s="48">
        <f>IF(+All!$F185="Arkansas State",+All!C185,IF(+All!$H185="Arkansas State",+All!C185,0))</f>
        <v>44821</v>
      </c>
      <c r="D20" s="490">
        <f>IF(+All!$F185="Arkansas State",+All!D185,IF(+All!$H185="Arkansas State",+All!D185,0))</f>
        <v>0.79166666666666663</v>
      </c>
      <c r="E20" s="461">
        <f>IF(+All!$F185="Arkansas State",+All!E185,IF(+All!$H185="Arkansas State",+All!E185,0))</f>
        <v>0</v>
      </c>
      <c r="F20" s="51" t="str">
        <f>IF(+All!$F185="Arkansas State",+All!F185,IF(+All!$H185="Arkansas State",+All!F185,0))</f>
        <v>Arkansas State</v>
      </c>
      <c r="G20" s="52" t="str">
        <f>IF(+All!$F185="Arkansas State",+All!G185,IF(+All!$H185="Arkansas State",+All!G185,0))</f>
        <v>SB</v>
      </c>
      <c r="H20" s="51" t="str">
        <f>IF(+All!$F185="Arkansas State",+All!H185,IF(+All!$H185="Arkansas State",+All!H185,0))</f>
        <v>Memphis</v>
      </c>
      <c r="I20" s="52" t="str">
        <f>IF(+All!$F185="Arkansas State",+All!I185,IF(+All!$H185="Arkansas State",+All!I185,0))</f>
        <v>AAC</v>
      </c>
      <c r="J20" s="460" t="str">
        <f>IF(+All!$F185="Arkansas State",+All!J185,IF(+All!$H185="Arkansas State",+All!J185,0))</f>
        <v>Memphis</v>
      </c>
      <c r="K20" s="461" t="str">
        <f>IF(+All!$F185="Arkansas State",+All!K185,IF(+All!$H185="Arkansas State",+All!K185,0))</f>
        <v>Arkansas State</v>
      </c>
      <c r="L20" s="54">
        <f>IF(+All!$F185="Arkansas State",+All!L185,IF(+All!$H185="Arkansas State",+All!L185,0))</f>
        <v>14</v>
      </c>
      <c r="M20" s="55">
        <f>IF(+All!$F185="Arkansas State",+All!M185,IF(+All!$H185="Arkansas State",+All!M185,0))</f>
        <v>65.5</v>
      </c>
      <c r="N20" s="460" t="str">
        <f>IF(+All!$F185="Arkansas State",+All!N185,IF(+All!$H185="Arkansas State",+All!N185,0))</f>
        <v>Memphis</v>
      </c>
      <c r="O20" s="462">
        <f>IF(+All!$F185="Arkansas State",+All!O185,IF(+All!$H185="Arkansas State",+All!O185,0))</f>
        <v>44</v>
      </c>
      <c r="P20" s="462" t="str">
        <f>IF(+All!$F185="Arkansas State",+All!P185,IF(+All!$H185="Arkansas State",+All!P185,0))</f>
        <v>Arkansas State</v>
      </c>
      <c r="Q20" s="461">
        <f>IF(+All!$F185="Arkansas State",+All!Q185,IF(+All!$H185="Arkansas State",+All!Q185,0))</f>
        <v>32</v>
      </c>
      <c r="R20" s="460" t="str">
        <f>IF(+All!$F185="Arkansas State",+All!R185,IF(+All!$H185="Arkansas State",+All!R185,0))</f>
        <v>Arkansas State</v>
      </c>
      <c r="S20" s="462" t="str">
        <f>IF(+All!$F185="Arkansas State",+All!S185,IF(+All!$H185="Arkansas State",+All!S185,0))</f>
        <v>Memphis</v>
      </c>
      <c r="T20" s="460" t="str">
        <f>IF(+All!$F185="Arkansas State",+All!T185,IF(+All!$H185="Arkansas State",+All!T185,0))</f>
        <v>Arkansas State</v>
      </c>
      <c r="U20" s="461" t="str">
        <f>IF(+All!$F185="Arkansas State",+All!U185,IF(+All!$H185="Arkansas State",+All!U185,0))</f>
        <v>W</v>
      </c>
      <c r="V20" s="482"/>
    </row>
    <row r="21" spans="1:22" s="75" customFormat="1" x14ac:dyDescent="0.8">
      <c r="A21" s="46">
        <f>IF(+All!$F303="Arkansas State",+All!A303,IF(+All!$H303="Arkansas State",+All!A303,0))</f>
        <v>4</v>
      </c>
      <c r="B21" s="348" t="str">
        <f>IF(+All!$F303="Arkansas State",+All!B303,IF(+All!$H303="Arkansas State",+All!B303,0))</f>
        <v>Sat</v>
      </c>
      <c r="C21" s="48">
        <f>IF(+All!$F303="Arkansas State",+All!C303,IF(+All!$H303="Arkansas State",+All!C303,0))</f>
        <v>44828</v>
      </c>
      <c r="D21" s="490">
        <f>IF(+All!$F303="Arkansas State",+All!D303,IF(+All!$H303="Arkansas State",+All!D303,0))</f>
        <v>0.75</v>
      </c>
      <c r="E21" s="461">
        <f>IF(+All!$F303="Arkansas State",+All!E303,IF(+All!$H303="Arkansas State",+All!E303,0))</f>
        <v>0</v>
      </c>
      <c r="F21" s="51" t="str">
        <f>IF(+All!$F303="Arkansas State",+All!F303,IF(+All!$H303="Arkansas State",+All!F303,0))</f>
        <v>Arkansas State</v>
      </c>
      <c r="G21" s="52" t="str">
        <f>IF(+All!$F303="Arkansas State",+All!G303,IF(+All!$H303="Arkansas State",+All!G303,0))</f>
        <v>SB</v>
      </c>
      <c r="H21" s="51" t="str">
        <f>IF(+All!$F303="Arkansas State",+All!H303,IF(+All!$H303="Arkansas State",+All!H303,0))</f>
        <v>Old Dominion</v>
      </c>
      <c r="I21" s="52" t="str">
        <f>IF(+All!$F303="Arkansas State",+All!I303,IF(+All!$H303="Arkansas State",+All!I303,0))</f>
        <v>SB</v>
      </c>
      <c r="J21" s="460" t="str">
        <f>IF(+All!$F303="Arkansas State",+All!J303,IF(+All!$H303="Arkansas State",+All!J303,0))</f>
        <v>Old Dominion</v>
      </c>
      <c r="K21" s="461" t="str">
        <f>IF(+All!$F303="Arkansas State",+All!K303,IF(+All!$H303="Arkansas State",+All!K303,0))</f>
        <v>Arkansas State</v>
      </c>
      <c r="L21" s="54">
        <f>IF(+All!$F303="Arkansas State",+All!L303,IF(+All!$H303="Arkansas State",+All!L303,0))</f>
        <v>6</v>
      </c>
      <c r="M21" s="55">
        <f>IF(+All!$F303="Arkansas State",+All!M303,IF(+All!$H303="Arkansas State",+All!M303,0))</f>
        <v>56.5</v>
      </c>
      <c r="N21" s="460" t="str">
        <f>IF(+All!$F303="Arkansas State",+All!N303,IF(+All!$H303="Arkansas State",+All!N303,0))</f>
        <v>Old Dominion</v>
      </c>
      <c r="O21" s="462">
        <f>IF(+All!$F303="Arkansas State",+All!O303,IF(+All!$H303="Arkansas State",+All!O303,0))</f>
        <v>29</v>
      </c>
      <c r="P21" s="462" t="str">
        <f>IF(+All!$F303="Arkansas State",+All!P303,IF(+All!$H303="Arkansas State",+All!P303,0))</f>
        <v>Arkansas State</v>
      </c>
      <c r="Q21" s="461">
        <f>IF(+All!$F303="Arkansas State",+All!Q303,IF(+All!$H303="Arkansas State",+All!Q303,0))</f>
        <v>26</v>
      </c>
      <c r="R21" s="460" t="str">
        <f>IF(+All!$F303="Arkansas State",+All!R303,IF(+All!$H303="Arkansas State",+All!R303,0))</f>
        <v>Arkansas State</v>
      </c>
      <c r="S21" s="462" t="str">
        <f>IF(+All!$F303="Arkansas State",+All!S303,IF(+All!$H303="Arkansas State",+All!S303,0))</f>
        <v>Old Dominion</v>
      </c>
      <c r="T21" s="460" t="str">
        <f>IF(+All!$F303="Arkansas State",+All!T303,IF(+All!$H303="Arkansas State",+All!T303,0))</f>
        <v>Old Dominion</v>
      </c>
      <c r="U21" s="461" t="str">
        <f>IF(+All!$F303="Arkansas State",+All!U303,IF(+All!$H303="Arkansas State",+All!U303,0))</f>
        <v>L</v>
      </c>
      <c r="V21" s="482"/>
    </row>
    <row r="22" spans="1:22" s="75" customFormat="1" x14ac:dyDescent="0.8">
      <c r="A22" s="46">
        <f>IF(+All!$F369="Arkansas State",+All!A369,IF(+All!$H369="Arkansas State",+All!A369,0))</f>
        <v>5</v>
      </c>
      <c r="B22" s="348" t="str">
        <f>IF(+All!$F369="Arkansas State",+All!B369,IF(+All!$H369="Arkansas State",+All!B369,0))</f>
        <v>Sat</v>
      </c>
      <c r="C22" s="48">
        <f>IF(+All!$F369="Arkansas State",+All!C369,IF(+All!$H369="Arkansas State",+All!C369,0))</f>
        <v>44835</v>
      </c>
      <c r="D22" s="490">
        <f>IF(+All!$F369="Arkansas State",+All!D369,IF(+All!$H369="Arkansas State",+All!D369,0))</f>
        <v>0.79166666666666663</v>
      </c>
      <c r="E22" s="461">
        <f>IF(+All!$F369="Arkansas State",+All!E369,IF(+All!$H369="Arkansas State",+All!E369,0))</f>
        <v>0</v>
      </c>
      <c r="F22" s="51" t="str">
        <f>IF(+All!$F369="Arkansas State",+All!F369,IF(+All!$H369="Arkansas State",+All!F369,0))</f>
        <v>UL Monroe</v>
      </c>
      <c r="G22" s="52" t="str">
        <f>IF(+All!$F369="Arkansas State",+All!G369,IF(+All!$H369="Arkansas State",+All!G369,0))</f>
        <v>SB</v>
      </c>
      <c r="H22" s="51" t="str">
        <f>IF(+All!$F369="Arkansas State",+All!H369,IF(+All!$H369="Arkansas State",+All!H369,0))</f>
        <v>Arkansas State</v>
      </c>
      <c r="I22" s="52" t="str">
        <f>IF(+All!$F369="Arkansas State",+All!I369,IF(+All!$H369="Arkansas State",+All!I369,0))</f>
        <v>SB</v>
      </c>
      <c r="J22" s="460" t="str">
        <f>IF(+All!$F369="Arkansas State",+All!J369,IF(+All!$H369="Arkansas State",+All!J369,0))</f>
        <v>Arkansas State</v>
      </c>
      <c r="K22" s="461" t="str">
        <f>IF(+All!$F369="Arkansas State",+All!K369,IF(+All!$H369="Arkansas State",+All!K369,0))</f>
        <v>UL Monroe</v>
      </c>
      <c r="L22" s="54">
        <f>IF(+All!$F369="Arkansas State",+All!L369,IF(+All!$H369="Arkansas State",+All!L369,0))</f>
        <v>7.5</v>
      </c>
      <c r="M22" s="55">
        <f>IF(+All!$F369="Arkansas State",+All!M369,IF(+All!$H369="Arkansas State",+All!M369,0))</f>
        <v>60.5</v>
      </c>
      <c r="N22" s="460" t="str">
        <f>IF(+All!$F369="Arkansas State",+All!N369,IF(+All!$H369="Arkansas State",+All!N369,0))</f>
        <v>Arkansas State</v>
      </c>
      <c r="O22" s="462">
        <f>IF(+All!$F369="Arkansas State",+All!O369,IF(+All!$H369="Arkansas State",+All!O369,0))</f>
        <v>45</v>
      </c>
      <c r="P22" s="462" t="str">
        <f>IF(+All!$F369="Arkansas State",+All!P369,IF(+All!$H369="Arkansas State",+All!P369,0))</f>
        <v>UL Monroe</v>
      </c>
      <c r="Q22" s="461">
        <f>IF(+All!$F369="Arkansas State",+All!Q369,IF(+All!$H369="Arkansas State",+All!Q369,0))</f>
        <v>28</v>
      </c>
      <c r="R22" s="460" t="str">
        <f>IF(+All!$F369="Arkansas State",+All!R369,IF(+All!$H369="Arkansas State",+All!R369,0))</f>
        <v>Arkansas State</v>
      </c>
      <c r="S22" s="462" t="str">
        <f>IF(+All!$F369="Arkansas State",+All!S369,IF(+All!$H369="Arkansas State",+All!S369,0))</f>
        <v>UL Monroe</v>
      </c>
      <c r="T22" s="460" t="str">
        <f>IF(+All!$F369="Arkansas State",+All!T369,IF(+All!$H369="Arkansas State",+All!T369,0))</f>
        <v>Arkansas State</v>
      </c>
      <c r="U22" s="461" t="str">
        <f>IF(+All!$F369="Arkansas State",+All!U369,IF(+All!$H369="Arkansas State",+All!U369,0))</f>
        <v>W</v>
      </c>
      <c r="V22" s="482"/>
    </row>
    <row r="23" spans="1:22" s="75" customFormat="1" x14ac:dyDescent="0.8">
      <c r="A23" s="46">
        <f>IF(+All!$F426="Arkansas State",+All!A426,IF(+All!$H426="Arkansas State",+All!A426,0))</f>
        <v>6</v>
      </c>
      <c r="B23" s="348" t="str">
        <f>IF(+All!$F426="Arkansas State",+All!B426,IF(+All!$H426="Arkansas State",+All!B426,0))</f>
        <v>Sat</v>
      </c>
      <c r="C23" s="48">
        <f>IF(+All!$F426="Arkansas State",+All!C426,IF(+All!$H426="Arkansas State",+All!C426,0))</f>
        <v>44842</v>
      </c>
      <c r="D23" s="490">
        <f>IF(+All!$F426="Arkansas State",+All!D426,IF(+All!$H426="Arkansas State",+All!D426,0))</f>
        <v>0.79166666666666663</v>
      </c>
      <c r="E23" s="461" t="str">
        <f>IF(+All!$F426="Arkansas State",+All!E426,IF(+All!$H426="Arkansas State",+All!E426,0))</f>
        <v>NFL</v>
      </c>
      <c r="F23" s="51" t="str">
        <f>IF(+All!$F426="Arkansas State",+All!F426,IF(+All!$H426="Arkansas State",+All!F426,0))</f>
        <v>James Madison</v>
      </c>
      <c r="G23" s="52" t="str">
        <f>IF(+All!$F426="Arkansas State",+All!G426,IF(+All!$H426="Arkansas State",+All!G426,0))</f>
        <v>SB</v>
      </c>
      <c r="H23" s="51" t="str">
        <f>IF(+All!$F426="Arkansas State",+All!H426,IF(+All!$H426="Arkansas State",+All!H426,0))</f>
        <v>Arkansas State</v>
      </c>
      <c r="I23" s="52" t="str">
        <f>IF(+All!$F426="Arkansas State",+All!I426,IF(+All!$H426="Arkansas State",+All!I426,0))</f>
        <v>SB</v>
      </c>
      <c r="J23" s="460" t="str">
        <f>IF(+All!$F426="Arkansas State",+All!J426,IF(+All!$H426="Arkansas State",+All!J426,0))</f>
        <v>James Madison</v>
      </c>
      <c r="K23" s="461" t="str">
        <f>IF(+All!$F426="Arkansas State",+All!K426,IF(+All!$H426="Arkansas State",+All!K426,0))</f>
        <v>Arkansas State</v>
      </c>
      <c r="L23" s="54">
        <f>IF(+All!$F426="Arkansas State",+All!L426,IF(+All!$H426="Arkansas State",+All!L426,0))</f>
        <v>11.5</v>
      </c>
      <c r="M23" s="55">
        <f>IF(+All!$F426="Arkansas State",+All!M426,IF(+All!$H426="Arkansas State",+All!M426,0))</f>
        <v>55.5</v>
      </c>
      <c r="N23" s="460" t="str">
        <f>IF(+All!$F426="Arkansas State",+All!N426,IF(+All!$H426="Arkansas State",+All!N426,0))</f>
        <v>James Madison</v>
      </c>
      <c r="O23" s="462">
        <f>IF(+All!$F426="Arkansas State",+All!O426,IF(+All!$H426="Arkansas State",+All!O426,0))</f>
        <v>42</v>
      </c>
      <c r="P23" s="462" t="str">
        <f>IF(+All!$F426="Arkansas State",+All!P426,IF(+All!$H426="Arkansas State",+All!P426,0))</f>
        <v>Arkansas State</v>
      </c>
      <c r="Q23" s="461">
        <f>IF(+All!$F426="Arkansas State",+All!Q426,IF(+All!$H426="Arkansas State",+All!Q426,0))</f>
        <v>20</v>
      </c>
      <c r="R23" s="460" t="str">
        <f>IF(+All!$F426="Arkansas State",+All!R426,IF(+All!$H426="Arkansas State",+All!R426,0))</f>
        <v>James Madison</v>
      </c>
      <c r="S23" s="462" t="str">
        <f>IF(+All!$F426="Arkansas State",+All!S426,IF(+All!$H426="Arkansas State",+All!S426,0))</f>
        <v>Arkansas State</v>
      </c>
      <c r="T23" s="460" t="str">
        <f>IF(+All!$F426="Arkansas State",+All!T426,IF(+All!$H426="Arkansas State",+All!T426,0))</f>
        <v>James Madison</v>
      </c>
      <c r="U23" s="461" t="str">
        <f>IF(+All!$F426="Arkansas State",+All!U426,IF(+All!$H426="Arkansas State",+All!U426,0))</f>
        <v>W</v>
      </c>
      <c r="V23" s="482"/>
    </row>
    <row r="24" spans="1:22" s="75" customFormat="1" x14ac:dyDescent="0.8">
      <c r="A24" s="46">
        <f>IF(+All!$F484="Arkansas State",+All!A484,IF(+All!$H484="Arkansas State",+All!A484,0))</f>
        <v>7</v>
      </c>
      <c r="B24" s="348" t="str">
        <f>IF(+All!$F484="Arkansas State",+All!B484,IF(+All!$H484="Arkansas State",+All!B484,0))</f>
        <v>Sat</v>
      </c>
      <c r="C24" s="48">
        <f>IF(+All!$F484="Arkansas State",+All!C484,IF(+All!$H484="Arkansas State",+All!C484,0))</f>
        <v>44849</v>
      </c>
      <c r="D24" s="490">
        <f>IF(+All!$F484="Arkansas State",+All!D484,IF(+All!$H484="Arkansas State",+All!D484,0))</f>
        <v>0.79166666666666663</v>
      </c>
      <c r="E24" s="461">
        <f>IF(+All!$F484="Arkansas State",+All!E484,IF(+All!$H484="Arkansas State",+All!E484,0))</f>
        <v>0</v>
      </c>
      <c r="F24" s="51" t="str">
        <f>IF(+All!$F484="Arkansas State",+All!F484,IF(+All!$H484="Arkansas State",+All!F484,0))</f>
        <v>Arkansas State</v>
      </c>
      <c r="G24" s="52" t="str">
        <f>IF(+All!$F484="Arkansas State",+All!G484,IF(+All!$H484="Arkansas State",+All!G484,0))</f>
        <v>SB</v>
      </c>
      <c r="H24" s="51" t="str">
        <f>IF(+All!$F484="Arkansas State",+All!H484,IF(+All!$H484="Arkansas State",+All!H484,0))</f>
        <v>Southern Miss</v>
      </c>
      <c r="I24" s="52" t="str">
        <f>IF(+All!$F484="Arkansas State",+All!I484,IF(+All!$H484="Arkansas State",+All!I484,0))</f>
        <v>SB</v>
      </c>
      <c r="J24" s="460" t="str">
        <f>IF(+All!$F484="Arkansas State",+All!J484,IF(+All!$H484="Arkansas State",+All!J484,0))</f>
        <v>Southern Miss</v>
      </c>
      <c r="K24" s="461" t="str">
        <f>IF(+All!$F484="Arkansas State",+All!K484,IF(+All!$H484="Arkansas State",+All!K484,0))</f>
        <v>Arkansas State</v>
      </c>
      <c r="L24" s="54">
        <f>IF(+All!$F484="Arkansas State",+All!L484,IF(+All!$H484="Arkansas State",+All!L484,0))</f>
        <v>3.5</v>
      </c>
      <c r="M24" s="55">
        <f>IF(+All!$F484="Arkansas State",+All!M484,IF(+All!$H484="Arkansas State",+All!M484,0))</f>
        <v>54.5</v>
      </c>
      <c r="N24" s="460" t="str">
        <f>IF(+All!$F484="Arkansas State",+All!N484,IF(+All!$H484="Arkansas State",+All!N484,0))</f>
        <v>Southern Miss</v>
      </c>
      <c r="O24" s="462">
        <f>IF(+All!$F484="Arkansas State",+All!O484,IF(+All!$H484="Arkansas State",+All!O484,0))</f>
        <v>20</v>
      </c>
      <c r="P24" s="462" t="str">
        <f>IF(+All!$F484="Arkansas State",+All!P484,IF(+All!$H484="Arkansas State",+All!P484,0))</f>
        <v>Arkansas State</v>
      </c>
      <c r="Q24" s="461">
        <f>IF(+All!$F484="Arkansas State",+All!Q484,IF(+All!$H484="Arkansas State",+All!Q484,0))</f>
        <v>19</v>
      </c>
      <c r="R24" s="460" t="str">
        <f>IF(+All!$F484="Arkansas State",+All!R484,IF(+All!$H484="Arkansas State",+All!R484,0))</f>
        <v>Arkansas State</v>
      </c>
      <c r="S24" s="462" t="str">
        <f>IF(+All!$F484="Arkansas State",+All!S484,IF(+All!$H484="Arkansas State",+All!S484,0))</f>
        <v>Southern Miss</v>
      </c>
      <c r="T24" s="460" t="str">
        <f>IF(+All!$F484="Arkansas State",+All!T484,IF(+All!$H484="Arkansas State",+All!T484,0))</f>
        <v>Arkansas State</v>
      </c>
      <c r="U24" s="461" t="str">
        <f>IF(+All!$F484="Arkansas State",+All!U484,IF(+All!$H484="Arkansas State",+All!U484,0))</f>
        <v>W</v>
      </c>
      <c r="V24" s="482"/>
    </row>
    <row r="25" spans="1:22" s="75" customFormat="1" x14ac:dyDescent="0.8">
      <c r="A25" s="46">
        <f>IF(+All!$F539="Arkansas State",+All!A539,IF(+All!$H539="Arkansas State",+All!A539,0))</f>
        <v>8</v>
      </c>
      <c r="B25" s="348" t="str">
        <f>IF(+All!$F539="Arkansas State",+All!B539,IF(+All!$H539="Arkansas State",+All!B539,0))</f>
        <v>Sat</v>
      </c>
      <c r="C25" s="48">
        <f>IF(+All!$F539="Arkansas State",+All!C539,IF(+All!$H539="Arkansas State",+All!C539,0))</f>
        <v>44856</v>
      </c>
      <c r="D25" s="490">
        <f>IF(+All!$F539="Arkansas State",+All!D539,IF(+All!$H539="Arkansas State",+All!D539,0))</f>
        <v>0.70833333333333337</v>
      </c>
      <c r="E25" s="461">
        <f>IF(+All!$F539="Arkansas State",+All!E539,IF(+All!$H539="Arkansas State",+All!E539,0))</f>
        <v>0</v>
      </c>
      <c r="F25" s="51" t="str">
        <f>IF(+All!$F539="Arkansas State",+All!F539,IF(+All!$H539="Arkansas State",+All!F539,0))</f>
        <v>Arkansas State</v>
      </c>
      <c r="G25" s="52" t="str">
        <f>IF(+All!$F539="Arkansas State",+All!G539,IF(+All!$H539="Arkansas State",+All!G539,0))</f>
        <v>SB</v>
      </c>
      <c r="H25" s="51" t="str">
        <f>IF(+All!$F539="Arkansas State",+All!H539,IF(+All!$H539="Arkansas State",+All!H539,0))</f>
        <v>UL Lafayette</v>
      </c>
      <c r="I25" s="52" t="str">
        <f>IF(+All!$F539="Arkansas State",+All!I539,IF(+All!$H539="Arkansas State",+All!I539,0))</f>
        <v>SB</v>
      </c>
      <c r="J25" s="460" t="str">
        <f>IF(+All!$F539="Arkansas State",+All!J539,IF(+All!$H539="Arkansas State",+All!J539,0))</f>
        <v>UL Lafayette</v>
      </c>
      <c r="K25" s="461" t="str">
        <f>IF(+All!$F539="Arkansas State",+All!K539,IF(+All!$H539="Arkansas State",+All!K539,0))</f>
        <v>Arkansas State</v>
      </c>
      <c r="L25" s="54">
        <f>IF(+All!$F539="Arkansas State",+All!L539,IF(+All!$H539="Arkansas State",+All!L539,0))</f>
        <v>6.5</v>
      </c>
      <c r="M25" s="55">
        <f>IF(+All!$F539="Arkansas State",+All!M539,IF(+All!$H539="Arkansas State",+All!M539,0))</f>
        <v>51.5</v>
      </c>
      <c r="N25" s="460" t="str">
        <f>IF(+All!$F539="Arkansas State",+All!N539,IF(+All!$H539="Arkansas State",+All!N539,0))</f>
        <v>UL Lafayette</v>
      </c>
      <c r="O25" s="462">
        <f>IF(+All!$F539="Arkansas State",+All!O539,IF(+All!$H539="Arkansas State",+All!O539,0))</f>
        <v>38</v>
      </c>
      <c r="P25" s="462" t="str">
        <f>IF(+All!$F539="Arkansas State",+All!P539,IF(+All!$H539="Arkansas State",+All!P539,0))</f>
        <v>Arkansas State</v>
      </c>
      <c r="Q25" s="461">
        <f>IF(+All!$F539="Arkansas State",+All!Q539,IF(+All!$H539="Arkansas State",+All!Q539,0))</f>
        <v>18</v>
      </c>
      <c r="R25" s="460" t="str">
        <f>IF(+All!$F539="Arkansas State",+All!R539,IF(+All!$H539="Arkansas State",+All!R539,0))</f>
        <v>UL Lafayette</v>
      </c>
      <c r="S25" s="462" t="str">
        <f>IF(+All!$F539="Arkansas State",+All!S539,IF(+All!$H539="Arkansas State",+All!S539,0))</f>
        <v>Arkansas State</v>
      </c>
      <c r="T25" s="460" t="str">
        <f>IF(+All!$F539="Arkansas State",+All!T539,IF(+All!$H539="Arkansas State",+All!T539,0))</f>
        <v>Arkansas State</v>
      </c>
      <c r="U25" s="461" t="str">
        <f>IF(+All!$F539="Arkansas State",+All!U539,IF(+All!$H539="Arkansas State",+All!U539,0))</f>
        <v>L</v>
      </c>
      <c r="V25" s="482"/>
    </row>
    <row r="26" spans="1:22" s="75" customFormat="1" x14ac:dyDescent="0.8">
      <c r="A26" s="46">
        <f>IF(+All!$F585="Arkansas State",+All!A585,IF(+All!$H585="Arkansas State",+All!A585,0))</f>
        <v>9</v>
      </c>
      <c r="B26" s="348" t="str">
        <f>IF(+All!$F585="Arkansas State",+All!B585,IF(+All!$H585="Arkansas State",+All!B585,0))</f>
        <v>Sat</v>
      </c>
      <c r="C26" s="48">
        <f>IF(+All!$F585="Arkansas State",+All!C585,IF(+All!$H585="Arkansas State",+All!C585,0))</f>
        <v>44863</v>
      </c>
      <c r="D26" s="490">
        <f>IF(+All!$F585="Arkansas State",+All!D585,IF(+All!$H585="Arkansas State",+All!D585,0))</f>
        <v>0.66666666666666663</v>
      </c>
      <c r="E26" s="461" t="str">
        <f>IF(+All!$F585="Arkansas State",+All!E585,IF(+All!$H585="Arkansas State",+All!E585,0))</f>
        <v>ESPNU</v>
      </c>
      <c r="F26" s="51" t="str">
        <f>IF(+All!$F585="Arkansas State",+All!F585,IF(+All!$H585="Arkansas State",+All!F585,0))</f>
        <v>South Alabama</v>
      </c>
      <c r="G26" s="52" t="str">
        <f>IF(+All!$F585="Arkansas State",+All!G585,IF(+All!$H585="Arkansas State",+All!G585,0))</f>
        <v>SB</v>
      </c>
      <c r="H26" s="51" t="str">
        <f>IF(+All!$F585="Arkansas State",+All!H585,IF(+All!$H585="Arkansas State",+All!H585,0))</f>
        <v>Arkansas State</v>
      </c>
      <c r="I26" s="52" t="str">
        <f>IF(+All!$F585="Arkansas State",+All!I585,IF(+All!$H585="Arkansas State",+All!I585,0))</f>
        <v>SB</v>
      </c>
      <c r="J26" s="460" t="str">
        <f>IF(+All!$F585="Arkansas State",+All!J585,IF(+All!$H585="Arkansas State",+All!J585,0))</f>
        <v>South Alabama</v>
      </c>
      <c r="K26" s="461" t="str">
        <f>IF(+All!$F585="Arkansas State",+All!K585,IF(+All!$H585="Arkansas State",+All!K585,0))</f>
        <v>Arkansas State</v>
      </c>
      <c r="L26" s="54">
        <f>IF(+All!$F585="Arkansas State",+All!L585,IF(+All!$H585="Arkansas State",+All!L585,0))</f>
        <v>12.5</v>
      </c>
      <c r="M26" s="55">
        <f>IF(+All!$F585="Arkansas State",+All!M585,IF(+All!$H585="Arkansas State",+All!M585,0))</f>
        <v>55.5</v>
      </c>
      <c r="N26" s="460" t="str">
        <f>IF(+All!$F585="Arkansas State",+All!N585,IF(+All!$H585="Arkansas State",+All!N585,0))</f>
        <v>South Alabama</v>
      </c>
      <c r="O26" s="462">
        <f>IF(+All!$F585="Arkansas State",+All!O585,IF(+All!$H585="Arkansas State",+All!O585,0))</f>
        <v>31</v>
      </c>
      <c r="P26" s="462" t="str">
        <f>IF(+All!$F585="Arkansas State",+All!P585,IF(+All!$H585="Arkansas State",+All!P585,0))</f>
        <v>Arkansas State</v>
      </c>
      <c r="Q26" s="461">
        <f>IF(+All!$F585="Arkansas State",+All!Q585,IF(+All!$H585="Arkansas State",+All!Q585,0))</f>
        <v>3</v>
      </c>
      <c r="R26" s="460" t="str">
        <f>IF(+All!$F585="Arkansas State",+All!R585,IF(+All!$H585="Arkansas State",+All!R585,0))</f>
        <v>South Alabama</v>
      </c>
      <c r="S26" s="462" t="str">
        <f>IF(+All!$F585="Arkansas State",+All!S585,IF(+All!$H585="Arkansas State",+All!S585,0))</f>
        <v>Arkansas State</v>
      </c>
      <c r="T26" s="460" t="str">
        <f>IF(+All!$F585="Arkansas State",+All!T585,IF(+All!$H585="Arkansas State",+All!T585,0))</f>
        <v>Arkansas State</v>
      </c>
      <c r="U26" s="461" t="str">
        <f>IF(+All!$F585="Arkansas State",+All!U585,IF(+All!$H585="Arkansas State",+All!U585,0))</f>
        <v>L</v>
      </c>
      <c r="V26" s="482"/>
    </row>
    <row r="27" spans="1:22" s="75" customFormat="1" x14ac:dyDescent="0.8">
      <c r="A27" s="46" t="e">
        <f>IF(+All!#REF!="Arkansas State",+All!#REF!,IF(+All!#REF!="Arkansas State",+All!#REF!,0))</f>
        <v>#REF!</v>
      </c>
      <c r="B27" s="348" t="e">
        <f>IF(+All!#REF!="Arkansas State",+All!#REF!,IF(+All!#REF!="Arkansas State",+All!#REF!,0))</f>
        <v>#REF!</v>
      </c>
      <c r="C27" s="48" t="e">
        <f>IF(+All!#REF!="Arkansas State",+All!#REF!,IF(+All!#REF!="Arkansas State",+All!#REF!,0))</f>
        <v>#REF!</v>
      </c>
      <c r="D27" s="490" t="e">
        <f>IF(+All!#REF!="Arkansas State",+All!#REF!,IF(+All!#REF!="Arkansas State",+All!#REF!,0))</f>
        <v>#REF!</v>
      </c>
      <c r="E27" s="461" t="e">
        <f>IF(+All!#REF!="Arkansas State",+All!#REF!,IF(+All!#REF!="Arkansas State",+All!#REF!,0))</f>
        <v>#REF!</v>
      </c>
      <c r="F27" s="51" t="e">
        <f>IF(+All!#REF!="Arkansas State",+All!#REF!,IF(+All!#REF!="Arkansas State",+All!#REF!,0))</f>
        <v>#REF!</v>
      </c>
      <c r="G27" s="52" t="e">
        <f>IF(+All!#REF!="Arkansas State",+All!#REF!,IF(+All!#REF!="Arkansas State",+All!#REF!,0))</f>
        <v>#REF!</v>
      </c>
      <c r="H27" s="51" t="e">
        <f>IF(+All!#REF!="Arkansas State",+All!#REF!,IF(+All!#REF!="Arkansas State",+All!#REF!,0))</f>
        <v>#REF!</v>
      </c>
      <c r="I27" s="52" t="e">
        <f>IF(+All!#REF!="Arkansas State",+All!#REF!,IF(+All!#REF!="Arkansas State",+All!#REF!,0))</f>
        <v>#REF!</v>
      </c>
      <c r="J27" s="460" t="e">
        <f>IF(+All!#REF!="Arkansas State",+All!#REF!,IF(+All!#REF!="Arkansas State",+All!#REF!,0))</f>
        <v>#REF!</v>
      </c>
      <c r="K27" s="461" t="e">
        <f>IF(+All!#REF!="Arkansas State",+All!#REF!,IF(+All!#REF!="Arkansas State",+All!#REF!,0))</f>
        <v>#REF!</v>
      </c>
      <c r="L27" s="54" t="e">
        <f>IF(+All!#REF!="Arkansas State",+All!#REF!,IF(+All!#REF!="Arkansas State",+All!#REF!,0))</f>
        <v>#REF!</v>
      </c>
      <c r="M27" s="55" t="e">
        <f>IF(+All!#REF!="Arkansas State",+All!#REF!,IF(+All!#REF!="Arkansas State",+All!#REF!,0))</f>
        <v>#REF!</v>
      </c>
      <c r="N27" s="460" t="e">
        <f>IF(+All!#REF!="Arkansas State",+All!#REF!,IF(+All!#REF!="Arkansas State",+All!#REF!,0))</f>
        <v>#REF!</v>
      </c>
      <c r="O27" s="462" t="e">
        <f>IF(+All!#REF!="Arkansas State",+All!#REF!,IF(+All!#REF!="Arkansas State",+All!#REF!,0))</f>
        <v>#REF!</v>
      </c>
      <c r="P27" s="462" t="e">
        <f>IF(+All!#REF!="Arkansas State",+All!#REF!,IF(+All!#REF!="Arkansas State",+All!#REF!,0))</f>
        <v>#REF!</v>
      </c>
      <c r="Q27" s="461" t="e">
        <f>IF(+All!#REF!="Arkansas State",+All!#REF!,IF(+All!#REF!="Arkansas State",+All!#REF!,0))</f>
        <v>#REF!</v>
      </c>
      <c r="R27" s="460" t="e">
        <f>IF(+All!#REF!="Arkansas State",+All!#REF!,IF(+All!#REF!="Arkansas State",+All!#REF!,0))</f>
        <v>#REF!</v>
      </c>
      <c r="S27" s="462" t="e">
        <f>IF(+All!#REF!="Arkansas State",+All!#REF!,IF(+All!#REF!="Arkansas State",+All!#REF!,0))</f>
        <v>#REF!</v>
      </c>
      <c r="T27" s="460" t="e">
        <f>IF(+All!#REF!="Arkansas State",+All!#REF!,IF(+All!#REF!="Arkansas State",+All!#REF!,0))</f>
        <v>#REF!</v>
      </c>
      <c r="U27" s="461" t="e">
        <f>IF(+All!#REF!="Arkansas State",+All!#REF!,IF(+All!#REF!="Arkansas State",+All!#REF!,0))</f>
        <v>#REF!</v>
      </c>
      <c r="V27" s="482"/>
    </row>
    <row r="28" spans="1:22" s="75" customFormat="1" x14ac:dyDescent="0.8">
      <c r="A28" s="46">
        <f>IF(+All!$F704="Arkansas State",+All!A704,IF(+All!$H704="Arkansas State",+All!A704,0))</f>
        <v>11</v>
      </c>
      <c r="B28" s="348" t="str">
        <f>IF(+All!$F704="Arkansas State",+All!B704,IF(+All!$H704="Arkansas State",+All!B704,0))</f>
        <v>Sat</v>
      </c>
      <c r="C28" s="48">
        <f>IF(+All!$F704="Arkansas State",+All!C704,IF(+All!$H704="Arkansas State",+All!C704,0))</f>
        <v>44877</v>
      </c>
      <c r="D28" s="490">
        <f>IF(+All!$F704="Arkansas State",+All!D704,IF(+All!$H704="Arkansas State",+All!D704,0))</f>
        <v>0.625</v>
      </c>
      <c r="E28" s="461" t="str">
        <f>IF(+All!$F704="Arkansas State",+All!E704,IF(+All!$H704="Arkansas State",+All!E704,0))</f>
        <v>espn3</v>
      </c>
      <c r="F28" s="51" t="str">
        <f>IF(+All!$F704="Arkansas State",+All!F704,IF(+All!$H704="Arkansas State",+All!F704,0))</f>
        <v>Massachusetts</v>
      </c>
      <c r="G28" s="52" t="str">
        <f>IF(+All!$F704="Arkansas State",+All!G704,IF(+All!$H704="Arkansas State",+All!G704,0))</f>
        <v>Ind</v>
      </c>
      <c r="H28" s="51" t="str">
        <f>IF(+All!$F704="Arkansas State",+All!H704,IF(+All!$H704="Arkansas State",+All!H704,0))</f>
        <v>Arkansas State</v>
      </c>
      <c r="I28" s="52" t="str">
        <f>IF(+All!$F704="Arkansas State",+All!I704,IF(+All!$H704="Arkansas State",+All!I704,0))</f>
        <v>SB</v>
      </c>
      <c r="J28" s="460" t="str">
        <f>IF(+All!$F704="Arkansas State",+All!J704,IF(+All!$H704="Arkansas State",+All!J704,0))</f>
        <v>Arkansas State</v>
      </c>
      <c r="K28" s="461" t="str">
        <f>IF(+All!$F704="Arkansas State",+All!K704,IF(+All!$H704="Arkansas State",+All!K704,0))</f>
        <v>Massachusetts</v>
      </c>
      <c r="L28" s="54">
        <f>IF(+All!$F704="Arkansas State",+All!L704,IF(+All!$H704="Arkansas State",+All!L704,0))</f>
        <v>17</v>
      </c>
      <c r="M28" s="55">
        <f>IF(+All!$F704="Arkansas State",+All!M704,IF(+All!$H704="Arkansas State",+All!M704,0))</f>
        <v>49.5</v>
      </c>
      <c r="N28" s="460" t="str">
        <f>IF(+All!$F704="Arkansas State",+All!N704,IF(+All!$H704="Arkansas State",+All!N704,0))</f>
        <v>Arkansas State</v>
      </c>
      <c r="O28" s="462">
        <f>IF(+All!$F704="Arkansas State",+All!O704,IF(+All!$H704="Arkansas State",+All!O704,0))</f>
        <v>35</v>
      </c>
      <c r="P28" s="462" t="str">
        <f>IF(+All!$F704="Arkansas State",+All!P704,IF(+All!$H704="Arkansas State",+All!P704,0))</f>
        <v>Massachusetts</v>
      </c>
      <c r="Q28" s="461">
        <f>IF(+All!$F704="Arkansas State",+All!Q704,IF(+All!$H704="Arkansas State",+All!Q704,0))</f>
        <v>33</v>
      </c>
      <c r="R28" s="460" t="str">
        <f>IF(+All!$F704="Arkansas State",+All!R704,IF(+All!$H704="Arkansas State",+All!R704,0))</f>
        <v>Massachusetts</v>
      </c>
      <c r="S28" s="462" t="str">
        <f>IF(+All!$F704="Arkansas State",+All!S704,IF(+All!$H704="Arkansas State",+All!S704,0))</f>
        <v>Arkansas State</v>
      </c>
      <c r="T28" s="460" t="str">
        <f>IF(+All!$F704="Arkansas State",+All!T704,IF(+All!$H704="Arkansas State",+All!T704,0))</f>
        <v>Arkansas State</v>
      </c>
      <c r="U28" s="461" t="str">
        <f>IF(+All!$F704="Arkansas State",+All!U704,IF(+All!$H704="Arkansas State",+All!U704,0))</f>
        <v>L</v>
      </c>
      <c r="V28" s="482"/>
    </row>
    <row r="29" spans="1:22" s="75" customFormat="1" x14ac:dyDescent="0.8">
      <c r="A29" s="46">
        <f>IF(+All!$F773="Arkansas State",+All!A773,IF(+All!$H773="Arkansas State",+All!A773,0))</f>
        <v>12</v>
      </c>
      <c r="B29" s="348" t="str">
        <f>IF(+All!$F773="Arkansas State",+All!B773,IF(+All!$H773="Arkansas State",+All!B773,0))</f>
        <v>Sat</v>
      </c>
      <c r="C29" s="48">
        <f>IF(+All!$F773="Arkansas State",+All!C773,IF(+All!$H773="Arkansas State",+All!C773,0))</f>
        <v>44884</v>
      </c>
      <c r="D29" s="490">
        <f>IF(+All!$F773="Arkansas State",+All!D773,IF(+All!$H773="Arkansas State",+All!D773,0))</f>
        <v>0.70833333333333337</v>
      </c>
      <c r="E29" s="461" t="str">
        <f>IF(+All!$F773="Arkansas State",+All!E773,IF(+All!$H773="Arkansas State",+All!E773,0))</f>
        <v>espn3</v>
      </c>
      <c r="F29" s="51" t="str">
        <f>IF(+All!$F773="Arkansas State",+All!F773,IF(+All!$H773="Arkansas State",+All!F773,0))</f>
        <v>Arkansas State</v>
      </c>
      <c r="G29" s="52" t="str">
        <f>IF(+All!$F773="Arkansas State",+All!G773,IF(+All!$H773="Arkansas State",+All!G773,0))</f>
        <v>SB</v>
      </c>
      <c r="H29" s="51" t="str">
        <f>IF(+All!$F773="Arkansas State",+All!H773,IF(+All!$H773="Arkansas State",+All!H773,0))</f>
        <v>Texas State</v>
      </c>
      <c r="I29" s="52" t="str">
        <f>IF(+All!$F773="Arkansas State",+All!I773,IF(+All!$H773="Arkansas State",+All!I773,0))</f>
        <v>SB</v>
      </c>
      <c r="J29" s="460" t="str">
        <f>IF(+All!$F773="Arkansas State",+All!J773,IF(+All!$H773="Arkansas State",+All!J773,0))</f>
        <v>Texas State</v>
      </c>
      <c r="K29" s="461" t="str">
        <f>IF(+All!$F773="Arkansas State",+All!K773,IF(+All!$H773="Arkansas State",+All!K773,0))</f>
        <v>Arkansas State</v>
      </c>
      <c r="L29" s="54">
        <f>IF(+All!$F773="Arkansas State",+All!L773,IF(+All!$H773="Arkansas State",+All!L773,0))</f>
        <v>5.5</v>
      </c>
      <c r="M29" s="55">
        <f>IF(+All!$F773="Arkansas State",+All!M773,IF(+All!$H773="Arkansas State",+All!M773,0))</f>
        <v>51</v>
      </c>
      <c r="N29" s="460" t="str">
        <f>IF(+All!$F773="Arkansas State",+All!N773,IF(+All!$H773="Arkansas State",+All!N773,0))</f>
        <v>Texas State</v>
      </c>
      <c r="O29" s="462">
        <f>IF(+All!$F773="Arkansas State",+All!O773,IF(+All!$H773="Arkansas State",+All!O773,0))</f>
        <v>16</v>
      </c>
      <c r="P29" s="462" t="str">
        <f>IF(+All!$F773="Arkansas State",+All!P773,IF(+All!$H773="Arkansas State",+All!P773,0))</f>
        <v>Arkansas State</v>
      </c>
      <c r="Q29" s="461">
        <f>IF(+All!$F773="Arkansas State",+All!Q773,IF(+All!$H773="Arkansas State",+All!Q773,0))</f>
        <v>13</v>
      </c>
      <c r="R29" s="460" t="str">
        <f>IF(+All!$F773="Arkansas State",+All!R773,IF(+All!$H773="Arkansas State",+All!R773,0))</f>
        <v>Arkansas State</v>
      </c>
      <c r="S29" s="462" t="str">
        <f>IF(+All!$F773="Arkansas State",+All!S773,IF(+All!$H773="Arkansas State",+All!S773,0))</f>
        <v>Texas State</v>
      </c>
      <c r="T29" s="460" t="str">
        <f>IF(+All!$F773="Arkansas State",+All!T773,IF(+All!$H773="Arkansas State",+All!T773,0))</f>
        <v>Arkansas State</v>
      </c>
      <c r="U29" s="461" t="str">
        <f>IF(+All!$F773="Arkansas State",+All!U773,IF(+All!$H773="Arkansas State",+All!U773,0))</f>
        <v>W</v>
      </c>
      <c r="V29" s="482"/>
    </row>
    <row r="30" spans="1:22" s="75" customFormat="1" x14ac:dyDescent="0.8">
      <c r="A30" s="46">
        <f>IF(+All!$F837="Arkansas State",+All!A837,IF(+All!$H837="Arkansas State",+All!A837,0))</f>
        <v>13</v>
      </c>
      <c r="B30" s="348" t="str">
        <f>IF(+All!$F837="Arkansas State",+All!B837,IF(+All!$H837="Arkansas State",+All!B837,0))</f>
        <v>Sat</v>
      </c>
      <c r="C30" s="48">
        <f>IF(+All!$F837="Arkansas State",+All!C837,IF(+All!$H837="Arkansas State",+All!C837,0))</f>
        <v>44891</v>
      </c>
      <c r="D30" s="490">
        <f>IF(+All!$F837="Arkansas State",+All!D837,IF(+All!$H837="Arkansas State",+All!D837,0))</f>
        <v>0.64583333333333337</v>
      </c>
      <c r="E30" s="461" t="str">
        <f>IF(+All!$F837="Arkansas State",+All!E837,IF(+All!$H837="Arkansas State",+All!E837,0))</f>
        <v>ESPNU</v>
      </c>
      <c r="F30" s="51" t="str">
        <f>IF(+All!$F837="Arkansas State",+All!F837,IF(+All!$H837="Arkansas State",+All!F837,0))</f>
        <v>Troy</v>
      </c>
      <c r="G30" s="52" t="str">
        <f>IF(+All!$F837="Arkansas State",+All!G837,IF(+All!$H837="Arkansas State",+All!G837,0))</f>
        <v>SB</v>
      </c>
      <c r="H30" s="51" t="str">
        <f>IF(+All!$F837="Arkansas State",+All!H837,IF(+All!$H837="Arkansas State",+All!H837,0))</f>
        <v>Arkansas State</v>
      </c>
      <c r="I30" s="52" t="str">
        <f>IF(+All!$F837="Arkansas State",+All!I837,IF(+All!$H837="Arkansas State",+All!I837,0))</f>
        <v>SB</v>
      </c>
      <c r="J30" s="460" t="str">
        <f>IF(+All!$F837="Arkansas State",+All!J837,IF(+All!$H837="Arkansas State",+All!J837,0))</f>
        <v>Troy</v>
      </c>
      <c r="K30" s="461" t="str">
        <f>IF(+All!$F837="Arkansas State",+All!K837,IF(+All!$H837="Arkansas State",+All!K837,0))</f>
        <v>Arkansas State</v>
      </c>
      <c r="L30" s="54">
        <f>IF(+All!$F837="Arkansas State",+All!L837,IF(+All!$H837="Arkansas State",+All!L837,0))</f>
        <v>13.5</v>
      </c>
      <c r="M30" s="55">
        <f>IF(+All!$F837="Arkansas State",+All!M837,IF(+All!$H837="Arkansas State",+All!M837,0))</f>
        <v>45.5</v>
      </c>
      <c r="N30" s="460" t="str">
        <f>IF(+All!$F837="Arkansas State",+All!N837,IF(+All!$H837="Arkansas State",+All!N837,0))</f>
        <v>Troy</v>
      </c>
      <c r="O30" s="462">
        <f>IF(+All!$F837="Arkansas State",+All!O837,IF(+All!$H837="Arkansas State",+All!O837,0))</f>
        <v>48</v>
      </c>
      <c r="P30" s="462" t="str">
        <f>IF(+All!$F837="Arkansas State",+All!P837,IF(+All!$H837="Arkansas State",+All!P837,0))</f>
        <v>Arkansas State</v>
      </c>
      <c r="Q30" s="461">
        <f>IF(+All!$F837="Arkansas State",+All!Q837,IF(+All!$H837="Arkansas State",+All!Q837,0))</f>
        <v>19</v>
      </c>
      <c r="R30" s="460" t="str">
        <f>IF(+All!$F837="Arkansas State",+All!R837,IF(+All!$H837="Arkansas State",+All!R837,0))</f>
        <v>Troy</v>
      </c>
      <c r="S30" s="462" t="str">
        <f>IF(+All!$F837="Arkansas State",+All!S837,IF(+All!$H837="Arkansas State",+All!S837,0))</f>
        <v>Arkansas State</v>
      </c>
      <c r="T30" s="460" t="str">
        <f>IF(+All!$F837="Arkansas State",+All!T837,IF(+All!$H837="Arkansas State",+All!T837,0))</f>
        <v>Troy</v>
      </c>
      <c r="U30" s="461" t="str">
        <f>IF(+All!$F837="Arkansas State",+All!U837,IF(+All!$H837="Arkansas State",+All!U837,0))</f>
        <v>W</v>
      </c>
      <c r="V30" s="482"/>
    </row>
    <row r="31" spans="1:22" s="75" customFormat="1" x14ac:dyDescent="0.8">
      <c r="A31" s="46"/>
      <c r="B31" s="46"/>
      <c r="C31" s="62"/>
      <c r="D31" s="490"/>
      <c r="E31" s="461"/>
      <c r="F31" s="897" t="str">
        <f>H33</f>
        <v>Coastal Carolina</v>
      </c>
      <c r="G31" s="911"/>
      <c r="H31" s="911"/>
      <c r="I31" s="912"/>
      <c r="J31" s="460"/>
      <c r="K31" s="461"/>
      <c r="L31" s="54"/>
      <c r="M31" s="55"/>
      <c r="N31" s="460"/>
      <c r="O31" s="462"/>
      <c r="P31" s="462"/>
      <c r="Q31" s="461"/>
      <c r="R31" s="460"/>
      <c r="S31" s="462"/>
      <c r="T31" s="460"/>
      <c r="U31" s="461"/>
      <c r="V31" s="482"/>
    </row>
    <row r="32" spans="1:22" s="75" customFormat="1" x14ac:dyDescent="0.8">
      <c r="A32" s="46">
        <f>IF(+All!$F73="Coastal Carolina",+All!A73,IF(+All!$H73="Coastal Carolina",+All!A73,0))</f>
        <v>1</v>
      </c>
      <c r="B32" s="348" t="str">
        <f>IF(+All!$F73="Coastal Carolina",+All!B73,IF(+All!$H73="Coastal Carolina",+All!B73,0))</f>
        <v>Sat</v>
      </c>
      <c r="C32" s="48">
        <f>IF(+All!$F73="Coastal Carolina",+All!C73,IF(+All!$H73="Coastal Carolina",+All!C73,0))</f>
        <v>44807</v>
      </c>
      <c r="D32" s="490">
        <f>IF(+All!$F73="Coastal Carolina",+All!D73,IF(+All!$H73="Coastal Carolina",+All!D73,0))</f>
        <v>0.79166666666666663</v>
      </c>
      <c r="E32" s="461">
        <f>IF(+All!$F73="Coastal Carolina",+All!E73,IF(+All!$H73="Coastal Carolina",+All!E73,0))</f>
        <v>0</v>
      </c>
      <c r="F32" s="51" t="str">
        <f>IF(+All!$F73="Coastal Carolina",+All!F73,IF(+All!$H73="Coastal Carolina",+All!F73,0))</f>
        <v>Army</v>
      </c>
      <c r="G32" s="52" t="str">
        <f>IF(+All!$F73="Coastal Carolina",+All!G73,IF(+All!$H73="Coastal Carolina",+All!G73,0))</f>
        <v>Ind</v>
      </c>
      <c r="H32" s="51" t="str">
        <f>IF(+All!$F73="Coastal Carolina",+All!H73,IF(+All!$H73="Coastal Carolina",+All!H73,0))</f>
        <v>Coastal Carolina</v>
      </c>
      <c r="I32" s="52" t="str">
        <f>IF(+All!$F73="Coastal Carolina",+All!I73,IF(+All!$H73="Coastal Carolina",+All!I73,0))</f>
        <v>SB</v>
      </c>
      <c r="J32" s="460" t="str">
        <f>IF(+All!$F73="Coastal Carolina",+All!J73,IF(+All!$H73="Coastal Carolina",+All!J73,0))</f>
        <v>Coastal Carolina</v>
      </c>
      <c r="K32" s="461" t="str">
        <f>IF(+All!$F73="Coastal Carolina",+All!K73,IF(+All!$H73="Coastal Carolina",+All!K73,0))</f>
        <v>Army</v>
      </c>
      <c r="L32" s="54">
        <f>IF(+All!$F73="Coastal Carolina",+All!L73,IF(+All!$H73="Coastal Carolina",+All!L73,0))</f>
        <v>2.5</v>
      </c>
      <c r="M32" s="55">
        <f>IF(+All!$F73="Coastal Carolina",+All!M73,IF(+All!$H73="Coastal Carolina",+All!M73,0))</f>
        <v>53.5</v>
      </c>
      <c r="N32" s="460" t="str">
        <f>IF(+All!$F73="Coastal Carolina",+All!N73,IF(+All!$H73="Coastal Carolina",+All!N73,0))</f>
        <v>Coastal Carolina</v>
      </c>
      <c r="O32" s="462">
        <f>IF(+All!$F73="Coastal Carolina",+All!O73,IF(+All!$H73="Coastal Carolina",+All!O73,0))</f>
        <v>38</v>
      </c>
      <c r="P32" s="462" t="str">
        <f>IF(+All!$F73="Coastal Carolina",+All!P73,IF(+All!$H73="Coastal Carolina",+All!P73,0))</f>
        <v>Army</v>
      </c>
      <c r="Q32" s="461">
        <f>IF(+All!$F73="Coastal Carolina",+All!Q73,IF(+All!$H73="Coastal Carolina",+All!Q73,0))</f>
        <v>28</v>
      </c>
      <c r="R32" s="460" t="str">
        <f>IF(+All!$F73="Coastal Carolina",+All!R73,IF(+All!$H73="Coastal Carolina",+All!R73,0))</f>
        <v>Coastal Carolina</v>
      </c>
      <c r="S32" s="462" t="str">
        <f>IF(+All!$F73="Coastal Carolina",+All!S73,IF(+All!$H73="Coastal Carolina",+All!S73,0))</f>
        <v>Army</v>
      </c>
      <c r="T32" s="460" t="str">
        <f>IF(+All!$F73="Coastal Carolina",+All!T73,IF(+All!$H73="Coastal Carolina",+All!T73,0))</f>
        <v>Army</v>
      </c>
      <c r="U32" s="461" t="str">
        <f>IF(+All!$F73="Coastal Carolina",+All!U73,IF(+All!$H73="Coastal Carolina",+All!U73,0))</f>
        <v>L</v>
      </c>
      <c r="V32" s="482"/>
    </row>
    <row r="33" spans="1:22" s="75" customFormat="1" x14ac:dyDescent="0.8">
      <c r="A33" s="46">
        <f>IF(+All!$F165="Coastal Carolina",+All!A165,IF(+All!$H165="Coastal Carolina",+All!A165,0))</f>
        <v>2</v>
      </c>
      <c r="B33" s="348" t="str">
        <f>IF(+All!$F165="Coastal Carolina",+All!B165,IF(+All!$H165="Coastal Carolina",+All!B165,0))</f>
        <v>Sat</v>
      </c>
      <c r="C33" s="48">
        <f>IF(+All!$F165="Coastal Carolina",+All!C165,IF(+All!$H165="Coastal Carolina",+All!C165,0))</f>
        <v>414074</v>
      </c>
      <c r="D33" s="490">
        <f>IF(+All!$F165="Coastal Carolina",+All!D165,IF(+All!$H165="Coastal Carolina",+All!D165,0))</f>
        <v>0.75</v>
      </c>
      <c r="E33" s="461">
        <f>IF(+All!$F165="Coastal Carolina",+All!E165,IF(+All!$H165="Coastal Carolina",+All!E165,0))</f>
        <v>0</v>
      </c>
      <c r="F33" s="51" t="str">
        <f>IF(+All!$F165="Coastal Carolina",+All!F165,IF(+All!$H165="Coastal Carolina",+All!F165,0))</f>
        <v>1AA Gardner Webb</v>
      </c>
      <c r="G33" s="52" t="str">
        <f>IF(+All!$F165="Coastal Carolina",+All!G165,IF(+All!$H165="Coastal Carolina",+All!G165,0))</f>
        <v>1AA</v>
      </c>
      <c r="H33" s="51" t="str">
        <f>IF(+All!$F165="Coastal Carolina",+All!H165,IF(+All!$H165="Coastal Carolina",+All!H165,0))</f>
        <v>Coastal Carolina</v>
      </c>
      <c r="I33" s="52" t="str">
        <f>IF(+All!$F165="Coastal Carolina",+All!I165,IF(+All!$H165="Coastal Carolina",+All!I165,0))</f>
        <v>SB</v>
      </c>
      <c r="J33" s="460">
        <f>IF(+All!$F165="Coastal Carolina",+All!J165,IF(+All!$H165="Coastal Carolina",+All!J165,0))</f>
        <v>0</v>
      </c>
      <c r="K33" s="461">
        <f>IF(+All!$F165="Coastal Carolina",+All!K165,IF(+All!$H165="Coastal Carolina",+All!K165,0))</f>
        <v>0</v>
      </c>
      <c r="L33" s="54">
        <f>IF(+All!$F165="Coastal Carolina",+All!L165,IF(+All!$H165="Coastal Carolina",+All!L165,0))</f>
        <v>0</v>
      </c>
      <c r="M33" s="55">
        <f>IF(+All!$F165="Coastal Carolina",+All!M165,IF(+All!$H165="Coastal Carolina",+All!M165,0))</f>
        <v>0</v>
      </c>
      <c r="N33" s="460" t="str">
        <f>IF(+All!$F165="Coastal Carolina",+All!N165,IF(+All!$H165="Coastal Carolina",+All!N165,0))</f>
        <v>Coastal Carolina</v>
      </c>
      <c r="O33" s="462">
        <f>IF(+All!$F165="Coastal Carolina",+All!O165,IF(+All!$H165="Coastal Carolina",+All!O165,0))</f>
        <v>31</v>
      </c>
      <c r="P33" s="462" t="str">
        <f>IF(+All!$F165="Coastal Carolina",+All!P165,IF(+All!$H165="Coastal Carolina",+All!P165,0))</f>
        <v>1AA Gardner Webb</v>
      </c>
      <c r="Q33" s="461">
        <f>IF(+All!$F165="Coastal Carolina",+All!Q165,IF(+All!$H165="Coastal Carolina",+All!Q165,0))</f>
        <v>27</v>
      </c>
      <c r="R33" s="460">
        <f>IF(+All!$F165="Coastal Carolina",+All!R165,IF(+All!$H165="Coastal Carolina",+All!R165,0))</f>
        <v>0</v>
      </c>
      <c r="S33" s="462">
        <f>IF(+All!$F165="Coastal Carolina",+All!S165,IF(+All!$H165="Coastal Carolina",+All!S165,0))</f>
        <v>0</v>
      </c>
      <c r="T33" s="460">
        <f>IF(+All!$F165="Coastal Carolina",+All!T165,IF(+All!$H165="Coastal Carolina",+All!T165,0))</f>
        <v>0</v>
      </c>
      <c r="U33" s="461">
        <f>IF(+All!$F165="Coastal Carolina",+All!U165,IF(+All!$H165="Coastal Carolina",+All!U165,0))</f>
        <v>0</v>
      </c>
      <c r="V33" s="482"/>
    </row>
    <row r="34" spans="1:22" s="75" customFormat="1" x14ac:dyDescent="0.8">
      <c r="A34" s="46">
        <f>IF(+All!$F238="Coastal Carolina",+All!A238,IF(+All!$H238="Coastal Carolina",+All!A238,0))</f>
        <v>3</v>
      </c>
      <c r="B34" s="348" t="str">
        <f>IF(+All!$F238="Coastal Carolina",+All!B238,IF(+All!$H238="Coastal Carolina",+All!B238,0))</f>
        <v>Sat</v>
      </c>
      <c r="C34" s="48">
        <f>IF(+All!$F238="Coastal Carolina",+All!C238,IF(+All!$H238="Coastal Carolina",+All!C238,0))</f>
        <v>44821</v>
      </c>
      <c r="D34" s="490">
        <f>IF(+All!$F238="Coastal Carolina",+All!D238,IF(+All!$H238="Coastal Carolina",+All!D238,0))</f>
        <v>0.54166666666666663</v>
      </c>
      <c r="E34" s="461">
        <f>IF(+All!$F238="Coastal Carolina",+All!E238,IF(+All!$H238="Coastal Carolina",+All!E238,0))</f>
        <v>0</v>
      </c>
      <c r="F34" s="51" t="str">
        <f>IF(+All!$F238="Coastal Carolina",+All!F238,IF(+All!$H238="Coastal Carolina",+All!F238,0))</f>
        <v>Buffalo</v>
      </c>
      <c r="G34" s="52" t="str">
        <f>IF(+All!$F238="Coastal Carolina",+All!G238,IF(+All!$H238="Coastal Carolina",+All!G238,0))</f>
        <v>MAC</v>
      </c>
      <c r="H34" s="51" t="str">
        <f>IF(+All!$F238="Coastal Carolina",+All!H238,IF(+All!$H238="Coastal Carolina",+All!H238,0))</f>
        <v>Coastal Carolina</v>
      </c>
      <c r="I34" s="52" t="str">
        <f>IF(+All!$F238="Coastal Carolina",+All!I238,IF(+All!$H238="Coastal Carolina",+All!I238,0))</f>
        <v>SB</v>
      </c>
      <c r="J34" s="460" t="str">
        <f>IF(+All!$F238="Coastal Carolina",+All!J238,IF(+All!$H238="Coastal Carolina",+All!J238,0))</f>
        <v>Coastal Carolina</v>
      </c>
      <c r="K34" s="461" t="str">
        <f>IF(+All!$F238="Coastal Carolina",+All!K238,IF(+All!$H238="Coastal Carolina",+All!K238,0))</f>
        <v>Buffalo</v>
      </c>
      <c r="L34" s="54">
        <f>IF(+All!$F238="Coastal Carolina",+All!L238,IF(+All!$H238="Coastal Carolina",+All!L238,0))</f>
        <v>14</v>
      </c>
      <c r="M34" s="55">
        <f>IF(+All!$F238="Coastal Carolina",+All!M238,IF(+All!$H238="Coastal Carolina",+All!M238,0))</f>
        <v>59.5</v>
      </c>
      <c r="N34" s="460" t="str">
        <f>IF(+All!$F238="Coastal Carolina",+All!N238,IF(+All!$H238="Coastal Carolina",+All!N238,0))</f>
        <v>Coastal Carolina</v>
      </c>
      <c r="O34" s="462">
        <f>IF(+All!$F238="Coastal Carolina",+All!O238,IF(+All!$H238="Coastal Carolina",+All!O238,0))</f>
        <v>38</v>
      </c>
      <c r="P34" s="462" t="str">
        <f>IF(+All!$F238="Coastal Carolina",+All!P238,IF(+All!$H238="Coastal Carolina",+All!P238,0))</f>
        <v>Buffalo</v>
      </c>
      <c r="Q34" s="461">
        <f>IF(+All!$F238="Coastal Carolina",+All!Q238,IF(+All!$H238="Coastal Carolina",+All!Q238,0))</f>
        <v>26</v>
      </c>
      <c r="R34" s="460" t="str">
        <f>IF(+All!$F238="Coastal Carolina",+All!R238,IF(+All!$H238="Coastal Carolina",+All!R238,0))</f>
        <v>Buffalo</v>
      </c>
      <c r="S34" s="462" t="str">
        <f>IF(+All!$F238="Coastal Carolina",+All!S238,IF(+All!$H238="Coastal Carolina",+All!S238,0))</f>
        <v>Coastal Carolina</v>
      </c>
      <c r="T34" s="460" t="str">
        <f>IF(+All!$F238="Coastal Carolina",+All!T238,IF(+All!$H238="Coastal Carolina",+All!T238,0))</f>
        <v>Coastal Carolina</v>
      </c>
      <c r="U34" s="461" t="str">
        <f>IF(+All!$F238="Coastal Carolina",+All!U238,IF(+All!$H238="Coastal Carolina",+All!U238,0))</f>
        <v>L</v>
      </c>
      <c r="V34" s="482"/>
    </row>
    <row r="35" spans="1:22" s="75" customFormat="1" x14ac:dyDescent="0.8">
      <c r="A35" s="46">
        <f>IF(+All!$F254="Coastal Carolina",+All!A254,IF(+All!$H254="Coastal Carolina",+All!A254,0))</f>
        <v>4</v>
      </c>
      <c r="B35" s="348" t="str">
        <f>IF(+All!$F254="Coastal Carolina",+All!B254,IF(+All!$H254="Coastal Carolina",+All!B254,0))</f>
        <v>Thurs</v>
      </c>
      <c r="C35" s="48">
        <f>IF(+All!$F254="Coastal Carolina",+All!C254,IF(+All!$H254="Coastal Carolina",+All!C254,0))</f>
        <v>44826</v>
      </c>
      <c r="D35" s="490">
        <f>IF(+All!$F254="Coastal Carolina",+All!D254,IF(+All!$H254="Coastal Carolina",+All!D254,0))</f>
        <v>0.8125</v>
      </c>
      <c r="E35" s="461" t="str">
        <f>IF(+All!$F254="Coastal Carolina",+All!E254,IF(+All!$H254="Coastal Carolina",+All!E254,0))</f>
        <v>ESPN2</v>
      </c>
      <c r="F35" s="51" t="str">
        <f>IF(+All!$F254="Coastal Carolina",+All!F254,IF(+All!$H254="Coastal Carolina",+All!F254,0))</f>
        <v>Coastal Carolina</v>
      </c>
      <c r="G35" s="52" t="str">
        <f>IF(+All!$F254="Coastal Carolina",+All!G254,IF(+All!$H254="Coastal Carolina",+All!G254,0))</f>
        <v>SB</v>
      </c>
      <c r="H35" s="51" t="str">
        <f>IF(+All!$F254="Coastal Carolina",+All!H254,IF(+All!$H254="Coastal Carolina",+All!H254,0))</f>
        <v>Georgia State</v>
      </c>
      <c r="I35" s="52" t="str">
        <f>IF(+All!$F254="Coastal Carolina",+All!I254,IF(+All!$H254="Coastal Carolina",+All!I254,0))</f>
        <v>SB</v>
      </c>
      <c r="J35" s="460" t="str">
        <f>IF(+All!$F254="Coastal Carolina",+All!J254,IF(+All!$H254="Coastal Carolina",+All!J254,0))</f>
        <v>Coastal Carolina</v>
      </c>
      <c r="K35" s="461" t="str">
        <f>IF(+All!$F254="Coastal Carolina",+All!K254,IF(+All!$H254="Coastal Carolina",+All!K254,0))</f>
        <v>Georgia State</v>
      </c>
      <c r="L35" s="54">
        <f>IF(+All!$F254="Coastal Carolina",+All!L254,IF(+All!$H254="Coastal Carolina",+All!L254,0))</f>
        <v>2.5</v>
      </c>
      <c r="M35" s="55">
        <f>IF(+All!$F254="Coastal Carolina",+All!M254,IF(+All!$H254="Coastal Carolina",+All!M254,0))</f>
        <v>62</v>
      </c>
      <c r="N35" s="460" t="str">
        <f>IF(+All!$F254="Coastal Carolina",+All!N254,IF(+All!$H254="Coastal Carolina",+All!N254,0))</f>
        <v>Coastal Carolina</v>
      </c>
      <c r="O35" s="462">
        <f>IF(+All!$F254="Coastal Carolina",+All!O254,IF(+All!$H254="Coastal Carolina",+All!O254,0))</f>
        <v>41</v>
      </c>
      <c r="P35" s="462" t="str">
        <f>IF(+All!$F254="Coastal Carolina",+All!P254,IF(+All!$H254="Coastal Carolina",+All!P254,0))</f>
        <v>Georgia State</v>
      </c>
      <c r="Q35" s="461">
        <f>IF(+All!$F254="Coastal Carolina",+All!Q254,IF(+All!$H254="Coastal Carolina",+All!Q254,0))</f>
        <v>24</v>
      </c>
      <c r="R35" s="460" t="str">
        <f>IF(+All!$F254="Coastal Carolina",+All!R254,IF(+All!$H254="Coastal Carolina",+All!R254,0))</f>
        <v>Coastal Carolina</v>
      </c>
      <c r="S35" s="462" t="str">
        <f>IF(+All!$F254="Coastal Carolina",+All!S254,IF(+All!$H254="Coastal Carolina",+All!S254,0))</f>
        <v>Georgia State</v>
      </c>
      <c r="T35" s="460" t="str">
        <f>IF(+All!$F254="Coastal Carolina",+All!T254,IF(+All!$H254="Coastal Carolina",+All!T254,0))</f>
        <v>Coastal Carolina</v>
      </c>
      <c r="U35" s="461" t="str">
        <f>IF(+All!$F254="Coastal Carolina",+All!U254,IF(+All!$H254="Coastal Carolina",+All!U254,0))</f>
        <v>W</v>
      </c>
      <c r="V35" s="482"/>
    </row>
    <row r="36" spans="1:22" s="75" customFormat="1" x14ac:dyDescent="0.8">
      <c r="A36" s="46">
        <f>IF(+All!$F370="Coastal Carolina",+All!A370,IF(+All!$H370="Coastal Carolina",+All!A370,0))</f>
        <v>5</v>
      </c>
      <c r="B36" s="348" t="str">
        <f>IF(+All!$F370="Coastal Carolina",+All!B370,IF(+All!$H370="Coastal Carolina",+All!B370,0))</f>
        <v>Sat</v>
      </c>
      <c r="C36" s="48">
        <f>IF(+All!$F370="Coastal Carolina",+All!C370,IF(+All!$H370="Coastal Carolina",+All!C370,0))</f>
        <v>44835</v>
      </c>
      <c r="D36" s="490">
        <f>IF(+All!$F370="Coastal Carolina",+All!D370,IF(+All!$H370="Coastal Carolina",+All!D370,0))</f>
        <v>0.66666666666666663</v>
      </c>
      <c r="E36" s="461">
        <f>IF(+All!$F370="Coastal Carolina",+All!E370,IF(+All!$H370="Coastal Carolina",+All!E370,0))</f>
        <v>0</v>
      </c>
      <c r="F36" s="51" t="str">
        <f>IF(+All!$F370="Coastal Carolina",+All!F370,IF(+All!$H370="Coastal Carolina",+All!F370,0))</f>
        <v>Georgia Southern</v>
      </c>
      <c r="G36" s="52" t="str">
        <f>IF(+All!$F370="Coastal Carolina",+All!G370,IF(+All!$H370="Coastal Carolina",+All!G370,0))</f>
        <v>SB</v>
      </c>
      <c r="H36" s="51" t="str">
        <f>IF(+All!$F370="Coastal Carolina",+All!H370,IF(+All!$H370="Coastal Carolina",+All!H370,0))</f>
        <v>Coastal Carolina</v>
      </c>
      <c r="I36" s="52" t="str">
        <f>IF(+All!$F370="Coastal Carolina",+All!I370,IF(+All!$H370="Coastal Carolina",+All!I370,0))</f>
        <v>SB</v>
      </c>
      <c r="J36" s="460" t="str">
        <f>IF(+All!$F370="Coastal Carolina",+All!J370,IF(+All!$H370="Coastal Carolina",+All!J370,0))</f>
        <v>Coastal Carolina</v>
      </c>
      <c r="K36" s="461" t="str">
        <f>IF(+All!$F370="Coastal Carolina",+All!K370,IF(+All!$H370="Coastal Carolina",+All!K370,0))</f>
        <v>Georgia Southern</v>
      </c>
      <c r="L36" s="54">
        <f>IF(+All!$F370="Coastal Carolina",+All!L370,IF(+All!$H370="Coastal Carolina",+All!L370,0))</f>
        <v>10</v>
      </c>
      <c r="M36" s="55">
        <f>IF(+All!$F370="Coastal Carolina",+All!M370,IF(+All!$H370="Coastal Carolina",+All!M370,0))</f>
        <v>67.5</v>
      </c>
      <c r="N36" s="460" t="str">
        <f>IF(+All!$F370="Coastal Carolina",+All!N370,IF(+All!$H370="Coastal Carolina",+All!N370,0))</f>
        <v>Coastal Carolina</v>
      </c>
      <c r="O36" s="462">
        <f>IF(+All!$F370="Coastal Carolina",+All!O370,IF(+All!$H370="Coastal Carolina",+All!O370,0))</f>
        <v>34</v>
      </c>
      <c r="P36" s="462" t="str">
        <f>IF(+All!$F370="Coastal Carolina",+All!P370,IF(+All!$H370="Coastal Carolina",+All!P370,0))</f>
        <v>Georgia Southern</v>
      </c>
      <c r="Q36" s="461">
        <f>IF(+All!$F370="Coastal Carolina",+All!Q370,IF(+All!$H370="Coastal Carolina",+All!Q370,0))</f>
        <v>30</v>
      </c>
      <c r="R36" s="460" t="str">
        <f>IF(+All!$F370="Coastal Carolina",+All!R370,IF(+All!$H370="Coastal Carolina",+All!R370,0))</f>
        <v>Georgia Southern</v>
      </c>
      <c r="S36" s="462" t="str">
        <f>IF(+All!$F370="Coastal Carolina",+All!S370,IF(+All!$H370="Coastal Carolina",+All!S370,0))</f>
        <v>Coastal Carolina</v>
      </c>
      <c r="T36" s="460" t="str">
        <f>IF(+All!$F370="Coastal Carolina",+All!T370,IF(+All!$H370="Coastal Carolina",+All!T370,0))</f>
        <v>Georgia Southern</v>
      </c>
      <c r="U36" s="461" t="str">
        <f>IF(+All!$F370="Coastal Carolina",+All!U370,IF(+All!$H370="Coastal Carolina",+All!U370,0))</f>
        <v>W</v>
      </c>
      <c r="V36" s="482"/>
    </row>
    <row r="37" spans="1:22" s="75" customFormat="1" x14ac:dyDescent="0.8">
      <c r="A37" s="46">
        <f>IF(+All!$F430="Coastal Carolina",+All!A430,IF(+All!$H430="Coastal Carolina",+All!A430,0))</f>
        <v>6</v>
      </c>
      <c r="B37" s="348" t="str">
        <f>IF(+All!$F430="Coastal Carolina",+All!B430,IF(+All!$H430="Coastal Carolina",+All!B430,0))</f>
        <v>Sat</v>
      </c>
      <c r="C37" s="48">
        <f>IF(+All!$F430="Coastal Carolina",+All!C430,IF(+All!$H430="Coastal Carolina",+All!C430,0))</f>
        <v>44842</v>
      </c>
      <c r="D37" s="490">
        <f>IF(+All!$F430="Coastal Carolina",+All!D430,IF(+All!$H430="Coastal Carolina",+All!D430,0))</f>
        <v>0.83333333333333337</v>
      </c>
      <c r="E37" s="461">
        <f>IF(+All!$F430="Coastal Carolina",+All!E430,IF(+All!$H430="Coastal Carolina",+All!E430,0))</f>
        <v>0</v>
      </c>
      <c r="F37" s="51" t="str">
        <f>IF(+All!$F430="Coastal Carolina",+All!F430,IF(+All!$H430="Coastal Carolina",+All!F430,0))</f>
        <v>Coastal Carolina</v>
      </c>
      <c r="G37" s="52" t="str">
        <f>IF(+All!$F430="Coastal Carolina",+All!G430,IF(+All!$H430="Coastal Carolina",+All!G430,0))</f>
        <v>SB</v>
      </c>
      <c r="H37" s="51" t="str">
        <f>IF(+All!$F430="Coastal Carolina",+All!H430,IF(+All!$H430="Coastal Carolina",+All!H430,0))</f>
        <v>UL Monroe</v>
      </c>
      <c r="I37" s="52" t="str">
        <f>IF(+All!$F430="Coastal Carolina",+All!I430,IF(+All!$H430="Coastal Carolina",+All!I430,0))</f>
        <v>SB</v>
      </c>
      <c r="J37" s="460" t="str">
        <f>IF(+All!$F430="Coastal Carolina",+All!J430,IF(+All!$H430="Coastal Carolina",+All!J430,0))</f>
        <v>Coastal Carolina</v>
      </c>
      <c r="K37" s="461" t="str">
        <f>IF(+All!$F430="Coastal Carolina",+All!K430,IF(+All!$H430="Coastal Carolina",+All!K430,0))</f>
        <v>UL Monroe</v>
      </c>
      <c r="L37" s="54">
        <f>IF(+All!$F430="Coastal Carolina",+All!L430,IF(+All!$H430="Coastal Carolina",+All!L430,0))</f>
        <v>14</v>
      </c>
      <c r="M37" s="55">
        <f>IF(+All!$F430="Coastal Carolina",+All!M430,IF(+All!$H430="Coastal Carolina",+All!M430,0))</f>
        <v>58</v>
      </c>
      <c r="N37" s="460" t="str">
        <f>IF(+All!$F430="Coastal Carolina",+All!N430,IF(+All!$H430="Coastal Carolina",+All!N430,0))</f>
        <v>Coastal Carolina</v>
      </c>
      <c r="O37" s="462">
        <f>IF(+All!$F430="Coastal Carolina",+All!O430,IF(+All!$H430="Coastal Carolina",+All!O430,0))</f>
        <v>28</v>
      </c>
      <c r="P37" s="462" t="str">
        <f>IF(+All!$F430="Coastal Carolina",+All!P430,IF(+All!$H430="Coastal Carolina",+All!P430,0))</f>
        <v>UL Monroe</v>
      </c>
      <c r="Q37" s="461">
        <f>IF(+All!$F430="Coastal Carolina",+All!Q430,IF(+All!$H430="Coastal Carolina",+All!Q430,0))</f>
        <v>21</v>
      </c>
      <c r="R37" s="460" t="str">
        <f>IF(+All!$F430="Coastal Carolina",+All!R430,IF(+All!$H430="Coastal Carolina",+All!R430,0))</f>
        <v>UL Monroe</v>
      </c>
      <c r="S37" s="462" t="str">
        <f>IF(+All!$F430="Coastal Carolina",+All!S430,IF(+All!$H430="Coastal Carolina",+All!S430,0))</f>
        <v>Coastal Carolina</v>
      </c>
      <c r="T37" s="460" t="str">
        <f>IF(+All!$F430="Coastal Carolina",+All!T430,IF(+All!$H430="Coastal Carolina",+All!T430,0))</f>
        <v>Coastal Carolina</v>
      </c>
      <c r="U37" s="461" t="str">
        <f>IF(+All!$F430="Coastal Carolina",+All!U430,IF(+All!$H430="Coastal Carolina",+All!U430,0))</f>
        <v>L</v>
      </c>
      <c r="V37" s="482"/>
    </row>
    <row r="38" spans="1:22" s="75" customFormat="1" x14ac:dyDescent="0.8">
      <c r="A38" s="46">
        <f>IF(+All!$F481="Coastal Carolina",+All!A481,IF(+All!$H481="Coastal Carolina",+All!A481,0))</f>
        <v>7</v>
      </c>
      <c r="B38" s="348" t="str">
        <f>IF(+All!$F481="Coastal Carolina",+All!B481,IF(+All!$H481="Coastal Carolina",+All!B481,0))</f>
        <v>Sat</v>
      </c>
      <c r="C38" s="48">
        <f>IF(+All!$F481="Coastal Carolina",+All!C481,IF(+All!$H481="Coastal Carolina",+All!C481,0))</f>
        <v>44849</v>
      </c>
      <c r="D38" s="490">
        <f>IF(+All!$F481="Coastal Carolina",+All!D481,IF(+All!$H481="Coastal Carolina",+All!D481,0))</f>
        <v>0.5</v>
      </c>
      <c r="E38" s="461" t="str">
        <f>IF(+All!$F481="Coastal Carolina",+All!E481,IF(+All!$H481="Coastal Carolina",+All!E481,0))</f>
        <v>ESPNU</v>
      </c>
      <c r="F38" s="51" t="str">
        <f>IF(+All!$F481="Coastal Carolina",+All!F481,IF(+All!$H481="Coastal Carolina",+All!F481,0))</f>
        <v>Old Dominion</v>
      </c>
      <c r="G38" s="52" t="str">
        <f>IF(+All!$F481="Coastal Carolina",+All!G481,IF(+All!$H481="Coastal Carolina",+All!G481,0))</f>
        <v>SB</v>
      </c>
      <c r="H38" s="51" t="str">
        <f>IF(+All!$F481="Coastal Carolina",+All!H481,IF(+All!$H481="Coastal Carolina",+All!H481,0))</f>
        <v>Coastal Carolina</v>
      </c>
      <c r="I38" s="52" t="str">
        <f>IF(+All!$F481="Coastal Carolina",+All!I481,IF(+All!$H481="Coastal Carolina",+All!I481,0))</f>
        <v>SB</v>
      </c>
      <c r="J38" s="460" t="str">
        <f>IF(+All!$F481="Coastal Carolina",+All!J481,IF(+All!$H481="Coastal Carolina",+All!J481,0))</f>
        <v>Coastal Carolina</v>
      </c>
      <c r="K38" s="461" t="str">
        <f>IF(+All!$F481="Coastal Carolina",+All!K481,IF(+All!$H481="Coastal Carolina",+All!K481,0))</f>
        <v>Old Dominion</v>
      </c>
      <c r="L38" s="54">
        <f>IF(+All!$F481="Coastal Carolina",+All!L481,IF(+All!$H481="Coastal Carolina",+All!L481,0))</f>
        <v>13</v>
      </c>
      <c r="M38" s="55">
        <f>IF(+All!$F481="Coastal Carolina",+All!M481,IF(+All!$H481="Coastal Carolina",+All!M481,0))</f>
        <v>56.5</v>
      </c>
      <c r="N38" s="460" t="str">
        <f>IF(+All!$F481="Coastal Carolina",+All!N481,IF(+All!$H481="Coastal Carolina",+All!N481,0))</f>
        <v>Old Dominion</v>
      </c>
      <c r="O38" s="462">
        <f>IF(+All!$F481="Coastal Carolina",+All!O481,IF(+All!$H481="Coastal Carolina",+All!O481,0))</f>
        <v>49</v>
      </c>
      <c r="P38" s="462" t="str">
        <f>IF(+All!$F481="Coastal Carolina",+All!P481,IF(+All!$H481="Coastal Carolina",+All!P481,0))</f>
        <v>Coastal Carolina</v>
      </c>
      <c r="Q38" s="461">
        <f>IF(+All!$F481="Coastal Carolina",+All!Q481,IF(+All!$H481="Coastal Carolina",+All!Q481,0))</f>
        <v>21</v>
      </c>
      <c r="R38" s="460" t="str">
        <f>IF(+All!$F481="Coastal Carolina",+All!R481,IF(+All!$H481="Coastal Carolina",+All!R481,0))</f>
        <v>Old Dominion</v>
      </c>
      <c r="S38" s="462" t="str">
        <f>IF(+All!$F481="Coastal Carolina",+All!S481,IF(+All!$H481="Coastal Carolina",+All!S481,0))</f>
        <v>Coastal Carolina</v>
      </c>
      <c r="T38" s="460" t="str">
        <f>IF(+All!$F481="Coastal Carolina",+All!T481,IF(+All!$H481="Coastal Carolina",+All!T481,0))</f>
        <v>Old Dominion</v>
      </c>
      <c r="U38" s="461" t="str">
        <f>IF(+All!$F481="Coastal Carolina",+All!U481,IF(+All!$H481="Coastal Carolina",+All!U481,0))</f>
        <v>W</v>
      </c>
      <c r="V38" s="482"/>
    </row>
    <row r="39" spans="1:22" s="75" customFormat="1" x14ac:dyDescent="0.8">
      <c r="A39" s="46" t="e">
        <f>IF(+All!#REF!="Coastal Carolina",+All!#REF!,IF(+All!#REF!="Coastal Carolina",+All!#REF!,0))</f>
        <v>#REF!</v>
      </c>
      <c r="B39" s="348" t="e">
        <f>IF(+All!#REF!="Coastal Carolina",+All!#REF!,IF(+All!#REF!="Coastal Carolina",+All!#REF!,0))</f>
        <v>#REF!</v>
      </c>
      <c r="C39" s="48" t="e">
        <f>IF(+All!#REF!="Coastal Carolina",+All!#REF!,IF(+All!#REF!="Coastal Carolina",+All!#REF!,0))</f>
        <v>#REF!</v>
      </c>
      <c r="D39" s="490" t="e">
        <f>IF(+All!#REF!="Coastal Carolina",+All!#REF!,IF(+All!#REF!="Coastal Carolina",+All!#REF!,0))</f>
        <v>#REF!</v>
      </c>
      <c r="E39" s="461" t="e">
        <f>IF(+All!#REF!="Coastal Carolina",+All!#REF!,IF(+All!#REF!="Coastal Carolina",+All!#REF!,0))</f>
        <v>#REF!</v>
      </c>
      <c r="F39" s="51" t="e">
        <f>IF(+All!#REF!="Coastal Carolina",+All!#REF!,IF(+All!#REF!="Coastal Carolina",+All!#REF!,0))</f>
        <v>#REF!</v>
      </c>
      <c r="G39" s="52" t="e">
        <f>IF(+All!#REF!="Coastal Carolina",+All!#REF!,IF(+All!#REF!="Coastal Carolina",+All!#REF!,0))</f>
        <v>#REF!</v>
      </c>
      <c r="H39" s="51" t="e">
        <f>IF(+All!#REF!="Coastal Carolina",+All!#REF!,IF(+All!#REF!="Coastal Carolina",+All!#REF!,0))</f>
        <v>#REF!</v>
      </c>
      <c r="I39" s="52" t="e">
        <f>IF(+All!#REF!="Coastal Carolina",+All!#REF!,IF(+All!#REF!="Coastal Carolina",+All!#REF!,0))</f>
        <v>#REF!</v>
      </c>
      <c r="J39" s="460" t="e">
        <f>IF(+All!#REF!="Coastal Carolina",+All!#REF!,IF(+All!#REF!="Coastal Carolina",+All!#REF!,0))</f>
        <v>#REF!</v>
      </c>
      <c r="K39" s="461" t="e">
        <f>IF(+All!#REF!="Coastal Carolina",+All!#REF!,IF(+All!#REF!="Coastal Carolina",+All!#REF!,0))</f>
        <v>#REF!</v>
      </c>
      <c r="L39" s="54" t="e">
        <f>IF(+All!#REF!="Coastal Carolina",+All!#REF!,IF(+All!#REF!="Coastal Carolina",+All!#REF!,0))</f>
        <v>#REF!</v>
      </c>
      <c r="M39" s="55" t="e">
        <f>IF(+All!#REF!="Coastal Carolina",+All!#REF!,IF(+All!#REF!="Coastal Carolina",+All!#REF!,0))</f>
        <v>#REF!</v>
      </c>
      <c r="N39" s="460" t="e">
        <f>IF(+All!#REF!="Coastal Carolina",+All!#REF!,IF(+All!#REF!="Coastal Carolina",+All!#REF!,0))</f>
        <v>#REF!</v>
      </c>
      <c r="O39" s="462" t="e">
        <f>IF(+All!#REF!="Coastal Carolina",+All!#REF!,IF(+All!#REF!="Coastal Carolina",+All!#REF!,0))</f>
        <v>#REF!</v>
      </c>
      <c r="P39" s="462" t="e">
        <f>IF(+All!#REF!="Coastal Carolina",+All!#REF!,IF(+All!#REF!="Coastal Carolina",+All!#REF!,0))</f>
        <v>#REF!</v>
      </c>
      <c r="Q39" s="461" t="e">
        <f>IF(+All!#REF!="Coastal Carolina",+All!#REF!,IF(+All!#REF!="Coastal Carolina",+All!#REF!,0))</f>
        <v>#REF!</v>
      </c>
      <c r="R39" s="460" t="e">
        <f>IF(+All!#REF!="Coastal Carolina",+All!#REF!,IF(+All!#REF!="Coastal Carolina",+All!#REF!,0))</f>
        <v>#REF!</v>
      </c>
      <c r="S39" s="462" t="e">
        <f>IF(+All!#REF!="Coastal Carolina",+All!#REF!,IF(+All!#REF!="Coastal Carolina",+All!#REF!,0))</f>
        <v>#REF!</v>
      </c>
      <c r="T39" s="460" t="e">
        <f>IF(+All!#REF!="Coastal Carolina",+All!#REF!,IF(+All!#REF!="Coastal Carolina",+All!#REF!,0))</f>
        <v>#REF!</v>
      </c>
      <c r="U39" s="461" t="e">
        <f>IF(+All!#REF!="Coastal Carolina",+All!#REF!,IF(+All!#REF!="Coastal Carolina",+All!#REF!,0))</f>
        <v>#REF!</v>
      </c>
      <c r="V39" s="482"/>
    </row>
    <row r="40" spans="1:22" s="75" customFormat="1" x14ac:dyDescent="0.8">
      <c r="A40" s="46">
        <f>IF(+All!$F587="Coastal Carolina",+All!A587,IF(+All!$H587="Coastal Carolina",+All!A587,0))</f>
        <v>9</v>
      </c>
      <c r="B40" s="348" t="str">
        <f>IF(+All!$F587="Coastal Carolina",+All!B587,IF(+All!$H587="Coastal Carolina",+All!B587,0))</f>
        <v>Sat</v>
      </c>
      <c r="C40" s="48">
        <f>IF(+All!$F587="Coastal Carolina",+All!C587,IF(+All!$H587="Coastal Carolina",+All!C587,0))</f>
        <v>44863</v>
      </c>
      <c r="D40" s="490">
        <f>IF(+All!$F587="Coastal Carolina",+All!D587,IF(+All!$H587="Coastal Carolina",+All!D587,0))</f>
        <v>0.79166666666666663</v>
      </c>
      <c r="E40" s="461" t="str">
        <f>IF(+All!$F587="Coastal Carolina",+All!E587,IF(+All!$H587="Coastal Carolina",+All!E587,0))</f>
        <v>NFL</v>
      </c>
      <c r="F40" s="51" t="str">
        <f>IF(+All!$F587="Coastal Carolina",+All!F587,IF(+All!$H587="Coastal Carolina",+All!F587,0))</f>
        <v>Coastal Carolina</v>
      </c>
      <c r="G40" s="52" t="str">
        <f>IF(+All!$F587="Coastal Carolina",+All!G587,IF(+All!$H587="Coastal Carolina",+All!G587,0))</f>
        <v>SB</v>
      </c>
      <c r="H40" s="51" t="str">
        <f>IF(+All!$F587="Coastal Carolina",+All!H587,IF(+All!$H587="Coastal Carolina",+All!H587,0))</f>
        <v>Marshall</v>
      </c>
      <c r="I40" s="52" t="str">
        <f>IF(+All!$F587="Coastal Carolina",+All!I587,IF(+All!$H587="Coastal Carolina",+All!I587,0))</f>
        <v>SB</v>
      </c>
      <c r="J40" s="460" t="str">
        <f>IF(+All!$F587="Coastal Carolina",+All!J587,IF(+All!$H587="Coastal Carolina",+All!J587,0))</f>
        <v>Marshall</v>
      </c>
      <c r="K40" s="461" t="str">
        <f>IF(+All!$F587="Coastal Carolina",+All!K587,IF(+All!$H587="Coastal Carolina",+All!K587,0))</f>
        <v>Coastal Carolina</v>
      </c>
      <c r="L40" s="54">
        <f>IF(+All!$F587="Coastal Carolina",+All!L587,IF(+All!$H587="Coastal Carolina",+All!L587,0))</f>
        <v>2.5</v>
      </c>
      <c r="M40" s="55">
        <f>IF(+All!$F587="Coastal Carolina",+All!M587,IF(+All!$H587="Coastal Carolina",+All!M587,0))</f>
        <v>55.5</v>
      </c>
      <c r="N40" s="460" t="str">
        <f>IF(+All!$F587="Coastal Carolina",+All!N587,IF(+All!$H587="Coastal Carolina",+All!N587,0))</f>
        <v>Coastal Carolina</v>
      </c>
      <c r="O40" s="462">
        <f>IF(+All!$F587="Coastal Carolina",+All!O587,IF(+All!$H587="Coastal Carolina",+All!O587,0))</f>
        <v>24</v>
      </c>
      <c r="P40" s="462" t="str">
        <f>IF(+All!$F587="Coastal Carolina",+All!P587,IF(+All!$H587="Coastal Carolina",+All!P587,0))</f>
        <v>Marshall</v>
      </c>
      <c r="Q40" s="461">
        <f>IF(+All!$F587="Coastal Carolina",+All!Q587,IF(+All!$H587="Coastal Carolina",+All!Q587,0))</f>
        <v>13</v>
      </c>
      <c r="R40" s="460" t="str">
        <f>IF(+All!$F587="Coastal Carolina",+All!R587,IF(+All!$H587="Coastal Carolina",+All!R587,0))</f>
        <v>Coastal Carolina</v>
      </c>
      <c r="S40" s="462" t="str">
        <f>IF(+All!$F587="Coastal Carolina",+All!S587,IF(+All!$H587="Coastal Carolina",+All!S587,0))</f>
        <v>Marshall</v>
      </c>
      <c r="T40" s="460" t="str">
        <f>IF(+All!$F587="Coastal Carolina",+All!T587,IF(+All!$H587="Coastal Carolina",+All!T587,0))</f>
        <v>Marshall</v>
      </c>
      <c r="U40" s="461" t="str">
        <f>IF(+All!$F587="Coastal Carolina",+All!U587,IF(+All!$H587="Coastal Carolina",+All!U587,0))</f>
        <v>L</v>
      </c>
      <c r="V40" s="482"/>
    </row>
    <row r="41" spans="1:22" s="75" customFormat="1" x14ac:dyDescent="0.8">
      <c r="A41" s="46">
        <f>IF(+All!$F598="Coastal Carolina",+All!A598,IF(+All!$H598="Coastal Carolina",+All!A598,0))</f>
        <v>10</v>
      </c>
      <c r="B41" s="348" t="str">
        <f>IF(+All!$F598="Coastal Carolina",+All!B598,IF(+All!$H598="Coastal Carolina",+All!B598,0))</f>
        <v>Thurs</v>
      </c>
      <c r="C41" s="48">
        <f>IF(+All!$F598="Coastal Carolina",+All!C598,IF(+All!$H598="Coastal Carolina",+All!C598,0))</f>
        <v>44868</v>
      </c>
      <c r="D41" s="490">
        <f>IF(+All!$F598="Coastal Carolina",+All!D598,IF(+All!$H598="Coastal Carolina",+All!D598,0))</f>
        <v>0.8125</v>
      </c>
      <c r="E41" s="461" t="str">
        <f>IF(+All!$F598="Coastal Carolina",+All!E598,IF(+All!$H598="Coastal Carolina",+All!E598,0))</f>
        <v>ESPN</v>
      </c>
      <c r="F41" s="51" t="str">
        <f>IF(+All!$F598="Coastal Carolina",+All!F598,IF(+All!$H598="Coastal Carolina",+All!F598,0))</f>
        <v>Appalachian State</v>
      </c>
      <c r="G41" s="52" t="str">
        <f>IF(+All!$F598="Coastal Carolina",+All!G598,IF(+All!$H598="Coastal Carolina",+All!G598,0))</f>
        <v>SB</v>
      </c>
      <c r="H41" s="51" t="str">
        <f>IF(+All!$F598="Coastal Carolina",+All!H598,IF(+All!$H598="Coastal Carolina",+All!H598,0))</f>
        <v>Coastal Carolina</v>
      </c>
      <c r="I41" s="52" t="str">
        <f>IF(+All!$F598="Coastal Carolina",+All!I598,IF(+All!$H598="Coastal Carolina",+All!I598,0))</f>
        <v>SB</v>
      </c>
      <c r="J41" s="460" t="str">
        <f>IF(+All!$F598="Coastal Carolina",+All!J598,IF(+All!$H598="Coastal Carolina",+All!J598,0))</f>
        <v>Appalachian State</v>
      </c>
      <c r="K41" s="461" t="str">
        <f>IF(+All!$F598="Coastal Carolina",+All!K598,IF(+All!$H598="Coastal Carolina",+All!K598,0))</f>
        <v>Coastal Carolina</v>
      </c>
      <c r="L41" s="54">
        <f>IF(+All!$F598="Coastal Carolina",+All!L598,IF(+All!$H598="Coastal Carolina",+All!L598,0))</f>
        <v>3</v>
      </c>
      <c r="M41" s="55">
        <f>IF(+All!$F598="Coastal Carolina",+All!M598,IF(+All!$H598="Coastal Carolina",+All!M598,0))</f>
        <v>64</v>
      </c>
      <c r="N41" s="460" t="str">
        <f>IF(+All!$F598="Coastal Carolina",+All!N598,IF(+All!$H598="Coastal Carolina",+All!N598,0))</f>
        <v>Coastal Carolina</v>
      </c>
      <c r="O41" s="462">
        <f>IF(+All!$F598="Coastal Carolina",+All!O598,IF(+All!$H598="Coastal Carolina",+All!O598,0))</f>
        <v>35</v>
      </c>
      <c r="P41" s="462" t="str">
        <f>IF(+All!$F598="Coastal Carolina",+All!P598,IF(+All!$H598="Coastal Carolina",+All!P598,0))</f>
        <v>Appalachian State</v>
      </c>
      <c r="Q41" s="461">
        <f>IF(+All!$F598="Coastal Carolina",+All!Q598,IF(+All!$H598="Coastal Carolina",+All!Q598,0))</f>
        <v>28</v>
      </c>
      <c r="R41" s="460" t="str">
        <f>IF(+All!$F598="Coastal Carolina",+All!R598,IF(+All!$H598="Coastal Carolina",+All!R598,0))</f>
        <v>Coastal Carolina</v>
      </c>
      <c r="S41" s="462" t="str">
        <f>IF(+All!$F598="Coastal Carolina",+All!S598,IF(+All!$H598="Coastal Carolina",+All!S598,0))</f>
        <v>Appalachian State</v>
      </c>
      <c r="T41" s="460" t="str">
        <f>IF(+All!$F598="Coastal Carolina",+All!T598,IF(+All!$H598="Coastal Carolina",+All!T598,0))</f>
        <v>Coastal Carolina</v>
      </c>
      <c r="U41" s="461" t="str">
        <f>IF(+All!$F598="Coastal Carolina",+All!U598,IF(+All!$H598="Coastal Carolina",+All!U598,0))</f>
        <v>W</v>
      </c>
      <c r="V41" s="482"/>
    </row>
    <row r="42" spans="1:22" s="75" customFormat="1" x14ac:dyDescent="0.8">
      <c r="A42" s="46">
        <f>IF(+All!$F705="Coastal Carolina",+All!A705,IF(+All!$H705="Coastal Carolina",+All!A705,0))</f>
        <v>11</v>
      </c>
      <c r="B42" s="348" t="str">
        <f>IF(+All!$F705="Coastal Carolina",+All!B705,IF(+All!$H705="Coastal Carolina",+All!B705,0))</f>
        <v>Sat</v>
      </c>
      <c r="C42" s="48">
        <f>IF(+All!$F705="Coastal Carolina",+All!C705,IF(+All!$H705="Coastal Carolina",+All!C705,0))</f>
        <v>44877</v>
      </c>
      <c r="D42" s="490">
        <f>IF(+All!$F705="Coastal Carolina",+All!D705,IF(+All!$H705="Coastal Carolina",+All!D705,0))</f>
        <v>0.54166666666666663</v>
      </c>
      <c r="E42" s="461">
        <f>IF(+All!$F705="Coastal Carolina",+All!E705,IF(+All!$H705="Coastal Carolina",+All!E705,0))</f>
        <v>0</v>
      </c>
      <c r="F42" s="51" t="str">
        <f>IF(+All!$F705="Coastal Carolina",+All!F705,IF(+All!$H705="Coastal Carolina",+All!F705,0))</f>
        <v>Southern Miss</v>
      </c>
      <c r="G42" s="52" t="str">
        <f>IF(+All!$F705="Coastal Carolina",+All!G705,IF(+All!$H705="Coastal Carolina",+All!G705,0))</f>
        <v>SB</v>
      </c>
      <c r="H42" s="51" t="str">
        <f>IF(+All!$F705="Coastal Carolina",+All!H705,IF(+All!$H705="Coastal Carolina",+All!H705,0))</f>
        <v>Coastal Carolina</v>
      </c>
      <c r="I42" s="52" t="str">
        <f>IF(+All!$F705="Coastal Carolina",+All!I705,IF(+All!$H705="Coastal Carolina",+All!I705,0))</f>
        <v>SB</v>
      </c>
      <c r="J42" s="460" t="str">
        <f>IF(+All!$F705="Coastal Carolina",+All!J705,IF(+All!$H705="Coastal Carolina",+All!J705,0))</f>
        <v>Coastal Carolina</v>
      </c>
      <c r="K42" s="461" t="str">
        <f>IF(+All!$F705="Coastal Carolina",+All!K705,IF(+All!$H705="Coastal Carolina",+All!K705,0))</f>
        <v>Southern Miss</v>
      </c>
      <c r="L42" s="54">
        <f>IF(+All!$F705="Coastal Carolina",+All!L705,IF(+All!$H705="Coastal Carolina",+All!L705,0))</f>
        <v>4.5</v>
      </c>
      <c r="M42" s="55">
        <f>IF(+All!$F705="Coastal Carolina",+All!M705,IF(+All!$H705="Coastal Carolina",+All!M705,0))</f>
        <v>48</v>
      </c>
      <c r="N42" s="460" t="str">
        <f>IF(+All!$F705="Coastal Carolina",+All!N705,IF(+All!$H705="Coastal Carolina",+All!N705,0))</f>
        <v>Coastal Carolina</v>
      </c>
      <c r="O42" s="462">
        <f>IF(+All!$F705="Coastal Carolina",+All!O705,IF(+All!$H705="Coastal Carolina",+All!O705,0))</f>
        <v>26</v>
      </c>
      <c r="P42" s="462" t="str">
        <f>IF(+All!$F705="Coastal Carolina",+All!P705,IF(+All!$H705="Coastal Carolina",+All!P705,0))</f>
        <v>Southern Miss</v>
      </c>
      <c r="Q42" s="461">
        <f>IF(+All!$F705="Coastal Carolina",+All!Q705,IF(+All!$H705="Coastal Carolina",+All!Q705,0))</f>
        <v>23</v>
      </c>
      <c r="R42" s="460" t="str">
        <f>IF(+All!$F705="Coastal Carolina",+All!R705,IF(+All!$H705="Coastal Carolina",+All!R705,0))</f>
        <v>Southern Miss</v>
      </c>
      <c r="S42" s="462" t="str">
        <f>IF(+All!$F705="Coastal Carolina",+All!S705,IF(+All!$H705="Coastal Carolina",+All!S705,0))</f>
        <v>Coastal Carolina</v>
      </c>
      <c r="T42" s="460" t="str">
        <f>IF(+All!$F705="Coastal Carolina",+All!T705,IF(+All!$H705="Coastal Carolina",+All!T705,0))</f>
        <v>Coastal Carolina</v>
      </c>
      <c r="U42" s="461" t="str">
        <f>IF(+All!$F705="Coastal Carolina",+All!U705,IF(+All!$H705="Coastal Carolina",+All!U705,0))</f>
        <v>L</v>
      </c>
      <c r="V42" s="482"/>
    </row>
    <row r="43" spans="1:22" s="75" customFormat="1" x14ac:dyDescent="0.8">
      <c r="A43" s="46">
        <f>IF(+All!$F735="Coastal Carolina",+All!A735,IF(+All!$H735="Coastal Carolina",+All!A735,0))</f>
        <v>12</v>
      </c>
      <c r="B43" s="348" t="str">
        <f>IF(+All!$F735="Coastal Carolina",+All!B735,IF(+All!$H735="Coastal Carolina",+All!B735,0))</f>
        <v>Sat</v>
      </c>
      <c r="C43" s="48">
        <f>IF(+All!$F735="Coastal Carolina",+All!C735,IF(+All!$H735="Coastal Carolina",+All!C735,0))</f>
        <v>44884</v>
      </c>
      <c r="D43" s="490">
        <f>IF(+All!$F735="Coastal Carolina",+All!D735,IF(+All!$H735="Coastal Carolina",+All!D735,0))</f>
        <v>0.64583333333333337</v>
      </c>
      <c r="E43" s="461" t="str">
        <f>IF(+All!$F735="Coastal Carolina",+All!E735,IF(+All!$H735="Coastal Carolina",+All!E735,0))</f>
        <v>espn3</v>
      </c>
      <c r="F43" s="51" t="str">
        <f>IF(+All!$F735="Coastal Carolina",+All!F735,IF(+All!$H735="Coastal Carolina",+All!F735,0))</f>
        <v>Coastal Carolina</v>
      </c>
      <c r="G43" s="52" t="str">
        <f>IF(+All!$F735="Coastal Carolina",+All!G735,IF(+All!$H735="Coastal Carolina",+All!G735,0))</f>
        <v>SB</v>
      </c>
      <c r="H43" s="51" t="str">
        <f>IF(+All!$F735="Coastal Carolina",+All!H735,IF(+All!$H735="Coastal Carolina",+All!H735,0))</f>
        <v>Virginia</v>
      </c>
      <c r="I43" s="52" t="str">
        <f>IF(+All!$F735="Coastal Carolina",+All!I735,IF(+All!$H735="Coastal Carolina",+All!I735,0))</f>
        <v>ACC</v>
      </c>
      <c r="J43" s="460">
        <f>IF(+All!$F735="Coastal Carolina",+All!J735,IF(+All!$H735="Coastal Carolina",+All!J735,0))</f>
        <v>0</v>
      </c>
      <c r="K43" s="461" t="str">
        <f>IF(+All!$F735="Coastal Carolina",+All!K735,IF(+All!$H735="Coastal Carolina",+All!K735,0))</f>
        <v>PPD</v>
      </c>
      <c r="L43" s="54">
        <f>IF(+All!$F735="Coastal Carolina",+All!L735,IF(+All!$H735="Coastal Carolina",+All!L735,0))</f>
        <v>0</v>
      </c>
      <c r="M43" s="55">
        <f>IF(+All!$F735="Coastal Carolina",+All!M735,IF(+All!$H735="Coastal Carolina",+All!M735,0))</f>
        <v>0</v>
      </c>
      <c r="N43" s="460">
        <f>IF(+All!$F735="Coastal Carolina",+All!N735,IF(+All!$H735="Coastal Carolina",+All!N735,0))</f>
        <v>0</v>
      </c>
      <c r="O43" s="462">
        <f>IF(+All!$F735="Coastal Carolina",+All!O735,IF(+All!$H735="Coastal Carolina",+All!O735,0))</f>
        <v>0</v>
      </c>
      <c r="P43" s="462" t="str">
        <f>IF(+All!$F735="Coastal Carolina",+All!P735,IF(+All!$H735="Coastal Carolina",+All!P735,0))</f>
        <v>PPD</v>
      </c>
      <c r="Q43" s="461">
        <f>IF(+All!$F735="Coastal Carolina",+All!Q735,IF(+All!$H735="Coastal Carolina",+All!Q735,0))</f>
        <v>0</v>
      </c>
      <c r="R43" s="460">
        <f>IF(+All!$F735="Coastal Carolina",+All!R735,IF(+All!$H735="Coastal Carolina",+All!R735,0))</f>
        <v>0</v>
      </c>
      <c r="S43" s="462" t="str">
        <f>IF(+All!$F735="Coastal Carolina",+All!S735,IF(+All!$H735="Coastal Carolina",+All!S735,0))</f>
        <v>PPD</v>
      </c>
      <c r="T43" s="460">
        <f>IF(+All!$F735="Coastal Carolina",+All!T735,IF(+All!$H735="Coastal Carolina",+All!T735,0))</f>
        <v>0</v>
      </c>
      <c r="U43" s="461">
        <f>IF(+All!$F735="Coastal Carolina",+All!U735,IF(+All!$H735="Coastal Carolina",+All!U735,0))</f>
        <v>0</v>
      </c>
      <c r="V43" s="482"/>
    </row>
    <row r="44" spans="1:22" s="75" customFormat="1" x14ac:dyDescent="0.8">
      <c r="A44" s="46">
        <f>IF(+All!$F839="Coastal Carolina",+All!A839,IF(+All!$H839="Coastal Carolina",+All!A839,0))</f>
        <v>13</v>
      </c>
      <c r="B44" s="348" t="str">
        <f>IF(+All!$F839="Coastal Carolina",+All!B839,IF(+All!$H839="Coastal Carolina",+All!B839,0))</f>
        <v>Sat</v>
      </c>
      <c r="C44" s="48">
        <f>IF(+All!$F839="Coastal Carolina",+All!C839,IF(+All!$H839="Coastal Carolina",+All!C839,0))</f>
        <v>44891</v>
      </c>
      <c r="D44" s="490">
        <f>IF(+All!$F839="Coastal Carolina",+All!D839,IF(+All!$H839="Coastal Carolina",+All!D839,0))</f>
        <v>0.5</v>
      </c>
      <c r="E44" s="461" t="str">
        <f>IF(+All!$F839="Coastal Carolina",+All!E839,IF(+All!$H839="Coastal Carolina",+All!E839,0))</f>
        <v>ESPNU</v>
      </c>
      <c r="F44" s="51" t="str">
        <f>IF(+All!$F839="Coastal Carolina",+All!F839,IF(+All!$H839="Coastal Carolina",+All!F839,0))</f>
        <v>Coastal Carolina</v>
      </c>
      <c r="G44" s="52" t="str">
        <f>IF(+All!$F839="Coastal Carolina",+All!G839,IF(+All!$H839="Coastal Carolina",+All!G839,0))</f>
        <v>SB</v>
      </c>
      <c r="H44" s="51" t="str">
        <f>IF(+All!$F839="Coastal Carolina",+All!H839,IF(+All!$H839="Coastal Carolina",+All!H839,0))</f>
        <v>James Madison</v>
      </c>
      <c r="I44" s="52" t="str">
        <f>IF(+All!$F839="Coastal Carolina",+All!I839,IF(+All!$H839="Coastal Carolina",+All!I839,0))</f>
        <v>SB</v>
      </c>
      <c r="J44" s="460" t="str">
        <f>IF(+All!$F839="Coastal Carolina",+All!J839,IF(+All!$H839="Coastal Carolina",+All!J839,0))</f>
        <v>James Madison</v>
      </c>
      <c r="K44" s="461" t="str">
        <f>IF(+All!$F839="Coastal Carolina",+All!K839,IF(+All!$H839="Coastal Carolina",+All!K839,0))</f>
        <v>Coastal Carolina</v>
      </c>
      <c r="L44" s="54">
        <f>IF(+All!$F839="Coastal Carolina",+All!L839,IF(+All!$H839="Coastal Carolina",+All!L839,0))</f>
        <v>14.5</v>
      </c>
      <c r="M44" s="55">
        <f>IF(+All!$F839="Coastal Carolina",+All!M839,IF(+All!$H839="Coastal Carolina",+All!M839,0))</f>
        <v>53</v>
      </c>
      <c r="N44" s="460" t="str">
        <f>IF(+All!$F839="Coastal Carolina",+All!N839,IF(+All!$H839="Coastal Carolina",+All!N839,0))</f>
        <v>James Madison</v>
      </c>
      <c r="O44" s="462">
        <f>IF(+All!$F839="Coastal Carolina",+All!O839,IF(+All!$H839="Coastal Carolina",+All!O839,0))</f>
        <v>47</v>
      </c>
      <c r="P44" s="462" t="str">
        <f>IF(+All!$F839="Coastal Carolina",+All!P839,IF(+All!$H839="Coastal Carolina",+All!P839,0))</f>
        <v>Coastal Carolina</v>
      </c>
      <c r="Q44" s="461">
        <f>IF(+All!$F839="Coastal Carolina",+All!Q839,IF(+All!$H839="Coastal Carolina",+All!Q839,0))</f>
        <v>7</v>
      </c>
      <c r="R44" s="460" t="str">
        <f>IF(+All!$F839="Coastal Carolina",+All!R839,IF(+All!$H839="Coastal Carolina",+All!R839,0))</f>
        <v>James Madison</v>
      </c>
      <c r="S44" s="462" t="str">
        <f>IF(+All!$F839="Coastal Carolina",+All!S839,IF(+All!$H839="Coastal Carolina",+All!S839,0))</f>
        <v>Coastal Carolina</v>
      </c>
      <c r="T44" s="460" t="str">
        <f>IF(+All!$F839="Coastal Carolina",+All!T839,IF(+All!$H839="Coastal Carolina",+All!T839,0))</f>
        <v>Coastal Carolina</v>
      </c>
      <c r="U44" s="461" t="str">
        <f>IF(+All!$F839="Coastal Carolina",+All!U839,IF(+All!$H839="Coastal Carolina",+All!U839,0))</f>
        <v>L</v>
      </c>
      <c r="V44" s="482"/>
    </row>
    <row r="45" spans="1:22" s="75" customFormat="1" x14ac:dyDescent="0.8">
      <c r="A45" s="46"/>
      <c r="B45" s="348"/>
      <c r="C45" s="48"/>
      <c r="D45" s="490"/>
      <c r="E45" s="461"/>
      <c r="F45" s="897" t="str">
        <f>H46</f>
        <v>Georgia Southern</v>
      </c>
      <c r="G45" s="911"/>
      <c r="H45" s="911"/>
      <c r="I45" s="912"/>
      <c r="J45" s="460"/>
      <c r="K45" s="461"/>
      <c r="L45" s="54"/>
      <c r="M45" s="55"/>
      <c r="N45" s="460"/>
      <c r="O45" s="462"/>
      <c r="P45" s="462"/>
      <c r="Q45" s="461"/>
      <c r="R45" s="460"/>
      <c r="S45" s="462"/>
      <c r="T45" s="460"/>
      <c r="U45" s="461"/>
      <c r="V45" s="482"/>
    </row>
    <row r="46" spans="1:22" s="75" customFormat="1" x14ac:dyDescent="0.8">
      <c r="A46" s="46">
        <f>IF(+All!$F79="Georgia Southern",+All!A79,IF(+All!$H79="Georgia Southern",+All!A79,0))</f>
        <v>1</v>
      </c>
      <c r="B46" s="348" t="str">
        <f>IF(+All!$F79="Georgia Southern",+All!B79,IF(+All!$H79="Georgia Southern",+All!B79,0))</f>
        <v>Sat</v>
      </c>
      <c r="C46" s="48">
        <f>IF(+All!$F79="Georgia Southern",+All!C79,IF(+All!$H79="Georgia Southern",+All!C79,0))</f>
        <v>414067</v>
      </c>
      <c r="D46" s="490">
        <f>IF(+All!$F79="Georgia Southern",+All!D79,IF(+All!$H79="Georgia Southern",+All!D79,0))</f>
        <v>0.75</v>
      </c>
      <c r="E46" s="461" t="str">
        <f>IF(+All!$F79="Georgia Southern",+All!E79,IF(+All!$H79="Georgia Southern",+All!E79,0))</f>
        <v>espn3</v>
      </c>
      <c r="F46" s="51" t="str">
        <f>IF(+All!$F79="Georgia Southern",+All!F79,IF(+All!$H79="Georgia Southern",+All!F79,0))</f>
        <v>1AA Morgan State</v>
      </c>
      <c r="G46" s="52" t="str">
        <f>IF(+All!$F79="Georgia Southern",+All!G79,IF(+All!$H79="Georgia Southern",+All!G79,0))</f>
        <v>1AA</v>
      </c>
      <c r="H46" s="51" t="str">
        <f>IF(+All!$F79="Georgia Southern",+All!H79,IF(+All!$H79="Georgia Southern",+All!H79,0))</f>
        <v>Georgia Southern</v>
      </c>
      <c r="I46" s="52" t="str">
        <f>IF(+All!$F79="Georgia Southern",+All!I79,IF(+All!$H79="Georgia Southern",+All!I79,0))</f>
        <v>SB</v>
      </c>
      <c r="J46" s="460">
        <f>IF(+All!$F79="Georgia Southern",+All!J79,IF(+All!$H79="Georgia Southern",+All!J79,0))</f>
        <v>0</v>
      </c>
      <c r="K46" s="461">
        <f>IF(+All!$F79="Georgia Southern",+All!K79,IF(+All!$H79="Georgia Southern",+All!K79,0))</f>
        <v>0</v>
      </c>
      <c r="L46" s="54">
        <f>IF(+All!$F79="Georgia Southern",+All!L79,IF(+All!$H79="Georgia Southern",+All!L79,0))</f>
        <v>0</v>
      </c>
      <c r="M46" s="55">
        <f>IF(+All!$F79="Georgia Southern",+All!M79,IF(+All!$H79="Georgia Southern",+All!M79,0))</f>
        <v>0</v>
      </c>
      <c r="N46" s="460" t="str">
        <f>IF(+All!$F79="Georgia Southern",+All!N79,IF(+All!$H79="Georgia Southern",+All!N79,0))</f>
        <v>Georgia Southern</v>
      </c>
      <c r="O46" s="462">
        <f>IF(+All!$F79="Georgia Southern",+All!O79,IF(+All!$H79="Georgia Southern",+All!O79,0))</f>
        <v>59</v>
      </c>
      <c r="P46" s="462" t="str">
        <f>IF(+All!$F79="Georgia Southern",+All!P79,IF(+All!$H79="Georgia Southern",+All!P79,0))</f>
        <v>1AA Morgan State</v>
      </c>
      <c r="Q46" s="461">
        <f>IF(+All!$F79="Georgia Southern",+All!Q79,IF(+All!$H79="Georgia Southern",+All!Q79,0))</f>
        <v>7</v>
      </c>
      <c r="R46" s="460">
        <f>IF(+All!$F79="Georgia Southern",+All!R79,IF(+All!$H79="Georgia Southern",+All!R79,0))</f>
        <v>0</v>
      </c>
      <c r="S46" s="462">
        <f>IF(+All!$F79="Georgia Southern",+All!S79,IF(+All!$H79="Georgia Southern",+All!S79,0))</f>
        <v>0</v>
      </c>
      <c r="T46" s="460">
        <f>IF(+All!$F79="Georgia Southern",+All!T79,IF(+All!$H79="Georgia Southern",+All!T79,0))</f>
        <v>0</v>
      </c>
      <c r="U46" s="461">
        <f>IF(+All!$F79="Georgia Southern",+All!U79,IF(+All!$H79="Georgia Southern",+All!U79,0))</f>
        <v>0</v>
      </c>
      <c r="V46" s="482"/>
    </row>
    <row r="47" spans="1:22" s="75" customFormat="1" x14ac:dyDescent="0.8">
      <c r="A47" s="46">
        <f>IF(+All!$F120="Georgia Southern",+All!A120,IF(+All!$H120="Georgia Southern",+All!A120,0))</f>
        <v>2</v>
      </c>
      <c r="B47" s="348" t="str">
        <f>IF(+All!$F120="Georgia Southern",+All!B120,IF(+All!$H120="Georgia Southern",+All!B120,0))</f>
        <v>Sat</v>
      </c>
      <c r="C47" s="48">
        <f>IF(+All!$F120="Georgia Southern",+All!C120,IF(+All!$H120="Georgia Southern",+All!C120,0))</f>
        <v>44814</v>
      </c>
      <c r="D47" s="490">
        <f>IF(+All!$F120="Georgia Southern",+All!D120,IF(+All!$H120="Georgia Southern",+All!D120,0))</f>
        <v>0.8125</v>
      </c>
      <c r="E47" s="461" t="str">
        <f>IF(+All!$F120="Georgia Southern",+All!E120,IF(+All!$H120="Georgia Southern",+All!E120,0))</f>
        <v>FS1</v>
      </c>
      <c r="F47" s="51" t="str">
        <f>IF(+All!$F120="Georgia Southern",+All!F120,IF(+All!$H120="Georgia Southern",+All!F120,0))</f>
        <v>Georgia Southern</v>
      </c>
      <c r="G47" s="52" t="str">
        <f>IF(+All!$F120="Georgia Southern",+All!G120,IF(+All!$H120="Georgia Southern",+All!G120,0))</f>
        <v>SB</v>
      </c>
      <c r="H47" s="51" t="str">
        <f>IF(+All!$F120="Georgia Southern",+All!H120,IF(+All!$H120="Georgia Southern",+All!H120,0))</f>
        <v>Nebraska</v>
      </c>
      <c r="I47" s="52" t="str">
        <f>IF(+All!$F120="Georgia Southern",+All!I120,IF(+All!$H120="Georgia Southern",+All!I120,0))</f>
        <v>B10</v>
      </c>
      <c r="J47" s="460" t="str">
        <f>IF(+All!$F120="Georgia Southern",+All!J120,IF(+All!$H120="Georgia Southern",+All!J120,0))</f>
        <v>Nebraska</v>
      </c>
      <c r="K47" s="461" t="str">
        <f>IF(+All!$F120="Georgia Southern",+All!K120,IF(+All!$H120="Georgia Southern",+All!K120,0))</f>
        <v>Georgia Southern</v>
      </c>
      <c r="L47" s="54">
        <f>IF(+All!$F120="Georgia Southern",+All!L120,IF(+All!$H120="Georgia Southern",+All!L120,0))</f>
        <v>23</v>
      </c>
      <c r="M47" s="55">
        <f>IF(+All!$F120="Georgia Southern",+All!M120,IF(+All!$H120="Georgia Southern",+All!M120,0))</f>
        <v>63</v>
      </c>
      <c r="N47" s="460" t="str">
        <f>IF(+All!$F120="Georgia Southern",+All!N120,IF(+All!$H120="Georgia Southern",+All!N120,0))</f>
        <v>Georgia Southern</v>
      </c>
      <c r="O47" s="462">
        <f>IF(+All!$F120="Georgia Southern",+All!O120,IF(+All!$H120="Georgia Southern",+All!O120,0))</f>
        <v>45</v>
      </c>
      <c r="P47" s="462" t="str">
        <f>IF(+All!$F120="Georgia Southern",+All!P120,IF(+All!$H120="Georgia Southern",+All!P120,0))</f>
        <v>Nebraska</v>
      </c>
      <c r="Q47" s="461">
        <f>IF(+All!$F120="Georgia Southern",+All!Q120,IF(+All!$H120="Georgia Southern",+All!Q120,0))</f>
        <v>42</v>
      </c>
      <c r="R47" s="460" t="str">
        <f>IF(+All!$F120="Georgia Southern",+All!R120,IF(+All!$H120="Georgia Southern",+All!R120,0))</f>
        <v>Georgia Southern</v>
      </c>
      <c r="S47" s="462" t="str">
        <f>IF(+All!$F120="Georgia Southern",+All!S120,IF(+All!$H120="Georgia Southern",+All!S120,0))</f>
        <v>Nebraska</v>
      </c>
      <c r="T47" s="460" t="str">
        <f>IF(+All!$F120="Georgia Southern",+All!T120,IF(+All!$H120="Georgia Southern",+All!T120,0))</f>
        <v>Georgia Southern</v>
      </c>
      <c r="U47" s="461" t="str">
        <f>IF(+All!$F120="Georgia Southern",+All!U120,IF(+All!$H120="Georgia Southern",+All!U120,0))</f>
        <v>W</v>
      </c>
      <c r="V47" s="482"/>
    </row>
    <row r="48" spans="1:22" s="75" customFormat="1" x14ac:dyDescent="0.8">
      <c r="A48" s="46">
        <f>IF(+All!$F215="Georgia Southern",+All!A215,IF(+All!$H215="Georgia Southern",+All!A215,0))</f>
        <v>3</v>
      </c>
      <c r="B48" s="348" t="str">
        <f>IF(+All!$F215="Georgia Southern",+All!B215,IF(+All!$H215="Georgia Southern",+All!B215,0))</f>
        <v>Sat</v>
      </c>
      <c r="C48" s="48">
        <f>IF(+All!$F215="Georgia Southern",+All!C215,IF(+All!$H215="Georgia Southern",+All!C215,0))</f>
        <v>44821</v>
      </c>
      <c r="D48" s="490">
        <f>IF(+All!$F215="Georgia Southern",+All!D215,IF(+All!$H215="Georgia Southern",+All!D215,0))</f>
        <v>0.64583333333333337</v>
      </c>
      <c r="E48" s="461">
        <f>IF(+All!$F215="Georgia Southern",+All!E215,IF(+All!$H215="Georgia Southern",+All!E215,0))</f>
        <v>0</v>
      </c>
      <c r="F48" s="51" t="str">
        <f>IF(+All!$F215="Georgia Southern",+All!F215,IF(+All!$H215="Georgia Southern",+All!F215,0))</f>
        <v>Georgia Southern</v>
      </c>
      <c r="G48" s="52" t="str">
        <f>IF(+All!$F215="Georgia Southern",+All!G215,IF(+All!$H215="Georgia Southern",+All!G215,0))</f>
        <v>SB</v>
      </c>
      <c r="H48" s="51" t="str">
        <f>IF(+All!$F215="Georgia Southern",+All!H215,IF(+All!$H215="Georgia Southern",+All!H215,0))</f>
        <v>UAB</v>
      </c>
      <c r="I48" s="52" t="str">
        <f>IF(+All!$F215="Georgia Southern",+All!I215,IF(+All!$H215="Georgia Southern",+All!I215,0))</f>
        <v>CUSA</v>
      </c>
      <c r="J48" s="460" t="str">
        <f>IF(+All!$F215="Georgia Southern",+All!J215,IF(+All!$H215="Georgia Southern",+All!J215,0))</f>
        <v>UAB</v>
      </c>
      <c r="K48" s="461" t="str">
        <f>IF(+All!$F215="Georgia Southern",+All!K215,IF(+All!$H215="Georgia Southern",+All!K215,0))</f>
        <v>Georgia Southern</v>
      </c>
      <c r="L48" s="54">
        <f>IF(+All!$F215="Georgia Southern",+All!L215,IF(+All!$H215="Georgia Southern",+All!L215,0))</f>
        <v>11.5</v>
      </c>
      <c r="M48" s="55">
        <f>IF(+All!$F215="Georgia Southern",+All!M215,IF(+All!$H215="Georgia Southern",+All!M215,0))</f>
        <v>54</v>
      </c>
      <c r="N48" s="460" t="str">
        <f>IF(+All!$F215="Georgia Southern",+All!N215,IF(+All!$H215="Georgia Southern",+All!N215,0))</f>
        <v>UAB</v>
      </c>
      <c r="O48" s="462">
        <f>IF(+All!$F215="Georgia Southern",+All!O215,IF(+All!$H215="Georgia Southern",+All!O215,0))</f>
        <v>35</v>
      </c>
      <c r="P48" s="462" t="str">
        <f>IF(+All!$F215="Georgia Southern",+All!P215,IF(+All!$H215="Georgia Southern",+All!P215,0))</f>
        <v>Georgia Southern</v>
      </c>
      <c r="Q48" s="461">
        <f>IF(+All!$F215="Georgia Southern",+All!Q215,IF(+All!$H215="Georgia Southern",+All!Q215,0))</f>
        <v>21</v>
      </c>
      <c r="R48" s="460" t="str">
        <f>IF(+All!$F215="Georgia Southern",+All!R215,IF(+All!$H215="Georgia Southern",+All!R215,0))</f>
        <v>UAB</v>
      </c>
      <c r="S48" s="462" t="str">
        <f>IF(+All!$F215="Georgia Southern",+All!S215,IF(+All!$H215="Georgia Southern",+All!S215,0))</f>
        <v>Georgia Southern</v>
      </c>
      <c r="T48" s="460" t="str">
        <f>IF(+All!$F215="Georgia Southern",+All!T215,IF(+All!$H215="Georgia Southern",+All!T215,0))</f>
        <v>Georgia Southern</v>
      </c>
      <c r="U48" s="461" t="str">
        <f>IF(+All!$F215="Georgia Southern",+All!U215,IF(+All!$H215="Georgia Southern",+All!U215,0))</f>
        <v>L</v>
      </c>
      <c r="V48" s="482"/>
    </row>
    <row r="49" spans="1:22" s="75" customFormat="1" x14ac:dyDescent="0.8">
      <c r="A49" s="46">
        <f>IF(+All!$F302="Georgia Southern",+All!A302,IF(+All!$H302="Georgia Southern",+All!A302,0))</f>
        <v>4</v>
      </c>
      <c r="B49" s="348" t="str">
        <f>IF(+All!$F302="Georgia Southern",+All!B302,IF(+All!$H302="Georgia Southern",+All!B302,0))</f>
        <v>Sat</v>
      </c>
      <c r="C49" s="48">
        <f>IF(+All!$F302="Georgia Southern",+All!C302,IF(+All!$H302="Georgia Southern",+All!C302,0))</f>
        <v>44828</v>
      </c>
      <c r="D49" s="490">
        <f>IF(+All!$F302="Georgia Southern",+All!D302,IF(+All!$H302="Georgia Southern",+All!D302,0))</f>
        <v>0.75</v>
      </c>
      <c r="E49" s="461">
        <f>IF(+All!$F302="Georgia Southern",+All!E302,IF(+All!$H302="Georgia Southern",+All!E302,0))</f>
        <v>0</v>
      </c>
      <c r="F49" s="51" t="str">
        <f>IF(+All!$F302="Georgia Southern",+All!F302,IF(+All!$H302="Georgia Southern",+All!F302,0))</f>
        <v>Ball State</v>
      </c>
      <c r="G49" s="52" t="str">
        <f>IF(+All!$F302="Georgia Southern",+All!G302,IF(+All!$H302="Georgia Southern",+All!G302,0))</f>
        <v>MAC</v>
      </c>
      <c r="H49" s="51" t="str">
        <f>IF(+All!$F302="Georgia Southern",+All!H302,IF(+All!$H302="Georgia Southern",+All!H302,0))</f>
        <v>Georgia Southern</v>
      </c>
      <c r="I49" s="52" t="str">
        <f>IF(+All!$F302="Georgia Southern",+All!I302,IF(+All!$H302="Georgia Southern",+All!I302,0))</f>
        <v>SB</v>
      </c>
      <c r="J49" s="460" t="str">
        <f>IF(+All!$F302="Georgia Southern",+All!J302,IF(+All!$H302="Georgia Southern",+All!J302,0))</f>
        <v>Georgia Southern</v>
      </c>
      <c r="K49" s="461" t="str">
        <f>IF(+All!$F302="Georgia Southern",+All!K302,IF(+All!$H302="Georgia Southern",+All!K302,0))</f>
        <v>Ball State</v>
      </c>
      <c r="L49" s="54">
        <f>IF(+All!$F302="Georgia Southern",+All!L302,IF(+All!$H302="Georgia Southern",+All!L302,0))</f>
        <v>9.5</v>
      </c>
      <c r="M49" s="55">
        <f>IF(+All!$F302="Georgia Southern",+All!M302,IF(+All!$H302="Georgia Southern",+All!M302,0))</f>
        <v>66</v>
      </c>
      <c r="N49" s="460" t="str">
        <f>IF(+All!$F302="Georgia Southern",+All!N302,IF(+All!$H302="Georgia Southern",+All!N302,0))</f>
        <v>Georgia Southern</v>
      </c>
      <c r="O49" s="462">
        <f>IF(+All!$F302="Georgia Southern",+All!O302,IF(+All!$H302="Georgia Southern",+All!O302,0))</f>
        <v>34</v>
      </c>
      <c r="P49" s="462" t="str">
        <f>IF(+All!$F302="Georgia Southern",+All!P302,IF(+All!$H302="Georgia Southern",+All!P302,0))</f>
        <v>Ball State</v>
      </c>
      <c r="Q49" s="461">
        <f>IF(+All!$F302="Georgia Southern",+All!Q302,IF(+All!$H302="Georgia Southern",+All!Q302,0))</f>
        <v>23</v>
      </c>
      <c r="R49" s="460" t="str">
        <f>IF(+All!$F302="Georgia Southern",+All!R302,IF(+All!$H302="Georgia Southern",+All!R302,0))</f>
        <v>Georgia Southern</v>
      </c>
      <c r="S49" s="462" t="str">
        <f>IF(+All!$F302="Georgia Southern",+All!S302,IF(+All!$H302="Georgia Southern",+All!S302,0))</f>
        <v>Ball State</v>
      </c>
      <c r="T49" s="460" t="str">
        <f>IF(+All!$F302="Georgia Southern",+All!T302,IF(+All!$H302="Georgia Southern",+All!T302,0))</f>
        <v>Ball State</v>
      </c>
      <c r="U49" s="461" t="str">
        <f>IF(+All!$F302="Georgia Southern",+All!U302,IF(+All!$H302="Georgia Southern",+All!U302,0))</f>
        <v>L</v>
      </c>
      <c r="V49" s="482"/>
    </row>
    <row r="50" spans="1:22" s="75" customFormat="1" x14ac:dyDescent="0.8">
      <c r="A50" s="46">
        <f>IF(+All!$F370="Georgia Southern",+All!A370,IF(+All!$H370="Georgia Southern",+All!A370,0))</f>
        <v>5</v>
      </c>
      <c r="B50" s="348" t="str">
        <f>IF(+All!$F370="Georgia Southern",+All!B370,IF(+All!$H370="Georgia Southern",+All!B370,0))</f>
        <v>Sat</v>
      </c>
      <c r="C50" s="48">
        <f>IF(+All!$F370="Georgia Southern",+All!C370,IF(+All!$H370="Georgia Southern",+All!C370,0))</f>
        <v>44835</v>
      </c>
      <c r="D50" s="490">
        <f>IF(+All!$F370="Georgia Southern",+All!D370,IF(+All!$H370="Georgia Southern",+All!D370,0))</f>
        <v>0.66666666666666663</v>
      </c>
      <c r="E50" s="461">
        <f>IF(+All!$F370="Georgia Southern",+All!E370,IF(+All!$H370="Georgia Southern",+All!E370,0))</f>
        <v>0</v>
      </c>
      <c r="F50" s="51" t="str">
        <f>IF(+All!$F370="Georgia Southern",+All!F370,IF(+All!$H370="Georgia Southern",+All!F370,0))</f>
        <v>Georgia Southern</v>
      </c>
      <c r="G50" s="52" t="str">
        <f>IF(+All!$F370="Georgia Southern",+All!G370,IF(+All!$H370="Georgia Southern",+All!G370,0))</f>
        <v>SB</v>
      </c>
      <c r="H50" s="51" t="str">
        <f>IF(+All!$F370="Georgia Southern",+All!H370,IF(+All!$H370="Georgia Southern",+All!H370,0))</f>
        <v>Coastal Carolina</v>
      </c>
      <c r="I50" s="52" t="str">
        <f>IF(+All!$F370="Georgia Southern",+All!I370,IF(+All!$H370="Georgia Southern",+All!I370,0))</f>
        <v>SB</v>
      </c>
      <c r="J50" s="460" t="str">
        <f>IF(+All!$F370="Georgia Southern",+All!J370,IF(+All!$H370="Georgia Southern",+All!J370,0))</f>
        <v>Coastal Carolina</v>
      </c>
      <c r="K50" s="461" t="str">
        <f>IF(+All!$F370="Georgia Southern",+All!K370,IF(+All!$H370="Georgia Southern",+All!K370,0))</f>
        <v>Georgia Southern</v>
      </c>
      <c r="L50" s="54">
        <f>IF(+All!$F370="Georgia Southern",+All!L370,IF(+All!$H370="Georgia Southern",+All!L370,0))</f>
        <v>10</v>
      </c>
      <c r="M50" s="55">
        <f>IF(+All!$F370="Georgia Southern",+All!M370,IF(+All!$H370="Georgia Southern",+All!M370,0))</f>
        <v>67.5</v>
      </c>
      <c r="N50" s="460" t="str">
        <f>IF(+All!$F370="Georgia Southern",+All!N370,IF(+All!$H370="Georgia Southern",+All!N370,0))</f>
        <v>Coastal Carolina</v>
      </c>
      <c r="O50" s="462">
        <f>IF(+All!$F370="Georgia Southern",+All!O370,IF(+All!$H370="Georgia Southern",+All!O370,0))</f>
        <v>34</v>
      </c>
      <c r="P50" s="462" t="str">
        <f>IF(+All!$F370="Georgia Southern",+All!P370,IF(+All!$H370="Georgia Southern",+All!P370,0))</f>
        <v>Georgia Southern</v>
      </c>
      <c r="Q50" s="461">
        <f>IF(+All!$F370="Georgia Southern",+All!Q370,IF(+All!$H370="Georgia Southern",+All!Q370,0))</f>
        <v>30</v>
      </c>
      <c r="R50" s="460" t="str">
        <f>IF(+All!$F370="Georgia Southern",+All!R370,IF(+All!$H370="Georgia Southern",+All!R370,0))</f>
        <v>Georgia Southern</v>
      </c>
      <c r="S50" s="462" t="str">
        <f>IF(+All!$F370="Georgia Southern",+All!S370,IF(+All!$H370="Georgia Southern",+All!S370,0))</f>
        <v>Coastal Carolina</v>
      </c>
      <c r="T50" s="460" t="str">
        <f>IF(+All!$F370="Georgia Southern",+All!T370,IF(+All!$H370="Georgia Southern",+All!T370,0))</f>
        <v>Georgia Southern</v>
      </c>
      <c r="U50" s="461" t="str">
        <f>IF(+All!$F370="Georgia Southern",+All!U370,IF(+All!$H370="Georgia Southern",+All!U370,0))</f>
        <v>W</v>
      </c>
      <c r="V50" s="482"/>
    </row>
    <row r="51" spans="1:22" s="75" customFormat="1" x14ac:dyDescent="0.8">
      <c r="A51" s="46">
        <f>IF(+All!$F427="Georgia Southern",+All!A427,IF(+All!$H427="Georgia Southern",+All!A427,0))</f>
        <v>6</v>
      </c>
      <c r="B51" s="348" t="str">
        <f>IF(+All!$F427="Georgia Southern",+All!B427,IF(+All!$H427="Georgia Southern",+All!B427,0))</f>
        <v>Sat</v>
      </c>
      <c r="C51" s="48">
        <f>IF(+All!$F427="Georgia Southern",+All!C427,IF(+All!$H427="Georgia Southern",+All!C427,0))</f>
        <v>44842</v>
      </c>
      <c r="D51" s="490">
        <f>IF(+All!$F427="Georgia Southern",+All!D427,IF(+All!$H427="Georgia Southern",+All!D427,0))</f>
        <v>0.58333333333333337</v>
      </c>
      <c r="E51" s="461" t="str">
        <f>IF(+All!$F427="Georgia Southern",+All!E427,IF(+All!$H427="Georgia Southern",+All!E427,0))</f>
        <v>espn3</v>
      </c>
      <c r="F51" s="51" t="str">
        <f>IF(+All!$F427="Georgia Southern",+All!F427,IF(+All!$H427="Georgia Southern",+All!F427,0))</f>
        <v>Georgia Southern</v>
      </c>
      <c r="G51" s="52" t="str">
        <f>IF(+All!$F427="Georgia Southern",+All!G427,IF(+All!$H427="Georgia Southern",+All!G427,0))</f>
        <v>SB</v>
      </c>
      <c r="H51" s="51" t="str">
        <f>IF(+All!$F427="Georgia Southern",+All!H427,IF(+All!$H427="Georgia Southern",+All!H427,0))</f>
        <v>Georgia State</v>
      </c>
      <c r="I51" s="52" t="str">
        <f>IF(+All!$F427="Georgia Southern",+All!I427,IF(+All!$H427="Georgia Southern",+All!I427,0))</f>
        <v>SB</v>
      </c>
      <c r="J51" s="460" t="str">
        <f>IF(+All!$F427="Georgia Southern",+All!J427,IF(+All!$H427="Georgia Southern",+All!J427,0))</f>
        <v>Georgia State</v>
      </c>
      <c r="K51" s="461" t="str">
        <f>IF(+All!$F427="Georgia Southern",+All!K427,IF(+All!$H427="Georgia Southern",+All!K427,0))</f>
        <v>Georgia Southern</v>
      </c>
      <c r="L51" s="54">
        <f>IF(+All!$F427="Georgia Southern",+All!L427,IF(+All!$H427="Georgia Southern",+All!L427,0))</f>
        <v>2.5</v>
      </c>
      <c r="M51" s="55">
        <f>IF(+All!$F427="Georgia Southern",+All!M427,IF(+All!$H427="Georgia Southern",+All!M427,0))</f>
        <v>68</v>
      </c>
      <c r="N51" s="460" t="str">
        <f>IF(+All!$F427="Georgia Southern",+All!N427,IF(+All!$H427="Georgia Southern",+All!N427,0))</f>
        <v>Georgia State</v>
      </c>
      <c r="O51" s="462">
        <f>IF(+All!$F427="Georgia Southern",+All!O427,IF(+All!$H427="Georgia Southern",+All!O427,0))</f>
        <v>41</v>
      </c>
      <c r="P51" s="462" t="str">
        <f>IF(+All!$F427="Georgia Southern",+All!P427,IF(+All!$H427="Georgia Southern",+All!P427,0))</f>
        <v>Georgia Southern</v>
      </c>
      <c r="Q51" s="461">
        <f>IF(+All!$F427="Georgia Southern",+All!Q427,IF(+All!$H427="Georgia Southern",+All!Q427,0))</f>
        <v>33</v>
      </c>
      <c r="R51" s="460" t="str">
        <f>IF(+All!$F427="Georgia Southern",+All!R427,IF(+All!$H427="Georgia Southern",+All!R427,0))</f>
        <v>Georgia State</v>
      </c>
      <c r="S51" s="462" t="str">
        <f>IF(+All!$F427="Georgia Southern",+All!S427,IF(+All!$H427="Georgia Southern",+All!S427,0))</f>
        <v>Georgia Southern</v>
      </c>
      <c r="T51" s="460" t="str">
        <f>IF(+All!$F427="Georgia Southern",+All!T427,IF(+All!$H427="Georgia Southern",+All!T427,0))</f>
        <v>Georgia State</v>
      </c>
      <c r="U51" s="461" t="str">
        <f>IF(+All!$F427="Georgia Southern",+All!U427,IF(+All!$H427="Georgia Southern",+All!U427,0))</f>
        <v>W</v>
      </c>
      <c r="V51" s="482"/>
    </row>
    <row r="52" spans="1:22" s="75" customFormat="1" x14ac:dyDescent="0.8">
      <c r="A52" s="46">
        <f>IF(+All!$F482="Georgia Southern",+All!A482,IF(+All!$H482="Georgia Southern",+All!A482,0))</f>
        <v>7</v>
      </c>
      <c r="B52" s="348" t="str">
        <f>IF(+All!$F482="Georgia Southern",+All!B482,IF(+All!$H482="Georgia Southern",+All!B482,0))</f>
        <v>Sat</v>
      </c>
      <c r="C52" s="48">
        <f>IF(+All!$F482="Georgia Southern",+All!C482,IF(+All!$H482="Georgia Southern",+All!C482,0))</f>
        <v>44849</v>
      </c>
      <c r="D52" s="490">
        <f>IF(+All!$F482="Georgia Southern",+All!D482,IF(+All!$H482="Georgia Southern",+All!D482,0))</f>
        <v>0.66666666666666663</v>
      </c>
      <c r="E52" s="461">
        <f>IF(+All!$F482="Georgia Southern",+All!E482,IF(+All!$H482="Georgia Southern",+All!E482,0))</f>
        <v>0</v>
      </c>
      <c r="F52" s="51" t="str">
        <f>IF(+All!$F482="Georgia Southern",+All!F482,IF(+All!$H482="Georgia Southern",+All!F482,0))</f>
        <v>James Madison</v>
      </c>
      <c r="G52" s="52" t="str">
        <f>IF(+All!$F482="Georgia Southern",+All!G482,IF(+All!$H482="Georgia Southern",+All!G482,0))</f>
        <v>SB</v>
      </c>
      <c r="H52" s="51" t="str">
        <f>IF(+All!$F482="Georgia Southern",+All!H482,IF(+All!$H482="Georgia Southern",+All!H482,0))</f>
        <v>Georgia Southern</v>
      </c>
      <c r="I52" s="52" t="str">
        <f>IF(+All!$F482="Georgia Southern",+All!I482,IF(+All!$H482="Georgia Southern",+All!I482,0))</f>
        <v>SB</v>
      </c>
      <c r="J52" s="460" t="str">
        <f>IF(+All!$F482="Georgia Southern",+All!J482,IF(+All!$H482="Georgia Southern",+All!J482,0))</f>
        <v>James Madison</v>
      </c>
      <c r="K52" s="461" t="str">
        <f>IF(+All!$F482="Georgia Southern",+All!K482,IF(+All!$H482="Georgia Southern",+All!K482,0))</f>
        <v>Georgia Southern</v>
      </c>
      <c r="L52" s="54">
        <f>IF(+All!$F482="Georgia Southern",+All!L482,IF(+All!$H482="Georgia Southern",+All!L482,0))</f>
        <v>10.5</v>
      </c>
      <c r="M52" s="55">
        <f>IF(+All!$F482="Georgia Southern",+All!M482,IF(+All!$H482="Georgia Southern",+All!M482,0))</f>
        <v>66.5</v>
      </c>
      <c r="N52" s="460" t="str">
        <f>IF(+All!$F482="Georgia Southern",+All!N482,IF(+All!$H482="Georgia Southern",+All!N482,0))</f>
        <v>Georgia Southern</v>
      </c>
      <c r="O52" s="462">
        <f>IF(+All!$F482="Georgia Southern",+All!O482,IF(+All!$H482="Georgia Southern",+All!O482,0))</f>
        <v>45</v>
      </c>
      <c r="P52" s="462" t="str">
        <f>IF(+All!$F482="Georgia Southern",+All!P482,IF(+All!$H482="Georgia Southern",+All!P482,0))</f>
        <v>James Madison</v>
      </c>
      <c r="Q52" s="461">
        <f>IF(+All!$F482="Georgia Southern",+All!Q482,IF(+All!$H482="Georgia Southern",+All!Q482,0))</f>
        <v>38</v>
      </c>
      <c r="R52" s="460" t="str">
        <f>IF(+All!$F482="Georgia Southern",+All!R482,IF(+All!$H482="Georgia Southern",+All!R482,0))</f>
        <v>Georgia Southern</v>
      </c>
      <c r="S52" s="462" t="str">
        <f>IF(+All!$F482="Georgia Southern",+All!S482,IF(+All!$H482="Georgia Southern",+All!S482,0))</f>
        <v>James Madison</v>
      </c>
      <c r="T52" s="460" t="str">
        <f>IF(+All!$F482="Georgia Southern",+All!T482,IF(+All!$H482="Georgia Southern",+All!T482,0))</f>
        <v>James Madison</v>
      </c>
      <c r="U52" s="461" t="str">
        <f>IF(+All!$F482="Georgia Southern",+All!U482,IF(+All!$H482="Georgia Southern",+All!U482,0))</f>
        <v>L</v>
      </c>
      <c r="V52" s="482"/>
    </row>
    <row r="53" spans="1:22" s="75" customFormat="1" x14ac:dyDescent="0.8">
      <c r="A53" s="46">
        <f>IF(+All!$F537="Georgia Southern",+All!A537,IF(+All!$H537="Georgia Southern",+All!A537,0))</f>
        <v>8</v>
      </c>
      <c r="B53" s="348" t="str">
        <f>IF(+All!$F537="Georgia Southern",+All!B537,IF(+All!$H537="Georgia Southern",+All!B537,0))</f>
        <v>Sat</v>
      </c>
      <c r="C53" s="48">
        <f>IF(+All!$F537="Georgia Southern",+All!C537,IF(+All!$H537="Georgia Southern",+All!C537,0))</f>
        <v>44856</v>
      </c>
      <c r="D53" s="490">
        <f>IF(+All!$F537="Georgia Southern",+All!D537,IF(+All!$H537="Georgia Southern",+All!D537,0))</f>
        <v>0.64583333333333337</v>
      </c>
      <c r="E53" s="461">
        <f>IF(+All!$F537="Georgia Southern",+All!E537,IF(+All!$H537="Georgia Southern",+All!E537,0))</f>
        <v>0</v>
      </c>
      <c r="F53" s="51" t="str">
        <f>IF(+All!$F537="Georgia Southern",+All!F537,IF(+All!$H537="Georgia Southern",+All!F537,0))</f>
        <v>Georgia Southern</v>
      </c>
      <c r="G53" s="52" t="str">
        <f>IF(+All!$F537="Georgia Southern",+All!G537,IF(+All!$H537="Georgia Southern",+All!G537,0))</f>
        <v>SB</v>
      </c>
      <c r="H53" s="51" t="str">
        <f>IF(+All!$F537="Georgia Southern",+All!H537,IF(+All!$H537="Georgia Southern",+All!H537,0))</f>
        <v>Old Dominion</v>
      </c>
      <c r="I53" s="52" t="str">
        <f>IF(+All!$F537="Georgia Southern",+All!I537,IF(+All!$H537="Georgia Southern",+All!I537,0))</f>
        <v>SB</v>
      </c>
      <c r="J53" s="460" t="str">
        <f>IF(+All!$F537="Georgia Southern",+All!J537,IF(+All!$H537="Georgia Southern",+All!J537,0))</f>
        <v>Old Dominion</v>
      </c>
      <c r="K53" s="461" t="str">
        <f>IF(+All!$F537="Georgia Southern",+All!K537,IF(+All!$H537="Georgia Southern",+All!K537,0))</f>
        <v>Georgia Southern</v>
      </c>
      <c r="L53" s="54">
        <f>IF(+All!$F537="Georgia Southern",+All!L537,IF(+All!$H537="Georgia Southern",+All!L537,0))</f>
        <v>2.5</v>
      </c>
      <c r="M53" s="55">
        <f>IF(+All!$F537="Georgia Southern",+All!M537,IF(+All!$H537="Georgia Southern",+All!M537,0))</f>
        <v>65.5</v>
      </c>
      <c r="N53" s="460" t="str">
        <f>IF(+All!$F537="Georgia Southern",+All!N537,IF(+All!$H537="Georgia Southern",+All!N537,0))</f>
        <v>Georgia Southern</v>
      </c>
      <c r="O53" s="462">
        <f>IF(+All!$F537="Georgia Southern",+All!O537,IF(+All!$H537="Georgia Southern",+All!O537,0))</f>
        <v>28</v>
      </c>
      <c r="P53" s="462" t="str">
        <f>IF(+All!$F537="Georgia Southern",+All!P537,IF(+All!$H537="Georgia Southern",+All!P537,0))</f>
        <v>Old Dominion</v>
      </c>
      <c r="Q53" s="461">
        <f>IF(+All!$F537="Georgia Southern",+All!Q537,IF(+All!$H537="Georgia Southern",+All!Q537,0))</f>
        <v>23</v>
      </c>
      <c r="R53" s="460" t="str">
        <f>IF(+All!$F537="Georgia Southern",+All!R537,IF(+All!$H537="Georgia Southern",+All!R537,0))</f>
        <v>Georgia Southern</v>
      </c>
      <c r="S53" s="462" t="str">
        <f>IF(+All!$F537="Georgia Southern",+All!S537,IF(+All!$H537="Georgia Southern",+All!S537,0))</f>
        <v>Old Dominion</v>
      </c>
      <c r="T53" s="460" t="str">
        <f>IF(+All!$F537="Georgia Southern",+All!T537,IF(+All!$H537="Georgia Southern",+All!T537,0))</f>
        <v>Old Dominion</v>
      </c>
      <c r="U53" s="461" t="str">
        <f>IF(+All!$F537="Georgia Southern",+All!U537,IF(+All!$H537="Georgia Southern",+All!U537,0))</f>
        <v>L</v>
      </c>
      <c r="V53" s="482"/>
    </row>
    <row r="54" spans="1:22" s="75" customFormat="1" x14ac:dyDescent="0.8">
      <c r="A54" s="46" t="e">
        <f>IF(+All!#REF!="Georgia Southern",+All!#REF!,IF(+All!#REF!="Georgia Southern",+All!#REF!,0))</f>
        <v>#REF!</v>
      </c>
      <c r="B54" s="348" t="e">
        <f>IF(+All!#REF!="Georgia Southern",+All!#REF!,IF(+All!#REF!="Georgia Southern",+All!#REF!,0))</f>
        <v>#REF!</v>
      </c>
      <c r="C54" s="48" t="e">
        <f>IF(+All!#REF!="Georgia Southern",+All!#REF!,IF(+All!#REF!="Georgia Southern",+All!#REF!,0))</f>
        <v>#REF!</v>
      </c>
      <c r="D54" s="490" t="e">
        <f>IF(+All!#REF!="Georgia Southern",+All!#REF!,IF(+All!#REF!="Georgia Southern",+All!#REF!,0))</f>
        <v>#REF!</v>
      </c>
      <c r="E54" s="461" t="e">
        <f>IF(+All!#REF!="Georgia Southern",+All!#REF!,IF(+All!#REF!="Georgia Southern",+All!#REF!,0))</f>
        <v>#REF!</v>
      </c>
      <c r="F54" s="51" t="e">
        <f>IF(+All!#REF!="Georgia Southern",+All!#REF!,IF(+All!#REF!="Georgia Southern",+All!#REF!,0))</f>
        <v>#REF!</v>
      </c>
      <c r="G54" s="52" t="e">
        <f>IF(+All!#REF!="Georgia Southern",+All!#REF!,IF(+All!#REF!="Georgia Southern",+All!#REF!,0))</f>
        <v>#REF!</v>
      </c>
      <c r="H54" s="51" t="e">
        <f>IF(+All!#REF!="Georgia Southern",+All!#REF!,IF(+All!#REF!="Georgia Southern",+All!#REF!,0))</f>
        <v>#REF!</v>
      </c>
      <c r="I54" s="52" t="e">
        <f>IF(+All!#REF!="Georgia Southern",+All!#REF!,IF(+All!#REF!="Georgia Southern",+All!#REF!,0))</f>
        <v>#REF!</v>
      </c>
      <c r="J54" s="460" t="e">
        <f>IF(+All!#REF!="Georgia Southern",+All!#REF!,IF(+All!#REF!="Georgia Southern",+All!#REF!,0))</f>
        <v>#REF!</v>
      </c>
      <c r="K54" s="461" t="e">
        <f>IF(+All!#REF!="Georgia Southern",+All!#REF!,IF(+All!#REF!="Georgia Southern",+All!#REF!,0))</f>
        <v>#REF!</v>
      </c>
      <c r="L54" s="54" t="e">
        <f>IF(+All!#REF!="Georgia Southern",+All!#REF!,IF(+All!#REF!="Georgia Southern",+All!#REF!,0))</f>
        <v>#REF!</v>
      </c>
      <c r="M54" s="55" t="e">
        <f>IF(+All!#REF!="Georgia Southern",+All!#REF!,IF(+All!#REF!="Georgia Southern",+All!#REF!,0))</f>
        <v>#REF!</v>
      </c>
      <c r="N54" s="460" t="e">
        <f>IF(+All!#REF!="Georgia Southern",+All!#REF!,IF(+All!#REF!="Georgia Southern",+All!#REF!,0))</f>
        <v>#REF!</v>
      </c>
      <c r="O54" s="462" t="e">
        <f>IF(+All!#REF!="Georgia Southern",+All!#REF!,IF(+All!#REF!="Georgia Southern",+All!#REF!,0))</f>
        <v>#REF!</v>
      </c>
      <c r="P54" s="462" t="e">
        <f>IF(+All!#REF!="Georgia Southern",+All!#REF!,IF(+All!#REF!="Georgia Southern",+All!#REF!,0))</f>
        <v>#REF!</v>
      </c>
      <c r="Q54" s="461" t="e">
        <f>IF(+All!#REF!="Georgia Southern",+All!#REF!,IF(+All!#REF!="Georgia Southern",+All!#REF!,0))</f>
        <v>#REF!</v>
      </c>
      <c r="R54" s="460" t="e">
        <f>IF(+All!#REF!="Georgia Southern",+All!#REF!,IF(+All!#REF!="Georgia Southern",+All!#REF!,0))</f>
        <v>#REF!</v>
      </c>
      <c r="S54" s="462" t="e">
        <f>IF(+All!#REF!="Georgia Southern",+All!#REF!,IF(+All!#REF!="Georgia Southern",+All!#REF!,0))</f>
        <v>#REF!</v>
      </c>
      <c r="T54" s="460" t="e">
        <f>IF(+All!#REF!="Georgia Southern",+All!#REF!,IF(+All!#REF!="Georgia Southern",+All!#REF!,0))</f>
        <v>#REF!</v>
      </c>
      <c r="U54" s="461" t="e">
        <f>IF(+All!#REF!="Georgia Southern",+All!#REF!,IF(+All!#REF!="Georgia Southern",+All!#REF!,0))</f>
        <v>#REF!</v>
      </c>
      <c r="V54" s="482"/>
    </row>
    <row r="55" spans="1:22" s="75" customFormat="1" x14ac:dyDescent="0.8">
      <c r="A55" s="46">
        <f>IF(+All!$F641="Georgia Southern",+All!A641,IF(+All!$H641="Georgia Southern",+All!A641,0))</f>
        <v>10</v>
      </c>
      <c r="B55" s="348" t="str">
        <f>IF(+All!$F641="Georgia Southern",+All!B641,IF(+All!$H641="Georgia Southern",+All!B641,0))</f>
        <v>Sat</v>
      </c>
      <c r="C55" s="48">
        <f>IF(+All!$F641="Georgia Southern",+All!C641,IF(+All!$H641="Georgia Southern",+All!C641,0))</f>
        <v>44870</v>
      </c>
      <c r="D55" s="490">
        <f>IF(+All!$F641="Georgia Southern",+All!D641,IF(+All!$H641="Georgia Southern",+All!D641,0))</f>
        <v>0.66666666666666663</v>
      </c>
      <c r="E55" s="461">
        <f>IF(+All!$F641="Georgia Southern",+All!E641,IF(+All!$H641="Georgia Southern",+All!E641,0))</f>
        <v>0</v>
      </c>
      <c r="F55" s="51" t="str">
        <f>IF(+All!$F641="Georgia Southern",+All!F641,IF(+All!$H641="Georgia Southern",+All!F641,0))</f>
        <v>South Alabama</v>
      </c>
      <c r="G55" s="52" t="str">
        <f>IF(+All!$F641="Georgia Southern",+All!G641,IF(+All!$H641="Georgia Southern",+All!G641,0))</f>
        <v>SB</v>
      </c>
      <c r="H55" s="51" t="str">
        <f>IF(+All!$F641="Georgia Southern",+All!H641,IF(+All!$H641="Georgia Southern",+All!H641,0))</f>
        <v>Georgia Southern</v>
      </c>
      <c r="I55" s="52" t="str">
        <f>IF(+All!$F641="Georgia Southern",+All!I641,IF(+All!$H641="Georgia Southern",+All!I641,0))</f>
        <v>SB</v>
      </c>
      <c r="J55" s="460" t="str">
        <f>IF(+All!$F641="Georgia Southern",+All!J641,IF(+All!$H641="Georgia Southern",+All!J641,0))</f>
        <v>South Alabama</v>
      </c>
      <c r="K55" s="461" t="str">
        <f>IF(+All!$F641="Georgia Southern",+All!K641,IF(+All!$H641="Georgia Southern",+All!K641,0))</f>
        <v>Georgia Southern</v>
      </c>
      <c r="L55" s="54">
        <f>IF(+All!$F641="Georgia Southern",+All!L641,IF(+All!$H641="Georgia Southern",+All!L641,0))</f>
        <v>4</v>
      </c>
      <c r="M55" s="55">
        <f>IF(+All!$F641="Georgia Southern",+All!M641,IF(+All!$H641="Georgia Southern",+All!M641,0))</f>
        <v>60.5</v>
      </c>
      <c r="N55" s="460" t="str">
        <f>IF(+All!$F641="Georgia Southern",+All!N641,IF(+All!$H641="Georgia Southern",+All!N641,0))</f>
        <v>South Alabama</v>
      </c>
      <c r="O55" s="462">
        <f>IF(+All!$F641="Georgia Southern",+All!O641,IF(+All!$H641="Georgia Southern",+All!O641,0))</f>
        <v>38</v>
      </c>
      <c r="P55" s="462" t="str">
        <f>IF(+All!$F641="Georgia Southern",+All!P641,IF(+All!$H641="Georgia Southern",+All!P641,0))</f>
        <v>Georgia Southern</v>
      </c>
      <c r="Q55" s="461">
        <f>IF(+All!$F641="Georgia Southern",+All!Q641,IF(+All!$H641="Georgia Southern",+All!Q641,0))</f>
        <v>31</v>
      </c>
      <c r="R55" s="460" t="str">
        <f>IF(+All!$F641="Georgia Southern",+All!R641,IF(+All!$H641="Georgia Southern",+All!R641,0))</f>
        <v>South Alabama</v>
      </c>
      <c r="S55" s="462" t="str">
        <f>IF(+All!$F641="Georgia Southern",+All!S641,IF(+All!$H641="Georgia Southern",+All!S641,0))</f>
        <v>Georgia Southern</v>
      </c>
      <c r="T55" s="460" t="str">
        <f>IF(+All!$F641="Georgia Southern",+All!T641,IF(+All!$H641="Georgia Southern",+All!T641,0))</f>
        <v>South Alabama</v>
      </c>
      <c r="U55" s="461" t="str">
        <f>IF(+All!$F641="Georgia Southern",+All!U641,IF(+All!$H641="Georgia Southern",+All!U641,0))</f>
        <v>W</v>
      </c>
      <c r="V55" s="482"/>
    </row>
    <row r="56" spans="1:22" s="75" customFormat="1" x14ac:dyDescent="0.8">
      <c r="A56" s="46">
        <f>IF(+All!$F660="Georgia Southern",+All!A660,IF(+All!$H660="Georgia Southern",+All!A660,0))</f>
        <v>11</v>
      </c>
      <c r="B56" s="348" t="str">
        <f>IF(+All!$F660="Georgia Southern",+All!B660,IF(+All!$H660="Georgia Southern",+All!B660,0))</f>
        <v>Thurs</v>
      </c>
      <c r="C56" s="48">
        <f>IF(+All!$F660="Georgia Southern",+All!C660,IF(+All!$H660="Georgia Southern",+All!C660,0))</f>
        <v>44874</v>
      </c>
      <c r="D56" s="490">
        <f>IF(+All!$F660="Georgia Southern",+All!D660,IF(+All!$H660="Georgia Southern",+All!D660,0))</f>
        <v>0.8125</v>
      </c>
      <c r="E56" s="461" t="str">
        <f>IF(+All!$F660="Georgia Southern",+All!E660,IF(+All!$H660="Georgia Southern",+All!E660,0))</f>
        <v>ESPNU</v>
      </c>
      <c r="F56" s="51" t="str">
        <f>IF(+All!$F660="Georgia Southern",+All!F660,IF(+All!$H660="Georgia Southern"+F45,+All!F660,0))</f>
        <v>Georgia Southern</v>
      </c>
      <c r="G56" s="52" t="str">
        <f>IF(+All!$F660="Georgia Southern",+All!G660,IF(+All!$H660="Georgia Southern",+All!G660,0))</f>
        <v>SB</v>
      </c>
      <c r="H56" s="51" t="str">
        <f>IF(+All!$F660="Georgia Southern",+All!H660,IF(+All!$H660="Georgia Southern",+All!H660,0))</f>
        <v>UL Lafayette</v>
      </c>
      <c r="I56" s="52" t="str">
        <f>IF(+All!$F660="Georgia Southern",+All!I660,IF(+All!$H660="Georgia Southern",+All!I660,0))</f>
        <v>SB</v>
      </c>
      <c r="J56" s="460" t="str">
        <f>IF(+All!$F660="Georgia Southern",+All!J660,IF(+All!$H660="Georgia Southern",+All!J660,0))</f>
        <v>UL Lafayette</v>
      </c>
      <c r="K56" s="461" t="str">
        <f>IF(+All!$F660="Georgia Southern",+All!K660,IF(+All!$H660="Georgia Southern",+All!K660,0))</f>
        <v>Georgia Southern</v>
      </c>
      <c r="L56" s="54">
        <f>IF(+All!$F660="Georgia Southern",+All!L660,IF(+All!$H660="Georgia Southern",+All!L660,0))</f>
        <v>3.5</v>
      </c>
      <c r="M56" s="55">
        <f>IF(+All!$F660="Georgia Southern",+All!M660,IF(+All!$H660="Georgia Southern",+All!M660,0))</f>
        <v>63.5</v>
      </c>
      <c r="N56" s="460" t="str">
        <f>IF(+All!$F660="Georgia Southern",+All!N660,IF(+All!$H660="Georgia Southern",+All!N660,0))</f>
        <v>UL Lafayette</v>
      </c>
      <c r="O56" s="462">
        <f>IF(+All!$F660="Georgia Southern",+All!O660,IF(+All!$H660="Georgia Southern",+All!O660,0))</f>
        <v>36</v>
      </c>
      <c r="P56" s="462" t="str">
        <f>IF(+All!$F660="Georgia Southern",+All!P660,IF(+All!$H660="Georgia Southern",+All!P660,0))</f>
        <v>Georgia Southern</v>
      </c>
      <c r="Q56" s="461">
        <f>IF(+All!$F660="Georgia Southern",+All!Q660,IF(+All!$H660="Georgia Southern",+All!Q660,0))</f>
        <v>17</v>
      </c>
      <c r="R56" s="460" t="str">
        <f>IF(+All!$F660="Georgia Southern",+All!R660,IF(+All!$H660="Georgia Southern",+All!R660,0))</f>
        <v>UL Lafayette</v>
      </c>
      <c r="S56" s="462" t="str">
        <f>IF(+All!$F660="Georgia Southern",+All!S660,IF(+All!$H660="Georgia Southern",+All!S660,0))</f>
        <v>Georgia Southern</v>
      </c>
      <c r="T56" s="460" t="str">
        <f>IF(+All!$F660="Georgia Southern",+All!T660,IF(+All!$H660="Georgia Southern",+All!T660,0))</f>
        <v>Georgia Southern</v>
      </c>
      <c r="U56" s="461" t="str">
        <f>IF(+All!$F660="Georgia Southern",+All!U660,IF(+All!$H660="Georgia Southern",+All!U660,0))</f>
        <v>L</v>
      </c>
      <c r="V56" s="482"/>
    </row>
    <row r="57" spans="1:22" s="75" customFormat="1" x14ac:dyDescent="0.8">
      <c r="A57" s="46">
        <f>IF(+All!$F770="Georgia Southern",+All!A770,IF(+All!$H770="Georgia Southern",+All!A770,0))</f>
        <v>12</v>
      </c>
      <c r="B57" s="348" t="str">
        <f>IF(+All!$F770="Georgia Southern",+All!B770,IF(+All!$H770="Georgia Southern",+All!B770,0))</f>
        <v>Sat</v>
      </c>
      <c r="C57" s="48">
        <f>IF(+All!$F770="Georgia Southern",+All!C770,IF(+All!$H770="Georgia Southern",+All!C770,0))</f>
        <v>44884</v>
      </c>
      <c r="D57" s="490">
        <f>IF(+All!$F770="Georgia Southern",+All!D770,IF(+All!$H770="Georgia Southern",+All!D770,0))</f>
        <v>0.75</v>
      </c>
      <c r="E57" s="461">
        <f>IF(+All!$F770="Georgia Southern",+All!E770,IF(+All!$H770="Georgia Southern",+All!E770,0))</f>
        <v>0</v>
      </c>
      <c r="F57" s="51" t="str">
        <f>IF(+All!$F770="Georgia Southern",+All!F770,IF(+All!$H770="Georgia Southern",+All!F770,0))</f>
        <v>Marshall</v>
      </c>
      <c r="G57" s="52" t="str">
        <f>IF(+All!$F770="Georgia Southern",+All!G770,IF(+All!$H770="Georgia Southern",+All!G770,0))</f>
        <v>SB</v>
      </c>
      <c r="H57" s="51" t="str">
        <f>IF(+All!$F770="Georgia Southern",+All!H770,IF(+All!$H770="Georgia Southern",+All!H770,0))</f>
        <v>Georgia Southern</v>
      </c>
      <c r="I57" s="52" t="str">
        <f>IF(+All!$F770="Georgia Southern",+All!I770,IF(+All!$H770="Georgia Southern",+All!I770,0))</f>
        <v>SB</v>
      </c>
      <c r="J57" s="460" t="str">
        <f>IF(+All!$F770="Georgia Southern",+All!J770,IF(+All!$H770="Georgia Southern",+All!J770,0))</f>
        <v>Marshall</v>
      </c>
      <c r="K57" s="461" t="str">
        <f>IF(+All!$F770="Georgia Southern",+All!K770,IF(+All!$H770="Georgia Southern",+All!K770,0))</f>
        <v>Georgia Southern</v>
      </c>
      <c r="L57" s="54">
        <f>IF(+All!$F770="Georgia Southern",+All!L770,IF(+All!$H770="Georgia Southern",+All!L770,0))</f>
        <v>4.5</v>
      </c>
      <c r="M57" s="55">
        <f>IF(+All!$F770="Georgia Southern",+All!M770,IF(+All!$H770="Georgia Southern",+All!M770,0))</f>
        <v>54</v>
      </c>
      <c r="N57" s="460" t="str">
        <f>IF(+All!$F770="Georgia Southern",+All!N770,IF(+All!$H770="Georgia Southern",+All!N770,0))</f>
        <v>Marshall</v>
      </c>
      <c r="O57" s="462">
        <f>IF(+All!$F770="Georgia Southern",+All!O770,IF(+All!$H770="Georgia Southern",+All!O770,0))</f>
        <v>23</v>
      </c>
      <c r="P57" s="462" t="str">
        <f>IF(+All!$F770="Georgia Southern",+All!P770,IF(+All!$H770="Georgia Southern",+All!P770,0))</f>
        <v>Georgia Southern</v>
      </c>
      <c r="Q57" s="461">
        <f>IF(+All!$F770="Georgia Southern",+All!Q770,IF(+All!$H770="Georgia Southern",+All!Q770,0))</f>
        <v>10</v>
      </c>
      <c r="R57" s="460" t="str">
        <f>IF(+All!$F770="Georgia Southern",+All!R770,IF(+All!$H770="Georgia Southern",+All!R770,0))</f>
        <v>Marshall</v>
      </c>
      <c r="S57" s="462" t="str">
        <f>IF(+All!$F770="Georgia Southern",+All!S770,IF(+All!$H770="Georgia Southern",+All!S770,0))</f>
        <v>Georgia Southern</v>
      </c>
      <c r="T57" s="460" t="str">
        <f>IF(+All!$F770="Georgia Southern",+All!T770,IF(+All!$H770="Georgia Southern",+All!T770,0))</f>
        <v>Marshall</v>
      </c>
      <c r="U57" s="461" t="str">
        <f>IF(+All!$F770="Georgia Southern",+All!U770,IF(+All!$H770="Georgia Southern",+All!U770,0))</f>
        <v>W</v>
      </c>
      <c r="V57" s="482"/>
    </row>
    <row r="58" spans="1:22" s="75" customFormat="1" x14ac:dyDescent="0.8">
      <c r="A58" s="46">
        <f>IF(+All!$F838="Georgia Southern",+All!A838,IF(+All!$H838="Georgia Southern",+All!A838,0))</f>
        <v>13</v>
      </c>
      <c r="B58" s="348" t="str">
        <f>IF(+All!$F838="Georgia Southern",+All!B838,IF(+All!$H838="Georgia Southern",+All!B838,0))</f>
        <v>Sat</v>
      </c>
      <c r="C58" s="48">
        <f>IF(+All!$F838="Georgia Southern",+All!C838,IF(+All!$H838="Georgia Southern",+All!C838,0))</f>
        <v>44891</v>
      </c>
      <c r="D58" s="490">
        <f>IF(+All!$F838="Georgia Southern",+All!D838,IF(+All!$H838="Georgia Southern",+All!D838,0))</f>
        <v>0.75</v>
      </c>
      <c r="E58" s="461">
        <f>IF(+All!$F838="Georgia Southern",+All!E838,IF(+All!$H838="Georgia Southern",+All!E838,0))</f>
        <v>0</v>
      </c>
      <c r="F58" s="51" t="str">
        <f>IF(+All!$F838="Georgia Southern",+All!F838,IF(+All!$H838="Georgia Southern",+All!F838,0))</f>
        <v>Appalachian State</v>
      </c>
      <c r="G58" s="52" t="str">
        <f>IF(+All!$F838="Georgia Southern",+All!G838,IF(+All!$H838="Georgia Southern",+All!G838,0))</f>
        <v>SB</v>
      </c>
      <c r="H58" s="51" t="str">
        <f>IF(+All!$F838="Georgia Southern",+All!H838,IF(+All!$H838="Georgia Southern",+All!H838,0))</f>
        <v>Georgia Southern</v>
      </c>
      <c r="I58" s="52" t="str">
        <f>IF(+All!$F838="Georgia Southern",+All!I838,IF(+All!$H838="Georgia Southern",+All!I838,0))</f>
        <v>SB</v>
      </c>
      <c r="J58" s="460" t="str">
        <f>IF(+All!$F838="Georgia Southern",+All!J838,IF(+All!$H838="Georgia Southern",+All!J838,0))</f>
        <v>Appalachian State</v>
      </c>
      <c r="K58" s="461" t="str">
        <f>IF(+All!$F838="Georgia Southern",+All!K838,IF(+All!$H838="Georgia Southern",+All!K838,0))</f>
        <v>Georgia Southern</v>
      </c>
      <c r="L58" s="54">
        <f>IF(+All!$F838="Georgia Southern",+All!L838,IF(+All!$H838="Georgia Southern",+All!L838,0))</f>
        <v>5.5</v>
      </c>
      <c r="M58" s="55">
        <f>IF(+All!$F838="Georgia Southern",+All!M838,IF(+All!$H838="Georgia Southern",+All!M838,0))</f>
        <v>62.5</v>
      </c>
      <c r="N58" s="460" t="str">
        <f>IF(+All!$F838="Georgia Southern",+All!N838,IF(+All!$H838="Georgia Southern",+All!N838,0))</f>
        <v>Georgia Southern</v>
      </c>
      <c r="O58" s="462">
        <f>IF(+All!$F838="Georgia Southern",+All!O838,IF(+All!$H838="Georgia Southern",+All!O838,0))</f>
        <v>51</v>
      </c>
      <c r="P58" s="462" t="str">
        <f>IF(+All!$F838="Georgia Southern",+All!P838,IF(+All!$H838="Georgia Southern",+All!P838,0))</f>
        <v>Appalachian State</v>
      </c>
      <c r="Q58" s="461">
        <f>IF(+All!$F838="Georgia Southern",+All!Q838,IF(+All!$H838="Georgia Southern",+All!Q838,0))</f>
        <v>48</v>
      </c>
      <c r="R58" s="460" t="str">
        <f>IF(+All!$F838="Georgia Southern",+All!R838,IF(+All!$H838="Georgia Southern",+All!R838,0))</f>
        <v>Georgia Southern</v>
      </c>
      <c r="S58" s="462" t="str">
        <f>IF(+All!$F838="Georgia Southern",+All!S838,IF(+All!$H838="Georgia Southern",+All!S838,0))</f>
        <v>Appalachian State</v>
      </c>
      <c r="T58" s="460" t="str">
        <f>IF(+All!$F838="Georgia Southern",+All!T838,IF(+All!$H838="Georgia Southern",+All!T838,0))</f>
        <v>Appalachian State</v>
      </c>
      <c r="U58" s="461" t="str">
        <f>IF(+All!$F838="Georgia Southern",+All!U838,IF(+All!$H838="Georgia Southern",+All!U838,0))</f>
        <v>L</v>
      </c>
      <c r="V58" s="482"/>
    </row>
    <row r="59" spans="1:22" s="75" customFormat="1" x14ac:dyDescent="0.8">
      <c r="A59" s="46"/>
      <c r="B59" s="348"/>
      <c r="C59" s="48"/>
      <c r="D59" s="490"/>
      <c r="E59" s="461"/>
      <c r="F59" s="897" t="str">
        <f>H61</f>
        <v>Georgia State</v>
      </c>
      <c r="G59" s="911"/>
      <c r="H59" s="911"/>
      <c r="I59" s="912"/>
      <c r="J59" s="460"/>
      <c r="K59" s="461"/>
      <c r="L59" s="54"/>
      <c r="M59" s="55"/>
      <c r="N59" s="460"/>
      <c r="O59" s="462"/>
      <c r="P59" s="462"/>
      <c r="Q59" s="461"/>
      <c r="R59" s="460"/>
      <c r="S59" s="462"/>
      <c r="T59" s="460"/>
      <c r="U59" s="461"/>
      <c r="V59" s="482"/>
    </row>
    <row r="60" spans="1:22" s="75" customFormat="1" x14ac:dyDescent="0.8">
      <c r="A60" s="46">
        <f>IF(+All!$F87="Georgia State",+All!A87,IF(+All!$H87="Georgia State",+All!A87,0))</f>
        <v>1</v>
      </c>
      <c r="B60" s="348" t="str">
        <f>IF(+All!$F87="Georgia State",+All!B87,IF(+All!$H87="Georgia State",+All!B87,0))</f>
        <v>Sat</v>
      </c>
      <c r="C60" s="48">
        <f>IF(+All!$F87="Georgia State",+All!C87,IF(+All!$H87="Georgia State",+All!C87,0))</f>
        <v>44807</v>
      </c>
      <c r="D60" s="490">
        <f>IF(+All!$F87="Georgia State",+All!D87,IF(+All!$H87="Georgia State",+All!D87,0))</f>
        <v>0.8125</v>
      </c>
      <c r="E60" s="461" t="str">
        <f>IF(+All!$F87="Georgia State",+All!E87,IF(+All!$H87="Georgia State",+All!E87,0))</f>
        <v>SEC</v>
      </c>
      <c r="F60" s="51" t="str">
        <f>IF(+All!$F87="Georgia State",+All!F87,IF(+All!$H87="Georgia State",+All!F87,0))</f>
        <v>Georgia State</v>
      </c>
      <c r="G60" s="52" t="str">
        <f>IF(+All!$F87="Georgia State",+All!G87,IF(+All!$H87="Georgia State",+All!G87,0))</f>
        <v>SB</v>
      </c>
      <c r="H60" s="51" t="str">
        <f>IF(+All!$F87="Georgia State",+All!H87,IF(+All!$H87="Georgia State",+All!H87,0))</f>
        <v>South Carolina</v>
      </c>
      <c r="I60" s="52" t="str">
        <f>IF(+All!$F87="Georgia State",+All!I87,IF(+All!$H87="Georgia State",+All!I87,0))</f>
        <v>SEC</v>
      </c>
      <c r="J60" s="460" t="str">
        <f>IF(+All!$F87="Georgia State",+All!J87,IF(+All!$H87="Georgia State",+All!J87,0))</f>
        <v>South Carolina</v>
      </c>
      <c r="K60" s="461" t="str">
        <f>IF(+All!$F87="Georgia State",+All!K87,IF(+All!$H87="Georgia State",+All!K87,0))</f>
        <v>Georgia State</v>
      </c>
      <c r="L60" s="54">
        <f>IF(+All!$F87="Georgia State",+All!L87,IF(+All!$H87="Georgia State",+All!L87,0))</f>
        <v>13</v>
      </c>
      <c r="M60" s="55">
        <f>IF(+All!$F87="Georgia State",+All!M87,IF(+All!$H87="Georgia State",+All!M87,0))</f>
        <v>57</v>
      </c>
      <c r="N60" s="460" t="str">
        <f>IF(+All!$F87="Georgia State",+All!N87,IF(+All!$H87="Georgia State",+All!N87,0))</f>
        <v>South Carolina</v>
      </c>
      <c r="O60" s="462">
        <f>IF(+All!$F87="Georgia State",+All!O87,IF(+All!$H87="Georgia State",+All!O87,0))</f>
        <v>35</v>
      </c>
      <c r="P60" s="462" t="str">
        <f>IF(+All!$F87="Georgia State",+All!P87,IF(+All!$H87="Georgia State",+All!P87,0))</f>
        <v>Georgia State</v>
      </c>
      <c r="Q60" s="461">
        <f>IF(+All!$F87="Georgia State",+All!Q87,IF(+All!$H87="Georgia State",+All!Q87,0))</f>
        <v>14</v>
      </c>
      <c r="R60" s="460" t="str">
        <f>IF(+All!$F87="Georgia State",+All!R87,IF(+All!$H87="Georgia State",+All!R87,0))</f>
        <v>South Carolina</v>
      </c>
      <c r="S60" s="462" t="str">
        <f>IF(+All!$F87="Georgia State",+All!S87,IF(+All!$H87="Georgia State",+All!S87,0))</f>
        <v>Georgia State</v>
      </c>
      <c r="T60" s="460" t="str">
        <f>IF(+All!$F87="Georgia State",+All!T87,IF(+All!$H87="Georgia State",+All!T87,0))</f>
        <v>South Carolina</v>
      </c>
      <c r="U60" s="461" t="str">
        <f>IF(+All!$F87="Georgia State",+All!U87,IF(+All!$H87="Georgia State",+All!U87,0))</f>
        <v>W</v>
      </c>
      <c r="V60" s="482"/>
    </row>
    <row r="61" spans="1:22" s="75" customFormat="1" x14ac:dyDescent="0.8">
      <c r="A61" s="46">
        <f>IF(+All!$F166="Georgia State",+All!A166,IF(+All!$H166="Georgia State",+All!A166,0))</f>
        <v>2</v>
      </c>
      <c r="B61" s="348" t="str">
        <f>IF(+All!$F166="Georgia State",+All!B166,IF(+All!$H166="Georgia State",+All!B166,0))</f>
        <v>Sat</v>
      </c>
      <c r="C61" s="48">
        <f>IF(+All!$F166="Georgia State",+All!C166,IF(+All!$H166="Georgia State",+All!C166,0))</f>
        <v>44814</v>
      </c>
      <c r="D61" s="490">
        <f>IF(+All!$F166="Georgia State",+All!D166,IF(+All!$H166="Georgia State",+All!D166,0))</f>
        <v>0.5</v>
      </c>
      <c r="E61" s="461" t="str">
        <f>IF(+All!$F166="Georgia State",+All!E166,IF(+All!$H166="Georgia State",+All!E166,0))</f>
        <v>ESPNU</v>
      </c>
      <c r="F61" s="51" t="str">
        <f>IF(+All!$F166="Georgia State",+All!F166,IF(+All!$H166="Georgia State",+All!F166,0))</f>
        <v>North Carolina</v>
      </c>
      <c r="G61" s="52" t="str">
        <f>IF(+All!$F166="Georgia State",+All!G166,IF(+All!$H166="Georgia State",+All!G166,0))</f>
        <v>ACC</v>
      </c>
      <c r="H61" s="51" t="str">
        <f>IF(+All!$F166="Georgia State",+All!H166,IF(+All!$H166="Georgia State",+All!H166,0))</f>
        <v>Georgia State</v>
      </c>
      <c r="I61" s="52" t="str">
        <f>IF(+All!$F166="Georgia State",+All!I166,IF(+All!$H166="Georgia State",+All!I166,0))</f>
        <v>SB</v>
      </c>
      <c r="J61" s="460" t="str">
        <f>IF(+All!$F166="Georgia State",+All!J166,IF(+All!$H166="Georgia State",+All!J166,0))</f>
        <v>North Carolina</v>
      </c>
      <c r="K61" s="461" t="str">
        <f>IF(+All!$F166="Georgia State",+All!K166,IF(+All!$H166="Georgia State",+All!K166,0))</f>
        <v>Georgia State</v>
      </c>
      <c r="L61" s="54">
        <f>IF(+All!$F166="Georgia State",+All!L166,IF(+All!$H166="Georgia State",+All!L166,0))</f>
        <v>7.5</v>
      </c>
      <c r="M61" s="55">
        <f>IF(+All!$F166="Georgia State",+All!M166,IF(+All!$H166="Georgia State",+All!M166,0))</f>
        <v>65.5</v>
      </c>
      <c r="N61" s="460" t="str">
        <f>IF(+All!$F166="Georgia State",+All!N166,IF(+All!$H166="Georgia State",+All!N166,0))</f>
        <v>North Carolina</v>
      </c>
      <c r="O61" s="462">
        <f>IF(+All!$F166="Georgia State",+All!O166,IF(+All!$H166="Georgia State",+All!O166,0))</f>
        <v>35</v>
      </c>
      <c r="P61" s="462" t="str">
        <f>IF(+All!$F166="Georgia State",+All!P166,IF(+All!$H166="Georgia State",+All!P166,0))</f>
        <v>Georgia State</v>
      </c>
      <c r="Q61" s="461">
        <f>IF(+All!$F166="Georgia State",+All!Q166,IF(+All!$H166="Georgia State",+All!Q166,0))</f>
        <v>28</v>
      </c>
      <c r="R61" s="460" t="str">
        <f>IF(+All!$F166="Georgia State",+All!R166,IF(+All!$H166="Georgia State",+All!R166,0))</f>
        <v>Georgia State</v>
      </c>
      <c r="S61" s="462" t="str">
        <f>IF(+All!$F166="Georgia State",+All!S166,IF(+All!$H166="Georgia State",+All!S166,0))</f>
        <v>North Carolina</v>
      </c>
      <c r="T61" s="460" t="str">
        <f>IF(+All!$F166="Georgia State",+All!T166,IF(+All!$H166="Georgia State",+All!T166,0))</f>
        <v>North Carolina</v>
      </c>
      <c r="U61" s="461" t="str">
        <f>IF(+All!$F166="Georgia State",+All!U166,IF(+All!$H166="Georgia State",+All!U166,0))</f>
        <v>L</v>
      </c>
      <c r="V61" s="482"/>
    </row>
    <row r="62" spans="1:22" s="75" customFormat="1" x14ac:dyDescent="0.8">
      <c r="A62" s="46">
        <f>IF(+All!$F239="Georgia State",+All!A239,IF(+All!$H239="Georgia State",+All!A239,0))</f>
        <v>3</v>
      </c>
      <c r="B62" s="348" t="str">
        <f>IF(+All!$F239="Georgia State",+All!B239,IF(+All!$H239="Georgia State",+All!B239,0))</f>
        <v>Sat</v>
      </c>
      <c r="C62" s="48">
        <f>IF(+All!$F239="Georgia State",+All!C239,IF(+All!$H239="Georgia State",+All!C239,0))</f>
        <v>44821</v>
      </c>
      <c r="D62" s="490">
        <f>IF(+All!$F239="Georgia State",+All!D239,IF(+All!$H239="Georgia State",+All!D239,0))</f>
        <v>0.79166666666666663</v>
      </c>
      <c r="E62" s="461">
        <f>IF(+All!$F239="Georgia State",+All!E239,IF(+All!$H239="Georgia State",+All!E239,0))</f>
        <v>0</v>
      </c>
      <c r="F62" s="51" t="str">
        <f>IF(+All!$F239="Georgia State",+All!F239,IF(+All!$H239="Georgia State",+All!F239,0))</f>
        <v>UNC Charlotte</v>
      </c>
      <c r="G62" s="52" t="str">
        <f>IF(+All!$F239="Georgia State",+All!G239,IF(+All!$H239="Georgia State",+All!G239,0))</f>
        <v>CUSA</v>
      </c>
      <c r="H62" s="51" t="str">
        <f>IF(+All!$F239="Georgia State",+All!H239,IF(+All!$H239="Georgia State",+All!H239,0))</f>
        <v>Georgia State</v>
      </c>
      <c r="I62" s="52" t="str">
        <f>IF(+All!$F239="Georgia State",+All!I239,IF(+All!$H239="Georgia State",+All!I239,0))</f>
        <v>SB</v>
      </c>
      <c r="J62" s="460" t="str">
        <f>IF(+All!$F239="Georgia State",+All!J239,IF(+All!$H239="Georgia State",+All!J239,0))</f>
        <v>Georgia State</v>
      </c>
      <c r="K62" s="461" t="str">
        <f>IF(+All!$F239="Georgia State",+All!K239,IF(+All!$H239="Georgia State",+All!K239,0))</f>
        <v>UNC Charlotte</v>
      </c>
      <c r="L62" s="54">
        <f>IF(+All!$F239="Georgia State",+All!L239,IF(+All!$H239="Georgia State",+All!L239,0))</f>
        <v>19</v>
      </c>
      <c r="M62" s="55">
        <f>IF(+All!$F239="Georgia State",+All!M239,IF(+All!$H239="Georgia State",+All!M239,0))</f>
        <v>61.5</v>
      </c>
      <c r="N62" s="460" t="str">
        <f>IF(+All!$F239="Georgia State",+All!N239,IF(+All!$H239="Georgia State",+All!N239,0))</f>
        <v>Georgia State</v>
      </c>
      <c r="O62" s="462">
        <f>IF(+All!$F239="Georgia State",+All!O239,IF(+All!$H239="Georgia State",+All!O239,0))</f>
        <v>42</v>
      </c>
      <c r="P62" s="462" t="str">
        <f>IF(+All!$F239="Georgia State",+All!P239,IF(+All!$H239="Georgia State",+All!P239,0))</f>
        <v>UNC Charlotte</v>
      </c>
      <c r="Q62" s="461">
        <f>IF(+All!$F239="Georgia State",+All!Q239,IF(+All!$H239="Georgia State",+All!Q239,0))</f>
        <v>21</v>
      </c>
      <c r="R62" s="460" t="str">
        <f>IF(+All!$F239="Georgia State",+All!R239,IF(+All!$H239="Georgia State",+All!R239,0))</f>
        <v>Georgia State</v>
      </c>
      <c r="S62" s="462" t="str">
        <f>IF(+All!$F239="Georgia State",+All!S239,IF(+All!$H239="Georgia State",+All!S239,0))</f>
        <v>UNC Charlotte</v>
      </c>
      <c r="T62" s="460" t="str">
        <f>IF(+All!$F239="Georgia State",+All!T239,IF(+All!$H239="Georgia State",+All!T239,0))</f>
        <v>Georgia State</v>
      </c>
      <c r="U62" s="461" t="str">
        <f>IF(+All!$F239="Georgia State",+All!U239,IF(+All!$H239="Georgia State",+All!U239,0))</f>
        <v>W</v>
      </c>
      <c r="V62" s="482"/>
    </row>
    <row r="63" spans="1:22" s="75" customFormat="1" x14ac:dyDescent="0.8">
      <c r="A63" s="46">
        <f>IF(+All!$F254="Georgia State",+All!A254,IF(+All!$H254="Georgia State",+All!A254,0))</f>
        <v>4</v>
      </c>
      <c r="B63" s="348" t="str">
        <f>IF(+All!$F254="Georgia State",+All!B254,IF(+All!$H254="Georgia State",+All!B254,0))</f>
        <v>Thurs</v>
      </c>
      <c r="C63" s="48">
        <f>IF(+All!$F254="Georgia State",+All!C254,IF(+All!$H254="Georgia State",+All!C254,0))</f>
        <v>44826</v>
      </c>
      <c r="D63" s="490">
        <f>IF(+All!$F254="Georgia State",+All!D254,IF(+All!$H254="Georgia State",+All!D254,0))</f>
        <v>0.8125</v>
      </c>
      <c r="E63" s="461" t="str">
        <f>IF(+All!$F254="Georgia State",+All!E254,IF(+All!$H254="Georgia State",+All!E254,0))</f>
        <v>ESPN2</v>
      </c>
      <c r="F63" s="51" t="str">
        <f>IF(+All!$F254="Georgia State",+All!F254,IF(+All!$H254="Georgia State",+All!F254,0))</f>
        <v>Coastal Carolina</v>
      </c>
      <c r="G63" s="52" t="str">
        <f>IF(+All!$F254="Georgia State",+All!G254,IF(+All!$H254="Georgia State",+All!G254,0))</f>
        <v>SB</v>
      </c>
      <c r="H63" s="51" t="str">
        <f>IF(+All!$F254="Georgia State",+All!H254,IF(+All!$H254="Georgia State",+All!H254,0))</f>
        <v>Georgia State</v>
      </c>
      <c r="I63" s="52" t="str">
        <f>IF(+All!$F254="Georgia State",+All!I254,IF(+All!$H254="Georgia State",+All!I254,0))</f>
        <v>SB</v>
      </c>
      <c r="J63" s="460" t="str">
        <f>IF(+All!$F254="Georgia State",+All!J254,IF(+All!$H254="Georgia State",+All!J254,0))</f>
        <v>Coastal Carolina</v>
      </c>
      <c r="K63" s="461" t="str">
        <f>IF(+All!$F254="Georgia State",+All!K254,IF(+All!$H254="Georgia State",+All!K254,0))</f>
        <v>Georgia State</v>
      </c>
      <c r="L63" s="54">
        <f>IF(+All!$F254="Georgia State",+All!L254,IF(+All!$H254="Georgia State",+All!L254,0))</f>
        <v>2.5</v>
      </c>
      <c r="M63" s="55">
        <f>IF(+All!$F254="Georgia State",+All!M254,IF(+All!$H254="Georgia State",+All!M254,0))</f>
        <v>62</v>
      </c>
      <c r="N63" s="460" t="str">
        <f>IF(+All!$F254="Georgia State",+All!N254,IF(+All!$H254="Georgia State",+All!N254,0))</f>
        <v>Coastal Carolina</v>
      </c>
      <c r="O63" s="462">
        <f>IF(+All!$F254="Georgia State",+All!O254,IF(+All!$H254="Georgia State",+All!O254,0))</f>
        <v>41</v>
      </c>
      <c r="P63" s="462" t="str">
        <f>IF(+All!$F254="Georgia State",+All!P254,IF(+All!$H254="Georgia State",+All!P254,0))</f>
        <v>Georgia State</v>
      </c>
      <c r="Q63" s="461">
        <f>IF(+All!$F254="Georgia State",+All!Q254,IF(+All!$H254="Georgia State",+All!Q254,0))</f>
        <v>24</v>
      </c>
      <c r="R63" s="460" t="str">
        <f>IF(+All!$F254="Georgia State",+All!R254,IF(+All!$H254="Georgia State",+All!R254,0))</f>
        <v>Coastal Carolina</v>
      </c>
      <c r="S63" s="462" t="str">
        <f>IF(+All!$F254="Georgia State",+All!S254,IF(+All!$H254="Georgia State",+All!S254,0))</f>
        <v>Georgia State</v>
      </c>
      <c r="T63" s="460" t="str">
        <f>IF(+All!$F254="Georgia State",+All!T254,IF(+All!$H254="Georgia State",+All!T254,0))</f>
        <v>Coastal Carolina</v>
      </c>
      <c r="U63" s="461" t="str">
        <f>IF(+All!$F254="Georgia State",+All!U254,IF(+All!$H254="Georgia State",+All!U254,0))</f>
        <v>W</v>
      </c>
      <c r="V63" s="482"/>
    </row>
    <row r="64" spans="1:22" s="75" customFormat="1" x14ac:dyDescent="0.8">
      <c r="A64" s="46">
        <f>IF(+All!$F351="Georgia State",+All!A351,IF(+All!$H351="Georgia State",+All!A351,0))</f>
        <v>5</v>
      </c>
      <c r="B64" s="348" t="str">
        <f>IF(+All!$F351="Georgia State",+All!B351,IF(+All!$H351="Georgia State",+All!B351,0))</f>
        <v>Sat</v>
      </c>
      <c r="C64" s="48">
        <f>IF(+All!$F351="Georgia State",+All!C351,IF(+All!$H351="Georgia State",+All!C351,0))</f>
        <v>44835</v>
      </c>
      <c r="D64" s="490">
        <f>IF(+All!$F351="Georgia State",+All!D351,IF(+All!$H351="Georgia State",+All!D351,0))</f>
        <v>0.5</v>
      </c>
      <c r="E64" s="461" t="str">
        <f>IF(+All!$F351="Georgia State",+All!E351,IF(+All!$H351="Georgia State",+All!E351,0))</f>
        <v>CBSSN</v>
      </c>
      <c r="F64" s="51" t="str">
        <f>IF(+All!$F351="Georgia State",+All!F351,IF(+All!$H351="Georgia State",+All!F351,0))</f>
        <v>Georgia State</v>
      </c>
      <c r="G64" s="52" t="str">
        <f>IF(+All!$F351="Georgia State",+All!G351,IF(+All!$H351="Georgia State",+All!G351,0))</f>
        <v>SB</v>
      </c>
      <c r="H64" s="51" t="str">
        <f>IF(+All!$F351="Georgia State",+All!H351,IF(+All!$H351="Georgia State",+All!H351,0))</f>
        <v>Army</v>
      </c>
      <c r="I64" s="52" t="str">
        <f>IF(+All!$F351="Georgia State",+All!I351,IF(+All!$H351="Georgia State",+All!I351,0))</f>
        <v>Ind</v>
      </c>
      <c r="J64" s="460" t="str">
        <f>IF(+All!$F351="Georgia State",+All!J351,IF(+All!$H351="Georgia State",+All!J351,0))</f>
        <v>Army</v>
      </c>
      <c r="K64" s="461" t="str">
        <f>IF(+All!$F351="Georgia State",+All!K351,IF(+All!$H351="Georgia State",+All!K351,0))</f>
        <v>Georgia State</v>
      </c>
      <c r="L64" s="54">
        <f>IF(+All!$F351="Georgia State",+All!L351,IF(+All!$H351="Georgia State",+All!L351,0))</f>
        <v>7.5</v>
      </c>
      <c r="M64" s="55">
        <f>IF(+All!$F351="Georgia State",+All!M351,IF(+All!$H351="Georgia State",+All!M351,0))</f>
        <v>54</v>
      </c>
      <c r="N64" s="460" t="str">
        <f>IF(+All!$F351="Georgia State",+All!N351,IF(+All!$H351="Georgia State",+All!N351,0))</f>
        <v>Georgia State</v>
      </c>
      <c r="O64" s="462">
        <f>IF(+All!$F351="Georgia State",+All!O351,IF(+All!$H351="Georgia State",+All!O351,0))</f>
        <v>31</v>
      </c>
      <c r="P64" s="462" t="str">
        <f>IF(+All!$F351="Georgia State",+All!P351,IF(+All!$H351="Georgia State",+All!P351,0))</f>
        <v>Army</v>
      </c>
      <c r="Q64" s="461">
        <f>IF(+All!$F351="Georgia State",+All!Q351,IF(+All!$H351="Georgia State",+All!Q351,0))</f>
        <v>14</v>
      </c>
      <c r="R64" s="460" t="str">
        <f>IF(+All!$F351="Georgia State",+All!R351,IF(+All!$H351="Georgia State",+All!R351,0))</f>
        <v>Georgia State</v>
      </c>
      <c r="S64" s="462" t="str">
        <f>IF(+All!$F351="Georgia State",+All!S351,IF(+All!$H351="Georgia State",+All!S351,0))</f>
        <v>Army</v>
      </c>
      <c r="T64" s="460" t="str">
        <f>IF(+All!$F351="Georgia State",+All!T351,IF(+All!$H351="Georgia State",+All!T351,0))</f>
        <v>Army</v>
      </c>
      <c r="U64" s="461" t="str">
        <f>IF(+All!$F351="Georgia State",+All!U351,IF(+All!$H351="Georgia State",+All!U351,0))</f>
        <v>L</v>
      </c>
      <c r="V64" s="482"/>
    </row>
    <row r="65" spans="1:22" s="75" customFormat="1" x14ac:dyDescent="0.8">
      <c r="A65" s="46">
        <f>IF(+All!$F427="Georgia State",+All!A427,IF(+All!$H427="Georgia State",+All!A427,0))</f>
        <v>6</v>
      </c>
      <c r="B65" s="348" t="str">
        <f>IF(+All!$F427="Georgia State",+All!B427,IF(+All!$H427="Georgia State",+All!B427,0))</f>
        <v>Sat</v>
      </c>
      <c r="C65" s="48">
        <f>IF(+All!$F427="Georgia State",+All!C427,IF(+All!$H427="Georgia State",+All!C427,0))</f>
        <v>44842</v>
      </c>
      <c r="D65" s="490">
        <f>IF(+All!$F427="Georgia State",+All!D427,IF(+All!$H427="Georgia State",+All!D427,0))</f>
        <v>0.58333333333333337</v>
      </c>
      <c r="E65" s="461" t="str">
        <f>IF(+All!$F427="Georgia State",+All!E427,IF(+All!$H427="Georgia State",+All!E427,0))</f>
        <v>espn3</v>
      </c>
      <c r="F65" s="51" t="str">
        <f>IF(+All!$F427="Georgia State",+All!F427,IF(+All!$H427="Georgia State",+All!F427,0))</f>
        <v>Georgia Southern</v>
      </c>
      <c r="G65" s="52" t="str">
        <f>IF(+All!$F427="Georgia State",+All!G427,IF(+All!$H427="Georgia State",+All!G427,0))</f>
        <v>SB</v>
      </c>
      <c r="H65" s="51" t="str">
        <f>IF(+All!$F427="Georgia State",+All!H427,IF(+All!$H427="Georgia State",+All!H427,0))</f>
        <v>Georgia State</v>
      </c>
      <c r="I65" s="52" t="str">
        <f>IF(+All!$F427="Georgia State",+All!I427,IF(+All!$H427="Georgia State",+All!I427,0))</f>
        <v>SB</v>
      </c>
      <c r="J65" s="460" t="str">
        <f>IF(+All!$F427="Georgia State",+All!J427,IF(+All!$H427="Georgia State",+All!J427,0))</f>
        <v>Georgia State</v>
      </c>
      <c r="K65" s="461" t="str">
        <f>IF(+All!$F427="Georgia State",+All!K427,IF(+All!$H427="Georgia State",+All!K427,0))</f>
        <v>Georgia Southern</v>
      </c>
      <c r="L65" s="54">
        <f>IF(+All!$F427="Georgia State",+All!L427,IF(+All!$H427="Georgia State",+All!L427,0))</f>
        <v>2.5</v>
      </c>
      <c r="M65" s="55">
        <f>IF(+All!$F427="Georgia State",+All!M427,IF(+All!$H427="Georgia State",+All!M427,0))</f>
        <v>68</v>
      </c>
      <c r="N65" s="460" t="str">
        <f>IF(+All!$F427="Georgia State",+All!N427,IF(+All!$H427="Georgia State",+All!N427,0))</f>
        <v>Georgia State</v>
      </c>
      <c r="O65" s="462">
        <f>IF(+All!$F427="Georgia State",+All!O427,IF(+All!$H427="Georgia State",+All!O427,0))</f>
        <v>41</v>
      </c>
      <c r="P65" s="462" t="str">
        <f>IF(+All!$F427="Georgia State",+All!P427,IF(+All!$H427="Georgia State",+All!P427,0))</f>
        <v>Georgia Southern</v>
      </c>
      <c r="Q65" s="461">
        <f>IF(+All!$F427="Georgia State",+All!Q427,IF(+All!$H427="Georgia State",+All!Q427,0))</f>
        <v>33</v>
      </c>
      <c r="R65" s="460" t="str">
        <f>IF(+All!$F427="Georgia State",+All!R427,IF(+All!$H427="Georgia State",+All!R427,0))</f>
        <v>Georgia State</v>
      </c>
      <c r="S65" s="462" t="str">
        <f>IF(+All!$F427="Georgia State",+All!S427,IF(+All!$H427="Georgia State",+All!S427,0))</f>
        <v>Georgia Southern</v>
      </c>
      <c r="T65" s="460" t="str">
        <f>IF(+All!$F427="Georgia State",+All!T427,IF(+All!$H427="Georgia State",+All!T427,0))</f>
        <v>Georgia State</v>
      </c>
      <c r="U65" s="461" t="str">
        <f>IF(+All!$F427="Georgia State",+All!U427,IF(+All!$H427="Georgia State",+All!U427,0))</f>
        <v>W</v>
      </c>
      <c r="V65" s="482"/>
    </row>
    <row r="66" spans="1:22" s="75" customFormat="1" x14ac:dyDescent="0.8">
      <c r="A66" s="46" t="e">
        <f>IF(+All!#REF!="Georgia State",+All!#REF!,IF(+All!#REF!="Georgia State",+All!#REF!,0))</f>
        <v>#REF!</v>
      </c>
      <c r="B66" s="348" t="e">
        <f>IF(+All!#REF!="Georgia State",+All!#REF!,IF(+All!#REF!="Georgia State",+All!#REF!,0))</f>
        <v>#REF!</v>
      </c>
      <c r="C66" s="48" t="e">
        <f>IF(+All!#REF!="Georgia State",+All!#REF!,IF(+All!#REF!="Georgia State",+All!#REF!,0))</f>
        <v>#REF!</v>
      </c>
      <c r="D66" s="490" t="e">
        <f>IF(+All!#REF!="Georgia State",+All!#REF!,IF(+All!#REF!="Georgia State",+All!#REF!,0))</f>
        <v>#REF!</v>
      </c>
      <c r="E66" s="461" t="e">
        <f>IF(+All!#REF!="Georgia State",+All!#REF!,IF(+All!#REF!="Georgia State",+All!#REF!,0))</f>
        <v>#REF!</v>
      </c>
      <c r="F66" s="51" t="e">
        <f>IF(+All!#REF!="Georgia State",+All!#REF!,IF(+All!#REF!="Georgia State",+All!#REF!,0))</f>
        <v>#REF!</v>
      </c>
      <c r="G66" s="52" t="e">
        <f>IF(+All!#REF!="Georgia State",+All!#REF!,IF(+All!#REF!="Georgia State",+All!#REF!,0))</f>
        <v>#REF!</v>
      </c>
      <c r="H66" s="51" t="e">
        <f>IF(+All!#REF!="Georgia State",+All!#REF!,IF(+All!#REF!="Georgia State",+All!#REF!,0))</f>
        <v>#REF!</v>
      </c>
      <c r="I66" s="52" t="e">
        <f>IF(+All!#REF!="Georgia State",+All!#REF!,IF(+All!#REF!="Georgia State",+All!#REF!,0))</f>
        <v>#REF!</v>
      </c>
      <c r="J66" s="460" t="e">
        <f>IF(+All!#REF!="Georgia State",+All!#REF!,IF(+All!#REF!="Georgia State",+All!#REF!,0))</f>
        <v>#REF!</v>
      </c>
      <c r="K66" s="461" t="e">
        <f>IF(+All!#REF!="Georgia State",+All!#REF!,IF(+All!#REF!="Georgia State",+All!#REF!,0))</f>
        <v>#REF!</v>
      </c>
      <c r="L66" s="54" t="e">
        <f>IF(+All!#REF!="Georgia State",+All!#REF!,IF(+All!#REF!="Georgia State",+All!#REF!,0))</f>
        <v>#REF!</v>
      </c>
      <c r="M66" s="55" t="e">
        <f>IF(+All!#REF!="Georgia State",+All!#REF!,IF(+All!#REF!="Georgia State",+All!#REF!,0))</f>
        <v>#REF!</v>
      </c>
      <c r="N66" s="460" t="e">
        <f>IF(+All!#REF!="Georgia State",+All!#REF!,IF(+All!#REF!="Georgia State",+All!#REF!,0))</f>
        <v>#REF!</v>
      </c>
      <c r="O66" s="462" t="e">
        <f>IF(+All!#REF!="Georgia State",+All!#REF!,IF(+All!#REF!="Georgia State",+All!#REF!,0))</f>
        <v>#REF!</v>
      </c>
      <c r="P66" s="462" t="e">
        <f>IF(+All!#REF!="Georgia State",+All!#REF!,IF(+All!#REF!="Georgia State",+All!#REF!,0))</f>
        <v>#REF!</v>
      </c>
      <c r="Q66" s="461" t="e">
        <f>IF(+All!#REF!="Georgia State",+All!#REF!,IF(+All!#REF!="Georgia State",+All!#REF!,0))</f>
        <v>#REF!</v>
      </c>
      <c r="R66" s="460" t="e">
        <f>IF(+All!#REF!="Georgia State",+All!#REF!,IF(+All!#REF!="Georgia State",+All!#REF!,0))</f>
        <v>#REF!</v>
      </c>
      <c r="S66" s="462" t="e">
        <f>IF(+All!#REF!="Georgia State",+All!#REF!,IF(+All!#REF!="Georgia State",+All!#REF!,0))</f>
        <v>#REF!</v>
      </c>
      <c r="T66" s="460" t="e">
        <f>IF(+All!#REF!="Georgia State",+All!#REF!,IF(+All!#REF!="Georgia State",+All!#REF!,0))</f>
        <v>#REF!</v>
      </c>
      <c r="U66" s="461" t="e">
        <f>IF(+All!#REF!="Georgia State",+All!#REF!,IF(+All!#REF!="Georgia State",+All!#REF!,0))</f>
        <v>#REF!</v>
      </c>
      <c r="V66" s="482"/>
    </row>
    <row r="67" spans="1:22" s="75" customFormat="1" x14ac:dyDescent="0.8">
      <c r="A67" s="46">
        <f>IF(+All!$F491="Georgia State",+All!A491,IF(+All!$H491="Georgia State",+All!A491,0))</f>
        <v>8</v>
      </c>
      <c r="B67" s="348" t="str">
        <f>IF(+All!$F491="Georgia State",+All!B491,IF(+All!$H491="Georgia State",+All!B491,0))</f>
        <v>Weds</v>
      </c>
      <c r="C67" s="48">
        <f>IF(+All!$F491="Georgia State",+All!C491,IF(+All!$H491="Georgia State",+All!C491,0))</f>
        <v>44853</v>
      </c>
      <c r="D67" s="490">
        <f>IF(+All!$F491="Georgia State",+All!D491,IF(+All!$H491="Georgia State",+All!D491,0))</f>
        <v>0.8125</v>
      </c>
      <c r="E67" s="461" t="str">
        <f>IF(+All!$F491="Georgia State",+All!E491,IF(+All!$H491="Georgia State",+All!E491,0))</f>
        <v>ESPN2</v>
      </c>
      <c r="F67" s="51" t="str">
        <f>IF(+All!$F491="Georgia State",+All!F491,IF(+All!$H491="Georgia State",+All!F491,0))</f>
        <v>Georgia State</v>
      </c>
      <c r="G67" s="52" t="str">
        <f>IF(+All!$F491="Georgia State",+All!G491,IF(+All!$H491="Georgia State",+All!G491,0))</f>
        <v>SB</v>
      </c>
      <c r="H67" s="51" t="str">
        <f>IF(+All!$F491="Georgia State",+All!H491,IF(+All!$H491="Georgia State",+All!H491,0))</f>
        <v>Appalachian State</v>
      </c>
      <c r="I67" s="52" t="str">
        <f>IF(+All!$F491="Georgia State",+All!I491,IF(+All!$H491="Georgia State",+All!I491,0))</f>
        <v>SB</v>
      </c>
      <c r="J67" s="460" t="str">
        <f>IF(+All!$F491="Georgia State",+All!J491,IF(+All!$H491="Georgia State",+All!J491,0))</f>
        <v>Appalachian State</v>
      </c>
      <c r="K67" s="461" t="str">
        <f>IF(+All!$F491="Georgia State",+All!K491,IF(+All!$H491="Georgia State",+All!K491,0))</f>
        <v>Georgia State</v>
      </c>
      <c r="L67" s="54">
        <f>IF(+All!$F491="Georgia State",+All!L491,IF(+All!$H491="Georgia State",+All!L491,0))</f>
        <v>9.5</v>
      </c>
      <c r="M67" s="55">
        <f>IF(+All!$F491="Georgia State",+All!M491,IF(+All!$H491="Georgia State",+All!M491,0))</f>
        <v>58.5</v>
      </c>
      <c r="N67" s="460" t="str">
        <f>IF(+All!$F491="Georgia State",+All!N491,IF(+All!$H491="Georgia State",+All!N491,0))</f>
        <v>Appalachian State</v>
      </c>
      <c r="O67" s="462">
        <f>IF(+All!$F491="Georgia State",+All!O491,IF(+All!$H491="Georgia State",+All!O491,0))</f>
        <v>42</v>
      </c>
      <c r="P67" s="462" t="str">
        <f>IF(+All!$F491="Georgia State",+All!P491,IF(+All!$H491="Georgia State",+All!P491,0))</f>
        <v>Georgia State</v>
      </c>
      <c r="Q67" s="461">
        <f>IF(+All!$F491="Georgia State",+All!Q491,IF(+All!$H491="Georgia State",+All!Q491,0))</f>
        <v>17</v>
      </c>
      <c r="R67" s="460" t="str">
        <f>IF(+All!$F491="Georgia State",+All!R491,IF(+All!$H491="Georgia State",+All!R491,0))</f>
        <v>Appalachian State</v>
      </c>
      <c r="S67" s="462" t="str">
        <f>IF(+All!$F491="Georgia State",+All!S491,IF(+All!$H491="Georgia State",+All!S491,0))</f>
        <v>Georgia State</v>
      </c>
      <c r="T67" s="460" t="str">
        <f>IF(+All!$F491="Georgia State",+All!T491,IF(+All!$H491="Georgia State",+All!T491,0))</f>
        <v>Georgia State</v>
      </c>
      <c r="U67" s="461" t="str">
        <f>IF(+All!$F491="Georgia State",+All!U491,IF(+All!$H491="Georgia State",+All!U491,0))</f>
        <v>L</v>
      </c>
      <c r="V67" s="482"/>
    </row>
    <row r="68" spans="1:22" x14ac:dyDescent="0.8">
      <c r="A68" s="46">
        <f>IF(+All!$F586="Georgia State",+All!A586,IF(+All!$H586="Georgia State",+All!A586,0))</f>
        <v>9</v>
      </c>
      <c r="B68" s="348" t="str">
        <f>IF(+All!$F586="Georgia State",+All!B586,IF(+All!$H586="Georgia State",+All!B586,0))</f>
        <v>Sat</v>
      </c>
      <c r="C68" s="48">
        <f>IF(+All!$F586="Georgia State",+All!C586,IF(+All!$H586="Georgia State",+All!C586,0))</f>
        <v>44863</v>
      </c>
      <c r="D68" s="490">
        <f>IF(+All!$F586="Georgia State",+All!D586,IF(+All!$H586="Georgia State",+All!D586,0))</f>
        <v>0.625</v>
      </c>
      <c r="E68" s="461">
        <f>IF(+All!$F586="Georgia State",+All!E586,IF(+All!$H586="Georgia State",+All!E586,0))</f>
        <v>0</v>
      </c>
      <c r="F68" s="51" t="str">
        <f>IF(+All!$F586="Georgia State",+All!F586,IF(+All!$H586="Georgia State",+All!F586,0))</f>
        <v>Old Dominion</v>
      </c>
      <c r="G68" s="52" t="str">
        <f>IF(+All!$F586="Georgia State",+All!G586,IF(+All!$H586="Georgia State",+All!G586,0))</f>
        <v>SB</v>
      </c>
      <c r="H68" s="51" t="str">
        <f>IF(+All!$F586="Georgia State",+All!H586,IF(+All!$H586="Georgia State",+All!H586,0))</f>
        <v>Georgia State</v>
      </c>
      <c r="I68" s="52" t="str">
        <f>IF(+All!$F586="Georgia State",+All!I586,IF(+All!$H586="Georgia State",+All!I586,0))</f>
        <v>SB</v>
      </c>
      <c r="J68" s="460" t="str">
        <f>IF(+All!$F586="Georgia State",+All!J586,IF(+All!$H586="Georgia State",+All!J586,0))</f>
        <v>Georgia State</v>
      </c>
      <c r="K68" s="461" t="str">
        <f>IF(+All!$F586="Georgia State",+All!K586,IF(+All!$H586="Georgia State",+All!K586,0))</f>
        <v>Old Dominion</v>
      </c>
      <c r="L68" s="54">
        <f>IF(+All!$F586="Georgia State",+All!L586,IF(+All!$H586="Georgia State",+All!L586,0))</f>
        <v>3.5</v>
      </c>
      <c r="M68" s="55">
        <f>IF(+All!$F586="Georgia State",+All!M586,IF(+All!$H586="Georgia State",+All!M586,0))</f>
        <v>55</v>
      </c>
      <c r="N68" s="460" t="str">
        <f>IF(+All!$F586="Georgia State",+All!N586,IF(+All!$H586="Georgia State",+All!N586,0))</f>
        <v>Georgia State</v>
      </c>
      <c r="O68" s="462">
        <f>IF(+All!$F586="Georgia State",+All!O586,IF(+All!$H586="Georgia State",+All!O586,0))</f>
        <v>31</v>
      </c>
      <c r="P68" s="462" t="str">
        <f>IF(+All!$F586="Georgia State",+All!P586,IF(+All!$H586="Georgia State",+All!P586,0))</f>
        <v>Old Dominion</v>
      </c>
      <c r="Q68" s="461">
        <f>IF(+All!$F586="Georgia State",+All!Q586,IF(+All!$H586="Georgia State",+All!Q586,0))</f>
        <v>17</v>
      </c>
      <c r="R68" s="460" t="str">
        <f>IF(+All!$F586="Georgia State",+All!R586,IF(+All!$H586="Georgia State",+All!R586,0))</f>
        <v>Georgia State</v>
      </c>
      <c r="S68" s="462" t="str">
        <f>IF(+All!$F586="Georgia State",+All!S586,IF(+All!$H586="Georgia State",+All!S586,0))</f>
        <v>Old Dominion</v>
      </c>
      <c r="T68" s="460" t="str">
        <f>IF(+All!$F586="Georgia State",+All!T586,IF(+All!$H586="Georgia State",+All!T586,0))</f>
        <v>Old Dominion</v>
      </c>
      <c r="U68" s="461" t="str">
        <f>IF(+All!$F586="Georgia State",+All!U586,IF(+All!$H586="Georgia State",+All!U586,0))</f>
        <v>L</v>
      </c>
    </row>
    <row r="69" spans="1:22" s="75" customFormat="1" x14ac:dyDescent="0.8">
      <c r="A69" s="46">
        <f>IF(+All!$F643="Georgia State",+All!A643,IF(+All!$H643="Georgia State",+All!A643,0))</f>
        <v>10</v>
      </c>
      <c r="B69" s="348" t="str">
        <f>IF(+All!$F643="Georgia State",+All!B643,IF(+All!$H643="Georgia State",+All!B643,0))</f>
        <v>Sat</v>
      </c>
      <c r="C69" s="48">
        <f>IF(+All!$F643="Georgia State",+All!C643,IF(+All!$H643="Georgia State",+All!C643,0))</f>
        <v>44870</v>
      </c>
      <c r="D69" s="490">
        <f>IF(+All!$F643="Georgia State",+All!D643,IF(+All!$H643="Georgia State",+All!D643,0))</f>
        <v>0.625</v>
      </c>
      <c r="E69" s="461">
        <f>IF(+All!$F643="Georgia State",+All!E643,IF(+All!$H643="Georgia State",+All!E643,0))</f>
        <v>0</v>
      </c>
      <c r="F69" s="51" t="str">
        <f>IF(+All!$F643="Georgia State",+All!F643,IF(+All!$H643="Georgia State",+All!F643,0))</f>
        <v>Georgia State</v>
      </c>
      <c r="G69" s="52" t="str">
        <f>IF(+All!$F643="Georgia State",+All!G643,IF(+All!$H643="Georgia State",+All!G643,0))</f>
        <v>SB</v>
      </c>
      <c r="H69" s="51" t="str">
        <f>IF(+All!$F643="Georgia State",+All!H643,IF(+All!$H643="Georgia State",+All!H643,0))</f>
        <v>Southern Miss</v>
      </c>
      <c r="I69" s="52" t="str">
        <f>IF(+All!$F643="Georgia State",+All!I643,IF(+All!$H643="Georgia State",+All!I643,0))</f>
        <v>SB</v>
      </c>
      <c r="J69" s="460" t="str">
        <f>IF(+All!$F643="Georgia State",+All!J643,IF(+All!$H643="Georgia State",+All!J643,0))</f>
        <v>Southern Miss</v>
      </c>
      <c r="K69" s="461" t="str">
        <f>IF(+All!$F643="Georgia State",+All!K643,IF(+All!$H643="Georgia State",+All!K643,0))</f>
        <v>Georgia State</v>
      </c>
      <c r="L69" s="54">
        <f>IF(+All!$F643="Georgia State",+All!L643,IF(+All!$H643="Georgia State",+All!L643,0))</f>
        <v>2.5</v>
      </c>
      <c r="M69" s="55">
        <f>IF(+All!$F643="Georgia State",+All!M643,IF(+All!$H643="Georgia State",+All!M643,0))</f>
        <v>48.5</v>
      </c>
      <c r="N69" s="460" t="str">
        <f>IF(+All!$F643="Georgia State",+All!N643,IF(+All!$H643="Georgia State",+All!N643,0))</f>
        <v>Georgia State</v>
      </c>
      <c r="O69" s="462">
        <f>IF(+All!$F643="Georgia State",+All!O643,IF(+All!$H643="Georgia State",+All!O643,0))</f>
        <v>42</v>
      </c>
      <c r="P69" s="462" t="str">
        <f>IF(+All!$F643="Georgia State",+All!P643,IF(+All!$H643="Georgia State",+All!P643,0))</f>
        <v>Southern Miss</v>
      </c>
      <c r="Q69" s="461">
        <f>IF(+All!$F643="Georgia State",+All!Q643,IF(+All!$H643="Georgia State",+All!Q643,0))</f>
        <v>14</v>
      </c>
      <c r="R69" s="460" t="str">
        <f>IF(+All!$F643="Georgia State",+All!R643,IF(+All!$H643="Georgia State",+All!R643,0))</f>
        <v>Georgia State</v>
      </c>
      <c r="S69" s="462" t="str">
        <f>IF(+All!$F643="Georgia State",+All!S643,IF(+All!$H643="Georgia State",+All!S643,0))</f>
        <v>Southern Miss</v>
      </c>
      <c r="T69" s="460" t="str">
        <f>IF(+All!$F643="Georgia State",+All!T643,IF(+All!$H643="Georgia State",+All!T643,0))</f>
        <v>Southern Miss</v>
      </c>
      <c r="U69" s="461" t="str">
        <f>IF(+All!$F643="Georgia State",+All!U643,IF(+All!$H643="Georgia State",+All!U643,0))</f>
        <v>L</v>
      </c>
      <c r="V69" s="482"/>
    </row>
    <row r="70" spans="1:22" s="75" customFormat="1" x14ac:dyDescent="0.8">
      <c r="A70" s="46">
        <f>IF(+All!$F706="Georgia State",+All!A706,IF(+All!$H706="Georgia State",+All!A706,0))</f>
        <v>11</v>
      </c>
      <c r="B70" s="348" t="str">
        <f>IF(+All!$F706="Georgia State",+All!B706,IF(+All!$H706="Georgia State",+All!B706,0))</f>
        <v>Sat</v>
      </c>
      <c r="C70" s="48">
        <f>IF(+All!$F706="Georgia State",+All!C706,IF(+All!$H706="Georgia State",+All!C706,0))</f>
        <v>44877</v>
      </c>
      <c r="D70" s="490">
        <f>IF(+All!$F706="Georgia State",+All!D706,IF(+All!$H706="Georgia State",+All!D706,0))</f>
        <v>0.54166666666666663</v>
      </c>
      <c r="E70" s="461">
        <f>IF(+All!$F706="Georgia State",+All!E706,IF(+All!$H706="Georgia State",+All!E706,0))</f>
        <v>0</v>
      </c>
      <c r="F70" s="51" t="str">
        <f>IF(+All!$F706="Georgia State",+All!F706,IF(+All!$H706="Georgia State",+All!F706,0))</f>
        <v>UL Monroe</v>
      </c>
      <c r="G70" s="52" t="str">
        <f>IF(+All!$F706="Georgia State",+All!G706,IF(+All!$H706="Georgia State",+All!G706,0))</f>
        <v>SB</v>
      </c>
      <c r="H70" s="51" t="str">
        <f>IF(+All!$F706="Georgia State",+All!H706,IF(+All!$H706="Georgia State",+All!H706,0))</f>
        <v>Georgia State</v>
      </c>
      <c r="I70" s="52" t="str">
        <f>IF(+All!$F706="Georgia State",+All!I706,IF(+All!$H706="Georgia State",+All!I706,0))</f>
        <v>SB</v>
      </c>
      <c r="J70" s="460" t="str">
        <f>IF(+All!$F706="Georgia State",+All!J706,IF(+All!$H706="Georgia State",+All!J706,0))</f>
        <v>Georgia State</v>
      </c>
      <c r="K70" s="461" t="str">
        <f>IF(+All!$F706="Georgia State",+All!K706,IF(+All!$H706="Georgia State",+All!K706,0))</f>
        <v>UL Monroe</v>
      </c>
      <c r="L70" s="54">
        <f>IF(+All!$F706="Georgia State",+All!L706,IF(+All!$H706="Georgia State",+All!L706,0))</f>
        <v>14</v>
      </c>
      <c r="M70" s="55">
        <f>IF(+All!$F706="Georgia State",+All!M706,IF(+All!$H706="Georgia State",+All!M706,0))</f>
        <v>58.5</v>
      </c>
      <c r="N70" s="460" t="str">
        <f>IF(+All!$F706="Georgia State",+All!N706,IF(+All!$H706="Georgia State",+All!N706,0))</f>
        <v>UL Monroe</v>
      </c>
      <c r="O70" s="462">
        <f>IF(+All!$F706="Georgia State",+All!O706,IF(+All!$H706="Georgia State",+All!O706,0))</f>
        <v>31</v>
      </c>
      <c r="P70" s="462" t="str">
        <f>IF(+All!$F706="Georgia State",+All!P706,IF(+All!$H706="Georgia State",+All!P706,0))</f>
        <v>Georgia State</v>
      </c>
      <c r="Q70" s="461">
        <f>IF(+All!$F706="Georgia State",+All!Q706,IF(+All!$H706="Georgia State",+All!Q706,0))</f>
        <v>28</v>
      </c>
      <c r="R70" s="460" t="str">
        <f>IF(+All!$F706="Georgia State",+All!R706,IF(+All!$H706="Georgia State",+All!R706,0))</f>
        <v>UL Monroe</v>
      </c>
      <c r="S70" s="462" t="str">
        <f>IF(+All!$F706="Georgia State",+All!S706,IF(+All!$H706="Georgia State",+All!S706,0))</f>
        <v>Georgia State</v>
      </c>
      <c r="T70" s="460" t="str">
        <f>IF(+All!$F706="Georgia State",+All!T706,IF(+All!$H706="Georgia State",+All!T706,0))</f>
        <v>Georgia State</v>
      </c>
      <c r="U70" s="461" t="str">
        <f>IF(+All!$F706="Georgia State",+All!U706,IF(+All!$H706="Georgia State",+All!U706,0))</f>
        <v>L</v>
      </c>
      <c r="V70" s="482"/>
    </row>
    <row r="71" spans="1:22" s="75" customFormat="1" x14ac:dyDescent="0.8">
      <c r="A71" s="46">
        <f>IF(+All!$F771="Georgia State",+All!A771,IF(+All!$H771="Georgia State",+All!A771,0))</f>
        <v>12</v>
      </c>
      <c r="B71" s="348" t="str">
        <f>IF(+All!$F771="Georgia State",+All!B771,IF(+All!$H771="Georgia State",+All!B771,0))</f>
        <v>Sat</v>
      </c>
      <c r="C71" s="48">
        <f>IF(+All!$F771="Georgia State",+All!C771,IF(+All!$H771="Georgia State",+All!C771,0))</f>
        <v>44884</v>
      </c>
      <c r="D71" s="490">
        <f>IF(+All!$F771="Georgia State",+All!D771,IF(+All!$H771="Georgia State",+All!D771,0))</f>
        <v>0.58333333333333337</v>
      </c>
      <c r="E71" s="461">
        <f>IF(+All!$F771="Georgia State",+All!E771,IF(+All!$H771="Georgia State",+All!E771,0))</f>
        <v>0</v>
      </c>
      <c r="F71" s="51" t="str">
        <f>IF(+All!$F771="Georgia State",+All!F771,IF(+All!$H771="Georgia State",+All!F771,0))</f>
        <v>Georgia State</v>
      </c>
      <c r="G71" s="52" t="str">
        <f>IF(+All!$F771="Georgia State",+All!G771,IF(+All!$H771="Georgia State",+All!G771,0))</f>
        <v>SB</v>
      </c>
      <c r="H71" s="51" t="str">
        <f>IF(+All!$F771="Georgia State",+All!H771,IF(+All!$H771="Georgia State",+All!H771,0))</f>
        <v>James Madison</v>
      </c>
      <c r="I71" s="52" t="str">
        <f>IF(+All!$F771="Georgia State",+All!I771,IF(+All!$H771="Georgia State",+All!I771,0))</f>
        <v>SB</v>
      </c>
      <c r="J71" s="460" t="str">
        <f>IF(+All!$F771="Georgia State",+All!J771,IF(+All!$H771="Georgia State",+All!J771,0))</f>
        <v>James Madison</v>
      </c>
      <c r="K71" s="461" t="str">
        <f>IF(+All!$F771="Georgia State",+All!K771,IF(+All!$H771="Georgia State",+All!K771,0))</f>
        <v>Georgia State</v>
      </c>
      <c r="L71" s="54">
        <f>IF(+All!$F771="Georgia State",+All!L771,IF(+All!$H771="Georgia State",+All!L771,0))</f>
        <v>9</v>
      </c>
      <c r="M71" s="55">
        <f>IF(+All!$F771="Georgia State",+All!M771,IF(+All!$H771="Georgia State",+All!M771,0))</f>
        <v>52.5</v>
      </c>
      <c r="N71" s="460" t="str">
        <f>IF(+All!$F771="Georgia State",+All!N771,IF(+All!$H771="Georgia State",+All!N771,0))</f>
        <v>James Madison</v>
      </c>
      <c r="O71" s="462">
        <f>IF(+All!$F771="Georgia State",+All!O771,IF(+All!$H771="Georgia State",+All!O771,0))</f>
        <v>42</v>
      </c>
      <c r="P71" s="462" t="str">
        <f>IF(+All!$F771="Georgia State",+All!P771,IF(+All!$H771="Georgia State",+All!P771,0))</f>
        <v>Georgia State</v>
      </c>
      <c r="Q71" s="461">
        <f>IF(+All!$F771="Georgia State",+All!Q771,IF(+All!$H771="Georgia State",+All!Q771,0))</f>
        <v>40</v>
      </c>
      <c r="R71" s="460" t="str">
        <f>IF(+All!$F771="Georgia State",+All!R771,IF(+All!$H771="Georgia State",+All!R771,0))</f>
        <v>Georgia State</v>
      </c>
      <c r="S71" s="462" t="str">
        <f>IF(+All!$F771="Georgia State",+All!S771,IF(+All!$H771="Georgia State",+All!S771,0))</f>
        <v>James Madison</v>
      </c>
      <c r="T71" s="460" t="str">
        <f>IF(+All!$F771="Georgia State",+All!T771,IF(+All!$H771="Georgia State",+All!T771,0))</f>
        <v>Georgia State</v>
      </c>
      <c r="U71" s="461" t="str">
        <f>IF(+All!$F771="Georgia State",+All!U771,IF(+All!$H771="Georgia State",+All!U771,0))</f>
        <v>W</v>
      </c>
      <c r="V71" s="482"/>
    </row>
    <row r="72" spans="1:22" s="75" customFormat="1" x14ac:dyDescent="0.8">
      <c r="A72" s="46">
        <f>IF(+All!$F840="Georgia State",+All!A840,IF(+All!$H840="Georgia State",+All!A840,0))</f>
        <v>13</v>
      </c>
      <c r="B72" s="348" t="str">
        <f>IF(+All!$F840="Georgia State",+All!B840,IF(+All!$H840="Georgia State",+All!B840,0))</f>
        <v>Sat</v>
      </c>
      <c r="C72" s="48">
        <f>IF(+All!$F840="Georgia State",+All!C840,IF(+All!$H840="Georgia State",+All!C840,0))</f>
        <v>44891</v>
      </c>
      <c r="D72" s="490">
        <f>IF(+All!$F840="Georgia State",+All!D840,IF(+All!$H840="Georgia State",+All!D840,0))</f>
        <v>0.5</v>
      </c>
      <c r="E72" s="461">
        <f>IF(+All!$F840="Georgia State",+All!E840,IF(+All!$H840="Georgia State",+All!E840,0))</f>
        <v>0</v>
      </c>
      <c r="F72" s="51" t="str">
        <f>IF(+All!$F840="Georgia State",+All!F840,IF(+All!$H840="Georgia State",+All!F840,0))</f>
        <v>Georgia State</v>
      </c>
      <c r="G72" s="52" t="str">
        <f>IF(+All!$F840="Georgia State",+All!G840,IF(+All!$H840="Georgia State",+All!G840,0))</f>
        <v>SB</v>
      </c>
      <c r="H72" s="51" t="str">
        <f>IF(+All!$F840="Georgia State",+All!H840,IF(+All!$H840="Georgia State",+All!H840,0))</f>
        <v>Marshall</v>
      </c>
      <c r="I72" s="52" t="str">
        <f>IF(+All!$F840="Georgia State",+All!I840,IF(+All!$H840="Georgia State",+All!I840,0))</f>
        <v>SB</v>
      </c>
      <c r="J72" s="460" t="str">
        <f>IF(+All!$F840="Georgia State",+All!J840,IF(+All!$H840="Georgia State",+All!J840,0))</f>
        <v>Marshall</v>
      </c>
      <c r="K72" s="461" t="str">
        <f>IF(+All!$F840="Georgia State",+All!K840,IF(+All!$H840="Georgia State",+All!K840,0))</f>
        <v>Georgia State</v>
      </c>
      <c r="L72" s="54">
        <f>IF(+All!$F840="Georgia State",+All!L840,IF(+All!$H840="Georgia State",+All!L840,0))</f>
        <v>6</v>
      </c>
      <c r="M72" s="55">
        <f>IF(+All!$F840="Georgia State",+All!M840,IF(+All!$H840="Georgia State",+All!M840,0))</f>
        <v>45.5</v>
      </c>
      <c r="N72" s="460" t="str">
        <f>IF(+All!$F840="Georgia State",+All!N840,IF(+All!$H840="Georgia State",+All!N840,0))</f>
        <v>Marshall</v>
      </c>
      <c r="O72" s="462">
        <f>IF(+All!$F840="Georgia State",+All!O840,IF(+All!$H840="Georgia State",+All!O840,0))</f>
        <v>28</v>
      </c>
      <c r="P72" s="462" t="str">
        <f>IF(+All!$F840="Georgia State",+All!P840,IF(+All!$H840="Georgia State",+All!P840,0))</f>
        <v>Georgia State</v>
      </c>
      <c r="Q72" s="461">
        <f>IF(+All!$F840="Georgia State",+All!Q840,IF(+All!$H840="Georgia State",+All!Q840,0))</f>
        <v>23</v>
      </c>
      <c r="R72" s="460" t="str">
        <f>IF(+All!$F840="Georgia State",+All!R840,IF(+All!$H840="Georgia State",+All!R840,0))</f>
        <v>Georgia State</v>
      </c>
      <c r="S72" s="462" t="str">
        <f>IF(+All!$F840="Georgia State",+All!S840,IF(+All!$H840="Georgia State",+All!S840,0))</f>
        <v>Marshall</v>
      </c>
      <c r="T72" s="460" t="str">
        <f>IF(+All!$F840="Georgia State",+All!T840,IF(+All!$H840="Georgia State",+All!T840,0))</f>
        <v>Marshall</v>
      </c>
      <c r="U72" s="461" t="str">
        <f>IF(+All!$F840="Georgia State",+All!U840,IF(+All!$H840="Georgia State",+All!U840,0))</f>
        <v>L</v>
      </c>
      <c r="V72" s="482"/>
    </row>
    <row r="73" spans="1:22" s="75" customFormat="1" x14ac:dyDescent="0.8">
      <c r="A73" s="46"/>
      <c r="B73" s="46"/>
      <c r="C73" s="62"/>
      <c r="D73" s="490"/>
      <c r="E73" s="461"/>
      <c r="F73" s="897" t="str">
        <f>H74</f>
        <v>Marshall</v>
      </c>
      <c r="G73" s="911"/>
      <c r="H73" s="911"/>
      <c r="I73" s="912"/>
      <c r="J73" s="460"/>
      <c r="K73" s="461"/>
      <c r="L73" s="54"/>
      <c r="M73" s="55"/>
      <c r="N73" s="460"/>
      <c r="O73" s="462"/>
      <c r="P73" s="462"/>
      <c r="Q73" s="461"/>
      <c r="R73" s="460"/>
      <c r="S73" s="462"/>
      <c r="T73" s="460"/>
      <c r="U73" s="461"/>
      <c r="V73" s="482"/>
    </row>
    <row r="74" spans="1:22" s="75" customFormat="1" x14ac:dyDescent="0.8">
      <c r="A74" s="46">
        <f>IF(+All!$F81="Marshall",+All!A81,IF(+All!$H81="Marshall",+All!A81,0))</f>
        <v>1</v>
      </c>
      <c r="B74" s="348" t="str">
        <f>IF(+All!$F81="Marshall",+All!B81,IF(+All!$H81="Marshall",+All!B81,0))</f>
        <v>Sat</v>
      </c>
      <c r="C74" s="48">
        <f>IF(+All!$F81="Marshall",+All!C81,IF(+All!$H81="Marshall",+All!C81,0))</f>
        <v>44807</v>
      </c>
      <c r="D74" s="490">
        <f>IF(+All!$F81="Marshall",+All!D81,IF(+All!$H81="Marshall",+All!D81,0))</f>
        <v>0.64583333333333337</v>
      </c>
      <c r="E74" s="461" t="str">
        <f>IF(+All!$F81="Marshall",+All!E81,IF(+All!$H81="Marshall",+All!E81,0))</f>
        <v>espn3</v>
      </c>
      <c r="F74" s="51" t="str">
        <f>IF(+All!$F81="Marshall",+All!F81,IF(+All!$H81="Marshall",+All!F81,0))</f>
        <v>1AA Norfolk St</v>
      </c>
      <c r="G74" s="52" t="str">
        <f>IF(+All!$F81="Marshall",+All!G81,IF(+All!$H81="Marshall",+All!G81,0))</f>
        <v>1AA</v>
      </c>
      <c r="H74" s="51" t="str">
        <f>IF(+All!$F81="Marshall",+All!H81,IF(+All!$H81="Marshall",+All!H81,0))</f>
        <v>Marshall</v>
      </c>
      <c r="I74" s="52" t="str">
        <f>IF(+All!$F81="Marshall",+All!I81,IF(+All!$H81="Marshall",+All!I81,0))</f>
        <v>SB</v>
      </c>
      <c r="J74" s="460">
        <f>IF(+All!$F81="Marshall",+All!J81,IF(+All!$H81="Marshall",+All!J81,0))</f>
        <v>0</v>
      </c>
      <c r="K74" s="461">
        <f>IF(+All!$F81="Marshall",+All!K81,IF(+All!$H81="Marshall",+All!K81,0))</f>
        <v>0</v>
      </c>
      <c r="L74" s="54">
        <f>IF(+All!$F81="Marshall",+All!L81,IF(+All!$H81="Marshall",+All!L81,0))</f>
        <v>0</v>
      </c>
      <c r="M74" s="55">
        <f>IF(+All!$F81="Marshall",+All!M81,IF(+All!$H81="Marshall",+All!M81,0))</f>
        <v>0</v>
      </c>
      <c r="N74" s="460" t="str">
        <f>IF(+All!$F81="Marshall",+All!N81,IF(+All!$H81="Marshall",+All!N81,0))</f>
        <v>Marshall</v>
      </c>
      <c r="O74" s="462">
        <f>IF(+All!$F81="Marshall",+All!O81,IF(+All!$H81="Marshall",+All!O81,0))</f>
        <v>55</v>
      </c>
      <c r="P74" s="462" t="str">
        <f>IF(+All!$F81="Marshall",+All!P81,IF(+All!$H81="Marshall",+All!P81,0))</f>
        <v>1AA Norfolk St</v>
      </c>
      <c r="Q74" s="461">
        <f>IF(+All!$F81="Marshall",+All!Q81,IF(+All!$H81="Marshall",+All!Q81,0))</f>
        <v>3</v>
      </c>
      <c r="R74" s="460">
        <f>IF(+All!$F81="Marshall",+All!R81,IF(+All!$H81="Marshall",+All!R81,0))</f>
        <v>0</v>
      </c>
      <c r="S74" s="462">
        <f>IF(+All!$F81="Marshall",+All!S81,IF(+All!$H81="Marshall",+All!S81,0))</f>
        <v>0</v>
      </c>
      <c r="T74" s="460">
        <f>IF(+All!$F81="Marshall",+All!T81,IF(+All!$H81="Marshall",+All!T81,0))</f>
        <v>0</v>
      </c>
      <c r="U74" s="461">
        <f>IF(+All!$F81="Marshall",+All!U81,IF(+All!$H81="Marshall",+All!U81,0))</f>
        <v>0</v>
      </c>
      <c r="V74" s="482"/>
    </row>
    <row r="75" spans="1:22" s="75" customFormat="1" x14ac:dyDescent="0.8">
      <c r="A75" s="46">
        <f>IF(+All!$F144="Marshall",+All!A144,IF(+All!$H144="Marshall",+All!A144,0))</f>
        <v>2</v>
      </c>
      <c r="B75" s="348" t="str">
        <f>IF(+All!$F144="Marshall",+All!B144,IF(+All!$H144="Marshall",+All!B144,0))</f>
        <v>Sat</v>
      </c>
      <c r="C75" s="48">
        <f>IF(+All!$F144="Marshall",+All!C144,IF(+All!$H144="Marshall",+All!C144,0))</f>
        <v>44814</v>
      </c>
      <c r="D75" s="490">
        <f>IF(+All!$F144="Marshall",+All!D144,IF(+All!$H144="Marshall",+All!D144,0))</f>
        <v>0.60416666666666663</v>
      </c>
      <c r="E75" s="461" t="str">
        <f>IF(+All!$F144="Marshall",+All!E144,IF(+All!$H144="Marshall",+All!E144,0))</f>
        <v>NBC</v>
      </c>
      <c r="F75" s="51" t="str">
        <f>IF(+All!$F144="Marshall",+All!F144,IF(+All!$H144="Marshall",+All!F144,0))</f>
        <v>Marshall</v>
      </c>
      <c r="G75" s="52" t="str">
        <f>IF(+All!$F144="Marshall",+All!G144,IF(+All!$H144="Marshall",+All!G144,0))</f>
        <v>SB</v>
      </c>
      <c r="H75" s="51" t="str">
        <f>IF(+All!$F144="Marshall",+All!H144,IF(+All!$H144="Marshall",+All!H144,0))</f>
        <v>Notre Dame</v>
      </c>
      <c r="I75" s="52" t="str">
        <f>IF(+All!$F144="Marshall",+All!I144,IF(+All!$H144="Marshall",+All!I144,0))</f>
        <v>Ind</v>
      </c>
      <c r="J75" s="460" t="str">
        <f>IF(+All!$F144="Marshall",+All!J144,IF(+All!$H144="Marshall",+All!J144,0))</f>
        <v>Notre Dame</v>
      </c>
      <c r="K75" s="461" t="str">
        <f>IF(+All!$F144="Marshall",+All!K144,IF(+All!$H144="Marshall",+All!K144,0))</f>
        <v>Marshall</v>
      </c>
      <c r="L75" s="54">
        <f>IF(+All!$F144="Marshall",+All!L144,IF(+All!$H144="Marshall",+All!L144,0))</f>
        <v>20.5</v>
      </c>
      <c r="M75" s="55">
        <f>IF(+All!$F144="Marshall",+All!M144,IF(+All!$H144="Marshall",+All!M144,0))</f>
        <v>51.5</v>
      </c>
      <c r="N75" s="460" t="str">
        <f>IF(+All!$F144="Marshall",+All!N144,IF(+All!$H144="Marshall",+All!N144,0))</f>
        <v>Marshall</v>
      </c>
      <c r="O75" s="462">
        <f>IF(+All!$F144="Marshall",+All!O144,IF(+All!$H144="Marshall",+All!O144,0))</f>
        <v>26</v>
      </c>
      <c r="P75" s="462" t="str">
        <f>IF(+All!$F144="Marshall",+All!P144,IF(+All!$H144="Marshall",+All!P144,0))</f>
        <v>Notre Dame</v>
      </c>
      <c r="Q75" s="461">
        <f>IF(+All!$F144="Marshall",+All!Q144,IF(+All!$H144="Marshall",+All!Q144,0))</f>
        <v>21</v>
      </c>
      <c r="R75" s="460" t="str">
        <f>IF(+All!$F144="Marshall",+All!R144,IF(+All!$H144="Marshall",+All!R144,0))</f>
        <v>Marshall</v>
      </c>
      <c r="S75" s="462" t="str">
        <f>IF(+All!$F144="Marshall",+All!S144,IF(+All!$H144="Marshall",+All!S144,0))</f>
        <v>Notre Dame</v>
      </c>
      <c r="T75" s="460" t="str">
        <f>IF(+All!$F144="Marshall",+All!T144,IF(+All!$H144="Marshall",+All!T144,0))</f>
        <v>Notre Dame</v>
      </c>
      <c r="U75" s="461" t="str">
        <f>IF(+All!$F144="Marshall",+All!U144,IF(+All!$H144="Marshall",+All!U144,0))</f>
        <v>L</v>
      </c>
      <c r="V75" s="482"/>
    </row>
    <row r="76" spans="1:22" x14ac:dyDescent="0.8">
      <c r="A76" s="46">
        <f>IF(+All!$F220="Marshall",+All!A220,IF(+All!$H220="Marshall",+All!A220,0))</f>
        <v>3</v>
      </c>
      <c r="B76" s="348" t="str">
        <f>IF(+All!$F220="Marshall",+All!B220,IF(+All!$H220="Marshall",+All!B220,0))</f>
        <v>Sat</v>
      </c>
      <c r="C76" s="48">
        <f>IF(+All!$F220="Marshall",+All!C220,IF(+All!$H220="Marshall",+All!C220,0))</f>
        <v>44821</v>
      </c>
      <c r="D76" s="490">
        <f>IF(+All!$F220="Marshall",+All!D220,IF(+All!$H220="Marshall",+All!D220,0))</f>
        <v>0.70833333333333337</v>
      </c>
      <c r="E76" s="461" t="str">
        <f>IF(+All!$F220="Marshall",+All!E220,IF(+All!$H220="Marshall",+All!E220,0))</f>
        <v>NFL</v>
      </c>
      <c r="F76" s="51" t="str">
        <f>IF(+All!$F220="Marshall",+All!F220,IF(+All!$H220="Marshall",+All!F220,0))</f>
        <v>Marshall</v>
      </c>
      <c r="G76" s="52" t="str">
        <f>IF(+All!$F220="Marshall",+All!G220,IF(+All!$H220="Marshall",+All!G220,0))</f>
        <v>SB</v>
      </c>
      <c r="H76" s="51" t="str">
        <f>IF(+All!$F220="Marshall",+All!H220,IF(+All!$H220="Marshall",+All!H220,0))</f>
        <v>Bowling Green</v>
      </c>
      <c r="I76" s="52" t="str">
        <f>IF(+All!$F220="Marshall",+All!I220,IF(+All!$H220="Marshall",+All!I220,0))</f>
        <v>MAC</v>
      </c>
      <c r="J76" s="460" t="str">
        <f>IF(+All!$F220="Marshall",+All!J220,IF(+All!$H220="Marshall",+All!J220,0))</f>
        <v>Marshall</v>
      </c>
      <c r="K76" s="461" t="str">
        <f>IF(+All!$F220="Marshall",+All!K220,IF(+All!$H220="Marshall",+All!K220,0))</f>
        <v>Bowling Green</v>
      </c>
      <c r="L76" s="54">
        <f>IF(+All!$F220="Marshall",+All!L220,IF(+All!$H220="Marshall",+All!L220,0))</f>
        <v>16.5</v>
      </c>
      <c r="M76" s="55">
        <f>IF(+All!$F220="Marshall",+All!M220,IF(+All!$H220="Marshall",+All!M220,0))</f>
        <v>52</v>
      </c>
      <c r="N76" s="460" t="str">
        <f>IF(+All!$F220="Marshall",+All!N220,IF(+All!$H220="Marshall",+All!N220,0))</f>
        <v>Bowling Green</v>
      </c>
      <c r="O76" s="462">
        <f>IF(+All!$F220="Marshall",+All!O220,IF(+All!$H220="Marshall",+All!O220,0))</f>
        <v>34</v>
      </c>
      <c r="P76" s="462" t="str">
        <f>IF(+All!$F220="Marshall",+All!P220,IF(+All!$H220="Marshall",+All!P220,0))</f>
        <v>Marshall</v>
      </c>
      <c r="Q76" s="461">
        <f>IF(+All!$F220="Marshall",+All!Q220,IF(+All!$H220="Marshall",+All!Q220,0))</f>
        <v>31</v>
      </c>
      <c r="R76" s="460" t="str">
        <f>IF(+All!$F220="Marshall",+All!R220,IF(+All!$H220="Marshall",+All!R220,0))</f>
        <v>Bowling Green</v>
      </c>
      <c r="S76" s="462" t="str">
        <f>IF(+All!$F220="Marshall",+All!S220,IF(+All!$H220="Marshall",+All!S220,0))</f>
        <v>Marshall</v>
      </c>
      <c r="T76" s="460" t="str">
        <f>IF(+All!$F220="Marshall",+All!T220,IF(+All!$H220="Marshall",+All!T220,0))</f>
        <v>Bowling Green</v>
      </c>
      <c r="U76" s="461" t="str">
        <f>IF(+All!$F220="Marshall",+All!U220,IF(+All!$H220="Marshall",+All!U220,0))</f>
        <v>W</v>
      </c>
      <c r="V76" s="9"/>
    </row>
    <row r="77" spans="1:22" x14ac:dyDescent="0.8">
      <c r="A77" s="46">
        <f>IF(+All!$F306="Marshall",+All!A306,IF(+All!$H306="Marshall",+All!A306,0))</f>
        <v>4</v>
      </c>
      <c r="B77" s="348" t="str">
        <f>IF(+All!$F306="Marshall",+All!B306,IF(+All!$H306="Marshall",+All!B306,0))</f>
        <v>Sat</v>
      </c>
      <c r="C77" s="48">
        <f>IF(+All!$F306="Marshall",+All!C306,IF(+All!$H306="Marshall",+All!C306,0))</f>
        <v>44828</v>
      </c>
      <c r="D77" s="490">
        <f>IF(+All!$F306="Marshall",+All!D306,IF(+All!$H306="Marshall",+All!D306,0))</f>
        <v>0.79166666666666663</v>
      </c>
      <c r="E77" s="461" t="str">
        <f>IF(+All!$F306="Marshall",+All!E306,IF(+All!$H306="Marshall",+All!E306,0))</f>
        <v>NFL</v>
      </c>
      <c r="F77" s="51" t="str">
        <f>IF(+All!$F306="Marshall",+All!F306,IF(+All!$H306="Marshall",+All!F306,0))</f>
        <v>Marshall</v>
      </c>
      <c r="G77" s="52" t="str">
        <f>IF(+All!$F306="Marshall",+All!G306,IF(+All!$H306="Marshall",+All!G306,0))</f>
        <v>SB</v>
      </c>
      <c r="H77" s="51" t="str">
        <f>IF(+All!$F306="Marshall",+All!H306,IF(+All!$H306="Marshall",+All!H306,0))</f>
        <v>Troy</v>
      </c>
      <c r="I77" s="52" t="str">
        <f>IF(+All!$F306="Marshall",+All!I306,IF(+All!$H306="Marshall",+All!I306,0))</f>
        <v>SB</v>
      </c>
      <c r="J77" s="460" t="str">
        <f>IF(+All!$F306="Marshall",+All!J306,IF(+All!$H306="Marshall",+All!J306,0))</f>
        <v>Marshall</v>
      </c>
      <c r="K77" s="461" t="str">
        <f>IF(+All!$F306="Marshall",+All!K306,IF(+All!$H306="Marshall",+All!K306,0))</f>
        <v>Troy</v>
      </c>
      <c r="L77" s="54">
        <f>IF(+All!$F306="Marshall",+All!L306,IF(+All!$H306="Marshall",+All!L306,0))</f>
        <v>3</v>
      </c>
      <c r="M77" s="55">
        <f>IF(+All!$F306="Marshall",+All!M306,IF(+All!$H306="Marshall",+All!M306,0))</f>
        <v>52</v>
      </c>
      <c r="N77" s="460" t="str">
        <f>IF(+All!$F306="Marshall",+All!N306,IF(+All!$H306="Marshall",+All!N306,0))</f>
        <v>Troy</v>
      </c>
      <c r="O77" s="462">
        <f>IF(+All!$F306="Marshall",+All!O306,IF(+All!$H306="Marshall",+All!O306,0))</f>
        <v>16</v>
      </c>
      <c r="P77" s="462" t="str">
        <f>IF(+All!$F306="Marshall",+All!P306,IF(+All!$H306="Marshall",+All!P306,0))</f>
        <v>Marshall</v>
      </c>
      <c r="Q77" s="461">
        <f>IF(+All!$F306="Marshall",+All!Q306,IF(+All!$H306="Marshall",+All!Q306,0))</f>
        <v>7</v>
      </c>
      <c r="R77" s="460" t="str">
        <f>IF(+All!$F306="Marshall",+All!R306,IF(+All!$H306="Marshall",+All!R306,0))</f>
        <v>Troy</v>
      </c>
      <c r="S77" s="462" t="str">
        <f>IF(+All!$F306="Marshall",+All!S306,IF(+All!$H306="Marshall",+All!S306,0))</f>
        <v>Marshall</v>
      </c>
      <c r="T77" s="460" t="str">
        <f>IF(+All!$F306="Marshall",+All!T306,IF(+All!$H306="Marshall",+All!T306,0))</f>
        <v>Marshall</v>
      </c>
      <c r="U77" s="461" t="str">
        <f>IF(+All!$F306="Marshall",+All!U306,IF(+All!$H306="Marshall",+All!U306,0))</f>
        <v>L</v>
      </c>
      <c r="V77" s="9"/>
    </row>
    <row r="78" spans="1:22" x14ac:dyDescent="0.8">
      <c r="A78" s="46">
        <f>IF(+All!$F372="Marshall",+All!A372,IF(+All!$H372="Marshall",+All!A372,0))</f>
        <v>5</v>
      </c>
      <c r="B78" s="348" t="str">
        <f>IF(+All!$F372="Marshall",+All!B372,IF(+All!$H372="Marshall",+All!B372,0))</f>
        <v>Sat</v>
      </c>
      <c r="C78" s="48">
        <f>IF(+All!$F372="Marshall",+All!C372,IF(+All!$H372="Marshall",+All!C372,0))</f>
        <v>44835</v>
      </c>
      <c r="D78" s="490">
        <f>IF(+All!$F372="Marshall",+All!D372,IF(+All!$H372="Marshall",+All!D372,0))</f>
        <v>0.64583333333333337</v>
      </c>
      <c r="E78" s="461">
        <f>IF(+All!$F372="Marshall",+All!E372,IF(+All!$H372="Marshall",+All!E372,0))</f>
        <v>0</v>
      </c>
      <c r="F78" s="51" t="str">
        <f>IF(+All!$F372="Marshall",+All!F372,IF(+All!$H372="Marshall",+All!F372,0))</f>
        <v>1AA Gardner Webb</v>
      </c>
      <c r="G78" s="52" t="str">
        <f>IF(+All!$F372="Marshall",+All!G372,IF(+All!$H372="Marshall",+All!G372,0))</f>
        <v>1AA</v>
      </c>
      <c r="H78" s="51" t="str">
        <f>IF(+All!$F372="Marshall",+All!H372,IF(+All!$H372="Marshall",+All!H372,0))</f>
        <v>Marshall</v>
      </c>
      <c r="I78" s="52" t="str">
        <f>IF(+All!$F372="Marshall",+All!I372,IF(+All!$H372="Marshall",+All!I372,0))</f>
        <v>SB</v>
      </c>
      <c r="J78" s="460">
        <f>IF(+All!$F372="Marshall",+All!J372,IF(+All!$H372="Marshall",+All!J372,0))</f>
        <v>0</v>
      </c>
      <c r="K78" s="461">
        <f>IF(+All!$F372="Marshall",+All!K372,IF(+All!$H372="Marshall",+All!K372,0))</f>
        <v>0</v>
      </c>
      <c r="L78" s="54">
        <f>IF(+All!$F372="Marshall",+All!L372,IF(+All!$H372="Marshall",+All!L372,0))</f>
        <v>0</v>
      </c>
      <c r="M78" s="55">
        <f>IF(+All!$F372="Marshall",+All!M372,IF(+All!$H372="Marshall",+All!M372,0))</f>
        <v>0</v>
      </c>
      <c r="N78" s="460" t="str">
        <f>IF(+All!$F372="Marshall",+All!N372,IF(+All!$H372="Marshall",+All!N372,0))</f>
        <v>Marshall</v>
      </c>
      <c r="O78" s="462">
        <f>IF(+All!$F372="Marshall",+All!O372,IF(+All!$H372="Marshall",+All!O372,0))</f>
        <v>28</v>
      </c>
      <c r="P78" s="462" t="str">
        <f>IF(+All!$F372="Marshall",+All!P372,IF(+All!$H372="Marshall",+All!P372,0))</f>
        <v>1AA Gardner Webb</v>
      </c>
      <c r="Q78" s="461">
        <f>IF(+All!$F372="Marshall",+All!Q372,IF(+All!$H372="Marshall",+All!Q372,0))</f>
        <v>7</v>
      </c>
      <c r="R78" s="460">
        <f>IF(+All!$F372="Marshall",+All!R372,IF(+All!$H372="Marshall",+All!R372,0))</f>
        <v>0</v>
      </c>
      <c r="S78" s="462">
        <f>IF(+All!$F372="Marshall",+All!S372,IF(+All!$H372="Marshall",+All!S372,0))</f>
        <v>0</v>
      </c>
      <c r="T78" s="460">
        <f>IF(+All!$F372="Marshall",+All!T372,IF(+All!$H372="Marshall",+All!T372,0))</f>
        <v>0</v>
      </c>
      <c r="U78" s="461">
        <f>IF(+All!$F372="Marshall",+All!U372,IF(+All!$H372="Marshall",+All!U372,0))</f>
        <v>0</v>
      </c>
      <c r="V78" s="9"/>
    </row>
    <row r="79" spans="1:22" x14ac:dyDescent="0.8">
      <c r="A79" s="46" t="e">
        <f>IF(+All!#REF!="Marshall",+All!#REF!,IF(+All!#REF!="Marshall",+All!#REF!,0))</f>
        <v>#REF!</v>
      </c>
      <c r="B79" s="348" t="e">
        <f>IF(+All!#REF!="Marshall",+All!#REF!,IF(+All!#REF!="Marshall",+All!#REF!,0))</f>
        <v>#REF!</v>
      </c>
      <c r="C79" s="48" t="e">
        <f>IF(+All!#REF!="Marshall",+All!#REF!,IF(+All!#REF!="Marshall",+All!#REF!,0))</f>
        <v>#REF!</v>
      </c>
      <c r="D79" s="490" t="e">
        <f>IF(+All!#REF!="Marshall",+All!#REF!,IF(+All!#REF!="Marshall",+All!#REF!,0))</f>
        <v>#REF!</v>
      </c>
      <c r="E79" s="461" t="e">
        <f>IF(+All!#REF!="Marshall",+All!#REF!,IF(+All!#REF!="Marshall",+All!#REF!,0))</f>
        <v>#REF!</v>
      </c>
      <c r="F79" s="51" t="e">
        <f>IF(+All!#REF!="Marshall",+All!#REF!,IF(+All!#REF!="Marshall",+All!#REF!,0))</f>
        <v>#REF!</v>
      </c>
      <c r="G79" s="52" t="e">
        <f>IF(+All!#REF!="Marshall",+All!#REF!,IF(+All!#REF!="Marshall",+All!#REF!,0))</f>
        <v>#REF!</v>
      </c>
      <c r="H79" s="51" t="e">
        <f>IF(+All!#REF!="Marshall",+All!#REF!,IF(+All!#REF!="Marshall",+All!#REF!,0))</f>
        <v>#REF!</v>
      </c>
      <c r="I79" s="52" t="e">
        <f>IF(+All!#REF!="Marshall",+All!#REF!,IF(+All!#REF!="Marshall",+All!#REF!,0))</f>
        <v>#REF!</v>
      </c>
      <c r="J79" s="460" t="e">
        <f>IF(+All!#REF!="Marshall",+All!#REF!,IF(+All!#REF!="Marshall",+All!#REF!,0))</f>
        <v>#REF!</v>
      </c>
      <c r="K79" s="461" t="e">
        <f>IF(+All!#REF!="Marshall",+All!#REF!,IF(+All!#REF!="Marshall",+All!#REF!,0))</f>
        <v>#REF!</v>
      </c>
      <c r="L79" s="54" t="e">
        <f>IF(+All!#REF!="Marshall",+All!#REF!,IF(+All!#REF!="Marshall",+All!#REF!,0))</f>
        <v>#REF!</v>
      </c>
      <c r="M79" s="55" t="e">
        <f>IF(+All!#REF!="Marshall",+All!#REF!,IF(+All!#REF!="Marshall",+All!#REF!,0))</f>
        <v>#REF!</v>
      </c>
      <c r="N79" s="460" t="e">
        <f>IF(+All!#REF!="Marshall",+All!#REF!,IF(+All!#REF!="Marshall",+All!#REF!,0))</f>
        <v>#REF!</v>
      </c>
      <c r="O79" s="462" t="e">
        <f>IF(+All!#REF!="Marshall",+All!#REF!,IF(+All!#REF!="Marshall",+All!#REF!,0))</f>
        <v>#REF!</v>
      </c>
      <c r="P79" s="462" t="e">
        <f>IF(+All!#REF!="Marshall",+All!#REF!,IF(+All!#REF!="Marshall",+All!#REF!,0))</f>
        <v>#REF!</v>
      </c>
      <c r="Q79" s="461" t="e">
        <f>IF(+All!#REF!="Marshall",+All!#REF!,IF(+All!#REF!="Marshall",+All!#REF!,0))</f>
        <v>#REF!</v>
      </c>
      <c r="R79" s="460" t="e">
        <f>IF(+All!#REF!="Marshall",+All!#REF!,IF(+All!#REF!="Marshall",+All!#REF!,0))</f>
        <v>#REF!</v>
      </c>
      <c r="S79" s="462" t="e">
        <f>IF(+All!#REF!="Marshall",+All!#REF!,IF(+All!#REF!="Marshall",+All!#REF!,0))</f>
        <v>#REF!</v>
      </c>
      <c r="T79" s="460" t="e">
        <f>IF(+All!#REF!="Marshall",+All!#REF!,IF(+All!#REF!="Marshall",+All!#REF!,0))</f>
        <v>#REF!</v>
      </c>
      <c r="U79" s="461" t="e">
        <f>IF(+All!#REF!="Marshall",+All!#REF!,IF(+All!#REF!="Marshall",+All!#REF!,0))</f>
        <v>#REF!</v>
      </c>
      <c r="V79" s="9"/>
    </row>
    <row r="80" spans="1:22" x14ac:dyDescent="0.8">
      <c r="A80" s="46">
        <f>IF(+All!$F438="Marshall",+All!A438,IF(+All!$H438="Marshall",+All!A438,0))</f>
        <v>7</v>
      </c>
      <c r="B80" s="348" t="str">
        <f>IF(+All!$F438="Marshall",+All!B438,IF(+All!$H438="Marshall",+All!B438,0))</f>
        <v>Weds</v>
      </c>
      <c r="C80" s="48">
        <f>IF(+All!$F438="Marshall",+All!C438,IF(+All!$H438="Marshall",+All!C438,0))</f>
        <v>44846</v>
      </c>
      <c r="D80" s="490">
        <f>IF(+All!$F438="Marshall",+All!D438,IF(+All!$H438="Marshall",+All!D438,0))</f>
        <v>0.8125</v>
      </c>
      <c r="E80" s="461" t="str">
        <f>IF(+All!$F438="Marshall",+All!E438,IF(+All!$H438="Marshall",+All!E438,0))</f>
        <v>ESPN2</v>
      </c>
      <c r="F80" s="51" t="str">
        <f>IF(+All!$F438="Marshall",+All!F438,IF(+All!$H438="Marshall",+All!F438,0))</f>
        <v>UL Lafayette</v>
      </c>
      <c r="G80" s="52" t="str">
        <f>IF(+All!$F438="Marshall",+All!G438,IF(+All!$H438="Marshall",+All!G438,0))</f>
        <v>SB</v>
      </c>
      <c r="H80" s="51" t="str">
        <f>IF(+All!$F438="Marshall",+All!H438,IF(+All!$H438="Marshall",+All!H438,0))</f>
        <v>Marshall</v>
      </c>
      <c r="I80" s="52" t="str">
        <f>IF(+All!$F438="Marshall",+All!I438,IF(+All!$H438="Marshall",+All!I438,0))</f>
        <v>SB</v>
      </c>
      <c r="J80" s="460" t="str">
        <f>IF(+All!$F438="Marshall",+All!J438,IF(+All!$H438="Marshall",+All!J438,0))</f>
        <v>Marshall</v>
      </c>
      <c r="K80" s="461" t="str">
        <f>IF(+All!$F438="Marshall",+All!K438,IF(+All!$H438="Marshall",+All!K438,0))</f>
        <v>UL Lafayette</v>
      </c>
      <c r="L80" s="54">
        <f>IF(+All!$F438="Marshall",+All!L438,IF(+All!$H438="Marshall",+All!L438,0))</f>
        <v>10.5</v>
      </c>
      <c r="M80" s="55">
        <f>IF(+All!$F438="Marshall",+All!M438,IF(+All!$H438="Marshall",+All!M438,0))</f>
        <v>47.5</v>
      </c>
      <c r="N80" s="460" t="str">
        <f>IF(+All!$F438="Marshall",+All!N438,IF(+All!$H438="Marshall",+All!N438,0))</f>
        <v>Marshall</v>
      </c>
      <c r="O80" s="462">
        <f>IF(+All!$F438="Marshall",+All!O438,IF(+All!$H438="Marshall",+All!O438,0))</f>
        <v>23</v>
      </c>
      <c r="P80" s="462" t="str">
        <f>IF(+All!$F438="Marshall",+All!P438,IF(+All!$H438="Marshall",+All!P438,0))</f>
        <v>UL Lafayette</v>
      </c>
      <c r="Q80" s="461">
        <f>IF(+All!$F438="Marshall",+All!Q438,IF(+All!$H438="Marshall",+All!Q438,0))</f>
        <v>13</v>
      </c>
      <c r="R80" s="460" t="str">
        <f>IF(+All!$F438="Marshall",+All!R438,IF(+All!$H438="Marshall",+All!R438,0))</f>
        <v>UL Lafayette</v>
      </c>
      <c r="S80" s="462" t="str">
        <f>IF(+All!$F438="Marshall",+All!S438,IF(+All!$H438="Marshall",+All!S438,0))</f>
        <v>Marshall</v>
      </c>
      <c r="T80" s="460" t="str">
        <f>IF(+All!$F438="Marshall",+All!T438,IF(+All!$H438="Marshall",+All!T438,0))</f>
        <v>UL Lafayette</v>
      </c>
      <c r="U80" s="461" t="str">
        <f>IF(+All!$F438="Marshall",+All!U438,IF(+All!$H438="Marshall",+All!U438,0))</f>
        <v>W</v>
      </c>
      <c r="V80" s="9"/>
    </row>
    <row r="81" spans="1:22" x14ac:dyDescent="0.8">
      <c r="A81" s="46">
        <f>IF(+All!$F536="Marshall",+All!A536,IF(+All!$H536="Marshall",+All!A536,0))</f>
        <v>8</v>
      </c>
      <c r="B81" s="348" t="str">
        <f>IF(+All!$F536="Marshall",+All!B536,IF(+All!$H536="Marshall",+All!B536,0))</f>
        <v>Sat</v>
      </c>
      <c r="C81" s="48">
        <f>IF(+All!$F536="Marshall",+All!C536,IF(+All!$H536="Marshall",+All!C536,0))</f>
        <v>44856</v>
      </c>
      <c r="D81" s="490">
        <f>IF(+All!$F536="Marshall",+All!D536,IF(+All!$H536="Marshall",+All!D536,0))</f>
        <v>0.64583333333333337</v>
      </c>
      <c r="E81" s="461">
        <f>IF(+All!$F536="Marshall",+All!E536,IF(+All!$H536="Marshall",+All!E536,0))</f>
        <v>0</v>
      </c>
      <c r="F81" s="51" t="str">
        <f>IF(+All!$F536="Marshall",+All!F536,IF(+All!$H536="Marshall",+All!F536,0))</f>
        <v>Marshall</v>
      </c>
      <c r="G81" s="52" t="str">
        <f>IF(+All!$F536="Marshall",+All!G536,IF(+All!$H536="Marshall",+All!G536,0))</f>
        <v>SB</v>
      </c>
      <c r="H81" s="51" t="str">
        <f>IF(+All!$F536="Marshall",+All!H536,IF(+All!$H536="Marshall",+All!H536,0))</f>
        <v>James Madison</v>
      </c>
      <c r="I81" s="52" t="str">
        <f>IF(+All!$F536="Marshall",+All!I536,IF(+All!$H536="Marshall",+All!I536,0))</f>
        <v>SB</v>
      </c>
      <c r="J81" s="460" t="str">
        <f>IF(+All!$F536="Marshall",+All!J536,IF(+All!$H536="Marshall",+All!J536,0))</f>
        <v>James Madison</v>
      </c>
      <c r="K81" s="461" t="str">
        <f>IF(+All!$F536="Marshall",+All!K536,IF(+All!$H536="Marshall",+All!K536,0))</f>
        <v>Marshall</v>
      </c>
      <c r="L81" s="54">
        <f>IF(+All!$F536="Marshall",+All!L536,IF(+All!$H536="Marshall",+All!L536,0))</f>
        <v>13</v>
      </c>
      <c r="M81" s="55">
        <f>IF(+All!$F536="Marshall",+All!M536,IF(+All!$H536="Marshall",+All!M536,0))</f>
        <v>50.5</v>
      </c>
      <c r="N81" s="460" t="str">
        <f>IF(+All!$F536="Marshall",+All!N536,IF(+All!$H536="Marshall",+All!N536,0))</f>
        <v>Marshall</v>
      </c>
      <c r="O81" s="462">
        <f>IF(+All!$F536="Marshall",+All!O536,IF(+All!$H536="Marshall",+All!O536,0))</f>
        <v>26</v>
      </c>
      <c r="P81" s="462" t="str">
        <f>IF(+All!$F536="Marshall",+All!P536,IF(+All!$H536="Marshall",+All!P536,0))</f>
        <v>James Madison</v>
      </c>
      <c r="Q81" s="461">
        <f>IF(+All!$F536="Marshall",+All!Q536,IF(+All!$H536="Marshall",+All!Q536,0))</f>
        <v>12</v>
      </c>
      <c r="R81" s="460" t="str">
        <f>IF(+All!$F536="Marshall",+All!R536,IF(+All!$H536="Marshall",+All!R536,0))</f>
        <v>Marshall</v>
      </c>
      <c r="S81" s="462" t="str">
        <f>IF(+All!$F536="Marshall",+All!S536,IF(+All!$H536="Marshall",+All!S536,0))</f>
        <v>James Madison</v>
      </c>
      <c r="T81" s="460" t="str">
        <f>IF(+All!$F536="Marshall",+All!T536,IF(+All!$H536="Marshall",+All!T536,0))</f>
        <v>James Madison</v>
      </c>
      <c r="U81" s="461" t="str">
        <f>IF(+All!$F536="Marshall",+All!U536,IF(+All!$H536="Marshall",+All!U536,0))</f>
        <v>L</v>
      </c>
      <c r="V81" s="9"/>
    </row>
    <row r="82" spans="1:22" x14ac:dyDescent="0.8">
      <c r="A82" s="46">
        <f>IF(+All!$F587="Marshall",+All!A587,IF(+All!$H587="Marshall",+All!A587,0))</f>
        <v>9</v>
      </c>
      <c r="B82" s="348" t="str">
        <f>IF(+All!$F587="Marshall",+All!B587,IF(+All!$H587="Marshall",+All!B587,0))</f>
        <v>Sat</v>
      </c>
      <c r="C82" s="48">
        <f>IF(+All!$F587="Marshall",+All!C587,IF(+All!$H587="Marshall",+All!C587,0))</f>
        <v>44863</v>
      </c>
      <c r="D82" s="490">
        <f>IF(+All!$F587="Marshall",+All!D587,IF(+All!$H587="Marshall",+All!D587,0))</f>
        <v>0.79166666666666663</v>
      </c>
      <c r="E82" s="461" t="str">
        <f>IF(+All!$F587="Marshall",+All!E587,IF(+All!$H587="Marshall",+All!E587,0))</f>
        <v>NFL</v>
      </c>
      <c r="F82" s="51" t="str">
        <f>IF(+All!$F587="Marshall",+All!F587,IF(+All!$H587="Marshall",+All!F587,0))</f>
        <v>Coastal Carolina</v>
      </c>
      <c r="G82" s="52" t="str">
        <f>IF(+All!$F587="Marshall",+All!G587,IF(+All!$H587="Marshall",+All!G587,0))</f>
        <v>SB</v>
      </c>
      <c r="H82" s="51" t="str">
        <f>IF(+All!$F587="Marshall",+All!H587,IF(+All!$H587="Marshall",+All!H587,0))</f>
        <v>Marshall</v>
      </c>
      <c r="I82" s="52" t="str">
        <f>IF(+All!$F587="Marshall",+All!I587,IF(+All!$H587="Marshall",+All!I587,0))</f>
        <v>SB</v>
      </c>
      <c r="J82" s="460" t="str">
        <f>IF(+All!$F587="Marshall",+All!J587,IF(+All!$H587="Marshall",+All!J587,0))</f>
        <v>Marshall</v>
      </c>
      <c r="K82" s="461" t="str">
        <f>IF(+All!$F587="Marshall",+All!K587,IF(+All!$H587="Marshall",+All!K587,0))</f>
        <v>Coastal Carolina</v>
      </c>
      <c r="L82" s="54">
        <f>IF(+All!$F587="Marshall",+All!L587,IF(+All!$H587="Marshall",+All!L587,0))</f>
        <v>2.5</v>
      </c>
      <c r="M82" s="55">
        <f>IF(+All!$F587="Marshall",+All!M587,IF(+All!$H587="Marshall",+All!M587,0))</f>
        <v>55.5</v>
      </c>
      <c r="N82" s="460" t="str">
        <f>IF(+All!$F587="Marshall",+All!N587,IF(+All!$H587="Marshall",+All!N587,0))</f>
        <v>Coastal Carolina</v>
      </c>
      <c r="O82" s="462">
        <f>IF(+All!$F587="Marshall",+All!O587,IF(+All!$H587="Marshall",+All!O587,0))</f>
        <v>24</v>
      </c>
      <c r="P82" s="462" t="str">
        <f>IF(+All!$F587="Marshall",+All!P587,IF(+All!$H587="Marshall",+All!P587,0))</f>
        <v>Marshall</v>
      </c>
      <c r="Q82" s="461">
        <f>IF(+All!$F587="Marshall",+All!Q587,IF(+All!$H587="Marshall",+All!Q587,0))</f>
        <v>13</v>
      </c>
      <c r="R82" s="460" t="str">
        <f>IF(+All!$F587="Marshall",+All!R587,IF(+All!$H587="Marshall",+All!R587,0))</f>
        <v>Coastal Carolina</v>
      </c>
      <c r="S82" s="462" t="str">
        <f>IF(+All!$F587="Marshall",+All!S587,IF(+All!$H587="Marshall",+All!S587,0))</f>
        <v>Marshall</v>
      </c>
      <c r="T82" s="460" t="str">
        <f>IF(+All!$F587="Marshall",+All!T587,IF(+All!$H587="Marshall",+All!T587,0))</f>
        <v>Marshall</v>
      </c>
      <c r="U82" s="461" t="str">
        <f>IF(+All!$F587="Marshall",+All!U587,IF(+All!$H587="Marshall",+All!U587,0))</f>
        <v>L</v>
      </c>
      <c r="V82" s="9"/>
    </row>
    <row r="83" spans="1:22" x14ac:dyDescent="0.8">
      <c r="A83" s="46">
        <f>IF(+All!$F642="Marshall",+All!A642,IF(+All!$H642="Marshall",+All!A642,0))</f>
        <v>10</v>
      </c>
      <c r="B83" s="348" t="str">
        <f>IF(+All!$F642="Marshall",+All!B642,IF(+All!$H642="Marshall",+All!B642,0))</f>
        <v>Sat</v>
      </c>
      <c r="C83" s="48">
        <f>IF(+All!$F642="Marshall",+All!C642,IF(+All!$H642="Marshall",+All!C642,0))</f>
        <v>44870</v>
      </c>
      <c r="D83" s="490">
        <f>IF(+All!$F642="Marshall",+All!D642,IF(+All!$H642="Marshall",+All!D642,0))</f>
        <v>0.58333333333333337</v>
      </c>
      <c r="E83" s="461">
        <f>IF(+All!$F642="Marshall",+All!E642,IF(+All!$H642="Marshall",+All!E642,0))</f>
        <v>0</v>
      </c>
      <c r="F83" s="51" t="str">
        <f>IF(+All!$F642="Marshall",+All!F642,IF(+All!$H642="Marshall",+All!F642,0))</f>
        <v>Marshall</v>
      </c>
      <c r="G83" s="52" t="str">
        <f>IF(+All!$F642="Marshall",+All!G642,IF(+All!$H642="Marshall",+All!G642,0))</f>
        <v>SB</v>
      </c>
      <c r="H83" s="51" t="str">
        <f>IF(+All!$F642="Marshall",+All!H642,IF(+All!$H642="Marshall",+All!H642,0))</f>
        <v>Old Dominion</v>
      </c>
      <c r="I83" s="52" t="str">
        <f>IF(+All!$F642="Marshall",+All!I642,IF(+All!$H642="Marshall",+All!I642,0))</f>
        <v>SB</v>
      </c>
      <c r="J83" s="460" t="str">
        <f>IF(+All!$F642="Marshall",+All!J642,IF(+All!$H642="Marshall",+All!J642,0))</f>
        <v>Marshall</v>
      </c>
      <c r="K83" s="461" t="str">
        <f>IF(+All!$F642="Marshall",+All!K642,IF(+All!$H642="Marshall",+All!K642,0))</f>
        <v>Old Dominion</v>
      </c>
      <c r="L83" s="54">
        <f>IF(+All!$F642="Marshall",+All!L642,IF(+All!$H642="Marshall",+All!L642,0))</f>
        <v>2.5</v>
      </c>
      <c r="M83" s="55">
        <f>IF(+All!$F642="Marshall",+All!M642,IF(+All!$H642="Marshall",+All!M642,0))</f>
        <v>47</v>
      </c>
      <c r="N83" s="460" t="str">
        <f>IF(+All!$F642="Marshall",+All!N642,IF(+All!$H642="Marshall",+All!N642,0))</f>
        <v>Marshall</v>
      </c>
      <c r="O83" s="462">
        <f>IF(+All!$F642="Marshall",+All!O642,IF(+All!$H642="Marshall",+All!O642,0))</f>
        <v>12</v>
      </c>
      <c r="P83" s="462" t="str">
        <f>IF(+All!$F642="Marshall",+All!P642,IF(+All!$H642="Marshall",+All!P642,0))</f>
        <v>Old Dominion</v>
      </c>
      <c r="Q83" s="461">
        <f>IF(+All!$F642="Marshall",+All!Q642,IF(+All!$H642="Marshall",+All!Q642,0))</f>
        <v>0</v>
      </c>
      <c r="R83" s="460" t="str">
        <f>IF(+All!$F642="Marshall",+All!R642,IF(+All!$H642="Marshall",+All!R642,0))</f>
        <v>Marshall</v>
      </c>
      <c r="S83" s="462" t="str">
        <f>IF(+All!$F642="Marshall",+All!S642,IF(+All!$H642="Marshall",+All!S642,0))</f>
        <v>Old Dominion</v>
      </c>
      <c r="T83" s="460" t="str">
        <f>IF(+All!$F642="Marshall",+All!T642,IF(+All!$H642="Marshall",+All!T642,0))</f>
        <v>Old Dominion</v>
      </c>
      <c r="U83" s="461" t="str">
        <f>IF(+All!$F642="Marshall",+All!U642,IF(+All!$H642="Marshall",+All!U642,0))</f>
        <v>L</v>
      </c>
      <c r="V83" s="9"/>
    </row>
    <row r="84" spans="1:22" x14ac:dyDescent="0.8">
      <c r="A84" s="46">
        <f>IF(+All!$F707="Marshall",+All!A707,IF(+All!$H707="Marshall",+All!A707,0))</f>
        <v>11</v>
      </c>
      <c r="B84" s="348" t="str">
        <f>IF(+All!$F707="Marshall",+All!B707,IF(+All!$H707="Marshall",+All!B707,0))</f>
        <v>Sat</v>
      </c>
      <c r="C84" s="48">
        <f>IF(+All!$F707="Marshall",+All!C707,IF(+All!$H707="Marshall",+All!C707,0))</f>
        <v>44877</v>
      </c>
      <c r="D84" s="490">
        <f>IF(+All!$F707="Marshall",+All!D707,IF(+All!$H707="Marshall",+All!D707,0))</f>
        <v>0.64583333333333337</v>
      </c>
      <c r="E84" s="461">
        <f>IF(+All!$F707="Marshall",+All!E707,IF(+All!$H707="Marshall",+All!E707,0))</f>
        <v>0</v>
      </c>
      <c r="F84" s="51" t="str">
        <f>IF(+All!$F707="Marshall",+All!F707,IF(+All!$H707="Marshall",+All!F707,0))</f>
        <v>Appalachian State</v>
      </c>
      <c r="G84" s="52" t="str">
        <f>IF(+All!$F707="Marshall",+All!G707,IF(+All!$H707="Marshall",+All!G707,0))</f>
        <v>SB</v>
      </c>
      <c r="H84" s="51" t="str">
        <f>IF(+All!$F707="Marshall",+All!H707,IF(+All!$H707="Marshall",+All!H707,0))</f>
        <v>Marshall</v>
      </c>
      <c r="I84" s="52" t="str">
        <f>IF(+All!$F707="Marshall",+All!I707,IF(+All!$H707="Marshall",+All!I707,0))</f>
        <v>SB</v>
      </c>
      <c r="J84" s="460" t="str">
        <f>IF(+All!$F707="Marshall",+All!J707,IF(+All!$H707="Marshall",+All!J707,0))</f>
        <v>Appalachian State</v>
      </c>
      <c r="K84" s="461" t="str">
        <f>IF(+All!$F707="Marshall",+All!K707,IF(+All!$H707="Marshall",+All!K707,0))</f>
        <v>Marshall</v>
      </c>
      <c r="L84" s="54">
        <f>IF(+All!$F707="Marshall",+All!L707,IF(+All!$H707="Marshall",+All!L707,0))</f>
        <v>1</v>
      </c>
      <c r="M84" s="55">
        <f>IF(+All!$F707="Marshall",+All!M707,IF(+All!$H707="Marshall",+All!M707,0))</f>
        <v>47</v>
      </c>
      <c r="N84" s="460" t="str">
        <f>IF(+All!$F707="Marshall",+All!N707,IF(+All!$H707="Marshall",+All!N707,0))</f>
        <v>Marshall</v>
      </c>
      <c r="O84" s="462">
        <f>IF(+All!$F707="Marshall",+All!O707,IF(+All!$H707="Marshall",+All!O707,0))</f>
        <v>28</v>
      </c>
      <c r="P84" s="462" t="str">
        <f>IF(+All!$F707="Marshall",+All!P707,IF(+All!$H707="Marshall",+All!P707,0))</f>
        <v>Appalachian State</v>
      </c>
      <c r="Q84" s="461">
        <f>IF(+All!$F707="Marshall",+All!Q707,IF(+All!$H707="Marshall",+All!Q707,0))</f>
        <v>21</v>
      </c>
      <c r="R84" s="460" t="str">
        <f>IF(+All!$F707="Marshall",+All!R707,IF(+All!$H707="Marshall",+All!R707,0))</f>
        <v>Marshall</v>
      </c>
      <c r="S84" s="462" t="str">
        <f>IF(+All!$F707="Marshall",+All!S707,IF(+All!$H707="Marshall",+All!S707,0))</f>
        <v>Appalachian State</v>
      </c>
      <c r="T84" s="460" t="str">
        <f>IF(+All!$F707="Marshall",+All!T707,IF(+All!$H707="Marshall",+All!T707,0))</f>
        <v>Marshall</v>
      </c>
      <c r="U84" s="461" t="str">
        <f>IF(+All!$F707="Marshall",+All!U707,IF(+All!$H707="Marshall",+All!U707,0))</f>
        <v>W</v>
      </c>
      <c r="V84" s="9"/>
    </row>
    <row r="85" spans="1:22" x14ac:dyDescent="0.8">
      <c r="A85" s="46">
        <f>IF(+All!$F770="Marshall",+All!A770,IF(+All!$H770="Marshall",+All!A770,0))</f>
        <v>12</v>
      </c>
      <c r="B85" s="348" t="str">
        <f>IF(+All!$F770="Marshall",+All!B770,IF(+All!$H770="Marshall",+All!B770,0))</f>
        <v>Sat</v>
      </c>
      <c r="C85" s="48">
        <f>IF(+All!$F770="Marshall",+All!C770,IF(+All!$H770="Marshall",+All!C770,0))</f>
        <v>44884</v>
      </c>
      <c r="D85" s="490">
        <f>IF(+All!$F770="Marshall",+All!D770,IF(+All!$H770="Marshall",+All!D770,0))</f>
        <v>0.75</v>
      </c>
      <c r="E85" s="461">
        <f>IF(+All!$F770="Marshall",+All!E770,IF(+All!$H770="Marshall",+All!E770,0))</f>
        <v>0</v>
      </c>
      <c r="F85" s="51" t="str">
        <f>IF(+All!$F770="Marshall",+All!F770,IF(+All!$H770="Marshall",+All!F770,0))</f>
        <v>Marshall</v>
      </c>
      <c r="G85" s="52" t="str">
        <f>IF(+All!$F770="Marshall",+All!G770,IF(+All!$H770="Marshall",+All!G770,0))</f>
        <v>SB</v>
      </c>
      <c r="H85" s="51" t="str">
        <f>IF(+All!$F770="Marshall",+All!H770,IF(+All!$H770="Marshall",+All!H770,0))</f>
        <v>Georgia Southern</v>
      </c>
      <c r="I85" s="52" t="str">
        <f>IF(+All!$F770="Marshall",+All!I770,IF(+All!$H770="Marshall",+All!I770,0))</f>
        <v>SB</v>
      </c>
      <c r="J85" s="460" t="str">
        <f>IF(+All!$F770="Marshall",+All!J770,IF(+All!$H770="Marshall",+All!J770,0))</f>
        <v>Marshall</v>
      </c>
      <c r="K85" s="461" t="str">
        <f>IF(+All!$F770="Marshall",+All!K770,IF(+All!$H770="Marshall",+All!K770,0))</f>
        <v>Georgia Southern</v>
      </c>
      <c r="L85" s="54">
        <f>IF(+All!$F770="Marshall",+All!L770,IF(+All!$H770="Marshall",+All!L770,0))</f>
        <v>4.5</v>
      </c>
      <c r="M85" s="55">
        <f>IF(+All!$F770="Marshall",+All!M770,IF(+All!$H770="Marshall",+All!M770,0))</f>
        <v>54</v>
      </c>
      <c r="N85" s="460" t="str">
        <f>IF(+All!$F770="Marshall",+All!N770,IF(+All!$H770="Marshall",+All!N770,0))</f>
        <v>Marshall</v>
      </c>
      <c r="O85" s="462">
        <f>IF(+All!$F770="Marshall",+All!O770,IF(+All!$H770="Marshall",+All!O770,0))</f>
        <v>23</v>
      </c>
      <c r="P85" s="462" t="str">
        <f>IF(+All!$F770="Marshall",+All!P770,IF(+All!$H770="Marshall",+All!P770,0))</f>
        <v>Georgia Southern</v>
      </c>
      <c r="Q85" s="461">
        <f>IF(+All!$F770="Marshall",+All!Q770,IF(+All!$H770="Marshall",+All!Q770,0))</f>
        <v>10</v>
      </c>
      <c r="R85" s="460" t="str">
        <f>IF(+All!$F770="Marshall",+All!R770,IF(+All!$H770="Marshall",+All!R770,0))</f>
        <v>Marshall</v>
      </c>
      <c r="S85" s="462" t="str">
        <f>IF(+All!$F770="Marshall",+All!S770,IF(+All!$H770="Marshall",+All!S770,0))</f>
        <v>Georgia Southern</v>
      </c>
      <c r="T85" s="460" t="str">
        <f>IF(+All!$F770="Marshall",+All!T770,IF(+All!$H770="Marshall",+All!T770,0))</f>
        <v>Marshall</v>
      </c>
      <c r="U85" s="461" t="str">
        <f>IF(+All!$F770="Marshall",+All!U770,IF(+All!$H770="Marshall",+All!U770,0))</f>
        <v>W</v>
      </c>
      <c r="V85" s="9"/>
    </row>
    <row r="86" spans="1:22" x14ac:dyDescent="0.8">
      <c r="A86" s="46">
        <f>IF(+All!$F840="Marshall",+All!A840,IF(+All!$H840="Marshall",+All!A840,0))</f>
        <v>13</v>
      </c>
      <c r="B86" s="348" t="str">
        <f>IF(+All!$F840="Marshall",+All!B840,IF(+All!$H840="Marshall",+All!B840,0))</f>
        <v>Sat</v>
      </c>
      <c r="C86" s="48">
        <f>IF(+All!$F840="Marshall",+All!C840,IF(+All!$H840="Marshall",+All!C840,0))</f>
        <v>44891</v>
      </c>
      <c r="D86" s="490">
        <f>IF(+All!$F840="Marshall",+All!D840,IF(+All!$H840="Marshall",+All!D840,0))</f>
        <v>0.5</v>
      </c>
      <c r="E86" s="461">
        <f>IF(+All!$F840="Marshall",+All!E840,IF(+All!$H840="Marshall",+All!E840,0))</f>
        <v>0</v>
      </c>
      <c r="F86" s="51" t="str">
        <f>IF(+All!$F840="Marshall",+All!F840,IF(+All!$H840="Marshall",+All!F840,0))</f>
        <v>Georgia State</v>
      </c>
      <c r="G86" s="52" t="str">
        <f>IF(+All!$F840="Marshall",+All!G840,IF(+All!$H840="Marshall",+All!G840,0))</f>
        <v>SB</v>
      </c>
      <c r="H86" s="51" t="str">
        <f>IF(+All!$F840="Marshall",+All!H840,IF(+All!$H840="Marshall",+All!H840,0))</f>
        <v>Marshall</v>
      </c>
      <c r="I86" s="52" t="str">
        <f>IF(+All!$F840="Marshall",+All!I840,IF(+All!$H840="Marshall",+All!I840,0))</f>
        <v>SB</v>
      </c>
      <c r="J86" s="460" t="str">
        <f>IF(+All!$F840="Marshall",+All!J840,IF(+All!$H840="Marshall",+All!J840,0))</f>
        <v>Marshall</v>
      </c>
      <c r="K86" s="461" t="str">
        <f>IF(+All!$F840="Marshall",+All!K840,IF(+All!$H840="Marshall",+All!K840,0))</f>
        <v>Georgia State</v>
      </c>
      <c r="L86" s="54">
        <f>IF(+All!$F840="Marshall",+All!L840,IF(+All!$H840="Marshall",+All!L840,0))</f>
        <v>6</v>
      </c>
      <c r="M86" s="55">
        <f>IF(+All!$F840="Marshall",+All!M840,IF(+All!$H840="Marshall",+All!M840,0))</f>
        <v>45.5</v>
      </c>
      <c r="N86" s="460" t="str">
        <f>IF(+All!$F840="Marshall",+All!N840,IF(+All!$H840="Marshall",+All!N840,0))</f>
        <v>Marshall</v>
      </c>
      <c r="O86" s="462">
        <f>IF(+All!$F840="Marshall",+All!O840,IF(+All!$H840="Marshall",+All!O840,0))</f>
        <v>28</v>
      </c>
      <c r="P86" s="462" t="str">
        <f>IF(+All!$F840="Marshall",+All!P840,IF(+All!$H840="Marshall",+All!P840,0))</f>
        <v>Georgia State</v>
      </c>
      <c r="Q86" s="461">
        <f>IF(+All!$F840="Marshall",+All!Q840,IF(+All!$H840="Marshall",+All!Q840,0))</f>
        <v>23</v>
      </c>
      <c r="R86" s="460" t="str">
        <f>IF(+All!$F840="Marshall",+All!R840,IF(+All!$H840="Marshall",+All!R840,0))</f>
        <v>Georgia State</v>
      </c>
      <c r="S86" s="462" t="str">
        <f>IF(+All!$F840="Marshall",+All!S840,IF(+All!$H840="Marshall",+All!S840,0))</f>
        <v>Marshall</v>
      </c>
      <c r="T86" s="460" t="str">
        <f>IF(+All!$F840="Marshall",+All!T840,IF(+All!$H840="Marshall",+All!T840,0))</f>
        <v>Marshall</v>
      </c>
      <c r="U86" s="461" t="str">
        <f>IF(+All!$F840="Marshall",+All!U840,IF(+All!$H840="Marshall",+All!U840,0))</f>
        <v>L</v>
      </c>
      <c r="V86" s="9"/>
    </row>
    <row r="87" spans="1:22" x14ac:dyDescent="0.8">
      <c r="B87" s="46"/>
      <c r="C87" s="62"/>
      <c r="D87" s="490"/>
      <c r="F87" s="897" t="str">
        <f>H89</f>
        <v>James Madison</v>
      </c>
      <c r="G87" s="901"/>
      <c r="H87" s="901"/>
      <c r="I87" s="902"/>
      <c r="L87" s="54"/>
      <c r="M87" s="55"/>
      <c r="V87" s="9"/>
    </row>
    <row r="88" spans="1:22" x14ac:dyDescent="0.8">
      <c r="A88" s="46">
        <f>IF(+All!$F70="James Madison",+All!A70,IF(+All!$H70="James Madison",+All!A70,0))</f>
        <v>1</v>
      </c>
      <c r="B88" s="46" t="str">
        <f>IF(+All!$F70="James Madison",+All!B70,IF(+All!$H70="James Madison",+All!B70,0))</f>
        <v>Sat</v>
      </c>
      <c r="C88" s="62">
        <f>IF(+All!$F70="James Madison",+All!C70,IF(+All!$H70="James Madison",+All!C70,0))</f>
        <v>44807</v>
      </c>
      <c r="D88" s="490">
        <f>IF(+All!$F70="James Madison",+All!D70,IF(+All!$H70="James Madison",+All!D70,0))</f>
        <v>0.75</v>
      </c>
      <c r="E88" s="461">
        <f>IF(+All!$F70="James Madison",+All!E70,IF(+All!$H70="James Madison",+All!E70,0))</f>
        <v>0</v>
      </c>
      <c r="F88" s="51" t="str">
        <f>IF(+All!$F70="James Madison",+All!F70,IF(+All!$H70="James Madison",+All!F70,0))</f>
        <v>Middle Tenn St</v>
      </c>
      <c r="G88" s="63" t="str">
        <f>IF(+All!$F70="James Madison",+All!G70,IF(+All!$H70="James Madison",+All!G70,0))</f>
        <v>CUSA</v>
      </c>
      <c r="H88" s="63" t="str">
        <f>IF(+All!$F70="James Madison",+All!H70,IF(+All!$H70="James Madison",+All!H70,0))</f>
        <v>James Madison</v>
      </c>
      <c r="I88" s="52" t="str">
        <f>IF(+All!$F70="James Madison",+All!I70,IF(+All!$H70="James Madison",+All!I70,0))</f>
        <v>SB</v>
      </c>
      <c r="J88" s="460" t="str">
        <f>IF(+All!$F70="James Madison",+All!J70,IF(+All!$H70="James Madison",+All!J70,0))</f>
        <v>James Madison</v>
      </c>
      <c r="K88" s="461" t="str">
        <f>IF(+All!$F70="James Madison",+All!K70,IF(+All!$H70="James Madison",+All!K70,0))</f>
        <v>Middle Tenn St</v>
      </c>
      <c r="L88" s="54">
        <f>IF(+All!$F70="James Madison",+All!L70,IF(+All!$H70="James Madison",+All!L70,0))</f>
        <v>5.5</v>
      </c>
      <c r="M88" s="55">
        <f>IF(+All!$F70="James Madison",+All!M70,IF(+All!$H70="James Madison",+All!M70,0))</f>
        <v>58</v>
      </c>
      <c r="N88" s="460" t="str">
        <f>IF(+All!$F70="James Madison",+All!N70,IF(+All!$H70="James Madison",+All!N70,0))</f>
        <v>James Madison</v>
      </c>
      <c r="O88" s="462">
        <f>IF(+All!$F70="James Madison",+All!O70,IF(+All!$H70="James Madison",+All!O70,0))</f>
        <v>44</v>
      </c>
      <c r="P88" s="462" t="str">
        <f>IF(+All!$F70="James Madison",+All!P70,IF(+All!$H70="James Madison",+All!P70,0))</f>
        <v>Middle Tenn St</v>
      </c>
      <c r="Q88" s="461">
        <f>IF(+All!$F70="James Madison",+All!Q70,IF(+All!$H70="James Madison",+All!Q70,0))</f>
        <v>7</v>
      </c>
      <c r="R88" s="460" t="str">
        <f>IF(+All!$F70="James Madison",+All!R70,IF(+All!$H70="James Madison",+All!R70,0))</f>
        <v>James Madison</v>
      </c>
      <c r="S88" s="462" t="str">
        <f>IF(+All!$F70="James Madison",+All!S70,IF(+All!$H70="James Madison",+All!S70,0))</f>
        <v>Middle Tenn St</v>
      </c>
      <c r="T88" s="460" t="str">
        <f>IF(+All!$F70="James Madison",+All!T70,IF(+All!$H70="James Madison",+All!T70,0))</f>
        <v>James Madison</v>
      </c>
      <c r="U88" s="461" t="str">
        <f>IF(+All!$F70="James Madison",+All!U70,IF(+All!$H70="James Madison",+All!U70,0))</f>
        <v>W</v>
      </c>
      <c r="V88" s="9"/>
    </row>
    <row r="89" spans="1:22" x14ac:dyDescent="0.8">
      <c r="A89" s="46">
        <f>IF(+All!$F98="James Madison",+All!A98,IF(+All!$H98="James Madison",+All!A98,0))</f>
        <v>2</v>
      </c>
      <c r="B89" s="46" t="str">
        <f>IF(+All!$F98="James Madison",+All!B98,IF(+All!$H98="James Madison",+All!B98,0))</f>
        <v>Sat</v>
      </c>
      <c r="C89" s="62">
        <f>IF(+All!$F98="James Madison",+All!C98,IF(+All!$H98="James Madison",+All!C98,0))</f>
        <v>414074</v>
      </c>
      <c r="D89" s="490">
        <f>IF(+All!$F98="James Madison",+All!D98,IF(+All!$H98="James Madison",+All!D98,0))</f>
        <v>0.66666666666666663</v>
      </c>
      <c r="E89" s="461" t="str">
        <f>IF(+All!$F98="James Madison",+All!E98,IF(+All!$H98="James Madison",+All!E98,0))</f>
        <v>ESPN3</v>
      </c>
      <c r="F89" s="51" t="str">
        <f>IF(+All!$F98="James Madison",+All!F98,IF(+All!$H98="James Madison",+All!F98,0))</f>
        <v>1AA Norfolk St</v>
      </c>
      <c r="G89" s="63" t="str">
        <f>IF(+All!$F98="James Madison",+All!G98,IF(+All!$H98="James Madison",+All!G98,0))</f>
        <v>1AA</v>
      </c>
      <c r="H89" s="63" t="str">
        <f>IF(+All!$F98="James Madison",+All!H98,IF(+All!$H98="James Madison",+All!H98,0))</f>
        <v>James Madison</v>
      </c>
      <c r="I89" s="52" t="str">
        <f>IF(+All!$F98="James Madison",+All!I98,IF(+All!$H98="James Madison",+All!I98,0))</f>
        <v>SB</v>
      </c>
      <c r="J89" s="460">
        <f>IF(+All!$F98="James Madison",+All!J98,IF(+All!$H98="James Madison",+All!J98,0))</f>
        <v>0</v>
      </c>
      <c r="K89" s="461">
        <f>IF(+All!$F98="James Madison",+All!K98,IF(+All!$H98="James Madison",+All!K98,0))</f>
        <v>0</v>
      </c>
      <c r="L89" s="54">
        <f>IF(+All!$F98="James Madison",+All!L98,IF(+All!$H98="James Madison",+All!L98,0))</f>
        <v>0</v>
      </c>
      <c r="M89" s="55">
        <f>IF(+All!$F98="James Madison",+All!M98,IF(+All!$H98="James Madison",+All!M98,0))</f>
        <v>0</v>
      </c>
      <c r="N89" s="460" t="str">
        <f>IF(+All!$F98="James Madison",+All!N98,IF(+All!$H98="James Madison",+All!N98,0))</f>
        <v>James Madison</v>
      </c>
      <c r="O89" s="462">
        <f>IF(+All!$F98="James Madison",+All!O98,IF(+All!$H98="James Madison",+All!O98,0))</f>
        <v>63</v>
      </c>
      <c r="P89" s="462" t="str">
        <f>IF(+All!$F98="James Madison",+All!P98,IF(+All!$H98="James Madison",+All!P98,0))</f>
        <v>1AA Norfolk St</v>
      </c>
      <c r="Q89" s="461">
        <f>IF(+All!$F98="James Madison",+All!Q98,IF(+All!$H98="James Madison",+All!Q98,0))</f>
        <v>7</v>
      </c>
      <c r="R89" s="460">
        <f>IF(+All!$F98="James Madison",+All!R98,IF(+All!$H98="James Madison",+All!R98,0))</f>
        <v>0</v>
      </c>
      <c r="S89" s="462">
        <f>IF(+All!$F98="James Madison",+All!S98,IF(+All!$H98="James Madison",+All!S98,0))</f>
        <v>0</v>
      </c>
      <c r="T89" s="460">
        <f>IF(+All!$F98="James Madison",+All!T98,IF(+All!$H98="James Madison",+All!T98,0))</f>
        <v>0</v>
      </c>
      <c r="U89" s="461">
        <f>IF(+All!$F98="James Madison",+All!U98,IF(+All!$H98="James Madison",+All!U98,0))</f>
        <v>0</v>
      </c>
      <c r="V89" s="9"/>
    </row>
    <row r="90" spans="1:22" x14ac:dyDescent="0.8">
      <c r="A90" s="46" t="e">
        <f>IF(+All!#REF!="James Madison",+All!#REF!,IF(+All!#REF!="James Madison",+All!#REF!,0))</f>
        <v>#REF!</v>
      </c>
      <c r="B90" s="46" t="e">
        <f>IF(+All!#REF!="James Madison",+All!#REF!,IF(+All!#REF!="James Madison",+All!#REF!,0))</f>
        <v>#REF!</v>
      </c>
      <c r="C90" s="62" t="e">
        <f>IF(+All!#REF!="James Madison",+All!#REF!,IF(+All!#REF!="James Madison",+All!#REF!,0))</f>
        <v>#REF!</v>
      </c>
      <c r="D90" s="490" t="e">
        <f>IF(+All!#REF!="James Madison",+All!#REF!,IF(+All!#REF!="James Madison",+All!#REF!,0))</f>
        <v>#REF!</v>
      </c>
      <c r="E90" s="461" t="e">
        <f>IF(+All!#REF!="James Madison",+All!#REF!,IF(+All!#REF!="James Madison",+All!#REF!,0))</f>
        <v>#REF!</v>
      </c>
      <c r="F90" s="51" t="e">
        <f>IF(+All!#REF!="James Madison",+All!#REF!,IF(+All!#REF!="James Madison",+All!#REF!,0))</f>
        <v>#REF!</v>
      </c>
      <c r="G90" s="63" t="e">
        <f>IF(+All!#REF!="James Madison",+All!#REF!,IF(+All!#REF!="James Madison",+All!#REF!,0))</f>
        <v>#REF!</v>
      </c>
      <c r="H90" s="63" t="e">
        <f>IF(+All!#REF!="James Madison",+All!#REF!,IF(+All!#REF!="James Madison",+All!#REF!,0))</f>
        <v>#REF!</v>
      </c>
      <c r="I90" s="52" t="e">
        <f>IF(+All!#REF!="James Madison",+All!#REF!,IF(+All!#REF!="James Madison",+All!#REF!,0))</f>
        <v>#REF!</v>
      </c>
      <c r="J90" s="460" t="e">
        <f>IF(+All!#REF!="James Madison",+All!#REF!,IF(+All!#REF!="James Madison",+All!#REF!,0))</f>
        <v>#REF!</v>
      </c>
      <c r="K90" s="461" t="e">
        <f>IF(+All!#REF!="James Madison",+All!#REF!,IF(+All!#REF!="James Madison",+All!#REF!,0))</f>
        <v>#REF!</v>
      </c>
      <c r="L90" s="54" t="e">
        <f>IF(+All!#REF!="James Madison",+All!#REF!,IF(+All!#REF!="James Madison",+All!#REF!,0))</f>
        <v>#REF!</v>
      </c>
      <c r="M90" s="55" t="e">
        <f>IF(+All!#REF!="James Madison",+All!#REF!,IF(+All!#REF!="James Madison",+All!#REF!,0))</f>
        <v>#REF!</v>
      </c>
      <c r="N90" s="460" t="e">
        <f>IF(+All!#REF!="James Madison",+All!#REF!,IF(+All!#REF!="James Madison",+All!#REF!,0))</f>
        <v>#REF!</v>
      </c>
      <c r="O90" s="462" t="e">
        <f>IF(+All!#REF!="James Madison",+All!#REF!,IF(+All!#REF!="James Madison",+All!#REF!,0))</f>
        <v>#REF!</v>
      </c>
      <c r="P90" s="462" t="e">
        <f>IF(+All!#REF!="James Madison",+All!#REF!,IF(+All!#REF!="James Madison",+All!#REF!,0))</f>
        <v>#REF!</v>
      </c>
      <c r="Q90" s="461" t="e">
        <f>IF(+All!#REF!="James Madison",+All!#REF!,IF(+All!#REF!="James Madison",+All!#REF!,0))</f>
        <v>#REF!</v>
      </c>
      <c r="R90" s="460" t="e">
        <f>IF(+All!#REF!="James Madison",+All!#REF!,IF(+All!#REF!="James Madison",+All!#REF!,0))</f>
        <v>#REF!</v>
      </c>
      <c r="S90" s="462" t="e">
        <f>IF(+All!#REF!="James Madison",+All!#REF!,IF(+All!#REF!="James Madison",+All!#REF!,0))</f>
        <v>#REF!</v>
      </c>
      <c r="T90" s="460" t="e">
        <f>IF(+All!#REF!="James Madison",+All!#REF!,IF(+All!#REF!="James Madison",+All!#REF!,0))</f>
        <v>#REF!</v>
      </c>
      <c r="U90" s="461" t="e">
        <f>IF(+All!#REF!="James Madison",+All!#REF!,IF(+All!#REF!="James Madison",+All!#REF!,0))</f>
        <v>#REF!</v>
      </c>
      <c r="V90" s="9"/>
    </row>
    <row r="91" spans="1:22" x14ac:dyDescent="0.8">
      <c r="A91" s="46">
        <f>IF(+All!$F301="James Madison",+All!A301,IF(+All!$H301="James Madison",+All!A301,0))</f>
        <v>4</v>
      </c>
      <c r="B91" s="46" t="str">
        <f>IF(+All!$F301="James Madison",+All!B301,IF(+All!$H301="James Madison",+All!B301,0))</f>
        <v>Sat</v>
      </c>
      <c r="C91" s="62">
        <f>IF(+All!$F301="James Madison",+All!C301,IF(+All!$H301="James Madison",+All!C301,0))</f>
        <v>44828</v>
      </c>
      <c r="D91" s="490">
        <f>IF(+All!$F301="James Madison",+All!D301,IF(+All!$H301="James Madison",+All!D301,0))</f>
        <v>0.64583333333333337</v>
      </c>
      <c r="E91" s="461">
        <f>IF(+All!$F301="James Madison",+All!E301,IF(+All!$H301="James Madison",+All!E301,0))</f>
        <v>0</v>
      </c>
      <c r="F91" s="51" t="str">
        <f>IF(+All!$F301="James Madison",+All!F301,IF(+All!$H301="James Madison",+All!F301,0))</f>
        <v>James Madison</v>
      </c>
      <c r="G91" s="63" t="str">
        <f>IF(+All!$F301="James Madison",+All!G301,IF(+All!$H301="James Madison",+All!G301,0))</f>
        <v>SB</v>
      </c>
      <c r="H91" s="63" t="str">
        <f>IF(+All!$F301="James Madison",+All!H301,IF(+All!$H301="James Madison",+All!H301,0))</f>
        <v>Appalachian State</v>
      </c>
      <c r="I91" s="52" t="str">
        <f>IF(+All!$F301="James Madison",+All!I301,IF(+All!$H301="James Madison",+All!I301,0))</f>
        <v>SB</v>
      </c>
      <c r="J91" s="460" t="str">
        <f>IF(+All!$F301="James Madison",+All!J301,IF(+All!$H301="James Madison",+All!J301,0))</f>
        <v>Appalachian State</v>
      </c>
      <c r="K91" s="461" t="str">
        <f>IF(+All!$F301="James Madison",+All!K301,IF(+All!$H301="James Madison",+All!K301,0))</f>
        <v>James Madison</v>
      </c>
      <c r="L91" s="54">
        <f>IF(+All!$F301="James Madison",+All!L301,IF(+All!$H301="James Madison",+All!L301,0))</f>
        <v>7</v>
      </c>
      <c r="M91" s="55">
        <f>IF(+All!$F301="James Madison",+All!M301,IF(+All!$H301="James Madison",+All!M301,0))</f>
        <v>59</v>
      </c>
      <c r="N91" s="460" t="str">
        <f>IF(+All!$F301="James Madison",+All!N301,IF(+All!$H301="James Madison",+All!N301,0))</f>
        <v>James Madison</v>
      </c>
      <c r="O91" s="462">
        <f>IF(+All!$F301="James Madison",+All!O301,IF(+All!$H301="James Madison",+All!O301,0))</f>
        <v>32</v>
      </c>
      <c r="P91" s="462" t="str">
        <f>IF(+All!$F301="James Madison",+All!P301,IF(+All!$H301="James Madison",+All!P301,0))</f>
        <v>Appalachian State</v>
      </c>
      <c r="Q91" s="461">
        <f>IF(+All!$F301="James Madison",+All!Q301,IF(+All!$H301="James Madison",+All!Q301,0))</f>
        <v>28</v>
      </c>
      <c r="R91" s="460" t="str">
        <f>IF(+All!$F301="James Madison",+All!R301,IF(+All!$H301="James Madison",+All!R301,0))</f>
        <v>James Madison</v>
      </c>
      <c r="S91" s="462" t="str">
        <f>IF(+All!$F301="James Madison",+All!S301,IF(+All!$H301="James Madison",+All!S301,0))</f>
        <v>Appalachian State</v>
      </c>
      <c r="T91" s="460" t="str">
        <f>IF(+All!$F301="James Madison",+All!T301,IF(+All!$H301="James Madison",+All!T301,0))</f>
        <v>James Madison</v>
      </c>
      <c r="U91" s="461" t="str">
        <f>IF(+All!$F301="James Madison",+All!U301,IF(+All!$H301="James Madison",+All!U301,0))</f>
        <v>W</v>
      </c>
      <c r="V91" s="9"/>
    </row>
    <row r="92" spans="1:22" x14ac:dyDescent="0.8">
      <c r="A92" s="46">
        <f>IF(+All!$F371="James Madison",+All!A371,IF(+All!$H371="James Madison",+All!A371,0))</f>
        <v>5</v>
      </c>
      <c r="B92" s="46" t="str">
        <f>IF(+All!$F371="James Madison",+All!B371,IF(+All!$H371="James Madison",+All!B371,0))</f>
        <v>Sat</v>
      </c>
      <c r="C92" s="62">
        <f>IF(+All!$F371="James Madison",+All!C371,IF(+All!$H371="James Madison",+All!C371,0))</f>
        <v>44835</v>
      </c>
      <c r="D92" s="490">
        <f>IF(+All!$F371="James Madison",+All!D371,IF(+All!$H371="James Madison",+All!D371,0))</f>
        <v>0.5625</v>
      </c>
      <c r="E92" s="461">
        <f>IF(+All!$F371="James Madison",+All!E371,IF(+All!$H371="James Madison",+All!E371,0))</f>
        <v>0</v>
      </c>
      <c r="F92" s="51" t="str">
        <f>IF(+All!$F371="James Madison",+All!F371,IF(+All!$H371="James Madison",+All!F371,0))</f>
        <v>Texas State</v>
      </c>
      <c r="G92" s="63" t="str">
        <f>IF(+All!$F371="James Madison",+All!G371,IF(+All!$H371="James Madison",+All!G371,0))</f>
        <v>SB</v>
      </c>
      <c r="H92" s="63" t="str">
        <f>IF(+All!$F371="James Madison",+All!H371,IF(+All!$H371="James Madison",+All!H371,0))</f>
        <v>James Madison</v>
      </c>
      <c r="I92" s="52" t="str">
        <f>IF(+All!$F371="James Madison",+All!I371,IF(+All!$H371="James Madison",+All!I371,0))</f>
        <v>SB</v>
      </c>
      <c r="J92" s="460" t="str">
        <f>IF(+All!$F371="James Madison",+All!J371,IF(+All!$H371="James Madison",+All!J371,0))</f>
        <v>James Madison</v>
      </c>
      <c r="K92" s="461" t="str">
        <f>IF(+All!$F371="James Madison",+All!K371,IF(+All!$H371="James Madison",+All!K371,0))</f>
        <v>Texas State</v>
      </c>
      <c r="L92" s="54">
        <f>IF(+All!$F371="James Madison",+All!L371,IF(+All!$H371="James Madison",+All!L371,0))</f>
        <v>21.5</v>
      </c>
      <c r="M92" s="55">
        <f>IF(+All!$F371="James Madison",+All!M371,IF(+All!$H371="James Madison",+All!M371,0))</f>
        <v>50.5</v>
      </c>
      <c r="N92" s="460" t="str">
        <f>IF(+All!$F371="James Madison",+All!N371,IF(+All!$H371="James Madison",+All!N371,0))</f>
        <v>James Madison</v>
      </c>
      <c r="O92" s="462">
        <f>IF(+All!$F371="James Madison",+All!O371,IF(+All!$H371="James Madison",+All!O371,0))</f>
        <v>40</v>
      </c>
      <c r="P92" s="462" t="str">
        <f>IF(+All!$F371="James Madison",+All!P371,IF(+All!$H371="James Madison",+All!P371,0))</f>
        <v>Texas State</v>
      </c>
      <c r="Q92" s="461">
        <f>IF(+All!$F371="James Madison",+All!Q371,IF(+All!$H371="James Madison",+All!Q371,0))</f>
        <v>13</v>
      </c>
      <c r="R92" s="460" t="str">
        <f>IF(+All!$F371="James Madison",+All!R371,IF(+All!$H371="James Madison",+All!R371,0))</f>
        <v>James Madison</v>
      </c>
      <c r="S92" s="462" t="str">
        <f>IF(+All!$F371="James Madison",+All!S371,IF(+All!$H371="James Madison",+All!S371,0))</f>
        <v>Texas State</v>
      </c>
      <c r="T92" s="460" t="str">
        <f>IF(+All!$F371="James Madison",+All!T371,IF(+All!$H371="James Madison",+All!T371,0))</f>
        <v>James Madison</v>
      </c>
      <c r="U92" s="461" t="str">
        <f>IF(+All!$F371="James Madison",+All!U371,IF(+All!$H371="James Madison",+All!U371,0))</f>
        <v>W</v>
      </c>
      <c r="V92" s="9"/>
    </row>
    <row r="93" spans="1:22" x14ac:dyDescent="0.8">
      <c r="A93" s="46">
        <f>IF(+All!$F426="James Madison",+All!A426,IF(+All!$H426="James Madison",+All!A426,0))</f>
        <v>6</v>
      </c>
      <c r="B93" s="46" t="str">
        <f>IF(+All!$F426="James Madison",+All!B426,IF(+All!$H426="James Madison",+All!B426,0))</f>
        <v>Sat</v>
      </c>
      <c r="C93" s="62">
        <f>IF(+All!$F426="James Madison",+All!C426,IF(+All!$H426="James Madison",+All!C426,0))</f>
        <v>44842</v>
      </c>
      <c r="D93" s="490">
        <f>IF(+All!$F426="James Madison",+All!D426,IF(+All!$H426="James Madison",+All!D426,0))</f>
        <v>0.79166666666666663</v>
      </c>
      <c r="E93" s="461" t="str">
        <f>IF(+All!$F426="James Madison",+All!E426,IF(+All!$H426="James Madison",+All!E426,0))</f>
        <v>NFL</v>
      </c>
      <c r="F93" s="51" t="str">
        <f>IF(+All!$F426="James Madison",+All!F426,IF(+All!$H426="James Madison",+All!F426,0))</f>
        <v>James Madison</v>
      </c>
      <c r="G93" s="63" t="str">
        <f>IF(+All!$F426="James Madison",+All!G426,IF(+All!$H426="James Madison",+All!G426,0))</f>
        <v>SB</v>
      </c>
      <c r="H93" s="63" t="str">
        <f>IF(+All!$F426="James Madison",+All!H426,IF(+All!$H426="James Madison",+All!H426,0))</f>
        <v>Arkansas State</v>
      </c>
      <c r="I93" s="52" t="str">
        <f>IF(+All!$F426="James Madison",+All!I426,IF(+All!$H426="James Madison",+All!I426,0))</f>
        <v>SB</v>
      </c>
      <c r="J93" s="460" t="str">
        <f>IF(+All!$F426="James Madison",+All!J426,IF(+All!$H426="James Madison",+All!J426,0))</f>
        <v>James Madison</v>
      </c>
      <c r="K93" s="461" t="str">
        <f>IF(+All!$F426="James Madison",+All!K426,IF(+All!$H426="James Madison",+All!K426,0))</f>
        <v>Arkansas State</v>
      </c>
      <c r="L93" s="54">
        <f>IF(+All!$F426="James Madison",+All!L426,IF(+All!$H426="James Madison",+All!L426,0))</f>
        <v>11.5</v>
      </c>
      <c r="M93" s="55">
        <f>IF(+All!$F426="James Madison",+All!M426,IF(+All!$H426="James Madison",+All!M426,0))</f>
        <v>55.5</v>
      </c>
      <c r="N93" s="460" t="str">
        <f>IF(+All!$F426="James Madison",+All!N426,IF(+All!$H426="James Madison",+All!N426,0))</f>
        <v>James Madison</v>
      </c>
      <c r="O93" s="462">
        <f>IF(+All!$F426="James Madison",+All!O426,IF(+All!$H426="James Madison",+All!O426,0))</f>
        <v>42</v>
      </c>
      <c r="P93" s="462" t="str">
        <f>IF(+All!$F426="James Madison",+All!P426,IF(+All!$H426="James Madison",+All!P426,0))</f>
        <v>Arkansas State</v>
      </c>
      <c r="Q93" s="461">
        <f>IF(+All!$F426="James Madison",+All!Q426,IF(+All!$H426="James Madison",+All!Q426,0))</f>
        <v>20</v>
      </c>
      <c r="R93" s="460" t="str">
        <f>IF(+All!$F426="James Madison",+All!R426,IF(+All!$H426="James Madison",+All!R426,0))</f>
        <v>James Madison</v>
      </c>
      <c r="S93" s="462" t="str">
        <f>IF(+All!$F426="James Madison",+All!S426,IF(+All!$H426="James Madison",+All!S426,0))</f>
        <v>Arkansas State</v>
      </c>
      <c r="T93" s="460" t="str">
        <f>IF(+All!$F426="James Madison",+All!T426,IF(+All!$H426="James Madison",+All!T426,0))</f>
        <v>James Madison</v>
      </c>
      <c r="U93" s="461" t="str">
        <f>IF(+All!$F426="James Madison",+All!U426,IF(+All!$H426="James Madison",+All!U426,0))</f>
        <v>W</v>
      </c>
      <c r="V93" s="9"/>
    </row>
    <row r="94" spans="1:22" x14ac:dyDescent="0.8">
      <c r="A94" s="46">
        <f>IF(+All!$F482="James Madison",+All!A482,IF(+All!$H482="James Madison",+All!A482,0))</f>
        <v>7</v>
      </c>
      <c r="B94" s="46" t="str">
        <f>IF(+All!$F482="James Madison",+All!B482,IF(+All!$H482="James Madison",+All!B482,0))</f>
        <v>Sat</v>
      </c>
      <c r="C94" s="62">
        <f>IF(+All!$F482="James Madison",+All!C482,IF(+All!$H482="James Madison",+All!C482,0))</f>
        <v>44849</v>
      </c>
      <c r="D94" s="490">
        <f>IF(+All!$F482="James Madison",+All!D482,IF(+All!$H482="James Madison",+All!D482,0))</f>
        <v>0.66666666666666663</v>
      </c>
      <c r="E94" s="461">
        <f>IF(+All!$F482="James Madison",+All!E482,IF(+All!$H482="James Madison",+All!E482,0))</f>
        <v>0</v>
      </c>
      <c r="F94" s="51" t="str">
        <f>IF(+All!$F482="James Madison",+All!F482,IF(+All!$H482="James Madison",+All!F482,0))</f>
        <v>James Madison</v>
      </c>
      <c r="G94" s="63" t="str">
        <f>IF(+All!$F482="James Madison",+All!G482,IF(+All!$H482="James Madison",+All!G482,0))</f>
        <v>SB</v>
      </c>
      <c r="H94" s="63" t="str">
        <f>IF(+All!$F482="James Madison",+All!H482,IF(+All!$H482="James Madison",+All!H482,0))</f>
        <v>Georgia Southern</v>
      </c>
      <c r="I94" s="52" t="str">
        <f>IF(+All!$F482="James Madison",+All!I482,IF(+All!$H482="James Madison",+All!I482,0))</f>
        <v>SB</v>
      </c>
      <c r="J94" s="460" t="str">
        <f>IF(+All!$F482="James Madison",+All!J482,IF(+All!$H482="James Madison",+All!J482,0))</f>
        <v>James Madison</v>
      </c>
      <c r="K94" s="461" t="str">
        <f>IF(+All!$F482="James Madison",+All!K482,IF(+All!$H482="James Madison",+All!K482,0))</f>
        <v>Georgia Southern</v>
      </c>
      <c r="L94" s="54">
        <f>IF(+All!$F482="James Madison",+All!L482,IF(+All!$H482="James Madison",+All!L482,0))</f>
        <v>10.5</v>
      </c>
      <c r="M94" s="55">
        <f>IF(+All!$F482="James Madison",+All!M482,IF(+All!$H482="James Madison",+All!M482,0))</f>
        <v>66.5</v>
      </c>
      <c r="N94" s="460" t="str">
        <f>IF(+All!$F482="James Madison",+All!N482,IF(+All!$H482="James Madison",+All!N482,0))</f>
        <v>Georgia Southern</v>
      </c>
      <c r="O94" s="462">
        <f>IF(+All!$F482="James Madison",+All!O482,IF(+All!$H482="James Madison",+All!O482,0))</f>
        <v>45</v>
      </c>
      <c r="P94" s="462" t="str">
        <f>IF(+All!$F482="James Madison",+All!P482,IF(+All!$H482="James Madison",+All!P482,0))</f>
        <v>James Madison</v>
      </c>
      <c r="Q94" s="461">
        <f>IF(+All!$F482="James Madison",+All!Q482,IF(+All!$H482="James Madison",+All!Q482,0))</f>
        <v>38</v>
      </c>
      <c r="R94" s="460" t="str">
        <f>IF(+All!$F482="James Madison",+All!R482,IF(+All!$H482="James Madison",+All!R482,0))</f>
        <v>Georgia Southern</v>
      </c>
      <c r="S94" s="462" t="str">
        <f>IF(+All!$F482="James Madison",+All!S482,IF(+All!$H482="James Madison",+All!S482,0))</f>
        <v>James Madison</v>
      </c>
      <c r="T94" s="460" t="str">
        <f>IF(+All!$F482="James Madison",+All!T482,IF(+All!$H482="James Madison",+All!T482,0))</f>
        <v>James Madison</v>
      </c>
      <c r="U94" s="461" t="str">
        <f>IF(+All!$F482="James Madison",+All!U482,IF(+All!$H482="James Madison",+All!U482,0))</f>
        <v>L</v>
      </c>
      <c r="V94" s="9"/>
    </row>
    <row r="95" spans="1:22" x14ac:dyDescent="0.8">
      <c r="A95" s="46">
        <f>IF(+All!$F536="James Madison",+All!A536,IF(+All!$H536="James Madison",+All!A536,0))</f>
        <v>8</v>
      </c>
      <c r="B95" s="46" t="str">
        <f>IF(+All!$F536="James Madison",+All!B536,IF(+All!$H536="James Madison",+All!B536,0))</f>
        <v>Sat</v>
      </c>
      <c r="C95" s="62">
        <f>IF(+All!$F536="James Madison",+All!C536,IF(+All!$H536="James Madison",+All!C536,0))</f>
        <v>44856</v>
      </c>
      <c r="D95" s="490">
        <f>IF(+All!$F536="James Madison",+All!D536,IF(+All!$H536="James Madison",+All!D536,0))</f>
        <v>0.64583333333333337</v>
      </c>
      <c r="E95" s="461">
        <f>IF(+All!$F536="James Madison",+All!E536,IF(+All!$H536="James Madison",+All!E536,0))</f>
        <v>0</v>
      </c>
      <c r="F95" s="51" t="str">
        <f>IF(+All!$F536="James Madison",+All!F536,IF(+All!$H536="James Madison",+All!F536,0))</f>
        <v>Marshall</v>
      </c>
      <c r="G95" s="63" t="str">
        <f>IF(+All!$F536="James Madison",+All!G536,IF(+All!$H536="James Madison",+All!G536,0))</f>
        <v>SB</v>
      </c>
      <c r="H95" s="63" t="str">
        <f>IF(+All!$F536="James Madison",+All!H536,IF(+All!$H536="James Madison",+All!H536,0))</f>
        <v>James Madison</v>
      </c>
      <c r="I95" s="52" t="str">
        <f>IF(+All!$F536="James Madison",+All!I536,IF(+All!$H536="James Madison",+All!I536,0))</f>
        <v>SB</v>
      </c>
      <c r="J95" s="460" t="str">
        <f>IF(+All!$F536="James Madison",+All!J536,IF(+All!$H536="James Madison",+All!J536,0))</f>
        <v>James Madison</v>
      </c>
      <c r="K95" s="461" t="str">
        <f>IF(+All!$F536="James Madison",+All!K536,IF(+All!$H536="James Madison",+All!K536,0))</f>
        <v>Marshall</v>
      </c>
      <c r="L95" s="54">
        <f>IF(+All!$F536="James Madison",+All!L536,IF(+All!$H536="James Madison",+All!L536,0))</f>
        <v>13</v>
      </c>
      <c r="M95" s="55">
        <f>IF(+All!$F536="James Madison",+All!M536,IF(+All!$H536="James Madison",+All!M536,0))</f>
        <v>50.5</v>
      </c>
      <c r="N95" s="460" t="str">
        <f>IF(+All!$F536="James Madison",+All!N536,IF(+All!$H536="James Madison",+All!N536,0))</f>
        <v>Marshall</v>
      </c>
      <c r="O95" s="462">
        <f>IF(+All!$F536="James Madison",+All!O536,IF(+All!$H536="James Madison",+All!O536,0))</f>
        <v>26</v>
      </c>
      <c r="P95" s="462" t="str">
        <f>IF(+All!$F536="James Madison",+All!P536,IF(+All!$H536="James Madison",+All!P536,0))</f>
        <v>James Madison</v>
      </c>
      <c r="Q95" s="461">
        <f>IF(+All!$F536="James Madison",+All!Q536,IF(+All!$H536="James Madison",+All!Q536,0))</f>
        <v>12</v>
      </c>
      <c r="R95" s="460" t="str">
        <f>IF(+All!$F536="James Madison",+All!R536,IF(+All!$H536="James Madison",+All!R536,0))</f>
        <v>Marshall</v>
      </c>
      <c r="S95" s="462" t="str">
        <f>IF(+All!$F536="James Madison",+All!S536,IF(+All!$H536="James Madison",+All!S536,0))</f>
        <v>James Madison</v>
      </c>
      <c r="T95" s="460" t="str">
        <f>IF(+All!$F536="James Madison",+All!T536,IF(+All!$H536="James Madison",+All!T536,0))</f>
        <v>James Madison</v>
      </c>
      <c r="U95" s="461" t="str">
        <f>IF(+All!$F536="James Madison",+All!U536,IF(+All!$H536="James Madison",+All!U536,0))</f>
        <v>L</v>
      </c>
      <c r="V95" s="9"/>
    </row>
    <row r="96" spans="1:22" x14ac:dyDescent="0.8">
      <c r="A96" s="46" t="e">
        <f>IF(+All!#REF!="James Madison",+All!#REF!,IF(+All!#REF!="James Madison",+All!#REF!,0))</f>
        <v>#REF!</v>
      </c>
      <c r="B96" s="46" t="e">
        <f>IF(+All!#REF!="James Madison",+All!#REF!,IF(+All!#REF!="James Madison",+All!#REF!,0))</f>
        <v>#REF!</v>
      </c>
      <c r="C96" s="62" t="e">
        <f>IF(+All!#REF!="James Madison",+All!#REF!,IF(+All!#REF!="James Madison",+All!#REF!,0))</f>
        <v>#REF!</v>
      </c>
      <c r="D96" s="490" t="e">
        <f>IF(+All!#REF!="James Madison",+All!#REF!,IF(+All!#REF!="James Madison",+All!#REF!,0))</f>
        <v>#REF!</v>
      </c>
      <c r="E96" s="461" t="e">
        <f>IF(+All!#REF!="James Madison",+All!#REF!,IF(+All!#REF!="James Madison",+All!#REF!,0))</f>
        <v>#REF!</v>
      </c>
      <c r="F96" s="51" t="e">
        <f>IF(+All!#REF!="James Madison",+All!#REF!,IF(+All!#REF!="James Madison",+All!#REF!,0))</f>
        <v>#REF!</v>
      </c>
      <c r="G96" s="63" t="e">
        <f>IF(+All!#REF!="James Madison",+All!#REF!,IF(+All!#REF!="James Madison",+All!#REF!,0))</f>
        <v>#REF!</v>
      </c>
      <c r="H96" s="63" t="e">
        <f>IF(+All!#REF!="James Madison",+All!#REF!,IF(+All!#REF!="James Madison",+All!#REF!,0))</f>
        <v>#REF!</v>
      </c>
      <c r="I96" s="52" t="e">
        <f>IF(+All!#REF!="James Madison",+All!#REF!,IF(+All!#REF!="James Madison",+All!#REF!,0))</f>
        <v>#REF!</v>
      </c>
      <c r="J96" s="460" t="e">
        <f>IF(+All!#REF!="James Madison",+All!#REF!,IF(+All!#REF!="James Madison",+All!#REF!,0))</f>
        <v>#REF!</v>
      </c>
      <c r="K96" s="461" t="e">
        <f>IF(+All!#REF!="James Madison",+All!#REF!,IF(+All!#REF!="James Madison",+All!#REF!,0))</f>
        <v>#REF!</v>
      </c>
      <c r="L96" s="54" t="e">
        <f>IF(+All!#REF!="James Madison",+All!#REF!,IF(+All!#REF!="James Madison",+All!#REF!,0))</f>
        <v>#REF!</v>
      </c>
      <c r="M96" s="55" t="e">
        <f>IF(+All!#REF!="James Madison",+All!#REF!,IF(+All!#REF!="James Madison",+All!#REF!,0))</f>
        <v>#REF!</v>
      </c>
      <c r="N96" s="460" t="e">
        <f>IF(+All!#REF!="James Madison",+All!#REF!,IF(+All!#REF!="James Madison",+All!#REF!,0))</f>
        <v>#REF!</v>
      </c>
      <c r="O96" s="462" t="e">
        <f>IF(+All!#REF!="James Madison",+All!#REF!,IF(+All!#REF!="James Madison",+All!#REF!,0))</f>
        <v>#REF!</v>
      </c>
      <c r="P96" s="462" t="e">
        <f>IF(+All!#REF!="James Madison",+All!#REF!,IF(+All!#REF!="James Madison",+All!#REF!,0))</f>
        <v>#REF!</v>
      </c>
      <c r="Q96" s="461" t="e">
        <f>IF(+All!#REF!="James Madison",+All!#REF!,IF(+All!#REF!="James Madison",+All!#REF!,0))</f>
        <v>#REF!</v>
      </c>
      <c r="R96" s="460" t="e">
        <f>IF(+All!#REF!="James Madison",+All!#REF!,IF(+All!#REF!="James Madison",+All!#REF!,0))</f>
        <v>#REF!</v>
      </c>
      <c r="S96" s="462" t="e">
        <f>IF(+All!#REF!="James Madison",+All!#REF!,IF(+All!#REF!="James Madison",+All!#REF!,0))</f>
        <v>#REF!</v>
      </c>
      <c r="T96" s="460" t="e">
        <f>IF(+All!#REF!="James Madison",+All!#REF!,IF(+All!#REF!="James Madison",+All!#REF!,0))</f>
        <v>#REF!</v>
      </c>
      <c r="U96" s="461" t="e">
        <f>IF(+All!#REF!="James Madison",+All!#REF!,IF(+All!#REF!="James Madison",+All!#REF!,0))</f>
        <v>#REF!</v>
      </c>
      <c r="V96" s="9"/>
    </row>
    <row r="97" spans="1:22" x14ac:dyDescent="0.8">
      <c r="A97" s="46">
        <f>IF(+All!$F607="James Madison",+All!A607,IF(+All!$H607="James Madison",+All!A607,0))</f>
        <v>10</v>
      </c>
      <c r="B97" s="46" t="str">
        <f>IF(+All!$F607="James Madison",+All!B607,IF(+All!$H607="James Madison",+All!B607,0))</f>
        <v>Sat</v>
      </c>
      <c r="C97" s="62">
        <f>IF(+All!$F607="James Madison",+All!C607,IF(+All!$H607="James Madison",+All!C607,0))</f>
        <v>44870</v>
      </c>
      <c r="D97" s="490">
        <f>IF(+All!$F607="James Madison",+All!D607,IF(+All!$H607="James Madison",+All!D607,0))</f>
        <v>0.8125</v>
      </c>
      <c r="E97" s="461" t="str">
        <f>IF(+All!$F607="James Madison",+All!E607,IF(+All!$H607="James Madison",+All!E607,0))</f>
        <v>ESPNU</v>
      </c>
      <c r="F97" s="51" t="str">
        <f>IF(+All!$F607="James Madison",+All!F607,IF(+All!$H607="James Madison",+All!F607,0))</f>
        <v>James Madison</v>
      </c>
      <c r="G97" s="63" t="str">
        <f>IF(+All!$F607="James Madison",+All!G607,IF(+All!$H607="James Madison",+All!G607,0))</f>
        <v>SB</v>
      </c>
      <c r="H97" s="63" t="str">
        <f>IF(+All!$F607="James Madison",+All!H607,IF(+All!$H607="James Madison",+All!H607,0))</f>
        <v>Louisville</v>
      </c>
      <c r="I97" s="52" t="str">
        <f>IF(+All!$F607="James Madison",+All!I607,IF(+All!$H607="James Madison",+All!I607,0))</f>
        <v>ACC</v>
      </c>
      <c r="J97" s="460" t="str">
        <f>IF(+All!$F607="James Madison",+All!J607,IF(+All!$H607="James Madison",+All!J607,0))</f>
        <v>Louisville</v>
      </c>
      <c r="K97" s="461" t="str">
        <f>IF(+All!$F607="James Madison",+All!K607,IF(+All!$H607="James Madison",+All!K607,0))</f>
        <v>James Madison</v>
      </c>
      <c r="L97" s="54">
        <f>IF(+All!$F607="James Madison",+All!L607,IF(+All!$H607="James Madison",+All!L607,0))</f>
        <v>7.5</v>
      </c>
      <c r="M97" s="55">
        <f>IF(+All!$F607="James Madison",+All!M607,IF(+All!$H607="James Madison",+All!M607,0))</f>
        <v>52.5</v>
      </c>
      <c r="N97" s="460" t="str">
        <f>IF(+All!$F607="James Madison",+All!N607,IF(+All!$H607="James Madison",+All!N607,0))</f>
        <v>Louisville</v>
      </c>
      <c r="O97" s="462">
        <f>IF(+All!$F607="James Madison",+All!O607,IF(+All!$H607="James Madison",+All!O607,0))</f>
        <v>34</v>
      </c>
      <c r="P97" s="462" t="str">
        <f>IF(+All!$F607="James Madison",+All!P607,IF(+All!$H607="James Madison",+All!P607,0))</f>
        <v>James Madison</v>
      </c>
      <c r="Q97" s="461">
        <f>IF(+All!$F607="James Madison",+All!Q607,IF(+All!$H607="James Madison",+All!Q607,0))</f>
        <v>10</v>
      </c>
      <c r="R97" s="460" t="str">
        <f>IF(+All!$F607="James Madison",+All!R607,IF(+All!$H607="James Madison",+All!R607,0))</f>
        <v>Louisville</v>
      </c>
      <c r="S97" s="462" t="str">
        <f>IF(+All!$F607="James Madison",+All!S607,IF(+All!$H607="James Madison",+All!S607,0))</f>
        <v>James Madison</v>
      </c>
      <c r="T97" s="460" t="str">
        <f>IF(+All!$F607="James Madison",+All!T607,IF(+All!$H607="James Madison",+All!T607,0))</f>
        <v>James Madison</v>
      </c>
      <c r="U97" s="461" t="str">
        <f>IF(+All!$F607="James Madison",+All!U607,IF(+All!$H607="James Madison",+All!U607,0))</f>
        <v>L</v>
      </c>
      <c r="V97" s="9"/>
    </row>
    <row r="98" spans="1:22" x14ac:dyDescent="0.8">
      <c r="A98" s="46">
        <f>IF(+All!$F708="James Madison",+All!A708,IF(+All!$H708="James Madison",+All!A708,0))</f>
        <v>11</v>
      </c>
      <c r="B98" s="46" t="str">
        <f>IF(+All!$F708="James Madison",+All!B708,IF(+All!$H708="James Madison",+All!B708,0))</f>
        <v>Sat</v>
      </c>
      <c r="C98" s="62">
        <f>IF(+All!$F708="James Madison",+All!C708,IF(+All!$H708="James Madison",+All!C708,0))</f>
        <v>44877</v>
      </c>
      <c r="D98" s="490">
        <f>IF(+All!$F708="James Madison",+All!D708,IF(+All!$H708="James Madison",+All!D708,0))</f>
        <v>0.54166666666666663</v>
      </c>
      <c r="E98" s="461">
        <f>IF(+All!$F708="James Madison",+All!E708,IF(+All!$H708="James Madison",+All!E708,0))</f>
        <v>0</v>
      </c>
      <c r="F98" s="51" t="str">
        <f>IF(+All!$F708="James Madison",+All!F708,IF(+All!$H708="James Madison",+All!F708,0))</f>
        <v>James Madison</v>
      </c>
      <c r="G98" s="63" t="str">
        <f>IF(+All!$F708="James Madison",+All!G708,IF(+All!$H708="James Madison",+All!G708,0))</f>
        <v>SB</v>
      </c>
      <c r="H98" s="63" t="str">
        <f>IF(+All!$F708="James Madison",+All!H708,IF(+All!$H708="James Madison",+All!H708,0))</f>
        <v>Old Dominion</v>
      </c>
      <c r="I98" s="52" t="str">
        <f>IF(+All!$F708="James Madison",+All!I708,IF(+All!$H708="James Madison",+All!I708,0))</f>
        <v>SB</v>
      </c>
      <c r="J98" s="460" t="str">
        <f>IF(+All!$F708="James Madison",+All!J708,IF(+All!$H708="James Madison",+All!J708,0))</f>
        <v>James Madison</v>
      </c>
      <c r="K98" s="461" t="str">
        <f>IF(+All!$F708="James Madison",+All!K708,IF(+All!$H708="James Madison",+All!K708,0))</f>
        <v>Old Dominion</v>
      </c>
      <c r="L98" s="54">
        <f>IF(+All!$F708="James Madison",+All!L708,IF(+All!$H708="James Madison",+All!L708,0))</f>
        <v>7.5</v>
      </c>
      <c r="M98" s="55">
        <f>IF(+All!$F708="James Madison",+All!M708,IF(+All!$H708="James Madison",+All!M708,0))</f>
        <v>46.5</v>
      </c>
      <c r="N98" s="460" t="str">
        <f>IF(+All!$F708="James Madison",+All!N708,IF(+All!$H708="James Madison",+All!N708,0))</f>
        <v>James Madison</v>
      </c>
      <c r="O98" s="462">
        <f>IF(+All!$F708="James Madison",+All!O708,IF(+All!$H708="James Madison",+All!O708,0))</f>
        <v>37</v>
      </c>
      <c r="P98" s="462" t="str">
        <f>IF(+All!$F708="James Madison",+All!P708,IF(+All!$H708="James Madison",+All!P708,0))</f>
        <v>Old Dominion</v>
      </c>
      <c r="Q98" s="461">
        <f>IF(+All!$F708="James Madison",+All!Q708,IF(+All!$H708="James Madison",+All!Q708,0))</f>
        <v>23</v>
      </c>
      <c r="R98" s="460" t="str">
        <f>IF(+All!$F708="James Madison",+All!R708,IF(+All!$H708="James Madison",+All!R708,0))</f>
        <v>James Madison</v>
      </c>
      <c r="S98" s="462" t="str">
        <f>IF(+All!$F708="James Madison",+All!S708,IF(+All!$H708="James Madison",+All!S708,0))</f>
        <v>Old Dominion</v>
      </c>
      <c r="T98" s="460" t="str">
        <f>IF(+All!$F708="James Madison",+All!T708,IF(+All!$H708="James Madison",+All!T708,0))</f>
        <v>James Madison</v>
      </c>
      <c r="U98" s="461" t="str">
        <f>IF(+All!$F708="James Madison",+All!U708,IF(+All!$H708="James Madison",+All!U708,0))</f>
        <v>W</v>
      </c>
      <c r="V98" s="9"/>
    </row>
    <row r="99" spans="1:22" x14ac:dyDescent="0.8">
      <c r="A99" s="46">
        <f>IF(+All!$F771="James Madison",+All!A771,IF(+All!$H771="James Madison",+All!A771,0))</f>
        <v>12</v>
      </c>
      <c r="B99" s="46" t="str">
        <f>IF(+All!$F771="James Madison",+All!B771,IF(+All!$H771="James Madison",+All!B771,0))</f>
        <v>Sat</v>
      </c>
      <c r="C99" s="62">
        <f>IF(+All!$F771="James Madison",+All!C771,IF(+All!$H771="James Madison",+All!C771,0))</f>
        <v>44884</v>
      </c>
      <c r="D99" s="490">
        <f>IF(+All!$F771="James Madison",+All!D771,IF(+All!$H771="James Madison",+All!D771,0))</f>
        <v>0.58333333333333337</v>
      </c>
      <c r="E99" s="461">
        <f>IF(+All!$F771="James Madison",+All!E771,IF(+All!$H771="James Madison",+All!E771,0))</f>
        <v>0</v>
      </c>
      <c r="F99" s="51" t="str">
        <f>IF(+All!$F771="James Madison",+All!F771,IF(+All!$H771="James Madison",+All!F771,0))</f>
        <v>Georgia State</v>
      </c>
      <c r="G99" s="63" t="str">
        <f>IF(+All!$F771="James Madison",+All!G771,IF(+All!$H771="James Madison",+All!G771,0))</f>
        <v>SB</v>
      </c>
      <c r="H99" s="63" t="str">
        <f>IF(+All!$F771="James Madison",+All!H771,IF(+All!$H771="James Madison",+All!H771,0))</f>
        <v>James Madison</v>
      </c>
      <c r="I99" s="52" t="str">
        <f>IF(+All!$F771="James Madison",+All!I771,IF(+All!$H771="James Madison",+All!I771,0))</f>
        <v>SB</v>
      </c>
      <c r="J99" s="460" t="str">
        <f>IF(+All!$F771="James Madison",+All!J771,IF(+All!$H771="James Madison",+All!J771,0))</f>
        <v>James Madison</v>
      </c>
      <c r="K99" s="461" t="str">
        <f>IF(+All!$F771="James Madison",+All!K771,IF(+All!$H771="James Madison",+All!K771,0))</f>
        <v>Georgia State</v>
      </c>
      <c r="L99" s="54">
        <f>IF(+All!$F771="James Madison",+All!L771,IF(+All!$H771="James Madison",+All!L771,0))</f>
        <v>9</v>
      </c>
      <c r="M99" s="55">
        <f>IF(+All!$F771="James Madison",+All!M771,IF(+All!$H771="James Madison",+All!M771,0))</f>
        <v>52.5</v>
      </c>
      <c r="N99" s="460" t="str">
        <f>IF(+All!$F771="James Madison",+All!N771,IF(+All!$H771="James Madison",+All!N771,0))</f>
        <v>James Madison</v>
      </c>
      <c r="O99" s="462">
        <f>IF(+All!$F771="James Madison",+All!O771,IF(+All!$H771="James Madison",+All!O771,0))</f>
        <v>42</v>
      </c>
      <c r="P99" s="462" t="str">
        <f>IF(+All!$F771="James Madison",+All!P771,IF(+All!$H771="James Madison",+All!P771,0))</f>
        <v>Georgia State</v>
      </c>
      <c r="Q99" s="461">
        <f>IF(+All!$F771="James Madison",+All!Q771,IF(+All!$H771="James Madison",+All!Q771,0))</f>
        <v>40</v>
      </c>
      <c r="R99" s="460" t="str">
        <f>IF(+All!$F771="James Madison",+All!R771,IF(+All!$H771="James Madison",+All!R771,0))</f>
        <v>Georgia State</v>
      </c>
      <c r="S99" s="462" t="str">
        <f>IF(+All!$F771="James Madison",+All!S771,IF(+All!$H771="James Madison",+All!S771,0))</f>
        <v>James Madison</v>
      </c>
      <c r="T99" s="460" t="str">
        <f>IF(+All!$F771="James Madison",+All!T771,IF(+All!$H771="James Madison",+All!T771,0))</f>
        <v>Georgia State</v>
      </c>
      <c r="U99" s="461" t="str">
        <f>IF(+All!$F771="James Madison",+All!U771,IF(+All!$H771="James Madison",+All!U771,0))</f>
        <v>W</v>
      </c>
      <c r="V99" s="9"/>
    </row>
    <row r="100" spans="1:22" x14ac:dyDescent="0.8">
      <c r="A100" s="46">
        <f>IF(+All!$F839="James Madison",+All!A839,IF(+All!$H839="James Madison",+All!A839,0))</f>
        <v>13</v>
      </c>
      <c r="B100" s="46" t="str">
        <f>IF(+All!$F839="James Madison",+All!B839,IF(+All!$H839="James Madison",+All!B839,0))</f>
        <v>Sat</v>
      </c>
      <c r="C100" s="62">
        <f>IF(+All!$F839="James Madison",+All!C839,IF(+All!$H839="James Madison",+All!C839,0))</f>
        <v>44891</v>
      </c>
      <c r="D100" s="490">
        <f>IF(+All!$F839="James Madison",+All!D839,IF(+All!$H839="James Madison",+All!D839,0))</f>
        <v>0.5</v>
      </c>
      <c r="E100" s="461" t="str">
        <f>IF(+All!$F839="James Madison",+All!E839,IF(+All!$H839="James Madison",+All!E839,0))</f>
        <v>ESPNU</v>
      </c>
      <c r="F100" s="51" t="str">
        <f>IF(+All!$F839="James Madison",+All!F839,IF(+All!$H839="James Madison",+All!F839,0))</f>
        <v>Coastal Carolina</v>
      </c>
      <c r="G100" s="63" t="str">
        <f>IF(+All!$F839="James Madison",+All!G839,IF(+All!$H839="James Madison",+All!G839,0))</f>
        <v>SB</v>
      </c>
      <c r="H100" s="63" t="str">
        <f>IF(+All!$F839="James Madison",+All!H839,IF(+All!$H839="James Madison",+All!H839,0))</f>
        <v>James Madison</v>
      </c>
      <c r="I100" s="52" t="str">
        <f>IF(+All!$F839="James Madison",+All!I839,IF(+All!$H839="James Madison",+All!I839,0))</f>
        <v>SB</v>
      </c>
      <c r="J100" s="460" t="str">
        <f>IF(+All!$F839="James Madison",+All!J839,IF(+All!$H839="James Madison",+All!J839,0))</f>
        <v>James Madison</v>
      </c>
      <c r="K100" s="461" t="str">
        <f>IF(+All!$F839="James Madison",+All!K839,IF(+All!$H839="James Madison",+All!K839,0))</f>
        <v>Coastal Carolina</v>
      </c>
      <c r="L100" s="54">
        <f>IF(+All!$F839="James Madison",+All!L839,IF(+All!$H839="James Madison",+All!L839,0))</f>
        <v>14.5</v>
      </c>
      <c r="M100" s="55">
        <f>IF(+All!$F839="James Madison",+All!M839,IF(+All!$H839="James Madison",+All!M839,0))</f>
        <v>53</v>
      </c>
      <c r="N100" s="460" t="str">
        <f>IF(+All!$F839="James Madison",+All!N839,IF(+All!$H839="James Madison",+All!N839,0))</f>
        <v>James Madison</v>
      </c>
      <c r="O100" s="462">
        <f>IF(+All!$F839="James Madison",+All!O839,IF(+All!$H839="James Madison",+All!O839,0))</f>
        <v>47</v>
      </c>
      <c r="P100" s="462" t="str">
        <f>IF(+All!$F839="James Madison",+All!P839,IF(+All!$H839="James Madison",+All!P839,0))</f>
        <v>Coastal Carolina</v>
      </c>
      <c r="Q100" s="461">
        <f>IF(+All!$F839="James Madison",+All!Q839,IF(+All!$H839="James Madison",+All!Q839,0))</f>
        <v>7</v>
      </c>
      <c r="R100" s="460" t="str">
        <f>IF(+All!$F839="James Madison",+All!R839,IF(+All!$H839="James Madison",+All!R839,0))</f>
        <v>James Madison</v>
      </c>
      <c r="S100" s="462" t="str">
        <f>IF(+All!$F839="James Madison",+All!S839,IF(+All!$H839="James Madison",+All!S839,0))</f>
        <v>Coastal Carolina</v>
      </c>
      <c r="T100" s="460" t="str">
        <f>IF(+All!$F839="James Madison",+All!T839,IF(+All!$H839="James Madison",+All!T839,0))</f>
        <v>Coastal Carolina</v>
      </c>
      <c r="U100" s="461" t="str">
        <f>IF(+All!$F839="James Madison",+All!U839,IF(+All!$H839="James Madison",+All!U839,0))</f>
        <v>L</v>
      </c>
      <c r="V100" s="9"/>
    </row>
    <row r="101" spans="1:22" x14ac:dyDescent="0.8">
      <c r="B101" s="46"/>
      <c r="C101" s="62"/>
      <c r="D101" s="490"/>
      <c r="F101" s="897" t="str">
        <f>F103</f>
        <v>Old Dominion</v>
      </c>
      <c r="G101" s="901"/>
      <c r="H101" s="901"/>
      <c r="I101" s="902"/>
      <c r="L101" s="54"/>
      <c r="M101" s="55"/>
      <c r="V101" s="9"/>
    </row>
    <row r="102" spans="1:22" x14ac:dyDescent="0.8">
      <c r="A102" s="46">
        <f>IF(+All!$F25="Old Dominion",+All!A25,IF(+All!$H25="Old Dominion",+All!A25,0))</f>
        <v>1</v>
      </c>
      <c r="B102" s="348" t="str">
        <f>IF(+All!$F25="Old Dominion",+All!B25,IF(+All!$H25="Old Dominion",+All!B25,0))</f>
        <v>Fri</v>
      </c>
      <c r="C102" s="72">
        <f>IF(+All!$F25="Old Dominion",+All!C25,IF(+All!$H25="Old Dominion",+All!C25,0))</f>
        <v>44806</v>
      </c>
      <c r="D102" s="73">
        <f>IF(+All!$F25="Old Dominion",+All!D25,IF(+All!$H25="Old Dominion",+All!D25,0))</f>
        <v>0.79166666666666663</v>
      </c>
      <c r="E102" s="461" t="str">
        <f>IF(+All!$F25="Old Dominion",+All!E25,IF(+All!$H25="Old Dominion",+All!E25,0))</f>
        <v>ESPNU</v>
      </c>
      <c r="F102" s="460" t="str">
        <f>IF(+All!$F25="Old Dominion",+All!F25,IF(+All!$H25="Old Dominion",+All!F25,0))</f>
        <v>Virginia Tech</v>
      </c>
      <c r="G102" s="461" t="str">
        <f>IF(+All!$F25="Old Dominion",+All!G25,IF(+All!$H25="Old Dominion",+All!G25,0))</f>
        <v>ACC</v>
      </c>
      <c r="H102" s="460" t="str">
        <f>IF(+All!$F25="Old Dominion",+All!H25,IF(+All!$H25="Old Dominion",+All!H25,0))</f>
        <v>Old Dominion</v>
      </c>
      <c r="I102" s="461" t="str">
        <f>IF(+All!$F25="Old Dominion",+All!I25,IF(+All!$H25="Old Dominion",+All!I25,0))</f>
        <v>SB</v>
      </c>
      <c r="J102" s="460" t="str">
        <f>IF(+All!$F25="Old Dominion",+All!J25,IF(+All!$H25="Old Dominion",+All!J25,0))</f>
        <v>Virginia Tech</v>
      </c>
      <c r="K102" s="461" t="str">
        <f>IF(+All!$F25="Old Dominion",+All!K25,IF(+All!$H25="Old Dominion",+All!K25,0))</f>
        <v>Old Dominion</v>
      </c>
      <c r="L102" s="60">
        <f>IF(+All!$F25="Old Dominion",+All!L25,IF(+All!$H25="Old Dominion",+All!L25,0))</f>
        <v>7.5</v>
      </c>
      <c r="M102" s="61">
        <f>IF(+All!$F25="Old Dominion",+All!M25,IF(+All!$H25="Old Dominion",+All!M25,0))</f>
        <v>49</v>
      </c>
      <c r="N102" s="460" t="str">
        <f>IF(+All!$F25="Old Dominion",+All!N25,IF(+All!$H25="Old Dominion",+All!N25,0))</f>
        <v>Old Dominion</v>
      </c>
      <c r="O102" s="462">
        <f>IF(+All!$F25="Old Dominion",+All!O25,IF(+All!$H25="Old Dominion",+All!O25,0))</f>
        <v>20</v>
      </c>
      <c r="P102" s="462" t="str">
        <f>IF(+All!$F25="Old Dominion",+All!P25,IF(+All!$H25="Old Dominion",+All!P25,0))</f>
        <v>Virginia Tech</v>
      </c>
      <c r="Q102" s="461">
        <f>IF(+All!$F25="Old Dominion",+All!Q25,IF(+All!$H25="Old Dominion",+All!Q25,0))</f>
        <v>17</v>
      </c>
      <c r="R102" s="460" t="str">
        <f>IF(+All!$F25="Old Dominion",+All!R25,IF(+All!$H25="Old Dominion",+All!R25,0))</f>
        <v>Old Dominion</v>
      </c>
      <c r="S102" s="462" t="str">
        <f>IF(+All!$F25="Old Dominion",+All!S25,IF(+All!$H25="Old Dominion",+All!S25,0))</f>
        <v>Virginia Tech</v>
      </c>
      <c r="T102" s="460" t="str">
        <f>IF(+All!$F25="Old Dominion",+All!T25,IF(+All!$H25="Old Dominion",+All!T25,0))</f>
        <v>Virginia Tech</v>
      </c>
      <c r="U102" s="461" t="str">
        <f>IF(+All!$F25="Old Dominion",+All!U25,IF(+All!$H25="Old Dominion",+All!U25,0))</f>
        <v>L</v>
      </c>
      <c r="V102" s="9"/>
    </row>
    <row r="103" spans="1:22" x14ac:dyDescent="0.8">
      <c r="A103" s="46">
        <f>IF(+All!$F101="Old Dominion",+All!A101,IF(+All!$H101="Old Dominion",+All!A101,0))</f>
        <v>2</v>
      </c>
      <c r="B103" s="348" t="str">
        <f>IF(+All!$F101="Old Dominion",+All!B101,IF(+All!$H101="Old Dominion",+All!B101,0))</f>
        <v>Sat</v>
      </c>
      <c r="C103" s="72">
        <f>IF(+All!$F101="Old Dominion",+All!C101,IF(+All!$H101="Old Dominion",+All!C101,0))</f>
        <v>44814</v>
      </c>
      <c r="D103" s="73">
        <f>IF(+All!$F101="Old Dominion",+All!D101,IF(+All!$H101="Old Dominion",+All!D101,0))</f>
        <v>0.75</v>
      </c>
      <c r="E103" s="461">
        <f>IF(+All!$F101="Old Dominion",+All!E101,IF(+All!$H101="Old Dominion",+All!E101,0))</f>
        <v>0</v>
      </c>
      <c r="F103" s="460" t="str">
        <f>IF(+All!$F101="Old Dominion",+All!F101,IF(+All!$H101="Old Dominion",+All!F101,0))</f>
        <v>Old Dominion</v>
      </c>
      <c r="G103" s="461" t="str">
        <f>IF(+All!$F101="Old Dominion",+All!G101,IF(+All!$H101="Old Dominion",+All!G101,0))</f>
        <v>SB</v>
      </c>
      <c r="H103" s="460" t="str">
        <f>IF(+All!$F101="Old Dominion",+All!H101,IF(+All!$H101="Old Dominion",+All!H101,0))</f>
        <v>East Carolina</v>
      </c>
      <c r="I103" s="461" t="str">
        <f>IF(+All!$F101="Old Dominion",+All!I101,IF(+All!$H101="Old Dominion",+All!I101,0))</f>
        <v>AAC</v>
      </c>
      <c r="J103" s="460" t="str">
        <f>IF(+All!$F101="Old Dominion",+All!J101,IF(+All!$H101="Old Dominion",+All!J101,0))</f>
        <v>East Carolina</v>
      </c>
      <c r="K103" s="461" t="str">
        <f>IF(+All!$F101="Old Dominion",+All!K101,IF(+All!$H101="Old Dominion",+All!K101,0))</f>
        <v>Old Dominion</v>
      </c>
      <c r="L103" s="60">
        <f>IF(+All!$F101="Old Dominion",+All!L101,IF(+All!$H101="Old Dominion",+All!L101,0))</f>
        <v>13</v>
      </c>
      <c r="M103" s="61">
        <f>IF(+All!$F101="Old Dominion",+All!M101,IF(+All!$H101="Old Dominion",+All!M101,0))</f>
        <v>51.5</v>
      </c>
      <c r="N103" s="460" t="str">
        <f>IF(+All!$F101="Old Dominion",+All!N101,IF(+All!$H101="Old Dominion",+All!N101,0))</f>
        <v>East Carolina</v>
      </c>
      <c r="O103" s="462">
        <f>IF(+All!$F101="Old Dominion",+All!O101,IF(+All!$H101="Old Dominion",+All!O101,0))</f>
        <v>39</v>
      </c>
      <c r="P103" s="462" t="str">
        <f>IF(+All!$F101="Old Dominion",+All!P101,IF(+All!$H101="Old Dominion",+All!P101,0))</f>
        <v>Old Dominion</v>
      </c>
      <c r="Q103" s="461">
        <f>IF(+All!$F101="Old Dominion",+All!Q101,IF(+All!$H101="Old Dominion",+All!Q101,0))</f>
        <v>21</v>
      </c>
      <c r="R103" s="460" t="str">
        <f>IF(+All!$F101="Old Dominion",+All!R101,IF(+All!$H101="Old Dominion",+All!R101,0))</f>
        <v>East Carolina</v>
      </c>
      <c r="S103" s="462" t="str">
        <f>IF(+All!$F101="Old Dominion",+All!S101,IF(+All!$H101="Old Dominion",+All!S101,0))</f>
        <v>Old Dominion</v>
      </c>
      <c r="T103" s="460" t="str">
        <f>IF(+All!$F101="Old Dominion",+All!T101,IF(+All!$H101="Old Dominion",+All!T101,0))</f>
        <v>East Carolina</v>
      </c>
      <c r="U103" s="461" t="str">
        <f>IF(+All!$F101="Old Dominion",+All!U101,IF(+All!$H101="Old Dominion",+All!U101,0))</f>
        <v>W</v>
      </c>
      <c r="V103" s="9"/>
    </row>
    <row r="104" spans="1:22" x14ac:dyDescent="0.8">
      <c r="A104" s="46">
        <f>IF(+All!$F194="Old Dominion",+All!A194,IF(+All!$H194="Old Dominion",+All!A194,0))</f>
        <v>3</v>
      </c>
      <c r="B104" s="348" t="str">
        <f>IF(+All!$F194="Old Dominion",+All!B194,IF(+All!$H194="Old Dominion",+All!B194,0))</f>
        <v>Sat</v>
      </c>
      <c r="C104" s="72">
        <f>IF(+All!$F194="Old Dominion",+All!C194,IF(+All!$H194="Old Dominion",+All!C194,0))</f>
        <v>44821</v>
      </c>
      <c r="D104" s="73">
        <f>IF(+All!$F194="Old Dominion",+All!D194,IF(+All!$H194="Old Dominion",+All!D194,0))</f>
        <v>0.58333333333333337</v>
      </c>
      <c r="E104" s="461" t="str">
        <f>IF(+All!$F194="Old Dominion",+All!E194,IF(+All!$H194="Old Dominion",+All!E194,0))</f>
        <v>ACC</v>
      </c>
      <c r="F104" s="460" t="str">
        <f>IF(+All!$F194="Old Dominion",+All!F194,IF(+All!$H194="Old Dominion",+All!F194,0))</f>
        <v>Old Dominion</v>
      </c>
      <c r="G104" s="461" t="str">
        <f>IF(+All!$F194="Old Dominion",+All!G194,IF(+All!$H194="Old Dominion",+All!G194,0))</f>
        <v>SB</v>
      </c>
      <c r="H104" s="460" t="str">
        <f>IF(+All!$F194="Old Dominion",+All!H194,IF(+All!$H194="Old Dominion",+All!H194,0))</f>
        <v>Virginia</v>
      </c>
      <c r="I104" s="461" t="str">
        <f>IF(+All!$F194="Old Dominion",+All!I194,IF(+All!$H194="Old Dominion",+All!I194,0))</f>
        <v>ACC</v>
      </c>
      <c r="J104" s="460" t="str">
        <f>IF(+All!$F194="Old Dominion",+All!J194,IF(+All!$H194="Old Dominion",+All!J194,0))</f>
        <v>Virginia</v>
      </c>
      <c r="K104" s="461" t="str">
        <f>IF(+All!$F194="Old Dominion",+All!K194,IF(+All!$H194="Old Dominion",+All!K194,0))</f>
        <v>Old Dominion</v>
      </c>
      <c r="L104" s="60">
        <f>IF(+All!$F194="Old Dominion",+All!L194,IF(+All!$H194="Old Dominion",+All!L194,0))</f>
        <v>9.5</v>
      </c>
      <c r="M104" s="61">
        <f>IF(+All!$F194="Old Dominion",+All!M194,IF(+All!$H194="Old Dominion",+All!M194,0))</f>
        <v>52.5</v>
      </c>
      <c r="N104" s="460" t="str">
        <f>IF(+All!$F194="Old Dominion",+All!N194,IF(+All!$H194="Old Dominion",+All!N194,0))</f>
        <v>Virginia</v>
      </c>
      <c r="O104" s="462">
        <f>IF(+All!$F194="Old Dominion",+All!O194,IF(+All!$H194="Old Dominion",+All!O194,0))</f>
        <v>16</v>
      </c>
      <c r="P104" s="462" t="str">
        <f>IF(+All!$F194="Old Dominion",+All!P194,IF(+All!$H194="Old Dominion",+All!P194,0))</f>
        <v>Old Dominion</v>
      </c>
      <c r="Q104" s="461">
        <f>IF(+All!$F194="Old Dominion",+All!Q194,IF(+All!$H194="Old Dominion",+All!Q194,0))</f>
        <v>14</v>
      </c>
      <c r="R104" s="460" t="str">
        <f>IF(+All!$F194="Old Dominion",+All!R194,IF(+All!$H194="Old Dominion",+All!R194,0))</f>
        <v>Old Dominion</v>
      </c>
      <c r="S104" s="462" t="str">
        <f>IF(+All!$F194="Old Dominion",+All!S194,IF(+All!$H194="Old Dominion",+All!S194,0))</f>
        <v>Virginia</v>
      </c>
      <c r="T104" s="460" t="str">
        <f>IF(+All!$F194="Old Dominion",+All!T194,IF(+All!$H194="Old Dominion",+All!T194,0))</f>
        <v>Old Dominion</v>
      </c>
      <c r="U104" s="461" t="str">
        <f>IF(+All!$F194="Old Dominion",+All!U194,IF(+All!$H194="Old Dominion",+All!U194,0))</f>
        <v>W</v>
      </c>
      <c r="V104" s="9"/>
    </row>
    <row r="105" spans="1:22" x14ac:dyDescent="0.8">
      <c r="A105" s="46">
        <f>IF(+All!$F303="Old Dominion",+All!A303,IF(+All!$H303="Old Dominion",+All!A303,0))</f>
        <v>4</v>
      </c>
      <c r="B105" s="348" t="str">
        <f>IF(+All!$F303="Old Dominion",+All!B303,IF(+All!$H303="Old Dominion",+All!B303,0))</f>
        <v>Sat</v>
      </c>
      <c r="C105" s="72">
        <f>IF(+All!$F303="Old Dominion",+All!C303,IF(+All!$H303="Old Dominion",+All!C303,0))</f>
        <v>44828</v>
      </c>
      <c r="D105" s="73">
        <f>IF(+All!$F303="Old Dominion",+All!D303,IF(+All!$H303="Old Dominion",+All!D303,0))</f>
        <v>0.75</v>
      </c>
      <c r="E105" s="461">
        <f>IF(+All!$F303="Old Dominion",+All!E303,IF(+All!$H303="Old Dominion",+All!E303,0))</f>
        <v>0</v>
      </c>
      <c r="F105" s="460" t="str">
        <f>IF(+All!$F303="Old Dominion",+All!F303,IF(+All!$H303="Old Dominion",+All!F303,0))</f>
        <v>Arkansas State</v>
      </c>
      <c r="G105" s="461" t="str">
        <f>IF(+All!$F303="Old Dominion",+All!G303,IF(+All!$H303="Old Dominion",+All!G303,0))</f>
        <v>SB</v>
      </c>
      <c r="H105" s="460" t="str">
        <f>IF(+All!$F303="Old Dominion",+All!H303,IF(+All!$H303="Old Dominion",+All!H303,0))</f>
        <v>Old Dominion</v>
      </c>
      <c r="I105" s="461" t="str">
        <f>IF(+All!$F303="Old Dominion",+All!I303,IF(+All!$H303="Old Dominion",+All!I303,0))</f>
        <v>SB</v>
      </c>
      <c r="J105" s="460" t="str">
        <f>IF(+All!$F303="Old Dominion",+All!J303,IF(+All!$H303="Old Dominion",+All!J303,0))</f>
        <v>Old Dominion</v>
      </c>
      <c r="K105" s="461" t="str">
        <f>IF(+All!$F303="Old Dominion",+All!K303,IF(+All!$H303="Old Dominion",+All!K303,0))</f>
        <v>Arkansas State</v>
      </c>
      <c r="L105" s="60">
        <f>IF(+All!$F303="Old Dominion",+All!L303,IF(+All!$H303="Old Dominion",+All!L303,0))</f>
        <v>6</v>
      </c>
      <c r="M105" s="61">
        <f>IF(+All!$F303="Old Dominion",+All!M303,IF(+All!$H303="Old Dominion",+All!M303,0))</f>
        <v>56.5</v>
      </c>
      <c r="N105" s="460" t="str">
        <f>IF(+All!$F303="Old Dominion",+All!N303,IF(+All!$H303="Old Dominion",+All!N303,0))</f>
        <v>Old Dominion</v>
      </c>
      <c r="O105" s="462">
        <f>IF(+All!$F303="Old Dominion",+All!O303,IF(+All!$H303="Old Dominion",+All!O303,0))</f>
        <v>29</v>
      </c>
      <c r="P105" s="462" t="str">
        <f>IF(+All!$F303="Old Dominion",+All!P303,IF(+All!$H303="Old Dominion",+All!P303,0))</f>
        <v>Arkansas State</v>
      </c>
      <c r="Q105" s="461">
        <f>IF(+All!$F303="Old Dominion",+All!Q303,IF(+All!$H303="Old Dominion",+All!Q303,0))</f>
        <v>26</v>
      </c>
      <c r="R105" s="460" t="str">
        <f>IF(+All!$F303="Old Dominion",+All!R303,IF(+All!$H303="Old Dominion",+All!R303,0))</f>
        <v>Arkansas State</v>
      </c>
      <c r="S105" s="462" t="str">
        <f>IF(+All!$F303="Old Dominion",+All!S303,IF(+All!$H303="Old Dominion",+All!S303,0))</f>
        <v>Old Dominion</v>
      </c>
      <c r="T105" s="460" t="str">
        <f>IF(+All!$F303="Old Dominion",+All!T303,IF(+All!$H303="Old Dominion",+All!T303,0))</f>
        <v>Old Dominion</v>
      </c>
      <c r="U105" s="461" t="str">
        <f>IF(+All!$F303="Old Dominion",+All!U303,IF(+All!$H303="Old Dominion",+All!U303,0))</f>
        <v>L</v>
      </c>
      <c r="V105" s="9"/>
    </row>
    <row r="106" spans="1:22" x14ac:dyDescent="0.8">
      <c r="A106" s="46">
        <f>IF(+All!$F373="Old Dominion",+All!A373,IF(+All!$H373="Old Dominion",+All!A373,0))</f>
        <v>5</v>
      </c>
      <c r="B106" s="348" t="str">
        <f>IF(+All!$F373="Old Dominion",+All!B373,IF(+All!$H373="Old Dominion",+All!B373,0))</f>
        <v>Sat</v>
      </c>
      <c r="C106" s="72">
        <f>IF(+All!$F373="Old Dominion",+All!C373,IF(+All!$H373="Old Dominion",+All!C373,0))</f>
        <v>44835</v>
      </c>
      <c r="D106" s="73">
        <f>IF(+All!$F373="Old Dominion",+All!D373,IF(+All!$H373="Old Dominion",+All!D373,0))</f>
        <v>0.75</v>
      </c>
      <c r="E106" s="461">
        <f>IF(+All!$F373="Old Dominion",+All!E373,IF(+All!$H373="Old Dominion",+All!E373,0))</f>
        <v>0</v>
      </c>
      <c r="F106" s="460" t="str">
        <f>IF(+All!$F373="Old Dominion",+All!F373,IF(+All!$H373="Old Dominion",+All!F373,0))</f>
        <v>Liberty</v>
      </c>
      <c r="G106" s="461" t="str">
        <f>IF(+All!$F373="Old Dominion",+All!G373,IF(+All!$H373="Old Dominion",+All!G373,0))</f>
        <v>Ind</v>
      </c>
      <c r="H106" s="460" t="str">
        <f>IF(+All!$F373="Old Dominion",+All!H373,IF(+All!$H373="Old Dominion",+All!H373,0))</f>
        <v>Old Dominion</v>
      </c>
      <c r="I106" s="461" t="str">
        <f>IF(+All!$F373="Old Dominion",+All!I373,IF(+All!$H373="Old Dominion",+All!I373,0))</f>
        <v>SB</v>
      </c>
      <c r="J106" s="460" t="str">
        <f>IF(+All!$F373="Old Dominion",+All!J373,IF(+All!$H373="Old Dominion",+All!J373,0))</f>
        <v>Liberty</v>
      </c>
      <c r="K106" s="461" t="str">
        <f>IF(+All!$F373="Old Dominion",+All!K373,IF(+All!$H373="Old Dominion",+All!K373,0))</f>
        <v>Old Dominion</v>
      </c>
      <c r="L106" s="60">
        <f>IF(+All!$F373="Old Dominion",+All!L373,IF(+All!$H373="Old Dominion",+All!L373,0))</f>
        <v>2.5</v>
      </c>
      <c r="M106" s="61">
        <f>IF(+All!$F373="Old Dominion",+All!M373,IF(+All!$H373="Old Dominion",+All!M373,0))</f>
        <v>41.5</v>
      </c>
      <c r="N106" s="460" t="str">
        <f>IF(+All!$F373="Old Dominion",+All!N373,IF(+All!$H373="Old Dominion",+All!N373,0))</f>
        <v>Liberty</v>
      </c>
      <c r="O106" s="462">
        <f>IF(+All!$F373="Old Dominion",+All!O373,IF(+All!$H373="Old Dominion",+All!O373,0))</f>
        <v>38</v>
      </c>
      <c r="P106" s="462" t="str">
        <f>IF(+All!$F373="Old Dominion",+All!P373,IF(+All!$H373="Old Dominion",+All!P373,0))</f>
        <v>Old Dominion</v>
      </c>
      <c r="Q106" s="461">
        <f>IF(+All!$F373="Old Dominion",+All!Q373,IF(+All!$H373="Old Dominion",+All!Q373,0))</f>
        <v>24</v>
      </c>
      <c r="R106" s="460" t="str">
        <f>IF(+All!$F373="Old Dominion",+All!R373,IF(+All!$H373="Old Dominion",+All!R373,0))</f>
        <v>Liberty</v>
      </c>
      <c r="S106" s="462" t="str">
        <f>IF(+All!$F373="Old Dominion",+All!S373,IF(+All!$H373="Old Dominion",+All!S373,0))</f>
        <v>Old Dominion</v>
      </c>
      <c r="T106" s="460" t="str">
        <f>IF(+All!$F373="Old Dominion",+All!T373,IF(+All!$H373="Old Dominion",+All!T373,0))</f>
        <v>Old Dominion</v>
      </c>
      <c r="U106" s="461" t="str">
        <f>IF(+All!$F373="Old Dominion",+All!U373,IF(+All!$H373="Old Dominion",+All!U373,0))</f>
        <v>L</v>
      </c>
      <c r="V106" s="9"/>
    </row>
    <row r="107" spans="1:22" x14ac:dyDescent="0.8">
      <c r="A107" s="46" t="e">
        <f>IF(+All!#REF!="Old Dominion",+All!#REF!,IF(+All!#REF!="Old Dominion",+All!#REF!,0))</f>
        <v>#REF!</v>
      </c>
      <c r="B107" s="348" t="e">
        <f>IF(+All!#REF!="Old Dominion",+All!#REF!,IF(+All!#REF!="Old Dominion",+All!#REF!,0))</f>
        <v>#REF!</v>
      </c>
      <c r="C107" s="72" t="e">
        <f>IF(+All!#REF!="Old Dominion",+All!#REF!,IF(+All!#REF!="Old Dominion",+All!#REF!,0))</f>
        <v>#REF!</v>
      </c>
      <c r="D107" s="73" t="e">
        <f>IF(+All!#REF!="Old Dominion",+All!#REF!,IF(+All!#REF!="Old Dominion",+All!#REF!,0))</f>
        <v>#REF!</v>
      </c>
      <c r="E107" s="461" t="e">
        <f>IF(+All!#REF!="Old Dominion",+All!#REF!,IF(+All!#REF!="Old Dominion",+All!#REF!,0))</f>
        <v>#REF!</v>
      </c>
      <c r="F107" s="460" t="e">
        <f>IF(+All!#REF!="Old Dominion",+All!#REF!,IF(+All!#REF!="Old Dominion",+All!#REF!,0))</f>
        <v>#REF!</v>
      </c>
      <c r="G107" s="461" t="e">
        <f>IF(+All!#REF!="Old Dominion",+All!#REF!,IF(+All!#REF!="Old Dominion",+All!#REF!,0))</f>
        <v>#REF!</v>
      </c>
      <c r="H107" s="460" t="e">
        <f>IF(+All!#REF!="Old Dominion",+All!#REF!,IF(+All!#REF!="Old Dominion",+All!#REF!,0))</f>
        <v>#REF!</v>
      </c>
      <c r="I107" s="461" t="e">
        <f>IF(+All!#REF!="Old Dominion",+All!#REF!,IF(+All!#REF!="Old Dominion",+All!#REF!,0))</f>
        <v>#REF!</v>
      </c>
      <c r="J107" s="460" t="e">
        <f>IF(+All!#REF!="Old Dominion",+All!#REF!,IF(+All!#REF!="Old Dominion",+All!#REF!,0))</f>
        <v>#REF!</v>
      </c>
      <c r="K107" s="461" t="e">
        <f>IF(+All!#REF!="Old Dominion",+All!#REF!,IF(+All!#REF!="Old Dominion",+All!#REF!,0))</f>
        <v>#REF!</v>
      </c>
      <c r="L107" s="60" t="e">
        <f>IF(+All!#REF!="Old Dominion",+All!#REF!,IF(+All!#REF!="Old Dominion",+All!#REF!,0))</f>
        <v>#REF!</v>
      </c>
      <c r="M107" s="61" t="e">
        <f>IF(+All!#REF!="Old Dominion",+All!#REF!,IF(+All!#REF!="Old Dominion",+All!#REF!,0))</f>
        <v>#REF!</v>
      </c>
      <c r="N107" s="460" t="e">
        <f>IF(+All!#REF!="Old Dominion",+All!#REF!,IF(+All!#REF!="Old Dominion",+All!#REF!,0))</f>
        <v>#REF!</v>
      </c>
      <c r="O107" s="462" t="e">
        <f>IF(+All!#REF!="Old Dominion",+All!#REF!,IF(+All!#REF!="Old Dominion",+All!#REF!,0))</f>
        <v>#REF!</v>
      </c>
      <c r="P107" s="462" t="e">
        <f>IF(+All!#REF!="Old Dominion",+All!#REF!,IF(+All!#REF!="Old Dominion",+All!#REF!,0))</f>
        <v>#REF!</v>
      </c>
      <c r="Q107" s="461" t="e">
        <f>IF(+All!#REF!="Old Dominion",+All!#REF!,IF(+All!#REF!="Old Dominion",+All!#REF!,0))</f>
        <v>#REF!</v>
      </c>
      <c r="R107" s="460" t="e">
        <f>IF(+All!#REF!="Old Dominion",+All!#REF!,IF(+All!#REF!="Old Dominion",+All!#REF!,0))</f>
        <v>#REF!</v>
      </c>
      <c r="S107" s="462" t="e">
        <f>IF(+All!#REF!="Old Dominion",+All!#REF!,IF(+All!#REF!="Old Dominion",+All!#REF!,0))</f>
        <v>#REF!</v>
      </c>
      <c r="T107" s="460" t="e">
        <f>IF(+All!#REF!="Old Dominion",+All!#REF!,IF(+All!#REF!="Old Dominion",+All!#REF!,0))</f>
        <v>#REF!</v>
      </c>
      <c r="U107" s="461" t="e">
        <f>IF(+All!#REF!="Old Dominion",+All!#REF!,IF(+All!#REF!="Old Dominion",+All!#REF!,0))</f>
        <v>#REF!</v>
      </c>
      <c r="V107" s="9"/>
    </row>
    <row r="108" spans="1:22" x14ac:dyDescent="0.8">
      <c r="A108" s="46">
        <f>IF(+All!$F481="Old Dominion",+All!A481,IF(+All!$H481="Old Dominion",+All!A481,0))</f>
        <v>7</v>
      </c>
      <c r="B108" s="348" t="str">
        <f>IF(+All!$F481="Old Dominion",+All!B481,IF(+All!$H481="Old Dominion",+All!B481,0))</f>
        <v>Sat</v>
      </c>
      <c r="C108" s="72">
        <f>IF(+All!$F481="Old Dominion",+All!C481,IF(+All!$H481="Old Dominion",+All!C481,0))</f>
        <v>44849</v>
      </c>
      <c r="D108" s="73">
        <f>IF(+All!$F481="Old Dominion",+All!D481,IF(+All!$H481="Old Dominion",+All!D481,0))</f>
        <v>0.5</v>
      </c>
      <c r="E108" s="461" t="str">
        <f>IF(+All!$F481="Old Dominion",+All!E481,IF(+All!$H481="Old Dominion",+All!E481,0))</f>
        <v>ESPNU</v>
      </c>
      <c r="F108" s="460" t="str">
        <f>IF(+All!$F481="Old Dominion",+All!F481,IF(+All!$H481="Old Dominion",+All!F481,0))</f>
        <v>Old Dominion</v>
      </c>
      <c r="G108" s="461" t="str">
        <f>IF(+All!$F481="Old Dominion",+All!G481,IF(+All!$H481="Old Dominion",+All!G481,0))</f>
        <v>SB</v>
      </c>
      <c r="H108" s="460" t="str">
        <f>IF(+All!$F481="Old Dominion",+All!H481,IF(+All!$H481="Old Dominion",+All!H481,0))</f>
        <v>Coastal Carolina</v>
      </c>
      <c r="I108" s="461" t="str">
        <f>IF(+All!$F481="Old Dominion",+All!I481,IF(+All!$H481="Old Dominion",+All!I481,0))</f>
        <v>SB</v>
      </c>
      <c r="J108" s="460" t="str">
        <f>IF(+All!$F481="Old Dominion",+All!J481,IF(+All!$H481="Old Dominion",+All!J481,0))</f>
        <v>Coastal Carolina</v>
      </c>
      <c r="K108" s="461" t="str">
        <f>IF(+All!$F481="Old Dominion",+All!K481,IF(+All!$H481="Old Dominion",+All!K481,0))</f>
        <v>Old Dominion</v>
      </c>
      <c r="L108" s="60">
        <f>IF(+All!$F481="Old Dominion",+All!L481,IF(+All!$H481="Old Dominion",+All!L481,0))</f>
        <v>13</v>
      </c>
      <c r="M108" s="61">
        <f>IF(+All!$F481="Old Dominion",+All!M481,IF(+All!$H481="Old Dominion",+All!M481,0))</f>
        <v>56.5</v>
      </c>
      <c r="N108" s="460" t="str">
        <f>IF(+All!$F481="Old Dominion",+All!N481,IF(+All!$H481="Old Dominion",+All!N481,0))</f>
        <v>Old Dominion</v>
      </c>
      <c r="O108" s="462">
        <f>IF(+All!$F481="Old Dominion",+All!O481,IF(+All!$H481="Old Dominion",+All!O481,0))</f>
        <v>49</v>
      </c>
      <c r="P108" s="462" t="str">
        <f>IF(+All!$F481="Old Dominion",+All!P481,IF(+All!$H481="Old Dominion",+All!P481,0))</f>
        <v>Coastal Carolina</v>
      </c>
      <c r="Q108" s="461">
        <f>IF(+All!$F481="Old Dominion",+All!Q481,IF(+All!$H481="Old Dominion",+All!Q481,0))</f>
        <v>21</v>
      </c>
      <c r="R108" s="460" t="str">
        <f>IF(+All!$F481="Old Dominion",+All!R481,IF(+All!$H481="Old Dominion",+All!R481,0))</f>
        <v>Old Dominion</v>
      </c>
      <c r="S108" s="462" t="str">
        <f>IF(+All!$F481="Old Dominion",+All!S481,IF(+All!$H481="Old Dominion",+All!S481,0))</f>
        <v>Coastal Carolina</v>
      </c>
      <c r="T108" s="460" t="str">
        <f>IF(+All!$F481="Old Dominion",+All!T481,IF(+All!$H481="Old Dominion",+All!T481,0))</f>
        <v>Old Dominion</v>
      </c>
      <c r="U108" s="461" t="str">
        <f>IF(+All!$F481="Old Dominion",+All!U481,IF(+All!$H481="Old Dominion",+All!U481,0))</f>
        <v>W</v>
      </c>
      <c r="V108" s="9"/>
    </row>
    <row r="109" spans="1:22" x14ac:dyDescent="0.8">
      <c r="A109" s="46">
        <f>IF(+All!$F537="Old Dominion",+All!A537,IF(+All!$H537="Old Dominion",+All!A537,0))</f>
        <v>8</v>
      </c>
      <c r="B109" s="348" t="str">
        <f>IF(+All!$F537="Old Dominion",+All!B537,IF(+All!$H537="Old Dominion",+All!B537,0))</f>
        <v>Sat</v>
      </c>
      <c r="C109" s="72">
        <f>IF(+All!$F537="Old Dominion",+All!C537,IF(+All!$H537="Old Dominion",+All!C537,0))</f>
        <v>44856</v>
      </c>
      <c r="D109" s="73">
        <f>IF(+All!$F537="Old Dominion",+All!D537,IF(+All!$H537="Old Dominion",+All!D537,0))</f>
        <v>0.64583333333333337</v>
      </c>
      <c r="E109" s="461">
        <f>IF(+All!$F537="Old Dominion",+All!E537,IF(+All!$H537="Old Dominion",+All!E537,0))</f>
        <v>0</v>
      </c>
      <c r="F109" s="460" t="str">
        <f>IF(+All!$F537="Old Dominion",+All!F537,IF(+All!$H537="Old Dominion",+All!F537,0))</f>
        <v>Georgia Southern</v>
      </c>
      <c r="G109" s="461" t="str">
        <f>IF(+All!$F537="Old Dominion",+All!G537,IF(+All!$H537="Old Dominion",+All!G537,0))</f>
        <v>SB</v>
      </c>
      <c r="H109" s="460" t="str">
        <f>IF(+All!$F537="Old Dominion",+All!H537,IF(+All!$H537="Old Dominion",+All!H537,0))</f>
        <v>Old Dominion</v>
      </c>
      <c r="I109" s="461" t="str">
        <f>IF(+All!$F537="Old Dominion",+All!I537,IF(+All!$H537="Old Dominion",+All!I537,0))</f>
        <v>SB</v>
      </c>
      <c r="J109" s="460" t="str">
        <f>IF(+All!$F537="Old Dominion",+All!J537,IF(+All!$H537="Old Dominion",+All!J537,0))</f>
        <v>Old Dominion</v>
      </c>
      <c r="K109" s="461" t="str">
        <f>IF(+All!$F537="Old Dominion",+All!K537,IF(+All!$H537="Old Dominion",+All!K537,0))</f>
        <v>Georgia Southern</v>
      </c>
      <c r="L109" s="60">
        <f>IF(+All!$F537="Old Dominion",+All!L537,IF(+All!$H537="Old Dominion",+All!L537,0))</f>
        <v>2.5</v>
      </c>
      <c r="M109" s="61">
        <f>IF(+All!$F537="Old Dominion",+All!M537,IF(+All!$H537="Old Dominion",+All!M537,0))</f>
        <v>65.5</v>
      </c>
      <c r="N109" s="460" t="str">
        <f>IF(+All!$F537="Old Dominion",+All!N537,IF(+All!$H537="Old Dominion",+All!N537,0))</f>
        <v>Georgia Southern</v>
      </c>
      <c r="O109" s="462">
        <f>IF(+All!$F537="Old Dominion",+All!O537,IF(+All!$H537="Old Dominion",+All!O537,0))</f>
        <v>28</v>
      </c>
      <c r="P109" s="462" t="str">
        <f>IF(+All!$F537="Old Dominion",+All!P537,IF(+All!$H537="Old Dominion",+All!P537,0))</f>
        <v>Old Dominion</v>
      </c>
      <c r="Q109" s="461">
        <f>IF(+All!$F537="Old Dominion",+All!Q537,IF(+All!$H537="Old Dominion",+All!Q537,0))</f>
        <v>23</v>
      </c>
      <c r="R109" s="460" t="str">
        <f>IF(+All!$F537="Old Dominion",+All!R537,IF(+All!$H537="Old Dominion",+All!R537,0))</f>
        <v>Georgia Southern</v>
      </c>
      <c r="S109" s="462" t="str">
        <f>IF(+All!$F537="Old Dominion",+All!S537,IF(+All!$H537="Old Dominion",+All!S537,0))</f>
        <v>Old Dominion</v>
      </c>
      <c r="T109" s="460" t="str">
        <f>IF(+All!$F537="Old Dominion",+All!T537,IF(+All!$H537="Old Dominion",+All!T537,0))</f>
        <v>Old Dominion</v>
      </c>
      <c r="U109" s="461" t="str">
        <f>IF(+All!$F537="Old Dominion",+All!U537,IF(+All!$H537="Old Dominion",+All!U537,0))</f>
        <v>L</v>
      </c>
      <c r="V109" s="9"/>
    </row>
    <row r="110" spans="1:22" x14ac:dyDescent="0.8">
      <c r="B110" s="348" t="str">
        <f>IF(+All!$F586="Old Dominion",+All!B586,IF(+All!$H586="Old Dominion",+All!B586,0))</f>
        <v>Sat</v>
      </c>
      <c r="C110" s="72">
        <f>IF(+All!$F586="Old Dominion",+All!C586,IF(+All!$H586="Old Dominion",+All!C586,0))</f>
        <v>44863</v>
      </c>
      <c r="D110" s="73">
        <f>IF(+All!$F586="Old Dominion",+All!D586,IF(+All!$H586="Old Dominion",+All!D586,0))</f>
        <v>0.625</v>
      </c>
      <c r="E110" s="461">
        <f>IF(+All!$F586="Old Dominion",+All!E586,IF(+All!$H586="Old Dominion",+All!E586,0))</f>
        <v>0</v>
      </c>
      <c r="F110" s="460" t="str">
        <f>IF(+All!$F586="Old Dominion",+All!F586,IF(+All!$H586="Old Dominion",+All!F586,0))</f>
        <v>Old Dominion</v>
      </c>
      <c r="G110" s="461" t="str">
        <f>IF(+All!$F586="Old Dominion",+All!G586,IF(+All!$H586="Old Dominion",+All!G586,0))</f>
        <v>SB</v>
      </c>
      <c r="H110" s="460" t="str">
        <f>IF(+All!$F586="Old Dominion",+All!H586,IF(+All!$H586="Old Dominion",+All!H586,0))</f>
        <v>Georgia State</v>
      </c>
      <c r="I110" s="461" t="str">
        <f>IF(+All!$F586="Old Dominion",+All!I586,IF(+All!$H586="Old Dominion",+All!I586,0))</f>
        <v>SB</v>
      </c>
      <c r="J110" s="460" t="str">
        <f>IF(+All!$F586="Old Dominion",+All!J586,IF(+All!$H586="Old Dominion",+All!J586,0))</f>
        <v>Georgia State</v>
      </c>
      <c r="K110" s="461" t="str">
        <f>IF(+All!$F586="Old Dominion",+All!K586,IF(+All!$H586="Old Dominion",+All!K586,0))</f>
        <v>Old Dominion</v>
      </c>
      <c r="L110" s="60">
        <f>IF(+All!$F586="Old Dominion",+All!L586,IF(+All!$H586="Old Dominion",+All!L586,0))</f>
        <v>3.5</v>
      </c>
      <c r="M110" s="61">
        <f>IF(+All!$F586="Old Dominion",+All!M586,IF(+All!$H586="Old Dominion",+All!M586,0))</f>
        <v>55</v>
      </c>
      <c r="N110" s="460" t="str">
        <f>IF(+All!$F586="Old Dominion",+All!N586,IF(+All!$H586="Old Dominion",+All!N586,0))</f>
        <v>Georgia State</v>
      </c>
      <c r="O110" s="462">
        <f>IF(+All!$F586="Old Dominion",+All!O586,IF(+All!$H586="Old Dominion",+All!O586,0))</f>
        <v>31</v>
      </c>
      <c r="P110" s="462" t="str">
        <f>IF(+All!$F586="Old Dominion",+All!P586,IF(+All!$H586="Old Dominion",+All!P586,0))</f>
        <v>Old Dominion</v>
      </c>
      <c r="Q110" s="461">
        <f>IF(+All!$F586="Old Dominion",+All!Q586,IF(+All!$H586="Old Dominion",+All!Q586,0))</f>
        <v>17</v>
      </c>
      <c r="R110" s="460" t="str">
        <f>IF(+All!$F586="Old Dominion",+All!R586,IF(+All!$H586="Old Dominion",+All!R586,0))</f>
        <v>Georgia State</v>
      </c>
      <c r="S110" s="462" t="str">
        <f>IF(+All!$F586="Old Dominion",+All!S586,IF(+All!$H586="Old Dominion",+All!S586,0))</f>
        <v>Old Dominion</v>
      </c>
      <c r="T110" s="460" t="str">
        <f>IF(+All!$F586="Old Dominion",+All!T586,IF(+All!$H586="Old Dominion",+All!T586,0))</f>
        <v>Old Dominion</v>
      </c>
      <c r="U110" s="461" t="str">
        <f>IF(+All!$F586="Old Dominion",+All!U586,IF(+All!$H586="Old Dominion",+All!U586,0))</f>
        <v>L</v>
      </c>
      <c r="V110" s="9"/>
    </row>
    <row r="111" spans="1:22" x14ac:dyDescent="0.8">
      <c r="A111" s="46">
        <f>IF(+All!$F642="Old Dominion",+All!A642,IF(+All!$H642="Old Dominion",+All!A642,0))</f>
        <v>10</v>
      </c>
      <c r="B111" s="348" t="str">
        <f>IF(+All!$F642="Old Dominion",+All!B642,IF(+All!$H642="Old Dominion",+All!B642,0))</f>
        <v>Sat</v>
      </c>
      <c r="C111" s="72">
        <f>IF(+All!$F642="Old Dominion",+All!C642,IF(+All!$H642="Old Dominion",+All!C642,0))</f>
        <v>44870</v>
      </c>
      <c r="D111" s="73">
        <f>IF(+All!$F642="Old Dominion",+All!D642,IF(+All!$H642="Old Dominion",+All!D642,0))</f>
        <v>0.58333333333333337</v>
      </c>
      <c r="E111" s="461">
        <f>IF(+All!$F642="Old Dominion",+All!E642,IF(+All!$H642="Old Dominion",+All!E642,0))</f>
        <v>0</v>
      </c>
      <c r="F111" s="460" t="str">
        <f>IF(+All!$F642="Old Dominion",+All!F642,IF(+All!$H642="Old Dominion",+All!F642,0))</f>
        <v>Marshall</v>
      </c>
      <c r="G111" s="461" t="str">
        <f>IF(+All!$F642="Old Dominion",+All!G642,IF(+All!$H642="Old Dominion",+All!G642,0))</f>
        <v>SB</v>
      </c>
      <c r="H111" s="460" t="str">
        <f>IF(+All!$F642="Old Dominion",+All!H642,IF(+All!$H642="Old Dominion",+All!H642,0))</f>
        <v>Old Dominion</v>
      </c>
      <c r="I111" s="461" t="str">
        <f>IF(+All!$F642="Old Dominion",+All!I642,IF(+All!$H642="Old Dominion",+All!I642,0))</f>
        <v>SB</v>
      </c>
      <c r="J111" s="460" t="str">
        <f>IF(+All!$F642="Old Dominion",+All!J642,IF(+All!$H642="Old Dominion",+All!J642,0))</f>
        <v>Marshall</v>
      </c>
      <c r="K111" s="461" t="str">
        <f>IF(+All!$F642="Old Dominion",+All!K642,IF(+All!$H642="Old Dominion",+All!K642,0))</f>
        <v>Old Dominion</v>
      </c>
      <c r="L111" s="60">
        <f>IF(+All!$F642="Old Dominion",+All!L642,IF(+All!$H642="Old Dominion",+All!L642,0))</f>
        <v>2.5</v>
      </c>
      <c r="M111" s="61">
        <f>IF(+All!$F642="Old Dominion",+All!M642,IF(+All!$H642="Old Dominion",+All!M642,0))</f>
        <v>47</v>
      </c>
      <c r="N111" s="460" t="str">
        <f>IF(+All!$F642="Old Dominion",+All!N642,IF(+All!$H642="Old Dominion",+All!N642,0))</f>
        <v>Marshall</v>
      </c>
      <c r="O111" s="462">
        <f>IF(+All!$F642="Old Dominion",+All!O642,IF(+All!$H642="Old Dominion",+All!O642,0))</f>
        <v>12</v>
      </c>
      <c r="P111" s="462" t="str">
        <f>IF(+All!$F642="Old Dominion",+All!P642,IF(+All!$H642="Old Dominion",+All!P642,0))</f>
        <v>Old Dominion</v>
      </c>
      <c r="Q111" s="461">
        <f>IF(+All!$F642="Old Dominion",+All!Q642,IF(+All!$H642="Old Dominion",+All!Q642,0))</f>
        <v>0</v>
      </c>
      <c r="R111" s="460" t="str">
        <f>IF(+All!$F642="Old Dominion",+All!R642,IF(+All!$H642="Old Dominion",+All!R642,0))</f>
        <v>Marshall</v>
      </c>
      <c r="S111" s="462" t="str">
        <f>IF(+All!$F642="Old Dominion",+All!S642,IF(+All!$H642="Old Dominion",+All!S642,0))</f>
        <v>Old Dominion</v>
      </c>
      <c r="T111" s="460" t="str">
        <f>IF(+All!$F642="Old Dominion",+All!T642,IF(+All!$H642="Old Dominion",+All!T642,0))</f>
        <v>Old Dominion</v>
      </c>
      <c r="U111" s="461" t="str">
        <f>IF(+All!$F642="Old Dominion",+All!U642,IF(+All!$H642="Old Dominion",+All!U642,0))</f>
        <v>L</v>
      </c>
      <c r="V111" s="9"/>
    </row>
    <row r="112" spans="1:22" x14ac:dyDescent="0.8">
      <c r="A112" s="46">
        <f>IF(+All!$F708="Old Dominion",+All!A708,IF(+All!$H708="Old Dominion",+All!A708,0))</f>
        <v>11</v>
      </c>
      <c r="B112" s="348" t="str">
        <f>IF(+All!$F708="Old Dominion",+All!B708,IF(+All!$H708="Old Dominion",+All!B708,0))</f>
        <v>Sat</v>
      </c>
      <c r="C112" s="72">
        <f>IF(+All!$F708="Old Dominion",+All!C708,IF(+All!$H708="Old Dominion",+All!C708,0))</f>
        <v>44877</v>
      </c>
      <c r="D112" s="73">
        <f>IF(+All!$F708="Old Dominion",+All!D708,IF(+All!$H708="Old Dominion",+All!D708,0))</f>
        <v>0.54166666666666663</v>
      </c>
      <c r="E112" s="461">
        <f>IF(+All!$F708="Old Dominion",+All!E708,IF(+All!$H708="Old Dominion",+All!E708,0))</f>
        <v>0</v>
      </c>
      <c r="F112" s="460" t="str">
        <f>IF(+All!$F708="Old Dominion",+All!F708,IF(+All!$H708="Old Dominion",+All!F708,0))</f>
        <v>James Madison</v>
      </c>
      <c r="G112" s="461" t="str">
        <f>IF(+All!$F708="Old Dominion",+All!G708,IF(+All!$H708="Old Dominion",+All!G708,0))</f>
        <v>SB</v>
      </c>
      <c r="H112" s="460" t="str">
        <f>IF(+All!$F708="Old Dominion",+All!H708,IF(+All!$H708="Old Dominion",+All!H708,0))</f>
        <v>Old Dominion</v>
      </c>
      <c r="I112" s="461" t="str">
        <f>IF(+All!$F708="Old Dominion",+All!I708,IF(+All!$H708="Old Dominion",+All!I708,0))</f>
        <v>SB</v>
      </c>
      <c r="J112" s="460" t="str">
        <f>IF(+All!$F708="Old Dominion",+All!J708,IF(+All!$H708="Old Dominion",+All!J708,0))</f>
        <v>James Madison</v>
      </c>
      <c r="K112" s="461" t="str">
        <f>IF(+All!$F708="Old Dominion",+All!K708,IF(+All!$H708="Old Dominion",+All!K708,0))</f>
        <v>Old Dominion</v>
      </c>
      <c r="L112" s="60">
        <f>IF(+All!$F708="Old Dominion",+All!L708,IF(+All!$H708="Old Dominion",+All!L708,0))</f>
        <v>7.5</v>
      </c>
      <c r="M112" s="61">
        <f>IF(+All!$F708="Old Dominion",+All!M708,IF(+All!$H708="Old Dominion",+All!M708,0))</f>
        <v>46.5</v>
      </c>
      <c r="N112" s="460" t="str">
        <f>IF(+All!$F708="Old Dominion",+All!N708,IF(+All!$H708="Old Dominion",+All!N708,0))</f>
        <v>James Madison</v>
      </c>
      <c r="O112" s="462">
        <f>IF(+All!$F708="Old Dominion",+All!O708,IF(+All!$H708="Old Dominion",+All!O708,0))</f>
        <v>37</v>
      </c>
      <c r="P112" s="462" t="str">
        <f>IF(+All!$F708="Old Dominion",+All!P708,IF(+All!$H708="Old Dominion",+All!P708,0))</f>
        <v>Old Dominion</v>
      </c>
      <c r="Q112" s="461">
        <f>IF(+All!$F708="Old Dominion",+All!Q708,IF(+All!$H708="Old Dominion",+All!Q708,0))</f>
        <v>23</v>
      </c>
      <c r="R112" s="460" t="str">
        <f>IF(+All!$F708="Old Dominion",+All!R708,IF(+All!$H708="Old Dominion",+All!R708,0))</f>
        <v>James Madison</v>
      </c>
      <c r="S112" s="462" t="str">
        <f>IF(+All!$F708="Old Dominion",+All!S708,IF(+All!$H708="Old Dominion",+All!S708,0))</f>
        <v>Old Dominion</v>
      </c>
      <c r="T112" s="460" t="str">
        <f>IF(+All!$F708="Old Dominion",+All!T708,IF(+All!$H708="Old Dominion",+All!T708,0))</f>
        <v>James Madison</v>
      </c>
      <c r="U112" s="461" t="str">
        <f>IF(+All!$F708="Old Dominion",+All!U708,IF(+All!$H708="Old Dominion",+All!U708,0))</f>
        <v>W</v>
      </c>
      <c r="V112" s="9"/>
    </row>
    <row r="113" spans="1:22" x14ac:dyDescent="0.8">
      <c r="A113" s="46">
        <f>IF(+All!$F769="Old Dominion",+All!A769,IF(+All!$H769="Old Dominion",+All!A769,0))</f>
        <v>12</v>
      </c>
      <c r="B113" s="348" t="str">
        <f>IF(+All!$F769="Old Dominion",+All!B769,IF(+All!$H769="Old Dominion",+All!B769,0))</f>
        <v>Sat</v>
      </c>
      <c r="C113" s="72">
        <f>IF(+All!$F769="Old Dominion",+All!C769,IF(+All!$H769="Old Dominion",+All!C769,0))</f>
        <v>44884</v>
      </c>
      <c r="D113" s="73">
        <f>IF(+All!$F769="Old Dominion",+All!D769,IF(+All!$H769="Old Dominion",+All!D769,0))</f>
        <v>0.60416666666666663</v>
      </c>
      <c r="E113" s="461">
        <f>IF(+All!$F769="Old Dominion",+All!E769,IF(+All!$H769="Old Dominion",+All!E769,0))</f>
        <v>0</v>
      </c>
      <c r="F113" s="460" t="str">
        <f>IF(+All!$F769="Old Dominion",+All!F769,IF(+All!$H769="Old Dominion",+All!F769,0))</f>
        <v>Old Dominion</v>
      </c>
      <c r="G113" s="461" t="str">
        <f>IF(+All!$F769="Old Dominion",+All!G769,IF(+All!$H769="Old Dominion",+All!G769,0))</f>
        <v>SB</v>
      </c>
      <c r="H113" s="460" t="str">
        <f>IF(+All!$F769="Old Dominion",+All!H769,IF(+All!$H769="Old Dominion",+All!H769,0))</f>
        <v>Appalachian State</v>
      </c>
      <c r="I113" s="461" t="str">
        <f>IF(+All!$F769="Old Dominion",+All!I769,IF(+All!$H769="Old Dominion",+All!I769,0))</f>
        <v>SB</v>
      </c>
      <c r="J113" s="460" t="str">
        <f>IF(+All!$F769="Old Dominion",+All!J769,IF(+All!$H769="Old Dominion",+All!J769,0))</f>
        <v>Appalachian State</v>
      </c>
      <c r="K113" s="461" t="str">
        <f>IF(+All!$F769="Old Dominion",+All!K769,IF(+All!$H769="Old Dominion",+All!K769,0))</f>
        <v>Old Dominion</v>
      </c>
      <c r="L113" s="60">
        <f>IF(+All!$F769="Old Dominion",+All!L769,IF(+All!$H769="Old Dominion",+All!L769,0))</f>
        <v>16</v>
      </c>
      <c r="M113" s="61">
        <f>IF(+All!$F769="Old Dominion",+All!M769,IF(+All!$H769="Old Dominion",+All!M769,0))</f>
        <v>51</v>
      </c>
      <c r="N113" s="460" t="str">
        <f>IF(+All!$F769="Old Dominion",+All!N769,IF(+All!$H769="Old Dominion",+All!N769,0))</f>
        <v>Appalachian State</v>
      </c>
      <c r="O113" s="462">
        <f>IF(+All!$F769="Old Dominion",+All!O769,IF(+All!$H769="Old Dominion",+All!O769,0))</f>
        <v>27</v>
      </c>
      <c r="P113" s="462" t="str">
        <f>IF(+All!$F769="Old Dominion",+All!P769,IF(+All!$H769="Old Dominion",+All!P769,0))</f>
        <v>Old Dominion</v>
      </c>
      <c r="Q113" s="461">
        <f>IF(+All!$F769="Old Dominion",+All!Q769,IF(+All!$H769="Old Dominion",+All!Q769,0))</f>
        <v>14</v>
      </c>
      <c r="R113" s="460" t="str">
        <f>IF(+All!$F769="Old Dominion",+All!R769,IF(+All!$H769="Old Dominion",+All!R769,0))</f>
        <v>Old Dominion</v>
      </c>
      <c r="S113" s="462" t="str">
        <f>IF(+All!$F769="Old Dominion",+All!S769,IF(+All!$H769="Old Dominion",+All!S769,0))</f>
        <v>Appalachian State</v>
      </c>
      <c r="T113" s="460" t="str">
        <f>IF(+All!$F769="Old Dominion",+All!T769,IF(+All!$H769="Old Dominion",+All!T769,0))</f>
        <v>Appalachian State</v>
      </c>
      <c r="U113" s="461" t="str">
        <f>IF(+All!$F769="Old Dominion",+All!U769,IF(+All!$H769="Old Dominion",+All!U769,0))</f>
        <v>L</v>
      </c>
      <c r="V113" s="9"/>
    </row>
    <row r="114" spans="1:22" x14ac:dyDescent="0.8">
      <c r="A114" s="46">
        <f>IF(+All!$F841="Old Dominion",+All!A841,IF(+All!$H841="Old Dominion",+All!A841,0))</f>
        <v>13</v>
      </c>
      <c r="B114" s="348" t="str">
        <f>IF(+All!$F841="Old Dominion",+All!B841,IF(+All!$H841="Old Dominion",+All!B841,0))</f>
        <v>Sat</v>
      </c>
      <c r="C114" s="72">
        <f>IF(+All!$F841="Old Dominion",+All!C841,IF(+All!$H841="Old Dominion",+All!C841,0))</f>
        <v>44891</v>
      </c>
      <c r="D114" s="73">
        <f>IF(+All!$F841="Old Dominion",+All!D841,IF(+All!$H841="Old Dominion",+All!D841,0))</f>
        <v>0.5</v>
      </c>
      <c r="E114" s="461">
        <f>IF(+All!$F841="Old Dominion",+All!E841,IF(+All!$H841="Old Dominion",+All!E841,0))</f>
        <v>0</v>
      </c>
      <c r="F114" s="460" t="str">
        <f>IF(+All!$F841="Old Dominion",+All!F841,IF(+All!$H841="Old Dominion",+All!F841,0))</f>
        <v>Old Dominion</v>
      </c>
      <c r="G114" s="461" t="str">
        <f>IF(+All!$F841="Old Dominion",+All!G841,IF(+All!$H841="Old Dominion",+All!G841,0))</f>
        <v>SB</v>
      </c>
      <c r="H114" s="460" t="str">
        <f>IF(+All!$F841="Old Dominion",+All!H841,IF(+All!$H841="Old Dominion",+All!H841,0))</f>
        <v>South Alabama</v>
      </c>
      <c r="I114" s="461" t="str">
        <f>IF(+All!$F841="Old Dominion",+All!I841,IF(+All!$H841="Old Dominion",+All!I841,0))</f>
        <v>SB</v>
      </c>
      <c r="J114" s="460" t="str">
        <f>IF(+All!$F841="Old Dominion",+All!J841,IF(+All!$H841="Old Dominion",+All!J841,0))</f>
        <v>South Alabama</v>
      </c>
      <c r="K114" s="461" t="str">
        <f>IF(+All!$F841="Old Dominion",+All!K841,IF(+All!$H841="Old Dominion",+All!K841,0))</f>
        <v>Old Dominion</v>
      </c>
      <c r="L114" s="60">
        <f>IF(+All!$F841="Old Dominion",+All!L841,IF(+All!$H841="Old Dominion",+All!L841,0))</f>
        <v>16</v>
      </c>
      <c r="M114" s="61">
        <f>IF(+All!$F841="Old Dominion",+All!M841,IF(+All!$H841="Old Dominion",+All!M841,0))</f>
        <v>47.5</v>
      </c>
      <c r="N114" s="460" t="str">
        <f>IF(+All!$F841="Old Dominion",+All!N841,IF(+All!$H841="Old Dominion",+All!N841,0))</f>
        <v>South Alabama</v>
      </c>
      <c r="O114" s="462">
        <f>IF(+All!$F841="Old Dominion",+All!O841,IF(+All!$H841="Old Dominion",+All!O841,0))</f>
        <v>27</v>
      </c>
      <c r="P114" s="462" t="str">
        <f>IF(+All!$F841="Old Dominion",+All!P841,IF(+All!$H841="Old Dominion",+All!P841,0))</f>
        <v>Old Dominion</v>
      </c>
      <c r="Q114" s="461">
        <f>IF(+All!$F841="Old Dominion",+All!Q841,IF(+All!$H841="Old Dominion",+All!Q841,0))</f>
        <v>20</v>
      </c>
      <c r="R114" s="460" t="str">
        <f>IF(+All!$F841="Old Dominion",+All!R841,IF(+All!$H841="Old Dominion",+All!R841,0))</f>
        <v>Old Dominion</v>
      </c>
      <c r="S114" s="462" t="str">
        <f>IF(+All!$F841="Old Dominion",+All!S841,IF(+All!$H841="Old Dominion",+All!S841,0))</f>
        <v>South Alabama</v>
      </c>
      <c r="T114" s="460" t="str">
        <f>IF(+All!$F841="Old Dominion",+All!T841,IF(+All!$H841="Old Dominion",+All!T841,0))</f>
        <v>South Alabama</v>
      </c>
      <c r="U114" s="461" t="str">
        <f>IF(+All!$F841="Old Dominion",+All!U841,IF(+All!$H841="Old Dominion",+All!U841,0))</f>
        <v>L</v>
      </c>
      <c r="V114" s="9"/>
    </row>
    <row r="115" spans="1:22" x14ac:dyDescent="0.8">
      <c r="F115" s="897" t="str">
        <f>F117</f>
        <v>Southern Miss</v>
      </c>
      <c r="G115" s="901"/>
      <c r="H115" s="901"/>
      <c r="I115" s="902"/>
      <c r="V115" s="9"/>
    </row>
    <row r="116" spans="1:22" x14ac:dyDescent="0.8">
      <c r="A116" s="46">
        <f>IF(+All!$F74="Southern Miss",+All!A74,IF(+All!$H74="Southern Miss",+All!A74,0))</f>
        <v>1</v>
      </c>
      <c r="B116" s="348" t="str">
        <f>IF(+All!$F74="Southern Miss",+All!B74,IF(+All!$H74="Southern Miss",+All!B74,0))</f>
        <v>Sat</v>
      </c>
      <c r="C116" s="48">
        <f>IF(+All!$F74="Southern Miss",+All!C74,IF(+All!$H74="Southern Miss",+All!C74,0))</f>
        <v>44807</v>
      </c>
      <c r="D116" s="490">
        <f>IF(+All!$F74="Southern Miss",+All!D74,IF(+All!$H74="Southern Miss",+All!D74,0))</f>
        <v>0.79166666666666663</v>
      </c>
      <c r="E116" s="461">
        <f>IF(+All!$F74="Southern Miss",+All!E74,IF(+All!$H74="Southern Miss",+All!E74,0))</f>
        <v>0</v>
      </c>
      <c r="F116" s="51" t="str">
        <f>IF(+All!$F74="Southern Miss",+All!F74,IF(+All!$H74="Southern Miss",+All!F74,0))</f>
        <v>Liberty</v>
      </c>
      <c r="G116" s="52" t="str">
        <f>IF(+All!$F74="Southern Miss",+All!G74,IF(+All!$H74="Southern Miss",+All!G74,0))</f>
        <v>Ind</v>
      </c>
      <c r="H116" s="51" t="str">
        <f>IF(+All!$F74="Southern Miss",+All!H74,IF(+All!$H74="Southern Miss",+All!H74,0))</f>
        <v>Southern Miss</v>
      </c>
      <c r="I116" s="52" t="str">
        <f>IF(+All!$F74="Southern Miss",+All!I74,IF(+All!$H74="Southern Miss",+All!I74,0))</f>
        <v>SB</v>
      </c>
      <c r="J116" s="460" t="str">
        <f>IF(+All!$F74="Southern Miss",+All!J74,IF(+All!$H74="Southern Miss",+All!J74,0))</f>
        <v>Liberty</v>
      </c>
      <c r="K116" s="461" t="str">
        <f>IF(+All!$F74="Southern Miss",+All!K74,IF(+All!$H74="Southern Miss",+All!K74,0))</f>
        <v>Southern Miss</v>
      </c>
      <c r="L116" s="54">
        <f>IF(+All!$F74="Southern Miss",+All!L74,IF(+All!$H74="Southern Miss",+All!L74,0))</f>
        <v>3.5</v>
      </c>
      <c r="M116" s="55">
        <f>IF(+All!$F74="Southern Miss",+All!M74,IF(+All!$H74="Southern Miss",+All!M74,0))</f>
        <v>49.5</v>
      </c>
      <c r="N116" s="460" t="str">
        <f>IF(+All!$F74="Southern Miss",+All!N74,IF(+All!$H74="Southern Miss",+All!N74,0))</f>
        <v>Liberty</v>
      </c>
      <c r="O116" s="462">
        <f>IF(+All!$F74="Southern Miss",+All!O74,IF(+All!$H74="Southern Miss",+All!O74,0))</f>
        <v>29</v>
      </c>
      <c r="P116" s="462" t="str">
        <f>IF(+All!$F74="Southern Miss",+All!P74,IF(+All!$H74="Southern Miss",+All!P74,0))</f>
        <v>Southern Miss</v>
      </c>
      <c r="Q116" s="461">
        <f>IF(+All!$F74="Southern Miss",+All!Q74,IF(+All!$H74="Southern Miss",+All!Q74,0))</f>
        <v>27</v>
      </c>
      <c r="R116" s="460" t="str">
        <f>IF(+All!$F74="Southern Miss",+All!R74,IF(+All!$H74="Southern Miss",+All!R74,0))</f>
        <v>Southern Miss</v>
      </c>
      <c r="S116" s="462" t="str">
        <f>IF(+All!$F74="Southern Miss",+All!S74,IF(+All!$H74="Southern Miss",+All!S74,0))</f>
        <v>Liberty</v>
      </c>
      <c r="T116" s="460" t="str">
        <f>IF(+All!$F74="Southern Miss",+All!T74,IF(+All!$H74="Southern Miss",+All!T74,0))</f>
        <v>Liberty</v>
      </c>
      <c r="U116" s="461" t="str">
        <f>IF(+All!$F74="Southern Miss",+All!U74,IF(+All!$H74="Southern Miss",+All!U74,0))</f>
        <v>L</v>
      </c>
      <c r="V116" s="9"/>
    </row>
    <row r="117" spans="1:22" x14ac:dyDescent="0.8">
      <c r="A117" s="46">
        <f>IF(+All!$F110="Southern Miss",+All!A110,IF(+All!$H110="Southern Miss",+All!A110,0))</f>
        <v>2</v>
      </c>
      <c r="B117" s="348" t="str">
        <f>IF(+All!$F110="Southern Miss",+All!B110,IF(+All!$H110="Southern Miss",+All!B110,0))</f>
        <v>Sat</v>
      </c>
      <c r="C117" s="48">
        <f>IF(+All!$F110="Southern Miss",+All!C110,IF(+All!$H110="Southern Miss",+All!C110,0))</f>
        <v>44814</v>
      </c>
      <c r="D117" s="490">
        <f>IF(+All!$F110="Southern Miss",+All!D110,IF(+All!$H110="Southern Miss",+All!D110,0))</f>
        <v>0.5</v>
      </c>
      <c r="E117" s="461" t="str">
        <f>IF(+All!$F110="Southern Miss",+All!E110,IF(+All!$H110="Southern Miss",+All!E110,0))</f>
        <v>ACC</v>
      </c>
      <c r="F117" s="51" t="str">
        <f>IF(+All!$F110="Southern Miss",+All!F110,IF(+All!$H110="Southern Miss",+All!F110,0))</f>
        <v>Southern Miss</v>
      </c>
      <c r="G117" s="52" t="str">
        <f>IF(+All!$F110="Southern Miss",+All!G110,IF(+All!$H110="Southern Miss",+All!G110,0))</f>
        <v>SB</v>
      </c>
      <c r="H117" s="51" t="str">
        <f>IF(+All!$F110="Southern Miss",+All!H110,IF(+All!$H110="Southern Miss",+All!H110,0))</f>
        <v>Miami (FL)</v>
      </c>
      <c r="I117" s="52" t="str">
        <f>IF(+All!$F110="Southern Miss",+All!I110,IF(+All!$H110="Southern Miss",+All!I110,0))</f>
        <v>ACC</v>
      </c>
      <c r="J117" s="460" t="str">
        <f>IF(+All!$F110="Southern Miss",+All!J110,IF(+All!$H110="Southern Miss",+All!J110,0))</f>
        <v>Miami (FL)</v>
      </c>
      <c r="K117" s="461" t="str">
        <f>IF(+All!$F110="Southern Miss",+All!K110,IF(+All!$H110="Southern Miss",+All!K110,0))</f>
        <v>Southern Miss</v>
      </c>
      <c r="L117" s="54">
        <f>IF(+All!$F110="Southern Miss",+All!L110,IF(+All!$H110="Southern Miss",+All!L110,0))</f>
        <v>26</v>
      </c>
      <c r="M117" s="55">
        <f>IF(+All!$F110="Southern Miss",+All!M110,IF(+All!$H110="Southern Miss",+All!M110,0))</f>
        <v>54.5</v>
      </c>
      <c r="N117" s="460" t="str">
        <f>IF(+All!$F110="Southern Miss",+All!N110,IF(+All!$H110="Southern Miss",+All!N110,0))</f>
        <v>Miami (FL)</v>
      </c>
      <c r="O117" s="462">
        <f>IF(+All!$F110="Southern Miss",+All!O110,IF(+All!$H110="Southern Miss",+All!O110,0))</f>
        <v>30</v>
      </c>
      <c r="P117" s="462" t="str">
        <f>IF(+All!$F110="Southern Miss",+All!P110,IF(+All!$H110="Southern Miss",+All!P110,0))</f>
        <v>Southern Miss</v>
      </c>
      <c r="Q117" s="461">
        <f>IF(+All!$F110="Southern Miss",+All!Q110,IF(+All!$H110="Southern Miss",+All!Q110,0))</f>
        <v>7</v>
      </c>
      <c r="R117" s="460" t="str">
        <f>IF(+All!$F110="Southern Miss",+All!R110,IF(+All!$H110="Southern Miss",+All!R110,0))</f>
        <v>Southern Miss</v>
      </c>
      <c r="S117" s="462" t="str">
        <f>IF(+All!$F110="Southern Miss",+All!S110,IF(+All!$H110="Southern Miss",+All!S110,0))</f>
        <v>Miami (FL)</v>
      </c>
      <c r="T117" s="460" t="str">
        <f>IF(+All!$F110="Southern Miss",+All!T110,IF(+All!$H110="Southern Miss",+All!T110,0))</f>
        <v>Miami (FL)</v>
      </c>
      <c r="U117" s="461" t="str">
        <f>IF(+All!$F110="Southern Miss",+All!U110,IF(+All!$H110="Southern Miss",+All!U110,0))</f>
        <v>L</v>
      </c>
      <c r="V117" s="9"/>
    </row>
    <row r="118" spans="1:22" x14ac:dyDescent="0.8">
      <c r="A118" s="46">
        <f>IF(+All!$F240="Southern Miss",+All!A240,IF(+All!$H240="Southern Miss",+All!A240,0))</f>
        <v>3</v>
      </c>
      <c r="B118" s="348" t="str">
        <f>IF(+All!$F240="Southern Miss",+All!B240,IF(+All!$H240="Southern Miss",+All!B240,0))</f>
        <v>Sat</v>
      </c>
      <c r="C118" s="48">
        <f>IF(+All!$F240="Southern Miss",+All!C240,IF(+All!$H240="Southern Miss",+All!C240,0))</f>
        <v>414081</v>
      </c>
      <c r="D118" s="490">
        <f>IF(+All!$F240="Southern Miss",+All!D240,IF(+All!$H240="Southern Miss",+All!D240,0))</f>
        <v>0.79166666666666663</v>
      </c>
      <c r="E118" s="461" t="str">
        <f>IF(+All!$F240="Southern Miss",+All!E240,IF(+All!$H240="Southern Miss",+All!E240,0))</f>
        <v>espn3</v>
      </c>
      <c r="F118" s="51" t="str">
        <f>IF(+All!$F240="Southern Miss",+All!F240,IF(+All!$H240="Southern Miss",+All!F240,0))</f>
        <v>1AA Northwestern State</v>
      </c>
      <c r="G118" s="52" t="str">
        <f>IF(+All!$F240="Southern Miss",+All!G240,IF(+All!$H240="Southern Miss",+All!G240,0))</f>
        <v>1AA</v>
      </c>
      <c r="H118" s="51" t="str">
        <f>IF(+All!$F240="Southern Miss",+All!H240,IF(+All!$H240="Southern Miss",+All!H240,0))</f>
        <v>Southern Miss</v>
      </c>
      <c r="I118" s="52" t="str">
        <f>IF(+All!$F240="Southern Miss",+All!I240,IF(+All!$H240="Southern Miss",+All!I240,0))</f>
        <v>SB</v>
      </c>
      <c r="J118" s="460">
        <f>IF(+All!$F240="Southern Miss",+All!J240,IF(+All!$H240="Southern Miss",+All!J240,0))</f>
        <v>0</v>
      </c>
      <c r="K118" s="461">
        <f>IF(+All!$F240="Southern Miss",+All!K240,IF(+All!$H240="Southern Miss",+All!K240,0))</f>
        <v>0</v>
      </c>
      <c r="L118" s="54">
        <f>IF(+All!$F240="Southern Miss",+All!L240,IF(+All!$H240="Southern Miss",+All!L240,0))</f>
        <v>0</v>
      </c>
      <c r="M118" s="55">
        <f>IF(+All!$F240="Southern Miss",+All!M240,IF(+All!$H240="Southern Miss",+All!M240,0))</f>
        <v>0</v>
      </c>
      <c r="N118" s="460" t="str">
        <f>IF(+All!$F240="Southern Miss",+All!N240,IF(+All!$H240="Southern Miss",+All!N240,0))</f>
        <v>Southern Miss</v>
      </c>
      <c r="O118" s="462">
        <f>IF(+All!$F240="Southern Miss",+All!O240,IF(+All!$H240="Southern Miss",+All!O240,0))</f>
        <v>64</v>
      </c>
      <c r="P118" s="462" t="str">
        <f>IF(+All!$F240="Southern Miss",+All!P240,IF(+All!$H240="Southern Miss",+All!P240,0))</f>
        <v>1AA Northwestern State</v>
      </c>
      <c r="Q118" s="461">
        <f>IF(+All!$F240="Southern Miss",+All!Q240,IF(+All!$H240="Southern Miss",+All!Q240,0))</f>
        <v>10</v>
      </c>
      <c r="R118" s="460">
        <f>IF(+All!$F240="Southern Miss",+All!R240,IF(+All!$H240="Southern Miss",+All!R240,0))</f>
        <v>0</v>
      </c>
      <c r="S118" s="462">
        <f>IF(+All!$F240="Southern Miss",+All!S240,IF(+All!$H240="Southern Miss",+All!S240,0))</f>
        <v>0</v>
      </c>
      <c r="T118" s="460">
        <f>IF(+All!$F240="Southern Miss",+All!T240,IF(+All!$H240="Southern Miss",+All!T240,0))</f>
        <v>0</v>
      </c>
      <c r="U118" s="461">
        <f>IF(+All!$F240="Southern Miss",+All!U240,IF(+All!$H240="Southern Miss",+All!U240,0))</f>
        <v>0</v>
      </c>
      <c r="V118" s="9"/>
    </row>
    <row r="119" spans="1:22" x14ac:dyDescent="0.8">
      <c r="A119" s="46">
        <f>IF(+All!$F265="Southern Miss",+All!A265,IF(+All!$H265="Southern Miss",+All!A265,0))</f>
        <v>4</v>
      </c>
      <c r="B119" s="348" t="str">
        <f>IF(+All!$F265="Southern Miss",+All!B265,IF(+All!$H265="Southern Miss",+All!B265,0))</f>
        <v>Sat</v>
      </c>
      <c r="C119" s="48">
        <f>IF(+All!$F265="Southern Miss",+All!C265,IF(+All!$H265="Southern Miss",+All!C265,0))</f>
        <v>44828</v>
      </c>
      <c r="D119" s="490">
        <f>IF(+All!$F265="Southern Miss",+All!D265,IF(+All!$H265="Southern Miss",+All!D265,0))</f>
        <v>0.79166666666666663</v>
      </c>
      <c r="E119" s="461">
        <f>IF(+All!$F265="Southern Miss",+All!E265,IF(+All!$H265="Southern Miss",+All!E265,0))</f>
        <v>0</v>
      </c>
      <c r="F119" s="51" t="str">
        <f>IF(+All!$F265="Southern Miss",+All!F265,IF(+All!$H265="Southern Miss",+All!F265,0))</f>
        <v>Southern Miss</v>
      </c>
      <c r="G119" s="52" t="str">
        <f>IF(+All!$F265="Southern Miss",+All!G265,IF(+All!$H265="Southern Miss",+All!G265,0))</f>
        <v>SB</v>
      </c>
      <c r="H119" s="51" t="str">
        <f>IF(+All!$F265="Southern Miss",+All!H265,IF(+All!$H265="Southern Miss",+All!H265,0))</f>
        <v>Tulane</v>
      </c>
      <c r="I119" s="52" t="str">
        <f>IF(+All!$F265="Southern Miss",+All!I265,IF(+All!$H265="Southern Miss",+All!I265,0))</f>
        <v>AAC</v>
      </c>
      <c r="J119" s="460" t="str">
        <f>IF(+All!$F265="Southern Miss",+All!J265,IF(+All!$H265="Southern Miss",+All!J265,0))</f>
        <v>Tulane</v>
      </c>
      <c r="K119" s="461" t="str">
        <f>IF(+All!$F265="Southern Miss",+All!K265,IF(+All!$H265="Southern Miss",+All!K265,0))</f>
        <v>Southern Miss</v>
      </c>
      <c r="L119" s="54">
        <f>IF(+All!$F265="Southern Miss",+All!L265,IF(+All!$H265="Southern Miss",+All!L265,0))</f>
        <v>13</v>
      </c>
      <c r="M119" s="55">
        <f>IF(+All!$F265="Southern Miss",+All!M265,IF(+All!$H265="Southern Miss",+All!M265,0))</f>
        <v>48.5</v>
      </c>
      <c r="N119" s="460" t="str">
        <f>IF(+All!$F265="Southern Miss",+All!N265,IF(+All!$H265="Southern Miss",+All!N265,0))</f>
        <v>Southern Miss</v>
      </c>
      <c r="O119" s="462">
        <f>IF(+All!$F265="Southern Miss",+All!O265,IF(+All!$H265="Southern Miss",+All!O265,0))</f>
        <v>27</v>
      </c>
      <c r="P119" s="462" t="str">
        <f>IF(+All!$F265="Southern Miss",+All!P265,IF(+All!$H265="Southern Miss",+All!P265,0))</f>
        <v>Tulane</v>
      </c>
      <c r="Q119" s="461">
        <f>IF(+All!$F265="Southern Miss",+All!Q265,IF(+All!$H265="Southern Miss",+All!Q265,0))</f>
        <v>24</v>
      </c>
      <c r="R119" s="460" t="str">
        <f>IF(+All!$F265="Southern Miss",+All!R265,IF(+All!$H265="Southern Miss",+All!R265,0))</f>
        <v>Southern Miss</v>
      </c>
      <c r="S119" s="462" t="str">
        <f>IF(+All!$F265="Southern Miss",+All!S265,IF(+All!$H265="Southern Miss",+All!S265,0))</f>
        <v>Tulane</v>
      </c>
      <c r="T119" s="460" t="str">
        <f>IF(+All!$F265="Southern Miss",+All!T265,IF(+All!$H265="Southern Miss",+All!T265,0))</f>
        <v>Tulane</v>
      </c>
      <c r="U119" s="461" t="str">
        <f>IF(+All!$F265="Southern Miss",+All!U265,IF(+All!$H265="Southern Miss",+All!U265,0))</f>
        <v>L</v>
      </c>
      <c r="V119" s="9"/>
    </row>
    <row r="120" spans="1:22" x14ac:dyDescent="0.8">
      <c r="A120" s="46" t="e">
        <f>IF(+All!#REF!="Southern Miss",+All!#REF!,IF(+All!#REF!="Southern Miss",+All!#REF!,0))</f>
        <v>#REF!</v>
      </c>
      <c r="B120" s="348" t="e">
        <f>IF(+All!#REF!="Southern Miss",+All!#REF!,IF(+All!#REF!="Southern Miss",+All!#REF!,0))</f>
        <v>#REF!</v>
      </c>
      <c r="C120" s="48" t="e">
        <f>IF(+All!#REF!="Southern Miss",+All!#REF!,IF(+All!#REF!="Southern Miss",+All!#REF!,0))</f>
        <v>#REF!</v>
      </c>
      <c r="D120" s="490" t="e">
        <f>IF(+All!#REF!="Southern Miss",+All!#REF!,IF(+All!#REF!="Southern Miss",+All!#REF!,0))</f>
        <v>#REF!</v>
      </c>
      <c r="E120" s="461" t="e">
        <f>IF(+All!#REF!="Southern Miss",+All!#REF!,IF(+All!#REF!="Southern Miss",+All!#REF!,0))</f>
        <v>#REF!</v>
      </c>
      <c r="F120" s="51" t="e">
        <f>IF(+All!#REF!="Southern Miss",+All!#REF!,IF(+All!#REF!="Southern Miss",+All!#REF!,0))</f>
        <v>#REF!</v>
      </c>
      <c r="G120" s="52" t="e">
        <f>IF(+All!#REF!="Southern Miss",+All!#REF!,IF(+All!#REF!="Southern Miss",+All!#REF!,0))</f>
        <v>#REF!</v>
      </c>
      <c r="H120" s="51" t="e">
        <f>IF(+All!#REF!="Southern Miss",+All!#REF!,IF(+All!#REF!="Southern Miss",+All!#REF!,0))</f>
        <v>#REF!</v>
      </c>
      <c r="I120" s="52" t="e">
        <f>IF(+All!#REF!="Southern Miss",+All!#REF!,IF(+All!#REF!="Southern Miss",+All!#REF!,0))</f>
        <v>#REF!</v>
      </c>
      <c r="J120" s="460" t="e">
        <f>IF(+All!#REF!="Southern Miss",+All!#REF!,IF(+All!#REF!="Southern Miss",+All!#REF!,0))</f>
        <v>#REF!</v>
      </c>
      <c r="K120" s="461" t="e">
        <f>IF(+All!#REF!="Southern Miss",+All!#REF!,IF(+All!#REF!="Southern Miss",+All!#REF!,0))</f>
        <v>#REF!</v>
      </c>
      <c r="L120" s="54" t="e">
        <f>IF(+All!#REF!="Southern Miss",+All!#REF!,IF(+All!#REF!="Southern Miss",+All!#REF!,0))</f>
        <v>#REF!</v>
      </c>
      <c r="M120" s="55" t="e">
        <f>IF(+All!#REF!="Southern Miss",+All!#REF!,IF(+All!#REF!="Southern Miss",+All!#REF!,0))</f>
        <v>#REF!</v>
      </c>
      <c r="N120" s="460" t="e">
        <f>IF(+All!#REF!="Southern Miss",+All!#REF!,IF(+All!#REF!="Southern Miss",+All!#REF!,0))</f>
        <v>#REF!</v>
      </c>
      <c r="O120" s="462" t="e">
        <f>IF(+All!#REF!="Southern Miss",+All!#REF!,IF(+All!#REF!="Southern Miss",+All!#REF!,0))</f>
        <v>#REF!</v>
      </c>
      <c r="P120" s="462" t="e">
        <f>IF(+All!#REF!="Southern Miss",+All!#REF!,IF(+All!#REF!="Southern Miss",+All!#REF!,0))</f>
        <v>#REF!</v>
      </c>
      <c r="Q120" s="461" t="e">
        <f>IF(+All!#REF!="Southern Miss",+All!#REF!,IF(+All!#REF!="Southern Miss",+All!#REF!,0))</f>
        <v>#REF!</v>
      </c>
      <c r="R120" s="460" t="e">
        <f>IF(+All!#REF!="Southern Miss",+All!#REF!,IF(+All!#REF!="Southern Miss",+All!#REF!,0))</f>
        <v>#REF!</v>
      </c>
      <c r="S120" s="462" t="e">
        <f>IF(+All!#REF!="Southern Miss",+All!#REF!,IF(+All!#REF!="Southern Miss",+All!#REF!,0))</f>
        <v>#REF!</v>
      </c>
      <c r="T120" s="460" t="e">
        <f>IF(+All!#REF!="Southern Miss",+All!#REF!,IF(+All!#REF!="Southern Miss",+All!#REF!,0))</f>
        <v>#REF!</v>
      </c>
      <c r="U120" s="461" t="e">
        <f>IF(+All!#REF!="Southern Miss",+All!#REF!,IF(+All!#REF!="Southern Miss",+All!#REF!,0))</f>
        <v>#REF!</v>
      </c>
      <c r="V120" s="9"/>
    </row>
    <row r="121" spans="1:22" x14ac:dyDescent="0.8">
      <c r="A121" s="46">
        <f>IF(+All!$F429="Southern Miss",+All!A429,IF(+All!$H429="Southern Miss",+All!A429,0))</f>
        <v>6</v>
      </c>
      <c r="B121" s="348" t="str">
        <f>IF(+All!$F429="Southern Miss",+All!B429,IF(+All!$H429="Southern Miss",+All!B429,0))</f>
        <v>Sat</v>
      </c>
      <c r="C121" s="48">
        <f>IF(+All!$F429="Southern Miss",+All!C429,IF(+All!$H429="Southern Miss",+All!C429,0))</f>
        <v>44842</v>
      </c>
      <c r="D121" s="490">
        <f>IF(+All!$F429="Southern Miss",+All!D429,IF(+All!$H429="Southern Miss",+All!D429,0))</f>
        <v>0.79166666666666663</v>
      </c>
      <c r="E121" s="461">
        <f>IF(+All!$F429="Southern Miss",+All!E429,IF(+All!$H429="Southern Miss",+All!E429,0))</f>
        <v>0</v>
      </c>
      <c r="F121" s="51" t="str">
        <f>IF(+All!$F429="Southern Miss",+All!F429,IF(+All!$H429="Southern Miss",+All!F429,0))</f>
        <v>Southern Miss</v>
      </c>
      <c r="G121" s="52" t="str">
        <f>IF(+All!$F429="Southern Miss",+All!G429,IF(+All!$H429="Southern Miss",+All!G429,0))</f>
        <v>SB</v>
      </c>
      <c r="H121" s="51" t="str">
        <f>IF(+All!$F429="Southern Miss",+All!H429,IF(+All!$H429="Southern Miss",+All!H429,0))</f>
        <v>Troy</v>
      </c>
      <c r="I121" s="52" t="str">
        <f>IF(+All!$F429="Southern Miss",+All!I429,IF(+All!$H429="Southern Miss",+All!I429,0))</f>
        <v>SB</v>
      </c>
      <c r="J121" s="460" t="str">
        <f>IF(+All!$F429="Southern Miss",+All!J429,IF(+All!$H429="Southern Miss",+All!J429,0))</f>
        <v>Troy</v>
      </c>
      <c r="K121" s="461" t="str">
        <f>IF(+All!$F429="Southern Miss",+All!K429,IF(+All!$H429="Southern Miss",+All!K429,0))</f>
        <v>Southern Miss</v>
      </c>
      <c r="L121" s="54">
        <f>IF(+All!$F429="Southern Miss",+All!L429,IF(+All!$H429="Southern Miss",+All!L429,0))</f>
        <v>6.5</v>
      </c>
      <c r="M121" s="55">
        <f>IF(+All!$F429="Southern Miss",+All!M429,IF(+All!$H429="Southern Miss",+All!M429,0))</f>
        <v>44.5</v>
      </c>
      <c r="N121" s="460" t="str">
        <f>IF(+All!$F429="Southern Miss",+All!N429,IF(+All!$H429="Southern Miss",+All!N429,0))</f>
        <v>Troy</v>
      </c>
      <c r="O121" s="462">
        <f>IF(+All!$F429="Southern Miss",+All!O429,IF(+All!$H429="Southern Miss",+All!O429,0))</f>
        <v>27</v>
      </c>
      <c r="P121" s="462" t="str">
        <f>IF(+All!$F429="Southern Miss",+All!P429,IF(+All!$H429="Southern Miss",+All!P429,0))</f>
        <v>Southern Miss</v>
      </c>
      <c r="Q121" s="461">
        <f>IF(+All!$F429="Southern Miss",+All!Q429,IF(+All!$H429="Southern Miss",+All!Q429,0))</f>
        <v>10</v>
      </c>
      <c r="R121" s="460" t="str">
        <f>IF(+All!$F429="Southern Miss",+All!R429,IF(+All!$H429="Southern Miss",+All!R429,0))</f>
        <v>Troy</v>
      </c>
      <c r="S121" s="462" t="str">
        <f>IF(+All!$F429="Southern Miss",+All!S429,IF(+All!$H429="Southern Miss",+All!S429,0))</f>
        <v>Southern Miss</v>
      </c>
      <c r="T121" s="460" t="str">
        <f>IF(+All!$F429="Southern Miss",+All!T429,IF(+All!$H429="Southern Miss",+All!T429,0))</f>
        <v>Southern Miss</v>
      </c>
      <c r="U121" s="461" t="str">
        <f>IF(+All!$F429="Southern Miss",+All!U429,IF(+All!$H429="Southern Miss",+All!U429,0))</f>
        <v>L</v>
      </c>
      <c r="V121" s="9"/>
    </row>
    <row r="122" spans="1:22" x14ac:dyDescent="0.8">
      <c r="A122" s="46">
        <f>IF(+All!$F484="Southern Miss",+All!A484,IF(+All!$H484="Southern Miss",+All!A484,0))</f>
        <v>7</v>
      </c>
      <c r="B122" s="348" t="str">
        <f>IF(+All!$F484="Southern Miss",+All!B484,IF(+All!$H484="Southern Miss",+All!B484,0))</f>
        <v>Sat</v>
      </c>
      <c r="C122" s="48">
        <f>IF(+All!$F484="Southern Miss",+All!C484,IF(+All!$H484="Southern Miss",+All!C484,0))</f>
        <v>44849</v>
      </c>
      <c r="D122" s="490">
        <f>IF(+All!$F484="Southern Miss",+All!D484,IF(+All!$H484="Southern Miss",+All!D484,0))</f>
        <v>0.79166666666666663</v>
      </c>
      <c r="E122" s="461">
        <f>IF(+All!$F484="Southern Miss",+All!E484,IF(+All!$H484="Southern Miss",+All!E484,0))</f>
        <v>0</v>
      </c>
      <c r="F122" s="51" t="str">
        <f>IF(+All!$F484="Southern Miss",+All!F484,IF(+All!$H484="Southern Miss",+All!F484,0))</f>
        <v>Arkansas State</v>
      </c>
      <c r="G122" s="52" t="str">
        <f>IF(+All!$F484="Southern Miss",+All!G484,IF(+All!$H484="Southern Miss",+All!G484,0))</f>
        <v>SB</v>
      </c>
      <c r="H122" s="51" t="str">
        <f>IF(+All!$F484="Southern Miss",+All!H484,IF(+All!$H484="Southern Miss",+All!H484,0))</f>
        <v>Southern Miss</v>
      </c>
      <c r="I122" s="52" t="str">
        <f>IF(+All!$F484="Southern Miss",+All!I484,IF(+All!$H484="Southern Miss",+All!I484,0))</f>
        <v>SB</v>
      </c>
      <c r="J122" s="460" t="str">
        <f>IF(+All!$F484="Southern Miss",+All!J484,IF(+All!$H484="Southern Miss",+All!J484,0))</f>
        <v>Southern Miss</v>
      </c>
      <c r="K122" s="461" t="str">
        <f>IF(+All!$F484="Southern Miss",+All!K484,IF(+All!$H484="Southern Miss",+All!K484,0))</f>
        <v>Arkansas State</v>
      </c>
      <c r="L122" s="54">
        <f>IF(+All!$F484="Southern Miss",+All!L484,IF(+All!$H484="Southern Miss",+All!L484,0))</f>
        <v>3.5</v>
      </c>
      <c r="M122" s="55">
        <f>IF(+All!$F484="Southern Miss",+All!M484,IF(+All!$H484="Southern Miss",+All!M484,0))</f>
        <v>54.5</v>
      </c>
      <c r="N122" s="460" t="str">
        <f>IF(+All!$F484="Southern Miss",+All!N484,IF(+All!$H484="Southern Miss",+All!N484,0))</f>
        <v>Southern Miss</v>
      </c>
      <c r="O122" s="462">
        <f>IF(+All!$F484="Southern Miss",+All!O484,IF(+All!$H484="Southern Miss",+All!O484,0))</f>
        <v>20</v>
      </c>
      <c r="P122" s="462" t="str">
        <f>IF(+All!$F484="Southern Miss",+All!P484,IF(+All!$H484="Southern Miss",+All!P484,0))</f>
        <v>Arkansas State</v>
      </c>
      <c r="Q122" s="461">
        <f>IF(+All!$F484="Southern Miss",+All!Q484,IF(+All!$H484="Southern Miss",+All!Q484,0))</f>
        <v>19</v>
      </c>
      <c r="R122" s="460" t="str">
        <f>IF(+All!$F484="Southern Miss",+All!R484,IF(+All!$H484="Southern Miss",+All!R484,0))</f>
        <v>Arkansas State</v>
      </c>
      <c r="S122" s="462" t="str">
        <f>IF(+All!$F484="Southern Miss",+All!S484,IF(+All!$H484="Southern Miss",+All!S484,0))</f>
        <v>Southern Miss</v>
      </c>
      <c r="T122" s="460" t="str">
        <f>IF(+All!$F484="Southern Miss",+All!T484,IF(+All!$H484="Southern Miss",+All!T484,0))</f>
        <v>Arkansas State</v>
      </c>
      <c r="U122" s="461" t="str">
        <f>IF(+All!$F484="Southern Miss",+All!U484,IF(+All!$H484="Southern Miss",+All!U484,0))</f>
        <v>W</v>
      </c>
      <c r="V122" s="9"/>
    </row>
    <row r="123" spans="1:22" x14ac:dyDescent="0.8">
      <c r="A123" s="46">
        <f>IF(+All!$F493="Southern Miss",+All!A493,IF(+All!$H493="Southern Miss",+All!A493,0))</f>
        <v>0</v>
      </c>
      <c r="B123" s="348">
        <f>IF(+All!$F493="Southern Miss",+All!B493,IF(+All!$H493="Southern Miss",+All!B493,0))</f>
        <v>0</v>
      </c>
      <c r="C123" s="48">
        <f>IF(+All!$F493="Southern Miss",+All!C493,IF(+All!$H493="Southern Miss",+All!C493,0))</f>
        <v>0</v>
      </c>
      <c r="D123" s="490">
        <f>IF(+All!$F493="Southern Miss",+All!D493,IF(+All!$H493="Southern Miss",+All!D493,0))</f>
        <v>0</v>
      </c>
      <c r="E123" s="461">
        <f>IF(+All!$F493="Southern Miss",+All!E493,IF(+All!$H493="Southern Miss",+All!E493,0))</f>
        <v>0</v>
      </c>
      <c r="F123" s="51">
        <f>IF(+All!$F493="Southern Miss",+All!F493,IF(+All!$H493="Southern Miss",+All!F493,0))</f>
        <v>0</v>
      </c>
      <c r="G123" s="52">
        <f>IF(+All!$F493="Southern Miss",+All!G493,IF(+All!$H493="Southern Miss",+All!G493,0))</f>
        <v>0</v>
      </c>
      <c r="H123" s="51">
        <f>IF(+All!$F493="Southern Miss",+All!H493,IF(+All!$H493="Southern Miss",+All!H493,0))</f>
        <v>0</v>
      </c>
      <c r="I123" s="52">
        <f>IF(+All!$F493="Southern Miss",+All!I493,IF(+All!$H493="Southern Miss",+All!I493,0))</f>
        <v>0</v>
      </c>
      <c r="J123" s="460">
        <f>IF(+All!$F493="Southern Miss",+All!J493,IF(+All!$H493="Southern Miss",+All!J493,0))</f>
        <v>0</v>
      </c>
      <c r="K123" s="461">
        <f>IF(+All!$F493="Southern Miss",+All!K493,IF(+All!$H493="Southern Miss",+All!K493,0))</f>
        <v>0</v>
      </c>
      <c r="L123" s="54">
        <f>IF(+All!$F493="Southern Miss",+All!L493,IF(+All!$H493="Southern Miss",+All!L493,0))</f>
        <v>0</v>
      </c>
      <c r="M123" s="55">
        <f>IF(+All!$F493="Southern Miss",+All!M493,IF(+All!$H493="Southern Miss",+All!M493,0))</f>
        <v>0</v>
      </c>
      <c r="N123" s="460">
        <f>IF(+All!$F493="Southern Miss",+All!N493,IF(+All!$H493="Southern Miss",+All!N493,0))</f>
        <v>0</v>
      </c>
      <c r="O123" s="462">
        <f>IF(+All!$F493="Southern Miss",+All!O493,IF(+All!$H493="Southern Miss",+All!O493,0))</f>
        <v>0</v>
      </c>
      <c r="P123" s="462">
        <f>IF(+All!$F493="Southern Miss",+All!P493,IF(+All!$H493="Southern Miss",+All!P493,0))</f>
        <v>0</v>
      </c>
      <c r="Q123" s="461">
        <f>IF(+All!$F493="Southern Miss",+All!Q493,IF(+All!$H493="Southern Miss",+All!Q493,0))</f>
        <v>0</v>
      </c>
      <c r="R123" s="460">
        <f>IF(+All!$F493="Southern Miss",+All!R493,IF(+All!$H493="Southern Miss",+All!R493,0))</f>
        <v>0</v>
      </c>
      <c r="S123" s="462">
        <f>IF(+All!$F493="Southern Miss",+All!S493,IF(+All!$H493="Southern Miss",+All!S493,0))</f>
        <v>0</v>
      </c>
      <c r="T123" s="460">
        <f>IF(+All!$F493="Southern Miss",+All!T493,IF(+All!$H493="Southern Miss",+All!T493,0))</f>
        <v>0</v>
      </c>
      <c r="U123" s="461">
        <f>IF(+All!$F493="Southern Miss",+All!U493,IF(+All!$H493="Southern Miss",+All!U493,0))</f>
        <v>0</v>
      </c>
      <c r="V123" s="9"/>
    </row>
    <row r="124" spans="1:22" x14ac:dyDescent="0.8">
      <c r="A124" s="46">
        <f>IF(+All!$F547="Southern Miss",+All!A547,IF(+All!$H547="Southern Miss",+All!A547,0))</f>
        <v>9</v>
      </c>
      <c r="B124" s="348" t="str">
        <f>IF(+All!$F547="Southern Miss",+All!B547,IF(+All!$H547="Southern Miss",+All!B547,0))</f>
        <v>Thurs</v>
      </c>
      <c r="C124" s="48">
        <f>IF(+All!$F547="Southern Miss",+All!C547,IF(+All!$H547="Southern Miss",+All!C547,0))</f>
        <v>44861</v>
      </c>
      <c r="D124" s="490">
        <f>IF(+All!$F547="Southern Miss",+All!D547,IF(+All!$H547="Southern Miss",+All!D547,0))</f>
        <v>0.8125</v>
      </c>
      <c r="E124" s="461" t="str">
        <f>IF(+All!$F547="Southern Miss",+All!E547,IF(+All!$H547="Southern Miss",+All!E547,0))</f>
        <v>ESPN2</v>
      </c>
      <c r="F124" s="51" t="str">
        <f>IF(+All!$F547="Southern Miss",+All!F547,IF(+All!$H547="Southern Miss",+All!F547,0))</f>
        <v>UL Lafayette</v>
      </c>
      <c r="G124" s="52" t="str">
        <f>IF(+All!$F547="Southern Miss",+All!G547,IF(+All!$H547="Southern Miss",+All!G547,0))</f>
        <v>SB</v>
      </c>
      <c r="H124" s="51" t="str">
        <f>IF(+All!$F547="Southern Miss",+All!H547,IF(+All!$H547="Southern Miss",+All!H547,0))</f>
        <v>Southern Miss</v>
      </c>
      <c r="I124" s="52" t="str">
        <f>IF(+All!$F547="Southern Miss",+All!I547,IF(+All!$H547="Southern Miss",+All!I547,0))</f>
        <v>SB</v>
      </c>
      <c r="J124" s="460" t="str">
        <f>IF(+All!$F547="Southern Miss",+All!J547,IF(+All!$H547="Southern Miss",+All!J547,0))</f>
        <v>Southern Miss</v>
      </c>
      <c r="K124" s="461" t="str">
        <f>IF(+All!$F547="Southern Miss",+All!K547,IF(+All!$H547="Southern Miss",+All!K547,0))</f>
        <v>UL Lafayette</v>
      </c>
      <c r="L124" s="54">
        <f>IF(+All!$F547="Southern Miss",+All!L547,IF(+All!$H547="Southern Miss",+All!L547,0))</f>
        <v>1</v>
      </c>
      <c r="M124" s="55">
        <f>IF(+All!$F547="Southern Miss",+All!M547,IF(+All!$H547="Southern Miss",+All!M547,0))</f>
        <v>43</v>
      </c>
      <c r="N124" s="460" t="str">
        <f>IF(+All!$F547="Southern Miss",+All!N547,IF(+All!$H547="Southern Miss",+All!N547,0))</f>
        <v>Southern Miss</v>
      </c>
      <c r="O124" s="462">
        <f>IF(+All!$F547="Southern Miss",+All!O547,IF(+All!$H547="Southern Miss",+All!O547,0))</f>
        <v>39</v>
      </c>
      <c r="P124" s="462" t="str">
        <f>IF(+All!$F547="Southern Miss",+All!P547,IF(+All!$H547="Southern Miss",+All!P547,0))</f>
        <v>UL Lafayette</v>
      </c>
      <c r="Q124" s="461">
        <f>IF(+All!$F547="Southern Miss",+All!Q547,IF(+All!$H547="Southern Miss",+All!Q547,0))</f>
        <v>24</v>
      </c>
      <c r="R124" s="460" t="str">
        <f>IF(+All!$F547="Southern Miss",+All!R547,IF(+All!$H547="Southern Miss",+All!R547,0))</f>
        <v>Southern Miss</v>
      </c>
      <c r="S124" s="462" t="str">
        <f>IF(+All!$F547="Southern Miss",+All!S547,IF(+All!$H547="Southern Miss",+All!S547,0))</f>
        <v>UL Lafayette</v>
      </c>
      <c r="T124" s="460" t="str">
        <f>IF(+All!$F547="Southern Miss",+All!T547,IF(+All!$H547="Southern Miss",+All!T547,0))</f>
        <v>Southern Miss</v>
      </c>
      <c r="U124" s="461" t="str">
        <f>IF(+All!$F547="Southern Miss",+All!U547,IF(+All!$H547="Southern Miss",+All!U547,0))</f>
        <v>W</v>
      </c>
      <c r="V124" s="9"/>
    </row>
    <row r="125" spans="1:22" x14ac:dyDescent="0.8">
      <c r="A125" s="46">
        <f>IF(+All!$F643="Southern Miss",+All!A643,IF(+All!$H643="Southern Miss",+All!A643,0))</f>
        <v>10</v>
      </c>
      <c r="B125" s="348" t="str">
        <f>IF(+All!$F643="Southern Miss",+All!B643,IF(+All!$H643="Southern Miss",+All!B643,0))</f>
        <v>Sat</v>
      </c>
      <c r="C125" s="48">
        <f>IF(+All!$F643="Southern Miss",+All!C643,IF(+All!$H643="Southern Miss",+All!C643,0))</f>
        <v>44870</v>
      </c>
      <c r="D125" s="490">
        <f>IF(+All!$F643="Southern Miss",+All!D643,IF(+All!$H643="Southern Miss",+All!D643,0))</f>
        <v>0.625</v>
      </c>
      <c r="E125" s="461">
        <f>IF(+All!$F643="Southern Miss",+All!E643,IF(+All!$H643="Southern Miss",+All!E643,0))</f>
        <v>0</v>
      </c>
      <c r="F125" s="51" t="str">
        <f>IF(+All!$F643="Southern Miss",+All!F643,IF(+All!$H643="Southern Miss",+All!F643,0))</f>
        <v>Georgia State</v>
      </c>
      <c r="G125" s="52" t="str">
        <f>IF(+All!$F643="Southern Miss",+All!G643,IF(+All!$H643="Southern Miss",+All!G643,0))</f>
        <v>SB</v>
      </c>
      <c r="H125" s="51" t="str">
        <f>IF(+All!$F643="Southern Miss",+All!H643,IF(+All!$H643="Southern Miss",+All!H643,0))</f>
        <v>Southern Miss</v>
      </c>
      <c r="I125" s="52" t="str">
        <f>IF(+All!$F643="Southern Miss",+All!I643,IF(+All!$H643="Southern Miss",+All!I643,0))</f>
        <v>SB</v>
      </c>
      <c r="J125" s="460" t="str">
        <f>IF(+All!$F643="Southern Miss",+All!J643,IF(+All!$H643="Southern Miss",+All!J643,0))</f>
        <v>Southern Miss</v>
      </c>
      <c r="K125" s="461" t="str">
        <f>IF(+All!$F643="Southern Miss",+All!K643,IF(+All!$H643="Southern Miss",+All!K643,0))</f>
        <v>Georgia State</v>
      </c>
      <c r="L125" s="54">
        <f>IF(+All!$F643="Southern Miss",+All!L643,IF(+All!$H643="Southern Miss",+All!L643,0))</f>
        <v>2.5</v>
      </c>
      <c r="M125" s="55">
        <f>IF(+All!$F643="Southern Miss",+All!M643,IF(+All!$H643="Southern Miss",+All!M643,0))</f>
        <v>48.5</v>
      </c>
      <c r="N125" s="460" t="str">
        <f>IF(+All!$F643="Southern Miss",+All!N643,IF(+All!$H643="Southern Miss",+All!N643,0))</f>
        <v>Georgia State</v>
      </c>
      <c r="O125" s="462">
        <f>IF(+All!$F643="Southern Miss",+All!O643,IF(+All!$H643="Southern Miss",+All!O643,0))</f>
        <v>42</v>
      </c>
      <c r="P125" s="462" t="str">
        <f>IF(+All!$F643="Southern Miss",+All!P643,IF(+All!$H643="Southern Miss",+All!P643,0))</f>
        <v>Southern Miss</v>
      </c>
      <c r="Q125" s="461">
        <f>IF(+All!$F643="Southern Miss",+All!Q643,IF(+All!$H643="Southern Miss",+All!Q643,0))</f>
        <v>14</v>
      </c>
      <c r="R125" s="460" t="str">
        <f>IF(+All!$F643="Southern Miss",+All!R643,IF(+All!$H643="Southern Miss",+All!R643,0))</f>
        <v>Georgia State</v>
      </c>
      <c r="S125" s="462" t="str">
        <f>IF(+All!$F643="Southern Miss",+All!S643,IF(+All!$H643="Southern Miss",+All!S643,0))</f>
        <v>Southern Miss</v>
      </c>
      <c r="T125" s="460" t="str">
        <f>IF(+All!$F643="Southern Miss",+All!T643,IF(+All!$H643="Southern Miss",+All!T643,0))</f>
        <v>Southern Miss</v>
      </c>
      <c r="U125" s="461" t="str">
        <f>IF(+All!$F643="Southern Miss",+All!U643,IF(+All!$H643="Southern Miss",+All!U643,0))</f>
        <v>L</v>
      </c>
      <c r="V125" s="9"/>
    </row>
    <row r="126" spans="1:22" s="75" customFormat="1" x14ac:dyDescent="0.8">
      <c r="A126" s="46">
        <f>IF(+All!$F705="Southern Miss",+All!A705,IF(+All!$H705="Southern Miss",+All!A705,0))</f>
        <v>11</v>
      </c>
      <c r="B126" s="348">
        <f>IF(+All!$F644="Southern Miss",+All!B644,IF(+All!$H644="Southern Miss",+All!B644,0))</f>
        <v>0</v>
      </c>
      <c r="C126" s="48">
        <f>IF(+All!$F644="Southern Miss",+All!C644,IF(+All!$H644="Southern Miss",+All!C644,0))</f>
        <v>0</v>
      </c>
      <c r="D126" s="490">
        <f>IF(+All!$F644="Southern Miss",+All!D644,IF(+All!$H644="Southern Miss",+All!D644,0))</f>
        <v>0</v>
      </c>
      <c r="E126" s="461">
        <f>IF(+All!$F644="Southern Miss",+All!E644,IF(+All!$H644="Southern Miss",+All!E644,0))</f>
        <v>0</v>
      </c>
      <c r="F126" s="51" t="str">
        <f>IF(+All!$F705="Southern Miss",+All!F705,IF(+All!$H705="Southern Miss",+All!F705,0))</f>
        <v>Southern Miss</v>
      </c>
      <c r="G126" s="52" t="str">
        <f>IF(+All!$F705="Southern Miss",+All!G705,IF(+All!$H705="Southern Miss",+All!G705,0))</f>
        <v>SB</v>
      </c>
      <c r="H126" s="51" t="str">
        <f>IF(+All!$F705="Southern Miss",+All!H705,IF(+All!$H705="Southern Miss",+All!H705,0))</f>
        <v>Coastal Carolina</v>
      </c>
      <c r="I126" s="52" t="str">
        <f>IF(+All!$F705="Southern Miss",+All!I705,IF(+All!$H705="Southern Miss",+All!I705,0))</f>
        <v>SB</v>
      </c>
      <c r="J126" s="460" t="str">
        <f>IF(+All!$F705="Southern Miss",+All!J705,IF(+All!$H705="Southern Miss",+All!J705,0))</f>
        <v>Coastal Carolina</v>
      </c>
      <c r="K126" s="461" t="str">
        <f>IF(+All!$F705="Southern Miss",+All!K705,IF(+All!$H705="Southern Miss",+All!K705,0))</f>
        <v>Southern Miss</v>
      </c>
      <c r="L126" s="54">
        <f>IF(+All!$F705="Southern Miss",+All!L705,IF(+All!$H705="Southern Miss",+All!L705,0))</f>
        <v>4.5</v>
      </c>
      <c r="M126" s="55">
        <f>IF(+All!$F705="Southern Miss",+All!M705,IF(+All!$H705="Southern Miss",+All!M705,0))</f>
        <v>48</v>
      </c>
      <c r="N126" s="460" t="str">
        <f>IF(+All!$F705="Southern Miss",+All!N705,IF(+All!$H705="Southern Miss",+All!N705,0))</f>
        <v>Coastal Carolina</v>
      </c>
      <c r="O126" s="462">
        <f>IF(+All!$F705="Southern Miss",+All!O705,IF(+All!$H705="Southern Miss",+All!O705,0))</f>
        <v>26</v>
      </c>
      <c r="P126" s="462" t="str">
        <f>IF(+All!$F705="Southern Miss",+All!P705,IF(+All!$H705="Southern Miss",+All!P705,0))</f>
        <v>Southern Miss</v>
      </c>
      <c r="Q126" s="461">
        <f>IF(+All!$F705="Southern Miss",+All!Q705,IF(+All!$H705="Southern Miss",+All!Q705,0))</f>
        <v>23</v>
      </c>
      <c r="R126" s="460" t="str">
        <f>IF(+All!$F705="Southern Miss",+All!R705,IF(+All!$H705="Southern Miss",+All!R705,0))</f>
        <v>Southern Miss</v>
      </c>
      <c r="S126" s="462" t="str">
        <f>IF(+All!$F705="Southern Miss",+All!S705,IF(+All!$H705="Southern Miss",+All!S705,0))</f>
        <v>Coastal Carolina</v>
      </c>
      <c r="T126" s="460" t="str">
        <f>IF(+All!$F705="Southern Miss",+All!T705,IF(+All!$H705="Southern Miss",+All!T705,0))</f>
        <v>Coastal Carolina</v>
      </c>
      <c r="U126" s="461" t="str">
        <f>IF(+All!$F705="Southern Miss",+All!U705,IF(+All!$H705="Southern Miss",+All!U705,0))</f>
        <v>L</v>
      </c>
      <c r="V126" s="482"/>
    </row>
    <row r="127" spans="1:22" s="75" customFormat="1" x14ac:dyDescent="0.8">
      <c r="A127" s="46">
        <f>IF(+All!$F772="Southern Miss",+All!A772,IF(+All!$H772="Southern Miss",+All!A772,0))</f>
        <v>12</v>
      </c>
      <c r="B127" s="348" t="str">
        <f>IF(+All!$F772="Southern Miss",+All!B772,IF(+All!$H772="Southern Miss",+All!B772,0))</f>
        <v>Sat</v>
      </c>
      <c r="C127" s="48">
        <f>IF(+All!$F772="Southern Miss",+All!C772,IF(+All!$H772="Southern Miss",+All!C772,0))</f>
        <v>44884</v>
      </c>
      <c r="D127" s="490">
        <f>IF(+All!$F772="Southern Miss",+All!D772,IF(+All!$H772="Southern Miss",+All!D772,0))</f>
        <v>0.64583333333333337</v>
      </c>
      <c r="E127" s="461" t="str">
        <f>IF(+All!$F772="Southern Miss",+All!E772,IF(+All!$H772="Southern Miss",+All!E772,0))</f>
        <v>NFL</v>
      </c>
      <c r="F127" s="51" t="str">
        <f>IF(+All!$F772="Southern Miss",+All!F772,IF(+All!$H772="Southern Miss",+All!F772,0))</f>
        <v>South Alabama</v>
      </c>
      <c r="G127" s="52" t="str">
        <f>IF(+All!$F772="Southern Miss",+All!G772,IF(+All!$H772="Southern Miss",+All!G772,0))</f>
        <v>SB</v>
      </c>
      <c r="H127" s="51" t="str">
        <f>IF(+All!$F772="Southern Miss",+All!H772,IF(+All!$H772="Southern Miss",+All!H772,0))</f>
        <v>Southern Miss</v>
      </c>
      <c r="I127" s="52" t="str">
        <f>IF(+All!$F772="Southern Miss",+All!I772,IF(+All!$H772="Southern Miss",+All!I772,0))</f>
        <v>SB</v>
      </c>
      <c r="J127" s="460" t="str">
        <f>IF(+All!$F772="Southern Miss",+All!J772,IF(+All!$H772="Southern Miss",+All!J772,0))</f>
        <v>South Alabama</v>
      </c>
      <c r="K127" s="461" t="str">
        <f>IF(+All!$F772="Southern Miss",+All!K772,IF(+All!$H772="Southern Miss",+All!K772,0))</f>
        <v>Southern Miss</v>
      </c>
      <c r="L127" s="54">
        <f>IF(+All!$F772="Southern Miss",+All!L772,IF(+All!$H772="Southern Miss",+All!L772,0))</f>
        <v>7.5</v>
      </c>
      <c r="M127" s="55">
        <f>IF(+All!$F772="Southern Miss",+All!M772,IF(+All!$H772="Southern Miss",+All!M772,0))</f>
        <v>45.5</v>
      </c>
      <c r="N127" s="460" t="str">
        <f>IF(+All!$F772="Southern Miss",+All!N772,IF(+All!$H772="Southern Miss",+All!N772,0))</f>
        <v>South Alabama</v>
      </c>
      <c r="O127" s="462">
        <f>IF(+All!$F772="Southern Miss",+All!O772,IF(+All!$H772="Southern Miss",+All!O772,0))</f>
        <v>27</v>
      </c>
      <c r="P127" s="462" t="str">
        <f>IF(+All!$F772="Southern Miss",+All!P772,IF(+All!$H772="Southern Miss",+All!P772,0))</f>
        <v>Southern Miss</v>
      </c>
      <c r="Q127" s="461">
        <f>IF(+All!$F772="Southern Miss",+All!Q772,IF(+All!$H772="Southern Miss",+All!Q772,0))</f>
        <v>20</v>
      </c>
      <c r="R127" s="460" t="str">
        <f>IF(+All!$F772="Southern Miss",+All!R772,IF(+All!$H772="Southern Miss",+All!R772,0))</f>
        <v>Southern Miss</v>
      </c>
      <c r="S127" s="462" t="str">
        <f>IF(+All!$F772="Southern Miss",+All!S772,IF(+All!$H772="Southern Miss",+All!S772,0))</f>
        <v>South Alabama</v>
      </c>
      <c r="T127" s="460" t="str">
        <f>IF(+All!$F772="Southern Miss",+All!T772,IF(+All!$H772="Southern Miss",+All!T772,0))</f>
        <v>South Alabama</v>
      </c>
      <c r="U127" s="461" t="str">
        <f>IF(+All!$F772="Southern Miss",+All!U772,IF(+All!$H772="Southern Miss",+All!U772,0))</f>
        <v>L</v>
      </c>
      <c r="V127" s="482"/>
    </row>
    <row r="128" spans="1:22" x14ac:dyDescent="0.8">
      <c r="A128" s="46">
        <f>IF(+All!$F843="Southern Miss",+All!A843,IF(+All!$H843="Southern Miss",+All!A843,0))</f>
        <v>13</v>
      </c>
      <c r="B128" s="348" t="str">
        <f>IF(+All!$F843="Southern Miss",+All!B843,IF(+All!$H843="Southern Miss",+All!B843,0))</f>
        <v>Sat</v>
      </c>
      <c r="C128" s="48">
        <f>IF(+All!$F843="Southern Miss",+All!C843,IF(+All!$H843="Southern Miss",+All!C843,0))</f>
        <v>44891</v>
      </c>
      <c r="D128" s="490">
        <f>IF(+All!$F843="Southern Miss",+All!D843,IF(+All!$H843="Southern Miss",+All!D843,0))</f>
        <v>0.70833333333333337</v>
      </c>
      <c r="E128" s="461">
        <f>IF(+All!$F843="Southern Miss",+All!E843,IF(+All!$H843="Southern Miss",+All!E843,0))</f>
        <v>0</v>
      </c>
      <c r="F128" s="51" t="str">
        <f>IF(+All!$F843="Southern Miss",+All!F843,IF(+All!$H843="Southern Miss",+All!F843,0))</f>
        <v>Southern Miss</v>
      </c>
      <c r="G128" s="52" t="str">
        <f>IF(+All!$F843="Southern Miss",+All!G843,IF(+All!$H843="Southern Miss",+All!G843,0))</f>
        <v>SB</v>
      </c>
      <c r="H128" s="51" t="str">
        <f>IF(+All!$F843="Southern Miss",+All!H843,IF(+All!$H843="Southern Miss",+All!H843,0))</f>
        <v>UL Monroe</v>
      </c>
      <c r="I128" s="52" t="str">
        <f>IF(+All!$F843="Southern Miss",+All!I843,IF(+All!$H843="Southern Miss",+All!I843,0))</f>
        <v>SB</v>
      </c>
      <c r="J128" s="460" t="str">
        <f>IF(+All!$F843="Southern Miss",+All!J843,IF(+All!$H843="Southern Miss",+All!J843,0))</f>
        <v>Southern Miss</v>
      </c>
      <c r="K128" s="461" t="str">
        <f>IF(+All!$F843="Southern Miss",+All!K843,IF(+All!$H843="Southern Miss",+All!K843,0))</f>
        <v>UL Monroe</v>
      </c>
      <c r="L128" s="54">
        <f>IF(+All!$F843="Southern Miss",+All!L843,IF(+All!$H843="Southern Miss",+All!L843,0))</f>
        <v>3.5</v>
      </c>
      <c r="M128" s="55">
        <f>IF(+All!$F843="Southern Miss",+All!M843,IF(+All!$H843="Southern Miss",+All!M843,0))</f>
        <v>50</v>
      </c>
      <c r="N128" s="460" t="str">
        <f>IF(+All!$F843="Southern Miss",+All!N843,IF(+All!$H843="Southern Miss",+All!N843,0))</f>
        <v>Southern Miss</v>
      </c>
      <c r="O128" s="462">
        <f>IF(+All!$F843="Southern Miss",+All!O843,IF(+All!$H843="Southern Miss",+All!O843,0))</f>
        <v>20</v>
      </c>
      <c r="P128" s="462" t="str">
        <f>IF(+All!$F843="Southern Miss",+All!P843,IF(+All!$H843="Southern Miss",+All!P843,0))</f>
        <v>UL Monroe</v>
      </c>
      <c r="Q128" s="461">
        <f>IF(+All!$F843="Southern Miss",+All!Q843,IF(+All!$H843="Southern Miss",+All!Q843,0))</f>
        <v>10</v>
      </c>
      <c r="R128" s="460" t="str">
        <f>IF(+All!$F843="Southern Miss",+All!R843,IF(+All!$H843="Southern Miss",+All!R843,0))</f>
        <v>Southern Miss</v>
      </c>
      <c r="S128" s="462" t="str">
        <f>IF(+All!$F843="Southern Miss",+All!S843,IF(+All!$H843="Southern Miss",+All!S843,0))</f>
        <v>UL Monroe</v>
      </c>
      <c r="T128" s="460" t="str">
        <f>IF(+All!$F843="Southern Miss",+All!T843,IF(+All!$H843="Southern Miss",+All!T843,0))</f>
        <v>Southern Miss</v>
      </c>
      <c r="U128" s="461" t="str">
        <f>IF(+All!$F843="Southern Miss",+All!U843,IF(+All!$H843="Southern Miss",+All!U843,0))</f>
        <v>W</v>
      </c>
      <c r="V128" s="9"/>
    </row>
    <row r="129" spans="1:22" x14ac:dyDescent="0.8">
      <c r="C129" s="48"/>
      <c r="D129" s="490"/>
      <c r="F129" s="897" t="str">
        <f>H130</f>
        <v>South Alabama</v>
      </c>
      <c r="G129" s="901"/>
      <c r="H129" s="901"/>
      <c r="I129" s="902"/>
      <c r="L129" s="54"/>
      <c r="M129" s="55"/>
      <c r="V129" s="9"/>
    </row>
    <row r="130" spans="1:22" s="75" customFormat="1" x14ac:dyDescent="0.8">
      <c r="A130" s="46">
        <f>IF(+All!$F83="South Alabama",+All!A83,IF(+All!$H83="South Alabama",+All!A83,0))</f>
        <v>1</v>
      </c>
      <c r="B130" s="348" t="str">
        <f>IF(+All!$F83="South Alabama",+All!B83,IF(+All!$H83="South Alabama",+All!B83,0))</f>
        <v>Sat</v>
      </c>
      <c r="C130" s="48">
        <f>IF(+All!$F83="South Alabama",+All!C83,IF(+All!$H83="South Alabama",+All!C83,0))</f>
        <v>414067</v>
      </c>
      <c r="D130" s="490">
        <f>IF(+All!$F83="South Alabama",+All!D83,IF(+All!$H83="South Alabama",+All!D83,0))</f>
        <v>0.70833333333333337</v>
      </c>
      <c r="E130" s="461" t="str">
        <f>IF(+All!$F83="South Alabama",+All!E83,IF(+All!$H83="South Alabama",+All!E83,0))</f>
        <v>espn3</v>
      </c>
      <c r="F130" s="51" t="str">
        <f>IF(+All!$F83="South Alabama",+All!F83,IF(+All!$H83="South Alabama",+All!F83,0))</f>
        <v>1AA Nicholls State</v>
      </c>
      <c r="G130" s="52" t="str">
        <f>IF(+All!$F83="South Alabama",+All!G83,IF(+All!$H83="South Alabama",+All!G83,0))</f>
        <v>1AA</v>
      </c>
      <c r="H130" s="51" t="str">
        <f>IF(+All!$F83="South Alabama",+All!H83,IF(+All!$H83="South Alabama",+All!H83,0))</f>
        <v>South Alabama</v>
      </c>
      <c r="I130" s="52" t="str">
        <f>IF(+All!$F83="South Alabama",+All!I83,IF(+All!$H83="South Alabama",+All!I83,0))</f>
        <v>SB</v>
      </c>
      <c r="J130" s="460">
        <f>IF(+All!$F83="South Alabama",+All!J83,IF(+All!$H83="South Alabama",+All!J83,0))</f>
        <v>0</v>
      </c>
      <c r="K130" s="461">
        <f>IF(+All!$F83="South Alabama",+All!K83,IF(+All!$H83="South Alabama",+All!K83,0))</f>
        <v>0</v>
      </c>
      <c r="L130" s="54">
        <f>IF(+All!$F83="South Alabama",+All!L83,IF(+All!$H83="South Alabama",+All!L83,0))</f>
        <v>0</v>
      </c>
      <c r="M130" s="55">
        <f>IF(+All!$F83="South Alabama",+All!M83,IF(+All!$H83="South Alabama",+All!M83,0))</f>
        <v>0</v>
      </c>
      <c r="N130" s="460" t="str">
        <f>IF(+All!$F83="South Alabama",+All!N83,IF(+All!$H83="South Alabama",+All!N83,0))</f>
        <v>South Alabama</v>
      </c>
      <c r="O130" s="462">
        <f>IF(+All!$F83="South Alabama",+All!O83,IF(+All!$H83="South Alabama",+All!O83,0))</f>
        <v>48</v>
      </c>
      <c r="P130" s="462" t="str">
        <f>IF(+All!$F83="South Alabama",+All!P83,IF(+All!$H83="South Alabama",+All!P83,0))</f>
        <v>1AA Nicholls State</v>
      </c>
      <c r="Q130" s="461">
        <f>IF(+All!$F83="South Alabama",+All!Q83,IF(+All!$H83="South Alabama",+All!Q83,0))</f>
        <v>7</v>
      </c>
      <c r="R130" s="460">
        <f>IF(+All!$F83="South Alabama",+All!R83,IF(+All!$H83="South Alabama",+All!R83,0))</f>
        <v>0</v>
      </c>
      <c r="S130" s="462">
        <f>IF(+All!$F83="South Alabama",+All!S83,IF(+All!$H83="South Alabama",+All!S83,0))</f>
        <v>0</v>
      </c>
      <c r="T130" s="460">
        <f>IF(+All!$F83="South Alabama",+All!T83,IF(+All!$H83="South Alabama",+All!T83,0))</f>
        <v>0</v>
      </c>
      <c r="U130" s="461">
        <f>IF(+All!$F83="South Alabama",+All!U83,IF(+All!$H83="South Alabama",+All!U83,0))</f>
        <v>0</v>
      </c>
      <c r="V130" s="482"/>
    </row>
    <row r="131" spans="1:22" s="75" customFormat="1" x14ac:dyDescent="0.8">
      <c r="A131" s="46">
        <f>IF(+All!$F148="South Alabama",+All!A148,IF(+All!$H148="South Alabama",+All!A148,0))</f>
        <v>2</v>
      </c>
      <c r="B131" s="348" t="str">
        <f>IF(+All!$F148="South Alabama",+All!B148,IF(+All!$H148="South Alabama",+All!B148,0))</f>
        <v>Sat</v>
      </c>
      <c r="C131" s="48">
        <f>IF(+All!$F148="South Alabama",+All!C148,IF(+All!$H148="South Alabama",+All!C148,0))</f>
        <v>44814</v>
      </c>
      <c r="D131" s="490">
        <f>IF(+All!$F148="South Alabama",+All!D148,IF(+All!$H148="South Alabama",+All!D148,0))</f>
        <v>0.54166666666666663</v>
      </c>
      <c r="E131" s="461">
        <f>IF(+All!$F148="South Alabama",+All!E148,IF(+All!$H148="South Alabama",+All!E148,0))</f>
        <v>0</v>
      </c>
      <c r="F131" s="51" t="str">
        <f>IF(+All!$F148="South Alabama",+All!F148,IF(+All!$H148="South Alabama",+All!F148,0))</f>
        <v>South Alabama</v>
      </c>
      <c r="G131" s="52" t="str">
        <f>IF(+All!$F148="South Alabama",+All!G148,IF(+All!$H148="South Alabama",+All!G148,0))</f>
        <v>SB</v>
      </c>
      <c r="H131" s="51" t="str">
        <f>IF(+All!$F148="South Alabama",+All!H148,IF(+All!$H148="South Alabama",+All!H148,0))</f>
        <v>Central Michigan</v>
      </c>
      <c r="I131" s="52" t="str">
        <f>IF(+All!$F148="South Alabama",+All!I148,IF(+All!$H148="South Alabama",+All!I148,0))</f>
        <v>MAC</v>
      </c>
      <c r="J131" s="460" t="str">
        <f>IF(+All!$F148="South Alabama",+All!J148,IF(+All!$H148="South Alabama",+All!J148,0))</f>
        <v>Central Michigan</v>
      </c>
      <c r="K131" s="461" t="str">
        <f>IF(+All!$F148="South Alabama",+All!K148,IF(+All!$H148="South Alabama",+All!K148,0))</f>
        <v>South Alabama</v>
      </c>
      <c r="L131" s="54">
        <f>IF(+All!$F148="South Alabama",+All!L148,IF(+All!$H148="South Alabama",+All!L148,0))</f>
        <v>5</v>
      </c>
      <c r="M131" s="55">
        <f>IF(+All!$F148="South Alabama",+All!M148,IF(+All!$H148="South Alabama",+All!M148,0))</f>
        <v>58.5</v>
      </c>
      <c r="N131" s="460" t="str">
        <f>IF(+All!$F148="South Alabama",+All!N148,IF(+All!$H148="South Alabama",+All!N148,0))</f>
        <v>South Alabama</v>
      </c>
      <c r="O131" s="462">
        <f>IF(+All!$F148="South Alabama",+All!O148,IF(+All!$H148="South Alabama",+All!O148,0))</f>
        <v>38</v>
      </c>
      <c r="P131" s="462" t="str">
        <f>IF(+All!$F148="South Alabama",+All!P148,IF(+All!$H148="South Alabama",+All!P148,0))</f>
        <v>Central Michigan</v>
      </c>
      <c r="Q131" s="461">
        <f>IF(+All!$F148="South Alabama",+All!Q148,IF(+All!$H148="South Alabama",+All!Q148,0))</f>
        <v>24</v>
      </c>
      <c r="R131" s="460" t="str">
        <f>IF(+All!$F148="South Alabama",+All!R148,IF(+All!$H148="South Alabama",+All!R148,0))</f>
        <v>South Alabama</v>
      </c>
      <c r="S131" s="462" t="str">
        <f>IF(+All!$F148="South Alabama",+All!S148,IF(+All!$H148="South Alabama",+All!S148,0))</f>
        <v>Central Michigan</v>
      </c>
      <c r="T131" s="460" t="str">
        <f>IF(+All!$F148="South Alabama",+All!T148,IF(+All!$H148="South Alabama",+All!T148,0))</f>
        <v>Central Michigan</v>
      </c>
      <c r="U131" s="461" t="str">
        <f>IF(+All!$F148="South Alabama",+All!U148,IF(+All!$H148="South Alabama",+All!U148,0))</f>
        <v>L</v>
      </c>
      <c r="V131" s="482"/>
    </row>
    <row r="132" spans="1:22" s="75" customFormat="1" x14ac:dyDescent="0.8">
      <c r="A132" s="46">
        <f>IF(+All!$F234="South Alabama",+All!A234,IF(+All!$H234="South Alabama",+All!A234,0))</f>
        <v>3</v>
      </c>
      <c r="B132" s="348" t="str">
        <f>IF(+All!$F234="South Alabama",+All!B234,IF(+All!$H234="South Alabama",+All!B234,0))</f>
        <v>Sat</v>
      </c>
      <c r="C132" s="48">
        <f>IF(+All!$F234="South Alabama",+All!C234,IF(+All!$H234="South Alabama",+All!C234,0))</f>
        <v>44821</v>
      </c>
      <c r="D132" s="490">
        <f>IF(+All!$F234="South Alabama",+All!D234,IF(+All!$H234="South Alabama",+All!D234,0))</f>
        <v>0.58333333333333337</v>
      </c>
      <c r="E132" s="461" t="str">
        <f>IF(+All!$F234="South Alabama",+All!E234,IF(+All!$H234="South Alabama",+All!E234,0))</f>
        <v>PAC12</v>
      </c>
      <c r="F132" s="51" t="str">
        <f>IF(+All!$F234="South Alabama",+All!F234,IF(+All!$H234="South Alabama",+All!F234,0))</f>
        <v>South Alabama</v>
      </c>
      <c r="G132" s="52" t="str">
        <f>IF(+All!$F234="South Alabama",+All!G234,IF(+All!$H234="South Alabama",+All!G234,0))</f>
        <v>SB</v>
      </c>
      <c r="H132" s="51" t="str">
        <f>IF(+All!$F234="South Alabama",+All!H234,IF(+All!$H234="South Alabama",+All!H234,0))</f>
        <v>UCLA</v>
      </c>
      <c r="I132" s="52" t="str">
        <f>IF(+All!$F234="South Alabama",+All!I234,IF(+All!$H234="South Alabama",+All!I234,0))</f>
        <v>P12</v>
      </c>
      <c r="J132" s="460" t="str">
        <f>IF(+All!$F234="South Alabama",+All!J234,IF(+All!$H234="South Alabama",+All!J234,0))</f>
        <v>UCLA</v>
      </c>
      <c r="K132" s="461" t="str">
        <f>IF(+All!$F234="South Alabama",+All!K234,IF(+All!$H234="South Alabama",+All!K234,0))</f>
        <v>South Alabama</v>
      </c>
      <c r="L132" s="54">
        <f>IF(+All!$F234="South Alabama",+All!L234,IF(+All!$H234="South Alabama",+All!L234,0))</f>
        <v>15.5</v>
      </c>
      <c r="M132" s="55">
        <f>IF(+All!$F234="South Alabama",+All!M234,IF(+All!$H234="South Alabama",+All!M234,0))</f>
        <v>60</v>
      </c>
      <c r="N132" s="460" t="str">
        <f>IF(+All!$F234="South Alabama",+All!N234,IF(+All!$H234="South Alabama",+All!N234,0))</f>
        <v>UCLA</v>
      </c>
      <c r="O132" s="462">
        <f>IF(+All!$F234="South Alabama",+All!O234,IF(+All!$H234="South Alabama",+All!O234,0))</f>
        <v>32</v>
      </c>
      <c r="P132" s="462" t="str">
        <f>IF(+All!$F234="South Alabama",+All!P234,IF(+All!$H234="South Alabama",+All!P234,0))</f>
        <v>South Alabama</v>
      </c>
      <c r="Q132" s="461">
        <f>IF(+All!$F234="South Alabama",+All!Q234,IF(+All!$H234="South Alabama",+All!Q234,0))</f>
        <v>31</v>
      </c>
      <c r="R132" s="460" t="str">
        <f>IF(+All!$F234="South Alabama",+All!R234,IF(+All!$H234="South Alabama",+All!R234,0))</f>
        <v>South Alabama</v>
      </c>
      <c r="S132" s="462" t="str">
        <f>IF(+All!$F234="South Alabama",+All!S234,IF(+All!$H234="South Alabama",+All!S234,0))</f>
        <v>UCLA</v>
      </c>
      <c r="T132" s="460" t="str">
        <f>IF(+All!$F234="South Alabama",+All!T234,IF(+All!$H234="South Alabama",+All!T234,0))</f>
        <v>UCLA</v>
      </c>
      <c r="U132" s="461" t="str">
        <f>IF(+All!$F234="South Alabama",+All!U234,IF(+All!$H234="South Alabama",+All!U234,0))</f>
        <v>L</v>
      </c>
      <c r="V132" s="482"/>
    </row>
    <row r="133" spans="1:22" s="75" customFormat="1" x14ac:dyDescent="0.8">
      <c r="A133" s="46">
        <f>IF(+All!$F304="South Alabama",+All!A304,IF(+All!$H304="South Alabama",+All!A304,0))</f>
        <v>4</v>
      </c>
      <c r="B133" s="348" t="str">
        <f>IF(+All!$F304="South Alabama",+All!B304,IF(+All!$H304="South Alabama",+All!B304,0))</f>
        <v>Sat</v>
      </c>
      <c r="C133" s="48">
        <f>IF(+All!$F304="South Alabama",+All!C304,IF(+All!$H304="South Alabama",+All!C304,0))</f>
        <v>44828</v>
      </c>
      <c r="D133" s="490">
        <f>IF(+All!$F304="South Alabama",+All!D304,IF(+All!$H304="South Alabama",+All!D304,0))</f>
        <v>0.79166666666666663</v>
      </c>
      <c r="E133" s="461">
        <f>IF(+All!$F304="South Alabama",+All!E304,IF(+All!$H304="South Alabama",+All!E304,0))</f>
        <v>0</v>
      </c>
      <c r="F133" s="51" t="str">
        <f>IF(+All!$F304="South Alabama",+All!F304,IF(+All!$H304="South Alabama",+All!F304,0))</f>
        <v>Louisiana Tech</v>
      </c>
      <c r="G133" s="52" t="str">
        <f>IF(+All!$F304="South Alabama",+All!G304,IF(+All!$H304="South Alabama",+All!G304,0))</f>
        <v>CUSA</v>
      </c>
      <c r="H133" s="51" t="str">
        <f>IF(+All!$F304="South Alabama",+All!H304,IF(+All!$H304="South Alabama",+All!H304,0))</f>
        <v>South Alabama</v>
      </c>
      <c r="I133" s="52" t="str">
        <f>IF(+All!$F304="South Alabama",+All!I304,IF(+All!$H304="South Alabama",+All!I304,0))</f>
        <v>SB</v>
      </c>
      <c r="J133" s="460" t="str">
        <f>IF(+All!$F304="South Alabama",+All!J304,IF(+All!$H304="South Alabama",+All!J304,0))</f>
        <v>South Alabama</v>
      </c>
      <c r="K133" s="461" t="str">
        <f>IF(+All!$F304="South Alabama",+All!K304,IF(+All!$H304="South Alabama",+All!K304,0))</f>
        <v>Louisiana Tech</v>
      </c>
      <c r="L133" s="54">
        <f>IF(+All!$F304="South Alabama",+All!L304,IF(+All!$H304="South Alabama",+All!L304,0))</f>
        <v>13</v>
      </c>
      <c r="M133" s="55">
        <f>IF(+All!$F304="South Alabama",+All!M304,IF(+All!$H304="South Alabama",+All!M304,0))</f>
        <v>60</v>
      </c>
      <c r="N133" s="460" t="str">
        <f>IF(+All!$F304="South Alabama",+All!N304,IF(+All!$H304="South Alabama",+All!N304,0))</f>
        <v>South Alabama</v>
      </c>
      <c r="O133" s="462">
        <f>IF(+All!$F304="South Alabama",+All!O304,IF(+All!$H304="South Alabama",+All!O304,0))</f>
        <v>38</v>
      </c>
      <c r="P133" s="462" t="str">
        <f>IF(+All!$F304="South Alabama",+All!P304,IF(+All!$H304="South Alabama",+All!P304,0))</f>
        <v>Louisiana Tech</v>
      </c>
      <c r="Q133" s="461">
        <f>IF(+All!$F304="South Alabama",+All!Q304,IF(+All!$H304="South Alabama",+All!Q304,0))</f>
        <v>14</v>
      </c>
      <c r="R133" s="460" t="str">
        <f>IF(+All!$F304="South Alabama",+All!R304,IF(+All!$H304="South Alabama",+All!R304,0))</f>
        <v>South Alabama</v>
      </c>
      <c r="S133" s="462" t="str">
        <f>IF(+All!$F304="South Alabama",+All!S304,IF(+All!$H304="South Alabama",+All!S304,0))</f>
        <v>Louisiana Tech</v>
      </c>
      <c r="T133" s="460" t="str">
        <f>IF(+All!$F304="South Alabama",+All!T304,IF(+All!$H304="South Alabama",+All!T304,0))</f>
        <v>Louisiana Tech</v>
      </c>
      <c r="U133" s="461" t="str">
        <f>IF(+All!$F304="South Alabama",+All!U304,IF(+All!$H304="South Alabama",+All!U304,0))</f>
        <v>L</v>
      </c>
      <c r="V133" s="482"/>
    </row>
    <row r="134" spans="1:22" x14ac:dyDescent="0.8">
      <c r="A134" s="46">
        <f>IF(+All!$F374="South Alabama",+All!A374,IF(+All!$H374="South Alabama",+All!A374,0))</f>
        <v>5</v>
      </c>
      <c r="B134" s="348" t="str">
        <f>IF(+All!$F374="South Alabama",+All!B374,IF(+All!$H374="South Alabama",+All!B374,0))</f>
        <v>Sat</v>
      </c>
      <c r="C134" s="48">
        <f>IF(+All!$F374="South Alabama",+All!C374,IF(+All!$H374="South Alabama",+All!C374,0))</f>
        <v>44835</v>
      </c>
      <c r="D134" s="490">
        <f>IF(+All!$F374="South Alabama",+All!D374,IF(+All!$H374="South Alabama",+All!D374,0))</f>
        <v>0.70833333333333337</v>
      </c>
      <c r="E134" s="461">
        <f>IF(+All!$F374="South Alabama",+All!E374,IF(+All!$H374="South Alabama",+All!E374,0))</f>
        <v>0</v>
      </c>
      <c r="F134" s="51" t="str">
        <f>IF(+All!$F374="South Alabama",+All!F374,IF(+All!$H374="South Alabama",+All!F374,0))</f>
        <v>South Alabama</v>
      </c>
      <c r="G134" s="52" t="str">
        <f>IF(+All!$F374="South Alabama",+All!G374,IF(+All!$H374="South Alabama",+All!G374,0))</f>
        <v>SB</v>
      </c>
      <c r="H134" s="51" t="str">
        <f>IF(+All!$F374="South Alabama",+All!H374,IF(+All!$H374="South Alabama",+All!H374,0))</f>
        <v>UL Lafayette</v>
      </c>
      <c r="I134" s="52" t="str">
        <f>IF(+All!$F374="South Alabama",+All!I374,IF(+All!$H374="South Alabama",+All!I374,0))</f>
        <v>SB</v>
      </c>
      <c r="J134" s="460" t="str">
        <f>IF(+All!$F374="South Alabama",+All!J374,IF(+All!$H374="South Alabama",+All!J374,0))</f>
        <v>South Alabama</v>
      </c>
      <c r="K134" s="461" t="str">
        <f>IF(+All!$F374="South Alabama",+All!K374,IF(+All!$H374="South Alabama",+All!K374,0))</f>
        <v>UL Lafayette</v>
      </c>
      <c r="L134" s="54">
        <f>IF(+All!$F374="South Alabama",+All!L374,IF(+All!$H374="South Alabama",+All!L374,0))</f>
        <v>8.5</v>
      </c>
      <c r="M134" s="55">
        <f>IF(+All!$F374="South Alabama",+All!M374,IF(+All!$H374="South Alabama",+All!M374,0))</f>
        <v>47.5</v>
      </c>
      <c r="N134" s="460" t="str">
        <f>IF(+All!$F374="South Alabama",+All!N374,IF(+All!$H374="South Alabama",+All!N374,0))</f>
        <v>South Alabama</v>
      </c>
      <c r="O134" s="462">
        <f>IF(+All!$F374="South Alabama",+All!O374,IF(+All!$H374="South Alabama",+All!O374,0))</f>
        <v>20</v>
      </c>
      <c r="P134" s="462" t="str">
        <f>IF(+All!$F374="South Alabama",+All!P374,IF(+All!$H374="South Alabama",+All!P374,0))</f>
        <v>UL Lafayette</v>
      </c>
      <c r="Q134" s="461">
        <f>IF(+All!$F374="South Alabama",+All!Q374,IF(+All!$H374="South Alabama",+All!Q374,0))</f>
        <v>17</v>
      </c>
      <c r="R134" s="460" t="str">
        <f>IF(+All!$F374="South Alabama",+All!R374,IF(+All!$H374="South Alabama",+All!R374,0))</f>
        <v>UL Lafayette</v>
      </c>
      <c r="S134" s="462" t="str">
        <f>IF(+All!$F374="South Alabama",+All!S374,IF(+All!$H374="South Alabama",+All!S374,0))</f>
        <v>South Alabama</v>
      </c>
      <c r="T134" s="460" t="str">
        <f>IF(+All!$F374="South Alabama",+All!T374,IF(+All!$H374="South Alabama",+All!T374,0))</f>
        <v>South Alabama</v>
      </c>
      <c r="U134" s="461" t="str">
        <f>IF(+All!$F374="South Alabama",+All!U374,IF(+All!$H374="South Alabama",+All!U374,0))</f>
        <v>L</v>
      </c>
    </row>
    <row r="135" spans="1:22" s="75" customFormat="1" x14ac:dyDescent="0.8">
      <c r="A135" s="46" t="e">
        <f>IF(+All!#REF!="South Alabama",+All!#REF!,IF(+All!#REF!="South Alabama",+All!#REF!,0))</f>
        <v>#REF!</v>
      </c>
      <c r="B135" s="348" t="e">
        <f>IF(+All!#REF!="South Alabama",+All!#REF!,IF(+All!#REF!="South Alabama",+All!#REF!,0))</f>
        <v>#REF!</v>
      </c>
      <c r="C135" s="48" t="e">
        <f>IF(+All!#REF!="South Alabama",+All!#REF!,IF(+All!#REF!="South Alabama",+All!#REF!,0))</f>
        <v>#REF!</v>
      </c>
      <c r="D135" s="490" t="e">
        <f>IF(+All!#REF!="South Alabama",+All!#REF!,IF(+All!#REF!="South Alabama",+All!#REF!,0))</f>
        <v>#REF!</v>
      </c>
      <c r="E135" s="461" t="e">
        <f>IF(+All!#REF!="South Alabama",+All!#REF!,IF(+All!#REF!="South Alabama",+All!#REF!,0))</f>
        <v>#REF!</v>
      </c>
      <c r="F135" s="51" t="e">
        <f>IF(+All!#REF!="South Alabama",+All!#REF!,IF(+All!#REF!="South Alabama",+All!#REF!,0))</f>
        <v>#REF!</v>
      </c>
      <c r="G135" s="52" t="e">
        <f>IF(+All!#REF!="South Alabama",+All!#REF!,IF(+All!#REF!="South Alabama",+All!#REF!,0))</f>
        <v>#REF!</v>
      </c>
      <c r="H135" s="51" t="e">
        <f>IF(+All!#REF!="South Alabama",+All!#REF!,IF(+All!#REF!="South Alabama",+All!#REF!,0))</f>
        <v>#REF!</v>
      </c>
      <c r="I135" s="52" t="e">
        <f>IF(+All!#REF!="South Alabama",+All!#REF!,IF(+All!#REF!="South Alabama",+All!#REF!,0))</f>
        <v>#REF!</v>
      </c>
      <c r="J135" s="460" t="e">
        <f>IF(+All!#REF!="South Alabama",+All!#REF!,IF(+All!#REF!="South Alabama",+All!#REF!,0))</f>
        <v>#REF!</v>
      </c>
      <c r="K135" s="461" t="e">
        <f>IF(+All!#REF!="South Alabama",+All!#REF!,IF(+All!#REF!="South Alabama",+All!#REF!,0))</f>
        <v>#REF!</v>
      </c>
      <c r="L135" s="54" t="e">
        <f>IF(+All!#REF!="South Alabama",+All!#REF!,IF(+All!#REF!="South Alabama",+All!#REF!,0))</f>
        <v>#REF!</v>
      </c>
      <c r="M135" s="55" t="e">
        <f>IF(+All!#REF!="South Alabama",+All!#REF!,IF(+All!#REF!="South Alabama",+All!#REF!,0))</f>
        <v>#REF!</v>
      </c>
      <c r="N135" s="460" t="e">
        <f>IF(+All!#REF!="South Alabama",+All!#REF!,IF(+All!#REF!="South Alabama",+All!#REF!,0))</f>
        <v>#REF!</v>
      </c>
      <c r="O135" s="462" t="e">
        <f>IF(+All!#REF!="South Alabama",+All!#REF!,IF(+All!#REF!="South Alabama",+All!#REF!,0))</f>
        <v>#REF!</v>
      </c>
      <c r="P135" s="462" t="e">
        <f>IF(+All!#REF!="South Alabama",+All!#REF!,IF(+All!#REF!="South Alabama",+All!#REF!,0))</f>
        <v>#REF!</v>
      </c>
      <c r="Q135" s="461" t="e">
        <f>IF(+All!#REF!="South Alabama",+All!#REF!,IF(+All!#REF!="South Alabama",+All!#REF!,0))</f>
        <v>#REF!</v>
      </c>
      <c r="R135" s="460" t="e">
        <f>IF(+All!#REF!="South Alabama",+All!#REF!,IF(+All!#REF!="South Alabama",+All!#REF!,0))</f>
        <v>#REF!</v>
      </c>
      <c r="S135" s="462" t="e">
        <f>IF(+All!#REF!="South Alabama",+All!#REF!,IF(+All!#REF!="South Alabama",+All!#REF!,0))</f>
        <v>#REF!</v>
      </c>
      <c r="T135" s="460" t="e">
        <f>IF(+All!#REF!="South Alabama",+All!#REF!,IF(+All!#REF!="South Alabama",+All!#REF!,0))</f>
        <v>#REF!</v>
      </c>
      <c r="U135" s="461" t="e">
        <f>IF(+All!#REF!="South Alabama",+All!#REF!,IF(+All!#REF!="South Alabama",+All!#REF!,0))</f>
        <v>#REF!</v>
      </c>
      <c r="V135" s="482"/>
    </row>
    <row r="136" spans="1:22" s="75" customFormat="1" x14ac:dyDescent="0.8">
      <c r="A136" s="46">
        <f>IF(+All!$F483="South Alabama",+All!A483,IF(+All!$H483="South Alabama",+All!A483,0))</f>
        <v>7</v>
      </c>
      <c r="B136" s="348" t="str">
        <f>IF(+All!$F483="South Alabama",+All!B483,IF(+All!$H483="South Alabama",+All!B483,0))</f>
        <v>Sat</v>
      </c>
      <c r="C136" s="48">
        <f>IF(+All!$F483="South Alabama",+All!C483,IF(+All!$H483="South Alabama",+All!C483,0))</f>
        <v>44849</v>
      </c>
      <c r="D136" s="490">
        <f>IF(+All!$F483="South Alabama",+All!D483,IF(+All!$H483="South Alabama",+All!D483,0))</f>
        <v>0.79166666666666663</v>
      </c>
      <c r="E136" s="461" t="str">
        <f>IF(+All!$F483="South Alabama",+All!E483,IF(+All!$H483="South Alabama",+All!E483,0))</f>
        <v>NFL</v>
      </c>
      <c r="F136" s="51" t="str">
        <f>IF(+All!$F483="South Alabama",+All!F483,IF(+All!$H483="South Alabama",+All!F483,0))</f>
        <v>UL Monroe</v>
      </c>
      <c r="G136" s="52" t="str">
        <f>IF(+All!$F483="South Alabama",+All!G483,IF(+All!$H483="South Alabama",+All!G483,0))</f>
        <v>SB</v>
      </c>
      <c r="H136" s="51" t="str">
        <f>IF(+All!$F483="South Alabama",+All!H483,IF(+All!$H483="South Alabama",+All!H483,0))</f>
        <v>South Alabama</v>
      </c>
      <c r="I136" s="52" t="str">
        <f>IF(+All!$F483="South Alabama",+All!I483,IF(+All!$H483="South Alabama",+All!I483,0))</f>
        <v>SB</v>
      </c>
      <c r="J136" s="460" t="str">
        <f>IF(+All!$F483="South Alabama",+All!J483,IF(+All!$H483="South Alabama",+All!J483,0))</f>
        <v>South Alabama</v>
      </c>
      <c r="K136" s="461" t="str">
        <f>IF(+All!$F483="South Alabama",+All!K483,IF(+All!$H483="South Alabama",+All!K483,0))</f>
        <v>UL Monroe</v>
      </c>
      <c r="L136" s="54">
        <f>IF(+All!$F483="South Alabama",+All!L483,IF(+All!$H483="South Alabama",+All!L483,0))</f>
        <v>17</v>
      </c>
      <c r="M136" s="55">
        <f>IF(+All!$F483="South Alabama",+All!M483,IF(+All!$H483="South Alabama",+All!M483,0))</f>
        <v>51.5</v>
      </c>
      <c r="N136" s="460" t="str">
        <f>IF(+All!$F483="South Alabama",+All!N483,IF(+All!$H483="South Alabama",+All!N483,0))</f>
        <v>South Alabama</v>
      </c>
      <c r="O136" s="462">
        <f>IF(+All!$F483="South Alabama",+All!O483,IF(+All!$H483="South Alabama",+All!O483,0))</f>
        <v>41</v>
      </c>
      <c r="P136" s="462" t="str">
        <f>IF(+All!$F483="South Alabama",+All!P483,IF(+All!$H483="South Alabama",+All!P483,0))</f>
        <v>UL Monroe</v>
      </c>
      <c r="Q136" s="461">
        <f>IF(+All!$F483="South Alabama",+All!Q483,IF(+All!$H483="South Alabama",+All!Q483,0))</f>
        <v>34</v>
      </c>
      <c r="R136" s="460" t="str">
        <f>IF(+All!$F483="South Alabama",+All!R483,IF(+All!$H483="South Alabama",+All!R483,0))</f>
        <v>UL Monroe</v>
      </c>
      <c r="S136" s="462" t="str">
        <f>IF(+All!$F483="South Alabama",+All!S483,IF(+All!$H483="South Alabama",+All!S483,0))</f>
        <v>South Alabama</v>
      </c>
      <c r="T136" s="460" t="str">
        <f>IF(+All!$F483="South Alabama",+All!T483,IF(+All!$H483="South Alabama",+All!T483,0))</f>
        <v>UL Monroe</v>
      </c>
      <c r="U136" s="461" t="str">
        <f>IF(+All!$F483="South Alabama",+All!U483,IF(+All!$H483="South Alabama",+All!U483,0))</f>
        <v>W</v>
      </c>
      <c r="V136" s="482"/>
    </row>
    <row r="137" spans="1:22" s="75" customFormat="1" x14ac:dyDescent="0.8">
      <c r="A137" s="46">
        <f>IF(+All!$F493="South Alabama",+All!A493,IF(+All!$H493="South Alabama",+All!A493,0))</f>
        <v>8</v>
      </c>
      <c r="B137" s="348" t="str">
        <f>IF(+All!$F493="South Alabama",+All!B493,IF(+All!$H493="South Alabama",+All!B493,0))</f>
        <v>Thurs</v>
      </c>
      <c r="C137" s="48">
        <f>IF(+All!$F493="South Alabama",+All!C493,IF(+All!$H493="South Alabama",+All!C493,0))</f>
        <v>44854</v>
      </c>
      <c r="D137" s="490">
        <f>IF(+All!$F493="South Alabama",+All!D493,IF(+All!$H493="South Alabama",+All!D493,0))</f>
        <v>0.83333333333333337</v>
      </c>
      <c r="E137" s="461" t="str">
        <f>IF(+All!$F493="South Alabama",+All!E493,IF(+All!$H493="South Alabama",+All!E493,0))</f>
        <v>ESPNU</v>
      </c>
      <c r="F137" s="51" t="str">
        <f>IF(+All!$F493="South Alabama",+All!F493,IF(+All!$H493="South Alabama",+All!F493,0))</f>
        <v>Troy</v>
      </c>
      <c r="G137" s="52" t="str">
        <f>IF(+All!$F493="South Alabama",+All!G493,IF(+All!$H493="South Alabama",+All!G493,0))</f>
        <v>SB</v>
      </c>
      <c r="H137" s="51" t="str">
        <f>IF(+All!$F493="South Alabama",+All!H493,IF(+All!$H493="South Alabama",+All!H493,0))</f>
        <v>South Alabama</v>
      </c>
      <c r="I137" s="52" t="str">
        <f>IF(+All!$F493="South Alabama",+All!I493,IF(+All!$H493="South Alabama",+All!I493,0))</f>
        <v>SB</v>
      </c>
      <c r="J137" s="460" t="str">
        <f>IF(+All!$F493="South Alabama",+All!J493,IF(+All!$H493="South Alabama",+All!J493,0))</f>
        <v>South Alabama</v>
      </c>
      <c r="K137" s="461" t="str">
        <f>IF(+All!$F493="South Alabama",+All!K493,IF(+All!$H493="South Alabama",+All!K493,0))</f>
        <v>Troy</v>
      </c>
      <c r="L137" s="54">
        <f>IF(+All!$F493="South Alabama",+All!L493,IF(+All!$H493="South Alabama",+All!L493,0))</f>
        <v>3</v>
      </c>
      <c r="M137" s="55">
        <f>IF(+All!$F493="South Alabama",+All!M493,IF(+All!$H493="South Alabama",+All!M493,0))</f>
        <v>46</v>
      </c>
      <c r="N137" s="460" t="str">
        <f>IF(+All!$F493="South Alabama",+All!N493,IF(+All!$H493="South Alabama",+All!N493,0))</f>
        <v>Troy</v>
      </c>
      <c r="O137" s="462">
        <f>IF(+All!$F493="South Alabama",+All!O493,IF(+All!$H493="South Alabama",+All!O493,0))</f>
        <v>10</v>
      </c>
      <c r="P137" s="462" t="str">
        <f>IF(+All!$F493="South Alabama",+All!P493,IF(+All!$H493="South Alabama",+All!P493,0))</f>
        <v>South Alabama</v>
      </c>
      <c r="Q137" s="461">
        <f>IF(+All!$F493="South Alabama",+All!Q493,IF(+All!$H493="South Alabama",+All!Q493,0))</f>
        <v>6</v>
      </c>
      <c r="R137" s="460" t="str">
        <f>IF(+All!$F493="South Alabama",+All!R493,IF(+All!$H493="South Alabama",+All!R493,0))</f>
        <v>Troy</v>
      </c>
      <c r="S137" s="462" t="str">
        <f>IF(+All!$F493="South Alabama",+All!S493,IF(+All!$H493="South Alabama",+All!S493,0))</f>
        <v>South Alabama</v>
      </c>
      <c r="T137" s="460" t="str">
        <f>IF(+All!$F493="South Alabama",+All!T493,IF(+All!$H493="South Alabama",+All!T493,0))</f>
        <v>South Alabama</v>
      </c>
      <c r="U137" s="461" t="str">
        <f>IF(+All!$F493="South Alabama",+All!U493,IF(+All!$H493="South Alabama",+All!U493,0))</f>
        <v>L</v>
      </c>
      <c r="V137" s="482"/>
    </row>
    <row r="138" spans="1:22" s="75" customFormat="1" x14ac:dyDescent="0.8">
      <c r="A138" s="46">
        <f>IF(+All!$F585="South Alabama",+All!A585,IF(+All!$H585="South Alabama",+All!A585,0))</f>
        <v>9</v>
      </c>
      <c r="B138" s="348" t="str">
        <f>IF(+All!$F585="South Alabama",+All!B585,IF(+All!$H585="South Alabama",+All!B585,0))</f>
        <v>Sat</v>
      </c>
      <c r="C138" s="48">
        <f>IF(+All!$F585="South Alabama",+All!C585,IF(+All!$H585="South Alabama",+All!C585,0))</f>
        <v>44863</v>
      </c>
      <c r="D138" s="490">
        <f>IF(+All!$F585="South Alabama",+All!D585,IF(+All!$H585="South Alabama",+All!D585,0))</f>
        <v>0.66666666666666663</v>
      </c>
      <c r="E138" s="461" t="str">
        <f>IF(+All!$F585="South Alabama",+All!E585,IF(+All!$H585="South Alabama",+All!E585,0))</f>
        <v>ESPNU</v>
      </c>
      <c r="F138" s="51" t="str">
        <f>IF(+All!$F585="South Alabama",+All!F585,IF(+All!$H585="South Alabama",+All!F585,0))</f>
        <v>South Alabama</v>
      </c>
      <c r="G138" s="52" t="str">
        <f>IF(+All!$F585="South Alabama",+All!G585,IF(+All!$H585="South Alabama",+All!G585,0))</f>
        <v>SB</v>
      </c>
      <c r="H138" s="51" t="str">
        <f>IF(+All!$F585="South Alabama",+All!H585,IF(+All!$H585="South Alabama",+All!H585,0))</f>
        <v>Arkansas State</v>
      </c>
      <c r="I138" s="52" t="str">
        <f>IF(+All!$F585="South Alabama",+All!I585,IF(+All!$H585="South Alabama",+All!I585,0))</f>
        <v>SB</v>
      </c>
      <c r="J138" s="460" t="str">
        <f>IF(+All!$F585="South Alabama",+All!J585,IF(+All!$H585="South Alabama",+All!J585,0))</f>
        <v>South Alabama</v>
      </c>
      <c r="K138" s="461" t="str">
        <f>IF(+All!$F585="South Alabama",+All!K585,IF(+All!$H585="South Alabama",+All!K585,0))</f>
        <v>Arkansas State</v>
      </c>
      <c r="L138" s="54">
        <f>IF(+All!$F585="South Alabama",+All!L585,IF(+All!$H585="South Alabama",+All!L585,0))</f>
        <v>12.5</v>
      </c>
      <c r="M138" s="55">
        <f>IF(+All!$F585="South Alabama",+All!M585,IF(+All!$H585="South Alabama",+All!M585,0))</f>
        <v>55.5</v>
      </c>
      <c r="N138" s="460" t="str">
        <f>IF(+All!$F585="South Alabama",+All!N585,IF(+All!$H585="South Alabama",+All!N585,0))</f>
        <v>South Alabama</v>
      </c>
      <c r="O138" s="462">
        <f>IF(+All!$F585="South Alabama",+All!O585,IF(+All!$H585="South Alabama",+All!O585,0))</f>
        <v>31</v>
      </c>
      <c r="P138" s="462" t="str">
        <f>IF(+All!$F585="South Alabama",+All!P585,IF(+All!$H585="South Alabama",+All!P585,0))</f>
        <v>Arkansas State</v>
      </c>
      <c r="Q138" s="461">
        <f>IF(+All!$F585="South Alabama",+All!Q585,IF(+All!$H585="South Alabama",+All!Q585,0))</f>
        <v>3</v>
      </c>
      <c r="R138" s="460" t="str">
        <f>IF(+All!$F585="South Alabama",+All!R585,IF(+All!$H585="South Alabama",+All!R585,0))</f>
        <v>South Alabama</v>
      </c>
      <c r="S138" s="462" t="str">
        <f>IF(+All!$F585="South Alabama",+All!S585,IF(+All!$H585="South Alabama",+All!S585,0))</f>
        <v>Arkansas State</v>
      </c>
      <c r="T138" s="460" t="str">
        <f>IF(+All!$F585="South Alabama",+All!T585,IF(+All!$H585="South Alabama",+All!T585,0))</f>
        <v>Arkansas State</v>
      </c>
      <c r="U138" s="461" t="str">
        <f>IF(+All!$F585="South Alabama",+All!U585,IF(+All!$H585="South Alabama",+All!U585,0))</f>
        <v>L</v>
      </c>
      <c r="V138" s="482"/>
    </row>
    <row r="139" spans="1:22" s="75" customFormat="1" x14ac:dyDescent="0.8">
      <c r="A139" s="46">
        <f>IF(+All!$F641="South Alabama",+All!A641,IF(+All!$H641="South Alabama",+All!A641,0))</f>
        <v>10</v>
      </c>
      <c r="B139" s="348" t="str">
        <f>IF(+All!$F641="South Alabama",+All!B641,IF(+All!$H641="South Alabama",+All!B641,0))</f>
        <v>Sat</v>
      </c>
      <c r="C139" s="48">
        <f>IF(+All!$F641="South Alabama",+All!C641,IF(+All!$H641="South Alabama",+All!C641,0))</f>
        <v>44870</v>
      </c>
      <c r="D139" s="490">
        <f>IF(+All!$F641="South Alabama",+All!D641,IF(+All!$H641="South Alabama",+All!D641,0))</f>
        <v>0.66666666666666663</v>
      </c>
      <c r="E139" s="461">
        <f>IF(+All!$F641="South Alabama",+All!E641,IF(+All!$H641="South Alabama",+All!E641,0))</f>
        <v>0</v>
      </c>
      <c r="F139" s="51" t="str">
        <f>IF(+All!$F641="South Alabama",+All!F641,IF(+All!$H641="South Alabama",+All!F641,0))</f>
        <v>South Alabama</v>
      </c>
      <c r="G139" s="52" t="str">
        <f>IF(+All!$F641="South Alabama",+All!G641,IF(+All!$H641="South Alabama",+All!G641,0))</f>
        <v>SB</v>
      </c>
      <c r="H139" s="51" t="str">
        <f>IF(+All!$F641="South Alabama",+All!H641,IF(+All!$H641="South Alabama",+All!H641,0))</f>
        <v>Georgia Southern</v>
      </c>
      <c r="I139" s="52" t="str">
        <f>IF(+All!$F641="South Alabama",+All!I641,IF(+All!$H641="South Alabama",+All!I641,0))</f>
        <v>SB</v>
      </c>
      <c r="J139" s="460" t="str">
        <f>IF(+All!$F641="South Alabama",+All!J641,IF(+All!$H641="South Alabama",+All!J641,0))</f>
        <v>South Alabama</v>
      </c>
      <c r="K139" s="461" t="str">
        <f>IF(+All!$F641="South Alabama",+All!K641,IF(+All!$H641="South Alabama",+All!K641,0))</f>
        <v>Georgia Southern</v>
      </c>
      <c r="L139" s="54">
        <f>IF(+All!$F641="South Alabama",+All!L641,IF(+All!$H641="South Alabama",+All!L641,0))</f>
        <v>4</v>
      </c>
      <c r="M139" s="55">
        <f>IF(+All!$F641="South Alabama",+All!M641,IF(+All!$H641="South Alabama",+All!M641,0))</f>
        <v>60.5</v>
      </c>
      <c r="N139" s="460" t="str">
        <f>IF(+All!$F641="South Alabama",+All!N641,IF(+All!$H641="South Alabama",+All!N641,0))</f>
        <v>South Alabama</v>
      </c>
      <c r="O139" s="462">
        <f>IF(+All!$F641="South Alabama",+All!O641,IF(+All!$H641="South Alabama",+All!O641,0))</f>
        <v>38</v>
      </c>
      <c r="P139" s="462" t="str">
        <f>IF(+All!$F641="South Alabama",+All!P641,IF(+All!$H641="South Alabama",+All!P641,0))</f>
        <v>Georgia Southern</v>
      </c>
      <c r="Q139" s="461">
        <f>IF(+All!$F641="South Alabama",+All!Q641,IF(+All!$H641="South Alabama",+All!Q641,0))</f>
        <v>31</v>
      </c>
      <c r="R139" s="460" t="str">
        <f>IF(+All!$F641="South Alabama",+All!R641,IF(+All!$H641="South Alabama",+All!R641,0))</f>
        <v>South Alabama</v>
      </c>
      <c r="S139" s="462" t="str">
        <f>IF(+All!$F641="South Alabama",+All!S641,IF(+All!$H641="South Alabama",+All!S641,0))</f>
        <v>Georgia Southern</v>
      </c>
      <c r="T139" s="460" t="str">
        <f>IF(+All!$F641="South Alabama",+All!T641,IF(+All!$H641="South Alabama",+All!T641,0))</f>
        <v>South Alabama</v>
      </c>
      <c r="U139" s="461" t="str">
        <f>IF(+All!$F641="South Alabama",+All!U641,IF(+All!$H641="South Alabama",+All!U641,0))</f>
        <v>W</v>
      </c>
      <c r="V139" s="482"/>
    </row>
    <row r="140" spans="1:22" s="75" customFormat="1" x14ac:dyDescent="0.8">
      <c r="A140" s="46">
        <f>IF(+All!$F709="South Alabama",+All!A709,IF(+All!$H709="South Alabama",+All!A709,0))</f>
        <v>11</v>
      </c>
      <c r="B140" s="348" t="str">
        <f>IF(+All!$F709="South Alabama",+All!B709,IF(+All!$H709="South Alabama",+All!B709,0))</f>
        <v>Sat</v>
      </c>
      <c r="C140" s="48">
        <f>IF(+All!$F709="South Alabama",+All!C709,IF(+All!$H709="South Alabama",+All!C709,0))</f>
        <v>44877</v>
      </c>
      <c r="D140" s="490">
        <f>IF(+All!$F709="South Alabama",+All!D709,IF(+All!$H709="South Alabama",+All!D709,0))</f>
        <v>0.70833333333333337</v>
      </c>
      <c r="E140" s="461">
        <f>IF(+All!$F709="South Alabama",+All!E709,IF(+All!$H709="South Alabama",+All!E709,0))</f>
        <v>0</v>
      </c>
      <c r="F140" s="51" t="str">
        <f>IF(+All!$F709="South Alabama",+All!F709,IF(+All!$H709="South Alabama",+All!F709,0))</f>
        <v>Texas State</v>
      </c>
      <c r="G140" s="52" t="str">
        <f>IF(+All!$F709="South Alabama",+All!G709,IF(+All!$H709="South Alabama",+All!G709,0))</f>
        <v>SB</v>
      </c>
      <c r="H140" s="51" t="str">
        <f>IF(+All!$F709="South Alabama",+All!H709,IF(+All!$H709="South Alabama",+All!H709,0))</f>
        <v>South Alabama</v>
      </c>
      <c r="I140" s="52" t="str">
        <f>IF(+All!$F709="South Alabama",+All!I709,IF(+All!$H709="South Alabama",+All!I709,0))</f>
        <v>SB</v>
      </c>
      <c r="J140" s="460" t="str">
        <f>IF(+All!$F709="South Alabama",+All!J709,IF(+All!$H709="South Alabama",+All!J709,0))</f>
        <v>South Alabama</v>
      </c>
      <c r="K140" s="461" t="str">
        <f>IF(+All!$F709="South Alabama",+All!K709,IF(+All!$H709="South Alabama",+All!K709,0))</f>
        <v>Texas State</v>
      </c>
      <c r="L140" s="54">
        <f>IF(+All!$F709="South Alabama",+All!L709,IF(+All!$H709="South Alabama",+All!L709,0))</f>
        <v>16.5</v>
      </c>
      <c r="M140" s="55">
        <f>IF(+All!$F709="South Alabama",+All!M709,IF(+All!$H709="South Alabama",+All!M709,0))</f>
        <v>47.5</v>
      </c>
      <c r="N140" s="460" t="str">
        <f>IF(+All!$F709="South Alabama",+All!N709,IF(+All!$H709="South Alabama",+All!N709,0))</f>
        <v>South Alabama</v>
      </c>
      <c r="O140" s="462">
        <f>IF(+All!$F709="South Alabama",+All!O709,IF(+All!$H709="South Alabama",+All!O709,0))</f>
        <v>38</v>
      </c>
      <c r="P140" s="462" t="str">
        <f>IF(+All!$F709="South Alabama",+All!P709,IF(+All!$H709="South Alabama",+All!P709,0))</f>
        <v>Texas State</v>
      </c>
      <c r="Q140" s="461">
        <f>IF(+All!$F709="South Alabama",+All!Q709,IF(+All!$H709="South Alabama",+All!Q709,0))</f>
        <v>21</v>
      </c>
      <c r="R140" s="460" t="str">
        <f>IF(+All!$F709="South Alabama",+All!R709,IF(+All!$H709="South Alabama",+All!R709,0))</f>
        <v>South Alabama</v>
      </c>
      <c r="S140" s="462" t="str">
        <f>IF(+All!$F709="South Alabama",+All!S709,IF(+All!$H709="South Alabama",+All!S709,0))</f>
        <v>Texas State</v>
      </c>
      <c r="T140" s="460" t="str">
        <f>IF(+All!$F709="South Alabama",+All!T709,IF(+All!$H709="South Alabama",+All!T709,0))</f>
        <v>South Alabama</v>
      </c>
      <c r="U140" s="461" t="str">
        <f>IF(+All!$F709="South Alabama",+All!U709,IF(+All!$H709="South Alabama",+All!U709,0))</f>
        <v>W</v>
      </c>
      <c r="V140" s="482"/>
    </row>
    <row r="141" spans="1:22" s="75" customFormat="1" x14ac:dyDescent="0.8">
      <c r="A141" s="46">
        <f>IF(+All!$F772="South Alabama",+All!A772,IF(+All!$H772="South Alabama",+All!A772,0))</f>
        <v>12</v>
      </c>
      <c r="B141" s="348" t="str">
        <f>IF(+All!$F772="South Alabama",+All!B772,IF(+All!$H772="South Alabama",+All!B772,0))</f>
        <v>Sat</v>
      </c>
      <c r="C141" s="48">
        <f>IF(+All!$F772="South Alabama",+All!C772,IF(+All!$H772="South Alabama",+All!C772,0))</f>
        <v>44884</v>
      </c>
      <c r="D141" s="490">
        <f>IF(+All!$F772="South Alabama",+All!D772,IF(+All!$H772="South Alabama",+All!D772,0))</f>
        <v>0.64583333333333337</v>
      </c>
      <c r="E141" s="461" t="str">
        <f>IF(+All!$F772="South Alabama",+All!E772,IF(+All!$H772="South Alabama",+All!E772,0))</f>
        <v>NFL</v>
      </c>
      <c r="F141" s="51" t="str">
        <f>IF(+All!$F772="South Alabama",+All!F772,IF(+All!$H772="South Alabama",+All!F772,0))</f>
        <v>South Alabama</v>
      </c>
      <c r="G141" s="52" t="str">
        <f>IF(+All!$F772="South Alabama",+All!G772,IF(+All!$H772="South Alabama",+All!G772,0))</f>
        <v>SB</v>
      </c>
      <c r="H141" s="51" t="str">
        <f>IF(+All!$F772="South Alabama",+All!H772,IF(+All!$H772="South Alabama",+All!H772,0))</f>
        <v>Southern Miss</v>
      </c>
      <c r="I141" s="52" t="str">
        <f>IF(+All!$F772="South Alabama",+All!I772,IF(+All!$H772="South Alabama",+All!I772,0))</f>
        <v>SB</v>
      </c>
      <c r="J141" s="460" t="str">
        <f>IF(+All!$F772="South Alabama",+All!J772,IF(+All!$H772="South Alabama",+All!J772,0))</f>
        <v>South Alabama</v>
      </c>
      <c r="K141" s="461" t="str">
        <f>IF(+All!$F772="South Alabama",+All!K772,IF(+All!$H772="South Alabama",+All!K772,0))</f>
        <v>Southern Miss</v>
      </c>
      <c r="L141" s="54">
        <f>IF(+All!$F772="South Alabama",+All!L772,IF(+All!$H772="South Alabama",+All!L772,0))</f>
        <v>7.5</v>
      </c>
      <c r="M141" s="55">
        <f>IF(+All!$F772="South Alabama",+All!M772,IF(+All!$H772="South Alabama",+All!M772,0))</f>
        <v>45.5</v>
      </c>
      <c r="N141" s="460" t="str">
        <f>IF(+All!$F772="South Alabama",+All!N772,IF(+All!$H772="South Alabama",+All!N772,0))</f>
        <v>South Alabama</v>
      </c>
      <c r="O141" s="462">
        <f>IF(+All!$F772="South Alabama",+All!O772,IF(+All!$H772="South Alabama",+All!O772,0))</f>
        <v>27</v>
      </c>
      <c r="P141" s="462" t="str">
        <f>IF(+All!$F772="South Alabama",+All!P772,IF(+All!$H772="South Alabama",+All!P772,0))</f>
        <v>Southern Miss</v>
      </c>
      <c r="Q141" s="461">
        <f>IF(+All!$F772="South Alabama",+All!Q772,IF(+All!$H772="South Alabama",+All!Q772,0))</f>
        <v>20</v>
      </c>
      <c r="R141" s="460" t="str">
        <f>IF(+All!$F772="South Alabama",+All!R772,IF(+All!$H772="South Alabama",+All!R772,0))</f>
        <v>Southern Miss</v>
      </c>
      <c r="S141" s="462" t="str">
        <f>IF(+All!$F772="South Alabama",+All!S772,IF(+All!$H772="South Alabama",+All!S772,0))</f>
        <v>South Alabama</v>
      </c>
      <c r="T141" s="460" t="str">
        <f>IF(+All!$F772="South Alabama",+All!T772,IF(+All!$H772="South Alabama",+All!T772,0))</f>
        <v>South Alabama</v>
      </c>
      <c r="U141" s="461" t="str">
        <f>IF(+All!$F772="South Alabama",+All!U772,IF(+All!$H772="South Alabama",+All!U772,0))</f>
        <v>L</v>
      </c>
      <c r="V141" s="482"/>
    </row>
    <row r="142" spans="1:22" x14ac:dyDescent="0.8">
      <c r="A142" s="46">
        <f>IF(+All!$F841="South Alabama",+All!A841,IF(+All!$H841="South Alabama",+All!A841,0))</f>
        <v>13</v>
      </c>
      <c r="B142" s="348" t="str">
        <f>IF(+All!$F841="South Alabama",+All!B841,IF(+All!$H841="South Alabama",+All!B841,0))</f>
        <v>Sat</v>
      </c>
      <c r="C142" s="48">
        <f>IF(+All!$F841="South Alabama",+All!C841,IF(+All!$H841="South Alabama",+All!C841,0))</f>
        <v>44891</v>
      </c>
      <c r="D142" s="490">
        <f>IF(+All!$F841="South Alabama",+All!D841,IF(+All!$H841="South Alabama",+All!D841,0))</f>
        <v>0.5</v>
      </c>
      <c r="E142" s="461">
        <f>IF(+All!$F841="South Alabama",+All!E841,IF(+All!$H841="South Alabama",+All!E841,0))</f>
        <v>0</v>
      </c>
      <c r="F142" s="51" t="str">
        <f>IF(+All!$F841="South Alabama",+All!F841,IF(+All!$H841="South Alabama",+All!F841,0))</f>
        <v>Old Dominion</v>
      </c>
      <c r="G142" s="52" t="str">
        <f>IF(+All!$F841="South Alabama",+All!G841,IF(+All!$H841="South Alabama",+All!G841,0))</f>
        <v>SB</v>
      </c>
      <c r="H142" s="51" t="str">
        <f>IF(+All!$F841="South Alabama",+All!H841,IF(+All!$H841="South Alabama",+All!H841,0))</f>
        <v>South Alabama</v>
      </c>
      <c r="I142" s="52" t="str">
        <f>IF(+All!$F841="South Alabama",+All!I841,IF(+All!$H841="South Alabama",+All!I841,0))</f>
        <v>SB</v>
      </c>
      <c r="J142" s="460" t="str">
        <f>IF(+All!$F841="South Alabama",+All!J841,IF(+All!$H841="South Alabama",+All!J841,0))</f>
        <v>South Alabama</v>
      </c>
      <c r="K142" s="461" t="str">
        <f>IF(+All!$F841="South Alabama",+All!K841,IF(+All!$H841="South Alabama",+All!K841,0))</f>
        <v>Old Dominion</v>
      </c>
      <c r="L142" s="54">
        <f>IF(+All!$F841="South Alabama",+All!L841,IF(+All!$H841="South Alabama",+All!L841,0))</f>
        <v>16</v>
      </c>
      <c r="M142" s="55">
        <f>IF(+All!$F841="South Alabama",+All!M841,IF(+All!$H841="South Alabama",+All!M841,0))</f>
        <v>47.5</v>
      </c>
      <c r="N142" s="460" t="str">
        <f>IF(+All!$F841="South Alabama",+All!N841,IF(+All!$H841="South Alabama",+All!N841,0))</f>
        <v>South Alabama</v>
      </c>
      <c r="O142" s="462">
        <f>IF(+All!$F841="South Alabama",+All!O841,IF(+All!$H841="South Alabama",+All!O841,0))</f>
        <v>27</v>
      </c>
      <c r="P142" s="462" t="str">
        <f>IF(+All!$F841="South Alabama",+All!P841,IF(+All!$H841="South Alabama",+All!P841,0))</f>
        <v>Old Dominion</v>
      </c>
      <c r="Q142" s="461">
        <f>IF(+All!$F841="South Alabama",+All!Q841,IF(+All!$H841="South Alabama",+All!Q841,0))</f>
        <v>20</v>
      </c>
      <c r="R142" s="460" t="str">
        <f>IF(+All!$F841="South Alabama",+All!R841,IF(+All!$H841="South Alabama",+All!R841,0))</f>
        <v>Old Dominion</v>
      </c>
      <c r="S142" s="462" t="str">
        <f>IF(+All!$F841="South Alabama",+All!S841,IF(+All!$H841="South Alabama",+All!S841,0))</f>
        <v>South Alabama</v>
      </c>
      <c r="T142" s="460" t="str">
        <f>IF(+All!$F841="South Alabama",+All!T841,IF(+All!$H841="South Alabama",+All!T841,0))</f>
        <v>South Alabama</v>
      </c>
      <c r="U142" s="461" t="str">
        <f>IF(+All!$F841="South Alabama",+All!U841,IF(+All!$H841="South Alabama",+All!U841,0))</f>
        <v>L</v>
      </c>
      <c r="V142" s="9"/>
    </row>
    <row r="143" spans="1:22" x14ac:dyDescent="0.8">
      <c r="C143" s="48"/>
      <c r="D143" s="490"/>
      <c r="F143" s="897" t="str">
        <f>H145</f>
        <v>Texas State</v>
      </c>
      <c r="G143" s="901"/>
      <c r="H143" s="901"/>
      <c r="I143" s="902"/>
      <c r="L143" s="54"/>
      <c r="M143" s="55"/>
      <c r="V143" s="9"/>
    </row>
    <row r="144" spans="1:22" s="75" customFormat="1" x14ac:dyDescent="0.8">
      <c r="A144" s="46">
        <f>IF(+All!$F65="Texas State",+All!A65,IF(+All!$H65="Texas State",+All!A65,0))</f>
        <v>1</v>
      </c>
      <c r="B144" s="348" t="str">
        <f>IF(+All!$F65="Texas State",+All!B65,IF(+All!$H65="Texas State",+All!B65,0))</f>
        <v>Sat</v>
      </c>
      <c r="C144" s="48">
        <f>IF(+All!$F65="Texas State",+All!C65,IF(+All!$H65="Texas State",+All!C65,0))</f>
        <v>44807</v>
      </c>
      <c r="D144" s="490">
        <f>IF(+All!$F65="Texas State",+All!D65,IF(+All!$H65="Texas State",+All!D65,0))</f>
        <v>0.72916666666666663</v>
      </c>
      <c r="E144" s="461">
        <f>IF(+All!$F65="Texas State",+All!E65,IF(+All!$H65="Texas State",+All!E65,0))</f>
        <v>0</v>
      </c>
      <c r="F144" s="51" t="str">
        <f>IF(+All!$F65="Texas State",+All!F65,IF(+All!$H65="Texas State",+All!F65,0))</f>
        <v>Texas State</v>
      </c>
      <c r="G144" s="52" t="str">
        <f>IF(+All!$F65="Texas State",+All!G65,IF(+All!$H65="Texas State",+All!G65,0))</f>
        <v>SB</v>
      </c>
      <c r="H144" s="51" t="str">
        <f>IF(+All!$F65="Texas State",+All!H65,IF(+All!$H65="Texas State",+All!H65,0))</f>
        <v>Nevada</v>
      </c>
      <c r="I144" s="52" t="str">
        <f>IF(+All!$F65="Texas State",+All!I65,IF(+All!$H65="Texas State",+All!I65,0))</f>
        <v>MWC</v>
      </c>
      <c r="J144" s="460" t="str">
        <f>IF(+All!$F65="Texas State",+All!J65,IF(+All!$H65="Texas State",+All!J65,0))</f>
        <v>Nevada</v>
      </c>
      <c r="K144" s="461" t="str">
        <f>IF(+All!$F65="Texas State",+All!K65,IF(+All!$H65="Texas State",+All!K65,0))</f>
        <v>Texas State</v>
      </c>
      <c r="L144" s="54">
        <f>IF(+All!$F65="Texas State",+All!L65,IF(+All!$H65="Texas State",+All!L65,0))</f>
        <v>0</v>
      </c>
      <c r="M144" s="55">
        <f>IF(+All!$F65="Texas State",+All!M65,IF(+All!$H65="Texas State",+All!M65,0))</f>
        <v>51</v>
      </c>
      <c r="N144" s="460" t="str">
        <f>IF(+All!$F65="Texas State",+All!N65,IF(+All!$H65="Texas State",+All!N65,0))</f>
        <v>Nevada</v>
      </c>
      <c r="O144" s="462">
        <f>IF(+All!$F65="Texas State",+All!O65,IF(+All!$H65="Texas State",+All!O65,0))</f>
        <v>38</v>
      </c>
      <c r="P144" s="462" t="str">
        <f>IF(+All!$F65="Texas State",+All!P65,IF(+All!$H65="Texas State",+All!P65,0))</f>
        <v>Texas State</v>
      </c>
      <c r="Q144" s="461">
        <f>IF(+All!$F65="Texas State",+All!Q65,IF(+All!$H65="Texas State",+All!Q65,0))</f>
        <v>14</v>
      </c>
      <c r="R144" s="460" t="str">
        <f>IF(+All!$F65="Texas State",+All!R65,IF(+All!$H65="Texas State",+All!R65,0))</f>
        <v>Nevada</v>
      </c>
      <c r="S144" s="462" t="str">
        <f>IF(+All!$F65="Texas State",+All!S65,IF(+All!$H65="Texas State",+All!S65,0))</f>
        <v>Texas State</v>
      </c>
      <c r="T144" s="460" t="str">
        <f>IF(+All!$F65="Texas State",+All!T65,IF(+All!$H65="Texas State",+All!T65,0))</f>
        <v>Nevada</v>
      </c>
      <c r="U144" s="461" t="str">
        <f>IF(+All!$F65="Texas State",+All!U65,IF(+All!$H65="Texas State",+All!U65,0))</f>
        <v>W</v>
      </c>
      <c r="V144" s="482"/>
    </row>
    <row r="145" spans="1:22" s="75" customFormat="1" x14ac:dyDescent="0.8">
      <c r="A145" s="46">
        <f>IF(+All!$F167="Texas State",+All!A167,IF(+All!$H167="Texas State",+All!A167,0))</f>
        <v>2</v>
      </c>
      <c r="B145" s="348" t="str">
        <f>IF(+All!$F167="Texas State",+All!B167,IF(+All!$H167="Texas State",+All!B167,0))</f>
        <v>Sat</v>
      </c>
      <c r="C145" s="48">
        <f>IF(+All!$F167="Texas State",+All!C167,IF(+All!$H167="Texas State",+All!C167,0))</f>
        <v>44814</v>
      </c>
      <c r="D145" s="490">
        <f>IF(+All!$F167="Texas State",+All!D167,IF(+All!$H167="Texas State",+All!D167,0))</f>
        <v>0.79166666666666663</v>
      </c>
      <c r="E145" s="461">
        <f>IF(+All!$F167="Texas State",+All!E167,IF(+All!$H167="Texas State",+All!E167,0))</f>
        <v>0</v>
      </c>
      <c r="F145" s="51" t="str">
        <f>IF(+All!$F167="Texas State",+All!F167,IF(+All!$H167="Texas State",+All!F167,0))</f>
        <v>Florida Intl</v>
      </c>
      <c r="G145" s="52" t="str">
        <f>IF(+All!$F167="Texas State",+All!G167,IF(+All!$H167="Texas State",+All!G167,0))</f>
        <v>CUSA</v>
      </c>
      <c r="H145" s="51" t="str">
        <f>IF(+All!$F167="Texas State",+All!H167,IF(+All!$H167="Texas State",+All!H167,0))</f>
        <v>Texas State</v>
      </c>
      <c r="I145" s="52" t="str">
        <f>IF(+All!$F167="Texas State",+All!I167,IF(+All!$H167="Texas State",+All!I167,0))</f>
        <v>SB</v>
      </c>
      <c r="J145" s="460" t="str">
        <f>IF(+All!$F167="Texas State",+All!J167,IF(+All!$H167="Texas State",+All!J167,0))</f>
        <v>Texas State</v>
      </c>
      <c r="K145" s="461" t="str">
        <f>IF(+All!$F167="Texas State",+All!K167,IF(+All!$H167="Texas State",+All!K167,0))</f>
        <v>Florida Intl</v>
      </c>
      <c r="L145" s="54">
        <f>IF(+All!$F167="Texas State",+All!L167,IF(+All!$H167="Texas State",+All!L167,0))</f>
        <v>14</v>
      </c>
      <c r="M145" s="55">
        <f>IF(+All!$F167="Texas State",+All!M167,IF(+All!$H167="Texas State",+All!M167,0))</f>
        <v>61</v>
      </c>
      <c r="N145" s="460" t="str">
        <f>IF(+All!$F167="Texas State",+All!N167,IF(+All!$H167="Texas State",+All!N167,0))</f>
        <v>Texas State</v>
      </c>
      <c r="O145" s="462">
        <f>IF(+All!$F167="Texas State",+All!O167,IF(+All!$H167="Texas State",+All!O167,0))</f>
        <v>41</v>
      </c>
      <c r="P145" s="462" t="str">
        <f>IF(+All!$F167="Texas State",+All!P167,IF(+All!$H167="Texas State",+All!P167,0))</f>
        <v>Florida Intl</v>
      </c>
      <c r="Q145" s="461">
        <f>IF(+All!$F167="Texas State",+All!Q167,IF(+All!$H167="Texas State",+All!Q167,0))</f>
        <v>12</v>
      </c>
      <c r="R145" s="460" t="str">
        <f>IF(+All!$F167="Texas State",+All!R167,IF(+All!$H167="Texas State",+All!R167,0))</f>
        <v>Texas State</v>
      </c>
      <c r="S145" s="462" t="str">
        <f>IF(+All!$F167="Texas State",+All!S167,IF(+All!$H167="Texas State",+All!S167,0))</f>
        <v>Florida Intl</v>
      </c>
      <c r="T145" s="460" t="str">
        <f>IF(+All!$F167="Texas State",+All!T167,IF(+All!$H167="Texas State",+All!T167,0))</f>
        <v>Texas State</v>
      </c>
      <c r="U145" s="461" t="str">
        <f>IF(+All!$F167="Texas State",+All!U167,IF(+All!$H167="Texas State",+All!U167,0))</f>
        <v>W</v>
      </c>
      <c r="V145" s="482"/>
    </row>
    <row r="146" spans="1:22" s="75" customFormat="1" x14ac:dyDescent="0.8">
      <c r="A146" s="46">
        <f>IF(+All!$F206="Texas State",+All!A206,IF(+All!$H206="Texas State",+All!A206,0))</f>
        <v>3</v>
      </c>
      <c r="B146" s="348" t="str">
        <f>IF(+All!$F206="Texas State",+All!B206,IF(+All!$H206="Texas State",+All!B206,0))</f>
        <v>Sat</v>
      </c>
      <c r="C146" s="48">
        <f>IF(+All!$F206="Texas State",+All!C206,IF(+All!$H206="Texas State",+All!C206,0))</f>
        <v>44821</v>
      </c>
      <c r="D146" s="490">
        <f>IF(+All!$F206="Texas State",+All!D206,IF(+All!$H206="Texas State",+All!D206,0))</f>
        <v>0.5</v>
      </c>
      <c r="E146" s="461" t="str">
        <f>IF(+All!$F206="Texas State",+All!E206,IF(+All!$H206="Texas State",+All!E206,0))</f>
        <v>FS1</v>
      </c>
      <c r="F146" s="51" t="str">
        <f>IF(+All!$F206="Texas State",+All!F206,IF(+All!$H206="Texas State",+All!F206,0))</f>
        <v>Texas State</v>
      </c>
      <c r="G146" s="52" t="str">
        <f>IF(+All!$F206="Texas State",+All!G206,IF(+All!$H206="Texas State",+All!G206,0))</f>
        <v>SB</v>
      </c>
      <c r="H146" s="51" t="str">
        <f>IF(+All!$F206="Texas State",+All!H206,IF(+All!$H206="Texas State",+All!H206,0))</f>
        <v>Baylor</v>
      </c>
      <c r="I146" s="52" t="str">
        <f>IF(+All!$F206="Texas State",+All!I206,IF(+All!$H206="Texas State",+All!I206,0))</f>
        <v>B12</v>
      </c>
      <c r="J146" s="460" t="str">
        <f>IF(+All!$F206="Texas State",+All!J206,IF(+All!$H206="Texas State",+All!J206,0))</f>
        <v>Baylor</v>
      </c>
      <c r="K146" s="461" t="str">
        <f>IF(+All!$F206="Texas State",+All!K206,IF(+All!$H206="Texas State",+All!K206,0))</f>
        <v>Texas State</v>
      </c>
      <c r="L146" s="54">
        <f>IF(+All!$F206="Texas State",+All!L206,IF(+All!$H206="Texas State",+All!L206,0))</f>
        <v>30</v>
      </c>
      <c r="M146" s="55">
        <f>IF(+All!$F206="Texas State",+All!M206,IF(+All!$H206="Texas State",+All!M206,0))</f>
        <v>53</v>
      </c>
      <c r="N146" s="460" t="str">
        <f>IF(+All!$F206="Texas State",+All!N206,IF(+All!$H206="Texas State",+All!N206,0))</f>
        <v>Baylor</v>
      </c>
      <c r="O146" s="462">
        <f>IF(+All!$F206="Texas State",+All!O206,IF(+All!$H206="Texas State",+All!O206,0))</f>
        <v>42</v>
      </c>
      <c r="P146" s="462" t="str">
        <f>IF(+All!$F206="Texas State",+All!P206,IF(+All!$H206="Texas State",+All!P206,0))</f>
        <v>Texas State</v>
      </c>
      <c r="Q146" s="461">
        <f>IF(+All!$F206="Texas State",+All!Q206,IF(+All!$H206="Texas State",+All!Q206,0))</f>
        <v>7</v>
      </c>
      <c r="R146" s="460" t="str">
        <f>IF(+All!$F206="Texas State",+All!R206,IF(+All!$H206="Texas State",+All!R206,0))</f>
        <v>Baylor</v>
      </c>
      <c r="S146" s="462" t="str">
        <f>IF(+All!$F206="Texas State",+All!S206,IF(+All!$H206="Texas State",+All!S206,0))</f>
        <v>Texas State</v>
      </c>
      <c r="T146" s="460" t="str">
        <f>IF(+All!$F206="Texas State",+All!T206,IF(+All!$H206="Texas State",+All!T206,0))</f>
        <v>Baylor</v>
      </c>
      <c r="U146" s="461" t="str">
        <f>IF(+All!$F206="Texas State",+All!U206,IF(+All!$H206="Texas State",+All!U206,0))</f>
        <v>W</v>
      </c>
      <c r="V146" s="482"/>
    </row>
    <row r="147" spans="1:22" s="75" customFormat="1" x14ac:dyDescent="0.8">
      <c r="A147" s="46">
        <f>IF(+All!$F305="Texas State",+All!A305,IF(+All!$H305="Texas State",+All!A305,0))</f>
        <v>4</v>
      </c>
      <c r="B147" s="348" t="str">
        <f>IF(+All!$F305="Texas State",+All!B305,IF(+All!$H305="Texas State",+All!B305,0))</f>
        <v>Sat</v>
      </c>
      <c r="C147" s="48">
        <f>IF(+All!$F305="Texas State",+All!C305,IF(+All!$H305="Texas State",+All!C305,0))</f>
        <v>414088</v>
      </c>
      <c r="D147" s="490">
        <f>IF(+All!$F305="Texas State",+All!D305,IF(+All!$H305="Texas State",+All!D305,0))</f>
        <v>0.79166666666666663</v>
      </c>
      <c r="E147" s="461" t="str">
        <f>IF(+All!$F305="Texas State",+All!E305,IF(+All!$H305="Texas State",+All!E305,0))</f>
        <v>espn3</v>
      </c>
      <c r="F147" s="51" t="str">
        <f>IF(+All!$F305="Texas State",+All!F305,IF(+All!$H305="Texas State",+All!F305,0))</f>
        <v>1AA Houston Baptist</v>
      </c>
      <c r="G147" s="52" t="str">
        <f>IF(+All!$F305="Texas State",+All!G305,IF(+All!$H305="Texas State",+All!G305,0))</f>
        <v>1AA</v>
      </c>
      <c r="H147" s="51" t="str">
        <f>IF(+All!$F305="Texas State",+All!H305,IF(+All!$H305="Texas State",+All!H305,0))</f>
        <v>Texas State</v>
      </c>
      <c r="I147" s="52" t="str">
        <f>IF(+All!$F305="Texas State",+All!I305,IF(+All!$H305="Texas State",+All!I305,0))</f>
        <v>SB</v>
      </c>
      <c r="J147" s="460">
        <f>IF(+All!$F305="Texas State",+All!J305,IF(+All!$H305="Texas State",+All!J305,0))</f>
        <v>0</v>
      </c>
      <c r="K147" s="461">
        <f>IF(+All!$F305="Texas State",+All!K305,IF(+All!$H305="Texas State",+All!K305,0))</f>
        <v>0</v>
      </c>
      <c r="L147" s="54">
        <f>IF(+All!$F305="Texas State",+All!L305,IF(+All!$H305="Texas State",+All!L305,0))</f>
        <v>0</v>
      </c>
      <c r="M147" s="55">
        <f>IF(+All!$F305="Texas State",+All!M305,IF(+All!$H305="Texas State",+All!M305,0))</f>
        <v>0</v>
      </c>
      <c r="N147" s="460" t="str">
        <f>IF(+All!$F305="Texas State",+All!N305,IF(+All!$H305="Texas State",+All!N305,0))</f>
        <v>Texas State</v>
      </c>
      <c r="O147" s="462">
        <f>IF(+All!$F305="Texas State",+All!O305,IF(+All!$H305="Texas State",+All!O305,0))</f>
        <v>34</v>
      </c>
      <c r="P147" s="462" t="str">
        <f>IF(+All!$F305="Texas State",+All!P305,IF(+All!$H305="Texas State",+All!P305,0))</f>
        <v>1AA Houston Baptist</v>
      </c>
      <c r="Q147" s="461">
        <f>IF(+All!$F305="Texas State",+All!Q305,IF(+All!$H305="Texas State",+All!Q305,0))</f>
        <v>0</v>
      </c>
      <c r="R147" s="460">
        <f>IF(+All!$F305="Texas State",+All!R305,IF(+All!$H305="Texas State",+All!R305,0))</f>
        <v>0</v>
      </c>
      <c r="S147" s="462">
        <f>IF(+All!$F305="Texas State",+All!S305,IF(+All!$H305="Texas State",+All!S305,0))</f>
        <v>0</v>
      </c>
      <c r="T147" s="460">
        <f>IF(+All!$F305="Texas State",+All!T305,IF(+All!$H305="Texas State",+All!T305,0))</f>
        <v>0</v>
      </c>
      <c r="U147" s="461">
        <f>IF(+All!$F305="Texas State",+All!U305,IF(+All!$H305="Texas State",+All!U305,0))</f>
        <v>0</v>
      </c>
      <c r="V147" s="482"/>
    </row>
    <row r="148" spans="1:22" s="75" customFormat="1" x14ac:dyDescent="0.8">
      <c r="A148" s="46">
        <f>IF(+All!$F371="Texas State",+All!A371,IF(+All!$H371="Texas State",+All!A371,0))</f>
        <v>5</v>
      </c>
      <c r="B148" s="348" t="str">
        <f>IF(+All!$F371="Texas State",+All!B371,IF(+All!$H371="Texas State",+All!B371,0))</f>
        <v>Sat</v>
      </c>
      <c r="C148" s="48">
        <f>IF(+All!$F371="Texas State",+All!C371,IF(+All!$H371="Texas State",+All!C371,0))</f>
        <v>44835</v>
      </c>
      <c r="D148" s="490">
        <f>IF(+All!$F371="Texas State",+All!D371,IF(+All!$H371="Texas State",+All!D371,0))</f>
        <v>0.5625</v>
      </c>
      <c r="E148" s="461">
        <f>IF(+All!$F371="Texas State",+All!E371,IF(+All!$H371="Texas State",+All!E371,0))</f>
        <v>0</v>
      </c>
      <c r="F148" s="51" t="str">
        <f>IF(+All!$F371="Texas State",+All!F371,IF(+All!$H371="Texas State",+All!F371,0))</f>
        <v>Texas State</v>
      </c>
      <c r="G148" s="52" t="str">
        <f>IF(+All!$F371="Texas State",+All!G371,IF(+All!$H371="Texas State",+All!G371,0))</f>
        <v>SB</v>
      </c>
      <c r="H148" s="51" t="str">
        <f>IF(+All!$F371="Texas State",+All!H371,IF(+All!$H371="Texas State",+All!H371,0))</f>
        <v>James Madison</v>
      </c>
      <c r="I148" s="52" t="str">
        <f>IF(+All!$F371="Texas State",+All!I371,IF(+All!$H371="Texas State",+All!I371,0))</f>
        <v>SB</v>
      </c>
      <c r="J148" s="460" t="str">
        <f>IF(+All!$F371="Texas State",+All!J371,IF(+All!$H371="Texas State",+All!J371,0))</f>
        <v>James Madison</v>
      </c>
      <c r="K148" s="461" t="str">
        <f>IF(+All!$F371="Texas State",+All!K371,IF(+All!$H371="Texas State",+All!K371,0))</f>
        <v>Texas State</v>
      </c>
      <c r="L148" s="54">
        <f>IF(+All!$F371="Texas State",+All!L371,IF(+All!$H371="Texas State",+All!L371,0))</f>
        <v>21.5</v>
      </c>
      <c r="M148" s="55">
        <f>IF(+All!$F371="Texas State",+All!M371,IF(+All!$H371="Texas State",+All!M371,0))</f>
        <v>50.5</v>
      </c>
      <c r="N148" s="460" t="str">
        <f>IF(+All!$F371="Texas State",+All!N371,IF(+All!$H371="Texas State",+All!N371,0))</f>
        <v>James Madison</v>
      </c>
      <c r="O148" s="462">
        <f>IF(+All!$F371="Texas State",+All!O371,IF(+All!$H371="Texas State",+All!O371,0))</f>
        <v>40</v>
      </c>
      <c r="P148" s="462" t="str">
        <f>IF(+All!$F371="Texas State",+All!P371,IF(+All!$H371="Texas State",+All!P371,0))</f>
        <v>Texas State</v>
      </c>
      <c r="Q148" s="461">
        <f>IF(+All!$F371="Texas State",+All!Q371,IF(+All!$H371="Texas State",+All!Q371,0))</f>
        <v>13</v>
      </c>
      <c r="R148" s="460" t="str">
        <f>IF(+All!$F371="Texas State",+All!R371,IF(+All!$H371="Texas State",+All!R371,0))</f>
        <v>James Madison</v>
      </c>
      <c r="S148" s="462" t="str">
        <f>IF(+All!$F371="Texas State",+All!S371,IF(+All!$H371="Texas State",+All!S371,0))</f>
        <v>Texas State</v>
      </c>
      <c r="T148" s="460" t="str">
        <f>IF(+All!$F371="Texas State",+All!T371,IF(+All!$H371="Texas State",+All!T371,0))</f>
        <v>James Madison</v>
      </c>
      <c r="U148" s="461" t="str">
        <f>IF(+All!$F371="Texas State",+All!U371,IF(+All!$H371="Texas State",+All!U371,0))</f>
        <v>W</v>
      </c>
      <c r="V148" s="482"/>
    </row>
    <row r="149" spans="1:22" s="75" customFormat="1" x14ac:dyDescent="0.8">
      <c r="A149" s="46">
        <f>IF(+All!$F428="Texas State",+All!A428,IF(+All!$H428="Texas State",+All!A428,0))</f>
        <v>6</v>
      </c>
      <c r="B149" s="348" t="str">
        <f>IF(+All!$F428="Texas State",+All!B428,IF(+All!$H428="Texas State",+All!B428,0))</f>
        <v>Sat</v>
      </c>
      <c r="C149" s="48">
        <f>IF(+All!$F428="Texas State",+All!C428,IF(+All!$H428="Texas State",+All!C428,0))</f>
        <v>44842</v>
      </c>
      <c r="D149" s="490">
        <f>IF(+All!$F428="Texas State",+All!D428,IF(+All!$H428="Texas State",+All!D428,0))</f>
        <v>0.79166666666666663</v>
      </c>
      <c r="E149" s="461">
        <f>IF(+All!$F428="Texas State",+All!E428,IF(+All!$H428="Texas State",+All!E428,0))</f>
        <v>0</v>
      </c>
      <c r="F149" s="51" t="str">
        <f>IF(+All!$F428="Texas State",+All!F428,IF(+All!$H428="Texas State",+All!F428,0))</f>
        <v>Appalachian State</v>
      </c>
      <c r="G149" s="52" t="str">
        <f>IF(+All!$F428="Texas State",+All!G428,IF(+All!$H428="Texas State",+All!G428,0))</f>
        <v>SB</v>
      </c>
      <c r="H149" s="51" t="str">
        <f>IF(+All!$F428="Texas State",+All!H428,IF(+All!$H428="Texas State",+All!H428,0))</f>
        <v>Texas State</v>
      </c>
      <c r="I149" s="52" t="str">
        <f>IF(+All!$F428="Texas State",+All!I428,IF(+All!$H428="Texas State",+All!I428,0))</f>
        <v>SB</v>
      </c>
      <c r="J149" s="460" t="str">
        <f>IF(+All!$F428="Texas State",+All!J428,IF(+All!$H428="Texas State",+All!J428,0))</f>
        <v>Appalachian State</v>
      </c>
      <c r="K149" s="461" t="str">
        <f>IF(+All!$F428="Texas State",+All!K428,IF(+All!$H428="Texas State",+All!K428,0))</f>
        <v>Texas State</v>
      </c>
      <c r="L149" s="54">
        <f>IF(+All!$F428="Texas State",+All!L428,IF(+All!$H428="Texas State",+All!L428,0))</f>
        <v>19</v>
      </c>
      <c r="M149" s="55">
        <f>IF(+All!$F428="Texas State",+All!M428,IF(+All!$H428="Texas State",+All!M428,0))</f>
        <v>55</v>
      </c>
      <c r="N149" s="460" t="str">
        <f>IF(+All!$F428="Texas State",+All!N428,IF(+All!$H428="Texas State",+All!N428,0))</f>
        <v>Texas State</v>
      </c>
      <c r="O149" s="462">
        <f>IF(+All!$F428="Texas State",+All!O428,IF(+All!$H428="Texas State",+All!O428,0))</f>
        <v>36</v>
      </c>
      <c r="P149" s="462" t="str">
        <f>IF(+All!$F428="Texas State",+All!P428,IF(+All!$H428="Texas State",+All!P428,0))</f>
        <v>Appalachian State</v>
      </c>
      <c r="Q149" s="461">
        <f>IF(+All!$F428="Texas State",+All!Q428,IF(+All!$H428="Texas State",+All!Q428,0))</f>
        <v>24</v>
      </c>
      <c r="R149" s="460" t="str">
        <f>IF(+All!$F428="Texas State",+All!R428,IF(+All!$H428="Texas State",+All!R428,0))</f>
        <v>Texas State</v>
      </c>
      <c r="S149" s="462" t="str">
        <f>IF(+All!$F428="Texas State",+All!S428,IF(+All!$H428="Texas State",+All!S428,0))</f>
        <v>Appalachian State</v>
      </c>
      <c r="T149" s="460" t="str">
        <f>IF(+All!$F428="Texas State",+All!T428,IF(+All!$H428="Texas State",+All!T428,0))</f>
        <v>Appalachian State</v>
      </c>
      <c r="U149" s="461" t="str">
        <f>IF(+All!$F428="Texas State",+All!U428,IF(+All!$H428="Texas State",+All!U428,0))</f>
        <v>L</v>
      </c>
      <c r="V149" s="482"/>
    </row>
    <row r="150" spans="1:22" s="75" customFormat="1" x14ac:dyDescent="0.8">
      <c r="A150" s="46">
        <f>IF(+All!$F485="Texas State",+All!A485,IF(+All!$H485="Texas State",+All!A485,0))</f>
        <v>7</v>
      </c>
      <c r="B150" s="348" t="str">
        <f>IF(+All!$F485="Texas State",+All!B485,IF(+All!$H485="Texas State",+All!B485,0))</f>
        <v>Sat</v>
      </c>
      <c r="C150" s="48">
        <f>IF(+All!$F485="Texas State",+All!C485,IF(+All!$H485="Texas State",+All!C485,0))</f>
        <v>44849</v>
      </c>
      <c r="D150" s="490">
        <f>IF(+All!$F485="Texas State",+All!D485,IF(+All!$H485="Texas State",+All!D485,0))</f>
        <v>0.64583333333333337</v>
      </c>
      <c r="E150" s="461" t="str">
        <f>IF(+All!$F485="Texas State",+All!E485,IF(+All!$H485="Texas State",+All!E485,0))</f>
        <v>espn3</v>
      </c>
      <c r="F150" s="51" t="str">
        <f>IF(+All!$F485="Texas State",+All!F485,IF(+All!$H485="Texas State",+All!F485,0))</f>
        <v>Texas State</v>
      </c>
      <c r="G150" s="52" t="str">
        <f>IF(+All!$F485="Texas State",+All!G485,IF(+All!$H485="Texas State",+All!G485,0))</f>
        <v>SB</v>
      </c>
      <c r="H150" s="51" t="str">
        <f>IF(+All!$F485="Texas State",+All!H485,IF(+All!$H485="Texas State",+All!H485,0))</f>
        <v>Troy</v>
      </c>
      <c r="I150" s="52" t="str">
        <f>IF(+All!$F485="Texas State",+All!I485,IF(+All!$H485="Texas State",+All!I485,0))</f>
        <v>SB</v>
      </c>
      <c r="J150" s="460" t="str">
        <f>IF(+All!$F485="Texas State",+All!J485,IF(+All!$H485="Texas State",+All!J485,0))</f>
        <v>Troy</v>
      </c>
      <c r="K150" s="461" t="str">
        <f>IF(+All!$F485="Texas State",+All!K485,IF(+All!$H485="Texas State",+All!K485,0))</f>
        <v>Texas State</v>
      </c>
      <c r="L150" s="54">
        <f>IF(+All!$F485="Texas State",+All!L485,IF(+All!$H485="Texas State",+All!L485,0))</f>
        <v>16.5</v>
      </c>
      <c r="M150" s="55">
        <f>IF(+All!$F485="Texas State",+All!M485,IF(+All!$H485="Texas State",+All!M485,0))</f>
        <v>48.5</v>
      </c>
      <c r="N150" s="460" t="str">
        <f>IF(+All!$F485="Texas State",+All!N485,IF(+All!$H485="Texas State",+All!N485,0))</f>
        <v>Troy</v>
      </c>
      <c r="O150" s="462">
        <f>IF(+All!$F485="Texas State",+All!O485,IF(+All!$H485="Texas State",+All!O485,0))</f>
        <v>17</v>
      </c>
      <c r="P150" s="462" t="str">
        <f>IF(+All!$F485="Texas State",+All!P485,IF(+All!$H485="Texas State",+All!P485,0))</f>
        <v>Texas State</v>
      </c>
      <c r="Q150" s="461">
        <f>IF(+All!$F485="Texas State",+All!Q485,IF(+All!$H485="Texas State",+All!Q485,0))</f>
        <v>14</v>
      </c>
      <c r="R150" s="460" t="str">
        <f>IF(+All!$F485="Texas State",+All!R485,IF(+All!$H485="Texas State",+All!R485,0))</f>
        <v>Texas State</v>
      </c>
      <c r="S150" s="462" t="str">
        <f>IF(+All!$F485="Texas State",+All!S485,IF(+All!$H485="Texas State",+All!S485,0))</f>
        <v>Troy</v>
      </c>
      <c r="T150" s="460" t="str">
        <f>IF(+All!$F485="Texas State",+All!T485,IF(+All!$H485="Texas State",+All!T485,0))</f>
        <v>Troy</v>
      </c>
      <c r="U150" s="461" t="str">
        <f>IF(+All!$F485="Texas State",+All!U485,IF(+All!$H485="Texas State",+All!U485,0))</f>
        <v>L</v>
      </c>
      <c r="V150" s="482"/>
    </row>
    <row r="151" spans="1:22" s="75" customFormat="1" x14ac:dyDescent="0.8">
      <c r="A151" s="46">
        <f>IF(+All!$F493="Texas State",+All!A493,IF(+All!$H493="Texas State",+All!A493,0))</f>
        <v>0</v>
      </c>
      <c r="B151" s="348">
        <f>IF(+All!$F493="Texas State",+All!B493,IF(+All!$H493="Texas State",+All!B493,0))</f>
        <v>0</v>
      </c>
      <c r="C151" s="48">
        <f>IF(+All!$F493="Texas State",+All!C493,IF(+All!$H493="Texas State",+All!C493,0))</f>
        <v>0</v>
      </c>
      <c r="D151" s="490">
        <f>IF(+All!$F493="Texas State",+All!D493,IF(+All!$H493="Texas State",+All!D493,0))</f>
        <v>0</v>
      </c>
      <c r="E151" s="461">
        <f>IF(+All!$F493="Texas State",+All!E493,IF(+All!$H493="Texas State",+All!E493,0))</f>
        <v>0</v>
      </c>
      <c r="F151" s="51">
        <f>IF(+All!$F493="Texas State",+All!F493,IF(+All!$H493="Texas State",+All!F493,0))</f>
        <v>0</v>
      </c>
      <c r="G151" s="52">
        <f>IF(+All!$F493="Texas State",+All!G493,IF(+All!$H493="Texas State",+All!G493,0))</f>
        <v>0</v>
      </c>
      <c r="H151" s="51">
        <f>IF(+All!$F493="Texas State",+All!H493,IF(+All!$H493="Texas State",+All!H493,0))</f>
        <v>0</v>
      </c>
      <c r="I151" s="52">
        <f>IF(+All!$F493="Texas State",+All!I493,IF(+All!$H493="Texas State",+All!I493,0))</f>
        <v>0</v>
      </c>
      <c r="J151" s="460">
        <f>IF(+All!$F493="Texas State",+All!J493,IF(+All!$H493="Texas State",+All!J493,0))</f>
        <v>0</v>
      </c>
      <c r="K151" s="461">
        <f>IF(+All!$F493="Texas State",+All!K493,IF(+All!$H493="Texas State",+All!K493,0))</f>
        <v>0</v>
      </c>
      <c r="L151" s="54">
        <f>IF(+All!$F493="Texas State",+All!L493,IF(+All!$H493="Texas State",+All!L493,0))</f>
        <v>0</v>
      </c>
      <c r="M151" s="55">
        <f>IF(+All!$F493="Texas State",+All!M493,IF(+All!$H493="Texas State",+All!M493,0))</f>
        <v>0</v>
      </c>
      <c r="N151" s="460">
        <f>IF(+All!$F493="Texas State",+All!N493,IF(+All!$H493="Texas State",+All!N493,0))</f>
        <v>0</v>
      </c>
      <c r="O151" s="462">
        <f>IF(+All!$F493="Texas State",+All!O493,IF(+All!$H493="Texas State",+All!O493,0))</f>
        <v>0</v>
      </c>
      <c r="P151" s="462">
        <f>IF(+All!$F493="Texas State",+All!P493,IF(+All!$H493="Texas State",+All!P493,0))</f>
        <v>0</v>
      </c>
      <c r="Q151" s="461">
        <f>IF(+All!$F493="Texas State",+All!Q493,IF(+All!$H493="Texas State",+All!Q493,0))</f>
        <v>0</v>
      </c>
      <c r="R151" s="460">
        <f>IF(+All!$F493="Texas State",+All!R493,IF(+All!$H493="Texas State",+All!R493,0))</f>
        <v>0</v>
      </c>
      <c r="S151" s="462">
        <f>IF(+All!$F493="Texas State",+All!S493,IF(+All!$H493="Texas State",+All!S493,0))</f>
        <v>0</v>
      </c>
      <c r="T151" s="460">
        <f>IF(+All!$F493="Texas State",+All!T493,IF(+All!$H493="Texas State",+All!T493,0))</f>
        <v>0</v>
      </c>
      <c r="U151" s="461">
        <f>IF(+All!$F493="Texas State",+All!U493,IF(+All!$H493="Texas State",+All!U493,0))</f>
        <v>0</v>
      </c>
      <c r="V151" s="482"/>
    </row>
    <row r="152" spans="1:22" s="75" customFormat="1" x14ac:dyDescent="0.8">
      <c r="A152" s="46" t="e">
        <f>IF(+All!#REF!="Texas State",+All!#REF!,IF(+All!#REF!="Texas State",+All!#REF!,0))</f>
        <v>#REF!</v>
      </c>
      <c r="B152" s="348" t="e">
        <f>IF(+All!#REF!="Texas State",+All!#REF!,IF(+All!#REF!="Texas State",+All!#REF!,0))</f>
        <v>#REF!</v>
      </c>
      <c r="C152" s="48" t="e">
        <f>IF(+All!#REF!="Texas State",+All!#REF!,IF(+All!#REF!="Texas State",+All!#REF!,0))</f>
        <v>#REF!</v>
      </c>
      <c r="D152" s="490" t="e">
        <f>IF(+All!#REF!="Texas State",+All!#REF!,IF(+All!#REF!="Texas State",+All!#REF!,0))</f>
        <v>#REF!</v>
      </c>
      <c r="E152" s="461" t="e">
        <f>IF(+All!#REF!="Texas State",+All!#REF!,IF(+All!#REF!="Texas State",+All!#REF!,0))</f>
        <v>#REF!</v>
      </c>
      <c r="F152" s="51" t="e">
        <f>IF(+All!#REF!="Texas State",+All!#REF!,IF(+All!#REF!="Texas State",+All!#REF!,0))</f>
        <v>#REF!</v>
      </c>
      <c r="G152" s="52" t="e">
        <f>IF(+All!#REF!="Texas State",+All!#REF!,IF(+All!#REF!="Texas State",+All!#REF!,0))</f>
        <v>#REF!</v>
      </c>
      <c r="H152" s="51" t="e">
        <f>IF(+All!#REF!="Texas State",+All!#REF!,IF(+All!#REF!="Texas State",+All!#REF!,0))</f>
        <v>#REF!</v>
      </c>
      <c r="I152" s="52" t="e">
        <f>IF(+All!#REF!="Texas State",+All!#REF!,IF(+All!#REF!="Texas State",+All!#REF!,0))</f>
        <v>#REF!</v>
      </c>
      <c r="J152" s="460" t="e">
        <f>IF(+All!#REF!="Texas State",+All!#REF!,IF(+All!#REF!="Texas State",+All!#REF!,0))</f>
        <v>#REF!</v>
      </c>
      <c r="K152" s="461" t="e">
        <f>IF(+All!#REF!="Texas State",+All!#REF!,IF(+All!#REF!="Texas State",+All!#REF!,0))</f>
        <v>#REF!</v>
      </c>
      <c r="L152" s="54" t="e">
        <f>IF(+All!#REF!="Texas State",+All!#REF!,IF(+All!#REF!="Texas State",+All!#REF!,0))</f>
        <v>#REF!</v>
      </c>
      <c r="M152" s="55" t="e">
        <f>IF(+All!#REF!="Texas State",+All!#REF!,IF(+All!#REF!="Texas State",+All!#REF!,0))</f>
        <v>#REF!</v>
      </c>
      <c r="N152" s="460" t="e">
        <f>IF(+All!#REF!="Texas State",+All!#REF!,IF(+All!#REF!="Texas State",+All!#REF!,0))</f>
        <v>#REF!</v>
      </c>
      <c r="O152" s="462" t="e">
        <f>IF(+All!#REF!="Texas State",+All!#REF!,IF(+All!#REF!="Texas State",+All!#REF!,0))</f>
        <v>#REF!</v>
      </c>
      <c r="P152" s="462" t="e">
        <f>IF(+All!#REF!="Texas State",+All!#REF!,IF(+All!#REF!="Texas State",+All!#REF!,0))</f>
        <v>#REF!</v>
      </c>
      <c r="Q152" s="461" t="e">
        <f>IF(+All!#REF!="Texas State",+All!#REF!,IF(+All!#REF!="Texas State",+All!#REF!,0))</f>
        <v>#REF!</v>
      </c>
      <c r="R152" s="460" t="e">
        <f>IF(+All!#REF!="Texas State",+All!#REF!,IF(+All!#REF!="Texas State",+All!#REF!,0))</f>
        <v>#REF!</v>
      </c>
      <c r="S152" s="462" t="e">
        <f>IF(+All!#REF!="Texas State",+All!#REF!,IF(+All!#REF!="Texas State",+All!#REF!,0))</f>
        <v>#REF!</v>
      </c>
      <c r="T152" s="460" t="e">
        <f>IF(+All!#REF!="Texas State",+All!#REF!,IF(+All!#REF!="Texas State",+All!#REF!,0))</f>
        <v>#REF!</v>
      </c>
      <c r="U152" s="461" t="e">
        <f>IF(+All!#REF!="Texas State",+All!#REF!,IF(+All!#REF!="Texas State",+All!#REF!,0))</f>
        <v>#REF!</v>
      </c>
      <c r="V152" s="482"/>
    </row>
    <row r="153" spans="1:22" s="75" customFormat="1" x14ac:dyDescent="0.8">
      <c r="A153" s="46">
        <f>IF(+All!$F645="Texas State",+All!A645,IF(+All!$H645="Texas State",+All!A645,0))</f>
        <v>10</v>
      </c>
      <c r="B153" s="348" t="str">
        <f>IF(+All!$F645="Texas State",+All!B645,IF(+All!$H645="Texas State",+All!B645,0))</f>
        <v>Sat</v>
      </c>
      <c r="C153" s="48">
        <f>IF(+All!$F645="Texas State",+All!C645,IF(+All!$H645="Texas State",+All!C645,0))</f>
        <v>44870</v>
      </c>
      <c r="D153" s="490">
        <f>IF(+All!$F645="Texas State",+All!D645,IF(+All!$H645="Texas State",+All!D645,0))</f>
        <v>0.70833333333333337</v>
      </c>
      <c r="E153" s="461" t="str">
        <f>IF(+All!$F645="Texas State",+All!E645,IF(+All!$H645="Texas State",+All!E645,0))</f>
        <v>espn3</v>
      </c>
      <c r="F153" s="51" t="str">
        <f>IF(+All!$F645="Texas State",+All!F645,IF(+All!$H645="Texas State",+All!F645,0))</f>
        <v>Texas State</v>
      </c>
      <c r="G153" s="52" t="str">
        <f>IF(+All!$F645="Texas State",+All!G645,IF(+All!$H645="Texas State",+All!G645,0))</f>
        <v>SB</v>
      </c>
      <c r="H153" s="51" t="str">
        <f>IF(+All!$F645="Texas State",+All!H645,IF(+All!$H645="Texas State",+All!H645,0))</f>
        <v>UL Monroe</v>
      </c>
      <c r="I153" s="52" t="str">
        <f>IF(+All!$F645="Texas State",+All!I645,IF(+All!$H645="Texas State",+All!I645,0))</f>
        <v>SB</v>
      </c>
      <c r="J153" s="460" t="str">
        <f>IF(+All!$F645="Texas State",+All!J645,IF(+All!$H645="Texas State",+All!J645,0))</f>
        <v>UL Monroe</v>
      </c>
      <c r="K153" s="461" t="str">
        <f>IF(+All!$F645="Texas State",+All!K645,IF(+All!$H645="Texas State",+All!K645,0))</f>
        <v>Texas State</v>
      </c>
      <c r="L153" s="54">
        <f>IF(+All!$F645="Texas State",+All!L645,IF(+All!$H645="Texas State",+All!L645,0))</f>
        <v>1</v>
      </c>
      <c r="M153" s="55">
        <f>IF(+All!$F645="Texas State",+All!M645,IF(+All!$H645="Texas State",+All!M645,0))</f>
        <v>52</v>
      </c>
      <c r="N153" s="460" t="str">
        <f>IF(+All!$F645="Texas State",+All!N645,IF(+All!$H645="Texas State",+All!N645,0))</f>
        <v>UL Monroe</v>
      </c>
      <c r="O153" s="462">
        <f>IF(+All!$F645="Texas State",+All!O645,IF(+All!$H645="Texas State",+All!O645,0))</f>
        <v>31</v>
      </c>
      <c r="P153" s="462" t="str">
        <f>IF(+All!$F645="Texas State",+All!P645,IF(+All!$H645="Texas State",+All!P645,0))</f>
        <v>Texas State</v>
      </c>
      <c r="Q153" s="461">
        <f>IF(+All!$F645="Texas State",+All!Q645,IF(+All!$H645="Texas State",+All!Q645,0))</f>
        <v>30</v>
      </c>
      <c r="R153" s="460" t="str">
        <f>IF(+All!$F645="Texas State",+All!R645,IF(+All!$H645="Texas State",+All!R645,0))</f>
        <v>UL Monroe</v>
      </c>
      <c r="S153" s="462" t="str">
        <f>IF(+All!$F645="Texas State",+All!S645,IF(+All!$H645="Texas State",+All!S645,0))</f>
        <v>Texas State</v>
      </c>
      <c r="T153" s="460" t="str">
        <f>IF(+All!$F645="Texas State",+All!T645,IF(+All!$H645="Texas State",+All!T645,0))</f>
        <v>UL Monroe</v>
      </c>
      <c r="U153" s="461" t="str">
        <f>IF(+All!$F645="Texas State",+All!U645,IF(+All!$H645="Texas State",+All!U645,0))</f>
        <v>T</v>
      </c>
      <c r="V153" s="482"/>
    </row>
    <row r="154" spans="1:22" s="75" customFormat="1" x14ac:dyDescent="0.8">
      <c r="A154" s="46">
        <f>IF(+All!$F709="Texas State",+All!A709,IF(+All!$H709="Texas State",+All!A709,0))</f>
        <v>11</v>
      </c>
      <c r="B154" s="348" t="str">
        <f>IF(+All!$F709="Texas State",+All!B709,IF(+All!$H709="Texas State",+All!B709,0))</f>
        <v>Sat</v>
      </c>
      <c r="C154" s="48">
        <f>IF(+All!$F709="Texas State",+All!C709,IF(+All!$H709="Texas State",+All!C709,0))</f>
        <v>44877</v>
      </c>
      <c r="D154" s="490">
        <f>IF(+All!$F709="Texas State",+All!D709,IF(+All!$H709="Texas State",+All!D709,0))</f>
        <v>0.70833333333333337</v>
      </c>
      <c r="E154" s="461">
        <f>IF(+All!$F709="Texas State",+All!E709,IF(+All!$H709="Texas State",+All!E709,0))</f>
        <v>0</v>
      </c>
      <c r="F154" s="51" t="str">
        <f>IF(+All!$F709="Texas State",+All!F709,IF(+All!$H709="Texas State",+All!F709,0))</f>
        <v>Texas State</v>
      </c>
      <c r="G154" s="52" t="str">
        <f>IF(+All!$F709="Texas State",+All!G709,IF(+All!$H709="Texas State",+All!G709,0))</f>
        <v>SB</v>
      </c>
      <c r="H154" s="51" t="str">
        <f>IF(+All!$F709="Texas State",+All!H709,IF(+All!$H709="Texas State",+All!H709,0))</f>
        <v>South Alabama</v>
      </c>
      <c r="I154" s="52" t="str">
        <f>IF(+All!$F709="Texas State",+All!I709,IF(+All!$H709="Texas State",+All!I709,0))</f>
        <v>SB</v>
      </c>
      <c r="J154" s="460" t="str">
        <f>IF(+All!$F709="Texas State",+All!J709,IF(+All!$H709="Texas State",+All!J709,0))</f>
        <v>South Alabama</v>
      </c>
      <c r="K154" s="461" t="str">
        <f>IF(+All!$F709="Texas State",+All!K709,IF(+All!$H709="Texas State",+All!K709,0))</f>
        <v>Texas State</v>
      </c>
      <c r="L154" s="54">
        <f>IF(+All!$F709="Texas State",+All!L709,IF(+All!$H709="Texas State",+All!L709,0))</f>
        <v>16.5</v>
      </c>
      <c r="M154" s="55">
        <f>IF(+All!$F709="Texas State",+All!M709,IF(+All!$H709="Texas State",+All!M709,0))</f>
        <v>47.5</v>
      </c>
      <c r="N154" s="460" t="str">
        <f>IF(+All!$F709="Texas State",+All!N709,IF(+All!$H709="Texas State",+All!N709,0))</f>
        <v>South Alabama</v>
      </c>
      <c r="O154" s="462">
        <f>IF(+All!$F709="Texas State",+All!O709,IF(+All!$H709="Texas State",+All!O709,0))</f>
        <v>38</v>
      </c>
      <c r="P154" s="462" t="str">
        <f>IF(+All!$F709="Texas State",+All!P709,IF(+All!$H709="Texas State",+All!P709,0))</f>
        <v>Texas State</v>
      </c>
      <c r="Q154" s="461">
        <f>IF(+All!$F709="Texas State",+All!Q709,IF(+All!$H709="Texas State",+All!Q709,0))</f>
        <v>21</v>
      </c>
      <c r="R154" s="460" t="str">
        <f>IF(+All!$F709="Texas State",+All!R709,IF(+All!$H709="Texas State",+All!R709,0))</f>
        <v>South Alabama</v>
      </c>
      <c r="S154" s="462" t="str">
        <f>IF(+All!$F709="Texas State",+All!S709,IF(+All!$H709="Texas State",+All!S709,0))</f>
        <v>Texas State</v>
      </c>
      <c r="T154" s="460" t="str">
        <f>IF(+All!$F709="Texas State",+All!T709,IF(+All!$H709="Texas State",+All!T709,0))</f>
        <v>South Alabama</v>
      </c>
      <c r="U154" s="461" t="str">
        <f>IF(+All!$F709="Texas State",+All!U709,IF(+All!$H709="Texas State",+All!U709,0))</f>
        <v>W</v>
      </c>
      <c r="V154" s="482"/>
    </row>
    <row r="155" spans="1:22" s="75" customFormat="1" x14ac:dyDescent="0.8">
      <c r="A155" s="46">
        <f>IF(+All!$F773="Texas State",+All!A773,IF(+All!$H773="Texas State",+All!A773,0))</f>
        <v>12</v>
      </c>
      <c r="B155" s="348" t="str">
        <f>IF(+All!$F773="Texas State",+All!B773,IF(+All!$H773="Texas State",+All!B773,0))</f>
        <v>Sat</v>
      </c>
      <c r="C155" s="48">
        <f>IF(+All!$F773="Texas State",+All!C773,IF(+All!$H773="Texas State",+All!C773,0))</f>
        <v>44884</v>
      </c>
      <c r="D155" s="490">
        <f>IF(+All!$F773="Texas State",+All!D773,IF(+All!$H773="Texas State",+All!D773,0))</f>
        <v>0.70833333333333337</v>
      </c>
      <c r="E155" s="461" t="str">
        <f>IF(+All!$F773="Texas State",+All!E773,IF(+All!$H773="Texas State",+All!E773,0))</f>
        <v>espn3</v>
      </c>
      <c r="F155" s="51" t="str">
        <f>IF(+All!$F773="Texas State",+All!F773,IF(+All!$H773="Texas State",+All!F773,0))</f>
        <v>Arkansas State</v>
      </c>
      <c r="G155" s="52" t="str">
        <f>IF(+All!$F773="Texas State",+All!G773,IF(+All!$H773="Texas State",+All!G773,0))</f>
        <v>SB</v>
      </c>
      <c r="H155" s="51" t="str">
        <f>IF(+All!$F773="Texas State",+All!H773,IF(+All!$H773="Texas State",+All!H773,0))</f>
        <v>Texas State</v>
      </c>
      <c r="I155" s="52" t="str">
        <f>IF(+All!$F773="Texas State",+All!I773,IF(+All!$H773="Texas State",+All!I773,0))</f>
        <v>SB</v>
      </c>
      <c r="J155" s="460" t="str">
        <f>IF(+All!$F773="Texas State",+All!J773,IF(+All!$H773="Texas State",+All!J773,0))</f>
        <v>Texas State</v>
      </c>
      <c r="K155" s="461" t="str">
        <f>IF(+All!$F773="Texas State",+All!K773,IF(+All!$H773="Texas State",+All!K773,0))</f>
        <v>Arkansas State</v>
      </c>
      <c r="L155" s="54">
        <f>IF(+All!$F773="Texas State",+All!L773,IF(+All!$H773="Texas State",+All!L773,0))</f>
        <v>5.5</v>
      </c>
      <c r="M155" s="55">
        <f>IF(+All!$F773="Texas State",+All!M773,IF(+All!$H773="Texas State",+All!M773,0))</f>
        <v>51</v>
      </c>
      <c r="N155" s="460" t="str">
        <f>IF(+All!$F773="Texas State",+All!N773,IF(+All!$H773="Texas State",+All!N773,0))</f>
        <v>Texas State</v>
      </c>
      <c r="O155" s="462">
        <f>IF(+All!$F773="Texas State",+All!O773,IF(+All!$H773="Texas State",+All!O773,0))</f>
        <v>16</v>
      </c>
      <c r="P155" s="462" t="str">
        <f>IF(+All!$F773="Texas State",+All!P773,IF(+All!$H773="Texas State",+All!P773,0))</f>
        <v>Arkansas State</v>
      </c>
      <c r="Q155" s="461">
        <f>IF(+All!$F773="Texas State",+All!Q773,IF(+All!$H773="Texas State",+All!Q773,0))</f>
        <v>13</v>
      </c>
      <c r="R155" s="460" t="str">
        <f>IF(+All!$F773="Texas State",+All!R773,IF(+All!$H773="Texas State",+All!R773,0))</f>
        <v>Arkansas State</v>
      </c>
      <c r="S155" s="462" t="str">
        <f>IF(+All!$F773="Texas State",+All!S773,IF(+All!$H773="Texas State",+All!S773,0))</f>
        <v>Texas State</v>
      </c>
      <c r="T155" s="460" t="str">
        <f>IF(+All!$F773="Texas State",+All!T773,IF(+All!$H773="Texas State",+All!T773,0))</f>
        <v>Arkansas State</v>
      </c>
      <c r="U155" s="461" t="str">
        <f>IF(+All!$F773="Texas State",+All!U773,IF(+All!$H773="Texas State",+All!U773,0))</f>
        <v>W</v>
      </c>
      <c r="V155" s="482"/>
    </row>
    <row r="156" spans="1:22" s="75" customFormat="1" x14ac:dyDescent="0.8">
      <c r="A156" s="46">
        <f>IF(+All!$F842="Texas State",+All!A842,IF(+All!$H842="Texas State",+All!A842,0))</f>
        <v>13</v>
      </c>
      <c r="B156" s="348" t="str">
        <f>IF(+All!$F842="Texas State",+All!B842,IF(+All!$H842="Texas State",+All!B842,0))</f>
        <v>Sat</v>
      </c>
      <c r="C156" s="48">
        <f>IF(+All!$F842="Texas State",+All!C842,IF(+All!$H842="Texas State",+All!C842,0))</f>
        <v>44891</v>
      </c>
      <c r="D156" s="490">
        <f>IF(+All!$F842="Texas State",+All!D842,IF(+All!$H842="Texas State",+All!D842,0))</f>
        <v>0.70833333333333337</v>
      </c>
      <c r="E156" s="461">
        <f>IF(+All!$F842="Texas State",+All!E842,IF(+All!$H842="Texas State",+All!E842,0))</f>
        <v>0</v>
      </c>
      <c r="F156" s="51" t="str">
        <f>IF(+All!$F842="Texas State",+All!F842,IF(+All!$H842="Texas State",+All!F842,0))</f>
        <v>UL Lafayette</v>
      </c>
      <c r="G156" s="52" t="str">
        <f>IF(+All!$F842="Texas State",+All!G842,IF(+All!$H842="Texas State",+All!G842,0))</f>
        <v>SB</v>
      </c>
      <c r="H156" s="51" t="str">
        <f>IF(+All!$F842="Texas State",+All!H842,IF(+All!$H842="Texas State",+All!H842,0))</f>
        <v>Texas State</v>
      </c>
      <c r="I156" s="52" t="str">
        <f>IF(+All!$F842="Texas State",+All!I842,IF(+All!$H842="Texas State",+All!I842,0))</f>
        <v>SB</v>
      </c>
      <c r="J156" s="460" t="str">
        <f>IF(+All!$F842="Texas State",+All!J842,IF(+All!$H842="Texas State",+All!J842,0))</f>
        <v>UL Lafayette</v>
      </c>
      <c r="K156" s="461" t="str">
        <f>IF(+All!$F842="Texas State",+All!K842,IF(+All!$H842="Texas State",+All!K842,0))</f>
        <v>Texas State</v>
      </c>
      <c r="L156" s="54">
        <f>IF(+All!$F842="Texas State",+All!L842,IF(+All!$H842="Texas State",+All!L842,0))</f>
        <v>5.5</v>
      </c>
      <c r="M156" s="55">
        <f>IF(+All!$F842="Texas State",+All!M842,IF(+All!$H842="Texas State",+All!M842,0))</f>
        <v>45</v>
      </c>
      <c r="N156" s="460" t="str">
        <f>IF(+All!$F842="Texas State",+All!N842,IF(+All!$H842="Texas State",+All!N842,0))</f>
        <v>UL Lafayette</v>
      </c>
      <c r="O156" s="462">
        <f>IF(+All!$F842="Texas State",+All!O842,IF(+All!$H842="Texas State",+All!O842,0))</f>
        <v>41</v>
      </c>
      <c r="P156" s="462" t="str">
        <f>IF(+All!$F842="Texas State",+All!P842,IF(+All!$H842="Texas State",+All!P842,0))</f>
        <v>Texas State</v>
      </c>
      <c r="Q156" s="461">
        <f>IF(+All!$F842="Texas State",+All!Q842,IF(+All!$H842="Texas State",+All!Q842,0))</f>
        <v>13</v>
      </c>
      <c r="R156" s="460" t="str">
        <f>IF(+All!$F842="Texas State",+All!R842,IF(+All!$H842="Texas State",+All!R842,0))</f>
        <v>UL Lafayette</v>
      </c>
      <c r="S156" s="462" t="str">
        <f>IF(+All!$F842="Texas State",+All!S842,IF(+All!$H842="Texas State",+All!S842,0))</f>
        <v>Texas State</v>
      </c>
      <c r="T156" s="460" t="str">
        <f>IF(+All!$F842="Texas State",+All!T842,IF(+All!$H842="Texas State",+All!T842,0))</f>
        <v>UL Lafayette</v>
      </c>
      <c r="U156" s="461" t="str">
        <f>IF(+All!$F842="Texas State",+All!U842,IF(+All!$H842="Texas State",+All!U842,0))</f>
        <v>W</v>
      </c>
      <c r="V156" s="482"/>
    </row>
    <row r="157" spans="1:22" x14ac:dyDescent="0.8">
      <c r="B157" s="46"/>
      <c r="C157" s="62"/>
      <c r="D157" s="490"/>
      <c r="F157" s="897" t="str">
        <f>H159</f>
        <v>Troy</v>
      </c>
      <c r="G157" s="901"/>
      <c r="H157" s="901"/>
      <c r="I157" s="902"/>
      <c r="L157" s="54"/>
      <c r="M157" s="55"/>
      <c r="V157" s="9"/>
    </row>
    <row r="158" spans="1:22" s="75" customFormat="1" x14ac:dyDescent="0.8">
      <c r="A158" s="46">
        <f>IF(+All!$F63="Troy",+All!A63,IF(+All!$H63="Troy",+All!A63,0))</f>
        <v>1</v>
      </c>
      <c r="B158" s="348" t="str">
        <f>IF(+All!$F63="Troy",+All!B63,IF(+All!$H63="Troy",+All!B63,0))</f>
        <v>Sat</v>
      </c>
      <c r="C158" s="48">
        <f>IF(+All!$F63="Troy",+All!C63,IF(+All!$H63="Troy",+All!C63,0))</f>
        <v>44807</v>
      </c>
      <c r="D158" s="490">
        <f>IF(+All!$F63="Troy",+All!D63,IF(+All!$H63="Troy",+All!D63,0))</f>
        <v>0.66666666666666663</v>
      </c>
      <c r="E158" s="461" t="str">
        <f>IF(+All!$F63="Troy",+All!E63,IF(+All!$H63="Troy",+All!E63,0))</f>
        <v>SEC</v>
      </c>
      <c r="F158" s="51" t="str">
        <f>IF(+All!$F63="Troy",+All!F63,IF(+All!$H63="Troy",+All!F63,0))</f>
        <v>Troy</v>
      </c>
      <c r="G158" s="52" t="str">
        <f>IF(+All!$F63="Troy",+All!G63,IF(+All!$H63="Troy",+All!G63,0))</f>
        <v>SB</v>
      </c>
      <c r="H158" s="51" t="str">
        <f>IF(+All!$F63="Troy",+All!H63,IF(+All!$H63="Troy",+All!H63,0))</f>
        <v>Mississippi</v>
      </c>
      <c r="I158" s="52" t="str">
        <f>IF(+All!$F63="Troy",+All!I63,IF(+All!$H63="Troy",+All!I63,0))</f>
        <v>SEC</v>
      </c>
      <c r="J158" s="460" t="str">
        <f>IF(+All!$F63="Troy",+All!J63,IF(+All!$H63="Troy",+All!J63,0))</f>
        <v>Mississippi</v>
      </c>
      <c r="K158" s="461" t="str">
        <f>IF(+All!$F63="Troy",+All!K63,IF(+All!$H63="Troy",+All!K63,0))</f>
        <v>Troy</v>
      </c>
      <c r="L158" s="54">
        <f>IF(+All!$F63="Troy",+All!L63,IF(+All!$H63="Troy",+All!L63,0))</f>
        <v>22</v>
      </c>
      <c r="M158" s="55">
        <f>IF(+All!$F63="Troy",+All!M63,IF(+All!$H63="Troy",+All!M63,0))</f>
        <v>58</v>
      </c>
      <c r="N158" s="460" t="str">
        <f>IF(+All!$F63="Troy",+All!N63,IF(+All!$H63="Troy",+All!N63,0))</f>
        <v>Mississippi</v>
      </c>
      <c r="O158" s="462">
        <f>IF(+All!$F63="Troy",+All!O63,IF(+All!$H63="Troy",+All!O63,0))</f>
        <v>28</v>
      </c>
      <c r="P158" s="462" t="str">
        <f>IF(+All!$F63="Troy",+All!P63,IF(+All!$H63="Troy",+All!P63,0))</f>
        <v>Troy</v>
      </c>
      <c r="Q158" s="461">
        <f>IF(+All!$F63="Troy",+All!Q63,IF(+All!$H63="Troy",+All!Q63,0))</f>
        <v>10</v>
      </c>
      <c r="R158" s="460" t="str">
        <f>IF(+All!$F63="Troy",+All!R63,IF(+All!$H63="Troy",+All!R63,0))</f>
        <v>Troy</v>
      </c>
      <c r="S158" s="462" t="str">
        <f>IF(+All!$F63="Troy",+All!S63,IF(+All!$H63="Troy",+All!S63,0))</f>
        <v>Mississippi</v>
      </c>
      <c r="T158" s="460" t="str">
        <f>IF(+All!$F63="Troy",+All!T63,IF(+All!$H63="Troy",+All!T63,0))</f>
        <v>Mississippi</v>
      </c>
      <c r="U158" s="461" t="str">
        <f>IF(+All!$F63="Troy",+All!U63,IF(+All!$H63="Troy",+All!U63,0))</f>
        <v>L</v>
      </c>
      <c r="V158" s="482"/>
    </row>
    <row r="159" spans="1:22" s="75" customFormat="1" x14ac:dyDescent="0.8">
      <c r="A159" s="46">
        <f>IF(+All!$F168="Troy",+All!A168,IF(+All!$H168="Troy",+All!A168,0))</f>
        <v>2</v>
      </c>
      <c r="B159" s="348" t="str">
        <f>IF(+All!$F168="Troy",+All!B168,IF(+All!$H168="Troy",+All!B168,0))</f>
        <v>Sat</v>
      </c>
      <c r="C159" s="48">
        <f>IF(+All!$F168="Troy",+All!C168,IF(+All!$H168="Troy",+All!C168,0))</f>
        <v>414074</v>
      </c>
      <c r="D159" s="490">
        <f>IF(+All!$F168="Troy",+All!D168,IF(+All!$H168="Troy",+All!D168,0))</f>
        <v>0.79166666666666663</v>
      </c>
      <c r="E159" s="461" t="str">
        <f>IF(+All!$F168="Troy",+All!E168,IF(+All!$H168="Troy",+All!E168,0))</f>
        <v>espn3</v>
      </c>
      <c r="F159" s="51" t="str">
        <f>IF(+All!$F168="Troy",+All!F168,IF(+All!$H168="Troy",+All!F168,0))</f>
        <v>1AA Alabama A&amp;M</v>
      </c>
      <c r="G159" s="52" t="str">
        <f>IF(+All!$F168="Troy",+All!G168,IF(+All!$H168="Troy",+All!G168,0))</f>
        <v>1AA</v>
      </c>
      <c r="H159" s="51" t="str">
        <f>IF(+All!$F168="Troy",+All!H168,IF(+All!$H168="Troy",+All!H168,0))</f>
        <v>Troy</v>
      </c>
      <c r="I159" s="52" t="str">
        <f>IF(+All!$F168="Troy",+All!I168,IF(+All!$H168="Troy",+All!I168,0))</f>
        <v>SB</v>
      </c>
      <c r="J159" s="460">
        <f>IF(+All!$F168="Troy",+All!J168,IF(+All!$H168="Troy",+All!J168,0))</f>
        <v>0</v>
      </c>
      <c r="K159" s="461">
        <f>IF(+All!$F168="Troy",+All!K168,IF(+All!$H168="Troy",+All!K168,0))</f>
        <v>0</v>
      </c>
      <c r="L159" s="54">
        <f>IF(+All!$F168="Troy",+All!L168,IF(+All!$H168="Troy",+All!L168,0))</f>
        <v>0</v>
      </c>
      <c r="M159" s="55">
        <f>IF(+All!$F168="Troy",+All!M168,IF(+All!$H168="Troy",+All!M168,0))</f>
        <v>0</v>
      </c>
      <c r="N159" s="460" t="str">
        <f>IF(+All!$F168="Troy",+All!N168,IF(+All!$H168="Troy",+All!N168,0))</f>
        <v>Troy</v>
      </c>
      <c r="O159" s="462">
        <f>IF(+All!$F168="Troy",+All!O168,IF(+All!$H168="Troy",+All!O168,0))</f>
        <v>38</v>
      </c>
      <c r="P159" s="462" t="str">
        <f>IF(+All!$F168="Troy",+All!P168,IF(+All!$H168="Troy",+All!P168,0))</f>
        <v>1AA Alabama A&amp;M</v>
      </c>
      <c r="Q159" s="461">
        <f>IF(+All!$F168="Troy",+All!Q168,IF(+All!$H168="Troy",+All!Q168,0))</f>
        <v>17</v>
      </c>
      <c r="R159" s="460">
        <f>IF(+All!$F168="Troy",+All!R168,IF(+All!$H168="Troy",+All!R168,0))</f>
        <v>0</v>
      </c>
      <c r="S159" s="462">
        <f>IF(+All!$F168="Troy",+All!S168,IF(+All!$H168="Troy",+All!S168,0))</f>
        <v>0</v>
      </c>
      <c r="T159" s="460">
        <f>IF(+All!$F168="Troy",+All!T168,IF(+All!$H168="Troy",+All!T168,0))</f>
        <v>0</v>
      </c>
      <c r="U159" s="461">
        <f>IF(+All!$F168="Troy",+All!U168,IF(+All!$H168="Troy",+All!U168,0))</f>
        <v>0</v>
      </c>
      <c r="V159" s="482"/>
    </row>
    <row r="160" spans="1:22" s="75" customFormat="1" x14ac:dyDescent="0.8">
      <c r="A160" s="46">
        <f>IF(+All!$F241="Troy",+All!A241,IF(+All!$H241="Troy",+All!A241,0))</f>
        <v>3</v>
      </c>
      <c r="B160" s="348" t="str">
        <f>IF(+All!$F241="Troy",+All!B241,IF(+All!$H241="Troy",+All!B241,0))</f>
        <v>Sat</v>
      </c>
      <c r="C160" s="48">
        <f>IF(+All!$F241="Troy",+All!C241,IF(+All!$H241="Troy",+All!C241,0))</f>
        <v>44821</v>
      </c>
      <c r="D160" s="490">
        <f>IF(+All!$F241="Troy",+All!D241,IF(+All!$H241="Troy",+All!D241,0))</f>
        <v>0.64583333333333337</v>
      </c>
      <c r="E160" s="461">
        <f>IF(+All!$F241="Troy",+All!E241,IF(+All!$H241="Troy",+All!E241,0))</f>
        <v>0</v>
      </c>
      <c r="F160" s="51" t="str">
        <f>IF(+All!$F241="Troy",+All!F241,IF(+All!$H241="Troy",+All!F241,0))</f>
        <v>Appalachian State</v>
      </c>
      <c r="G160" s="52" t="str">
        <f>IF(+All!$F241="Troy",+All!G241,IF(+All!$H241="Troy",+All!G241,0))</f>
        <v>SB</v>
      </c>
      <c r="H160" s="51" t="str">
        <f>IF(+All!$F241="Troy",+All!H241,IF(+All!$H241="Troy",+All!H241,0))</f>
        <v>Troy</v>
      </c>
      <c r="I160" s="52" t="str">
        <f>IF(+All!$F241="Troy",+All!I241,IF(+All!$H241="Troy",+All!I241,0))</f>
        <v>SB</v>
      </c>
      <c r="J160" s="460" t="str">
        <f>IF(+All!$F241="Troy",+All!J241,IF(+All!$H241="Troy",+All!J241,0))</f>
        <v>Appalachian State</v>
      </c>
      <c r="K160" s="461" t="str">
        <f>IF(+All!$F241="Troy",+All!K241,IF(+All!$H241="Troy",+All!K241,0))</f>
        <v>Troy</v>
      </c>
      <c r="L160" s="54">
        <f>IF(+All!$F241="Troy",+All!L241,IF(+All!$H241="Troy",+All!L241,0))</f>
        <v>12.5</v>
      </c>
      <c r="M160" s="55">
        <f>IF(+All!$F241="Troy",+All!M241,IF(+All!$H241="Troy",+All!M241,0))</f>
        <v>52</v>
      </c>
      <c r="N160" s="460" t="str">
        <f>IF(+All!$F241="Troy",+All!N241,IF(+All!$H241="Troy",+All!N241,0))</f>
        <v>Appalachian State</v>
      </c>
      <c r="O160" s="462">
        <f>IF(+All!$F241="Troy",+All!O241,IF(+All!$H241="Troy",+All!O241,0))</f>
        <v>32</v>
      </c>
      <c r="P160" s="462" t="str">
        <f>IF(+All!$F241="Troy",+All!P241,IF(+All!$H241="Troy",+All!P241,0))</f>
        <v>Troy</v>
      </c>
      <c r="Q160" s="461">
        <f>IF(+All!$F241="Troy",+All!Q241,IF(+All!$H241="Troy",+All!Q241,0))</f>
        <v>28</v>
      </c>
      <c r="R160" s="460" t="str">
        <f>IF(+All!$F241="Troy",+All!R241,IF(+All!$H241="Troy",+All!R241,0))</f>
        <v>Troy</v>
      </c>
      <c r="S160" s="462" t="str">
        <f>IF(+All!$F241="Troy",+All!S241,IF(+All!$H241="Troy",+All!S241,0))</f>
        <v>Appalachian State</v>
      </c>
      <c r="T160" s="460" t="str">
        <f>IF(+All!$F241="Troy",+All!T241,IF(+All!$H241="Troy",+All!T241,0))</f>
        <v>Troy</v>
      </c>
      <c r="U160" s="461" t="str">
        <f>IF(+All!$F241="Troy",+All!U241,IF(+All!$H241="Troy",+All!U241,0))</f>
        <v>W</v>
      </c>
      <c r="V160" s="482"/>
    </row>
    <row r="161" spans="1:22" s="75" customFormat="1" x14ac:dyDescent="0.8">
      <c r="A161" s="46">
        <f>IF(+All!$F306="Troy",+All!A306,IF(+All!$H306="Troy",+All!A306,0))</f>
        <v>4</v>
      </c>
      <c r="B161" s="348" t="str">
        <f>IF(+All!$F306="Troy",+All!B306,IF(+All!$H306="Troy",+All!B306,0))</f>
        <v>Sat</v>
      </c>
      <c r="C161" s="48">
        <f>IF(+All!$F306="Troy",+All!C306,IF(+All!$H306="Troy",+All!C306,0))</f>
        <v>44828</v>
      </c>
      <c r="D161" s="490">
        <f>IF(+All!$F306="Troy",+All!D306,IF(+All!$H306="Troy",+All!D306,0))</f>
        <v>0.79166666666666663</v>
      </c>
      <c r="E161" s="461" t="str">
        <f>IF(+All!$F306="Troy",+All!E306,IF(+All!$H306="Troy",+All!E306,0))</f>
        <v>NFL</v>
      </c>
      <c r="F161" s="51" t="str">
        <f>IF(+All!$F306="Troy",+All!F306,IF(+All!$H306="Troy",+All!F306,0))</f>
        <v>Marshall</v>
      </c>
      <c r="G161" s="52" t="str">
        <f>IF(+All!$F306="Troy",+All!G306,IF(+All!$H306="Troy",+All!G306,0))</f>
        <v>SB</v>
      </c>
      <c r="H161" s="51" t="str">
        <f>IF(+All!$F306="Troy",+All!H306,IF(+All!$H306="Troy",+All!H306,0))</f>
        <v>Troy</v>
      </c>
      <c r="I161" s="52" t="str">
        <f>IF(+All!$F306="Troy",+All!I306,IF(+All!$H306="Troy",+All!I306,0))</f>
        <v>SB</v>
      </c>
      <c r="J161" s="460" t="str">
        <f>IF(+All!$F306="Troy",+All!J306,IF(+All!$H306="Troy",+All!J306,0))</f>
        <v>Marshall</v>
      </c>
      <c r="K161" s="461" t="str">
        <f>IF(+All!$F306="Troy",+All!K306,IF(+All!$H306="Troy",+All!K306,0))</f>
        <v>Troy</v>
      </c>
      <c r="L161" s="54">
        <f>IF(+All!$F306="Troy",+All!L306,IF(+All!$H306="Troy",+All!L306,0))</f>
        <v>3</v>
      </c>
      <c r="M161" s="55">
        <f>IF(+All!$F306="Troy",+All!M306,IF(+All!$H306="Troy",+All!M306,0))</f>
        <v>52</v>
      </c>
      <c r="N161" s="460" t="str">
        <f>IF(+All!$F306="Troy",+All!N306,IF(+All!$H306="Troy",+All!N306,0))</f>
        <v>Troy</v>
      </c>
      <c r="O161" s="462">
        <f>IF(+All!$F306="Troy",+All!O306,IF(+All!$H306="Troy",+All!O306,0))</f>
        <v>16</v>
      </c>
      <c r="P161" s="462" t="str">
        <f>IF(+All!$F306="Troy",+All!P306,IF(+All!$H306="Troy",+All!P306,0))</f>
        <v>Marshall</v>
      </c>
      <c r="Q161" s="461">
        <f>IF(+All!$F306="Troy",+All!Q306,IF(+All!$H306="Troy",+All!Q306,0))</f>
        <v>7</v>
      </c>
      <c r="R161" s="460" t="str">
        <f>IF(+All!$F306="Troy",+All!R306,IF(+All!$H306="Troy",+All!R306,0))</f>
        <v>Troy</v>
      </c>
      <c r="S161" s="462" t="str">
        <f>IF(+All!$F306="Troy",+All!S306,IF(+All!$H306="Troy",+All!S306,0))</f>
        <v>Marshall</v>
      </c>
      <c r="T161" s="460" t="str">
        <f>IF(+All!$F306="Troy",+All!T306,IF(+All!$H306="Troy",+All!T306,0))</f>
        <v>Marshall</v>
      </c>
      <c r="U161" s="461" t="str">
        <f>IF(+All!$F306="Troy",+All!U306,IF(+All!$H306="Troy",+All!U306,0))</f>
        <v>L</v>
      </c>
      <c r="V161" s="482"/>
    </row>
    <row r="162" spans="1:22" s="75" customFormat="1" x14ac:dyDescent="0.8">
      <c r="A162" s="46">
        <f>IF(+All!$F350="Troy",+All!A350,IF(+All!$H350="Troy",+All!A350,0))</f>
        <v>5</v>
      </c>
      <c r="B162" s="348" t="str">
        <f>IF(+All!$F350="Troy",+All!B350,IF(+All!$H350="Troy",+All!B350,0))</f>
        <v>Sat</v>
      </c>
      <c r="C162" s="48">
        <f>IF(+All!$F350="Troy",+All!C350,IF(+All!$H350="Troy",+All!C350,0))</f>
        <v>44835</v>
      </c>
      <c r="D162" s="490">
        <f>IF(+All!$F350="Troy",+All!D350,IF(+All!$H350="Troy",+All!D350,0))</f>
        <v>0.79166666666666663</v>
      </c>
      <c r="E162" s="461">
        <f>IF(+All!$F350="Troy",+All!E350,IF(+All!$H350="Troy",+All!E350,0))</f>
        <v>0</v>
      </c>
      <c r="F162" s="51" t="str">
        <f>IF(+All!$F350="Troy",+All!F350,IF(+All!$H350="Troy",+All!F350,0))</f>
        <v>Troy</v>
      </c>
      <c r="G162" s="52" t="str">
        <f>IF(+All!$F350="Troy",+All!G350,IF(+All!$H350="Troy",+All!G350,0))</f>
        <v>SB</v>
      </c>
      <c r="H162" s="51" t="str">
        <f>IF(+All!$F350="Troy",+All!H350,IF(+All!$H350="Troy",+All!H350,0))</f>
        <v>Western Kentucky</v>
      </c>
      <c r="I162" s="52" t="str">
        <f>IF(+All!$F350="Troy",+All!I350,IF(+All!$H350="Troy",+All!I350,0))</f>
        <v>CUSA</v>
      </c>
      <c r="J162" s="460" t="str">
        <f>IF(+All!$F350="Troy",+All!J350,IF(+All!$H350="Troy",+All!J350,0))</f>
        <v>Western Kentucky</v>
      </c>
      <c r="K162" s="461" t="str">
        <f>IF(+All!$F350="Troy",+All!K350,IF(+All!$H350="Troy",+All!K350,0))</f>
        <v>Troy</v>
      </c>
      <c r="L162" s="54">
        <f>IF(+All!$F350="Troy",+All!L350,IF(+All!$H350="Troy",+All!L350,0))</f>
        <v>5.5</v>
      </c>
      <c r="M162" s="55">
        <f>IF(+All!$F350="Troy",+All!M350,IF(+All!$H350="Troy",+All!M350,0))</f>
        <v>57.5</v>
      </c>
      <c r="N162" s="460" t="str">
        <f>IF(+All!$F350="Troy",+All!N350,IF(+All!$H350="Troy",+All!N350,0))</f>
        <v>Troy</v>
      </c>
      <c r="O162" s="462">
        <f>IF(+All!$F350="Troy",+All!O350,IF(+All!$H350="Troy",+All!O350,0))</f>
        <v>34</v>
      </c>
      <c r="P162" s="462" t="str">
        <f>IF(+All!$F350="Troy",+All!P350,IF(+All!$H350="Troy",+All!P350,0))</f>
        <v>Western Kentucky</v>
      </c>
      <c r="Q162" s="461">
        <f>IF(+All!$F350="Troy",+All!Q350,IF(+All!$H350="Troy",+All!Q350,0))</f>
        <v>27</v>
      </c>
      <c r="R162" s="460" t="str">
        <f>IF(+All!$F350="Troy",+All!R350,IF(+All!$H350="Troy",+All!R350,0))</f>
        <v>Troy</v>
      </c>
      <c r="S162" s="462" t="str">
        <f>IF(+All!$F350="Troy",+All!S350,IF(+All!$H350="Troy",+All!S350,0))</f>
        <v>Western Kentucky</v>
      </c>
      <c r="T162" s="460" t="str">
        <f>IF(+All!$F350="Troy",+All!T350,IF(+All!$H350="Troy",+All!T350,0))</f>
        <v>Troy</v>
      </c>
      <c r="U162" s="461" t="str">
        <f>IF(+All!$F350="Troy",+All!U350,IF(+All!$H350="Troy",+All!U350,0))</f>
        <v>W</v>
      </c>
      <c r="V162" s="482"/>
    </row>
    <row r="163" spans="1:22" s="75" customFormat="1" x14ac:dyDescent="0.8">
      <c r="A163" s="46">
        <f>IF(+All!$F429="Troy",+All!A429,IF(+All!$H429="Troy",+All!A429,0))</f>
        <v>6</v>
      </c>
      <c r="B163" s="348" t="str">
        <f>IF(+All!$F429="Troy",+All!B429,IF(+All!$H429="Troy",+All!B429,0))</f>
        <v>Sat</v>
      </c>
      <c r="C163" s="48">
        <f>IF(+All!$F429="Troy",+All!C429,IF(+All!$H429="Troy",+All!C429,0))</f>
        <v>44842</v>
      </c>
      <c r="D163" s="490">
        <f>IF(+All!$F429="Troy",+All!D429,IF(+All!$H429="Troy",+All!D429,0))</f>
        <v>0.79166666666666663</v>
      </c>
      <c r="E163" s="461">
        <f>IF(+All!$F429="Troy",+All!E429,IF(+All!$H429="Troy",+All!E429,0))</f>
        <v>0</v>
      </c>
      <c r="F163" s="51" t="str">
        <f>IF(+All!$F429="Troy",+All!F429,IF(+All!$H429="Troy",+All!F429,0))</f>
        <v>Southern Miss</v>
      </c>
      <c r="G163" s="52" t="str">
        <f>IF(+All!$F429="Troy",+All!G429,IF(+All!$H429="Troy",+All!G429,0))</f>
        <v>SB</v>
      </c>
      <c r="H163" s="51" t="str">
        <f>IF(+All!$F429="Troy",+All!H429,IF(+All!$H429="Troy",+All!H429,0))</f>
        <v>Troy</v>
      </c>
      <c r="I163" s="52" t="str">
        <f>IF(+All!$F429="Troy",+All!I429,IF(+All!$H429="Troy",+All!I429,0))</f>
        <v>SB</v>
      </c>
      <c r="J163" s="460" t="str">
        <f>IF(+All!$F429="Troy",+All!J429,IF(+All!$H429="Troy",+All!J429,0))</f>
        <v>Troy</v>
      </c>
      <c r="K163" s="461" t="str">
        <f>IF(+All!$F429="Troy",+All!K429,IF(+All!$H429="Troy",+All!K429,0))</f>
        <v>Southern Miss</v>
      </c>
      <c r="L163" s="54">
        <f>IF(+All!$F429="Troy",+All!L429,IF(+All!$H429="Troy",+All!L429,0))</f>
        <v>6.5</v>
      </c>
      <c r="M163" s="55">
        <f>IF(+All!$F429="Troy",+All!M429,IF(+All!$H429="Troy",+All!M429,0))</f>
        <v>44.5</v>
      </c>
      <c r="N163" s="460" t="str">
        <f>IF(+All!$F429="Troy",+All!N429,IF(+All!$H429="Troy",+All!N429,0))</f>
        <v>Troy</v>
      </c>
      <c r="O163" s="462">
        <f>IF(+All!$F429="Troy",+All!O429,IF(+All!$H429="Troy",+All!O429,0))</f>
        <v>27</v>
      </c>
      <c r="P163" s="462" t="str">
        <f>IF(+All!$F429="Troy",+All!P429,IF(+All!$H429="Troy",+All!P429,0))</f>
        <v>Southern Miss</v>
      </c>
      <c r="Q163" s="461">
        <f>IF(+All!$F429="Troy",+All!Q429,IF(+All!$H429="Troy",+All!Q429,0))</f>
        <v>10</v>
      </c>
      <c r="R163" s="460" t="str">
        <f>IF(+All!$F429="Troy",+All!R429,IF(+All!$H429="Troy",+All!R429,0))</f>
        <v>Troy</v>
      </c>
      <c r="S163" s="462" t="str">
        <f>IF(+All!$F429="Troy",+All!S429,IF(+All!$H429="Troy",+All!S429,0))</f>
        <v>Southern Miss</v>
      </c>
      <c r="T163" s="460" t="str">
        <f>IF(+All!$F429="Troy",+All!T429,IF(+All!$H429="Troy",+All!T429,0))</f>
        <v>Southern Miss</v>
      </c>
      <c r="U163" s="461" t="str">
        <f>IF(+All!$F429="Troy",+All!U429,IF(+All!$H429="Troy",+All!U429,0))</f>
        <v>L</v>
      </c>
      <c r="V163" s="482"/>
    </row>
    <row r="164" spans="1:22" s="75" customFormat="1" x14ac:dyDescent="0.8">
      <c r="A164" s="46">
        <f>IF(+All!$F485="Troy",+All!A485,IF(+All!$H485="Troy",+All!A485,0))</f>
        <v>7</v>
      </c>
      <c r="B164" s="348" t="str">
        <f>IF(+All!$F485="Troy",+All!B485,IF(+All!$H485="Troy",+All!B485,0))</f>
        <v>Sat</v>
      </c>
      <c r="C164" s="48">
        <f>IF(+All!$F485="Troy",+All!C485,IF(+All!$H485="Troy",+All!C485,0))</f>
        <v>44849</v>
      </c>
      <c r="D164" s="490">
        <f>IF(+All!$F485="Troy",+All!D485,IF(+All!$H485="Troy",+All!D485,0))</f>
        <v>0.64583333333333337</v>
      </c>
      <c r="E164" s="461" t="str">
        <f>IF(+All!$F485="Troy",+All!E485,IF(+All!$H485="Troy",+All!E485,0))</f>
        <v>espn3</v>
      </c>
      <c r="F164" s="51" t="str">
        <f>IF(+All!$F485="Troy",+All!F485,IF(+All!$H485="Troy",+All!F485,0))</f>
        <v>Texas State</v>
      </c>
      <c r="G164" s="52" t="str">
        <f>IF(+All!$F485="Troy",+All!G485,IF(+All!$H485="Troy",+All!G485,0))</f>
        <v>SB</v>
      </c>
      <c r="H164" s="51" t="str">
        <f>IF(+All!$F485="Troy",+All!H485,IF(+All!$H485="Troy",+All!H485,0))</f>
        <v>Troy</v>
      </c>
      <c r="I164" s="52" t="str">
        <f>IF(+All!$F485="Troy",+All!I485,IF(+All!$H485="Troy",+All!I485,0))</f>
        <v>SB</v>
      </c>
      <c r="J164" s="460" t="str">
        <f>IF(+All!$F485="Troy",+All!J485,IF(+All!$H485="Troy",+All!J485,0))</f>
        <v>Troy</v>
      </c>
      <c r="K164" s="461" t="str">
        <f>IF(+All!$F485="Troy",+All!K485,IF(+All!$H485="Troy",+All!K485,0))</f>
        <v>Texas State</v>
      </c>
      <c r="L164" s="54">
        <f>IF(+All!$F485="Troy",+All!L485,IF(+All!$H485="Troy",+All!L485,0))</f>
        <v>16.5</v>
      </c>
      <c r="M164" s="55">
        <f>IF(+All!$F485="Troy",+All!M485,IF(+All!$H485="Troy",+All!M485,0))</f>
        <v>48.5</v>
      </c>
      <c r="N164" s="460" t="str">
        <f>IF(+All!$F485="Troy",+All!N485,IF(+All!$H485="Troy",+All!N485,0))</f>
        <v>Troy</v>
      </c>
      <c r="O164" s="462">
        <f>IF(+All!$F485="Troy",+All!O485,IF(+All!$H485="Troy",+All!O485,0))</f>
        <v>17</v>
      </c>
      <c r="P164" s="462" t="str">
        <f>IF(+All!$F485="Troy",+All!P485,IF(+All!$H485="Troy",+All!P485,0))</f>
        <v>Texas State</v>
      </c>
      <c r="Q164" s="461">
        <f>IF(+All!$F485="Troy",+All!Q485,IF(+All!$H485="Troy",+All!Q485,0))</f>
        <v>14</v>
      </c>
      <c r="R164" s="460" t="str">
        <f>IF(+All!$F485="Troy",+All!R485,IF(+All!$H485="Troy",+All!R485,0))</f>
        <v>Texas State</v>
      </c>
      <c r="S164" s="462" t="str">
        <f>IF(+All!$F485="Troy",+All!S485,IF(+All!$H485="Troy",+All!S485,0))</f>
        <v>Troy</v>
      </c>
      <c r="T164" s="460" t="str">
        <f>IF(+All!$F485="Troy",+All!T485,IF(+All!$H485="Troy",+All!T485,0))</f>
        <v>Troy</v>
      </c>
      <c r="U164" s="461" t="str">
        <f>IF(+All!$F485="Troy",+All!U485,IF(+All!$H485="Troy",+All!U485,0))</f>
        <v>L</v>
      </c>
      <c r="V164" s="482"/>
    </row>
    <row r="165" spans="1:22" s="75" customFormat="1" x14ac:dyDescent="0.8">
      <c r="A165" s="46">
        <f>IF(+All!$F493="Troy",+All!A493,IF(+All!$H493="Troy",+All!A493,0))</f>
        <v>8</v>
      </c>
      <c r="B165" s="348" t="str">
        <f>IF(+All!$F493="Troy",+All!B493,IF(+All!$H493="Troy",+All!B493,0))</f>
        <v>Thurs</v>
      </c>
      <c r="C165" s="48">
        <f>IF(+All!$F493="Troy",+All!C493,IF(+All!$H493="Troy",+All!C493,0))</f>
        <v>44854</v>
      </c>
      <c r="D165" s="490">
        <f>IF(+All!$F493="Troy",+All!D493,IF(+All!$H493="Troy",+All!D493,0))</f>
        <v>0.83333333333333337</v>
      </c>
      <c r="E165" s="461" t="str">
        <f>IF(+All!$F493="Troy",+All!E493,IF(+All!$H493="Troy",+All!E493,0))</f>
        <v>ESPNU</v>
      </c>
      <c r="F165" s="51" t="str">
        <f>IF(+All!$F493="Troy",+All!F493,IF(+All!$H493="Troy",+All!F493,0))</f>
        <v>Troy</v>
      </c>
      <c r="G165" s="52" t="str">
        <f>IF(+All!$F493="Troy",+All!G493,IF(+All!$H493="Troy",+All!G493,0))</f>
        <v>SB</v>
      </c>
      <c r="H165" s="51" t="str">
        <f>IF(+All!$F493="Troy",+All!H493,IF(+All!$H493="Troy",+All!H493,0))</f>
        <v>South Alabama</v>
      </c>
      <c r="I165" s="52" t="str">
        <f>IF(+All!$F493="Troy",+All!I493,IF(+All!$H493="Troy",+All!I493,0))</f>
        <v>SB</v>
      </c>
      <c r="J165" s="460" t="str">
        <f>IF(+All!$F493="Troy",+All!J493,IF(+All!$H493="Troy",+All!J493,0))</f>
        <v>South Alabama</v>
      </c>
      <c r="K165" s="461" t="str">
        <f>IF(+All!$F493="Troy",+All!K493,IF(+All!$H493="Troy",+All!K493,0))</f>
        <v>Troy</v>
      </c>
      <c r="L165" s="54">
        <f>IF(+All!$F493="Troy",+All!L493,IF(+All!$H493="Troy",+All!L493,0))</f>
        <v>3</v>
      </c>
      <c r="M165" s="55">
        <f>IF(+All!$F493="Troy",+All!M493,IF(+All!$H493="Troy",+All!M493,0))</f>
        <v>46</v>
      </c>
      <c r="N165" s="460" t="str">
        <f>IF(+All!$F493="Troy",+All!N493,IF(+All!$H493="Troy",+All!N493,0))</f>
        <v>Troy</v>
      </c>
      <c r="O165" s="462">
        <f>IF(+All!$F493="Troy",+All!O493,IF(+All!$H493="Troy",+All!O493,0))</f>
        <v>10</v>
      </c>
      <c r="P165" s="462" t="str">
        <f>IF(+All!$F493="Troy",+All!P493,IF(+All!$H493="Troy",+All!P493,0))</f>
        <v>South Alabama</v>
      </c>
      <c r="Q165" s="461">
        <f>IF(+All!$F493="Troy",+All!Q493,IF(+All!$H493="Troy",+All!Q493,0))</f>
        <v>6</v>
      </c>
      <c r="R165" s="460" t="str">
        <f>IF(+All!$F493="Troy",+All!R493,IF(+All!$H493="Troy",+All!R493,0))</f>
        <v>Troy</v>
      </c>
      <c r="S165" s="462" t="str">
        <f>IF(+All!$F493="Troy",+All!S493,IF(+All!$H493="Troy",+All!S493,0))</f>
        <v>South Alabama</v>
      </c>
      <c r="T165" s="460" t="str">
        <f>IF(+All!$F493="Troy",+All!T493,IF(+All!$H493="Troy",+All!T493,0))</f>
        <v>South Alabama</v>
      </c>
      <c r="U165" s="461" t="str">
        <f>IF(+All!$F493="Troy",+All!U493,IF(+All!$H493="Troy",+All!U493,0))</f>
        <v>L</v>
      </c>
      <c r="V165" s="482"/>
    </row>
    <row r="166" spans="1:22" s="75" customFormat="1" x14ac:dyDescent="0.8">
      <c r="A166" s="46" t="e">
        <f>IF(+All!#REF!="Troy",+All!#REF!,IF(+All!#REF!="Troy",+All!#REF!,0))</f>
        <v>#REF!</v>
      </c>
      <c r="B166" s="348" t="e">
        <f>IF(+All!#REF!="Troy",+All!#REF!,IF(+All!#REF!="Troy",+All!#REF!,0))</f>
        <v>#REF!</v>
      </c>
      <c r="C166" s="48" t="e">
        <f>IF(+All!#REF!="Troy",+All!#REF!,IF(+All!#REF!="Troy",+All!#REF!,0))</f>
        <v>#REF!</v>
      </c>
      <c r="D166" s="490" t="e">
        <f>IF(+All!#REF!="Troy",+All!#REF!,IF(+All!#REF!="Troy",+All!#REF!,0))</f>
        <v>#REF!</v>
      </c>
      <c r="E166" s="461" t="e">
        <f>IF(+All!#REF!="Troy",+All!#REF!,IF(+All!#REF!="Troy",+All!#REF!,0))</f>
        <v>#REF!</v>
      </c>
      <c r="F166" s="51" t="e">
        <f>IF(+All!#REF!="Troy",+All!#REF!,IF(+All!#REF!="Troy",+All!#REF!,0))</f>
        <v>#REF!</v>
      </c>
      <c r="G166" s="52" t="e">
        <f>IF(+All!#REF!="Troy",+All!#REF!,IF(+All!#REF!="Troy",+All!#REF!,0))</f>
        <v>#REF!</v>
      </c>
      <c r="H166" s="51" t="e">
        <f>IF(+All!#REF!="Troy",+All!#REF!,IF(+All!#REF!="Troy",+All!#REF!,0))</f>
        <v>#REF!</v>
      </c>
      <c r="I166" s="52" t="e">
        <f>IF(+All!#REF!="Troy",+All!#REF!,IF(+All!#REF!="Troy",+All!#REF!,0))</f>
        <v>#REF!</v>
      </c>
      <c r="J166" s="460" t="e">
        <f>IF(+All!#REF!="Troy",+All!#REF!,IF(+All!#REF!="Troy",+All!#REF!,0))</f>
        <v>#REF!</v>
      </c>
      <c r="K166" s="461" t="e">
        <f>IF(+All!#REF!="Troy",+All!#REF!,IF(+All!#REF!="Troy",+All!#REF!,0))</f>
        <v>#REF!</v>
      </c>
      <c r="L166" s="54" t="e">
        <f>IF(+All!#REF!="Troy",+All!#REF!,IF(+All!#REF!="Troy",+All!#REF!,0))</f>
        <v>#REF!</v>
      </c>
      <c r="M166" s="55" t="e">
        <f>IF(+All!#REF!="Troy",+All!#REF!,IF(+All!#REF!="Troy",+All!#REF!,0))</f>
        <v>#REF!</v>
      </c>
      <c r="N166" s="460" t="e">
        <f>IF(+All!#REF!="Troy",+All!#REF!,IF(+All!#REF!="Troy",+All!#REF!,0))</f>
        <v>#REF!</v>
      </c>
      <c r="O166" s="462" t="e">
        <f>IF(+All!#REF!="Troy",+All!#REF!,IF(+All!#REF!="Troy",+All!#REF!,0))</f>
        <v>#REF!</v>
      </c>
      <c r="P166" s="462" t="e">
        <f>IF(+All!#REF!="Troy",+All!#REF!,IF(+All!#REF!="Troy",+All!#REF!,0))</f>
        <v>#REF!</v>
      </c>
      <c r="Q166" s="461" t="e">
        <f>IF(+All!#REF!="Troy",+All!#REF!,IF(+All!#REF!="Troy",+All!#REF!,0))</f>
        <v>#REF!</v>
      </c>
      <c r="R166" s="460" t="e">
        <f>IF(+All!#REF!="Troy",+All!#REF!,IF(+All!#REF!="Troy",+All!#REF!,0))</f>
        <v>#REF!</v>
      </c>
      <c r="S166" s="462" t="e">
        <f>IF(+All!#REF!="Troy",+All!#REF!,IF(+All!#REF!="Troy",+All!#REF!,0))</f>
        <v>#REF!</v>
      </c>
      <c r="T166" s="460" t="e">
        <f>IF(+All!#REF!="Troy",+All!#REF!,IF(+All!#REF!="Troy",+All!#REF!,0))</f>
        <v>#REF!</v>
      </c>
      <c r="U166" s="461" t="e">
        <f>IF(+All!#REF!="Troy",+All!#REF!,IF(+All!#REF!="Troy",+All!#REF!,0))</f>
        <v>#REF!</v>
      </c>
      <c r="V166" s="482"/>
    </row>
    <row r="167" spans="1:22" s="75" customFormat="1" x14ac:dyDescent="0.8">
      <c r="A167" s="46">
        <f>IF(+All!$F644="Troy",+All!A644,IF(+All!$H644="Troy",+All!A644,0))</f>
        <v>10</v>
      </c>
      <c r="B167" s="348" t="str">
        <f>IF(+All!$F644="Troy",+All!B644,IF(+All!$H644="Troy",+All!B644,0))</f>
        <v>Sat</v>
      </c>
      <c r="C167" s="48">
        <f>IF(+All!$F644="Troy",+All!C644,IF(+All!$H644="Troy",+All!C644,0))</f>
        <v>44870</v>
      </c>
      <c r="D167" s="490">
        <f>IF(+All!$F644="Troy",+All!D644,IF(+All!$H644="Troy",+All!D644,0))</f>
        <v>0.70833333333333337</v>
      </c>
      <c r="E167" s="461">
        <f>IF(+All!$F644="Troy",+All!E644,IF(+All!$H644="Troy",+All!E644,0))</f>
        <v>0</v>
      </c>
      <c r="F167" s="51" t="str">
        <f>IF(+All!$F644="Troy",+All!F644,IF(+All!$H644="Troy",+All!F644,0))</f>
        <v>Troy</v>
      </c>
      <c r="G167" s="52" t="str">
        <f>IF(+All!$F644="Troy",+All!G644,IF(+All!$H644="Troy",+All!G644,0))</f>
        <v>SB</v>
      </c>
      <c r="H167" s="51" t="str">
        <f>IF(+All!$F644="Troy",+All!H644,IF(+All!$H644="Troy",+All!H644,0))</f>
        <v>UL Lafayette</v>
      </c>
      <c r="I167" s="52" t="str">
        <f>IF(+All!$F644="Troy",+All!I644,IF(+All!$H644="Troy",+All!I644,0))</f>
        <v>SB</v>
      </c>
      <c r="J167" s="460" t="str">
        <f>IF(+All!$F644="Troy",+All!J644,IF(+All!$H644="Troy",+All!J644,0))</f>
        <v>Troy</v>
      </c>
      <c r="K167" s="461" t="str">
        <f>IF(+All!$F644="Troy",+All!K644,IF(+All!$H644="Troy",+All!K644,0))</f>
        <v>UL Lafayette</v>
      </c>
      <c r="L167" s="54">
        <f>IF(+All!$F644="Troy",+All!L644,IF(+All!$H644="Troy",+All!L644,0))</f>
        <v>4.5</v>
      </c>
      <c r="M167" s="55">
        <f>IF(+All!$F644="Troy",+All!M644,IF(+All!$H644="Troy",+All!M644,0))</f>
        <v>43.5</v>
      </c>
      <c r="N167" s="460" t="str">
        <f>IF(+All!$F644="Troy",+All!N644,IF(+All!$H644="Troy",+All!N644,0))</f>
        <v>Troy</v>
      </c>
      <c r="O167" s="462">
        <f>IF(+All!$F644="Troy",+All!O644,IF(+All!$H644="Troy",+All!O644,0))</f>
        <v>23</v>
      </c>
      <c r="P167" s="462" t="str">
        <f>IF(+All!$F644="Troy",+All!P644,IF(+All!$H644="Troy",+All!P644,0))</f>
        <v>UL Lafayette</v>
      </c>
      <c r="Q167" s="461">
        <f>IF(+All!$F644="Troy",+All!Q644,IF(+All!$H644="Troy",+All!Q644,0))</f>
        <v>17</v>
      </c>
      <c r="R167" s="460" t="str">
        <f>IF(+All!$F644="Troy",+All!R644,IF(+All!$H644="Troy",+All!R644,0))</f>
        <v>Troy</v>
      </c>
      <c r="S167" s="462" t="str">
        <f>IF(+All!$F644="Troy",+All!S644,IF(+All!$H644="Troy",+All!S644,0))</f>
        <v>UL Lafayette</v>
      </c>
      <c r="T167" s="460" t="str">
        <f>IF(+All!$F644="Troy",+All!T644,IF(+All!$H644="Troy",+All!T644,0))</f>
        <v>Troy</v>
      </c>
      <c r="U167" s="461" t="str">
        <f>IF(+All!$F644="Troy",+All!U644,IF(+All!$H644="Troy",+All!U644,0))</f>
        <v>W</v>
      </c>
      <c r="V167" s="482"/>
    </row>
    <row r="168" spans="1:22" s="75" customFormat="1" x14ac:dyDescent="0.8">
      <c r="A168" s="46">
        <f>IF(+All!$F710="Troy",+All!A710,IF(+All!$H710="Troy",+All!A710,0))</f>
        <v>11</v>
      </c>
      <c r="B168" s="348" t="str">
        <f>IF(+All!$F710="Troy",+All!B710,IF(+All!$H710="Troy",+All!B710,0))</f>
        <v>Sat</v>
      </c>
      <c r="C168" s="48">
        <f>IF(+All!$F710="Troy",+All!C710,IF(+All!$H710="Troy",+All!C710,0))</f>
        <v>44877</v>
      </c>
      <c r="D168" s="490">
        <f>IF(+All!$F710="Troy",+All!D710,IF(+All!$H710="Troy",+All!D710,0))</f>
        <v>0.64583333333333337</v>
      </c>
      <c r="E168" s="461" t="str">
        <f>IF(+All!$F710="Troy",+All!E710,IF(+All!$H710="Troy",+All!E710,0))</f>
        <v>NFL</v>
      </c>
      <c r="F168" s="51" t="str">
        <f>IF(+All!$F710="Troy",+All!F710,IF(+All!$H710="Troy",+All!F710,0))</f>
        <v>Army</v>
      </c>
      <c r="G168" s="52" t="str">
        <f>IF(+All!$F710="Troy",+All!G710,IF(+All!$H710="Troy",+All!G710,0))</f>
        <v>Ind</v>
      </c>
      <c r="H168" s="51" t="str">
        <f>IF(+All!$F710="Troy",+All!H710,IF(+All!$H710="Troy",+All!H710,0))</f>
        <v>Troy</v>
      </c>
      <c r="I168" s="52" t="str">
        <f>IF(+All!$F710="Troy",+All!I710,IF(+All!$H710="Troy",+All!I710,0))</f>
        <v>SB</v>
      </c>
      <c r="J168" s="460" t="str">
        <f>IF(+All!$F710="Troy",+All!J710,IF(+All!$H710="Troy",+All!J710,0))</f>
        <v>Troy</v>
      </c>
      <c r="K168" s="461" t="str">
        <f>IF(+All!$F710="Troy",+All!K710,IF(+All!$H710="Troy",+All!K710,0))</f>
        <v>Army</v>
      </c>
      <c r="L168" s="54">
        <f>IF(+All!$F710="Troy",+All!L710,IF(+All!$H710="Troy",+All!L710,0))</f>
        <v>9</v>
      </c>
      <c r="M168" s="55">
        <f>IF(+All!$F710="Troy",+All!M710,IF(+All!$H710="Troy",+All!M710,0))</f>
        <v>46</v>
      </c>
      <c r="N168" s="460" t="str">
        <f>IF(+All!$F710="Troy",+All!N710,IF(+All!$H710="Troy",+All!N710,0))</f>
        <v>Troy</v>
      </c>
      <c r="O168" s="462">
        <f>IF(+All!$F710="Troy",+All!O710,IF(+All!$H710="Troy",+All!O710,0))</f>
        <v>10</v>
      </c>
      <c r="P168" s="462" t="str">
        <f>IF(+All!$F710="Troy",+All!P710,IF(+All!$H710="Troy",+All!P710,0))</f>
        <v>Army</v>
      </c>
      <c r="Q168" s="461">
        <f>IF(+All!$F710="Troy",+All!Q710,IF(+All!$H710="Troy",+All!Q710,0))</f>
        <v>9</v>
      </c>
      <c r="R168" s="460" t="str">
        <f>IF(+All!$F710="Troy",+All!R710,IF(+All!$H710="Troy",+All!R710,0))</f>
        <v>Army</v>
      </c>
      <c r="S168" s="462" t="str">
        <f>IF(+All!$F710="Troy",+All!S710,IF(+All!$H710="Troy",+All!S710,0))</f>
        <v>Troy</v>
      </c>
      <c r="T168" s="460" t="str">
        <f>IF(+All!$F710="Troy",+All!T710,IF(+All!$H710="Troy",+All!T710,0))</f>
        <v>Troy</v>
      </c>
      <c r="U168" s="461" t="str">
        <f>IF(+All!$F710="Troy",+All!U710,IF(+All!$H710="Troy",+All!U710,0))</f>
        <v>L</v>
      </c>
      <c r="V168" s="482"/>
    </row>
    <row r="169" spans="1:22" s="75" customFormat="1" x14ac:dyDescent="0.8">
      <c r="A169" s="46">
        <f>IF(+All!$F774="Troy",+All!A774,IF(+All!$H774="Troy",+All!A774,0))</f>
        <v>12</v>
      </c>
      <c r="B169" s="348" t="str">
        <f>IF(+All!$F774="Troy",+All!B774,IF(+All!$H774="Troy",+All!B774,0))</f>
        <v>Sat</v>
      </c>
      <c r="C169" s="48">
        <f>IF(+All!$F774="Troy",+All!C774,IF(+All!$H774="Troy",+All!C774,0))</f>
        <v>44884</v>
      </c>
      <c r="D169" s="490">
        <f>IF(+All!$F774="Troy",+All!D774,IF(+All!$H774="Troy",+All!D774,0))</f>
        <v>0.64583333333333337</v>
      </c>
      <c r="E169" s="461">
        <f>IF(+All!$F774="Troy",+All!E774,IF(+All!$H774="Troy",+All!E774,0))</f>
        <v>0</v>
      </c>
      <c r="F169" s="51" t="str">
        <f>IF(+All!$F774="Troy",+All!F774,IF(+All!$H774="Troy",+All!F774,0))</f>
        <v>UL Monroe</v>
      </c>
      <c r="G169" s="52" t="str">
        <f>IF(+All!$F774="Troy",+All!G774,IF(+All!$H774="Troy",+All!G774,0))</f>
        <v>SB</v>
      </c>
      <c r="H169" s="51" t="str">
        <f>IF(+All!$F774="Troy",+All!H774,IF(+All!$H774="Troy",+All!H774,0))</f>
        <v>Troy</v>
      </c>
      <c r="I169" s="52" t="str">
        <f>IF(+All!$F774="Troy",+All!I774,IF(+All!$H774="Troy",+All!I774,0))</f>
        <v>SB</v>
      </c>
      <c r="J169" s="460" t="str">
        <f>IF(+All!$F774="Troy",+All!J774,IF(+All!$H774="Troy",+All!J774,0))</f>
        <v>Troy</v>
      </c>
      <c r="K169" s="461" t="str">
        <f>IF(+All!$F774="Troy",+All!K774,IF(+All!$H774="Troy",+All!K774,0))</f>
        <v>UL Monroe</v>
      </c>
      <c r="L169" s="54">
        <f>IF(+All!$F774="Troy",+All!L774,IF(+All!$H774="Troy",+All!L774,0))</f>
        <v>14.5</v>
      </c>
      <c r="M169" s="55">
        <f>IF(+All!$F774="Troy",+All!M774,IF(+All!$H774="Troy",+All!M774,0))</f>
        <v>47.5</v>
      </c>
      <c r="N169" s="460" t="str">
        <f>IF(+All!$F774="Troy",+All!N774,IF(+All!$H774="Troy",+All!N774,0))</f>
        <v>Troy</v>
      </c>
      <c r="O169" s="462">
        <f>IF(+All!$F774="Troy",+All!O774,IF(+All!$H774="Troy",+All!O774,0))</f>
        <v>34</v>
      </c>
      <c r="P169" s="462" t="str">
        <f>IF(+All!$F774="Troy",+All!P774,IF(+All!$H774="Troy",+All!P774,0))</f>
        <v>UL Monroe</v>
      </c>
      <c r="Q169" s="461">
        <f>IF(+All!$F774="Troy",+All!Q774,IF(+All!$H774="Troy",+All!Q774,0))</f>
        <v>16</v>
      </c>
      <c r="R169" s="460" t="str">
        <f>IF(+All!$F774="Troy",+All!R774,IF(+All!$H774="Troy",+All!R774,0))</f>
        <v>Troy</v>
      </c>
      <c r="S169" s="462" t="str">
        <f>IF(+All!$F774="Troy",+All!S774,IF(+All!$H774="Troy",+All!S774,0))</f>
        <v>UL Monroe</v>
      </c>
      <c r="T169" s="460" t="str">
        <f>IF(+All!$F774="Troy",+All!T774,IF(+All!$H774="Troy",+All!T774,0))</f>
        <v>Troy</v>
      </c>
      <c r="U169" s="461" t="str">
        <f>IF(+All!$F774="Troy",+All!U774,IF(+All!$H774="Troy",+All!U774,0))</f>
        <v>W</v>
      </c>
      <c r="V169" s="482"/>
    </row>
    <row r="170" spans="1:22" s="75" customFormat="1" x14ac:dyDescent="0.8">
      <c r="A170" s="46">
        <f>IF(+All!$F837="Troy",+All!A837,IF(+All!$H837="Troy",+All!A837,0))</f>
        <v>13</v>
      </c>
      <c r="B170" s="348" t="str">
        <f>IF(+All!$F837="Troy",+All!B837,IF(+All!$H837="Troy",+All!B837,0))</f>
        <v>Sat</v>
      </c>
      <c r="C170" s="48">
        <f>IF(+All!$F837="Troy",+All!C837,IF(+All!$H837="Troy",+All!C837,0))</f>
        <v>44891</v>
      </c>
      <c r="D170" s="490">
        <f>IF(+All!$F837="Troy",+All!D837,IF(+All!$H837="Troy",+All!D837,0))</f>
        <v>0.64583333333333337</v>
      </c>
      <c r="E170" s="461" t="str">
        <f>IF(+All!$F837="Troy",+All!E837,IF(+All!$H837="Troy",+All!E837,0))</f>
        <v>ESPNU</v>
      </c>
      <c r="F170" s="51" t="str">
        <f>IF(+All!$F837="Troy",+All!F837,IF(+All!$H837="Troy",+All!F837,0))</f>
        <v>Troy</v>
      </c>
      <c r="G170" s="52" t="str">
        <f>IF(+All!$F837="Troy",+All!G837,IF(+All!$H837="Troy",+All!G837,0))</f>
        <v>SB</v>
      </c>
      <c r="H170" s="51" t="str">
        <f>IF(+All!$F837="Troy",+All!H837,IF(+All!$H837="Troy",+All!H837,0))</f>
        <v>Arkansas State</v>
      </c>
      <c r="I170" s="52" t="str">
        <f>IF(+All!$F837="Troy",+All!I837,IF(+All!$H837="Troy",+All!I837,0))</f>
        <v>SB</v>
      </c>
      <c r="J170" s="460" t="str">
        <f>IF(+All!$F837="Troy",+All!J837,IF(+All!$H837="Troy",+All!J837,0))</f>
        <v>Troy</v>
      </c>
      <c r="K170" s="461" t="str">
        <f>IF(+All!$F837="Troy",+All!K837,IF(+All!$H837="Troy",+All!K837,0))</f>
        <v>Arkansas State</v>
      </c>
      <c r="L170" s="54">
        <f>IF(+All!$F837="Troy",+All!L837,IF(+All!$H837="Troy",+All!L837,0))</f>
        <v>13.5</v>
      </c>
      <c r="M170" s="55">
        <f>IF(+All!$F837="Troy",+All!M837,IF(+All!$H837="Troy",+All!M837,0))</f>
        <v>45.5</v>
      </c>
      <c r="N170" s="460" t="str">
        <f>IF(+All!$F837="Troy",+All!N837,IF(+All!$H837="Troy",+All!N837,0))</f>
        <v>Troy</v>
      </c>
      <c r="O170" s="462">
        <f>IF(+All!$F837="Troy",+All!O837,IF(+All!$H837="Troy",+All!O837,0))</f>
        <v>48</v>
      </c>
      <c r="P170" s="462" t="str">
        <f>IF(+All!$F837="Troy",+All!P837,IF(+All!$H837="Troy",+All!P837,0))</f>
        <v>Arkansas State</v>
      </c>
      <c r="Q170" s="461">
        <f>IF(+All!$F837="Troy",+All!Q837,IF(+All!$H837="Troy",+All!Q837,0))</f>
        <v>19</v>
      </c>
      <c r="R170" s="460" t="str">
        <f>IF(+All!$F837="Troy",+All!R837,IF(+All!$H837="Troy",+All!R837,0))</f>
        <v>Troy</v>
      </c>
      <c r="S170" s="462" t="str">
        <f>IF(+All!$F837="Troy",+All!S837,IF(+All!$H837="Troy",+All!S837,0))</f>
        <v>Arkansas State</v>
      </c>
      <c r="T170" s="460" t="str">
        <f>IF(+All!$F837="Troy",+All!T837,IF(+All!$H837="Troy",+All!T837,0))</f>
        <v>Troy</v>
      </c>
      <c r="U170" s="461" t="str">
        <f>IF(+All!$F837="Troy",+All!U837,IF(+All!$H837="Troy",+All!U837,0))</f>
        <v>W</v>
      </c>
      <c r="V170" s="482"/>
    </row>
    <row r="171" spans="1:22" x14ac:dyDescent="0.8">
      <c r="B171" s="46"/>
      <c r="C171" s="62"/>
      <c r="D171" s="490"/>
      <c r="F171" s="897" t="str">
        <f>H172</f>
        <v>UL Lafayette</v>
      </c>
      <c r="G171" s="901"/>
      <c r="H171" s="901"/>
      <c r="I171" s="902"/>
      <c r="L171" s="54"/>
      <c r="M171" s="55"/>
      <c r="V171" s="9"/>
    </row>
    <row r="172" spans="1:22" s="75" customFormat="1" x14ac:dyDescent="0.8">
      <c r="A172" s="46">
        <f>IF(+All!$F85="UL Lafayette",+All!A85,IF(+All!$H85="UL Lafayette",+All!A85,0))</f>
        <v>1</v>
      </c>
      <c r="B172" s="348" t="str">
        <f>IF(+All!$F85="UL Lafayette",+All!B85,IF(+All!$H85="UL Lafayette",+All!B85,0))</f>
        <v>Sat</v>
      </c>
      <c r="C172" s="48">
        <f>IF(+All!$F85="UL Lafayette",+All!C85,IF(+All!$H85="UL Lafayette",+All!C85,0))</f>
        <v>414067</v>
      </c>
      <c r="D172" s="490">
        <f>IF(+All!$F85="UL Lafayette",+All!D85,IF(+All!$H85="UL Lafayette",+All!D85,0))</f>
        <v>0.79166666666666663</v>
      </c>
      <c r="E172" s="461">
        <f>IF(+All!$F85="UL Lafayette",+All!E85,IF(+All!$H85="UL Lafayette",+All!E85,0))</f>
        <v>0</v>
      </c>
      <c r="F172" s="51" t="str">
        <f>IF(+All!$F85="UL Lafayette",+All!F85,IF(+All!$H85="UL Lafayette",+All!F85,0))</f>
        <v>1AA Southeastern Louisiana</v>
      </c>
      <c r="G172" s="52" t="str">
        <f>IF(+All!$F85="UL Lafayette",+All!G85,IF(+All!$H85="UL Lafayette",+All!G85,0))</f>
        <v>1AA</v>
      </c>
      <c r="H172" s="51" t="str">
        <f>IF(+All!$F85="UL Lafayette",+All!H85,IF(+All!$H85="UL Lafayette",+All!H85,0))</f>
        <v>UL Lafayette</v>
      </c>
      <c r="I172" s="52" t="str">
        <f>IF(+All!$F85="UL Lafayette",+All!I85,IF(+All!$H85="UL Lafayette",+All!I85,0))</f>
        <v>SB</v>
      </c>
      <c r="J172" s="460">
        <f>IF(+All!$F85="UL Lafayette",+All!J85,IF(+All!$H85="UL Lafayette",+All!J85,0))</f>
        <v>0</v>
      </c>
      <c r="K172" s="461">
        <f>IF(+All!$F85="UL Lafayette",+All!K85,IF(+All!$H85="UL Lafayette",+All!K85,0))</f>
        <v>0</v>
      </c>
      <c r="L172" s="54">
        <f>IF(+All!$F85="UL Lafayette",+All!L85,IF(+All!$H85="UL Lafayette",+All!L85,0))</f>
        <v>0</v>
      </c>
      <c r="M172" s="55">
        <f>IF(+All!$F85="UL Lafayette",+All!M85,IF(+All!$H85="UL Lafayette",+All!M85,0))</f>
        <v>0</v>
      </c>
      <c r="N172" s="460" t="str">
        <f>IF(+All!$F85="UL Lafayette",+All!N85,IF(+All!$H85="UL Lafayette",+All!N85,0))</f>
        <v>UL Lafayette</v>
      </c>
      <c r="O172" s="462">
        <f>IF(+All!$F85="UL Lafayette",+All!O85,IF(+All!$H85="UL Lafayette",+All!O85,0))</f>
        <v>24</v>
      </c>
      <c r="P172" s="462" t="str">
        <f>IF(+All!$F85="UL Lafayette",+All!P85,IF(+All!$H85="UL Lafayette",+All!P85,0))</f>
        <v>1AA Southeastern Louisiana</v>
      </c>
      <c r="Q172" s="461">
        <f>IF(+All!$F85="UL Lafayette",+All!Q85,IF(+All!$H85="UL Lafayette",+All!Q85,0))</f>
        <v>7</v>
      </c>
      <c r="R172" s="460">
        <f>IF(+All!$F85="UL Lafayette",+All!R85,IF(+All!$H85="UL Lafayette",+All!R85,0))</f>
        <v>0</v>
      </c>
      <c r="S172" s="462">
        <f>IF(+All!$F85="UL Lafayette",+All!S85,IF(+All!$H85="UL Lafayette",+All!S85,0))</f>
        <v>0</v>
      </c>
      <c r="T172" s="460">
        <f>IF(+All!$F85="UL Lafayette",+All!T85,IF(+All!$H85="UL Lafayette",+All!T85,0))</f>
        <v>0</v>
      </c>
      <c r="U172" s="461">
        <f>IF(+All!$F85="UL Lafayette",+All!U85,IF(+All!$H85="UL Lafayette",+All!U85,0))</f>
        <v>0</v>
      </c>
      <c r="V172" s="482"/>
    </row>
    <row r="173" spans="1:22" s="75" customFormat="1" x14ac:dyDescent="0.8">
      <c r="A173" s="46">
        <f>IF(+All!$F169="UL Lafayette",+All!A169,IF(+All!$H169="UL Lafayette",+All!A169,0))</f>
        <v>2</v>
      </c>
      <c r="B173" s="348" t="str">
        <f>IF(+All!$F169="UL Lafayette",+All!B169,IF(+All!$H169="UL Lafayette",+All!B169,0))</f>
        <v>Sat</v>
      </c>
      <c r="C173" s="48">
        <f>IF(+All!$F169="UL Lafayette",+All!C169,IF(+All!$H169="UL Lafayette",+All!C169,0))</f>
        <v>44814</v>
      </c>
      <c r="D173" s="490">
        <f>IF(+All!$F169="UL Lafayette",+All!D169,IF(+All!$H169="UL Lafayette",+All!D169,0))</f>
        <v>0.79166666666666663</v>
      </c>
      <c r="E173" s="461" t="str">
        <f>IF(+All!$F169="UL Lafayette",+All!E169,IF(+All!$H169="UL Lafayette",+All!E169,0))</f>
        <v>NFL</v>
      </c>
      <c r="F173" s="51" t="str">
        <f>IF(+All!$F169="UL Lafayette",+All!F169,IF(+All!$H169="UL Lafayette",+All!F169,0))</f>
        <v>Eastern Michigan</v>
      </c>
      <c r="G173" s="52" t="str">
        <f>IF(+All!$F169="UL Lafayette",+All!G169,IF(+All!$H169="UL Lafayette",+All!G169,0))</f>
        <v>MAC</v>
      </c>
      <c r="H173" s="51" t="str">
        <f>IF(+All!$F169="UL Lafayette",+All!H169,IF(+All!$H169="UL Lafayette",+All!H169,0))</f>
        <v>UL Lafayette</v>
      </c>
      <c r="I173" s="52" t="str">
        <f>IF(+All!$F169="UL Lafayette",+All!I169,IF(+All!$H169="UL Lafayette",+All!I169,0))</f>
        <v>SB</v>
      </c>
      <c r="J173" s="460" t="str">
        <f>IF(+All!$F169="UL Lafayette",+All!J169,IF(+All!$H169="UL Lafayette",+All!J169,0))</f>
        <v>UL Lafayette</v>
      </c>
      <c r="K173" s="461" t="str">
        <f>IF(+All!$F169="UL Lafayette",+All!K169,IF(+All!$H169="UL Lafayette",+All!K169,0))</f>
        <v>Eastern Michigan</v>
      </c>
      <c r="L173" s="54">
        <f>IF(+All!$F169="UL Lafayette",+All!L169,IF(+All!$H169="UL Lafayette",+All!L169,0))</f>
        <v>11.5</v>
      </c>
      <c r="M173" s="55">
        <f>IF(+All!$F169="UL Lafayette",+All!M169,IF(+All!$H169="UL Lafayette",+All!M169,0))</f>
        <v>56.5</v>
      </c>
      <c r="N173" s="460" t="str">
        <f>IF(+All!$F169="UL Lafayette",+All!N169,IF(+All!$H169="UL Lafayette",+All!N169,0))</f>
        <v>UL Lafayette</v>
      </c>
      <c r="O173" s="462">
        <f>IF(+All!$F169="UL Lafayette",+All!O169,IF(+All!$H169="UL Lafayette",+All!O169,0))</f>
        <v>49</v>
      </c>
      <c r="P173" s="462" t="str">
        <f>IF(+All!$F169="UL Lafayette",+All!P169,IF(+All!$H169="UL Lafayette",+All!P169,0))</f>
        <v>Eastern Michigan</v>
      </c>
      <c r="Q173" s="461">
        <f>IF(+All!$F169="UL Lafayette",+All!Q169,IF(+All!$H169="UL Lafayette",+All!Q169,0))</f>
        <v>21</v>
      </c>
      <c r="R173" s="460" t="str">
        <f>IF(+All!$F169="UL Lafayette",+All!R169,IF(+All!$H169="UL Lafayette",+All!R169,0))</f>
        <v>UL Lafayette</v>
      </c>
      <c r="S173" s="462" t="str">
        <f>IF(+All!$F169="UL Lafayette",+All!S169,IF(+All!$H169="UL Lafayette",+All!S169,0))</f>
        <v>Eastern Michigan</v>
      </c>
      <c r="T173" s="460" t="str">
        <f>IF(+All!$F169="UL Lafayette",+All!T169,IF(+All!$H169="UL Lafayette",+All!T169,0))</f>
        <v>Eastern Michigan</v>
      </c>
      <c r="U173" s="461" t="str">
        <f>IF(+All!$F169="UL Lafayette",+All!U169,IF(+All!$H169="UL Lafayette",+All!U169,0))</f>
        <v>L</v>
      </c>
      <c r="V173" s="482"/>
    </row>
    <row r="174" spans="1:22" s="75" customFormat="1" x14ac:dyDescent="0.8">
      <c r="A174" s="46">
        <f>IF(+All!$F214="UL Lafayette",+All!A214,IF(+All!$H214="UL Lafayette",+All!A214,0))</f>
        <v>3</v>
      </c>
      <c r="B174" s="348" t="str">
        <f>IF(+All!$F214="UL Lafayette",+All!B214,IF(+All!$H214="UL Lafayette",+All!B214,0))</f>
        <v>Sat</v>
      </c>
      <c r="C174" s="48">
        <f>IF(+All!$F214="UL Lafayette",+All!C214,IF(+All!$H214="UL Lafayette",+All!C214,0))</f>
        <v>44821</v>
      </c>
      <c r="D174" s="490">
        <f>IF(+All!$F214="UL Lafayette",+All!D214,IF(+All!$H214="UL Lafayette",+All!D214,0))</f>
        <v>0.8125</v>
      </c>
      <c r="E174" s="461">
        <f>IF(+All!$F214="UL Lafayette",+All!E214,IF(+All!$H214="UL Lafayette",+All!E214,0))</f>
        <v>0</v>
      </c>
      <c r="F174" s="51" t="str">
        <f>IF(+All!$F214="UL Lafayette",+All!F214,IF(+All!$H214="UL Lafayette",+All!F214,0))</f>
        <v>UL Lafayette</v>
      </c>
      <c r="G174" s="52" t="str">
        <f>IF(+All!$F214="UL Lafayette",+All!G214,IF(+All!$H214="UL Lafayette",+All!G214,0))</f>
        <v>SB</v>
      </c>
      <c r="H174" s="51" t="str">
        <f>IF(+All!$F214="UL Lafayette",+All!H214,IF(+All!$H214="UL Lafayette",+All!H214,0))</f>
        <v>Rice</v>
      </c>
      <c r="I174" s="52" t="str">
        <f>IF(+All!$F214="UL Lafayette",+All!I214,IF(+All!$H214="UL Lafayette",+All!I214,0))</f>
        <v>CUSA</v>
      </c>
      <c r="J174" s="460" t="str">
        <f>IF(+All!$F214="UL Lafayette",+All!J214,IF(+All!$H214="UL Lafayette",+All!J214,0))</f>
        <v>UL Lafayette</v>
      </c>
      <c r="K174" s="461" t="str">
        <f>IF(+All!$F214="UL Lafayette",+All!K214,IF(+All!$H214="UL Lafayette",+All!K214,0))</f>
        <v>Rice</v>
      </c>
      <c r="L174" s="54">
        <f>IF(+All!$F214="UL Lafayette",+All!L214,IF(+All!$H214="UL Lafayette",+All!L214,0))</f>
        <v>11.5</v>
      </c>
      <c r="M174" s="55">
        <f>IF(+All!$F214="UL Lafayette",+All!M214,IF(+All!$H214="UL Lafayette",+All!M214,0))</f>
        <v>50.5</v>
      </c>
      <c r="N174" s="460" t="str">
        <f>IF(+All!$F214="UL Lafayette",+All!N214,IF(+All!$H214="UL Lafayette",+All!N214,0))</f>
        <v>Rice</v>
      </c>
      <c r="O174" s="462">
        <f>IF(+All!$F214="UL Lafayette",+All!O214,IF(+All!$H214="UL Lafayette",+All!O214,0))</f>
        <v>33</v>
      </c>
      <c r="P174" s="462" t="str">
        <f>IF(+All!$F214="UL Lafayette",+All!P214,IF(+All!$H214="UL Lafayette",+All!P214,0))</f>
        <v>UL Lafayette</v>
      </c>
      <c r="Q174" s="461">
        <f>IF(+All!$F214="UL Lafayette",+All!Q214,IF(+All!$H214="UL Lafayette",+All!Q214,0))</f>
        <v>21</v>
      </c>
      <c r="R174" s="460" t="str">
        <f>IF(+All!$F214="UL Lafayette",+All!R214,IF(+All!$H214="UL Lafayette",+All!R214,0))</f>
        <v>Rice</v>
      </c>
      <c r="S174" s="462" t="str">
        <f>IF(+All!$F214="UL Lafayette",+All!S214,IF(+All!$H214="UL Lafayette",+All!S214,0))</f>
        <v>UL Lafayette</v>
      </c>
      <c r="T174" s="460" t="str">
        <f>IF(+All!$F214="UL Lafayette",+All!T214,IF(+All!$H214="UL Lafayette",+All!T214,0))</f>
        <v>UL Lafayette</v>
      </c>
      <c r="U174" s="461" t="str">
        <f>IF(+All!$F214="UL Lafayette",+All!U214,IF(+All!$H214="UL Lafayette",+All!U214,0))</f>
        <v>L</v>
      </c>
      <c r="V174" s="482"/>
    </row>
    <row r="175" spans="1:22" s="75" customFormat="1" x14ac:dyDescent="0.8">
      <c r="A175" s="46">
        <f>IF(+All!$F307="UL Lafayette",+All!A307,IF(+All!$H307="UL Lafayette",+All!A307,0))</f>
        <v>4</v>
      </c>
      <c r="B175" s="348" t="str">
        <f>IF(+All!$F307="UL Lafayette",+All!B307,IF(+All!$H307="UL Lafayette",+All!B307,0))</f>
        <v>Sat</v>
      </c>
      <c r="C175" s="48">
        <f>IF(+All!$F307="UL Lafayette",+All!C307,IF(+All!$H307="UL Lafayette",+All!C307,0))</f>
        <v>44828</v>
      </c>
      <c r="D175" s="490">
        <f>IF(+All!$F307="UL Lafayette",+All!D307,IF(+All!$H307="UL Lafayette",+All!D307,0))</f>
        <v>0.83333333333333337</v>
      </c>
      <c r="E175" s="461">
        <f>IF(+All!$F307="UL Lafayette",+All!E307,IF(+All!$H307="UL Lafayette",+All!E307,0))</f>
        <v>0</v>
      </c>
      <c r="F175" s="51" t="str">
        <f>IF(+All!$F307="UL Lafayette",+All!F307,IF(+All!$H307="UL Lafayette",+All!F307,0))</f>
        <v>UL Lafayette</v>
      </c>
      <c r="G175" s="52" t="str">
        <f>IF(+All!$F307="UL Lafayette",+All!G307,IF(+All!$H307="UL Lafayette",+All!G307,0))</f>
        <v>SB</v>
      </c>
      <c r="H175" s="51" t="str">
        <f>IF(+All!$F307="UL Lafayette",+All!H307,IF(+All!$H307="UL Lafayette",+All!H307,0))</f>
        <v>UL Monroe</v>
      </c>
      <c r="I175" s="52" t="str">
        <f>IF(+All!$F307="UL Lafayette",+All!I307,IF(+All!$H307="UL Lafayette",+All!I307,0))</f>
        <v>SB</v>
      </c>
      <c r="J175" s="460" t="str">
        <f>IF(+All!$F307="UL Lafayette",+All!J307,IF(+All!$H307="UL Lafayette",+All!J307,0))</f>
        <v>UL Lafayette</v>
      </c>
      <c r="K175" s="461" t="str">
        <f>IF(+All!$F307="UL Lafayette",+All!K307,IF(+All!$H307="UL Lafayette",+All!K307,0))</f>
        <v>UL Monroe</v>
      </c>
      <c r="L175" s="54">
        <f>IF(+All!$F307="UL Lafayette",+All!L307,IF(+All!$H307="UL Lafayette",+All!L307,0))</f>
        <v>9</v>
      </c>
      <c r="M175" s="55">
        <f>IF(+All!$F307="UL Lafayette",+All!M307,IF(+All!$H307="UL Lafayette",+All!M307,0))</f>
        <v>51.5</v>
      </c>
      <c r="N175" s="460" t="str">
        <f>IF(+All!$F307="UL Lafayette",+All!N307,IF(+All!$H307="UL Lafayette",+All!N307,0))</f>
        <v>UL Monroe</v>
      </c>
      <c r="O175" s="462">
        <f>IF(+All!$F307="UL Lafayette",+All!O307,IF(+All!$H307="UL Lafayette",+All!O307,0))</f>
        <v>21</v>
      </c>
      <c r="P175" s="462" t="str">
        <f>IF(+All!$F307="UL Lafayette",+All!P307,IF(+All!$H307="UL Lafayette",+All!P307,0))</f>
        <v>UL Lafayette</v>
      </c>
      <c r="Q175" s="461">
        <f>IF(+All!$F307="UL Lafayette",+All!Q307,IF(+All!$H307="UL Lafayette",+All!Q307,0))</f>
        <v>17</v>
      </c>
      <c r="R175" s="460" t="str">
        <f>IF(+All!$F307="UL Lafayette",+All!R307,IF(+All!$H307="UL Lafayette",+All!R307,0))</f>
        <v>UL Monroe</v>
      </c>
      <c r="S175" s="462" t="str">
        <f>IF(+All!$F307="UL Lafayette",+All!S307,IF(+All!$H307="UL Lafayette",+All!S307,0))</f>
        <v>UL Lafayette</v>
      </c>
      <c r="T175" s="460" t="str">
        <f>IF(+All!$F307="UL Lafayette",+All!T307,IF(+All!$H307="UL Lafayette",+All!T307,0))</f>
        <v>UL Monroe</v>
      </c>
      <c r="U175" s="461" t="str">
        <f>IF(+All!$F307="UL Lafayette",+All!U307,IF(+All!$H307="UL Lafayette",+All!U307,0))</f>
        <v>W</v>
      </c>
      <c r="V175" s="482"/>
    </row>
    <row r="176" spans="1:22" s="75" customFormat="1" x14ac:dyDescent="0.8">
      <c r="A176" s="46">
        <f>IF(+All!$F374="UL Lafayette",+All!A374,IF(+All!$H374="UL Lafayette",+All!A374,0))</f>
        <v>5</v>
      </c>
      <c r="B176" s="348" t="str">
        <f>IF(+All!$F374="UL Lafayette",+All!B374,IF(+All!$H374="UL Lafayette",+All!B374,0))</f>
        <v>Sat</v>
      </c>
      <c r="C176" s="48">
        <f>IF(+All!$F374="UL Lafayette",+All!C374,IF(+All!$H374="UL Lafayette",+All!C374,0))</f>
        <v>44835</v>
      </c>
      <c r="D176" s="490">
        <f>IF(+All!$F374="UL Lafayette",+All!D374,IF(+All!$H374="UL Lafayette",+All!D374,0))</f>
        <v>0.70833333333333337</v>
      </c>
      <c r="E176" s="461">
        <f>IF(+All!$F374="UL Lafayette",+All!E374,IF(+All!$H374="UL Lafayette",+All!E374,0))</f>
        <v>0</v>
      </c>
      <c r="F176" s="51" t="str">
        <f>IF(+All!$F374="UL Lafayette",+All!F374,IF(+All!$H374="UL Lafayette",+All!F374,0))</f>
        <v>South Alabama</v>
      </c>
      <c r="G176" s="52" t="str">
        <f>IF(+All!$F374="UL Lafayette",+All!G374,IF(+All!$H374="UL Lafayette",+All!G374,0))</f>
        <v>SB</v>
      </c>
      <c r="H176" s="51" t="str">
        <f>IF(+All!$F374="UL Lafayette",+All!H374,IF(+All!$H374="UL Lafayette",+All!H374,0))</f>
        <v>UL Lafayette</v>
      </c>
      <c r="I176" s="52" t="str">
        <f>IF(+All!$F374="UL Lafayette",+All!I374,IF(+All!$H374="UL Lafayette",+All!I374,0))</f>
        <v>SB</v>
      </c>
      <c r="J176" s="460" t="str">
        <f>IF(+All!$F374="UL Lafayette",+All!J374,IF(+All!$H374="UL Lafayette",+All!J374,0))</f>
        <v>South Alabama</v>
      </c>
      <c r="K176" s="461" t="str">
        <f>IF(+All!$F374="UL Lafayette",+All!K374,IF(+All!$H374="UL Lafayette",+All!K374,0))</f>
        <v>UL Lafayette</v>
      </c>
      <c r="L176" s="54">
        <f>IF(+All!$F374="UL Lafayette",+All!L374,IF(+All!$H374="UL Lafayette",+All!L374,0))</f>
        <v>8.5</v>
      </c>
      <c r="M176" s="55">
        <f>IF(+All!$F374="UL Lafayette",+All!M374,IF(+All!$H374="UL Lafayette",+All!M374,0))</f>
        <v>47.5</v>
      </c>
      <c r="N176" s="460" t="str">
        <f>IF(+All!$F374="UL Lafayette",+All!N374,IF(+All!$H374="UL Lafayette",+All!N374,0))</f>
        <v>South Alabama</v>
      </c>
      <c r="O176" s="462">
        <f>IF(+All!$F374="UL Lafayette",+All!O374,IF(+All!$H374="UL Lafayette",+All!O374,0))</f>
        <v>20</v>
      </c>
      <c r="P176" s="462" t="str">
        <f>IF(+All!$F374="UL Lafayette",+All!P374,IF(+All!$H374="UL Lafayette",+All!P374,0))</f>
        <v>UL Lafayette</v>
      </c>
      <c r="Q176" s="461">
        <f>IF(+All!$F374="UL Lafayette",+All!Q374,IF(+All!$H374="UL Lafayette",+All!Q374,0))</f>
        <v>17</v>
      </c>
      <c r="R176" s="460" t="str">
        <f>IF(+All!$F374="UL Lafayette",+All!R374,IF(+All!$H374="UL Lafayette",+All!R374,0))</f>
        <v>UL Lafayette</v>
      </c>
      <c r="S176" s="462" t="str">
        <f>IF(+All!$F374="UL Lafayette",+All!S374,IF(+All!$H374="UL Lafayette",+All!S374,0))</f>
        <v>South Alabama</v>
      </c>
      <c r="T176" s="460" t="str">
        <f>IF(+All!$F374="UL Lafayette",+All!T374,IF(+All!$H374="UL Lafayette",+All!T374,0))</f>
        <v>South Alabama</v>
      </c>
      <c r="U176" s="461" t="str">
        <f>IF(+All!$F374="UL Lafayette",+All!U374,IF(+All!$H374="UL Lafayette",+All!U374,0))</f>
        <v>L</v>
      </c>
      <c r="V176" s="482"/>
    </row>
    <row r="177" spans="1:22" s="75" customFormat="1" x14ac:dyDescent="0.8">
      <c r="A177" s="46" t="e">
        <f>IF(+All!#REF!="UL Lafayette",+All!#REF!,IF(+All!#REF!="UL Lafayette",+All!#REF!,0))</f>
        <v>#REF!</v>
      </c>
      <c r="B177" s="348" t="e">
        <f>IF(+All!#REF!="UL Lafayette",+All!#REF!,IF(+All!#REF!="UL Lafayette",+All!#REF!,0))</f>
        <v>#REF!</v>
      </c>
      <c r="C177" s="48" t="e">
        <f>IF(+All!#REF!="UL Lafayette",+All!#REF!,IF(+All!#REF!="UL Lafayette",+All!#REF!,0))</f>
        <v>#REF!</v>
      </c>
      <c r="D177" s="490" t="e">
        <f>IF(+All!#REF!="UL Lafayette",+All!#REF!,IF(+All!#REF!="UL Lafayette",+All!#REF!,0))</f>
        <v>#REF!</v>
      </c>
      <c r="E177" s="461" t="e">
        <f>IF(+All!#REF!="UL Lafayette",+All!#REF!,IF(+All!#REF!="UL Lafayette",+All!#REF!,0))</f>
        <v>#REF!</v>
      </c>
      <c r="F177" s="51" t="e">
        <f>IF(+All!#REF!="UL Lafayette",+All!#REF!,IF(+All!#REF!="UL Lafayette",+All!#REF!,0))</f>
        <v>#REF!</v>
      </c>
      <c r="G177" s="52" t="e">
        <f>IF(+All!#REF!="UL Lafayette",+All!#REF!,IF(+All!#REF!="UL Lafayette",+All!#REF!,0))</f>
        <v>#REF!</v>
      </c>
      <c r="H177" s="51" t="e">
        <f>IF(+All!#REF!="UL Lafayette",+All!#REF!,IF(+All!#REF!="UL Lafayette",+All!#REF!,0))</f>
        <v>#REF!</v>
      </c>
      <c r="I177" s="52" t="e">
        <f>IF(+All!#REF!="UL Lafayette",+All!#REF!,IF(+All!#REF!="UL Lafayette",+All!#REF!,0))</f>
        <v>#REF!</v>
      </c>
      <c r="J177" s="460" t="e">
        <f>IF(+All!#REF!="UL Lafayette",+All!#REF!,IF(+All!#REF!="UL Lafayette",+All!#REF!,0))</f>
        <v>#REF!</v>
      </c>
      <c r="K177" s="461" t="e">
        <f>IF(+All!#REF!="UL Lafayette",+All!#REF!,IF(+All!#REF!="UL Lafayette",+All!#REF!,0))</f>
        <v>#REF!</v>
      </c>
      <c r="L177" s="54" t="e">
        <f>IF(+All!#REF!="UL Lafayette",+All!#REF!,IF(+All!#REF!="UL Lafayette",+All!#REF!,0))</f>
        <v>#REF!</v>
      </c>
      <c r="M177" s="55" t="e">
        <f>IF(+All!#REF!="UL Lafayette",+All!#REF!,IF(+All!#REF!="UL Lafayette",+All!#REF!,0))</f>
        <v>#REF!</v>
      </c>
      <c r="N177" s="460" t="e">
        <f>IF(+All!#REF!="UL Lafayette",+All!#REF!,IF(+All!#REF!="UL Lafayette",+All!#REF!,0))</f>
        <v>#REF!</v>
      </c>
      <c r="O177" s="462" t="e">
        <f>IF(+All!#REF!="UL Lafayette",+All!#REF!,IF(+All!#REF!="UL Lafayette",+All!#REF!,0))</f>
        <v>#REF!</v>
      </c>
      <c r="P177" s="462" t="e">
        <f>IF(+All!#REF!="UL Lafayette",+All!#REF!,IF(+All!#REF!="UL Lafayette",+All!#REF!,0))</f>
        <v>#REF!</v>
      </c>
      <c r="Q177" s="461" t="e">
        <f>IF(+All!#REF!="UL Lafayette",+All!#REF!,IF(+All!#REF!="UL Lafayette",+All!#REF!,0))</f>
        <v>#REF!</v>
      </c>
      <c r="R177" s="460" t="e">
        <f>IF(+All!#REF!="UL Lafayette",+All!#REF!,IF(+All!#REF!="UL Lafayette",+All!#REF!,0))</f>
        <v>#REF!</v>
      </c>
      <c r="S177" s="462" t="e">
        <f>IF(+All!#REF!="UL Lafayette",+All!#REF!,IF(+All!#REF!="UL Lafayette",+All!#REF!,0))</f>
        <v>#REF!</v>
      </c>
      <c r="T177" s="460" t="e">
        <f>IF(+All!#REF!="UL Lafayette",+All!#REF!,IF(+All!#REF!="UL Lafayette",+All!#REF!,0))</f>
        <v>#REF!</v>
      </c>
      <c r="U177" s="461" t="e">
        <f>IF(+All!#REF!="UL Lafayette",+All!#REF!,IF(+All!#REF!="UL Lafayette",+All!#REF!,0))</f>
        <v>#REF!</v>
      </c>
      <c r="V177" s="482"/>
    </row>
    <row r="178" spans="1:22" s="75" customFormat="1" x14ac:dyDescent="0.8">
      <c r="A178" s="46">
        <f>IF(+All!$F438="UL Lafayette",+All!A438,IF(+All!$H438="UL Lafayette",+All!A438,0))</f>
        <v>7</v>
      </c>
      <c r="B178" s="348" t="str">
        <f>IF(+All!$F438="UL Lafayette",+All!B438,IF(+All!$H438="UL Lafayette",+All!B438,0))</f>
        <v>Weds</v>
      </c>
      <c r="C178" s="48">
        <f>IF(+All!$F438="UL Lafayette",+All!C438,IF(+All!$H438="UL Lafayette",+All!C438,0))</f>
        <v>44846</v>
      </c>
      <c r="D178" s="490">
        <f>IF(+All!$F438="UL Lafayette",+All!D438,IF(+All!$H438="UL Lafayette",+All!D438,0))</f>
        <v>0.8125</v>
      </c>
      <c r="E178" s="461" t="str">
        <f>IF(+All!$F438="UL Lafayette",+All!E438,IF(+All!$H438="UL Lafayette",+All!E438,0))</f>
        <v>ESPN2</v>
      </c>
      <c r="F178" s="51" t="str">
        <f>IF(+All!$F438="UL Lafayette",+All!F438,IF(+All!$H438="UL Lafayette",+All!F438,0))</f>
        <v>UL Lafayette</v>
      </c>
      <c r="G178" s="52" t="str">
        <f>IF(+All!$F438="UL Lafayette",+All!G438,IF(+All!$H438="UL Lafayette",+All!G438,0))</f>
        <v>SB</v>
      </c>
      <c r="H178" s="51" t="str">
        <f>IF(+All!$F438="UL Lafayette",+All!H438,IF(+All!$H438="UL Lafayette",+All!H438,0))</f>
        <v>Marshall</v>
      </c>
      <c r="I178" s="52" t="str">
        <f>IF(+All!$F438="UL Lafayette",+All!I438,IF(+All!$H438="UL Lafayette",+All!I438,0))</f>
        <v>SB</v>
      </c>
      <c r="J178" s="460" t="str">
        <f>IF(+All!$F438="UL Lafayette",+All!J438,IF(+All!$H438="UL Lafayette",+All!J438,0))</f>
        <v>Marshall</v>
      </c>
      <c r="K178" s="461" t="str">
        <f>IF(+All!$F438="UL Lafayette",+All!K438,IF(+All!$H438="UL Lafayette",+All!K438,0))</f>
        <v>UL Lafayette</v>
      </c>
      <c r="L178" s="54">
        <f>IF(+All!$F438="UL Lafayette",+All!L438,IF(+All!$H438="UL Lafayette",+All!L438,0))</f>
        <v>10.5</v>
      </c>
      <c r="M178" s="55">
        <f>IF(+All!$F438="UL Lafayette",+All!M438,IF(+All!$H438="UL Lafayette",+All!M438,0))</f>
        <v>47.5</v>
      </c>
      <c r="N178" s="460" t="str">
        <f>IF(+All!$F438="UL Lafayette",+All!N438,IF(+All!$H438="UL Lafayette",+All!N438,0))</f>
        <v>Marshall</v>
      </c>
      <c r="O178" s="462">
        <f>IF(+All!$F438="UL Lafayette",+All!O438,IF(+All!$H438="UL Lafayette",+All!O438,0))</f>
        <v>23</v>
      </c>
      <c r="P178" s="462" t="str">
        <f>IF(+All!$F438="UL Lafayette",+All!P438,IF(+All!$H438="UL Lafayette",+All!P438,0))</f>
        <v>UL Lafayette</v>
      </c>
      <c r="Q178" s="461">
        <f>IF(+All!$F438="UL Lafayette",+All!Q438,IF(+All!$H438="UL Lafayette",+All!Q438,0))</f>
        <v>13</v>
      </c>
      <c r="R178" s="460" t="str">
        <f>IF(+All!$F438="UL Lafayette",+All!R438,IF(+All!$H438="UL Lafayette",+All!R438,0))</f>
        <v>UL Lafayette</v>
      </c>
      <c r="S178" s="462" t="str">
        <f>IF(+All!$F438="UL Lafayette",+All!S438,IF(+All!$H438="UL Lafayette",+All!S438,0))</f>
        <v>Marshall</v>
      </c>
      <c r="T178" s="460" t="str">
        <f>IF(+All!$F438="UL Lafayette",+All!T438,IF(+All!$H438="UL Lafayette",+All!T438,0))</f>
        <v>UL Lafayette</v>
      </c>
      <c r="U178" s="461" t="str">
        <f>IF(+All!$F438="UL Lafayette",+All!U438,IF(+All!$H438="UL Lafayette",+All!U438,0))</f>
        <v>W</v>
      </c>
      <c r="V178" s="482"/>
    </row>
    <row r="179" spans="1:22" s="75" customFormat="1" x14ac:dyDescent="0.8">
      <c r="A179" s="46">
        <f>IF(+All!$F539="UL Lafayette",+All!A539,IF(+All!$H539="UL Lafayette",+All!A539,0))</f>
        <v>8</v>
      </c>
      <c r="B179" s="348" t="str">
        <f>IF(+All!$F539="UL Lafayette",+All!B539,IF(+All!$H539="UL Lafayette",+All!B539,0))</f>
        <v>Sat</v>
      </c>
      <c r="C179" s="48">
        <f>IF(+All!$F539="UL Lafayette",+All!C539,IF(+All!$H539="UL Lafayette",+All!C539,0))</f>
        <v>44856</v>
      </c>
      <c r="D179" s="490">
        <f>IF(+All!$F539="UL Lafayette",+All!D539,IF(+All!$H539="UL Lafayette",+All!D539,0))</f>
        <v>0.70833333333333337</v>
      </c>
      <c r="E179" s="461">
        <f>IF(+All!$F539="UL Lafayette",+All!E539,IF(+All!$H539="UL Lafayette",+All!E539,0))</f>
        <v>0</v>
      </c>
      <c r="F179" s="51" t="str">
        <f>IF(+All!$F539="UL Lafayette",+All!F539,IF(+All!$H539="UL Lafayette",+All!F539,0))</f>
        <v>Arkansas State</v>
      </c>
      <c r="G179" s="52" t="str">
        <f>IF(+All!$F539="UL Lafayette",+All!G539,IF(+All!$H539="UL Lafayette",+All!G539,0))</f>
        <v>SB</v>
      </c>
      <c r="H179" s="51" t="str">
        <f>IF(+All!$F539="UL Lafayette",+All!H539,IF(+All!$H539="UL Lafayette",+All!H539,0))</f>
        <v>UL Lafayette</v>
      </c>
      <c r="I179" s="52" t="str">
        <f>IF(+All!$F539="UL Lafayette",+All!I539,IF(+All!$H539="UL Lafayette",+All!I539,0))</f>
        <v>SB</v>
      </c>
      <c r="J179" s="460" t="str">
        <f>IF(+All!$F539="UL Lafayette",+All!J539,IF(+All!$H539="UL Lafayette",+All!J539,0))</f>
        <v>UL Lafayette</v>
      </c>
      <c r="K179" s="461" t="str">
        <f>IF(+All!$F539="UL Lafayette",+All!K539,IF(+All!$H539="UL Lafayette",+All!K539,0))</f>
        <v>Arkansas State</v>
      </c>
      <c r="L179" s="54">
        <f>IF(+All!$F539="UL Lafayette",+All!L539,IF(+All!$H539="UL Lafayette",+All!L539,0))</f>
        <v>6.5</v>
      </c>
      <c r="M179" s="55">
        <f>IF(+All!$F539="UL Lafayette",+All!M539,IF(+All!$H539="UL Lafayette",+All!M539,0))</f>
        <v>51.5</v>
      </c>
      <c r="N179" s="460" t="str">
        <f>IF(+All!$F539="UL Lafayette",+All!N539,IF(+All!$H539="UL Lafayette",+All!N539,0))</f>
        <v>UL Lafayette</v>
      </c>
      <c r="O179" s="462">
        <f>IF(+All!$F539="UL Lafayette",+All!O539,IF(+All!$H539="UL Lafayette",+All!O539,0))</f>
        <v>38</v>
      </c>
      <c r="P179" s="462" t="str">
        <f>IF(+All!$F539="UL Lafayette",+All!P539,IF(+All!$H539="UL Lafayette",+All!P539,0))</f>
        <v>Arkansas State</v>
      </c>
      <c r="Q179" s="461">
        <f>IF(+All!$F539="UL Lafayette",+All!Q539,IF(+All!$H539="UL Lafayette",+All!Q539,0))</f>
        <v>18</v>
      </c>
      <c r="R179" s="460" t="str">
        <f>IF(+All!$F539="UL Lafayette",+All!R539,IF(+All!$H539="UL Lafayette",+All!R539,0))</f>
        <v>UL Lafayette</v>
      </c>
      <c r="S179" s="462" t="str">
        <f>IF(+All!$F539="UL Lafayette",+All!S539,IF(+All!$H539="UL Lafayette",+All!S539,0))</f>
        <v>Arkansas State</v>
      </c>
      <c r="T179" s="460" t="str">
        <f>IF(+All!$F539="UL Lafayette",+All!T539,IF(+All!$H539="UL Lafayette",+All!T539,0))</f>
        <v>Arkansas State</v>
      </c>
      <c r="U179" s="461" t="str">
        <f>IF(+All!$F539="UL Lafayette",+All!U539,IF(+All!$H539="UL Lafayette",+All!U539,0))</f>
        <v>L</v>
      </c>
      <c r="V179" s="482"/>
    </row>
    <row r="180" spans="1:22" s="75" customFormat="1" x14ac:dyDescent="0.8">
      <c r="A180" s="46">
        <f>IF(+All!$F547="UL Lafayette",+All!A547,IF(+All!$H547="UL Lafayette",+All!A547,0))</f>
        <v>9</v>
      </c>
      <c r="B180" s="348" t="str">
        <f>IF(+All!$F547="UL Lafayette",+All!B547,IF(+All!$H547="UL Lafayette",+All!B547,0))</f>
        <v>Thurs</v>
      </c>
      <c r="C180" s="48">
        <f>IF(+All!$F547="UL Lafayette",+All!C547,IF(+All!$H547="UL Lafayette",+All!C547,0))</f>
        <v>44861</v>
      </c>
      <c r="D180" s="490">
        <f>IF(+All!$F547="UL Lafayette",+All!D547,IF(+All!$H547="UL Lafayette",+All!D547,0))</f>
        <v>0.8125</v>
      </c>
      <c r="E180" s="461" t="str">
        <f>IF(+All!$F547="UL Lafayette",+All!E547,IF(+All!$H547="UL Lafayette",+All!E547,0))</f>
        <v>ESPN2</v>
      </c>
      <c r="F180" s="51" t="str">
        <f>IF(+All!$F547="UL Lafayette",+All!F547,IF(+All!$H547="UL Lafayette",+All!F547,0))</f>
        <v>UL Lafayette</v>
      </c>
      <c r="G180" s="52" t="str">
        <f>IF(+All!$F547="UL Lafayette",+All!G547,IF(+All!$H547="UL Lafayette",+All!G547,0))</f>
        <v>SB</v>
      </c>
      <c r="H180" s="51" t="str">
        <f>IF(+All!$F547="UL Lafayette",+All!H547,IF(+All!$H547="UL Lafayette",+All!H547,0))</f>
        <v>Southern Miss</v>
      </c>
      <c r="I180" s="52" t="str">
        <f>IF(+All!$F547="UL Lafayette",+All!I547,IF(+All!$H547="UL Lafayette",+All!I547,0))</f>
        <v>SB</v>
      </c>
      <c r="J180" s="460" t="str">
        <f>IF(+All!$F547="UL Lafayette",+All!J547,IF(+All!$H547="UL Lafayette",+All!J547,0))</f>
        <v>Southern Miss</v>
      </c>
      <c r="K180" s="461" t="str">
        <f>IF(+All!$F547="UL Lafayette",+All!K547,IF(+All!$H547="UL Lafayette",+All!K547,0))</f>
        <v>UL Lafayette</v>
      </c>
      <c r="L180" s="54">
        <f>IF(+All!$F547="UL Lafayette",+All!L547,IF(+All!$H547="UL Lafayette",+All!L547,0))</f>
        <v>1</v>
      </c>
      <c r="M180" s="55">
        <f>IF(+All!$F547="UL Lafayette",+All!M547,IF(+All!$H547="UL Lafayette",+All!M547,0))</f>
        <v>43</v>
      </c>
      <c r="N180" s="460" t="str">
        <f>IF(+All!$F547="UL Lafayette",+All!N547,IF(+All!$H547="UL Lafayette",+All!N547,0))</f>
        <v>Southern Miss</v>
      </c>
      <c r="O180" s="462">
        <f>IF(+All!$F547="UL Lafayette",+All!O547,IF(+All!$H547="UL Lafayette",+All!O547,0))</f>
        <v>39</v>
      </c>
      <c r="P180" s="462" t="str">
        <f>IF(+All!$F547="UL Lafayette",+All!P547,IF(+All!$H547="UL Lafayette",+All!P547,0))</f>
        <v>UL Lafayette</v>
      </c>
      <c r="Q180" s="461">
        <f>IF(+All!$F547="UL Lafayette",+All!Q547,IF(+All!$H547="UL Lafayette",+All!Q547,0))</f>
        <v>24</v>
      </c>
      <c r="R180" s="460" t="str">
        <f>IF(+All!$F547="UL Lafayette",+All!R547,IF(+All!$H547="UL Lafayette",+All!R547,0))</f>
        <v>Southern Miss</v>
      </c>
      <c r="S180" s="462" t="str">
        <f>IF(+All!$F547="UL Lafayette",+All!S547,IF(+All!$H547="UL Lafayette",+All!S547,0))</f>
        <v>UL Lafayette</v>
      </c>
      <c r="T180" s="460" t="str">
        <f>IF(+All!$F547="UL Lafayette",+All!T547,IF(+All!$H547="UL Lafayette",+All!T547,0))</f>
        <v>Southern Miss</v>
      </c>
      <c r="U180" s="461" t="str">
        <f>IF(+All!$F547="UL Lafayette",+All!U547,IF(+All!$H547="UL Lafayette",+All!U547,0))</f>
        <v>W</v>
      </c>
      <c r="V180" s="482"/>
    </row>
    <row r="181" spans="1:22" s="75" customFormat="1" x14ac:dyDescent="0.8">
      <c r="A181" s="46">
        <f>IF(+All!$F644="UL Lafayette",+All!A644,IF(+All!$H644="UL Lafayette",+All!A644,0))</f>
        <v>10</v>
      </c>
      <c r="B181" s="348" t="str">
        <f>IF(+All!$F644="UL Lafayette",+All!B644,IF(+All!$H644="UL Lafayette",+All!B644,0))</f>
        <v>Sat</v>
      </c>
      <c r="C181" s="48">
        <f>IF(+All!$F644="UL Lafayette",+All!C644,IF(+All!$H644="UL Lafayette",+All!C644,0))</f>
        <v>44870</v>
      </c>
      <c r="D181" s="490">
        <f>IF(+All!$F644="UL Lafayette",+All!D644,IF(+All!$H644="UL Lafayette",+All!D644,0))</f>
        <v>0.70833333333333337</v>
      </c>
      <c r="E181" s="461">
        <f>IF(+All!$F644="UL Lafayette",+All!E644,IF(+All!$H644="UL Lafayette",+All!E644,0))</f>
        <v>0</v>
      </c>
      <c r="F181" s="51" t="str">
        <f>IF(+All!$F644="UL Lafayette",+All!F644,IF(+All!$H644="UL Lafayette",+All!F644,0))</f>
        <v>Troy</v>
      </c>
      <c r="G181" s="52" t="str">
        <f>IF(+All!$F644="UL Lafayette",+All!G644,IF(+All!$H644="UL Lafayette",+All!G644,0))</f>
        <v>SB</v>
      </c>
      <c r="H181" s="51" t="str">
        <f>IF(+All!$F644="UL Lafayette",+All!H644,IF(+All!$H644="UL Lafayette",+All!H644,0))</f>
        <v>UL Lafayette</v>
      </c>
      <c r="I181" s="52" t="str">
        <f>IF(+All!$F644="UL Lafayette",+All!I644,IF(+All!$H644="UL Lafayette",+All!I644,0))</f>
        <v>SB</v>
      </c>
      <c r="J181" s="460" t="str">
        <f>IF(+All!$F644="UL Lafayette",+All!J644,IF(+All!$H644="UL Lafayette",+All!J644,0))</f>
        <v>Troy</v>
      </c>
      <c r="K181" s="461" t="str">
        <f>IF(+All!$F644="UL Lafayette",+All!K644,IF(+All!$H644="UL Lafayette",+All!K644,0))</f>
        <v>UL Lafayette</v>
      </c>
      <c r="L181" s="54">
        <f>IF(+All!$F644="UL Lafayette",+All!L644,IF(+All!$H644="UL Lafayette",+All!L644,0))</f>
        <v>4.5</v>
      </c>
      <c r="M181" s="55">
        <f>IF(+All!$F644="UL Lafayette",+All!M644,IF(+All!$H644="UL Lafayette",+All!M644,0))</f>
        <v>43.5</v>
      </c>
      <c r="N181" s="460" t="str">
        <f>IF(+All!$F644="UL Lafayette",+All!N644,IF(+All!$H644="UL Lafayette",+All!N644,0))</f>
        <v>Troy</v>
      </c>
      <c r="O181" s="462">
        <f>IF(+All!$F644="UL Lafayette",+All!O644,IF(+All!$H644="UL Lafayette",+All!O644,0))</f>
        <v>23</v>
      </c>
      <c r="P181" s="462" t="str">
        <f>IF(+All!$F644="UL Lafayette",+All!P644,IF(+All!$H644="UL Lafayette",+All!P644,0))</f>
        <v>UL Lafayette</v>
      </c>
      <c r="Q181" s="461">
        <f>IF(+All!$F644="UL Lafayette",+All!Q644,IF(+All!$H644="UL Lafayette",+All!Q644,0))</f>
        <v>17</v>
      </c>
      <c r="R181" s="460" t="str">
        <f>IF(+All!$F644="UL Lafayette",+All!R644,IF(+All!$H644="UL Lafayette",+All!R644,0))</f>
        <v>Troy</v>
      </c>
      <c r="S181" s="462" t="str">
        <f>IF(+All!$F644="UL Lafayette",+All!S644,IF(+All!$H644="UL Lafayette",+All!S644,0))</f>
        <v>UL Lafayette</v>
      </c>
      <c r="T181" s="460" t="str">
        <f>IF(+All!$F644="UL Lafayette",+All!T644,IF(+All!$H644="UL Lafayette",+All!T644,0))</f>
        <v>Troy</v>
      </c>
      <c r="U181" s="461" t="str">
        <f>IF(+All!$F644="UL Lafayette",+All!U644,IF(+All!$H644="UL Lafayette",+All!U644,0))</f>
        <v>W</v>
      </c>
      <c r="V181" s="482"/>
    </row>
    <row r="182" spans="1:22" s="75" customFormat="1" x14ac:dyDescent="0.8">
      <c r="A182" s="46">
        <f>IF(+All!$F660="UL Lafayette",+All!A660,IF(+All!$H660="UL Lafayette",+All!A660,0))</f>
        <v>11</v>
      </c>
      <c r="B182" s="348" t="str">
        <f>IF(+All!$F660="UL Lafayette",+All!B660,IF(+All!$H660="UL Lafayette",+All!B660,0))</f>
        <v>Thurs</v>
      </c>
      <c r="C182" s="48">
        <f>IF(+All!$F660="UL Lafayette",+All!C660,IF(+All!$H660="UL Lafayette",+All!C660,0))</f>
        <v>44874</v>
      </c>
      <c r="D182" s="490">
        <f>IF(+All!$F660="UL Lafayette",+All!D660,IF(+All!$H660="UL Lafayette",+All!D660,0))</f>
        <v>0.8125</v>
      </c>
      <c r="E182" s="461" t="str">
        <f>IF(+All!$F660="UL Lafayette",+All!E660,IF(+All!$H660="UL Lafayette",+All!E660,0))</f>
        <v>ESPNU</v>
      </c>
      <c r="F182" s="51" t="str">
        <f>IF(+All!$F660="UL Lafayette",+All!F660,IF(+All!$H660="UL Lafayette",+All!F660,0))</f>
        <v>Georgia Southern</v>
      </c>
      <c r="G182" s="52" t="str">
        <f>IF(+All!$F660="UL Lafayette",+All!G660,IF(+All!$H660="UL Lafayette",+All!G660,0))</f>
        <v>SB</v>
      </c>
      <c r="H182" s="51" t="str">
        <f>IF(+All!$F660="UL Lafayette",+All!H660,IF(+All!$H660="UL Lafayette",+All!H660,0))</f>
        <v>UL Lafayette</v>
      </c>
      <c r="I182" s="52" t="str">
        <f>IF(+All!$F660="UL Lafayette",+All!I660,IF(+All!$H660="UL Lafayette",+All!I660,0))</f>
        <v>SB</v>
      </c>
      <c r="J182" s="460" t="str">
        <f>IF(+All!$F660="UL Lafayette",+All!J660,IF(+All!$H660="UL Lafayette",+All!J660,0))</f>
        <v>UL Lafayette</v>
      </c>
      <c r="K182" s="461" t="str">
        <f>IF(+All!$F660="UL Lafayette",+All!K660,IF(+All!$H660="UL Lafayette",+All!K660,0))</f>
        <v>Georgia Southern</v>
      </c>
      <c r="L182" s="54">
        <f>IF(+All!$F660="UL Lafayette",+All!L660,IF(+All!$H660="UL Lafayette",+All!L660,0))</f>
        <v>3.5</v>
      </c>
      <c r="M182" s="55">
        <f>IF(+All!$F660="UL Lafayette",+All!M660,IF(+All!$H660="UL Lafayette",+All!M660,0))</f>
        <v>63.5</v>
      </c>
      <c r="N182" s="460" t="str">
        <f>IF(+All!$F660="UL Lafayette",+All!N660,IF(+All!$H660="UL Lafayette",+All!N660,0))</f>
        <v>UL Lafayette</v>
      </c>
      <c r="O182" s="462">
        <f>IF(+All!$F660="UL Lafayette",+All!O660,IF(+All!$H660="UL Lafayette",+All!O660,0))</f>
        <v>36</v>
      </c>
      <c r="P182" s="462" t="str">
        <f>IF(+All!$F660="UL Lafayette",+All!P660,IF(+All!$H660="UL Lafayette",+All!P660,0))</f>
        <v>Georgia Southern</v>
      </c>
      <c r="Q182" s="461">
        <f>IF(+All!$F660="UL Lafayette",+All!Q660,IF(+All!$H660="UL Lafayette",+All!Q660,0))</f>
        <v>17</v>
      </c>
      <c r="R182" s="460" t="str">
        <f>IF(+All!$F660="UL Lafayette",+All!R660,IF(+All!$H660="UL Lafayette",+All!R660,0))</f>
        <v>UL Lafayette</v>
      </c>
      <c r="S182" s="462" t="str">
        <f>IF(+All!$F660="UL Lafayette",+All!S660,IF(+All!$H660="UL Lafayette",+All!S660,0))</f>
        <v>Georgia Southern</v>
      </c>
      <c r="T182" s="460" t="str">
        <f>IF(+All!$F660="UL Lafayette",+All!T660,IF(+All!$H660="UL Lafayette",+All!T660,0))</f>
        <v>Georgia Southern</v>
      </c>
      <c r="U182" s="461" t="str">
        <f>IF(+All!$F660="UL Lafayette",+All!U660,IF(+All!$H660="UL Lafayette",+All!U660,0))</f>
        <v>L</v>
      </c>
      <c r="V182" s="482"/>
    </row>
    <row r="183" spans="1:22" s="75" customFormat="1" x14ac:dyDescent="0.8">
      <c r="A183" s="46">
        <f>IF(+All!$F731="UL Lafayette",+All!A731,IF(+All!$H731="UL Lafayette",+All!A731,0))</f>
        <v>12</v>
      </c>
      <c r="B183" s="348" t="str">
        <f>IF(+All!$F731="UL Lafayette",+All!B731,IF(+All!$H731="UL Lafayette",+All!B731,0))</f>
        <v>Sat</v>
      </c>
      <c r="C183" s="48">
        <f>IF(+All!$F731="UL Lafayette",+All!C731,IF(+All!$H731="UL Lafayette",+All!C731,0))</f>
        <v>44884</v>
      </c>
      <c r="D183" s="490">
        <f>IF(+All!$F731="UL Lafayette",+All!D731,IF(+All!$H731="UL Lafayette",+All!D731,0))</f>
        <v>0.5</v>
      </c>
      <c r="E183" s="461" t="str">
        <f>IF(+All!$F731="UL Lafayette",+All!E731,IF(+All!$H731="UL Lafayette",+All!E731,0))</f>
        <v>espn3</v>
      </c>
      <c r="F183" s="51" t="str">
        <f>IF(+All!$F731="UL Lafayette",+All!F731,IF(+All!$H731="UL Lafayette",+All!F731,0))</f>
        <v>UL Lafayette</v>
      </c>
      <c r="G183" s="52" t="str">
        <f>IF(+All!$F731="UL Lafayette",+All!G731,IF(+All!$H731="UL Lafayette",+All!G731,0))</f>
        <v>SB</v>
      </c>
      <c r="H183" s="51" t="str">
        <f>IF(+All!$F731="UL Lafayette",+All!H731,IF(+All!$H731="UL Lafayette",+All!H731,0))</f>
        <v>Florida State</v>
      </c>
      <c r="I183" s="52" t="str">
        <f>IF(+All!$F731="UL Lafayette",+All!I731,IF(+All!$H731="UL Lafayette",+All!I731,0))</f>
        <v>ACC</v>
      </c>
      <c r="J183" s="460" t="str">
        <f>IF(+All!$F731="UL Lafayette",+All!J731,IF(+All!$H731="UL Lafayette",+All!J731,0))</f>
        <v>Florida State</v>
      </c>
      <c r="K183" s="461" t="str">
        <f>IF(+All!$F731="UL Lafayette",+All!K731,IF(+All!$H731="UL Lafayette",+All!K731,0))</f>
        <v>UL Lafayette</v>
      </c>
      <c r="L183" s="54">
        <f>IF(+All!$F731="UL Lafayette",+All!L731,IF(+All!$H731="UL Lafayette",+All!L731,0))</f>
        <v>24</v>
      </c>
      <c r="M183" s="55">
        <f>IF(+All!$F731="UL Lafayette",+All!M731,IF(+All!$H731="UL Lafayette",+All!M731,0))</f>
        <v>52</v>
      </c>
      <c r="N183" s="460" t="str">
        <f>IF(+All!$F731="UL Lafayette",+All!N731,IF(+All!$H731="UL Lafayette",+All!N731,0))</f>
        <v>Florida State</v>
      </c>
      <c r="O183" s="462">
        <f>IF(+All!$F731="UL Lafayette",+All!O731,IF(+All!$H731="UL Lafayette",+All!O731,0))</f>
        <v>49</v>
      </c>
      <c r="P183" s="462" t="str">
        <f>IF(+All!$F731="UL Lafayette",+All!P731,IF(+All!$H731="UL Lafayette",+All!P731,0))</f>
        <v>UL Lafayette</v>
      </c>
      <c r="Q183" s="461">
        <f>IF(+All!$F731="UL Lafayette",+All!Q731,IF(+All!$H731="UL Lafayette",+All!Q731,0))</f>
        <v>17</v>
      </c>
      <c r="R183" s="460" t="str">
        <f>IF(+All!$F731="UL Lafayette",+All!R731,IF(+All!$H731="UL Lafayette",+All!R731,0))</f>
        <v>Florida State</v>
      </c>
      <c r="S183" s="462" t="str">
        <f>IF(+All!$F731="UL Lafayette",+All!S731,IF(+All!$H731="UL Lafayette",+All!S731,0))</f>
        <v>UL Lafayette</v>
      </c>
      <c r="T183" s="460" t="str">
        <f>IF(+All!$F731="UL Lafayette",+All!T731,IF(+All!$H731="UL Lafayette",+All!T731,0))</f>
        <v>UL Lafayette</v>
      </c>
      <c r="U183" s="461" t="str">
        <f>IF(+All!$F731="UL Lafayette",+All!U731,IF(+All!$H731="UL Lafayette",+All!U731,0))</f>
        <v>L</v>
      </c>
      <c r="V183" s="482"/>
    </row>
    <row r="184" spans="1:22" x14ac:dyDescent="0.8">
      <c r="A184" s="46">
        <f>IF(+All!$F842="UL Lafayette",+All!A842,IF(+All!$H842="UL Lafayette",+All!A842,0))</f>
        <v>13</v>
      </c>
      <c r="B184" s="348" t="str">
        <f>IF(+All!$F842="UL Lafayette",+All!B842,IF(+All!$H842="UL Lafayette",+All!B842,0))</f>
        <v>Sat</v>
      </c>
      <c r="C184" s="48">
        <f>IF(+All!$F842="UL Lafayette",+All!C842,IF(+All!$H842="UL Lafayette",+All!C842,0))</f>
        <v>44891</v>
      </c>
      <c r="D184" s="490">
        <f>IF(+All!$F842="UL Lafayette",+All!D842,IF(+All!$H842="UL Lafayette",+All!D842,0))</f>
        <v>0.70833333333333337</v>
      </c>
      <c r="E184" s="461">
        <f>IF(+All!$F842="UL Lafayette",+All!E842,IF(+All!$H842="UL Lafayette",+All!E842,0))</f>
        <v>0</v>
      </c>
      <c r="F184" s="51" t="str">
        <f>IF(+All!$F842="UL Lafayette",+All!F842,IF(+All!$H842="UL Lafayette",+All!F842,0))</f>
        <v>UL Lafayette</v>
      </c>
      <c r="G184" s="52" t="str">
        <f>IF(+All!$F842="UL Lafayette",+All!G842,IF(+All!$H842="UL Lafayette",+All!G842,0))</f>
        <v>SB</v>
      </c>
      <c r="H184" s="51" t="str">
        <f>IF(+All!$F842="UL Lafayette",+All!H842,IF(+All!$H842="UL Lafayette",+All!H842,0))</f>
        <v>Texas State</v>
      </c>
      <c r="I184" s="52" t="str">
        <f>IF(+All!$F842="UL Lafayette",+All!I842,IF(+All!$H842="UL Lafayette",+All!I842,0))</f>
        <v>SB</v>
      </c>
      <c r="J184" s="460" t="str">
        <f>IF(+All!$F842="UL Lafayette",+All!J842,IF(+All!$H842="UL Lafayette",+All!J842,0))</f>
        <v>UL Lafayette</v>
      </c>
      <c r="K184" s="461" t="str">
        <f>IF(+All!$F842="UL Lafayette",+All!K842,IF(+All!$H842="UL Lafayette",+All!K842,0))</f>
        <v>Texas State</v>
      </c>
      <c r="L184" s="54">
        <f>IF(+All!$F842="UL Lafayette",+All!L842,IF(+All!$H842="UL Lafayette",+All!L842,0))</f>
        <v>5.5</v>
      </c>
      <c r="M184" s="55">
        <f>IF(+All!$F842="UL Lafayette",+All!M842,IF(+All!$H842="UL Lafayette",+All!M842,0))</f>
        <v>45</v>
      </c>
      <c r="N184" s="460" t="str">
        <f>IF(+All!$F842="UL Lafayette",+All!N842,IF(+All!$H842="UL Lafayette",+All!N842,0))</f>
        <v>UL Lafayette</v>
      </c>
      <c r="O184" s="462">
        <f>IF(+All!$F842="UL Lafayette",+All!O842,IF(+All!$H842="UL Lafayette",+All!O842,0))</f>
        <v>41</v>
      </c>
      <c r="P184" s="462" t="str">
        <f>IF(+All!$F842="UL Lafayette",+All!P842,IF(+All!$H842="UL Lafayette",+All!P842,0))</f>
        <v>Texas State</v>
      </c>
      <c r="Q184" s="461">
        <f>IF(+All!$F842="UL Lafayette",+All!Q842,IF(+All!$H842="UL Lafayette",+All!Q842,0))</f>
        <v>13</v>
      </c>
      <c r="R184" s="460" t="str">
        <f>IF(+All!$F842="UL Lafayette",+All!R842,IF(+All!$H842="UL Lafayette",+All!R842,0))</f>
        <v>UL Lafayette</v>
      </c>
      <c r="S184" s="462" t="str">
        <f>IF(+All!$F842="UL Lafayette",+All!S842,IF(+All!$H842="UL Lafayette",+All!S842,0))</f>
        <v>Texas State</v>
      </c>
      <c r="T184" s="460" t="str">
        <f>IF(+All!$F842="UL Lafayette",+All!T842,IF(+All!$H842="UL Lafayette",+All!T842,0))</f>
        <v>UL Lafayette</v>
      </c>
      <c r="U184" s="461" t="str">
        <f>IF(+All!$F842="UL Lafayette",+All!U842,IF(+All!$H842="UL Lafayette",+All!U842,0))</f>
        <v>W</v>
      </c>
      <c r="V184" s="9"/>
    </row>
    <row r="185" spans="1:22" x14ac:dyDescent="0.8">
      <c r="C185" s="48"/>
      <c r="D185" s="490"/>
      <c r="F185" s="897" t="str">
        <f>H187</f>
        <v>UL Monroe</v>
      </c>
      <c r="G185" s="901"/>
      <c r="H185" s="901"/>
      <c r="I185" s="902"/>
      <c r="L185" s="54"/>
      <c r="M185" s="55"/>
      <c r="V185" s="9"/>
    </row>
    <row r="186" spans="1:22" x14ac:dyDescent="0.8">
      <c r="A186" s="46">
        <f>IF(+All!$F90="UL Monroe",+All!A90,IF(+All!$H90="UL Monroe",+All!A90,0))</f>
        <v>1</v>
      </c>
      <c r="B186" s="348" t="str">
        <f>IF(+All!$F90="UL Monroe",+All!B90,IF(+All!$H90="UL Monroe",+All!B90,0))</f>
        <v>Sat</v>
      </c>
      <c r="C186" s="48">
        <f>IF(+All!$F90="UL Monroe",+All!C90,IF(+All!$H90="UL Monroe",+All!C90,0))</f>
        <v>44807</v>
      </c>
      <c r="D186" s="490">
        <f>IF(+All!$F90="UL Monroe",+All!D90,IF(+All!$H90="UL Monroe",+All!D90,0))</f>
        <v>0.83333333333333337</v>
      </c>
      <c r="E186" s="461">
        <f>IF(+All!$F90="UL Monroe",+All!E90,IF(+All!$H90="UL Monroe",+All!E90,0))</f>
        <v>0</v>
      </c>
      <c r="F186" s="51" t="str">
        <f>IF(+All!$F90="UL Monroe",+All!F90,IF(+All!$H90="UL Monroe",+All!F90,0))</f>
        <v>UL Monroe</v>
      </c>
      <c r="G186" s="52" t="str">
        <f>IF(+All!$F90="UL Monroe",+All!G90,IF(+All!$H90="UL Monroe",+All!G90,0))</f>
        <v>SB</v>
      </c>
      <c r="H186" s="51" t="str">
        <f>IF(+All!$F90="UL Monroe",+All!H90,IF(+All!$H90="UL Monroe",+All!H90,0))</f>
        <v>Texas</v>
      </c>
      <c r="I186" s="52" t="str">
        <f>IF(+All!$F90="UL Monroe",+All!I90,IF(+All!$H90="UL Monroe",+All!I90,0))</f>
        <v>B12</v>
      </c>
      <c r="J186" s="460" t="str">
        <f>IF(+All!$F90="UL Monroe",+All!J90,IF(+All!$H90="UL Monroe",+All!J90,0))</f>
        <v>Texas</v>
      </c>
      <c r="K186" s="461" t="str">
        <f>IF(+All!$F90="UL Monroe",+All!K90,IF(+All!$H90="UL Monroe",+All!K90,0))</f>
        <v>UL Monroe</v>
      </c>
      <c r="L186" s="54">
        <f>IF(+All!$F90="UL Monroe",+All!L90,IF(+All!$H90="UL Monroe",+All!L90,0))</f>
        <v>37.5</v>
      </c>
      <c r="M186" s="55">
        <f>IF(+All!$F90="UL Monroe",+All!M90,IF(+All!$H90="UL Monroe",+All!M90,0))</f>
        <v>64.5</v>
      </c>
      <c r="N186" s="460" t="str">
        <f>IF(+All!$F90="UL Monroe",+All!N90,IF(+All!$H90="UL Monroe",+All!N90,0))</f>
        <v>Texas</v>
      </c>
      <c r="O186" s="462">
        <f>IF(+All!$F90="UL Monroe",+All!O90,IF(+All!$H90="UL Monroe",+All!O90,0))</f>
        <v>52</v>
      </c>
      <c r="P186" s="462" t="str">
        <f>IF(+All!$F90="UL Monroe",+All!P90,IF(+All!$H90="UL Monroe",+All!P90,0))</f>
        <v>UL Monroe</v>
      </c>
      <c r="Q186" s="461">
        <f>IF(+All!$F90="UL Monroe",+All!Q90,IF(+All!$H90="UL Monroe",+All!Q90,0))</f>
        <v>10</v>
      </c>
      <c r="R186" s="460" t="str">
        <f>IF(+All!$F90="UL Monroe",+All!R90,IF(+All!$H90="UL Monroe",+All!R90,0))</f>
        <v>Texas</v>
      </c>
      <c r="S186" s="462" t="str">
        <f>IF(+All!$F90="UL Monroe",+All!S90,IF(+All!$H90="UL Monroe",+All!S90,0))</f>
        <v>UL Monroe</v>
      </c>
      <c r="T186" s="460" t="str">
        <f>IF(+All!$F90="UL Monroe",+All!T90,IF(+All!$H90="UL Monroe",+All!T90,0))</f>
        <v>Texas</v>
      </c>
      <c r="U186" s="461" t="str">
        <f>IF(+All!$F90="UL Monroe",+All!U90,IF(+All!$H90="UL Monroe",+All!U90,0))</f>
        <v>W</v>
      </c>
    </row>
    <row r="187" spans="1:22" x14ac:dyDescent="0.8">
      <c r="A187" s="46">
        <f>IF(+All!$F170="UL Monroe",+All!A170,IF(+All!$H170="UL Monroe",+All!A170,0))</f>
        <v>2</v>
      </c>
      <c r="B187" s="348" t="str">
        <f>IF(+All!$F170="UL Monroe",+All!B170,IF(+All!$H170="UL Monroe",+All!B170,0))</f>
        <v>Sat</v>
      </c>
      <c r="C187" s="48">
        <f>IF(+All!$F170="UL Monroe",+All!C170,IF(+All!$H170="UL Monroe",+All!C170,0))</f>
        <v>44814</v>
      </c>
      <c r="D187" s="490">
        <f>IF(+All!$F170="UL Monroe",+All!D170,IF(+All!$H170="UL Monroe",+All!D170,0))</f>
        <v>0.83333333333333337</v>
      </c>
      <c r="E187" s="461" t="str">
        <f>IF(+All!$F170="UL Monroe",+All!E170,IF(+All!$H170="UL Monroe",+All!E170,0))</f>
        <v>espn3</v>
      </c>
      <c r="F187" s="51" t="str">
        <f>IF(+All!$F170="UL Monroe",+All!F170,IF(+All!$H170="UL Monroe",+All!F170,0))</f>
        <v>1AA Nicholls State</v>
      </c>
      <c r="G187" s="52" t="str">
        <f>IF(+All!$F170="UL Monroe",+All!G170,IF(+All!$H170="UL Monroe",+All!G170,0))</f>
        <v>1AA</v>
      </c>
      <c r="H187" s="51" t="str">
        <f>IF(+All!$F170="UL Monroe",+All!H170,IF(+All!$H170="UL Monroe",+All!H170,0))</f>
        <v>UL Monroe</v>
      </c>
      <c r="I187" s="52" t="str">
        <f>IF(+All!$F170="UL Monroe",+All!I170,IF(+All!$H170="UL Monroe",+All!I170,0))</f>
        <v>SB</v>
      </c>
      <c r="J187" s="460">
        <f>IF(+All!$F170="UL Monroe",+All!J170,IF(+All!$H170="UL Monroe",+All!J170,0))</f>
        <v>0</v>
      </c>
      <c r="K187" s="461">
        <f>IF(+All!$F170="UL Monroe",+All!K170,IF(+All!$H170="UL Monroe",+All!K170,0))</f>
        <v>0</v>
      </c>
      <c r="L187" s="54">
        <f>IF(+All!$F170="UL Monroe",+All!L170,IF(+All!$H170="UL Monroe",+All!L170,0))</f>
        <v>0</v>
      </c>
      <c r="M187" s="55">
        <f>IF(+All!$F170="UL Monroe",+All!M170,IF(+All!$H170="UL Monroe",+All!M170,0))</f>
        <v>0</v>
      </c>
      <c r="N187" s="460" t="str">
        <f>IF(+All!$F170="UL Monroe",+All!N170,IF(+All!$H170="UL Monroe",+All!N170,0))</f>
        <v>UL Monroe</v>
      </c>
      <c r="O187" s="462">
        <f>IF(+All!$F170="UL Monroe",+All!O170,IF(+All!$H170="UL Monroe",+All!O170,0))</f>
        <v>35</v>
      </c>
      <c r="P187" s="462" t="str">
        <f>IF(+All!$F170="UL Monroe",+All!P170,IF(+All!$H170="UL Monroe",+All!P170,0))</f>
        <v>1AA Nicholls State</v>
      </c>
      <c r="Q187" s="461">
        <f>IF(+All!$F170="UL Monroe",+All!Q170,IF(+All!$H170="UL Monroe",+All!Q170,0))</f>
        <v>7</v>
      </c>
      <c r="R187" s="460">
        <f>IF(+All!$F170="UL Monroe",+All!R170,IF(+All!$H170="UL Monroe",+All!R170,0))</f>
        <v>0</v>
      </c>
      <c r="S187" s="462">
        <f>IF(+All!$F170="UL Monroe",+All!S170,IF(+All!$H170="UL Monroe",+All!S170,0))</f>
        <v>0</v>
      </c>
      <c r="T187" s="460">
        <f>IF(+All!$F170="UL Monroe",+All!T170,IF(+All!$H170="UL Monroe",+All!T170,0))</f>
        <v>0</v>
      </c>
      <c r="U187" s="461">
        <f>IF(+All!$F170="UL Monroe",+All!U170,IF(+All!$H170="UL Monroe",+All!U170,0))</f>
        <v>0</v>
      </c>
    </row>
    <row r="188" spans="1:22" x14ac:dyDescent="0.8">
      <c r="A188" s="46">
        <f>IF(+All!$F307="UL Monroe",+All!A307,IF(+All!$H307="UL Monroe",+All!A307,0))</f>
        <v>4</v>
      </c>
      <c r="B188" s="348" t="str">
        <f>IF(+All!$F307="UL Monroe",+All!B307,IF(+All!$H307="UL Monroe",+All!B307,0))</f>
        <v>Sat</v>
      </c>
      <c r="C188" s="48">
        <f>IF(+All!$F307="UL Monroe",+All!C307,IF(+All!$H307="UL Monroe",+All!C307,0))</f>
        <v>44828</v>
      </c>
      <c r="D188" s="490">
        <f>IF(+All!$F307="UL Monroe",+All!D307,IF(+All!$H307="UL Monroe",+All!D307,0))</f>
        <v>0.83333333333333337</v>
      </c>
      <c r="E188" s="461">
        <f>IF(+All!$F307="UL Monroe",+All!E307,IF(+All!$H307="UL Monroe",+All!E307,0))</f>
        <v>0</v>
      </c>
      <c r="F188" s="51" t="str">
        <f>IF(+All!$F307="UL Monroe",+All!F307,IF(+All!$H307="UL Monroe",+All!F307,0))</f>
        <v>UL Lafayette</v>
      </c>
      <c r="G188" s="52" t="str">
        <f>IF(+All!$F307="UL Monroe",+All!G307,IF(+All!$H307="UL Monroe",+All!G307,0))</f>
        <v>SB</v>
      </c>
      <c r="H188" s="51" t="str">
        <f>IF(+All!$F307="UL Monroe",+All!H307,IF(+All!$H307="UL Monroe",+All!H307,0))</f>
        <v>UL Monroe</v>
      </c>
      <c r="I188" s="52" t="str">
        <f>IF(+All!$F307="UL Monroe",+All!I307,IF(+All!$H307="UL Monroe",+All!I307,0))</f>
        <v>SB</v>
      </c>
      <c r="J188" s="460" t="str">
        <f>IF(+All!$F307="UL Monroe",+All!J307,IF(+All!$H307="UL Monroe",+All!J307,0))</f>
        <v>UL Lafayette</v>
      </c>
      <c r="K188" s="461" t="str">
        <f>IF(+All!$F307="UL Monroe",+All!K307,IF(+All!$H307="UL Monroe",+All!K307,0))</f>
        <v>UL Monroe</v>
      </c>
      <c r="L188" s="54">
        <f>IF(+All!$F307="UL Monroe",+All!L307,IF(+All!$H307="UL Monroe",+All!L307,0))</f>
        <v>9</v>
      </c>
      <c r="M188" s="55">
        <f>IF(+All!$F307="UL Monroe",+All!M307,IF(+All!$H307="UL Monroe",+All!M307,0))</f>
        <v>51.5</v>
      </c>
      <c r="N188" s="460" t="str">
        <f>IF(+All!$F307="UL Monroe",+All!N307,IF(+All!$H307="UL Monroe",+All!N307,0))</f>
        <v>UL Monroe</v>
      </c>
      <c r="O188" s="462">
        <f>IF(+All!$F307="UL Monroe",+All!O307,IF(+All!$H307="UL Monroe",+All!O307,0))</f>
        <v>21</v>
      </c>
      <c r="P188" s="462" t="str">
        <f>IF(+All!$F307="UL Monroe",+All!P307,IF(+All!$H307="UL Monroe",+All!P307,0))</f>
        <v>UL Lafayette</v>
      </c>
      <c r="Q188" s="461">
        <f>IF(+All!$F307="UL Monroe",+All!Q307,IF(+All!$H307="UL Monroe",+All!Q307,0))</f>
        <v>17</v>
      </c>
      <c r="R188" s="460" t="str">
        <f>IF(+All!$F307="UL Monroe",+All!R307,IF(+All!$H307="UL Monroe",+All!R307,0))</f>
        <v>UL Monroe</v>
      </c>
      <c r="S188" s="462" t="str">
        <f>IF(+All!$F307="UL Monroe",+All!S307,IF(+All!$H307="UL Monroe",+All!S307,0))</f>
        <v>UL Lafayette</v>
      </c>
      <c r="T188" s="460" t="str">
        <f>IF(+All!$F307="UL Monroe",+All!T307,IF(+All!$H307="UL Monroe",+All!T307,0))</f>
        <v>UL Monroe</v>
      </c>
      <c r="U188" s="461" t="str">
        <f>IF(+All!$F307="UL Monroe",+All!U307,IF(+All!$H307="UL Monroe",+All!U307,0))</f>
        <v>W</v>
      </c>
    </row>
    <row r="189" spans="1:22" x14ac:dyDescent="0.8">
      <c r="A189" s="46">
        <f>IF(+All!$F369="UL Monroe",+All!A369,IF(+All!$H369="UL Monroe",+All!A369,0))</f>
        <v>5</v>
      </c>
      <c r="B189" s="348" t="str">
        <f>IF(+All!$F369="UL Monroe",+All!B369,IF(+All!$H369="UL Monroe",+All!B369,0))</f>
        <v>Sat</v>
      </c>
      <c r="C189" s="48">
        <f>IF(+All!$F369="UL Monroe",+All!C369,IF(+All!$H369="UL Monroe",+All!C369,0))</f>
        <v>44835</v>
      </c>
      <c r="D189" s="490">
        <f>IF(+All!$F369="UL Monroe",+All!D369,IF(+All!$H369="UL Monroe",+All!D369,0))</f>
        <v>0.79166666666666663</v>
      </c>
      <c r="E189" s="461">
        <f>IF(+All!$F369="UL Monroe",+All!E369,IF(+All!$H369="UL Monroe",+All!E369,0))</f>
        <v>0</v>
      </c>
      <c r="F189" s="51" t="str">
        <f>IF(+All!$F369="UL Monroe",+All!F369,IF(+All!$H369="UL Monroe",+All!F369,0))</f>
        <v>UL Monroe</v>
      </c>
      <c r="G189" s="52" t="str">
        <f>IF(+All!$F369="UL Monroe",+All!G369,IF(+All!$H369="UL Monroe",+All!G369,0))</f>
        <v>SB</v>
      </c>
      <c r="H189" s="51" t="str">
        <f>IF(+All!$F369="UL Monroe",+All!H369,IF(+All!$H369="UL Monroe",+All!H369,0))</f>
        <v>Arkansas State</v>
      </c>
      <c r="I189" s="52" t="str">
        <f>IF(+All!$F369="UL Monroe",+All!I369,IF(+All!$H369="UL Monroe",+All!I369,0))</f>
        <v>SB</v>
      </c>
      <c r="J189" s="460" t="str">
        <f>IF(+All!$F369="UL Monroe",+All!J369,IF(+All!$H369="UL Monroe",+All!J369,0))</f>
        <v>Arkansas State</v>
      </c>
      <c r="K189" s="461" t="str">
        <f>IF(+All!$F369="UL Monroe",+All!K369,IF(+All!$H369="UL Monroe",+All!K369,0))</f>
        <v>UL Monroe</v>
      </c>
      <c r="L189" s="54">
        <f>IF(+All!$F369="UL Monroe",+All!L369,IF(+All!$H369="UL Monroe",+All!L369,0))</f>
        <v>7.5</v>
      </c>
      <c r="M189" s="55">
        <f>IF(+All!$F369="UL Monroe",+All!M369,IF(+All!$H369="UL Monroe",+All!M369,0))</f>
        <v>60.5</v>
      </c>
      <c r="N189" s="460" t="str">
        <f>IF(+All!$F369="UL Monroe",+All!N369,IF(+All!$H369="UL Monroe",+All!N369,0))</f>
        <v>Arkansas State</v>
      </c>
      <c r="O189" s="462">
        <f>IF(+All!$F369="UL Monroe",+All!O369,IF(+All!$H369="UL Monroe",+All!O369,0))</f>
        <v>45</v>
      </c>
      <c r="P189" s="462" t="str">
        <f>IF(+All!$F369="UL Monroe",+All!P369,IF(+All!$H369="UL Monroe",+All!P369,0))</f>
        <v>UL Monroe</v>
      </c>
      <c r="Q189" s="461">
        <f>IF(+All!$F369="UL Monroe",+All!Q369,IF(+All!$H369="UL Monroe",+All!Q369,0))</f>
        <v>28</v>
      </c>
      <c r="R189" s="460" t="str">
        <f>IF(+All!$F369="UL Monroe",+All!R369,IF(+All!$H369="UL Monroe",+All!R369,0))</f>
        <v>Arkansas State</v>
      </c>
      <c r="S189" s="462" t="str">
        <f>IF(+All!$F369="UL Monroe",+All!S369,IF(+All!$H369="UL Monroe",+All!S369,0))</f>
        <v>UL Monroe</v>
      </c>
      <c r="T189" s="460" t="str">
        <f>IF(+All!$F369="UL Monroe",+All!T369,IF(+All!$H369="UL Monroe",+All!T369,0))</f>
        <v>Arkansas State</v>
      </c>
      <c r="U189" s="461" t="str">
        <f>IF(+All!$F369="UL Monroe",+All!U369,IF(+All!$H369="UL Monroe",+All!U369,0))</f>
        <v>W</v>
      </c>
    </row>
    <row r="190" spans="1:22" x14ac:dyDescent="0.8">
      <c r="A190" s="46">
        <f>IF(+All!$F430="UL Monroe",+All!A430,IF(+All!$H430="UL Monroe",+All!A430,0))</f>
        <v>6</v>
      </c>
      <c r="B190" s="348" t="str">
        <f>IF(+All!$F430="UL Monroe",+All!B430,IF(+All!$H430="UL Monroe",+All!B430,0))</f>
        <v>Sat</v>
      </c>
      <c r="C190" s="48">
        <f>IF(+All!$F430="UL Monroe",+All!C430,IF(+All!$H430="UL Monroe",+All!C430,0))</f>
        <v>44842</v>
      </c>
      <c r="D190" s="490">
        <f>IF(+All!$F430="UL Monroe",+All!D430,IF(+All!$H430="UL Monroe",+All!D430,0))</f>
        <v>0.83333333333333337</v>
      </c>
      <c r="E190" s="461">
        <f>IF(+All!$F430="UL Monroe",+All!E430,IF(+All!$H430="UL Monroe",+All!E430,0))</f>
        <v>0</v>
      </c>
      <c r="F190" s="51" t="str">
        <f>IF(+All!$F430="UL Monroe",+All!F430,IF(+All!$H430="UL Monroe",+All!F430,0))</f>
        <v>Coastal Carolina</v>
      </c>
      <c r="G190" s="52" t="str">
        <f>IF(+All!$F430="UL Monroe",+All!G430,IF(+All!$H430="UL Monroe",+All!G430,0))</f>
        <v>SB</v>
      </c>
      <c r="H190" s="51" t="str">
        <f>IF(+All!$F430="UL Monroe",+All!H430,IF(+All!$H430="UL Monroe",+All!H430,0))</f>
        <v>UL Monroe</v>
      </c>
      <c r="I190" s="52" t="str">
        <f>IF(+All!$F430="UL Monroe",+All!I430,IF(+All!$H430="UL Monroe",+All!I430,0))</f>
        <v>SB</v>
      </c>
      <c r="J190" s="460" t="str">
        <f>IF(+All!$F430="UL Monroe",+All!J430,IF(+All!$H430="UL Monroe",+All!J430,0))</f>
        <v>Coastal Carolina</v>
      </c>
      <c r="K190" s="461" t="str">
        <f>IF(+All!$F430="UL Monroe",+All!K430,IF(+All!$H430="UL Monroe",+All!K430,0))</f>
        <v>UL Monroe</v>
      </c>
      <c r="L190" s="54">
        <f>IF(+All!$F430="UL Monroe",+All!L430,IF(+All!$H430="UL Monroe",+All!L430,0))</f>
        <v>14</v>
      </c>
      <c r="M190" s="55">
        <f>IF(+All!$F430="UL Monroe",+All!M430,IF(+All!$H430="UL Monroe",+All!M430,0))</f>
        <v>58</v>
      </c>
      <c r="N190" s="460" t="str">
        <f>IF(+All!$F430="UL Monroe",+All!N430,IF(+All!$H430="UL Monroe",+All!N430,0))</f>
        <v>Coastal Carolina</v>
      </c>
      <c r="O190" s="462">
        <f>IF(+All!$F430="UL Monroe",+All!O430,IF(+All!$H430="UL Monroe",+All!O430,0))</f>
        <v>28</v>
      </c>
      <c r="P190" s="462" t="str">
        <f>IF(+All!$F430="UL Monroe",+All!P430,IF(+All!$H430="UL Monroe",+All!P430,0))</f>
        <v>UL Monroe</v>
      </c>
      <c r="Q190" s="461">
        <f>IF(+All!$F430="UL Monroe",+All!Q430,IF(+All!$H430="UL Monroe",+All!Q430,0))</f>
        <v>21</v>
      </c>
      <c r="R190" s="460" t="str">
        <f>IF(+All!$F430="UL Monroe",+All!R430,IF(+All!$H430="UL Monroe",+All!R430,0))</f>
        <v>UL Monroe</v>
      </c>
      <c r="S190" s="462" t="str">
        <f>IF(+All!$F430="UL Monroe",+All!S430,IF(+All!$H430="UL Monroe",+All!S430,0))</f>
        <v>Coastal Carolina</v>
      </c>
      <c r="T190" s="460" t="str">
        <f>IF(+All!$F430="UL Monroe",+All!T430,IF(+All!$H430="UL Monroe",+All!T430,0))</f>
        <v>Coastal Carolina</v>
      </c>
      <c r="U190" s="461" t="str">
        <f>IF(+All!$F430="UL Monroe",+All!U430,IF(+All!$H430="UL Monroe",+All!U430,0))</f>
        <v>L</v>
      </c>
    </row>
    <row r="191" spans="1:22" x14ac:dyDescent="0.8">
      <c r="A191" s="46" t="e">
        <f>IF(+All!#REF!="UL Monroe",+All!#REF!,IF(+All!#REF!="UL Monroe",+All!#REF!,0))</f>
        <v>#REF!</v>
      </c>
      <c r="B191" s="348" t="e">
        <f>IF(+All!#REF!="UL Monroe",+All!#REF!,IF(+All!#REF!="UL Monroe",+All!#REF!,0))</f>
        <v>#REF!</v>
      </c>
      <c r="C191" s="48" t="e">
        <f>IF(+All!#REF!="UL Monroe",+All!#REF!,IF(+All!#REF!="UL Monroe",+All!#REF!,0))</f>
        <v>#REF!</v>
      </c>
      <c r="D191" s="490" t="e">
        <f>IF(+All!#REF!="UL Monroe",+All!#REF!,IF(+All!#REF!="UL Monroe",+All!#REF!,0))</f>
        <v>#REF!</v>
      </c>
      <c r="E191" s="461" t="e">
        <f>IF(+All!#REF!="UL Monroe",+All!#REF!,IF(+All!#REF!="UL Monroe",+All!#REF!,0))</f>
        <v>#REF!</v>
      </c>
      <c r="F191" s="51" t="e">
        <f>IF(+All!#REF!="UL Monroe",+All!#REF!,IF(+All!#REF!="UL Monroe",+All!#REF!,0))</f>
        <v>#REF!</v>
      </c>
      <c r="G191" s="52" t="e">
        <f>IF(+All!#REF!="UL Monroe",+All!#REF!,IF(+All!#REF!="UL Monroe",+All!#REF!,0))</f>
        <v>#REF!</v>
      </c>
      <c r="H191" s="51" t="e">
        <f>IF(+All!#REF!="UL Monroe",+All!#REF!,IF(+All!#REF!="UL Monroe",+All!#REF!,0))</f>
        <v>#REF!</v>
      </c>
      <c r="I191" s="52" t="e">
        <f>IF(+All!#REF!="UL Monroe",+All!#REF!,IF(+All!#REF!="UL Monroe",+All!#REF!,0))</f>
        <v>#REF!</v>
      </c>
      <c r="J191" s="460" t="e">
        <f>IF(+All!#REF!="UL Monroe",+All!#REF!,IF(+All!#REF!="UL Monroe",+All!#REF!,0))</f>
        <v>#REF!</v>
      </c>
      <c r="K191" s="461" t="e">
        <f>IF(+All!#REF!="UL Monroe",+All!#REF!,IF(+All!#REF!="UL Monroe",+All!#REF!,0))</f>
        <v>#REF!</v>
      </c>
      <c r="L191" s="54" t="e">
        <f>IF(+All!#REF!="UL Monroe",+All!#REF!,IF(+All!#REF!="UL Monroe",+All!#REF!,0))</f>
        <v>#REF!</v>
      </c>
      <c r="M191" s="55" t="e">
        <f>IF(+All!#REF!="UL Monroe",+All!#REF!,IF(+All!#REF!="UL Monroe",+All!#REF!,0))</f>
        <v>#REF!</v>
      </c>
      <c r="N191" s="460" t="e">
        <f>IF(+All!#REF!="UL Monroe",+All!#REF!,IF(+All!#REF!="UL Monroe",+All!#REF!,0))</f>
        <v>#REF!</v>
      </c>
      <c r="O191" s="462" t="e">
        <f>IF(+All!#REF!="UL Monroe",+All!#REF!,IF(+All!#REF!="UL Monroe",+All!#REF!,0))</f>
        <v>#REF!</v>
      </c>
      <c r="P191" s="462" t="e">
        <f>IF(+All!#REF!="UL Monroe",+All!#REF!,IF(+All!#REF!="UL Monroe",+All!#REF!,0))</f>
        <v>#REF!</v>
      </c>
      <c r="Q191" s="461" t="e">
        <f>IF(+All!#REF!="UL Monroe",+All!#REF!,IF(+All!#REF!="UL Monroe",+All!#REF!,0))</f>
        <v>#REF!</v>
      </c>
      <c r="R191" s="460" t="e">
        <f>IF(+All!#REF!="UL Monroe",+All!#REF!,IF(+All!#REF!="UL Monroe",+All!#REF!,0))</f>
        <v>#REF!</v>
      </c>
      <c r="S191" s="462" t="e">
        <f>IF(+All!#REF!="UL Monroe",+All!#REF!,IF(+All!#REF!="UL Monroe",+All!#REF!,0))</f>
        <v>#REF!</v>
      </c>
      <c r="T191" s="460" t="e">
        <f>IF(+All!#REF!="UL Monroe",+All!#REF!,IF(+All!#REF!="UL Monroe",+All!#REF!,0))</f>
        <v>#REF!</v>
      </c>
      <c r="U191" s="461" t="e">
        <f>IF(+All!#REF!="UL Monroe",+All!#REF!,IF(+All!#REF!="UL Monroe",+All!#REF!,0))</f>
        <v>#REF!</v>
      </c>
    </row>
    <row r="192" spans="1:22" x14ac:dyDescent="0.8">
      <c r="A192" s="46">
        <f>IF(+All!$F517="UL Monroe",+All!A517,IF(+All!$H517="UL Monroe",+All!A517,0))</f>
        <v>8</v>
      </c>
      <c r="B192" s="348" t="str">
        <f>IF(+All!$F517="UL Monroe",+All!B517,IF(+All!$H517="UL Monroe",+All!B517,0))</f>
        <v>Sat</v>
      </c>
      <c r="C192" s="48">
        <f>IF(+All!$F517="UL Monroe",+All!C517,IF(+All!$H517="UL Monroe",+All!C517,0))</f>
        <v>44856</v>
      </c>
      <c r="D192" s="490">
        <f>IF(+All!$F517="UL Monroe",+All!D517,IF(+All!$H517="UL Monroe",+All!D517,0))</f>
        <v>0.5</v>
      </c>
      <c r="E192" s="461" t="str">
        <f>IF(+All!$F517="UL Monroe",+All!E517,IF(+All!$H517="UL Monroe",+All!E517,0))</f>
        <v>CBSSN</v>
      </c>
      <c r="F192" s="51" t="str">
        <f>IF(+All!$F517="UL Monroe",+All!F517,IF(+All!$H517="UL Monroe",+All!F517,0))</f>
        <v>UL Monroe</v>
      </c>
      <c r="G192" s="52" t="str">
        <f>IF(+All!$F517="UL Monroe",+All!G517,IF(+All!$H517="UL Monroe",+All!G517,0))</f>
        <v>SB</v>
      </c>
      <c r="H192" s="51" t="str">
        <f>IF(+All!$F517="UL Monroe",+All!H517,IF(+All!$H517="UL Monroe",+All!H517,0))</f>
        <v>Army</v>
      </c>
      <c r="I192" s="52" t="str">
        <f>IF(+All!$F517="UL Monroe",+All!I517,IF(+All!$H517="UL Monroe",+All!I517,0))</f>
        <v>Ind</v>
      </c>
      <c r="J192" s="460" t="str">
        <f>IF(+All!$F517="UL Monroe",+All!J517,IF(+All!$H517="UL Monroe",+All!J517,0))</f>
        <v>Army</v>
      </c>
      <c r="K192" s="461" t="str">
        <f>IF(+All!$F517="UL Monroe",+All!K517,IF(+All!$H517="UL Monroe",+All!K517,0))</f>
        <v>UL Monroe</v>
      </c>
      <c r="L192" s="54">
        <f>IF(+All!$F517="UL Monroe",+All!L517,IF(+All!$H517="UL Monroe",+All!L517,0))</f>
        <v>7</v>
      </c>
      <c r="M192" s="55">
        <f>IF(+All!$F517="UL Monroe",+All!M517,IF(+All!$H517="UL Monroe",+All!M517,0))</f>
        <v>55.5</v>
      </c>
      <c r="N192" s="460" t="str">
        <f>IF(+All!$F517="UL Monroe",+All!N517,IF(+All!$H517="UL Monroe",+All!N517,0))</f>
        <v>Army</v>
      </c>
      <c r="O192" s="462">
        <f>IF(+All!$F517="UL Monroe",+All!O517,IF(+All!$H517="UL Monroe",+All!O517,0))</f>
        <v>48</v>
      </c>
      <c r="P192" s="462" t="str">
        <f>IF(+All!$F517="UL Monroe",+All!P517,IF(+All!$H517="UL Monroe",+All!P517,0))</f>
        <v>UL Monroe</v>
      </c>
      <c r="Q192" s="461">
        <f>IF(+All!$F517="UL Monroe",+All!Q517,IF(+All!$H517="UL Monroe",+All!Q517,0))</f>
        <v>24</v>
      </c>
      <c r="R192" s="460" t="str">
        <f>IF(+All!$F517="UL Monroe",+All!R517,IF(+All!$H517="UL Monroe",+All!R517,0))</f>
        <v>Army</v>
      </c>
      <c r="S192" s="462" t="str">
        <f>IF(+All!$F517="UL Monroe",+All!S517,IF(+All!$H517="UL Monroe",+All!S517,0))</f>
        <v>UL Monroe</v>
      </c>
      <c r="T192" s="460" t="str">
        <f>IF(+All!$F517="UL Monroe",+All!T517,IF(+All!$H517="UL Monroe",+All!T517,0))</f>
        <v>UL Monroe</v>
      </c>
      <c r="U192" s="461" t="str">
        <f>IF(+All!$F517="UL Monroe",+All!U517,IF(+All!$H517="UL Monroe",+All!U517,0))</f>
        <v>L</v>
      </c>
    </row>
    <row r="193" spans="1:22" s="75" customFormat="1" x14ac:dyDescent="0.8">
      <c r="A193" s="46" t="e">
        <f>IF(+All!#REF!="UL Monroe",+All!#REF!,IF(+All!#REF!="UL Monroe",+All!#REF!,0))</f>
        <v>#REF!</v>
      </c>
      <c r="B193" s="348" t="e">
        <f>IF(+All!#REF!="UL Monroe",+All!#REF!,IF(+All!#REF!="UL Monroe",+All!#REF!,0))</f>
        <v>#REF!</v>
      </c>
      <c r="C193" s="48" t="e">
        <f>IF(+All!#REF!="UL Monroe",+All!#REF!,IF(+All!#REF!="UL Monroe",+All!#REF!,0))</f>
        <v>#REF!</v>
      </c>
      <c r="D193" s="490" t="e">
        <f>IF(+All!#REF!="UL Monroe",+All!#REF!,IF(+All!#REF!="UL Monroe",+All!#REF!,0))</f>
        <v>#REF!</v>
      </c>
      <c r="E193" s="461" t="e">
        <f>IF(+All!#REF!="UL Monroe",+All!#REF!,IF(+All!#REF!="UL Monroe",+All!#REF!,0))</f>
        <v>#REF!</v>
      </c>
      <c r="F193" s="51" t="e">
        <f>IF(+All!#REF!="UL Monroe",+All!#REF!,IF(+All!#REF!="UL Monroe",+All!#REF!,0))</f>
        <v>#REF!</v>
      </c>
      <c r="G193" s="52" t="e">
        <f>IF(+All!#REF!="UL Monroe",+All!#REF!,IF(+All!#REF!="UL Monroe",+All!#REF!,0))</f>
        <v>#REF!</v>
      </c>
      <c r="H193" s="51" t="e">
        <f>IF(+All!#REF!="UL Monroe",+All!#REF!,IF(+All!#REF!="UL Monroe",+All!#REF!,0))</f>
        <v>#REF!</v>
      </c>
      <c r="I193" s="52" t="e">
        <f>IF(+All!#REF!="UL Monroe",+All!#REF!,IF(+All!#REF!="UL Monroe",+All!#REF!,0))</f>
        <v>#REF!</v>
      </c>
      <c r="J193" s="460" t="e">
        <f>IF(+All!#REF!="UL Monroe",+All!#REF!,IF(+All!#REF!="UL Monroe",+All!#REF!,0))</f>
        <v>#REF!</v>
      </c>
      <c r="K193" s="461" t="e">
        <f>IF(+All!#REF!="UL Monroe",+All!#REF!,IF(+All!#REF!="UL Monroe",+All!#REF!,0))</f>
        <v>#REF!</v>
      </c>
      <c r="L193" s="54" t="e">
        <f>IF(+All!#REF!="UL Monroe",+All!#REF!,IF(+All!#REF!="UL Monroe",+All!#REF!,0))</f>
        <v>#REF!</v>
      </c>
      <c r="M193" s="55" t="e">
        <f>IF(+All!#REF!="UL Monroe",+All!#REF!,IF(+All!#REF!="UL Monroe",+All!#REF!,0))</f>
        <v>#REF!</v>
      </c>
      <c r="N193" s="460" t="e">
        <f>IF(+All!#REF!="UL Monroe",+All!#REF!,IF(+All!#REF!="UL Monroe",+All!#REF!,0))</f>
        <v>#REF!</v>
      </c>
      <c r="O193" s="462" t="e">
        <f>IF(+All!#REF!="UL Monroe",+All!#REF!,IF(+All!#REF!="UL Monroe",+All!#REF!,0))</f>
        <v>#REF!</v>
      </c>
      <c r="P193" s="462" t="e">
        <f>IF(+All!#REF!="UL Monroe",+All!#REF!,IF(+All!#REF!="UL Monroe",+All!#REF!,0))</f>
        <v>#REF!</v>
      </c>
      <c r="Q193" s="461" t="e">
        <f>IF(+All!#REF!="UL Monroe",+All!#REF!,IF(+All!#REF!="UL Monroe",+All!#REF!,0))</f>
        <v>#REF!</v>
      </c>
      <c r="R193" s="460" t="e">
        <f>IF(+All!#REF!="UL Monroe",+All!#REF!,IF(+All!#REF!="UL Monroe",+All!#REF!,0))</f>
        <v>#REF!</v>
      </c>
      <c r="S193" s="462" t="e">
        <f>IF(+All!#REF!="UL Monroe",+All!#REF!,IF(+All!#REF!="UL Monroe",+All!#REF!,0))</f>
        <v>#REF!</v>
      </c>
      <c r="T193" s="460" t="e">
        <f>IF(+All!#REF!="UL Monroe",+All!#REF!,IF(+All!#REF!="UL Monroe",+All!#REF!,0))</f>
        <v>#REF!</v>
      </c>
      <c r="U193" s="461" t="e">
        <f>IF(+All!#REF!="UL Monroe",+All!#REF!,IF(+All!#REF!="UL Monroe",+All!#REF!,0))</f>
        <v>#REF!</v>
      </c>
      <c r="V193" s="482"/>
    </row>
    <row r="194" spans="1:22" x14ac:dyDescent="0.8">
      <c r="A194" s="46">
        <f>IF(+All!$F645="UL Monroe",+All!A645,IF(+All!$H645="UL Monroe",+All!A645,0))</f>
        <v>10</v>
      </c>
      <c r="B194" s="348" t="str">
        <f>IF(+All!$F645="UL Monroe",+All!B645,IF(+All!$H645="UL Monroe",+All!B645,0))</f>
        <v>Sat</v>
      </c>
      <c r="C194" s="48">
        <f>IF(+All!$F645="UL Monroe",+All!C645,IF(+All!$H645="UL Monroe",+All!C645,0))</f>
        <v>44870</v>
      </c>
      <c r="D194" s="490">
        <f>IF(+All!$F645="UL Monroe",+All!D645,IF(+All!$H645="UL Monroe",+All!D645,0))</f>
        <v>0.70833333333333337</v>
      </c>
      <c r="E194" s="461" t="str">
        <f>IF(+All!$F645="UL Monroe",+All!E645,IF(+All!$H645="UL Monroe",+All!E645,0))</f>
        <v>espn3</v>
      </c>
      <c r="F194" s="51" t="str">
        <f>IF(+All!$F645="UL Monroe",+All!F645,IF(+All!$H645="UL Monroe",+All!F645,0))</f>
        <v>Texas State</v>
      </c>
      <c r="G194" s="52" t="str">
        <f>IF(+All!$F645="UL Monroe",+All!G645,IF(+All!$H645="UL Monroe",+All!G645,0))</f>
        <v>SB</v>
      </c>
      <c r="H194" s="51" t="str">
        <f>IF(+All!$F645="UL Monroe",+All!H645,IF(+All!$H645="UL Monroe",+All!H645,0))</f>
        <v>UL Monroe</v>
      </c>
      <c r="I194" s="52" t="str">
        <f>IF(+All!$F645="UL Monroe",+All!I645,IF(+All!$H645="UL Monroe",+All!I645,0))</f>
        <v>SB</v>
      </c>
      <c r="J194" s="460" t="str">
        <f>IF(+All!$F645="UL Monroe",+All!J645,IF(+All!$H645="UL Monroe",+All!J645,0))</f>
        <v>UL Monroe</v>
      </c>
      <c r="K194" s="461" t="str">
        <f>IF(+All!$F645="UL Monroe",+All!K645,IF(+All!$H645="UL Monroe",+All!K645,0))</f>
        <v>Texas State</v>
      </c>
      <c r="L194" s="54">
        <f>IF(+All!$F645="UL Monroe",+All!L645,IF(+All!$H645="UL Monroe",+All!L645,0))</f>
        <v>1</v>
      </c>
      <c r="M194" s="55">
        <f>IF(+All!$F645="UL Monroe",+All!M645,IF(+All!$H645="UL Monroe",+All!M645,0))</f>
        <v>52</v>
      </c>
      <c r="N194" s="460" t="str">
        <f>IF(+All!$F645="UL Monroe",+All!N645,IF(+All!$H645="UL Monroe",+All!N645,0))</f>
        <v>UL Monroe</v>
      </c>
      <c r="O194" s="462">
        <f>IF(+All!$F645="UL Monroe",+All!O645,IF(+All!$H645="UL Monroe",+All!O645,0))</f>
        <v>31</v>
      </c>
      <c r="P194" s="462" t="str">
        <f>IF(+All!$F645="UL Monroe",+All!P645,IF(+All!$H645="UL Monroe",+All!P645,0))</f>
        <v>Texas State</v>
      </c>
      <c r="Q194" s="461">
        <f>IF(+All!$F645="UL Monroe",+All!Q645,IF(+All!$H645="UL Monroe",+All!Q645,0))</f>
        <v>30</v>
      </c>
      <c r="R194" s="460" t="str">
        <f>IF(+All!$F645="UL Monroe",+All!R645,IF(+All!$H645="UL Monroe",+All!R645,0))</f>
        <v>UL Monroe</v>
      </c>
      <c r="S194" s="462" t="str">
        <f>IF(+All!$F645="UL Monroe",+All!S645,IF(+All!$H645="UL Monroe",+All!S645,0))</f>
        <v>Texas State</v>
      </c>
      <c r="T194" s="460" t="str">
        <f>IF(+All!$F645="UL Monroe",+All!T645,IF(+All!$H645="UL Monroe",+All!T645,0))</f>
        <v>UL Monroe</v>
      </c>
      <c r="U194" s="461" t="str">
        <f>IF(+All!$F645="UL Monroe",+All!U645,IF(+All!$H645="UL Monroe",+All!U645,0))</f>
        <v>T</v>
      </c>
    </row>
    <row r="195" spans="1:22" x14ac:dyDescent="0.8">
      <c r="A195" s="46">
        <f>IF(+All!$F706="UL Monroe",+All!A706,IF(+All!$H706="UL Monroe",+All!A706,0))</f>
        <v>11</v>
      </c>
      <c r="B195" s="348" t="str">
        <f>IF(+All!$F706="UL Monroe",+All!B706,IF(+All!$H706="UL Monroe",+All!B706,0))</f>
        <v>Sat</v>
      </c>
      <c r="C195" s="48">
        <f>IF(+All!$F706="UL Monroe",+All!C706,IF(+All!$H706="UL Monroe",+All!C706,0))</f>
        <v>44877</v>
      </c>
      <c r="D195" s="490">
        <f>IF(+All!$F706="UL Monroe",+All!D706,IF(+All!$H706="UL Monroe",+All!D706,0))</f>
        <v>0.54166666666666663</v>
      </c>
      <c r="E195" s="461">
        <f>IF(+All!$F706="UL Monroe",+All!E706,IF(+All!$H706="UL Monroe",+All!E706,0))</f>
        <v>0</v>
      </c>
      <c r="F195" s="51" t="str">
        <f>IF(+All!$F706="UL Monroe",+All!F706,IF(+All!$H706="UL Monroe",+All!F706,0))</f>
        <v>UL Monroe</v>
      </c>
      <c r="G195" s="52" t="str">
        <f>IF(+All!$F706="UL Monroe",+All!G706,IF(+All!$H706="UL Monroe",+All!G706,0))</f>
        <v>SB</v>
      </c>
      <c r="H195" s="51" t="str">
        <f>IF(+All!$F706="UL Monroe",+All!H706,IF(+All!$H706="UL Monroe",+All!H706,0))</f>
        <v>Georgia State</v>
      </c>
      <c r="I195" s="52" t="str">
        <f>IF(+All!$F706="UL Monroe",+All!I706,IF(+All!$H706="UL Monroe",+All!I706,0))</f>
        <v>SB</v>
      </c>
      <c r="J195" s="460" t="str">
        <f>IF(+All!$F706="UL Monroe",+All!J706,IF(+All!$H706="UL Monroe",+All!J706,0))</f>
        <v>Georgia State</v>
      </c>
      <c r="K195" s="461" t="str">
        <f>IF(+All!$F706="UL Monroe",+All!K706,IF(+All!$H706="UL Monroe",+All!K706,0))</f>
        <v>UL Monroe</v>
      </c>
      <c r="L195" s="54">
        <f>IF(+All!$F706="UL Monroe",+All!L706,IF(+All!$H706="UL Monroe",+All!L706,0))</f>
        <v>14</v>
      </c>
      <c r="M195" s="55">
        <f>IF(+All!$F706="UL Monroe",+All!M706,IF(+All!$H706="UL Monroe",+All!M706,0))</f>
        <v>58.5</v>
      </c>
      <c r="N195" s="460" t="str">
        <f>IF(+All!$F706="UL Monroe",+All!N706,IF(+All!$H706="UL Monroe",+All!N706,0))</f>
        <v>UL Monroe</v>
      </c>
      <c r="O195" s="462">
        <f>IF(+All!$F706="UL Monroe",+All!O706,IF(+All!$H706="UL Monroe",+All!O706,0))</f>
        <v>31</v>
      </c>
      <c r="P195" s="462" t="str">
        <f>IF(+All!$F706="UL Monroe",+All!P706,IF(+All!$H706="UL Monroe",+All!P706,0))</f>
        <v>Georgia State</v>
      </c>
      <c r="Q195" s="461">
        <f>IF(+All!$F706="UL Monroe",+All!Q706,IF(+All!$H706="UL Monroe",+All!Q706,0))</f>
        <v>28</v>
      </c>
      <c r="R195" s="460" t="str">
        <f>IF(+All!$F706="UL Monroe",+All!R706,IF(+All!$H706="UL Monroe",+All!R706,0))</f>
        <v>UL Monroe</v>
      </c>
      <c r="S195" s="462" t="str">
        <f>IF(+All!$F706="UL Monroe",+All!S706,IF(+All!$H706="UL Monroe",+All!S706,0))</f>
        <v>Georgia State</v>
      </c>
      <c r="T195" s="460" t="str">
        <f>IF(+All!$F706="UL Monroe",+All!T706,IF(+All!$H706="UL Monroe",+All!T706,0))</f>
        <v>Georgia State</v>
      </c>
      <c r="U195" s="461" t="str">
        <f>IF(+All!$F706="UL Monroe",+All!U706,IF(+All!$H706="UL Monroe",+All!U706,0))</f>
        <v>L</v>
      </c>
    </row>
    <row r="196" spans="1:22" x14ac:dyDescent="0.8">
      <c r="A196" s="46">
        <f>IF(+All!$F774="UL Monroe",+All!A774,IF(+All!$H774="UL Monroe",+All!A774,0))</f>
        <v>12</v>
      </c>
      <c r="B196" s="348" t="str">
        <f>IF(+All!$F774="UL Monroe",+All!B774,IF(+All!$H774="UL Monroe",+All!B774,0))</f>
        <v>Sat</v>
      </c>
      <c r="C196" s="48">
        <f>IF(+All!$F774="UL Monroe",+All!C774,IF(+All!$H774="UL Monroe",+All!C774,0))</f>
        <v>44884</v>
      </c>
      <c r="D196" s="490">
        <f>IF(+All!$F774="UL Monroe",+All!D774,IF(+All!$H774="UL Monroe",+All!D774,0))</f>
        <v>0.64583333333333337</v>
      </c>
      <c r="E196" s="461">
        <f>IF(+All!$F774="UL Monroe",+All!E774,IF(+All!$H774="UL Monroe",+All!E774,0))</f>
        <v>0</v>
      </c>
      <c r="F196" s="51" t="str">
        <f>IF(+All!$F774="UL Monroe",+All!F774,IF(+All!$H774="UL Monroe",+All!F774,0))</f>
        <v>UL Monroe</v>
      </c>
      <c r="G196" s="52" t="str">
        <f>IF(+All!$F774="UL Monroe",+All!G774,IF(+All!$H774="UL Monroe",+All!G774,0))</f>
        <v>SB</v>
      </c>
      <c r="H196" s="51" t="str">
        <f>IF(+All!$F774="UL Monroe",+All!H774,IF(+All!$H774="UL Monroe",+All!H774,0))</f>
        <v>Troy</v>
      </c>
      <c r="I196" s="52" t="str">
        <f>IF(+All!$F774="UL Monroe",+All!I774,IF(+All!$H774="UL Monroe",+All!I774,0))</f>
        <v>SB</v>
      </c>
      <c r="J196" s="460" t="str">
        <f>IF(+All!$F774="UL Monroe",+All!J774,IF(+All!$H774="UL Monroe",+All!J774,0))</f>
        <v>Troy</v>
      </c>
      <c r="K196" s="461" t="str">
        <f>IF(+All!$F774="UL Monroe",+All!K774,IF(+All!$H774="UL Monroe",+All!K774,0))</f>
        <v>UL Monroe</v>
      </c>
      <c r="L196" s="54">
        <f>IF(+All!$F774="UL Monroe",+All!L774,IF(+All!$H774="UL Monroe",+All!L774,0))</f>
        <v>14.5</v>
      </c>
      <c r="M196" s="55">
        <f>IF(+All!$F774="UL Monroe",+All!M774,IF(+All!$H774="UL Monroe",+All!M774,0))</f>
        <v>47.5</v>
      </c>
      <c r="N196" s="460" t="str">
        <f>IF(+All!$F774="UL Monroe",+All!N774,IF(+All!$H774="UL Monroe",+All!N774,0))</f>
        <v>Troy</v>
      </c>
      <c r="O196" s="462">
        <f>IF(+All!$F774="UL Monroe",+All!O774,IF(+All!$H774="UL Monroe",+All!O774,0))</f>
        <v>34</v>
      </c>
      <c r="P196" s="462" t="str">
        <f>IF(+All!$F774="UL Monroe",+All!P774,IF(+All!$H774="UL Monroe",+All!P774,0))</f>
        <v>UL Monroe</v>
      </c>
      <c r="Q196" s="461">
        <f>IF(+All!$F774="UL Monroe",+All!Q774,IF(+All!$H774="UL Monroe",+All!Q774,0))</f>
        <v>16</v>
      </c>
      <c r="R196" s="460" t="str">
        <f>IF(+All!$F774="UL Monroe",+All!R774,IF(+All!$H774="UL Monroe",+All!R774,0))</f>
        <v>Troy</v>
      </c>
      <c r="S196" s="462" t="str">
        <f>IF(+All!$F774="UL Monroe",+All!S774,IF(+All!$H774="UL Monroe",+All!S774,0))</f>
        <v>UL Monroe</v>
      </c>
      <c r="T196" s="460" t="str">
        <f>IF(+All!$F774="UL Monroe",+All!T774,IF(+All!$H774="UL Monroe",+All!T774,0))</f>
        <v>Troy</v>
      </c>
      <c r="U196" s="461" t="str">
        <f>IF(+All!$F774="UL Monroe",+All!U774,IF(+All!$H774="UL Monroe",+All!U774,0))</f>
        <v>W</v>
      </c>
    </row>
    <row r="197" spans="1:22" x14ac:dyDescent="0.8">
      <c r="A197" s="46">
        <f>IF(+All!$F843="UL Monroe",+All!A843,IF(+All!$H843="UL Monroe",+All!A843,0))</f>
        <v>13</v>
      </c>
      <c r="B197" s="348" t="str">
        <f>IF(+All!$F843="UL Monroe",+All!B843,IF(+All!$H843="UL Monroe",+All!B843,0))</f>
        <v>Sat</v>
      </c>
      <c r="C197" s="48">
        <f>IF(+All!$F843="UL Monroe",+All!C843,IF(+All!$H843="UL Monroe",+All!C843,0))</f>
        <v>44891</v>
      </c>
      <c r="D197" s="490">
        <f>IF(+All!$F843="UL Monroe",+All!D843,IF(+All!$H843="UL Monroe",+All!D843,0))</f>
        <v>0.70833333333333337</v>
      </c>
      <c r="E197" s="461">
        <f>IF(+All!$F843="UL Monroe",+All!E843,IF(+All!$H843="UL Monroe",+All!E843,0))</f>
        <v>0</v>
      </c>
      <c r="F197" s="51" t="str">
        <f>IF(+All!$F843="UL Monroe",+All!F843,IF(+All!$H843="UL Monroe",+All!F843,0))</f>
        <v>Southern Miss</v>
      </c>
      <c r="G197" s="52" t="str">
        <f>IF(+All!$F843="UL Monroe",+All!G843,IF(+All!$H843="UL Monroe",+All!G843,0))</f>
        <v>SB</v>
      </c>
      <c r="H197" s="51" t="str">
        <f>IF(+All!$F843="UL Monroe",+All!H843,IF(+All!$H843="UL Monroe",+All!H843,0))</f>
        <v>UL Monroe</v>
      </c>
      <c r="I197" s="52" t="str">
        <f>IF(+All!$F843="UL Monroe",+All!I843,IF(+All!$H843="UL Monroe",+All!I843,0))</f>
        <v>SB</v>
      </c>
      <c r="J197" s="460" t="str">
        <f>IF(+All!$F843="UL Monroe",+All!J843,IF(+All!$H843="UL Monroe",+All!J843,0))</f>
        <v>Southern Miss</v>
      </c>
      <c r="K197" s="461" t="str">
        <f>IF(+All!$F843="UL Monroe",+All!K843,IF(+All!$H843="UL Monroe",+All!K843,0))</f>
        <v>UL Monroe</v>
      </c>
      <c r="L197" s="54">
        <f>IF(+All!$F843="UL Monroe",+All!L843,IF(+All!$H843="UL Monroe",+All!L843,0))</f>
        <v>3.5</v>
      </c>
      <c r="M197" s="55">
        <f>IF(+All!$F843="UL Monroe",+All!M843,IF(+All!$H843="UL Monroe",+All!M843,0))</f>
        <v>50</v>
      </c>
      <c r="N197" s="460" t="str">
        <f>IF(+All!$F843="UL Monroe",+All!N843,IF(+All!$H843="UL Monroe",+All!N843,0))</f>
        <v>Southern Miss</v>
      </c>
      <c r="O197" s="462">
        <f>IF(+All!$F843="UL Monroe",+All!O843,IF(+All!$H843="UL Monroe",+All!O843,0))</f>
        <v>20</v>
      </c>
      <c r="P197" s="462" t="str">
        <f>IF(+All!$F843="UL Monroe",+All!P843,IF(+All!$H843="UL Monroe",+All!P843,0))</f>
        <v>UL Monroe</v>
      </c>
      <c r="Q197" s="461">
        <f>IF(+All!$F843="UL Monroe",+All!Q843,IF(+All!$H843="UL Monroe",+All!Q843,0))</f>
        <v>10</v>
      </c>
      <c r="R197" s="460" t="str">
        <f>IF(+All!$F843="UL Monroe",+All!R843,IF(+All!$H843="UL Monroe",+All!R843,0))</f>
        <v>Southern Miss</v>
      </c>
      <c r="S197" s="462" t="str">
        <f>IF(+All!$F843="UL Monroe",+All!S843,IF(+All!$H843="UL Monroe",+All!S843,0))</f>
        <v>UL Monroe</v>
      </c>
      <c r="T197" s="460" t="str">
        <f>IF(+All!$F843="UL Monroe",+All!T843,IF(+All!$H843="UL Monroe",+All!T843,0))</f>
        <v>Southern Miss</v>
      </c>
      <c r="U197" s="461" t="str">
        <f>IF(+All!$F843="UL Monroe",+All!U843,IF(+All!$H843="UL Monroe",+All!U843,0))</f>
        <v>W</v>
      </c>
    </row>
  </sheetData>
  <sortState xmlns:xlrd2="http://schemas.microsoft.com/office/spreadsheetml/2017/richdata2" ref="A186:U197">
    <sortCondition ref="A186:A197"/>
    <sortCondition ref="F186:F197"/>
  </sortState>
  <mergeCells count="17">
    <mergeCell ref="F3:I3"/>
    <mergeCell ref="F17:I17"/>
    <mergeCell ref="F1:I1"/>
    <mergeCell ref="N1:Q1"/>
    <mergeCell ref="R1:S1"/>
    <mergeCell ref="F143:I143"/>
    <mergeCell ref="F185:I185"/>
    <mergeCell ref="F157:I157"/>
    <mergeCell ref="F171:I171"/>
    <mergeCell ref="F31:I31"/>
    <mergeCell ref="F73:I73"/>
    <mergeCell ref="F87:I87"/>
    <mergeCell ref="F45:I45"/>
    <mergeCell ref="F59:I59"/>
    <mergeCell ref="F101:I101"/>
    <mergeCell ref="F115:I115"/>
    <mergeCell ref="F129:I129"/>
  </mergeCells>
  <pageMargins left="0.25" right="0.25" top="0.25" bottom="0.25" header="0" footer="0"/>
  <pageSetup scale="58" fitToHeight="0" orientation="landscape" r:id="rId1"/>
  <headerFooter alignWithMargins="0">
    <oddFooter>&amp;C&amp;36Sun Belt</oddFooter>
  </headerFooter>
  <rowBreaks count="3" manualBreakCount="3">
    <brk id="58" max="18" man="1"/>
    <brk id="114" max="18" man="1"/>
    <brk id="156" max="18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pageSetUpPr fitToPage="1"/>
  </sheetPr>
  <dimension ref="A1:V199"/>
  <sheetViews>
    <sheetView view="pageBreakPreview" topLeftCell="A142" zoomScale="75" zoomScaleNormal="75" zoomScaleSheetLayoutView="75" workbookViewId="0">
      <selection activeCell="F142" sqref="F142"/>
    </sheetView>
  </sheetViews>
  <sheetFormatPr defaultColWidth="8.86328125" defaultRowHeight="16" x14ac:dyDescent="0.8"/>
  <cols>
    <col min="1" max="1" width="5.6796875" style="697" customWidth="1"/>
    <col min="2" max="2" width="5.6796875" style="698" hidden="1" customWidth="1"/>
    <col min="3" max="3" width="13" style="711" hidden="1" customWidth="1"/>
    <col min="4" max="4" width="11.6796875" style="712" hidden="1" customWidth="1"/>
    <col min="5" max="5" width="9.1328125" style="701" hidden="1" customWidth="1"/>
    <col min="6" max="6" width="24.453125" style="704" customWidth="1"/>
    <col min="7" max="7" width="8.6796875" style="701" hidden="1" customWidth="1"/>
    <col min="8" max="8" width="24.453125" style="704" customWidth="1"/>
    <col min="9" max="9" width="8.6796875" style="701" hidden="1" customWidth="1"/>
    <col min="10" max="10" width="24.453125" style="704" customWidth="1"/>
    <col min="11" max="11" width="24.453125" style="701" customWidth="1"/>
    <col min="12" max="12" width="8" style="713" customWidth="1"/>
    <col min="13" max="13" width="8" style="714" customWidth="1"/>
    <col min="14" max="14" width="24.453125" style="704" customWidth="1"/>
    <col min="15" max="15" width="5.6796875" style="707" customWidth="1"/>
    <col min="16" max="16" width="24.453125" style="707" customWidth="1"/>
    <col min="17" max="17" width="5.6796875" style="709" customWidth="1"/>
    <col min="18" max="18" width="24.453125" style="704" customWidth="1"/>
    <col min="19" max="19" width="24.453125" style="707" customWidth="1"/>
    <col min="20" max="20" width="27.6796875" style="704" customWidth="1"/>
    <col min="21" max="21" width="6.54296875" style="701" customWidth="1"/>
    <col min="22" max="16384" width="8.86328125" style="9"/>
  </cols>
  <sheetData>
    <row r="1" spans="1:22" s="21" customFormat="1" ht="16" customHeight="1" x14ac:dyDescent="0.8">
      <c r="A1" s="671"/>
      <c r="B1" s="671"/>
      <c r="C1" s="672"/>
      <c r="D1" s="673"/>
      <c r="E1" s="674"/>
      <c r="F1" s="913" t="s">
        <v>2</v>
      </c>
      <c r="G1" s="914"/>
      <c r="H1" s="914"/>
      <c r="I1" s="915"/>
      <c r="J1" s="675"/>
      <c r="K1" s="674"/>
      <c r="L1" s="676"/>
      <c r="M1" s="677"/>
      <c r="N1" s="913" t="s">
        <v>3</v>
      </c>
      <c r="O1" s="914"/>
      <c r="P1" s="914"/>
      <c r="Q1" s="915"/>
      <c r="R1" s="913" t="s">
        <v>4</v>
      </c>
      <c r="S1" s="915"/>
      <c r="T1" s="675"/>
      <c r="U1" s="674"/>
      <c r="V1" s="9"/>
    </row>
    <row r="2" spans="1:22" s="21" customFormat="1" ht="16" customHeight="1" x14ac:dyDescent="0.8">
      <c r="A2" s="678" t="s">
        <v>10</v>
      </c>
      <c r="B2" s="679" t="s">
        <v>11</v>
      </c>
      <c r="C2" s="680" t="s">
        <v>12</v>
      </c>
      <c r="D2" s="681" t="s">
        <v>13</v>
      </c>
      <c r="E2" s="682" t="s">
        <v>14</v>
      </c>
      <c r="F2" s="683" t="s">
        <v>6</v>
      </c>
      <c r="G2" s="682" t="s">
        <v>15</v>
      </c>
      <c r="H2" s="683" t="s">
        <v>8</v>
      </c>
      <c r="I2" s="682" t="s">
        <v>15</v>
      </c>
      <c r="J2" s="683" t="s">
        <v>16</v>
      </c>
      <c r="K2" s="682" t="s">
        <v>17</v>
      </c>
      <c r="L2" s="684" t="s">
        <v>18</v>
      </c>
      <c r="M2" s="685" t="s">
        <v>19</v>
      </c>
      <c r="N2" s="683" t="s">
        <v>20</v>
      </c>
      <c r="O2" s="686"/>
      <c r="P2" s="686" t="s">
        <v>21</v>
      </c>
      <c r="Q2" s="687"/>
      <c r="R2" s="683" t="s">
        <v>20</v>
      </c>
      <c r="S2" s="686" t="s">
        <v>21</v>
      </c>
      <c r="T2" s="683" t="s">
        <v>22</v>
      </c>
      <c r="U2" s="682" t="s">
        <v>23</v>
      </c>
      <c r="V2" s="9"/>
    </row>
    <row r="3" spans="1:22" x14ac:dyDescent="0.8">
      <c r="A3" s="688"/>
      <c r="B3" s="689"/>
      <c r="C3" s="690"/>
      <c r="D3" s="691"/>
      <c r="E3" s="692"/>
      <c r="F3" s="916" t="str">
        <f>F5</f>
        <v>Alabama</v>
      </c>
      <c r="G3" s="917"/>
      <c r="H3" s="917"/>
      <c r="I3" s="918"/>
      <c r="J3" s="693"/>
      <c r="K3" s="692"/>
      <c r="L3" s="694"/>
      <c r="M3" s="695"/>
      <c r="N3" s="693"/>
      <c r="O3" s="670"/>
      <c r="P3" s="670"/>
      <c r="Q3" s="696"/>
      <c r="R3" s="693"/>
      <c r="S3" s="670"/>
      <c r="T3" s="693"/>
      <c r="U3" s="692"/>
    </row>
    <row r="4" spans="1:22" ht="16.25" customHeight="1" x14ac:dyDescent="0.8">
      <c r="A4" s="697">
        <f>IF(+All!$F84="Alabama",+All!A84,IF(+All!$H84="Alabama",+All!A84,0))</f>
        <v>1</v>
      </c>
      <c r="B4" s="698" t="str">
        <f>IF(+All!$F84="Alabama",+All!B84,IF(+All!$H84="Alabama",+All!B84,0))</f>
        <v>Sat</v>
      </c>
      <c r="C4" s="699">
        <f>IF(+All!$F84="Alabama",+All!C84,IF(+All!$H84="Alabama",+All!C84,0))</f>
        <v>44807</v>
      </c>
      <c r="D4" s="700">
        <f>IF(+All!$F84="Alabama",+All!D84,IF(+All!$H84="Alabama",+All!D84,0))</f>
        <v>0.8125</v>
      </c>
      <c r="E4" s="701" t="str">
        <f>IF(+All!$F84="Alabama",+All!E84,IF(+All!$H84="Alabama",+All!E84,0))</f>
        <v>SEC</v>
      </c>
      <c r="F4" s="702" t="str">
        <f>IF(+All!$F84="Alabama",+All!F84,IF(+All!$H84="Alabama",+All!F84,0))</f>
        <v>Utah State</v>
      </c>
      <c r="G4" s="703" t="str">
        <f>IF(+All!$F84="Alabama",+All!G84,IF(+All!$H84="Alabama",+All!G84,0))</f>
        <v>MWC</v>
      </c>
      <c r="H4" s="702" t="str">
        <f>IF(+All!$F84="Alabama",+All!H84,IF(+All!$H84="Alabama",+All!H84,0))</f>
        <v>Alabama</v>
      </c>
      <c r="I4" s="703" t="str">
        <f>IF(+All!$F84="Alabama",+All!I84,IF(+All!$H84="Alabama",+All!I84,0))</f>
        <v>SEC</v>
      </c>
      <c r="J4" s="704" t="str">
        <f>IF(+All!$F84="Alabama",+All!J84,IF(+All!$H84="Alabama",+All!J84,0))</f>
        <v>Alabama</v>
      </c>
      <c r="K4" s="701" t="str">
        <f>IF(+All!$F84="Alabama",+All!K84,IF(+All!$H84="Alabama",+All!K84,0))</f>
        <v>Utah State</v>
      </c>
      <c r="L4" s="705">
        <f>IF(+All!$F84="Alabama",+All!L84,IF(+All!$H84="Alabama",+All!L84,0))</f>
        <v>42</v>
      </c>
      <c r="M4" s="706">
        <f>IF(+All!$F84="Alabama",+All!M84,IF(+All!$H84="Alabama",+All!M84,0))</f>
        <v>62.5</v>
      </c>
      <c r="N4" s="704" t="str">
        <f>IF(+All!$F84="Alabama",+All!N84,IF(+All!$H84="Alabama",+All!N84,0))</f>
        <v>Alabama</v>
      </c>
      <c r="O4" s="707">
        <f>IF(+All!$F84="Alabama",+All!O84,IF(+All!$H84="Alabama",+All!O84,0))</f>
        <v>55</v>
      </c>
      <c r="P4" s="707" t="str">
        <f>IF(+All!$F84="Alabama",+All!P84,IF(+All!$H84="Alabama",+All!P84,0))</f>
        <v>Utah State</v>
      </c>
      <c r="Q4" s="701">
        <f>IF(+All!$F84="Alabama",+All!Q84,IF(+All!$H84="Alabama",+All!Q84,0))</f>
        <v>0</v>
      </c>
      <c r="R4" s="704" t="str">
        <f>IF(+All!$F84="Alabama",+All!R84,IF(+All!$H84="Alabama",+All!R84,0))</f>
        <v>Alabama</v>
      </c>
      <c r="S4" s="707" t="str">
        <f>IF(+All!$F84="Alabama",+All!S84,IF(+All!$H84="Alabama",+All!S84,0))</f>
        <v>Utah State</v>
      </c>
      <c r="T4" s="704" t="str">
        <f>IF(+All!$F84="Alabama",+All!T84,IF(+All!$H84="Alabama",+All!T84,0))</f>
        <v>Alabama</v>
      </c>
      <c r="U4" s="701" t="str">
        <f>IF(+All!$F84="Alabama",+All!U84,IF(+All!$H84="Alabama",+All!U84,0))</f>
        <v>W</v>
      </c>
    </row>
    <row r="5" spans="1:22" ht="16.25" customHeight="1" x14ac:dyDescent="0.8">
      <c r="A5" s="697">
        <f>IF(+All!$F131="Alabama",+All!A131,IF(+All!$H131="Alabama",+All!A131,0))</f>
        <v>2</v>
      </c>
      <c r="B5" s="698" t="str">
        <f>IF(+All!$F131="Alabama",+All!B131,IF(+All!$H131="Alabama",+All!B131,0))</f>
        <v>Sat</v>
      </c>
      <c r="C5" s="699">
        <f>IF(+All!$F131="Alabama",+All!C131,IF(+All!$H131="Alabama",+All!C131,0))</f>
        <v>44814</v>
      </c>
      <c r="D5" s="700">
        <f>IF(+All!$F131="Alabama",+All!D131,IF(+All!$H131="Alabama",+All!D131,0))</f>
        <v>0.5</v>
      </c>
      <c r="E5" s="701" t="str">
        <f>IF(+All!$F131="Alabama",+All!E131,IF(+All!$H131="Alabama",+All!E131,0))</f>
        <v>Fox</v>
      </c>
      <c r="F5" s="702" t="str">
        <f>IF(+All!$F131="Alabama",+All!F131,IF(+All!$H131="Alabama",+All!F131,0))</f>
        <v>Alabama</v>
      </c>
      <c r="G5" s="703" t="str">
        <f>IF(+All!$F131="Alabama",+All!G131,IF(+All!$H131="Alabama",+All!G131,0))</f>
        <v>SEC</v>
      </c>
      <c r="H5" s="702" t="str">
        <f>IF(+All!$F131="Alabama",+All!H131,IF(+All!$H131="Alabama",+All!H131,0))</f>
        <v>Texas</v>
      </c>
      <c r="I5" s="703" t="str">
        <f>IF(+All!$F131="Alabama",+All!I131,IF(+All!$H131="Alabama",+All!I131,0))</f>
        <v>B12</v>
      </c>
      <c r="J5" s="704" t="str">
        <f>IF(+All!$F131="Alabama",+All!J131,IF(+All!$H131="Alabama",+All!J131,0))</f>
        <v>Alabama</v>
      </c>
      <c r="K5" s="701" t="str">
        <f>IF(+All!$F131="Alabama",+All!K131,IF(+All!$H131="Alabama",+All!K131,0))</f>
        <v>Texas</v>
      </c>
      <c r="L5" s="705">
        <f>IF(+All!$F131="Alabama",+All!L131,IF(+All!$H131="Alabama",+All!L131,0))</f>
        <v>20</v>
      </c>
      <c r="M5" s="706">
        <f>IF(+All!$F131="Alabama",+All!M131,IF(+All!$H131="Alabama",+All!M131,0))</f>
        <v>64.5</v>
      </c>
      <c r="N5" s="704" t="str">
        <f>IF(+All!$F131="Alabama",+All!N131,IF(+All!$H131="Alabama",+All!N131,0))</f>
        <v>Alabama</v>
      </c>
      <c r="O5" s="707">
        <f>IF(+All!$F131="Alabama",+All!O131,IF(+All!$H131="Alabama",+All!O131,0))</f>
        <v>20</v>
      </c>
      <c r="P5" s="707" t="str">
        <f>IF(+All!$F131="Alabama",+All!P131,IF(+All!$H131="Alabama",+All!P131,0))</f>
        <v>Texas</v>
      </c>
      <c r="Q5" s="701">
        <f>IF(+All!$F131="Alabama",+All!Q131,IF(+All!$H131="Alabama",+All!Q131,0))</f>
        <v>19</v>
      </c>
      <c r="R5" s="704" t="str">
        <f>IF(+All!$F131="Alabama",+All!R131,IF(+All!$H131="Alabama",+All!R131,0))</f>
        <v>Texas</v>
      </c>
      <c r="S5" s="707" t="str">
        <f>IF(+All!$F131="Alabama",+All!S131,IF(+All!$H131="Alabama",+All!S131,0))</f>
        <v>Alabama</v>
      </c>
      <c r="T5" s="704" t="str">
        <f>IF(+All!$F131="Alabama",+All!T131,IF(+All!$H131="Alabama",+All!T131,0))</f>
        <v>Alabama</v>
      </c>
      <c r="U5" s="701" t="str">
        <f>IF(+All!$F131="Alabama",+All!U131,IF(+All!$H131="Alabama",+All!U131,0))</f>
        <v>L</v>
      </c>
    </row>
    <row r="6" spans="1:22" ht="16.25" customHeight="1" x14ac:dyDescent="0.8">
      <c r="A6" s="697">
        <f>IF(+All!$F242="Alabama",+All!A242,IF(+All!$H242="Alabama",+All!A242,0))</f>
        <v>3</v>
      </c>
      <c r="B6" s="698" t="str">
        <f>IF(+All!$F242="Alabama",+All!B242,IF(+All!$H242="Alabama",+All!B242,0))</f>
        <v>Sat</v>
      </c>
      <c r="C6" s="699">
        <f>IF(+All!$F242="Alabama",+All!C242,IF(+All!$H242="Alabama",+All!C242,0))</f>
        <v>44821</v>
      </c>
      <c r="D6" s="700">
        <f>IF(+All!$F242="Alabama",+All!D242,IF(+All!$H242="Alabama",+All!D242,0))</f>
        <v>0.66666666666666663</v>
      </c>
      <c r="E6" s="701" t="str">
        <f>IF(+All!$F242="Alabama",+All!E242,IF(+All!$H242="Alabama",+All!E242,0))</f>
        <v>SEC</v>
      </c>
      <c r="F6" s="702" t="str">
        <f>IF(+All!$F242="Alabama",+All!F242,IF(+All!$H242="Alabama",+All!F242,0))</f>
        <v>UL Monroe</v>
      </c>
      <c r="G6" s="703" t="str">
        <f>IF(+All!$F242="Alabama",+All!G242,IF(+All!$H242="Alabama",+All!G242,0))</f>
        <v>SB</v>
      </c>
      <c r="H6" s="702" t="str">
        <f>IF(+All!$F242="Alabama",+All!H242,IF(+All!$H242="Alabama",+All!H242,0))</f>
        <v>Alabama</v>
      </c>
      <c r="I6" s="703" t="str">
        <f>IF(+All!$F242="Alabama",+All!I242,IF(+All!$H242="Alabama",+All!I242,0))</f>
        <v>SEC</v>
      </c>
      <c r="J6" s="704" t="str">
        <f>IF(+All!$F242="Alabama",+All!J242,IF(+All!$H242="Alabama",+All!J242,0))</f>
        <v>Alabama</v>
      </c>
      <c r="K6" s="701" t="str">
        <f>IF(+All!$F242="Alabama",+All!K242,IF(+All!$H242="Alabama",+All!K242,0))</f>
        <v>UL Monroe</v>
      </c>
      <c r="L6" s="705">
        <f>IF(+All!$F242="Alabama",+All!L242,IF(+All!$H242="Alabama",+All!L242,0))</f>
        <v>49</v>
      </c>
      <c r="M6" s="706">
        <f>IF(+All!$F242="Alabama",+All!M242,IF(+All!$H242="Alabama",+All!M242,0))</f>
        <v>60.5</v>
      </c>
      <c r="N6" s="704" t="str">
        <f>IF(+All!$F242="Alabama",+All!N242,IF(+All!$H242="Alabama",+All!N242,0))</f>
        <v>Alabama</v>
      </c>
      <c r="O6" s="707">
        <f>IF(+All!$F242="Alabama",+All!O242,IF(+All!$H242="Alabama",+All!O242,0))</f>
        <v>63</v>
      </c>
      <c r="P6" s="707" t="str">
        <f>IF(+All!$F242="Alabama",+All!P242,IF(+All!$H242="Alabama",+All!P242,0))</f>
        <v>UL Monroe</v>
      </c>
      <c r="Q6" s="701">
        <f>IF(+All!$F242="Alabama",+All!Q242,IF(+All!$H242="Alabama",+All!Q242,0))</f>
        <v>7</v>
      </c>
      <c r="R6" s="704" t="str">
        <f>IF(+All!$F242="Alabama",+All!R242,IF(+All!$H242="Alabama",+All!R242,0))</f>
        <v>Alabama</v>
      </c>
      <c r="S6" s="707" t="str">
        <f>IF(+All!$F242="Alabama",+All!S242,IF(+All!$H242="Alabama",+All!S242,0))</f>
        <v>UL Monroe</v>
      </c>
      <c r="T6" s="704" t="str">
        <f>IF(+All!$F242="Alabama",+All!T242,IF(+All!$H242="Alabama",+All!T242,0))</f>
        <v>UL Monroe</v>
      </c>
      <c r="U6" s="701">
        <f>IF(+All!$F242="Alabama",+All!U242,IF(+All!$H242="Alabama",+All!U242,0))</f>
        <v>0</v>
      </c>
    </row>
    <row r="7" spans="1:22" ht="16.25" customHeight="1" x14ac:dyDescent="0.8">
      <c r="A7" s="697">
        <f>IF(+All!$F308="Alabama",+All!A308,IF(+All!$H308="Alabama",+All!A308,0))</f>
        <v>4</v>
      </c>
      <c r="B7" s="698" t="str">
        <f>IF(+All!$F308="Alabama",+All!B308,IF(+All!$H308="Alabama",+All!B308,0))</f>
        <v>Sat</v>
      </c>
      <c r="C7" s="699">
        <f>IF(+All!$F308="Alabama",+All!C308,IF(+All!$H308="Alabama",+All!C308,0))</f>
        <v>44828</v>
      </c>
      <c r="D7" s="700">
        <f>IF(+All!$F308="Alabama",+All!D308,IF(+All!$H308="Alabama",+All!D308,0))</f>
        <v>0.8125</v>
      </c>
      <c r="E7" s="701" t="str">
        <f>IF(+All!$F308="Alabama",+All!E308,IF(+All!$H308="Alabama",+All!E308,0))</f>
        <v>SEC</v>
      </c>
      <c r="F7" s="702" t="str">
        <f>IF(+All!$F308="Alabama",+All!F308,IF(+All!$H308="Alabama",+All!F308,0))</f>
        <v>Vanderbilt</v>
      </c>
      <c r="G7" s="703" t="str">
        <f>IF(+All!$F308="Alabama",+All!G308,IF(+All!$H308="Alabama",+All!G308,0))</f>
        <v>SEC</v>
      </c>
      <c r="H7" s="702" t="str">
        <f>IF(+All!$F308="Alabama",+All!H308,IF(+All!$H308="Alabama",+All!H308,0))</f>
        <v>Alabama</v>
      </c>
      <c r="I7" s="703" t="str">
        <f>IF(+All!$F308="Alabama",+All!I308,IF(+All!$H308="Alabama",+All!I308,0))</f>
        <v>SEC</v>
      </c>
      <c r="J7" s="704" t="str">
        <f>IF(+All!$F308="Alabama",+All!J308,IF(+All!$H308="Alabama",+All!J308,0))</f>
        <v>Alabama</v>
      </c>
      <c r="K7" s="701" t="str">
        <f>IF(+All!$F308="Alabama",+All!K308,IF(+All!$H308="Alabama",+All!K308,0))</f>
        <v>Vanderbilt</v>
      </c>
      <c r="L7" s="705">
        <f>IF(+All!$F308="Alabama",+All!L308,IF(+All!$H308="Alabama",+All!L308,0))</f>
        <v>40.5</v>
      </c>
      <c r="M7" s="706">
        <f>IF(+All!$F308="Alabama",+All!M308,IF(+All!$H308="Alabama",+All!M308,0))</f>
        <v>58.5</v>
      </c>
      <c r="N7" s="704" t="str">
        <f>IF(+All!$F308="Alabama",+All!N308,IF(+All!$H308="Alabama",+All!N308,0))</f>
        <v>Alabama</v>
      </c>
      <c r="O7" s="707">
        <f>IF(+All!$F308="Alabama",+All!O308,IF(+All!$H308="Alabama",+All!O308,0))</f>
        <v>55</v>
      </c>
      <c r="P7" s="707" t="str">
        <f>IF(+All!$F308="Alabama",+All!P308,IF(+All!$H308="Alabama",+All!P308,0))</f>
        <v>Vanderbilt</v>
      </c>
      <c r="Q7" s="701">
        <f>IF(+All!$F308="Alabama",+All!Q308,IF(+All!$H308="Alabama",+All!Q308,0))</f>
        <v>3</v>
      </c>
      <c r="R7" s="704" t="str">
        <f>IF(+All!$F308="Alabama",+All!R308,IF(+All!$H308="Alabama",+All!R308,0))</f>
        <v>Alabama</v>
      </c>
      <c r="S7" s="707" t="str">
        <f>IF(+All!$F308="Alabama",+All!S308,IF(+All!$H308="Alabama",+All!S308,0))</f>
        <v>Vanderbilt</v>
      </c>
      <c r="T7" s="704" t="str">
        <f>IF(+All!$F308="Alabama",+All!T308,IF(+All!$H308="Alabama",+All!T308,0))</f>
        <v>Alabama</v>
      </c>
      <c r="U7" s="701" t="str">
        <f>IF(+All!$F308="Alabama",+All!U308,IF(+All!$H308="Alabama",+All!U308,0))</f>
        <v>W</v>
      </c>
    </row>
    <row r="8" spans="1:22" ht="16.25" customHeight="1" x14ac:dyDescent="0.8">
      <c r="A8" s="697">
        <f>IF(+All!$F375="Alabama",+All!A375,IF(+All!$H375="Alabama",+All!A375,0))</f>
        <v>5</v>
      </c>
      <c r="B8" s="698" t="str">
        <f>IF(+All!$F375="Alabama",+All!B375,IF(+All!$H375="Alabama",+All!B375,0))</f>
        <v>Sat</v>
      </c>
      <c r="C8" s="699">
        <f>IF(+All!$F375="Alabama",+All!C375,IF(+All!$H375="Alabama",+All!C375,0))</f>
        <v>44835</v>
      </c>
      <c r="D8" s="700">
        <f>IF(+All!$F375="Alabama",+All!D375,IF(+All!$H375="Alabama",+All!D375,0))</f>
        <v>0.64583333333333337</v>
      </c>
      <c r="E8" s="701" t="str">
        <f>IF(+All!$F375="Alabama",+All!E375,IF(+All!$H375="Alabama",+All!E375,0))</f>
        <v>CBS</v>
      </c>
      <c r="F8" s="702" t="str">
        <f>IF(+All!$F375="Alabama",+All!F375,IF(+All!$H375="Alabama",+All!F375,0))</f>
        <v>Alabama</v>
      </c>
      <c r="G8" s="703" t="str">
        <f>IF(+All!$F375="Alabama",+All!G375,IF(+All!$H375="Alabama",+All!G375,0))</f>
        <v>SEC</v>
      </c>
      <c r="H8" s="702" t="str">
        <f>IF(+All!$F375="Alabama",+All!H375,IF(+All!$H375="Alabama",+All!H375,0))</f>
        <v>Arkansas</v>
      </c>
      <c r="I8" s="703" t="str">
        <f>IF(+All!$F375="Alabama",+All!I375,IF(+All!$H375="Alabama",+All!I375,0))</f>
        <v>SEC</v>
      </c>
      <c r="J8" s="704" t="str">
        <f>IF(+All!$F375="Alabama",+All!J375,IF(+All!$H375="Alabama",+All!J375,0))</f>
        <v>Alabama</v>
      </c>
      <c r="K8" s="701" t="str">
        <f>IF(+All!$F375="Alabama",+All!K375,IF(+All!$H375="Alabama",+All!K375,0))</f>
        <v>Arkansas</v>
      </c>
      <c r="L8" s="705">
        <f>IF(+All!$F375="Alabama",+All!L375,IF(+All!$H375="Alabama",+All!L375,0))</f>
        <v>17</v>
      </c>
      <c r="M8" s="706">
        <f>IF(+All!$F375="Alabama",+All!M375,IF(+All!$H375="Alabama",+All!M375,0))</f>
        <v>60.5</v>
      </c>
      <c r="N8" s="704" t="str">
        <f>IF(+All!$F375="Alabama",+All!N375,IF(+All!$H375="Alabama",+All!N375,0))</f>
        <v>Alabama</v>
      </c>
      <c r="O8" s="707">
        <f>IF(+All!$F375="Alabama",+All!O375,IF(+All!$H375="Alabama",+All!O375,0))</f>
        <v>49</v>
      </c>
      <c r="P8" s="707" t="str">
        <f>IF(+All!$F375="Alabama",+All!P375,IF(+All!$H375="Alabama",+All!P375,0))</f>
        <v>Arkansas</v>
      </c>
      <c r="Q8" s="701">
        <f>IF(+All!$F375="Alabama",+All!Q375,IF(+All!$H375="Alabama",+All!Q375,0))</f>
        <v>26</v>
      </c>
      <c r="R8" s="704" t="str">
        <f>IF(+All!$F375="Alabama",+All!R375,IF(+All!$H375="Alabama",+All!R375,0))</f>
        <v>Alabama</v>
      </c>
      <c r="S8" s="707" t="str">
        <f>IF(+All!$F375="Alabama",+All!S375,IF(+All!$H375="Alabama",+All!S375,0))</f>
        <v>Arkansas</v>
      </c>
      <c r="T8" s="704" t="str">
        <f>IF(+All!$F375="Alabama",+All!T375,IF(+All!$H375="Alabama",+All!T375,0))</f>
        <v>Arkansas</v>
      </c>
      <c r="U8" s="701" t="str">
        <f>IF(+All!$F375="Alabama",+All!U375,IF(+All!$H375="Alabama",+All!U375,0))</f>
        <v>L</v>
      </c>
    </row>
    <row r="9" spans="1:22" ht="16.25" customHeight="1" x14ac:dyDescent="0.8">
      <c r="A9" s="697">
        <f>IF(+All!$F431="Alabama",+All!A431,IF(+All!$H431="Alabama",+All!A431,0))</f>
        <v>6</v>
      </c>
      <c r="B9" s="698" t="str">
        <f>IF(+All!$F431="Alabama",+All!B431,IF(+All!$H431="Alabama",+All!B431,0))</f>
        <v>Sat</v>
      </c>
      <c r="C9" s="699">
        <f>IF(+All!$F431="Alabama",+All!C431,IF(+All!$H431="Alabama",+All!C431,0))</f>
        <v>44842</v>
      </c>
      <c r="D9" s="700">
        <f>IF(+All!$F431="Alabama",+All!D431,IF(+All!$H431="Alabama",+All!D431,0))</f>
        <v>0.83333333333333337</v>
      </c>
      <c r="E9" s="701" t="str">
        <f>IF(+All!$F431="Alabama",+All!E431,IF(+All!$H431="Alabama",+All!E431,0))</f>
        <v>CBS</v>
      </c>
      <c r="F9" s="702" t="str">
        <f>IF(+All!$F431="Alabama",+All!F431,IF(+All!$H431="Alabama",+All!F431,0))</f>
        <v>Texas A&amp;M</v>
      </c>
      <c r="G9" s="703" t="str">
        <f>IF(+All!$F431="Alabama",+All!G431,IF(+All!$H431="Alabama",+All!G431,0))</f>
        <v>SEC</v>
      </c>
      <c r="H9" s="702" t="str">
        <f>IF(+All!$F431="Alabama",+All!H431,IF(+All!$H431="Alabama",+All!H431,0))</f>
        <v>Alabama</v>
      </c>
      <c r="I9" s="703" t="str">
        <f>IF(+All!$F431="Alabama",+All!I431,IF(+All!$H431="Alabama",+All!I431,0))</f>
        <v>SEC</v>
      </c>
      <c r="J9" s="704" t="str">
        <f>IF(+All!$F431="Alabama",+All!J431,IF(+All!$H431="Alabama",+All!J431,0))</f>
        <v>Alabama</v>
      </c>
      <c r="K9" s="701" t="str">
        <f>IF(+All!$F431="Alabama",+All!K431,IF(+All!$H431="Alabama",+All!K431,0))</f>
        <v>Texas A&amp;M</v>
      </c>
      <c r="L9" s="705">
        <f>IF(+All!$F431="Alabama",+All!L431,IF(+All!$H431="Alabama",+All!L431,0))</f>
        <v>24</v>
      </c>
      <c r="M9" s="706">
        <f>IF(+All!$F431="Alabama",+All!M431,IF(+All!$H431="Alabama",+All!M431,0))</f>
        <v>52</v>
      </c>
      <c r="N9" s="704" t="str">
        <f>IF(+All!$F431="Alabama",+All!N431,IF(+All!$H431="Alabama",+All!N431,0))</f>
        <v>Alabama</v>
      </c>
      <c r="O9" s="707">
        <f>IF(+All!$F431="Alabama",+All!O431,IF(+All!$H431="Alabama",+All!O431,0))</f>
        <v>24</v>
      </c>
      <c r="P9" s="707" t="str">
        <f>IF(+All!$F431="Alabama",+All!P431,IF(+All!$H431="Alabama",+All!P431,0))</f>
        <v>Texas A&amp;M</v>
      </c>
      <c r="Q9" s="701">
        <f>IF(+All!$F431="Alabama",+All!Q431,IF(+All!$H431="Alabama",+All!Q431,0))</f>
        <v>20</v>
      </c>
      <c r="R9" s="704" t="str">
        <f>IF(+All!$F431="Alabama",+All!R431,IF(+All!$H431="Alabama",+All!R431,0))</f>
        <v>Texas A&amp;M</v>
      </c>
      <c r="S9" s="707" t="str">
        <f>IF(+All!$F431="Alabama",+All!S431,IF(+All!$H431="Alabama",+All!S431,0))</f>
        <v>Alabama</v>
      </c>
      <c r="T9" s="704" t="str">
        <f>IF(+All!$F431="Alabama",+All!T431,IF(+All!$H431="Alabama",+All!T431,0))</f>
        <v>Texas A&amp;M</v>
      </c>
      <c r="U9" s="701" t="str">
        <f>IF(+All!$F431="Alabama",+All!U431,IF(+All!$H431="Alabama",+All!U431,0))</f>
        <v>W</v>
      </c>
    </row>
    <row r="10" spans="1:22" ht="16.25" customHeight="1" x14ac:dyDescent="0.8">
      <c r="A10" s="697">
        <f>IF(+All!$F490="Alabama",+All!A490,IF(+All!$H490="Alabama",+All!A490,0))</f>
        <v>7</v>
      </c>
      <c r="B10" s="698" t="str">
        <f>IF(+All!$F490="Alabama",+All!B490,IF(+All!$H490="Alabama",+All!B490,0))</f>
        <v>Sat</v>
      </c>
      <c r="C10" s="699">
        <f>IF(+All!$F490="Alabama",+All!C490,IF(+All!$H490="Alabama",+All!C490,0))</f>
        <v>44849</v>
      </c>
      <c r="D10" s="700">
        <f>IF(+All!$F490="Alabama",+All!D490,IF(+All!$H490="Alabama",+All!D490,0))</f>
        <v>0.64583333333333337</v>
      </c>
      <c r="E10" s="701" t="str">
        <f>IF(+All!$F490="Alabama",+All!E490,IF(+All!$H490="Alabama",+All!E490,0))</f>
        <v>ABC</v>
      </c>
      <c r="F10" s="702" t="str">
        <f>IF(+All!$F490="Alabama",+All!F490,IF(+All!$H490="Alabama",+All!F490,0))</f>
        <v>Alabama</v>
      </c>
      <c r="G10" s="703" t="str">
        <f>IF(+All!$F490="Alabama",+All!G490,IF(+All!$H490="Alabama",+All!G490,0))</f>
        <v>SEC</v>
      </c>
      <c r="H10" s="702" t="str">
        <f>IF(+All!$F490="Alabama",+All!H490,IF(+All!$H490="Alabama",+All!H490,0))</f>
        <v>Tennessee</v>
      </c>
      <c r="I10" s="703" t="str">
        <f>IF(+All!$F490="Alabama",+All!I490,IF(+All!$H490="Alabama",+All!I490,0))</f>
        <v>SEC</v>
      </c>
      <c r="J10" s="704" t="str">
        <f>IF(+All!$F490="Alabama",+All!J490,IF(+All!$H490="Alabama",+All!J490,0))</f>
        <v>Alabama</v>
      </c>
      <c r="K10" s="701" t="str">
        <f>IF(+All!$F490="Alabama",+All!K490,IF(+All!$H490="Alabama",+All!K490,0))</f>
        <v>Tennessee</v>
      </c>
      <c r="L10" s="705">
        <f>IF(+All!$F490="Alabama",+All!L490,IF(+All!$H490="Alabama",+All!L490,0))</f>
        <v>7.5</v>
      </c>
      <c r="M10" s="706">
        <f>IF(+All!$F490="Alabama",+All!M490,IF(+All!$H490="Alabama",+All!M490,0))</f>
        <v>65.5</v>
      </c>
      <c r="N10" s="704" t="str">
        <f>IF(+All!$F490="Alabama",+All!N490,IF(+All!$H490="Alabama",+All!N490,0))</f>
        <v>Tennessee</v>
      </c>
      <c r="O10" s="707">
        <f>IF(+All!$F490="Alabama",+All!O490,IF(+All!$H490="Alabama",+All!O490,0))</f>
        <v>52</v>
      </c>
      <c r="P10" s="707" t="str">
        <f>IF(+All!$F490="Alabama",+All!P490,IF(+All!$H490="Alabama",+All!P490,0))</f>
        <v>Alabama</v>
      </c>
      <c r="Q10" s="701">
        <f>IF(+All!$F490="Alabama",+All!Q490,IF(+All!$H490="Alabama",+All!Q490,0))</f>
        <v>49</v>
      </c>
      <c r="R10" s="704" t="str">
        <f>IF(+All!$F490="Alabama",+All!R490,IF(+All!$H490="Alabama",+All!R490,0))</f>
        <v>Tennessee</v>
      </c>
      <c r="S10" s="707" t="str">
        <f>IF(+All!$F490="Alabama",+All!S490,IF(+All!$H490="Alabama",+All!S490,0))</f>
        <v>Alabama</v>
      </c>
      <c r="T10" s="704" t="str">
        <f>IF(+All!$F490="Alabama",+All!T490,IF(+All!$H490="Alabama",+All!T490,0))</f>
        <v>Tennessee</v>
      </c>
      <c r="U10" s="701" t="str">
        <f>IF(+All!$F490="Alabama",+All!U490,IF(+All!$H490="Alabama",+All!U490,0))</f>
        <v>W</v>
      </c>
    </row>
    <row r="11" spans="1:22" ht="16.25" customHeight="1" x14ac:dyDescent="0.8">
      <c r="A11" s="697">
        <f>IF(+All!$F540="Alabama",+All!A540,IF(+All!$H540="Alabama",+All!A540,0))</f>
        <v>8</v>
      </c>
      <c r="B11" s="698" t="str">
        <f>IF(+All!$F540="Alabama",+All!B540,IF(+All!$H540="Alabama",+All!B540,0))</f>
        <v>Sat</v>
      </c>
      <c r="C11" s="699">
        <f>IF(+All!$F540="Alabama",+All!C540,IF(+All!$H540="Alabama",+All!C540,0))</f>
        <v>44856</v>
      </c>
      <c r="D11" s="700">
        <f>IF(+All!$F540="Alabama",+All!D540,IF(+All!$H540="Alabama",+All!D540,0))</f>
        <v>0.79166666666666663</v>
      </c>
      <c r="E11" s="701" t="str">
        <f>IF(+All!$F540="Alabama",+All!E540,IF(+All!$H540="Alabama",+All!E540,0))</f>
        <v>ESPN</v>
      </c>
      <c r="F11" s="702" t="str">
        <f>IF(+All!$F540="Alabama",+All!F540,IF(+All!$H540="Alabama",+All!F540,0))</f>
        <v>Mississippi State</v>
      </c>
      <c r="G11" s="703" t="str">
        <f>IF(+All!$F540="Alabama",+All!G540,IF(+All!$H540="Alabama",+All!G540,0))</f>
        <v>SEC</v>
      </c>
      <c r="H11" s="702" t="str">
        <f>IF(+All!$F540="Alabama",+All!H540,IF(+All!$H540="Alabama",+All!H540,0))</f>
        <v>Alabama</v>
      </c>
      <c r="I11" s="703" t="str">
        <f>IF(+All!$F540="Alabama",+All!I540,IF(+All!$H540="Alabama",+All!I540,0))</f>
        <v>SEC</v>
      </c>
      <c r="J11" s="704" t="str">
        <f>IF(+All!$F540="Alabama",+All!J540,IF(+All!$H540="Alabama",+All!J540,0))</f>
        <v>Alabama</v>
      </c>
      <c r="K11" s="701" t="str">
        <f>IF(+All!$F540="Alabama",+All!K540,IF(+All!$H540="Alabama",+All!K540,0))</f>
        <v>Mississippi State</v>
      </c>
      <c r="L11" s="705">
        <f>IF(+All!$F540="Alabama",+All!L540,IF(+All!$H540="Alabama",+All!L540,0))</f>
        <v>21</v>
      </c>
      <c r="M11" s="706">
        <f>IF(+All!$F540="Alabama",+All!M540,IF(+All!$H540="Alabama",+All!M540,0))</f>
        <v>60.5</v>
      </c>
      <c r="N11" s="704" t="str">
        <f>IF(+All!$F540="Alabama",+All!N540,IF(+All!$H540="Alabama",+All!N540,0))</f>
        <v>Alabama</v>
      </c>
      <c r="O11" s="707">
        <f>IF(+All!$F540="Alabama",+All!O540,IF(+All!$H540="Alabama",+All!O540,0))</f>
        <v>30</v>
      </c>
      <c r="P11" s="707" t="str">
        <f>IF(+All!$F540="Alabama",+All!P540,IF(+All!$H540="Alabama",+All!P540,0))</f>
        <v>Mississippi State</v>
      </c>
      <c r="Q11" s="701">
        <f>IF(+All!$F540="Alabama",+All!Q540,IF(+All!$H540="Alabama",+All!Q540,0))</f>
        <v>6</v>
      </c>
      <c r="R11" s="704" t="str">
        <f>IF(+All!$F540="Alabama",+All!R540,IF(+All!$H540="Alabama",+All!R540,0))</f>
        <v>Alabama</v>
      </c>
      <c r="S11" s="707" t="str">
        <f>IF(+All!$F540="Alabama",+All!S540,IF(+All!$H540="Alabama",+All!S540,0))</f>
        <v>Mississippi State</v>
      </c>
      <c r="T11" s="704" t="str">
        <f>IF(+All!$F540="Alabama",+All!T540,IF(+All!$H540="Alabama",+All!T540,0))</f>
        <v>Mississippi State</v>
      </c>
      <c r="U11" s="701" t="str">
        <f>IF(+All!$F540="Alabama",+All!U540,IF(+All!$H540="Alabama",+All!U540,0))</f>
        <v>L</v>
      </c>
    </row>
    <row r="12" spans="1:22" ht="16.25" customHeight="1" x14ac:dyDescent="0.8">
      <c r="A12" s="697" t="e">
        <f>IF(+All!#REF!="Alabama",+All!#REF!,IF(+All!#REF!="Alabama",+All!#REF!,0))</f>
        <v>#REF!</v>
      </c>
      <c r="B12" s="698" t="e">
        <f>IF(+All!#REF!="Alabama",+All!#REF!,IF(+All!#REF!="Alabama",+All!#REF!,0))</f>
        <v>#REF!</v>
      </c>
      <c r="C12" s="699" t="e">
        <f>IF(+All!#REF!="Alabama",+All!#REF!,IF(+All!#REF!="Alabama",+All!#REF!,0))</f>
        <v>#REF!</v>
      </c>
      <c r="D12" s="700" t="e">
        <f>IF(+All!#REF!="Alabama",+All!#REF!,IF(+All!#REF!="Alabama",+All!#REF!,0))</f>
        <v>#REF!</v>
      </c>
      <c r="E12" s="701" t="e">
        <f>IF(+All!#REF!="Alabama",+All!#REF!,IF(+All!#REF!="Alabama",+All!#REF!,0))</f>
        <v>#REF!</v>
      </c>
      <c r="F12" s="702" t="e">
        <f>IF(+All!#REF!="Alabama",+All!#REF!,IF(+All!#REF!="Alabama",+All!#REF!,0))</f>
        <v>#REF!</v>
      </c>
      <c r="G12" s="703" t="e">
        <f>IF(+All!#REF!="Alabama",+All!#REF!,IF(+All!#REF!="Alabama",+All!#REF!,0))</f>
        <v>#REF!</v>
      </c>
      <c r="H12" s="702" t="e">
        <f>IF(+All!#REF!="Alabama",+All!#REF!,IF(+All!#REF!="Alabama",+All!#REF!,0))</f>
        <v>#REF!</v>
      </c>
      <c r="I12" s="703" t="e">
        <f>IF(+All!#REF!="Alabama",+All!#REF!,IF(+All!#REF!="Alabama",+All!#REF!,0))</f>
        <v>#REF!</v>
      </c>
      <c r="J12" s="704" t="e">
        <f>IF(+All!#REF!="Alabama",+All!#REF!,IF(+All!#REF!="Alabama",+All!#REF!,0))</f>
        <v>#REF!</v>
      </c>
      <c r="K12" s="701" t="e">
        <f>IF(+All!#REF!="Alabama",+All!#REF!,IF(+All!#REF!="Alabama",+All!#REF!,0))</f>
        <v>#REF!</v>
      </c>
      <c r="L12" s="705" t="e">
        <f>IF(+All!#REF!="Alabama",+All!#REF!,IF(+All!#REF!="Alabama",+All!#REF!,0))</f>
        <v>#REF!</v>
      </c>
      <c r="M12" s="706" t="e">
        <f>IF(+All!#REF!="Alabama",+All!#REF!,IF(+All!#REF!="Alabama",+All!#REF!,0))</f>
        <v>#REF!</v>
      </c>
      <c r="N12" s="704" t="e">
        <f>IF(+All!#REF!="Alabama",+All!#REF!,IF(+All!#REF!="Alabama",+All!#REF!,0))</f>
        <v>#REF!</v>
      </c>
      <c r="O12" s="707" t="e">
        <f>IF(+All!#REF!="Alabama",+All!#REF!,IF(+All!#REF!="Alabama",+All!#REF!,0))</f>
        <v>#REF!</v>
      </c>
      <c r="P12" s="707" t="e">
        <f>IF(+All!#REF!="Alabama",+All!#REF!,IF(+All!#REF!="Alabama",+All!#REF!,0))</f>
        <v>#REF!</v>
      </c>
      <c r="Q12" s="701" t="e">
        <f>IF(+All!#REF!="Alabama",+All!#REF!,IF(+All!#REF!="Alabama",+All!#REF!,0))</f>
        <v>#REF!</v>
      </c>
      <c r="R12" s="704" t="e">
        <f>IF(+All!#REF!="Alabama",+All!#REF!,IF(+All!#REF!="Alabama",+All!#REF!,0))</f>
        <v>#REF!</v>
      </c>
      <c r="S12" s="707" t="e">
        <f>IF(+All!#REF!="Alabama",+All!#REF!,IF(+All!#REF!="Alabama",+All!#REF!,0))</f>
        <v>#REF!</v>
      </c>
      <c r="T12" s="704" t="e">
        <f>IF(+All!#REF!="Alabama",+All!#REF!,IF(+All!#REF!="Alabama",+All!#REF!,0))</f>
        <v>#REF!</v>
      </c>
      <c r="U12" s="701" t="e">
        <f>IF(+All!#REF!="Alabama",+All!#REF!,IF(+All!#REF!="Alabama",+All!#REF!,0))</f>
        <v>#REF!</v>
      </c>
    </row>
    <row r="13" spans="1:22" ht="16.25" customHeight="1" x14ac:dyDescent="0.8">
      <c r="A13" s="697">
        <f>IF(+All!$F648="Alabama",+All!A648,IF(+All!$H648="Alabama",+All!A648,0))</f>
        <v>10</v>
      </c>
      <c r="B13" s="698" t="str">
        <f>IF(+All!$F648="Alabama",+All!B648,IF(+All!$H648="Alabama",+All!B648,0))</f>
        <v>Sat</v>
      </c>
      <c r="C13" s="699">
        <f>IF(+All!$F648="Alabama",+All!C648,IF(+All!$H648="Alabama",+All!C648,0))</f>
        <v>44870</v>
      </c>
      <c r="D13" s="700">
        <f>IF(+All!$F648="Alabama",+All!D648,IF(+All!$H648="Alabama",+All!D648,0))</f>
        <v>0.79166666666666663</v>
      </c>
      <c r="E13" s="701" t="str">
        <f>IF(+All!$F648="Alabama",+All!E648,IF(+All!$H648="Alabama",+All!E648,0))</f>
        <v>SEC</v>
      </c>
      <c r="F13" s="702" t="str">
        <f>IF(+All!$F648="Alabama",+All!F648,IF(+All!$H648="Alabama",+All!F648,0))</f>
        <v>Alabama</v>
      </c>
      <c r="G13" s="703" t="str">
        <f>IF(+All!$F648="Alabama",+All!G648,IF(+All!$H648="Alabama",+All!G648,0))</f>
        <v>SEC</v>
      </c>
      <c r="H13" s="702" t="str">
        <f>IF(+All!$F648="Alabama",+All!H648,IF(+All!$H648="Alabama",+All!H648,0))</f>
        <v>LSU</v>
      </c>
      <c r="I13" s="703" t="str">
        <f>IF(+All!$F648="Alabama",+All!I648,IF(+All!$H648="Alabama",+All!I648,0))</f>
        <v>SEC</v>
      </c>
      <c r="J13" s="704" t="str">
        <f>IF(+All!$F648="Alabama",+All!J648,IF(+All!$H648="Alabama",+All!J648,0))</f>
        <v>Alabama</v>
      </c>
      <c r="K13" s="701" t="str">
        <f>IF(+All!$F648="Alabama",+All!K648,IF(+All!$H648="Alabama",+All!K648,0))</f>
        <v>LSU</v>
      </c>
      <c r="L13" s="705">
        <f>IF(+All!$F648="Alabama",+All!L648,IF(+All!$H648="Alabama",+All!L648,0))</f>
        <v>13.5</v>
      </c>
      <c r="M13" s="706">
        <f>IF(+All!$F648="Alabama",+All!M648,IF(+All!$H648="Alabama",+All!M648,0))</f>
        <v>58</v>
      </c>
      <c r="N13" s="704" t="str">
        <f>IF(+All!$F648="Alabama",+All!N648,IF(+All!$H648="Alabama",+All!N648,0))</f>
        <v>LSU</v>
      </c>
      <c r="O13" s="707">
        <f>IF(+All!$F648="Alabama",+All!O648,IF(+All!$H648="Alabama",+All!O648,0))</f>
        <v>32</v>
      </c>
      <c r="P13" s="707" t="str">
        <f>IF(+All!$F648="Alabama",+All!P648,IF(+All!$H648="Alabama",+All!P648,0))</f>
        <v>Alabama</v>
      </c>
      <c r="Q13" s="701">
        <f>IF(+All!$F648="Alabama",+All!Q648,IF(+All!$H648="Alabama",+All!Q648,0))</f>
        <v>31</v>
      </c>
      <c r="R13" s="704" t="str">
        <f>IF(+All!$F648="Alabama",+All!R648,IF(+All!$H648="Alabama",+All!R648,0))</f>
        <v>LSU</v>
      </c>
      <c r="S13" s="707" t="str">
        <f>IF(+All!$F648="Alabama",+All!S648,IF(+All!$H648="Alabama",+All!S648,0))</f>
        <v>Alabama</v>
      </c>
      <c r="T13" s="704" t="str">
        <f>IF(+All!$F648="Alabama",+All!T648,IF(+All!$H648="Alabama",+All!T648,0))</f>
        <v>LSU</v>
      </c>
      <c r="U13" s="701" t="str">
        <f>IF(+All!$F648="Alabama",+All!U648,IF(+All!$H648="Alabama",+All!U648,0))</f>
        <v>W</v>
      </c>
    </row>
    <row r="14" spans="1:22" ht="16.25" customHeight="1" x14ac:dyDescent="0.8">
      <c r="A14" s="697">
        <f>IF(+All!$F715="Alabama",+All!A715,IF(+All!$H715="Alabama",+All!A715,0))</f>
        <v>11</v>
      </c>
      <c r="B14" s="698" t="str">
        <f>IF(+All!$F715="Alabama",+All!B715,IF(+All!$H715="Alabama",+All!B715,0))</f>
        <v>Sat</v>
      </c>
      <c r="C14" s="699">
        <f>IF(+All!$F715="Alabama",+All!C715,IF(+All!$H715="Alabama",+All!C715,0))</f>
        <v>44877</v>
      </c>
      <c r="D14" s="700">
        <f>IF(+All!$F715="Alabama",+All!D715,IF(+All!$H715="Alabama",+All!D715,0))</f>
        <v>0.64583333333333337</v>
      </c>
      <c r="E14" s="701" t="str">
        <f>IF(+All!$F715="Alabama",+All!E715,IF(+All!$H715="Alabama",+All!E715,0))</f>
        <v>CBS</v>
      </c>
      <c r="F14" s="702" t="str">
        <f>IF(+All!$F715="Alabama",+All!F715,IF(+All!$H715="Alabama",+All!F715,0))</f>
        <v>Alabama</v>
      </c>
      <c r="G14" s="703" t="str">
        <f>IF(+All!$F715="Alabama",+All!G715,IF(+All!$H715="Alabama",+All!G715,0))</f>
        <v>SEC</v>
      </c>
      <c r="H14" s="702" t="str">
        <f>IF(+All!$F715="Alabama",+All!H715,IF(+All!$H715="Alabama",+All!H715,0))</f>
        <v>Mississippi</v>
      </c>
      <c r="I14" s="703" t="str">
        <f>IF(+All!$F715="Alabama",+All!I715,IF(+All!$H715="Alabama",+All!I715,0))</f>
        <v>SEC</v>
      </c>
      <c r="J14" s="704" t="str">
        <f>IF(+All!$F715="Alabama",+All!J715,IF(+All!$H715="Alabama",+All!J715,0))</f>
        <v>Alabama</v>
      </c>
      <c r="K14" s="701" t="str">
        <f>IF(+All!$F715="Alabama",+All!K715,IF(+All!$H715="Alabama",+All!K715,0))</f>
        <v>Mississippi</v>
      </c>
      <c r="L14" s="705">
        <f>IF(+All!$F715="Alabama",+All!L715,IF(+All!$H715="Alabama",+All!L715,0))</f>
        <v>11.5</v>
      </c>
      <c r="M14" s="706">
        <f>IF(+All!$F715="Alabama",+All!M715,IF(+All!$H715="Alabama",+All!M715,0))</f>
        <v>65</v>
      </c>
      <c r="N14" s="704" t="str">
        <f>IF(+All!$F715="Alabama",+All!N715,IF(+All!$H715="Alabama",+All!N715,0))</f>
        <v>Alabama</v>
      </c>
      <c r="O14" s="707">
        <f>IF(+All!$F715="Alabama",+All!O715,IF(+All!$H715="Alabama",+All!O715,0))</f>
        <v>30</v>
      </c>
      <c r="P14" s="707" t="str">
        <f>IF(+All!$F715="Alabama",+All!P715,IF(+All!$H715="Alabama",+All!P715,0))</f>
        <v>Mississippi</v>
      </c>
      <c r="Q14" s="701">
        <f>IF(+All!$F715="Alabama",+All!Q715,IF(+All!$H715="Alabama",+All!Q715,0))</f>
        <v>24</v>
      </c>
      <c r="R14" s="704" t="str">
        <f>IF(+All!$F715="Alabama",+All!R715,IF(+All!$H715="Alabama",+All!R715,0))</f>
        <v>Mississippi</v>
      </c>
      <c r="S14" s="707" t="str">
        <f>IF(+All!$F715="Alabama",+All!S715,IF(+All!$H715="Alabama",+All!S715,0))</f>
        <v>Alabama</v>
      </c>
      <c r="T14" s="704" t="str">
        <f>IF(+All!$F715="Alabama",+All!T715,IF(+All!$H715="Alabama",+All!T715,0))</f>
        <v>Mississippi</v>
      </c>
      <c r="U14" s="701" t="str">
        <f>IF(+All!$F715="Alabama",+All!U715,IF(+All!$H715="Alabama",+All!U715,0))</f>
        <v>W</v>
      </c>
    </row>
    <row r="15" spans="1:22" ht="16.25" customHeight="1" x14ac:dyDescent="0.8">
      <c r="A15" s="697">
        <f>IF(+All!$F775="Alabama",+All!A775,IF(+All!$H775="Alabama",+All!A775,0))</f>
        <v>12</v>
      </c>
      <c r="B15" s="698" t="str">
        <f>IF(+All!$F775="Alabama",+All!B775,IF(+All!$H775="Alabama",+All!B775,0))</f>
        <v>Sat</v>
      </c>
      <c r="C15" s="699">
        <f>IF(+All!$F775="Alabama",+All!C775,IF(+All!$H775="Alabama",+All!C775,0))</f>
        <v>44884</v>
      </c>
      <c r="D15" s="700">
        <f>IF(+All!$F775="Alabama",+All!D775,IF(+All!$H775="Alabama",+All!D775,0))</f>
        <v>0.5</v>
      </c>
      <c r="E15" s="701" t="str">
        <f>IF(+All!$F775="Alabama",+All!E775,IF(+All!$H775="Alabama",+All!E775,0))</f>
        <v>SEC</v>
      </c>
      <c r="F15" s="702" t="str">
        <f>IF(+All!$F775="Alabama",+All!F775,IF(+All!$H775="Alabama",+All!F775,0))</f>
        <v>1AA Austin Peay</v>
      </c>
      <c r="G15" s="703" t="str">
        <f>IF(+All!$F775="Alabama",+All!G775,IF(+All!$H775="Alabama",+All!G775,0))</f>
        <v>1AA</v>
      </c>
      <c r="H15" s="702" t="str">
        <f>IF(+All!$F775="Alabama",+All!H775,IF(+All!$H775="Alabama",+All!H775,0))</f>
        <v>Alabama</v>
      </c>
      <c r="I15" s="703" t="str">
        <f>IF(+All!$F775="Alabama",+All!I775,IF(+All!$H775="Alabama",+All!I775,0))</f>
        <v>SEC</v>
      </c>
      <c r="J15" s="704">
        <f>IF(+All!$F775="Alabama",+All!J775,IF(+All!$H775="Alabama",+All!J775,0))</f>
        <v>0</v>
      </c>
      <c r="K15" s="701" t="str">
        <f>IF(+All!$F775="Alabama",+All!K775,IF(+All!$H775="Alabama",+All!K775,0))</f>
        <v>Alabama</v>
      </c>
      <c r="L15" s="705">
        <f>IF(+All!$F775="Alabama",+All!L775,IF(+All!$H775="Alabama",+All!L775,0))</f>
        <v>0</v>
      </c>
      <c r="M15" s="706">
        <f>IF(+All!$F775="Alabama",+All!M775,IF(+All!$H775="Alabama",+All!M775,0))</f>
        <v>0</v>
      </c>
      <c r="N15" s="704" t="str">
        <f>IF(+All!$F775="Alabama",+All!N775,IF(+All!$H775="Alabama",+All!N775,0))</f>
        <v>Alabama</v>
      </c>
      <c r="O15" s="707">
        <f>IF(+All!$F775="Alabama",+All!O775,IF(+All!$H775="Alabama",+All!O775,0))</f>
        <v>34</v>
      </c>
      <c r="P15" s="707" t="str">
        <f>IF(+All!$F775="Alabama",+All!P775,IF(+All!$H775="Alabama",+All!P775,0))</f>
        <v>1AA Austin Peay</v>
      </c>
      <c r="Q15" s="701">
        <f>IF(+All!$F775="Alabama",+All!Q775,IF(+All!$H775="Alabama",+All!Q775,0))</f>
        <v>0</v>
      </c>
      <c r="R15" s="704" t="str">
        <f>IF(+All!$F775="Alabama",+All!R775,IF(+All!$H775="Alabama",+All!R775,0))</f>
        <v>Alabama</v>
      </c>
      <c r="S15" s="707">
        <f>IF(+All!$F775="Alabama",+All!S775,IF(+All!$H775="Alabama",+All!S775,0))</f>
        <v>0</v>
      </c>
      <c r="T15" s="704">
        <f>IF(+All!$F775="Alabama",+All!T775,IF(+All!$H775="Alabama",+All!T775,0))</f>
        <v>0</v>
      </c>
      <c r="U15" s="701">
        <f>IF(+All!$F775="Alabama",+All!U775,IF(+All!$H775="Alabama",+All!U775,0))</f>
        <v>0</v>
      </c>
    </row>
    <row r="16" spans="1:22" ht="16.25" customHeight="1" x14ac:dyDescent="0.8">
      <c r="A16" s="697">
        <f>IF(+All!$F844="Alabama",+All!A844,IF(+All!$H844="Alabama",+All!A844,0))</f>
        <v>13</v>
      </c>
      <c r="B16" s="698" t="str">
        <f>IF(+All!$F844="Alabama",+All!B844,IF(+All!$H844="Alabama",+All!B844,0))</f>
        <v>Sat</v>
      </c>
      <c r="C16" s="699">
        <f>IF(+All!$F844="Alabama",+All!C844,IF(+All!$H844="Alabama",+All!C844,0))</f>
        <v>44891</v>
      </c>
      <c r="D16" s="700">
        <f>IF(+All!$F844="Alabama",+All!D844,IF(+All!$H844="Alabama",+All!D844,0))</f>
        <v>0.64583333333333337</v>
      </c>
      <c r="E16" s="701" t="str">
        <f>IF(+All!$F844="Alabama",+All!E844,IF(+All!$H844="Alabama",+All!E844,0))</f>
        <v>CBS</v>
      </c>
      <c r="F16" s="702" t="str">
        <f>IF(+All!$F844="Alabama",+All!F844,IF(+All!$H844="Alabama",+All!F844,0))</f>
        <v>Auburn</v>
      </c>
      <c r="G16" s="703" t="str">
        <f>IF(+All!$F844="Alabama",+All!G844,IF(+All!$H844="Alabama",+All!G844,0))</f>
        <v>SEC</v>
      </c>
      <c r="H16" s="702" t="str">
        <f>IF(+All!$F844="Alabama",+All!H844,IF(+All!$H844="Alabama",+All!H844,0))</f>
        <v>Alabama</v>
      </c>
      <c r="I16" s="703" t="str">
        <f>IF(+All!$F844="Alabama",+All!I844,IF(+All!$H844="Alabama",+All!I844,0))</f>
        <v>SEC</v>
      </c>
      <c r="J16" s="704" t="str">
        <f>IF(+All!$F844="Alabama",+All!J844,IF(+All!$H844="Alabama",+All!J844,0))</f>
        <v>Alabama</v>
      </c>
      <c r="K16" s="701" t="str">
        <f>IF(+All!$F844="Alabama",+All!K844,IF(+All!$H844="Alabama",+All!K844,0))</f>
        <v>Auburn</v>
      </c>
      <c r="L16" s="705">
        <f>IF(+All!$F844="Alabama",+All!L844,IF(+All!$H844="Alabama",+All!L844,0))</f>
        <v>22.5</v>
      </c>
      <c r="M16" s="706">
        <f>IF(+All!$F844="Alabama",+All!M844,IF(+All!$H844="Alabama",+All!M844,0))</f>
        <v>49.5</v>
      </c>
      <c r="N16" s="704" t="str">
        <f>IF(+All!$F844="Alabama",+All!N844,IF(+All!$H844="Alabama",+All!N844,0))</f>
        <v>Alabama</v>
      </c>
      <c r="O16" s="707">
        <f>IF(+All!$F844="Alabama",+All!O844,IF(+All!$H844="Alabama",+All!O844,0))</f>
        <v>49</v>
      </c>
      <c r="P16" s="707" t="str">
        <f>IF(+All!$F844="Alabama",+All!P844,IF(+All!$H844="Alabama",+All!P844,0))</f>
        <v>Auburn</v>
      </c>
      <c r="Q16" s="701">
        <f>IF(+All!$F844="Alabama",+All!Q844,IF(+All!$H844="Alabama",+All!Q844,0))</f>
        <v>27</v>
      </c>
      <c r="R16" s="704" t="str">
        <f>IF(+All!$F844="Alabama",+All!R844,IF(+All!$H844="Alabama",+All!R844,0))</f>
        <v>Auburn</v>
      </c>
      <c r="S16" s="707" t="str">
        <f>IF(+All!$F844="Alabama",+All!S844,IF(+All!$H844="Alabama",+All!S844,0))</f>
        <v>Alabama</v>
      </c>
      <c r="T16" s="704" t="str">
        <f>IF(+All!$F844="Alabama",+All!T844,IF(+All!$H844="Alabama",+All!T844,0))</f>
        <v>Auburn</v>
      </c>
      <c r="U16" s="701" t="str">
        <f>IF(+All!$F844="Alabama",+All!U844,IF(+All!$H844="Alabama",+All!U844,0))</f>
        <v>W</v>
      </c>
    </row>
    <row r="17" spans="1:21" x14ac:dyDescent="0.8">
      <c r="B17" s="697"/>
      <c r="C17" s="708"/>
      <c r="D17" s="700"/>
      <c r="F17" s="916" t="str">
        <f>H19</f>
        <v>Arkansas</v>
      </c>
      <c r="G17" s="917"/>
      <c r="H17" s="917"/>
      <c r="I17" s="918"/>
      <c r="L17" s="705"/>
      <c r="M17" s="706"/>
    </row>
    <row r="18" spans="1:21" x14ac:dyDescent="0.8">
      <c r="A18" s="697">
        <f>IF(+All!$F60="Arkansas",+All!A60,IF(+All!$H60="Arkansas",+All!A60,0))</f>
        <v>1</v>
      </c>
      <c r="B18" s="697" t="str">
        <f>IF(+All!$F60="Arkansas",+All!B60,IF(+All!$H60="Arkansas",+All!B60,0))</f>
        <v>Sat</v>
      </c>
      <c r="C18" s="708">
        <f>IF(+All!$F60="Arkansas",+All!C60,IF(+All!$H60="Arkansas",+All!C60,0))</f>
        <v>44807</v>
      </c>
      <c r="D18" s="700">
        <f>IF(+All!$F60="Arkansas",+All!D60,IF(+All!$H60="Arkansas",+All!D60,0))</f>
        <v>0.64583333333333337</v>
      </c>
      <c r="E18" s="701" t="str">
        <f>IF(+All!$F60="Arkansas",+All!E60,IF(+All!$H60="Arkansas",+All!E60,0))</f>
        <v>ESPN</v>
      </c>
      <c r="F18" s="702" t="str">
        <f>IF(+All!$F60="Arkansas",+All!F60,IF(+All!$H60="Arkansas",+All!F60,0))</f>
        <v>Cincinnati</v>
      </c>
      <c r="G18" s="710" t="str">
        <f>IF(+All!$F60="Arkansas",+All!G60,IF(+All!$H60="Arkansas",+All!G60,0))</f>
        <v>AAC</v>
      </c>
      <c r="H18" s="710" t="str">
        <f>IF(+All!$F60="Arkansas",+All!H60,IF(+All!$H60="Arkansas",+All!H60,0))</f>
        <v>Arkansas</v>
      </c>
      <c r="I18" s="703" t="str">
        <f>IF(+All!$F60="Arkansas",+All!I60,IF(+All!$H60="Arkansas",+All!I60,0))</f>
        <v>SEC</v>
      </c>
      <c r="J18" s="704" t="str">
        <f>IF(+All!$F60="Arkansas",+All!J60,IF(+All!$H60="Arkansas",+All!J60,0))</f>
        <v>Arkansas</v>
      </c>
      <c r="K18" s="701" t="str">
        <f>IF(+All!$F60="Arkansas",+All!K60,IF(+All!$H60="Arkansas",+All!K60,0))</f>
        <v>Cincinnati</v>
      </c>
      <c r="L18" s="705">
        <f>IF(+All!$F60="Arkansas",+All!L60,IF(+All!$H60="Arkansas",+All!L60,0))</f>
        <v>6.5</v>
      </c>
      <c r="M18" s="706">
        <f>IF(+All!$F60="Arkansas",+All!M60,IF(+All!$H60="Arkansas",+All!M60,0))</f>
        <v>52</v>
      </c>
      <c r="N18" s="704" t="str">
        <f>IF(+All!$F60="Arkansas",+All!N60,IF(+All!$H60="Arkansas",+All!N60,0))</f>
        <v>Arkansas</v>
      </c>
      <c r="O18" s="707">
        <f>IF(+All!$F60="Arkansas",+All!O60,IF(+All!$H60="Arkansas",+All!O60,0))</f>
        <v>31</v>
      </c>
      <c r="P18" s="707" t="str">
        <f>IF(+All!$F60="Arkansas",+All!P60,IF(+All!$H60="Arkansas",+All!P60,0))</f>
        <v>Cincinnati</v>
      </c>
      <c r="Q18" s="701">
        <f>IF(+All!$F60="Arkansas",+All!Q60,IF(+All!$H60="Arkansas",+All!Q60,0))</f>
        <v>24</v>
      </c>
      <c r="R18" s="704" t="str">
        <f>IF(+All!$F60="Arkansas",+All!R60,IF(+All!$H60="Arkansas",+All!R60,0))</f>
        <v>Arkansas</v>
      </c>
      <c r="S18" s="707" t="str">
        <f>IF(+All!$F60="Arkansas",+All!S60,IF(+All!$H60="Arkansas",+All!S60,0))</f>
        <v>Cincinnati</v>
      </c>
      <c r="T18" s="704" t="str">
        <f>IF(+All!$F60="Arkansas",+All!T60,IF(+All!$H60="Arkansas",+All!T60,0))</f>
        <v>Arkansas</v>
      </c>
      <c r="U18" s="701" t="str">
        <f>IF(+All!$F60="Arkansas",+All!U60,IF(+All!$H60="Arkansas",+All!U60,0))</f>
        <v>W</v>
      </c>
    </row>
    <row r="19" spans="1:21" ht="16.25" customHeight="1" x14ac:dyDescent="0.8">
      <c r="A19" s="697">
        <f>IF(+All!$F171="Arkansas",+All!A171,IF(+All!$H171="Arkansas",+All!A171,0))</f>
        <v>2</v>
      </c>
      <c r="B19" s="697" t="str">
        <f>IF(+All!$F171="Arkansas",+All!B171,IF(+All!$H171="Arkansas",+All!B171,0))</f>
        <v>Sat</v>
      </c>
      <c r="C19" s="708">
        <f>IF(+All!$F171="Arkansas",+All!C171,IF(+All!$H171="Arkansas",+All!C171,0))</f>
        <v>44814</v>
      </c>
      <c r="D19" s="700">
        <f>IF(+All!$F171="Arkansas",+All!D171,IF(+All!$H171="Arkansas",+All!D171,0))</f>
        <v>0.5</v>
      </c>
      <c r="E19" s="701" t="str">
        <f>IF(+All!$F171="Arkansas",+All!E171,IF(+All!$H171="Arkansas",+All!E171,0))</f>
        <v>ESPN</v>
      </c>
      <c r="F19" s="702" t="str">
        <f>IF(+All!$F171="Arkansas",+All!F171,IF(+All!$H171="Arkansas",+All!F171,0))</f>
        <v>South Carolina</v>
      </c>
      <c r="G19" s="710" t="str">
        <f>IF(+All!$F171="Arkansas",+All!G171,IF(+All!$H171="Arkansas",+All!G171,0))</f>
        <v>SEC</v>
      </c>
      <c r="H19" s="710" t="str">
        <f>IF(+All!$F171="Arkansas",+All!H171,IF(+All!$H171="Arkansas",+All!H171,0))</f>
        <v>Arkansas</v>
      </c>
      <c r="I19" s="703" t="str">
        <f>IF(+All!$F171="Arkansas",+All!I171,IF(+All!$H171="Arkansas",+All!I171,0))</f>
        <v>SEC</v>
      </c>
      <c r="J19" s="704" t="str">
        <f>IF(+All!$F171="Arkansas",+All!J171,IF(+All!$H171="Arkansas",+All!J171,0))</f>
        <v>Arkansas</v>
      </c>
      <c r="K19" s="701" t="str">
        <f>IF(+All!$F171="Arkansas",+All!K171,IF(+All!$H171="Arkansas",+All!K171,0))</f>
        <v>South Carolina</v>
      </c>
      <c r="L19" s="705">
        <f>IF(+All!$F171="Arkansas",+All!L171,IF(+All!$H171="Arkansas",+All!L171,0))</f>
        <v>8.5</v>
      </c>
      <c r="M19" s="706">
        <f>IF(+All!$F171="Arkansas",+All!M171,IF(+All!$H171="Arkansas",+All!M171,0))</f>
        <v>53</v>
      </c>
      <c r="N19" s="704" t="str">
        <f>IF(+All!$F171="Arkansas",+All!N171,IF(+All!$H171="Arkansas",+All!N171,0))</f>
        <v>Arkansas</v>
      </c>
      <c r="O19" s="707">
        <f>IF(+All!$F171="Arkansas",+All!O171,IF(+All!$H171="Arkansas",+All!O171,0))</f>
        <v>44</v>
      </c>
      <c r="P19" s="707" t="str">
        <f>IF(+All!$F171="Arkansas",+All!P171,IF(+All!$H171="Arkansas",+All!P171,0))</f>
        <v>South Carolina</v>
      </c>
      <c r="Q19" s="701">
        <f>IF(+All!$F171="Arkansas",+All!Q171,IF(+All!$H171="Arkansas",+All!Q171,0))</f>
        <v>30</v>
      </c>
      <c r="R19" s="704" t="str">
        <f>IF(+All!$F171="Arkansas",+All!R171,IF(+All!$H171="Arkansas",+All!R171,0))</f>
        <v>Arkansas</v>
      </c>
      <c r="S19" s="707" t="str">
        <f>IF(+All!$F171="Arkansas",+All!S171,IF(+All!$H171="Arkansas",+All!S171,0))</f>
        <v>South Carolina</v>
      </c>
      <c r="T19" s="704" t="str">
        <f>IF(+All!$F171="Arkansas",+All!T171,IF(+All!$H171="Arkansas",+All!T171,0))</f>
        <v>South Carolina</v>
      </c>
      <c r="U19" s="701" t="str">
        <f>IF(+All!$F171="Arkansas",+All!U171,IF(+All!$H171="Arkansas",+All!U171,0))</f>
        <v>L</v>
      </c>
    </row>
    <row r="20" spans="1:21" ht="16.25" customHeight="1" x14ac:dyDescent="0.8">
      <c r="A20" s="697">
        <f>IF(+All!$F243="Arkansas",+All!A243,IF(+All!$H243="Arkansas",+All!A243,0))</f>
        <v>3</v>
      </c>
      <c r="B20" s="697" t="str">
        <f>IF(+All!$F243="Arkansas",+All!B243,IF(+All!$H243="Arkansas",+All!B243,0))</f>
        <v>Sat</v>
      </c>
      <c r="C20" s="708">
        <f>IF(+All!$F243="Arkansas",+All!C243,IF(+All!$H243="Arkansas",+All!C243,0))</f>
        <v>44821</v>
      </c>
      <c r="D20" s="700">
        <f>IF(+All!$F243="Arkansas",+All!D243,IF(+All!$H243="Arkansas",+All!D243,0))</f>
        <v>0.79166666666666663</v>
      </c>
      <c r="E20" s="701">
        <f>IF(+All!$F243="Arkansas",+All!E243,IF(+All!$H243="Arkansas",+All!E243,0))</f>
        <v>0</v>
      </c>
      <c r="F20" s="702" t="str">
        <f>IF(+All!$F243="Arkansas",+All!F243,IF(+All!$H243="Arkansas",+All!F243,0))</f>
        <v>1AA Missouri State</v>
      </c>
      <c r="G20" s="710" t="str">
        <f>IF(+All!$F243="Arkansas",+All!G243,IF(+All!$H243="Arkansas",+All!G243,0))</f>
        <v>1AA</v>
      </c>
      <c r="H20" s="710" t="str">
        <f>IF(+All!$F243="Arkansas",+All!H243,IF(+All!$H243="Arkansas",+All!H243,0))</f>
        <v>Arkansas</v>
      </c>
      <c r="I20" s="703" t="str">
        <f>IF(+All!$F243="Arkansas",+All!I243,IF(+All!$H243="Arkansas",+All!I243,0))</f>
        <v>SEC</v>
      </c>
      <c r="J20" s="704">
        <f>IF(+All!$F243="Arkansas",+All!J243,IF(+All!$H243="Arkansas",+All!J243,0))</f>
        <v>0</v>
      </c>
      <c r="K20" s="701">
        <f>IF(+All!$F243="Arkansas",+All!K243,IF(+All!$H243="Arkansas",+All!K243,0))</f>
        <v>0</v>
      </c>
      <c r="L20" s="705">
        <f>IF(+All!$F243="Arkansas",+All!L243,IF(+All!$H243="Arkansas",+All!L243,0))</f>
        <v>0</v>
      </c>
      <c r="M20" s="706">
        <f>IF(+All!$F243="Arkansas",+All!M243,IF(+All!$H243="Arkansas",+All!M243,0))</f>
        <v>0</v>
      </c>
      <c r="N20" s="704" t="str">
        <f>IF(+All!$F243="Arkansas",+All!N243,IF(+All!$H243="Arkansas",+All!N243,0))</f>
        <v>Arkansas</v>
      </c>
      <c r="O20" s="707">
        <f>IF(+All!$F243="Arkansas",+All!O243,IF(+All!$H243="Arkansas",+All!O243,0))</f>
        <v>38</v>
      </c>
      <c r="P20" s="707" t="str">
        <f>IF(+All!$F243="Arkansas",+All!P243,IF(+All!$H243="Arkansas",+All!P243,0))</f>
        <v>1AA Missouri State</v>
      </c>
      <c r="Q20" s="701">
        <f>IF(+All!$F243="Arkansas",+All!Q243,IF(+All!$H243="Arkansas",+All!Q243,0))</f>
        <v>27</v>
      </c>
      <c r="R20" s="704">
        <f>IF(+All!$F243="Arkansas",+All!R243,IF(+All!$H243="Arkansas",+All!R243,0))</f>
        <v>0</v>
      </c>
      <c r="S20" s="707">
        <f>IF(+All!$F243="Arkansas",+All!S243,IF(+All!$H243="Arkansas",+All!S243,0))</f>
        <v>0</v>
      </c>
      <c r="T20" s="704">
        <f>IF(+All!$F243="Arkansas",+All!T243,IF(+All!$H243="Arkansas",+All!T243,0))</f>
        <v>0</v>
      </c>
      <c r="U20" s="701">
        <f>IF(+All!$F243="Arkansas",+All!U243,IF(+All!$H243="Arkansas",+All!U243,0))</f>
        <v>0</v>
      </c>
    </row>
    <row r="21" spans="1:21" ht="16.25" customHeight="1" x14ac:dyDescent="0.8">
      <c r="A21" s="697">
        <f>IF(+All!$F309="Arkansas",+All!A309,IF(+All!$H309="Arkansas",+All!A309,0))</f>
        <v>4</v>
      </c>
      <c r="B21" s="697" t="str">
        <f>IF(+All!$F309="Arkansas",+All!B309,IF(+All!$H309="Arkansas",+All!B309,0))</f>
        <v>Sat</v>
      </c>
      <c r="C21" s="708">
        <f>IF(+All!$F309="Arkansas",+All!C309,IF(+All!$H309="Arkansas",+All!C309,0))</f>
        <v>44828</v>
      </c>
      <c r="D21" s="700">
        <f>IF(+All!$F309="Arkansas",+All!D309,IF(+All!$H309="Arkansas",+All!D309,0))</f>
        <v>0.75</v>
      </c>
      <c r="E21" s="701" t="str">
        <f>IF(+All!$F309="Arkansas",+All!E309,IF(+All!$H309="Arkansas",+All!E309,0))</f>
        <v>ESPN</v>
      </c>
      <c r="F21" s="702" t="str">
        <f>IF(+All!$F309="Arkansas",+All!F309,IF(+All!$H309="Arkansas",+All!F309,0))</f>
        <v>Texas A&amp;M</v>
      </c>
      <c r="G21" s="710" t="str">
        <f>IF(+All!$F309="Arkansas",+All!G309,IF(+All!$H309="Arkansas",+All!G309,0))</f>
        <v>SEC</v>
      </c>
      <c r="H21" s="710" t="str">
        <f>IF(+All!$F309="Arkansas",+All!H309,IF(+All!$H309="Arkansas",+All!H309,0))</f>
        <v>Arkansas</v>
      </c>
      <c r="I21" s="703" t="str">
        <f>IF(+All!$F309="Arkansas",+All!I309,IF(+All!$H309="Arkansas",+All!I309,0))</f>
        <v>SEC</v>
      </c>
      <c r="J21" s="704" t="str">
        <f>IF(+All!$F309="Arkansas",+All!J309,IF(+All!$H309="Arkansas",+All!J309,0))</f>
        <v>Texas A&amp;M</v>
      </c>
      <c r="K21" s="701" t="str">
        <f>IF(+All!$F309="Arkansas",+All!K309,IF(+All!$H309="Arkansas",+All!K309,0))</f>
        <v>Arkansas</v>
      </c>
      <c r="L21" s="705">
        <f>IF(+All!$F309="Arkansas",+All!L309,IF(+All!$H309="Arkansas",+All!L309,0))</f>
        <v>2</v>
      </c>
      <c r="M21" s="706">
        <f>IF(+All!$F309="Arkansas",+All!M309,IF(+All!$H309="Arkansas",+All!M309,0))</f>
        <v>48.5</v>
      </c>
      <c r="N21" s="704" t="str">
        <f>IF(+All!$F309="Arkansas",+All!N309,IF(+All!$H309="Arkansas",+All!N309,0))</f>
        <v>Texas A&amp;M</v>
      </c>
      <c r="O21" s="707">
        <f>IF(+All!$F309="Arkansas",+All!O309,IF(+All!$H309="Arkansas",+All!O309,0))</f>
        <v>23</v>
      </c>
      <c r="P21" s="707" t="str">
        <f>IF(+All!$F309="Arkansas",+All!P309,IF(+All!$H309="Arkansas",+All!P309,0))</f>
        <v>Arkansas</v>
      </c>
      <c r="Q21" s="701">
        <f>IF(+All!$F309="Arkansas",+All!Q309,IF(+All!$H309="Arkansas",+All!Q309,0))</f>
        <v>21</v>
      </c>
      <c r="R21" s="704" t="str">
        <f>IF(+All!$F309="Arkansas",+All!R309,IF(+All!$H309="Arkansas",+All!R309,0))</f>
        <v>Texas A&amp;M</v>
      </c>
      <c r="S21" s="707" t="str">
        <f>IF(+All!$F309="Arkansas",+All!S309,IF(+All!$H309="Arkansas",+All!S309,0))</f>
        <v>Arkansas</v>
      </c>
      <c r="T21" s="704" t="str">
        <f>IF(+All!$F309="Arkansas",+All!T309,IF(+All!$H309="Arkansas",+All!T309,0))</f>
        <v>Arkansas</v>
      </c>
      <c r="U21" s="701" t="str">
        <f>IF(+All!$F309="Arkansas",+All!U309,IF(+All!$H309="Arkansas",+All!U309,0))</f>
        <v>T</v>
      </c>
    </row>
    <row r="22" spans="1:21" ht="16.25" customHeight="1" x14ac:dyDescent="0.8">
      <c r="A22" s="697">
        <f>IF(+All!$F375="Arkansas",+All!A375,IF(+All!$H375="Arkansas",+All!A375,0))</f>
        <v>5</v>
      </c>
      <c r="B22" s="697" t="str">
        <f>IF(+All!$F375="Arkansas",+All!B375,IF(+All!$H375="Arkansas",+All!B375,0))</f>
        <v>Sat</v>
      </c>
      <c r="C22" s="708">
        <f>IF(+All!$F375="Arkansas",+All!C375,IF(+All!$H375="Arkansas",+All!C375,0))</f>
        <v>44835</v>
      </c>
      <c r="D22" s="700">
        <f>IF(+All!$F375="Arkansas",+All!D375,IF(+All!$H375="Arkansas",+All!D375,0))</f>
        <v>0.64583333333333337</v>
      </c>
      <c r="E22" s="701" t="str">
        <f>IF(+All!$F375="Arkansas",+All!E375,IF(+All!$H375="Arkansas",+All!E375,0))</f>
        <v>CBS</v>
      </c>
      <c r="F22" s="702" t="str">
        <f>IF(+All!$F375="Arkansas",+All!F375,IF(+All!$H375="Arkansas",+All!F375,0))</f>
        <v>Alabama</v>
      </c>
      <c r="G22" s="710" t="str">
        <f>IF(+All!$F375="Arkansas",+All!G375,IF(+All!$H375="Arkansas",+All!G375,0))</f>
        <v>SEC</v>
      </c>
      <c r="H22" s="710" t="str">
        <f>IF(+All!$F375="Arkansas",+All!H375,IF(+All!$H375="Arkansas",+All!H375,0))</f>
        <v>Arkansas</v>
      </c>
      <c r="I22" s="703" t="str">
        <f>IF(+All!$F375="Arkansas",+All!I375,IF(+All!$H375="Arkansas",+All!I375,0))</f>
        <v>SEC</v>
      </c>
      <c r="J22" s="704" t="str">
        <f>IF(+All!$F375="Arkansas",+All!J375,IF(+All!$H375="Arkansas",+All!J375,0))</f>
        <v>Alabama</v>
      </c>
      <c r="K22" s="701" t="str">
        <f>IF(+All!$F375="Arkansas",+All!K375,IF(+All!$H375="Arkansas",+All!K375,0))</f>
        <v>Arkansas</v>
      </c>
      <c r="L22" s="705">
        <f>IF(+All!$F375="Arkansas",+All!L375,IF(+All!$H375="Arkansas",+All!L375,0))</f>
        <v>17</v>
      </c>
      <c r="M22" s="706">
        <f>IF(+All!$F375="Arkansas",+All!M375,IF(+All!$H375="Arkansas",+All!M375,0))</f>
        <v>60.5</v>
      </c>
      <c r="N22" s="704" t="str">
        <f>IF(+All!$F375="Arkansas",+All!N375,IF(+All!$H375="Arkansas",+All!N375,0))</f>
        <v>Alabama</v>
      </c>
      <c r="O22" s="707">
        <f>IF(+All!$F375="Arkansas",+All!O375,IF(+All!$H375="Arkansas",+All!O375,0))</f>
        <v>49</v>
      </c>
      <c r="P22" s="707" t="str">
        <f>IF(+All!$F375="Arkansas",+All!P375,IF(+All!$H375="Arkansas",+All!P375,0))</f>
        <v>Arkansas</v>
      </c>
      <c r="Q22" s="701">
        <f>IF(+All!$F375="Arkansas",+All!Q375,IF(+All!$H375="Arkansas",+All!Q375,0))</f>
        <v>26</v>
      </c>
      <c r="R22" s="704" t="str">
        <f>IF(+All!$F375="Arkansas",+All!R375,IF(+All!$H375="Arkansas",+All!R375,0))</f>
        <v>Alabama</v>
      </c>
      <c r="S22" s="707" t="str">
        <f>IF(+All!$F375="Arkansas",+All!S375,IF(+All!$H375="Arkansas",+All!S375,0))</f>
        <v>Arkansas</v>
      </c>
      <c r="T22" s="704" t="str">
        <f>IF(+All!$F375="Arkansas",+All!T375,IF(+All!$H375="Arkansas",+All!T375,0))</f>
        <v>Arkansas</v>
      </c>
      <c r="U22" s="701" t="str">
        <f>IF(+All!$F375="Arkansas",+All!U375,IF(+All!$H375="Arkansas",+All!U375,0))</f>
        <v>L</v>
      </c>
    </row>
    <row r="23" spans="1:21" ht="16.25" customHeight="1" x14ac:dyDescent="0.8">
      <c r="A23" s="697">
        <f>IF(+All!$F436="Arkansas",+All!A436,IF(+All!$H436="Arkansas",+All!A436,0))</f>
        <v>6</v>
      </c>
      <c r="B23" s="697" t="str">
        <f>IF(+All!$F436="Arkansas",+All!B436,IF(+All!$H436="Arkansas",+All!B436,0))</f>
        <v>Sat</v>
      </c>
      <c r="C23" s="708">
        <f>IF(+All!$F436="Arkansas",+All!C436,IF(+All!$H436="Arkansas",+All!C436,0))</f>
        <v>44842</v>
      </c>
      <c r="D23" s="700">
        <f>IF(+All!$F436="Arkansas",+All!D436,IF(+All!$H436="Arkansas",+All!D436,0))</f>
        <v>0.5</v>
      </c>
      <c r="E23" s="701" t="str">
        <f>IF(+All!$F436="Arkansas",+All!E436,IF(+All!$H436="Arkansas",+All!E436,0))</f>
        <v>SEC</v>
      </c>
      <c r="F23" s="702" t="str">
        <f>IF(+All!$F436="Arkansas",+All!F436,IF(+All!$H436="Arkansas",+All!F436,0))</f>
        <v>Arkansas</v>
      </c>
      <c r="G23" s="710" t="str">
        <f>IF(+All!$F436="Arkansas",+All!G436,IF(+All!$H436="Arkansas",+All!G436,0))</f>
        <v>SEC</v>
      </c>
      <c r="H23" s="710" t="str">
        <f>IF(+All!$F436="Arkansas",+All!H436,IF(+All!$H436="Arkansas",+All!H436,0))</f>
        <v>Mississippi State</v>
      </c>
      <c r="I23" s="703" t="str">
        <f>IF(+All!$F436="Arkansas",+All!I436,IF(+All!$H436="Arkansas",+All!I436,0))</f>
        <v>SEC</v>
      </c>
      <c r="J23" s="704" t="str">
        <f>IF(+All!$F436="Arkansas",+All!J436,IF(+All!$H436="Arkansas",+All!J436,0))</f>
        <v>Mississippi State</v>
      </c>
      <c r="K23" s="701" t="str">
        <f>IF(+All!$F436="Arkansas",+All!K436,IF(+All!$H436="Arkansas",+All!K436,0))</f>
        <v>Arkansas</v>
      </c>
      <c r="L23" s="705">
        <f>IF(+All!$F436="Arkansas",+All!L436,IF(+All!$H436="Arkansas",+All!L436,0))</f>
        <v>8.5</v>
      </c>
      <c r="M23" s="706">
        <f>IF(+All!$F436="Arkansas",+All!M436,IF(+All!$H436="Arkansas",+All!M436,0))</f>
        <v>60</v>
      </c>
      <c r="N23" s="704" t="str">
        <f>IF(+All!$F436="Arkansas",+All!N436,IF(+All!$H436="Arkansas",+All!N436,0))</f>
        <v>Mississippi State</v>
      </c>
      <c r="O23" s="707">
        <f>IF(+All!$F436="Arkansas",+All!O436,IF(+All!$H436="Arkansas",+All!O436,0))</f>
        <v>40</v>
      </c>
      <c r="P23" s="707" t="str">
        <f>IF(+All!$F436="Arkansas",+All!P436,IF(+All!$H436="Arkansas",+All!P436,0))</f>
        <v>Arkansas</v>
      </c>
      <c r="Q23" s="701">
        <f>IF(+All!$F436="Arkansas",+All!Q436,IF(+All!$H436="Arkansas",+All!Q436,0))</f>
        <v>17</v>
      </c>
      <c r="R23" s="704" t="str">
        <f>IF(+All!$F436="Arkansas",+All!R436,IF(+All!$H436="Arkansas",+All!R436,0))</f>
        <v>Mississippi State</v>
      </c>
      <c r="S23" s="707" t="str">
        <f>IF(+All!$F436="Arkansas",+All!S436,IF(+All!$H436="Arkansas",+All!S436,0))</f>
        <v>Arkansas</v>
      </c>
      <c r="T23" s="704" t="str">
        <f>IF(+All!$F436="Arkansas",+All!T436,IF(+All!$H436="Arkansas",+All!T436,0))</f>
        <v>Arkansas</v>
      </c>
      <c r="U23" s="701" t="str">
        <f>IF(+All!$F436="Arkansas",+All!U436,IF(+All!$H436="Arkansas",+All!U436,0))</f>
        <v>L</v>
      </c>
    </row>
    <row r="24" spans="1:21" ht="16.25" customHeight="1" x14ac:dyDescent="0.8">
      <c r="A24" s="697">
        <f>IF(+All!$F462="Arkansas",+All!A462,IF(+All!$H462="Arkansas",+All!A462,0))</f>
        <v>7</v>
      </c>
      <c r="B24" s="697" t="str">
        <f>IF(+All!$F462="Arkansas",+All!B462,IF(+All!$H462="Arkansas",+All!B462,0))</f>
        <v>Sat</v>
      </c>
      <c r="C24" s="708">
        <f>IF(+All!$F462="Arkansas",+All!C462,IF(+All!$H462="Arkansas",+All!C462,0))</f>
        <v>44849</v>
      </c>
      <c r="D24" s="700">
        <f>IF(+All!$F462="Arkansas",+All!D462,IF(+All!$H462="Arkansas",+All!D462,0))</f>
        <v>0.64583333333333337</v>
      </c>
      <c r="E24" s="701" t="str">
        <f>IF(+All!$F462="Arkansas",+All!E462,IF(+All!$H462="Arkansas",+All!E462,0))</f>
        <v>ESPN</v>
      </c>
      <c r="F24" s="702" t="str">
        <f>IF(+All!$F462="Arkansas",+All!F462,IF(+All!$H462="Arkansas",+All!F462,0))</f>
        <v>Arkansas</v>
      </c>
      <c r="G24" s="710" t="str">
        <f>IF(+All!$F462="Arkansas",+All!G462,IF(+All!$H462="Arkansas",+All!G462,0))</f>
        <v>SEC</v>
      </c>
      <c r="H24" s="710" t="str">
        <f>IF(+All!$F462="Arkansas",+All!H462,IF(+All!$H462="Arkansas",+All!H462,0))</f>
        <v>BYU</v>
      </c>
      <c r="I24" s="703" t="str">
        <f>IF(+All!$F462="Arkansas",+All!I462,IF(+All!$H462="Arkansas",+All!I462,0))</f>
        <v>Ind</v>
      </c>
      <c r="J24" s="704" t="str">
        <f>IF(+All!$F462="Arkansas",+All!J462,IF(+All!$H462="Arkansas",+All!J462,0))</f>
        <v>Arkansas</v>
      </c>
      <c r="K24" s="701" t="str">
        <f>IF(+All!$F462="Arkansas",+All!K462,IF(+All!$H462="Arkansas",+All!K462,0))</f>
        <v>BYU</v>
      </c>
      <c r="L24" s="705">
        <f>IF(+All!$F462="Arkansas",+All!L462,IF(+All!$H462="Arkansas",+All!L462,0))</f>
        <v>1.5</v>
      </c>
      <c r="M24" s="706">
        <f>IF(+All!$F462="Arkansas",+All!M462,IF(+All!$H462="Arkansas",+All!M462,0))</f>
        <v>65.5</v>
      </c>
      <c r="N24" s="704" t="str">
        <f>IF(+All!$F462="Arkansas",+All!N462,IF(+All!$H462="Arkansas",+All!N462,0))</f>
        <v>Arkansas</v>
      </c>
      <c r="O24" s="707">
        <f>IF(+All!$F462="Arkansas",+All!O462,IF(+All!$H462="Arkansas",+All!O462,0))</f>
        <v>52</v>
      </c>
      <c r="P24" s="707" t="str">
        <f>IF(+All!$F462="Arkansas",+All!P462,IF(+All!$H462="Arkansas",+All!P462,0))</f>
        <v>BYU</v>
      </c>
      <c r="Q24" s="701">
        <f>IF(+All!$F462="Arkansas",+All!Q462,IF(+All!$H462="Arkansas",+All!Q462,0))</f>
        <v>35</v>
      </c>
      <c r="R24" s="704" t="str">
        <f>IF(+All!$F462="Arkansas",+All!R462,IF(+All!$H462="Arkansas",+All!R462,0))</f>
        <v>Arkansas</v>
      </c>
      <c r="S24" s="707" t="str">
        <f>IF(+All!$F462="Arkansas",+All!S462,IF(+All!$H462="Arkansas",+All!S462,0))</f>
        <v>BYU</v>
      </c>
      <c r="T24" s="704" t="str">
        <f>IF(+All!$F462="Arkansas",+All!T462,IF(+All!$H462="Arkansas",+All!T462,0))</f>
        <v>BYU</v>
      </c>
      <c r="U24" s="701" t="str">
        <f>IF(+All!$F462="Arkansas",+All!U462,IF(+All!$H462="Arkansas",+All!U462,0))</f>
        <v>L</v>
      </c>
    </row>
    <row r="25" spans="1:21" ht="16.25" customHeight="1" x14ac:dyDescent="0.8">
      <c r="A25" s="697" t="e">
        <f>IF(+All!#REF!="Arkansas",+All!#REF!,IF(+All!#REF!="Arkansas",+All!#REF!,0))</f>
        <v>#REF!</v>
      </c>
      <c r="B25" s="697" t="e">
        <f>IF(+All!#REF!="Arkansas",+All!#REF!,IF(+All!#REF!="Arkansas",+All!#REF!,0))</f>
        <v>#REF!</v>
      </c>
      <c r="C25" s="708" t="e">
        <f>IF(+All!#REF!="Arkansas",+All!#REF!,IF(+All!#REF!="Arkansas",+All!#REF!,0))</f>
        <v>#REF!</v>
      </c>
      <c r="D25" s="700" t="e">
        <f>IF(+All!#REF!="Arkansas",+All!#REF!,IF(+All!#REF!="Arkansas",+All!#REF!,0))</f>
        <v>#REF!</v>
      </c>
      <c r="E25" s="701" t="e">
        <f>IF(+All!#REF!="Arkansas",+All!#REF!,IF(+All!#REF!="Arkansas",+All!#REF!,0))</f>
        <v>#REF!</v>
      </c>
      <c r="F25" s="702" t="e">
        <f>IF(+All!#REF!="Arkansas",+All!#REF!,IF(+All!#REF!="Arkansas",+All!#REF!,0))</f>
        <v>#REF!</v>
      </c>
      <c r="G25" s="710" t="e">
        <f>IF(+All!#REF!="Arkansas",+All!#REF!,IF(+All!#REF!="Arkansas",+All!#REF!,0))</f>
        <v>#REF!</v>
      </c>
      <c r="H25" s="710" t="e">
        <f>IF(+All!#REF!="Arkansas",+All!#REF!,IF(+All!#REF!="Arkansas",+All!#REF!,0))</f>
        <v>#REF!</v>
      </c>
      <c r="I25" s="703" t="e">
        <f>IF(+All!#REF!="Arkansas",+All!#REF!,IF(+All!#REF!="Arkansas",+All!#REF!,0))</f>
        <v>#REF!</v>
      </c>
      <c r="J25" s="704" t="e">
        <f>IF(+All!#REF!="Arkansas",+All!#REF!,IF(+All!#REF!="Arkansas",+All!#REF!,0))</f>
        <v>#REF!</v>
      </c>
      <c r="K25" s="701" t="e">
        <f>IF(+All!#REF!="Arkansas",+All!#REF!,IF(+All!#REF!="Arkansas",+All!#REF!,0))</f>
        <v>#REF!</v>
      </c>
      <c r="L25" s="705" t="e">
        <f>IF(+All!#REF!="Arkansas",+All!#REF!,IF(+All!#REF!="Arkansas",+All!#REF!,0))</f>
        <v>#REF!</v>
      </c>
      <c r="M25" s="706" t="e">
        <f>IF(+All!#REF!="Arkansas",+All!#REF!,IF(+All!#REF!="Arkansas",+All!#REF!,0))</f>
        <v>#REF!</v>
      </c>
      <c r="N25" s="704" t="e">
        <f>IF(+All!#REF!="Arkansas",+All!#REF!,IF(+All!#REF!="Arkansas",+All!#REF!,0))</f>
        <v>#REF!</v>
      </c>
      <c r="O25" s="707" t="e">
        <f>IF(+All!#REF!="Arkansas",+All!#REF!,IF(+All!#REF!="Arkansas",+All!#REF!,0))</f>
        <v>#REF!</v>
      </c>
      <c r="P25" s="707" t="e">
        <f>IF(+All!#REF!="Arkansas",+All!#REF!,IF(+All!#REF!="Arkansas",+All!#REF!,0))</f>
        <v>#REF!</v>
      </c>
      <c r="Q25" s="701" t="e">
        <f>IF(+All!#REF!="Arkansas",+All!#REF!,IF(+All!#REF!="Arkansas",+All!#REF!,0))</f>
        <v>#REF!</v>
      </c>
      <c r="R25" s="704" t="e">
        <f>IF(+All!#REF!="Arkansas",+All!#REF!,IF(+All!#REF!="Arkansas",+All!#REF!,0))</f>
        <v>#REF!</v>
      </c>
      <c r="S25" s="707" t="e">
        <f>IF(+All!#REF!="Arkansas",+All!#REF!,IF(+All!#REF!="Arkansas",+All!#REF!,0))</f>
        <v>#REF!</v>
      </c>
      <c r="T25" s="704" t="e">
        <f>IF(+All!#REF!="Arkansas",+All!#REF!,IF(+All!#REF!="Arkansas",+All!#REF!,0))</f>
        <v>#REF!</v>
      </c>
      <c r="U25" s="701" t="e">
        <f>IF(+All!#REF!="Arkansas",+All!#REF!,IF(+All!#REF!="Arkansas",+All!#REF!,0))</f>
        <v>#REF!</v>
      </c>
    </row>
    <row r="26" spans="1:21" ht="16.25" customHeight="1" x14ac:dyDescent="0.8">
      <c r="A26" s="697">
        <f>IF(+All!$F588="Arkansas",+All!A588,IF(+All!$H588="Arkansas",+All!A588,0))</f>
        <v>9</v>
      </c>
      <c r="B26" s="697" t="str">
        <f>IF(+All!$F588="Arkansas",+All!B588,IF(+All!$H588="Arkansas",+All!B588,0))</f>
        <v>Sat</v>
      </c>
      <c r="C26" s="708">
        <f>IF(+All!$F588="Arkansas",+All!C588,IF(+All!$H588="Arkansas",+All!C588,0))</f>
        <v>44863</v>
      </c>
      <c r="D26" s="700">
        <f>IF(+All!$F588="Arkansas",+All!D588,IF(+All!$H588="Arkansas",+All!D588,0))</f>
        <v>0.5</v>
      </c>
      <c r="E26" s="701" t="str">
        <f>IF(+All!$F588="Arkansas",+All!E588,IF(+All!$H588="Arkansas",+All!E588,0))</f>
        <v>SEC</v>
      </c>
      <c r="F26" s="702" t="str">
        <f>IF(+All!$F588="Arkansas",+All!F588,IF(+All!$H588="Arkansas",+All!F588,0))</f>
        <v>Arkansas</v>
      </c>
      <c r="G26" s="710" t="str">
        <f>IF(+All!$F588="Arkansas",+All!G588,IF(+All!$H588="Arkansas",+All!G588,0))</f>
        <v>SEC</v>
      </c>
      <c r="H26" s="710" t="str">
        <f>IF(+All!$F588="Arkansas",+All!H588,IF(+All!$H588="Arkansas",+All!H588,0))</f>
        <v>Auburn</v>
      </c>
      <c r="I26" s="703" t="str">
        <f>IF(+All!$F588="Arkansas",+All!I588,IF(+All!$H588="Arkansas",+All!I588,0))</f>
        <v>SEC</v>
      </c>
      <c r="J26" s="704" t="str">
        <f>IF(+All!$F588="Arkansas",+All!J588,IF(+All!$H588="Arkansas",+All!J588,0))</f>
        <v>Arkansas</v>
      </c>
      <c r="K26" s="701" t="str">
        <f>IF(+All!$F588="Arkansas",+All!K588,IF(+All!$H588="Arkansas",+All!K588,0))</f>
        <v>Auburn</v>
      </c>
      <c r="L26" s="705">
        <f>IF(+All!$F588="Arkansas",+All!L588,IF(+All!$H588="Arkansas",+All!L588,0))</f>
        <v>3.5</v>
      </c>
      <c r="M26" s="706">
        <f>IF(+All!$F588="Arkansas",+All!M588,IF(+All!$H588="Arkansas",+All!M588,0))</f>
        <v>61</v>
      </c>
      <c r="N26" s="704" t="str">
        <f>IF(+All!$F588="Arkansas",+All!N588,IF(+All!$H588="Arkansas",+All!N588,0))</f>
        <v>Arkansas</v>
      </c>
      <c r="O26" s="707">
        <f>IF(+All!$F588="Arkansas",+All!O588,IF(+All!$H588="Arkansas",+All!O588,0))</f>
        <v>41</v>
      </c>
      <c r="P26" s="707" t="str">
        <f>IF(+All!$F588="Arkansas",+All!P588,IF(+All!$H588="Arkansas",+All!P588,0))</f>
        <v>Auburn</v>
      </c>
      <c r="Q26" s="701">
        <f>IF(+All!$F588="Arkansas",+All!Q588,IF(+All!$H588="Arkansas",+All!Q588,0))</f>
        <v>27</v>
      </c>
      <c r="R26" s="704" t="str">
        <f>IF(+All!$F588="Arkansas",+All!R588,IF(+All!$H588="Arkansas",+All!R588,0))</f>
        <v>Arkansas</v>
      </c>
      <c r="S26" s="707" t="str">
        <f>IF(+All!$F588="Arkansas",+All!S588,IF(+All!$H588="Arkansas",+All!S588,0))</f>
        <v>Auburn</v>
      </c>
      <c r="T26" s="704" t="str">
        <f>IF(+All!$F588="Arkansas",+All!T588,IF(+All!$H588="Arkansas",+All!T588,0))</f>
        <v>Arkansas</v>
      </c>
      <c r="U26" s="701" t="str">
        <f>IF(+All!$F588="Arkansas",+All!U588,IF(+All!$H588="Arkansas",+All!U588,0))</f>
        <v>W</v>
      </c>
    </row>
    <row r="27" spans="1:21" ht="16.25" customHeight="1" x14ac:dyDescent="0.8">
      <c r="A27" s="697">
        <f>IF(+All!$F646="Arkansas",+All!A646,IF(+All!$H646="Arkansas",+All!A646,0))</f>
        <v>10</v>
      </c>
      <c r="B27" s="697" t="str">
        <f>IF(+All!$F646="Arkansas",+All!B646,IF(+All!$H646="Arkansas",+All!B646,0))</f>
        <v>Sat</v>
      </c>
      <c r="C27" s="708">
        <f>IF(+All!$F646="Arkansas",+All!C646,IF(+All!$H646="Arkansas",+All!C646,0))</f>
        <v>44870</v>
      </c>
      <c r="D27" s="700">
        <f>IF(+All!$F646="Arkansas",+All!D646,IF(+All!$H646="Arkansas",+All!D646,0))</f>
        <v>0.66666666666666663</v>
      </c>
      <c r="E27" s="701" t="str">
        <f>IF(+All!$F646="Arkansas",+All!E646,IF(+All!$H646="Arkansas",+All!E646,0))</f>
        <v>SEC</v>
      </c>
      <c r="F27" s="702" t="str">
        <f>IF(+All!$F646="Arkansas",+All!F646,IF(+All!$H646="Arkansas",+All!F646,0))</f>
        <v>Liberty</v>
      </c>
      <c r="G27" s="710" t="str">
        <f>IF(+All!$F646="Arkansas",+All!G646,IF(+All!$H646="Arkansas",+All!G646,0))</f>
        <v>Ind</v>
      </c>
      <c r="H27" s="710" t="str">
        <f>IF(+All!$F646="Arkansas",+All!H646,IF(+All!$H646="Arkansas",+All!H646,0))</f>
        <v>Arkansas</v>
      </c>
      <c r="I27" s="703" t="str">
        <f>IF(+All!$F646="Arkansas",+All!I646,IF(+All!$H646="Arkansas",+All!I646,0))</f>
        <v>SEC</v>
      </c>
      <c r="J27" s="704" t="str">
        <f>IF(+All!$F646="Arkansas",+All!J646,IF(+All!$H646="Arkansas",+All!J646,0))</f>
        <v>Arkansas</v>
      </c>
      <c r="K27" s="701" t="str">
        <f>IF(+All!$F646="Arkansas",+All!K646,IF(+All!$H646="Arkansas",+All!K646,0))</f>
        <v>Liberty</v>
      </c>
      <c r="L27" s="705">
        <f>IF(+All!$F646="Arkansas",+All!L646,IF(+All!$H646="Arkansas",+All!L646,0))</f>
        <v>13.5</v>
      </c>
      <c r="M27" s="706">
        <f>IF(+All!$F646="Arkansas",+All!M646,IF(+All!$H646="Arkansas",+All!M646,0))</f>
        <v>63</v>
      </c>
      <c r="N27" s="704" t="str">
        <f>IF(+All!$F646="Arkansas",+All!N646,IF(+All!$H646="Arkansas",+All!N646,0))</f>
        <v>Liberty</v>
      </c>
      <c r="O27" s="707">
        <f>IF(+All!$F646="Arkansas",+All!O646,IF(+All!$H646="Arkansas",+All!O646,0))</f>
        <v>21</v>
      </c>
      <c r="P27" s="707" t="str">
        <f>IF(+All!$F646="Arkansas",+All!P646,IF(+All!$H646="Arkansas",+All!P646,0))</f>
        <v>Arkansas</v>
      </c>
      <c r="Q27" s="701">
        <f>IF(+All!$F646="Arkansas",+All!Q646,IF(+All!$H646="Arkansas",+All!Q646,0))</f>
        <v>19</v>
      </c>
      <c r="R27" s="704" t="str">
        <f>IF(+All!$F646="Arkansas",+All!R646,IF(+All!$H646="Arkansas",+All!R646,0))</f>
        <v>Liberty</v>
      </c>
      <c r="S27" s="707" t="str">
        <f>IF(+All!$F646="Arkansas",+All!S646,IF(+All!$H646="Arkansas",+All!S646,0))</f>
        <v>Arkansas</v>
      </c>
      <c r="T27" s="704" t="str">
        <f>IF(+All!$F646="Arkansas",+All!T646,IF(+All!$H646="Arkansas",+All!T646,0))</f>
        <v>Arkansas</v>
      </c>
      <c r="U27" s="701" t="str">
        <f>IF(+All!$F646="Arkansas",+All!U646,IF(+All!$H646="Arkansas",+All!U646,0))</f>
        <v>L</v>
      </c>
    </row>
    <row r="28" spans="1:21" ht="16.25" customHeight="1" x14ac:dyDescent="0.8">
      <c r="A28" s="697">
        <f>IF(+All!$F711="Arkansas",+All!A711,IF(+All!$H711="Arkansas",+All!A711,0))</f>
        <v>11</v>
      </c>
      <c r="B28" s="697" t="str">
        <f>IF(+All!$F711="Arkansas",+All!B711,IF(+All!$H711="Arkansas",+All!B711,0))</f>
        <v>Sat</v>
      </c>
      <c r="C28" s="708">
        <f>IF(+All!$F711="Arkansas",+All!C711,IF(+All!$H711="Arkansas",+All!C711,0))</f>
        <v>44877</v>
      </c>
      <c r="D28" s="700">
        <f>IF(+All!$F711="Arkansas",+All!D711,IF(+All!$H711="Arkansas",+All!D711,0))</f>
        <v>0.5</v>
      </c>
      <c r="E28" s="701" t="str">
        <f>IF(+All!$F711="Arkansas",+All!E711,IF(+All!$H711="Arkansas",+All!E711,0))</f>
        <v>ESPN</v>
      </c>
      <c r="F28" s="702" t="str">
        <f>IF(+All!$F711="Arkansas",+All!F711,IF(+All!$H711="Arkansas",+All!F711,0))</f>
        <v>LSU</v>
      </c>
      <c r="G28" s="710" t="str">
        <f>IF(+All!$F711="Arkansas",+All!G711,IF(+All!$H711="Arkansas",+All!G711,0))</f>
        <v>SEC</v>
      </c>
      <c r="H28" s="710" t="str">
        <f>IF(+All!$F711="Arkansas",+All!H711,IF(+All!$H711="Arkansas",+All!H711,0))</f>
        <v>Arkansas</v>
      </c>
      <c r="I28" s="703" t="str">
        <f>IF(+All!$F711="Arkansas",+All!I711,IF(+All!$H711="Arkansas",+All!I711,0))</f>
        <v>SEC</v>
      </c>
      <c r="J28" s="704" t="str">
        <f>IF(+All!$F711="Arkansas",+All!J711,IF(+All!$H711="Arkansas",+All!J711,0))</f>
        <v>LSU</v>
      </c>
      <c r="K28" s="701" t="str">
        <f>IF(+All!$F711="Arkansas",+All!K711,IF(+All!$H711="Arkansas",+All!K711,0))</f>
        <v>Arkansas</v>
      </c>
      <c r="L28" s="705">
        <f>IF(+All!$F711="Arkansas",+All!L711,IF(+All!$H711="Arkansas",+All!L711,0))</f>
        <v>3</v>
      </c>
      <c r="M28" s="706">
        <f>IF(+All!$F711="Arkansas",+All!M711,IF(+All!$H711="Arkansas",+All!M711,0))</f>
        <v>64</v>
      </c>
      <c r="N28" s="704" t="str">
        <f>IF(+All!$F711="Arkansas",+All!N711,IF(+All!$H711="Arkansas",+All!N711,0))</f>
        <v>LSU</v>
      </c>
      <c r="O28" s="707">
        <f>IF(+All!$F711="Arkansas",+All!O711,IF(+All!$H711="Arkansas",+All!O711,0))</f>
        <v>13</v>
      </c>
      <c r="P28" s="707" t="str">
        <f>IF(+All!$F711="Arkansas",+All!P711,IF(+All!$H711="Arkansas",+All!P711,0))</f>
        <v>Arkansas</v>
      </c>
      <c r="Q28" s="701">
        <f>IF(+All!$F711="Arkansas",+All!Q711,IF(+All!$H711="Arkansas",+All!Q711,0))</f>
        <v>10</v>
      </c>
      <c r="R28" s="704" t="str">
        <f>IF(+All!$F711="Arkansas",+All!R711,IF(+All!$H711="Arkansas",+All!R711,0))</f>
        <v>LSU</v>
      </c>
      <c r="S28" s="707" t="str">
        <f>IF(+All!$F711="Arkansas",+All!S711,IF(+All!$H711="Arkansas",+All!S711,0))</f>
        <v>Arkansas</v>
      </c>
      <c r="T28" s="704" t="str">
        <f>IF(+All!$F711="Arkansas",+All!T711,IF(+All!$H711="Arkansas",+All!T711,0))</f>
        <v>Arkansas</v>
      </c>
      <c r="U28" s="701" t="str">
        <f>IF(+All!$F711="Arkansas",+All!U711,IF(+All!$H711="Arkansas",+All!U711,0))</f>
        <v>T</v>
      </c>
    </row>
    <row r="29" spans="1:21" ht="16.25" customHeight="1" x14ac:dyDescent="0.8">
      <c r="A29" s="697">
        <f>IF(+All!$F776="Arkansas",+All!A776,IF(+All!$H776="Arkansas",+All!A776,0))</f>
        <v>12</v>
      </c>
      <c r="B29" s="697" t="str">
        <f>IF(+All!$F776="Arkansas",+All!B776,IF(+All!$H776="Arkansas",+All!B776,0))</f>
        <v>Sat</v>
      </c>
      <c r="C29" s="708">
        <f>IF(+All!$F776="Arkansas",+All!C776,IF(+All!$H776="Arkansas",+All!C776,0))</f>
        <v>44884</v>
      </c>
      <c r="D29" s="700">
        <f>IF(+All!$F776="Arkansas",+All!D776,IF(+All!$H776="Arkansas",+All!D776,0))</f>
        <v>0.8125</v>
      </c>
      <c r="E29" s="701" t="str">
        <f>IF(+All!$F776="Arkansas",+All!E776,IF(+All!$H776="Arkansas",+All!E776,0))</f>
        <v>SEC</v>
      </c>
      <c r="F29" s="702" t="str">
        <f>IF(+All!$F776="Arkansas",+All!F776,IF(+All!$H776="Arkansas",+All!F776,0))</f>
        <v>Mississippi</v>
      </c>
      <c r="G29" s="710" t="str">
        <f>IF(+All!$F776="Arkansas",+All!G776,IF(+All!$H776="Arkansas",+All!G776,0))</f>
        <v>SEC</v>
      </c>
      <c r="H29" s="710" t="str">
        <f>IF(+All!$F776="Arkansas",+All!H776,IF(+All!$H776="Arkansas",+All!H776,0))</f>
        <v>Arkansas</v>
      </c>
      <c r="I29" s="703" t="str">
        <f>IF(+All!$F776="Arkansas",+All!I776,IF(+All!$H776="Arkansas",+All!I776,0))</f>
        <v>SEC</v>
      </c>
      <c r="J29" s="704" t="str">
        <f>IF(+All!$F776="Arkansas",+All!J776,IF(+All!$H776="Arkansas",+All!J776,0))</f>
        <v>Mississippi</v>
      </c>
      <c r="K29" s="701" t="str">
        <f>IF(+All!$F776="Arkansas",+All!K776,IF(+All!$H776="Arkansas",+All!K776,0))</f>
        <v>Arkansas</v>
      </c>
      <c r="L29" s="705">
        <f>IF(+All!$F776="Arkansas",+All!L776,IF(+All!$H776="Arkansas",+All!L776,0))</f>
        <v>2.5</v>
      </c>
      <c r="M29" s="706">
        <f>IF(+All!$F776="Arkansas",+All!M776,IF(+All!$H776="Arkansas",+All!M776,0))</f>
        <v>61</v>
      </c>
      <c r="N29" s="704" t="str">
        <f>IF(+All!$F776="Arkansas",+All!N776,IF(+All!$H776="Arkansas",+All!N776,0))</f>
        <v>Arkansas</v>
      </c>
      <c r="O29" s="707">
        <f>IF(+All!$F776="Arkansas",+All!O776,IF(+All!$H776="Arkansas",+All!O776,0))</f>
        <v>42</v>
      </c>
      <c r="P29" s="707" t="str">
        <f>IF(+All!$F776="Arkansas",+All!P776,IF(+All!$H776="Arkansas",+All!P776,0))</f>
        <v>Mississippi</v>
      </c>
      <c r="Q29" s="701">
        <f>IF(+All!$F776="Arkansas",+All!Q776,IF(+All!$H776="Arkansas",+All!Q776,0))</f>
        <v>27</v>
      </c>
      <c r="R29" s="704" t="str">
        <f>IF(+All!$F776="Arkansas",+All!R776,IF(+All!$H776="Arkansas",+All!R776,0))</f>
        <v>Arkansas</v>
      </c>
      <c r="S29" s="707" t="str">
        <f>IF(+All!$F776="Arkansas",+All!S776,IF(+All!$H776="Arkansas",+All!S776,0))</f>
        <v>Mississippi</v>
      </c>
      <c r="T29" s="704" t="str">
        <f>IF(+All!$F776="Arkansas",+All!T776,IF(+All!$H776="Arkansas",+All!T776,0))</f>
        <v>Arkansas</v>
      </c>
      <c r="U29" s="701" t="str">
        <f>IF(+All!$F776="Arkansas",+All!U776,IF(+All!$H776="Arkansas",+All!U776,0))</f>
        <v>W</v>
      </c>
    </row>
    <row r="30" spans="1:21" x14ac:dyDescent="0.8">
      <c r="A30" s="697">
        <f>IF(+All!$F793="Arkansas",+All!A793,IF(+All!$H793="Arkansas",+All!A793,0))</f>
        <v>13</v>
      </c>
      <c r="B30" s="697" t="str">
        <f>IF(+All!$F793="Arkansas",+All!B793,IF(+All!$H793="Arkansas",+All!B793,0))</f>
        <v>Fri</v>
      </c>
      <c r="C30" s="708">
        <f>IF(+All!$F793="Arkansas",+All!C793,IF(+All!$H793="Arkansas",+All!C793,0))</f>
        <v>44890</v>
      </c>
      <c r="D30" s="700">
        <f>IF(+All!$F793="Arkansas",+All!D793,IF(+All!$H793="Arkansas",+All!D793,0))</f>
        <v>0.64583333333333337</v>
      </c>
      <c r="E30" s="701" t="str">
        <f>IF(+All!$F793="Arkansas",+All!E793,IF(+All!$H793="Arkansas",+All!E793,0))</f>
        <v>ABC</v>
      </c>
      <c r="F30" s="702" t="str">
        <f>IF(+All!$F793="Arkansas",+All!F793,IF(+All!$H793="Arkansas",+All!F793,0))</f>
        <v>Arkansas</v>
      </c>
      <c r="G30" s="710" t="str">
        <f>IF(+All!$F793="Arkansas",+All!G793,IF(+All!$H793="Arkansas",+All!G793,0))</f>
        <v>SEC</v>
      </c>
      <c r="H30" s="710" t="str">
        <f>IF(+All!$F793="Arkansas",+All!H793,IF(+All!$H793="Arkansas",+All!H793,0))</f>
        <v>Missouri</v>
      </c>
      <c r="I30" s="703" t="str">
        <f>IF(+All!$F793="Arkansas",+All!I793,IF(+All!$H793="Arkansas",+All!I793,0))</f>
        <v>SEC</v>
      </c>
      <c r="J30" s="704" t="str">
        <f>IF(+All!$F793="Arkansas",+All!J793,IF(+All!$H793="Arkansas",+All!J793,0))</f>
        <v>Arkansas</v>
      </c>
      <c r="K30" s="701" t="str">
        <f>IF(+All!$F793="Arkansas",+All!K793,IF(+All!$H793="Arkansas",+All!K793,0))</f>
        <v>Missouri</v>
      </c>
      <c r="L30" s="705">
        <f>IF(+All!$F793="Arkansas",+All!L793,IF(+All!$H793="Arkansas",+All!L793,0))</f>
        <v>3.5</v>
      </c>
      <c r="M30" s="706">
        <f>IF(+All!$F793="Arkansas",+All!M793,IF(+All!$H793="Arkansas",+All!M793,0))</f>
        <v>55.5</v>
      </c>
      <c r="N30" s="704" t="str">
        <f>IF(+All!$F793="Arkansas",+All!N793,IF(+All!$H793="Arkansas",+All!N793,0))</f>
        <v>Missouri</v>
      </c>
      <c r="O30" s="707">
        <f>IF(+All!$F793="Arkansas",+All!O793,IF(+All!$H793="Arkansas",+All!O793,0))</f>
        <v>29</v>
      </c>
      <c r="P30" s="707" t="str">
        <f>IF(+All!$F793="Arkansas",+All!P793,IF(+All!$H793="Arkansas",+All!P793,0))</f>
        <v>Arkansas</v>
      </c>
      <c r="Q30" s="701">
        <f>IF(+All!$F793="Arkansas",+All!Q793,IF(+All!$H793="Arkansas",+All!Q793,0))</f>
        <v>27</v>
      </c>
      <c r="R30" s="704" t="str">
        <f>IF(+All!$F793="Arkansas",+All!R793,IF(+All!$H793="Arkansas",+All!R793,0))</f>
        <v>Missouri</v>
      </c>
      <c r="S30" s="707" t="str">
        <f>IF(+All!$F793="Arkansas",+All!S793,IF(+All!$H793="Arkansas",+All!S793,0))</f>
        <v>Arkansas</v>
      </c>
      <c r="T30" s="704" t="str">
        <f>IF(+All!$F793="Arkansas",+All!T793,IF(+All!$H793="Arkansas",+All!T793,0))</f>
        <v>Missouri</v>
      </c>
      <c r="U30" s="701" t="str">
        <f>IF(+All!$F793="Arkansas",+All!U793,IF(+All!$H793="Arkansas",+All!U793,0))</f>
        <v>W</v>
      </c>
    </row>
    <row r="31" spans="1:21" x14ac:dyDescent="0.8">
      <c r="B31" s="697"/>
      <c r="C31" s="708"/>
      <c r="D31" s="700"/>
      <c r="F31" s="916" t="str">
        <f>H32</f>
        <v>Auburn</v>
      </c>
      <c r="G31" s="917"/>
      <c r="H31" s="917"/>
      <c r="I31" s="918"/>
      <c r="L31" s="705"/>
      <c r="M31" s="706"/>
    </row>
    <row r="32" spans="1:21" x14ac:dyDescent="0.8">
      <c r="A32" s="697">
        <f>IF(+All!$F88="Auburn",+All!A88,IF(+All!$H88="Auburn",+All!A88,0))</f>
        <v>1</v>
      </c>
      <c r="B32" s="697" t="str">
        <f>IF(+All!$F88="Auburn",+All!B88,IF(+All!$H88="Auburn",+All!B88,0))</f>
        <v>Sat</v>
      </c>
      <c r="C32" s="708">
        <f>IF(+All!$F88="Auburn",+All!C88,IF(+All!$H88="Auburn",+All!C88,0))</f>
        <v>44807</v>
      </c>
      <c r="D32" s="700">
        <f>IF(+All!$F88="Auburn",+All!D88,IF(+All!$H88="Auburn",+All!D88,0))</f>
        <v>0.79166666666666663</v>
      </c>
      <c r="E32" s="701" t="str">
        <f>IF(+All!$F88="Auburn",+All!E88,IF(+All!$H88="Auburn",+All!E88,0))</f>
        <v>SEC</v>
      </c>
      <c r="F32" s="702" t="str">
        <f>IF(+All!$F88="Auburn",+All!F88,IF(+All!$H88="Auburn",+All!F88,0))</f>
        <v>1AA Mercer</v>
      </c>
      <c r="G32" s="710" t="str">
        <f>IF(+All!$F88="Auburn",+All!G88,IF(+All!$H88="Auburn",+All!G88,0))</f>
        <v>1AA</v>
      </c>
      <c r="H32" s="710" t="str">
        <f>IF(+All!$F88="Auburn",+All!H88,IF(+All!$H88="Auburn",+All!H88,0))</f>
        <v>Auburn</v>
      </c>
      <c r="I32" s="703" t="str">
        <f>IF(+All!$F88="Auburn",+All!I88,IF(+All!$H88="Auburn",+All!I88,0))</f>
        <v>SEC</v>
      </c>
      <c r="J32" s="704">
        <f>IF(+All!$F88="Auburn",+All!J88,IF(+All!$H88="Auburn",+All!J88,0))</f>
        <v>0</v>
      </c>
      <c r="K32" s="701">
        <f>IF(+All!$F88="Auburn",+All!K88,IF(+All!$H88="Auburn",+All!K88,0))</f>
        <v>0</v>
      </c>
      <c r="L32" s="705">
        <f>IF(+All!$F88="Auburn",+All!L88,IF(+All!$H88="Auburn",+All!L88,0))</f>
        <v>0</v>
      </c>
      <c r="M32" s="706">
        <f>IF(+All!$F88="Auburn",+All!M88,IF(+All!$H88="Auburn",+All!M88,0))</f>
        <v>0</v>
      </c>
      <c r="N32" s="704" t="str">
        <f>IF(+All!$F88="Auburn",+All!N88,IF(+All!$H88="Auburn",+All!N88,0))</f>
        <v>Auburn</v>
      </c>
      <c r="O32" s="707">
        <f>IF(+All!$F88="Auburn",+All!O88,IF(+All!$H88="Auburn",+All!O88,0))</f>
        <v>42</v>
      </c>
      <c r="P32" s="707" t="str">
        <f>IF(+All!$F88="Auburn",+All!P88,IF(+All!$H88="Auburn",+All!P88,0))</f>
        <v>1AA Mercer</v>
      </c>
      <c r="Q32" s="701">
        <f>IF(+All!$F88="Auburn",+All!Q88,IF(+All!$H88="Auburn",+All!Q88,0))</f>
        <v>16</v>
      </c>
      <c r="R32" s="704">
        <f>IF(+All!$F88="Auburn",+All!R88,IF(+All!$H88="Auburn",+All!R88,0))</f>
        <v>0</v>
      </c>
      <c r="S32" s="707">
        <f>IF(+All!$F88="Auburn",+All!S88,IF(+All!$H88="Auburn",+All!S88,0))</f>
        <v>0</v>
      </c>
      <c r="T32" s="704">
        <f>IF(+All!$F88="Auburn",+All!T88,IF(+All!$H88="Auburn",+All!T88,0))</f>
        <v>0</v>
      </c>
      <c r="U32" s="701">
        <f>IF(+All!$F88="Auburn",+All!U88,IF(+All!$H88="Auburn",+All!U88,0))</f>
        <v>0</v>
      </c>
    </row>
    <row r="33" spans="1:21" x14ac:dyDescent="0.8">
      <c r="A33" s="697">
        <f>IF(+All!$F172="Auburn",+All!A172,IF(+All!$H172="Auburn",+All!A172,0))</f>
        <v>2</v>
      </c>
      <c r="B33" s="697" t="str">
        <f>IF(+All!$F172="Auburn",+All!B172,IF(+All!$H172="Auburn",+All!B172,0))</f>
        <v>Sat</v>
      </c>
      <c r="C33" s="708">
        <f>IF(+All!$F172="Auburn",+All!C172,IF(+All!$H172="Auburn",+All!C172,0))</f>
        <v>44814</v>
      </c>
      <c r="D33" s="700">
        <f>IF(+All!$F172="Auburn",+All!D172,IF(+All!$H172="Auburn",+All!D172,0))</f>
        <v>0.8125</v>
      </c>
      <c r="E33" s="701" t="str">
        <f>IF(+All!$F172="Auburn",+All!E172,IF(+All!$H172="Auburn",+All!E172,0))</f>
        <v>ESPNU</v>
      </c>
      <c r="F33" s="702" t="str">
        <f>IF(+All!$F172="Auburn",+All!F172,IF(+All!$H172="Auburn",+All!F172,0))</f>
        <v>San Jose State</v>
      </c>
      <c r="G33" s="710" t="str">
        <f>IF(+All!$F172="Auburn",+All!G172,IF(+All!$H172="Auburn",+All!G172,0))</f>
        <v>MWC</v>
      </c>
      <c r="H33" s="710" t="str">
        <f>IF(+All!$F172="Auburn",+All!H172,IF(+All!$H172="Auburn",+All!H172,0))</f>
        <v>Auburn</v>
      </c>
      <c r="I33" s="703" t="str">
        <f>IF(+All!$F172="Auburn",+All!I172,IF(+All!$H172="Auburn",+All!I172,0))</f>
        <v>SEC</v>
      </c>
      <c r="J33" s="704" t="str">
        <f>IF(+All!$F172="Auburn",+All!J172,IF(+All!$H172="Auburn",+All!J172,0))</f>
        <v>Auburn</v>
      </c>
      <c r="K33" s="701" t="str">
        <f>IF(+All!$F172="Auburn",+All!K172,IF(+All!$H172="Auburn",+All!K172,0))</f>
        <v>San Jose State</v>
      </c>
      <c r="L33" s="705">
        <f>IF(+All!$F172="Auburn",+All!L172,IF(+All!$H172="Auburn",+All!L172,0))</f>
        <v>22.5</v>
      </c>
      <c r="M33" s="706">
        <f>IF(+All!$F172="Auburn",+All!M172,IF(+All!$H172="Auburn",+All!M172,0))</f>
        <v>50.5</v>
      </c>
      <c r="N33" s="704" t="str">
        <f>IF(+All!$F172="Auburn",+All!N172,IF(+All!$H172="Auburn",+All!N172,0))</f>
        <v>Auburn</v>
      </c>
      <c r="O33" s="707">
        <f>IF(+All!$F172="Auburn",+All!O172,IF(+All!$H172="Auburn",+All!O172,0))</f>
        <v>24</v>
      </c>
      <c r="P33" s="707" t="str">
        <f>IF(+All!$F172="Auburn",+All!P172,IF(+All!$H172="Auburn",+All!P172,0))</f>
        <v>San Jose State</v>
      </c>
      <c r="Q33" s="701">
        <f>IF(+All!$F172="Auburn",+All!Q172,IF(+All!$H172="Auburn",+All!Q172,0))</f>
        <v>16</v>
      </c>
      <c r="R33" s="704" t="str">
        <f>IF(+All!$F172="Auburn",+All!R172,IF(+All!$H172="Auburn",+All!R172,0))</f>
        <v>San Jose State</v>
      </c>
      <c r="S33" s="707" t="str">
        <f>IF(+All!$F172="Auburn",+All!S172,IF(+All!$H172="Auburn",+All!S172,0))</f>
        <v>Auburn</v>
      </c>
      <c r="T33" s="704" t="str">
        <f>IF(+All!$F172="Auburn",+All!T172,IF(+All!$H172="Auburn",+All!T172,0))</f>
        <v>San Jose State</v>
      </c>
      <c r="U33" s="701" t="str">
        <f>IF(+All!$F172="Auburn",+All!U172,IF(+All!$H172="Auburn",+All!U172,0))</f>
        <v>W</v>
      </c>
    </row>
    <row r="34" spans="1:21" x14ac:dyDescent="0.8">
      <c r="A34" s="697">
        <f>IF(+All!$F244="Auburn",+All!A244,IF(+All!$H244="Auburn",+All!A244,0))</f>
        <v>3</v>
      </c>
      <c r="B34" s="697" t="str">
        <f>IF(+All!$F244="Auburn",+All!B244,IF(+All!$H244="Auburn",+All!B244,0))</f>
        <v>Sat</v>
      </c>
      <c r="C34" s="708">
        <f>IF(+All!$F244="Auburn",+All!C244,IF(+All!$H244="Auburn",+All!C244,0))</f>
        <v>44821</v>
      </c>
      <c r="D34" s="700">
        <f>IF(+All!$F244="Auburn",+All!D244,IF(+All!$H244="Auburn",+All!D244,0))</f>
        <v>0.64583333333333337</v>
      </c>
      <c r="E34" s="701" t="str">
        <f>IF(+All!$F244="Auburn",+All!E244,IF(+All!$H244="Auburn",+All!E244,0))</f>
        <v>CBS</v>
      </c>
      <c r="F34" s="702" t="str">
        <f>IF(+All!$F244="Auburn",+All!F244,IF(+All!$H244="Auburn",+All!F244,0))</f>
        <v>Penn State</v>
      </c>
      <c r="G34" s="710" t="str">
        <f>IF(+All!$F244="Auburn",+All!G244,IF(+All!$H244="Auburn",+All!G244,0))</f>
        <v>B10</v>
      </c>
      <c r="H34" s="710" t="str">
        <f>IF(+All!$F244="Auburn",+All!H244,IF(+All!$H244="Auburn",+All!H244,0))</f>
        <v>Auburn</v>
      </c>
      <c r="I34" s="703" t="str">
        <f>IF(+All!$F244="Auburn",+All!I244,IF(+All!$H244="Auburn",+All!I244,0))</f>
        <v>SEC</v>
      </c>
      <c r="J34" s="704" t="str">
        <f>IF(+All!$F244="Auburn",+All!J244,IF(+All!$H244="Auburn",+All!J244,0))</f>
        <v>Penn State</v>
      </c>
      <c r="K34" s="701" t="str">
        <f>IF(+All!$F244="Auburn",+All!K244,IF(+All!$H244="Auburn",+All!K244,0))</f>
        <v>Auburn</v>
      </c>
      <c r="L34" s="705">
        <f>IF(+All!$F244="Auburn",+All!L244,IF(+All!$H244="Auburn",+All!L244,0))</f>
        <v>3</v>
      </c>
      <c r="M34" s="706">
        <f>IF(+All!$F244="Auburn",+All!M244,IF(+All!$H244="Auburn",+All!M244,0))</f>
        <v>47.5</v>
      </c>
      <c r="N34" s="704" t="str">
        <f>IF(+All!$F244="Auburn",+All!N244,IF(+All!$H244="Auburn",+All!N244,0))</f>
        <v>Penn State</v>
      </c>
      <c r="O34" s="707">
        <f>IF(+All!$F244="Auburn",+All!O244,IF(+All!$H244="Auburn",+All!O244,0))</f>
        <v>41</v>
      </c>
      <c r="P34" s="707" t="str">
        <f>IF(+All!$F244="Auburn",+All!P244,IF(+All!$H244="Auburn",+All!P244,0))</f>
        <v>Auburn</v>
      </c>
      <c r="Q34" s="701">
        <f>IF(+All!$F244="Auburn",+All!Q244,IF(+All!$H244="Auburn",+All!Q244,0))</f>
        <v>12</v>
      </c>
      <c r="R34" s="704" t="str">
        <f>IF(+All!$F244="Auburn",+All!R244,IF(+All!$H244="Auburn",+All!R244,0))</f>
        <v>Penn State</v>
      </c>
      <c r="S34" s="707" t="str">
        <f>IF(+All!$F244="Auburn",+All!S244,IF(+All!$H244="Auburn",+All!S244,0))</f>
        <v>Auburn</v>
      </c>
      <c r="T34" s="704" t="str">
        <f>IF(+All!$F244="Auburn",+All!T244,IF(+All!$H244="Auburn",+All!T244,0))</f>
        <v>Penn State</v>
      </c>
      <c r="U34" s="701" t="str">
        <f>IF(+All!$F244="Auburn",+All!U244,IF(+All!$H244="Auburn",+All!U244,0))</f>
        <v>W</v>
      </c>
    </row>
    <row r="35" spans="1:21" x14ac:dyDescent="0.8">
      <c r="A35" s="697">
        <f>IF(+All!$F310="Auburn",+All!A310,IF(+All!$H310="Auburn",+All!A310,0))</f>
        <v>4</v>
      </c>
      <c r="B35" s="697" t="str">
        <f>IF(+All!$F310="Auburn",+All!B310,IF(+All!$H310="Auburn",+All!B310,0))</f>
        <v>Sat</v>
      </c>
      <c r="C35" s="708">
        <f>IF(+All!$F310="Auburn",+All!C310,IF(+All!$H310="Auburn",+All!C310,0))</f>
        <v>44828</v>
      </c>
      <c r="D35" s="700">
        <f>IF(+All!$F310="Auburn",+All!D310,IF(+All!$H310="Auburn",+All!D310,0))</f>
        <v>0.5</v>
      </c>
      <c r="E35" s="701" t="str">
        <f>IF(+All!$F310="Auburn",+All!E310,IF(+All!$H310="Auburn",+All!E310,0))</f>
        <v>ESPN</v>
      </c>
      <c r="F35" s="702" t="str">
        <f>IF(+All!$F310="Auburn",+All!F310,IF(+All!$H310="Auburn",+All!F310,0))</f>
        <v>Missouri</v>
      </c>
      <c r="G35" s="710" t="str">
        <f>IF(+All!$F310="Auburn",+All!G310,IF(+All!$H310="Auburn",+All!G310,0))</f>
        <v>SEC</v>
      </c>
      <c r="H35" s="710" t="str">
        <f>IF(+All!$F310="Auburn",+All!H310,IF(+All!$H310="Auburn",+All!H310,0))</f>
        <v>Auburn</v>
      </c>
      <c r="I35" s="703" t="str">
        <f>IF(+All!$F310="Auburn",+All!I310,IF(+All!$H310="Auburn",+All!I310,0))</f>
        <v>SEC</v>
      </c>
      <c r="J35" s="704" t="str">
        <f>IF(+All!$F310="Auburn",+All!J310,IF(+All!$H310="Auburn",+All!J310,0))</f>
        <v>Auburn</v>
      </c>
      <c r="K35" s="701" t="str">
        <f>IF(+All!$F310="Auburn",+All!K310,IF(+All!$H310="Auburn",+All!K310,0))</f>
        <v>Missouri</v>
      </c>
      <c r="L35" s="705">
        <f>IF(+All!$F310="Auburn",+All!L310,IF(+All!$H310="Auburn",+All!L310,0))</f>
        <v>7</v>
      </c>
      <c r="M35" s="706">
        <f>IF(+All!$F310="Auburn",+All!M310,IF(+All!$H310="Auburn",+All!M310,0))</f>
        <v>51.5</v>
      </c>
      <c r="N35" s="704" t="str">
        <f>IF(+All!$F310="Auburn",+All!N310,IF(+All!$H310="Auburn",+All!N310,0))</f>
        <v>Auburn</v>
      </c>
      <c r="O35" s="707">
        <f>IF(+All!$F310="Auburn",+All!O310,IF(+All!$H310="Auburn",+All!O310,0))</f>
        <v>17</v>
      </c>
      <c r="P35" s="707" t="str">
        <f>IF(+All!$F310="Auburn",+All!P310,IF(+All!$H310="Auburn",+All!P310,0))</f>
        <v>Missouri</v>
      </c>
      <c r="Q35" s="701">
        <f>IF(+All!$F310="Auburn",+All!Q310,IF(+All!$H310="Auburn",+All!Q310,0))</f>
        <v>14</v>
      </c>
      <c r="R35" s="704" t="str">
        <f>IF(+All!$F310="Auburn",+All!R310,IF(+All!$H310="Auburn",+All!R310,0))</f>
        <v>Missouri</v>
      </c>
      <c r="S35" s="707" t="str">
        <f>IF(+All!$F310="Auburn",+All!S310,IF(+All!$H310="Auburn",+All!S310,0))</f>
        <v>Auburn</v>
      </c>
      <c r="T35" s="704" t="str">
        <f>IF(+All!$F310="Auburn",+All!T310,IF(+All!$H310="Auburn",+All!T310,0))</f>
        <v>Missouri</v>
      </c>
      <c r="U35" s="701" t="str">
        <f>IF(+All!$F310="Auburn",+All!U310,IF(+All!$H310="Auburn",+All!U310,0))</f>
        <v>W</v>
      </c>
    </row>
    <row r="36" spans="1:21" x14ac:dyDescent="0.8">
      <c r="A36" s="697">
        <f>IF(+All!$F376="Auburn",+All!A376,IF(+All!$H376="Auburn",+All!A376,0))</f>
        <v>5</v>
      </c>
      <c r="B36" s="697" t="str">
        <f>IF(+All!$F376="Auburn",+All!B376,IF(+All!$H376="Auburn",+All!B376,0))</f>
        <v>Sat</v>
      </c>
      <c r="C36" s="708">
        <f>IF(+All!$F376="Auburn",+All!C376,IF(+All!$H376="Auburn",+All!C376,0))</f>
        <v>44835</v>
      </c>
      <c r="D36" s="700">
        <f>IF(+All!$F376="Auburn",+All!D376,IF(+All!$H376="Auburn",+All!D376,0))</f>
        <v>0.79166666666666663</v>
      </c>
      <c r="E36" s="701" t="str">
        <f>IF(+All!$F376="Auburn",+All!E376,IF(+All!$H376="Auburn",+All!E376,0))</f>
        <v>ESPN</v>
      </c>
      <c r="F36" s="702" t="str">
        <f>IF(+All!$F376="Auburn",+All!F376,IF(+All!$H376="Auburn",+All!F376,0))</f>
        <v>LSU</v>
      </c>
      <c r="G36" s="710" t="str">
        <f>IF(+All!$F376="Auburn",+All!G376,IF(+All!$H376="Auburn",+All!G376,0))</f>
        <v>SEC</v>
      </c>
      <c r="H36" s="710" t="str">
        <f>IF(+All!$F376="Auburn",+All!H376,IF(+All!$H376="Auburn",+All!H376,0))</f>
        <v>Auburn</v>
      </c>
      <c r="I36" s="703" t="str">
        <f>IF(+All!$F376="Auburn",+All!I376,IF(+All!$H376="Auburn",+All!I376,0))</f>
        <v>SEC</v>
      </c>
      <c r="J36" s="704" t="str">
        <f>IF(+All!$F376="Auburn",+All!J376,IF(+All!$H376="Auburn",+All!J376,0))</f>
        <v>LSU</v>
      </c>
      <c r="K36" s="701" t="str">
        <f>IF(+All!$F376="Auburn",+All!K376,IF(+All!$H376="Auburn",+All!K376,0))</f>
        <v>Auburn</v>
      </c>
      <c r="L36" s="705">
        <f>IF(+All!$F376="Auburn",+All!L376,IF(+All!$H376="Auburn",+All!L376,0))</f>
        <v>8.5</v>
      </c>
      <c r="M36" s="706">
        <f>IF(+All!$F376="Auburn",+All!M376,IF(+All!$H376="Auburn",+All!M376,0))</f>
        <v>45.5</v>
      </c>
      <c r="N36" s="704" t="str">
        <f>IF(+All!$F376="Auburn",+All!N376,IF(+All!$H376="Auburn",+All!N376,0))</f>
        <v>LSU</v>
      </c>
      <c r="O36" s="707">
        <f>IF(+All!$F376="Auburn",+All!O376,IF(+All!$H376="Auburn",+All!O376,0))</f>
        <v>21</v>
      </c>
      <c r="P36" s="707" t="str">
        <f>IF(+All!$F376="Auburn",+All!P376,IF(+All!$H376="Auburn",+All!P376,0))</f>
        <v>Auburn</v>
      </c>
      <c r="Q36" s="701">
        <f>IF(+All!$F376="Auburn",+All!Q376,IF(+All!$H376="Auburn",+All!Q376,0))</f>
        <v>17</v>
      </c>
      <c r="R36" s="704" t="str">
        <f>IF(+All!$F376="Auburn",+All!R376,IF(+All!$H376="Auburn",+All!R376,0))</f>
        <v>Auburn</v>
      </c>
      <c r="S36" s="707" t="str">
        <f>IF(+All!$F376="Auburn",+All!S376,IF(+All!$H376="Auburn",+All!S376,0))</f>
        <v>LSU</v>
      </c>
      <c r="T36" s="704" t="str">
        <f>IF(+All!$F376="Auburn",+All!T376,IF(+All!$H376="Auburn",+All!T376,0))</f>
        <v>LSU</v>
      </c>
      <c r="U36" s="701" t="str">
        <f>IF(+All!$F376="Auburn",+All!U376,IF(+All!$H376="Auburn",+All!U376,0))</f>
        <v>L</v>
      </c>
    </row>
    <row r="37" spans="1:21" x14ac:dyDescent="0.8">
      <c r="A37" s="697">
        <f>IF(+All!$F433="Auburn",+All!A433,IF(+All!$H433="Auburn",+All!A433,0))</f>
        <v>6</v>
      </c>
      <c r="B37" s="697" t="str">
        <f>IF(+All!$F433="Auburn",+All!B433,IF(+All!$H433="Auburn",+All!B433,0))</f>
        <v>Sat</v>
      </c>
      <c r="C37" s="708">
        <f>IF(+All!$F433="Auburn",+All!C433,IF(+All!$H433="Auburn",+All!C433,0))</f>
        <v>44842</v>
      </c>
      <c r="D37" s="700">
        <f>IF(+All!$F433="Auburn",+All!D433,IF(+All!$H433="Auburn",+All!D433,0))</f>
        <v>0.64583333333333337</v>
      </c>
      <c r="E37" s="701" t="str">
        <f>IF(+All!$F433="Auburn",+All!E433,IF(+All!$H433="Auburn",+All!E433,0))</f>
        <v>CBS</v>
      </c>
      <c r="F37" s="702" t="str">
        <f>IF(+All!$F433="Auburn",+All!F433,IF(+All!$H433="Auburn",+All!F433,0))</f>
        <v>Auburn</v>
      </c>
      <c r="G37" s="710" t="str">
        <f>IF(+All!$F433="Auburn",+All!G433,IF(+All!$H433="Auburn",+All!G433,0))</f>
        <v>SEC</v>
      </c>
      <c r="H37" s="710" t="str">
        <f>IF(+All!$F433="Auburn",+All!H433,IF(+All!$H433="Auburn",+All!H433,0))</f>
        <v>Georgia</v>
      </c>
      <c r="I37" s="703" t="str">
        <f>IF(+All!$F433="Auburn",+All!I433,IF(+All!$H433="Auburn",+All!I433,0))</f>
        <v>SEC</v>
      </c>
      <c r="J37" s="704" t="str">
        <f>IF(+All!$F433="Auburn",+All!J433,IF(+All!$H433="Auburn",+All!J433,0))</f>
        <v>Georgia</v>
      </c>
      <c r="K37" s="701" t="str">
        <f>IF(+All!$F433="Auburn",+All!K433,IF(+All!$H433="Auburn",+All!K433,0))</f>
        <v>Auburn</v>
      </c>
      <c r="L37" s="705">
        <f>IF(+All!$F433="Auburn",+All!L433,IF(+All!$H433="Auburn",+All!L433,0))</f>
        <v>30</v>
      </c>
      <c r="M37" s="706">
        <f>IF(+All!$F433="Auburn",+All!M433,IF(+All!$H433="Auburn",+All!M433,0))</f>
        <v>49</v>
      </c>
      <c r="N37" s="704" t="str">
        <f>IF(+All!$F433="Auburn",+All!N433,IF(+All!$H433="Auburn",+All!N433,0))</f>
        <v>Georgia</v>
      </c>
      <c r="O37" s="707">
        <f>IF(+All!$F433="Auburn",+All!O433,IF(+All!$H433="Auburn",+All!O433,0))</f>
        <v>42</v>
      </c>
      <c r="P37" s="707" t="str">
        <f>IF(+All!$F433="Auburn",+All!P433,IF(+All!$H433="Auburn",+All!P433,0))</f>
        <v>Auburn</v>
      </c>
      <c r="Q37" s="701">
        <f>IF(+All!$F433="Auburn",+All!Q433,IF(+All!$H433="Auburn",+All!Q433,0))</f>
        <v>10</v>
      </c>
      <c r="R37" s="704" t="str">
        <f>IF(+All!$F433="Auburn",+All!R433,IF(+All!$H433="Auburn",+All!R433,0))</f>
        <v>Georgia</v>
      </c>
      <c r="S37" s="707" t="str">
        <f>IF(+All!$F433="Auburn",+All!S433,IF(+All!$H433="Auburn",+All!S433,0))</f>
        <v>Auburn</v>
      </c>
      <c r="T37" s="704" t="str">
        <f>IF(+All!$F433="Auburn",+All!T433,IF(+All!$H433="Auburn",+All!T433,0))</f>
        <v>Auburn</v>
      </c>
      <c r="U37" s="701" t="str">
        <f>IF(+All!$F433="Auburn",+All!U433,IF(+All!$H433="Auburn",+All!U433,0))</f>
        <v>L</v>
      </c>
    </row>
    <row r="38" spans="1:21" x14ac:dyDescent="0.8">
      <c r="A38" s="697">
        <f>IF(+All!$F489="Auburn",+All!A489,IF(+All!$H489="Auburn",+All!A489,0))</f>
        <v>7</v>
      </c>
      <c r="B38" s="697" t="str">
        <f>IF(+All!$F489="Auburn",+All!B489,IF(+All!$H489="Auburn",+All!B489,0))</f>
        <v>Sat</v>
      </c>
      <c r="C38" s="708">
        <f>IF(+All!$F489="Auburn",+All!C489,IF(+All!$H489="Auburn",+All!C489,0))</f>
        <v>44849</v>
      </c>
      <c r="D38" s="700">
        <f>IF(+All!$F489="Auburn",+All!D489,IF(+All!$H489="Auburn",+All!D489,0))</f>
        <v>0.5</v>
      </c>
      <c r="E38" s="701" t="str">
        <f>IF(+All!$F489="Auburn",+All!E489,IF(+All!$H489="Auburn",+All!E489,0))</f>
        <v>ESPN</v>
      </c>
      <c r="F38" s="702" t="str">
        <f>IF(+All!$F489="Auburn",+All!F489,IF(+All!$H489="Auburn",+All!F489,0))</f>
        <v>Auburn</v>
      </c>
      <c r="G38" s="710" t="str">
        <f>IF(+All!$F489="Auburn",+All!G489,IF(+All!$H489="Auburn",+All!G489,0))</f>
        <v>SEC</v>
      </c>
      <c r="H38" s="710" t="str">
        <f>IF(+All!$F489="Auburn",+All!H489,IF(+All!$H489="Auburn",+All!H489,0))</f>
        <v>Mississippi</v>
      </c>
      <c r="I38" s="703" t="str">
        <f>IF(+All!$F489="Auburn",+All!I489,IF(+All!$H489="Auburn",+All!I489,0))</f>
        <v>SEC</v>
      </c>
      <c r="J38" s="704" t="str">
        <f>IF(+All!$F489="Auburn",+All!J489,IF(+All!$H489="Auburn",+All!J489,0))</f>
        <v>Mississippi</v>
      </c>
      <c r="K38" s="701" t="str">
        <f>IF(+All!$F489="Auburn",+All!K489,IF(+All!$H489="Auburn",+All!K489,0))</f>
        <v>Auburn</v>
      </c>
      <c r="L38" s="705">
        <f>IF(+All!$F489="Auburn",+All!L489,IF(+All!$H489="Auburn",+All!L489,0))</f>
        <v>14.5</v>
      </c>
      <c r="M38" s="706">
        <f>IF(+All!$F489="Auburn",+All!M489,IF(+All!$H489="Auburn",+All!M489,0))</f>
        <v>54</v>
      </c>
      <c r="N38" s="704" t="str">
        <f>IF(+All!$F489="Auburn",+All!N489,IF(+All!$H489="Auburn",+All!N489,0))</f>
        <v>Mississippi</v>
      </c>
      <c r="O38" s="707">
        <f>IF(+All!$F489="Auburn",+All!O489,IF(+All!$H489="Auburn",+All!O489,0))</f>
        <v>48</v>
      </c>
      <c r="P38" s="707" t="str">
        <f>IF(+All!$F489="Auburn",+All!P489,IF(+All!$H489="Auburn",+All!P489,0))</f>
        <v>Auburn</v>
      </c>
      <c r="Q38" s="701">
        <f>IF(+All!$F489="Auburn",+All!Q489,IF(+All!$H489="Auburn",+All!Q489,0))</f>
        <v>34</v>
      </c>
      <c r="R38" s="704" t="str">
        <f>IF(+All!$F489="Auburn",+All!R489,IF(+All!$H489="Auburn",+All!R489,0))</f>
        <v>Auburn</v>
      </c>
      <c r="S38" s="707" t="str">
        <f>IF(+All!$F489="Auburn",+All!S489,IF(+All!$H489="Auburn",+All!S489,0))</f>
        <v>Mississippi</v>
      </c>
      <c r="T38" s="704" t="str">
        <f>IF(+All!$F489="Auburn",+All!T489,IF(+All!$H489="Auburn",+All!T489,0))</f>
        <v>Mississippi</v>
      </c>
      <c r="U38" s="701" t="str">
        <f>IF(+All!$F489="Auburn",+All!U489,IF(+All!$H489="Auburn",+All!U489,0))</f>
        <v>L</v>
      </c>
    </row>
    <row r="39" spans="1:21" x14ac:dyDescent="0.8">
      <c r="A39" s="697" t="e">
        <f>IF(+All!#REF!="Auburn",+All!#REF!,IF(+All!#REF!="Auburn",+All!#REF!,0))</f>
        <v>#REF!</v>
      </c>
      <c r="B39" s="697" t="e">
        <f>IF(+All!#REF!="Auburn",+All!#REF!,IF(+All!#REF!="Auburn",+All!#REF!,0))</f>
        <v>#REF!</v>
      </c>
      <c r="C39" s="708" t="e">
        <f>IF(+All!#REF!="Auburn",+All!#REF!,IF(+All!#REF!="Auburn",+All!#REF!,0))</f>
        <v>#REF!</v>
      </c>
      <c r="D39" s="700" t="e">
        <f>IF(+All!#REF!="Auburn",+All!#REF!,IF(+All!#REF!="Auburn",+All!#REF!,0))</f>
        <v>#REF!</v>
      </c>
      <c r="E39" s="701" t="e">
        <f>IF(+All!#REF!="Auburn",+All!#REF!,IF(+All!#REF!="Auburn",+All!#REF!,0))</f>
        <v>#REF!</v>
      </c>
      <c r="F39" s="702" t="e">
        <f>IF(+All!#REF!="Auburn",+All!#REF!,IF(+All!#REF!="Auburn",+All!#REF!,0))</f>
        <v>#REF!</v>
      </c>
      <c r="G39" s="710" t="e">
        <f>IF(+All!#REF!="Auburn",+All!#REF!,IF(+All!#REF!="Auburn",+All!#REF!,0))</f>
        <v>#REF!</v>
      </c>
      <c r="H39" s="710" t="e">
        <f>IF(+All!#REF!="Auburn",+All!#REF!,IF(+All!#REF!="Auburn",+All!#REF!,0))</f>
        <v>#REF!</v>
      </c>
      <c r="I39" s="703" t="e">
        <f>IF(+All!#REF!="Auburn",+All!#REF!,IF(+All!#REF!="Auburn",+All!#REF!,0))</f>
        <v>#REF!</v>
      </c>
      <c r="J39" s="704" t="e">
        <f>IF(+All!#REF!="Auburn",+All!#REF!,IF(+All!#REF!="Auburn",+All!#REF!,0))</f>
        <v>#REF!</v>
      </c>
      <c r="K39" s="701" t="e">
        <f>IF(+All!#REF!="Auburn",+All!#REF!,IF(+All!#REF!="Auburn",+All!#REF!,0))</f>
        <v>#REF!</v>
      </c>
      <c r="L39" s="705" t="e">
        <f>IF(+All!#REF!="Auburn",+All!#REF!,IF(+All!#REF!="Auburn",+All!#REF!,0))</f>
        <v>#REF!</v>
      </c>
      <c r="M39" s="706" t="e">
        <f>IF(+All!#REF!="Auburn",+All!#REF!,IF(+All!#REF!="Auburn",+All!#REF!,0))</f>
        <v>#REF!</v>
      </c>
      <c r="N39" s="704" t="e">
        <f>IF(+All!#REF!="Auburn",+All!#REF!,IF(+All!#REF!="Auburn",+All!#REF!,0))</f>
        <v>#REF!</v>
      </c>
      <c r="O39" s="707" t="e">
        <f>IF(+All!#REF!="Auburn",+All!#REF!,IF(+All!#REF!="Auburn",+All!#REF!,0))</f>
        <v>#REF!</v>
      </c>
      <c r="P39" s="707" t="e">
        <f>IF(+All!#REF!="Auburn",+All!#REF!,IF(+All!#REF!="Auburn",+All!#REF!,0))</f>
        <v>#REF!</v>
      </c>
      <c r="Q39" s="701" t="e">
        <f>IF(+All!#REF!="Auburn",+All!#REF!,IF(+All!#REF!="Auburn",+All!#REF!,0))</f>
        <v>#REF!</v>
      </c>
      <c r="R39" s="704" t="e">
        <f>IF(+All!#REF!="Auburn",+All!#REF!,IF(+All!#REF!="Auburn",+All!#REF!,0))</f>
        <v>#REF!</v>
      </c>
      <c r="S39" s="707" t="e">
        <f>IF(+All!#REF!="Auburn",+All!#REF!,IF(+All!#REF!="Auburn",+All!#REF!,0))</f>
        <v>#REF!</v>
      </c>
      <c r="T39" s="704" t="e">
        <f>IF(+All!#REF!="Auburn",+All!#REF!,IF(+All!#REF!="Auburn",+All!#REF!,0))</f>
        <v>#REF!</v>
      </c>
      <c r="U39" s="701" t="e">
        <f>IF(+All!#REF!="Auburn",+All!#REF!,IF(+All!#REF!="Auburn",+All!#REF!,0))</f>
        <v>#REF!</v>
      </c>
    </row>
    <row r="40" spans="1:21" x14ac:dyDescent="0.8">
      <c r="A40" s="697">
        <f>IF(+All!$F588="Auburn",+All!A588,IF(+All!$H588="Auburn",+All!A588,0))</f>
        <v>9</v>
      </c>
      <c r="B40" s="697" t="str">
        <f>IF(+All!$F588="Auburn",+All!B588,IF(+All!$H588="Auburn",+All!B588,0))</f>
        <v>Sat</v>
      </c>
      <c r="C40" s="708">
        <f>IF(+All!$F588="Auburn",+All!C588,IF(+All!$H588="Auburn",+All!C588,0))</f>
        <v>44863</v>
      </c>
      <c r="D40" s="700">
        <f>IF(+All!$F588="Auburn",+All!D588,IF(+All!$H588="Auburn",+All!D588,0))</f>
        <v>0.5</v>
      </c>
      <c r="E40" s="701" t="str">
        <f>IF(+All!$F588="Auburn",+All!E588,IF(+All!$H588="Auburn",+All!E588,0))</f>
        <v>SEC</v>
      </c>
      <c r="F40" s="702" t="str">
        <f>IF(+All!$F588="Auburn",+All!F588,IF(+All!$H588="Auburn",+All!F588,0))</f>
        <v>Arkansas</v>
      </c>
      <c r="G40" s="710" t="str">
        <f>IF(+All!$F588="Auburn",+All!G588,IF(+All!$H588="Auburn",+All!G588,0))</f>
        <v>SEC</v>
      </c>
      <c r="H40" s="710" t="str">
        <f>IF(+All!$F588="Auburn",+All!H588,IF(+All!$H588="Auburn",+All!H588,0))</f>
        <v>Auburn</v>
      </c>
      <c r="I40" s="703" t="str">
        <f>IF(+All!$F588="Auburn",+All!I588,IF(+All!$H588="Auburn",+All!I588,0))</f>
        <v>SEC</v>
      </c>
      <c r="J40" s="704" t="str">
        <f>IF(+All!$F588="Auburn",+All!J588,IF(+All!$H588="Auburn",+All!J588,0))</f>
        <v>Arkansas</v>
      </c>
      <c r="K40" s="701" t="str">
        <f>IF(+All!$F588="Auburn",+All!K588,IF(+All!$H588="Auburn",+All!K588,0))</f>
        <v>Auburn</v>
      </c>
      <c r="L40" s="705">
        <f>IF(+All!$F588="Auburn",+All!L588,IF(+All!$H588="Auburn",+All!L588,0))</f>
        <v>3.5</v>
      </c>
      <c r="M40" s="706">
        <f>IF(+All!$F588="Auburn",+All!M588,IF(+All!$H588="Auburn",+All!M588,0))</f>
        <v>61</v>
      </c>
      <c r="N40" s="704" t="str">
        <f>IF(+All!$F588="Auburn",+All!N588,IF(+All!$H588="Auburn",+All!N588,0))</f>
        <v>Arkansas</v>
      </c>
      <c r="O40" s="707">
        <f>IF(+All!$F588="Auburn",+All!O588,IF(+All!$H588="Auburn",+All!O588,0))</f>
        <v>41</v>
      </c>
      <c r="P40" s="707" t="str">
        <f>IF(+All!$F588="Auburn",+All!P588,IF(+All!$H588="Auburn",+All!P588,0))</f>
        <v>Auburn</v>
      </c>
      <c r="Q40" s="701">
        <f>IF(+All!$F588="Auburn",+All!Q588,IF(+All!$H588="Auburn",+All!Q588,0))</f>
        <v>27</v>
      </c>
      <c r="R40" s="704" t="str">
        <f>IF(+All!$F588="Auburn",+All!R588,IF(+All!$H588="Auburn",+All!R588,0))</f>
        <v>Arkansas</v>
      </c>
      <c r="S40" s="707" t="str">
        <f>IF(+All!$F588="Auburn",+All!S588,IF(+All!$H588="Auburn",+All!S588,0))</f>
        <v>Auburn</v>
      </c>
      <c r="T40" s="704" t="str">
        <f>IF(+All!$F588="Auburn",+All!T588,IF(+All!$H588="Auburn",+All!T588,0))</f>
        <v>Arkansas</v>
      </c>
      <c r="U40" s="701" t="str">
        <f>IF(+All!$F588="Auburn",+All!U588,IF(+All!$H588="Auburn",+All!U588,0))</f>
        <v>W</v>
      </c>
    </row>
    <row r="41" spans="1:21" x14ac:dyDescent="0.8">
      <c r="A41" s="697">
        <f>IF(+All!$F649="Auburn",+All!A649,IF(+All!$H649="Auburn",+All!A649,0))</f>
        <v>10</v>
      </c>
      <c r="B41" s="697" t="str">
        <f>IF(+All!$F649="Auburn",+All!B649,IF(+All!$H649="Auburn",+All!B649,0))</f>
        <v>Sat</v>
      </c>
      <c r="C41" s="708">
        <f>IF(+All!$F649="Auburn",+All!C649,IF(+All!$H649="Auburn",+All!C649,0))</f>
        <v>44870</v>
      </c>
      <c r="D41" s="700">
        <f>IF(+All!$F649="Auburn",+All!D649,IF(+All!$H649="Auburn",+All!D649,0))</f>
        <v>0.8125</v>
      </c>
      <c r="E41" s="701" t="str">
        <f>IF(+All!$F649="Auburn",+All!E649,IF(+All!$H649="Auburn",+All!E649,0))</f>
        <v>ESPN2</v>
      </c>
      <c r="F41" s="702" t="str">
        <f>IF(+All!$F649="Auburn",+All!F649,IF(+All!$H649="Auburn",+All!F649,0))</f>
        <v>Auburn</v>
      </c>
      <c r="G41" s="710" t="str">
        <f>IF(+All!$F649="Auburn",+All!G649,IF(+All!$H649="Auburn",+All!G649,0))</f>
        <v>SEC</v>
      </c>
      <c r="H41" s="710" t="str">
        <f>IF(+All!$F649="Auburn",+All!H649,IF(+All!$H649="Auburn",+All!H649,0))</f>
        <v>Mississippi State</v>
      </c>
      <c r="I41" s="703" t="str">
        <f>IF(+All!$F649="Auburn",+All!I649,IF(+All!$H649="Auburn",+All!I649,0))</f>
        <v>SEC</v>
      </c>
      <c r="J41" s="704" t="str">
        <f>IF(+All!$F649="Auburn",+All!J649,IF(+All!$H649="Auburn",+All!J649,0))</f>
        <v>Mississippi State</v>
      </c>
      <c r="K41" s="701" t="str">
        <f>IF(+All!$F649="Auburn",+All!K649,IF(+All!$H649="Auburn",+All!K649,0))</f>
        <v>Auburn</v>
      </c>
      <c r="L41" s="705">
        <f>IF(+All!$F649="Auburn",+All!L649,IF(+All!$H649="Auburn",+All!L649,0))</f>
        <v>13.5</v>
      </c>
      <c r="M41" s="706">
        <f>IF(+All!$F649="Auburn",+All!M649,IF(+All!$H649="Auburn",+All!M649,0))</f>
        <v>53</v>
      </c>
      <c r="N41" s="704" t="str">
        <f>IF(+All!$F649="Auburn",+All!N649,IF(+All!$H649="Auburn",+All!N649,0))</f>
        <v>Mississippi State</v>
      </c>
      <c r="O41" s="707">
        <f>IF(+All!$F649="Auburn",+All!O649,IF(+All!$H649="Auburn",+All!O649,0))</f>
        <v>39</v>
      </c>
      <c r="P41" s="707" t="str">
        <f>IF(+All!$F649="Auburn",+All!P649,IF(+All!$H649="Auburn",+All!P649,0))</f>
        <v>Auburn</v>
      </c>
      <c r="Q41" s="701">
        <f>IF(+All!$F649="Auburn",+All!Q649,IF(+All!$H649="Auburn",+All!Q649,0))</f>
        <v>33</v>
      </c>
      <c r="R41" s="704" t="str">
        <f>IF(+All!$F649="Auburn",+All!R649,IF(+All!$H649="Auburn",+All!R649,0))</f>
        <v>Auburn</v>
      </c>
      <c r="S41" s="707" t="str">
        <f>IF(+All!$F649="Auburn",+All!S649,IF(+All!$H649="Auburn",+All!S649,0))</f>
        <v>Mississippi State</v>
      </c>
      <c r="T41" s="704" t="str">
        <f>IF(+All!$F649="Auburn",+All!T649,IF(+All!$H649="Auburn",+All!T649,0))</f>
        <v>Auburn</v>
      </c>
      <c r="U41" s="701" t="str">
        <f>IF(+All!$F649="Auburn",+All!U649,IF(+All!$H649="Auburn",+All!U649,0))</f>
        <v>W</v>
      </c>
    </row>
    <row r="42" spans="1:21" x14ac:dyDescent="0.8">
      <c r="A42" s="697">
        <f>IF(+All!$F712="Auburn",+All!A712,IF(+All!$H712="Auburn",+All!A712,0))</f>
        <v>11</v>
      </c>
      <c r="B42" s="697" t="str">
        <f>IF(+All!$F712="Auburn",+All!B712,IF(+All!$H712="Auburn",+All!B712,0))</f>
        <v>Sat</v>
      </c>
      <c r="C42" s="708">
        <f>IF(+All!$F712="Auburn",+All!C712,IF(+All!$H712="Auburn",+All!C712,0))</f>
        <v>44877</v>
      </c>
      <c r="D42" s="700">
        <f>IF(+All!$F712="Auburn",+All!D712,IF(+All!$H712="Auburn",+All!D712,0))</f>
        <v>0.8125</v>
      </c>
      <c r="E42" s="701" t="str">
        <f>IF(+All!$F712="Auburn",+All!E712,IF(+All!$H712="Auburn",+All!E712,0))</f>
        <v>SEC</v>
      </c>
      <c r="F42" s="702" t="str">
        <f>IF(+All!$F712="Auburn",+All!F712,IF(+All!$H712="Auburn",+All!F712,0))</f>
        <v>Texas A&amp;M</v>
      </c>
      <c r="G42" s="710" t="str">
        <f>IF(+All!$F712="Auburn",+All!G712,IF(+All!$H712="Auburn",+All!G712,0))</f>
        <v>SEC</v>
      </c>
      <c r="H42" s="710" t="str">
        <f>IF(+All!$F712="Auburn",+All!H712,IF(+All!$H712="Auburn",+All!H712,0))</f>
        <v>Auburn</v>
      </c>
      <c r="I42" s="703" t="str">
        <f>IF(+All!$F712="Auburn",+All!I712,IF(+All!$H712="Auburn",+All!I712,0))</f>
        <v>SEC</v>
      </c>
      <c r="J42" s="704" t="str">
        <f>IF(+All!$F712="Auburn",+All!J712,IF(+All!$H712="Auburn",+All!J712,0))</f>
        <v>Auburn</v>
      </c>
      <c r="K42" s="701" t="str">
        <f>IF(+All!$F712="Auburn",+All!K712,IF(+All!$H712="Auburn",+All!K712,0))</f>
        <v>Texas A&amp;M</v>
      </c>
      <c r="L42" s="705">
        <f>IF(+All!$F712="Auburn",+All!L712,IF(+All!$H712="Auburn",+All!L712,0))</f>
        <v>2</v>
      </c>
      <c r="M42" s="706">
        <f>IF(+All!$F712="Auburn",+All!M712,IF(+All!$H712="Auburn",+All!M712,0))</f>
        <v>49</v>
      </c>
      <c r="N42" s="704" t="str">
        <f>IF(+All!$F712="Auburn",+All!N712,IF(+All!$H712="Auburn",+All!N712,0))</f>
        <v>Auburn</v>
      </c>
      <c r="O42" s="707">
        <f>IF(+All!$F712="Auburn",+All!O712,IF(+All!$H712="Auburn",+All!O712,0))</f>
        <v>1</v>
      </c>
      <c r="P42" s="707" t="str">
        <f>IF(+All!$F712="Auburn",+All!P712,IF(+All!$H712="Auburn",+All!P712,0))</f>
        <v>Texas A&amp;M</v>
      </c>
      <c r="Q42" s="701">
        <f>IF(+All!$F712="Auburn",+All!Q712,IF(+All!$H712="Auburn",+All!Q712,0))</f>
        <v>10</v>
      </c>
      <c r="R42" s="704" t="str">
        <f>IF(+All!$F712="Auburn",+All!R712,IF(+All!$H712="Auburn",+All!R712,0))</f>
        <v>Texas A&amp;M</v>
      </c>
      <c r="S42" s="707" t="str">
        <f>IF(+All!$F712="Auburn",+All!S712,IF(+All!$H712="Auburn",+All!S712,0))</f>
        <v>Auburn</v>
      </c>
      <c r="T42" s="704" t="str">
        <f>IF(+All!$F712="Auburn",+All!T712,IF(+All!$H712="Auburn",+All!T712,0))</f>
        <v>Auburn</v>
      </c>
      <c r="U42" s="701" t="str">
        <f>IF(+All!$F712="Auburn",+All!U712,IF(+All!$H712="Auburn",+All!U712,0))</f>
        <v>L</v>
      </c>
    </row>
    <row r="43" spans="1:21" x14ac:dyDescent="0.8">
      <c r="A43" s="697">
        <f>IF(+All!$F777="Auburn",+All!A777,IF(+All!$H777="Auburn",+All!A777,0))</f>
        <v>12</v>
      </c>
      <c r="B43" s="697" t="str">
        <f>IF(+All!$F777="Auburn",+All!B777,IF(+All!$H777="Auburn",+All!B777,0))</f>
        <v>Sat</v>
      </c>
      <c r="C43" s="708">
        <f>IF(+All!$F777="Auburn",+All!C777,IF(+All!$H777="Auburn",+All!C777,0))</f>
        <v>44884</v>
      </c>
      <c r="D43" s="700">
        <f>IF(+All!$F777="Auburn",+All!D777,IF(+All!$H777="Auburn",+All!D777,0))</f>
        <v>0.66666666666666663</v>
      </c>
      <c r="E43" s="701" t="str">
        <f>IF(+All!$F777="Auburn",+All!E777,IF(+All!$H777="Auburn",+All!E777,0))</f>
        <v>SEC</v>
      </c>
      <c r="F43" s="702" t="str">
        <f>IF(+All!$F777="Auburn",+All!F777,IF(+All!$H777="Auburn",+All!F777,0))</f>
        <v>Western Kentucky</v>
      </c>
      <c r="G43" s="710" t="str">
        <f>IF(+All!$F777="Auburn",+All!G777,IF(+All!$H777="Auburn",+All!G777,0))</f>
        <v>CUSA</v>
      </c>
      <c r="H43" s="710" t="str">
        <f>IF(+All!$F777="Auburn",+All!H777,IF(+All!$H777="Auburn",+All!H777,0))</f>
        <v>Auburn</v>
      </c>
      <c r="I43" s="703" t="str">
        <f>IF(+All!$F777="Auburn",+All!I777,IF(+All!$H777="Auburn",+All!I777,0))</f>
        <v>SEC</v>
      </c>
      <c r="J43" s="704" t="str">
        <f>IF(+All!$F777="Auburn",+All!J777,IF(+All!$H777="Auburn",+All!J777,0))</f>
        <v>Auburn</v>
      </c>
      <c r="K43" s="701" t="str">
        <f>IF(+All!$F777="Auburn",+All!K777,IF(+All!$H777="Auburn",+All!K777,0))</f>
        <v>Western Kentucky</v>
      </c>
      <c r="L43" s="705">
        <f>IF(+All!$F777="Auburn",+All!L777,IF(+All!$H777="Auburn",+All!L777,0))</f>
        <v>5.5</v>
      </c>
      <c r="M43" s="706">
        <f>IF(+All!$F777="Auburn",+All!M777,IF(+All!$H777="Auburn",+All!M777,0))</f>
        <v>52.5</v>
      </c>
      <c r="N43" s="704" t="str">
        <f>IF(+All!$F777="Auburn",+All!N777,IF(+All!$H777="Auburn",+All!N777,0))</f>
        <v>Auburn</v>
      </c>
      <c r="O43" s="707">
        <f>IF(+All!$F777="Auburn",+All!O777,IF(+All!$H777="Auburn",+All!O777,0))</f>
        <v>41</v>
      </c>
      <c r="P43" s="707" t="str">
        <f>IF(+All!$F777="Auburn",+All!P777,IF(+All!$H777="Auburn",+All!P777,0))</f>
        <v>Western Kentucky</v>
      </c>
      <c r="Q43" s="701">
        <f>IF(+All!$F777="Auburn",+All!Q777,IF(+All!$H777="Auburn",+All!Q777,0))</f>
        <v>17</v>
      </c>
      <c r="R43" s="704" t="str">
        <f>IF(+All!$F777="Auburn",+All!R777,IF(+All!$H777="Auburn",+All!R777,0))</f>
        <v>Auburn</v>
      </c>
      <c r="S43" s="707" t="str">
        <f>IF(+All!$F777="Auburn",+All!S777,IF(+All!$H777="Auburn",+All!S777,0))</f>
        <v>Western Kentucky</v>
      </c>
      <c r="T43" s="704" t="str">
        <f>IF(+All!$F777="Auburn",+All!T777,IF(+All!$H777="Auburn",+All!T777,0))</f>
        <v>Auburn</v>
      </c>
      <c r="U43" s="701" t="str">
        <f>IF(+All!$F777="Auburn",+All!U777,IF(+All!$H777="Auburn",+All!U777,0))</f>
        <v>W</v>
      </c>
    </row>
    <row r="44" spans="1:21" x14ac:dyDescent="0.8">
      <c r="A44" s="697">
        <f>IF(+All!$F844="Auburn",+All!A844,IF(+All!$H844="Auburn",+All!A844,0))</f>
        <v>13</v>
      </c>
      <c r="B44" s="697" t="str">
        <f>IF(+All!$F844="Auburn",+All!B844,IF(+All!$H844="Auburn",+All!B844,0))</f>
        <v>Sat</v>
      </c>
      <c r="C44" s="708">
        <f>IF(+All!$F844="Auburn",+All!C844,IF(+All!$H844="Auburn",+All!C844,0))</f>
        <v>44891</v>
      </c>
      <c r="D44" s="700">
        <f>IF(+All!$F844="Auburn",+All!D844,IF(+All!$H844="Auburn",+All!D844,0))</f>
        <v>0.64583333333333337</v>
      </c>
      <c r="E44" s="701" t="str">
        <f>IF(+All!$F844="Auburn",+All!E844,IF(+All!$H844="Auburn",+All!E844,0))</f>
        <v>CBS</v>
      </c>
      <c r="F44" s="702" t="str">
        <f>IF(+All!$F844="Auburn",+All!F844,IF(+All!$H844="Auburn",+All!F844,0))</f>
        <v>Auburn</v>
      </c>
      <c r="G44" s="710" t="str">
        <f>IF(+All!$F844="Auburn",+All!G844,IF(+All!$H844="Auburn",+All!G844,0))</f>
        <v>SEC</v>
      </c>
      <c r="H44" s="710" t="str">
        <f>IF(+All!$F844="Auburn",+All!H844,IF(+All!$H844="Auburn",+All!H844,0))</f>
        <v>Alabama</v>
      </c>
      <c r="I44" s="703" t="str">
        <f>IF(+All!$F844="Auburn",+All!I844,IF(+All!$H844="Auburn",+All!I844,0))</f>
        <v>SEC</v>
      </c>
      <c r="J44" s="704" t="str">
        <f>IF(+All!$F844="Auburn",+All!J844,IF(+All!$H844="Auburn",+All!J844,0))</f>
        <v>Alabama</v>
      </c>
      <c r="K44" s="701" t="str">
        <f>IF(+All!$F844="Auburn",+All!K844,IF(+All!$H844="Auburn",+All!K844,0))</f>
        <v>Auburn</v>
      </c>
      <c r="L44" s="705">
        <f>IF(+All!$F844="Auburn",+All!L844,IF(+All!$H844="Auburn",+All!L844,0))</f>
        <v>22.5</v>
      </c>
      <c r="M44" s="706">
        <f>IF(+All!$F844="Auburn",+All!M844,IF(+All!$H844="Auburn",+All!M844,0))</f>
        <v>49.5</v>
      </c>
      <c r="N44" s="704" t="str">
        <f>IF(+All!$F844="Auburn",+All!N844,IF(+All!$H844="Auburn",+All!N844,0))</f>
        <v>Alabama</v>
      </c>
      <c r="O44" s="707">
        <f>IF(+All!$F844="Auburn",+All!O844,IF(+All!$H844="Auburn",+All!O844,0))</f>
        <v>49</v>
      </c>
      <c r="P44" s="707" t="str">
        <f>IF(+All!$F844="Auburn",+All!P844,IF(+All!$H844="Auburn",+All!P844,0))</f>
        <v>Auburn</v>
      </c>
      <c r="Q44" s="701">
        <f>IF(+All!$F844="Auburn",+All!Q844,IF(+All!$H844="Auburn",+All!Q844,0))</f>
        <v>27</v>
      </c>
      <c r="R44" s="704" t="str">
        <f>IF(+All!$F844="Auburn",+All!R844,IF(+All!$H844="Auburn",+All!R844,0))</f>
        <v>Auburn</v>
      </c>
      <c r="S44" s="707" t="str">
        <f>IF(+All!$F844="Auburn",+All!S844,IF(+All!$H844="Auburn",+All!S844,0))</f>
        <v>Alabama</v>
      </c>
      <c r="T44" s="704" t="str">
        <f>IF(+All!$F844="Auburn",+All!T844,IF(+All!$H844="Auburn",+All!T844,0))</f>
        <v>Auburn</v>
      </c>
      <c r="U44" s="701" t="str">
        <f>IF(+All!$F844="Auburn",+All!U844,IF(+All!$H844="Auburn",+All!U844,0))</f>
        <v>W</v>
      </c>
    </row>
    <row r="45" spans="1:21" x14ac:dyDescent="0.8">
      <c r="B45" s="697"/>
      <c r="C45" s="708"/>
      <c r="D45" s="700"/>
      <c r="F45" s="916" t="str">
        <f>H47</f>
        <v>Florida</v>
      </c>
      <c r="G45" s="917"/>
      <c r="H45" s="917"/>
      <c r="I45" s="918"/>
      <c r="L45" s="705"/>
      <c r="M45" s="706"/>
    </row>
    <row r="46" spans="1:21" x14ac:dyDescent="0.8">
      <c r="A46" s="697">
        <f>IF(+All!$F76="Florida",+All!A76,IF(+All!$H76="Florida",+All!A76,0))</f>
        <v>1</v>
      </c>
      <c r="B46" s="698" t="str">
        <f>IF(+All!$F76="Florida",+All!B76,IF(+All!$H76="Florida",+All!B76,0))</f>
        <v>Sat</v>
      </c>
      <c r="C46" s="699">
        <f>IF(+All!$F76="Florida",+All!C76,IF(+All!$H76="Florida",+All!C76,0))</f>
        <v>44807</v>
      </c>
      <c r="D46" s="700">
        <f>IF(+All!$F76="Florida",+All!D76,IF(+All!$H76="Florida",+All!D76,0))</f>
        <v>0.79166666666666663</v>
      </c>
      <c r="E46" s="701" t="str">
        <f>IF(+All!$F76="Florida",+All!E76,IF(+All!$H76="Florida",+All!E76,0))</f>
        <v>ESPN</v>
      </c>
      <c r="F46" s="702" t="str">
        <f>IF(+All!$F76="Florida",+All!F76,IF(+All!$H76="Florida",+All!F76,0))</f>
        <v>Utah</v>
      </c>
      <c r="G46" s="703" t="str">
        <f>IF(+All!$F76="Florida",+All!G76,IF(+All!$H76="Florida",+All!G76,0))</f>
        <v>P12</v>
      </c>
      <c r="H46" s="702" t="str">
        <f>IF(+All!$F76="Florida",+All!H76,IF(+All!$H76="Florida",+All!H76,0))</f>
        <v>Florida</v>
      </c>
      <c r="I46" s="703" t="str">
        <f>IF(+All!$F76="Florida",+All!I76,IF(+All!$H76="Florida",+All!I76,0))</f>
        <v>SEC</v>
      </c>
      <c r="J46" s="704" t="str">
        <f>IF(+All!$F76="Florida",+All!J76,IF(+All!$H76="Florida",+All!J76,0))</f>
        <v>Utah</v>
      </c>
      <c r="K46" s="701" t="str">
        <f>IF(+All!$F76="Florida",+All!K76,IF(+All!$H76="Florida",+All!K76,0))</f>
        <v>Florida</v>
      </c>
      <c r="L46" s="705">
        <f>IF(+All!$F76="Florida",+All!L76,IF(+All!$H76="Florida",+All!L76,0))</f>
        <v>3</v>
      </c>
      <c r="M46" s="706">
        <f>IF(+All!$F76="Florida",+All!M76,IF(+All!$H76="Florida",+All!M76,0))</f>
        <v>51</v>
      </c>
      <c r="N46" s="704" t="str">
        <f>IF(+All!$F76="Florida",+All!N76,IF(+All!$H76="Florida",+All!N76,0))</f>
        <v>Florida</v>
      </c>
      <c r="O46" s="707">
        <f>IF(+All!$F76="Florida",+All!O76,IF(+All!$H76="Florida",+All!O76,0))</f>
        <v>29</v>
      </c>
      <c r="P46" s="707" t="str">
        <f>IF(+All!$F76="Florida",+All!P76,IF(+All!$H76="Florida",+All!P76,0))</f>
        <v>Utah</v>
      </c>
      <c r="Q46" s="701">
        <f>IF(+All!$F76="Florida",+All!Q76,IF(+All!$H76="Florida",+All!Q76,0))</f>
        <v>26</v>
      </c>
      <c r="R46" s="704" t="str">
        <f>IF(+All!$F76="Florida",+All!R76,IF(+All!$H76="Florida",+All!R76,0))</f>
        <v>Florida</v>
      </c>
      <c r="S46" s="707" t="str">
        <f>IF(+All!$F76="Florida",+All!S76,IF(+All!$H76="Florida",+All!S76,0))</f>
        <v>Utah</v>
      </c>
      <c r="T46" s="704" t="str">
        <f>IF(+All!$F76="Florida",+All!T76,IF(+All!$H76="Florida",+All!T76,0))</f>
        <v>Utah</v>
      </c>
      <c r="U46" s="701" t="str">
        <f>IF(+All!$F76="Florida",+All!U76,IF(+All!$H76="Florida",+All!U76,0))</f>
        <v>L</v>
      </c>
    </row>
    <row r="47" spans="1:21" x14ac:dyDescent="0.8">
      <c r="A47" s="697">
        <f>IF(+All!$F173="Florida",+All!A173,IF(+All!$H173="Florida",+All!A173,0))</f>
        <v>2</v>
      </c>
      <c r="B47" s="698" t="str">
        <f>IF(+All!$F173="Florida",+All!B173,IF(+All!$H173="Florida",+All!B173,0))</f>
        <v>Sat</v>
      </c>
      <c r="C47" s="699">
        <f>IF(+All!$F173="Florida",+All!C173,IF(+All!$H173="Florida",+All!C173,0))</f>
        <v>44814</v>
      </c>
      <c r="D47" s="700">
        <f>IF(+All!$F173="Florida",+All!D173,IF(+All!$H173="Florida",+All!D173,0))</f>
        <v>0.79166666666666663</v>
      </c>
      <c r="E47" s="701" t="str">
        <f>IF(+All!$F173="Florida",+All!E173,IF(+All!$H173="Florida",+All!E173,0))</f>
        <v>ESPN</v>
      </c>
      <c r="F47" s="702" t="str">
        <f>IF(+All!$F173="Florida",+All!F173,IF(+All!$H173="Florida",+All!F173,0))</f>
        <v>Kentucky</v>
      </c>
      <c r="G47" s="703" t="str">
        <f>IF(+All!$F173="Florida",+All!G173,IF(+All!$H173="Florida",+All!G173,0))</f>
        <v>SEC</v>
      </c>
      <c r="H47" s="702" t="str">
        <f>IF(+All!$F173="Florida",+All!H173,IF(+All!$H173="Florida",+All!H173,0))</f>
        <v>Florida</v>
      </c>
      <c r="I47" s="703" t="str">
        <f>IF(+All!$F173="Florida",+All!I173,IF(+All!$H173="Florida",+All!I173,0))</f>
        <v>SEC</v>
      </c>
      <c r="J47" s="704" t="str">
        <f>IF(+All!$F173="Florida",+All!J173,IF(+All!$H173="Florida",+All!J173,0))</f>
        <v>Florida</v>
      </c>
      <c r="K47" s="701" t="str">
        <f>IF(+All!$F173="Florida",+All!K173,IF(+All!$H173="Florida",+All!K173,0))</f>
        <v>Kentucky</v>
      </c>
      <c r="L47" s="705">
        <f>IF(+All!$F173="Florida",+All!L173,IF(+All!$H173="Florida",+All!L173,0))</f>
        <v>5</v>
      </c>
      <c r="M47" s="706">
        <f>IF(+All!$F173="Florida",+All!M173,IF(+All!$H173="Florida",+All!M173,0))</f>
        <v>52.5</v>
      </c>
      <c r="N47" s="704" t="str">
        <f>IF(+All!$F173="Florida",+All!N173,IF(+All!$H173="Florida",+All!N173,0))</f>
        <v>Kentucky</v>
      </c>
      <c r="O47" s="707">
        <f>IF(+All!$F173="Florida",+All!O173,IF(+All!$H173="Florida",+All!O173,0))</f>
        <v>26</v>
      </c>
      <c r="P47" s="707" t="str">
        <f>IF(+All!$F173="Florida",+All!P173,IF(+All!$H173="Florida",+All!P173,0))</f>
        <v>Florida</v>
      </c>
      <c r="Q47" s="701">
        <f>IF(+All!$F173="Florida",+All!Q173,IF(+All!$H173="Florida",+All!Q173,0))</f>
        <v>16</v>
      </c>
      <c r="R47" s="704" t="str">
        <f>IF(+All!$F173="Florida",+All!R173,IF(+All!$H173="Florida",+All!R173,0))</f>
        <v>Kentucky</v>
      </c>
      <c r="S47" s="707" t="str">
        <f>IF(+All!$F173="Florida",+All!S173,IF(+All!$H173="Florida",+All!S173,0))</f>
        <v>Florida</v>
      </c>
      <c r="T47" s="704" t="str">
        <f>IF(+All!$F173="Florida",+All!T173,IF(+All!$H173="Florida",+All!T173,0))</f>
        <v>Kentucky</v>
      </c>
      <c r="U47" s="701" t="str">
        <f>IF(+All!$F173="Florida",+All!U173,IF(+All!$H173="Florida",+All!U173,0))</f>
        <v>W</v>
      </c>
    </row>
    <row r="48" spans="1:21" x14ac:dyDescent="0.8">
      <c r="A48" s="697">
        <f>IF(+All!$F245="Florida",+All!A245,IF(+All!$H245="Florida",+All!A245,0))</f>
        <v>3</v>
      </c>
      <c r="B48" s="698" t="str">
        <f>IF(+All!$F245="Florida",+All!B245,IF(+All!$H245="Florida",+All!B245,0))</f>
        <v>Sat</v>
      </c>
      <c r="C48" s="699">
        <f>IF(+All!$F245="Florida",+All!C245,IF(+All!$H245="Florida",+All!C245,0))</f>
        <v>44821</v>
      </c>
      <c r="D48" s="700">
        <f>IF(+All!$F245="Florida",+All!D245,IF(+All!$H245="Florida",+All!D245,0))</f>
        <v>0.8125</v>
      </c>
      <c r="E48" s="701" t="str">
        <f>IF(+All!$F245="Florida",+All!E245,IF(+All!$H245="Florida",+All!E245,0))</f>
        <v>SEC</v>
      </c>
      <c r="F48" s="702" t="str">
        <f>IF(+All!$F245="Florida",+All!F245,IF(+All!$H245="Florida",+All!F245,0))</f>
        <v>South Florida</v>
      </c>
      <c r="G48" s="703" t="str">
        <f>IF(+All!$F245="Florida",+All!G245,IF(+All!$H245="Florida",+All!G245,0))</f>
        <v>AAC</v>
      </c>
      <c r="H48" s="702" t="str">
        <f>IF(+All!$F245="Florida",+All!H245,IF(+All!$H245="Florida",+All!H245,0))</f>
        <v>Florida</v>
      </c>
      <c r="I48" s="703" t="str">
        <f>IF(+All!$F245="Florida",+All!I245,IF(+All!$H245="Florida",+All!I245,0))</f>
        <v>SEC</v>
      </c>
      <c r="J48" s="704" t="str">
        <f>IF(+All!$F245="Florida",+All!J245,IF(+All!$H245="Florida",+All!J245,0))</f>
        <v>Florida</v>
      </c>
      <c r="K48" s="701" t="str">
        <f>IF(+All!$F245="Florida",+All!K245,IF(+All!$H245="Florida",+All!K245,0))</f>
        <v>South Florida</v>
      </c>
      <c r="L48" s="705">
        <f>IF(+All!$F245="Florida",+All!L245,IF(+All!$H245="Florida",+All!L245,0))</f>
        <v>24.5</v>
      </c>
      <c r="M48" s="706">
        <f>IF(+All!$F245="Florida",+All!M245,IF(+All!$H245="Florida",+All!M245,0))</f>
        <v>59</v>
      </c>
      <c r="N48" s="704" t="str">
        <f>IF(+All!$F245="Florida",+All!N245,IF(+All!$H245="Florida",+All!N245,0))</f>
        <v>Florida</v>
      </c>
      <c r="O48" s="707">
        <f>IF(+All!$F245="Florida",+All!O245,IF(+All!$H245="Florida",+All!O245,0))</f>
        <v>31</v>
      </c>
      <c r="P48" s="707" t="str">
        <f>IF(+All!$F245="Florida",+All!P245,IF(+All!$H245="Florida",+All!P245,0))</f>
        <v>South Florida</v>
      </c>
      <c r="Q48" s="701">
        <f>IF(+All!$F245="Florida",+All!Q245,IF(+All!$H245="Florida",+All!Q245,0))</f>
        <v>28</v>
      </c>
      <c r="R48" s="704" t="str">
        <f>IF(+All!$F245="Florida",+All!R245,IF(+All!$H245="Florida",+All!R245,0))</f>
        <v>South Florida</v>
      </c>
      <c r="S48" s="707" t="str">
        <f>IF(+All!$F245="Florida",+All!S245,IF(+All!$H245="Florida",+All!S245,0))</f>
        <v>Florida</v>
      </c>
      <c r="T48" s="704" t="str">
        <f>IF(+All!$F245="Florida",+All!T245,IF(+All!$H245="Florida",+All!T245,0))</f>
        <v>Florida</v>
      </c>
      <c r="U48" s="701" t="str">
        <f>IF(+All!$F245="Florida",+All!U245,IF(+All!$H245="Florida",+All!U245,0))</f>
        <v>L</v>
      </c>
    </row>
    <row r="49" spans="1:21" x14ac:dyDescent="0.8">
      <c r="A49" s="697">
        <f>IF(+All!$F317="Florida",+All!A317,IF(+All!$H317="Florida",+All!A317,0))</f>
        <v>4</v>
      </c>
      <c r="B49" s="698" t="str">
        <f>IF(+All!$F317="Florida",+All!B317,IF(+All!$H317="Florida",+All!B317,0))</f>
        <v>Sat</v>
      </c>
      <c r="C49" s="699">
        <f>IF(+All!$F317="Florida",+All!C317,IF(+All!$H317="Florida",+All!C317,0))</f>
        <v>44828</v>
      </c>
      <c r="D49" s="700">
        <f>IF(+All!$F317="Florida",+All!D317,IF(+All!$H317="Florida",+All!D317,0))</f>
        <v>0.58333333333333337</v>
      </c>
      <c r="E49" s="701" t="str">
        <f>IF(+All!$F317="Florida",+All!E317,IF(+All!$H317="Florida",+All!E317,0))</f>
        <v>CBS</v>
      </c>
      <c r="F49" s="702" t="str">
        <f>IF(+All!$F317="Florida",+All!F317,IF(+All!$H317="Florida",+All!F317,0))</f>
        <v>Florida</v>
      </c>
      <c r="G49" s="703" t="str">
        <f>IF(+All!$F317="Florida",+All!G317,IF(+All!$H317="Florida",+All!G317,0))</f>
        <v>SEC</v>
      </c>
      <c r="H49" s="702" t="str">
        <f>IF(+All!$F317="Florida",+All!H317,IF(+All!$H317="Florida",+All!H317,0))</f>
        <v>Tennessee</v>
      </c>
      <c r="I49" s="703" t="str">
        <f>IF(+All!$F317="Florida",+All!I317,IF(+All!$H317="Florida",+All!I317,0))</f>
        <v>SEC</v>
      </c>
      <c r="J49" s="704" t="str">
        <f>IF(+All!$F317="Florida",+All!J317,IF(+All!$H317="Florida",+All!J317,0))</f>
        <v>Tennessee</v>
      </c>
      <c r="K49" s="701" t="str">
        <f>IF(+All!$F317="Florida",+All!K317,IF(+All!$H317="Florida",+All!K317,0))</f>
        <v>Florida</v>
      </c>
      <c r="L49" s="705">
        <f>IF(+All!$F317="Florida",+All!L317,IF(+All!$H317="Florida",+All!L317,0))</f>
        <v>10</v>
      </c>
      <c r="M49" s="706">
        <f>IF(+All!$F317="Florida",+All!M317,IF(+All!$H317="Florida",+All!M317,0))</f>
        <v>62</v>
      </c>
      <c r="N49" s="704" t="str">
        <f>IF(+All!$F317="Florida",+All!N317,IF(+All!$H317="Florida",+All!N317,0))</f>
        <v>Tennessee</v>
      </c>
      <c r="O49" s="707">
        <f>IF(+All!$F317="Florida",+All!O317,IF(+All!$H317="Florida",+All!O317,0))</f>
        <v>38</v>
      </c>
      <c r="P49" s="707" t="str">
        <f>IF(+All!$F317="Florida",+All!P317,IF(+All!$H317="Florida",+All!P317,0))</f>
        <v>Florida</v>
      </c>
      <c r="Q49" s="701">
        <f>IF(+All!$F317="Florida",+All!Q317,IF(+All!$H317="Florida",+All!Q317,0))</f>
        <v>33</v>
      </c>
      <c r="R49" s="704" t="str">
        <f>IF(+All!$F317="Florida",+All!R317,IF(+All!$H317="Florida",+All!R317,0))</f>
        <v>Florida</v>
      </c>
      <c r="S49" s="707" t="str">
        <f>IF(+All!$F317="Florida",+All!S317,IF(+All!$H317="Florida",+All!S317,0))</f>
        <v>Tennessee</v>
      </c>
      <c r="T49" s="704" t="str">
        <f>IF(+All!$F317="Florida",+All!T317,IF(+All!$H317="Florida",+All!T317,0))</f>
        <v>Tennessee</v>
      </c>
      <c r="U49" s="701" t="str">
        <f>IF(+All!$F317="Florida",+All!U317,IF(+All!$H317="Florida",+All!U317,0))</f>
        <v>L</v>
      </c>
    </row>
    <row r="50" spans="1:21" x14ac:dyDescent="0.8">
      <c r="A50" s="697">
        <f>IF(+All!$F377="Florida",+All!A377,IF(+All!$H377="Florida",+All!A377,0))</f>
        <v>5</v>
      </c>
      <c r="B50" s="698" t="str">
        <f>IF(+All!$F377="Florida",+All!B377,IF(+All!$H377="Florida",+All!B377,0))</f>
        <v>Sat</v>
      </c>
      <c r="C50" s="699">
        <f>IF(+All!$F377="Florida",+All!C377,IF(+All!$H377="Florida",+All!C377,0))</f>
        <v>44835</v>
      </c>
      <c r="D50" s="700">
        <f>IF(+All!$F377="Florida",+All!D377,IF(+All!$H377="Florida",+All!D377,0))</f>
        <v>0.5</v>
      </c>
      <c r="E50" s="701" t="str">
        <f>IF(+All!$F377="Florida",+All!E377,IF(+All!$H377="Florida",+All!E377,0))</f>
        <v>SEC</v>
      </c>
      <c r="F50" s="702" t="str">
        <f>IF(+All!$F377="Florida",+All!F377,IF(+All!$H377="Florida",+All!F377,0))</f>
        <v>1AA Eastern Washington</v>
      </c>
      <c r="G50" s="703" t="str">
        <f>IF(+All!$F377="Florida",+All!G377,IF(+All!$H377="Florida",+All!G377,0))</f>
        <v>1AA</v>
      </c>
      <c r="H50" s="702" t="str">
        <f>IF(+All!$F377="Florida",+All!H377,IF(+All!$H377="Florida",+All!H377,0))</f>
        <v>Florida</v>
      </c>
      <c r="I50" s="703" t="str">
        <f>IF(+All!$F377="Florida",+All!I377,IF(+All!$H377="Florida",+All!I377,0))</f>
        <v>SEC</v>
      </c>
      <c r="J50" s="704">
        <f>IF(+All!$F377="Florida",+All!J377,IF(+All!$H377="Florida",+All!J377,0))</f>
        <v>0</v>
      </c>
      <c r="K50" s="701">
        <f>IF(+All!$F377="Florida",+All!K377,IF(+All!$H377="Florida",+All!K377,0))</f>
        <v>0</v>
      </c>
      <c r="L50" s="705">
        <f>IF(+All!$F377="Florida",+All!L377,IF(+All!$H377="Florida",+All!L377,0))</f>
        <v>0</v>
      </c>
      <c r="M50" s="706">
        <f>IF(+All!$F377="Florida",+All!M377,IF(+All!$H377="Florida",+All!M377,0))</f>
        <v>0</v>
      </c>
      <c r="N50" s="704" t="str">
        <f>IF(+All!$F377="Florida",+All!N377,IF(+All!$H377="Florida",+All!N377,0))</f>
        <v>Florida</v>
      </c>
      <c r="O50" s="707">
        <f>IF(+All!$F377="Florida",+All!O377,IF(+All!$H377="Florida",+All!O377,0))</f>
        <v>52</v>
      </c>
      <c r="P50" s="707" t="str">
        <f>IF(+All!$F377="Florida",+All!P377,IF(+All!$H377="Florida",+All!P377,0))</f>
        <v>1AA Eastern Washington</v>
      </c>
      <c r="Q50" s="701">
        <f>IF(+All!$F377="Florida",+All!Q377,IF(+All!$H377="Florida",+All!Q377,0))</f>
        <v>17</v>
      </c>
      <c r="R50" s="704">
        <f>IF(+All!$F377="Florida",+All!R377,IF(+All!$H377="Florida",+All!R377,0))</f>
        <v>0</v>
      </c>
      <c r="S50" s="707">
        <f>IF(+All!$F377="Florida",+All!S377,IF(+All!$H377="Florida",+All!S377,0))</f>
        <v>0</v>
      </c>
      <c r="T50" s="704">
        <f>IF(+All!$F377="Florida",+All!T377,IF(+All!$H377="Florida",+All!T377,0))</f>
        <v>0</v>
      </c>
      <c r="U50" s="701">
        <f>IF(+All!$F377="Florida",+All!U377,IF(+All!$H377="Florida",+All!U377,0))</f>
        <v>0</v>
      </c>
    </row>
    <row r="51" spans="1:21" x14ac:dyDescent="0.8">
      <c r="A51" s="697">
        <f>IF(+All!$F432="Florida",+All!A432,IF(+All!$H432="Florida",+All!A432,0))</f>
        <v>6</v>
      </c>
      <c r="B51" s="698" t="str">
        <f>IF(+All!$F432="Florida",+All!B432,IF(+All!$H432="Florida",+All!B432,0))</f>
        <v>Sat</v>
      </c>
      <c r="C51" s="699">
        <f>IF(+All!$F432="Florida",+All!C432,IF(+All!$H432="Florida",+All!C432,0))</f>
        <v>44842</v>
      </c>
      <c r="D51" s="700">
        <f>IF(+All!$F432="Florida",+All!D432,IF(+All!$H432="Florida",+All!D432,0))</f>
        <v>0.5</v>
      </c>
      <c r="E51" s="701" t="str">
        <f>IF(+All!$F432="Florida",+All!E432,IF(+All!$H432="Florida",+All!E432,0))</f>
        <v>ESPNU</v>
      </c>
      <c r="F51" s="702" t="str">
        <f>IF(+All!$F432="Florida",+All!F432,IF(+All!$H432="Florida",+All!F432,0))</f>
        <v>Missouri</v>
      </c>
      <c r="G51" s="703" t="str">
        <f>IF(+All!$F432="Florida",+All!G432,IF(+All!$H432="Florida",+All!G432,0))</f>
        <v>SEC</v>
      </c>
      <c r="H51" s="702" t="str">
        <f>IF(+All!$F432="Florida",+All!H432,IF(+All!$H432="Florida",+All!H432,0))</f>
        <v>Florida</v>
      </c>
      <c r="I51" s="703" t="str">
        <f>IF(+All!$F432="Florida",+All!I432,IF(+All!$H432="Florida",+All!I432,0))</f>
        <v>SEC</v>
      </c>
      <c r="J51" s="704" t="str">
        <f>IF(+All!$F432="Florida",+All!J432,IF(+All!$H432="Florida",+All!J432,0))</f>
        <v>Florida</v>
      </c>
      <c r="K51" s="701" t="str">
        <f>IF(+All!$F432="Florida",+All!K432,IF(+All!$H432="Florida",+All!K432,0))</f>
        <v>Missouri</v>
      </c>
      <c r="L51" s="705">
        <f>IF(+All!$F432="Florida",+All!L432,IF(+All!$H432="Florida",+All!L432,0))</f>
        <v>11</v>
      </c>
      <c r="M51" s="706">
        <f>IF(+All!$F432="Florida",+All!M432,IF(+All!$H432="Florida",+All!M432,0))</f>
        <v>55.5</v>
      </c>
      <c r="N51" s="704" t="str">
        <f>IF(+All!$F432="Florida",+All!N432,IF(+All!$H432="Florida",+All!N432,0))</f>
        <v>Florida</v>
      </c>
      <c r="O51" s="707">
        <f>IF(+All!$F432="Florida",+All!O432,IF(+All!$H432="Florida",+All!O432,0))</f>
        <v>24</v>
      </c>
      <c r="P51" s="707" t="str">
        <f>IF(+All!$F432="Florida",+All!P432,IF(+All!$H432="Florida",+All!P432,0))</f>
        <v>Missouri</v>
      </c>
      <c r="Q51" s="701">
        <f>IF(+All!$F432="Florida",+All!Q432,IF(+All!$H432="Florida",+All!Q432,0))</f>
        <v>17</v>
      </c>
      <c r="R51" s="704" t="str">
        <f>IF(+All!$F432="Florida",+All!R432,IF(+All!$H432="Florida",+All!R432,0))</f>
        <v>Missouri</v>
      </c>
      <c r="S51" s="707" t="str">
        <f>IF(+All!$F432="Florida",+All!S432,IF(+All!$H432="Florida",+All!S432,0))</f>
        <v>Florida</v>
      </c>
      <c r="T51" s="704" t="str">
        <f>IF(+All!$F432="Florida",+All!T432,IF(+All!$H432="Florida",+All!T432,0))</f>
        <v>Missouri</v>
      </c>
      <c r="U51" s="701" t="str">
        <f>IF(+All!$F432="Florida",+All!U432,IF(+All!$H432="Florida",+All!U432,0))</f>
        <v>W</v>
      </c>
    </row>
    <row r="52" spans="1:21" x14ac:dyDescent="0.8">
      <c r="A52" s="697">
        <f>IF(+All!$F486="Florida",+All!A486,IF(+All!$H486="Florida",+All!A486,0))</f>
        <v>7</v>
      </c>
      <c r="B52" s="698" t="str">
        <f>IF(+All!$F486="Florida",+All!B486,IF(+All!$H486="Florida",+All!B486,0))</f>
        <v>Sat</v>
      </c>
      <c r="C52" s="699">
        <f>IF(+All!$F486="Florida",+All!C486,IF(+All!$H486="Florida",+All!C486,0))</f>
        <v>44849</v>
      </c>
      <c r="D52" s="700">
        <f>IF(+All!$F486="Florida",+All!D486,IF(+All!$H486="Florida",+All!D486,0))</f>
        <v>0.79166666666666663</v>
      </c>
      <c r="E52" s="701" t="str">
        <f>IF(+All!$F486="Florida",+All!E486,IF(+All!$H486="Florida",+All!E486,0))</f>
        <v>ESPN</v>
      </c>
      <c r="F52" s="702" t="str">
        <f>IF(+All!$F486="Florida",+All!F486,IF(+All!$H486="Florida",+All!F486,0))</f>
        <v>LSU</v>
      </c>
      <c r="G52" s="703" t="str">
        <f>IF(+All!$F486="Florida",+All!G486,IF(+All!$H486="Florida",+All!G486,0))</f>
        <v>SEC</v>
      </c>
      <c r="H52" s="702" t="str">
        <f>IF(+All!$F486="Florida",+All!H486,IF(+All!$H486="Florida",+All!H486,0))</f>
        <v>Florida</v>
      </c>
      <c r="I52" s="703" t="str">
        <f>IF(+All!$F486="Florida",+All!I486,IF(+All!$H486="Florida",+All!I486,0))</f>
        <v>SEC</v>
      </c>
      <c r="J52" s="704" t="str">
        <f>IF(+All!$F486="Florida",+All!J486,IF(+All!$H486="Florida",+All!J486,0))</f>
        <v>Florida</v>
      </c>
      <c r="K52" s="701" t="str">
        <f>IF(+All!$F486="Florida",+All!K486,IF(+All!$H486="Florida",+All!K486,0))</f>
        <v>LSU</v>
      </c>
      <c r="L52" s="705">
        <f>IF(+All!$F486="Florida",+All!L486,IF(+All!$H486="Florida",+All!L486,0))</f>
        <v>3</v>
      </c>
      <c r="M52" s="706">
        <f>IF(+All!$F486="Florida",+All!M486,IF(+All!$H486="Florida",+All!M486,0))</f>
        <v>51.5</v>
      </c>
      <c r="N52" s="704" t="str">
        <f>IF(+All!$F486="Florida",+All!N486,IF(+All!$H486="Florida",+All!N486,0))</f>
        <v>LSU</v>
      </c>
      <c r="O52" s="707">
        <f>IF(+All!$F486="Florida",+All!O486,IF(+All!$H486="Florida",+All!O486,0))</f>
        <v>45</v>
      </c>
      <c r="P52" s="707" t="str">
        <f>IF(+All!$F486="Florida",+All!P486,IF(+All!$H486="Florida",+All!P486,0))</f>
        <v>Florida</v>
      </c>
      <c r="Q52" s="701">
        <f>IF(+All!$F486="Florida",+All!Q486,IF(+All!$H486="Florida",+All!Q486,0))</f>
        <v>35</v>
      </c>
      <c r="R52" s="704" t="str">
        <f>IF(+All!$F486="Florida",+All!R486,IF(+All!$H486="Florida",+All!R486,0))</f>
        <v>LSU</v>
      </c>
      <c r="S52" s="707" t="str">
        <f>IF(+All!$F486="Florida",+All!S486,IF(+All!$H486="Florida",+All!S486,0))</f>
        <v>Florida</v>
      </c>
      <c r="T52" s="704" t="str">
        <f>IF(+All!$F486="Florida",+All!T486,IF(+All!$H486="Florida",+All!T486,0))</f>
        <v>Florida</v>
      </c>
      <c r="U52" s="701" t="str">
        <f>IF(+All!$F486="Florida",+All!U486,IF(+All!$H486="Florida",+All!U486,0))</f>
        <v>L</v>
      </c>
    </row>
    <row r="53" spans="1:21" x14ac:dyDescent="0.8">
      <c r="A53" s="697" t="e">
        <f>IF(+All!#REF!="Florida",+All!#REF!,IF(+All!#REF!="Florida",+All!#REF!,0))</f>
        <v>#REF!</v>
      </c>
      <c r="B53" s="698" t="e">
        <f>IF(+All!#REF!="Florida",+All!#REF!,IF(+All!#REF!="Florida",+All!#REF!,0))</f>
        <v>#REF!</v>
      </c>
      <c r="C53" s="699" t="e">
        <f>IF(+All!#REF!="Florida",+All!#REF!,IF(+All!#REF!="Florida",+All!#REF!,0))</f>
        <v>#REF!</v>
      </c>
      <c r="D53" s="700" t="e">
        <f>IF(+All!#REF!="Florida",+All!#REF!,IF(+All!#REF!="Florida",+All!#REF!,0))</f>
        <v>#REF!</v>
      </c>
      <c r="E53" s="701" t="e">
        <f>IF(+All!#REF!="Florida",+All!#REF!,IF(+All!#REF!="Florida",+All!#REF!,0))</f>
        <v>#REF!</v>
      </c>
      <c r="F53" s="702" t="e">
        <f>IF(+All!#REF!="Florida",+All!#REF!,IF(+All!#REF!="Florida",+All!#REF!,0))</f>
        <v>#REF!</v>
      </c>
      <c r="G53" s="703" t="e">
        <f>IF(+All!#REF!="Florida",+All!#REF!,IF(+All!#REF!="Florida",+All!#REF!,0))</f>
        <v>#REF!</v>
      </c>
      <c r="H53" s="702" t="e">
        <f>IF(+All!#REF!="Florida",+All!#REF!,IF(+All!#REF!="Florida",+All!#REF!,0))</f>
        <v>#REF!</v>
      </c>
      <c r="I53" s="703" t="e">
        <f>IF(+All!#REF!="Florida",+All!#REF!,IF(+All!#REF!="Florida",+All!#REF!,0))</f>
        <v>#REF!</v>
      </c>
      <c r="J53" s="704" t="e">
        <f>IF(+All!#REF!="Florida",+All!#REF!,IF(+All!#REF!="Florida",+All!#REF!,0))</f>
        <v>#REF!</v>
      </c>
      <c r="K53" s="701" t="e">
        <f>IF(+All!#REF!="Florida",+All!#REF!,IF(+All!#REF!="Florida",+All!#REF!,0))</f>
        <v>#REF!</v>
      </c>
      <c r="L53" s="705" t="e">
        <f>IF(+All!#REF!="Florida",+All!#REF!,IF(+All!#REF!="Florida",+All!#REF!,0))</f>
        <v>#REF!</v>
      </c>
      <c r="M53" s="706" t="e">
        <f>IF(+All!#REF!="Florida",+All!#REF!,IF(+All!#REF!="Florida",+All!#REF!,0))</f>
        <v>#REF!</v>
      </c>
      <c r="N53" s="704" t="e">
        <f>IF(+All!#REF!="Florida",+All!#REF!,IF(+All!#REF!="Florida",+All!#REF!,0))</f>
        <v>#REF!</v>
      </c>
      <c r="O53" s="707" t="e">
        <f>IF(+All!#REF!="Florida",+All!#REF!,IF(+All!#REF!="Florida",+All!#REF!,0))</f>
        <v>#REF!</v>
      </c>
      <c r="P53" s="707" t="e">
        <f>IF(+All!#REF!="Florida",+All!#REF!,IF(+All!#REF!="Florida",+All!#REF!,0))</f>
        <v>#REF!</v>
      </c>
      <c r="Q53" s="701" t="e">
        <f>IF(+All!#REF!="Florida",+All!#REF!,IF(+All!#REF!="Florida",+All!#REF!,0))</f>
        <v>#REF!</v>
      </c>
      <c r="R53" s="704" t="e">
        <f>IF(+All!#REF!="Florida",+All!#REF!,IF(+All!#REF!="Florida",+All!#REF!,0))</f>
        <v>#REF!</v>
      </c>
      <c r="S53" s="707" t="e">
        <f>IF(+All!#REF!="Florida",+All!#REF!,IF(+All!#REF!="Florida",+All!#REF!,0))</f>
        <v>#REF!</v>
      </c>
      <c r="T53" s="704" t="e">
        <f>IF(+All!#REF!="Florida",+All!#REF!,IF(+All!#REF!="Florida",+All!#REF!,0))</f>
        <v>#REF!</v>
      </c>
      <c r="U53" s="701" t="e">
        <f>IF(+All!#REF!="Florida",+All!#REF!,IF(+All!#REF!="Florida",+All!#REF!,0))</f>
        <v>#REF!</v>
      </c>
    </row>
    <row r="54" spans="1:21" x14ac:dyDescent="0.8">
      <c r="A54" s="697">
        <f>IF(+All!$F589="Florida",+All!A589,IF(+All!$H589="Florida",+All!A589,0))</f>
        <v>9</v>
      </c>
      <c r="B54" s="698" t="str">
        <f>IF(+All!$F589="Florida",+All!B589,IF(+All!$H589="Florida",+All!B589,0))</f>
        <v>Sat</v>
      </c>
      <c r="C54" s="699">
        <f>IF(+All!$F589="Florida",+All!C589,IF(+All!$H589="Florida",+All!C589,0))</f>
        <v>44863</v>
      </c>
      <c r="D54" s="700">
        <f>IF(+All!$F589="Florida",+All!D589,IF(+All!$H589="Florida",+All!D589,0))</f>
        <v>0.64583333333333337</v>
      </c>
      <c r="E54" s="701" t="str">
        <f>IF(+All!$F589="Florida",+All!E589,IF(+All!$H589="Florida",+All!E589,0))</f>
        <v>CBS</v>
      </c>
      <c r="F54" s="702" t="str">
        <f>IF(+All!$F589="Florida",+All!F589,IF(+All!$H589="Florida",+All!F589,0))</f>
        <v>Georgia</v>
      </c>
      <c r="G54" s="703" t="str">
        <f>IF(+All!$F589="Florida",+All!G589,IF(+All!$H589="Florida",+All!G589,0))</f>
        <v>SEC</v>
      </c>
      <c r="H54" s="702" t="str">
        <f>IF(+All!$F589="Florida",+All!H589,IF(+All!$H589="Florida",+All!H589,0))</f>
        <v>Florida</v>
      </c>
      <c r="I54" s="703" t="str">
        <f>IF(+All!$F589="Florida",+All!I589,IF(+All!$H589="Florida",+All!I589,0))</f>
        <v>SEC</v>
      </c>
      <c r="J54" s="704" t="str">
        <f>IF(+All!$F589="Florida",+All!J589,IF(+All!$H589="Florida",+All!J589,0))</f>
        <v>Georgia</v>
      </c>
      <c r="K54" s="701" t="str">
        <f>IF(+All!$F589="Florida",+All!K589,IF(+All!$H589="Florida",+All!K589,0))</f>
        <v>Florida</v>
      </c>
      <c r="L54" s="705">
        <f>IF(+All!$F589="Florida",+All!L589,IF(+All!$H589="Florida",+All!L589,0))</f>
        <v>22.5</v>
      </c>
      <c r="M54" s="706">
        <f>IF(+All!$F589="Florida",+All!M589,IF(+All!$H589="Florida",+All!M589,0))</f>
        <v>56.5</v>
      </c>
      <c r="N54" s="704" t="str">
        <f>IF(+All!$F589="Florida",+All!N589,IF(+All!$H589="Florida",+All!N589,0))</f>
        <v>Georgia</v>
      </c>
      <c r="O54" s="707">
        <f>IF(+All!$F589="Florida",+All!O589,IF(+All!$H589="Florida",+All!O589,0))</f>
        <v>42</v>
      </c>
      <c r="P54" s="707" t="str">
        <f>IF(+All!$F589="Florida",+All!P589,IF(+All!$H589="Florida",+All!P589,0))</f>
        <v>Florida</v>
      </c>
      <c r="Q54" s="701">
        <f>IF(+All!$F589="Florida",+All!Q589,IF(+All!$H589="Florida",+All!Q589,0))</f>
        <v>20</v>
      </c>
      <c r="R54" s="704" t="str">
        <f>IF(+All!$F589="Florida",+All!R589,IF(+All!$H589="Florida",+All!R589,0))</f>
        <v>Florida</v>
      </c>
      <c r="S54" s="707" t="str">
        <f>IF(+All!$F589="Florida",+All!S589,IF(+All!$H589="Florida",+All!S589,0))</f>
        <v>Georgia</v>
      </c>
      <c r="T54" s="704" t="str">
        <f>IF(+All!$F589="Florida",+All!T589,IF(+All!$H589="Florida",+All!T589,0))</f>
        <v>Florida</v>
      </c>
      <c r="U54" s="701" t="str">
        <f>IF(+All!$F589="Florida",+All!U589,IF(+All!$H589="Florida",+All!U589,0))</f>
        <v>W</v>
      </c>
    </row>
    <row r="55" spans="1:21" x14ac:dyDescent="0.8">
      <c r="A55" s="697">
        <f>IF(+All!$F651="Florida",+All!A651,IF(+All!$H651="Florida",+All!A651,0))</f>
        <v>10</v>
      </c>
      <c r="B55" s="698" t="str">
        <f>IF(+All!$F651="Florida",+All!B651,IF(+All!$H651="Florida",+All!B651,0))</f>
        <v>Sat</v>
      </c>
      <c r="C55" s="699">
        <f>IF(+All!$F651="Florida",+All!C651,IF(+All!$H651="Florida",+All!C651,0))</f>
        <v>44870</v>
      </c>
      <c r="D55" s="700">
        <f>IF(+All!$F651="Florida",+All!D651,IF(+All!$H651="Florida",+All!D651,0))</f>
        <v>0.5</v>
      </c>
      <c r="E55" s="701" t="str">
        <f>IF(+All!$F651="Florida",+All!E651,IF(+All!$H651="Florida",+All!E651,0))</f>
        <v>ESPN</v>
      </c>
      <c r="F55" s="702" t="str">
        <f>IF(+All!$F651="Florida",+All!F651,IF(+All!$H651="Florida",+All!F651,0))</f>
        <v>Florida</v>
      </c>
      <c r="G55" s="703" t="str">
        <f>IF(+All!$F651="Florida",+All!G651,IF(+All!$H651="Florida",+All!G651,0))</f>
        <v>SEC</v>
      </c>
      <c r="H55" s="702" t="str">
        <f>IF(+All!$F651="Florida",+All!H651,IF(+All!$H651="Florida",+All!H651,0))</f>
        <v>Texas A&amp;M</v>
      </c>
      <c r="I55" s="703" t="str">
        <f>IF(+All!$F651="Florida",+All!I651,IF(+All!$H651="Florida",+All!I651,0))</f>
        <v>SEC</v>
      </c>
      <c r="J55" s="704" t="str">
        <f>IF(+All!$F651="Florida",+All!J651,IF(+All!$H651="Florida",+All!J651,0))</f>
        <v>Texas A&amp;M</v>
      </c>
      <c r="K55" s="701" t="str">
        <f>IF(+All!$F651="Florida",+All!K651,IF(+All!$H651="Florida",+All!K651,0))</f>
        <v>Florida</v>
      </c>
      <c r="L55" s="705">
        <f>IF(+All!$F651="Florida",+All!L651,IF(+All!$H651="Florida",+All!L651,0))</f>
        <v>3</v>
      </c>
      <c r="M55" s="706">
        <f>IF(+All!$F651="Florida",+All!M651,IF(+All!$H651="Florida",+All!M651,0))</f>
        <v>54</v>
      </c>
      <c r="N55" s="704" t="str">
        <f>IF(+All!$F651="Florida",+All!N651,IF(+All!$H651="Florida",+All!N651,0))</f>
        <v>Florida</v>
      </c>
      <c r="O55" s="707">
        <f>IF(+All!$F651="Florida",+All!O651,IF(+All!$H651="Florida",+All!O651,0))</f>
        <v>41</v>
      </c>
      <c r="P55" s="707" t="str">
        <f>IF(+All!$F651="Florida",+All!P651,IF(+All!$H651="Florida",+All!P651,0))</f>
        <v>Texas A&amp;M</v>
      </c>
      <c r="Q55" s="701">
        <f>IF(+All!$F651="Florida",+All!Q651,IF(+All!$H651="Florida",+All!Q651,0))</f>
        <v>24</v>
      </c>
      <c r="R55" s="704" t="str">
        <f>IF(+All!$F651="Florida",+All!R651,IF(+All!$H651="Florida",+All!R651,0))</f>
        <v>Florida</v>
      </c>
      <c r="S55" s="707" t="str">
        <f>IF(+All!$F651="Florida",+All!S651,IF(+All!$H651="Florida",+All!S651,0))</f>
        <v>Texas A&amp;M</v>
      </c>
      <c r="T55" s="704" t="str">
        <f>IF(+All!$F651="Florida",+All!T651,IF(+All!$H651="Florida",+All!T651,0))</f>
        <v>Florida</v>
      </c>
      <c r="U55" s="701" t="str">
        <f>IF(+All!$F651="Florida",+All!U651,IF(+All!$H651="Florida",+All!U651,0))</f>
        <v>W</v>
      </c>
    </row>
    <row r="56" spans="1:21" x14ac:dyDescent="0.8">
      <c r="A56" s="697">
        <f>IF(+All!$F713="Florida",+All!A713,IF(+All!$H713="Florida",+All!A713,0))</f>
        <v>11</v>
      </c>
      <c r="B56" s="698" t="str">
        <f>IF(+All!$F713="Florida",+All!B713,IF(+All!$H713="Florida",+All!B713,0))</f>
        <v>Sat</v>
      </c>
      <c r="C56" s="699">
        <f>IF(+All!$F713="Florida",+All!C713,IF(+All!$H713="Florida",+All!C713,0))</f>
        <v>44877</v>
      </c>
      <c r="D56" s="700">
        <f>IF(+All!$F713="Florida",+All!D713,IF(+All!$H713="Florida",+All!D713,0))</f>
        <v>0.66666666666666663</v>
      </c>
      <c r="E56" s="701" t="str">
        <f>IF(+All!$F713="Florida",+All!E713,IF(+All!$H713="Florida",+All!E713,0))</f>
        <v>SEC</v>
      </c>
      <c r="F56" s="702" t="str">
        <f>IF(+All!$F713="Florida",+All!F713,IF(+All!$H713="Florida",+All!F713,0))</f>
        <v>South Carolina</v>
      </c>
      <c r="G56" s="703" t="str">
        <f>IF(+All!$F713="Florida",+All!G713,IF(+All!$H713="Florida",+All!G713,0))</f>
        <v>SEC</v>
      </c>
      <c r="H56" s="702" t="str">
        <f>IF(+All!$F713="Florida",+All!H713,IF(+All!$H713="Florida",+All!H713,0))</f>
        <v>Florida</v>
      </c>
      <c r="I56" s="703" t="str">
        <f>IF(+All!$F713="Florida",+All!I713,IF(+All!$H713="Florida",+All!I713,0))</f>
        <v>SEC</v>
      </c>
      <c r="J56" s="704" t="str">
        <f>IF(+All!$F713="Florida",+All!J713,IF(+All!$H713="Florida",+All!J713,0))</f>
        <v>Florida</v>
      </c>
      <c r="K56" s="701" t="str">
        <f>IF(+All!$F713="Florida",+All!K713,IF(+All!$H713="Florida",+All!K713,0))</f>
        <v>South Carolina</v>
      </c>
      <c r="L56" s="705">
        <f>IF(+All!$F713="Florida",+All!L713,IF(+All!$H713="Florida",+All!L713,0))</f>
        <v>7.5</v>
      </c>
      <c r="M56" s="706">
        <f>IF(+All!$F713="Florida",+All!M713,IF(+All!$H713="Florida",+All!M713,0))</f>
        <v>59</v>
      </c>
      <c r="N56" s="704" t="str">
        <f>IF(+All!$F713="Florida",+All!N713,IF(+All!$H713="Florida",+All!N713,0))</f>
        <v>Florida</v>
      </c>
      <c r="O56" s="707">
        <f>IF(+All!$F713="Florida",+All!O713,IF(+All!$H713="Florida",+All!O713,0))</f>
        <v>38</v>
      </c>
      <c r="P56" s="707" t="str">
        <f>IF(+All!$F713="Florida",+All!P713,IF(+All!$H713="Florida",+All!P713,0))</f>
        <v>South Carolina</v>
      </c>
      <c r="Q56" s="701">
        <f>IF(+All!$F713="Florida",+All!Q713,IF(+All!$H713="Florida",+All!Q713,0))</f>
        <v>6</v>
      </c>
      <c r="R56" s="704" t="str">
        <f>IF(+All!$F713="Florida",+All!R713,IF(+All!$H713="Florida",+All!R713,0))</f>
        <v>Florida</v>
      </c>
      <c r="S56" s="707" t="str">
        <f>IF(+All!$F713="Florida",+All!S713,IF(+All!$H713="Florida",+All!S713,0))</f>
        <v>South Carolina</v>
      </c>
      <c r="T56" s="704" t="str">
        <f>IF(+All!$F713="Florida",+All!T713,IF(+All!$H713="Florida",+All!T713,0))</f>
        <v>South Carolina</v>
      </c>
      <c r="U56" s="701" t="str">
        <f>IF(+All!$F713="Florida",+All!U713,IF(+All!$H713="Florida",+All!U713,0))</f>
        <v>L</v>
      </c>
    </row>
    <row r="57" spans="1:21" x14ac:dyDescent="0.8">
      <c r="A57" s="697">
        <f>IF(+All!$F784="Florida",+All!A784,IF(+All!$H784="Florida",+All!A784,0))</f>
        <v>12</v>
      </c>
      <c r="B57" s="698" t="str">
        <f>IF(+All!$F784="Florida",+All!B784,IF(+All!$H784="Florida",+All!B784,0))</f>
        <v>Sat</v>
      </c>
      <c r="C57" s="699">
        <f>IF(+All!$F784="Florida",+All!C784,IF(+All!$H784="Florida",+All!C784,0))</f>
        <v>44884</v>
      </c>
      <c r="D57" s="700">
        <f>IF(+All!$F784="Florida",+All!D784,IF(+All!$H784="Florida",+All!D784,0))</f>
        <v>0.5</v>
      </c>
      <c r="E57" s="701" t="str">
        <f>IF(+All!$F784="Florida",+All!E784,IF(+All!$H784="Florida",+All!E784,0))</f>
        <v>SEC</v>
      </c>
      <c r="F57" s="702" t="str">
        <f>IF(+All!$F784="Florida",+All!F784,IF(+All!$H784="Florida",+All!F784,0))</f>
        <v>Florida</v>
      </c>
      <c r="G57" s="703" t="str">
        <f>IF(+All!$F784="Florida",+All!G784,IF(+All!$H784="Florida",+All!G784,0))</f>
        <v>SEC</v>
      </c>
      <c r="H57" s="702" t="str">
        <f>IF(+All!$F784="Florida",+All!H784,IF(+All!$H784="Florida",+All!H784,0))</f>
        <v>Vanderbilt</v>
      </c>
      <c r="I57" s="703" t="str">
        <f>IF(+All!$F784="Florida",+All!I784,IF(+All!$H784="Florida",+All!I784,0))</f>
        <v>SEC</v>
      </c>
      <c r="J57" s="704" t="str">
        <f>IF(+All!$F784="Florida",+All!J784,IF(+All!$H784="Florida",+All!J784,0))</f>
        <v>Florida</v>
      </c>
      <c r="K57" s="701" t="str">
        <f>IF(+All!$F784="Florida",+All!K784,IF(+All!$H784="Florida",+All!K784,0))</f>
        <v>Vanderbilt</v>
      </c>
      <c r="L57" s="705">
        <f>IF(+All!$F784="Florida",+All!L784,IF(+All!$H784="Florida",+All!L784,0))</f>
        <v>14</v>
      </c>
      <c r="M57" s="706">
        <f>IF(+All!$F784="Florida",+All!M784,IF(+All!$H784="Florida",+All!M784,0))</f>
        <v>57</v>
      </c>
      <c r="N57" s="704" t="str">
        <f>IF(+All!$F784="Florida",+All!N784,IF(+All!$H784="Florida",+All!N784,0))</f>
        <v>Vanderbilt</v>
      </c>
      <c r="O57" s="707">
        <f>IF(+All!$F784="Florida",+All!O784,IF(+All!$H784="Florida",+All!O784,0))</f>
        <v>31</v>
      </c>
      <c r="P57" s="707" t="str">
        <f>IF(+All!$F784="Florida",+All!P784,IF(+All!$H784="Florida",+All!P784,0))</f>
        <v>Florida</v>
      </c>
      <c r="Q57" s="701">
        <f>IF(+All!$F784="Florida",+All!Q784,IF(+All!$H784="Florida",+All!Q784,0))</f>
        <v>24</v>
      </c>
      <c r="R57" s="704" t="str">
        <f>IF(+All!$F784="Florida",+All!R784,IF(+All!$H784="Florida",+All!R784,0))</f>
        <v>Vanderbilt</v>
      </c>
      <c r="S57" s="707" t="str">
        <f>IF(+All!$F784="Florida",+All!S784,IF(+All!$H784="Florida",+All!S784,0))</f>
        <v>Florida</v>
      </c>
      <c r="T57" s="704" t="str">
        <f>IF(+All!$F784="Florida",+All!T784,IF(+All!$H784="Florida",+All!T784,0))</f>
        <v>Vanderbilt</v>
      </c>
      <c r="U57" s="701" t="str">
        <f>IF(+All!$F784="Florida",+All!U784,IF(+All!$H784="Florida",+All!U784,0))</f>
        <v>W</v>
      </c>
    </row>
    <row r="58" spans="1:21" x14ac:dyDescent="0.8">
      <c r="A58" s="697">
        <f>IF(+All!$F797="Florida",+All!A797,IF(+All!$H797="Florida",+All!A797,0))</f>
        <v>13</v>
      </c>
      <c r="B58" s="698" t="str">
        <f>IF(+All!$F797="Florida",+All!B797,IF(+All!$H797="Florida",+All!B797,0))</f>
        <v>Fri</v>
      </c>
      <c r="C58" s="699">
        <f>IF(+All!$F797="Florida",+All!C797,IF(+All!$H797="Florida",+All!C797,0))</f>
        <v>44890</v>
      </c>
      <c r="D58" s="700">
        <f>IF(+All!$F797="Florida",+All!D797,IF(+All!$H797="Florida",+All!D797,0))</f>
        <v>0.8125</v>
      </c>
      <c r="E58" s="701" t="str">
        <f>IF(+All!$F797="Florida",+All!E797,IF(+All!$H797="Florida",+All!E797,0))</f>
        <v>ABC</v>
      </c>
      <c r="F58" s="702" t="str">
        <f>IF(+All!$F797="Florida",+All!F797,IF(+All!$H797="Florida",+All!F797,0))</f>
        <v>Florida</v>
      </c>
      <c r="G58" s="703" t="str">
        <f>IF(+All!$F797="Florida",+All!G797,IF(+All!$H797="Florida",+All!G797,0))</f>
        <v>SEC</v>
      </c>
      <c r="H58" s="702" t="str">
        <f>IF(+All!$F797="Florida",+All!H797,IF(+All!$H797="Florida",+All!H797,0))</f>
        <v>Florida State</v>
      </c>
      <c r="I58" s="703" t="str">
        <f>IF(+All!$F797="Florida",+All!I797,IF(+All!$H797="Florida",+All!I797,0))</f>
        <v>ACC</v>
      </c>
      <c r="J58" s="704" t="str">
        <f>IF(+All!$F797="Florida",+All!J797,IF(+All!$H797="Florida",+All!J797,0))</f>
        <v>Florida State</v>
      </c>
      <c r="K58" s="701" t="str">
        <f>IF(+All!$F797="Florida",+All!K797,IF(+All!$H797="Florida",+All!K797,0))</f>
        <v>Florida</v>
      </c>
      <c r="L58" s="705">
        <f>IF(+All!$F797="Florida",+All!L797,IF(+All!$H797="Florida",+All!L797,0))</f>
        <v>10</v>
      </c>
      <c r="M58" s="706">
        <f>IF(+All!$F797="Florida",+All!M797,IF(+All!$H797="Florida",+All!M797,0))</f>
        <v>58</v>
      </c>
      <c r="N58" s="704" t="str">
        <f>IF(+All!$F797="Florida",+All!N797,IF(+All!$H797="Florida",+All!N797,0))</f>
        <v>Florida State</v>
      </c>
      <c r="O58" s="707">
        <f>IF(+All!$F797="Florida",+All!O797,IF(+All!$H797="Florida",+All!O797,0))</f>
        <v>45</v>
      </c>
      <c r="P58" s="707" t="str">
        <f>IF(+All!$F797="Florida",+All!P797,IF(+All!$H797="Florida",+All!P797,0))</f>
        <v>Florida</v>
      </c>
      <c r="Q58" s="701">
        <f>IF(+All!$F797="Florida",+All!Q797,IF(+All!$H797="Florida",+All!Q797,0))</f>
        <v>38</v>
      </c>
      <c r="R58" s="704" t="str">
        <f>IF(+All!$F797="Florida",+All!R797,IF(+All!$H797="Florida",+All!R797,0))</f>
        <v>Florida</v>
      </c>
      <c r="S58" s="707" t="str">
        <f>IF(+All!$F797="Florida",+All!S797,IF(+All!$H797="Florida",+All!S797,0))</f>
        <v>Florida State</v>
      </c>
      <c r="T58" s="704" t="str">
        <f>IF(+All!$F797="Florida",+All!T797,IF(+All!$H797="Florida",+All!T797,0))</f>
        <v>Florida</v>
      </c>
      <c r="U58" s="701" t="str">
        <f>IF(+All!$F797="Florida",+All!U797,IF(+All!$H797="Florida",+All!U797,0))</f>
        <v>W</v>
      </c>
    </row>
    <row r="59" spans="1:21" x14ac:dyDescent="0.8">
      <c r="B59" s="697"/>
      <c r="C59" s="708"/>
      <c r="D59" s="700"/>
      <c r="F59" s="916" t="str">
        <f>H61</f>
        <v>Georgia</v>
      </c>
      <c r="G59" s="917"/>
      <c r="H59" s="917"/>
      <c r="I59" s="918"/>
      <c r="L59" s="705"/>
      <c r="M59" s="706"/>
    </row>
    <row r="60" spans="1:21" x14ac:dyDescent="0.8">
      <c r="A60" s="697">
        <f>IF(+All!$F56="Georgia",+All!A56,IF(+All!$H56="Georgia",+All!A56,0))</f>
        <v>1</v>
      </c>
      <c r="B60" s="698" t="str">
        <f>IF(+All!$F56="Georgia",+All!B56,IF(+All!$H56="Georgia",+All!B56,0))</f>
        <v>Sat</v>
      </c>
      <c r="C60" s="699">
        <f>IF(+All!$F56="Georgia",+All!C56,IF(+All!$H56="Georgia",+All!C56,0))</f>
        <v>44807</v>
      </c>
      <c r="D60" s="700">
        <f>IF(+All!$F56="Georgia",+All!D56,IF(+All!$H56="Georgia",+All!D56,0))</f>
        <v>0.64583333333333337</v>
      </c>
      <c r="E60" s="701" t="str">
        <f>IF(+All!$F56="Georgia",+All!E56,IF(+All!$H56="Georgia",+All!E56,0))</f>
        <v>ABC</v>
      </c>
      <c r="F60" s="702" t="str">
        <f>IF(+All!$F56="Georgia",+All!F56,IF(+All!$H56="Georgia",+All!F56,0))</f>
        <v>Georgia</v>
      </c>
      <c r="G60" s="703" t="str">
        <f>IF(+All!$F56="Georgia",+All!G56,IF(+All!$H56="Georgia",+All!G56,0))</f>
        <v>SEC</v>
      </c>
      <c r="H60" s="702" t="str">
        <f>IF(+All!$F56="Georgia",+All!H56,IF(+All!$H56="Georgia",+All!H56,0))</f>
        <v>Oregon</v>
      </c>
      <c r="I60" s="703" t="str">
        <f>IF(+All!$F56="Georgia",+All!I56,IF(+All!$H56="Georgia",+All!I56,0))</f>
        <v>P12</v>
      </c>
      <c r="J60" s="704" t="str">
        <f>IF(+All!$F56="Georgia",+All!J56,IF(+All!$H56="Georgia",+All!J56,0))</f>
        <v>Georgia</v>
      </c>
      <c r="K60" s="701" t="str">
        <f>IF(+All!$F56="Georgia",+All!K56,IF(+All!$H56="Georgia",+All!K56,0))</f>
        <v>Oregon</v>
      </c>
      <c r="L60" s="705">
        <f>IF(+All!$F56="Georgia",+All!L56,IF(+All!$H56="Georgia",+All!L56,0))</f>
        <v>17</v>
      </c>
      <c r="M60" s="706">
        <f>IF(+All!$F56="Georgia",+All!M56,IF(+All!$H56="Georgia",+All!M56,0))</f>
        <v>52.5</v>
      </c>
      <c r="N60" s="704" t="str">
        <f>IF(+All!$F56="Georgia",+All!N56,IF(+All!$H56="Georgia",+All!N56,0))</f>
        <v>Georgia</v>
      </c>
      <c r="O60" s="707">
        <f>IF(+All!$F56="Georgia",+All!O56,IF(+All!$H56="Georgia",+All!O56,0))</f>
        <v>49</v>
      </c>
      <c r="P60" s="707" t="str">
        <f>IF(+All!$F56="Georgia",+All!P56,IF(+All!$H56="Georgia",+All!P56,0))</f>
        <v>Oregon</v>
      </c>
      <c r="Q60" s="701">
        <f>IF(+All!$F56="Georgia",+All!Q56,IF(+All!$H56="Georgia",+All!Q56,0))</f>
        <v>3</v>
      </c>
      <c r="R60" s="704" t="str">
        <f>IF(+All!$F56="Georgia",+All!R56,IF(+All!$H56="Georgia",+All!R56,0))</f>
        <v>Georgia</v>
      </c>
      <c r="S60" s="707" t="str">
        <f>IF(+All!$F56="Georgia",+All!S56,IF(+All!$H56="Georgia",+All!S56,0))</f>
        <v>Oregon</v>
      </c>
      <c r="T60" s="704" t="str">
        <f>IF(+All!$F56="Georgia",+All!T56,IF(+All!$H56="Georgia",+All!T56,0))</f>
        <v>Georgia</v>
      </c>
      <c r="U60" s="701" t="str">
        <f>IF(+All!$F56="Georgia",+All!U56,IF(+All!$H56="Georgia",+All!U56,0))</f>
        <v>W</v>
      </c>
    </row>
    <row r="61" spans="1:21" x14ac:dyDescent="0.8">
      <c r="A61" s="697">
        <f>IF(+All!$F174="Georgia",+All!A174,IF(+All!$H174="Georgia",+All!A174,0))</f>
        <v>2</v>
      </c>
      <c r="B61" s="698" t="str">
        <f>IF(+All!$F174="Georgia",+All!B174,IF(+All!$H174="Georgia",+All!B174,0))</f>
        <v>Sat</v>
      </c>
      <c r="C61" s="699">
        <f>IF(+All!$F174="Georgia",+All!C174,IF(+All!$H174="Georgia",+All!C174,0))</f>
        <v>44814</v>
      </c>
      <c r="D61" s="700">
        <f>IF(+All!$F174="Georgia",+All!D174,IF(+All!$H174="Georgia",+All!D174,0))</f>
        <v>0.66666666666666663</v>
      </c>
      <c r="E61" s="701" t="str">
        <f>IF(+All!$F174="Georgia",+All!E174,IF(+All!$H174="Georgia",+All!E174,0))</f>
        <v>SEC</v>
      </c>
      <c r="F61" s="702" t="str">
        <f>IF(+All!$F174="Georgia",+All!F174,IF(+All!$H174="Georgia",+All!F174,0))</f>
        <v>1AA Samford</v>
      </c>
      <c r="G61" s="703" t="str">
        <f>IF(+All!$F174="Georgia",+All!G174,IF(+All!$H174="Georgia",+All!G174,0))</f>
        <v>1AA</v>
      </c>
      <c r="H61" s="702" t="str">
        <f>IF(+All!$F174="Georgia",+All!H174,IF(+All!$H174="Georgia",+All!H174,0))</f>
        <v>Georgia</v>
      </c>
      <c r="I61" s="703" t="str">
        <f>IF(+All!$F174="Georgia",+All!I174,IF(+All!$H174="Georgia",+All!I174,0))</f>
        <v>SEC</v>
      </c>
      <c r="J61" s="704">
        <f>IF(+All!$F174="Georgia",+All!J174,IF(+All!$H174="Georgia",+All!J174,0))</f>
        <v>0</v>
      </c>
      <c r="K61" s="701">
        <f>IF(+All!$F174="Georgia",+All!K174,IF(+All!$H174="Georgia",+All!K174,0))</f>
        <v>0</v>
      </c>
      <c r="L61" s="705">
        <f>IF(+All!$F174="Georgia",+All!L174,IF(+All!$H174="Georgia",+All!L174,0))</f>
        <v>0</v>
      </c>
      <c r="M61" s="706">
        <f>IF(+All!$F174="Georgia",+All!M174,IF(+All!$H174="Georgia",+All!M174,0))</f>
        <v>0</v>
      </c>
      <c r="N61" s="704" t="str">
        <f>IF(+All!$F174="Georgia",+All!N174,IF(+All!$H174="Georgia",+All!N174,0))</f>
        <v>Georgia</v>
      </c>
      <c r="O61" s="707">
        <f>IF(+All!$F174="Georgia",+All!O174,IF(+All!$H174="Georgia",+All!O174,0))</f>
        <v>33</v>
      </c>
      <c r="P61" s="707" t="str">
        <f>IF(+All!$F174="Georgia",+All!P174,IF(+All!$H174="Georgia",+All!P174,0))</f>
        <v>1AA Samford</v>
      </c>
      <c r="Q61" s="701">
        <f>IF(+All!$F174="Georgia",+All!Q174,IF(+All!$H174="Georgia",+All!Q174,0))</f>
        <v>0</v>
      </c>
      <c r="R61" s="704">
        <f>IF(+All!$F174="Georgia",+All!R174,IF(+All!$H174="Georgia",+All!R174,0))</f>
        <v>0</v>
      </c>
      <c r="S61" s="707">
        <f>IF(+All!$F174="Georgia",+All!S174,IF(+All!$H174="Georgia",+All!S174,0))</f>
        <v>0</v>
      </c>
      <c r="T61" s="704">
        <f>IF(+All!$F174="Georgia",+All!T174,IF(+All!$H174="Georgia",+All!T174,0))</f>
        <v>0</v>
      </c>
      <c r="U61" s="701">
        <f>IF(+All!$F174="Georgia",+All!U174,IF(+All!$H174="Georgia",+All!U174,0))</f>
        <v>0</v>
      </c>
    </row>
    <row r="62" spans="1:21" x14ac:dyDescent="0.8">
      <c r="A62" s="697">
        <f>IF(+All!$F249="Georgia",+All!A249,IF(+All!$H249="Georgia",+All!A249,0))</f>
        <v>3</v>
      </c>
      <c r="B62" s="698" t="str">
        <f>IF(+All!$F249="Georgia",+All!B249,IF(+All!$H249="Georgia",+All!B249,0))</f>
        <v>Sat</v>
      </c>
      <c r="C62" s="699">
        <f>IF(+All!$F249="Georgia",+All!C249,IF(+All!$H249="Georgia",+All!C249,0))</f>
        <v>44821</v>
      </c>
      <c r="D62" s="700">
        <f>IF(+All!$F249="Georgia",+All!D249,IF(+All!$H249="Georgia",+All!D249,0))</f>
        <v>0.5</v>
      </c>
      <c r="E62" s="701" t="str">
        <f>IF(+All!$F249="Georgia",+All!E249,IF(+All!$H249="Georgia",+All!E249,0))</f>
        <v>ESPN</v>
      </c>
      <c r="F62" s="702" t="str">
        <f>IF(+All!$F249="Georgia",+All!F249,IF(+All!$H249="Georgia",+All!F249,0))</f>
        <v>Georgia</v>
      </c>
      <c r="G62" s="703" t="str">
        <f>IF(+All!$F249="Georgia",+All!G249,IF(+All!$H249="Georgia",+All!G249,0))</f>
        <v>SEC</v>
      </c>
      <c r="H62" s="702" t="str">
        <f>IF(+All!$F249="Georgia",+All!H249,IF(+All!$H249="Georgia",+All!H249,0))</f>
        <v>South Carolina</v>
      </c>
      <c r="I62" s="703" t="str">
        <f>IF(+All!$F249="Georgia",+All!I249,IF(+All!$H249="Georgia",+All!I249,0))</f>
        <v>SEC</v>
      </c>
      <c r="J62" s="704" t="str">
        <f>IF(+All!$F249="Georgia",+All!J249,IF(+All!$H249="Georgia",+All!J249,0))</f>
        <v>Georgia</v>
      </c>
      <c r="K62" s="701" t="str">
        <f>IF(+All!$F249="Georgia",+All!K249,IF(+All!$H249="Georgia",+All!K249,0))</f>
        <v>South Carolina</v>
      </c>
      <c r="L62" s="705">
        <f>IF(+All!$F249="Georgia",+All!L249,IF(+All!$H249="Georgia",+All!L249,0))</f>
        <v>24</v>
      </c>
      <c r="M62" s="706">
        <f>IF(+All!$F249="Georgia",+All!M249,IF(+All!$H249="Georgia",+All!M249,0))</f>
        <v>52</v>
      </c>
      <c r="N62" s="704" t="str">
        <f>IF(+All!$F249="Georgia",+All!N249,IF(+All!$H249="Georgia",+All!N249,0))</f>
        <v>Georgia</v>
      </c>
      <c r="O62" s="707">
        <f>IF(+All!$F249="Georgia",+All!O249,IF(+All!$H249="Georgia",+All!O249,0))</f>
        <v>48</v>
      </c>
      <c r="P62" s="707" t="str">
        <f>IF(+All!$F249="Georgia",+All!P249,IF(+All!$H249="Georgia",+All!P249,0))</f>
        <v>South Carolina</v>
      </c>
      <c r="Q62" s="701">
        <f>IF(+All!$F249="Georgia",+All!Q249,IF(+All!$H249="Georgia",+All!Q249,0))</f>
        <v>7</v>
      </c>
      <c r="R62" s="704" t="str">
        <f>IF(+All!$F249="Georgia",+All!R249,IF(+All!$H249="Georgia",+All!R249,0))</f>
        <v>Georgia</v>
      </c>
      <c r="S62" s="707" t="str">
        <f>IF(+All!$F249="Georgia",+All!S249,IF(+All!$H249="Georgia",+All!S249,0))</f>
        <v>South Carolina</v>
      </c>
      <c r="T62" s="704" t="str">
        <f>IF(+All!$F249="Georgia",+All!T249,IF(+All!$H249="Georgia",+All!T249,0))</f>
        <v>Georgia</v>
      </c>
      <c r="U62" s="701" t="str">
        <f>IF(+All!$F249="Georgia",+All!U249,IF(+All!$H249="Georgia",+All!U249,0))</f>
        <v>W</v>
      </c>
    </row>
    <row r="63" spans="1:21" x14ac:dyDescent="0.8">
      <c r="A63" s="697">
        <f>IF(+All!$F311="Georgia",+All!A311,IF(+All!$H311="Georgia",+All!A311,0))</f>
        <v>4</v>
      </c>
      <c r="B63" s="698" t="str">
        <f>IF(+All!$F311="Georgia",+All!B311,IF(+All!$H311="Georgia",+All!B311,0))</f>
        <v>Sat</v>
      </c>
      <c r="C63" s="699">
        <f>IF(+All!$F311="Georgia",+All!C311,IF(+All!$H311="Georgia",+All!C311,0))</f>
        <v>44828</v>
      </c>
      <c r="D63" s="700">
        <f>IF(+All!$F311="Georgia",+All!D311,IF(+All!$H311="Georgia",+All!D311,0))</f>
        <v>0.5</v>
      </c>
      <c r="E63" s="701">
        <f>IF(+All!$F311="Georgia",+All!E311,IF(+All!$H311="Georgia",+All!E311,0))</f>
        <v>0</v>
      </c>
      <c r="F63" s="702" t="str">
        <f>IF(+All!$F311="Georgia",+All!F311,IF(+All!$H311="Georgia",+All!F311,0))</f>
        <v>Kent State</v>
      </c>
      <c r="G63" s="703" t="str">
        <f>IF(+All!$F311="Georgia",+All!G311,IF(+All!$H311="Georgia",+All!G311,0))</f>
        <v>MAC</v>
      </c>
      <c r="H63" s="702" t="str">
        <f>IF(+All!$F311="Georgia",+All!H311,IF(+All!$H311="Georgia",+All!H311,0))</f>
        <v>Georgia</v>
      </c>
      <c r="I63" s="703" t="str">
        <f>IF(+All!$F311="Georgia",+All!I311,IF(+All!$H311="Georgia",+All!I311,0))</f>
        <v>SEC</v>
      </c>
      <c r="J63" s="704" t="str">
        <f>IF(+All!$F311="Georgia",+All!J311,IF(+All!$H311="Georgia",+All!J311,0))</f>
        <v>Georgia</v>
      </c>
      <c r="K63" s="701" t="str">
        <f>IF(+All!$F311="Georgia",+All!K311,IF(+All!$H311="Georgia",+All!K311,0))</f>
        <v>Kent State</v>
      </c>
      <c r="L63" s="705">
        <f>IF(+All!$F311="Georgia",+All!L311,IF(+All!$H311="Georgia",+All!L311,0))</f>
        <v>45.5</v>
      </c>
      <c r="M63" s="706">
        <f>IF(+All!$F311="Georgia",+All!M311,IF(+All!$H311="Georgia",+All!M311,0))</f>
        <v>62.5</v>
      </c>
      <c r="N63" s="704" t="str">
        <f>IF(+All!$F311="Georgia",+All!N311,IF(+All!$H311="Georgia",+All!N311,0))</f>
        <v>Georgia</v>
      </c>
      <c r="O63" s="707">
        <f>IF(+All!$F311="Georgia",+All!O311,IF(+All!$H311="Georgia",+All!O311,0))</f>
        <v>39</v>
      </c>
      <c r="P63" s="707" t="str">
        <f>IF(+All!$F311="Georgia",+All!P311,IF(+All!$H311="Georgia",+All!P311,0))</f>
        <v>Kent State</v>
      </c>
      <c r="Q63" s="701">
        <f>IF(+All!$F311="Georgia",+All!Q311,IF(+All!$H311="Georgia",+All!Q311,0))</f>
        <v>22</v>
      </c>
      <c r="R63" s="704" t="str">
        <f>IF(+All!$F311="Georgia",+All!R311,IF(+All!$H311="Georgia",+All!R311,0))</f>
        <v>Kent State</v>
      </c>
      <c r="S63" s="707" t="str">
        <f>IF(+All!$F311="Georgia",+All!S311,IF(+All!$H311="Georgia",+All!S311,0))</f>
        <v>Georgia</v>
      </c>
      <c r="T63" s="704" t="str">
        <f>IF(+All!$F311="Georgia",+All!T311,IF(+All!$H311="Georgia",+All!T311,0))</f>
        <v>Kent State</v>
      </c>
      <c r="U63" s="701" t="str">
        <f>IF(+All!$F311="Georgia",+All!U311,IF(+All!$H311="Georgia",+All!U311,0))</f>
        <v>W</v>
      </c>
    </row>
    <row r="64" spans="1:21" x14ac:dyDescent="0.8">
      <c r="A64" s="697">
        <f>IF(+All!$F380="Georgia",+All!A380,IF(+All!$H380="Georgia",+All!A380,0))</f>
        <v>5</v>
      </c>
      <c r="B64" s="698" t="str">
        <f>IF(+All!$F380="Georgia",+All!B380,IF(+All!$H380="Georgia",+All!B380,0))</f>
        <v>Sat</v>
      </c>
      <c r="C64" s="699">
        <f>IF(+All!$F380="Georgia",+All!C380,IF(+All!$H380="Georgia",+All!C380,0))</f>
        <v>44835</v>
      </c>
      <c r="D64" s="700">
        <f>IF(+All!$F380="Georgia",+All!D380,IF(+All!$H380="Georgia",+All!D380,0))</f>
        <v>0.8125</v>
      </c>
      <c r="E64" s="701" t="str">
        <f>IF(+All!$F380="Georgia",+All!E380,IF(+All!$H380="Georgia",+All!E380,0))</f>
        <v>SEC</v>
      </c>
      <c r="F64" s="702" t="str">
        <f>IF(+All!$F380="Georgia",+All!F380,IF(+All!$H380="Georgia",+All!F380,0))</f>
        <v>Georgia</v>
      </c>
      <c r="G64" s="703" t="str">
        <f>IF(+All!$F380="Georgia",+All!G380,IF(+All!$H380="Georgia",+All!G380,0))</f>
        <v>SEC</v>
      </c>
      <c r="H64" s="702" t="str">
        <f>IF(+All!$F380="Georgia",+All!H380,IF(+All!$H380="Georgia",+All!H380,0))</f>
        <v>Missouri</v>
      </c>
      <c r="I64" s="703" t="str">
        <f>IF(+All!$F380="Georgia",+All!I380,IF(+All!$H380="Georgia",+All!I380,0))</f>
        <v>SEC</v>
      </c>
      <c r="J64" s="704" t="str">
        <f>IF(+All!$F380="Georgia",+All!J380,IF(+All!$H380="Georgia",+All!J380,0))</f>
        <v>Georgia</v>
      </c>
      <c r="K64" s="701" t="str">
        <f>IF(+All!$F380="Georgia",+All!K380,IF(+All!$H380="Georgia",+All!K380,0))</f>
        <v>Missouri</v>
      </c>
      <c r="L64" s="705">
        <f>IF(+All!$F380="Georgia",+All!L380,IF(+All!$H380="Georgia",+All!L380,0))</f>
        <v>28</v>
      </c>
      <c r="M64" s="706">
        <f>IF(+All!$F380="Georgia",+All!M380,IF(+All!$H380="Georgia",+All!M380,0))</f>
        <v>54</v>
      </c>
      <c r="N64" s="704" t="str">
        <f>IF(+All!$F380="Georgia",+All!N380,IF(+All!$H380="Georgia",+All!N380,0))</f>
        <v>Georgia</v>
      </c>
      <c r="O64" s="707">
        <f>IF(+All!$F380="Georgia",+All!O380,IF(+All!$H380="Georgia",+All!O380,0))</f>
        <v>26</v>
      </c>
      <c r="P64" s="707" t="str">
        <f>IF(+All!$F380="Georgia",+All!P380,IF(+All!$H380="Georgia",+All!P380,0))</f>
        <v>Missouri</v>
      </c>
      <c r="Q64" s="701">
        <f>IF(+All!$F380="Georgia",+All!Q380,IF(+All!$H380="Georgia",+All!Q380,0))</f>
        <v>22</v>
      </c>
      <c r="R64" s="704" t="str">
        <f>IF(+All!$F380="Georgia",+All!R380,IF(+All!$H380="Georgia",+All!R380,0))</f>
        <v>Missouri</v>
      </c>
      <c r="S64" s="707" t="str">
        <f>IF(+All!$F380="Georgia",+All!S380,IF(+All!$H380="Georgia",+All!S380,0))</f>
        <v>Georgia</v>
      </c>
      <c r="T64" s="704" t="str">
        <f>IF(+All!$F380="Georgia",+All!T380,IF(+All!$H380="Georgia",+All!T380,0))</f>
        <v>Georgia</v>
      </c>
      <c r="U64" s="701" t="str">
        <f>IF(+All!$F380="Georgia",+All!U380,IF(+All!$H380="Georgia",+All!U380,0))</f>
        <v>L</v>
      </c>
    </row>
    <row r="65" spans="1:21" x14ac:dyDescent="0.8">
      <c r="A65" s="697">
        <f>IF(+All!$F433="Georgia",+All!A433,IF(+All!$H433="Georgia",+All!A433,0))</f>
        <v>6</v>
      </c>
      <c r="B65" s="698" t="str">
        <f>IF(+All!$F433="Georgia",+All!B433,IF(+All!$H433="Georgia",+All!B433,0))</f>
        <v>Sat</v>
      </c>
      <c r="C65" s="699">
        <f>IF(+All!$F433="Georgia",+All!C433,IF(+All!$H433="Georgia",+All!C433,0))</f>
        <v>44842</v>
      </c>
      <c r="D65" s="700">
        <f>IF(+All!$F433="Georgia",+All!D433,IF(+All!$H433="Georgia",+All!D433,0))</f>
        <v>0.64583333333333337</v>
      </c>
      <c r="E65" s="701" t="str">
        <f>IF(+All!$F433="Georgia",+All!E433,IF(+All!$H433="Georgia",+All!E433,0))</f>
        <v>CBS</v>
      </c>
      <c r="F65" s="702" t="str">
        <f>IF(+All!$F433="Georgia",+All!F433,IF(+All!$H433="Georgia",+All!F433,0))</f>
        <v>Auburn</v>
      </c>
      <c r="G65" s="703" t="str">
        <f>IF(+All!$F433="Georgia",+All!G433,IF(+All!$H433="Georgia",+All!G433,0))</f>
        <v>SEC</v>
      </c>
      <c r="H65" s="702" t="str">
        <f>IF(+All!$F433="Georgia",+All!H433,IF(+All!$H433="Georgia",+All!H433,0))</f>
        <v>Georgia</v>
      </c>
      <c r="I65" s="703" t="str">
        <f>IF(+All!$F433="Georgia",+All!I433,IF(+All!$H433="Georgia",+All!I433,0))</f>
        <v>SEC</v>
      </c>
      <c r="J65" s="704" t="str">
        <f>IF(+All!$F433="Georgia",+All!J433,IF(+All!$H433="Georgia",+All!J433,0))</f>
        <v>Georgia</v>
      </c>
      <c r="K65" s="701" t="str">
        <f>IF(+All!$F433="Georgia",+All!K433,IF(+All!$H433="Georgia",+All!K433,0))</f>
        <v>Auburn</v>
      </c>
      <c r="L65" s="705">
        <f>IF(+All!$F433="Georgia",+All!L433,IF(+All!$H433="Georgia",+All!L433,0))</f>
        <v>30</v>
      </c>
      <c r="M65" s="706">
        <f>IF(+All!$F433="Georgia",+All!M433,IF(+All!$H433="Georgia",+All!M433,0))</f>
        <v>49</v>
      </c>
      <c r="N65" s="704" t="str">
        <f>IF(+All!$F433="Georgia",+All!N433,IF(+All!$H433="Georgia",+All!N433,0))</f>
        <v>Georgia</v>
      </c>
      <c r="O65" s="707">
        <f>IF(+All!$F433="Georgia",+All!O433,IF(+All!$H433="Georgia",+All!O433,0))</f>
        <v>42</v>
      </c>
      <c r="P65" s="707" t="str">
        <f>IF(+All!$F433="Georgia",+All!P433,IF(+All!$H433="Georgia",+All!P433,0))</f>
        <v>Auburn</v>
      </c>
      <c r="Q65" s="701">
        <f>IF(+All!$F433="Georgia",+All!Q433,IF(+All!$H433="Georgia",+All!Q433,0))</f>
        <v>10</v>
      </c>
      <c r="R65" s="704" t="str">
        <f>IF(+All!$F433="Georgia",+All!R433,IF(+All!$H433="Georgia",+All!R433,0))</f>
        <v>Georgia</v>
      </c>
      <c r="S65" s="707" t="str">
        <f>IF(+All!$F433="Georgia",+All!S433,IF(+All!$H433="Georgia",+All!S433,0))</f>
        <v>Auburn</v>
      </c>
      <c r="T65" s="704" t="str">
        <f>IF(+All!$F433="Georgia",+All!T433,IF(+All!$H433="Georgia",+All!T433,0))</f>
        <v>Auburn</v>
      </c>
      <c r="U65" s="701" t="str">
        <f>IF(+All!$F433="Georgia",+All!U433,IF(+All!$H433="Georgia",+All!U433,0))</f>
        <v>L</v>
      </c>
    </row>
    <row r="66" spans="1:21" x14ac:dyDescent="0.8">
      <c r="A66" s="697">
        <f>IF(+All!$F487="Georgia",+All!A487,IF(+All!$H487="Georgia",+All!A487,0))</f>
        <v>7</v>
      </c>
      <c r="B66" s="698" t="str">
        <f>IF(+All!$F487="Georgia",+All!B487,IF(+All!$H487="Georgia",+All!B487,0))</f>
        <v>Sat</v>
      </c>
      <c r="C66" s="699">
        <f>IF(+All!$F487="Georgia",+All!C487,IF(+All!$H487="Georgia",+All!C487,0))</f>
        <v>44849</v>
      </c>
      <c r="D66" s="700">
        <f>IF(+All!$F487="Georgia",+All!D487,IF(+All!$H487="Georgia",+All!D487,0))</f>
        <v>0.64583333333333337</v>
      </c>
      <c r="E66" s="701" t="str">
        <f>IF(+All!$F487="Georgia",+All!E487,IF(+All!$H487="Georgia",+All!E487,0))</f>
        <v>SEC</v>
      </c>
      <c r="F66" s="702" t="str">
        <f>IF(+All!$F487="Georgia",+All!F487,IF(+All!$H487="Georgia",+All!F487,0))</f>
        <v>Vanderbilt</v>
      </c>
      <c r="G66" s="703" t="str">
        <f>IF(+All!$F487="Georgia",+All!G487,IF(+All!$H487="Georgia",+All!G487,0))</f>
        <v>SEC</v>
      </c>
      <c r="H66" s="702" t="str">
        <f>IF(+All!$F487="Georgia",+All!H487,IF(+All!$H487="Georgia",+All!H487,0))</f>
        <v>Georgia</v>
      </c>
      <c r="I66" s="703" t="str">
        <f>IF(+All!$F487="Georgia",+All!I487,IF(+All!$H487="Georgia",+All!I487,0))</f>
        <v>SEC</v>
      </c>
      <c r="J66" s="704" t="str">
        <f>IF(+All!$F487="Georgia",+All!J487,IF(+All!$H487="Georgia",+All!J487,0))</f>
        <v>Georgia</v>
      </c>
      <c r="K66" s="701" t="str">
        <f>IF(+All!$F487="Georgia",+All!K487,IF(+All!$H487="Georgia",+All!K487,0))</f>
        <v>Vanderbilt</v>
      </c>
      <c r="L66" s="705">
        <f>IF(+All!$F487="Georgia",+All!L487,IF(+All!$H487="Georgia",+All!L487,0))</f>
        <v>38.5</v>
      </c>
      <c r="M66" s="706">
        <f>IF(+All!$F487="Georgia",+All!M487,IF(+All!$H487="Georgia",+All!M487,0))</f>
        <v>58.5</v>
      </c>
      <c r="N66" s="704" t="str">
        <f>IF(+All!$F487="Georgia",+All!N487,IF(+All!$H487="Georgia",+All!N487,0))</f>
        <v>Georgia</v>
      </c>
      <c r="O66" s="707">
        <f>IF(+All!$F487="Georgia",+All!O487,IF(+All!$H487="Georgia",+All!O487,0))</f>
        <v>55</v>
      </c>
      <c r="P66" s="707" t="str">
        <f>IF(+All!$F487="Georgia",+All!P487,IF(+All!$H487="Georgia",+All!P487,0))</f>
        <v>Vanderbilt</v>
      </c>
      <c r="Q66" s="701">
        <f>IF(+All!$F487="Georgia",+All!Q487,IF(+All!$H487="Georgia",+All!Q487,0))</f>
        <v>0</v>
      </c>
      <c r="R66" s="704" t="str">
        <f>IF(+All!$F487="Georgia",+All!R487,IF(+All!$H487="Georgia",+All!R487,0))</f>
        <v>Georgia</v>
      </c>
      <c r="S66" s="707" t="str">
        <f>IF(+All!$F487="Georgia",+All!S487,IF(+All!$H487="Georgia",+All!S487,0))</f>
        <v>Vanderbilt</v>
      </c>
      <c r="T66" s="704" t="str">
        <f>IF(+All!$F487="Georgia",+All!T487,IF(+All!$H487="Georgia",+All!T487,0))</f>
        <v>Vanderbilt</v>
      </c>
      <c r="U66" s="701" t="str">
        <f>IF(+All!$F487="Georgia",+All!U487,IF(+All!$H487="Georgia",+All!U487,0))</f>
        <v>L</v>
      </c>
    </row>
    <row r="67" spans="1:21" x14ac:dyDescent="0.8">
      <c r="A67" s="697" t="e">
        <f>IF(+All!#REF!="Georgia",+All!#REF!,IF(+All!#REF!="Georgia",+All!#REF!,0))</f>
        <v>#REF!</v>
      </c>
      <c r="B67" s="698" t="e">
        <f>IF(+All!#REF!="Georgia",+All!#REF!,IF(+All!#REF!="Georgia",+All!#REF!,0))</f>
        <v>#REF!</v>
      </c>
      <c r="C67" s="699" t="e">
        <f>IF(+All!#REF!="Georgia",+All!#REF!,IF(+All!#REF!="Georgia",+All!#REF!,0))</f>
        <v>#REF!</v>
      </c>
      <c r="D67" s="700" t="e">
        <f>IF(+All!#REF!="Georgia",+All!#REF!,IF(+All!#REF!="Georgia",+All!#REF!,0))</f>
        <v>#REF!</v>
      </c>
      <c r="E67" s="701" t="e">
        <f>IF(+All!#REF!="Georgia",+All!#REF!,IF(+All!#REF!="Georgia",+All!#REF!,0))</f>
        <v>#REF!</v>
      </c>
      <c r="F67" s="702" t="e">
        <f>IF(+All!#REF!="Georgia",+All!#REF!,IF(+All!#REF!="Georgia",+All!#REF!,0))</f>
        <v>#REF!</v>
      </c>
      <c r="G67" s="703" t="e">
        <f>IF(+All!#REF!="Georgia",+All!#REF!,IF(+All!#REF!="Georgia",+All!#REF!,0))</f>
        <v>#REF!</v>
      </c>
      <c r="H67" s="702" t="e">
        <f>IF(+All!#REF!="Georgia",+All!#REF!,IF(+All!#REF!="Georgia",+All!#REF!,0))</f>
        <v>#REF!</v>
      </c>
      <c r="I67" s="703" t="e">
        <f>IF(+All!#REF!="Georgia",+All!#REF!,IF(+All!#REF!="Georgia",+All!#REF!,0))</f>
        <v>#REF!</v>
      </c>
      <c r="J67" s="704" t="e">
        <f>IF(+All!#REF!="Georgia",+All!#REF!,IF(+All!#REF!="Georgia",+All!#REF!,0))</f>
        <v>#REF!</v>
      </c>
      <c r="K67" s="701" t="e">
        <f>IF(+All!#REF!="Georgia",+All!#REF!,IF(+All!#REF!="Georgia",+All!#REF!,0))</f>
        <v>#REF!</v>
      </c>
      <c r="L67" s="705" t="e">
        <f>IF(+All!#REF!="Georgia",+All!#REF!,IF(+All!#REF!="Georgia",+All!#REF!,0))</f>
        <v>#REF!</v>
      </c>
      <c r="M67" s="706" t="e">
        <f>IF(+All!#REF!="Georgia",+All!#REF!,IF(+All!#REF!="Georgia",+All!#REF!,0))</f>
        <v>#REF!</v>
      </c>
      <c r="N67" s="704" t="e">
        <f>IF(+All!#REF!="Georgia",+All!#REF!,IF(+All!#REF!="Georgia",+All!#REF!,0))</f>
        <v>#REF!</v>
      </c>
      <c r="O67" s="707" t="e">
        <f>IF(+All!#REF!="Georgia",+All!#REF!,IF(+All!#REF!="Georgia",+All!#REF!,0))</f>
        <v>#REF!</v>
      </c>
      <c r="P67" s="707" t="e">
        <f>IF(+All!#REF!="Georgia",+All!#REF!,IF(+All!#REF!="Georgia",+All!#REF!,0))</f>
        <v>#REF!</v>
      </c>
      <c r="Q67" s="701" t="e">
        <f>IF(+All!#REF!="Georgia",+All!#REF!,IF(+All!#REF!="Georgia",+All!#REF!,0))</f>
        <v>#REF!</v>
      </c>
      <c r="R67" s="704" t="e">
        <f>IF(+All!#REF!="Georgia",+All!#REF!,IF(+All!#REF!="Georgia",+All!#REF!,0))</f>
        <v>#REF!</v>
      </c>
      <c r="S67" s="707" t="e">
        <f>IF(+All!#REF!="Georgia",+All!#REF!,IF(+All!#REF!="Georgia",+All!#REF!,0))</f>
        <v>#REF!</v>
      </c>
      <c r="T67" s="704" t="e">
        <f>IF(+All!#REF!="Georgia",+All!#REF!,IF(+All!#REF!="Georgia",+All!#REF!,0))</f>
        <v>#REF!</v>
      </c>
      <c r="U67" s="701" t="e">
        <f>IF(+All!#REF!="Georgia",+All!#REF!,IF(+All!#REF!="Georgia",+All!#REF!,0))</f>
        <v>#REF!</v>
      </c>
    </row>
    <row r="68" spans="1:21" x14ac:dyDescent="0.8">
      <c r="A68" s="697">
        <f>IF(+All!$F589="Georgia",+All!A589,IF(+All!$H589="Georgia",+All!A589,0))</f>
        <v>9</v>
      </c>
      <c r="B68" s="698" t="str">
        <f>IF(+All!$F589="Georgia",+All!B589,IF(+All!$H589="Georgia",+All!B589,0))</f>
        <v>Sat</v>
      </c>
      <c r="C68" s="699">
        <f>IF(+All!$F589="Georgia",+All!C589,IF(+All!$H589="Georgia",+All!C589,0))</f>
        <v>44863</v>
      </c>
      <c r="D68" s="700">
        <f>IF(+All!$F589="Georgia",+All!D589,IF(+All!$H589="Georgia",+All!D589,0))</f>
        <v>0.64583333333333337</v>
      </c>
      <c r="E68" s="701" t="str">
        <f>IF(+All!$F589="Georgia",+All!E589,IF(+All!$H589="Georgia",+All!E589,0))</f>
        <v>CBS</v>
      </c>
      <c r="F68" s="702" t="str">
        <f>IF(+All!$F589="Georgia",+All!F589,IF(+All!$H589="Georgia",+All!F589,0))</f>
        <v>Georgia</v>
      </c>
      <c r="G68" s="703" t="str">
        <f>IF(+All!$F589="Georgia",+All!G589,IF(+All!$H589="Georgia",+All!G589,0))</f>
        <v>SEC</v>
      </c>
      <c r="H68" s="702" t="str">
        <f>IF(+All!$F589="Georgia",+All!H589,IF(+All!$H589="Georgia",+All!H589,0))</f>
        <v>Florida</v>
      </c>
      <c r="I68" s="703" t="str">
        <f>IF(+All!$F589="Georgia",+All!I589,IF(+All!$H589="Georgia",+All!I589,0))</f>
        <v>SEC</v>
      </c>
      <c r="J68" s="704" t="str">
        <f>IF(+All!$F589="Georgia",+All!J589,IF(+All!$H589="Georgia",+All!J589,0))</f>
        <v>Georgia</v>
      </c>
      <c r="K68" s="701" t="str">
        <f>IF(+All!$F589="Georgia",+All!K589,IF(+All!$H589="Georgia",+All!K589,0))</f>
        <v>Florida</v>
      </c>
      <c r="L68" s="705">
        <f>IF(+All!$F589="Georgia",+All!L589,IF(+All!$H589="Georgia",+All!L589,0))</f>
        <v>22.5</v>
      </c>
      <c r="M68" s="706">
        <f>IF(+All!$F589="Georgia",+All!M589,IF(+All!$H589="Georgia",+All!M589,0))</f>
        <v>56.5</v>
      </c>
      <c r="N68" s="704" t="str">
        <f>IF(+All!$F589="Georgia",+All!N589,IF(+All!$H589="Georgia",+All!N589,0))</f>
        <v>Georgia</v>
      </c>
      <c r="O68" s="707">
        <f>IF(+All!$F589="Georgia",+All!O589,IF(+All!$H589="Georgia",+All!O589,0))</f>
        <v>42</v>
      </c>
      <c r="P68" s="707" t="str">
        <f>IF(+All!$F589="Georgia",+All!P589,IF(+All!$H589="Georgia",+All!P589,0))</f>
        <v>Florida</v>
      </c>
      <c r="Q68" s="701">
        <f>IF(+All!$F589="Georgia",+All!Q589,IF(+All!$H589="Georgia",+All!Q589,0))</f>
        <v>20</v>
      </c>
      <c r="R68" s="704" t="str">
        <f>IF(+All!$F589="Georgia",+All!R589,IF(+All!$H589="Georgia",+All!R589,0))</f>
        <v>Florida</v>
      </c>
      <c r="S68" s="707" t="str">
        <f>IF(+All!$F589="Georgia",+All!S589,IF(+All!$H589="Georgia",+All!S589,0))</f>
        <v>Georgia</v>
      </c>
      <c r="T68" s="704" t="str">
        <f>IF(+All!$F589="Georgia",+All!T589,IF(+All!$H589="Georgia",+All!T589,0))</f>
        <v>Florida</v>
      </c>
      <c r="U68" s="701" t="str">
        <f>IF(+All!$F589="Georgia",+All!U589,IF(+All!$H589="Georgia",+All!U589,0))</f>
        <v>W</v>
      </c>
    </row>
    <row r="69" spans="1:21" x14ac:dyDescent="0.8">
      <c r="A69" s="697">
        <f>IF(+All!$F647="Georgia",+All!A647,IF(+All!$H647="Georgia",+All!A647,0))</f>
        <v>10</v>
      </c>
      <c r="B69" s="698" t="str">
        <f>IF(+All!$F647="Georgia",+All!B647,IF(+All!$H647="Georgia",+All!B647,0))</f>
        <v>Sat</v>
      </c>
      <c r="C69" s="699">
        <f>IF(+All!$F647="Georgia",+All!C647,IF(+All!$H647="Georgia",+All!C647,0))</f>
        <v>44870</v>
      </c>
      <c r="D69" s="700">
        <f>IF(+All!$F647="Georgia",+All!D647,IF(+All!$H647="Georgia",+All!D647,0))</f>
        <v>0.64583333333333337</v>
      </c>
      <c r="E69" s="701" t="str">
        <f>IF(+All!$F647="Georgia",+All!E647,IF(+All!$H647="Georgia",+All!E647,0))</f>
        <v>CBS</v>
      </c>
      <c r="F69" s="702" t="str">
        <f>IF(+All!$F647="Georgia",+All!F647,IF(+All!$H647="Georgia",+All!F647,0))</f>
        <v>Tennessee</v>
      </c>
      <c r="G69" s="703" t="str">
        <f>IF(+All!$F647="Georgia",+All!G647,IF(+All!$H647="Georgia",+All!G647,0))</f>
        <v>SEC</v>
      </c>
      <c r="H69" s="702" t="str">
        <f>IF(+All!$F647="Georgia",+All!H647,IF(+All!$H647="Georgia",+All!H647,0))</f>
        <v>Georgia</v>
      </c>
      <c r="I69" s="703" t="str">
        <f>IF(+All!$F647="Georgia",+All!I647,IF(+All!$H647="Georgia",+All!I647,0))</f>
        <v>SEC</v>
      </c>
      <c r="J69" s="704" t="str">
        <f>IF(+All!$F647="Georgia",+All!J647,IF(+All!$H647="Georgia",+All!J647,0))</f>
        <v>Georgia</v>
      </c>
      <c r="K69" s="701" t="str">
        <f>IF(+All!$F647="Georgia",+All!K647,IF(+All!$H647="Georgia",+All!K647,0))</f>
        <v>Tennessee</v>
      </c>
      <c r="L69" s="705">
        <f>IF(+All!$F647="Georgia",+All!L647,IF(+All!$H647="Georgia",+All!L647,0))</f>
        <v>8</v>
      </c>
      <c r="M69" s="706">
        <f>IF(+All!$F647="Georgia",+All!M647,IF(+All!$H647="Georgia",+All!M647,0))</f>
        <v>66</v>
      </c>
      <c r="N69" s="704" t="str">
        <f>IF(+All!$F647="Georgia",+All!N647,IF(+All!$H647="Georgia",+All!N647,0))</f>
        <v>Georgia</v>
      </c>
      <c r="O69" s="707">
        <f>IF(+All!$F647="Georgia",+All!O647,IF(+All!$H647="Georgia",+All!O647,0))</f>
        <v>27</v>
      </c>
      <c r="P69" s="707" t="str">
        <f>IF(+All!$F647="Georgia",+All!P647,IF(+All!$H647="Georgia",+All!P647,0))</f>
        <v>Tennessee</v>
      </c>
      <c r="Q69" s="701">
        <f>IF(+All!$F647="Georgia",+All!Q647,IF(+All!$H647="Georgia",+All!Q647,0))</f>
        <v>13</v>
      </c>
      <c r="R69" s="704" t="str">
        <f>IF(+All!$F647="Georgia",+All!R647,IF(+All!$H647="Georgia",+All!R647,0))</f>
        <v>Georgia</v>
      </c>
      <c r="S69" s="707" t="str">
        <f>IF(+All!$F647="Georgia",+All!S647,IF(+All!$H647="Georgia",+All!S647,0))</f>
        <v>Tennessee</v>
      </c>
      <c r="T69" s="704" t="str">
        <f>IF(+All!$F647="Georgia",+All!T647,IF(+All!$H647="Georgia",+All!T647,0))</f>
        <v>Tennessee</v>
      </c>
      <c r="U69" s="701" t="str">
        <f>IF(+All!$F647="Georgia",+All!U647,IF(+All!$H647="Georgia",+All!U647,0))</f>
        <v>L</v>
      </c>
    </row>
    <row r="70" spans="1:21" x14ac:dyDescent="0.8">
      <c r="A70" s="697">
        <f>IF(+All!$F716="Georgia",+All!A716,IF(+All!$H716="Georgia",+All!A716,0))</f>
        <v>11</v>
      </c>
      <c r="B70" s="698" t="str">
        <f>IF(+All!$F716="Georgia",+All!B716,IF(+All!$H716="Georgia",+All!B716,0))</f>
        <v>Sat</v>
      </c>
      <c r="C70" s="699">
        <f>IF(+All!$F716="Georgia",+All!C716,IF(+All!$H716="Georgia",+All!C716,0))</f>
        <v>44877</v>
      </c>
      <c r="D70" s="700">
        <f>IF(+All!$F716="Georgia",+All!D716,IF(+All!$H716="Georgia",+All!D716,0))</f>
        <v>0.79166666666666663</v>
      </c>
      <c r="E70" s="701" t="str">
        <f>IF(+All!$F716="Georgia",+All!E716,IF(+All!$H716="Georgia",+All!E716,0))</f>
        <v>ESPN</v>
      </c>
      <c r="F70" s="702" t="str">
        <f>IF(+All!$F716="Georgia",+All!F716,IF(+All!$H716="Georgia",+All!F716,0))</f>
        <v>Georgia</v>
      </c>
      <c r="G70" s="703" t="str">
        <f>IF(+All!$F716="Georgia",+All!G716,IF(+All!$H716="Georgia",+All!G716,0))</f>
        <v>SEC</v>
      </c>
      <c r="H70" s="702" t="str">
        <f>IF(+All!$F716="Georgia",+All!H716,IF(+All!$H716="Georgia",+All!H716,0))</f>
        <v>Mississippi State</v>
      </c>
      <c r="I70" s="703" t="str">
        <f>IF(+All!$F716="Georgia",+All!I716,IF(+All!$H716="Georgia",+All!I716,0))</f>
        <v>SEC</v>
      </c>
      <c r="J70" s="704" t="str">
        <f>IF(+All!$F716="Georgia",+All!J716,IF(+All!$H716="Georgia",+All!J716,0))</f>
        <v>Georgia</v>
      </c>
      <c r="K70" s="701" t="str">
        <f>IF(+All!$F716="Georgia",+All!K716,IF(+All!$H716="Georgia",+All!K716,0))</f>
        <v>Mississippi State</v>
      </c>
      <c r="L70" s="705">
        <f>IF(+All!$F716="Georgia",+All!L716,IF(+All!$H716="Georgia",+All!L716,0))</f>
        <v>16</v>
      </c>
      <c r="M70" s="706">
        <f>IF(+All!$F716="Georgia",+All!M716,IF(+All!$H716="Georgia",+All!M716,0))</f>
        <v>53.5</v>
      </c>
      <c r="N70" s="704" t="str">
        <f>IF(+All!$F716="Georgia",+All!N716,IF(+All!$H716="Georgia",+All!N716,0))</f>
        <v>Georgia</v>
      </c>
      <c r="O70" s="707">
        <f>IF(+All!$F716="Georgia",+All!O716,IF(+All!$H716="Georgia",+All!O716,0))</f>
        <v>45</v>
      </c>
      <c r="P70" s="707" t="str">
        <f>IF(+All!$F716="Georgia",+All!P716,IF(+All!$H716="Georgia",+All!P716,0))</f>
        <v>Mississippi State</v>
      </c>
      <c r="Q70" s="701">
        <f>IF(+All!$F716="Georgia",+All!Q716,IF(+All!$H716="Georgia",+All!Q716,0))</f>
        <v>19</v>
      </c>
      <c r="R70" s="704" t="str">
        <f>IF(+All!$F716="Georgia",+All!R716,IF(+All!$H716="Georgia",+All!R716,0))</f>
        <v>Georgia</v>
      </c>
      <c r="S70" s="707" t="str">
        <f>IF(+All!$F716="Georgia",+All!S716,IF(+All!$H716="Georgia",+All!S716,0))</f>
        <v>Mississippi State</v>
      </c>
      <c r="T70" s="704" t="str">
        <f>IF(+All!$F716="Georgia",+All!T716,IF(+All!$H716="Georgia",+All!T716,0))</f>
        <v>Mississippi State</v>
      </c>
      <c r="U70" s="701" t="str">
        <f>IF(+All!$F716="Georgia",+All!U716,IF(+All!$H716="Georgia",+All!U716,0))</f>
        <v>L</v>
      </c>
    </row>
    <row r="71" spans="1:21" x14ac:dyDescent="0.8">
      <c r="A71" s="697">
        <f>IF(+All!$F778="Georgia",+All!A778,IF(+All!$H778="Georgia",+All!A778,0))</f>
        <v>12</v>
      </c>
      <c r="B71" s="698" t="str">
        <f>IF(+All!$F778="Georgia",+All!B778,IF(+All!$H778="Georgia",+All!B778,0))</f>
        <v>Sat</v>
      </c>
      <c r="C71" s="699">
        <f>IF(+All!$F778="Georgia",+All!C778,IF(+All!$H778="Georgia",+All!C778,0))</f>
        <v>44884</v>
      </c>
      <c r="D71" s="700">
        <f>IF(+All!$F778="Georgia",+All!D778,IF(+All!$H778="Georgia",+All!D778,0))</f>
        <v>0.64583333333333337</v>
      </c>
      <c r="E71" s="701" t="str">
        <f>IF(+All!$F778="Georgia",+All!E778,IF(+All!$H778="Georgia",+All!E778,0))</f>
        <v>CBS</v>
      </c>
      <c r="F71" s="702" t="str">
        <f>IF(+All!$F778="Georgia",+All!F778,IF(+All!$H778="Georgia",+All!F778,0))</f>
        <v>Georgia</v>
      </c>
      <c r="G71" s="703" t="str">
        <f>IF(+All!$F778="Georgia",+All!G778,IF(+All!$H778="Georgia",+All!G778,0))</f>
        <v>SEC</v>
      </c>
      <c r="H71" s="702" t="str">
        <f>IF(+All!$F778="Georgia",+All!H778,IF(+All!$H778="Georgia",+All!H778,0))</f>
        <v>Kentucky</v>
      </c>
      <c r="I71" s="703" t="str">
        <f>IF(+All!$F778="Georgia",+All!I778,IF(+All!$H778="Georgia",+All!I778,0))</f>
        <v>SEC</v>
      </c>
      <c r="J71" s="704" t="str">
        <f>IF(+All!$F778="Georgia",+All!J778,IF(+All!$H778="Georgia",+All!J778,0))</f>
        <v>Georgia</v>
      </c>
      <c r="K71" s="701" t="str">
        <f>IF(+All!$F778="Georgia",+All!K778,IF(+All!$H778="Georgia",+All!K778,0))</f>
        <v>Kentucky</v>
      </c>
      <c r="L71" s="705">
        <f>IF(+All!$F778="Georgia",+All!L778,IF(+All!$H778="Georgia",+All!L778,0))</f>
        <v>22.5</v>
      </c>
      <c r="M71" s="706">
        <f>IF(+All!$F778="Georgia",+All!M778,IF(+All!$H778="Georgia",+All!M778,0))</f>
        <v>49</v>
      </c>
      <c r="N71" s="704" t="str">
        <f>IF(+All!$F778="Georgia",+All!N778,IF(+All!$H778="Georgia",+All!N778,0))</f>
        <v>Georgia</v>
      </c>
      <c r="O71" s="707">
        <f>IF(+All!$F778="Georgia",+All!O778,IF(+All!$H778="Georgia",+All!O778,0))</f>
        <v>16</v>
      </c>
      <c r="P71" s="707" t="str">
        <f>IF(+All!$F778="Georgia",+All!P778,IF(+All!$H778="Georgia",+All!P778,0))</f>
        <v>Kentucky</v>
      </c>
      <c r="Q71" s="701">
        <f>IF(+All!$F778="Georgia",+All!Q778,IF(+All!$H778="Georgia",+All!Q778,0))</f>
        <v>6</v>
      </c>
      <c r="R71" s="704" t="str">
        <f>IF(+All!$F778="Georgia",+All!R778,IF(+All!$H778="Georgia",+All!R778,0))</f>
        <v>Kentucky</v>
      </c>
      <c r="S71" s="707" t="str">
        <f>IF(+All!$F778="Georgia",+All!S778,IF(+All!$H778="Georgia",+All!S778,0))</f>
        <v>Georgia</v>
      </c>
      <c r="T71" s="704" t="str">
        <f>IF(+All!$F778="Georgia",+All!T778,IF(+All!$H778="Georgia",+All!T778,0))</f>
        <v>Georgia</v>
      </c>
      <c r="U71" s="701" t="str">
        <f>IF(+All!$F778="Georgia",+All!U778,IF(+All!$H778="Georgia",+All!U778,0))</f>
        <v>L</v>
      </c>
    </row>
    <row r="72" spans="1:21" x14ac:dyDescent="0.8">
      <c r="A72" s="697">
        <f>IF(+All!$F845="Georgia",+All!A845,IF(+All!$H845="Georgia",+All!A845,0))</f>
        <v>13</v>
      </c>
      <c r="B72" s="698" t="str">
        <f>IF(+All!$F845="Georgia",+All!B845,IF(+All!$H845="Georgia",+All!B845,0))</f>
        <v>Sat</v>
      </c>
      <c r="C72" s="699">
        <f>IF(+All!$F845="Georgia",+All!C845,IF(+All!$H845="Georgia",+All!C845,0))</f>
        <v>44891</v>
      </c>
      <c r="D72" s="700">
        <f>IF(+All!$F845="Georgia",+All!D845,IF(+All!$H845="Georgia",+All!D845,0))</f>
        <v>0.5</v>
      </c>
      <c r="E72" s="701" t="str">
        <f>IF(+All!$F845="Georgia",+All!E845,IF(+All!$H845="Georgia",+All!E845,0))</f>
        <v>ESPN</v>
      </c>
      <c r="F72" s="702" t="str">
        <f>IF(+All!$F845="Georgia",+All!F845,IF(+All!$H845="Georgia",+All!F845,0))</f>
        <v>Georgia Tech</v>
      </c>
      <c r="G72" s="703" t="str">
        <f>IF(+All!$F845="Georgia",+All!G845,IF(+All!$H845="Georgia",+All!G845,0))</f>
        <v>ACC</v>
      </c>
      <c r="H72" s="702" t="str">
        <f>IF(+All!$F845="Georgia",+All!H845,IF(+All!$H845="Georgia",+All!H845,0))</f>
        <v>Georgia</v>
      </c>
      <c r="I72" s="703" t="str">
        <f>IF(+All!$F845="Georgia",+All!I845,IF(+All!$H845="Georgia",+All!I845,0))</f>
        <v>SEC</v>
      </c>
      <c r="J72" s="704" t="str">
        <f>IF(+All!$F845="Georgia",+All!J845,IF(+All!$H845="Georgia",+All!J845,0))</f>
        <v>Georgia</v>
      </c>
      <c r="K72" s="701" t="str">
        <f>IF(+All!$F845="Georgia",+All!K845,IF(+All!$H845="Georgia",+All!K845,0))</f>
        <v>Georgia Tech</v>
      </c>
      <c r="L72" s="705">
        <f>IF(+All!$F845="Georgia",+All!L845,IF(+All!$H845="Georgia",+All!L845,0))</f>
        <v>36</v>
      </c>
      <c r="M72" s="706">
        <f>IF(+All!$F845="Georgia",+All!M845,IF(+All!$H845="Georgia",+All!M845,0))</f>
        <v>49</v>
      </c>
      <c r="N72" s="704" t="str">
        <f>IF(+All!$F845="Georgia",+All!N845,IF(+All!$H845="Georgia",+All!N845,0))</f>
        <v>Georgia</v>
      </c>
      <c r="O72" s="707">
        <f>IF(+All!$F845="Georgia",+All!O845,IF(+All!$H845="Georgia",+All!O845,0))</f>
        <v>37</v>
      </c>
      <c r="P72" s="707" t="str">
        <f>IF(+All!$F845="Georgia",+All!P845,IF(+All!$H845="Georgia",+All!P845,0))</f>
        <v>Georgia Tech</v>
      </c>
      <c r="Q72" s="701">
        <f>IF(+All!$F845="Georgia",+All!Q845,IF(+All!$H845="Georgia",+All!Q845,0))</f>
        <v>14</v>
      </c>
      <c r="R72" s="704" t="str">
        <f>IF(+All!$F845="Georgia",+All!R845,IF(+All!$H845="Georgia",+All!R845,0))</f>
        <v>Georgia Tech</v>
      </c>
      <c r="S72" s="707" t="str">
        <f>IF(+All!$F845="Georgia",+All!S845,IF(+All!$H845="Georgia",+All!S845,0))</f>
        <v>Georgia</v>
      </c>
      <c r="T72" s="704" t="str">
        <f>IF(+All!$F845="Georgia",+All!T845,IF(+All!$H845="Georgia",+All!T845,0))</f>
        <v>Georgia Tech</v>
      </c>
      <c r="U72" s="701" t="str">
        <f>IF(+All!$F845="Georgia",+All!U845,IF(+All!$H845="Georgia",+All!U845,0))</f>
        <v>W</v>
      </c>
    </row>
    <row r="73" spans="1:21" x14ac:dyDescent="0.8">
      <c r="B73" s="697"/>
      <c r="C73" s="708"/>
      <c r="D73" s="700"/>
      <c r="F73" s="916" t="str">
        <f>F75</f>
        <v>Kentucky</v>
      </c>
      <c r="G73" s="917"/>
      <c r="H73" s="917"/>
      <c r="I73" s="918"/>
      <c r="L73" s="705"/>
      <c r="M73" s="706"/>
    </row>
    <row r="74" spans="1:21" x14ac:dyDescent="0.8">
      <c r="A74" s="697">
        <f>IF(+All!$F78="Kentucky",+All!A78,IF(+All!$H78="Kentucky",+All!A78,0))</f>
        <v>1</v>
      </c>
      <c r="B74" s="698" t="str">
        <f>IF(+All!$F78="Kentucky",+All!B78,IF(+All!$H78="Kentucky",+All!B78,0))</f>
        <v>Sat</v>
      </c>
      <c r="C74" s="711">
        <f>IF(+All!$F78="Kentucky",+All!C78,IF(+All!$H78="Kentucky",+All!C78,0))</f>
        <v>44807</v>
      </c>
      <c r="D74" s="712">
        <f>IF(+All!$F78="Kentucky",+All!D78,IF(+All!$H78="Kentucky",+All!D78,0))</f>
        <v>0.79166666666666663</v>
      </c>
      <c r="E74" s="701" t="str">
        <f>IF(+All!$F78="Kentucky",+All!E78,IF(+All!$H78="Kentucky",+All!E78,0))</f>
        <v>SEC</v>
      </c>
      <c r="F74" s="704" t="str">
        <f>IF(+All!$F78="Kentucky",+All!F78,IF(+All!$H78="Kentucky",+All!F78,0))</f>
        <v>Miami (OH)</v>
      </c>
      <c r="G74" s="701" t="str">
        <f>IF(+All!$F78="Kentucky",+All!G78,IF(+All!$H78="Kentucky",+All!G78,0))</f>
        <v>MAC</v>
      </c>
      <c r="H74" s="704" t="str">
        <f>IF(+All!$F78="Kentucky",+All!H78,IF(+All!$H78="Kentucky",+All!H78,0))</f>
        <v>Kentucky</v>
      </c>
      <c r="I74" s="701" t="str">
        <f>IF(+All!$F78="Kentucky",+All!I78,IF(+All!$H78="Kentucky",+All!I78,0))</f>
        <v>SEC</v>
      </c>
      <c r="J74" s="704" t="str">
        <f>IF(+All!$F78="Kentucky",+All!J78,IF(+All!$H78="Kentucky",+All!J78,0))</f>
        <v>Kentucky</v>
      </c>
      <c r="K74" s="701" t="str">
        <f>IF(+All!$F78="Kentucky",+All!K78,IF(+All!$H78="Kentucky",+All!K78,0))</f>
        <v>Miami (OH)</v>
      </c>
      <c r="L74" s="713">
        <f>IF(+All!$F78="Kentucky",+All!L78,IF(+All!$H78="Kentucky",+All!L78,0))</f>
        <v>16</v>
      </c>
      <c r="M74" s="714">
        <f>IF(+All!$F78="Kentucky",+All!M78,IF(+All!$H78="Kentucky",+All!M78,0))</f>
        <v>53.5</v>
      </c>
      <c r="N74" s="704" t="str">
        <f>IF(+All!$F78="Kentucky",+All!N78,IF(+All!$H78="Kentucky",+All!N78,0))</f>
        <v>Kentucky</v>
      </c>
      <c r="O74" s="707">
        <f>IF(+All!$F78="Kentucky",+All!O78,IF(+All!$H78="Kentucky",+All!O78,0))</f>
        <v>37</v>
      </c>
      <c r="P74" s="707" t="str">
        <f>IF(+All!$F78="Kentucky",+All!P78,IF(+All!$H78="Kentucky",+All!P78,0))</f>
        <v>Miami (OH)</v>
      </c>
      <c r="Q74" s="709">
        <f>IF(+All!$F78="Kentucky",+All!Q78,IF(+All!$H78="Kentucky",+All!Q78,0))</f>
        <v>13</v>
      </c>
      <c r="R74" s="704" t="str">
        <f>IF(+All!$F78="Kentucky",+All!R78,IF(+All!$H78="Kentucky",+All!R78,0))</f>
        <v>Kentucky</v>
      </c>
      <c r="S74" s="707" t="str">
        <f>IF(+All!$F78="Kentucky",+All!S78,IF(+All!$H78="Kentucky",+All!S78,0))</f>
        <v>Miami (OH)</v>
      </c>
      <c r="T74" s="704" t="str">
        <f>IF(+All!$F78="Kentucky",+All!T78,IF(+All!$H78="Kentucky",+All!T78,0))</f>
        <v>Kentucky</v>
      </c>
      <c r="U74" s="701" t="str">
        <f>IF(+All!$F78="Kentucky",+All!U78,IF(+All!$H78="Kentucky",+All!U78,0))</f>
        <v>W</v>
      </c>
    </row>
    <row r="75" spans="1:21" x14ac:dyDescent="0.8">
      <c r="A75" s="697">
        <f>IF(+All!$F173="Kentucky",+All!A173,IF(+All!$H173="Kentucky",+All!A173,0))</f>
        <v>2</v>
      </c>
      <c r="B75" s="698" t="str">
        <f>IF(+All!$F173="Kentucky",+All!B173,IF(+All!$H173="Kentucky",+All!B173,0))</f>
        <v>Sat</v>
      </c>
      <c r="C75" s="711">
        <f>IF(+All!$F173="Kentucky",+All!C173,IF(+All!$H173="Kentucky",+All!C173,0))</f>
        <v>44814</v>
      </c>
      <c r="D75" s="712">
        <f>IF(+All!$F173="Kentucky",+All!D173,IF(+All!$H173="Kentucky",+All!D173,0))</f>
        <v>0.79166666666666663</v>
      </c>
      <c r="E75" s="701" t="str">
        <f>IF(+All!$F173="Kentucky",+All!E173,IF(+All!$H173="Kentucky",+All!E173,0))</f>
        <v>ESPN</v>
      </c>
      <c r="F75" s="704" t="str">
        <f>IF(+All!$F173="Kentucky",+All!F173,IF(+All!$H173="Kentucky",+All!F173,0))</f>
        <v>Kentucky</v>
      </c>
      <c r="G75" s="701" t="str">
        <f>IF(+All!$F173="Kentucky",+All!G173,IF(+All!$H173="Kentucky",+All!G173,0))</f>
        <v>SEC</v>
      </c>
      <c r="H75" s="704" t="str">
        <f>IF(+All!$F173="Kentucky",+All!H173,IF(+All!$H173="Kentucky",+All!H173,0))</f>
        <v>Florida</v>
      </c>
      <c r="I75" s="701" t="str">
        <f>IF(+All!$F173="Kentucky",+All!I173,IF(+All!$H173="Kentucky",+All!I173,0))</f>
        <v>SEC</v>
      </c>
      <c r="J75" s="704" t="str">
        <f>IF(+All!$F173="Kentucky",+All!J173,IF(+All!$H173="Kentucky",+All!J173,0))</f>
        <v>Florida</v>
      </c>
      <c r="K75" s="701" t="str">
        <f>IF(+All!$F173="Kentucky",+All!K173,IF(+All!$H173="Kentucky",+All!K173,0))</f>
        <v>Kentucky</v>
      </c>
      <c r="L75" s="713">
        <f>IF(+All!$F173="Kentucky",+All!L173,IF(+All!$H173="Kentucky",+All!L173,0))</f>
        <v>5</v>
      </c>
      <c r="M75" s="714">
        <f>IF(+All!$F173="Kentucky",+All!M173,IF(+All!$H173="Kentucky",+All!M173,0))</f>
        <v>52.5</v>
      </c>
      <c r="N75" s="704" t="str">
        <f>IF(+All!$F173="Kentucky",+All!N173,IF(+All!$H173="Kentucky",+All!N173,0))</f>
        <v>Kentucky</v>
      </c>
      <c r="O75" s="707">
        <f>IF(+All!$F173="Kentucky",+All!O173,IF(+All!$H173="Kentucky",+All!O173,0))</f>
        <v>26</v>
      </c>
      <c r="P75" s="707" t="str">
        <f>IF(+All!$F173="Kentucky",+All!P173,IF(+All!$H173="Kentucky",+All!P173,0))</f>
        <v>Florida</v>
      </c>
      <c r="Q75" s="709">
        <f>IF(+All!$F173="Kentucky",+All!Q173,IF(+All!$H173="Kentucky",+All!Q173,0))</f>
        <v>16</v>
      </c>
      <c r="R75" s="704" t="str">
        <f>IF(+All!$F173="Kentucky",+All!R173,IF(+All!$H173="Kentucky",+All!R173,0))</f>
        <v>Kentucky</v>
      </c>
      <c r="S75" s="707" t="str">
        <f>IF(+All!$F173="Kentucky",+All!S173,IF(+All!$H173="Kentucky",+All!S173,0))</f>
        <v>Florida</v>
      </c>
      <c r="T75" s="704" t="str">
        <f>IF(+All!$F173="Kentucky",+All!T173,IF(+All!$H173="Kentucky",+All!T173,0))</f>
        <v>Kentucky</v>
      </c>
      <c r="U75" s="701" t="str">
        <f>IF(+All!$F173="Kentucky",+All!U173,IF(+All!$H173="Kentucky",+All!U173,0))</f>
        <v>W</v>
      </c>
    </row>
    <row r="76" spans="1:21" x14ac:dyDescent="0.8">
      <c r="A76" s="697">
        <f>IF(+All!$F246="Kentucky",+All!A246,IF(+All!$H246="Kentucky",+All!A246,0))</f>
        <v>3</v>
      </c>
      <c r="B76" s="698" t="str">
        <f>IF(+All!$F246="Kentucky",+All!B246,IF(+All!$H246="Kentucky",+All!B246,0))</f>
        <v>Sat</v>
      </c>
      <c r="C76" s="711">
        <f>IF(+All!$F246="Kentucky",+All!C246,IF(+All!$H246="Kentucky",+All!C246,0))</f>
        <v>44821</v>
      </c>
      <c r="D76" s="712">
        <f>IF(+All!$F246="Kentucky",+All!D246,IF(+All!$H246="Kentucky",+All!D246,0))</f>
        <v>0.5</v>
      </c>
      <c r="E76" s="701" t="str">
        <f>IF(+All!$F246="Kentucky",+All!E246,IF(+All!$H246="Kentucky",+All!E246,0))</f>
        <v>SEC</v>
      </c>
      <c r="F76" s="704" t="str">
        <f>IF(+All!$F246="Kentucky",+All!F246,IF(+All!$H246="Kentucky",+All!F246,0))</f>
        <v>1AA Youngstown St</v>
      </c>
      <c r="G76" s="701" t="str">
        <f>IF(+All!$F246="Kentucky",+All!G246,IF(+All!$H246="Kentucky",+All!G246,0))</f>
        <v>1AA</v>
      </c>
      <c r="H76" s="704" t="str">
        <f>IF(+All!$F246="Kentucky",+All!H246,IF(+All!$H246="Kentucky",+All!H246,0))</f>
        <v>Kentucky</v>
      </c>
      <c r="I76" s="701" t="str">
        <f>IF(+All!$F246="Kentucky",+All!I246,IF(+All!$H246="Kentucky",+All!I246,0))</f>
        <v>SEC</v>
      </c>
      <c r="J76" s="704">
        <f>IF(+All!$F246="Kentucky",+All!J246,IF(+All!$H246="Kentucky",+All!J246,0))</f>
        <v>0</v>
      </c>
      <c r="K76" s="701">
        <f>IF(+All!$F246="Kentucky",+All!K246,IF(+All!$H246="Kentucky",+All!K246,0))</f>
        <v>0</v>
      </c>
      <c r="L76" s="713">
        <f>IF(+All!$F246="Kentucky",+All!L246,IF(+All!$H246="Kentucky",+All!L246,0))</f>
        <v>0</v>
      </c>
      <c r="M76" s="714">
        <f>IF(+All!$F246="Kentucky",+All!M246,IF(+All!$H246="Kentucky",+All!M246,0))</f>
        <v>0</v>
      </c>
      <c r="N76" s="704" t="str">
        <f>IF(+All!$F246="Kentucky",+All!N246,IF(+All!$H246="Kentucky",+All!N246,0))</f>
        <v>Kentucky</v>
      </c>
      <c r="O76" s="707">
        <f>IF(+All!$F246="Kentucky",+All!O246,IF(+All!$H246="Kentucky",+All!O246,0))</f>
        <v>31</v>
      </c>
      <c r="P76" s="707" t="str">
        <f>IF(+All!$F246="Kentucky",+All!P246,IF(+All!$H246="Kentucky",+All!P246,0))</f>
        <v>1AA Youngstown St</v>
      </c>
      <c r="Q76" s="709">
        <f>IF(+All!$F246="Kentucky",+All!Q246,IF(+All!$H246="Kentucky",+All!Q246,0))</f>
        <v>0</v>
      </c>
      <c r="R76" s="704">
        <f>IF(+All!$F246="Kentucky",+All!R246,IF(+All!$H246="Kentucky",+All!R246,0))</f>
        <v>0</v>
      </c>
      <c r="S76" s="707">
        <f>IF(+All!$F246="Kentucky",+All!S246,IF(+All!$H246="Kentucky",+All!S246,0))</f>
        <v>0</v>
      </c>
      <c r="T76" s="704">
        <f>IF(+All!$F246="Kentucky",+All!T246,IF(+All!$H246="Kentucky",+All!T246,0))</f>
        <v>0</v>
      </c>
      <c r="U76" s="701">
        <f>IF(+All!$F246="Kentucky",+All!U246,IF(+All!$H246="Kentucky",+All!U246,0))</f>
        <v>0</v>
      </c>
    </row>
    <row r="77" spans="1:21" x14ac:dyDescent="0.8">
      <c r="A77" s="697">
        <f>IF(+All!$F312="Kentucky",+All!A312,IF(+All!$H312="Kentucky",+All!A312,0))</f>
        <v>4</v>
      </c>
      <c r="B77" s="698" t="str">
        <f>IF(+All!$F312="Kentucky",+All!B312,IF(+All!$H312="Kentucky",+All!B312,0))</f>
        <v>Sat</v>
      </c>
      <c r="C77" s="711">
        <f>IF(+All!$F312="Kentucky",+All!C312,IF(+All!$H312="Kentucky",+All!C312,0))</f>
        <v>44828</v>
      </c>
      <c r="D77" s="712">
        <f>IF(+All!$F312="Kentucky",+All!D312,IF(+All!$H312="Kentucky",+All!D312,0))</f>
        <v>0.79166666666666663</v>
      </c>
      <c r="E77" s="701" t="str">
        <f>IF(+All!$F312="Kentucky",+All!E312,IF(+All!$H312="Kentucky",+All!E312,0))</f>
        <v>ESPN2</v>
      </c>
      <c r="F77" s="704" t="str">
        <f>IF(+All!$F312="Kentucky",+All!F312,IF(+All!$H312="Kentucky",+All!F312,0))</f>
        <v>Northern Illinois</v>
      </c>
      <c r="G77" s="701" t="str">
        <f>IF(+All!$F312="Kentucky",+All!G312,IF(+All!$H312="Kentucky",+All!G312,0))</f>
        <v>MAC</v>
      </c>
      <c r="H77" s="704" t="str">
        <f>IF(+All!$F312="Kentucky",+All!H312,IF(+All!$H312="Kentucky",+All!H312,0))</f>
        <v>Kentucky</v>
      </c>
      <c r="I77" s="701" t="str">
        <f>IF(+All!$F312="Kentucky",+All!I312,IF(+All!$H312="Kentucky",+All!I312,0))</f>
        <v>SEC</v>
      </c>
      <c r="J77" s="704" t="str">
        <f>IF(+All!$F312="Kentucky",+All!J312,IF(+All!$H312="Kentucky",+All!J312,0))</f>
        <v>Kentucky</v>
      </c>
      <c r="K77" s="701" t="str">
        <f>IF(+All!$F312="Kentucky",+All!K312,IF(+All!$H312="Kentucky",+All!K312,0))</f>
        <v>Northern Illinois</v>
      </c>
      <c r="L77" s="713">
        <f>IF(+All!$F312="Kentucky",+All!L312,IF(+All!$H312="Kentucky",+All!L312,0))</f>
        <v>25</v>
      </c>
      <c r="M77" s="714">
        <f>IF(+All!$F312="Kentucky",+All!M312,IF(+All!$H312="Kentucky",+All!M312,0))</f>
        <v>53.5</v>
      </c>
      <c r="N77" s="704" t="str">
        <f>IF(+All!$F312="Kentucky",+All!N312,IF(+All!$H312="Kentucky",+All!N312,0))</f>
        <v>Kentucky</v>
      </c>
      <c r="O77" s="707">
        <f>IF(+All!$F312="Kentucky",+All!O312,IF(+All!$H312="Kentucky",+All!O312,0))</f>
        <v>31</v>
      </c>
      <c r="P77" s="707" t="str">
        <f>IF(+All!$F312="Kentucky",+All!P312,IF(+All!$H312="Kentucky",+All!P312,0))</f>
        <v>Northern Illinois</v>
      </c>
      <c r="Q77" s="709">
        <f>IF(+All!$F312="Kentucky",+All!Q312,IF(+All!$H312="Kentucky",+All!Q312,0))</f>
        <v>23</v>
      </c>
      <c r="R77" s="704" t="str">
        <f>IF(+All!$F312="Kentucky",+All!R312,IF(+All!$H312="Kentucky",+All!R312,0))</f>
        <v>Northern Illinois</v>
      </c>
      <c r="S77" s="707" t="str">
        <f>IF(+All!$F312="Kentucky",+All!S312,IF(+All!$H312="Kentucky",+All!S312,0))</f>
        <v>Kentucky</v>
      </c>
      <c r="T77" s="704" t="str">
        <f>IF(+All!$F312="Kentucky",+All!T312,IF(+All!$H312="Kentucky",+All!T312,0))</f>
        <v>Northern Illinois</v>
      </c>
      <c r="U77" s="701" t="str">
        <f>IF(+All!$F312="Kentucky",+All!U312,IF(+All!$H312="Kentucky",+All!U312,0))</f>
        <v>W</v>
      </c>
    </row>
    <row r="78" spans="1:21" x14ac:dyDescent="0.8">
      <c r="A78" s="697">
        <f>IF(+All!$F378="Kentucky",+All!A378,IF(+All!$H378="Kentucky",+All!A378,0))</f>
        <v>5</v>
      </c>
      <c r="B78" s="698" t="str">
        <f>IF(+All!$F378="Kentucky",+All!B378,IF(+All!$H378="Kentucky",+All!B378,0))</f>
        <v>Sat</v>
      </c>
      <c r="C78" s="711">
        <f>IF(+All!$F378="Kentucky",+All!C378,IF(+All!$H378="Kentucky",+All!C378,0))</f>
        <v>44835</v>
      </c>
      <c r="D78" s="712">
        <f>IF(+All!$F378="Kentucky",+All!D378,IF(+All!$H378="Kentucky",+All!D378,0))</f>
        <v>0.5</v>
      </c>
      <c r="E78" s="701" t="str">
        <f>IF(+All!$F378="Kentucky",+All!E378,IF(+All!$H378="Kentucky",+All!E378,0))</f>
        <v>ESPN</v>
      </c>
      <c r="F78" s="704" t="str">
        <f>IF(+All!$F378="Kentucky",+All!F378,IF(+All!$H378="Kentucky",+All!F378,0))</f>
        <v>Kentucky</v>
      </c>
      <c r="G78" s="701" t="str">
        <f>IF(+All!$F378="Kentucky",+All!G378,IF(+All!$H378="Kentucky",+All!G378,0))</f>
        <v>SEC</v>
      </c>
      <c r="H78" s="704" t="str">
        <f>IF(+All!$F378="Kentucky",+All!H378,IF(+All!$H378="Kentucky",+All!H378,0))</f>
        <v>Mississippi</v>
      </c>
      <c r="I78" s="701" t="str">
        <f>IF(+All!$F378="Kentucky",+All!I378,IF(+All!$H378="Kentucky",+All!I378,0))</f>
        <v>SEC</v>
      </c>
      <c r="J78" s="704" t="str">
        <f>IF(+All!$F378="Kentucky",+All!J378,IF(+All!$H378="Kentucky",+All!J378,0))</f>
        <v>Mississippi</v>
      </c>
      <c r="K78" s="701" t="str">
        <f>IF(+All!$F378="Kentucky",+All!K378,IF(+All!$H378="Kentucky",+All!K378,0))</f>
        <v>Kentucky</v>
      </c>
      <c r="L78" s="713">
        <f>IF(+All!$F378="Kentucky",+All!L378,IF(+All!$H378="Kentucky",+All!L378,0))</f>
        <v>7</v>
      </c>
      <c r="M78" s="714">
        <f>IF(+All!$F378="Kentucky",+All!M378,IF(+All!$H378="Kentucky",+All!M378,0))</f>
        <v>54.5</v>
      </c>
      <c r="N78" s="704" t="str">
        <f>IF(+All!$F378="Kentucky",+All!N378,IF(+All!$H378="Kentucky",+All!N378,0))</f>
        <v>Mississippi</v>
      </c>
      <c r="O78" s="707">
        <f>IF(+All!$F378="Kentucky",+All!O378,IF(+All!$H378="Kentucky",+All!O378,0))</f>
        <v>22</v>
      </c>
      <c r="P78" s="707" t="str">
        <f>IF(+All!$F378="Kentucky",+All!P378,IF(+All!$H378="Kentucky",+All!P378,0))</f>
        <v>Kentucky</v>
      </c>
      <c r="Q78" s="709">
        <f>IF(+All!$F378="Kentucky",+All!Q378,IF(+All!$H378="Kentucky",+All!Q378,0))</f>
        <v>19</v>
      </c>
      <c r="R78" s="704" t="str">
        <f>IF(+All!$F378="Kentucky",+All!R378,IF(+All!$H378="Kentucky",+All!R378,0))</f>
        <v>Kentucky</v>
      </c>
      <c r="S78" s="707" t="str">
        <f>IF(+All!$F378="Kentucky",+All!S378,IF(+All!$H378="Kentucky",+All!S378,0))</f>
        <v>Mississippi</v>
      </c>
      <c r="T78" s="704" t="str">
        <f>IF(+All!$F378="Kentucky",+All!T378,IF(+All!$H378="Kentucky",+All!T378,0))</f>
        <v>Kentucky</v>
      </c>
      <c r="U78" s="701" t="str">
        <f>IF(+All!$F378="Kentucky",+All!U378,IF(+All!$H378="Kentucky",+All!U378,0))</f>
        <v>W</v>
      </c>
    </row>
    <row r="79" spans="1:21" x14ac:dyDescent="0.8">
      <c r="A79" s="697">
        <f>IF(+All!$F434="Kentucky",+All!A434,IF(+All!$H434="Kentucky",+All!A434,0))</f>
        <v>6</v>
      </c>
      <c r="B79" s="698" t="str">
        <f>IF(+All!$F434="Kentucky",+All!B434,IF(+All!$H434="Kentucky",+All!B434,0))</f>
        <v>Sat</v>
      </c>
      <c r="C79" s="711">
        <f>IF(+All!$F434="Kentucky",+All!C434,IF(+All!$H434="Kentucky",+All!C434,0))</f>
        <v>44842</v>
      </c>
      <c r="D79" s="712">
        <f>IF(+All!$F434="Kentucky",+All!D434,IF(+All!$H434="Kentucky",+All!D434,0))</f>
        <v>0.8125</v>
      </c>
      <c r="E79" s="701" t="str">
        <f>IF(+All!$F434="Kentucky",+All!E434,IF(+All!$H434="Kentucky",+All!E434,0))</f>
        <v>SEC</v>
      </c>
      <c r="F79" s="704" t="str">
        <f>IF(+All!$F434="Kentucky",+All!F434,IF(+All!$H434="Kentucky",+All!F434,0))</f>
        <v>South Carolina</v>
      </c>
      <c r="G79" s="701" t="str">
        <f>IF(+All!$F434="Kentucky",+All!G434,IF(+All!$H434="Kentucky",+All!G434,0))</f>
        <v>SEC</v>
      </c>
      <c r="H79" s="704" t="str">
        <f>IF(+All!$F434="Kentucky",+All!H434,IF(+All!$H434="Kentucky",+All!H434,0))</f>
        <v>Kentucky</v>
      </c>
      <c r="I79" s="701" t="str">
        <f>IF(+All!$F434="Kentucky",+All!I434,IF(+All!$H434="Kentucky",+All!I434,0))</f>
        <v>SEC</v>
      </c>
      <c r="J79" s="704" t="str">
        <f>IF(+All!$F434="Kentucky",+All!J434,IF(+All!$H434="Kentucky",+All!J434,0))</f>
        <v>Kentucky</v>
      </c>
      <c r="K79" s="701" t="str">
        <f>IF(+All!$F434="Kentucky",+All!K434,IF(+All!$H434="Kentucky",+All!K434,0))</f>
        <v>South Carolina</v>
      </c>
      <c r="L79" s="713">
        <f>IF(+All!$F434="Kentucky",+All!L434,IF(+All!$H434="Kentucky",+All!L434,0))</f>
        <v>10.5</v>
      </c>
      <c r="M79" s="714">
        <f>IF(+All!$F434="Kentucky",+All!M434,IF(+All!$H434="Kentucky",+All!M434,0))</f>
        <v>49</v>
      </c>
      <c r="N79" s="704" t="str">
        <f>IF(+All!$F434="Kentucky",+All!N434,IF(+All!$H434="Kentucky",+All!N434,0))</f>
        <v>South Carolina</v>
      </c>
      <c r="O79" s="707">
        <f>IF(+All!$F434="Kentucky",+All!O434,IF(+All!$H434="Kentucky",+All!O434,0))</f>
        <v>24</v>
      </c>
      <c r="P79" s="707" t="str">
        <f>IF(+All!$F434="Kentucky",+All!P434,IF(+All!$H434="Kentucky",+All!P434,0))</f>
        <v>Kentucky</v>
      </c>
      <c r="Q79" s="709">
        <f>IF(+All!$F434="Kentucky",+All!Q434,IF(+All!$H434="Kentucky",+All!Q434,0))</f>
        <v>14</v>
      </c>
      <c r="R79" s="704" t="str">
        <f>IF(+All!$F434="Kentucky",+All!R434,IF(+All!$H434="Kentucky",+All!R434,0))</f>
        <v>South Carolina</v>
      </c>
      <c r="S79" s="707" t="str">
        <f>IF(+All!$F434="Kentucky",+All!S434,IF(+All!$H434="Kentucky",+All!S434,0))</f>
        <v>Kentucky</v>
      </c>
      <c r="T79" s="704" t="str">
        <f>IF(+All!$F434="Kentucky",+All!T434,IF(+All!$H434="Kentucky",+All!T434,0))</f>
        <v>Kentucky</v>
      </c>
      <c r="U79" s="701" t="str">
        <f>IF(+All!$F434="Kentucky",+All!U434,IF(+All!$H434="Kentucky",+All!U434,0))</f>
        <v>L</v>
      </c>
    </row>
    <row r="80" spans="1:21" x14ac:dyDescent="0.8">
      <c r="A80" s="697">
        <f>IF(+All!$F488="Kentucky",+All!A488,IF(+All!$H488="Kentucky",+All!A488,0))</f>
        <v>7</v>
      </c>
      <c r="B80" s="698" t="str">
        <f>IF(+All!$F488="Kentucky",+All!B488,IF(+All!$H488="Kentucky",+All!B488,0))</f>
        <v>Sat</v>
      </c>
      <c r="C80" s="711">
        <f>IF(+All!$F488="Kentucky",+All!C488,IF(+All!$H488="Kentucky",+All!C488,0))</f>
        <v>44849</v>
      </c>
      <c r="D80" s="712">
        <f>IF(+All!$F488="Kentucky",+All!D488,IF(+All!$H488="Kentucky",+All!D488,0))</f>
        <v>0.8125</v>
      </c>
      <c r="E80" s="701" t="str">
        <f>IF(+All!$F488="Kentucky",+All!E488,IF(+All!$H488="Kentucky",+All!E488,0))</f>
        <v>SEC</v>
      </c>
      <c r="F80" s="704" t="str">
        <f>IF(+All!$F488="Kentucky",+All!F488,IF(+All!$H488="Kentucky",+All!F488,0))</f>
        <v>Mississippi State</v>
      </c>
      <c r="G80" s="701" t="str">
        <f>IF(+All!$F488="Kentucky",+All!G488,IF(+All!$H488="Kentucky",+All!G488,0))</f>
        <v>SEC</v>
      </c>
      <c r="H80" s="704" t="str">
        <f>IF(+All!$F488="Kentucky",+All!H488,IF(+All!$H488="Kentucky",+All!H488,0))</f>
        <v>Kentucky</v>
      </c>
      <c r="I80" s="701" t="str">
        <f>IF(+All!$F488="Kentucky",+All!I488,IF(+All!$H488="Kentucky",+All!I488,0))</f>
        <v>SEC</v>
      </c>
      <c r="J80" s="704" t="str">
        <f>IF(+All!$F488="Kentucky",+All!J488,IF(+All!$H488="Kentucky",+All!J488,0))</f>
        <v>Mississippi State</v>
      </c>
      <c r="K80" s="701" t="str">
        <f>IF(+All!$F488="Kentucky",+All!K488,IF(+All!$H488="Kentucky",+All!K488,0))</f>
        <v>Kentucky</v>
      </c>
      <c r="L80" s="713">
        <f>IF(+All!$F488="Kentucky",+All!L488,IF(+All!$H488="Kentucky",+All!L488,0))</f>
        <v>7</v>
      </c>
      <c r="M80" s="714">
        <f>IF(+All!$F488="Kentucky",+All!M488,IF(+All!$H488="Kentucky",+All!M488,0))</f>
        <v>56</v>
      </c>
      <c r="N80" s="704" t="str">
        <f>IF(+All!$F488="Kentucky",+All!N488,IF(+All!$H488="Kentucky",+All!N488,0))</f>
        <v>Kentucky</v>
      </c>
      <c r="O80" s="707">
        <f>IF(+All!$F488="Kentucky",+All!O488,IF(+All!$H488="Kentucky",+All!O488,0))</f>
        <v>27</v>
      </c>
      <c r="P80" s="707" t="str">
        <f>IF(+All!$F488="Kentucky",+All!P488,IF(+All!$H488="Kentucky",+All!P488,0))</f>
        <v>Mississippi State</v>
      </c>
      <c r="Q80" s="709">
        <f>IF(+All!$F488="Kentucky",+All!Q488,IF(+All!$H488="Kentucky",+All!Q488,0))</f>
        <v>17</v>
      </c>
      <c r="R80" s="704" t="str">
        <f>IF(+All!$F488="Kentucky",+All!R488,IF(+All!$H488="Kentucky",+All!R488,0))</f>
        <v>Kentucky</v>
      </c>
      <c r="S80" s="707" t="str">
        <f>IF(+All!$F488="Kentucky",+All!S488,IF(+All!$H488="Kentucky",+All!S488,0))</f>
        <v>Mississippi State</v>
      </c>
      <c r="T80" s="704" t="str">
        <f>IF(+All!$F488="Kentucky",+All!T488,IF(+All!$H488="Kentucky",+All!T488,0))</f>
        <v>Kentucky</v>
      </c>
      <c r="U80" s="701" t="str">
        <f>IF(+All!$F488="Kentucky",+All!U488,IF(+All!$H488="Kentucky",+All!U488,0))</f>
        <v>W</v>
      </c>
    </row>
    <row r="81" spans="1:21" x14ac:dyDescent="0.8">
      <c r="A81" s="697" t="e">
        <f>IF(+All!#REF!="Kentucky",+All!#REF!,IF(+All!#REF!="Kentucky",+All!#REF!,0))</f>
        <v>#REF!</v>
      </c>
      <c r="B81" s="698" t="e">
        <f>IF(+All!#REF!="Kentucky",+All!#REF!,IF(+All!#REF!="Kentucky",+All!#REF!,0))</f>
        <v>#REF!</v>
      </c>
      <c r="C81" s="711" t="e">
        <f>IF(+All!#REF!="Kentucky",+All!#REF!,IF(+All!#REF!="Kentucky",+All!#REF!,0))</f>
        <v>#REF!</v>
      </c>
      <c r="D81" s="712" t="e">
        <f>IF(+All!#REF!="Kentucky",+All!#REF!,IF(+All!#REF!="Kentucky",+All!#REF!,0))</f>
        <v>#REF!</v>
      </c>
      <c r="E81" s="701" t="e">
        <f>IF(+All!#REF!="Kentucky",+All!#REF!,IF(+All!#REF!="Kentucky",+All!#REF!,0))</f>
        <v>#REF!</v>
      </c>
      <c r="F81" s="704" t="e">
        <f>IF(+All!#REF!="Kentucky",+All!#REF!,IF(+All!#REF!="Kentucky",+All!#REF!,0))</f>
        <v>#REF!</v>
      </c>
      <c r="G81" s="701" t="e">
        <f>IF(+All!#REF!="Kentucky",+All!#REF!,IF(+All!#REF!="Kentucky",+All!#REF!,0))</f>
        <v>#REF!</v>
      </c>
      <c r="H81" s="704" t="e">
        <f>IF(+All!#REF!="Kentucky",+All!#REF!,IF(+All!#REF!="Kentucky",+All!#REF!,0))</f>
        <v>#REF!</v>
      </c>
      <c r="I81" s="701" t="e">
        <f>IF(+All!#REF!="Kentucky",+All!#REF!,IF(+All!#REF!="Kentucky",+All!#REF!,0))</f>
        <v>#REF!</v>
      </c>
      <c r="J81" s="704" t="e">
        <f>IF(+All!#REF!="Kentucky",+All!#REF!,IF(+All!#REF!="Kentucky",+All!#REF!,0))</f>
        <v>#REF!</v>
      </c>
      <c r="K81" s="701" t="e">
        <f>IF(+All!#REF!="Kentucky",+All!#REF!,IF(+All!#REF!="Kentucky",+All!#REF!,0))</f>
        <v>#REF!</v>
      </c>
      <c r="L81" s="713" t="e">
        <f>IF(+All!#REF!="Kentucky",+All!#REF!,IF(+All!#REF!="Kentucky",+All!#REF!,0))</f>
        <v>#REF!</v>
      </c>
      <c r="M81" s="714" t="e">
        <f>IF(+All!#REF!="Kentucky",+All!#REF!,IF(+All!#REF!="Kentucky",+All!#REF!,0))</f>
        <v>#REF!</v>
      </c>
      <c r="N81" s="704" t="e">
        <f>IF(+All!#REF!="Kentucky",+All!#REF!,IF(+All!#REF!="Kentucky",+All!#REF!,0))</f>
        <v>#REF!</v>
      </c>
      <c r="O81" s="707" t="e">
        <f>IF(+All!#REF!="Kentucky",+All!#REF!,IF(+All!#REF!="Kentucky",+All!#REF!,0))</f>
        <v>#REF!</v>
      </c>
      <c r="P81" s="707" t="e">
        <f>IF(+All!#REF!="Kentucky",+All!#REF!,IF(+All!#REF!="Kentucky",+All!#REF!,0))</f>
        <v>#REF!</v>
      </c>
      <c r="Q81" s="709" t="e">
        <f>IF(+All!#REF!="Kentucky",+All!#REF!,IF(+All!#REF!="Kentucky",+All!#REF!,0))</f>
        <v>#REF!</v>
      </c>
      <c r="R81" s="704" t="e">
        <f>IF(+All!#REF!="Kentucky",+All!#REF!,IF(+All!#REF!="Kentucky",+All!#REF!,0))</f>
        <v>#REF!</v>
      </c>
      <c r="S81" s="707" t="e">
        <f>IF(+All!#REF!="Kentucky",+All!#REF!,IF(+All!#REF!="Kentucky",+All!#REF!,0))</f>
        <v>#REF!</v>
      </c>
      <c r="T81" s="704" t="e">
        <f>IF(+All!#REF!="Kentucky",+All!#REF!,IF(+All!#REF!="Kentucky",+All!#REF!,0))</f>
        <v>#REF!</v>
      </c>
      <c r="U81" s="701" t="e">
        <f>IF(+All!#REF!="Kentucky",+All!#REF!,IF(+All!#REF!="Kentucky",+All!#REF!,0))</f>
        <v>#REF!</v>
      </c>
    </row>
    <row r="82" spans="1:21" x14ac:dyDescent="0.8">
      <c r="A82" s="697">
        <f>IF(+All!$F591="Kentucky",+All!A591,IF(+All!$H591="Kentucky",+All!A591,0))</f>
        <v>9</v>
      </c>
      <c r="B82" s="698" t="str">
        <f>IF(+All!$F591="Kentucky",+All!B591,IF(+All!$H591="Kentucky",+All!B591,0))</f>
        <v>Sat</v>
      </c>
      <c r="C82" s="711">
        <f>IF(+All!$F591="Kentucky",+All!C591,IF(+All!$H591="Kentucky",+All!C591,0))</f>
        <v>44863</v>
      </c>
      <c r="D82" s="712">
        <f>IF(+All!$F591="Kentucky",+All!D591,IF(+All!$H591="Kentucky",+All!D591,0))</f>
        <v>0.79166666666666663</v>
      </c>
      <c r="E82" s="701" t="str">
        <f>IF(+All!$F591="Kentucky",+All!E591,IF(+All!$H591="Kentucky",+All!E591,0))</f>
        <v>ESPN</v>
      </c>
      <c r="F82" s="704" t="str">
        <f>IF(+All!$F591="Kentucky",+All!F591,IF(+All!$H591="Kentucky",+All!F591,0))</f>
        <v>Kentucky</v>
      </c>
      <c r="G82" s="701" t="str">
        <f>IF(+All!$F591="Kentucky",+All!G591,IF(+All!$H591="Kentucky",+All!G591,0))</f>
        <v>SEC</v>
      </c>
      <c r="H82" s="704" t="str">
        <f>IF(+All!$F591="Kentucky",+All!H591,IF(+All!$H591="Kentucky",+All!H591,0))</f>
        <v>Tennessee</v>
      </c>
      <c r="I82" s="701" t="str">
        <f>IF(+All!$F591="Kentucky",+All!I591,IF(+All!$H591="Kentucky",+All!I591,0))</f>
        <v>SEC</v>
      </c>
      <c r="J82" s="704" t="str">
        <f>IF(+All!$F591="Kentucky",+All!J591,IF(+All!$H591="Kentucky",+All!J591,0))</f>
        <v>Tennessee</v>
      </c>
      <c r="K82" s="701" t="str">
        <f>IF(+All!$F591="Kentucky",+All!K591,IF(+All!$H591="Kentucky",+All!K591,0))</f>
        <v>Kentucky</v>
      </c>
      <c r="L82" s="713">
        <f>IF(+All!$F591="Kentucky",+All!L591,IF(+All!$H591="Kentucky",+All!L591,0))</f>
        <v>13</v>
      </c>
      <c r="M82" s="714">
        <f>IF(+All!$F591="Kentucky",+All!M591,IF(+All!$H591="Kentucky",+All!M591,0))</f>
        <v>63.5</v>
      </c>
      <c r="N82" s="704" t="str">
        <f>IF(+All!$F591="Kentucky",+All!N591,IF(+All!$H591="Kentucky",+All!N591,0))</f>
        <v>Tennessee</v>
      </c>
      <c r="O82" s="707">
        <f>IF(+All!$F591="Kentucky",+All!O591,IF(+All!$H591="Kentucky",+All!O591,0))</f>
        <v>44</v>
      </c>
      <c r="P82" s="707" t="str">
        <f>IF(+All!$F591="Kentucky",+All!P591,IF(+All!$H591="Kentucky",+All!P591,0))</f>
        <v>Kentucky</v>
      </c>
      <c r="Q82" s="709">
        <f>IF(+All!$F591="Kentucky",+All!Q591,IF(+All!$H591="Kentucky",+All!Q591,0))</f>
        <v>6</v>
      </c>
      <c r="R82" s="704" t="str">
        <f>IF(+All!$F591="Kentucky",+All!R591,IF(+All!$H591="Kentucky",+All!R591,0))</f>
        <v>Tennessee</v>
      </c>
      <c r="S82" s="707" t="str">
        <f>IF(+All!$F591="Kentucky",+All!S591,IF(+All!$H591="Kentucky",+All!S591,0))</f>
        <v>Kentucky</v>
      </c>
      <c r="T82" s="704" t="str">
        <f>IF(+All!$F591="Kentucky",+All!T591,IF(+All!$H591="Kentucky",+All!T591,0))</f>
        <v>Kentucky</v>
      </c>
      <c r="U82" s="701" t="str">
        <f>IF(+All!$F591="Kentucky",+All!U591,IF(+All!$H591="Kentucky",+All!U591,0))</f>
        <v>L</v>
      </c>
    </row>
    <row r="83" spans="1:21" x14ac:dyDescent="0.8">
      <c r="A83" s="697">
        <f>IF(+All!$F650="Kentucky",+All!A650,IF(+All!$H650="Kentucky",+All!A650,0))</f>
        <v>10</v>
      </c>
      <c r="B83" s="698" t="str">
        <f>IF(+All!$F650="Kentucky",+All!B650,IF(+All!$H650="Kentucky",+All!B650,0))</f>
        <v>Sat</v>
      </c>
      <c r="C83" s="711">
        <f>IF(+All!$F650="Kentucky",+All!C650,IF(+All!$H650="Kentucky",+All!C650,0))</f>
        <v>44870</v>
      </c>
      <c r="D83" s="712">
        <f>IF(+All!$F650="Kentucky",+All!D650,IF(+All!$H650="Kentucky",+All!D650,0))</f>
        <v>0.5</v>
      </c>
      <c r="E83" s="701" t="str">
        <f>IF(+All!$F650="Kentucky",+All!E650,IF(+All!$H650="Kentucky",+All!E650,0))</f>
        <v>SEC</v>
      </c>
      <c r="F83" s="704" t="str">
        <f>IF(+All!$F650="Kentucky",+All!F650,IF(+All!$H650="Kentucky",+All!F650,0))</f>
        <v>Kentucky</v>
      </c>
      <c r="G83" s="701" t="str">
        <f>IF(+All!$F650="Kentucky",+All!G650,IF(+All!$H650="Kentucky",+All!G650,0))</f>
        <v>SEC</v>
      </c>
      <c r="H83" s="704" t="str">
        <f>IF(+All!$F650="Kentucky",+All!H650,IF(+All!$H650="Kentucky",+All!H650,0))</f>
        <v>Missouri</v>
      </c>
      <c r="I83" s="701" t="str">
        <f>IF(+All!$F650="Kentucky",+All!I650,IF(+All!$H650="Kentucky",+All!I650,0))</f>
        <v>SEC</v>
      </c>
      <c r="J83" s="704" t="str">
        <f>IF(+All!$F650="Kentucky",+All!J650,IF(+All!$H650="Kentucky",+All!J650,0))</f>
        <v>Kentucky</v>
      </c>
      <c r="K83" s="701" t="str">
        <f>IF(+All!$F650="Kentucky",+All!K650,IF(+All!$H650="Kentucky",+All!K650,0))</f>
        <v>Missouri</v>
      </c>
      <c r="L83" s="713">
        <f>IF(+All!$F650="Kentucky",+All!L650,IF(+All!$H650="Kentucky",+All!L650,0))</f>
        <v>2</v>
      </c>
      <c r="M83" s="714">
        <f>IF(+All!$F650="Kentucky",+All!M650,IF(+All!$H650="Kentucky",+All!M650,0))</f>
        <v>42</v>
      </c>
      <c r="N83" s="704" t="str">
        <f>IF(+All!$F650="Kentucky",+All!N650,IF(+All!$H650="Kentucky",+All!N650,0))</f>
        <v>Kentucky</v>
      </c>
      <c r="O83" s="707">
        <f>IF(+All!$F650="Kentucky",+All!O650,IF(+All!$H650="Kentucky",+All!O650,0))</f>
        <v>21</v>
      </c>
      <c r="P83" s="707" t="str">
        <f>IF(+All!$F650="Kentucky",+All!P650,IF(+All!$H650="Kentucky",+All!P650,0))</f>
        <v>Missouri</v>
      </c>
      <c r="Q83" s="709">
        <f>IF(+All!$F650="Kentucky",+All!Q650,IF(+All!$H650="Kentucky",+All!Q650,0))</f>
        <v>17</v>
      </c>
      <c r="R83" s="704" t="str">
        <f>IF(+All!$F650="Kentucky",+All!R650,IF(+All!$H650="Kentucky",+All!R650,0))</f>
        <v>Kentucky</v>
      </c>
      <c r="S83" s="707" t="str">
        <f>IF(+All!$F650="Kentucky",+All!S650,IF(+All!$H650="Kentucky",+All!S650,0))</f>
        <v>Missouri</v>
      </c>
      <c r="T83" s="704" t="str">
        <f>IF(+All!$F650="Kentucky",+All!T650,IF(+All!$H650="Kentucky",+All!T650,0))</f>
        <v>Missouri</v>
      </c>
      <c r="U83" s="701" t="str">
        <f>IF(+All!$F650="Kentucky",+All!U650,IF(+All!$H650="Kentucky",+All!U650,0))</f>
        <v>L</v>
      </c>
    </row>
    <row r="84" spans="1:21" x14ac:dyDescent="0.8">
      <c r="A84" s="697">
        <f>IF(+All!$F714="Kentucky",+All!A714,IF(+All!$H714="Kentucky",+All!A714,0))</f>
        <v>11</v>
      </c>
      <c r="B84" s="698" t="str">
        <f>IF(+All!$F714="Kentucky",+All!B714,IF(+All!$H714="Kentucky",+All!B714,0))</f>
        <v>Sat</v>
      </c>
      <c r="C84" s="711">
        <f>IF(+All!$F714="Kentucky",+All!C714,IF(+All!$H714="Kentucky",+All!C714,0))</f>
        <v>44877</v>
      </c>
      <c r="D84" s="712">
        <f>IF(+All!$F714="Kentucky",+All!D714,IF(+All!$H714="Kentucky",+All!D714,0))</f>
        <v>0.5</v>
      </c>
      <c r="E84" s="701" t="str">
        <f>IF(+All!$F714="Kentucky",+All!E714,IF(+All!$H714="Kentucky",+All!E714,0))</f>
        <v>SEC</v>
      </c>
      <c r="F84" s="704" t="str">
        <f>IF(+All!$F714="Kentucky",+All!F714,IF(+All!$H714="Kentucky",+All!F714,0))</f>
        <v>Vanderbilt</v>
      </c>
      <c r="G84" s="701" t="str">
        <f>IF(+All!$F714="Kentucky",+All!G714,IF(+All!$H714="Kentucky",+All!G714,0))</f>
        <v>SEC</v>
      </c>
      <c r="H84" s="704" t="str">
        <f>IF(+All!$F714="Kentucky",+All!H714,IF(+All!$H714="Kentucky",+All!H714,0))</f>
        <v>Kentucky</v>
      </c>
      <c r="I84" s="701" t="str">
        <f>IF(+All!$F714="Kentucky",+All!I714,IF(+All!$H714="Kentucky",+All!I714,0))</f>
        <v>SEC</v>
      </c>
      <c r="J84" s="704" t="str">
        <f>IF(+All!$F714="Kentucky",+All!J714,IF(+All!$H714="Kentucky",+All!J714,0))</f>
        <v>Kentucky</v>
      </c>
      <c r="K84" s="701" t="str">
        <f>IF(+All!$F714="Kentucky",+All!K714,IF(+All!$H714="Kentucky",+All!K714,0))</f>
        <v>Vanderbilt</v>
      </c>
      <c r="L84" s="713">
        <f>IF(+All!$F714="Kentucky",+All!L714,IF(+All!$H714="Kentucky",+All!L714,0))</f>
        <v>18</v>
      </c>
      <c r="M84" s="714">
        <f>IF(+All!$F714="Kentucky",+All!M714,IF(+All!$H714="Kentucky",+All!M714,0))</f>
        <v>48</v>
      </c>
      <c r="N84" s="704" t="str">
        <f>IF(+All!$F714="Kentucky",+All!N714,IF(+All!$H714="Kentucky",+All!N714,0))</f>
        <v>Vanderbilt</v>
      </c>
      <c r="O84" s="707">
        <f>IF(+All!$F714="Kentucky",+All!O714,IF(+All!$H714="Kentucky",+All!O714,0))</f>
        <v>24</v>
      </c>
      <c r="P84" s="707" t="str">
        <f>IF(+All!$F714="Kentucky",+All!P714,IF(+All!$H714="Kentucky",+All!P714,0))</f>
        <v>Kentucky</v>
      </c>
      <c r="Q84" s="709">
        <f>IF(+All!$F714="Kentucky",+All!Q714,IF(+All!$H714="Kentucky",+All!Q714,0))</f>
        <v>21</v>
      </c>
      <c r="R84" s="704" t="str">
        <f>IF(+All!$F714="Kentucky",+All!R714,IF(+All!$H714="Kentucky",+All!R714,0))</f>
        <v>Vanderbilt</v>
      </c>
      <c r="S84" s="707" t="str">
        <f>IF(+All!$F714="Kentucky",+All!S714,IF(+All!$H714="Kentucky",+All!S714,0))</f>
        <v>Kentucky</v>
      </c>
      <c r="T84" s="704" t="str">
        <f>IF(+All!$F714="Kentucky",+All!T714,IF(+All!$H714="Kentucky",+All!T714,0))</f>
        <v>Vanderbilt</v>
      </c>
      <c r="U84" s="701" t="str">
        <f>IF(+All!$F714="Kentucky",+All!U714,IF(+All!$H714="Kentucky",+All!U714,0))</f>
        <v>W</v>
      </c>
    </row>
    <row r="85" spans="1:21" x14ac:dyDescent="0.8">
      <c r="A85" s="697">
        <f>IF(+All!$F778="Kentucky",+All!A778,IF(+All!$H778="Kentucky",+All!A778,0))</f>
        <v>12</v>
      </c>
      <c r="B85" s="698" t="str">
        <f>IF(+All!$F778="Kentucky",+All!B778,IF(+All!$H778="Kentucky",+All!B778,0))</f>
        <v>Sat</v>
      </c>
      <c r="C85" s="711">
        <f>IF(+All!$F778="Kentucky",+All!C778,IF(+All!$H778="Kentucky",+All!C778,0))</f>
        <v>44884</v>
      </c>
      <c r="D85" s="712">
        <f>IF(+All!$F778="Kentucky",+All!D778,IF(+All!$H778="Kentucky",+All!D778,0))</f>
        <v>0.64583333333333337</v>
      </c>
      <c r="E85" s="701" t="str">
        <f>IF(+All!$F778="Kentucky",+All!E778,IF(+All!$H778="Kentucky",+All!E778,0))</f>
        <v>CBS</v>
      </c>
      <c r="F85" s="704" t="str">
        <f>IF(+All!$F778="Kentucky",+All!F778,IF(+All!$H778="Kentucky",+All!F778,0))</f>
        <v>Georgia</v>
      </c>
      <c r="G85" s="701" t="str">
        <f>IF(+All!$F778="Kentucky",+All!G778,IF(+All!$H778="Kentucky",+All!G778,0))</f>
        <v>SEC</v>
      </c>
      <c r="H85" s="704" t="str">
        <f>IF(+All!$F778="Kentucky",+All!H778,IF(+All!$H778="Kentucky",+All!H778,0))</f>
        <v>Kentucky</v>
      </c>
      <c r="I85" s="701" t="str">
        <f>IF(+All!$F778="Kentucky",+All!I778,IF(+All!$H778="Kentucky",+All!I778,0))</f>
        <v>SEC</v>
      </c>
      <c r="J85" s="704" t="str">
        <f>IF(+All!$F778="Kentucky",+All!J778,IF(+All!$H778="Kentucky",+All!J778,0))</f>
        <v>Georgia</v>
      </c>
      <c r="K85" s="701" t="str">
        <f>IF(+All!$F778="Kentucky",+All!K778,IF(+All!$H778="Kentucky",+All!K778,0))</f>
        <v>Kentucky</v>
      </c>
      <c r="L85" s="713">
        <f>IF(+All!$F778="Kentucky",+All!L778,IF(+All!$H778="Kentucky",+All!L778,0))</f>
        <v>22.5</v>
      </c>
      <c r="M85" s="714">
        <f>IF(+All!$F778="Kentucky",+All!M778,IF(+All!$H778="Kentucky",+All!M778,0))</f>
        <v>49</v>
      </c>
      <c r="N85" s="704" t="str">
        <f>IF(+All!$F778="Kentucky",+All!N778,IF(+All!$H778="Kentucky",+All!N778,0))</f>
        <v>Georgia</v>
      </c>
      <c r="O85" s="707">
        <f>IF(+All!$F778="Kentucky",+All!O778,IF(+All!$H778="Kentucky",+All!O778,0))</f>
        <v>16</v>
      </c>
      <c r="P85" s="707" t="str">
        <f>IF(+All!$F778="Kentucky",+All!P778,IF(+All!$H778="Kentucky",+All!P778,0))</f>
        <v>Kentucky</v>
      </c>
      <c r="Q85" s="709">
        <f>IF(+All!$F778="Kentucky",+All!Q778,IF(+All!$H778="Kentucky",+All!Q778,0))</f>
        <v>6</v>
      </c>
      <c r="R85" s="704" t="str">
        <f>IF(+All!$F778="Kentucky",+All!R778,IF(+All!$H778="Kentucky",+All!R778,0))</f>
        <v>Kentucky</v>
      </c>
      <c r="S85" s="707" t="str">
        <f>IF(+All!$F778="Kentucky",+All!S778,IF(+All!$H778="Kentucky",+All!S778,0))</f>
        <v>Georgia</v>
      </c>
      <c r="T85" s="704" t="str">
        <f>IF(+All!$F778="Kentucky",+All!T778,IF(+All!$H778="Kentucky",+All!T778,0))</f>
        <v>Georgia</v>
      </c>
      <c r="U85" s="701" t="str">
        <f>IF(+All!$F778="Kentucky",+All!U778,IF(+All!$H778="Kentucky",+All!U778,0))</f>
        <v>L</v>
      </c>
    </row>
    <row r="86" spans="1:21" x14ac:dyDescent="0.8">
      <c r="A86" s="697">
        <f>IF(+All!$F846="Kentucky",+All!A846,IF(+All!$H846="Kentucky",+All!A846,0))</f>
        <v>13</v>
      </c>
      <c r="B86" s="698" t="str">
        <f>IF(+All!$F846="Kentucky",+All!B846,IF(+All!$H846="Kentucky",+All!B846,0))</f>
        <v>Sat</v>
      </c>
      <c r="C86" s="711">
        <f>IF(+All!$F846="Kentucky",+All!C846,IF(+All!$H846="Kentucky",+All!C846,0))</f>
        <v>44891</v>
      </c>
      <c r="D86" s="712">
        <f>IF(+All!$F846="Kentucky",+All!D846,IF(+All!$H846="Kentucky",+All!D846,0))</f>
        <v>0.625</v>
      </c>
      <c r="E86" s="701" t="str">
        <f>IF(+All!$F846="Kentucky",+All!E846,IF(+All!$H846="Kentucky",+All!E846,0))</f>
        <v>SEC</v>
      </c>
      <c r="F86" s="704" t="str">
        <f>IF(+All!$F846="Kentucky",+All!F846,IF(+All!$H846="Kentucky",+All!F846,0))</f>
        <v>Louisville</v>
      </c>
      <c r="G86" s="701" t="str">
        <f>IF(+All!$F846="Kentucky",+All!G846,IF(+All!$H846="Kentucky",+All!G846,0))</f>
        <v>ACC</v>
      </c>
      <c r="H86" s="704" t="str">
        <f>IF(+All!$F846="Kentucky",+All!H846,IF(+All!$H846="Kentucky",+All!H846,0))</f>
        <v>Kentucky</v>
      </c>
      <c r="I86" s="701" t="str">
        <f>IF(+All!$F846="Kentucky",+All!I846,IF(+All!$H846="Kentucky",+All!I846,0))</f>
        <v>SEC</v>
      </c>
      <c r="J86" s="704" t="str">
        <f>IF(+All!$F846="Kentucky",+All!J846,IF(+All!$H846="Kentucky",+All!J846,0))</f>
        <v>Kentucky</v>
      </c>
      <c r="K86" s="701" t="str">
        <f>IF(+All!$F846="Kentucky",+All!K846,IF(+All!$H846="Kentucky",+All!K846,0))</f>
        <v>Louisville</v>
      </c>
      <c r="L86" s="713">
        <f>IF(+All!$F846="Kentucky",+All!L846,IF(+All!$H846="Kentucky",+All!L846,0))</f>
        <v>2.5</v>
      </c>
      <c r="M86" s="714">
        <f>IF(+All!$F846="Kentucky",+All!M846,IF(+All!$H846="Kentucky",+All!M846,0))</f>
        <v>43</v>
      </c>
      <c r="N86" s="704" t="str">
        <f>IF(+All!$F846="Kentucky",+All!N846,IF(+All!$H846="Kentucky",+All!N846,0))</f>
        <v>Kentucky</v>
      </c>
      <c r="O86" s="707">
        <f>IF(+All!$F846="Kentucky",+All!O846,IF(+All!$H846="Kentucky",+All!O846,0))</f>
        <v>26</v>
      </c>
      <c r="P86" s="707" t="str">
        <f>IF(+All!$F846="Kentucky",+All!P846,IF(+All!$H846="Kentucky",+All!P846,0))</f>
        <v>Louisville</v>
      </c>
      <c r="Q86" s="709">
        <f>IF(+All!$F846="Kentucky",+All!Q846,IF(+All!$H846="Kentucky",+All!Q846,0))</f>
        <v>13</v>
      </c>
      <c r="R86" s="704" t="str">
        <f>IF(+All!$F846="Kentucky",+All!R846,IF(+All!$H846="Kentucky",+All!R846,0))</f>
        <v>Kentucky</v>
      </c>
      <c r="S86" s="707" t="str">
        <f>IF(+All!$F846="Kentucky",+All!S846,IF(+All!$H846="Kentucky",+All!S846,0))</f>
        <v>Louisville</v>
      </c>
      <c r="T86" s="704" t="str">
        <f>IF(+All!$F846="Kentucky",+All!T846,IF(+All!$H846="Kentucky",+All!T846,0))</f>
        <v>Kentucky</v>
      </c>
      <c r="U86" s="701" t="str">
        <f>IF(+All!$F846="Kentucky",+All!U846,IF(+All!$H846="Kentucky",+All!U846,0))</f>
        <v>W</v>
      </c>
    </row>
    <row r="87" spans="1:21" x14ac:dyDescent="0.8">
      <c r="B87" s="697"/>
      <c r="C87" s="708"/>
      <c r="D87" s="700"/>
      <c r="F87" s="916" t="str">
        <f>H89</f>
        <v>LSU</v>
      </c>
      <c r="G87" s="917"/>
      <c r="H87" s="917"/>
      <c r="I87" s="918"/>
      <c r="L87" s="705"/>
      <c r="M87" s="706"/>
    </row>
    <row r="88" spans="1:21" x14ac:dyDescent="0.8">
      <c r="A88" s="697">
        <f>IF(+All!$F94="LSU",+All!A94,IF(+All!$H94="LSU",+All!A94,0))</f>
        <v>1</v>
      </c>
      <c r="B88" s="698" t="str">
        <f>IF(+All!$F94="LSU",+All!B94,IF(+All!$H94="LSU",+All!B94,0))</f>
        <v>Sun</v>
      </c>
      <c r="C88" s="699">
        <f>IF(+All!$F94="LSU",+All!C94,IF(+All!$H94="LSU",+All!C94,0))</f>
        <v>44808</v>
      </c>
      <c r="D88" s="700">
        <f>IF(+All!$F94="LSU",+All!D94,IF(+All!$H94="LSU",+All!D94,0))</f>
        <v>0.8125</v>
      </c>
      <c r="E88" s="701" t="str">
        <f>IF(+All!$F94="LSU",+All!E94,IF(+All!$H94="LSU",+All!E94,0))</f>
        <v>ABC</v>
      </c>
      <c r="F88" s="702" t="str">
        <f>IF(+All!$F94="LSU",+All!F94,IF(+All!$H94="LSU",+All!F94,0))</f>
        <v>LSU</v>
      </c>
      <c r="G88" s="703" t="str">
        <f>IF(+All!$F94="LSU",+All!G94,IF(+All!$H94="LSU",+All!G94,0))</f>
        <v>SEC</v>
      </c>
      <c r="H88" s="702" t="str">
        <f>IF(+All!$F94="LSU",+All!H94,IF(+All!$H94="LSU",+All!H94,0))</f>
        <v>Florida State</v>
      </c>
      <c r="I88" s="703" t="str">
        <f>IF(+All!$F94="LSU",+All!I94,IF(+All!$H94="LSU",+All!I94,0))</f>
        <v>ACC</v>
      </c>
      <c r="J88" s="704" t="str">
        <f>IF(+All!$F94="LSU",+All!J94,IF(+All!$H94="LSU",+All!J94,0))</f>
        <v>LSU</v>
      </c>
      <c r="K88" s="701" t="str">
        <f>IF(+All!$F94="LSU",+All!K94,IF(+All!$H94="LSU",+All!K94,0))</f>
        <v>Florida State</v>
      </c>
      <c r="L88" s="705">
        <f>IF(+All!$F94="LSU",+All!L94,IF(+All!$H94="LSU",+All!L94,0))</f>
        <v>3</v>
      </c>
      <c r="M88" s="706">
        <f>IF(+All!$F94="LSU",+All!M94,IF(+All!$H94="LSU",+All!M94,0))</f>
        <v>51.5</v>
      </c>
      <c r="N88" s="704" t="str">
        <f>IF(+All!$F94="LSU",+All!N94,IF(+All!$H94="LSU",+All!N94,0))</f>
        <v>Florida State</v>
      </c>
      <c r="O88" s="707">
        <f>IF(+All!$F94="LSU",+All!O94,IF(+All!$H94="LSU",+All!O94,0))</f>
        <v>24</v>
      </c>
      <c r="P88" s="707" t="str">
        <f>IF(+All!$F94="LSU",+All!P94,IF(+All!$H94="LSU",+All!P94,0))</f>
        <v>LSU</v>
      </c>
      <c r="Q88" s="701">
        <f>IF(+All!$F94="LSU",+All!Q94,IF(+All!$H94="LSU",+All!Q94,0))</f>
        <v>23</v>
      </c>
      <c r="R88" s="704" t="str">
        <f>IF(+All!$F94="LSU",+All!R94,IF(+All!$H94="LSU",+All!R94,0))</f>
        <v>Florida State</v>
      </c>
      <c r="S88" s="707" t="str">
        <f>IF(+All!$F94="LSU",+All!S94,IF(+All!$H94="LSU",+All!S94,0))</f>
        <v>LSU</v>
      </c>
      <c r="T88" s="704" t="str">
        <f>IF(+All!$F94="LSU",+All!T94,IF(+All!$H94="LSU",+All!T94,0))</f>
        <v>LSU</v>
      </c>
      <c r="U88" s="701" t="str">
        <f>IF(+All!$F94="LSU",+All!U94,IF(+All!$H94="LSU",+All!U94,0))</f>
        <v>L</v>
      </c>
    </row>
    <row r="89" spans="1:21" x14ac:dyDescent="0.8">
      <c r="A89" s="697">
        <f>IF(+All!$F175="LSU",+All!A175,IF(+All!$H175="LSU",+All!A175,0))</f>
        <v>2</v>
      </c>
      <c r="B89" s="698" t="str">
        <f>IF(+All!$F175="LSU",+All!B175,IF(+All!$H175="LSU",+All!B175,0))</f>
        <v>Sat</v>
      </c>
      <c r="C89" s="699">
        <f>IF(+All!$F175="LSU",+All!C175,IF(+All!$H175="LSU",+All!C175,0))</f>
        <v>44814</v>
      </c>
      <c r="D89" s="700">
        <f>IF(+All!$F175="LSU",+All!D175,IF(+All!$H175="LSU",+All!D175,0))</f>
        <v>0.8125</v>
      </c>
      <c r="E89" s="701" t="str">
        <f>IF(+All!$F175="LSU",+All!E175,IF(+All!$H175="LSU",+All!E175,0))</f>
        <v>SEC</v>
      </c>
      <c r="F89" s="702" t="str">
        <f>IF(+All!$F175="LSU",+All!F175,IF(+All!$H175="LSU",+All!F175,0))</f>
        <v>1AA Southern</v>
      </c>
      <c r="G89" s="703" t="str">
        <f>IF(+All!$F175="LSU",+All!G175,IF(+All!$H175="LSU",+All!G175,0))</f>
        <v>1AA</v>
      </c>
      <c r="H89" s="702" t="str">
        <f>IF(+All!$F175="LSU",+All!H175,IF(+All!$H175="LSU",+All!H175,0))</f>
        <v>LSU</v>
      </c>
      <c r="I89" s="703" t="str">
        <f>IF(+All!$F175="LSU",+All!I175,IF(+All!$H175="LSU",+All!I175,0))</f>
        <v>SEC</v>
      </c>
      <c r="J89" s="704">
        <f>IF(+All!$F175="LSU",+All!J175,IF(+All!$H175="LSU",+All!J175,0))</f>
        <v>0</v>
      </c>
      <c r="K89" s="701">
        <f>IF(+All!$F175="LSU",+All!K175,IF(+All!$H175="LSU",+All!K175,0))</f>
        <v>0</v>
      </c>
      <c r="L89" s="705">
        <f>IF(+All!$F175="LSU",+All!L175,IF(+All!$H175="LSU",+All!L175,0))</f>
        <v>0</v>
      </c>
      <c r="M89" s="706">
        <f>IF(+All!$F175="LSU",+All!M175,IF(+All!$H175="LSU",+All!M175,0))</f>
        <v>0</v>
      </c>
      <c r="N89" s="704" t="str">
        <f>IF(+All!$F175="LSU",+All!N175,IF(+All!$H175="LSU",+All!N175,0))</f>
        <v>LSU</v>
      </c>
      <c r="O89" s="707">
        <f>IF(+All!$F175="LSU",+All!O175,IF(+All!$H175="LSU",+All!O175,0))</f>
        <v>65</v>
      </c>
      <c r="P89" s="707" t="str">
        <f>IF(+All!$F175="LSU",+All!P175,IF(+All!$H175="LSU",+All!P175,0))</f>
        <v>1AA Southern</v>
      </c>
      <c r="Q89" s="701">
        <f>IF(+All!$F175="LSU",+All!Q175,IF(+All!$H175="LSU",+All!Q175,0))</f>
        <v>17</v>
      </c>
      <c r="R89" s="704">
        <f>IF(+All!$F175="LSU",+All!R175,IF(+All!$H175="LSU",+All!R175,0))</f>
        <v>0</v>
      </c>
      <c r="S89" s="707">
        <f>IF(+All!$F175="LSU",+All!S175,IF(+All!$H175="LSU",+All!S175,0))</f>
        <v>0</v>
      </c>
      <c r="T89" s="704">
        <f>IF(+All!$F175="LSU",+All!T175,IF(+All!$H175="LSU",+All!T175,0))</f>
        <v>0</v>
      </c>
      <c r="U89" s="701">
        <f>IF(+All!$F175="LSU",+All!U175,IF(+All!$H175="LSU",+All!U175,0))</f>
        <v>0</v>
      </c>
    </row>
    <row r="90" spans="1:21" x14ac:dyDescent="0.8">
      <c r="A90" s="697">
        <f>IF(+All!$F247="LSU",+All!A247,IF(+All!$H247="LSU",+All!A247,0))</f>
        <v>3</v>
      </c>
      <c r="B90" s="698" t="str">
        <f>IF(+All!$F247="LSU",+All!B247,IF(+All!$H247="LSU",+All!B247,0))</f>
        <v>Sat</v>
      </c>
      <c r="C90" s="699">
        <f>IF(+All!$F247="LSU",+All!C247,IF(+All!$H247="LSU",+All!C247,0))</f>
        <v>44821</v>
      </c>
      <c r="D90" s="700">
        <f>IF(+All!$F247="LSU",+All!D247,IF(+All!$H247="LSU",+All!D247,0))</f>
        <v>0.75</v>
      </c>
      <c r="E90" s="701" t="str">
        <f>IF(+All!$F247="LSU",+All!E247,IF(+All!$H247="LSU",+All!E247,0))</f>
        <v>ESPN</v>
      </c>
      <c r="F90" s="702" t="str">
        <f>IF(+All!$F247="LSU",+All!F247,IF(+All!$H247="LSU",+All!F247,0))</f>
        <v>Mississippi State</v>
      </c>
      <c r="G90" s="703" t="str">
        <f>IF(+All!$F247="LSU",+All!G247,IF(+All!$H247="LSU",+All!G247,0))</f>
        <v>SEC</v>
      </c>
      <c r="H90" s="702" t="str">
        <f>IF(+All!$F247="LSU",+All!H247,IF(+All!$H247="LSU",+All!H247,0))</f>
        <v>LSU</v>
      </c>
      <c r="I90" s="703" t="str">
        <f>IF(+All!$F247="LSU",+All!I247,IF(+All!$H247="LSU",+All!I247,0))</f>
        <v>SEC</v>
      </c>
      <c r="J90" s="704" t="str">
        <f>IF(+All!$F247="LSU",+All!J247,IF(+All!$H247="LSU",+All!J247,0))</f>
        <v>Mississippi State</v>
      </c>
      <c r="K90" s="701" t="str">
        <f>IF(+All!$F247="LSU",+All!K247,IF(+All!$H247="LSU",+All!K247,0))</f>
        <v>LSU</v>
      </c>
      <c r="L90" s="705">
        <f>IF(+All!$F247="LSU",+All!L247,IF(+All!$H247="LSU",+All!L247,0))</f>
        <v>2.5</v>
      </c>
      <c r="M90" s="706">
        <f>IF(+All!$F247="LSU",+All!M247,IF(+All!$H247="LSU",+All!M247,0))</f>
        <v>53</v>
      </c>
      <c r="N90" s="704" t="str">
        <f>IF(+All!$F247="LSU",+All!N247,IF(+All!$H247="LSU",+All!N247,0))</f>
        <v>LSU</v>
      </c>
      <c r="O90" s="707">
        <f>IF(+All!$F247="LSU",+All!O247,IF(+All!$H247="LSU",+All!O247,0))</f>
        <v>31</v>
      </c>
      <c r="P90" s="707" t="str">
        <f>IF(+All!$F247="LSU",+All!P247,IF(+All!$H247="LSU",+All!P247,0))</f>
        <v>Mississippi State</v>
      </c>
      <c r="Q90" s="701">
        <f>IF(+All!$F247="LSU",+All!Q247,IF(+All!$H247="LSU",+All!Q247,0))</f>
        <v>16</v>
      </c>
      <c r="R90" s="704" t="str">
        <f>IF(+All!$F247="LSU",+All!R247,IF(+All!$H247="LSU",+All!R247,0))</f>
        <v>LSU</v>
      </c>
      <c r="S90" s="707" t="str">
        <f>IF(+All!$F247="LSU",+All!S247,IF(+All!$H247="LSU",+All!S247,0))</f>
        <v>Mississippi State</v>
      </c>
      <c r="T90" s="704" t="str">
        <f>IF(+All!$F247="LSU",+All!T247,IF(+All!$H247="LSU",+All!T247,0))</f>
        <v>LSU</v>
      </c>
      <c r="U90" s="701" t="str">
        <f>IF(+All!$F247="LSU",+All!U247,IF(+All!$H247="LSU",+All!U247,0))</f>
        <v>W</v>
      </c>
    </row>
    <row r="91" spans="1:21" x14ac:dyDescent="0.8">
      <c r="A91" s="697">
        <f>IF(+All!$F313="LSU",+All!A313,IF(+All!$H313="LSU",+All!A313,0))</f>
        <v>4</v>
      </c>
      <c r="B91" s="698" t="str">
        <f>IF(+All!$F313="LSU",+All!B313,IF(+All!$H313="LSU",+All!B313,0))</f>
        <v>Sat</v>
      </c>
      <c r="C91" s="699">
        <f>IF(+All!$F313="LSU",+All!C313,IF(+All!$H313="LSU",+All!C313,0))</f>
        <v>44828</v>
      </c>
      <c r="D91" s="700">
        <f>IF(+All!$F313="LSU",+All!D313,IF(+All!$H313="LSU",+All!D313,0))</f>
        <v>0.8125</v>
      </c>
      <c r="E91" s="701">
        <f>IF(+All!$F313="LSU",+All!E313,IF(+All!$H313="LSU",+All!E313,0))</f>
        <v>0</v>
      </c>
      <c r="F91" s="702" t="str">
        <f>IF(+All!$F313="LSU",+All!F313,IF(+All!$H313="LSU",+All!F313,0))</f>
        <v>New Mexico</v>
      </c>
      <c r="G91" s="703" t="str">
        <f>IF(+All!$F313="LSU",+All!G313,IF(+All!$H313="LSU",+All!G313,0))</f>
        <v>MWC</v>
      </c>
      <c r="H91" s="702" t="str">
        <f>IF(+All!$F313="LSU",+All!H313,IF(+All!$H313="LSU",+All!H313,0))</f>
        <v>LSU</v>
      </c>
      <c r="I91" s="703" t="str">
        <f>IF(+All!$F313="LSU",+All!I313,IF(+All!$H313="LSU",+All!I313,0))</f>
        <v>SEC</v>
      </c>
      <c r="J91" s="704" t="str">
        <f>IF(+All!$F313="LSU",+All!J313,IF(+All!$H313="LSU",+All!J313,0))</f>
        <v>LSU</v>
      </c>
      <c r="K91" s="701" t="str">
        <f>IF(+All!$F313="LSU",+All!K313,IF(+All!$H313="LSU",+All!K313,0))</f>
        <v>New Mexico</v>
      </c>
      <c r="L91" s="705">
        <f>IF(+All!$F313="LSU",+All!L313,IF(+All!$H313="LSU",+All!L313,0))</f>
        <v>31</v>
      </c>
      <c r="M91" s="706">
        <f>IF(+All!$F313="LSU",+All!M313,IF(+All!$H313="LSU",+All!M313,0))</f>
        <v>45.5</v>
      </c>
      <c r="N91" s="704" t="str">
        <f>IF(+All!$F313="LSU",+All!N313,IF(+All!$H313="LSU",+All!N313,0))</f>
        <v>LSU</v>
      </c>
      <c r="O91" s="707">
        <f>IF(+All!$F313="LSU",+All!O313,IF(+All!$H313="LSU",+All!O313,0))</f>
        <v>38</v>
      </c>
      <c r="P91" s="707" t="str">
        <f>IF(+All!$F313="LSU",+All!P313,IF(+All!$H313="LSU",+All!P313,0))</f>
        <v>New Mexico</v>
      </c>
      <c r="Q91" s="701">
        <f>IF(+All!$F313="LSU",+All!Q313,IF(+All!$H313="LSU",+All!Q313,0))</f>
        <v>0</v>
      </c>
      <c r="R91" s="704" t="str">
        <f>IF(+All!$F313="LSU",+All!R313,IF(+All!$H313="LSU",+All!R313,0))</f>
        <v>LSU</v>
      </c>
      <c r="S91" s="707" t="str">
        <f>IF(+All!$F313="LSU",+All!S313,IF(+All!$H313="LSU",+All!S313,0))</f>
        <v>New Mexico</v>
      </c>
      <c r="T91" s="704" t="str">
        <f>IF(+All!$F313="LSU",+All!T313,IF(+All!$H313="LSU",+All!T313,0))</f>
        <v>LSU</v>
      </c>
      <c r="U91" s="701" t="str">
        <f>IF(+All!$F313="LSU",+All!U313,IF(+All!$H313="LSU",+All!U313,0))</f>
        <v>W</v>
      </c>
    </row>
    <row r="92" spans="1:21" x14ac:dyDescent="0.8">
      <c r="A92" s="697">
        <f>IF(+All!$F376="LSU",+All!A376,IF(+All!$H376="LSU",+All!A376,0))</f>
        <v>5</v>
      </c>
      <c r="B92" s="698" t="str">
        <f>IF(+All!$F376="LSU",+All!B376,IF(+All!$H376="LSU",+All!B376,0))</f>
        <v>Sat</v>
      </c>
      <c r="C92" s="699">
        <f>IF(+All!$F376="LSU",+All!C376,IF(+All!$H376="LSU",+All!C376,0))</f>
        <v>44835</v>
      </c>
      <c r="D92" s="700">
        <f>IF(+All!$F376="LSU",+All!D376,IF(+All!$H376="LSU",+All!D376,0))</f>
        <v>0.79166666666666663</v>
      </c>
      <c r="E92" s="701" t="str">
        <f>IF(+All!$F376="LSU",+All!E376,IF(+All!$H376="LSU",+All!E376,0))</f>
        <v>ESPN</v>
      </c>
      <c r="F92" s="702" t="str">
        <f>IF(+All!$F376="LSU",+All!F376,IF(+All!$H376="LSU",+All!F376,0))</f>
        <v>LSU</v>
      </c>
      <c r="G92" s="703" t="str">
        <f>IF(+All!$F376="LSU",+All!G376,IF(+All!$H376="LSU",+All!G376,0))</f>
        <v>SEC</v>
      </c>
      <c r="H92" s="702" t="str">
        <f>IF(+All!$F376="LSU",+All!H376,IF(+All!$H376="LSU",+All!H376,0))</f>
        <v>Auburn</v>
      </c>
      <c r="I92" s="703" t="str">
        <f>IF(+All!$F376="LSU",+All!I376,IF(+All!$H376="LSU",+All!I376,0))</f>
        <v>SEC</v>
      </c>
      <c r="J92" s="704" t="str">
        <f>IF(+All!$F376="LSU",+All!J376,IF(+All!$H376="LSU",+All!J376,0))</f>
        <v>LSU</v>
      </c>
      <c r="K92" s="701" t="str">
        <f>IF(+All!$F376="LSU",+All!K376,IF(+All!$H376="LSU",+All!K376,0))</f>
        <v>Auburn</v>
      </c>
      <c r="L92" s="705">
        <f>IF(+All!$F376="LSU",+All!L376,IF(+All!$H376="LSU",+All!L376,0))</f>
        <v>8.5</v>
      </c>
      <c r="M92" s="706">
        <f>IF(+All!$F376="LSU",+All!M376,IF(+All!$H376="LSU",+All!M376,0))</f>
        <v>45.5</v>
      </c>
      <c r="N92" s="704" t="str">
        <f>IF(+All!$F376="LSU",+All!N376,IF(+All!$H376="LSU",+All!N376,0))</f>
        <v>LSU</v>
      </c>
      <c r="O92" s="707">
        <f>IF(+All!$F376="LSU",+All!O376,IF(+All!$H376="LSU",+All!O376,0))</f>
        <v>21</v>
      </c>
      <c r="P92" s="707" t="str">
        <f>IF(+All!$F376="LSU",+All!P376,IF(+All!$H376="LSU",+All!P376,0))</f>
        <v>Auburn</v>
      </c>
      <c r="Q92" s="701">
        <f>IF(+All!$F376="LSU",+All!Q376,IF(+All!$H376="LSU",+All!Q376,0))</f>
        <v>17</v>
      </c>
      <c r="R92" s="704" t="str">
        <f>IF(+All!$F376="LSU",+All!R376,IF(+All!$H376="LSU",+All!R376,0))</f>
        <v>Auburn</v>
      </c>
      <c r="S92" s="707" t="str">
        <f>IF(+All!$F376="LSU",+All!S376,IF(+All!$H376="LSU",+All!S376,0))</f>
        <v>LSU</v>
      </c>
      <c r="T92" s="704" t="str">
        <f>IF(+All!$F376="LSU",+All!T376,IF(+All!$H376="LSU",+All!T376,0))</f>
        <v>LSU</v>
      </c>
      <c r="U92" s="701" t="str">
        <f>IF(+All!$F376="LSU",+All!U376,IF(+All!$H376="LSU",+All!U376,0))</f>
        <v>L</v>
      </c>
    </row>
    <row r="93" spans="1:21" x14ac:dyDescent="0.8">
      <c r="A93" s="697">
        <f>IF(+All!$F435="LSU",+All!A435,IF(+All!$H435="LSU",+All!A435,0))</f>
        <v>6</v>
      </c>
      <c r="B93" s="698" t="str">
        <f>IF(+All!$F435="LSU",+All!B435,IF(+All!$H435="LSU",+All!B435,0))</f>
        <v>Sat</v>
      </c>
      <c r="C93" s="699">
        <f>IF(+All!$F435="LSU",+All!C435,IF(+All!$H435="LSU",+All!C435,0))</f>
        <v>44842</v>
      </c>
      <c r="D93" s="700">
        <f>IF(+All!$F435="LSU",+All!D435,IF(+All!$H435="LSU",+All!D435,0))</f>
        <v>0.5</v>
      </c>
      <c r="E93" s="701" t="str">
        <f>IF(+All!$F435="LSU",+All!E435,IF(+All!$H435="LSU",+All!E435,0))</f>
        <v>ESPN</v>
      </c>
      <c r="F93" s="702" t="str">
        <f>IF(+All!$F435="LSU",+All!F435,IF(+All!$H435="LSU",+All!F435,0))</f>
        <v>Tennessee</v>
      </c>
      <c r="G93" s="703" t="str">
        <f>IF(+All!$F435="LSU",+All!G435,IF(+All!$H435="LSU",+All!G435,0))</f>
        <v>SEC</v>
      </c>
      <c r="H93" s="702" t="str">
        <f>IF(+All!$F435="LSU",+All!H435,IF(+All!$H435="LSU",+All!H435,0))</f>
        <v>LSU</v>
      </c>
      <c r="I93" s="703" t="str">
        <f>IF(+All!$F435="LSU",+All!I435,IF(+All!$H435="LSU",+All!I435,0))</f>
        <v>SEC</v>
      </c>
      <c r="J93" s="704" t="str">
        <f>IF(+All!$F435="LSU",+All!J435,IF(+All!$H435="LSU",+All!J435,0))</f>
        <v>Tennessee</v>
      </c>
      <c r="K93" s="701" t="str">
        <f>IF(+All!$F435="LSU",+All!K435,IF(+All!$H435="LSU",+All!K435,0))</f>
        <v>LSU</v>
      </c>
      <c r="L93" s="705">
        <f>IF(+All!$F435="LSU",+All!L435,IF(+All!$H435="LSU",+All!L435,0))</f>
        <v>3</v>
      </c>
      <c r="M93" s="706">
        <f>IF(+All!$F435="LSU",+All!M435,IF(+All!$H435="LSU",+All!M435,0))</f>
        <v>64</v>
      </c>
      <c r="N93" s="704" t="str">
        <f>IF(+All!$F435="LSU",+All!N435,IF(+All!$H435="LSU",+All!N435,0))</f>
        <v>Tennessee</v>
      </c>
      <c r="O93" s="707">
        <f>IF(+All!$F435="LSU",+All!O435,IF(+All!$H435="LSU",+All!O435,0))</f>
        <v>40</v>
      </c>
      <c r="P93" s="707" t="str">
        <f>IF(+All!$F435="LSU",+All!P435,IF(+All!$H435="LSU",+All!P435,0))</f>
        <v>LSU</v>
      </c>
      <c r="Q93" s="701">
        <f>IF(+All!$F435="LSU",+All!Q435,IF(+All!$H435="LSU",+All!Q435,0))</f>
        <v>13</v>
      </c>
      <c r="R93" s="704" t="str">
        <f>IF(+All!$F435="LSU",+All!R435,IF(+All!$H435="LSU",+All!R435,0))</f>
        <v>Tennessee</v>
      </c>
      <c r="S93" s="707" t="str">
        <f>IF(+All!$F435="LSU",+All!S435,IF(+All!$H435="LSU",+All!S435,0))</f>
        <v>LSU</v>
      </c>
      <c r="T93" s="704" t="str">
        <f>IF(+All!$F435="LSU",+All!T435,IF(+All!$H435="LSU",+All!T435,0))</f>
        <v>Tennessee</v>
      </c>
      <c r="U93" s="701" t="str">
        <f>IF(+All!$F435="LSU",+All!U435,IF(+All!$H435="LSU",+All!U435,0))</f>
        <v>W</v>
      </c>
    </row>
    <row r="94" spans="1:21" x14ac:dyDescent="0.8">
      <c r="A94" s="697">
        <f>IF(+All!$F486="LSU",+All!A486,IF(+All!$H486="LSU",+All!A486,0))</f>
        <v>7</v>
      </c>
      <c r="B94" s="698" t="str">
        <f>IF(+All!$F486="LSU",+All!B486,IF(+All!$H486="LSU",+All!B486,0))</f>
        <v>Sat</v>
      </c>
      <c r="C94" s="699">
        <f>IF(+All!$F486="LSU",+All!C486,IF(+All!$H486="LSU",+All!C486,0))</f>
        <v>44849</v>
      </c>
      <c r="D94" s="700">
        <f>IF(+All!$F486="LSU",+All!D486,IF(+All!$H486="LSU",+All!D486,0))</f>
        <v>0.79166666666666663</v>
      </c>
      <c r="E94" s="701" t="str">
        <f>IF(+All!$F486="LSU",+All!E486,IF(+All!$H486="LSU",+All!E486,0))</f>
        <v>ESPN</v>
      </c>
      <c r="F94" s="702" t="str">
        <f>IF(+All!$F486="LSU",+All!F486,IF(+All!$H486="LSU",+All!F486,0))</f>
        <v>LSU</v>
      </c>
      <c r="G94" s="703" t="str">
        <f>IF(+All!$F486="LSU",+All!G486,IF(+All!$H486="LSU",+All!G486,0))</f>
        <v>SEC</v>
      </c>
      <c r="H94" s="702" t="str">
        <f>IF(+All!$F486="LSU",+All!H486,IF(+All!$H486="LSU",+All!H486,0))</f>
        <v>Florida</v>
      </c>
      <c r="I94" s="703" t="str">
        <f>IF(+All!$F486="LSU",+All!I486,IF(+All!$H486="LSU",+All!I486,0))</f>
        <v>SEC</v>
      </c>
      <c r="J94" s="704" t="str">
        <f>IF(+All!$F486="LSU",+All!J486,IF(+All!$H486="LSU",+All!J486,0))</f>
        <v>Florida</v>
      </c>
      <c r="K94" s="701" t="str">
        <f>IF(+All!$F486="LSU",+All!K486,IF(+All!$H486="LSU",+All!K486,0))</f>
        <v>LSU</v>
      </c>
      <c r="L94" s="705">
        <f>IF(+All!$F486="LSU",+All!L486,IF(+All!$H486="LSU",+All!L486,0))</f>
        <v>3</v>
      </c>
      <c r="M94" s="706">
        <f>IF(+All!$F486="LSU",+All!M486,IF(+All!$H486="LSU",+All!M486,0))</f>
        <v>51.5</v>
      </c>
      <c r="N94" s="704" t="str">
        <f>IF(+All!$F486="LSU",+All!N486,IF(+All!$H486="LSU",+All!N486,0))</f>
        <v>LSU</v>
      </c>
      <c r="O94" s="707">
        <f>IF(+All!$F486="LSU",+All!O486,IF(+All!$H486="LSU",+All!O486,0))</f>
        <v>45</v>
      </c>
      <c r="P94" s="707" t="str">
        <f>IF(+All!$F486="LSU",+All!P486,IF(+All!$H486="LSU",+All!P486,0))</f>
        <v>Florida</v>
      </c>
      <c r="Q94" s="701">
        <f>IF(+All!$F486="LSU",+All!Q486,IF(+All!$H486="LSU",+All!Q486,0))</f>
        <v>35</v>
      </c>
      <c r="R94" s="704" t="str">
        <f>IF(+All!$F486="LSU",+All!R486,IF(+All!$H486="LSU",+All!R486,0))</f>
        <v>LSU</v>
      </c>
      <c r="S94" s="707" t="str">
        <f>IF(+All!$F486="LSU",+All!S486,IF(+All!$H486="LSU",+All!S486,0))</f>
        <v>Florida</v>
      </c>
      <c r="T94" s="704" t="str">
        <f>IF(+All!$F486="LSU",+All!T486,IF(+All!$H486="LSU",+All!T486,0))</f>
        <v>Florida</v>
      </c>
      <c r="U94" s="701" t="str">
        <f>IF(+All!$F486="LSU",+All!U486,IF(+All!$H486="LSU",+All!U486,0))</f>
        <v>L</v>
      </c>
    </row>
    <row r="95" spans="1:21" x14ac:dyDescent="0.8">
      <c r="A95" s="697">
        <f>IF(+All!$F541="LSU",+All!A541,IF(+All!$H541="LSU",+All!A541,0))</f>
        <v>8</v>
      </c>
      <c r="B95" s="698" t="str">
        <f>IF(+All!$F541="LSU",+All!B541,IF(+All!$H541="LSU",+All!B541,0))</f>
        <v>Sat</v>
      </c>
      <c r="C95" s="699">
        <f>IF(+All!$F541="LSU",+All!C541,IF(+All!$H541="LSU",+All!C541,0))</f>
        <v>44856</v>
      </c>
      <c r="D95" s="700">
        <f>IF(+All!$F541="LSU",+All!D541,IF(+All!$H541="LSU",+All!D541,0))</f>
        <v>0.64583333333333337</v>
      </c>
      <c r="E95" s="701" t="str">
        <f>IF(+All!$F541="LSU",+All!E541,IF(+All!$H541="LSU",+All!E541,0))</f>
        <v>CBS</v>
      </c>
      <c r="F95" s="702" t="str">
        <f>IF(+All!$F541="LSU",+All!F541,IF(+All!$H541="LSU",+All!F541,0))</f>
        <v>Mississippi</v>
      </c>
      <c r="G95" s="703" t="str">
        <f>IF(+All!$F541="LSU",+All!G541,IF(+All!$H541="LSU",+All!G541,0))</f>
        <v>SEC</v>
      </c>
      <c r="H95" s="702" t="str">
        <f>IF(+All!$F541="LSU",+All!H541,IF(+All!$H541="LSU",+All!H541,0))</f>
        <v>LSU</v>
      </c>
      <c r="I95" s="703" t="str">
        <f>IF(+All!$F541="LSU",+All!I541,IF(+All!$H541="LSU",+All!I541,0))</f>
        <v>SEC</v>
      </c>
      <c r="J95" s="704" t="str">
        <f>IF(+All!$F541="LSU",+All!J541,IF(+All!$H541="LSU",+All!J541,0))</f>
        <v>LSU</v>
      </c>
      <c r="K95" s="701" t="str">
        <f>IF(+All!$F541="LSU",+All!K541,IF(+All!$H541="LSU",+All!K541,0))</f>
        <v>Mississippi</v>
      </c>
      <c r="L95" s="705">
        <f>IF(+All!$F541="LSU",+All!L541,IF(+All!$H541="LSU",+All!L541,0))</f>
        <v>1.5</v>
      </c>
      <c r="M95" s="706">
        <f>IF(+All!$F541="LSU",+All!M541,IF(+All!$H541="LSU",+All!M541,0))</f>
        <v>66</v>
      </c>
      <c r="N95" s="704" t="str">
        <f>IF(+All!$F541="LSU",+All!N541,IF(+All!$H541="LSU",+All!N541,0))</f>
        <v>LSU</v>
      </c>
      <c r="O95" s="707">
        <f>IF(+All!$F541="LSU",+All!O541,IF(+All!$H541="LSU",+All!O541,0))</f>
        <v>45</v>
      </c>
      <c r="P95" s="707" t="str">
        <f>IF(+All!$F541="LSU",+All!P541,IF(+All!$H541="LSU",+All!P541,0))</f>
        <v>Mississippi</v>
      </c>
      <c r="Q95" s="701">
        <f>IF(+All!$F541="LSU",+All!Q541,IF(+All!$H541="LSU",+All!Q541,0))</f>
        <v>20</v>
      </c>
      <c r="R95" s="704" t="str">
        <f>IF(+All!$F541="LSU",+All!R541,IF(+All!$H541="LSU",+All!R541,0))</f>
        <v>LSU</v>
      </c>
      <c r="S95" s="707" t="str">
        <f>IF(+All!$F541="LSU",+All!S541,IF(+All!$H541="LSU",+All!S541,0))</f>
        <v>Mississippi</v>
      </c>
      <c r="T95" s="704" t="str">
        <f>IF(+All!$F541="LSU",+All!T541,IF(+All!$H541="LSU",+All!T541,0))</f>
        <v>Mississippi</v>
      </c>
      <c r="U95" s="701" t="str">
        <f>IF(+All!$F541="LSU",+All!U541,IF(+All!$H541="LSU",+All!U541,0))</f>
        <v>L</v>
      </c>
    </row>
    <row r="96" spans="1:21" x14ac:dyDescent="0.8">
      <c r="A96" s="697" t="e">
        <f>IF(+All!#REF!="LSU",+All!#REF!,IF(+All!#REF!="LSU",+All!#REF!,0))</f>
        <v>#REF!</v>
      </c>
      <c r="B96" s="698" t="e">
        <f>IF(+All!#REF!="LSU",+All!#REF!,IF(+All!#REF!="LSU",+All!#REF!,0))</f>
        <v>#REF!</v>
      </c>
      <c r="C96" s="699" t="e">
        <f>IF(+All!#REF!="LSU",+All!#REF!,IF(+All!#REF!="LSU",+All!#REF!,0))</f>
        <v>#REF!</v>
      </c>
      <c r="D96" s="700" t="e">
        <f>IF(+All!#REF!="LSU",+All!#REF!,IF(+All!#REF!="LSU",+All!#REF!,0))</f>
        <v>#REF!</v>
      </c>
      <c r="E96" s="701" t="e">
        <f>IF(+All!#REF!="LSU",+All!#REF!,IF(+All!#REF!="LSU",+All!#REF!,0))</f>
        <v>#REF!</v>
      </c>
      <c r="F96" s="702" t="e">
        <f>IF(+All!#REF!="LSU",+All!#REF!,IF(+All!#REF!="LSU",+All!#REF!,0))</f>
        <v>#REF!</v>
      </c>
      <c r="G96" s="703" t="e">
        <f>IF(+All!#REF!="LSU",+All!#REF!,IF(+All!#REF!="LSU",+All!#REF!,0))</f>
        <v>#REF!</v>
      </c>
      <c r="H96" s="702" t="e">
        <f>IF(+All!#REF!="LSU",+All!#REF!,IF(+All!#REF!="LSU",+All!#REF!,0))</f>
        <v>#REF!</v>
      </c>
      <c r="I96" s="703" t="e">
        <f>IF(+All!#REF!="LSU",+All!#REF!,IF(+All!#REF!="LSU",+All!#REF!,0))</f>
        <v>#REF!</v>
      </c>
      <c r="J96" s="704" t="e">
        <f>IF(+All!#REF!="LSU",+All!#REF!,IF(+All!#REF!="LSU",+All!#REF!,0))</f>
        <v>#REF!</v>
      </c>
      <c r="K96" s="701" t="e">
        <f>IF(+All!#REF!="LSU",+All!#REF!,IF(+All!#REF!="LSU",+All!#REF!,0))</f>
        <v>#REF!</v>
      </c>
      <c r="L96" s="705" t="e">
        <f>IF(+All!#REF!="LSU",+All!#REF!,IF(+All!#REF!="LSU",+All!#REF!,0))</f>
        <v>#REF!</v>
      </c>
      <c r="M96" s="706" t="e">
        <f>IF(+All!#REF!="LSU",+All!#REF!,IF(+All!#REF!="LSU",+All!#REF!,0))</f>
        <v>#REF!</v>
      </c>
      <c r="N96" s="704" t="e">
        <f>IF(+All!#REF!="LSU",+All!#REF!,IF(+All!#REF!="LSU",+All!#REF!,0))</f>
        <v>#REF!</v>
      </c>
      <c r="O96" s="707" t="e">
        <f>IF(+All!#REF!="LSU",+All!#REF!,IF(+All!#REF!="LSU",+All!#REF!,0))</f>
        <v>#REF!</v>
      </c>
      <c r="P96" s="707" t="e">
        <f>IF(+All!#REF!="LSU",+All!#REF!,IF(+All!#REF!="LSU",+All!#REF!,0))</f>
        <v>#REF!</v>
      </c>
      <c r="Q96" s="701" t="e">
        <f>IF(+All!#REF!="LSU",+All!#REF!,IF(+All!#REF!="LSU",+All!#REF!,0))</f>
        <v>#REF!</v>
      </c>
      <c r="R96" s="704" t="e">
        <f>IF(+All!#REF!="LSU",+All!#REF!,IF(+All!#REF!="LSU",+All!#REF!,0))</f>
        <v>#REF!</v>
      </c>
      <c r="S96" s="707" t="e">
        <f>IF(+All!#REF!="LSU",+All!#REF!,IF(+All!#REF!="LSU",+All!#REF!,0))</f>
        <v>#REF!</v>
      </c>
      <c r="T96" s="704" t="e">
        <f>IF(+All!#REF!="LSU",+All!#REF!,IF(+All!#REF!="LSU",+All!#REF!,0))</f>
        <v>#REF!</v>
      </c>
      <c r="U96" s="701" t="e">
        <f>IF(+All!#REF!="LSU",+All!#REF!,IF(+All!#REF!="LSU",+All!#REF!,0))</f>
        <v>#REF!</v>
      </c>
    </row>
    <row r="97" spans="1:21" x14ac:dyDescent="0.8">
      <c r="A97" s="697">
        <f>IF(+All!$F648="LSU",+All!A648,IF(+All!$H648="LSU",+All!A648,0))</f>
        <v>10</v>
      </c>
      <c r="B97" s="698" t="str">
        <f>IF(+All!$F648="LSU",+All!B648,IF(+All!$H648="LSU",+All!B648,0))</f>
        <v>Sat</v>
      </c>
      <c r="C97" s="699">
        <f>IF(+All!$F648="LSU",+All!C648,IF(+All!$H648="LSU",+All!C648,0))</f>
        <v>44870</v>
      </c>
      <c r="D97" s="700">
        <f>IF(+All!$F648="LSU",+All!D648,IF(+All!$H648="LSU",+All!D648,0))</f>
        <v>0.79166666666666663</v>
      </c>
      <c r="E97" s="701" t="str">
        <f>IF(+All!$F648="LSU",+All!E648,IF(+All!$H648="LSU",+All!E648,0))</f>
        <v>SEC</v>
      </c>
      <c r="F97" s="702" t="str">
        <f>IF(+All!$F648="LSU",+All!F648,IF(+All!$H648="LSU",+All!F648,0))</f>
        <v>Alabama</v>
      </c>
      <c r="G97" s="703" t="str">
        <f>IF(+All!$F648="LSU",+All!G648,IF(+All!$H648="LSU",+All!G648,0))</f>
        <v>SEC</v>
      </c>
      <c r="H97" s="702" t="str">
        <f>IF(+All!$F648="LSU",+All!H648,IF(+All!$H648="LSU",+All!H648,0))</f>
        <v>LSU</v>
      </c>
      <c r="I97" s="703" t="str">
        <f>IF(+All!$F648="LSU",+All!I648,IF(+All!$H648="LSU",+All!I648,0))</f>
        <v>SEC</v>
      </c>
      <c r="J97" s="704" t="str">
        <f>IF(+All!$F648="LSU",+All!J648,IF(+All!$H648="LSU",+All!J648,0))</f>
        <v>Alabama</v>
      </c>
      <c r="K97" s="701" t="str">
        <f>IF(+All!$F648="LSU",+All!K648,IF(+All!$H648="LSU",+All!K648,0))</f>
        <v>LSU</v>
      </c>
      <c r="L97" s="705">
        <f>IF(+All!$F648="LSU",+All!L648,IF(+All!$H648="LSU",+All!L648,0))</f>
        <v>13.5</v>
      </c>
      <c r="M97" s="706">
        <f>IF(+All!$F648="LSU",+All!M648,IF(+All!$H648="LSU",+All!M648,0))</f>
        <v>58</v>
      </c>
      <c r="N97" s="704" t="str">
        <f>IF(+All!$F648="LSU",+All!N648,IF(+All!$H648="LSU",+All!N648,0))</f>
        <v>LSU</v>
      </c>
      <c r="O97" s="707">
        <f>IF(+All!$F648="LSU",+All!O648,IF(+All!$H648="LSU",+All!O648,0))</f>
        <v>32</v>
      </c>
      <c r="P97" s="707" t="str">
        <f>IF(+All!$F648="LSU",+All!P648,IF(+All!$H648="LSU",+All!P648,0))</f>
        <v>Alabama</v>
      </c>
      <c r="Q97" s="701">
        <f>IF(+All!$F648="LSU",+All!Q648,IF(+All!$H648="LSU",+All!Q648,0))</f>
        <v>31</v>
      </c>
      <c r="R97" s="704" t="str">
        <f>IF(+All!$F648="LSU",+All!R648,IF(+All!$H648="LSU",+All!R648,0))</f>
        <v>LSU</v>
      </c>
      <c r="S97" s="707" t="str">
        <f>IF(+All!$F648="LSU",+All!S648,IF(+All!$H648="LSU",+All!S648,0))</f>
        <v>Alabama</v>
      </c>
      <c r="T97" s="704" t="str">
        <f>IF(+All!$F648="LSU",+All!T648,IF(+All!$H648="LSU",+All!T648,0))</f>
        <v>LSU</v>
      </c>
      <c r="U97" s="701" t="str">
        <f>IF(+All!$F648="LSU",+All!U648,IF(+All!$H648="LSU",+All!U648,0))</f>
        <v>W</v>
      </c>
    </row>
    <row r="98" spans="1:21" x14ac:dyDescent="0.8">
      <c r="A98" s="697">
        <f>IF(+All!$F711="LSU",+All!A711,IF(+All!$H711="LSU",+All!A711,0))</f>
        <v>11</v>
      </c>
      <c r="B98" s="698" t="str">
        <f>IF(+All!$F711="LSU",+All!B711,IF(+All!$H711="LSU",+All!B711,0))</f>
        <v>Sat</v>
      </c>
      <c r="C98" s="699">
        <f>IF(+All!$F711="LSU",+All!C711,IF(+All!$H711="LSU",+All!C711,0))</f>
        <v>44877</v>
      </c>
      <c r="D98" s="700">
        <f>IF(+All!$F711="LSU",+All!D711,IF(+All!$H711="LSU",+All!D711,0))</f>
        <v>0.5</v>
      </c>
      <c r="E98" s="701" t="str">
        <f>IF(+All!$F711="LSU",+All!E711,IF(+All!$H711="LSU",+All!E711,0))</f>
        <v>ESPN</v>
      </c>
      <c r="F98" s="702" t="str">
        <f>IF(+All!$F711="LSU",+All!F711,IF(+All!$H711="LSU",+All!F711,0))</f>
        <v>LSU</v>
      </c>
      <c r="G98" s="703" t="str">
        <f>IF(+All!$F711="LSU",+All!G711,IF(+All!$H711="LSU",+All!G711,0))</f>
        <v>SEC</v>
      </c>
      <c r="H98" s="702" t="str">
        <f>IF(+All!$F711="LSU",+All!H711,IF(+All!$H711="LSU",+All!H711,0))</f>
        <v>Arkansas</v>
      </c>
      <c r="I98" s="703" t="str">
        <f>IF(+All!$F711="LSU",+All!I711,IF(+All!$H711="LSU",+All!I711,0))</f>
        <v>SEC</v>
      </c>
      <c r="J98" s="704" t="str">
        <f>IF(+All!$F711="LSU",+All!J711,IF(+All!$H711="LSU",+All!J711,0))</f>
        <v>LSU</v>
      </c>
      <c r="K98" s="701" t="str">
        <f>IF(+All!$F711="LSU",+All!K711,IF(+All!$H711="LSU",+All!K711,0))</f>
        <v>Arkansas</v>
      </c>
      <c r="L98" s="705">
        <f>IF(+All!$F711="LSU",+All!L711,IF(+All!$H711="LSU",+All!L711,0))</f>
        <v>3</v>
      </c>
      <c r="M98" s="706">
        <f>IF(+All!$F711="LSU",+All!M711,IF(+All!$H711="LSU",+All!M711,0))</f>
        <v>64</v>
      </c>
      <c r="N98" s="704" t="str">
        <f>IF(+All!$F711="LSU",+All!N711,IF(+All!$H711="LSU",+All!N711,0))</f>
        <v>LSU</v>
      </c>
      <c r="O98" s="707">
        <f>IF(+All!$F711="LSU",+All!O711,IF(+All!$H711="LSU",+All!O711,0))</f>
        <v>13</v>
      </c>
      <c r="P98" s="707" t="str">
        <f>IF(+All!$F711="LSU",+All!P711,IF(+All!$H711="LSU",+All!P711,0))</f>
        <v>Arkansas</v>
      </c>
      <c r="Q98" s="701">
        <f>IF(+All!$F711="LSU",+All!Q711,IF(+All!$H711="LSU",+All!Q711,0))</f>
        <v>10</v>
      </c>
      <c r="R98" s="704" t="str">
        <f>IF(+All!$F711="LSU",+All!R711,IF(+All!$H711="LSU",+All!R711,0))</f>
        <v>LSU</v>
      </c>
      <c r="S98" s="707" t="str">
        <f>IF(+All!$F711="LSU",+All!S711,IF(+All!$H711="LSU",+All!S711,0))</f>
        <v>Arkansas</v>
      </c>
      <c r="T98" s="704" t="str">
        <f>IF(+All!$F711="LSU",+All!T711,IF(+All!$H711="LSU",+All!T711,0))</f>
        <v>Arkansas</v>
      </c>
      <c r="U98" s="701" t="str">
        <f>IF(+All!$F711="LSU",+All!U711,IF(+All!$H711="LSU",+All!U711,0))</f>
        <v>T</v>
      </c>
    </row>
    <row r="99" spans="1:21" x14ac:dyDescent="0.8">
      <c r="A99" s="697">
        <f>IF(+All!$F779="LSU",+All!A779,IF(+All!$H779="LSU",+All!A779,0))</f>
        <v>12</v>
      </c>
      <c r="B99" s="698" t="str">
        <f>IF(+All!$F779="LSU",+All!B779,IF(+All!$H779="LSU",+All!B779,0))</f>
        <v>Sat</v>
      </c>
      <c r="C99" s="699">
        <f>IF(+All!$F779="LSU",+All!C779,IF(+All!$H779="LSU",+All!C779,0))</f>
        <v>44884</v>
      </c>
      <c r="D99" s="700">
        <f>IF(+All!$F779="LSU",+All!D779,IF(+All!$H779="LSU",+All!D779,0))</f>
        <v>0.875</v>
      </c>
      <c r="E99" s="701" t="str">
        <f>IF(+All!$F779="LSU",+All!E779,IF(+All!$H779="LSU",+All!E779,0))</f>
        <v>ESPN2</v>
      </c>
      <c r="F99" s="702" t="str">
        <f>IF(+All!$F779="LSU",+All!F779,IF(+All!$H779="LSU",+All!F779,0))</f>
        <v>UAB</v>
      </c>
      <c r="G99" s="703" t="str">
        <f>IF(+All!$F779="LSU",+All!G779,IF(+All!$H779="LSU",+All!G779,0))</f>
        <v>CUSA</v>
      </c>
      <c r="H99" s="702" t="str">
        <f>IF(+All!$F779="LSU",+All!H779,IF(+All!$H779="LSU",+All!H779,0))</f>
        <v>LSU</v>
      </c>
      <c r="I99" s="703" t="str">
        <f>IF(+All!$F779="LSU",+All!I779,IF(+All!$H779="LSU",+All!I779,0))</f>
        <v>SEC</v>
      </c>
      <c r="J99" s="704" t="str">
        <f>IF(+All!$F779="LSU",+All!J779,IF(+All!$H779="LSU",+All!J779,0))</f>
        <v>LSU</v>
      </c>
      <c r="K99" s="701" t="str">
        <f>IF(+All!$F779="LSU",+All!K779,IF(+All!$H779="LSU",+All!K779,0))</f>
        <v>UAB</v>
      </c>
      <c r="L99" s="705">
        <f>IF(+All!$F779="LSU",+All!L779,IF(+All!$H779="LSU",+All!L779,0))</f>
        <v>14.5</v>
      </c>
      <c r="M99" s="706">
        <f>IF(+All!$F779="LSU",+All!M779,IF(+All!$H779="LSU",+All!M779,0))</f>
        <v>52.5</v>
      </c>
      <c r="N99" s="704" t="str">
        <f>IF(+All!$F779="LSU",+All!N779,IF(+All!$H779="LSU",+All!N779,0))</f>
        <v>LSU</v>
      </c>
      <c r="O99" s="707">
        <f>IF(+All!$F779="LSU",+All!O779,IF(+All!$H779="LSU",+All!O779,0))</f>
        <v>41</v>
      </c>
      <c r="P99" s="707" t="str">
        <f>IF(+All!$F779="LSU",+All!P779,IF(+All!$H779="LSU",+All!P779,0))</f>
        <v>UAB</v>
      </c>
      <c r="Q99" s="701">
        <f>IF(+All!$F779="LSU",+All!Q779,IF(+All!$H779="LSU",+All!Q779,0))</f>
        <v>10</v>
      </c>
      <c r="R99" s="704" t="str">
        <f>IF(+All!$F779="LSU",+All!R779,IF(+All!$H779="LSU",+All!R779,0))</f>
        <v>LSU</v>
      </c>
      <c r="S99" s="707" t="str">
        <f>IF(+All!$F779="LSU",+All!S779,IF(+All!$H779="LSU",+All!S779,0))</f>
        <v>UAB</v>
      </c>
      <c r="T99" s="704" t="str">
        <f>IF(+All!$F779="LSU",+All!T779,IF(+All!$H779="LSU",+All!T779,0))</f>
        <v>UAB</v>
      </c>
      <c r="U99" s="701" t="str">
        <f>IF(+All!$F779="LSU",+All!U779,IF(+All!$H779="LSU",+All!U779,0))</f>
        <v>L</v>
      </c>
    </row>
    <row r="100" spans="1:21" x14ac:dyDescent="0.8">
      <c r="A100" s="697">
        <f>IF(+All!$F847="LSU",+All!A847,IF(+All!$H847="LSU",+All!A847,0))</f>
        <v>13</v>
      </c>
      <c r="B100" s="698" t="str">
        <f>IF(+All!$F847="LSU",+All!B847,IF(+All!$H847="LSU",+All!B847,0))</f>
        <v>Sat</v>
      </c>
      <c r="C100" s="699">
        <f>IF(+All!$F847="LSU",+All!C847,IF(+All!$H847="LSU",+All!C847,0))</f>
        <v>44891</v>
      </c>
      <c r="D100" s="700">
        <f>IF(+All!$F847="LSU",+All!D847,IF(+All!$H847="LSU",+All!D847,0))</f>
        <v>0.79166666666666663</v>
      </c>
      <c r="E100" s="701" t="str">
        <f>IF(+All!$F847="LSU",+All!E847,IF(+All!$H847="LSU",+All!E847,0))</f>
        <v>ESPN</v>
      </c>
      <c r="F100" s="702" t="str">
        <f>IF(+All!$F847="LSU",+All!F847,IF(+All!$H847="LSU",+All!F847,0))</f>
        <v>LSU</v>
      </c>
      <c r="G100" s="703" t="str">
        <f>IF(+All!$F847="LSU",+All!G847,IF(+All!$H847="LSU",+All!G847,0))</f>
        <v>SEC</v>
      </c>
      <c r="H100" s="702" t="str">
        <f>IF(+All!$F847="LSU",+All!H847,IF(+All!$H847="LSU",+All!H847,0))</f>
        <v>Texas A&amp;M</v>
      </c>
      <c r="I100" s="703" t="str">
        <f>IF(+All!$F847="LSU",+All!I847,IF(+All!$H847="LSU",+All!I847,0))</f>
        <v>SEC</v>
      </c>
      <c r="J100" s="704" t="str">
        <f>IF(+All!$F847="LSU",+All!J847,IF(+All!$H847="LSU",+All!J847,0))</f>
        <v>LSU</v>
      </c>
      <c r="K100" s="701" t="str">
        <f>IF(+All!$F847="LSU",+All!K847,IF(+All!$H847="LSU",+All!K847,0))</f>
        <v>Texas A&amp;M</v>
      </c>
      <c r="L100" s="705">
        <f>IF(+All!$F847="LSU",+All!L847,IF(+All!$H847="LSU",+All!L847,0))</f>
        <v>10</v>
      </c>
      <c r="M100" s="706">
        <f>IF(+All!$F847="LSU",+All!M847,IF(+All!$H847="LSU",+All!M847,0))</f>
        <v>47.5</v>
      </c>
      <c r="N100" s="704" t="str">
        <f>IF(+All!$F847="LSU",+All!N847,IF(+All!$H847="LSU",+All!N847,0))</f>
        <v>Texas A&amp;M</v>
      </c>
      <c r="O100" s="707">
        <f>IF(+All!$F847="LSU",+All!O847,IF(+All!$H847="LSU",+All!O847,0))</f>
        <v>38</v>
      </c>
      <c r="P100" s="707" t="str">
        <f>IF(+All!$F847="LSU",+All!P847,IF(+All!$H847="LSU",+All!P847,0))</f>
        <v>LSU</v>
      </c>
      <c r="Q100" s="701">
        <f>IF(+All!$F847="LSU",+All!Q847,IF(+All!$H847="LSU",+All!Q847,0))</f>
        <v>23</v>
      </c>
      <c r="R100" s="704" t="str">
        <f>IF(+All!$F847="LSU",+All!R847,IF(+All!$H847="LSU",+All!R847,0))</f>
        <v>Texas A&amp;M</v>
      </c>
      <c r="S100" s="707" t="str">
        <f>IF(+All!$F847="LSU",+All!S847,IF(+All!$H847="LSU",+All!S847,0))</f>
        <v>LSU</v>
      </c>
      <c r="T100" s="704" t="str">
        <f>IF(+All!$F847="LSU",+All!T847,IF(+All!$H847="LSU",+All!T847,0))</f>
        <v>Texas A&amp;M</v>
      </c>
      <c r="U100" s="701" t="str">
        <f>IF(+All!$F847="LSU",+All!U847,IF(+All!$H847="LSU",+All!U847,0))</f>
        <v>W</v>
      </c>
    </row>
    <row r="101" spans="1:21" x14ac:dyDescent="0.8">
      <c r="B101" s="697"/>
      <c r="C101" s="708"/>
      <c r="D101" s="700"/>
      <c r="F101" s="916" t="str">
        <f>H103</f>
        <v>Mississippi</v>
      </c>
      <c r="G101" s="917"/>
      <c r="H101" s="917"/>
      <c r="I101" s="918"/>
      <c r="L101" s="705"/>
      <c r="M101" s="706"/>
    </row>
    <row r="102" spans="1:21" x14ac:dyDescent="0.8">
      <c r="A102" s="718">
        <f>IF(+All!$F63="Mississippi",+All!A63,IF(+All!$H63="Mississippi",+All!A63,0))</f>
        <v>1</v>
      </c>
      <c r="B102" s="698" t="str">
        <f>IF(+All!$F63="Mississippi",+All!B63,IF(+All!$H63="Mississippi",+All!B63,0))</f>
        <v>Sat</v>
      </c>
      <c r="C102" s="699">
        <f>IF(+All!$F63="Mississippi",+All!C63,IF(+All!$H63="Mississippi",+All!C63,0))</f>
        <v>44807</v>
      </c>
      <c r="D102" s="700">
        <f>IF(+All!$F63="Mississippi",+All!D63,IF(+All!$H63="Mississippi",+All!D63,0))</f>
        <v>0.66666666666666663</v>
      </c>
      <c r="E102" s="701" t="str">
        <f>IF(+All!$F63="Mississippi",+All!E63,IF(+All!$H63="Mississippi",+All!E63,0))</f>
        <v>SEC</v>
      </c>
      <c r="F102" s="702" t="str">
        <f>IF(+All!$F63="Mississippi",+All!F63,IF(+All!$H63="Mississippi",+All!F63,0))</f>
        <v>Troy</v>
      </c>
      <c r="G102" s="703" t="str">
        <f>IF(+All!$F63="Mississippi",+All!G63,IF(+All!$H63="Mississippi",+All!G63,0))</f>
        <v>SB</v>
      </c>
      <c r="H102" s="702" t="str">
        <f>IF(+All!$F63="Mississippi",+All!H63,IF(+All!$H63="Mississippi",+All!H63,0))</f>
        <v>Mississippi</v>
      </c>
      <c r="I102" s="703" t="str">
        <f>IF(+All!$F63="Mississippi",+All!I63,IF(+All!$H63="Mississippi",+All!I63,0))</f>
        <v>SEC</v>
      </c>
      <c r="J102" s="704" t="str">
        <f>IF(+All!$F63="Mississippi",+All!J63,IF(+All!$H63="Mississippi",+All!J63,0))</f>
        <v>Mississippi</v>
      </c>
      <c r="K102" s="701" t="str">
        <f>IF(+All!$F63="Mississippi",+All!K63,IF(+All!$H63="Mississippi",+All!K63,0))</f>
        <v>Troy</v>
      </c>
      <c r="L102" s="705">
        <f>IF(+All!$F63="Mississippi",+All!L63,IF(+All!$H63="Mississippi",+All!L63,0))</f>
        <v>22</v>
      </c>
      <c r="M102" s="706">
        <f>IF(+All!$F63="Mississippi",+All!M63,IF(+All!$H63="Mississippi",+All!M63,0))</f>
        <v>58</v>
      </c>
      <c r="N102" s="704" t="str">
        <f>IF(+All!$F63="Mississippi",+All!N63,IF(+All!$H63="Mississippi",+All!N63,0))</f>
        <v>Mississippi</v>
      </c>
      <c r="O102" s="707">
        <f>IF(+All!$F63="Mississippi",+All!O63,IF(+All!$H63="Mississippi",+All!O63,0))</f>
        <v>28</v>
      </c>
      <c r="P102" s="707" t="str">
        <f>IF(+All!$F63="Mississippi",+All!P63,IF(+All!$H63="Mississippi",+All!P63,0))</f>
        <v>Troy</v>
      </c>
      <c r="Q102" s="701">
        <f>IF(+All!$F63="Mississippi",+All!Q63,IF(+All!$H63="Mississippi",+All!Q63,0))</f>
        <v>10</v>
      </c>
      <c r="R102" s="704" t="str">
        <f>IF(+All!$F63="Mississippi",+All!R63,IF(+All!$H63="Mississippi",+All!R63,0))</f>
        <v>Troy</v>
      </c>
      <c r="S102" s="707" t="str">
        <f>IF(+All!$F63="Mississippi",+All!S63,IF(+All!$H63="Mississippi",+All!S63,0))</f>
        <v>Mississippi</v>
      </c>
      <c r="T102" s="704" t="str">
        <f>IF(+All!$F63="Mississippi",+All!T63,IF(+All!$H63="Mississippi",+All!T63,0))</f>
        <v>Mississippi</v>
      </c>
      <c r="U102" s="701" t="str">
        <f>IF(+All!$F63="Mississippi",+All!U63,IF(+All!$H63="Mississippi",+All!U63,0))</f>
        <v>L</v>
      </c>
    </row>
    <row r="103" spans="1:21" x14ac:dyDescent="0.8">
      <c r="A103" s="718">
        <f>IF(+All!$F176="Mississippi",+All!A176,IF(+All!$H176="Mississippi",+All!A176,0))</f>
        <v>2</v>
      </c>
      <c r="B103" s="698" t="str">
        <f>IF(+All!$F176="Mississippi",+All!B176,IF(+All!$H176="Mississippi",+All!B176,0))</f>
        <v>Sat</v>
      </c>
      <c r="C103" s="699">
        <f>IF(+All!$F176="Mississippi",+All!C176,IF(+All!$H176="Mississippi",+All!C176,0))</f>
        <v>44814</v>
      </c>
      <c r="D103" s="700">
        <f>IF(+All!$F176="Mississippi",+All!D176,IF(+All!$H176="Mississippi",+All!D176,0))</f>
        <v>0.79166666666666663</v>
      </c>
      <c r="E103" s="701">
        <f>IF(+All!$F176="Mississippi",+All!E176,IF(+All!$H176="Mississippi",+All!E176,0))</f>
        <v>0</v>
      </c>
      <c r="F103" s="702" t="str">
        <f>IF(+All!$F176="Mississippi",+All!F176,IF(+All!$H176="Mississippi",+All!F176,0))</f>
        <v>1AA Central Arkansas</v>
      </c>
      <c r="G103" s="703" t="str">
        <f>IF(+All!$F176="Mississippi",+All!G176,IF(+All!$H176="Mississippi",+All!G176,0))</f>
        <v>1AA</v>
      </c>
      <c r="H103" s="702" t="str">
        <f>IF(+All!$F176="Mississippi",+All!H176,IF(+All!$H176="Mississippi",+All!H176,0))</f>
        <v>Mississippi</v>
      </c>
      <c r="I103" s="703" t="str">
        <f>IF(+All!$F176="Mississippi",+All!I176,IF(+All!$H176="Mississippi",+All!I176,0))</f>
        <v>SEC</v>
      </c>
      <c r="J103" s="704">
        <f>IF(+All!$F176="Mississippi",+All!J176,IF(+All!$H176="Mississippi",+All!J176,0))</f>
        <v>0</v>
      </c>
      <c r="K103" s="701">
        <f>IF(+All!$F176="Mississippi",+All!K176,IF(+All!$H176="Mississippi",+All!K176,0))</f>
        <v>0</v>
      </c>
      <c r="L103" s="705">
        <f>IF(+All!$F176="Mississippi",+All!L176,IF(+All!$H176="Mississippi",+All!L176,0))</f>
        <v>0</v>
      </c>
      <c r="M103" s="706">
        <f>IF(+All!$F176="Mississippi",+All!M176,IF(+All!$H176="Mississippi",+All!M176,0))</f>
        <v>0</v>
      </c>
      <c r="N103" s="704" t="str">
        <f>IF(+All!$F176="Mississippi",+All!N176,IF(+All!$H176="Mississippi",+All!N176,0))</f>
        <v>Mississippi</v>
      </c>
      <c r="O103" s="707">
        <f>IF(+All!$F176="Mississippi",+All!O176,IF(+All!$H176="Mississippi",+All!O176,0))</f>
        <v>59</v>
      </c>
      <c r="P103" s="707" t="str">
        <f>IF(+All!$F176="Mississippi",+All!P176,IF(+All!$H176="Mississippi",+All!P176,0))</f>
        <v>1AA Central Arkansas</v>
      </c>
      <c r="Q103" s="701">
        <f>IF(+All!$F176="Mississippi",+All!Q176,IF(+All!$H176="Mississippi",+All!Q176,0))</f>
        <v>3</v>
      </c>
      <c r="R103" s="704">
        <f>IF(+All!$F176="Mississippi",+All!R176,IF(+All!$H176="Mississippi",+All!R176,0))</f>
        <v>0</v>
      </c>
      <c r="S103" s="707">
        <f>IF(+All!$F176="Mississippi",+All!S176,IF(+All!$H176="Mississippi",+All!S176,0))</f>
        <v>0</v>
      </c>
      <c r="T103" s="704">
        <f>IF(+All!$F176="Mississippi",+All!T176,IF(+All!$H176="Mississippi",+All!T176,0))</f>
        <v>0</v>
      </c>
      <c r="U103" s="701">
        <f>IF(+All!$F176="Mississippi",+All!U176,IF(+All!$H176="Mississippi",+All!U176,0))</f>
        <v>0</v>
      </c>
    </row>
    <row r="104" spans="1:21" x14ac:dyDescent="0.8">
      <c r="A104" s="718">
        <f>IF(+All!$F191="Mississippi",+All!A191,IF(+All!$H191="Mississippi",+All!A191,0))</f>
        <v>3</v>
      </c>
      <c r="B104" s="698" t="str">
        <f>IF(+All!$F191="Mississippi",+All!B191,IF(+All!$H191="Mississippi",+All!B191,0))</f>
        <v>Sat</v>
      </c>
      <c r="C104" s="699">
        <f>IF(+All!$F191="Mississippi",+All!C191,IF(+All!$H191="Mississippi",+All!C191,0))</f>
        <v>44821</v>
      </c>
      <c r="D104" s="700">
        <f>IF(+All!$F191="Mississippi",+All!D191,IF(+All!$H191="Mississippi",+All!D191,0))</f>
        <v>0.64583333333333337</v>
      </c>
      <c r="E104" s="701" t="str">
        <f>IF(+All!$F191="Mississippi",+All!E191,IF(+All!$H191="Mississippi",+All!E191,0))</f>
        <v>ABC</v>
      </c>
      <c r="F104" s="702" t="str">
        <f>IF(+All!$F191="Mississippi",+All!F191,IF(+All!$H191="Mississippi",+All!F191,0))</f>
        <v>Mississippi</v>
      </c>
      <c r="G104" s="703" t="str">
        <f>IF(+All!$F191="Mississippi",+All!G191,IF(+All!$H191="Mississippi",+All!G191,0))</f>
        <v>SEC</v>
      </c>
      <c r="H104" s="702" t="str">
        <f>IF(+All!$F191="Mississippi",+All!H191,IF(+All!$H191="Mississippi",+All!H191,0))</f>
        <v>Georgia Tech</v>
      </c>
      <c r="I104" s="703" t="str">
        <f>IF(+All!$F191="Mississippi",+All!I191,IF(+All!$H191="Mississippi",+All!I191,0))</f>
        <v>ACC</v>
      </c>
      <c r="J104" s="704" t="str">
        <f>IF(+All!$F191="Mississippi",+All!J191,IF(+All!$H191="Mississippi",+All!J191,0))</f>
        <v>Mississippi</v>
      </c>
      <c r="K104" s="701" t="str">
        <f>IF(+All!$F191="Mississippi",+All!K191,IF(+All!$H191="Mississippi",+All!K191,0))</f>
        <v>Georgia Tech</v>
      </c>
      <c r="L104" s="705">
        <f>IF(+All!$F191="Mississippi",+All!L191,IF(+All!$H191="Mississippi",+All!L191,0))</f>
        <v>17</v>
      </c>
      <c r="M104" s="706">
        <f>IF(+All!$F191="Mississippi",+All!M191,IF(+All!$H191="Mississippi",+All!M191,0))</f>
        <v>64</v>
      </c>
      <c r="N104" s="704" t="str">
        <f>IF(+All!$F191="Mississippi",+All!N191,IF(+All!$H191="Mississippi",+All!N191,0))</f>
        <v>Mississippi</v>
      </c>
      <c r="O104" s="707">
        <f>IF(+All!$F191="Mississippi",+All!O191,IF(+All!$H191="Mississippi",+All!O191,0))</f>
        <v>42</v>
      </c>
      <c r="P104" s="707" t="str">
        <f>IF(+All!$F191="Mississippi",+All!P191,IF(+All!$H191="Mississippi",+All!P191,0))</f>
        <v>Georgia Tech</v>
      </c>
      <c r="Q104" s="701">
        <f>IF(+All!$F191="Mississippi",+All!Q191,IF(+All!$H191="Mississippi",+All!Q191,0))</f>
        <v>0</v>
      </c>
      <c r="R104" s="704" t="str">
        <f>IF(+All!$F191="Mississippi",+All!R191,IF(+All!$H191="Mississippi",+All!R191,0))</f>
        <v>Mississippi</v>
      </c>
      <c r="S104" s="707" t="str">
        <f>IF(+All!$F191="Mississippi",+All!S191,IF(+All!$H191="Mississippi",+All!S191,0))</f>
        <v>Georgia Tech</v>
      </c>
      <c r="T104" s="704" t="str">
        <f>IF(+All!$F191="Mississippi",+All!T191,IF(+All!$H191="Mississippi",+All!T191,0))</f>
        <v>Mississippi</v>
      </c>
      <c r="U104" s="701" t="str">
        <f>IF(+All!$F191="Mississippi",+All!U191,IF(+All!$H191="Mississippi",+All!U191,0))</f>
        <v>W</v>
      </c>
    </row>
    <row r="105" spans="1:21" x14ac:dyDescent="0.8">
      <c r="A105" s="718">
        <f>IF(+All!$F314="Mississippi",+All!A314,IF(+All!$H314="Mississippi",+All!A314,0))</f>
        <v>4</v>
      </c>
      <c r="B105" s="698" t="str">
        <f>IF(+All!$F314="Mississippi",+All!B314,IF(+All!$H314="Mississippi",+All!B314,0))</f>
        <v>Sat</v>
      </c>
      <c r="C105" s="699">
        <f>IF(+All!$F314="Mississippi",+All!C314,IF(+All!$H314="Mississippi",+All!C314,0))</f>
        <v>44828</v>
      </c>
      <c r="D105" s="700">
        <f>IF(+All!$F314="Mississippi",+All!D314,IF(+All!$H314="Mississippi",+All!D314,0))</f>
        <v>0.66666666666666663</v>
      </c>
      <c r="E105" s="701" t="str">
        <f>IF(+All!$F314="Mississippi",+All!E314,IF(+All!$H314="Mississippi",+All!E314,0))</f>
        <v>SEC</v>
      </c>
      <c r="F105" s="702" t="str">
        <f>IF(+All!$F314="Mississippi",+All!F314,IF(+All!$H314="Mississippi",+All!F314,0))</f>
        <v>Tulsa</v>
      </c>
      <c r="G105" s="703" t="str">
        <f>IF(+All!$F314="Mississippi",+All!G314,IF(+All!$H314="Mississippi",+All!G314,0))</f>
        <v>AAC</v>
      </c>
      <c r="H105" s="702" t="str">
        <f>IF(+All!$F314="Mississippi",+All!H314,IF(+All!$H314="Mississippi",+All!H314,0))</f>
        <v>Mississippi</v>
      </c>
      <c r="I105" s="703" t="str">
        <f>IF(+All!$F314="Mississippi",+All!I314,IF(+All!$H314="Mississippi",+All!I314,0))</f>
        <v>SEC</v>
      </c>
      <c r="J105" s="704" t="str">
        <f>IF(+All!$F314="Mississippi",+All!J314,IF(+All!$H314="Mississippi",+All!J314,0))</f>
        <v>Mississippi</v>
      </c>
      <c r="K105" s="701" t="str">
        <f>IF(+All!$F314="Mississippi",+All!K314,IF(+All!$H314="Mississippi",+All!K314,0))</f>
        <v>Tulsa</v>
      </c>
      <c r="L105" s="705">
        <f>IF(+All!$F314="Mississippi",+All!L314,IF(+All!$H314="Mississippi",+All!L314,0))</f>
        <v>21.5</v>
      </c>
      <c r="M105" s="706">
        <f>IF(+All!$F314="Mississippi",+All!M314,IF(+All!$H314="Mississippi",+All!M314,0))</f>
        <v>51.5</v>
      </c>
      <c r="N105" s="704" t="str">
        <f>IF(+All!$F314="Mississippi",+All!N314,IF(+All!$H314="Mississippi",+All!N314,0))</f>
        <v>Mississippi</v>
      </c>
      <c r="O105" s="707">
        <f>IF(+All!$F314="Mississippi",+All!O314,IF(+All!$H314="Mississippi",+All!O314,0))</f>
        <v>35</v>
      </c>
      <c r="P105" s="707" t="str">
        <f>IF(+All!$F314="Mississippi",+All!P314,IF(+All!$H314="Mississippi",+All!P314,0))</f>
        <v>Tulsa</v>
      </c>
      <c r="Q105" s="701">
        <f>IF(+All!$F314="Mississippi",+All!Q314,IF(+All!$H314="Mississippi",+All!Q314,0))</f>
        <v>27</v>
      </c>
      <c r="R105" s="704" t="str">
        <f>IF(+All!$F314="Mississippi",+All!R314,IF(+All!$H314="Mississippi",+All!R314,0))</f>
        <v>Tulsa</v>
      </c>
      <c r="S105" s="707" t="str">
        <f>IF(+All!$F314="Mississippi",+All!S314,IF(+All!$H314="Mississippi",+All!S314,0))</f>
        <v>Mississippi</v>
      </c>
      <c r="T105" s="704" t="str">
        <f>IF(+All!$F314="Mississippi",+All!T314,IF(+All!$H314="Mississippi",+All!T314,0))</f>
        <v>Tulsa</v>
      </c>
      <c r="U105" s="701" t="str">
        <f>IF(+All!$F314="Mississippi",+All!U314,IF(+All!$H314="Mississippi",+All!U314,0))</f>
        <v>W</v>
      </c>
    </row>
    <row r="106" spans="1:21" x14ac:dyDescent="0.8">
      <c r="A106" s="718">
        <f>IF(+All!$F378="Mississippi",+All!A378,IF(+All!$H378="Mississippi",+All!A378,0))</f>
        <v>5</v>
      </c>
      <c r="B106" s="698" t="str">
        <f>IF(+All!$F378="Mississippi",+All!B378,IF(+All!$H378="Mississippi",+All!B378,0))</f>
        <v>Sat</v>
      </c>
      <c r="C106" s="699">
        <f>IF(+All!$F378="Mississippi",+All!C378,IF(+All!$H378="Mississippi",+All!C378,0))</f>
        <v>44835</v>
      </c>
      <c r="D106" s="700">
        <f>IF(+All!$F378="Mississippi",+All!D378,IF(+All!$H378="Mississippi",+All!D378,0))</f>
        <v>0.5</v>
      </c>
      <c r="E106" s="701" t="str">
        <f>IF(+All!$F378="Mississippi",+All!E378,IF(+All!$H378="Mississippi",+All!E378,0))</f>
        <v>ESPN</v>
      </c>
      <c r="F106" s="702" t="str">
        <f>IF(+All!$F378="Mississippi",+All!F378,IF(+All!$H378="Mississippi",+All!F378,0))</f>
        <v>Kentucky</v>
      </c>
      <c r="G106" s="703" t="str">
        <f>IF(+All!$F378="Mississippi",+All!G378,IF(+All!$H378="Mississippi",+All!G378,0))</f>
        <v>SEC</v>
      </c>
      <c r="H106" s="702" t="str">
        <f>IF(+All!$F378="Mississippi",+All!H378,IF(+All!$H378="Mississippi",+All!H378,0))</f>
        <v>Mississippi</v>
      </c>
      <c r="I106" s="703" t="str">
        <f>IF(+All!$F378="Mississippi",+All!I378,IF(+All!$H378="Mississippi",+All!I378,0))</f>
        <v>SEC</v>
      </c>
      <c r="J106" s="704" t="str">
        <f>IF(+All!$F378="Mississippi",+All!J378,IF(+All!$H378="Mississippi",+All!J378,0))</f>
        <v>Mississippi</v>
      </c>
      <c r="K106" s="701" t="str">
        <f>IF(+All!$F378="Mississippi",+All!K378,IF(+All!$H378="Mississippi",+All!K378,0))</f>
        <v>Kentucky</v>
      </c>
      <c r="L106" s="705">
        <f>IF(+All!$F378="Mississippi",+All!L378,IF(+All!$H378="Mississippi",+All!L378,0))</f>
        <v>7</v>
      </c>
      <c r="M106" s="706">
        <f>IF(+All!$F378="Mississippi",+All!M378,IF(+All!$H378="Mississippi",+All!M378,0))</f>
        <v>54.5</v>
      </c>
      <c r="N106" s="704" t="str">
        <f>IF(+All!$F378="Mississippi",+All!N378,IF(+All!$H378="Mississippi",+All!N378,0))</f>
        <v>Mississippi</v>
      </c>
      <c r="O106" s="707">
        <f>IF(+All!$F378="Mississippi",+All!O378,IF(+All!$H378="Mississippi",+All!O378,0))</f>
        <v>22</v>
      </c>
      <c r="P106" s="707" t="str">
        <f>IF(+All!$F378="Mississippi",+All!P378,IF(+All!$H378="Mississippi",+All!P378,0))</f>
        <v>Kentucky</v>
      </c>
      <c r="Q106" s="701">
        <f>IF(+All!$F378="Mississippi",+All!Q378,IF(+All!$H378="Mississippi",+All!Q378,0))</f>
        <v>19</v>
      </c>
      <c r="R106" s="704" t="str">
        <f>IF(+All!$F378="Mississippi",+All!R378,IF(+All!$H378="Mississippi",+All!R378,0))</f>
        <v>Kentucky</v>
      </c>
      <c r="S106" s="707" t="str">
        <f>IF(+All!$F378="Mississippi",+All!S378,IF(+All!$H378="Mississippi",+All!S378,0))</f>
        <v>Mississippi</v>
      </c>
      <c r="T106" s="704" t="str">
        <f>IF(+All!$F378="Mississippi",+All!T378,IF(+All!$H378="Mississippi",+All!T378,0))</f>
        <v>Kentucky</v>
      </c>
      <c r="U106" s="701" t="str">
        <f>IF(+All!$F378="Mississippi",+All!U378,IF(+All!$H378="Mississippi",+All!U378,0))</f>
        <v>W</v>
      </c>
    </row>
    <row r="107" spans="1:21" x14ac:dyDescent="0.8">
      <c r="A107" s="718">
        <f>IF(+All!$F437="Mississippi",+All!A437,IF(+All!$H437="Mississippi",+All!A437,0))</f>
        <v>6</v>
      </c>
      <c r="B107" s="698" t="str">
        <f>IF(+All!$F437="Mississippi",+All!B437,IF(+All!$H437="Mississippi",+All!B437,0))</f>
        <v>Sat</v>
      </c>
      <c r="C107" s="699">
        <f>IF(+All!$F437="Mississippi",+All!C437,IF(+All!$H437="Mississippi",+All!C437,0))</f>
        <v>44842</v>
      </c>
      <c r="D107" s="700">
        <f>IF(+All!$F437="Mississippi",+All!D437,IF(+All!$H437="Mississippi",+All!D437,0))</f>
        <v>0.66666666666666663</v>
      </c>
      <c r="E107" s="701" t="str">
        <f>IF(+All!$F437="Mississippi",+All!E437,IF(+All!$H437="Mississippi",+All!E437,0))</f>
        <v>SEC</v>
      </c>
      <c r="F107" s="702" t="str">
        <f>IF(+All!$F437="Mississippi",+All!F437,IF(+All!$H437="Mississippi",+All!F437,0))</f>
        <v>Mississippi</v>
      </c>
      <c r="G107" s="703" t="str">
        <f>IF(+All!$F437="Mississippi",+All!G437,IF(+All!$H437="Mississippi",+All!G437,0))</f>
        <v>SEC</v>
      </c>
      <c r="H107" s="702" t="str">
        <f>IF(+All!$F437="Mississippi",+All!H437,IF(+All!$H437="Mississippi",+All!H437,0))</f>
        <v>Vanderbilt</v>
      </c>
      <c r="I107" s="703" t="str">
        <f>IF(+All!$F437="Mississippi",+All!I437,IF(+All!$H437="Mississippi",+All!I437,0))</f>
        <v>SEC</v>
      </c>
      <c r="J107" s="704" t="str">
        <f>IF(+All!$F437="Mississippi",+All!J437,IF(+All!$H437="Mississippi",+All!J437,0))</f>
        <v>Mississippi</v>
      </c>
      <c r="K107" s="701" t="str">
        <f>IF(+All!$F437="Mississippi",+All!K437,IF(+All!$H437="Mississippi",+All!K437,0))</f>
        <v>Vanderbilt</v>
      </c>
      <c r="L107" s="705">
        <f>IF(+All!$F437="Mississippi",+All!L437,IF(+All!$H437="Mississippi",+All!L437,0))</f>
        <v>17.5</v>
      </c>
      <c r="M107" s="706">
        <f>IF(+All!$F437="Mississippi",+All!M437,IF(+All!$H437="Mississippi",+All!M437,0))</f>
        <v>62</v>
      </c>
      <c r="N107" s="704" t="str">
        <f>IF(+All!$F437="Mississippi",+All!N437,IF(+All!$H437="Mississippi",+All!N437,0))</f>
        <v>Mississippi</v>
      </c>
      <c r="O107" s="707">
        <f>IF(+All!$F437="Mississippi",+All!O437,IF(+All!$H437="Mississippi",+All!O437,0))</f>
        <v>52</v>
      </c>
      <c r="P107" s="707" t="str">
        <f>IF(+All!$F437="Mississippi",+All!P437,IF(+All!$H437="Mississippi",+All!P437,0))</f>
        <v>Vanderbilt</v>
      </c>
      <c r="Q107" s="701">
        <f>IF(+All!$F437="Mississippi",+All!Q437,IF(+All!$H437="Mississippi",+All!Q437,0))</f>
        <v>28</v>
      </c>
      <c r="R107" s="704" t="str">
        <f>IF(+All!$F437="Mississippi",+All!R437,IF(+All!$H437="Mississippi",+All!R437,0))</f>
        <v>Mississippi</v>
      </c>
      <c r="S107" s="707" t="str">
        <f>IF(+All!$F437="Mississippi",+All!S437,IF(+All!$H437="Mississippi",+All!S437,0))</f>
        <v>Vanderbilt</v>
      </c>
      <c r="T107" s="704" t="str">
        <f>IF(+All!$F437="Mississippi",+All!T437,IF(+All!$H437="Mississippi",+All!T437,0))</f>
        <v>Mississippi</v>
      </c>
      <c r="U107" s="701" t="str">
        <f>IF(+All!$F437="Mississippi",+All!U437,IF(+All!$H437="Mississippi",+All!U437,0))</f>
        <v>W</v>
      </c>
    </row>
    <row r="108" spans="1:21" x14ac:dyDescent="0.8">
      <c r="A108" s="718">
        <f>IF(+All!$F489="Mississippi",+All!A489,IF(+All!$H489="Mississippi",+All!A489,0))</f>
        <v>7</v>
      </c>
      <c r="B108" s="698" t="str">
        <f>IF(+All!$F489="Mississippi",+All!B489,IF(+All!$H489="Mississippi",+All!B489,0))</f>
        <v>Sat</v>
      </c>
      <c r="C108" s="699">
        <f>IF(+All!$F489="Mississippi",+All!C489,IF(+All!$H489="Mississippi",+All!C489,0))</f>
        <v>44849</v>
      </c>
      <c r="D108" s="700">
        <f>IF(+All!$F489="Mississippi",+All!D489,IF(+All!$H489="Mississippi",+All!D489,0))</f>
        <v>0.5</v>
      </c>
      <c r="E108" s="701" t="str">
        <f>IF(+All!$F489="Mississippi",+All!E489,IF(+All!$H489="Mississippi",+All!E489,0))</f>
        <v>ESPN</v>
      </c>
      <c r="F108" s="702" t="str">
        <f>IF(+All!$F489="Mississippi",+All!F489,IF(+All!$H489="Mississippi",+All!F489,0))</f>
        <v>Auburn</v>
      </c>
      <c r="G108" s="703" t="str">
        <f>IF(+All!$F489="Mississippi",+All!G489,IF(+All!$H489="Mississippi",+All!G489,0))</f>
        <v>SEC</v>
      </c>
      <c r="H108" s="702" t="str">
        <f>IF(+All!$F489="Mississippi",+All!H489,IF(+All!$H489="Mississippi",+All!H489,0))</f>
        <v>Mississippi</v>
      </c>
      <c r="I108" s="703" t="str">
        <f>IF(+All!$F489="Mississippi",+All!I489,IF(+All!$H489="Mississippi",+All!I489,0))</f>
        <v>SEC</v>
      </c>
      <c r="J108" s="704" t="str">
        <f>IF(+All!$F489="Mississippi",+All!J489,IF(+All!$H489="Mississippi",+All!J489,0))</f>
        <v>Mississippi</v>
      </c>
      <c r="K108" s="701" t="str">
        <f>IF(+All!$F489="Mississippi",+All!K489,IF(+All!$H489="Mississippi",+All!K489,0))</f>
        <v>Auburn</v>
      </c>
      <c r="L108" s="705">
        <f>IF(+All!$F489="Mississippi",+All!L489,IF(+All!$H489="Mississippi",+All!L489,0))</f>
        <v>14.5</v>
      </c>
      <c r="M108" s="706">
        <f>IF(+All!$F489="Mississippi",+All!M489,IF(+All!$H489="Mississippi",+All!M489,0))</f>
        <v>54</v>
      </c>
      <c r="N108" s="704" t="str">
        <f>IF(+All!$F489="Mississippi",+All!N489,IF(+All!$H489="Mississippi",+All!N489,0))</f>
        <v>Mississippi</v>
      </c>
      <c r="O108" s="707">
        <f>IF(+All!$F489="Mississippi",+All!O489,IF(+All!$H489="Mississippi",+All!O489,0))</f>
        <v>48</v>
      </c>
      <c r="P108" s="707" t="str">
        <f>IF(+All!$F489="Mississippi",+All!P489,IF(+All!$H489="Mississippi",+All!P489,0))</f>
        <v>Auburn</v>
      </c>
      <c r="Q108" s="701">
        <f>IF(+All!$F489="Mississippi",+All!Q489,IF(+All!$H489="Mississippi",+All!Q489,0))</f>
        <v>34</v>
      </c>
      <c r="R108" s="704" t="str">
        <f>IF(+All!$F489="Mississippi",+All!R489,IF(+All!$H489="Mississippi",+All!R489,0))</f>
        <v>Auburn</v>
      </c>
      <c r="S108" s="707" t="str">
        <f>IF(+All!$F489="Mississippi",+All!S489,IF(+All!$H489="Mississippi",+All!S489,0))</f>
        <v>Mississippi</v>
      </c>
      <c r="T108" s="704" t="str">
        <f>IF(+All!$F489="Mississippi",+All!T489,IF(+All!$H489="Mississippi",+All!T489,0))</f>
        <v>Mississippi</v>
      </c>
      <c r="U108" s="701" t="str">
        <f>IF(+All!$F489="Mississippi",+All!U489,IF(+All!$H489="Mississippi",+All!U489,0))</f>
        <v>L</v>
      </c>
    </row>
    <row r="109" spans="1:21" x14ac:dyDescent="0.8">
      <c r="A109" s="718">
        <f>IF(+All!$F541="Mississippi",+All!A541,IF(+All!$H541="Mississippi",+All!A541,0))</f>
        <v>8</v>
      </c>
      <c r="B109" s="698" t="str">
        <f>IF(+All!$F541="Mississippi",+All!B541,IF(+All!$H541="Mississippi",+All!B541,0))</f>
        <v>Sat</v>
      </c>
      <c r="C109" s="699">
        <f>IF(+All!$F541="Mississippi",+All!C541,IF(+All!$H541="Mississippi",+All!C541,0))</f>
        <v>44856</v>
      </c>
      <c r="D109" s="700">
        <f>IF(+All!$F541="Mississippi",+All!D541,IF(+All!$H541="Mississippi",+All!D541,0))</f>
        <v>0.64583333333333337</v>
      </c>
      <c r="E109" s="701" t="str">
        <f>IF(+All!$F541="Mississippi",+All!E541,IF(+All!$H541="Mississippi",+All!E541,0))</f>
        <v>CBS</v>
      </c>
      <c r="F109" s="702" t="str">
        <f>IF(+All!$F541="Mississippi",+All!F541,IF(+All!$H541="Mississippi",+All!F541,0))</f>
        <v>Mississippi</v>
      </c>
      <c r="G109" s="703" t="str">
        <f>IF(+All!$F541="Mississippi",+All!G541,IF(+All!$H541="Mississippi",+All!G541,0))</f>
        <v>SEC</v>
      </c>
      <c r="H109" s="702" t="str">
        <f>IF(+All!$F541="Mississippi",+All!H541,IF(+All!$H541="Mississippi",+All!H541,0))</f>
        <v>LSU</v>
      </c>
      <c r="I109" s="703" t="str">
        <f>IF(+All!$F541="Mississippi",+All!I541,IF(+All!$H541="Mississippi",+All!I541,0))</f>
        <v>SEC</v>
      </c>
      <c r="J109" s="704" t="str">
        <f>IF(+All!$F541="Mississippi",+All!J541,IF(+All!$H541="Mississippi",+All!J541,0))</f>
        <v>LSU</v>
      </c>
      <c r="K109" s="701" t="str">
        <f>IF(+All!$F541="Mississippi",+All!K541,IF(+All!$H541="Mississippi",+All!K541,0))</f>
        <v>Mississippi</v>
      </c>
      <c r="L109" s="705">
        <f>IF(+All!$F541="Mississippi",+All!L541,IF(+All!$H541="Mississippi",+All!L541,0))</f>
        <v>1.5</v>
      </c>
      <c r="M109" s="706">
        <f>IF(+All!$F541="Mississippi",+All!M541,IF(+All!$H541="Mississippi",+All!M541,0))</f>
        <v>66</v>
      </c>
      <c r="N109" s="704" t="str">
        <f>IF(+All!$F541="Mississippi",+All!N541,IF(+All!$H541="Mississippi",+All!N541,0))</f>
        <v>LSU</v>
      </c>
      <c r="O109" s="707">
        <f>IF(+All!$F541="Mississippi",+All!O541,IF(+All!$H541="Mississippi",+All!O541,0))</f>
        <v>45</v>
      </c>
      <c r="P109" s="707" t="str">
        <f>IF(+All!$F541="Mississippi",+All!P541,IF(+All!$H541="Mississippi",+All!P541,0))</f>
        <v>Mississippi</v>
      </c>
      <c r="Q109" s="701">
        <f>IF(+All!$F541="Mississippi",+All!Q541,IF(+All!$H541="Mississippi",+All!Q541,0))</f>
        <v>20</v>
      </c>
      <c r="R109" s="704" t="str">
        <f>IF(+All!$F541="Mississippi",+All!R541,IF(+All!$H541="Mississippi",+All!R541,0))</f>
        <v>LSU</v>
      </c>
      <c r="S109" s="707" t="str">
        <f>IF(+All!$F541="Mississippi",+All!S541,IF(+All!$H541="Mississippi",+All!S541,0))</f>
        <v>Mississippi</v>
      </c>
      <c r="T109" s="704" t="str">
        <f>IF(+All!$F541="Mississippi",+All!T541,IF(+All!$H541="Mississippi",+All!T541,0))</f>
        <v>Mississippi</v>
      </c>
      <c r="U109" s="701" t="str">
        <f>IF(+All!$F541="Mississippi",+All!U541,IF(+All!$H541="Mississippi",+All!U541,0))</f>
        <v>L</v>
      </c>
    </row>
    <row r="110" spans="1:21" x14ac:dyDescent="0.8">
      <c r="A110" s="718">
        <f>IF(+All!$F592="Mississippi",+All!A592,IF(+All!$H592="Mississippi",+All!A592,0))</f>
        <v>9</v>
      </c>
      <c r="B110" s="698" t="str">
        <f>IF(+All!$F592="Mississippi",+All!B592,IF(+All!$H592="Mississippi",+All!B592,0))</f>
        <v>Sat</v>
      </c>
      <c r="C110" s="699">
        <f>IF(+All!$F592="Mississippi",+All!C592,IF(+All!$H592="Mississippi",+All!C592,0))</f>
        <v>44863</v>
      </c>
      <c r="D110" s="700">
        <f>IF(+All!$F592="Mississippi",+All!D592,IF(+All!$H592="Mississippi",+All!D592,0))</f>
        <v>0.8125</v>
      </c>
      <c r="E110" s="701" t="str">
        <f>IF(+All!$F592="Mississippi",+All!E592,IF(+All!$H592="Mississippi",+All!E592,0))</f>
        <v>SEC</v>
      </c>
      <c r="F110" s="702" t="str">
        <f>IF(+All!$F592="Mississippi",+All!F592,IF(+All!$H592="Mississippi",+All!F592,0))</f>
        <v>Mississippi</v>
      </c>
      <c r="G110" s="703" t="str">
        <f>IF(+All!$F592="Mississippi",+All!G592,IF(+All!$H592="Mississippi",+All!G592,0))</f>
        <v>SEC</v>
      </c>
      <c r="H110" s="702" t="str">
        <f>IF(+All!$F592="Mississippi",+All!H592,IF(+All!$H592="Mississippi",+All!H592,0))</f>
        <v>Texas A&amp;M</v>
      </c>
      <c r="I110" s="703" t="str">
        <f>IF(+All!$F592="Mississippi",+All!I592,IF(+All!$H592="Mississippi",+All!I592,0))</f>
        <v>SEC</v>
      </c>
      <c r="J110" s="704" t="str">
        <f>IF(+All!$F592="Mississippi",+All!J592,IF(+All!$H592="Mississippi",+All!J592,0))</f>
        <v>Mississippi</v>
      </c>
      <c r="K110" s="701" t="str">
        <f>IF(+All!$F592="Mississippi",+All!K592,IF(+All!$H592="Mississippi",+All!K592,0))</f>
        <v>Texas A&amp;M</v>
      </c>
      <c r="L110" s="705">
        <f>IF(+All!$F592="Mississippi",+All!L592,IF(+All!$H592="Mississippi",+All!L592,0))</f>
        <v>2.5</v>
      </c>
      <c r="M110" s="706">
        <f>IF(+All!$F592="Mississippi",+All!M592,IF(+All!$H592="Mississippi",+All!M592,0))</f>
        <v>55</v>
      </c>
      <c r="N110" s="704" t="str">
        <f>IF(+All!$F592="Mississippi",+All!N592,IF(+All!$H592="Mississippi",+All!N592,0))</f>
        <v>Mississippi</v>
      </c>
      <c r="O110" s="707">
        <f>IF(+All!$F592="Mississippi",+All!O592,IF(+All!$H592="Mississippi",+All!O592,0))</f>
        <v>31</v>
      </c>
      <c r="P110" s="707" t="str">
        <f>IF(+All!$F592="Mississippi",+All!P592,IF(+All!$H592="Mississippi",+All!P592,0))</f>
        <v>Texas A&amp;M</v>
      </c>
      <c r="Q110" s="701">
        <f>IF(+All!$F592="Mississippi",+All!Q592,IF(+All!$H592="Mississippi",+All!Q592,0))</f>
        <v>28</v>
      </c>
      <c r="R110" s="704" t="str">
        <f>IF(+All!$F592="Mississippi",+All!R592,IF(+All!$H592="Mississippi",+All!R592,0))</f>
        <v>Mississippi</v>
      </c>
      <c r="S110" s="707" t="str">
        <f>IF(+All!$F592="Mississippi",+All!S592,IF(+All!$H592="Mississippi",+All!S592,0))</f>
        <v>Texas A&amp;M</v>
      </c>
      <c r="T110" s="704" t="str">
        <f>IF(+All!$F592="Mississippi",+All!T592,IF(+All!$H592="Mississippi",+All!T592,0))</f>
        <v>Texas A&amp;M</v>
      </c>
      <c r="U110" s="701" t="str">
        <f>IF(+All!$F592="Mississippi",+All!U592,IF(+All!$H592="Mississippi",+All!U592,0))</f>
        <v>L</v>
      </c>
    </row>
    <row r="111" spans="1:21" x14ac:dyDescent="0.8">
      <c r="A111" s="718" t="e">
        <f>IF(+All!#REF!="Mississippi",+All!#REF!,IF(+All!#REF!="Mississippi",+All!#REF!,0))</f>
        <v>#REF!</v>
      </c>
      <c r="B111" s="698" t="e">
        <f>IF(+All!#REF!="Mississippi",+All!#REF!,IF(+All!#REF!="Mississippi",+All!#REF!,0))</f>
        <v>#REF!</v>
      </c>
      <c r="C111" s="699" t="e">
        <f>IF(+All!#REF!="Mississippi",+All!#REF!,IF(+All!#REF!="Mississippi",+All!#REF!,0))</f>
        <v>#REF!</v>
      </c>
      <c r="D111" s="700" t="e">
        <f>IF(+All!#REF!="Mississippi",+All!#REF!,IF(+All!#REF!="Mississippi",+All!#REF!,0))</f>
        <v>#REF!</v>
      </c>
      <c r="E111" s="701" t="e">
        <f>IF(+All!#REF!="Mississippi",+All!#REF!,IF(+All!#REF!="Mississippi",+All!#REF!,0))</f>
        <v>#REF!</v>
      </c>
      <c r="F111" s="702" t="e">
        <f>IF(+All!#REF!="Mississippi",+All!#REF!,IF(+All!#REF!="Mississippi",+All!#REF!,0))</f>
        <v>#REF!</v>
      </c>
      <c r="G111" s="703" t="e">
        <f>IF(+All!#REF!="Mississippi",+All!#REF!,IF(+All!#REF!="Mississippi",+All!#REF!,0))</f>
        <v>#REF!</v>
      </c>
      <c r="H111" s="702" t="e">
        <f>IF(+All!#REF!="Mississippi",+All!#REF!,IF(+All!#REF!="Mississippi",+All!#REF!,0))</f>
        <v>#REF!</v>
      </c>
      <c r="I111" s="703" t="e">
        <f>IF(+All!#REF!="Mississippi",+All!#REF!,IF(+All!#REF!="Mississippi",+All!#REF!,0))</f>
        <v>#REF!</v>
      </c>
      <c r="J111" s="704" t="e">
        <f>IF(+All!#REF!="Mississippi",+All!#REF!,IF(+All!#REF!="Mississippi",+All!#REF!,0))</f>
        <v>#REF!</v>
      </c>
      <c r="K111" s="701" t="e">
        <f>IF(+All!#REF!="Mississippi",+All!#REF!,IF(+All!#REF!="Mississippi",+All!#REF!,0))</f>
        <v>#REF!</v>
      </c>
      <c r="L111" s="705" t="e">
        <f>IF(+All!#REF!="Mississippi",+All!#REF!,IF(+All!#REF!="Mississippi",+All!#REF!,0))</f>
        <v>#REF!</v>
      </c>
      <c r="M111" s="706" t="e">
        <f>IF(+All!#REF!="Mississippi",+All!#REF!,IF(+All!#REF!="Mississippi",+All!#REF!,0))</f>
        <v>#REF!</v>
      </c>
      <c r="N111" s="704" t="e">
        <f>IF(+All!#REF!="Mississippi",+All!#REF!,IF(+All!#REF!="Mississippi",+All!#REF!,0))</f>
        <v>#REF!</v>
      </c>
      <c r="O111" s="707" t="e">
        <f>IF(+All!#REF!="Mississippi",+All!#REF!,IF(+All!#REF!="Mississippi",+All!#REF!,0))</f>
        <v>#REF!</v>
      </c>
      <c r="P111" s="707" t="e">
        <f>IF(+All!#REF!="Mississippi",+All!#REF!,IF(+All!#REF!="Mississippi",+All!#REF!,0))</f>
        <v>#REF!</v>
      </c>
      <c r="Q111" s="701" t="e">
        <f>IF(+All!#REF!="Mississippi",+All!#REF!,IF(+All!#REF!="Mississippi",+All!#REF!,0))</f>
        <v>#REF!</v>
      </c>
      <c r="R111" s="704" t="e">
        <f>IF(+All!#REF!="Mississippi",+All!#REF!,IF(+All!#REF!="Mississippi",+All!#REF!,0))</f>
        <v>#REF!</v>
      </c>
      <c r="S111" s="707" t="e">
        <f>IF(+All!#REF!="Mississippi",+All!#REF!,IF(+All!#REF!="Mississippi",+All!#REF!,0))</f>
        <v>#REF!</v>
      </c>
      <c r="T111" s="704" t="e">
        <f>IF(+All!#REF!="Mississippi",+All!#REF!,IF(+All!#REF!="Mississippi",+All!#REF!,0))</f>
        <v>#REF!</v>
      </c>
      <c r="U111" s="701" t="e">
        <f>IF(+All!#REF!="Mississippi",+All!#REF!,IF(+All!#REF!="Mississippi",+All!#REF!,0))</f>
        <v>#REF!</v>
      </c>
    </row>
    <row r="112" spans="1:21" x14ac:dyDescent="0.8">
      <c r="A112" s="718">
        <f>IF(+All!$F715="Mississippi",+All!A715,IF(+All!$H715="Mississippi",+All!A715,0))</f>
        <v>11</v>
      </c>
      <c r="B112" s="698" t="str">
        <f>IF(+All!$F715="Mississippi",+All!B715,IF(+All!$H715="Mississippi",+All!B715,0))</f>
        <v>Sat</v>
      </c>
      <c r="C112" s="699">
        <f>IF(+All!$F715="Mississippi",+All!C715,IF(+All!$H715="Mississippi",+All!C715,0))</f>
        <v>44877</v>
      </c>
      <c r="D112" s="700">
        <f>IF(+All!$F715="Mississippi",+All!D715,IF(+All!$H715="Mississippi",+All!D715,0))</f>
        <v>0.64583333333333337</v>
      </c>
      <c r="E112" s="701" t="str">
        <f>IF(+All!$F715="Mississippi",+All!E715,IF(+All!$H715="Mississippi",+All!E715,0))</f>
        <v>CBS</v>
      </c>
      <c r="F112" s="702" t="str">
        <f>IF(+All!$F715="Mississippi",+All!F715,IF(+All!$H715="Mississippi",+All!F715,0))</f>
        <v>Alabama</v>
      </c>
      <c r="G112" s="703" t="str">
        <f>IF(+All!$F715="Mississippi",+All!G715,IF(+All!$H715="Mississippi",+All!G715,0))</f>
        <v>SEC</v>
      </c>
      <c r="H112" s="702" t="str">
        <f>IF(+All!$F715="Mississippi",+All!H715,IF(+All!$H715="Mississippi",+All!H715,0))</f>
        <v>Mississippi</v>
      </c>
      <c r="I112" s="703" t="str">
        <f>IF(+All!$F715="Mississippi",+All!I715,IF(+All!$H715="Mississippi",+All!I715,0))</f>
        <v>SEC</v>
      </c>
      <c r="J112" s="704" t="str">
        <f>IF(+All!$F715="Mississippi",+All!J715,IF(+All!$H715="Mississippi",+All!J715,0))</f>
        <v>Alabama</v>
      </c>
      <c r="K112" s="701" t="str">
        <f>IF(+All!$F715="Mississippi",+All!K715,IF(+All!$H715="Mississippi",+All!K715,0))</f>
        <v>Mississippi</v>
      </c>
      <c r="L112" s="705">
        <f>IF(+All!$F715="Mississippi",+All!L715,IF(+All!$H715="Mississippi",+All!L715,0))</f>
        <v>11.5</v>
      </c>
      <c r="M112" s="706">
        <f>IF(+All!$F715="Mississippi",+All!M715,IF(+All!$H715="Mississippi",+All!M715,0))</f>
        <v>65</v>
      </c>
      <c r="N112" s="704" t="str">
        <f>IF(+All!$F715="Mississippi",+All!N715,IF(+All!$H715="Mississippi",+All!N715,0))</f>
        <v>Alabama</v>
      </c>
      <c r="O112" s="707">
        <f>IF(+All!$F715="Mississippi",+All!O715,IF(+All!$H715="Mississippi",+All!O715,0))</f>
        <v>30</v>
      </c>
      <c r="P112" s="707" t="str">
        <f>IF(+All!$F715="Mississippi",+All!P715,IF(+All!$H715="Mississippi",+All!P715,0))</f>
        <v>Mississippi</v>
      </c>
      <c r="Q112" s="701">
        <f>IF(+All!$F715="Mississippi",+All!Q715,IF(+All!$H715="Mississippi",+All!Q715,0))</f>
        <v>24</v>
      </c>
      <c r="R112" s="704" t="str">
        <f>IF(+All!$F715="Mississippi",+All!R715,IF(+All!$H715="Mississippi",+All!R715,0))</f>
        <v>Mississippi</v>
      </c>
      <c r="S112" s="707" t="str">
        <f>IF(+All!$F715="Mississippi",+All!S715,IF(+All!$H715="Mississippi",+All!S715,0))</f>
        <v>Alabama</v>
      </c>
      <c r="T112" s="704" t="str">
        <f>IF(+All!$F715="Mississippi",+All!T715,IF(+All!$H715="Mississippi",+All!T715,0))</f>
        <v>Mississippi</v>
      </c>
      <c r="U112" s="701" t="str">
        <f>IF(+All!$F715="Mississippi",+All!U715,IF(+All!$H715="Mississippi",+All!U715,0))</f>
        <v>W</v>
      </c>
    </row>
    <row r="113" spans="1:21" x14ac:dyDescent="0.8">
      <c r="A113" s="718">
        <f>IF(+All!$F776="Mississippi",+All!A776,IF(+All!$H776="Mississippi",+All!A776,0))</f>
        <v>12</v>
      </c>
      <c r="B113" s="698" t="str">
        <f>IF(+All!$F776="Mississippi",+All!B776,IF(+All!$H776="Mississippi",+All!B776,0))</f>
        <v>Sat</v>
      </c>
      <c r="C113" s="699">
        <f>IF(+All!$F776="Mississippi",+All!C776,IF(+All!$H776="Mississippi",+All!C776,0))</f>
        <v>44884</v>
      </c>
      <c r="D113" s="700">
        <f>IF(+All!$F776="Mississippi",+All!D776,IF(+All!$H776="Mississippi",+All!D776,0))</f>
        <v>0.8125</v>
      </c>
      <c r="E113" s="701" t="str">
        <f>IF(+All!$F776="Mississippi",+All!E776,IF(+All!$H776="Mississippi",+All!E776,0))</f>
        <v>SEC</v>
      </c>
      <c r="F113" s="702" t="str">
        <f>IF(+All!$F776="Mississippi",+All!F776,IF(+All!$H776="Mississippi",+All!F776,0))</f>
        <v>Mississippi</v>
      </c>
      <c r="G113" s="703" t="str">
        <f>IF(+All!$F776="Mississippi",+All!G776,IF(+All!$H776="Mississippi",+All!G776,0))</f>
        <v>SEC</v>
      </c>
      <c r="H113" s="702" t="str">
        <f>IF(+All!$F776="Mississippi",+All!H776,IF(+All!$H776="Mississippi",+All!H776,0))</f>
        <v>Arkansas</v>
      </c>
      <c r="I113" s="703" t="str">
        <f>IF(+All!$F776="Mississippi",+All!I776,IF(+All!$H776="Mississippi",+All!I776,0))</f>
        <v>SEC</v>
      </c>
      <c r="J113" s="704" t="str">
        <f>IF(+All!$F776="Mississippi",+All!J776,IF(+All!$H776="Mississippi",+All!J776,0))</f>
        <v>Mississippi</v>
      </c>
      <c r="K113" s="701" t="str">
        <f>IF(+All!$F776="Mississippi",+All!K776,IF(+All!$H776="Mississippi",+All!K776,0))</f>
        <v>Arkansas</v>
      </c>
      <c r="L113" s="705">
        <f>IF(+All!$F776="Mississippi",+All!L776,IF(+All!$H776="Mississippi",+All!L776,0))</f>
        <v>2.5</v>
      </c>
      <c r="M113" s="706">
        <f>IF(+All!$F776="Mississippi",+All!M776,IF(+All!$H776="Mississippi",+All!M776,0))</f>
        <v>61</v>
      </c>
      <c r="N113" s="704" t="str">
        <f>IF(+All!$F776="Mississippi",+All!N776,IF(+All!$H776="Mississippi",+All!N776,0))</f>
        <v>Arkansas</v>
      </c>
      <c r="O113" s="707">
        <f>IF(+All!$F776="Mississippi",+All!O776,IF(+All!$H776="Mississippi",+All!O776,0))</f>
        <v>42</v>
      </c>
      <c r="P113" s="707" t="str">
        <f>IF(+All!$F776="Mississippi",+All!P776,IF(+All!$H776="Mississippi",+All!P776,0))</f>
        <v>Mississippi</v>
      </c>
      <c r="Q113" s="701">
        <f>IF(+All!$F776="Mississippi",+All!Q776,IF(+All!$H776="Mississippi",+All!Q776,0))</f>
        <v>27</v>
      </c>
      <c r="R113" s="704" t="str">
        <f>IF(+All!$F776="Mississippi",+All!R776,IF(+All!$H776="Mississippi",+All!R776,0))</f>
        <v>Arkansas</v>
      </c>
      <c r="S113" s="707" t="str">
        <f>IF(+All!$F776="Mississippi",+All!S776,IF(+All!$H776="Mississippi",+All!S776,0))</f>
        <v>Mississippi</v>
      </c>
      <c r="T113" s="704" t="str">
        <f>IF(+All!$F776="Mississippi",+All!T776,IF(+All!$H776="Mississippi",+All!T776,0))</f>
        <v>Arkansas</v>
      </c>
      <c r="U113" s="701" t="str">
        <f>IF(+All!$F776="Mississippi",+All!U776,IF(+All!$H776="Mississippi",+All!U776,0))</f>
        <v>W</v>
      </c>
    </row>
    <row r="114" spans="1:21" x14ac:dyDescent="0.8">
      <c r="A114" s="718">
        <f>IF(+All!$F785="Mississippi",+All!A785,IF(+All!$H785="Mississippi",+All!A785,0))</f>
        <v>13</v>
      </c>
      <c r="B114" s="698" t="str">
        <f>IF(+All!$F785="Mississippi",+All!B785,IF(+All!$H785="Mississippi",+All!B785,0))</f>
        <v>Thurs</v>
      </c>
      <c r="C114" s="699">
        <f>IF(+All!$F785="Mississippi",+All!C785,IF(+All!$H785="Mississippi",+All!C785,0))</f>
        <v>44889</v>
      </c>
      <c r="D114" s="700">
        <f>IF(+All!$F785="Mississippi",+All!D785,IF(+All!$H785="Mississippi",+All!D785,0))</f>
        <v>0.79166666666666663</v>
      </c>
      <c r="E114" s="701" t="str">
        <f>IF(+All!$F785="Mississippi",+All!E785,IF(+All!$H785="Mississippi",+All!E785,0))</f>
        <v>ESPN</v>
      </c>
      <c r="F114" s="702" t="str">
        <f>IF(+All!$F785="Mississippi",+All!F785,IF(+All!$H785="Mississippi",+All!F785,0))</f>
        <v>Mississippi State</v>
      </c>
      <c r="G114" s="703" t="str">
        <f>IF(+All!$F785="Mississippi",+All!G785,IF(+All!$H785="Mississippi",+All!G785,0))</f>
        <v>SEC</v>
      </c>
      <c r="H114" s="702" t="str">
        <f>IF(+All!$F785="Mississippi",+All!H785,IF(+All!$H785="Mississippi",+All!H785,0))</f>
        <v>Mississippi</v>
      </c>
      <c r="I114" s="703" t="str">
        <f>IF(+All!$F785="Mississippi",+All!I785,IF(+All!$H785="Mississippi",+All!I785,0))</f>
        <v>SEC</v>
      </c>
      <c r="J114" s="704" t="str">
        <f>IF(+All!$F785="Mississippi",+All!J785,IF(+All!$H785="Mississippi",+All!J785,0))</f>
        <v>Mississippi</v>
      </c>
      <c r="K114" s="701" t="str">
        <f>IF(+All!$F785="Mississippi",+All!K785,IF(+All!$H785="Mississippi",+All!K785,0))</f>
        <v>Mississippi State</v>
      </c>
      <c r="L114" s="705">
        <f>IF(+All!$F785="Mississippi",+All!L785,IF(+All!$H785="Mississippi",+All!L785,0))</f>
        <v>2.5</v>
      </c>
      <c r="M114" s="706">
        <f>IF(+All!$F785="Mississippi",+All!M785,IF(+All!$H785="Mississippi",+All!M785,0))</f>
        <v>64.5</v>
      </c>
      <c r="N114" s="704" t="str">
        <f>IF(+All!$F785="Mississippi",+All!N785,IF(+All!$H785="Mississippi",+All!N785,0))</f>
        <v>Mississippi State</v>
      </c>
      <c r="O114" s="707">
        <f>IF(+All!$F785="Mississippi",+All!O785,IF(+All!$H785="Mississippi",+All!O785,0))</f>
        <v>24</v>
      </c>
      <c r="P114" s="707" t="str">
        <f>IF(+All!$F785="Mississippi",+All!P785,IF(+All!$H785="Mississippi",+All!P785,0))</f>
        <v>Mississippi</v>
      </c>
      <c r="Q114" s="701">
        <f>IF(+All!$F785="Mississippi",+All!Q785,IF(+All!$H785="Mississippi",+All!Q785,0))</f>
        <v>22</v>
      </c>
      <c r="R114" s="704" t="str">
        <f>IF(+All!$F785="Mississippi",+All!R785,IF(+All!$H785="Mississippi",+All!R785,0))</f>
        <v>Mississippi State</v>
      </c>
      <c r="S114" s="707" t="str">
        <f>IF(+All!$F785="Mississippi",+All!S785,IF(+All!$H785="Mississippi",+All!S785,0))</f>
        <v>Mississippi</v>
      </c>
      <c r="T114" s="704" t="str">
        <f>IF(+All!$F785="Mississippi",+All!T785,IF(+All!$H785="Mississippi",+All!T785,0))</f>
        <v>Mississippi State</v>
      </c>
      <c r="U114" s="701" t="str">
        <f>IF(+All!$F785="Mississippi",+All!U785,IF(+All!$H785="Mississippi",+All!U785,0))</f>
        <v>W</v>
      </c>
    </row>
    <row r="115" spans="1:21" x14ac:dyDescent="0.8">
      <c r="B115" s="697"/>
      <c r="C115" s="708"/>
      <c r="D115" s="700"/>
      <c r="F115" s="916" t="str">
        <f>H117</f>
        <v>Mississippi State</v>
      </c>
      <c r="G115" s="917"/>
      <c r="H115" s="917"/>
      <c r="I115" s="918"/>
      <c r="L115" s="705"/>
      <c r="M115" s="706"/>
    </row>
    <row r="116" spans="1:21" ht="16.399999999999999" customHeight="1" x14ac:dyDescent="0.8">
      <c r="A116" s="718">
        <f>IF(+All!$F86="Mississippi State",+All!A86,IF(+All!$H86="Mississippi State",+All!A86,0))</f>
        <v>1</v>
      </c>
      <c r="B116" s="698" t="str">
        <f>IF(+All!$F86="Mississippi State",+All!B86,IF(+All!$H86="Mississippi State",+All!B86,0))</f>
        <v>Sat</v>
      </c>
      <c r="C116" s="699">
        <f>IF(+All!$F86="Mississippi State",+All!C86,IF(+All!$H86="Mississippi State",+All!C86,0))</f>
        <v>44807</v>
      </c>
      <c r="D116" s="700">
        <f>IF(+All!$F86="Mississippi State",+All!D86,IF(+All!$H86="Mississippi State",+All!D86,0))</f>
        <v>0.8125</v>
      </c>
      <c r="E116" s="701" t="str">
        <f>IF(+All!$F86="Mississippi State",+All!E86,IF(+All!$H86="Mississippi State",+All!E86,0))</f>
        <v>ESPNU</v>
      </c>
      <c r="F116" s="702" t="str">
        <f>IF(+All!$F86="Mississippi State",+All!F86,IF(+All!$H86="Mississippi State",+All!F86,0))</f>
        <v>Memphis</v>
      </c>
      <c r="G116" s="703" t="str">
        <f>IF(+All!$F86="Mississippi State",+All!G86,IF(+All!$H86="Mississippi State",+All!G86,0))</f>
        <v>AAC</v>
      </c>
      <c r="H116" s="702" t="str">
        <f>IF(+All!$F86="Mississippi State",+All!H86,IF(+All!$H86="Mississippi State",+All!H86,0))</f>
        <v>Mississippi State</v>
      </c>
      <c r="I116" s="703" t="str">
        <f>IF(+All!$F86="Mississippi State",+All!I86,IF(+All!$H86="Mississippi State",+All!I86,0))</f>
        <v>SEC</v>
      </c>
      <c r="J116" s="704" t="str">
        <f>IF(+All!$F86="Mississippi State",+All!J86,IF(+All!$H86="Mississippi State",+All!J86,0))</f>
        <v>Mississippi State</v>
      </c>
      <c r="K116" s="701" t="str">
        <f>IF(+All!$F86="Mississippi State",+All!K86,IF(+All!$H86="Mississippi State",+All!K86,0))</f>
        <v>Memphis</v>
      </c>
      <c r="L116" s="705">
        <f>IF(+All!$F86="Mississippi State",+All!L86,IF(+All!$H86="Mississippi State",+All!L86,0))</f>
        <v>16</v>
      </c>
      <c r="M116" s="706">
        <f>IF(+All!$F86="Mississippi State",+All!M86,IF(+All!$H86="Mississippi State",+All!M86,0))</f>
        <v>56</v>
      </c>
      <c r="N116" s="704" t="str">
        <f>IF(+All!$F86="Mississippi State",+All!N86,IF(+All!$H86="Mississippi State",+All!N86,0))</f>
        <v>Mississippi State</v>
      </c>
      <c r="O116" s="707">
        <f>IF(+All!$F86="Mississippi State",+All!O86,IF(+All!$H86="Mississippi State",+All!O86,0))</f>
        <v>49</v>
      </c>
      <c r="P116" s="707" t="str">
        <f>IF(+All!$F86="Mississippi State",+All!P86,IF(+All!$H86="Mississippi State",+All!P86,0))</f>
        <v>Memphis</v>
      </c>
      <c r="Q116" s="701">
        <f>IF(+All!$F86="Mississippi State",+All!Q86,IF(+All!$H86="Mississippi State",+All!Q86,0))</f>
        <v>23</v>
      </c>
      <c r="R116" s="704" t="str">
        <f>IF(+All!$F86="Mississippi State",+All!R86,IF(+All!$H86="Mississippi State",+All!R86,0))</f>
        <v>Mississippi State</v>
      </c>
      <c r="S116" s="707" t="str">
        <f>IF(+All!$F86="Mississippi State",+All!S86,IF(+All!$H86="Mississippi State",+All!S86,0))</f>
        <v>Memphis</v>
      </c>
      <c r="T116" s="704" t="str">
        <f>IF(+All!$F86="Mississippi State",+All!T86,IF(+All!$H86="Mississippi State",+All!T86,0))</f>
        <v>Mississippi State</v>
      </c>
      <c r="U116" s="701" t="str">
        <f>IF(+All!$F86="Mississippi State",+All!U86,IF(+All!$H86="Mississippi State",+All!U86,0))</f>
        <v>W</v>
      </c>
    </row>
    <row r="117" spans="1:21" x14ac:dyDescent="0.8">
      <c r="A117" s="718">
        <f>IF(+All!$F177="Mississippi State",+All!A177,IF(+All!$H177="Mississippi State",+All!A177,0))</f>
        <v>2</v>
      </c>
      <c r="B117" s="698" t="str">
        <f>IF(+All!$F177="Mississippi State",+All!B177,IF(+All!$H177="Mississippi State",+All!B177,0))</f>
        <v>Sat</v>
      </c>
      <c r="C117" s="699">
        <f>IF(+All!$F177="Mississippi State",+All!C177,IF(+All!$H177="Mississippi State",+All!C177,0))</f>
        <v>44814</v>
      </c>
      <c r="D117" s="700">
        <f>IF(+All!$F177="Mississippi State",+All!D177,IF(+All!$H177="Mississippi State",+All!D177,0))</f>
        <v>0.95833333333333337</v>
      </c>
      <c r="E117" s="701" t="str">
        <f>IF(+All!$F177="Mississippi State",+All!E177,IF(+All!$H177="Mississippi State",+All!E177,0))</f>
        <v>FS1</v>
      </c>
      <c r="F117" s="702" t="str">
        <f>IF(+All!$F177="Mississippi State",+All!F177,IF(+All!$H177="Mississippi State",+All!F177,0))</f>
        <v>Arizona</v>
      </c>
      <c r="G117" s="703" t="str">
        <f>IF(+All!$F177="Mississippi State",+All!G177,IF(+All!$H177="Mississippi State",+All!G177,0))</f>
        <v>P12</v>
      </c>
      <c r="H117" s="702" t="str">
        <f>IF(+All!$F177="Mississippi State",+All!H177,IF(+All!$H177="Mississippi State",+All!H177,0))</f>
        <v>Mississippi State</v>
      </c>
      <c r="I117" s="703" t="str">
        <f>IF(+All!$F177="Mississippi State",+All!I177,IF(+All!$H177="Mississippi State",+All!I177,0))</f>
        <v>SEC</v>
      </c>
      <c r="J117" s="704" t="str">
        <f>IF(+All!$F177="Mississippi State",+All!J177,IF(+All!$H177="Mississippi State",+All!J177,0))</f>
        <v>Mississippi State</v>
      </c>
      <c r="K117" s="701" t="str">
        <f>IF(+All!$F177="Mississippi State",+All!K177,IF(+All!$H177="Mississippi State",+All!K177,0))</f>
        <v>Arizona</v>
      </c>
      <c r="L117" s="705">
        <f>IF(+All!$F177="Mississippi State",+All!L177,IF(+All!$H177="Mississippi State",+All!L177,0))</f>
        <v>11</v>
      </c>
      <c r="M117" s="706">
        <f>IF(+All!$F177="Mississippi State",+All!M177,IF(+All!$H177="Mississippi State",+All!M177,0))</f>
        <v>59.5</v>
      </c>
      <c r="N117" s="704" t="str">
        <f>IF(+All!$F177="Mississippi State",+All!N177,IF(+All!$H177="Mississippi State",+All!N177,0))</f>
        <v>Mississippi State</v>
      </c>
      <c r="O117" s="707">
        <f>IF(+All!$F177="Mississippi State",+All!O177,IF(+All!$H177="Mississippi State",+All!O177,0))</f>
        <v>39</v>
      </c>
      <c r="P117" s="707" t="str">
        <f>IF(+All!$F177="Mississippi State",+All!P177,IF(+All!$H177="Mississippi State",+All!P177,0))</f>
        <v>Arizona</v>
      </c>
      <c r="Q117" s="701">
        <f>IF(+All!$F177="Mississippi State",+All!Q177,IF(+All!$H177="Mississippi State",+All!Q177,0))</f>
        <v>17</v>
      </c>
      <c r="R117" s="704" t="str">
        <f>IF(+All!$F177="Mississippi State",+All!R177,IF(+All!$H177="Mississippi State",+All!R177,0))</f>
        <v>Mississippi State</v>
      </c>
      <c r="S117" s="707" t="str">
        <f>IF(+All!$F177="Mississippi State",+All!S177,IF(+All!$H177="Mississippi State",+All!S177,0))</f>
        <v>Arizona</v>
      </c>
      <c r="T117" s="704" t="str">
        <f>IF(+All!$F177="Mississippi State",+All!T177,IF(+All!$H177="Mississippi State",+All!T177,0))</f>
        <v>Arizona</v>
      </c>
      <c r="U117" s="701" t="str">
        <f>IF(+All!$F177="Mississippi State",+All!U177,IF(+All!$H177="Mississippi State",+All!U177,0))</f>
        <v>L</v>
      </c>
    </row>
    <row r="118" spans="1:21" x14ac:dyDescent="0.8">
      <c r="A118" s="718">
        <f>IF(+All!$F247="Mississippi State",+All!A247,IF(+All!$H247="Mississippi State",+All!A247,0))</f>
        <v>3</v>
      </c>
      <c r="B118" s="698" t="str">
        <f>IF(+All!$F247="Mississippi State",+All!B247,IF(+All!$H247="Mississippi State",+All!B247,0))</f>
        <v>Sat</v>
      </c>
      <c r="C118" s="699">
        <f>IF(+All!$F247="Mississippi State",+All!C247,IF(+All!$H247="Mississippi State",+All!C247,0))</f>
        <v>44821</v>
      </c>
      <c r="D118" s="700">
        <f>IF(+All!$F247="Mississippi State",+All!D247,IF(+All!$H247="Mississippi State",+All!D247,0))</f>
        <v>0.75</v>
      </c>
      <c r="E118" s="701" t="str">
        <f>IF(+All!$F247="Mississippi State",+All!E247,IF(+All!$H247="Mississippi State",+All!E247,0))</f>
        <v>ESPN</v>
      </c>
      <c r="F118" s="702" t="str">
        <f>IF(+All!$F247="Mississippi State",+All!F247,IF(+All!$H247="Mississippi State",+All!F247,0))</f>
        <v>Mississippi State</v>
      </c>
      <c r="G118" s="703" t="str">
        <f>IF(+All!$F247="Mississippi State",+All!G247,IF(+All!$H247="Mississippi State",+All!G247,0))</f>
        <v>SEC</v>
      </c>
      <c r="H118" s="702" t="str">
        <f>IF(+All!$F247="Mississippi State",+All!H247,IF(+All!$H247="Mississippi State",+All!H247,0))</f>
        <v>LSU</v>
      </c>
      <c r="I118" s="703" t="str">
        <f>IF(+All!$F247="Mississippi State",+All!I247,IF(+All!$H247="Mississippi State",+All!I247,0))</f>
        <v>SEC</v>
      </c>
      <c r="J118" s="704" t="str">
        <f>IF(+All!$F247="Mississippi State",+All!J247,IF(+All!$H247="Mississippi State",+All!J247,0))</f>
        <v>Mississippi State</v>
      </c>
      <c r="K118" s="701" t="str">
        <f>IF(+All!$F247="Mississippi State",+All!K247,IF(+All!$H247="Mississippi State",+All!K247,0))</f>
        <v>LSU</v>
      </c>
      <c r="L118" s="705">
        <f>IF(+All!$F247="Mississippi State",+All!L247,IF(+All!$H247="Mississippi State",+All!L247,0))</f>
        <v>2.5</v>
      </c>
      <c r="M118" s="706">
        <f>IF(+All!$F247="Mississippi State",+All!M247,IF(+All!$H247="Mississippi State",+All!M247,0))</f>
        <v>53</v>
      </c>
      <c r="N118" s="704" t="str">
        <f>IF(+All!$F247="Mississippi State",+All!N247,IF(+All!$H247="Mississippi State",+All!N247,0))</f>
        <v>LSU</v>
      </c>
      <c r="O118" s="707">
        <f>IF(+All!$F247="Mississippi State",+All!O247,IF(+All!$H247="Mississippi State",+All!O247,0))</f>
        <v>31</v>
      </c>
      <c r="P118" s="707" t="str">
        <f>IF(+All!$F247="Mississippi State",+All!P247,IF(+All!$H247="Mississippi State",+All!P247,0))</f>
        <v>Mississippi State</v>
      </c>
      <c r="Q118" s="701">
        <f>IF(+All!$F247="Mississippi State",+All!Q247,IF(+All!$H247="Mississippi State",+All!Q247,0))</f>
        <v>16</v>
      </c>
      <c r="R118" s="704" t="str">
        <f>IF(+All!$F247="Mississippi State",+All!R247,IF(+All!$H247="Mississippi State",+All!R247,0))</f>
        <v>LSU</v>
      </c>
      <c r="S118" s="707" t="str">
        <f>IF(+All!$F247="Mississippi State",+All!S247,IF(+All!$H247="Mississippi State",+All!S247,0))</f>
        <v>Mississippi State</v>
      </c>
      <c r="T118" s="704" t="str">
        <f>IF(+All!$F247="Mississippi State",+All!T247,IF(+All!$H247="Mississippi State",+All!T247,0))</f>
        <v>LSU</v>
      </c>
      <c r="U118" s="701" t="str">
        <f>IF(+All!$F247="Mississippi State",+All!U247,IF(+All!$H247="Mississippi State",+All!U247,0))</f>
        <v>W</v>
      </c>
    </row>
    <row r="119" spans="1:21" x14ac:dyDescent="0.8">
      <c r="A119" s="718">
        <f>IF(+All!$F315="Mississippi State",+All!A315,IF(+All!$H315="Mississippi State",+All!A315,0))</f>
        <v>4</v>
      </c>
      <c r="B119" s="698" t="str">
        <f>IF(+All!$F315="Mississippi State",+All!B315,IF(+All!$H315="Mississippi State",+All!B315,0))</f>
        <v>Sat</v>
      </c>
      <c r="C119" s="699">
        <f>IF(+All!$F315="Mississippi State",+All!C315,IF(+All!$H315="Mississippi State",+All!C315,0))</f>
        <v>44828</v>
      </c>
      <c r="D119" s="700">
        <f>IF(+All!$F315="Mississippi State",+All!D315,IF(+All!$H315="Mississippi State",+All!D315,0))</f>
        <v>0.5</v>
      </c>
      <c r="E119" s="701" t="str">
        <f>IF(+All!$F315="Mississippi State",+All!E315,IF(+All!$H315="Mississippi State",+All!E315,0))</f>
        <v>SEC</v>
      </c>
      <c r="F119" s="702" t="str">
        <f>IF(+All!$F315="Mississippi State",+All!F315,IF(+All!$H315="Mississippi State",+All!F315,0))</f>
        <v>Bowling Green</v>
      </c>
      <c r="G119" s="703" t="str">
        <f>IF(+All!$F315="Mississippi State",+All!G315,IF(+All!$H315="Mississippi State",+All!G315,0))</f>
        <v>MAC</v>
      </c>
      <c r="H119" s="702" t="str">
        <f>IF(+All!$F315="Mississippi State",+All!H315,IF(+All!$H315="Mississippi State",+All!H315,0))</f>
        <v>Mississippi State</v>
      </c>
      <c r="I119" s="703" t="str">
        <f>IF(+All!$F315="Mississippi State",+All!I315,IF(+All!$H315="Mississippi State",+All!I315,0))</f>
        <v>SEC</v>
      </c>
      <c r="J119" s="704" t="str">
        <f>IF(+All!$F315="Mississippi State",+All!J315,IF(+All!$H315="Mississippi State",+All!J315,0))</f>
        <v>Mississippi State</v>
      </c>
      <c r="K119" s="701" t="str">
        <f>IF(+All!$F315="Mississippi State",+All!K315,IF(+All!$H315="Mississippi State",+All!K315,0))</f>
        <v>Bowling Green</v>
      </c>
      <c r="L119" s="705">
        <f>IF(+All!$F315="Mississippi State",+All!L315,IF(+All!$H315="Mississippi State",+All!L315,0))</f>
        <v>30</v>
      </c>
      <c r="M119" s="706">
        <f>IF(+All!$F315="Mississippi State",+All!M315,IF(+All!$H315="Mississippi State",+All!M315,0))</f>
        <v>52</v>
      </c>
      <c r="N119" s="704" t="str">
        <f>IF(+All!$F315="Mississippi State",+All!N315,IF(+All!$H315="Mississippi State",+All!N315,0))</f>
        <v>Mississippi State</v>
      </c>
      <c r="O119" s="707">
        <f>IF(+All!$F315="Mississippi State",+All!O315,IF(+All!$H315="Mississippi State",+All!O315,0))</f>
        <v>45</v>
      </c>
      <c r="P119" s="707" t="str">
        <f>IF(+All!$F315="Mississippi State",+All!P315,IF(+All!$H315="Mississippi State",+All!P315,0))</f>
        <v>Bowling Green</v>
      </c>
      <c r="Q119" s="701">
        <f>IF(+All!$F315="Mississippi State",+All!Q315,IF(+All!$H315="Mississippi State",+All!Q315,0))</f>
        <v>14</v>
      </c>
      <c r="R119" s="704" t="str">
        <f>IF(+All!$F315="Mississippi State",+All!R315,IF(+All!$H315="Mississippi State",+All!R315,0))</f>
        <v>Mississippi State</v>
      </c>
      <c r="S119" s="707" t="str">
        <f>IF(+All!$F315="Mississippi State",+All!S315,IF(+All!$H315="Mississippi State",+All!S315,0))</f>
        <v>Bowling Green</v>
      </c>
      <c r="T119" s="704" t="str">
        <f>IF(+All!$F315="Mississippi State",+All!T315,IF(+All!$H315="Mississippi State",+All!T315,0))</f>
        <v>Mississippi State</v>
      </c>
      <c r="U119" s="701" t="str">
        <f>IF(+All!$F315="Mississippi State",+All!U315,IF(+All!$H315="Mississippi State",+All!U315,0))</f>
        <v>W</v>
      </c>
    </row>
    <row r="120" spans="1:21" x14ac:dyDescent="0.8">
      <c r="A120" s="718">
        <f>IF(+All!$F379="Mississippi State",+All!A379,IF(+All!$H379="Mississippi State",+All!A379,0))</f>
        <v>5</v>
      </c>
      <c r="B120" s="698" t="str">
        <f>IF(+All!$F379="Mississippi State",+All!B379,IF(+All!$H379="Mississippi State",+All!B379,0))</f>
        <v>Sat</v>
      </c>
      <c r="C120" s="699">
        <f>IF(+All!$F379="Mississippi State",+All!C379,IF(+All!$H379="Mississippi State",+All!C379,0))</f>
        <v>44835</v>
      </c>
      <c r="D120" s="700">
        <f>IF(+All!$F379="Mississippi State",+All!D379,IF(+All!$H379="Mississippi State",+All!D379,0))</f>
        <v>0.66666666666666663</v>
      </c>
      <c r="E120" s="701" t="str">
        <f>IF(+All!$F379="Mississippi State",+All!E379,IF(+All!$H379="Mississippi State",+All!E379,0))</f>
        <v>SEC</v>
      </c>
      <c r="F120" s="702" t="str">
        <f>IF(+All!$F379="Mississippi State",+All!F379,IF(+All!$H379="Mississippi State",+All!F379,0))</f>
        <v>Texas A&amp;M</v>
      </c>
      <c r="G120" s="703" t="str">
        <f>IF(+All!$F379="Mississippi State",+All!G379,IF(+All!$H379="Mississippi State",+All!G379,0))</f>
        <v>SEC</v>
      </c>
      <c r="H120" s="702" t="str">
        <f>IF(+All!$F379="Mississippi State",+All!H379,IF(+All!$H379="Mississippi State",+All!H379,0))</f>
        <v>Mississippi State</v>
      </c>
      <c r="I120" s="703" t="str">
        <f>IF(+All!$F379="Mississippi State",+All!I379,IF(+All!$H379="Mississippi State",+All!I379,0))</f>
        <v>SEC</v>
      </c>
      <c r="J120" s="704" t="str">
        <f>IF(+All!$F379="Mississippi State",+All!J379,IF(+All!$H379="Mississippi State",+All!J379,0))</f>
        <v>Mississippi State</v>
      </c>
      <c r="K120" s="701" t="str">
        <f>IF(+All!$F379="Mississippi State",+All!K379,IF(+All!$H379="Mississippi State",+All!K379,0))</f>
        <v>Texas A&amp;M</v>
      </c>
      <c r="L120" s="705">
        <f>IF(+All!$F379="Mississippi State",+All!L379,IF(+All!$H379="Mississippi State",+All!L379,0))</f>
        <v>3.5</v>
      </c>
      <c r="M120" s="706">
        <f>IF(+All!$F379="Mississippi State",+All!M379,IF(+All!$H379="Mississippi State",+All!M379,0))</f>
        <v>45</v>
      </c>
      <c r="N120" s="704" t="str">
        <f>IF(+All!$F379="Mississippi State",+All!N379,IF(+All!$H379="Mississippi State",+All!N379,0))</f>
        <v>Mississippi State</v>
      </c>
      <c r="O120" s="707">
        <f>IF(+All!$F379="Mississippi State",+All!O379,IF(+All!$H379="Mississippi State",+All!O379,0))</f>
        <v>42</v>
      </c>
      <c r="P120" s="707" t="str">
        <f>IF(+All!$F379="Mississippi State",+All!P379,IF(+All!$H379="Mississippi State",+All!P379,0))</f>
        <v>Texas A&amp;M</v>
      </c>
      <c r="Q120" s="701">
        <f>IF(+All!$F379="Mississippi State",+All!Q379,IF(+All!$H379="Mississippi State",+All!Q379,0))</f>
        <v>24</v>
      </c>
      <c r="R120" s="704" t="str">
        <f>IF(+All!$F379="Mississippi State",+All!R379,IF(+All!$H379="Mississippi State",+All!R379,0))</f>
        <v>Mississippi State</v>
      </c>
      <c r="S120" s="707" t="str">
        <f>IF(+All!$F379="Mississippi State",+All!S379,IF(+All!$H379="Mississippi State",+All!S379,0))</f>
        <v>Texas A&amp;M</v>
      </c>
      <c r="T120" s="704" t="str">
        <f>IF(+All!$F379="Mississippi State",+All!T379,IF(+All!$H379="Mississippi State",+All!T379,0))</f>
        <v>Texas A&amp;M</v>
      </c>
      <c r="U120" s="701" t="str">
        <f>IF(+All!$F379="Mississippi State",+All!U379,IF(+All!$H379="Mississippi State",+All!U379,0))</f>
        <v>L</v>
      </c>
    </row>
    <row r="121" spans="1:21" x14ac:dyDescent="0.8">
      <c r="A121" s="718">
        <f>IF(+All!$F436="Mississippi State",+All!A436,IF(+All!$H436="Mississippi State",+All!A436,0))</f>
        <v>6</v>
      </c>
      <c r="B121" s="698" t="str">
        <f>IF(+All!$F436="Mississippi State",+All!B436,IF(+All!$H436="Mississippi State",+All!B436,0))</f>
        <v>Sat</v>
      </c>
      <c r="C121" s="699">
        <f>IF(+All!$F436="Mississippi State",+All!C436,IF(+All!$H436="Mississippi State",+All!C436,0))</f>
        <v>44842</v>
      </c>
      <c r="D121" s="700">
        <f>IF(+All!$F436="Mississippi State",+All!D436,IF(+All!$H436="Mississippi State",+All!D436,0))</f>
        <v>0.5</v>
      </c>
      <c r="E121" s="701" t="str">
        <f>IF(+All!$F436="Mississippi State",+All!E436,IF(+All!$H436="Mississippi State",+All!E436,0))</f>
        <v>SEC</v>
      </c>
      <c r="F121" s="702" t="str">
        <f>IF(+All!$F436="Mississippi State",+All!F436,IF(+All!$H436="Mississippi State",+All!F436,0))</f>
        <v>Arkansas</v>
      </c>
      <c r="G121" s="703" t="str">
        <f>IF(+All!$F436="Mississippi State",+All!G436,IF(+All!$H436="Mississippi State",+All!G436,0))</f>
        <v>SEC</v>
      </c>
      <c r="H121" s="702" t="str">
        <f>IF(+All!$F436="Mississippi State",+All!H436,IF(+All!$H436="Mississippi State",+All!H436,0))</f>
        <v>Mississippi State</v>
      </c>
      <c r="I121" s="703" t="str">
        <f>IF(+All!$F436="Mississippi State",+All!I436,IF(+All!$H436="Mississippi State",+All!I436,0))</f>
        <v>SEC</v>
      </c>
      <c r="J121" s="704" t="str">
        <f>IF(+All!$F436="Mississippi State",+All!J436,IF(+All!$H436="Mississippi State",+All!J436,0))</f>
        <v>Mississippi State</v>
      </c>
      <c r="K121" s="701" t="str">
        <f>IF(+All!$F436="Mississippi State",+All!K436,IF(+All!$H436="Mississippi State",+All!K436,0))</f>
        <v>Arkansas</v>
      </c>
      <c r="L121" s="705">
        <f>IF(+All!$F436="Mississippi State",+All!L436,IF(+All!$H436="Mississippi State",+All!L436,0))</f>
        <v>8.5</v>
      </c>
      <c r="M121" s="706">
        <f>IF(+All!$F436="Mississippi State",+All!M436,IF(+All!$H436="Mississippi State",+All!M436,0))</f>
        <v>60</v>
      </c>
      <c r="N121" s="704" t="str">
        <f>IF(+All!$F436="Mississippi State",+All!N436,IF(+All!$H436="Mississippi State",+All!N436,0))</f>
        <v>Mississippi State</v>
      </c>
      <c r="O121" s="707">
        <f>IF(+All!$F436="Mississippi State",+All!O436,IF(+All!$H436="Mississippi State",+All!O436,0))</f>
        <v>40</v>
      </c>
      <c r="P121" s="707" t="str">
        <f>IF(+All!$F436="Mississippi State",+All!P436,IF(+All!$H436="Mississippi State",+All!P436,0))</f>
        <v>Arkansas</v>
      </c>
      <c r="Q121" s="701">
        <f>IF(+All!$F436="Mississippi State",+All!Q436,IF(+All!$H436="Mississippi State",+All!Q436,0))</f>
        <v>17</v>
      </c>
      <c r="R121" s="704" t="str">
        <f>IF(+All!$F436="Mississippi State",+All!R436,IF(+All!$H436="Mississippi State",+All!R436,0))</f>
        <v>Mississippi State</v>
      </c>
      <c r="S121" s="707" t="str">
        <f>IF(+All!$F436="Mississippi State",+All!S436,IF(+All!$H436="Mississippi State",+All!S436,0))</f>
        <v>Arkansas</v>
      </c>
      <c r="T121" s="704" t="str">
        <f>IF(+All!$F436="Mississippi State",+All!T436,IF(+All!$H436="Mississippi State",+All!T436,0))</f>
        <v>Arkansas</v>
      </c>
      <c r="U121" s="701" t="str">
        <f>IF(+All!$F436="Mississippi State",+All!U436,IF(+All!$H436="Mississippi State",+All!U436,0))</f>
        <v>L</v>
      </c>
    </row>
    <row r="122" spans="1:21" x14ac:dyDescent="0.8">
      <c r="A122" s="718">
        <f>IF(+All!$F488="Mississippi State",+All!A488,IF(+All!$H488="Mississippi State",+All!A488,0))</f>
        <v>7</v>
      </c>
      <c r="B122" s="698" t="str">
        <f>IF(+All!$F488="Mississippi State",+All!B488,IF(+All!$H488="Mississippi State",+All!B488,0))</f>
        <v>Sat</v>
      </c>
      <c r="C122" s="699">
        <f>IF(+All!$F488="Mississippi State",+All!C488,IF(+All!$H488="Mississippi State",+All!C488,0))</f>
        <v>44849</v>
      </c>
      <c r="D122" s="700">
        <f>IF(+All!$F488="Mississippi State",+All!D488,IF(+All!$H488="Mississippi State",+All!D488,0))</f>
        <v>0.8125</v>
      </c>
      <c r="E122" s="701" t="str">
        <f>IF(+All!$F488="Mississippi State",+All!E488,IF(+All!$H488="Mississippi State",+All!E488,0))</f>
        <v>SEC</v>
      </c>
      <c r="F122" s="702" t="str">
        <f>IF(+All!$F488="Mississippi State",+All!F488,IF(+All!$H488="Mississippi State",+All!F488,0))</f>
        <v>Mississippi State</v>
      </c>
      <c r="G122" s="703" t="str">
        <f>IF(+All!$F488="Mississippi State",+All!G488,IF(+All!$H488="Mississippi State",+All!G488,0))</f>
        <v>SEC</v>
      </c>
      <c r="H122" s="702" t="str">
        <f>IF(+All!$F488="Mississippi State",+All!H488,IF(+All!$H488="Mississippi State",+All!H488,0))</f>
        <v>Kentucky</v>
      </c>
      <c r="I122" s="703" t="str">
        <f>IF(+All!$F488="Mississippi State",+All!I488,IF(+All!$H488="Mississippi State",+All!I488,0))</f>
        <v>SEC</v>
      </c>
      <c r="J122" s="704" t="str">
        <f>IF(+All!$F488="Mississippi State",+All!J488,IF(+All!$H488="Mississippi State",+All!J488,0))</f>
        <v>Mississippi State</v>
      </c>
      <c r="K122" s="701" t="str">
        <f>IF(+All!$F488="Mississippi State",+All!K488,IF(+All!$H488="Mississippi State",+All!K488,0))</f>
        <v>Kentucky</v>
      </c>
      <c r="L122" s="705">
        <f>IF(+All!$F488="Mississippi State",+All!L488,IF(+All!$H488="Mississippi State",+All!L488,0))</f>
        <v>7</v>
      </c>
      <c r="M122" s="706">
        <f>IF(+All!$F488="Mississippi State",+All!M488,IF(+All!$H488="Mississippi State",+All!M488,0))</f>
        <v>56</v>
      </c>
      <c r="N122" s="704" t="str">
        <f>IF(+All!$F488="Mississippi State",+All!N488,IF(+All!$H488="Mississippi State",+All!N488,0))</f>
        <v>Kentucky</v>
      </c>
      <c r="O122" s="707">
        <f>IF(+All!$F488="Mississippi State",+All!O488,IF(+All!$H488="Mississippi State",+All!O488,0))</f>
        <v>27</v>
      </c>
      <c r="P122" s="707" t="str">
        <f>IF(+All!$F488="Mississippi State",+All!P488,IF(+All!$H488="Mississippi State",+All!P488,0))</f>
        <v>Mississippi State</v>
      </c>
      <c r="Q122" s="701">
        <f>IF(+All!$F488="Mississippi State",+All!Q488,IF(+All!$H488="Mississippi State",+All!Q488,0))</f>
        <v>17</v>
      </c>
      <c r="R122" s="704" t="str">
        <f>IF(+All!$F488="Mississippi State",+All!R488,IF(+All!$H488="Mississippi State",+All!R488,0))</f>
        <v>Kentucky</v>
      </c>
      <c r="S122" s="707" t="str">
        <f>IF(+All!$F488="Mississippi State",+All!S488,IF(+All!$H488="Mississippi State",+All!S488,0))</f>
        <v>Mississippi State</v>
      </c>
      <c r="T122" s="704" t="str">
        <f>IF(+All!$F488="Mississippi State",+All!T488,IF(+All!$H488="Mississippi State",+All!T488,0))</f>
        <v>Kentucky</v>
      </c>
      <c r="U122" s="701" t="str">
        <f>IF(+All!$F488="Mississippi State",+All!U488,IF(+All!$H488="Mississippi State",+All!U488,0))</f>
        <v>W</v>
      </c>
    </row>
    <row r="123" spans="1:21" x14ac:dyDescent="0.8">
      <c r="A123" s="718">
        <f>IF(+All!$F540="Mississippi State",+All!A540,IF(+All!$H540="Mississippi State",+All!A540,0))</f>
        <v>8</v>
      </c>
      <c r="B123" s="698" t="str">
        <f>IF(+All!$F540="Mississippi State",+All!B540,IF(+All!$H540="Mississippi State",+All!B540,0))</f>
        <v>Sat</v>
      </c>
      <c r="C123" s="699">
        <f>IF(+All!$F540="Mississippi State",+All!C540,IF(+All!$H540="Mississippi State",+All!C540,0))</f>
        <v>44856</v>
      </c>
      <c r="D123" s="700">
        <f>IF(+All!$F540="Mississippi State",+All!D540,IF(+All!$H540="Mississippi State",+All!D540,0))</f>
        <v>0.79166666666666663</v>
      </c>
      <c r="E123" s="701" t="str">
        <f>IF(+All!$F540="Mississippi State",+All!E540,IF(+All!$H540="Mississippi State",+All!E540,0))</f>
        <v>ESPN</v>
      </c>
      <c r="F123" s="702" t="str">
        <f>IF(+All!$F540="Mississippi State",+All!F540,IF(+All!$H540="Mississippi State",+All!F540,0))</f>
        <v>Mississippi State</v>
      </c>
      <c r="G123" s="703" t="str">
        <f>IF(+All!$F540="Mississippi State",+All!G540,IF(+All!$H540="Mississippi State",+All!G540,0))</f>
        <v>SEC</v>
      </c>
      <c r="H123" s="702" t="str">
        <f>IF(+All!$F540="Mississippi State",+All!H540,IF(+All!$H540="Mississippi State",+All!H540,0))</f>
        <v>Alabama</v>
      </c>
      <c r="I123" s="703" t="str">
        <f>IF(+All!$F540="Mississippi State",+All!I540,IF(+All!$H540="Mississippi State",+All!I540,0))</f>
        <v>SEC</v>
      </c>
      <c r="J123" s="704" t="str">
        <f>IF(+All!$F540="Mississippi State",+All!J540,IF(+All!$H540="Mississippi State",+All!J540,0))</f>
        <v>Alabama</v>
      </c>
      <c r="K123" s="701" t="str">
        <f>IF(+All!$F540="Mississippi State",+All!K540,IF(+All!$H540="Mississippi State",+All!K540,0))</f>
        <v>Mississippi State</v>
      </c>
      <c r="L123" s="705">
        <f>IF(+All!$F540="Mississippi State",+All!L540,IF(+All!$H540="Mississippi State",+All!L540,0))</f>
        <v>21</v>
      </c>
      <c r="M123" s="706">
        <f>IF(+All!$F540="Mississippi State",+All!M540,IF(+All!$H540="Mississippi State",+All!M540,0))</f>
        <v>60.5</v>
      </c>
      <c r="N123" s="704" t="str">
        <f>IF(+All!$F540="Mississippi State",+All!N540,IF(+All!$H540="Mississippi State",+All!N540,0))</f>
        <v>Alabama</v>
      </c>
      <c r="O123" s="707">
        <f>IF(+All!$F540="Mississippi State",+All!O540,IF(+All!$H540="Mississippi State",+All!O540,0))</f>
        <v>30</v>
      </c>
      <c r="P123" s="707" t="str">
        <f>IF(+All!$F540="Mississippi State",+All!P540,IF(+All!$H540="Mississippi State",+All!P540,0))</f>
        <v>Mississippi State</v>
      </c>
      <c r="Q123" s="701">
        <f>IF(+All!$F540="Mississippi State",+All!Q540,IF(+All!$H540="Mississippi State",+All!Q540,0))</f>
        <v>6</v>
      </c>
      <c r="R123" s="704" t="str">
        <f>IF(+All!$F540="Mississippi State",+All!R540,IF(+All!$H540="Mississippi State",+All!R540,0))</f>
        <v>Alabama</v>
      </c>
      <c r="S123" s="707" t="str">
        <f>IF(+All!$F540="Mississippi State",+All!S540,IF(+All!$H540="Mississippi State",+All!S540,0))</f>
        <v>Mississippi State</v>
      </c>
      <c r="T123" s="704" t="str">
        <f>IF(+All!$F540="Mississippi State",+All!T540,IF(+All!$H540="Mississippi State",+All!T540,0))</f>
        <v>Mississippi State</v>
      </c>
      <c r="U123" s="701" t="str">
        <f>IF(+All!$F540="Mississippi State",+All!U540,IF(+All!$H540="Mississippi State",+All!U540,0))</f>
        <v>L</v>
      </c>
    </row>
    <row r="124" spans="1:21" x14ac:dyDescent="0.8">
      <c r="A124" s="718" t="e">
        <f>IF(+All!#REF!="Mississippi State",+All!#REF!,IF(+All!#REF!="Mississippi State",+All!#REF!,0))</f>
        <v>#REF!</v>
      </c>
      <c r="B124" s="698" t="e">
        <f>IF(+All!#REF!="Mississippi State",+All!#REF!,IF(+All!#REF!="Mississippi State",+All!#REF!,0))</f>
        <v>#REF!</v>
      </c>
      <c r="C124" s="699" t="e">
        <f>IF(+All!#REF!="Mississippi State",+All!#REF!,IF(+All!#REF!="Mississippi State",+All!#REF!,0))</f>
        <v>#REF!</v>
      </c>
      <c r="D124" s="700" t="e">
        <f>IF(+All!#REF!="Mississippi State",+All!#REF!,IF(+All!#REF!="Mississippi State",+All!#REF!,0))</f>
        <v>#REF!</v>
      </c>
      <c r="E124" s="701" t="e">
        <f>IF(+All!#REF!="Mississippi State",+All!#REF!,IF(+All!#REF!="Mississippi State",+All!#REF!,0))</f>
        <v>#REF!</v>
      </c>
      <c r="F124" s="702" t="e">
        <f>IF(+All!#REF!="Mississippi State",+All!#REF!,IF(+All!#REF!="Mississippi State",+All!#REF!,0))</f>
        <v>#REF!</v>
      </c>
      <c r="G124" s="703" t="e">
        <f>IF(+All!#REF!="Mississippi State",+All!#REF!,IF(+All!#REF!="Mississippi State",+All!#REF!,0))</f>
        <v>#REF!</v>
      </c>
      <c r="H124" s="702" t="e">
        <f>IF(+All!#REF!="Mississippi State",+All!#REF!,IF(+All!#REF!="Mississippi State",+All!#REF!,0))</f>
        <v>#REF!</v>
      </c>
      <c r="I124" s="703" t="e">
        <f>IF(+All!#REF!="Mississippi State",+All!#REF!,IF(+All!#REF!="Mississippi State",+All!#REF!,0))</f>
        <v>#REF!</v>
      </c>
      <c r="J124" s="704" t="e">
        <f>IF(+All!#REF!="Mississippi State",+All!#REF!,IF(+All!#REF!="Mississippi State",+All!#REF!,0))</f>
        <v>#REF!</v>
      </c>
      <c r="K124" s="701" t="e">
        <f>IF(+All!#REF!="Mississippi State",+All!#REF!,IF(+All!#REF!="Mississippi State",+All!#REF!,0))</f>
        <v>#REF!</v>
      </c>
      <c r="L124" s="705" t="e">
        <f>IF(+All!#REF!="Mississippi State",+All!#REF!,IF(+All!#REF!="Mississippi State",+All!#REF!,0))</f>
        <v>#REF!</v>
      </c>
      <c r="M124" s="706" t="e">
        <f>IF(+All!#REF!="Mississippi State",+All!#REF!,IF(+All!#REF!="Mississippi State",+All!#REF!,0))</f>
        <v>#REF!</v>
      </c>
      <c r="N124" s="704" t="e">
        <f>IF(+All!#REF!="Mississippi State",+All!#REF!,IF(+All!#REF!="Mississippi State",+All!#REF!,0))</f>
        <v>#REF!</v>
      </c>
      <c r="O124" s="707" t="e">
        <f>IF(+All!#REF!="Mississippi State",+All!#REF!,IF(+All!#REF!="Mississippi State",+All!#REF!,0))</f>
        <v>#REF!</v>
      </c>
      <c r="P124" s="707" t="e">
        <f>IF(+All!#REF!="Mississippi State",+All!#REF!,IF(+All!#REF!="Mississippi State",+All!#REF!,0))</f>
        <v>#REF!</v>
      </c>
      <c r="Q124" s="701" t="e">
        <f>IF(+All!#REF!="Mississippi State",+All!#REF!,IF(+All!#REF!="Mississippi State",+All!#REF!,0))</f>
        <v>#REF!</v>
      </c>
      <c r="R124" s="704" t="e">
        <f>IF(+All!#REF!="Mississippi State",+All!#REF!,IF(+All!#REF!="Mississippi State",+All!#REF!,0))</f>
        <v>#REF!</v>
      </c>
      <c r="S124" s="707" t="e">
        <f>IF(+All!#REF!="Mississippi State",+All!#REF!,IF(+All!#REF!="Mississippi State",+All!#REF!,0))</f>
        <v>#REF!</v>
      </c>
      <c r="T124" s="704" t="e">
        <f>IF(+All!#REF!="Mississippi State",+All!#REF!,IF(+All!#REF!="Mississippi State",+All!#REF!,0))</f>
        <v>#REF!</v>
      </c>
      <c r="U124" s="701" t="e">
        <f>IF(+All!#REF!="Mississippi State",+All!#REF!,IF(+All!#REF!="Mississippi State",+All!#REF!,0))</f>
        <v>#REF!</v>
      </c>
    </row>
    <row r="125" spans="1:21" x14ac:dyDescent="0.8">
      <c r="A125" s="718">
        <f>IF(+All!$F649="Mississippi State",+All!A649,IF(+All!$H649="Mississippi State",+All!A649,0))</f>
        <v>10</v>
      </c>
      <c r="B125" s="698" t="str">
        <f>IF(+All!$F649="Mississippi State",+All!B649,IF(+All!$H649="Mississippi State",+All!B649,0))</f>
        <v>Sat</v>
      </c>
      <c r="C125" s="699">
        <f>IF(+All!$F649="Mississippi State",+All!C649,IF(+All!$H649="Mississippi State",+All!C649,0))</f>
        <v>44870</v>
      </c>
      <c r="D125" s="700">
        <f>IF(+All!$F649="Mississippi State",+All!D649,IF(+All!$H649="Mississippi State",+All!D649,0))</f>
        <v>0.8125</v>
      </c>
      <c r="E125" s="701" t="str">
        <f>IF(+All!$F649="Mississippi State",+All!E649,IF(+All!$H649="Mississippi State",+All!E649,0))</f>
        <v>ESPN2</v>
      </c>
      <c r="F125" s="702" t="str">
        <f>IF(+All!$F649="Mississippi State",+All!F649,IF(+All!$H649="Mississippi State",+All!F649,0))</f>
        <v>Auburn</v>
      </c>
      <c r="G125" s="703" t="str">
        <f>IF(+All!$F649="Mississippi State",+All!G649,IF(+All!$H649="Mississippi State",+All!G649,0))</f>
        <v>SEC</v>
      </c>
      <c r="H125" s="702" t="str">
        <f>IF(+All!$F649="Mississippi State",+All!H649,IF(+All!$H649="Mississippi State",+All!H649,0))</f>
        <v>Mississippi State</v>
      </c>
      <c r="I125" s="703" t="str">
        <f>IF(+All!$F649="Mississippi State",+All!I649,IF(+All!$H649="Mississippi State",+All!I649,0))</f>
        <v>SEC</v>
      </c>
      <c r="J125" s="704" t="str">
        <f>IF(+All!$F649="Mississippi State",+All!J649,IF(+All!$H649="Mississippi State",+All!J649,0))</f>
        <v>Mississippi State</v>
      </c>
      <c r="K125" s="701" t="str">
        <f>IF(+All!$F649="Mississippi State",+All!K649,IF(+All!$H649="Mississippi State",+All!K649,0))</f>
        <v>Auburn</v>
      </c>
      <c r="L125" s="705">
        <f>IF(+All!$F649="Mississippi State",+All!L649,IF(+All!$H649="Mississippi State",+All!L649,0))</f>
        <v>13.5</v>
      </c>
      <c r="M125" s="706">
        <f>IF(+All!$F649="Mississippi State",+All!M649,IF(+All!$H649="Mississippi State",+All!M649,0))</f>
        <v>53</v>
      </c>
      <c r="N125" s="704" t="str">
        <f>IF(+All!$F649="Mississippi State",+All!N649,IF(+All!$H649="Mississippi State",+All!N649,0))</f>
        <v>Mississippi State</v>
      </c>
      <c r="O125" s="707">
        <f>IF(+All!$F649="Mississippi State",+All!O649,IF(+All!$H649="Mississippi State",+All!O649,0))</f>
        <v>39</v>
      </c>
      <c r="P125" s="707" t="str">
        <f>IF(+All!$F649="Mississippi State",+All!P649,IF(+All!$H649="Mississippi State",+All!P649,0))</f>
        <v>Auburn</v>
      </c>
      <c r="Q125" s="701">
        <f>IF(+All!$F649="Mississippi State",+All!Q649,IF(+All!$H649="Mississippi State",+All!Q649,0))</f>
        <v>33</v>
      </c>
      <c r="R125" s="704" t="str">
        <f>IF(+All!$F649="Mississippi State",+All!R649,IF(+All!$H649="Mississippi State",+All!R649,0))</f>
        <v>Auburn</v>
      </c>
      <c r="S125" s="707" t="str">
        <f>IF(+All!$F649="Mississippi State",+All!S649,IF(+All!$H649="Mississippi State",+All!S649,0))</f>
        <v>Mississippi State</v>
      </c>
      <c r="T125" s="704" t="str">
        <f>IF(+All!$F649="Mississippi State",+All!T649,IF(+All!$H649="Mississippi State",+All!T649,0))</f>
        <v>Auburn</v>
      </c>
      <c r="U125" s="701" t="str">
        <f>IF(+All!$F649="Mississippi State",+All!U649,IF(+All!$H649="Mississippi State",+All!U649,0))</f>
        <v>W</v>
      </c>
    </row>
    <row r="126" spans="1:21" x14ac:dyDescent="0.8">
      <c r="A126" s="718">
        <f>IF(+All!$F716="Mississippi State",+All!A716,IF(+All!$H716="Mississippi State",+All!A716,0))</f>
        <v>11</v>
      </c>
      <c r="B126" s="698" t="str">
        <f>IF(+All!$F716="Mississippi State",+All!B716,IF(+All!$H716="Mississippi State",+All!B716,0))</f>
        <v>Sat</v>
      </c>
      <c r="C126" s="699">
        <f>IF(+All!$F716="Mississippi State",+All!C716,IF(+All!$H716="Mississippi State",+All!C716,0))</f>
        <v>44877</v>
      </c>
      <c r="D126" s="700">
        <f>IF(+All!$F716="Mississippi State",+All!D716,IF(+All!$H716="Mississippi State",+All!D716,0))</f>
        <v>0.79166666666666663</v>
      </c>
      <c r="E126" s="701" t="str">
        <f>IF(+All!$F716="Mississippi State",+All!E716,IF(+All!$H716="Mississippi State",+All!E716,0))</f>
        <v>ESPN</v>
      </c>
      <c r="F126" s="702" t="str">
        <f>IF(+All!$F716="Mississippi State",+All!F716,IF(+All!$H716="Mississippi State",+All!F716,0))</f>
        <v>Georgia</v>
      </c>
      <c r="G126" s="703" t="str">
        <f>IF(+All!$F716="Mississippi State",+All!G716,IF(+All!$H716="Mississippi State",+All!G716,0))</f>
        <v>SEC</v>
      </c>
      <c r="H126" s="702" t="str">
        <f>IF(+All!$F716="Mississippi State",+All!H716,IF(+All!$H716="Mississippi State",+All!H716,0))</f>
        <v>Mississippi State</v>
      </c>
      <c r="I126" s="703" t="str">
        <f>IF(+All!$F716="Mississippi State",+All!I716,IF(+All!$H716="Mississippi State",+All!I716,0))</f>
        <v>SEC</v>
      </c>
      <c r="J126" s="704" t="str">
        <f>IF(+All!$F716="Mississippi State",+All!J716,IF(+All!$H716="Mississippi State",+All!J716,0))</f>
        <v>Georgia</v>
      </c>
      <c r="K126" s="701" t="str">
        <f>IF(+All!$F716="Mississippi State",+All!K716,IF(+All!$H716="Mississippi State",+All!K716,0))</f>
        <v>Mississippi State</v>
      </c>
      <c r="L126" s="705">
        <f>IF(+All!$F716="Mississippi State",+All!L716,IF(+All!$H716="Mississippi State",+All!L716,0))</f>
        <v>16</v>
      </c>
      <c r="M126" s="706">
        <f>IF(+All!$F716="Mississippi State",+All!M716,IF(+All!$H716="Mississippi State",+All!M716,0))</f>
        <v>53.5</v>
      </c>
      <c r="N126" s="704" t="str">
        <f>IF(+All!$F716="Mississippi State",+All!N716,IF(+All!$H716="Mississippi State",+All!N716,0))</f>
        <v>Georgia</v>
      </c>
      <c r="O126" s="707">
        <f>IF(+All!$F716="Mississippi State",+All!O716,IF(+All!$H716="Mississippi State",+All!O716,0))</f>
        <v>45</v>
      </c>
      <c r="P126" s="707" t="str">
        <f>IF(+All!$F716="Mississippi State",+All!P716,IF(+All!$H716="Mississippi State",+All!P716,0))</f>
        <v>Mississippi State</v>
      </c>
      <c r="Q126" s="701">
        <f>IF(+All!$F716="Mississippi State",+All!Q716,IF(+All!$H716="Mississippi State",+All!Q716,0))</f>
        <v>19</v>
      </c>
      <c r="R126" s="704" t="str">
        <f>IF(+All!$F716="Mississippi State",+All!R716,IF(+All!$H716="Mississippi State",+All!R716,0))</f>
        <v>Georgia</v>
      </c>
      <c r="S126" s="707" t="str">
        <f>IF(+All!$F716="Mississippi State",+All!S716,IF(+All!$H716="Mississippi State",+All!S716,0))</f>
        <v>Mississippi State</v>
      </c>
      <c r="T126" s="704" t="str">
        <f>IF(+All!$F716="Mississippi State",+All!T716,IF(+All!$H716="Mississippi State",+All!T716,0))</f>
        <v>Mississippi State</v>
      </c>
      <c r="U126" s="701" t="str">
        <f>IF(+All!$F716="Mississippi State",+All!U716,IF(+All!$H716="Mississippi State",+All!U716,0))</f>
        <v>L</v>
      </c>
    </row>
    <row r="127" spans="1:21" x14ac:dyDescent="0.8">
      <c r="A127" s="718">
        <f>IF(+All!$F780="Mississippi State",+All!A780,IF(+All!$H780="Mississippi State",+All!A780,0))</f>
        <v>12</v>
      </c>
      <c r="B127" s="698" t="str">
        <f>IF(+All!$F780="Mississippi State",+All!B780,IF(+All!$H780="Mississippi State",+All!B780,0))</f>
        <v>Sat</v>
      </c>
      <c r="C127" s="699">
        <f>IF(+All!$F780="Mississippi State",+All!C780,IF(+All!$H780="Mississippi State",+All!C780,0))</f>
        <v>44884</v>
      </c>
      <c r="D127" s="700">
        <f>IF(+All!$F780="Mississippi State",+All!D780,IF(+All!$H780="Mississippi State",+All!D780,0))</f>
        <v>0.5</v>
      </c>
      <c r="E127" s="701" t="str">
        <f>IF(+All!$F780="Mississippi State",+All!E780,IF(+All!$H780="Mississippi State",+All!E780,0))</f>
        <v>SEC</v>
      </c>
      <c r="F127" s="702" t="str">
        <f>IF(+All!$F780="Mississippi State",+All!F780,IF(+All!$H780="Mississippi State",+All!F780,0))</f>
        <v>1AA East Tenn State</v>
      </c>
      <c r="G127" s="703" t="str">
        <f>IF(+All!$F780="Mississippi State",+All!G780,IF(+All!$H780="Mississippi State",+All!G780,0))</f>
        <v>1AA</v>
      </c>
      <c r="H127" s="702" t="str">
        <f>IF(+All!$F780="Mississippi State",+All!H780,IF(+All!$H780="Mississippi State",+All!H780,0))</f>
        <v>Mississippi State</v>
      </c>
      <c r="I127" s="703" t="str">
        <f>IF(+All!$F780="Mississippi State",+All!I780,IF(+All!$H780="Mississippi State",+All!I780,0))</f>
        <v>SEC</v>
      </c>
      <c r="J127" s="704">
        <f>IF(+All!$F780="Mississippi State",+All!J780,IF(+All!$H780="Mississippi State",+All!J780,0))</f>
        <v>0</v>
      </c>
      <c r="K127" s="701" t="str">
        <f>IF(+All!$F780="Mississippi State",+All!K780,IF(+All!$H780="Mississippi State",+All!K780,0))</f>
        <v>Mississippi State</v>
      </c>
      <c r="L127" s="705">
        <f>IF(+All!$F780="Mississippi State",+All!L780,IF(+All!$H780="Mississippi State",+All!L780,0))</f>
        <v>0</v>
      </c>
      <c r="M127" s="706">
        <f>IF(+All!$F780="Mississippi State",+All!M780,IF(+All!$H780="Mississippi State",+All!M780,0))</f>
        <v>0</v>
      </c>
      <c r="N127" s="704" t="str">
        <f>IF(+All!$F780="Mississippi State",+All!N780,IF(+All!$H780="Mississippi State",+All!N780,0))</f>
        <v>Mississippi State</v>
      </c>
      <c r="O127" s="707">
        <f>IF(+All!$F780="Mississippi State",+All!O780,IF(+All!$H780="Mississippi State",+All!O780,0))</f>
        <v>45</v>
      </c>
      <c r="P127" s="707" t="str">
        <f>IF(+All!$F780="Mississippi State",+All!P780,IF(+All!$H780="Mississippi State",+All!P780,0))</f>
        <v>1AA East Tenn State</v>
      </c>
      <c r="Q127" s="701">
        <f>IF(+All!$F780="Mississippi State",+All!Q780,IF(+All!$H780="Mississippi State",+All!Q780,0))</f>
        <v>7</v>
      </c>
      <c r="R127" s="704" t="str">
        <f>IF(+All!$F780="Mississippi State",+All!R780,IF(+All!$H780="Mississippi State",+All!R780,0))</f>
        <v>Mississippi State</v>
      </c>
      <c r="S127" s="707">
        <f>IF(+All!$F780="Mississippi State",+All!S780,IF(+All!$H780="Mississippi State",+All!S780,0))</f>
        <v>0</v>
      </c>
      <c r="T127" s="704">
        <f>IF(+All!$F780="Mississippi State",+All!T780,IF(+All!$H780="Mississippi State",+All!T780,0))</f>
        <v>0</v>
      </c>
      <c r="U127" s="701">
        <f>IF(+All!$F780="Mississippi State",+All!U780,IF(+All!$H780="Mississippi State",+All!U780,0))</f>
        <v>0</v>
      </c>
    </row>
    <row r="128" spans="1:21" x14ac:dyDescent="0.8">
      <c r="A128" s="718">
        <f>IF(+All!$F785="Mississippi State",+All!A785,IF(+All!$H785="Mississippi State",+All!A785,0))</f>
        <v>13</v>
      </c>
      <c r="B128" s="698" t="str">
        <f>IF(+All!$F785="Mississippi State",+All!B785,IF(+All!$H785="Mississippi State",+All!B785,0))</f>
        <v>Thurs</v>
      </c>
      <c r="C128" s="699">
        <f>IF(+All!$F785="Mississippi State",+All!C785,IF(+All!$H785="Mississippi State",+All!C785,0))</f>
        <v>44889</v>
      </c>
      <c r="D128" s="700">
        <f>IF(+All!$F785="Mississippi State",+All!D785,IF(+All!$H785="Mississippi State",+All!D785,0))</f>
        <v>0.79166666666666663</v>
      </c>
      <c r="E128" s="701" t="str">
        <f>IF(+All!$F785="Mississippi State",+All!E785,IF(+All!$H785="Mississippi State",+All!E785,0))</f>
        <v>ESPN</v>
      </c>
      <c r="F128" s="702" t="str">
        <f>IF(+All!$F785="Mississippi State",+All!F785,IF(+All!$H785="Mississippi State",+All!F785,0))</f>
        <v>Mississippi State</v>
      </c>
      <c r="G128" s="703" t="str">
        <f>IF(+All!$F785="Mississippi State",+All!G785,IF(+All!$H785="Mississippi State",+All!G785,0))</f>
        <v>SEC</v>
      </c>
      <c r="H128" s="702" t="str">
        <f>IF(+All!$F785="Mississippi State",+All!H785,IF(+All!$H785="Mississippi State",+All!H785,0))</f>
        <v>Mississippi</v>
      </c>
      <c r="I128" s="703" t="str">
        <f>IF(+All!$F785="Mississippi State",+All!I785,IF(+All!$H785="Mississippi State",+All!I785,0))</f>
        <v>SEC</v>
      </c>
      <c r="J128" s="704" t="str">
        <f>IF(+All!$F785="Mississippi State",+All!J785,IF(+All!$H785="Mississippi State",+All!J785,0))</f>
        <v>Mississippi</v>
      </c>
      <c r="K128" s="701" t="str">
        <f>IF(+All!$F785="Mississippi State",+All!K785,IF(+All!$H785="Mississippi State",+All!K785,0))</f>
        <v>Mississippi State</v>
      </c>
      <c r="L128" s="705">
        <f>IF(+All!$F785="Mississippi State",+All!L785,IF(+All!$H785="Mississippi State",+All!L785,0))</f>
        <v>2.5</v>
      </c>
      <c r="M128" s="706">
        <f>IF(+All!$F785="Mississippi State",+All!M785,IF(+All!$H785="Mississippi State",+All!M785,0))</f>
        <v>64.5</v>
      </c>
      <c r="N128" s="704" t="str">
        <f>IF(+All!$F785="Mississippi State",+All!N785,IF(+All!$H785="Mississippi State",+All!N785,0))</f>
        <v>Mississippi State</v>
      </c>
      <c r="O128" s="707">
        <f>IF(+All!$F785="Mississippi State",+All!O785,IF(+All!$H785="Mississippi State",+All!O785,0))</f>
        <v>24</v>
      </c>
      <c r="P128" s="707" t="str">
        <f>IF(+All!$F785="Mississippi State",+All!P785,IF(+All!$H785="Mississippi State",+All!P785,0))</f>
        <v>Mississippi</v>
      </c>
      <c r="Q128" s="701">
        <f>IF(+All!$F785="Mississippi State",+All!Q785,IF(+All!$H785="Mississippi State",+All!Q785,0))</f>
        <v>22</v>
      </c>
      <c r="R128" s="704" t="str">
        <f>IF(+All!$F785="Mississippi State",+All!R785,IF(+All!$H785="Mississippi State",+All!R785,0))</f>
        <v>Mississippi State</v>
      </c>
      <c r="S128" s="707" t="str">
        <f>IF(+All!$F785="Mississippi State",+All!S785,IF(+All!$H785="Mississippi State",+All!S785,0))</f>
        <v>Mississippi</v>
      </c>
      <c r="T128" s="704" t="str">
        <f>IF(+All!$F785="Mississippi State",+All!T785,IF(+All!$H785="Mississippi State",+All!T785,0))</f>
        <v>Mississippi State</v>
      </c>
      <c r="U128" s="701" t="str">
        <f>IF(+All!$F785="Mississippi State",+All!U785,IF(+All!$H785="Mississippi State",+All!U785,0))</f>
        <v>W</v>
      </c>
    </row>
    <row r="129" spans="1:21" x14ac:dyDescent="0.8">
      <c r="B129" s="697"/>
      <c r="C129" s="708"/>
      <c r="D129" s="700"/>
      <c r="F129" s="916" t="str">
        <f>F131</f>
        <v>Missouri</v>
      </c>
      <c r="G129" s="917"/>
      <c r="H129" s="917"/>
      <c r="I129" s="918"/>
      <c r="L129" s="705"/>
      <c r="M129" s="706"/>
    </row>
    <row r="130" spans="1:21" x14ac:dyDescent="0.8">
      <c r="A130" s="718">
        <f>IF(+All!$F21="Missouri",+All!A21,IF(+All!$H21="Missouri",+All!A21,0))</f>
        <v>1</v>
      </c>
      <c r="B130" s="698" t="str">
        <f>IF(+All!$F21="Missouri",+All!B21,IF(+All!$H21="Missouri",+All!B21,0))</f>
        <v>Thurs</v>
      </c>
      <c r="C130" s="699">
        <f>IF(+All!$F21="Missouri",+All!C21,IF(+All!$H21="Missouri",+All!C21,0))</f>
        <v>44805</v>
      </c>
      <c r="D130" s="700">
        <f>IF(+All!$F21="Missouri",+All!D21,IF(+All!$H21="Missouri",+All!D21,0))</f>
        <v>0.83333333333333337</v>
      </c>
      <c r="E130" s="701" t="str">
        <f>IF(+All!$F21="Missouri",+All!E21,IF(+All!$H21="Missouri",+All!E21,0))</f>
        <v>ESPNU</v>
      </c>
      <c r="F130" s="702" t="str">
        <f>IF(+All!$F21="Missouri",+All!F21,IF(+All!$H21="Missouri",+All!F21,0))</f>
        <v>Louisiana Tech</v>
      </c>
      <c r="G130" s="703" t="str">
        <f>IF(+All!$F21="Missouri",+All!G21,IF(+All!$H21="Missouri",+All!G21,0))</f>
        <v>CUSA</v>
      </c>
      <c r="H130" s="702" t="str">
        <f>IF(+All!$F21="Missouri",+All!H21,IF(+All!$H21="Missouri",+All!H21,0))</f>
        <v>Missouri</v>
      </c>
      <c r="I130" s="703" t="str">
        <f>IF(+All!$F21="Missouri",+All!I21,IF(+All!$H21="Missouri",+All!I21,0))</f>
        <v>SEC</v>
      </c>
      <c r="J130" s="704" t="str">
        <f>IF(+All!$F21="Missouri",+All!J21,IF(+All!$H21="Missouri",+All!J21,0))</f>
        <v>Missouri</v>
      </c>
      <c r="K130" s="701" t="str">
        <f>IF(+All!$F21="Missouri",+All!K21,IF(+All!$H21="Missouri",+All!K21,0))</f>
        <v>Louisiana Tech</v>
      </c>
      <c r="L130" s="705">
        <f>IF(+All!$F21="Missouri",+All!L21,IF(+All!$H21="Missouri",+All!L21,0))</f>
        <v>20</v>
      </c>
      <c r="M130" s="706">
        <f>IF(+All!$F21="Missouri",+All!M21,IF(+All!$H21="Missouri",+All!M21,0))</f>
        <v>60</v>
      </c>
      <c r="N130" s="704" t="str">
        <f>IF(+All!$F21="Missouri",+All!N21,IF(+All!$H21="Missouri",+All!N21,0))</f>
        <v>Missouri</v>
      </c>
      <c r="O130" s="707">
        <f>IF(+All!$F21="Missouri",+All!O21,IF(+All!$H21="Missouri",+All!O21,0))</f>
        <v>52</v>
      </c>
      <c r="P130" s="707" t="str">
        <f>IF(+All!$F21="Missouri",+All!P21,IF(+All!$H21="Missouri",+All!P21,0))</f>
        <v>Louisiana Tech</v>
      </c>
      <c r="Q130" s="701">
        <f>IF(+All!$F21="Missouri",+All!Q21,IF(+All!$H21="Missouri",+All!Q21,0))</f>
        <v>24</v>
      </c>
      <c r="R130" s="704" t="str">
        <f>IF(+All!$F21="Missouri",+All!R21,IF(+All!$H21="Missouri",+All!R21,0))</f>
        <v>Missouri</v>
      </c>
      <c r="S130" s="707" t="str">
        <f>IF(+All!$F21="Missouri",+All!S21,IF(+All!$H21="Missouri",+All!S21,0))</f>
        <v>Louisiana Tech</v>
      </c>
      <c r="T130" s="704" t="str">
        <f>IF(+All!$F21="Missouri",+All!T21,IF(+All!$H21="Missouri",+All!T21,0))</f>
        <v>Louisiana Tech</v>
      </c>
      <c r="U130" s="701" t="str">
        <f>IF(+All!$F21="Missouri",+All!U21,IF(+All!$H21="Missouri",+All!U21,0))</f>
        <v>L</v>
      </c>
    </row>
    <row r="131" spans="1:21" x14ac:dyDescent="0.8">
      <c r="A131" s="718">
        <f>IF(+All!$F127="Missouri",+All!A127,IF(+All!$H127="Missouri",+All!A127,0))</f>
        <v>2</v>
      </c>
      <c r="B131" s="698" t="str">
        <f>IF(+All!$F127="Missouri",+All!B127,IF(+All!$H127="Missouri",+All!B127,0))</f>
        <v>Sat</v>
      </c>
      <c r="C131" s="699">
        <f>IF(+All!$F127="Missouri",+All!C127,IF(+All!$H127="Missouri",+All!C127,0))</f>
        <v>44814</v>
      </c>
      <c r="D131" s="700">
        <f>IF(+All!$F127="Missouri",+All!D127,IF(+All!$H127="Missouri",+All!D127,0))</f>
        <v>0.5</v>
      </c>
      <c r="E131" s="701" t="str">
        <f>IF(+All!$F127="Missouri",+All!E127,IF(+All!$H127="Missouri",+All!E127,0))</f>
        <v>ESPN2</v>
      </c>
      <c r="F131" s="702" t="str">
        <f>IF(+All!$F127="Missouri",+All!F127,IF(+All!$H127="Missouri",+All!F127,0))</f>
        <v>Missouri</v>
      </c>
      <c r="G131" s="703" t="str">
        <f>IF(+All!$F127="Missouri",+All!G127,IF(+All!$H127="Missouri",+All!G127,0))</f>
        <v>SEC</v>
      </c>
      <c r="H131" s="702" t="str">
        <f>IF(+All!$F127="Missouri",+All!H127,IF(+All!$H127="Missouri",+All!H127,0))</f>
        <v>Kansas State</v>
      </c>
      <c r="I131" s="703" t="str">
        <f>IF(+All!$F127="Missouri",+All!I127,IF(+All!$H127="Missouri",+All!I127,0))</f>
        <v>B12</v>
      </c>
      <c r="J131" s="704" t="str">
        <f>IF(+All!$F127="Missouri",+All!J127,IF(+All!$H127="Missouri",+All!J127,0))</f>
        <v>Kansas State</v>
      </c>
      <c r="K131" s="701" t="str">
        <f>IF(+All!$F127="Missouri",+All!K127,IF(+All!$H127="Missouri",+All!K127,0))</f>
        <v>Missouri</v>
      </c>
      <c r="L131" s="705">
        <f>IF(+All!$F127="Missouri",+All!L127,IF(+All!$H127="Missouri",+All!L127,0))</f>
        <v>7.5</v>
      </c>
      <c r="M131" s="706">
        <f>IF(+All!$F127="Missouri",+All!M127,IF(+All!$H127="Missouri",+All!M127,0))</f>
        <v>57</v>
      </c>
      <c r="N131" s="704" t="str">
        <f>IF(+All!$F127="Missouri",+All!N127,IF(+All!$H127="Missouri",+All!N127,0))</f>
        <v>Kansas State</v>
      </c>
      <c r="O131" s="707">
        <f>IF(+All!$F127="Missouri",+All!O127,IF(+All!$H127="Missouri",+All!O127,0))</f>
        <v>40</v>
      </c>
      <c r="P131" s="707" t="str">
        <f>IF(+All!$F127="Missouri",+All!P127,IF(+All!$H127="Missouri",+All!P127,0))</f>
        <v>Missouri</v>
      </c>
      <c r="Q131" s="701">
        <f>IF(+All!$F127="Missouri",+All!Q127,IF(+All!$H127="Missouri",+All!Q127,0))</f>
        <v>12</v>
      </c>
      <c r="R131" s="704" t="str">
        <f>IF(+All!$F127="Missouri",+All!R127,IF(+All!$H127="Missouri",+All!R127,0))</f>
        <v>Kansas State</v>
      </c>
      <c r="S131" s="707" t="str">
        <f>IF(+All!$F127="Missouri",+All!S127,IF(+All!$H127="Missouri",+All!S127,0))</f>
        <v>Missouri</v>
      </c>
      <c r="T131" s="704" t="str">
        <f>IF(+All!$F127="Missouri",+All!T127,IF(+All!$H127="Missouri",+All!T127,0))</f>
        <v>Missouri</v>
      </c>
      <c r="U131" s="701" t="str">
        <f>IF(+All!$F127="Missouri",+All!U127,IF(+All!$H127="Missouri",+All!U127,0))</f>
        <v>L</v>
      </c>
    </row>
    <row r="132" spans="1:21" x14ac:dyDescent="0.8">
      <c r="A132" s="718">
        <f>IF(+All!$F248="Missouri",+All!A248,IF(+All!$H248="Missouri",+All!A248,0))</f>
        <v>3</v>
      </c>
      <c r="B132" s="698" t="str">
        <f>IF(+All!$F248="Missouri",+All!B248,IF(+All!$H248="Missouri",+All!B248,0))</f>
        <v>Sat</v>
      </c>
      <c r="C132" s="699">
        <f>IF(+All!$F248="Missouri",+All!C248,IF(+All!$H248="Missouri",+All!C248,0))</f>
        <v>44821</v>
      </c>
      <c r="D132" s="700">
        <f>IF(+All!$F248="Missouri",+All!D248,IF(+All!$H248="Missouri",+All!D248,0))</f>
        <v>0.5</v>
      </c>
      <c r="E132" s="701">
        <f>IF(+All!$F248="Missouri",+All!E248,IF(+All!$H248="Missouri",+All!E248,0))</f>
        <v>0</v>
      </c>
      <c r="F132" s="702" t="str">
        <f>IF(+All!$F248="Missouri",+All!F248,IF(+All!$H248="Missouri",+All!F248,0))</f>
        <v>1AA Abilene Christian</v>
      </c>
      <c r="G132" s="703" t="str">
        <f>IF(+All!$F248="Missouri",+All!G248,IF(+All!$H248="Missouri",+All!G248,0))</f>
        <v>1AA</v>
      </c>
      <c r="H132" s="702" t="str">
        <f>IF(+All!$F248="Missouri",+All!H248,IF(+All!$H248="Missouri",+All!H248,0))</f>
        <v>Missouri</v>
      </c>
      <c r="I132" s="703" t="str">
        <f>IF(+All!$F248="Missouri",+All!I248,IF(+All!$H248="Missouri",+All!I248,0))</f>
        <v>SEC</v>
      </c>
      <c r="J132" s="704">
        <f>IF(+All!$F248="Missouri",+All!J248,IF(+All!$H248="Missouri",+All!J248,0))</f>
        <v>0</v>
      </c>
      <c r="K132" s="701">
        <f>IF(+All!$F248="Missouri",+All!K248,IF(+All!$H248="Missouri",+All!K248,0))</f>
        <v>0</v>
      </c>
      <c r="L132" s="705">
        <f>IF(+All!$F248="Missouri",+All!L248,IF(+All!$H248="Missouri",+All!L248,0))</f>
        <v>0</v>
      </c>
      <c r="M132" s="706">
        <f>IF(+All!$F248="Missouri",+All!M248,IF(+All!$H248="Missouri",+All!M248,0))</f>
        <v>0</v>
      </c>
      <c r="N132" s="704" t="str">
        <f>IF(+All!$F248="Missouri",+All!N248,IF(+All!$H248="Missouri",+All!N248,0))</f>
        <v>Missouri</v>
      </c>
      <c r="O132" s="707">
        <f>IF(+All!$F248="Missouri",+All!O248,IF(+All!$H248="Missouri",+All!O248,0))</f>
        <v>34</v>
      </c>
      <c r="P132" s="707" t="str">
        <f>IF(+All!$F248="Missouri",+All!P248,IF(+All!$H248="Missouri",+All!P248,0))</f>
        <v>1AA Abilene Christian</v>
      </c>
      <c r="Q132" s="701">
        <f>IF(+All!$F248="Missouri",+All!Q248,IF(+All!$H248="Missouri",+All!Q248,0))</f>
        <v>17</v>
      </c>
      <c r="R132" s="704">
        <f>IF(+All!$F248="Missouri",+All!R248,IF(+All!$H248="Missouri",+All!R248,0))</f>
        <v>0</v>
      </c>
      <c r="S132" s="707">
        <f>IF(+All!$F248="Missouri",+All!S248,IF(+All!$H248="Missouri",+All!S248,0))</f>
        <v>0</v>
      </c>
      <c r="T132" s="704">
        <f>IF(+All!$F248="Missouri",+All!T248,IF(+All!$H248="Missouri",+All!T248,0))</f>
        <v>0</v>
      </c>
      <c r="U132" s="701">
        <f>IF(+All!$F248="Missouri",+All!U248,IF(+All!$H248="Missouri",+All!U248,0))</f>
        <v>0</v>
      </c>
    </row>
    <row r="133" spans="1:21" x14ac:dyDescent="0.8">
      <c r="A133" s="718">
        <f>IF(+All!$F310="Missouri",+All!A310,IF(+All!$H310="Missouri",+All!A310,0))</f>
        <v>4</v>
      </c>
      <c r="B133" s="698" t="str">
        <f>IF(+All!$F310="Missouri",+All!B310,IF(+All!$H310="Missouri",+All!B310,0))</f>
        <v>Sat</v>
      </c>
      <c r="C133" s="699">
        <f>IF(+All!$F310="Missouri",+All!C310,IF(+All!$H310="Missouri",+All!C310,0))</f>
        <v>44828</v>
      </c>
      <c r="D133" s="700">
        <f>IF(+All!$F310="Missouri",+All!D310,IF(+All!$H310="Missouri",+All!D310,0))</f>
        <v>0.5</v>
      </c>
      <c r="E133" s="701" t="str">
        <f>IF(+All!$F310="Missouri",+All!E310,IF(+All!$H310="Missouri",+All!E310,0))</f>
        <v>ESPN</v>
      </c>
      <c r="F133" s="702" t="str">
        <f>IF(+All!$F310="Missouri",+All!F310,IF(+All!$H310="Missouri",+All!F310,0))</f>
        <v>Missouri</v>
      </c>
      <c r="G133" s="703" t="str">
        <f>IF(+All!$F310="Missouri",+All!G310,IF(+All!$H310="Missouri",+All!G310,0))</f>
        <v>SEC</v>
      </c>
      <c r="H133" s="702" t="str">
        <f>IF(+All!$F310="Missouri",+All!H310,IF(+All!$H310="Missouri",+All!H310,0))</f>
        <v>Auburn</v>
      </c>
      <c r="I133" s="703" t="str">
        <f>IF(+All!$F310="Missouri",+All!I310,IF(+All!$H310="Missouri",+All!I310,0))</f>
        <v>SEC</v>
      </c>
      <c r="J133" s="704" t="str">
        <f>IF(+All!$F310="Missouri",+All!J310,IF(+All!$H310="Missouri",+All!J310,0))</f>
        <v>Auburn</v>
      </c>
      <c r="K133" s="701" t="str">
        <f>IF(+All!$F310="Missouri",+All!K310,IF(+All!$H310="Missouri",+All!K310,0))</f>
        <v>Missouri</v>
      </c>
      <c r="L133" s="705">
        <f>IF(+All!$F310="Missouri",+All!L310,IF(+All!$H310="Missouri",+All!L310,0))</f>
        <v>7</v>
      </c>
      <c r="M133" s="706">
        <f>IF(+All!$F310="Missouri",+All!M310,IF(+All!$H310="Missouri",+All!M310,0))</f>
        <v>51.5</v>
      </c>
      <c r="N133" s="704" t="str">
        <f>IF(+All!$F310="Missouri",+All!N310,IF(+All!$H310="Missouri",+All!N310,0))</f>
        <v>Auburn</v>
      </c>
      <c r="O133" s="707">
        <f>IF(+All!$F310="Missouri",+All!O310,IF(+All!$H310="Missouri",+All!O310,0))</f>
        <v>17</v>
      </c>
      <c r="P133" s="707" t="str">
        <f>IF(+All!$F310="Missouri",+All!P310,IF(+All!$H310="Missouri",+All!P310,0))</f>
        <v>Missouri</v>
      </c>
      <c r="Q133" s="701">
        <f>IF(+All!$F310="Missouri",+All!Q310,IF(+All!$H310="Missouri",+All!Q310,0))</f>
        <v>14</v>
      </c>
      <c r="R133" s="704" t="str">
        <f>IF(+All!$F310="Missouri",+All!R310,IF(+All!$H310="Missouri",+All!R310,0))</f>
        <v>Missouri</v>
      </c>
      <c r="S133" s="707" t="str">
        <f>IF(+All!$F310="Missouri",+All!S310,IF(+All!$H310="Missouri",+All!S310,0))</f>
        <v>Auburn</v>
      </c>
      <c r="T133" s="704" t="str">
        <f>IF(+All!$F310="Missouri",+All!T310,IF(+All!$H310="Missouri",+All!T310,0))</f>
        <v>Missouri</v>
      </c>
      <c r="U133" s="701" t="str">
        <f>IF(+All!$F310="Missouri",+All!U310,IF(+All!$H310="Missouri",+All!U310,0))</f>
        <v>W</v>
      </c>
    </row>
    <row r="134" spans="1:21" x14ac:dyDescent="0.8">
      <c r="A134" s="718">
        <f>IF(+All!$F380="Missouri",+All!A380,IF(+All!$H380="Missouri",+All!A380,0))</f>
        <v>5</v>
      </c>
      <c r="B134" s="698" t="str">
        <f>IF(+All!$F380="Missouri",+All!B380,IF(+All!$H380="Missouri",+All!B380,0))</f>
        <v>Sat</v>
      </c>
      <c r="C134" s="699">
        <f>IF(+All!$F380="Missouri",+All!C380,IF(+All!$H380="Missouri",+All!C380,0))</f>
        <v>44835</v>
      </c>
      <c r="D134" s="700">
        <f>IF(+All!$F380="Missouri",+All!D380,IF(+All!$H380="Missouri",+All!D380,0))</f>
        <v>0.8125</v>
      </c>
      <c r="E134" s="701" t="str">
        <f>IF(+All!$F380="Missouri",+All!E380,IF(+All!$H380="Missouri",+All!E380,0))</f>
        <v>SEC</v>
      </c>
      <c r="F134" s="702" t="str">
        <f>IF(+All!$F380="Missouri",+All!F380,IF(+All!$H380="Missouri",+All!F380,0))</f>
        <v>Georgia</v>
      </c>
      <c r="G134" s="703" t="str">
        <f>IF(+All!$F380="Missouri",+All!G380,IF(+All!$H380="Missouri",+All!G380,0))</f>
        <v>SEC</v>
      </c>
      <c r="H134" s="702" t="str">
        <f>IF(+All!$F380="Missouri",+All!H380,IF(+All!$H380="Missouri",+All!H380,0))</f>
        <v>Missouri</v>
      </c>
      <c r="I134" s="703" t="str">
        <f>IF(+All!$F380="Missouri",+All!I380,IF(+All!$H380="Missouri",+All!I380,0))</f>
        <v>SEC</v>
      </c>
      <c r="J134" s="704" t="str">
        <f>IF(+All!$F380="Missouri",+All!J380,IF(+All!$H380="Missouri",+All!J380,0))</f>
        <v>Georgia</v>
      </c>
      <c r="K134" s="701" t="str">
        <f>IF(+All!$F380="Missouri",+All!K380,IF(+All!$H380="Missouri",+All!K380,0))</f>
        <v>Missouri</v>
      </c>
      <c r="L134" s="705">
        <f>IF(+All!$F380="Missouri",+All!L380,IF(+All!$H380="Missouri",+All!L380,0))</f>
        <v>28</v>
      </c>
      <c r="M134" s="706">
        <f>IF(+All!$F380="Missouri",+All!M380,IF(+All!$H380="Missouri",+All!M380,0))</f>
        <v>54</v>
      </c>
      <c r="N134" s="704" t="str">
        <f>IF(+All!$F380="Missouri",+All!N380,IF(+All!$H380="Missouri",+All!N380,0))</f>
        <v>Georgia</v>
      </c>
      <c r="O134" s="707">
        <f>IF(+All!$F380="Missouri",+All!O380,IF(+All!$H380="Missouri",+All!O380,0))</f>
        <v>26</v>
      </c>
      <c r="P134" s="707" t="str">
        <f>IF(+All!$F380="Missouri",+All!P380,IF(+All!$H380="Missouri",+All!P380,0))</f>
        <v>Missouri</v>
      </c>
      <c r="Q134" s="701">
        <f>IF(+All!$F380="Missouri",+All!Q380,IF(+All!$H380="Missouri",+All!Q380,0))</f>
        <v>22</v>
      </c>
      <c r="R134" s="704" t="str">
        <f>IF(+All!$F380="Missouri",+All!R380,IF(+All!$H380="Missouri",+All!R380,0))</f>
        <v>Missouri</v>
      </c>
      <c r="S134" s="707" t="str">
        <f>IF(+All!$F380="Missouri",+All!S380,IF(+All!$H380="Missouri",+All!S380,0))</f>
        <v>Georgia</v>
      </c>
      <c r="T134" s="704" t="str">
        <f>IF(+All!$F380="Missouri",+All!T380,IF(+All!$H380="Missouri",+All!T380,0))</f>
        <v>Georgia</v>
      </c>
      <c r="U134" s="701" t="str">
        <f>IF(+All!$F380="Missouri",+All!U380,IF(+All!$H380="Missouri",+All!U380,0))</f>
        <v>L</v>
      </c>
    </row>
    <row r="135" spans="1:21" x14ac:dyDescent="0.8">
      <c r="A135" s="718">
        <f>IF(+All!$F432="Missouri",+All!A432,IF(+All!$H432="Missouri",+All!A432,0))</f>
        <v>6</v>
      </c>
      <c r="B135" s="698" t="str">
        <f>IF(+All!$F432="Missouri",+All!B432,IF(+All!$H432="Missouri",+All!B432,0))</f>
        <v>Sat</v>
      </c>
      <c r="C135" s="699">
        <f>IF(+All!$F432="Missouri",+All!C432,IF(+All!$H432="Missouri",+All!C432,0))</f>
        <v>44842</v>
      </c>
      <c r="D135" s="700">
        <f>IF(+All!$F432="Missouri",+All!D432,IF(+All!$H432="Missouri",+All!D432,0))</f>
        <v>0.5</v>
      </c>
      <c r="E135" s="701" t="str">
        <f>IF(+All!$F432="Missouri",+All!E432,IF(+All!$H432="Missouri",+All!E432,0))</f>
        <v>ESPNU</v>
      </c>
      <c r="F135" s="702" t="str">
        <f>IF(+All!$F432="Missouri",+All!F432,IF(+All!$H432="Missouri",+All!F432,0))</f>
        <v>Missouri</v>
      </c>
      <c r="G135" s="703" t="str">
        <f>IF(+All!$F432="Missouri",+All!G432,IF(+All!$H432="Missouri",+All!G432,0))</f>
        <v>SEC</v>
      </c>
      <c r="H135" s="702" t="str">
        <f>IF(+All!$F432="Missouri",+All!H432,IF(+All!$H432="Missouri",+All!H432,0))</f>
        <v>Florida</v>
      </c>
      <c r="I135" s="703" t="str">
        <f>IF(+All!$F432="Missouri",+All!I432,IF(+All!$H432="Missouri",+All!I432,0))</f>
        <v>SEC</v>
      </c>
      <c r="J135" s="704" t="str">
        <f>IF(+All!$F432="Missouri",+All!J432,IF(+All!$H432="Missouri",+All!J432,0))</f>
        <v>Florida</v>
      </c>
      <c r="K135" s="701" t="str">
        <f>IF(+All!$F432="Missouri",+All!K432,IF(+All!$H432="Missouri",+All!K432,0))</f>
        <v>Missouri</v>
      </c>
      <c r="L135" s="705">
        <f>IF(+All!$F432="Missouri",+All!L432,IF(+All!$H432="Missouri",+All!L432,0))</f>
        <v>11</v>
      </c>
      <c r="M135" s="706">
        <f>IF(+All!$F432="Missouri",+All!M432,IF(+All!$H432="Missouri",+All!M432,0))</f>
        <v>55.5</v>
      </c>
      <c r="N135" s="704" t="str">
        <f>IF(+All!$F432="Missouri",+All!N432,IF(+All!$H432="Missouri",+All!N432,0))</f>
        <v>Florida</v>
      </c>
      <c r="O135" s="707">
        <f>IF(+All!$F432="Missouri",+All!O432,IF(+All!$H432="Missouri",+All!O432,0))</f>
        <v>24</v>
      </c>
      <c r="P135" s="707" t="str">
        <f>IF(+All!$F432="Missouri",+All!P432,IF(+All!$H432="Missouri",+All!P432,0))</f>
        <v>Missouri</v>
      </c>
      <c r="Q135" s="701">
        <f>IF(+All!$F432="Missouri",+All!Q432,IF(+All!$H432="Missouri",+All!Q432,0))</f>
        <v>17</v>
      </c>
      <c r="R135" s="704" t="str">
        <f>IF(+All!$F432="Missouri",+All!R432,IF(+All!$H432="Missouri",+All!R432,0))</f>
        <v>Missouri</v>
      </c>
      <c r="S135" s="707" t="str">
        <f>IF(+All!$F432="Missouri",+All!S432,IF(+All!$H432="Missouri",+All!S432,0))</f>
        <v>Florida</v>
      </c>
      <c r="T135" s="704" t="str">
        <f>IF(+All!$F432="Missouri",+All!T432,IF(+All!$H432="Missouri",+All!T432,0))</f>
        <v>Missouri</v>
      </c>
      <c r="U135" s="701" t="str">
        <f>IF(+All!$F432="Missouri",+All!U432,IF(+All!$H432="Missouri",+All!U432,0))</f>
        <v>W</v>
      </c>
    </row>
    <row r="136" spans="1:21" x14ac:dyDescent="0.8">
      <c r="A136" s="718" t="e">
        <f>IF(+All!#REF!="Missouri",+All!#REF!,IF(+All!#REF!="Missouri",+All!#REF!,0))</f>
        <v>#REF!</v>
      </c>
      <c r="B136" s="698" t="e">
        <f>IF(+All!#REF!="Missouri",+All!#REF!,IF(+All!#REF!="Missouri",+All!#REF!,0))</f>
        <v>#REF!</v>
      </c>
      <c r="C136" s="699" t="e">
        <f>IF(+All!#REF!="Missouri",+All!#REF!,IF(+All!#REF!="Missouri",+All!#REF!,0))</f>
        <v>#REF!</v>
      </c>
      <c r="D136" s="700" t="e">
        <f>IF(+All!#REF!="Missouri",+All!#REF!,IF(+All!#REF!="Missouri",+All!#REF!,0))</f>
        <v>#REF!</v>
      </c>
      <c r="E136" s="701" t="e">
        <f>IF(+All!#REF!="Missouri",+All!#REF!,IF(+All!#REF!="Missouri",+All!#REF!,0))</f>
        <v>#REF!</v>
      </c>
      <c r="F136" s="702" t="e">
        <f>IF(+All!#REF!="Missouri",+All!#REF!,IF(+All!#REF!="Missouri",+All!#REF!,0))</f>
        <v>#REF!</v>
      </c>
      <c r="G136" s="703" t="e">
        <f>IF(+All!#REF!="Missouri",+All!#REF!,IF(+All!#REF!="Missouri",+All!#REF!,0))</f>
        <v>#REF!</v>
      </c>
      <c r="H136" s="702" t="e">
        <f>IF(+All!#REF!="Missouri",+All!#REF!,IF(+All!#REF!="Missouri",+All!#REF!,0))</f>
        <v>#REF!</v>
      </c>
      <c r="I136" s="703" t="e">
        <f>IF(+All!#REF!="Missouri",+All!#REF!,IF(+All!#REF!="Missouri",+All!#REF!,0))</f>
        <v>#REF!</v>
      </c>
      <c r="J136" s="704" t="e">
        <f>IF(+All!#REF!="Missouri",+All!#REF!,IF(+All!#REF!="Missouri",+All!#REF!,0))</f>
        <v>#REF!</v>
      </c>
      <c r="K136" s="701" t="e">
        <f>IF(+All!#REF!="Missouri",+All!#REF!,IF(+All!#REF!="Missouri",+All!#REF!,0))</f>
        <v>#REF!</v>
      </c>
      <c r="L136" s="705" t="e">
        <f>IF(+All!#REF!="Missouri",+All!#REF!,IF(+All!#REF!="Missouri",+All!#REF!,0))</f>
        <v>#REF!</v>
      </c>
      <c r="M136" s="706" t="e">
        <f>IF(+All!#REF!="Missouri",+All!#REF!,IF(+All!#REF!="Missouri",+All!#REF!,0))</f>
        <v>#REF!</v>
      </c>
      <c r="N136" s="704" t="e">
        <f>IF(+All!#REF!="Missouri",+All!#REF!,IF(+All!#REF!="Missouri",+All!#REF!,0))</f>
        <v>#REF!</v>
      </c>
      <c r="O136" s="707" t="e">
        <f>IF(+All!#REF!="Missouri",+All!#REF!,IF(+All!#REF!="Missouri",+All!#REF!,0))</f>
        <v>#REF!</v>
      </c>
      <c r="P136" s="707" t="e">
        <f>IF(+All!#REF!="Missouri",+All!#REF!,IF(+All!#REF!="Missouri",+All!#REF!,0))</f>
        <v>#REF!</v>
      </c>
      <c r="Q136" s="701" t="e">
        <f>IF(+All!#REF!="Missouri",+All!#REF!,IF(+All!#REF!="Missouri",+All!#REF!,0))</f>
        <v>#REF!</v>
      </c>
      <c r="R136" s="704" t="e">
        <f>IF(+All!#REF!="Missouri",+All!#REF!,IF(+All!#REF!="Missouri",+All!#REF!,0))</f>
        <v>#REF!</v>
      </c>
      <c r="S136" s="707" t="e">
        <f>IF(+All!#REF!="Missouri",+All!#REF!,IF(+All!#REF!="Missouri",+All!#REF!,0))</f>
        <v>#REF!</v>
      </c>
      <c r="T136" s="704" t="e">
        <f>IF(+All!#REF!="Missouri",+All!#REF!,IF(+All!#REF!="Missouri",+All!#REF!,0))</f>
        <v>#REF!</v>
      </c>
      <c r="U136" s="701" t="e">
        <f>IF(+All!#REF!="Missouri",+All!#REF!,IF(+All!#REF!="Missouri",+All!#REF!,0))</f>
        <v>#REF!</v>
      </c>
    </row>
    <row r="137" spans="1:21" x14ac:dyDescent="0.8">
      <c r="A137" s="718">
        <f>IF(+All!$F542="Missouri",+All!A542,IF(+All!$H542="Missouri",+All!A542,0))</f>
        <v>8</v>
      </c>
      <c r="B137" s="698" t="str">
        <f>IF(+All!$F542="Missouri",+All!B542,IF(+All!$H542="Missouri",+All!B542,0))</f>
        <v>Sat</v>
      </c>
      <c r="C137" s="699">
        <f>IF(+All!$F542="Missouri",+All!C542,IF(+All!$H542="Missouri",+All!C542,0))</f>
        <v>44856</v>
      </c>
      <c r="D137" s="700">
        <f>IF(+All!$F542="Missouri",+All!D542,IF(+All!$H542="Missouri",+All!D542,0))</f>
        <v>0.66666666666666663</v>
      </c>
      <c r="E137" s="701" t="str">
        <f>IF(+All!$F542="Missouri",+All!E542,IF(+All!$H542="Missouri",+All!E542,0))</f>
        <v>SEC</v>
      </c>
      <c r="F137" s="702" t="str">
        <f>IF(+All!$F542="Missouri",+All!F542,IF(+All!$H542="Missouri",+All!F542,0))</f>
        <v>Vanderbilt</v>
      </c>
      <c r="G137" s="703" t="str">
        <f>IF(+All!$F542="Missouri",+All!G542,IF(+All!$H542="Missouri",+All!G542,0))</f>
        <v>SEC</v>
      </c>
      <c r="H137" s="702" t="str">
        <f>IF(+All!$F542="Missouri",+All!H542,IF(+All!$H542="Missouri",+All!H542,0))</f>
        <v>Missouri</v>
      </c>
      <c r="I137" s="703" t="str">
        <f>IF(+All!$F542="Missouri",+All!I542,IF(+All!$H542="Missouri",+All!I542,0))</f>
        <v>SEC</v>
      </c>
      <c r="J137" s="704" t="str">
        <f>IF(+All!$F542="Missouri",+All!J542,IF(+All!$H542="Missouri",+All!J542,0))</f>
        <v>Missouri</v>
      </c>
      <c r="K137" s="701" t="str">
        <f>IF(+All!$F542="Missouri",+All!K542,IF(+All!$H542="Missouri",+All!K542,0))</f>
        <v>Vanderbilt</v>
      </c>
      <c r="L137" s="705">
        <f>IF(+All!$F542="Missouri",+All!L542,IF(+All!$H542="Missouri",+All!L542,0))</f>
        <v>14</v>
      </c>
      <c r="M137" s="706">
        <f>IF(+All!$F542="Missouri",+All!M542,IF(+All!$H542="Missouri",+All!M542,0))</f>
        <v>53</v>
      </c>
      <c r="N137" s="704" t="str">
        <f>IF(+All!$F542="Missouri",+All!N542,IF(+All!$H542="Missouri",+All!N542,0))</f>
        <v>Missouri</v>
      </c>
      <c r="O137" s="707">
        <f>IF(+All!$F542="Missouri",+All!O542,IF(+All!$H542="Missouri",+All!O542,0))</f>
        <v>17</v>
      </c>
      <c r="P137" s="707" t="str">
        <f>IF(+All!$F542="Missouri",+All!P542,IF(+All!$H542="Missouri",+All!P542,0))</f>
        <v>Vanderbilt</v>
      </c>
      <c r="Q137" s="701">
        <f>IF(+All!$F542="Missouri",+All!Q542,IF(+All!$H542="Missouri",+All!Q542,0))</f>
        <v>14</v>
      </c>
      <c r="R137" s="704" t="str">
        <f>IF(+All!$F542="Missouri",+All!R542,IF(+All!$H542="Missouri",+All!R542,0))</f>
        <v>Vanderbilt</v>
      </c>
      <c r="S137" s="707" t="str">
        <f>IF(+All!$F542="Missouri",+All!S542,IF(+All!$H542="Missouri",+All!S542,0))</f>
        <v>Missouri</v>
      </c>
      <c r="T137" s="704" t="str">
        <f>IF(+All!$F542="Missouri",+All!T542,IF(+All!$H542="Missouri",+All!T542,0))</f>
        <v>Missouri</v>
      </c>
      <c r="U137" s="701" t="str">
        <f>IF(+All!$F542="Missouri",+All!U542,IF(+All!$H542="Missouri",+All!U542,0))</f>
        <v>L</v>
      </c>
    </row>
    <row r="138" spans="1:21" x14ac:dyDescent="0.8">
      <c r="A138" s="718">
        <f>IF(+All!$F590="Missouri",+All!A590,IF(+All!$H590="Missouri",+All!A590,0))</f>
        <v>9</v>
      </c>
      <c r="B138" s="698" t="str">
        <f>IF(+All!$F590="Missouri",+All!B590,IF(+All!$H590="Missouri",+All!B590,0))</f>
        <v>Sat</v>
      </c>
      <c r="C138" s="699">
        <f>IF(+All!$F590="Missouri",+All!C590,IF(+All!$H590="Missouri",+All!C590,0))</f>
        <v>44863</v>
      </c>
      <c r="D138" s="700">
        <f>IF(+All!$F590="Missouri",+All!D590,IF(+All!$H590="Missouri",+All!D590,0))</f>
        <v>0.66666666666666663</v>
      </c>
      <c r="E138" s="701" t="str">
        <f>IF(+All!$F590="Missouri",+All!E590,IF(+All!$H590="Missouri",+All!E590,0))</f>
        <v>SEC</v>
      </c>
      <c r="F138" s="702" t="str">
        <f>IF(+All!$F590="Missouri",+All!F590,IF(+All!$H590="Missouri",+All!F590,0))</f>
        <v>Missouri</v>
      </c>
      <c r="G138" s="703" t="str">
        <f>IF(+All!$F590="Missouri",+All!G590,IF(+All!$H590="Missouri",+All!G590,0))</f>
        <v>SEC</v>
      </c>
      <c r="H138" s="702" t="str">
        <f>IF(+All!$F590="Missouri",+All!H590,IF(+All!$H590="Missouri",+All!H590,0))</f>
        <v>South Carolina</v>
      </c>
      <c r="I138" s="703" t="str">
        <f>IF(+All!$F590="Missouri",+All!I590,IF(+All!$H590="Missouri",+All!I590,0))</f>
        <v>SEC</v>
      </c>
      <c r="J138" s="704" t="str">
        <f>IF(+All!$F590="Missouri",+All!J590,IF(+All!$H590="Missouri",+All!J590,0))</f>
        <v>South Carolina</v>
      </c>
      <c r="K138" s="701" t="str">
        <f>IF(+All!$F590="Missouri",+All!K590,IF(+All!$H590="Missouri",+All!K590,0))</f>
        <v>Missouri</v>
      </c>
      <c r="L138" s="705">
        <f>IF(+All!$F590="Missouri",+All!L590,IF(+All!$H590="Missouri",+All!L590,0))</f>
        <v>4</v>
      </c>
      <c r="M138" s="706">
        <f>IF(+All!$F590="Missouri",+All!M590,IF(+All!$H590="Missouri",+All!M590,0))</f>
        <v>47</v>
      </c>
      <c r="N138" s="704" t="str">
        <f>IF(+All!$F590="Missouri",+All!N590,IF(+All!$H590="Missouri",+All!N590,0))</f>
        <v>Missouri</v>
      </c>
      <c r="O138" s="707">
        <f>IF(+All!$F590="Missouri",+All!O590,IF(+All!$H590="Missouri",+All!O590,0))</f>
        <v>23</v>
      </c>
      <c r="P138" s="707" t="str">
        <f>IF(+All!$F590="Missouri",+All!P590,IF(+All!$H590="Missouri",+All!P590,0))</f>
        <v>South Carolina</v>
      </c>
      <c r="Q138" s="701">
        <f>IF(+All!$F590="Missouri",+All!Q590,IF(+All!$H590="Missouri",+All!Q590,0))</f>
        <v>10</v>
      </c>
      <c r="R138" s="704" t="str">
        <f>IF(+All!$F590="Missouri",+All!R590,IF(+All!$H590="Missouri",+All!R590,0))</f>
        <v>Missouri</v>
      </c>
      <c r="S138" s="707" t="str">
        <f>IF(+All!$F590="Missouri",+All!S590,IF(+All!$H590="Missouri",+All!S590,0))</f>
        <v>South Carolina</v>
      </c>
      <c r="T138" s="704" t="str">
        <f>IF(+All!$F590="Missouri",+All!T590,IF(+All!$H590="Missouri",+All!T590,0))</f>
        <v>Missouri</v>
      </c>
      <c r="U138" s="701" t="str">
        <f>IF(+All!$F590="Missouri",+All!U590,IF(+All!$H590="Missouri",+All!U590,0))</f>
        <v>W</v>
      </c>
    </row>
    <row r="139" spans="1:21" x14ac:dyDescent="0.8">
      <c r="A139" s="718">
        <f>IF(+All!$F650="Missouri",+All!A650,IF(+All!$H650="Missouri",+All!A650,0))</f>
        <v>10</v>
      </c>
      <c r="B139" s="698" t="str">
        <f>IF(+All!$F650="Missouri",+All!B650,IF(+All!$H650="Missouri",+All!B650,0))</f>
        <v>Sat</v>
      </c>
      <c r="C139" s="699">
        <f>IF(+All!$F650="Missouri",+All!C650,IF(+All!$H650="Missouri",+All!C650,0))</f>
        <v>44870</v>
      </c>
      <c r="D139" s="700">
        <f>IF(+All!$F650="Missouri",+All!D650,IF(+All!$H650="Missouri",+All!D650,0))</f>
        <v>0.5</v>
      </c>
      <c r="E139" s="701" t="str">
        <f>IF(+All!$F650="Missouri",+All!E650,IF(+All!$H650="Missouri",+All!E650,0))</f>
        <v>SEC</v>
      </c>
      <c r="F139" s="702" t="str">
        <f>IF(+All!$F650="Missouri",+All!F650,IF(+All!$H650="Missouri",+All!F650,0))</f>
        <v>Kentucky</v>
      </c>
      <c r="G139" s="703" t="str">
        <f>IF(+All!$F650="Missouri",+All!G650,IF(+All!$H650="Missouri",+All!G650,0))</f>
        <v>SEC</v>
      </c>
      <c r="H139" s="702" t="str">
        <f>IF(+All!$F650="Missouri",+All!H650,IF(+All!$H650="Missouri",+All!H650,0))</f>
        <v>Missouri</v>
      </c>
      <c r="I139" s="703" t="str">
        <f>IF(+All!$F650="Missouri",+All!I650,IF(+All!$H650="Missouri",+All!I650,0))</f>
        <v>SEC</v>
      </c>
      <c r="J139" s="704" t="str">
        <f>IF(+All!$F650="Missouri",+All!J650,IF(+All!$H650="Missouri",+All!J650,0))</f>
        <v>Kentucky</v>
      </c>
      <c r="K139" s="701" t="str">
        <f>IF(+All!$F650="Missouri",+All!K650,IF(+All!$H650="Missouri",+All!K650,0))</f>
        <v>Missouri</v>
      </c>
      <c r="L139" s="705">
        <f>IF(+All!$F650="Missouri",+All!L650,IF(+All!$H650="Missouri",+All!L650,0))</f>
        <v>2</v>
      </c>
      <c r="M139" s="706">
        <f>IF(+All!$F650="Missouri",+All!M650,IF(+All!$H650="Missouri",+All!M650,0))</f>
        <v>42</v>
      </c>
      <c r="N139" s="704" t="str">
        <f>IF(+All!$F650="Missouri",+All!N650,IF(+All!$H650="Missouri",+All!N650,0))</f>
        <v>Kentucky</v>
      </c>
      <c r="O139" s="707">
        <f>IF(+All!$F650="Missouri",+All!O650,IF(+All!$H650="Missouri",+All!O650,0))</f>
        <v>21</v>
      </c>
      <c r="P139" s="707" t="str">
        <f>IF(+All!$F650="Missouri",+All!P650,IF(+All!$H650="Missouri",+All!P650,0))</f>
        <v>Missouri</v>
      </c>
      <c r="Q139" s="701">
        <f>IF(+All!$F650="Missouri",+All!Q650,IF(+All!$H650="Missouri",+All!Q650,0))</f>
        <v>17</v>
      </c>
      <c r="R139" s="704" t="str">
        <f>IF(+All!$F650="Missouri",+All!R650,IF(+All!$H650="Missouri",+All!R650,0))</f>
        <v>Kentucky</v>
      </c>
      <c r="S139" s="707" t="str">
        <f>IF(+All!$F650="Missouri",+All!S650,IF(+All!$H650="Missouri",+All!S650,0))</f>
        <v>Missouri</v>
      </c>
      <c r="T139" s="704" t="str">
        <f>IF(+All!$F650="Missouri",+All!T650,IF(+All!$H650="Missouri",+All!T650,0))</f>
        <v>Missouri</v>
      </c>
      <c r="U139" s="701" t="str">
        <f>IF(+All!$F650="Missouri",+All!U650,IF(+All!$H650="Missouri",+All!U650,0))</f>
        <v>L</v>
      </c>
    </row>
    <row r="140" spans="1:21" x14ac:dyDescent="0.8">
      <c r="A140" s="718">
        <f>IF(+All!$F717="Missouri",+All!A717,IF(+All!$H717="Missouri",+All!A717,0))</f>
        <v>11</v>
      </c>
      <c r="B140" s="698" t="str">
        <f>IF(+All!$F717="Missouri",+All!B717,IF(+All!$H717="Missouri",+All!B717,0))</f>
        <v>Sat</v>
      </c>
      <c r="C140" s="699">
        <f>IF(+All!$F717="Missouri",+All!C717,IF(+All!$H717="Missouri",+All!C717,0))</f>
        <v>44877</v>
      </c>
      <c r="D140" s="700">
        <f>IF(+All!$F717="Missouri",+All!D717,IF(+All!$H717="Missouri",+All!D717,0))</f>
        <v>0.5</v>
      </c>
      <c r="E140" s="701" t="str">
        <f>IF(+All!$F717="Missouri",+All!E717,IF(+All!$H717="Missouri",+All!E717,0))</f>
        <v>CBS</v>
      </c>
      <c r="F140" s="702" t="str">
        <f>IF(+All!$F717="Missouri",+All!F717,IF(+All!$H717="Missouri",+All!F717,0))</f>
        <v>Missouri</v>
      </c>
      <c r="G140" s="703" t="str">
        <f>IF(+All!$F717="Missouri",+All!G717,IF(+All!$H717="Missouri",+All!G717,0))</f>
        <v>SEC</v>
      </c>
      <c r="H140" s="702" t="str">
        <f>IF(+All!$F717="Missouri",+All!H717,IF(+All!$H717="Missouri",+All!H717,0))</f>
        <v>Tennessee</v>
      </c>
      <c r="I140" s="703" t="str">
        <f>IF(+All!$F717="Missouri",+All!I717,IF(+All!$H717="Missouri",+All!I717,0))</f>
        <v>SEC</v>
      </c>
      <c r="J140" s="704" t="str">
        <f>IF(+All!$F717="Missouri",+All!J717,IF(+All!$H717="Missouri",+All!J717,0))</f>
        <v>Tennessee</v>
      </c>
      <c r="K140" s="701" t="str">
        <f>IF(+All!$F717="Missouri",+All!K717,IF(+All!$H717="Missouri",+All!K717,0))</f>
        <v>Missouri</v>
      </c>
      <c r="L140" s="705">
        <f>IF(+All!$F717="Missouri",+All!L717,IF(+All!$H717="Missouri",+All!L717,0))</f>
        <v>20.5</v>
      </c>
      <c r="M140" s="706">
        <f>IF(+All!$F717="Missouri",+All!M717,IF(+All!$H717="Missouri",+All!M717,0))</f>
        <v>56.5</v>
      </c>
      <c r="N140" s="704" t="str">
        <f>IF(+All!$F717="Missouri",+All!N717,IF(+All!$H717="Missouri",+All!N717,0))</f>
        <v>Tennessee</v>
      </c>
      <c r="O140" s="707">
        <f>IF(+All!$F717="Missouri",+All!O717,IF(+All!$H717="Missouri",+All!O717,0))</f>
        <v>66</v>
      </c>
      <c r="P140" s="707" t="str">
        <f>IF(+All!$F717="Missouri",+All!P717,IF(+All!$H717="Missouri",+All!P717,0))</f>
        <v>Missouri</v>
      </c>
      <c r="Q140" s="701">
        <f>IF(+All!$F717="Missouri",+All!Q717,IF(+All!$H717="Missouri",+All!Q717,0))</f>
        <v>24</v>
      </c>
      <c r="R140" s="704" t="str">
        <f>IF(+All!$F717="Missouri",+All!R717,IF(+All!$H717="Missouri",+All!R717,0))</f>
        <v>Tennessee</v>
      </c>
      <c r="S140" s="707" t="str">
        <f>IF(+All!$F717="Missouri",+All!S717,IF(+All!$H717="Missouri",+All!S717,0))</f>
        <v>Missouri</v>
      </c>
      <c r="T140" s="704" t="str">
        <f>IF(+All!$F717="Missouri",+All!T717,IF(+All!$H717="Missouri",+All!T717,0))</f>
        <v>Missouri</v>
      </c>
      <c r="U140" s="701" t="str">
        <f>IF(+All!$F717="Missouri",+All!U717,IF(+All!$H717="Missouri",+All!U717,0))</f>
        <v>L</v>
      </c>
    </row>
    <row r="141" spans="1:21" x14ac:dyDescent="0.8">
      <c r="A141" s="718">
        <f>IF(+All!$F781="Missouri",+All!A781,IF(+All!$H781="Missouri",+All!A781,0))</f>
        <v>12</v>
      </c>
      <c r="B141" s="698" t="str">
        <f>IF(+All!$F781="Missouri",+All!B781,IF(+All!$H781="Missouri",+All!B781,0))</f>
        <v>Sat</v>
      </c>
      <c r="C141" s="699">
        <f>IF(+All!$F781="Missouri",+All!C781,IF(+All!$H781="Missouri",+All!C781,0))</f>
        <v>44884</v>
      </c>
      <c r="D141" s="700">
        <f>IF(+All!$F781="Missouri",+All!D781,IF(+All!$H781="Missouri",+All!D781,0))</f>
        <v>0.8125</v>
      </c>
      <c r="E141" s="701" t="str">
        <f>IF(+All!$F781="Missouri",+All!E781,IF(+All!$H781="Missouri",+All!E781,0))</f>
        <v>ESPNU</v>
      </c>
      <c r="F141" s="702" t="str">
        <f>IF(+All!$F781="Missouri",+All!F781,IF(+All!$H781="Missouri",+All!F781,0))</f>
        <v>New Mexico State</v>
      </c>
      <c r="G141" s="703" t="str">
        <f>IF(+All!$F781="Missouri",+All!G781,IF(+All!$H781="Missouri",+All!G781,0))</f>
        <v>Ind</v>
      </c>
      <c r="H141" s="702" t="str">
        <f>IF(+All!$F781="Missouri",+All!H781,IF(+All!$H781="Missouri",+All!H781,0))</f>
        <v>Missouri</v>
      </c>
      <c r="I141" s="703" t="str">
        <f>IF(+All!$F781="Missouri",+All!I781,IF(+All!$H781="Missouri",+All!I781,0))</f>
        <v>SEC</v>
      </c>
      <c r="J141" s="704" t="str">
        <f>IF(+All!$F781="Missouri",+All!J781,IF(+All!$H781="Missouri",+All!J781,0))</f>
        <v>Missouri</v>
      </c>
      <c r="K141" s="701" t="str">
        <f>IF(+All!$F781="Missouri",+All!K781,IF(+All!$H781="Missouri",+All!K781,0))</f>
        <v>New Mexico State</v>
      </c>
      <c r="L141" s="705">
        <f>IF(+All!$F781="Missouri",+All!L781,IF(+All!$H781="Missouri",+All!L781,0))</f>
        <v>28.5</v>
      </c>
      <c r="M141" s="706">
        <f>IF(+All!$F781="Missouri",+All!M781,IF(+All!$H781="Missouri",+All!M781,0))</f>
        <v>46.5</v>
      </c>
      <c r="N141" s="704" t="str">
        <f>IF(+All!$F781="Missouri",+All!N781,IF(+All!$H781="Missouri",+All!N781,0))</f>
        <v>Missouri</v>
      </c>
      <c r="O141" s="707">
        <f>IF(+All!$F781="Missouri",+All!O781,IF(+All!$H781="Missouri",+All!O781,0))</f>
        <v>45</v>
      </c>
      <c r="P141" s="707" t="str">
        <f>IF(+All!$F781="Missouri",+All!P781,IF(+All!$H781="Missouri",+All!P781,0))</f>
        <v>New Mexico State</v>
      </c>
      <c r="Q141" s="701">
        <f>IF(+All!$F781="Missouri",+All!Q781,IF(+All!$H781="Missouri",+All!Q781,0))</f>
        <v>14</v>
      </c>
      <c r="R141" s="704" t="str">
        <f>IF(+All!$F781="Missouri",+All!R781,IF(+All!$H781="Missouri",+All!R781,0))</f>
        <v>Missouri</v>
      </c>
      <c r="S141" s="707" t="str">
        <f>IF(+All!$F781="Missouri",+All!S781,IF(+All!$H781="Missouri",+All!S781,0))</f>
        <v>New Mexico State</v>
      </c>
      <c r="T141" s="704" t="str">
        <f>IF(+All!$F781="Missouri",+All!T781,IF(+All!$H781="Missouri",+All!T781,0))</f>
        <v>New Mexico State</v>
      </c>
      <c r="U141" s="701" t="str">
        <f>IF(+All!$F781="Missouri",+All!U781,IF(+All!$H781="Missouri",+All!U781,0))</f>
        <v>L</v>
      </c>
    </row>
    <row r="142" spans="1:21" x14ac:dyDescent="0.8">
      <c r="A142" s="718">
        <f>IF(+All!$F793="Missouri",+All!A793,IF(+All!$H793="Missouri",+All!A793,0))</f>
        <v>13</v>
      </c>
      <c r="B142" s="698" t="str">
        <f>IF(+All!$F793="Missouri",+All!B793,IF(+All!$H793="Missouri",+All!B793,0))</f>
        <v>Fri</v>
      </c>
      <c r="C142" s="699">
        <f>IF(+All!$F793="Missouri",+All!C793,IF(+All!$H793="Missouri",+All!C793,0))</f>
        <v>44890</v>
      </c>
      <c r="D142" s="700">
        <f>IF(+All!$F793="Missouri",+All!D793,IF(+All!$H793="Missouri",+All!D793,0))</f>
        <v>0.64583333333333337</v>
      </c>
      <c r="E142" s="701" t="str">
        <f>IF(+All!$F793="Missouri",+All!E793,IF(+All!$H793="Missouri",+All!E793,0))</f>
        <v>ABC</v>
      </c>
      <c r="F142" s="702" t="str">
        <f>IF(+All!$F793="Missouri",+All!F793,IF(+All!$H793="Missouri",+All!F793,0))</f>
        <v>Arkansas</v>
      </c>
      <c r="G142" s="703" t="str">
        <f>IF(+All!$F793="Missouri",+All!G793,IF(+All!$H793="Missouri",+All!G793,0))</f>
        <v>SEC</v>
      </c>
      <c r="H142" s="702" t="str">
        <f>IF(+All!$F793="Missouri",+All!H793,IF(+All!$H793="Missouri",+All!H793,0))</f>
        <v>Missouri</v>
      </c>
      <c r="I142" s="703" t="str">
        <f>IF(+All!$F793="Missouri",+All!I793,IF(+All!$H793="Missouri",+All!I793,0))</f>
        <v>SEC</v>
      </c>
      <c r="J142" s="704" t="str">
        <f>IF(+All!$F793="Missouri",+All!J793,IF(+All!$H793="Missouri",+All!J793,0))</f>
        <v>Arkansas</v>
      </c>
      <c r="K142" s="701" t="str">
        <f>IF(+All!$F793="Missouri",+All!K793,IF(+All!$H793="Missouri",+All!K793,0))</f>
        <v>Missouri</v>
      </c>
      <c r="L142" s="705">
        <f>IF(+All!$F793="Missouri",+All!L793,IF(+All!$H793="Missouri",+All!L793,0))</f>
        <v>3.5</v>
      </c>
      <c r="M142" s="706">
        <f>IF(+All!$F793="Missouri",+All!M793,IF(+All!$H793="Missouri",+All!M793,0))</f>
        <v>55.5</v>
      </c>
      <c r="N142" s="704" t="str">
        <f>IF(+All!$F793="Missouri",+All!N793,IF(+All!$H793="Missouri",+All!N793,0))</f>
        <v>Missouri</v>
      </c>
      <c r="O142" s="707">
        <f>IF(+All!$F793="Missouri",+All!O793,IF(+All!$H793="Missouri",+All!O793,0))</f>
        <v>29</v>
      </c>
      <c r="P142" s="707" t="str">
        <f>IF(+All!$F793="Missouri",+All!P793,IF(+All!$H793="Missouri",+All!P793,0))</f>
        <v>Arkansas</v>
      </c>
      <c r="Q142" s="701">
        <f>IF(+All!$F793="Missouri",+All!Q793,IF(+All!$H793="Missouri",+All!Q793,0))</f>
        <v>27</v>
      </c>
      <c r="R142" s="704" t="str">
        <f>IF(+All!$F793="Missouri",+All!R793,IF(+All!$H793="Missouri",+All!R793,0))</f>
        <v>Missouri</v>
      </c>
      <c r="S142" s="707" t="str">
        <f>IF(+All!$F793="Missouri",+All!S793,IF(+All!$H793="Missouri",+All!S793,0))</f>
        <v>Arkansas</v>
      </c>
      <c r="T142" s="704" t="str">
        <f>IF(+All!$F793="Missouri",+All!T793,IF(+All!$H793="Missouri",+All!T793,0))</f>
        <v>Missouri</v>
      </c>
      <c r="U142" s="701" t="str">
        <f>IF(+All!$F793="Missouri",+All!U793,IF(+All!$H793="Missouri",+All!U793,0))</f>
        <v>W</v>
      </c>
    </row>
    <row r="143" spans="1:21" x14ac:dyDescent="0.8">
      <c r="B143" s="697"/>
      <c r="C143" s="708"/>
      <c r="D143" s="700"/>
      <c r="F143" s="916" t="str">
        <f>F145</f>
        <v>South Carolina</v>
      </c>
      <c r="G143" s="917"/>
      <c r="H143" s="917"/>
      <c r="I143" s="918"/>
      <c r="L143" s="705"/>
      <c r="M143" s="706"/>
    </row>
    <row r="144" spans="1:21" x14ac:dyDescent="0.8">
      <c r="A144" s="719">
        <f>IF(+All!$F87="South Carolina",+All!A87,IF(+All!$H87="South Carolina",+All!A87,0))</f>
        <v>1</v>
      </c>
      <c r="B144" s="698" t="str">
        <f>IF(+All!$F87="South Carolina",+All!B87,IF(+All!$H87="South Carolina",+All!B87,0))</f>
        <v>Sat</v>
      </c>
      <c r="C144" s="699">
        <f>IF(+All!$F87="South Carolina",+All!C87,IF(+All!$H87="South Carolina",+All!C87,0))</f>
        <v>44807</v>
      </c>
      <c r="D144" s="700">
        <f>IF(+All!$F87="South Carolina",+All!D87,IF(+All!$H87="South Carolina",+All!D87,0))</f>
        <v>0.8125</v>
      </c>
      <c r="E144" s="701" t="str">
        <f>IF(+All!$F87="South Carolina",+All!E87,IF(+All!$H87="South Carolina",+All!E87,0))</f>
        <v>SEC</v>
      </c>
      <c r="F144" s="702" t="str">
        <f>IF(+All!$F87="South Carolina",+All!F87,IF(+All!$H87="South Carolina",+All!F87,0))</f>
        <v>Georgia State</v>
      </c>
      <c r="G144" s="703" t="str">
        <f>IF(+All!$F87="South Carolina",+All!G87,IF(+All!$H87="South Carolina",+All!G87,0))</f>
        <v>SB</v>
      </c>
      <c r="H144" s="702" t="str">
        <f>IF(+All!$F87="South Carolina",+All!H87,IF(+All!$H87="South Carolina",+All!H87,0))</f>
        <v>South Carolina</v>
      </c>
      <c r="I144" s="703" t="str">
        <f>IF(+All!$F87="South Carolina",+All!I87,IF(+All!$H87="South Carolina",+All!I87,0))</f>
        <v>SEC</v>
      </c>
      <c r="J144" s="704" t="str">
        <f>IF(+All!$F87="South Carolina",+All!J87,IF(+All!$H87="South Carolina",+All!J87,0))</f>
        <v>South Carolina</v>
      </c>
      <c r="K144" s="701" t="str">
        <f>IF(+All!$F87="South Carolina",+All!K87,IF(+All!$H87="South Carolina",+All!K87,0))</f>
        <v>Georgia State</v>
      </c>
      <c r="L144" s="705">
        <f>IF(+All!$F87="South Carolina",+All!L87,IF(+All!$H87="South Carolina",+All!L87,0))</f>
        <v>13</v>
      </c>
      <c r="M144" s="706">
        <f>IF(+All!$F87="South Carolina",+All!M87,IF(+All!$H87="South Carolina",+All!M87,0))</f>
        <v>57</v>
      </c>
      <c r="N144" s="704" t="str">
        <f>IF(+All!$F87="South Carolina",+All!N87,IF(+All!$H87="South Carolina",+All!N87,0))</f>
        <v>South Carolina</v>
      </c>
      <c r="O144" s="707">
        <f>IF(+All!$F87="South Carolina",+All!O87,IF(+All!$H87="South Carolina",+All!O87,0))</f>
        <v>35</v>
      </c>
      <c r="P144" s="707" t="str">
        <f>IF(+All!$F87="South Carolina",+All!P87,IF(+All!$H87="South Carolina",+All!P87,0))</f>
        <v>Georgia State</v>
      </c>
      <c r="Q144" s="701">
        <f>IF(+All!$F87="South Carolina",+All!Q87,IF(+All!$H87="South Carolina",+All!Q87,0))</f>
        <v>14</v>
      </c>
      <c r="R144" s="704" t="str">
        <f>IF(+All!$F87="South Carolina",+All!R87,IF(+All!$H87="South Carolina",+All!R87,0))</f>
        <v>South Carolina</v>
      </c>
      <c r="S144" s="707" t="str">
        <f>IF(+All!$F87="South Carolina",+All!S87,IF(+All!$H87="South Carolina",+All!S87,0))</f>
        <v>Georgia State</v>
      </c>
      <c r="T144" s="704" t="str">
        <f>IF(+All!$F87="South Carolina",+All!T87,IF(+All!$H87="South Carolina",+All!T87,0))</f>
        <v>South Carolina</v>
      </c>
      <c r="U144" s="701" t="str">
        <f>IF(+All!$F87="South Carolina",+All!U87,IF(+All!$H87="South Carolina",+All!U87,0))</f>
        <v>W</v>
      </c>
    </row>
    <row r="145" spans="1:21" x14ac:dyDescent="0.8">
      <c r="A145" s="719">
        <f>IF(+All!$F171="South Carolina",+All!A171,IF(+All!$H171="South Carolina",+All!A171,0))</f>
        <v>2</v>
      </c>
      <c r="B145" s="698" t="str">
        <f>IF(+All!$F171="South Carolina",+All!B171,IF(+All!$H171="South Carolina",+All!B171,0))</f>
        <v>Sat</v>
      </c>
      <c r="C145" s="699">
        <f>IF(+All!$F171="South Carolina",+All!C171,IF(+All!$H171="South Carolina",+All!C171,0))</f>
        <v>44814</v>
      </c>
      <c r="D145" s="700">
        <f>IF(+All!$F171="South Carolina",+All!D171,IF(+All!$H171="South Carolina",+All!D171,0))</f>
        <v>0.5</v>
      </c>
      <c r="E145" s="701" t="str">
        <f>IF(+All!$F171="South Carolina",+All!E171,IF(+All!$H171="South Carolina",+All!E171,0))</f>
        <v>ESPN</v>
      </c>
      <c r="F145" s="702" t="str">
        <f>IF(+All!$F171="South Carolina",+All!F171,IF(+All!$H171="South Carolina",+All!F171,0))</f>
        <v>South Carolina</v>
      </c>
      <c r="G145" s="703" t="str">
        <f>IF(+All!$F171="South Carolina",+All!G171,IF(+All!$H171="South Carolina",+All!G171,0))</f>
        <v>SEC</v>
      </c>
      <c r="H145" s="702" t="str">
        <f>IF(+All!$F171="South Carolina",+All!H171,IF(+All!$H171="South Carolina",+All!H171,0))</f>
        <v>Arkansas</v>
      </c>
      <c r="I145" s="703" t="str">
        <f>IF(+All!$F171="South Carolina",+All!I171,IF(+All!$H171="South Carolina",+All!I171,0))</f>
        <v>SEC</v>
      </c>
      <c r="J145" s="704" t="str">
        <f>IF(+All!$F171="South Carolina",+All!J171,IF(+All!$H171="South Carolina",+All!J171,0))</f>
        <v>Arkansas</v>
      </c>
      <c r="K145" s="701" t="str">
        <f>IF(+All!$F171="South Carolina",+All!K171,IF(+All!$H171="South Carolina",+All!K171,0))</f>
        <v>South Carolina</v>
      </c>
      <c r="L145" s="705">
        <f>IF(+All!$F171="South Carolina",+All!L171,IF(+All!$H171="South Carolina",+All!L171,0))</f>
        <v>8.5</v>
      </c>
      <c r="M145" s="706">
        <f>IF(+All!$F171="South Carolina",+All!M171,IF(+All!$H171="South Carolina",+All!M171,0))</f>
        <v>53</v>
      </c>
      <c r="N145" s="704" t="str">
        <f>IF(+All!$F171="South Carolina",+All!N171,IF(+All!$H171="South Carolina",+All!N171,0))</f>
        <v>Arkansas</v>
      </c>
      <c r="O145" s="707">
        <f>IF(+All!$F171="South Carolina",+All!O171,IF(+All!$H171="South Carolina",+All!O171,0))</f>
        <v>44</v>
      </c>
      <c r="P145" s="707" t="str">
        <f>IF(+All!$F171="South Carolina",+All!P171,IF(+All!$H171="South Carolina",+All!P171,0))</f>
        <v>South Carolina</v>
      </c>
      <c r="Q145" s="701">
        <f>IF(+All!$F171="South Carolina",+All!Q171,IF(+All!$H171="South Carolina",+All!Q171,0))</f>
        <v>30</v>
      </c>
      <c r="R145" s="704" t="str">
        <f>IF(+All!$F171="South Carolina",+All!R171,IF(+All!$H171="South Carolina",+All!R171,0))</f>
        <v>Arkansas</v>
      </c>
      <c r="S145" s="707" t="str">
        <f>IF(+All!$F171="South Carolina",+All!S171,IF(+All!$H171="South Carolina",+All!S171,0))</f>
        <v>South Carolina</v>
      </c>
      <c r="T145" s="704" t="str">
        <f>IF(+All!$F171="South Carolina",+All!T171,IF(+All!$H171="South Carolina",+All!T171,0))</f>
        <v>South Carolina</v>
      </c>
      <c r="U145" s="701" t="str">
        <f>IF(+All!$F171="South Carolina",+All!U171,IF(+All!$H171="South Carolina",+All!U171,0))</f>
        <v>L</v>
      </c>
    </row>
    <row r="146" spans="1:21" x14ac:dyDescent="0.8">
      <c r="A146" s="719">
        <f>IF(+All!$F249="South Carolina",+All!A249,IF(+All!$H249="South Carolina",+All!A249,0))</f>
        <v>3</v>
      </c>
      <c r="B146" s="698" t="str">
        <f>IF(+All!$F249="South Carolina",+All!B249,IF(+All!$H249="South Carolina",+All!B249,0))</f>
        <v>Sat</v>
      </c>
      <c r="C146" s="699">
        <f>IF(+All!$F249="South Carolina",+All!C249,IF(+All!$H249="South Carolina",+All!C249,0))</f>
        <v>44821</v>
      </c>
      <c r="D146" s="700">
        <f>IF(+All!$F249="South Carolina",+All!D249,IF(+All!$H249="South Carolina",+All!D249,0))</f>
        <v>0.5</v>
      </c>
      <c r="E146" s="701" t="str">
        <f>IF(+All!$F249="South Carolina",+All!E249,IF(+All!$H249="South Carolina",+All!E249,0))</f>
        <v>ESPN</v>
      </c>
      <c r="F146" s="702" t="str">
        <f>IF(+All!$F249="South Carolina",+All!F249,IF(+All!$H249="South Carolina",+All!F249,0))</f>
        <v>Georgia</v>
      </c>
      <c r="G146" s="703" t="str">
        <f>IF(+All!$F249="South Carolina",+All!G249,IF(+All!$H249="South Carolina",+All!G249,0))</f>
        <v>SEC</v>
      </c>
      <c r="H146" s="702" t="str">
        <f>IF(+All!$F249="South Carolina",+All!H249,IF(+All!$H249="South Carolina",+All!H249,0))</f>
        <v>South Carolina</v>
      </c>
      <c r="I146" s="703" t="str">
        <f>IF(+All!$F249="South Carolina",+All!I249,IF(+All!$H249="South Carolina",+All!I249,0))</f>
        <v>SEC</v>
      </c>
      <c r="J146" s="704" t="str">
        <f>IF(+All!$F249="South Carolina",+All!J249,IF(+All!$H249="South Carolina",+All!J249,0))</f>
        <v>Georgia</v>
      </c>
      <c r="K146" s="701" t="str">
        <f>IF(+All!$F249="South Carolina",+All!K249,IF(+All!$H249="South Carolina",+All!K249,0))</f>
        <v>South Carolina</v>
      </c>
      <c r="L146" s="705">
        <f>IF(+All!$F249="South Carolina",+All!L249,IF(+All!$H249="South Carolina",+All!L249,0))</f>
        <v>24</v>
      </c>
      <c r="M146" s="706">
        <f>IF(+All!$F249="South Carolina",+All!M249,IF(+All!$H249="South Carolina",+All!M249,0))</f>
        <v>52</v>
      </c>
      <c r="N146" s="704" t="str">
        <f>IF(+All!$F249="South Carolina",+All!N249,IF(+All!$H249="South Carolina",+All!N249,0))</f>
        <v>Georgia</v>
      </c>
      <c r="O146" s="707">
        <f>IF(+All!$F249="South Carolina",+All!O249,IF(+All!$H249="South Carolina",+All!O249,0))</f>
        <v>48</v>
      </c>
      <c r="P146" s="707" t="str">
        <f>IF(+All!$F249="South Carolina",+All!P249,IF(+All!$H249="South Carolina",+All!P249,0))</f>
        <v>South Carolina</v>
      </c>
      <c r="Q146" s="701">
        <f>IF(+All!$F249="South Carolina",+All!Q249,IF(+All!$H249="South Carolina",+All!Q249,0))</f>
        <v>7</v>
      </c>
      <c r="R146" s="704" t="str">
        <f>IF(+All!$F249="South Carolina",+All!R249,IF(+All!$H249="South Carolina",+All!R249,0))</f>
        <v>Georgia</v>
      </c>
      <c r="S146" s="707" t="str">
        <f>IF(+All!$F249="South Carolina",+All!S249,IF(+All!$H249="South Carolina",+All!S249,0))</f>
        <v>South Carolina</v>
      </c>
      <c r="T146" s="704" t="str">
        <f>IF(+All!$F249="South Carolina",+All!T249,IF(+All!$H249="South Carolina",+All!T249,0))</f>
        <v>Georgia</v>
      </c>
      <c r="U146" s="701" t="str">
        <f>IF(+All!$F249="South Carolina",+All!U249,IF(+All!$H249="South Carolina",+All!U249,0))</f>
        <v>W</v>
      </c>
    </row>
    <row r="147" spans="1:21" x14ac:dyDescent="0.8">
      <c r="A147" s="719">
        <f>IF(+All!$F316="South Carolina",+All!A316,IF(+All!$H316="South Carolina",+All!A316,0))</f>
        <v>4</v>
      </c>
      <c r="B147" s="698" t="str">
        <f>IF(+All!$F316="South Carolina",+All!B316,IF(+All!$H316="South Carolina",+All!B316,0))</f>
        <v>Sat</v>
      </c>
      <c r="C147" s="699">
        <f>IF(+All!$F316="South Carolina",+All!C316,IF(+All!$H316="South Carolina",+All!C316,0))</f>
        <v>44828</v>
      </c>
      <c r="D147" s="700">
        <f>IF(+All!$F316="South Carolina",+All!D316,IF(+All!$H316="South Carolina",+All!D316,0))</f>
        <v>0.8125</v>
      </c>
      <c r="E147" s="701" t="str">
        <f>IF(+All!$F316="South Carolina",+All!E316,IF(+All!$H316="South Carolina",+All!E316,0))</f>
        <v>ESPNU</v>
      </c>
      <c r="F147" s="702" t="str">
        <f>IF(+All!$F316="South Carolina",+All!F316,IF(+All!$H316="South Carolina",+All!F316,0))</f>
        <v>UNC Charlotte</v>
      </c>
      <c r="G147" s="703" t="str">
        <f>IF(+All!$F316="South Carolina",+All!G316,IF(+All!$H316="South Carolina",+All!G316,0))</f>
        <v>CUSA</v>
      </c>
      <c r="H147" s="702" t="str">
        <f>IF(+All!$F316="South Carolina",+All!H316,IF(+All!$H316="South Carolina",+All!H316,0))</f>
        <v>South Carolina</v>
      </c>
      <c r="I147" s="703" t="str">
        <f>IF(+All!$F316="South Carolina",+All!I316,IF(+All!$H316="South Carolina",+All!I316,0))</f>
        <v>SEC</v>
      </c>
      <c r="J147" s="704" t="str">
        <f>IF(+All!$F316="South Carolina",+All!J316,IF(+All!$H316="South Carolina",+All!J316,0))</f>
        <v>South Carolina</v>
      </c>
      <c r="K147" s="701" t="str">
        <f>IF(+All!$F316="South Carolina",+All!K316,IF(+All!$H316="South Carolina",+All!K316,0))</f>
        <v>UNC Charlotte</v>
      </c>
      <c r="L147" s="705">
        <f>IF(+All!$F316="South Carolina",+All!L316,IF(+All!$H316="South Carolina",+All!L316,0))</f>
        <v>22</v>
      </c>
      <c r="M147" s="706">
        <f>IF(+All!$F316="South Carolina",+All!M316,IF(+All!$H316="South Carolina",+All!M316,0))</f>
        <v>69</v>
      </c>
      <c r="N147" s="704" t="str">
        <f>IF(+All!$F316="South Carolina",+All!N316,IF(+All!$H316="South Carolina",+All!N316,0))</f>
        <v>South Carolina</v>
      </c>
      <c r="O147" s="707">
        <f>IF(+All!$F316="South Carolina",+All!O316,IF(+All!$H316="South Carolina",+All!O316,0))</f>
        <v>56</v>
      </c>
      <c r="P147" s="707" t="str">
        <f>IF(+All!$F316="South Carolina",+All!P316,IF(+All!$H316="South Carolina",+All!P316,0))</f>
        <v>UNC Charlotte</v>
      </c>
      <c r="Q147" s="701">
        <f>IF(+All!$F316="South Carolina",+All!Q316,IF(+All!$H316="South Carolina",+All!Q316,0))</f>
        <v>20</v>
      </c>
      <c r="R147" s="704" t="str">
        <f>IF(+All!$F316="South Carolina",+All!R316,IF(+All!$H316="South Carolina",+All!R316,0))</f>
        <v>South Carolina</v>
      </c>
      <c r="S147" s="707" t="str">
        <f>IF(+All!$F316="South Carolina",+All!S316,IF(+All!$H316="South Carolina",+All!S316,0))</f>
        <v>UNC Charlotte</v>
      </c>
      <c r="T147" s="704" t="str">
        <f>IF(+All!$F316="South Carolina",+All!T316,IF(+All!$H316="South Carolina",+All!T316,0))</f>
        <v>South Carolina</v>
      </c>
      <c r="U147" s="701" t="str">
        <f>IF(+All!$F316="South Carolina",+All!U316,IF(+All!$H316="South Carolina",+All!U316,0))</f>
        <v>W</v>
      </c>
    </row>
    <row r="148" spans="1:21" x14ac:dyDescent="0.8">
      <c r="A148" s="719">
        <f>IF(+All!$F381="South Carolina",+All!A381,IF(+All!$H381="South Carolina",+All!A381,0))</f>
        <v>5</v>
      </c>
      <c r="B148" s="698" t="str">
        <f>IF(+All!$F381="South Carolina",+All!B381,IF(+All!$H381="South Carolina",+All!B381,0))</f>
        <v>Thurs</v>
      </c>
      <c r="C148" s="699">
        <f>IF(+All!$F381="South Carolina",+All!C381,IF(+All!$H381="South Carolina",+All!C381,0))</f>
        <v>44833</v>
      </c>
      <c r="D148" s="700">
        <f>IF(+All!$F381="South Carolina",+All!D381,IF(+All!$H381="South Carolina",+All!D381,0))</f>
        <v>0.83333333333333337</v>
      </c>
      <c r="E148" s="701" t="str">
        <f>IF(+All!$F381="South Carolina",+All!E381,IF(+All!$H381="South Carolina",+All!E381,0))</f>
        <v>SEC</v>
      </c>
      <c r="F148" s="702" t="str">
        <f>IF(+All!$F381="South Carolina",+All!F381,IF(+All!$H381="South Carolina",+All!F381,0))</f>
        <v>1AA South Carolina State</v>
      </c>
      <c r="G148" s="703" t="str">
        <f>IF(+All!$F381="South Carolina",+All!G381,IF(+All!$H381="South Carolina",+All!G381,0))</f>
        <v>1AA</v>
      </c>
      <c r="H148" s="702" t="str">
        <f>IF(+All!$F381="South Carolina",+All!H381,IF(+All!$H381="South Carolina",+All!H381,0))</f>
        <v>South Carolina</v>
      </c>
      <c r="I148" s="703" t="str">
        <f>IF(+All!$F381="South Carolina",+All!I381,IF(+All!$H381="South Carolina",+All!I381,0))</f>
        <v>SEC</v>
      </c>
      <c r="J148" s="704">
        <f>IF(+All!$F381="South Carolina",+All!J381,IF(+All!$H381="South Carolina",+All!J381,0))</f>
        <v>0</v>
      </c>
      <c r="K148" s="701">
        <f>IF(+All!$F381="South Carolina",+All!K381,IF(+All!$H381="South Carolina",+All!K381,0))</f>
        <v>0</v>
      </c>
      <c r="L148" s="705">
        <f>IF(+All!$F381="South Carolina",+All!L381,IF(+All!$H381="South Carolina",+All!L381,0))</f>
        <v>0</v>
      </c>
      <c r="M148" s="706">
        <f>IF(+All!$F381="South Carolina",+All!M381,IF(+All!$H381="South Carolina",+All!M381,0))</f>
        <v>0</v>
      </c>
      <c r="N148" s="704" t="str">
        <f>IF(+All!$F381="South Carolina",+All!N381,IF(+All!$H381="South Carolina",+All!N381,0))</f>
        <v>South Carolina</v>
      </c>
      <c r="O148" s="707">
        <f>IF(+All!$F381="South Carolina",+All!O381,IF(+All!$H381="South Carolina",+All!O381,0))</f>
        <v>50</v>
      </c>
      <c r="P148" s="707" t="str">
        <f>IF(+All!$F381="South Carolina",+All!P381,IF(+All!$H381="South Carolina",+All!P381,0))</f>
        <v>1AA South Carolina State</v>
      </c>
      <c r="Q148" s="701">
        <f>IF(+All!$F381="South Carolina",+All!Q381,IF(+All!$H381="South Carolina",+All!Q381,0))</f>
        <v>10</v>
      </c>
      <c r="R148" s="704">
        <f>IF(+All!$F381="South Carolina",+All!R381,IF(+All!$H381="South Carolina",+All!R381,0))</f>
        <v>0</v>
      </c>
      <c r="S148" s="707">
        <f>IF(+All!$F381="South Carolina",+All!S381,IF(+All!$H381="South Carolina",+All!S381,0))</f>
        <v>0</v>
      </c>
      <c r="T148" s="704">
        <f>IF(+All!$F381="South Carolina",+All!T381,IF(+All!$H381="South Carolina",+All!T381,0))</f>
        <v>0</v>
      </c>
      <c r="U148" s="701">
        <f>IF(+All!$F381="South Carolina",+All!U381,IF(+All!$H381="South Carolina",+All!U381,0))</f>
        <v>0</v>
      </c>
    </row>
    <row r="149" spans="1:21" x14ac:dyDescent="0.8">
      <c r="A149" s="719">
        <f>IF(+All!$F434="South Carolina",+All!A434,IF(+All!$H434="South Carolina",+All!A434,0))</f>
        <v>6</v>
      </c>
      <c r="B149" s="698" t="str">
        <f>IF(+All!$F434="South Carolina",+All!B434,IF(+All!$H434="South Carolina",+All!B434,0))</f>
        <v>Sat</v>
      </c>
      <c r="C149" s="699">
        <f>IF(+All!$F434="South Carolina",+All!C434,IF(+All!$H434="South Carolina",+All!C434,0))</f>
        <v>44842</v>
      </c>
      <c r="D149" s="700">
        <f>IF(+All!$F434="South Carolina",+All!D434,IF(+All!$H434="South Carolina",+All!D434,0))</f>
        <v>0.8125</v>
      </c>
      <c r="E149" s="701" t="str">
        <f>IF(+All!$F434="South Carolina",+All!E434,IF(+All!$H434="South Carolina",+All!E434,0))</f>
        <v>SEC</v>
      </c>
      <c r="F149" s="702" t="str">
        <f>IF(+All!$F434="South Carolina",+All!F434,IF(+All!$H434="South Carolina",+All!F434,0))</f>
        <v>South Carolina</v>
      </c>
      <c r="G149" s="703" t="str">
        <f>IF(+All!$F434="South Carolina",+All!G434,IF(+All!$H434="South Carolina",+All!G434,0))</f>
        <v>SEC</v>
      </c>
      <c r="H149" s="702" t="str">
        <f>IF(+All!$F434="South Carolina",+All!H434,IF(+All!$H434="South Carolina",+All!H434,0))</f>
        <v>Kentucky</v>
      </c>
      <c r="I149" s="703" t="str">
        <f>IF(+All!$F434="South Carolina",+All!I434,IF(+All!$H434="South Carolina",+All!I434,0))</f>
        <v>SEC</v>
      </c>
      <c r="J149" s="704" t="str">
        <f>IF(+All!$F434="South Carolina",+All!J434,IF(+All!$H434="South Carolina",+All!J434,0))</f>
        <v>Kentucky</v>
      </c>
      <c r="K149" s="701" t="str">
        <f>IF(+All!$F434="South Carolina",+All!K434,IF(+All!$H434="South Carolina",+All!K434,0))</f>
        <v>South Carolina</v>
      </c>
      <c r="L149" s="705">
        <f>IF(+All!$F434="South Carolina",+All!L434,IF(+All!$H434="South Carolina",+All!L434,0))</f>
        <v>10.5</v>
      </c>
      <c r="M149" s="706">
        <f>IF(+All!$F434="South Carolina",+All!M434,IF(+All!$H434="South Carolina",+All!M434,0))</f>
        <v>49</v>
      </c>
      <c r="N149" s="704" t="str">
        <f>IF(+All!$F434="South Carolina",+All!N434,IF(+All!$H434="South Carolina",+All!N434,0))</f>
        <v>South Carolina</v>
      </c>
      <c r="O149" s="707">
        <f>IF(+All!$F434="South Carolina",+All!O434,IF(+All!$H434="South Carolina",+All!O434,0))</f>
        <v>24</v>
      </c>
      <c r="P149" s="707" t="str">
        <f>IF(+All!$F434="South Carolina",+All!P434,IF(+All!$H434="South Carolina",+All!P434,0))</f>
        <v>Kentucky</v>
      </c>
      <c r="Q149" s="701">
        <f>IF(+All!$F434="South Carolina",+All!Q434,IF(+All!$H434="South Carolina",+All!Q434,0))</f>
        <v>14</v>
      </c>
      <c r="R149" s="704" t="str">
        <f>IF(+All!$F434="South Carolina",+All!R434,IF(+All!$H434="South Carolina",+All!R434,0))</f>
        <v>South Carolina</v>
      </c>
      <c r="S149" s="707" t="str">
        <f>IF(+All!$F434="South Carolina",+All!S434,IF(+All!$H434="South Carolina",+All!S434,0))</f>
        <v>Kentucky</v>
      </c>
      <c r="T149" s="704" t="str">
        <f>IF(+All!$F434="South Carolina",+All!T434,IF(+All!$H434="South Carolina",+All!T434,0))</f>
        <v>Kentucky</v>
      </c>
      <c r="U149" s="701" t="str">
        <f>IF(+All!$F434="South Carolina",+All!U434,IF(+All!$H434="South Carolina",+All!U434,0))</f>
        <v>L</v>
      </c>
    </row>
    <row r="150" spans="1:21" x14ac:dyDescent="0.8">
      <c r="A150" s="719" t="e">
        <f>IF(+All!#REF!="South Carolina",+All!#REF!,IF(+All!#REF!="South Carolina",+All!#REF!,0))</f>
        <v>#REF!</v>
      </c>
      <c r="B150" s="698" t="e">
        <f>IF(+All!#REF!="South Carolina",+All!#REF!,IF(+All!#REF!="South Carolina",+All!#REF!,0))</f>
        <v>#REF!</v>
      </c>
      <c r="C150" s="699" t="e">
        <f>IF(+All!#REF!="South Carolina",+All!#REF!,IF(+All!#REF!="South Carolina",+All!#REF!,0))</f>
        <v>#REF!</v>
      </c>
      <c r="D150" s="700" t="e">
        <f>IF(+All!#REF!="South Carolina",+All!#REF!,IF(+All!#REF!="South Carolina",+All!#REF!,0))</f>
        <v>#REF!</v>
      </c>
      <c r="E150" s="701" t="e">
        <f>IF(+All!#REF!="South Carolina",+All!#REF!,IF(+All!#REF!="South Carolina",+All!#REF!,0))</f>
        <v>#REF!</v>
      </c>
      <c r="F150" s="702" t="e">
        <f>IF(+All!#REF!="South Carolina",+All!#REF!,IF(+All!#REF!="South Carolina",+All!#REF!,0))</f>
        <v>#REF!</v>
      </c>
      <c r="G150" s="703" t="e">
        <f>IF(+All!#REF!="South Carolina",+All!#REF!,IF(+All!#REF!="South Carolina",+All!#REF!,0))</f>
        <v>#REF!</v>
      </c>
      <c r="H150" s="702" t="e">
        <f>IF(+All!#REF!="South Carolina",+All!#REF!,IF(+All!#REF!="South Carolina",+All!#REF!,0))</f>
        <v>#REF!</v>
      </c>
      <c r="I150" s="703" t="e">
        <f>IF(+All!#REF!="South Carolina",+All!#REF!,IF(+All!#REF!="South Carolina",+All!#REF!,0))</f>
        <v>#REF!</v>
      </c>
      <c r="J150" s="704" t="e">
        <f>IF(+All!#REF!="South Carolina",+All!#REF!,IF(+All!#REF!="South Carolina",+All!#REF!,0))</f>
        <v>#REF!</v>
      </c>
      <c r="K150" s="701" t="e">
        <f>IF(+All!#REF!="South Carolina",+All!#REF!,IF(+All!#REF!="South Carolina",+All!#REF!,0))</f>
        <v>#REF!</v>
      </c>
      <c r="L150" s="705" t="e">
        <f>IF(+All!#REF!="South Carolina",+All!#REF!,IF(+All!#REF!="South Carolina",+All!#REF!,0))</f>
        <v>#REF!</v>
      </c>
      <c r="M150" s="706" t="e">
        <f>IF(+All!#REF!="South Carolina",+All!#REF!,IF(+All!#REF!="South Carolina",+All!#REF!,0))</f>
        <v>#REF!</v>
      </c>
      <c r="N150" s="704" t="e">
        <f>IF(+All!#REF!="South Carolina",+All!#REF!,IF(+All!#REF!="South Carolina",+All!#REF!,0))</f>
        <v>#REF!</v>
      </c>
      <c r="O150" s="707" t="e">
        <f>IF(+All!#REF!="South Carolina",+All!#REF!,IF(+All!#REF!="South Carolina",+All!#REF!,0))</f>
        <v>#REF!</v>
      </c>
      <c r="P150" s="707" t="e">
        <f>IF(+All!#REF!="South Carolina",+All!#REF!,IF(+All!#REF!="South Carolina",+All!#REF!,0))</f>
        <v>#REF!</v>
      </c>
      <c r="Q150" s="701" t="e">
        <f>IF(+All!#REF!="South Carolina",+All!#REF!,IF(+All!#REF!="South Carolina",+All!#REF!,0))</f>
        <v>#REF!</v>
      </c>
      <c r="R150" s="704" t="e">
        <f>IF(+All!#REF!="South Carolina",+All!#REF!,IF(+All!#REF!="South Carolina",+All!#REF!,0))</f>
        <v>#REF!</v>
      </c>
      <c r="S150" s="707" t="e">
        <f>IF(+All!#REF!="South Carolina",+All!#REF!,IF(+All!#REF!="South Carolina",+All!#REF!,0))</f>
        <v>#REF!</v>
      </c>
      <c r="T150" s="704" t="e">
        <f>IF(+All!#REF!="South Carolina",+All!#REF!,IF(+All!#REF!="South Carolina",+All!#REF!,0))</f>
        <v>#REF!</v>
      </c>
      <c r="U150" s="701" t="e">
        <f>IF(+All!#REF!="South Carolina",+All!#REF!,IF(+All!#REF!="South Carolina",+All!#REF!,0))</f>
        <v>#REF!</v>
      </c>
    </row>
    <row r="151" spans="1:21" x14ac:dyDescent="0.8">
      <c r="A151" s="719">
        <f>IF(+All!$F543="South Carolina",+All!A543,IF(+All!$H543="South Carolina",+All!A543,0))</f>
        <v>8</v>
      </c>
      <c r="B151" s="698" t="str">
        <f>IF(+All!$F543="South Carolina",+All!B543,IF(+All!$H543="South Carolina",+All!B543,0))</f>
        <v>Sat</v>
      </c>
      <c r="C151" s="699">
        <f>IF(+All!$F543="South Carolina",+All!C543,IF(+All!$H543="South Carolina",+All!C543,0))</f>
        <v>44856</v>
      </c>
      <c r="D151" s="700">
        <f>IF(+All!$F543="South Carolina",+All!D543,IF(+All!$H543="South Carolina",+All!D543,0))</f>
        <v>0.8125</v>
      </c>
      <c r="E151" s="701" t="str">
        <f>IF(+All!$F543="South Carolina",+All!E543,IF(+All!$H543="South Carolina",+All!E543,0))</f>
        <v>SEC</v>
      </c>
      <c r="F151" s="702" t="str">
        <f>IF(+All!$F543="South Carolina",+All!F543,IF(+All!$H543="South Carolina",+All!F543,0))</f>
        <v>Texas A&amp;M</v>
      </c>
      <c r="G151" s="703" t="str">
        <f>IF(+All!$F543="South Carolina",+All!G543,IF(+All!$H543="South Carolina",+All!G543,0))</f>
        <v>SEC</v>
      </c>
      <c r="H151" s="702" t="str">
        <f>IF(+All!$F543="South Carolina",+All!H543,IF(+All!$H543="South Carolina",+All!H543,0))</f>
        <v>South Carolina</v>
      </c>
      <c r="I151" s="703" t="str">
        <f>IF(+All!$F543="South Carolina",+All!I543,IF(+All!$H543="South Carolina",+All!I543,0))</f>
        <v>SEC</v>
      </c>
      <c r="J151" s="704" t="str">
        <f>IF(+All!$F543="South Carolina",+All!J543,IF(+All!$H543="South Carolina",+All!J543,0))</f>
        <v>Texas A&amp;M</v>
      </c>
      <c r="K151" s="701" t="str">
        <f>IF(+All!$F543="South Carolina",+All!K543,IF(+All!$H543="South Carolina",+All!K543,0))</f>
        <v>South Carolina</v>
      </c>
      <c r="L151" s="705">
        <f>IF(+All!$F543="South Carolina",+All!L543,IF(+All!$H543="South Carolina",+All!L543,0))</f>
        <v>3.5</v>
      </c>
      <c r="M151" s="706">
        <f>IF(+All!$F543="South Carolina",+All!M543,IF(+All!$H543="South Carolina",+All!M543,0))</f>
        <v>45</v>
      </c>
      <c r="N151" s="704" t="str">
        <f>IF(+All!$F543="South Carolina",+All!N543,IF(+All!$H543="South Carolina",+All!N543,0))</f>
        <v>South Carolina</v>
      </c>
      <c r="O151" s="707">
        <f>IF(+All!$F543="South Carolina",+All!O543,IF(+All!$H543="South Carolina",+All!O543,0))</f>
        <v>30</v>
      </c>
      <c r="P151" s="707" t="str">
        <f>IF(+All!$F543="South Carolina",+All!P543,IF(+All!$H543="South Carolina",+All!P543,0))</f>
        <v>Texas A&amp;M</v>
      </c>
      <c r="Q151" s="701">
        <f>IF(+All!$F543="South Carolina",+All!Q543,IF(+All!$H543="South Carolina",+All!Q543,0))</f>
        <v>24</v>
      </c>
      <c r="R151" s="704" t="str">
        <f>IF(+All!$F543="South Carolina",+All!R543,IF(+All!$H543="South Carolina",+All!R543,0))</f>
        <v>South Carolina</v>
      </c>
      <c r="S151" s="707" t="str">
        <f>IF(+All!$F543="South Carolina",+All!S543,IF(+All!$H543="South Carolina",+All!S543,0))</f>
        <v>Texas A&amp;M</v>
      </c>
      <c r="T151" s="704" t="str">
        <f>IF(+All!$F543="South Carolina",+All!T543,IF(+All!$H543="South Carolina",+All!T543,0))</f>
        <v>South Carolina</v>
      </c>
      <c r="U151" s="701" t="str">
        <f>IF(+All!$F543="South Carolina",+All!U543,IF(+All!$H543="South Carolina",+All!U543,0))</f>
        <v>W</v>
      </c>
    </row>
    <row r="152" spans="1:21" x14ac:dyDescent="0.8">
      <c r="A152" s="719">
        <f>IF(+All!$F590="South Carolina",+All!A590,IF(+All!$H590="South Carolina",+All!A590,0))</f>
        <v>9</v>
      </c>
      <c r="B152" s="698" t="str">
        <f>IF(+All!$F590="South Carolina",+All!B590,IF(+All!$H590="South Carolina",+All!B590,0))</f>
        <v>Sat</v>
      </c>
      <c r="C152" s="699">
        <f>IF(+All!$F590="South Carolina",+All!C590,IF(+All!$H590="South Carolina",+All!C590,0))</f>
        <v>44863</v>
      </c>
      <c r="D152" s="700">
        <f>IF(+All!$F590="South Carolina",+All!D590,IF(+All!$H590="South Carolina",+All!D590,0))</f>
        <v>0.66666666666666663</v>
      </c>
      <c r="E152" s="701" t="str">
        <f>IF(+All!$F590="South Carolina",+All!E590,IF(+All!$H590="South Carolina",+All!E590,0))</f>
        <v>SEC</v>
      </c>
      <c r="F152" s="702" t="str">
        <f>IF(+All!$F590="South Carolina",+All!F590,IF(+All!$H590="South Carolina",+All!F590,0))</f>
        <v>Missouri</v>
      </c>
      <c r="G152" s="703" t="str">
        <f>IF(+All!$F590="South Carolina",+All!G590,IF(+All!$H590="South Carolina",+All!G590,0))</f>
        <v>SEC</v>
      </c>
      <c r="H152" s="702" t="str">
        <f>IF(+All!$F590="South Carolina",+All!H590,IF(+All!$H590="South Carolina",+All!H590,0))</f>
        <v>South Carolina</v>
      </c>
      <c r="I152" s="703" t="str">
        <f>IF(+All!$F590="South Carolina",+All!I590,IF(+All!$H590="South Carolina",+All!I590,0))</f>
        <v>SEC</v>
      </c>
      <c r="J152" s="704" t="str">
        <f>IF(+All!$F590="South Carolina",+All!J590,IF(+All!$H590="South Carolina",+All!J590,0))</f>
        <v>South Carolina</v>
      </c>
      <c r="K152" s="701" t="str">
        <f>IF(+All!$F590="South Carolina",+All!K590,IF(+All!$H590="South Carolina",+All!K590,0))</f>
        <v>Missouri</v>
      </c>
      <c r="L152" s="705">
        <f>IF(+All!$F590="South Carolina",+All!L590,IF(+All!$H590="South Carolina",+All!L590,0))</f>
        <v>4</v>
      </c>
      <c r="M152" s="706">
        <f>IF(+All!$F590="South Carolina",+All!M590,IF(+All!$H590="South Carolina",+All!M590,0))</f>
        <v>47</v>
      </c>
      <c r="N152" s="704" t="str">
        <f>IF(+All!$F590="South Carolina",+All!N590,IF(+All!$H590="South Carolina",+All!N590,0))</f>
        <v>Missouri</v>
      </c>
      <c r="O152" s="707">
        <f>IF(+All!$F590="South Carolina",+All!O590,IF(+All!$H590="South Carolina",+All!O590,0))</f>
        <v>23</v>
      </c>
      <c r="P152" s="707" t="str">
        <f>IF(+All!$F590="South Carolina",+All!P590,IF(+All!$H590="South Carolina",+All!P590,0))</f>
        <v>South Carolina</v>
      </c>
      <c r="Q152" s="701">
        <f>IF(+All!$F590="South Carolina",+All!Q590,IF(+All!$H590="South Carolina",+All!Q590,0))</f>
        <v>10</v>
      </c>
      <c r="R152" s="704" t="str">
        <f>IF(+All!$F590="South Carolina",+All!R590,IF(+All!$H590="South Carolina",+All!R590,0))</f>
        <v>Missouri</v>
      </c>
      <c r="S152" s="707" t="str">
        <f>IF(+All!$F590="South Carolina",+All!S590,IF(+All!$H590="South Carolina",+All!S590,0))</f>
        <v>South Carolina</v>
      </c>
      <c r="T152" s="704" t="str">
        <f>IF(+All!$F590="South Carolina",+All!T590,IF(+All!$H590="South Carolina",+All!T590,0))</f>
        <v>Missouri</v>
      </c>
      <c r="U152" s="701" t="str">
        <f>IF(+All!$F590="South Carolina",+All!U590,IF(+All!$H590="South Carolina",+All!U590,0))</f>
        <v>W</v>
      </c>
    </row>
    <row r="153" spans="1:21" x14ac:dyDescent="0.8">
      <c r="A153" s="719">
        <f>IF(+All!$F652="South Carolina",+All!A652,IF(+All!$H652="South Carolina",+All!A652,0))</f>
        <v>10</v>
      </c>
      <c r="B153" s="698" t="str">
        <f>IF(+All!$F652="South Carolina",+All!B652,IF(+All!$H652="South Carolina",+All!B652,0))</f>
        <v>Sat</v>
      </c>
      <c r="C153" s="699">
        <f>IF(+All!$F652="South Carolina",+All!C652,IF(+All!$H652="South Carolina",+All!C652,0))</f>
        <v>44870</v>
      </c>
      <c r="D153" s="700">
        <f>IF(+All!$F652="South Carolina",+All!D652,IF(+All!$H652="South Carolina",+All!D652,0))</f>
        <v>0.8125</v>
      </c>
      <c r="E153" s="701" t="str">
        <f>IF(+All!$F652="South Carolina",+All!E652,IF(+All!$H652="South Carolina",+All!E652,0))</f>
        <v>SEC</v>
      </c>
      <c r="F153" s="702" t="str">
        <f>IF(+All!$F652="South Carolina",+All!F652,IF(+All!$H652="South Carolina",+All!F652,0))</f>
        <v>South Carolina</v>
      </c>
      <c r="G153" s="703" t="str">
        <f>IF(+All!$F652="South Carolina",+All!G652,IF(+All!$H652="South Carolina",+All!G652,0))</f>
        <v>SEC</v>
      </c>
      <c r="H153" s="702" t="str">
        <f>IF(+All!$F652="South Carolina",+All!H652,IF(+All!$H652="South Carolina",+All!H652,0))</f>
        <v>Vanderbilt</v>
      </c>
      <c r="I153" s="703" t="str">
        <f>IF(+All!$F652="South Carolina",+All!I652,IF(+All!$H652="South Carolina",+All!I652,0))</f>
        <v>SEC</v>
      </c>
      <c r="J153" s="704" t="str">
        <f>IF(+All!$F652="South Carolina",+All!J652,IF(+All!$H652="South Carolina",+All!J652,0))</f>
        <v>South Carolina</v>
      </c>
      <c r="K153" s="701" t="str">
        <f>IF(+All!$F652="South Carolina",+All!K652,IF(+All!$H652="South Carolina",+All!K652,0))</f>
        <v>Vanderbilt</v>
      </c>
      <c r="L153" s="705">
        <f>IF(+All!$F652="South Carolina",+All!L652,IF(+All!$H652="South Carolina",+All!L652,0))</f>
        <v>7</v>
      </c>
      <c r="M153" s="706">
        <f>IF(+All!$F652="South Carolina",+All!M652,IF(+All!$H652="South Carolina",+All!M652,0))</f>
        <v>48.5</v>
      </c>
      <c r="N153" s="704" t="str">
        <f>IF(+All!$F652="South Carolina",+All!N652,IF(+All!$H652="South Carolina",+All!N652,0))</f>
        <v>South Carolina</v>
      </c>
      <c r="O153" s="707">
        <f>IF(+All!$F652="South Carolina",+All!O652,IF(+All!$H652="South Carolina",+All!O652,0))</f>
        <v>38</v>
      </c>
      <c r="P153" s="707" t="str">
        <f>IF(+All!$F652="South Carolina",+All!P652,IF(+All!$H652="South Carolina",+All!P652,0))</f>
        <v>Vanderbilt</v>
      </c>
      <c r="Q153" s="701">
        <f>IF(+All!$F652="South Carolina",+All!Q652,IF(+All!$H652="South Carolina",+All!Q652,0))</f>
        <v>27</v>
      </c>
      <c r="R153" s="704" t="str">
        <f>IF(+All!$F652="South Carolina",+All!R652,IF(+All!$H652="South Carolina",+All!R652,0))</f>
        <v>South Carolina</v>
      </c>
      <c r="S153" s="707" t="str">
        <f>IF(+All!$F652="South Carolina",+All!S652,IF(+All!$H652="South Carolina",+All!S652,0))</f>
        <v>Vanderbilt</v>
      </c>
      <c r="T153" s="704" t="str">
        <f>IF(+All!$F652="South Carolina",+All!T652,IF(+All!$H652="South Carolina",+All!T652,0))</f>
        <v>South Carolina</v>
      </c>
      <c r="U153" s="701" t="str">
        <f>IF(+All!$F652="South Carolina",+All!U652,IF(+All!$H652="South Carolina",+All!U652,0))</f>
        <v>W</v>
      </c>
    </row>
    <row r="154" spans="1:21" x14ac:dyDescent="0.8">
      <c r="A154" s="719">
        <f>IF(+All!$F713="South Carolina",+All!A713,IF(+All!$H713="South Carolina",+All!A713,0))</f>
        <v>11</v>
      </c>
      <c r="B154" s="698" t="str">
        <f>IF(+All!$F713="South Carolina",+All!B713,IF(+All!$H713="South Carolina",+All!B713,0))</f>
        <v>Sat</v>
      </c>
      <c r="C154" s="699">
        <f>IF(+All!$F713="South Carolina",+All!C713,IF(+All!$H713="South Carolina",+All!C713,0))</f>
        <v>44877</v>
      </c>
      <c r="D154" s="700">
        <f>IF(+All!$F713="South Carolina",+All!D713,IF(+All!$H713="South Carolina",+All!D713,0))</f>
        <v>0.66666666666666663</v>
      </c>
      <c r="E154" s="701" t="str">
        <f>IF(+All!$F713="South Carolina",+All!E713,IF(+All!$H713="South Carolina",+All!E713,0))</f>
        <v>SEC</v>
      </c>
      <c r="F154" s="702" t="str">
        <f>IF(+All!$F713="South Carolina",+All!F713,IF(+All!$H713="South Carolina",+All!F713,0))</f>
        <v>South Carolina</v>
      </c>
      <c r="G154" s="703" t="str">
        <f>IF(+All!$F713="South Carolina",+All!G713,IF(+All!$H713="South Carolina",+All!G713,0))</f>
        <v>SEC</v>
      </c>
      <c r="H154" s="702" t="str">
        <f>IF(+All!$F713="South Carolina",+All!H713,IF(+All!$H713="South Carolina",+All!H713,0))</f>
        <v>Florida</v>
      </c>
      <c r="I154" s="703" t="str">
        <f>IF(+All!$F713="South Carolina",+All!I713,IF(+All!$H713="South Carolina",+All!I713,0))</f>
        <v>SEC</v>
      </c>
      <c r="J154" s="704" t="str">
        <f>IF(+All!$F713="South Carolina",+All!J713,IF(+All!$H713="South Carolina",+All!J713,0))</f>
        <v>Florida</v>
      </c>
      <c r="K154" s="701" t="str">
        <f>IF(+All!$F713="South Carolina",+All!K713,IF(+All!$H713="South Carolina",+All!K713,0))</f>
        <v>South Carolina</v>
      </c>
      <c r="L154" s="705">
        <f>IF(+All!$F713="South Carolina",+All!L713,IF(+All!$H713="South Carolina",+All!L713,0))</f>
        <v>7.5</v>
      </c>
      <c r="M154" s="706">
        <f>IF(+All!$F713="South Carolina",+All!M713,IF(+All!$H713="South Carolina",+All!M713,0))</f>
        <v>59</v>
      </c>
      <c r="N154" s="704" t="str">
        <f>IF(+All!$F713="South Carolina",+All!N713,IF(+All!$H713="South Carolina",+All!N713,0))</f>
        <v>Florida</v>
      </c>
      <c r="O154" s="707">
        <f>IF(+All!$F713="South Carolina",+All!O713,IF(+All!$H713="South Carolina",+All!O713,0))</f>
        <v>38</v>
      </c>
      <c r="P154" s="707" t="str">
        <f>IF(+All!$F713="South Carolina",+All!P713,IF(+All!$H713="South Carolina",+All!P713,0))</f>
        <v>South Carolina</v>
      </c>
      <c r="Q154" s="701">
        <f>IF(+All!$F713="South Carolina",+All!Q713,IF(+All!$H713="South Carolina",+All!Q713,0))</f>
        <v>6</v>
      </c>
      <c r="R154" s="704" t="str">
        <f>IF(+All!$F713="South Carolina",+All!R713,IF(+All!$H713="South Carolina",+All!R713,0))</f>
        <v>Florida</v>
      </c>
      <c r="S154" s="707" t="str">
        <f>IF(+All!$F713="South Carolina",+All!S713,IF(+All!$H713="South Carolina",+All!S713,0))</f>
        <v>South Carolina</v>
      </c>
      <c r="T154" s="704" t="str">
        <f>IF(+All!$F713="South Carolina",+All!T713,IF(+All!$H713="South Carolina",+All!T713,0))</f>
        <v>South Carolina</v>
      </c>
      <c r="U154" s="701" t="str">
        <f>IF(+All!$F713="South Carolina",+All!U713,IF(+All!$H713="South Carolina",+All!U713,0))</f>
        <v>L</v>
      </c>
    </row>
    <row r="155" spans="1:21" x14ac:dyDescent="0.8">
      <c r="A155" s="719">
        <f>IF(+All!$F782="South Carolina",+All!A782,IF(+All!$H782="South Carolina",+All!A782,0))</f>
        <v>12</v>
      </c>
      <c r="B155" s="698" t="str">
        <f>IF(+All!$F782="South Carolina",+All!B782,IF(+All!$H782="South Carolina",+All!B782,0))</f>
        <v>Sat</v>
      </c>
      <c r="C155" s="699">
        <f>IF(+All!$F782="South Carolina",+All!C782,IF(+All!$H782="South Carolina",+All!C782,0))</f>
        <v>44884</v>
      </c>
      <c r="D155" s="700">
        <f>IF(+All!$F782="South Carolina",+All!D782,IF(+All!$H782="South Carolina",+All!D782,0))</f>
        <v>0.79166666666666663</v>
      </c>
      <c r="E155" s="701" t="str">
        <f>IF(+All!$F782="South Carolina",+All!E782,IF(+All!$H782="South Carolina",+All!E782,0))</f>
        <v>ESPN</v>
      </c>
      <c r="F155" s="702" t="str">
        <f>IF(+All!$F782="South Carolina",+All!F782,IF(+All!$H782="South Carolina",+All!F782,0))</f>
        <v>Tennessee</v>
      </c>
      <c r="G155" s="703" t="str">
        <f>IF(+All!$F782="South Carolina",+All!G782,IF(+All!$H782="South Carolina",+All!G782,0))</f>
        <v>SEC</v>
      </c>
      <c r="H155" s="702" t="str">
        <f>IF(+All!$F782="South Carolina",+All!H782,IF(+All!$H782="South Carolina",+All!H782,0))</f>
        <v>South Carolina</v>
      </c>
      <c r="I155" s="703" t="str">
        <f>IF(+All!$F782="South Carolina",+All!I782,IF(+All!$H782="South Carolina",+All!I782,0))</f>
        <v>SEC</v>
      </c>
      <c r="J155" s="704" t="str">
        <f>IF(+All!$F782="South Carolina",+All!J782,IF(+All!$H782="South Carolina",+All!J782,0))</f>
        <v>Tennessee</v>
      </c>
      <c r="K155" s="701" t="str">
        <f>IF(+All!$F782="South Carolina",+All!K782,IF(+All!$H782="South Carolina",+All!K782,0))</f>
        <v>South Carolina</v>
      </c>
      <c r="L155" s="705">
        <f>IF(+All!$F782="South Carolina",+All!L782,IF(+All!$H782="South Carolina",+All!L782,0))</f>
        <v>22</v>
      </c>
      <c r="M155" s="706">
        <f>IF(+All!$F782="South Carolina",+All!M782,IF(+All!$H782="South Carolina",+All!M782,0))</f>
        <v>66.5</v>
      </c>
      <c r="N155" s="704" t="str">
        <f>IF(+All!$F782="South Carolina",+All!N782,IF(+All!$H782="South Carolina",+All!N782,0))</f>
        <v>South Carolina</v>
      </c>
      <c r="O155" s="707">
        <f>IF(+All!$F782="South Carolina",+All!O782,IF(+All!$H782="South Carolina",+All!O782,0))</f>
        <v>63</v>
      </c>
      <c r="P155" s="707" t="str">
        <f>IF(+All!$F782="South Carolina",+All!P782,IF(+All!$H782="South Carolina",+All!P782,0))</f>
        <v>Tennessee</v>
      </c>
      <c r="Q155" s="701">
        <f>IF(+All!$F782="South Carolina",+All!Q782,IF(+All!$H782="South Carolina",+All!Q782,0))</f>
        <v>38</v>
      </c>
      <c r="R155" s="704" t="str">
        <f>IF(+All!$F782="South Carolina",+All!R782,IF(+All!$H782="South Carolina",+All!R782,0))</f>
        <v>South Carolina</v>
      </c>
      <c r="S155" s="707" t="str">
        <f>IF(+All!$F782="South Carolina",+All!S782,IF(+All!$H782="South Carolina",+All!S782,0))</f>
        <v>Tennessee</v>
      </c>
      <c r="T155" s="704" t="str">
        <f>IF(+All!$F782="South Carolina",+All!T782,IF(+All!$H782="South Carolina",+All!T782,0))</f>
        <v>South Carolina</v>
      </c>
      <c r="U155" s="701" t="str">
        <f>IF(+All!$F782="South Carolina",+All!U782,IF(+All!$H782="South Carolina",+All!U782,0))</f>
        <v>W</v>
      </c>
    </row>
    <row r="156" spans="1:21" x14ac:dyDescent="0.8">
      <c r="A156" s="719">
        <f>IF(+All!$F804="South Carolina",+All!A804,IF(+All!$H804="South Carolina",+All!A804,0))</f>
        <v>13</v>
      </c>
      <c r="B156" s="698" t="str">
        <f>IF(+All!$F804="South Carolina",+All!B804,IF(+All!$H804="South Carolina",+All!B804,0))</f>
        <v>Sat</v>
      </c>
      <c r="C156" s="699">
        <f>IF(+All!$F804="South Carolina",+All!C804,IF(+All!$H804="South Carolina",+All!C804,0))</f>
        <v>44891</v>
      </c>
      <c r="D156" s="700">
        <f>IF(+All!$F804="South Carolina",+All!D804,IF(+All!$H804="South Carolina",+All!D804,0))</f>
        <v>0.5</v>
      </c>
      <c r="E156" s="701" t="str">
        <f>IF(+All!$F804="South Carolina",+All!E804,IF(+All!$H804="South Carolina",+All!E804,0))</f>
        <v>ABC</v>
      </c>
      <c r="F156" s="702" t="str">
        <f>IF(+All!$F804="South Carolina",+All!F804,IF(+All!$H804="South Carolina",+All!F804,0))</f>
        <v>South Carolina</v>
      </c>
      <c r="G156" s="703" t="str">
        <f>IF(+All!$F804="South Carolina",+All!G804,IF(+All!$H804="South Carolina",+All!G804,0))</f>
        <v>SEC</v>
      </c>
      <c r="H156" s="702" t="str">
        <f>IF(+All!$F804="South Carolina",+All!H804,IF(+All!$H804="South Carolina",+All!H804,0))</f>
        <v>Clemson</v>
      </c>
      <c r="I156" s="703" t="str">
        <f>IF(+All!$F804="South Carolina",+All!I804,IF(+All!$H804="South Carolina",+All!I804,0))</f>
        <v>ACC</v>
      </c>
      <c r="J156" s="704" t="str">
        <f>IF(+All!$F804="South Carolina",+All!J804,IF(+All!$H804="South Carolina",+All!J804,0))</f>
        <v>Clemson</v>
      </c>
      <c r="K156" s="701" t="str">
        <f>IF(+All!$F804="South Carolina",+All!K804,IF(+All!$H804="South Carolina",+All!K804,0))</f>
        <v>South Carolina</v>
      </c>
      <c r="L156" s="705">
        <f>IF(+All!$F804="South Carolina",+All!L804,IF(+All!$H804="South Carolina",+All!L804,0))</f>
        <v>14.5</v>
      </c>
      <c r="M156" s="706">
        <f>IF(+All!$F804="South Carolina",+All!M804,IF(+All!$H804="South Carolina",+All!M804,0))</f>
        <v>53</v>
      </c>
      <c r="N156" s="704" t="str">
        <f>IF(+All!$F804="South Carolina",+All!N804,IF(+All!$H804="South Carolina",+All!N804,0))</f>
        <v>South Carolina</v>
      </c>
      <c r="O156" s="707">
        <f>IF(+All!$F804="South Carolina",+All!O804,IF(+All!$H804="South Carolina",+All!O804,0))</f>
        <v>31</v>
      </c>
      <c r="P156" s="707" t="str">
        <f>IF(+All!$F804="South Carolina",+All!P804,IF(+All!$H804="South Carolina",+All!P804,0))</f>
        <v>Clemson</v>
      </c>
      <c r="Q156" s="701">
        <f>IF(+All!$F804="South Carolina",+All!Q804,IF(+All!$H804="South Carolina",+All!Q804,0))</f>
        <v>30</v>
      </c>
      <c r="R156" s="704" t="str">
        <f>IF(+All!$F804="South Carolina",+All!R804,IF(+All!$H804="South Carolina",+All!R804,0))</f>
        <v>South Carolina</v>
      </c>
      <c r="S156" s="707" t="str">
        <f>IF(+All!$F804="South Carolina",+All!S804,IF(+All!$H804="South Carolina",+All!S804,0))</f>
        <v>Clemson</v>
      </c>
      <c r="T156" s="704" t="str">
        <f>IF(+All!$F804="South Carolina",+All!T804,IF(+All!$H804="South Carolina",+All!T804,0))</f>
        <v>South Carolina</v>
      </c>
      <c r="U156" s="701" t="str">
        <f>IF(+All!$F804="South Carolina",+All!U804,IF(+All!$H804="South Carolina",+All!U804,0))</f>
        <v>W</v>
      </c>
    </row>
    <row r="157" spans="1:21" x14ac:dyDescent="0.8">
      <c r="B157" s="697"/>
      <c r="C157" s="708"/>
      <c r="D157" s="700"/>
      <c r="F157" s="916" t="str">
        <f>F159</f>
        <v>Tennessee</v>
      </c>
      <c r="G157" s="917"/>
      <c r="H157" s="917"/>
      <c r="I157" s="918"/>
      <c r="L157" s="705"/>
      <c r="M157" s="706"/>
    </row>
    <row r="158" spans="1:21" x14ac:dyDescent="0.8">
      <c r="A158" s="720">
        <f>IF(+All!$F19="Tennessee",+All!A19,IF(+All!$H19="Tennessee",+All!A19,0))</f>
        <v>1</v>
      </c>
      <c r="B158" s="698" t="str">
        <f>IF(+All!$F19="Tennessee",+All!B19,IF(+All!$H19="Tennessee",+All!B19,0))</f>
        <v>Thurs</v>
      </c>
      <c r="C158" s="699">
        <f>IF(+All!$F19="Tennessee",+All!C19,IF(+All!$H19="Tennessee",+All!C19,0))</f>
        <v>44805</v>
      </c>
      <c r="D158" s="700">
        <f>IF(+All!$F19="Tennessee",+All!D19,IF(+All!$H19="Tennessee",+All!D19,0))</f>
        <v>0.79166666666666663</v>
      </c>
      <c r="E158" s="701" t="str">
        <f>IF(+All!$F19="Tennessee",+All!E19,IF(+All!$H19="Tennessee",+All!E19,0))</f>
        <v>SEC</v>
      </c>
      <c r="F158" s="704" t="str">
        <f>IF(+All!$F19="Tennessee",+All!F19,IF(+All!$H19="Tennessee",+All!F19,0))</f>
        <v>Ball State</v>
      </c>
      <c r="G158" s="701" t="str">
        <f>IF(+All!$F19="Tennessee",+All!G19,IF(+All!$H19="Tennessee",+All!G19,0))</f>
        <v>MAC</v>
      </c>
      <c r="H158" s="704" t="str">
        <f>IF(+All!$F19="Tennessee",+All!H19,IF(+All!$H19="Tennessee",+All!H19,0))</f>
        <v>Tennessee</v>
      </c>
      <c r="I158" s="701" t="str">
        <f>IF(+All!$F19="Tennessee",+All!I19,IF(+All!$H19="Tennessee",+All!I19,0))</f>
        <v>SEC</v>
      </c>
      <c r="J158" s="704" t="str">
        <f>IF(+All!$F19="Tennessee",+All!J19,IF(+All!$H19="Tennessee",+All!J19,0))</f>
        <v>Tennessee</v>
      </c>
      <c r="K158" s="701" t="str">
        <f>IF(+All!$F19="Tennessee",+All!K19,IF(+All!$H19="Tennessee",+All!K19,0))</f>
        <v>Ball State</v>
      </c>
      <c r="L158" s="715">
        <f>IF(+All!$F19="Tennessee",+All!L19,IF(+All!$H19="Tennessee",+All!L19,0))</f>
        <v>35</v>
      </c>
      <c r="M158" s="716">
        <f>IF(+All!$F19="Tennessee",+All!M19,IF(+All!$H19="Tennessee",+All!M19,0))</f>
        <v>68.5</v>
      </c>
      <c r="N158" s="704" t="str">
        <f>IF(+All!$F19="Tennessee",+All!N19,IF(+All!$H19="Tennessee",+All!N19,0))</f>
        <v>Tennessee</v>
      </c>
      <c r="O158" s="707">
        <f>IF(+All!$F19="Tennessee",+All!O19,IF(+All!$H19="Tennessee",+All!O19,0))</f>
        <v>59</v>
      </c>
      <c r="P158" s="707" t="str">
        <f>IF(+All!$F19="Tennessee",+All!P19,IF(+All!$H19="Tennessee",+All!P19,0))</f>
        <v>Ball State</v>
      </c>
      <c r="Q158" s="709">
        <f>IF(+All!$F19="Tennessee",+All!Q19,IF(+All!$H19="Tennessee",+All!Q19,0))</f>
        <v>10</v>
      </c>
      <c r="R158" s="704" t="str">
        <f>IF(+All!$F19="Tennessee",+All!R19,IF(+All!$H19="Tennessee",+All!R19,0))</f>
        <v>Tennessee</v>
      </c>
      <c r="S158" s="707" t="str">
        <f>IF(+All!$F19="Tennessee",+All!S19,IF(+All!$H19="Tennessee",+All!S19,0))</f>
        <v>Ball State</v>
      </c>
      <c r="T158" s="704" t="str">
        <f>IF(+All!$F19="Tennessee",+All!T19,IF(+All!$H19="Tennessee",+All!T19,0))</f>
        <v>Tennessee</v>
      </c>
      <c r="U158" s="701" t="str">
        <f>IF(+All!$F19="Tennessee",+All!U19,IF(+All!$H19="Tennessee",+All!U19,0))</f>
        <v>W</v>
      </c>
    </row>
    <row r="159" spans="1:21" x14ac:dyDescent="0.8">
      <c r="A159" s="720">
        <f>IF(+All!$F112="Tennessee",+All!A112,IF(+All!$H112="Tennessee",+All!A112,0))</f>
        <v>2</v>
      </c>
      <c r="B159" s="698" t="str">
        <f>IF(+All!$F112="Tennessee",+All!B112,IF(+All!$H112="Tennessee",+All!B112,0))</f>
        <v>Sat</v>
      </c>
      <c r="C159" s="699">
        <f>IF(+All!$F112="Tennessee",+All!C112,IF(+All!$H112="Tennessee",+All!C112,0))</f>
        <v>44814</v>
      </c>
      <c r="D159" s="700">
        <f>IF(+All!$F112="Tennessee",+All!D112,IF(+All!$H112="Tennessee",+All!D112,0))</f>
        <v>0.64583333333333337</v>
      </c>
      <c r="E159" s="701" t="str">
        <f>IF(+All!$F112="Tennessee",+All!E112,IF(+All!$H112="Tennessee",+All!E112,0))</f>
        <v>ABC</v>
      </c>
      <c r="F159" s="704" t="str">
        <f>IF(+All!$F112="Tennessee",+All!F112,IF(+All!$H112="Tennessee",+All!F112,0))</f>
        <v>Tennessee</v>
      </c>
      <c r="G159" s="701" t="str">
        <f>IF(+All!$F112="Tennessee",+All!G112,IF(+All!$H112="Tennessee",+All!G112,0))</f>
        <v>SEC</v>
      </c>
      <c r="H159" s="704" t="str">
        <f>IF(+All!$F112="Tennessee",+All!H112,IF(+All!$H112="Tennessee",+All!H112,0))</f>
        <v>Pittsburgh</v>
      </c>
      <c r="I159" s="701" t="str">
        <f>IF(+All!$F112="Tennessee",+All!I112,IF(+All!$H112="Tennessee",+All!I112,0))</f>
        <v>ACC</v>
      </c>
      <c r="J159" s="704" t="str">
        <f>IF(+All!$F112="Tennessee",+All!J112,IF(+All!$H112="Tennessee",+All!J112,0))</f>
        <v>Tennessee</v>
      </c>
      <c r="K159" s="701" t="str">
        <f>IF(+All!$F112="Tennessee",+All!K112,IF(+All!$H112="Tennessee",+All!K112,0))</f>
        <v>Pittsburgh</v>
      </c>
      <c r="L159" s="715">
        <f>IF(+All!$F112="Tennessee",+All!L112,IF(+All!$H112="Tennessee",+All!L112,0))</f>
        <v>6.5</v>
      </c>
      <c r="M159" s="716">
        <f>IF(+All!$F112="Tennessee",+All!M112,IF(+All!$H112="Tennessee",+All!M112,0))</f>
        <v>66</v>
      </c>
      <c r="N159" s="704" t="str">
        <f>IF(+All!$F112="Tennessee",+All!N112,IF(+All!$H112="Tennessee",+All!N112,0))</f>
        <v>Tennessee</v>
      </c>
      <c r="O159" s="707">
        <f>IF(+All!$F112="Tennessee",+All!O112,IF(+All!$H112="Tennessee",+All!O112,0))</f>
        <v>34</v>
      </c>
      <c r="P159" s="707" t="str">
        <f>IF(+All!$F112="Tennessee",+All!P112,IF(+All!$H112="Tennessee",+All!P112,0))</f>
        <v>Pittsburgh</v>
      </c>
      <c r="Q159" s="709">
        <f>IF(+All!$F112="Tennessee",+All!Q112,IF(+All!$H112="Tennessee",+All!Q112,0))</f>
        <v>27</v>
      </c>
      <c r="R159" s="704" t="str">
        <f>IF(+All!$F112="Tennessee",+All!R112,IF(+All!$H112="Tennessee",+All!R112,0))</f>
        <v>Tennessee</v>
      </c>
      <c r="S159" s="707" t="str">
        <f>IF(+All!$F112="Tennessee",+All!S112,IF(+All!$H112="Tennessee",+All!S112,0))</f>
        <v>Pittsburgh</v>
      </c>
      <c r="T159" s="704" t="str">
        <f>IF(+All!$F112="Tennessee",+All!T112,IF(+All!$H112="Tennessee",+All!T112,0))</f>
        <v>Tennessee</v>
      </c>
      <c r="U159" s="701" t="str">
        <f>IF(+All!$F112="Tennessee",+All!U112,IF(+All!$H112="Tennessee",+All!U112,0))</f>
        <v>W</v>
      </c>
    </row>
    <row r="160" spans="1:21" x14ac:dyDescent="0.8">
      <c r="A160" s="720">
        <f>IF(+All!$F250="Tennessee",+All!A250,IF(+All!$H250="Tennessee",+All!A250,0))</f>
        <v>3</v>
      </c>
      <c r="B160" s="698" t="str">
        <f>IF(+All!$F250="Tennessee",+All!B250,IF(+All!$H250="Tennessee",+All!B250,0))</f>
        <v>Sat</v>
      </c>
      <c r="C160" s="699">
        <f>IF(+All!$F250="Tennessee",+All!C250,IF(+All!$H250="Tennessee",+All!C250,0))</f>
        <v>44821</v>
      </c>
      <c r="D160" s="700">
        <f>IF(+All!$F250="Tennessee",+All!D250,IF(+All!$H250="Tennessee",+All!D250,0))</f>
        <v>0.79166666666666663</v>
      </c>
      <c r="E160" s="701">
        <f>IF(+All!$F250="Tennessee",+All!E250,IF(+All!$H250="Tennessee",+All!E250,0))</f>
        <v>0</v>
      </c>
      <c r="F160" s="704" t="str">
        <f>IF(+All!$F250="Tennessee",+All!F250,IF(+All!$H250="Tennessee",+All!F250,0))</f>
        <v>Akron</v>
      </c>
      <c r="G160" s="701" t="str">
        <f>IF(+All!$F250="Tennessee",+All!G250,IF(+All!$H250="Tennessee",+All!G250,0))</f>
        <v>MAC</v>
      </c>
      <c r="H160" s="704" t="str">
        <f>IF(+All!$F250="Tennessee",+All!H250,IF(+All!$H250="Tennessee",+All!H250,0))</f>
        <v>Tennessee</v>
      </c>
      <c r="I160" s="701" t="str">
        <f>IF(+All!$F250="Tennessee",+All!I250,IF(+All!$H250="Tennessee",+All!I250,0))</f>
        <v>SEC</v>
      </c>
      <c r="J160" s="704" t="str">
        <f>IF(+All!$F250="Tennessee",+All!J250,IF(+All!$H250="Tennessee",+All!J250,0))</f>
        <v>Tennessee</v>
      </c>
      <c r="K160" s="701" t="str">
        <f>IF(+All!$F250="Tennessee",+All!K250,IF(+All!$H250="Tennessee",+All!K250,0))</f>
        <v>Akron</v>
      </c>
      <c r="L160" s="715">
        <f>IF(+All!$F250="Tennessee",+All!L250,IF(+All!$H250="Tennessee",+All!L250,0))</f>
        <v>47</v>
      </c>
      <c r="M160" s="716">
        <f>IF(+All!$F250="Tennessee",+All!M250,IF(+All!$H250="Tennessee",+All!M250,0))</f>
        <v>67</v>
      </c>
      <c r="N160" s="704" t="str">
        <f>IF(+All!$F250="Tennessee",+All!N250,IF(+All!$H250="Tennessee",+All!N250,0))</f>
        <v>Tennessee</v>
      </c>
      <c r="O160" s="707">
        <f>IF(+All!$F250="Tennessee",+All!O250,IF(+All!$H250="Tennessee",+All!O250,0))</f>
        <v>63</v>
      </c>
      <c r="P160" s="707" t="str">
        <f>IF(+All!$F250="Tennessee",+All!P250,IF(+All!$H250="Tennessee",+All!P250,0))</f>
        <v>Akron</v>
      </c>
      <c r="Q160" s="709">
        <f>IF(+All!$F250="Tennessee",+All!Q250,IF(+All!$H250="Tennessee",+All!Q250,0))</f>
        <v>6</v>
      </c>
      <c r="R160" s="704" t="str">
        <f>IF(+All!$F250="Tennessee",+All!R250,IF(+All!$H250="Tennessee",+All!R250,0))</f>
        <v>Tennessee</v>
      </c>
      <c r="S160" s="707" t="str">
        <f>IF(+All!$F250="Tennessee",+All!S250,IF(+All!$H250="Tennessee",+All!S250,0))</f>
        <v>Akron</v>
      </c>
      <c r="T160" s="704" t="str">
        <f>IF(+All!$F250="Tennessee",+All!T250,IF(+All!$H250="Tennessee",+All!T250,0))</f>
        <v>Akron</v>
      </c>
      <c r="U160" s="701" t="str">
        <f>IF(+All!$F250="Tennessee",+All!U250,IF(+All!$H250="Tennessee",+All!U250,0))</f>
        <v>L</v>
      </c>
    </row>
    <row r="161" spans="1:21" x14ac:dyDescent="0.8">
      <c r="A161" s="720">
        <f>IF(+All!$F317="Tennessee",+All!A317,IF(+All!$H317="Tennessee",+All!A317,0))</f>
        <v>4</v>
      </c>
      <c r="B161" s="698" t="str">
        <f>IF(+All!$F317="Tennessee",+All!B317,IF(+All!$H317="Tennessee",+All!B317,0))</f>
        <v>Sat</v>
      </c>
      <c r="C161" s="699">
        <f>IF(+All!$F317="Tennessee",+All!C317,IF(+All!$H317="Tennessee",+All!C317,0))</f>
        <v>44828</v>
      </c>
      <c r="D161" s="700">
        <f>IF(+All!$F317="Tennessee",+All!D317,IF(+All!$H317="Tennessee",+All!D317,0))</f>
        <v>0.58333333333333337</v>
      </c>
      <c r="E161" s="701" t="str">
        <f>IF(+All!$F317="Tennessee",+All!E317,IF(+All!$H317="Tennessee",+All!E317,0))</f>
        <v>CBS</v>
      </c>
      <c r="F161" s="704" t="str">
        <f>IF(+All!$F317="Tennessee",+All!F317,IF(+All!$H317="Tennessee",+All!F317,0))</f>
        <v>Florida</v>
      </c>
      <c r="G161" s="701" t="str">
        <f>IF(+All!$F317="Tennessee",+All!G317,IF(+All!$H317="Tennessee",+All!G317,0))</f>
        <v>SEC</v>
      </c>
      <c r="H161" s="704" t="str">
        <f>IF(+All!$F317="Tennessee",+All!H317,IF(+All!$H317="Tennessee",+All!H317,0))</f>
        <v>Tennessee</v>
      </c>
      <c r="I161" s="701" t="str">
        <f>IF(+All!$F317="Tennessee",+All!I317,IF(+All!$H317="Tennessee",+All!I317,0))</f>
        <v>SEC</v>
      </c>
      <c r="J161" s="704" t="str">
        <f>IF(+All!$F317="Tennessee",+All!J317,IF(+All!$H317="Tennessee",+All!J317,0))</f>
        <v>Tennessee</v>
      </c>
      <c r="K161" s="701" t="str">
        <f>IF(+All!$F317="Tennessee",+All!K317,IF(+All!$H317="Tennessee",+All!K317,0))</f>
        <v>Florida</v>
      </c>
      <c r="L161" s="715">
        <f>IF(+All!$F317="Tennessee",+All!L317,IF(+All!$H317="Tennessee",+All!L317,0))</f>
        <v>10</v>
      </c>
      <c r="M161" s="716">
        <f>IF(+All!$F317="Tennessee",+All!M317,IF(+All!$H317="Tennessee",+All!M317,0))</f>
        <v>62</v>
      </c>
      <c r="N161" s="704" t="str">
        <f>IF(+All!$F317="Tennessee",+All!N317,IF(+All!$H317="Tennessee",+All!N317,0))</f>
        <v>Tennessee</v>
      </c>
      <c r="O161" s="707">
        <f>IF(+All!$F317="Tennessee",+All!O317,IF(+All!$H317="Tennessee",+All!O317,0))</f>
        <v>38</v>
      </c>
      <c r="P161" s="707" t="str">
        <f>IF(+All!$F317="Tennessee",+All!P317,IF(+All!$H317="Tennessee",+All!P317,0))</f>
        <v>Florida</v>
      </c>
      <c r="Q161" s="709">
        <f>IF(+All!$F317="Tennessee",+All!Q317,IF(+All!$H317="Tennessee",+All!Q317,0))</f>
        <v>33</v>
      </c>
      <c r="R161" s="704" t="str">
        <f>IF(+All!$F317="Tennessee",+All!R317,IF(+All!$H317="Tennessee",+All!R317,0))</f>
        <v>Florida</v>
      </c>
      <c r="S161" s="707" t="str">
        <f>IF(+All!$F317="Tennessee",+All!S317,IF(+All!$H317="Tennessee",+All!S317,0))</f>
        <v>Tennessee</v>
      </c>
      <c r="T161" s="704" t="str">
        <f>IF(+All!$F317="Tennessee",+All!T317,IF(+All!$H317="Tennessee",+All!T317,0))</f>
        <v>Tennessee</v>
      </c>
      <c r="U161" s="701" t="str">
        <f>IF(+All!$F317="Tennessee",+All!U317,IF(+All!$H317="Tennessee",+All!U317,0))</f>
        <v>L</v>
      </c>
    </row>
    <row r="162" spans="1:21" x14ac:dyDescent="0.8">
      <c r="A162" s="720" t="e">
        <f>IF(+All!#REF!="Tennessee",+All!#REF!,IF(+All!#REF!="Tennessee",+All!#REF!,0))</f>
        <v>#REF!</v>
      </c>
      <c r="B162" s="698" t="e">
        <f>IF(+All!#REF!="Tennessee",+All!#REF!,IF(+All!#REF!="Tennessee",+All!#REF!,0))</f>
        <v>#REF!</v>
      </c>
      <c r="C162" s="699" t="e">
        <f>IF(+All!#REF!="Tennessee",+All!#REF!,IF(+All!#REF!="Tennessee",+All!#REF!,0))</f>
        <v>#REF!</v>
      </c>
      <c r="D162" s="700" t="e">
        <f>IF(+All!#REF!="Tennessee",+All!#REF!,IF(+All!#REF!="Tennessee",+All!#REF!,0))</f>
        <v>#REF!</v>
      </c>
      <c r="E162" s="701" t="e">
        <f>IF(+All!#REF!="Tennessee",+All!#REF!,IF(+All!#REF!="Tennessee",+All!#REF!,0))</f>
        <v>#REF!</v>
      </c>
      <c r="F162" s="704" t="e">
        <f>IF(+All!#REF!="Tennessee",+All!#REF!,IF(+All!#REF!="Tennessee",+All!#REF!,0))</f>
        <v>#REF!</v>
      </c>
      <c r="G162" s="701" t="e">
        <f>IF(+All!#REF!="Tennessee",+All!#REF!,IF(+All!#REF!="Tennessee",+All!#REF!,0))</f>
        <v>#REF!</v>
      </c>
      <c r="H162" s="704" t="e">
        <f>IF(+All!#REF!="Tennessee",+All!#REF!,IF(+All!#REF!="Tennessee",+All!#REF!,0))</f>
        <v>#REF!</v>
      </c>
      <c r="I162" s="701" t="e">
        <f>IF(+All!#REF!="Tennessee",+All!#REF!,IF(+All!#REF!="Tennessee",+All!#REF!,0))</f>
        <v>#REF!</v>
      </c>
      <c r="J162" s="704" t="e">
        <f>IF(+All!#REF!="Tennessee",+All!#REF!,IF(+All!#REF!="Tennessee",+All!#REF!,0))</f>
        <v>#REF!</v>
      </c>
      <c r="K162" s="701" t="e">
        <f>IF(+All!#REF!="Tennessee",+All!#REF!,IF(+All!#REF!="Tennessee",+All!#REF!,0))</f>
        <v>#REF!</v>
      </c>
      <c r="L162" s="715" t="e">
        <f>IF(+All!#REF!="Tennessee",+All!#REF!,IF(+All!#REF!="Tennessee",+All!#REF!,0))</f>
        <v>#REF!</v>
      </c>
      <c r="M162" s="716" t="e">
        <f>IF(+All!#REF!="Tennessee",+All!#REF!,IF(+All!#REF!="Tennessee",+All!#REF!,0))</f>
        <v>#REF!</v>
      </c>
      <c r="N162" s="704" t="e">
        <f>IF(+All!#REF!="Tennessee",+All!#REF!,IF(+All!#REF!="Tennessee",+All!#REF!,0))</f>
        <v>#REF!</v>
      </c>
      <c r="O162" s="707" t="e">
        <f>IF(+All!#REF!="Tennessee",+All!#REF!,IF(+All!#REF!="Tennessee",+All!#REF!,0))</f>
        <v>#REF!</v>
      </c>
      <c r="P162" s="707" t="e">
        <f>IF(+All!#REF!="Tennessee",+All!#REF!,IF(+All!#REF!="Tennessee",+All!#REF!,0))</f>
        <v>#REF!</v>
      </c>
      <c r="Q162" s="709" t="e">
        <f>IF(+All!#REF!="Tennessee",+All!#REF!,IF(+All!#REF!="Tennessee",+All!#REF!,0))</f>
        <v>#REF!</v>
      </c>
      <c r="R162" s="704" t="e">
        <f>IF(+All!#REF!="Tennessee",+All!#REF!,IF(+All!#REF!="Tennessee",+All!#REF!,0))</f>
        <v>#REF!</v>
      </c>
      <c r="S162" s="707" t="e">
        <f>IF(+All!#REF!="Tennessee",+All!#REF!,IF(+All!#REF!="Tennessee",+All!#REF!,0))</f>
        <v>#REF!</v>
      </c>
      <c r="T162" s="704" t="e">
        <f>IF(+All!#REF!="Tennessee",+All!#REF!,IF(+All!#REF!="Tennessee",+All!#REF!,0))</f>
        <v>#REF!</v>
      </c>
      <c r="U162" s="701" t="e">
        <f>IF(+All!#REF!="Tennessee",+All!#REF!,IF(+All!#REF!="Tennessee",+All!#REF!,0))</f>
        <v>#REF!</v>
      </c>
    </row>
    <row r="163" spans="1:21" x14ac:dyDescent="0.8">
      <c r="A163" s="720">
        <f>IF(+All!$F435="Tennessee",+All!A435,IF(+All!$H435="Tennessee",+All!A435,0))</f>
        <v>6</v>
      </c>
      <c r="B163" s="698" t="str">
        <f>IF(+All!$F435="Tennessee",+All!B435,IF(+All!$H435="Tennessee",+All!B435,0))</f>
        <v>Sat</v>
      </c>
      <c r="C163" s="699">
        <f>IF(+All!$F435="Tennessee",+All!C435,IF(+All!$H435="Tennessee",+All!C435,0))</f>
        <v>44842</v>
      </c>
      <c r="D163" s="700">
        <f>IF(+All!$F435="Tennessee",+All!D435,IF(+All!$H435="Tennessee",+All!D435,0))</f>
        <v>0.5</v>
      </c>
      <c r="E163" s="701" t="str">
        <f>IF(+All!$F435="Tennessee",+All!E435,IF(+All!$H435="Tennessee",+All!E435,0))</f>
        <v>ESPN</v>
      </c>
      <c r="F163" s="704" t="str">
        <f>IF(+All!$F435="Tennessee",+All!F435,IF(+All!$H435="Tennessee",+All!F435,0))</f>
        <v>Tennessee</v>
      </c>
      <c r="G163" s="701" t="str">
        <f>IF(+All!$F435="Tennessee",+All!G435,IF(+All!$H435="Tennessee",+All!G435,0))</f>
        <v>SEC</v>
      </c>
      <c r="H163" s="704" t="str">
        <f>IF(+All!$F435="Tennessee",+All!H435,IF(+All!$H435="Tennessee",+All!H435,0))</f>
        <v>LSU</v>
      </c>
      <c r="I163" s="701" t="str">
        <f>IF(+All!$F435="Tennessee",+All!I435,IF(+All!$H435="Tennessee",+All!I435,0))</f>
        <v>SEC</v>
      </c>
      <c r="J163" s="704" t="str">
        <f>IF(+All!$F435="Tennessee",+All!J435,IF(+All!$H435="Tennessee",+All!J435,0))</f>
        <v>Tennessee</v>
      </c>
      <c r="K163" s="701" t="str">
        <f>IF(+All!$F435="Tennessee",+All!K435,IF(+All!$H435="Tennessee",+All!K435,0))</f>
        <v>LSU</v>
      </c>
      <c r="L163" s="715">
        <f>IF(+All!$F435="Tennessee",+All!L435,IF(+All!$H435="Tennessee",+All!L435,0))</f>
        <v>3</v>
      </c>
      <c r="M163" s="716">
        <f>IF(+All!$F435="Tennessee",+All!M435,IF(+All!$H435="Tennessee",+All!M435,0))</f>
        <v>64</v>
      </c>
      <c r="N163" s="704" t="str">
        <f>IF(+All!$F435="Tennessee",+All!N435,IF(+All!$H435="Tennessee",+All!N435,0))</f>
        <v>Tennessee</v>
      </c>
      <c r="O163" s="707">
        <f>IF(+All!$F435="Tennessee",+All!O435,IF(+All!$H435="Tennessee",+All!O435,0))</f>
        <v>40</v>
      </c>
      <c r="P163" s="707" t="str">
        <f>IF(+All!$F435="Tennessee",+All!P435,IF(+All!$H435="Tennessee",+All!P435,0))</f>
        <v>LSU</v>
      </c>
      <c r="Q163" s="709">
        <f>IF(+All!$F435="Tennessee",+All!Q435,IF(+All!$H435="Tennessee",+All!Q435,0))</f>
        <v>13</v>
      </c>
      <c r="R163" s="704" t="str">
        <f>IF(+All!$F435="Tennessee",+All!R435,IF(+All!$H435="Tennessee",+All!R435,0))</f>
        <v>Tennessee</v>
      </c>
      <c r="S163" s="707" t="str">
        <f>IF(+All!$F435="Tennessee",+All!S435,IF(+All!$H435="Tennessee",+All!S435,0))</f>
        <v>LSU</v>
      </c>
      <c r="T163" s="704" t="str">
        <f>IF(+All!$F435="Tennessee",+All!T435,IF(+All!$H435="Tennessee",+All!T435,0))</f>
        <v>Tennessee</v>
      </c>
      <c r="U163" s="701" t="str">
        <f>IF(+All!$F435="Tennessee",+All!U435,IF(+All!$H435="Tennessee",+All!U435,0))</f>
        <v>W</v>
      </c>
    </row>
    <row r="164" spans="1:21" x14ac:dyDescent="0.8">
      <c r="A164" s="720">
        <f>IF(+All!$F490="Tennessee",+All!A490,IF(+All!$H490="Tennessee",+All!A490,0))</f>
        <v>7</v>
      </c>
      <c r="B164" s="698" t="str">
        <f>IF(+All!$F490="Tennessee",+All!B490,IF(+All!$H490="Tennessee",+All!B490,0))</f>
        <v>Sat</v>
      </c>
      <c r="C164" s="699">
        <f>IF(+All!$F490="Tennessee",+All!C490,IF(+All!$H490="Tennessee",+All!C490,0))</f>
        <v>44849</v>
      </c>
      <c r="D164" s="700">
        <f>IF(+All!$F490="Tennessee",+All!D490,IF(+All!$H490="Tennessee",+All!D490,0))</f>
        <v>0.64583333333333337</v>
      </c>
      <c r="E164" s="701" t="str">
        <f>IF(+All!$F490="Tennessee",+All!E490,IF(+All!$H490="Tennessee",+All!E490,0))</f>
        <v>ABC</v>
      </c>
      <c r="F164" s="704" t="str">
        <f>IF(+All!$F490="Tennessee",+All!F490,IF(+All!$H490="Tennessee",+All!F490,0))</f>
        <v>Alabama</v>
      </c>
      <c r="G164" s="701" t="str">
        <f>IF(+All!$F490="Tennessee",+All!G490,IF(+All!$H490="Tennessee",+All!G490,0))</f>
        <v>SEC</v>
      </c>
      <c r="H164" s="704" t="str">
        <f>IF(+All!$F490="Tennessee",+All!H490,IF(+All!$H490="Tennessee",+All!H490,0))</f>
        <v>Tennessee</v>
      </c>
      <c r="I164" s="701" t="str">
        <f>IF(+All!$F490="Tennessee",+All!I490,IF(+All!$H490="Tennessee",+All!I490,0))</f>
        <v>SEC</v>
      </c>
      <c r="J164" s="704" t="str">
        <f>IF(+All!$F490="Tennessee",+All!J490,IF(+All!$H490="Tennessee",+All!J490,0))</f>
        <v>Alabama</v>
      </c>
      <c r="K164" s="701" t="str">
        <f>IF(+All!$F490="Tennessee",+All!K490,IF(+All!$H490="Tennessee",+All!K490,0))</f>
        <v>Tennessee</v>
      </c>
      <c r="L164" s="715">
        <f>IF(+All!$F490="Tennessee",+All!L490,IF(+All!$H490="Tennessee",+All!L490,0))</f>
        <v>7.5</v>
      </c>
      <c r="M164" s="716">
        <f>IF(+All!$F490="Tennessee",+All!M490,IF(+All!$H490="Tennessee",+All!M490,0))</f>
        <v>65.5</v>
      </c>
      <c r="N164" s="704" t="str">
        <f>IF(+All!$F490="Tennessee",+All!N490,IF(+All!$H490="Tennessee",+All!N490,0))</f>
        <v>Tennessee</v>
      </c>
      <c r="O164" s="707">
        <f>IF(+All!$F490="Tennessee",+All!O490,IF(+All!$H490="Tennessee",+All!O490,0))</f>
        <v>52</v>
      </c>
      <c r="P164" s="707" t="str">
        <f>IF(+All!$F490="Tennessee",+All!P490,IF(+All!$H490="Tennessee",+All!P490,0))</f>
        <v>Alabama</v>
      </c>
      <c r="Q164" s="709">
        <f>IF(+All!$F490="Tennessee",+All!Q490,IF(+All!$H490="Tennessee",+All!Q490,0))</f>
        <v>49</v>
      </c>
      <c r="R164" s="704" t="str">
        <f>IF(+All!$F490="Tennessee",+All!R490,IF(+All!$H490="Tennessee",+All!R490,0))</f>
        <v>Tennessee</v>
      </c>
      <c r="S164" s="707" t="str">
        <f>IF(+All!$F490="Tennessee",+All!S490,IF(+All!$H490="Tennessee",+All!S490,0))</f>
        <v>Alabama</v>
      </c>
      <c r="T164" s="704" t="str">
        <f>IF(+All!$F490="Tennessee",+All!T490,IF(+All!$H490="Tennessee",+All!T490,0))</f>
        <v>Tennessee</v>
      </c>
      <c r="U164" s="701" t="str">
        <f>IF(+All!$F490="Tennessee",+All!U490,IF(+All!$H490="Tennessee",+All!U490,0))</f>
        <v>W</v>
      </c>
    </row>
    <row r="165" spans="1:21" x14ac:dyDescent="0.8">
      <c r="A165" s="720">
        <f>IF(+All!$F544="Tennessee",+All!A544,IF(+All!$H544="Tennessee",+All!A544,0))</f>
        <v>8</v>
      </c>
      <c r="B165" s="698" t="str">
        <f>IF(+All!$F544="Tennessee",+All!B544,IF(+All!$H544="Tennessee",+All!B544,0))</f>
        <v>Sat</v>
      </c>
      <c r="C165" s="699">
        <f>IF(+All!$F544="Tennessee",+All!C544,IF(+All!$H544="Tennessee",+All!C544,0))</f>
        <v>44856</v>
      </c>
      <c r="D165" s="700">
        <f>IF(+All!$F544="Tennessee",+All!D544,IF(+All!$H544="Tennessee",+All!D544,0))</f>
        <v>0.5</v>
      </c>
      <c r="E165" s="701" t="str">
        <f>IF(+All!$F544="Tennessee",+All!E544,IF(+All!$H544="Tennessee",+All!E544,0))</f>
        <v>SEC</v>
      </c>
      <c r="F165" s="704" t="str">
        <f>IF(+All!$F544="Tennessee",+All!F544,IF(+All!$H544="Tennessee",+All!F544,0))</f>
        <v>1AA Tennessee Martin</v>
      </c>
      <c r="G165" s="701" t="str">
        <f>IF(+All!$F544="Tennessee",+All!G544,IF(+All!$H544="Tennessee",+All!G544,0))</f>
        <v>1AA</v>
      </c>
      <c r="H165" s="704" t="str">
        <f>IF(+All!$F544="Tennessee",+All!H544,IF(+All!$H544="Tennessee",+All!H544,0))</f>
        <v>Tennessee</v>
      </c>
      <c r="I165" s="701" t="str">
        <f>IF(+All!$F544="Tennessee",+All!I544,IF(+All!$H544="Tennessee",+All!I544,0))</f>
        <v>SEC</v>
      </c>
      <c r="J165" s="704">
        <f>IF(+All!$F544="Tennessee",+All!J544,IF(+All!$H544="Tennessee",+All!J544,0))</f>
        <v>0</v>
      </c>
      <c r="K165" s="701">
        <f>IF(+All!$F544="Tennessee",+All!K544,IF(+All!$H544="Tennessee",+All!K544,0))</f>
        <v>0</v>
      </c>
      <c r="L165" s="715">
        <f>IF(+All!$F544="Tennessee",+All!L544,IF(+All!$H544="Tennessee",+All!L544,0))</f>
        <v>0</v>
      </c>
      <c r="M165" s="716">
        <f>IF(+All!$F544="Tennessee",+All!M544,IF(+All!$H544="Tennessee",+All!M544,0))</f>
        <v>0</v>
      </c>
      <c r="N165" s="704" t="str">
        <f>IF(+All!$F544="Tennessee",+All!N544,IF(+All!$H544="Tennessee",+All!N544,0))</f>
        <v>Tennessee</v>
      </c>
      <c r="O165" s="707">
        <f>IF(+All!$F544="Tennessee",+All!O544,IF(+All!$H544="Tennessee",+All!O544,0))</f>
        <v>65</v>
      </c>
      <c r="P165" s="707" t="str">
        <f>IF(+All!$F544="Tennessee",+All!P544,IF(+All!$H544="Tennessee",+All!P544,0))</f>
        <v>1AA Tennessee Martin</v>
      </c>
      <c r="Q165" s="709">
        <f>IF(+All!$F544="Tennessee",+All!Q544,IF(+All!$H544="Tennessee",+All!Q544,0))</f>
        <v>24</v>
      </c>
      <c r="R165" s="704">
        <f>IF(+All!$F544="Tennessee",+All!R544,IF(+All!$H544="Tennessee",+All!R544,0))</f>
        <v>0</v>
      </c>
      <c r="S165" s="707">
        <f>IF(+All!$F544="Tennessee",+All!S544,IF(+All!$H544="Tennessee",+All!S544,0))</f>
        <v>0</v>
      </c>
      <c r="T165" s="704">
        <f>IF(+All!$F544="Tennessee",+All!T544,IF(+All!$H544="Tennessee",+All!T544,0))</f>
        <v>0</v>
      </c>
      <c r="U165" s="701">
        <f>IF(+All!$F544="Tennessee",+All!U544,IF(+All!$H544="Tennessee",+All!U544,0))</f>
        <v>0</v>
      </c>
    </row>
    <row r="166" spans="1:21" x14ac:dyDescent="0.8">
      <c r="A166" s="720">
        <f>IF(+All!$F591="Tennessee",+All!A591,IF(+All!$H591="Tennessee",+All!A591,0))</f>
        <v>9</v>
      </c>
      <c r="B166" s="698" t="str">
        <f>IF(+All!$F591="Tennessee",+All!B591,IF(+All!$H591="Tennessee",+All!B591,0))</f>
        <v>Sat</v>
      </c>
      <c r="C166" s="699">
        <f>IF(+All!$F591="Tennessee",+All!C591,IF(+All!$H591="Tennessee",+All!C591,0))</f>
        <v>44863</v>
      </c>
      <c r="D166" s="700">
        <f>IF(+All!$F591="Tennessee",+All!D591,IF(+All!$H591="Tennessee",+All!D591,0))</f>
        <v>0.79166666666666663</v>
      </c>
      <c r="E166" s="701" t="str">
        <f>IF(+All!$F591="Tennessee",+All!E591,IF(+All!$H591="Tennessee",+All!E591,0))</f>
        <v>ESPN</v>
      </c>
      <c r="F166" s="704" t="str">
        <f>IF(+All!$F591="Tennessee",+All!F591,IF(+All!$H591="Tennessee",+All!F591,0))</f>
        <v>Kentucky</v>
      </c>
      <c r="G166" s="701" t="str">
        <f>IF(+All!$F591="Tennessee",+All!G591,IF(+All!$H591="Tennessee",+All!G591,0))</f>
        <v>SEC</v>
      </c>
      <c r="H166" s="704" t="str">
        <f>IF(+All!$F591="Tennessee",+All!H591,IF(+All!$H591="Tennessee",+All!H591,0))</f>
        <v>Tennessee</v>
      </c>
      <c r="I166" s="701" t="str">
        <f>IF(+All!$F591="Tennessee",+All!I591,IF(+All!$H591="Tennessee",+All!I591,0))</f>
        <v>SEC</v>
      </c>
      <c r="J166" s="704" t="str">
        <f>IF(+All!$F591="Tennessee",+All!J591,IF(+All!$H591="Tennessee",+All!J591,0))</f>
        <v>Tennessee</v>
      </c>
      <c r="K166" s="701" t="str">
        <f>IF(+All!$F591="Tennessee",+All!K591,IF(+All!$H591="Tennessee",+All!K591,0))</f>
        <v>Kentucky</v>
      </c>
      <c r="L166" s="715">
        <f>IF(+All!$F591="Tennessee",+All!L591,IF(+All!$H591="Tennessee",+All!L591,0))</f>
        <v>13</v>
      </c>
      <c r="M166" s="716">
        <f>IF(+All!$F591="Tennessee",+All!M591,IF(+All!$H591="Tennessee",+All!M591,0))</f>
        <v>63.5</v>
      </c>
      <c r="N166" s="704" t="str">
        <f>IF(+All!$F591="Tennessee",+All!N591,IF(+All!$H591="Tennessee",+All!N591,0))</f>
        <v>Tennessee</v>
      </c>
      <c r="O166" s="707">
        <f>IF(+All!$F591="Tennessee",+All!O591,IF(+All!$H591="Tennessee",+All!O591,0))</f>
        <v>44</v>
      </c>
      <c r="P166" s="707" t="str">
        <f>IF(+All!$F591="Tennessee",+All!P591,IF(+All!$H591="Tennessee",+All!P591,0))</f>
        <v>Kentucky</v>
      </c>
      <c r="Q166" s="709">
        <f>IF(+All!$F591="Tennessee",+All!Q591,IF(+All!$H591="Tennessee",+All!Q591,0))</f>
        <v>6</v>
      </c>
      <c r="R166" s="704" t="str">
        <f>IF(+All!$F591="Tennessee",+All!R591,IF(+All!$H591="Tennessee",+All!R591,0))</f>
        <v>Tennessee</v>
      </c>
      <c r="S166" s="707" t="str">
        <f>IF(+All!$F591="Tennessee",+All!S591,IF(+All!$H591="Tennessee",+All!S591,0))</f>
        <v>Kentucky</v>
      </c>
      <c r="T166" s="704" t="str">
        <f>IF(+All!$F591="Tennessee",+All!T591,IF(+All!$H591="Tennessee",+All!T591,0))</f>
        <v>Kentucky</v>
      </c>
      <c r="U166" s="701" t="str">
        <f>IF(+All!$F591="Tennessee",+All!U591,IF(+All!$H591="Tennessee",+All!U591,0))</f>
        <v>L</v>
      </c>
    </row>
    <row r="167" spans="1:21" x14ac:dyDescent="0.8">
      <c r="A167" s="720">
        <f>IF(+All!$F647="Tennessee",+All!A647,IF(+All!$H647="Tennessee",+All!A647,0))</f>
        <v>10</v>
      </c>
      <c r="B167" s="698" t="str">
        <f>IF(+All!$F647="Tennessee",+All!B647,IF(+All!$H647="Tennessee",+All!B647,0))</f>
        <v>Sat</v>
      </c>
      <c r="C167" s="699">
        <f>IF(+All!$F647="Tennessee",+All!C647,IF(+All!$H647="Tennessee",+All!C647,0))</f>
        <v>44870</v>
      </c>
      <c r="D167" s="700">
        <f>IF(+All!$F647="Tennessee",+All!D647,IF(+All!$H647="Tennessee",+All!D647,0))</f>
        <v>0.64583333333333337</v>
      </c>
      <c r="E167" s="701" t="str">
        <f>IF(+All!$F647="Tennessee",+All!E647,IF(+All!$H647="Tennessee",+All!E647,0))</f>
        <v>CBS</v>
      </c>
      <c r="F167" s="704" t="str">
        <f>IF(+All!$F647="Tennessee",+All!F647,IF(+All!$H647="Tennessee",+All!F647,0))</f>
        <v>Tennessee</v>
      </c>
      <c r="G167" s="701" t="str">
        <f>IF(+All!$F647="Tennessee",+All!G647,IF(+All!$H647="Tennessee",+All!G647,0))</f>
        <v>SEC</v>
      </c>
      <c r="H167" s="704" t="str">
        <f>IF(+All!$F647="Tennessee",+All!H647,IF(+All!$H647="Tennessee",+All!H647,0))</f>
        <v>Georgia</v>
      </c>
      <c r="I167" s="701" t="str">
        <f>IF(+All!$F647="Tennessee",+All!I647,IF(+All!$H647="Tennessee",+All!I647,0))</f>
        <v>SEC</v>
      </c>
      <c r="J167" s="704" t="str">
        <f>IF(+All!$F647="Tennessee",+All!J647,IF(+All!$H647="Tennessee",+All!J647,0))</f>
        <v>Georgia</v>
      </c>
      <c r="K167" s="701" t="str">
        <f>IF(+All!$F647="Tennessee",+All!K647,IF(+All!$H647="Tennessee",+All!K647,0))</f>
        <v>Tennessee</v>
      </c>
      <c r="L167" s="715">
        <f>IF(+All!$F647="Tennessee",+All!L647,IF(+All!$H647="Tennessee",+All!L647,0))</f>
        <v>8</v>
      </c>
      <c r="M167" s="716">
        <f>IF(+All!$F647="Tennessee",+All!M647,IF(+All!$H647="Tennessee",+All!M647,0))</f>
        <v>66</v>
      </c>
      <c r="N167" s="704" t="str">
        <f>IF(+All!$F647="Tennessee",+All!N647,IF(+All!$H647="Tennessee",+All!N647,0))</f>
        <v>Georgia</v>
      </c>
      <c r="O167" s="707">
        <f>IF(+All!$F647="Tennessee",+All!O647,IF(+All!$H647="Tennessee",+All!O647,0))</f>
        <v>27</v>
      </c>
      <c r="P167" s="707" t="str">
        <f>IF(+All!$F647="Tennessee",+All!P647,IF(+All!$H647="Tennessee",+All!P647,0))</f>
        <v>Tennessee</v>
      </c>
      <c r="Q167" s="709">
        <f>IF(+All!$F647="Tennessee",+All!Q647,IF(+All!$H647="Tennessee",+All!Q647,0))</f>
        <v>13</v>
      </c>
      <c r="R167" s="704" t="str">
        <f>IF(+All!$F647="Tennessee",+All!R647,IF(+All!$H647="Tennessee",+All!R647,0))</f>
        <v>Georgia</v>
      </c>
      <c r="S167" s="707" t="str">
        <f>IF(+All!$F647="Tennessee",+All!S647,IF(+All!$H647="Tennessee",+All!S647,0))</f>
        <v>Tennessee</v>
      </c>
      <c r="T167" s="704" t="str">
        <f>IF(+All!$F647="Tennessee",+All!T647,IF(+All!$H647="Tennessee",+All!T647,0))</f>
        <v>Tennessee</v>
      </c>
      <c r="U167" s="701" t="str">
        <f>IF(+All!$F647="Tennessee",+All!U647,IF(+All!$H647="Tennessee",+All!U647,0))</f>
        <v>L</v>
      </c>
    </row>
    <row r="168" spans="1:21" x14ac:dyDescent="0.8">
      <c r="A168" s="720">
        <f>IF(+All!$F717="Tennessee",+All!A717,IF(+All!$H717="Tennessee",+All!A717,0))</f>
        <v>11</v>
      </c>
      <c r="B168" s="698" t="str">
        <f>IF(+All!$F717="Tennessee",+All!B717,IF(+All!$H717="Tennessee",+All!B717,0))</f>
        <v>Sat</v>
      </c>
      <c r="C168" s="699">
        <f>IF(+All!$F717="Tennessee",+All!C717,IF(+All!$H717="Tennessee",+All!C717,0))</f>
        <v>44877</v>
      </c>
      <c r="D168" s="700">
        <f>IF(+All!$F717="Tennessee",+All!D717,IF(+All!$H717="Tennessee",+All!D717,0))</f>
        <v>0.5</v>
      </c>
      <c r="E168" s="701" t="str">
        <f>IF(+All!$F717="Tennessee",+All!E717,IF(+All!$H717="Tennessee",+All!E717,0))</f>
        <v>CBS</v>
      </c>
      <c r="F168" s="704" t="str">
        <f>IF(+All!$F717="Tennessee",+All!F717,IF(+All!$H717="Tennessee",+All!F717,0))</f>
        <v>Missouri</v>
      </c>
      <c r="G168" s="701" t="str">
        <f>IF(+All!$F717="Tennessee",+All!G717,IF(+All!$H717="Tennessee",+All!G717,0))</f>
        <v>SEC</v>
      </c>
      <c r="H168" s="704" t="str">
        <f>IF(+All!$F717="Tennessee",+All!H717,IF(+All!$H717="Tennessee",+All!H717,0))</f>
        <v>Tennessee</v>
      </c>
      <c r="I168" s="701" t="str">
        <f>IF(+All!$F717="Tennessee",+All!I717,IF(+All!$H717="Tennessee",+All!I717,0))</f>
        <v>SEC</v>
      </c>
      <c r="J168" s="704" t="str">
        <f>IF(+All!$F717="Tennessee",+All!J717,IF(+All!$H717="Tennessee",+All!J717,0))</f>
        <v>Tennessee</v>
      </c>
      <c r="K168" s="701" t="str">
        <f>IF(+All!$F717="Tennessee",+All!K717,IF(+All!$H717="Tennessee",+All!K717,0))</f>
        <v>Missouri</v>
      </c>
      <c r="L168" s="715">
        <f>IF(+All!$F717="Tennessee",+All!L717,IF(+All!$H717="Tennessee",+All!L717,0))</f>
        <v>20.5</v>
      </c>
      <c r="M168" s="716">
        <f>IF(+All!$F717="Tennessee",+All!M717,IF(+All!$H717="Tennessee",+All!M717,0))</f>
        <v>56.5</v>
      </c>
      <c r="N168" s="704" t="str">
        <f>IF(+All!$F717="Tennessee",+All!N717,IF(+All!$H717="Tennessee",+All!N717,0))</f>
        <v>Tennessee</v>
      </c>
      <c r="O168" s="707">
        <f>IF(+All!$F717="Tennessee",+All!O717,IF(+All!$H717="Tennessee",+All!O717,0))</f>
        <v>66</v>
      </c>
      <c r="P168" s="707" t="str">
        <f>IF(+All!$F717="Tennessee",+All!P717,IF(+All!$H717="Tennessee",+All!P717,0))</f>
        <v>Missouri</v>
      </c>
      <c r="Q168" s="709">
        <f>IF(+All!$F717="Tennessee",+All!Q717,IF(+All!$H717="Tennessee",+All!Q717,0))</f>
        <v>24</v>
      </c>
      <c r="R168" s="704" t="str">
        <f>IF(+All!$F717="Tennessee",+All!R717,IF(+All!$H717="Tennessee",+All!R717,0))</f>
        <v>Tennessee</v>
      </c>
      <c r="S168" s="707" t="str">
        <f>IF(+All!$F717="Tennessee",+All!S717,IF(+All!$H717="Tennessee",+All!S717,0))</f>
        <v>Missouri</v>
      </c>
      <c r="T168" s="704" t="str">
        <f>IF(+All!$F717="Tennessee",+All!T717,IF(+All!$H717="Tennessee",+All!T717,0))</f>
        <v>Missouri</v>
      </c>
      <c r="U168" s="701" t="str">
        <f>IF(+All!$F717="Tennessee",+All!U717,IF(+All!$H717="Tennessee",+All!U717,0))</f>
        <v>L</v>
      </c>
    </row>
    <row r="169" spans="1:21" x14ac:dyDescent="0.8">
      <c r="A169" s="720" t="e">
        <f>IF(+All!#REF!="Tennessee",+All!#REF!,IF(+All!#REF!="Tennessee",+All!#REF!,0))</f>
        <v>#REF!</v>
      </c>
      <c r="B169" s="698" t="e">
        <f>IF(+All!#REF!="Tennessee",+All!#REF!,IF(+All!#REF!="Tennessee",+All!#REF!,0))</f>
        <v>#REF!</v>
      </c>
      <c r="C169" s="699" t="e">
        <f>IF(+All!#REF!="Tennessee",+All!#REF!,IF(+All!#REF!="Tennessee",+All!#REF!,0))</f>
        <v>#REF!</v>
      </c>
      <c r="D169" s="700" t="e">
        <f>IF(+All!#REF!="Tennessee",+All!#REF!,IF(+All!#REF!="Tennessee",+All!#REF!,0))</f>
        <v>#REF!</v>
      </c>
      <c r="E169" s="701" t="e">
        <f>IF(+All!#REF!="Tennessee",+All!#REF!,IF(+All!#REF!="Tennessee",+All!#REF!,0))</f>
        <v>#REF!</v>
      </c>
      <c r="F169" s="704" t="e">
        <f>IF(+All!#REF!="Tennessee",+All!#REF!,IF(+All!#REF!="Tennessee",+All!#REF!,0))</f>
        <v>#REF!</v>
      </c>
      <c r="G169" s="701" t="e">
        <f>IF(+All!#REF!="Tennessee",+All!#REF!,IF(+All!#REF!="Tennessee",+All!#REF!,0))</f>
        <v>#REF!</v>
      </c>
      <c r="H169" s="704" t="e">
        <f>IF(+All!#REF!="Tennessee",+All!#REF!,IF(+All!#REF!="Tennessee",+All!#REF!,0))</f>
        <v>#REF!</v>
      </c>
      <c r="I169" s="701" t="e">
        <f>IF(+All!#REF!="Tennessee",+All!#REF!,IF(+All!#REF!="Tennessee",+All!#REF!,0))</f>
        <v>#REF!</v>
      </c>
      <c r="J169" s="704" t="e">
        <f>IF(+All!#REF!="Tennessee",+All!#REF!,IF(+All!#REF!="Tennessee",+All!#REF!,0))</f>
        <v>#REF!</v>
      </c>
      <c r="K169" s="701" t="e">
        <f>IF(+All!#REF!="Tennessee",+All!#REF!,IF(+All!#REF!="Tennessee",+All!#REF!,0))</f>
        <v>#REF!</v>
      </c>
      <c r="L169" s="715" t="e">
        <f>IF(+All!#REF!="Tennessee",+All!#REF!,IF(+All!#REF!="Tennessee",+All!#REF!,0))</f>
        <v>#REF!</v>
      </c>
      <c r="M169" s="716" t="e">
        <f>IF(+All!#REF!="Tennessee",+All!#REF!,IF(+All!#REF!="Tennessee",+All!#REF!,0))</f>
        <v>#REF!</v>
      </c>
      <c r="N169" s="704" t="e">
        <f>IF(+All!#REF!="Tennessee",+All!#REF!,IF(+All!#REF!="Tennessee",+All!#REF!,0))</f>
        <v>#REF!</v>
      </c>
      <c r="O169" s="707" t="e">
        <f>IF(+All!#REF!="Tennessee",+All!#REF!,IF(+All!#REF!="Tennessee",+All!#REF!,0))</f>
        <v>#REF!</v>
      </c>
      <c r="P169" s="707" t="e">
        <f>IF(+All!#REF!="Tennessee",+All!#REF!,IF(+All!#REF!="Tennessee",+All!#REF!,0))</f>
        <v>#REF!</v>
      </c>
      <c r="Q169" s="709" t="e">
        <f>IF(+All!#REF!="Tennessee",+All!#REF!,IF(+All!#REF!="Tennessee",+All!#REF!,0))</f>
        <v>#REF!</v>
      </c>
      <c r="R169" s="704" t="e">
        <f>IF(+All!#REF!="Tennessee",+All!#REF!,IF(+All!#REF!="Tennessee",+All!#REF!,0))</f>
        <v>#REF!</v>
      </c>
      <c r="S169" s="707" t="e">
        <f>IF(+All!#REF!="Tennessee",+All!#REF!,IF(+All!#REF!="Tennessee",+All!#REF!,0))</f>
        <v>#REF!</v>
      </c>
      <c r="T169" s="704" t="e">
        <f>IF(+All!#REF!="Tennessee",+All!#REF!,IF(+All!#REF!="Tennessee",+All!#REF!,0))</f>
        <v>#REF!</v>
      </c>
      <c r="U169" s="701" t="e">
        <f>IF(+All!#REF!="Tennessee",+All!#REF!,IF(+All!#REF!="Tennessee",+All!#REF!,0))</f>
        <v>#REF!</v>
      </c>
    </row>
    <row r="170" spans="1:21" x14ac:dyDescent="0.8">
      <c r="A170" s="720">
        <f>IF(+All!$F848="Tennessee",+All!A848,IF(+All!$H848="Tennessee",+All!A848,0))</f>
        <v>13</v>
      </c>
      <c r="B170" s="698" t="str">
        <f>IF(+All!$F848="Tennessee",+All!B848,IF(+All!$H848="Tennessee",+All!B848,0))</f>
        <v>Sat</v>
      </c>
      <c r="C170" s="699">
        <f>IF(+All!$F848="Tennessee",+All!C848,IF(+All!$H848="Tennessee",+All!C848,0))</f>
        <v>44891</v>
      </c>
      <c r="D170" s="700">
        <f>IF(+All!$F848="Tennessee",+All!D848,IF(+All!$H848="Tennessee",+All!D848,0))</f>
        <v>0.8125</v>
      </c>
      <c r="E170" s="701" t="str">
        <f>IF(+All!$F848="Tennessee",+All!E848,IF(+All!$H848="Tennessee",+All!E848,0))</f>
        <v>ESPN</v>
      </c>
      <c r="F170" s="704" t="str">
        <f>IF(+All!$F848="Tennessee",+All!F848,IF(+All!$H848="Tennessee",+All!F848,0))</f>
        <v>Tennessee</v>
      </c>
      <c r="G170" s="701" t="str">
        <f>IF(+All!$F848="Tennessee",+All!G848,IF(+All!$H848="Tennessee",+All!G848,0))</f>
        <v>SEC</v>
      </c>
      <c r="H170" s="704" t="str">
        <f>IF(+All!$F848="Tennessee",+All!H848,IF(+All!$H848="Tennessee",+All!H848,0))</f>
        <v>Vanderbilt</v>
      </c>
      <c r="I170" s="701" t="str">
        <f>IF(+All!$F848="Tennessee",+All!I848,IF(+All!$H848="Tennessee",+All!I848,0))</f>
        <v>SEC</v>
      </c>
      <c r="J170" s="704" t="str">
        <f>IF(+All!$F848="Tennessee",+All!J848,IF(+All!$H848="Tennessee",+All!J848,0))</f>
        <v>Tennessee</v>
      </c>
      <c r="K170" s="701" t="str">
        <f>IF(+All!$F848="Tennessee",+All!K848,IF(+All!$H848="Tennessee",+All!K848,0))</f>
        <v>Vanderbilt</v>
      </c>
      <c r="L170" s="715">
        <f>IF(+All!$F848="Tennessee",+All!L848,IF(+All!$H848="Tennessee",+All!L848,0))</f>
        <v>14</v>
      </c>
      <c r="M170" s="716">
        <f>IF(+All!$F848="Tennessee",+All!M848,IF(+All!$H848="Tennessee",+All!M848,0))</f>
        <v>64</v>
      </c>
      <c r="N170" s="704" t="str">
        <f>IF(+All!$F848="Tennessee",+All!N848,IF(+All!$H848="Tennessee",+All!N848,0))</f>
        <v>Tennessee</v>
      </c>
      <c r="O170" s="707">
        <f>IF(+All!$F848="Tennessee",+All!O848,IF(+All!$H848="Tennessee",+All!O848,0))</f>
        <v>56</v>
      </c>
      <c r="P170" s="707" t="str">
        <f>IF(+All!$F848="Tennessee",+All!P848,IF(+All!$H848="Tennessee",+All!P848,0))</f>
        <v>Vanderbilt</v>
      </c>
      <c r="Q170" s="709">
        <f>IF(+All!$F848="Tennessee",+All!Q848,IF(+All!$H848="Tennessee",+All!Q848,0))</f>
        <v>0</v>
      </c>
      <c r="R170" s="704" t="str">
        <f>IF(+All!$F848="Tennessee",+All!R848,IF(+All!$H848="Tennessee",+All!R848,0))</f>
        <v>Tennessee</v>
      </c>
      <c r="S170" s="707" t="str">
        <f>IF(+All!$F848="Tennessee",+All!S848,IF(+All!$H848="Tennessee",+All!S848,0))</f>
        <v>Vanderbilt</v>
      </c>
      <c r="T170" s="704" t="str">
        <f>IF(+All!$F848="Tennessee",+All!T848,IF(+All!$H848="Tennessee",+All!T848,0))</f>
        <v>Tennessee</v>
      </c>
      <c r="U170" s="701" t="str">
        <f>IF(+All!$F848="Tennessee",+All!U848,IF(+All!$H848="Tennessee",+All!U848,0))</f>
        <v>W</v>
      </c>
    </row>
    <row r="171" spans="1:21" x14ac:dyDescent="0.8">
      <c r="B171" s="697"/>
      <c r="C171" s="708"/>
      <c r="D171" s="700"/>
      <c r="F171" s="916" t="str">
        <f>H172</f>
        <v>Texas A&amp;M</v>
      </c>
      <c r="G171" s="917"/>
      <c r="H171" s="917"/>
      <c r="I171" s="918"/>
      <c r="L171" s="705"/>
      <c r="M171" s="706"/>
    </row>
    <row r="172" spans="1:21" x14ac:dyDescent="0.8">
      <c r="A172" s="720">
        <f>IF(+All!$F96="Texas A&amp;M",+All!A96,IF(+All!$H96="Texas A&amp;M",+All!A96,0))</f>
        <v>1</v>
      </c>
      <c r="B172" s="698" t="str">
        <f>IF(+All!$F96="Texas A&amp;M",+All!B96,IF(+All!$H96="Texas A&amp;M",+All!B96,0))</f>
        <v>Sat</v>
      </c>
      <c r="C172" s="699">
        <f>IF(+All!$F96="Texas A&amp;M",+All!C96,IF(+All!$H96="Texas A&amp;M",+All!C96,0))</f>
        <v>44807</v>
      </c>
      <c r="D172" s="700">
        <f>IF(+All!$F96="Texas A&amp;M",+All!D96,IF(+All!$H96="Texas A&amp;M",+All!D96,0))</f>
        <v>0.5</v>
      </c>
      <c r="E172" s="701" t="str">
        <f>IF(+All!$F96="Texas A&amp;M",+All!E96,IF(+All!$H96="Texas A&amp;M",+All!E96,0))</f>
        <v>SEC</v>
      </c>
      <c r="F172" s="704" t="str">
        <f>IF(+All!$F96="Texas A&amp;M",+All!F96,IF(+All!$H96="Texas A&amp;M",+All!F96,0))</f>
        <v>1AA Sam Houston State</v>
      </c>
      <c r="G172" s="701" t="str">
        <f>IF(+All!$F96="Texas A&amp;M",+All!G96,IF(+All!$H96="Texas A&amp;M",+All!G96,0))</f>
        <v>1AA</v>
      </c>
      <c r="H172" s="704" t="str">
        <f>IF(+All!$F96="Texas A&amp;M",+All!H96,IF(+All!$H96="Texas A&amp;M",+All!H96,0))</f>
        <v>Texas A&amp;M</v>
      </c>
      <c r="I172" s="701" t="str">
        <f>IF(+All!$F96="Texas A&amp;M",+All!I96,IF(+All!$H96="Texas A&amp;M",+All!I96,0))</f>
        <v>SEC</v>
      </c>
      <c r="J172" s="704">
        <f>IF(+All!$F96="Texas A&amp;M",+All!J96,IF(+All!$H96="Texas A&amp;M",+All!J96,0))</f>
        <v>0</v>
      </c>
      <c r="K172" s="701">
        <f>IF(+All!$F96="Texas A&amp;M",+All!K96,IF(+All!$H96="Texas A&amp;M",+All!K96,0))</f>
        <v>0</v>
      </c>
      <c r="L172" s="715">
        <f>IF(+All!$F96="Texas A&amp;M",+All!L96,IF(+All!$H96="Texas A&amp;M",+All!L96,0))</f>
        <v>0</v>
      </c>
      <c r="M172" s="716">
        <f>IF(+All!$F96="Texas A&amp;M",+All!M96,IF(+All!$H96="Texas A&amp;M",+All!M96,0))</f>
        <v>0</v>
      </c>
      <c r="N172" s="704" t="str">
        <f>IF(+All!$F96="Texas A&amp;M",+All!N96,IF(+All!$H96="Texas A&amp;M",+All!N96,0))</f>
        <v>Texas A&amp;M</v>
      </c>
      <c r="O172" s="707">
        <f>IF(+All!$F96="Texas A&amp;M",+All!O96,IF(+All!$H96="Texas A&amp;M",+All!O96,0))</f>
        <v>31</v>
      </c>
      <c r="P172" s="707" t="str">
        <f>IF(+All!$F96="Texas A&amp;M",+All!P96,IF(+All!$H96="Texas A&amp;M",+All!P96,0))</f>
        <v>1AA Sam Houston State</v>
      </c>
      <c r="Q172" s="709">
        <f>IF(+All!$F96="Texas A&amp;M",+All!Q96,IF(+All!$H96="Texas A&amp;M",+All!Q96,0))</f>
        <v>0</v>
      </c>
      <c r="R172" s="704">
        <f>IF(+All!$F96="Texas A&amp;M",+All!R96,IF(+All!$H96="Texas A&amp;M",+All!R96,0))</f>
        <v>0</v>
      </c>
      <c r="S172" s="707">
        <f>IF(+All!$F96="Texas A&amp;M",+All!S96,IF(+All!$H96="Texas A&amp;M",+All!S96,0))</f>
        <v>0</v>
      </c>
      <c r="T172" s="704">
        <f>IF(+All!$F96="Texas A&amp;M",+All!T96,IF(+All!$H96="Texas A&amp;M",+All!T96,0))</f>
        <v>0</v>
      </c>
      <c r="U172" s="701">
        <f>IF(+All!$F96="Texas A&amp;M",+All!U96,IF(+All!$H96="Texas A&amp;M",+All!U96,0))</f>
        <v>0</v>
      </c>
    </row>
    <row r="173" spans="1:21" x14ac:dyDescent="0.8">
      <c r="A173" s="720">
        <f>IF(+All!$F178="Texas A&amp;M",+All!A178,IF(+All!$H178="Texas A&amp;M",+All!A178,0))</f>
        <v>2</v>
      </c>
      <c r="B173" s="698" t="str">
        <f>IF(+All!$F178="Texas A&amp;M",+All!B178,IF(+All!$H178="Texas A&amp;M",+All!B178,0))</f>
        <v>Sat</v>
      </c>
      <c r="C173" s="699">
        <f>IF(+All!$F178="Texas A&amp;M",+All!C178,IF(+All!$H178="Texas A&amp;M",+All!C178,0))</f>
        <v>44814</v>
      </c>
      <c r="D173" s="700">
        <f>IF(+All!$F178="Texas A&amp;M",+All!D178,IF(+All!$H178="Texas A&amp;M",+All!D178,0))</f>
        <v>0.64583333333333337</v>
      </c>
      <c r="E173" s="701" t="str">
        <f>IF(+All!$F178="Texas A&amp;M",+All!E178,IF(+All!$H178="Texas A&amp;M",+All!E178,0))</f>
        <v>ESPN2</v>
      </c>
      <c r="F173" s="704" t="str">
        <f>IF(+All!$F178="Texas A&amp;M",+All!F178,IF(+All!$H178="Texas A&amp;M",+All!F178,0))</f>
        <v>Appalachian State</v>
      </c>
      <c r="G173" s="701" t="str">
        <f>IF(+All!$F178="Texas A&amp;M",+All!G178,IF(+All!$H178="Texas A&amp;M",+All!G178,0))</f>
        <v>SB</v>
      </c>
      <c r="H173" s="704" t="str">
        <f>IF(+All!$F178="Texas A&amp;M",+All!H178,IF(+All!$H178="Texas A&amp;M",+All!H178,0))</f>
        <v>Texas A&amp;M</v>
      </c>
      <c r="I173" s="701" t="str">
        <f>IF(+All!$F178="Texas A&amp;M",+All!I178,IF(+All!$H178="Texas A&amp;M",+All!I178,0))</f>
        <v>SEC</v>
      </c>
      <c r="J173" s="704" t="str">
        <f>IF(+All!$F178="Texas A&amp;M",+All!J178,IF(+All!$H178="Texas A&amp;M",+All!J178,0))</f>
        <v>Texas A&amp;M</v>
      </c>
      <c r="K173" s="701" t="str">
        <f>IF(+All!$F178="Texas A&amp;M",+All!K178,IF(+All!$H178="Texas A&amp;M",+All!K178,0))</f>
        <v>Appalachian State</v>
      </c>
      <c r="L173" s="715">
        <f>IF(+All!$F178="Texas A&amp;M",+All!L178,IF(+All!$H178="Texas A&amp;M",+All!L178,0))</f>
        <v>18.5</v>
      </c>
      <c r="M173" s="716">
        <f>IF(+All!$F178="Texas A&amp;M",+All!M178,IF(+All!$H178="Texas A&amp;M",+All!M178,0))</f>
        <v>52.5</v>
      </c>
      <c r="N173" s="704" t="str">
        <f>IF(+All!$F178="Texas A&amp;M",+All!N178,IF(+All!$H178="Texas A&amp;M",+All!N178,0))</f>
        <v>Appalachian State</v>
      </c>
      <c r="O173" s="707">
        <f>IF(+All!$F178="Texas A&amp;M",+All!O178,IF(+All!$H178="Texas A&amp;M",+All!O178,0))</f>
        <v>17</v>
      </c>
      <c r="P173" s="707" t="str">
        <f>IF(+All!$F178="Texas A&amp;M",+All!P178,IF(+All!$H178="Texas A&amp;M",+All!P178,0))</f>
        <v>Texas A&amp;M</v>
      </c>
      <c r="Q173" s="709">
        <f>IF(+All!$F178="Texas A&amp;M",+All!Q178,IF(+All!$H178="Texas A&amp;M",+All!Q178,0))</f>
        <v>14</v>
      </c>
      <c r="R173" s="704" t="str">
        <f>IF(+All!$F178="Texas A&amp;M",+All!R178,IF(+All!$H178="Texas A&amp;M",+All!R178,0))</f>
        <v>Appalachian State</v>
      </c>
      <c r="S173" s="707" t="str">
        <f>IF(+All!$F178="Texas A&amp;M",+All!S178,IF(+All!$H178="Texas A&amp;M",+All!S178,0))</f>
        <v>Texas A&amp;M</v>
      </c>
      <c r="T173" s="704" t="str">
        <f>IF(+All!$F178="Texas A&amp;M",+All!T178,IF(+All!$H178="Texas A&amp;M",+All!T178,0))</f>
        <v>Appalachian State</v>
      </c>
      <c r="U173" s="701" t="str">
        <f>IF(+All!$F178="Texas A&amp;M",+All!U178,IF(+All!$H178="Texas A&amp;M",+All!U178,0))</f>
        <v>W</v>
      </c>
    </row>
    <row r="174" spans="1:21" x14ac:dyDescent="0.8">
      <c r="A174" s="720">
        <f>IF(+All!$F251="Texas A&amp;M",+All!A251,IF(+All!$H251="Texas A&amp;M",+All!A251,0))</f>
        <v>3</v>
      </c>
      <c r="B174" s="698" t="str">
        <f>IF(+All!$F251="Texas A&amp;M",+All!B251,IF(+All!$H251="Texas A&amp;M",+All!B251,0))</f>
        <v>Sat</v>
      </c>
      <c r="C174" s="699">
        <f>IF(+All!$F251="Texas A&amp;M",+All!C251,IF(+All!$H251="Texas A&amp;M",+All!C251,0))</f>
        <v>44821</v>
      </c>
      <c r="D174" s="700">
        <f>IF(+All!$F251="Texas A&amp;M",+All!D251,IF(+All!$H251="Texas A&amp;M",+All!D251,0))</f>
        <v>0.875</v>
      </c>
      <c r="E174" s="701" t="str">
        <f>IF(+All!$F251="Texas A&amp;M",+All!E251,IF(+All!$H251="Texas A&amp;M",+All!E251,0))</f>
        <v>ESPN</v>
      </c>
      <c r="F174" s="704" t="str">
        <f>IF(+All!$F251="Texas A&amp;M",+All!F251,IF(+All!$H251="Texas A&amp;M",+All!F251,0))</f>
        <v>Miami (FL)</v>
      </c>
      <c r="G174" s="701" t="str">
        <f>IF(+All!$F251="Texas A&amp;M",+All!G251,IF(+All!$H251="Texas A&amp;M",+All!G251,0))</f>
        <v>ACC</v>
      </c>
      <c r="H174" s="704" t="str">
        <f>IF(+All!$F251="Texas A&amp;M",+All!H251,IF(+All!$H251="Texas A&amp;M",+All!H251,0))</f>
        <v>Texas A&amp;M</v>
      </c>
      <c r="I174" s="701" t="str">
        <f>IF(+All!$F251="Texas A&amp;M",+All!I251,IF(+All!$H251="Texas A&amp;M",+All!I251,0))</f>
        <v>SEC</v>
      </c>
      <c r="J174" s="704" t="str">
        <f>IF(+All!$F251="Texas A&amp;M",+All!J251,IF(+All!$H251="Texas A&amp;M",+All!J251,0))</f>
        <v>Texas A&amp;M</v>
      </c>
      <c r="K174" s="701" t="str">
        <f>IF(+All!$F251="Texas A&amp;M",+All!K251,IF(+All!$H251="Texas A&amp;M",+All!K251,0))</f>
        <v>Miami (FL)</v>
      </c>
      <c r="L174" s="715">
        <f>IF(+All!$F251="Texas A&amp;M",+All!L251,IF(+All!$H251="Texas A&amp;M",+All!L251,0))</f>
        <v>6.5</v>
      </c>
      <c r="M174" s="716">
        <f>IF(+All!$F251="Texas A&amp;M",+All!M251,IF(+All!$H251="Texas A&amp;M",+All!M251,0))</f>
        <v>45</v>
      </c>
      <c r="N174" s="704" t="str">
        <f>IF(+All!$F251="Texas A&amp;M",+All!N251,IF(+All!$H251="Texas A&amp;M",+All!N251,0))</f>
        <v>Texas A&amp;M</v>
      </c>
      <c r="O174" s="707">
        <f>IF(+All!$F251="Texas A&amp;M",+All!O251,IF(+All!$H251="Texas A&amp;M",+All!O251,0))</f>
        <v>17</v>
      </c>
      <c r="P174" s="707" t="str">
        <f>IF(+All!$F251="Texas A&amp;M",+All!P251,IF(+All!$H251="Texas A&amp;M",+All!P251,0))</f>
        <v>Miami (FL)</v>
      </c>
      <c r="Q174" s="709">
        <f>IF(+All!$F251="Texas A&amp;M",+All!Q251,IF(+All!$H251="Texas A&amp;M",+All!Q251,0))</f>
        <v>9</v>
      </c>
      <c r="R174" s="704" t="str">
        <f>IF(+All!$F251="Texas A&amp;M",+All!R251,IF(+All!$H251="Texas A&amp;M",+All!R251,0))</f>
        <v>Texas A&amp;M</v>
      </c>
      <c r="S174" s="707" t="str">
        <f>IF(+All!$F251="Texas A&amp;M",+All!S251,IF(+All!$H251="Texas A&amp;M",+All!S251,0))</f>
        <v>Miami (FL)</v>
      </c>
      <c r="T174" s="704" t="str">
        <f>IF(+All!$F251="Texas A&amp;M",+All!T251,IF(+All!$H251="Texas A&amp;M",+All!T251,0))</f>
        <v>Miami (FL)</v>
      </c>
      <c r="U174" s="701" t="str">
        <f>IF(+All!$F251="Texas A&amp;M",+All!U251,IF(+All!$H251="Texas A&amp;M",+All!U251,0))</f>
        <v>L</v>
      </c>
    </row>
    <row r="175" spans="1:21" x14ac:dyDescent="0.8">
      <c r="A175" s="720">
        <f>IF(+All!$F309="Texas A&amp;M",+All!A309,IF(+All!$H309="Texas A&amp;M",+All!A309,0))</f>
        <v>4</v>
      </c>
      <c r="B175" s="698" t="str">
        <f>IF(+All!$F309="Texas A&amp;M",+All!B309,IF(+All!$H309="Texas A&amp;M",+All!B309,0))</f>
        <v>Sat</v>
      </c>
      <c r="C175" s="699">
        <f>IF(+All!$F309="Texas A&amp;M",+All!C309,IF(+All!$H309="Texas A&amp;M",+All!C309,0))</f>
        <v>44828</v>
      </c>
      <c r="D175" s="700">
        <f>IF(+All!$F309="Texas A&amp;M",+All!D309,IF(+All!$H309="Texas A&amp;M",+All!D309,0))</f>
        <v>0.75</v>
      </c>
      <c r="E175" s="701" t="str">
        <f>IF(+All!$F309="Texas A&amp;M",+All!E309,IF(+All!$H309="Texas A&amp;M",+All!E309,0))</f>
        <v>ESPN</v>
      </c>
      <c r="F175" s="704" t="str">
        <f>IF(+All!$F309="Texas A&amp;M",+All!F309,IF(+All!$H309="Texas A&amp;M",+All!F309,0))</f>
        <v>Texas A&amp;M</v>
      </c>
      <c r="G175" s="701" t="str">
        <f>IF(+All!$F309="Texas A&amp;M",+All!G309,IF(+All!$H309="Texas A&amp;M",+All!G309,0))</f>
        <v>SEC</v>
      </c>
      <c r="H175" s="704" t="str">
        <f>IF(+All!$F309="Texas A&amp;M",+All!H309,IF(+All!$H309="Texas A&amp;M",+All!H309,0))</f>
        <v>Arkansas</v>
      </c>
      <c r="I175" s="701" t="str">
        <f>IF(+All!$F309="Texas A&amp;M",+All!I309,IF(+All!$H309="Texas A&amp;M",+All!I309,0))</f>
        <v>SEC</v>
      </c>
      <c r="J175" s="704" t="str">
        <f>IF(+All!$F309="Texas A&amp;M",+All!J309,IF(+All!$H309="Texas A&amp;M",+All!J309,0))</f>
        <v>Texas A&amp;M</v>
      </c>
      <c r="K175" s="701" t="str">
        <f>IF(+All!$F309="Texas A&amp;M",+All!K309,IF(+All!$H309="Texas A&amp;M",+All!K309,0))</f>
        <v>Arkansas</v>
      </c>
      <c r="L175" s="715">
        <f>IF(+All!$F309="Texas A&amp;M",+All!L309,IF(+All!$H309="Texas A&amp;M",+All!L309,0))</f>
        <v>2</v>
      </c>
      <c r="M175" s="716">
        <f>IF(+All!$F309="Texas A&amp;M",+All!M309,IF(+All!$H309="Texas A&amp;M",+All!M309,0))</f>
        <v>48.5</v>
      </c>
      <c r="N175" s="704" t="str">
        <f>IF(+All!$F309="Texas A&amp;M",+All!N309,IF(+All!$H309="Texas A&amp;M",+All!N309,0))</f>
        <v>Texas A&amp;M</v>
      </c>
      <c r="O175" s="707">
        <f>IF(+All!$F309="Texas A&amp;M",+All!O309,IF(+All!$H309="Texas A&amp;M",+All!O309,0))</f>
        <v>23</v>
      </c>
      <c r="P175" s="707" t="str">
        <f>IF(+All!$F309="Texas A&amp;M",+All!P309,IF(+All!$H309="Texas A&amp;M",+All!P309,0))</f>
        <v>Arkansas</v>
      </c>
      <c r="Q175" s="709">
        <f>IF(+All!$F309="Texas A&amp;M",+All!Q309,IF(+All!$H309="Texas A&amp;M",+All!Q309,0))</f>
        <v>21</v>
      </c>
      <c r="R175" s="704" t="str">
        <f>IF(+All!$F309="Texas A&amp;M",+All!R309,IF(+All!$H309="Texas A&amp;M",+All!R309,0))</f>
        <v>Texas A&amp;M</v>
      </c>
      <c r="S175" s="707" t="str">
        <f>IF(+All!$F309="Texas A&amp;M",+All!S309,IF(+All!$H309="Texas A&amp;M",+All!S309,0))</f>
        <v>Arkansas</v>
      </c>
      <c r="T175" s="704" t="str">
        <f>IF(+All!$F309="Texas A&amp;M",+All!T309,IF(+All!$H309="Texas A&amp;M",+All!T309,0))</f>
        <v>Arkansas</v>
      </c>
      <c r="U175" s="701" t="str">
        <f>IF(+All!$F309="Texas A&amp;M",+All!U309,IF(+All!$H309="Texas A&amp;M",+All!U309,0))</f>
        <v>T</v>
      </c>
    </row>
    <row r="176" spans="1:21" x14ac:dyDescent="0.8">
      <c r="A176" s="720">
        <f>IF(+All!$F379="Texas A&amp;M",+All!A379,IF(+All!$H379="Texas A&amp;M",+All!A379,0))</f>
        <v>5</v>
      </c>
      <c r="B176" s="698" t="str">
        <f>IF(+All!$F379="Texas A&amp;M",+All!B379,IF(+All!$H379="Texas A&amp;M",+All!B379,0))</f>
        <v>Sat</v>
      </c>
      <c r="C176" s="699">
        <f>IF(+All!$F379="Texas A&amp;M",+All!C379,IF(+All!$H379="Texas A&amp;M",+All!C379,0))</f>
        <v>44835</v>
      </c>
      <c r="D176" s="700">
        <f>IF(+All!$F379="Texas A&amp;M",+All!D379,IF(+All!$H379="Texas A&amp;M",+All!D379,0))</f>
        <v>0.66666666666666663</v>
      </c>
      <c r="E176" s="701" t="str">
        <f>IF(+All!$F379="Texas A&amp;M",+All!E379,IF(+All!$H379="Texas A&amp;M",+All!E379,0))</f>
        <v>SEC</v>
      </c>
      <c r="F176" s="704" t="str">
        <f>IF(+All!$F379="Texas A&amp;M",+All!F379,IF(+All!$H379="Texas A&amp;M",+All!F379,0))</f>
        <v>Texas A&amp;M</v>
      </c>
      <c r="G176" s="701" t="str">
        <f>IF(+All!$F379="Texas A&amp;M",+All!G379,IF(+All!$H379="Texas A&amp;M",+All!G379,0))</f>
        <v>SEC</v>
      </c>
      <c r="H176" s="704" t="str">
        <f>IF(+All!$F379="Texas A&amp;M",+All!H379,IF(+All!$H379="Texas A&amp;M",+All!H379,0))</f>
        <v>Mississippi State</v>
      </c>
      <c r="I176" s="701" t="str">
        <f>IF(+All!$F379="Texas A&amp;M",+All!I379,IF(+All!$H379="Texas A&amp;M",+All!I379,0))</f>
        <v>SEC</v>
      </c>
      <c r="J176" s="704" t="str">
        <f>IF(+All!$F379="Texas A&amp;M",+All!J379,IF(+All!$H379="Texas A&amp;M",+All!J379,0))</f>
        <v>Mississippi State</v>
      </c>
      <c r="K176" s="701" t="str">
        <f>IF(+All!$F379="Texas A&amp;M",+All!K379,IF(+All!$H379="Texas A&amp;M",+All!K379,0))</f>
        <v>Texas A&amp;M</v>
      </c>
      <c r="L176" s="715">
        <f>IF(+All!$F379="Texas A&amp;M",+All!L379,IF(+All!$H379="Texas A&amp;M",+All!L379,0))</f>
        <v>3.5</v>
      </c>
      <c r="M176" s="716">
        <f>IF(+All!$F379="Texas A&amp;M",+All!M379,IF(+All!$H379="Texas A&amp;M",+All!M379,0))</f>
        <v>45</v>
      </c>
      <c r="N176" s="704" t="str">
        <f>IF(+All!$F379="Texas A&amp;M",+All!N379,IF(+All!$H379="Texas A&amp;M",+All!N379,0))</f>
        <v>Mississippi State</v>
      </c>
      <c r="O176" s="707">
        <f>IF(+All!$F379="Texas A&amp;M",+All!O379,IF(+All!$H379="Texas A&amp;M",+All!O379,0))</f>
        <v>42</v>
      </c>
      <c r="P176" s="707" t="str">
        <f>IF(+All!$F379="Texas A&amp;M",+All!P379,IF(+All!$H379="Texas A&amp;M",+All!P379,0))</f>
        <v>Texas A&amp;M</v>
      </c>
      <c r="Q176" s="709">
        <f>IF(+All!$F379="Texas A&amp;M",+All!Q379,IF(+All!$H379="Texas A&amp;M",+All!Q379,0))</f>
        <v>24</v>
      </c>
      <c r="R176" s="704" t="str">
        <f>IF(+All!$F379="Texas A&amp;M",+All!R379,IF(+All!$H379="Texas A&amp;M",+All!R379,0))</f>
        <v>Mississippi State</v>
      </c>
      <c r="S176" s="707" t="str">
        <f>IF(+All!$F379="Texas A&amp;M",+All!S379,IF(+All!$H379="Texas A&amp;M",+All!S379,0))</f>
        <v>Texas A&amp;M</v>
      </c>
      <c r="T176" s="704" t="str">
        <f>IF(+All!$F379="Texas A&amp;M",+All!T379,IF(+All!$H379="Texas A&amp;M",+All!T379,0))</f>
        <v>Texas A&amp;M</v>
      </c>
      <c r="U176" s="701" t="str">
        <f>IF(+All!$F379="Texas A&amp;M",+All!U379,IF(+All!$H379="Texas A&amp;M",+All!U379,0))</f>
        <v>L</v>
      </c>
    </row>
    <row r="177" spans="1:21" x14ac:dyDescent="0.8">
      <c r="A177" s="720">
        <f>IF(+All!$F431="Texas A&amp;M",+All!A431,IF(+All!$H431="Texas A&amp;M",+All!A431,0))</f>
        <v>6</v>
      </c>
      <c r="B177" s="698" t="str">
        <f>IF(+All!$F431="Texas A&amp;M",+All!B431,IF(+All!$H431="Texas A&amp;M",+All!B431,0))</f>
        <v>Sat</v>
      </c>
      <c r="C177" s="699">
        <f>IF(+All!$F431="Texas A&amp;M",+All!C431,IF(+All!$H431="Texas A&amp;M",+All!C431,0))</f>
        <v>44842</v>
      </c>
      <c r="D177" s="700">
        <f>IF(+All!$F431="Texas A&amp;M",+All!D431,IF(+All!$H431="Texas A&amp;M",+All!D431,0))</f>
        <v>0.83333333333333337</v>
      </c>
      <c r="E177" s="701" t="str">
        <f>IF(+All!$F431="Texas A&amp;M",+All!E431,IF(+All!$H431="Texas A&amp;M",+All!E431,0))</f>
        <v>CBS</v>
      </c>
      <c r="F177" s="704" t="str">
        <f>IF(+All!$F431="Texas A&amp;M",+All!F431,IF(+All!$H431="Texas A&amp;M",+All!F431,0))</f>
        <v>Texas A&amp;M</v>
      </c>
      <c r="G177" s="701" t="str">
        <f>IF(+All!$F431="Texas A&amp;M",+All!G431,IF(+All!$H431="Texas A&amp;M",+All!G431,0))</f>
        <v>SEC</v>
      </c>
      <c r="H177" s="704" t="str">
        <f>IF(+All!$F431="Texas A&amp;M",+All!H431,IF(+All!$H431="Texas A&amp;M",+All!H431,0))</f>
        <v>Alabama</v>
      </c>
      <c r="I177" s="701" t="str">
        <f>IF(+All!$F431="Texas A&amp;M",+All!I431,IF(+All!$H431="Texas A&amp;M",+All!I431,0))</f>
        <v>SEC</v>
      </c>
      <c r="J177" s="704" t="str">
        <f>IF(+All!$F431="Texas A&amp;M",+All!J431,IF(+All!$H431="Texas A&amp;M",+All!J431,0))</f>
        <v>Alabama</v>
      </c>
      <c r="K177" s="701" t="str">
        <f>IF(+All!$F431="Texas A&amp;M",+All!K431,IF(+All!$H431="Texas A&amp;M",+All!K431,0))</f>
        <v>Texas A&amp;M</v>
      </c>
      <c r="L177" s="715">
        <f>IF(+All!$F431="Texas A&amp;M",+All!L431,IF(+All!$H431="Texas A&amp;M",+All!L431,0))</f>
        <v>24</v>
      </c>
      <c r="M177" s="716">
        <f>IF(+All!$F431="Texas A&amp;M",+All!M431,IF(+All!$H431="Texas A&amp;M",+All!M431,0))</f>
        <v>52</v>
      </c>
      <c r="N177" s="704" t="str">
        <f>IF(+All!$F431="Texas A&amp;M",+All!N431,IF(+All!$H431="Texas A&amp;M",+All!N431,0))</f>
        <v>Alabama</v>
      </c>
      <c r="O177" s="707">
        <f>IF(+All!$F431="Texas A&amp;M",+All!O431,IF(+All!$H431="Texas A&amp;M",+All!O431,0))</f>
        <v>24</v>
      </c>
      <c r="P177" s="707" t="str">
        <f>IF(+All!$F431="Texas A&amp;M",+All!P431,IF(+All!$H431="Texas A&amp;M",+All!P431,0))</f>
        <v>Texas A&amp;M</v>
      </c>
      <c r="Q177" s="709">
        <f>IF(+All!$F431="Texas A&amp;M",+All!Q431,IF(+All!$H431="Texas A&amp;M",+All!Q431,0))</f>
        <v>20</v>
      </c>
      <c r="R177" s="704" t="str">
        <f>IF(+All!$F431="Texas A&amp;M",+All!R431,IF(+All!$H431="Texas A&amp;M",+All!R431,0))</f>
        <v>Texas A&amp;M</v>
      </c>
      <c r="S177" s="707" t="str">
        <f>IF(+All!$F431="Texas A&amp;M",+All!S431,IF(+All!$H431="Texas A&amp;M",+All!S431,0))</f>
        <v>Alabama</v>
      </c>
      <c r="T177" s="704" t="str">
        <f>IF(+All!$F431="Texas A&amp;M",+All!T431,IF(+All!$H431="Texas A&amp;M",+All!T431,0))</f>
        <v>Texas A&amp;M</v>
      </c>
      <c r="U177" s="701" t="str">
        <f>IF(+All!$F431="Texas A&amp;M",+All!U431,IF(+All!$H431="Texas A&amp;M",+All!U431,0))</f>
        <v>W</v>
      </c>
    </row>
    <row r="178" spans="1:21" x14ac:dyDescent="0.8">
      <c r="A178" s="720" t="e">
        <f>IF(+All!#REF!="Texas A&amp;M",+All!#REF!,IF(+All!#REF!="Texas A&amp;M",+All!#REF!,0))</f>
        <v>#REF!</v>
      </c>
      <c r="B178" s="698" t="e">
        <f>IF(+All!#REF!="Texas A&amp;M",+All!#REF!,IF(+All!#REF!="Texas A&amp;M",+All!#REF!,0))</f>
        <v>#REF!</v>
      </c>
      <c r="C178" s="699" t="e">
        <f>IF(+All!#REF!="Texas A&amp;M",+All!#REF!,IF(+All!#REF!="Texas A&amp;M",+All!#REF!,0))</f>
        <v>#REF!</v>
      </c>
      <c r="D178" s="700" t="e">
        <f>IF(+All!#REF!="Texas A&amp;M",+All!#REF!,IF(+All!#REF!="Texas A&amp;M",+All!#REF!,0))</f>
        <v>#REF!</v>
      </c>
      <c r="E178" s="701" t="e">
        <f>IF(+All!#REF!="Texas A&amp;M",+All!#REF!,IF(+All!#REF!="Texas A&amp;M",+All!#REF!,0))</f>
        <v>#REF!</v>
      </c>
      <c r="F178" s="704" t="e">
        <f>IF(+All!#REF!="Texas A&amp;M",+All!#REF!,IF(+All!#REF!="Texas A&amp;M",+All!#REF!,0))</f>
        <v>#REF!</v>
      </c>
      <c r="G178" s="701" t="e">
        <f>IF(+All!#REF!="Texas A&amp;M",+All!#REF!,IF(+All!#REF!="Texas A&amp;M",+All!#REF!,0))</f>
        <v>#REF!</v>
      </c>
      <c r="H178" s="704" t="e">
        <f>IF(+All!#REF!="Texas A&amp;M",+All!#REF!,IF(+All!#REF!="Texas A&amp;M",+All!#REF!,0))</f>
        <v>#REF!</v>
      </c>
      <c r="I178" s="701" t="e">
        <f>IF(+All!#REF!="Texas A&amp;M",+All!#REF!,IF(+All!#REF!="Texas A&amp;M",+All!#REF!,0))</f>
        <v>#REF!</v>
      </c>
      <c r="J178" s="704" t="e">
        <f>IF(+All!#REF!="Texas A&amp;M",+All!#REF!,IF(+All!#REF!="Texas A&amp;M",+All!#REF!,0))</f>
        <v>#REF!</v>
      </c>
      <c r="K178" s="701" t="e">
        <f>IF(+All!#REF!="Texas A&amp;M",+All!#REF!,IF(+All!#REF!="Texas A&amp;M",+All!#REF!,0))</f>
        <v>#REF!</v>
      </c>
      <c r="L178" s="715" t="e">
        <f>IF(+All!#REF!="Texas A&amp;M",+All!#REF!,IF(+All!#REF!="Texas A&amp;M",+All!#REF!,0))</f>
        <v>#REF!</v>
      </c>
      <c r="M178" s="716" t="e">
        <f>IF(+All!#REF!="Texas A&amp;M",+All!#REF!,IF(+All!#REF!="Texas A&amp;M",+All!#REF!,0))</f>
        <v>#REF!</v>
      </c>
      <c r="N178" s="704" t="e">
        <f>IF(+All!#REF!="Texas A&amp;M",+All!#REF!,IF(+All!#REF!="Texas A&amp;M",+All!#REF!,0))</f>
        <v>#REF!</v>
      </c>
      <c r="O178" s="707" t="e">
        <f>IF(+All!#REF!="Texas A&amp;M",+All!#REF!,IF(+All!#REF!="Texas A&amp;M",+All!#REF!,0))</f>
        <v>#REF!</v>
      </c>
      <c r="P178" s="707" t="e">
        <f>IF(+All!#REF!="Texas A&amp;M",+All!#REF!,IF(+All!#REF!="Texas A&amp;M",+All!#REF!,0))</f>
        <v>#REF!</v>
      </c>
      <c r="Q178" s="709" t="e">
        <f>IF(+All!#REF!="Texas A&amp;M",+All!#REF!,IF(+All!#REF!="Texas A&amp;M",+All!#REF!,0))</f>
        <v>#REF!</v>
      </c>
      <c r="R178" s="704" t="e">
        <f>IF(+All!#REF!="Texas A&amp;M",+All!#REF!,IF(+All!#REF!="Texas A&amp;M",+All!#REF!,0))</f>
        <v>#REF!</v>
      </c>
      <c r="S178" s="707" t="e">
        <f>IF(+All!#REF!="Texas A&amp;M",+All!#REF!,IF(+All!#REF!="Texas A&amp;M",+All!#REF!,0))</f>
        <v>#REF!</v>
      </c>
      <c r="T178" s="704" t="e">
        <f>IF(+All!#REF!="Texas A&amp;M",+All!#REF!,IF(+All!#REF!="Texas A&amp;M",+All!#REF!,0))</f>
        <v>#REF!</v>
      </c>
      <c r="U178" s="701" t="e">
        <f>IF(+All!#REF!="Texas A&amp;M",+All!#REF!,IF(+All!#REF!="Texas A&amp;M",+All!#REF!,0))</f>
        <v>#REF!</v>
      </c>
    </row>
    <row r="179" spans="1:21" x14ac:dyDescent="0.8">
      <c r="A179" s="720">
        <f>IF(+All!$F543="Texas A&amp;M",+All!A543,IF(+All!$H543="Texas A&amp;M",+All!A543,0))</f>
        <v>8</v>
      </c>
      <c r="B179" s="698" t="str">
        <f>IF(+All!$F543="Texas A&amp;M",+All!B543,IF(+All!$H543="Texas A&amp;M",+All!B543,0))</f>
        <v>Sat</v>
      </c>
      <c r="C179" s="699">
        <f>IF(+All!$F543="Texas A&amp;M",+All!C543,IF(+All!$H543="Texas A&amp;M",+All!C543,0))</f>
        <v>44856</v>
      </c>
      <c r="D179" s="700">
        <f>IF(+All!$F543="Texas A&amp;M",+All!D543,IF(+All!$H543="Texas A&amp;M",+All!D543,0))</f>
        <v>0.8125</v>
      </c>
      <c r="E179" s="701" t="str">
        <f>IF(+All!$F543="Texas A&amp;M",+All!E543,IF(+All!$H543="Texas A&amp;M",+All!E543,0))</f>
        <v>SEC</v>
      </c>
      <c r="F179" s="704" t="str">
        <f>IF(+All!$F543="Texas A&amp;M",+All!F543,IF(+All!$H543="Texas A&amp;M",+All!F543,0))</f>
        <v>Texas A&amp;M</v>
      </c>
      <c r="G179" s="701" t="str">
        <f>IF(+All!$F543="Texas A&amp;M",+All!G543,IF(+All!$H543="Texas A&amp;M",+All!G543,0))</f>
        <v>SEC</v>
      </c>
      <c r="H179" s="704" t="str">
        <f>IF(+All!$F543="Texas A&amp;M",+All!H543,IF(+All!$H543="Texas A&amp;M",+All!H543,0))</f>
        <v>South Carolina</v>
      </c>
      <c r="I179" s="701" t="str">
        <f>IF(+All!$F543="Texas A&amp;M",+All!I543,IF(+All!$H543="Texas A&amp;M",+All!I543,0))</f>
        <v>SEC</v>
      </c>
      <c r="J179" s="704" t="str">
        <f>IF(+All!$F543="Texas A&amp;M",+All!J543,IF(+All!$H543="Texas A&amp;M",+All!J543,0))</f>
        <v>Texas A&amp;M</v>
      </c>
      <c r="K179" s="701" t="str">
        <f>IF(+All!$F543="Texas A&amp;M",+All!K543,IF(+All!$H543="Texas A&amp;M",+All!K543,0))</f>
        <v>South Carolina</v>
      </c>
      <c r="L179" s="715">
        <f>IF(+All!$F543="Texas A&amp;M",+All!L543,IF(+All!$H543="Texas A&amp;M",+All!L543,0))</f>
        <v>3.5</v>
      </c>
      <c r="M179" s="716">
        <f>IF(+All!$F543="Texas A&amp;M",+All!M543,IF(+All!$H543="Texas A&amp;M",+All!M543,0))</f>
        <v>45</v>
      </c>
      <c r="N179" s="704" t="str">
        <f>IF(+All!$F543="Texas A&amp;M",+All!N543,IF(+All!$H543="Texas A&amp;M",+All!N543,0))</f>
        <v>South Carolina</v>
      </c>
      <c r="O179" s="707">
        <f>IF(+All!$F543="Texas A&amp;M",+All!O543,IF(+All!$H543="Texas A&amp;M",+All!O543,0))</f>
        <v>30</v>
      </c>
      <c r="P179" s="707" t="str">
        <f>IF(+All!$F543="Texas A&amp;M",+All!P543,IF(+All!$H543="Texas A&amp;M",+All!P543,0))</f>
        <v>Texas A&amp;M</v>
      </c>
      <c r="Q179" s="709">
        <f>IF(+All!$F543="Texas A&amp;M",+All!Q543,IF(+All!$H543="Texas A&amp;M",+All!Q543,0))</f>
        <v>24</v>
      </c>
      <c r="R179" s="704" t="str">
        <f>IF(+All!$F543="Texas A&amp;M",+All!R543,IF(+All!$H543="Texas A&amp;M",+All!R543,0))</f>
        <v>South Carolina</v>
      </c>
      <c r="S179" s="707" t="str">
        <f>IF(+All!$F543="Texas A&amp;M",+All!S543,IF(+All!$H543="Texas A&amp;M",+All!S543,0))</f>
        <v>Texas A&amp;M</v>
      </c>
      <c r="T179" s="704" t="str">
        <f>IF(+All!$F543="Texas A&amp;M",+All!T543,IF(+All!$H543="Texas A&amp;M",+All!T543,0))</f>
        <v>South Carolina</v>
      </c>
      <c r="U179" s="701" t="str">
        <f>IF(+All!$F543="Texas A&amp;M",+All!U543,IF(+All!$H543="Texas A&amp;M",+All!U543,0))</f>
        <v>W</v>
      </c>
    </row>
    <row r="180" spans="1:21" x14ac:dyDescent="0.8">
      <c r="A180" s="720">
        <f>IF(+All!$F592="Texas A&amp;M",+All!A592,IF(+All!$H592="Texas A&amp;M",+All!A592,0))</f>
        <v>9</v>
      </c>
      <c r="B180" s="698" t="str">
        <f>IF(+All!$F592="Texas A&amp;M",+All!B592,IF(+All!$H592="Texas A&amp;M",+All!B592,0))</f>
        <v>Sat</v>
      </c>
      <c r="C180" s="699">
        <f>IF(+All!$F592="Texas A&amp;M",+All!C592,IF(+All!$H592="Texas A&amp;M",+All!C592,0))</f>
        <v>44863</v>
      </c>
      <c r="D180" s="700">
        <f>IF(+All!$F592="Texas A&amp;M",+All!D592,IF(+All!$H592="Texas A&amp;M",+All!D592,0))</f>
        <v>0.8125</v>
      </c>
      <c r="E180" s="701" t="str">
        <f>IF(+All!$F592="Texas A&amp;M",+All!E592,IF(+All!$H592="Texas A&amp;M",+All!E592,0))</f>
        <v>SEC</v>
      </c>
      <c r="F180" s="704" t="str">
        <f>IF(+All!$F592="Texas A&amp;M",+All!F592,IF(+All!$H592="Texas A&amp;M",+All!F592,0))</f>
        <v>Mississippi</v>
      </c>
      <c r="G180" s="701" t="str">
        <f>IF(+All!$F592="Texas A&amp;M",+All!G592,IF(+All!$H592="Texas A&amp;M",+All!G592,0))</f>
        <v>SEC</v>
      </c>
      <c r="H180" s="704" t="str">
        <f>IF(+All!$F592="Texas A&amp;M",+All!H592,IF(+All!$H592="Texas A&amp;M",+All!H592,0))</f>
        <v>Texas A&amp;M</v>
      </c>
      <c r="I180" s="701" t="str">
        <f>IF(+All!$F592="Texas A&amp;M",+All!I592,IF(+All!$H592="Texas A&amp;M",+All!I592,0))</f>
        <v>SEC</v>
      </c>
      <c r="J180" s="704" t="str">
        <f>IF(+All!$F592="Texas A&amp;M",+All!J592,IF(+All!$H592="Texas A&amp;M",+All!J592,0))</f>
        <v>Mississippi</v>
      </c>
      <c r="K180" s="701" t="str">
        <f>IF(+All!$F592="Texas A&amp;M",+All!K592,IF(+All!$H592="Texas A&amp;M",+All!K592,0))</f>
        <v>Texas A&amp;M</v>
      </c>
      <c r="L180" s="715">
        <f>IF(+All!$F592="Texas A&amp;M",+All!L592,IF(+All!$H592="Texas A&amp;M",+All!L592,0))</f>
        <v>2.5</v>
      </c>
      <c r="M180" s="716">
        <f>IF(+All!$F592="Texas A&amp;M",+All!M592,IF(+All!$H592="Texas A&amp;M",+All!M592,0))</f>
        <v>55</v>
      </c>
      <c r="N180" s="704" t="str">
        <f>IF(+All!$F592="Texas A&amp;M",+All!N592,IF(+All!$H592="Texas A&amp;M",+All!N592,0))</f>
        <v>Mississippi</v>
      </c>
      <c r="O180" s="707">
        <f>IF(+All!$F592="Texas A&amp;M",+All!O592,IF(+All!$H592="Texas A&amp;M",+All!O592,0))</f>
        <v>31</v>
      </c>
      <c r="P180" s="707" t="str">
        <f>IF(+All!$F592="Texas A&amp;M",+All!P592,IF(+All!$H592="Texas A&amp;M",+All!P592,0))</f>
        <v>Texas A&amp;M</v>
      </c>
      <c r="Q180" s="709">
        <f>IF(+All!$F592="Texas A&amp;M",+All!Q592,IF(+All!$H592="Texas A&amp;M",+All!Q592,0))</f>
        <v>28</v>
      </c>
      <c r="R180" s="704" t="str">
        <f>IF(+All!$F592="Texas A&amp;M",+All!R592,IF(+All!$H592="Texas A&amp;M",+All!R592,0))</f>
        <v>Mississippi</v>
      </c>
      <c r="S180" s="707" t="str">
        <f>IF(+All!$F592="Texas A&amp;M",+All!S592,IF(+All!$H592="Texas A&amp;M",+All!S592,0))</f>
        <v>Texas A&amp;M</v>
      </c>
      <c r="T180" s="704" t="str">
        <f>IF(+All!$F592="Texas A&amp;M",+All!T592,IF(+All!$H592="Texas A&amp;M",+All!T592,0))</f>
        <v>Texas A&amp;M</v>
      </c>
      <c r="U180" s="701" t="str">
        <f>IF(+All!$F592="Texas A&amp;M",+All!U592,IF(+All!$H592="Texas A&amp;M",+All!U592,0))</f>
        <v>L</v>
      </c>
    </row>
    <row r="181" spans="1:21" x14ac:dyDescent="0.8">
      <c r="A181" s="720">
        <f>IF(+All!$F651="Texas A&amp;M",+All!A651,IF(+All!$H651="Texas A&amp;M",+All!A651,0))</f>
        <v>10</v>
      </c>
      <c r="B181" s="698" t="str">
        <f>IF(+All!$F651="Texas A&amp;M",+All!B651,IF(+All!$H651="Texas A&amp;M",+All!B651,0))</f>
        <v>Sat</v>
      </c>
      <c r="C181" s="699">
        <f>IF(+All!$F651="Texas A&amp;M",+All!C651,IF(+All!$H651="Texas A&amp;M",+All!C651,0))</f>
        <v>44870</v>
      </c>
      <c r="D181" s="700">
        <f>IF(+All!$F651="Texas A&amp;M",+All!D651,IF(+All!$H651="Texas A&amp;M",+All!D651,0))</f>
        <v>0.5</v>
      </c>
      <c r="E181" s="701" t="str">
        <f>IF(+All!$F651="Texas A&amp;M",+All!E651,IF(+All!$H651="Texas A&amp;M",+All!E651,0))</f>
        <v>ESPN</v>
      </c>
      <c r="F181" s="704" t="str">
        <f>IF(+All!$F651="Texas A&amp;M",+All!F651,IF(+All!$H651="Texas A&amp;M",+All!F651,0))</f>
        <v>Florida</v>
      </c>
      <c r="G181" s="701" t="str">
        <f>IF(+All!$F651="Texas A&amp;M",+All!G651,IF(+All!$H651="Texas A&amp;M",+All!G651,0))</f>
        <v>SEC</v>
      </c>
      <c r="H181" s="704" t="str">
        <f>IF(+All!$F651="Texas A&amp;M",+All!H651,IF(+All!$H651="Texas A&amp;M",+All!H651,0))</f>
        <v>Texas A&amp;M</v>
      </c>
      <c r="I181" s="701" t="str">
        <f>IF(+All!$F651="Texas A&amp;M",+All!I651,IF(+All!$H651="Texas A&amp;M",+All!I651,0))</f>
        <v>SEC</v>
      </c>
      <c r="J181" s="704" t="str">
        <f>IF(+All!$F651="Texas A&amp;M",+All!J651,IF(+All!$H651="Texas A&amp;M",+All!J651,0))</f>
        <v>Texas A&amp;M</v>
      </c>
      <c r="K181" s="701" t="str">
        <f>IF(+All!$F651="Texas A&amp;M",+All!K651,IF(+All!$H651="Texas A&amp;M",+All!K651,0))</f>
        <v>Florida</v>
      </c>
      <c r="L181" s="715">
        <f>IF(+All!$F651="Texas A&amp;M",+All!L651,IF(+All!$H651="Texas A&amp;M",+All!L651,0))</f>
        <v>3</v>
      </c>
      <c r="M181" s="716">
        <f>IF(+All!$F651="Texas A&amp;M",+All!M651,IF(+All!$H651="Texas A&amp;M",+All!M651,0))</f>
        <v>54</v>
      </c>
      <c r="N181" s="704" t="str">
        <f>IF(+All!$F651="Texas A&amp;M",+All!N651,IF(+All!$H651="Texas A&amp;M",+All!N651,0))</f>
        <v>Florida</v>
      </c>
      <c r="O181" s="707">
        <f>IF(+All!$F651="Texas A&amp;M",+All!O651,IF(+All!$H651="Texas A&amp;M",+All!O651,0))</f>
        <v>41</v>
      </c>
      <c r="P181" s="707" t="str">
        <f>IF(+All!$F651="Texas A&amp;M",+All!P651,IF(+All!$H651="Texas A&amp;M",+All!P651,0))</f>
        <v>Texas A&amp;M</v>
      </c>
      <c r="Q181" s="709">
        <f>IF(+All!$F651="Texas A&amp;M",+All!Q651,IF(+All!$H651="Texas A&amp;M",+All!Q651,0))</f>
        <v>24</v>
      </c>
      <c r="R181" s="704" t="str">
        <f>IF(+All!$F651="Texas A&amp;M",+All!R651,IF(+All!$H651="Texas A&amp;M",+All!R651,0))</f>
        <v>Florida</v>
      </c>
      <c r="S181" s="707" t="str">
        <f>IF(+All!$F651="Texas A&amp;M",+All!S651,IF(+All!$H651="Texas A&amp;M",+All!S651,0))</f>
        <v>Texas A&amp;M</v>
      </c>
      <c r="T181" s="704" t="str">
        <f>IF(+All!$F651="Texas A&amp;M",+All!T651,IF(+All!$H651="Texas A&amp;M",+All!T651,0))</f>
        <v>Florida</v>
      </c>
      <c r="U181" s="701" t="str">
        <f>IF(+All!$F651="Texas A&amp;M",+All!U651,IF(+All!$H651="Texas A&amp;M",+All!U651,0))</f>
        <v>W</v>
      </c>
    </row>
    <row r="182" spans="1:21" x14ac:dyDescent="0.8">
      <c r="A182" s="720">
        <f>IF(+All!$F712="Texas A&amp;M",+All!A712,IF(+All!$H712="Texas A&amp;M",+All!A712,0))</f>
        <v>11</v>
      </c>
      <c r="B182" s="698" t="str">
        <f>IF(+All!$F712="Texas A&amp;M",+All!B712,IF(+All!$H712="Texas A&amp;M",+All!B712,0))</f>
        <v>Sat</v>
      </c>
      <c r="C182" s="699">
        <f>IF(+All!$F712="Texas A&amp;M",+All!C712,IF(+All!$H712="Texas A&amp;M",+All!C712,0))</f>
        <v>44877</v>
      </c>
      <c r="D182" s="700">
        <f>IF(+All!$F712="Texas A&amp;M",+All!D712,IF(+All!$H712="Texas A&amp;M",+All!D712,0))</f>
        <v>0.8125</v>
      </c>
      <c r="E182" s="701" t="str">
        <f>IF(+All!$F712="Texas A&amp;M",+All!E712,IF(+All!$H712="Texas A&amp;M",+All!E712,0))</f>
        <v>SEC</v>
      </c>
      <c r="F182" s="704" t="str">
        <f>IF(+All!$F712="Texas A&amp;M",+All!F712,IF(+All!$H712="Texas A&amp;M",+All!F712,0))</f>
        <v>Texas A&amp;M</v>
      </c>
      <c r="G182" s="701" t="str">
        <f>IF(+All!$F712="Texas A&amp;M",+All!G712,IF(+All!$H712="Texas A&amp;M",+All!G712,0))</f>
        <v>SEC</v>
      </c>
      <c r="H182" s="704" t="str">
        <f>IF(+All!$F712="Texas A&amp;M",+All!H712,IF(+All!$H712="Texas A&amp;M",+All!H712,0))</f>
        <v>Auburn</v>
      </c>
      <c r="I182" s="701" t="str">
        <f>IF(+All!$F712="Texas A&amp;M",+All!I712,IF(+All!$H712="Texas A&amp;M",+All!I712,0))</f>
        <v>SEC</v>
      </c>
      <c r="J182" s="704" t="str">
        <f>IF(+All!$F712="Texas A&amp;M",+All!J712,IF(+All!$H712="Texas A&amp;M",+All!J712,0))</f>
        <v>Auburn</v>
      </c>
      <c r="K182" s="701" t="str">
        <f>IF(+All!$F712="Texas A&amp;M",+All!K712,IF(+All!$H712="Texas A&amp;M",+All!K712,0))</f>
        <v>Texas A&amp;M</v>
      </c>
      <c r="L182" s="715">
        <f>IF(+All!$F712="Texas A&amp;M",+All!L712,IF(+All!$H712="Texas A&amp;M",+All!L712,0))</f>
        <v>2</v>
      </c>
      <c r="M182" s="716">
        <f>IF(+All!$F712="Texas A&amp;M",+All!M712,IF(+All!$H712="Texas A&amp;M",+All!M712,0))</f>
        <v>49</v>
      </c>
      <c r="N182" s="704" t="str">
        <f>IF(+All!$F712="Texas A&amp;M",+All!N712,IF(+All!$H712="Texas A&amp;M",+All!N712,0))</f>
        <v>Auburn</v>
      </c>
      <c r="O182" s="707">
        <f>IF(+All!$F712="Texas A&amp;M",+All!O712,IF(+All!$H712="Texas A&amp;M",+All!O712,0))</f>
        <v>1</v>
      </c>
      <c r="P182" s="707" t="str">
        <f>IF(+All!$F712="Texas A&amp;M",+All!P712,IF(+All!$H712="Texas A&amp;M",+All!P712,0))</f>
        <v>Texas A&amp;M</v>
      </c>
      <c r="Q182" s="709">
        <f>IF(+All!$F712="Texas A&amp;M",+All!Q712,IF(+All!$H712="Texas A&amp;M",+All!Q712,0))</f>
        <v>10</v>
      </c>
      <c r="R182" s="704" t="str">
        <f>IF(+All!$F712="Texas A&amp;M",+All!R712,IF(+All!$H712="Texas A&amp;M",+All!R712,0))</f>
        <v>Texas A&amp;M</v>
      </c>
      <c r="S182" s="707" t="str">
        <f>IF(+All!$F712="Texas A&amp;M",+All!S712,IF(+All!$H712="Texas A&amp;M",+All!S712,0))</f>
        <v>Auburn</v>
      </c>
      <c r="T182" s="704" t="str">
        <f>IF(+All!$F712="Texas A&amp;M",+All!T712,IF(+All!$H712="Texas A&amp;M",+All!T712,0))</f>
        <v>Auburn</v>
      </c>
      <c r="U182" s="701" t="str">
        <f>IF(+All!$F712="Texas A&amp;M",+All!U712,IF(+All!$H712="Texas A&amp;M",+All!U712,0))</f>
        <v>L</v>
      </c>
    </row>
    <row r="183" spans="1:21" x14ac:dyDescent="0.8">
      <c r="A183" s="720">
        <f>IF(+All!$F783="Texas A&amp;M",+All!A783,IF(+All!$H783="Texas A&amp;M",+All!A783,0))</f>
        <v>12</v>
      </c>
      <c r="B183" s="698" t="str">
        <f>IF(+All!$F783="Texas A&amp;M",+All!B783,IF(+All!$H783="Texas A&amp;M",+All!B783,0))</f>
        <v>Sat</v>
      </c>
      <c r="C183" s="699">
        <f>IF(+All!$F783="Texas A&amp;M",+All!C783,IF(+All!$H783="Texas A&amp;M",+All!C783,0))</f>
        <v>44884</v>
      </c>
      <c r="D183" s="700">
        <f>IF(+All!$F783="Texas A&amp;M",+All!D783,IF(+All!$H783="Texas A&amp;M",+All!D783,0))</f>
        <v>0.5</v>
      </c>
      <c r="E183" s="701" t="str">
        <f>IF(+All!$F783="Texas A&amp;M",+All!E783,IF(+All!$H783="Texas A&amp;M",+All!E783,0))</f>
        <v>SEC</v>
      </c>
      <c r="F183" s="704" t="str">
        <f>IF(+All!$F783="Texas A&amp;M",+All!F783,IF(+All!$H783="Texas A&amp;M",+All!F783,0))</f>
        <v>Massachusetts</v>
      </c>
      <c r="G183" s="701" t="str">
        <f>IF(+All!$F783="Texas A&amp;M",+All!G783,IF(+All!$H783="Texas A&amp;M",+All!G783,0))</f>
        <v>Ind</v>
      </c>
      <c r="H183" s="704" t="str">
        <f>IF(+All!$F783="Texas A&amp;M",+All!H783,IF(+All!$H783="Texas A&amp;M",+All!H783,0))</f>
        <v>Texas A&amp;M</v>
      </c>
      <c r="I183" s="701" t="str">
        <f>IF(+All!$F783="Texas A&amp;M",+All!I783,IF(+All!$H783="Texas A&amp;M",+All!I783,0))</f>
        <v>SEC</v>
      </c>
      <c r="J183" s="704" t="str">
        <f>IF(+All!$F783="Texas A&amp;M",+All!J783,IF(+All!$H783="Texas A&amp;M",+All!J783,0))</f>
        <v>Texas A&amp;M</v>
      </c>
      <c r="K183" s="701" t="str">
        <f>IF(+All!$F783="Texas A&amp;M",+All!K783,IF(+All!$H783="Texas A&amp;M",+All!K783,0))</f>
        <v>Massachusetts</v>
      </c>
      <c r="L183" s="715">
        <f>IF(+All!$F783="Texas A&amp;M",+All!L783,IF(+All!$H783="Texas A&amp;M",+All!L783,0))</f>
        <v>33.5</v>
      </c>
      <c r="M183" s="716">
        <f>IF(+All!$F783="Texas A&amp;M",+All!M783,IF(+All!$H783="Texas A&amp;M",+All!M783,0))</f>
        <v>47.5</v>
      </c>
      <c r="N183" s="704" t="str">
        <f>IF(+All!$F783="Texas A&amp;M",+All!N783,IF(+All!$H783="Texas A&amp;M",+All!N783,0))</f>
        <v>Texas A&amp;M</v>
      </c>
      <c r="O183" s="707">
        <f>IF(+All!$F783="Texas A&amp;M",+All!O783,IF(+All!$H783="Texas A&amp;M",+All!O783,0))</f>
        <v>20</v>
      </c>
      <c r="P183" s="707" t="str">
        <f>IF(+All!$F783="Texas A&amp;M",+All!P783,IF(+All!$H783="Texas A&amp;M",+All!P783,0))</f>
        <v>Massachusetts</v>
      </c>
      <c r="Q183" s="709">
        <f>IF(+All!$F783="Texas A&amp;M",+All!Q783,IF(+All!$H783="Texas A&amp;M",+All!Q783,0))</f>
        <v>3</v>
      </c>
      <c r="R183" s="704" t="str">
        <f>IF(+All!$F783="Texas A&amp;M",+All!R783,IF(+All!$H783="Texas A&amp;M",+All!R783,0))</f>
        <v>Massachusetts</v>
      </c>
      <c r="S183" s="707" t="str">
        <f>IF(+All!$F783="Texas A&amp;M",+All!S783,IF(+All!$H783="Texas A&amp;M",+All!S783,0))</f>
        <v>Texas A&amp;M</v>
      </c>
      <c r="T183" s="704" t="str">
        <f>IF(+All!$F783="Texas A&amp;M",+All!T783,IF(+All!$H783="Texas A&amp;M",+All!T783,0))</f>
        <v>Massachusetts</v>
      </c>
      <c r="U183" s="701" t="str">
        <f>IF(+All!$F783="Texas A&amp;M",+All!U783,IF(+All!$H783="Texas A&amp;M",+All!U783,0))</f>
        <v>W</v>
      </c>
    </row>
    <row r="184" spans="1:21" x14ac:dyDescent="0.8">
      <c r="A184" s="720">
        <f>IF(+All!$F847="Texas A&amp;M",+All!A847,IF(+All!$H847="Texas A&amp;M",+All!A847,0))</f>
        <v>13</v>
      </c>
      <c r="B184" s="698" t="str">
        <f>IF(+All!$F847="Texas A&amp;M",+All!B847,IF(+All!$H847="Texas A&amp;M",+All!B847,0))</f>
        <v>Sat</v>
      </c>
      <c r="C184" s="699">
        <f>IF(+All!$F847="Texas A&amp;M",+All!C847,IF(+All!$H847="Texas A&amp;M",+All!C847,0))</f>
        <v>44891</v>
      </c>
      <c r="D184" s="700">
        <f>IF(+All!$F847="Texas A&amp;M",+All!D847,IF(+All!$H847="Texas A&amp;M",+All!D847,0))</f>
        <v>0.79166666666666663</v>
      </c>
      <c r="E184" s="701" t="str">
        <f>IF(+All!$F847="Texas A&amp;M",+All!E847,IF(+All!$H847="Texas A&amp;M",+All!E847,0))</f>
        <v>ESPN</v>
      </c>
      <c r="F184" s="704" t="str">
        <f>IF(+All!$F847="Texas A&amp;M",+All!F847,IF(+All!$H847="Texas A&amp;M",+All!F847,0))</f>
        <v>LSU</v>
      </c>
      <c r="G184" s="701" t="str">
        <f>IF(+All!$F847="Texas A&amp;M",+All!G847,IF(+All!$H847="Texas A&amp;M",+All!G847,0))</f>
        <v>SEC</v>
      </c>
      <c r="H184" s="704" t="str">
        <f>IF(+All!$F847="Texas A&amp;M",+All!H847,IF(+All!$H847="Texas A&amp;M",+All!H847,0))</f>
        <v>Texas A&amp;M</v>
      </c>
      <c r="I184" s="701" t="str">
        <f>IF(+All!$F847="Texas A&amp;M",+All!I847,IF(+All!$H847="Texas A&amp;M",+All!I847,0))</f>
        <v>SEC</v>
      </c>
      <c r="J184" s="704" t="str">
        <f>IF(+All!$F847="Texas A&amp;M",+All!J847,IF(+All!$H847="Texas A&amp;M",+All!J847,0))</f>
        <v>LSU</v>
      </c>
      <c r="K184" s="701" t="str">
        <f>IF(+All!$F847="Texas A&amp;M",+All!K847,IF(+All!$H847="Texas A&amp;M",+All!K847,0))</f>
        <v>Texas A&amp;M</v>
      </c>
      <c r="L184" s="715">
        <f>IF(+All!$F847="Texas A&amp;M",+All!L847,IF(+All!$H847="Texas A&amp;M",+All!L847,0))</f>
        <v>10</v>
      </c>
      <c r="M184" s="716">
        <f>IF(+All!$F847="Texas A&amp;M",+All!M847,IF(+All!$H847="Texas A&amp;M",+All!M847,0))</f>
        <v>47.5</v>
      </c>
      <c r="N184" s="704" t="str">
        <f>IF(+All!$F847="Texas A&amp;M",+All!N847,IF(+All!$H847="Texas A&amp;M",+All!N847,0))</f>
        <v>Texas A&amp;M</v>
      </c>
      <c r="O184" s="707">
        <f>IF(+All!$F847="Texas A&amp;M",+All!O847,IF(+All!$H847="Texas A&amp;M",+All!O847,0))</f>
        <v>38</v>
      </c>
      <c r="P184" s="707" t="str">
        <f>IF(+All!$F847="Texas A&amp;M",+All!P847,IF(+All!$H847="Texas A&amp;M",+All!P847,0))</f>
        <v>LSU</v>
      </c>
      <c r="Q184" s="709">
        <f>IF(+All!$F847="Texas A&amp;M",+All!Q847,IF(+All!$H847="Texas A&amp;M",+All!Q847,0))</f>
        <v>23</v>
      </c>
      <c r="R184" s="704" t="str">
        <f>IF(+All!$F847="Texas A&amp;M",+All!R847,IF(+All!$H847="Texas A&amp;M",+All!R847,0))</f>
        <v>Texas A&amp;M</v>
      </c>
      <c r="S184" s="707" t="str">
        <f>IF(+All!$F847="Texas A&amp;M",+All!S847,IF(+All!$H847="Texas A&amp;M",+All!S847,0))</f>
        <v>LSU</v>
      </c>
      <c r="T184" s="704" t="str">
        <f>IF(+All!$F847="Texas A&amp;M",+All!T847,IF(+All!$H847="Texas A&amp;M",+All!T847,0))</f>
        <v>Texas A&amp;M</v>
      </c>
      <c r="U184" s="701" t="str">
        <f>IF(+All!$F847="Texas A&amp;M",+All!U847,IF(+All!$H847="Texas A&amp;M",+All!U847,0))</f>
        <v>W</v>
      </c>
    </row>
    <row r="185" spans="1:21" x14ac:dyDescent="0.8">
      <c r="B185" s="697"/>
      <c r="C185" s="708"/>
      <c r="D185" s="700"/>
      <c r="F185" s="916" t="str">
        <f>H187</f>
        <v>Vanderbilt</v>
      </c>
      <c r="G185" s="919"/>
      <c r="H185" s="919"/>
      <c r="I185" s="920"/>
      <c r="L185" s="715"/>
      <c r="M185" s="716"/>
    </row>
    <row r="186" spans="1:21" x14ac:dyDescent="0.8">
      <c r="A186" s="717">
        <f>IF(+All!$F12="Vanderbilt",+All!A12,IF(+All!$H12="Vanderbilt",+All!A12,0))</f>
        <v>0</v>
      </c>
      <c r="B186" s="698" t="str">
        <f>IF(+All!$F12="Vanderbilt",+All!B12,IF(+All!$H12="Vanderbilt",+All!B12,0))</f>
        <v>Sat</v>
      </c>
      <c r="C186" s="699">
        <f>IF(+All!$F12="Vanderbilt",+All!C12,IF(+All!$H12="Vanderbilt",+All!C12,0))</f>
        <v>44800</v>
      </c>
      <c r="D186" s="700">
        <f>IF(+All!$F12="Vanderbilt",+All!D12,IF(+All!$H12="Vanderbilt",+All!D12,0))</f>
        <v>0.9375</v>
      </c>
      <c r="E186" s="701" t="str">
        <f>IF(+All!$F12="Vanderbilt",+All!E12,IF(+All!$H12="Vanderbilt",+All!E12,0))</f>
        <v>CBSSN</v>
      </c>
      <c r="F186" s="704" t="str">
        <f>IF(+All!$F12="Vanderbilt",+All!F12,IF(+All!$H12="Vanderbilt",+All!F12,0))</f>
        <v>Vanderbilt</v>
      </c>
      <c r="G186" s="701" t="str">
        <f>IF(+All!$F12="Vanderbilt",+All!G12,IF(+All!$H12="Vanderbilt",+All!G12,0))</f>
        <v>SEC</v>
      </c>
      <c r="H186" s="704" t="str">
        <f>IF(+All!$F12="Vanderbilt",+All!H12,IF(+All!$H12="Vanderbilt",+All!H12,0))</f>
        <v>Hawaii</v>
      </c>
      <c r="I186" s="701" t="str">
        <f>IF(+All!$F12="Vanderbilt",+All!I12,IF(+All!$H12="Vanderbilt",+All!I12,0))</f>
        <v>MWC</v>
      </c>
      <c r="J186" s="704" t="str">
        <f>IF(+All!$F12="Vanderbilt",+All!J12,IF(+All!$H12="Vanderbilt",+All!J12,0))</f>
        <v>Vanderbilt</v>
      </c>
      <c r="K186" s="701" t="str">
        <f>IF(+All!$F12="Vanderbilt",+All!K12,IF(+All!$H12="Vanderbilt",+All!K12,0))</f>
        <v>Hawaii</v>
      </c>
      <c r="L186" s="715">
        <f>IF(+All!$F12="Vanderbilt",+All!L12,IF(+All!$H12="Vanderbilt",+All!L12,0))</f>
        <v>9.5</v>
      </c>
      <c r="M186" s="716">
        <f>IF(+All!$F12="Vanderbilt",+All!M12,IF(+All!$H12="Vanderbilt",+All!M12,0))</f>
        <v>54.6</v>
      </c>
      <c r="N186" s="704" t="str">
        <f>IF(+All!$F12="Vanderbilt",+All!N12,IF(+All!$H12="Vanderbilt",+All!N12,0))</f>
        <v>Vanderbilt</v>
      </c>
      <c r="O186" s="707">
        <f>IF(+All!$F12="Vanderbilt",+All!O12,IF(+All!$H12="Vanderbilt",+All!O12,0))</f>
        <v>63</v>
      </c>
      <c r="P186" s="707" t="str">
        <f>IF(+All!$F12="Vanderbilt",+All!P12,IF(+All!$H12="Vanderbilt",+All!P12,0))</f>
        <v>Hawaii</v>
      </c>
      <c r="Q186" s="709">
        <f>IF(+All!$F12="Vanderbilt",+All!Q12,IF(+All!$H12="Vanderbilt",+All!Q12,0))</f>
        <v>10</v>
      </c>
      <c r="R186" s="704" t="str">
        <f>IF(+All!$F12="Vanderbilt",+All!R12,IF(+All!$H12="Vanderbilt",+All!R12,0))</f>
        <v>Vanderbilt</v>
      </c>
      <c r="S186" s="707" t="str">
        <f>IF(+All!$F12="Vanderbilt",+All!S12,IF(+All!$H12="Vanderbilt",+All!S12,0))</f>
        <v>Hawaii</v>
      </c>
      <c r="T186" s="704" t="str">
        <f>IF(+All!$F12="Vanderbilt",+All!T12,IF(+All!$H12="Vanderbilt",+All!T12,0))</f>
        <v>Hawaii</v>
      </c>
      <c r="U186" s="701" t="str">
        <f>IF(+All!$F12="Vanderbilt",+All!U12,IF(+All!$H12="Vanderbilt",+All!U12,0))</f>
        <v>L</v>
      </c>
    </row>
    <row r="187" spans="1:21" x14ac:dyDescent="0.8">
      <c r="A187" s="717">
        <f>IF(+All!$F97="Vanderbilt",+All!A97,IF(+All!$H97="Vanderbilt",+All!A97,0))</f>
        <v>1</v>
      </c>
      <c r="B187" s="698" t="str">
        <f>IF(+All!$F97="Vanderbilt",+All!B97,IF(+All!$H97="Vanderbilt",+All!B97,0))</f>
        <v>Sat</v>
      </c>
      <c r="C187" s="699">
        <f>IF(+All!$F97="Vanderbilt",+All!C97,IF(+All!$H97="Vanderbilt",+All!C97,0))</f>
        <v>44807</v>
      </c>
      <c r="D187" s="700">
        <f>IF(+All!$F97="Vanderbilt",+All!D97,IF(+All!$H97="Vanderbilt",+All!D97,0))</f>
        <v>0.79166666666666663</v>
      </c>
      <c r="E187" s="701" t="str">
        <f>IF(+All!$F97="Vanderbilt",+All!E97,IF(+All!$H97="Vanderbilt",+All!E97,0))</f>
        <v>SEC</v>
      </c>
      <c r="F187" s="704" t="str">
        <f>IF(+All!$F97="Vanderbilt",+All!F97,IF(+All!$H97="Vanderbilt",+All!F97,0))</f>
        <v>1AA Elon</v>
      </c>
      <c r="G187" s="701" t="str">
        <f>IF(+All!$F97="Vanderbilt",+All!G97,IF(+All!$H97="Vanderbilt",+All!G97,0))</f>
        <v>1AA</v>
      </c>
      <c r="H187" s="704" t="str">
        <f>IF(+All!$F97="Vanderbilt",+All!H97,IF(+All!$H97="Vanderbilt",+All!H97,0))</f>
        <v>Vanderbilt</v>
      </c>
      <c r="I187" s="701" t="str">
        <f>IF(+All!$F97="Vanderbilt",+All!I97,IF(+All!$H97="Vanderbilt",+All!I97,0))</f>
        <v>SEC</v>
      </c>
      <c r="J187" s="704">
        <f>IF(+All!$F97="Vanderbilt",+All!J97,IF(+All!$H97="Vanderbilt",+All!J97,0))</f>
        <v>0</v>
      </c>
      <c r="K187" s="701">
        <f>IF(+All!$F97="Vanderbilt",+All!K97,IF(+All!$H97="Vanderbilt",+All!K97,0))</f>
        <v>0</v>
      </c>
      <c r="L187" s="715">
        <f>IF(+All!$F97="Vanderbilt",+All!L97,IF(+All!$H97="Vanderbilt",+All!L97,0))</f>
        <v>0</v>
      </c>
      <c r="M187" s="716">
        <f>IF(+All!$F97="Vanderbilt",+All!M97,IF(+All!$H97="Vanderbilt",+All!M97,0))</f>
        <v>0</v>
      </c>
      <c r="N187" s="704" t="str">
        <f>IF(+All!$F97="Vanderbilt",+All!N97,IF(+All!$H97="Vanderbilt",+All!N97,0))</f>
        <v>Vanderbilt</v>
      </c>
      <c r="O187" s="707">
        <f>IF(+All!$F97="Vanderbilt",+All!O97,IF(+All!$H97="Vanderbilt",+All!O97,0))</f>
        <v>42</v>
      </c>
      <c r="P187" s="707" t="str">
        <f>IF(+All!$F97="Vanderbilt",+All!P97,IF(+All!$H97="Vanderbilt",+All!P97,0))</f>
        <v>1AA Elon</v>
      </c>
      <c r="Q187" s="709">
        <f>IF(+All!$F97="Vanderbilt",+All!Q97,IF(+All!$H97="Vanderbilt",+All!Q97,0))</f>
        <v>31</v>
      </c>
      <c r="R187" s="704">
        <f>IF(+All!$F97="Vanderbilt",+All!R97,IF(+All!$H97="Vanderbilt",+All!R97,0))</f>
        <v>0</v>
      </c>
      <c r="S187" s="707">
        <f>IF(+All!$F97="Vanderbilt",+All!S97,IF(+All!$H97="Vanderbilt",+All!S97,0))</f>
        <v>0</v>
      </c>
      <c r="T187" s="704">
        <f>IF(+All!$F97="Vanderbilt",+All!T97,IF(+All!$H97="Vanderbilt",+All!T97,0))</f>
        <v>0</v>
      </c>
      <c r="U187" s="701">
        <f>IF(+All!$F97="Vanderbilt",+All!U97,IF(+All!$H97="Vanderbilt",+All!U97,0))</f>
        <v>0</v>
      </c>
    </row>
    <row r="188" spans="1:21" x14ac:dyDescent="0.8">
      <c r="A188" s="717">
        <f>IF(+All!$F179="Vanderbilt",+All!A179,IF(+All!$H179="Vanderbilt",+All!A179,0))</f>
        <v>2</v>
      </c>
      <c r="B188" s="698" t="str">
        <f>IF(+All!$F179="Vanderbilt",+All!B179,IF(+All!$H179="Vanderbilt",+All!B179,0))</f>
        <v>Sat</v>
      </c>
      <c r="C188" s="699">
        <f>IF(+All!$F179="Vanderbilt",+All!C179,IF(+All!$H179="Vanderbilt",+All!C179,0))</f>
        <v>44814</v>
      </c>
      <c r="D188" s="700">
        <f>IF(+All!$F179="Vanderbilt",+All!D179,IF(+All!$H179="Vanderbilt",+All!D179,0))</f>
        <v>0.5</v>
      </c>
      <c r="E188" s="701" t="str">
        <f>IF(+All!$F179="Vanderbilt",+All!E179,IF(+All!$H179="Vanderbilt",+All!E179,0))</f>
        <v>SEC</v>
      </c>
      <c r="F188" s="704" t="str">
        <f>IF(+All!$F179="Vanderbilt",+All!F179,IF(+All!$H179="Vanderbilt",+All!F179,0))</f>
        <v>Wake Forest</v>
      </c>
      <c r="G188" s="701" t="str">
        <f>IF(+All!$F179="Vanderbilt",+All!G179,IF(+All!$H179="Vanderbilt",+All!G179,0))</f>
        <v>ACC</v>
      </c>
      <c r="H188" s="704" t="str">
        <f>IF(+All!$F179="Vanderbilt",+All!H179,IF(+All!$H179="Vanderbilt",+All!H179,0))</f>
        <v>Vanderbilt</v>
      </c>
      <c r="I188" s="701" t="str">
        <f>IF(+All!$F179="Vanderbilt",+All!I179,IF(+All!$H179="Vanderbilt",+All!I179,0))</f>
        <v>SEC</v>
      </c>
      <c r="J188" s="704" t="str">
        <f>IF(+All!$F179="Vanderbilt",+All!J179,IF(+All!$H179="Vanderbilt",+All!J179,0))</f>
        <v>Wake Forest</v>
      </c>
      <c r="K188" s="701" t="str">
        <f>IF(+All!$F179="Vanderbilt",+All!K179,IF(+All!$H179="Vanderbilt",+All!K179,0))</f>
        <v>Vanderbilt</v>
      </c>
      <c r="L188" s="715">
        <f>IF(+All!$F179="Vanderbilt",+All!L179,IF(+All!$H179="Vanderbilt",+All!L179,0))</f>
        <v>13.5</v>
      </c>
      <c r="M188" s="716">
        <f>IF(+All!$F179="Vanderbilt",+All!M179,IF(+All!$H179="Vanderbilt",+All!M179,0))</f>
        <v>66</v>
      </c>
      <c r="N188" s="704" t="str">
        <f>IF(+All!$F179="Vanderbilt",+All!N179,IF(+All!$H179="Vanderbilt",+All!N179,0))</f>
        <v>Wake Forest</v>
      </c>
      <c r="O188" s="707">
        <f>IF(+All!$F179="Vanderbilt",+All!O179,IF(+All!$H179="Vanderbilt",+All!O179,0))</f>
        <v>45</v>
      </c>
      <c r="P188" s="707" t="str">
        <f>IF(+All!$F179="Vanderbilt",+All!P179,IF(+All!$H179="Vanderbilt",+All!P179,0))</f>
        <v>Vanderbilt</v>
      </c>
      <c r="Q188" s="709">
        <f>IF(+All!$F179="Vanderbilt",+All!Q179,IF(+All!$H179="Vanderbilt",+All!Q179,0))</f>
        <v>25</v>
      </c>
      <c r="R188" s="704" t="str">
        <f>IF(+All!$F179="Vanderbilt",+All!R179,IF(+All!$H179="Vanderbilt",+All!R179,0))</f>
        <v>Wake Forest</v>
      </c>
      <c r="S188" s="707" t="str">
        <f>IF(+All!$F179="Vanderbilt",+All!S179,IF(+All!$H179="Vanderbilt",+All!S179,0))</f>
        <v>Vanderbilt</v>
      </c>
      <c r="T188" s="704" t="str">
        <f>IF(+All!$F179="Vanderbilt",+All!T179,IF(+All!$H179="Vanderbilt",+All!T179,0))</f>
        <v>Wake Forest</v>
      </c>
      <c r="U188" s="701" t="str">
        <f>IF(+All!$F179="Vanderbilt",+All!U179,IF(+All!$H179="Vanderbilt",+All!U179,0))</f>
        <v>W</v>
      </c>
    </row>
    <row r="189" spans="1:21" x14ac:dyDescent="0.8">
      <c r="A189" s="717">
        <f>IF(+All!$F223="Vanderbilt",+All!A223,IF(+All!$H223="Vanderbilt",+All!A223,0))</f>
        <v>3</v>
      </c>
      <c r="B189" s="698" t="str">
        <f>IF(+All!$F223="Vanderbilt",+All!B223,IF(+All!$H223="Vanderbilt",+All!B223,0))</f>
        <v>Sat</v>
      </c>
      <c r="C189" s="699">
        <f>IF(+All!$F223="Vanderbilt",+All!C223,IF(+All!$H223="Vanderbilt",+All!C223,0))</f>
        <v>44821</v>
      </c>
      <c r="D189" s="700">
        <f>IF(+All!$F223="Vanderbilt",+All!D223,IF(+All!$H223="Vanderbilt",+All!D223,0))</f>
        <v>0.64583333333333337</v>
      </c>
      <c r="E189" s="701" t="str">
        <f>IF(+All!$F223="Vanderbilt",+All!E223,IF(+All!$H223="Vanderbilt",+All!E223,0))</f>
        <v>CBSSN</v>
      </c>
      <c r="F189" s="704" t="str">
        <f>IF(+All!$F223="Vanderbilt",+All!F223,IF(+All!$H223="Vanderbilt",+All!F223,0))</f>
        <v>Vanderbilt</v>
      </c>
      <c r="G189" s="701" t="str">
        <f>IF(+All!$F223="Vanderbilt",+All!G223,IF(+All!$H223="Vanderbilt",+All!G223,0))</f>
        <v>SEC</v>
      </c>
      <c r="H189" s="704" t="str">
        <f>IF(+All!$F223="Vanderbilt",+All!H223,IF(+All!$H223="Vanderbilt",+All!H223,0))</f>
        <v>Northern Illinois</v>
      </c>
      <c r="I189" s="701" t="str">
        <f>IF(+All!$F223="Vanderbilt",+All!I223,IF(+All!$H223="Vanderbilt",+All!I223,0))</f>
        <v>MAC</v>
      </c>
      <c r="J189" s="704" t="str">
        <f>IF(+All!$F223="Vanderbilt",+All!J223,IF(+All!$H223="Vanderbilt",+All!J223,0))</f>
        <v>Northern Illinois</v>
      </c>
      <c r="K189" s="701" t="str">
        <f>IF(+All!$F223="Vanderbilt",+All!K223,IF(+All!$H223="Vanderbilt",+All!K223,0))</f>
        <v>Vanderbilt</v>
      </c>
      <c r="L189" s="715">
        <f>IF(+All!$F223="Vanderbilt",+All!L223,IF(+All!$H223="Vanderbilt",+All!L223,0))</f>
        <v>3</v>
      </c>
      <c r="M189" s="716">
        <f>IF(+All!$F223="Vanderbilt",+All!M223,IF(+All!$H223="Vanderbilt",+All!M223,0))</f>
        <v>58.5</v>
      </c>
      <c r="N189" s="704" t="str">
        <f>IF(+All!$F223="Vanderbilt",+All!N223,IF(+All!$H223="Vanderbilt",+All!N223,0))</f>
        <v>Vanderbilt</v>
      </c>
      <c r="O189" s="707">
        <f>IF(+All!$F223="Vanderbilt",+All!O223,IF(+All!$H223="Vanderbilt",+All!O223,0))</f>
        <v>38</v>
      </c>
      <c r="P189" s="707" t="str">
        <f>IF(+All!$F223="Vanderbilt",+All!P223,IF(+All!$H223="Vanderbilt",+All!P223,0))</f>
        <v>Northern Illinois</v>
      </c>
      <c r="Q189" s="709">
        <f>IF(+All!$F223="Vanderbilt",+All!Q223,IF(+All!$H223="Vanderbilt",+All!Q223,0))</f>
        <v>28</v>
      </c>
      <c r="R189" s="704" t="str">
        <f>IF(+All!$F223="Vanderbilt",+All!R223,IF(+All!$H223="Vanderbilt",+All!R223,0))</f>
        <v>Vanderbilt</v>
      </c>
      <c r="S189" s="707" t="str">
        <f>IF(+All!$F223="Vanderbilt",+All!S223,IF(+All!$H223="Vanderbilt",+All!S223,0))</f>
        <v>Northern Illinois</v>
      </c>
      <c r="T189" s="704" t="str">
        <f>IF(+All!$F223="Vanderbilt",+All!T223,IF(+All!$H223="Vanderbilt",+All!T223,0))</f>
        <v>Vanderbilt</v>
      </c>
      <c r="U189" s="701" t="str">
        <f>IF(+All!$F223="Vanderbilt",+All!U223,IF(+All!$H223="Vanderbilt",+All!U223,0))</f>
        <v>W</v>
      </c>
    </row>
    <row r="190" spans="1:21" x14ac:dyDescent="0.8">
      <c r="A190" s="717">
        <f>IF(+All!$F308="Vanderbilt",+All!A308,IF(+All!$H308="Vanderbilt",+All!A308,0))</f>
        <v>4</v>
      </c>
      <c r="B190" s="698" t="str">
        <f>IF(+All!$F308="Vanderbilt",+All!B308,IF(+All!$H308="Vanderbilt",+All!B308,0))</f>
        <v>Sat</v>
      </c>
      <c r="C190" s="699">
        <f>IF(+All!$F308="Vanderbilt",+All!C308,IF(+All!$H308="Vanderbilt",+All!C308,0))</f>
        <v>44828</v>
      </c>
      <c r="D190" s="700">
        <f>IF(+All!$F308="Vanderbilt",+All!D308,IF(+All!$H308="Vanderbilt",+All!D308,0))</f>
        <v>0.8125</v>
      </c>
      <c r="E190" s="701" t="str">
        <f>IF(+All!$F308="Vanderbilt",+All!E308,IF(+All!$H308="Vanderbilt",+All!E308,0))</f>
        <v>SEC</v>
      </c>
      <c r="F190" s="704" t="str">
        <f>IF(+All!$F308="Vanderbilt",+All!F308,IF(+All!$H308="Vanderbilt",+All!F308,0))</f>
        <v>Vanderbilt</v>
      </c>
      <c r="G190" s="701" t="str">
        <f>IF(+All!$F308="Vanderbilt",+All!G308,IF(+All!$H308="Vanderbilt",+All!G308,0))</f>
        <v>SEC</v>
      </c>
      <c r="H190" s="704" t="str">
        <f>IF(+All!$F308="Vanderbilt",+All!H308,IF(+All!$H308="Vanderbilt",+All!H308,0))</f>
        <v>Alabama</v>
      </c>
      <c r="I190" s="701" t="str">
        <f>IF(+All!$F308="Vanderbilt",+All!I308,IF(+All!$H308="Vanderbilt",+All!I308,0))</f>
        <v>SEC</v>
      </c>
      <c r="J190" s="704" t="str">
        <f>IF(+All!$F308="Vanderbilt",+All!J308,IF(+All!$H308="Vanderbilt",+All!J308,0))</f>
        <v>Alabama</v>
      </c>
      <c r="K190" s="701" t="str">
        <f>IF(+All!$F308="Vanderbilt",+All!K308,IF(+All!$H308="Vanderbilt",+All!K308,0))</f>
        <v>Vanderbilt</v>
      </c>
      <c r="L190" s="715">
        <f>IF(+All!$F308="Vanderbilt",+All!L308,IF(+All!$H308="Vanderbilt",+All!L308,0))</f>
        <v>40.5</v>
      </c>
      <c r="M190" s="716">
        <f>IF(+All!$F308="Vanderbilt",+All!M308,IF(+All!$H308="Vanderbilt",+All!M308,0))</f>
        <v>58.5</v>
      </c>
      <c r="N190" s="704" t="str">
        <f>IF(+All!$F308="Vanderbilt",+All!N308,IF(+All!$H308="Vanderbilt",+All!N308,0))</f>
        <v>Alabama</v>
      </c>
      <c r="O190" s="707">
        <f>IF(+All!$F308="Vanderbilt",+All!O308,IF(+All!$H308="Vanderbilt",+All!O308,0))</f>
        <v>55</v>
      </c>
      <c r="P190" s="707" t="str">
        <f>IF(+All!$F308="Vanderbilt",+All!P308,IF(+All!$H308="Vanderbilt",+All!P308,0))</f>
        <v>Vanderbilt</v>
      </c>
      <c r="Q190" s="709">
        <f>IF(+All!$F308="Vanderbilt",+All!Q308,IF(+All!$H308="Vanderbilt",+All!Q308,0))</f>
        <v>3</v>
      </c>
      <c r="R190" s="704" t="str">
        <f>IF(+All!$F308="Vanderbilt",+All!R308,IF(+All!$H308="Vanderbilt",+All!R308,0))</f>
        <v>Alabama</v>
      </c>
      <c r="S190" s="707" t="str">
        <f>IF(+All!$F308="Vanderbilt",+All!S308,IF(+All!$H308="Vanderbilt",+All!S308,0))</f>
        <v>Vanderbilt</v>
      </c>
      <c r="T190" s="704" t="str">
        <f>IF(+All!$F308="Vanderbilt",+All!T308,IF(+All!$H308="Vanderbilt",+All!T308,0))</f>
        <v>Alabama</v>
      </c>
      <c r="U190" s="701" t="str">
        <f>IF(+All!$F308="Vanderbilt",+All!U308,IF(+All!$H308="Vanderbilt",+All!U308,0))</f>
        <v>W</v>
      </c>
    </row>
    <row r="191" spans="1:21" x14ac:dyDescent="0.8">
      <c r="A191" s="717" t="e">
        <f>IF(+All!#REF!="Vanderbilt",+All!#REF!,IF(+All!#REF!="Vanderbilt",+All!#REF!,0))</f>
        <v>#REF!</v>
      </c>
      <c r="B191" s="698" t="e">
        <f>IF(+All!#REF!="Vanderbilt",+All!#REF!,IF(+All!#REF!="Vanderbilt",+All!#REF!,0))</f>
        <v>#REF!</v>
      </c>
      <c r="C191" s="699" t="e">
        <f>IF(+All!#REF!="Vanderbilt",+All!#REF!,IF(+All!#REF!="Vanderbilt",+All!#REF!,0))</f>
        <v>#REF!</v>
      </c>
      <c r="D191" s="700" t="e">
        <f>IF(+All!#REF!="Vanderbilt",+All!#REF!,IF(+All!#REF!="Vanderbilt",+All!#REF!,0))</f>
        <v>#REF!</v>
      </c>
      <c r="E191" s="701" t="e">
        <f>IF(+All!#REF!="Vanderbilt",+All!#REF!,IF(+All!#REF!="Vanderbilt",+All!#REF!,0))</f>
        <v>#REF!</v>
      </c>
      <c r="F191" s="704" t="e">
        <f>IF(+All!#REF!="Vanderbilt",+All!#REF!,IF(+All!#REF!="Vanderbilt",+All!#REF!,0))</f>
        <v>#REF!</v>
      </c>
      <c r="G191" s="701" t="e">
        <f>IF(+All!#REF!="Vanderbilt",+All!#REF!,IF(+All!#REF!="Vanderbilt",+All!#REF!,0))</f>
        <v>#REF!</v>
      </c>
      <c r="H191" s="704" t="e">
        <f>IF(+All!#REF!="Vanderbilt",+All!#REF!,IF(+All!#REF!="Vanderbilt",+All!#REF!,0))</f>
        <v>#REF!</v>
      </c>
      <c r="I191" s="701" t="e">
        <f>IF(+All!#REF!="Vanderbilt",+All!#REF!,IF(+All!#REF!="Vanderbilt",+All!#REF!,0))</f>
        <v>#REF!</v>
      </c>
      <c r="J191" s="704" t="e">
        <f>IF(+All!#REF!="Vanderbilt",+All!#REF!,IF(+All!#REF!="Vanderbilt",+All!#REF!,0))</f>
        <v>#REF!</v>
      </c>
      <c r="K191" s="701" t="e">
        <f>IF(+All!#REF!="Vanderbilt",+All!#REF!,IF(+All!#REF!="Vanderbilt",+All!#REF!,0))</f>
        <v>#REF!</v>
      </c>
      <c r="L191" s="715" t="e">
        <f>IF(+All!#REF!="Vanderbilt",+All!#REF!,IF(+All!#REF!="Vanderbilt",+All!#REF!,0))</f>
        <v>#REF!</v>
      </c>
      <c r="M191" s="716" t="e">
        <f>IF(+All!#REF!="Vanderbilt",+All!#REF!,IF(+All!#REF!="Vanderbilt",+All!#REF!,0))</f>
        <v>#REF!</v>
      </c>
      <c r="N191" s="704" t="e">
        <f>IF(+All!#REF!="Vanderbilt",+All!#REF!,IF(+All!#REF!="Vanderbilt",+All!#REF!,0))</f>
        <v>#REF!</v>
      </c>
      <c r="O191" s="707" t="e">
        <f>IF(+All!#REF!="Vanderbilt",+All!#REF!,IF(+All!#REF!="Vanderbilt",+All!#REF!,0))</f>
        <v>#REF!</v>
      </c>
      <c r="P191" s="707" t="e">
        <f>IF(+All!#REF!="Vanderbilt",+All!#REF!,IF(+All!#REF!="Vanderbilt",+All!#REF!,0))</f>
        <v>#REF!</v>
      </c>
      <c r="Q191" s="709" t="e">
        <f>IF(+All!#REF!="Vanderbilt",+All!#REF!,IF(+All!#REF!="Vanderbilt",+All!#REF!,0))</f>
        <v>#REF!</v>
      </c>
      <c r="R191" s="704" t="e">
        <f>IF(+All!#REF!="Vanderbilt",+All!#REF!,IF(+All!#REF!="Vanderbilt",+All!#REF!,0))</f>
        <v>#REF!</v>
      </c>
      <c r="S191" s="707" t="e">
        <f>IF(+All!#REF!="Vanderbilt",+All!#REF!,IF(+All!#REF!="Vanderbilt",+All!#REF!,0))</f>
        <v>#REF!</v>
      </c>
      <c r="T191" s="704" t="e">
        <f>IF(+All!#REF!="Vanderbilt",+All!#REF!,IF(+All!#REF!="Vanderbilt",+All!#REF!,0))</f>
        <v>#REF!</v>
      </c>
      <c r="U191" s="701" t="e">
        <f>IF(+All!#REF!="Vanderbilt",+All!#REF!,IF(+All!#REF!="Vanderbilt",+All!#REF!,0))</f>
        <v>#REF!</v>
      </c>
    </row>
    <row r="192" spans="1:21" x14ac:dyDescent="0.8">
      <c r="A192" s="717">
        <f>IF(+All!$F437="Vanderbilt",+All!A437,IF(+All!$H437="Vanderbilt",+All!A437,0))</f>
        <v>6</v>
      </c>
      <c r="B192" s="698" t="str">
        <f>IF(+All!$F437="Vanderbilt",+All!B437,IF(+All!$H437="Vanderbilt",+All!B437,0))</f>
        <v>Sat</v>
      </c>
      <c r="C192" s="699">
        <f>IF(+All!$F437="Vanderbilt",+All!C437,IF(+All!$H437="Vanderbilt",+All!C437,0))</f>
        <v>44842</v>
      </c>
      <c r="D192" s="700">
        <f>IF(+All!$F437="Vanderbilt",+All!D437,IF(+All!$H437="Vanderbilt",+All!D437,0))</f>
        <v>0.66666666666666663</v>
      </c>
      <c r="E192" s="701" t="str">
        <f>IF(+All!$F437="Vanderbilt",+All!E437,IF(+All!$H437="Vanderbilt",+All!E437,0))</f>
        <v>SEC</v>
      </c>
      <c r="F192" s="704" t="str">
        <f>IF(+All!$F437="Vanderbilt",+All!F437,IF(+All!$H437="Vanderbilt",+All!F437,0))</f>
        <v>Mississippi</v>
      </c>
      <c r="G192" s="701" t="str">
        <f>IF(+All!$F437="Vanderbilt",+All!G437,IF(+All!$H437="Vanderbilt",+All!G437,0))</f>
        <v>SEC</v>
      </c>
      <c r="H192" s="704" t="str">
        <f>IF(+All!$F437="Vanderbilt",+All!H437,IF(+All!$H437="Vanderbilt",+All!H437,0))</f>
        <v>Vanderbilt</v>
      </c>
      <c r="I192" s="701" t="str">
        <f>IF(+All!$F437="Vanderbilt",+All!I437,IF(+All!$H437="Vanderbilt",+All!I437,0))</f>
        <v>SEC</v>
      </c>
      <c r="J192" s="704" t="str">
        <f>IF(+All!$F437="Vanderbilt",+All!J437,IF(+All!$H437="Vanderbilt",+All!J437,0))</f>
        <v>Mississippi</v>
      </c>
      <c r="K192" s="701" t="str">
        <f>IF(+All!$F437="Vanderbilt",+All!K437,IF(+All!$H437="Vanderbilt",+All!K437,0))</f>
        <v>Vanderbilt</v>
      </c>
      <c r="L192" s="715">
        <f>IF(+All!$F437="Vanderbilt",+All!L437,IF(+All!$H437="Vanderbilt",+All!L437,0))</f>
        <v>17.5</v>
      </c>
      <c r="M192" s="716">
        <f>IF(+All!$F437="Vanderbilt",+All!M437,IF(+All!$H437="Vanderbilt",+All!M437,0))</f>
        <v>62</v>
      </c>
      <c r="N192" s="704" t="str">
        <f>IF(+All!$F437="Vanderbilt",+All!N437,IF(+All!$H437="Vanderbilt",+All!N437,0))</f>
        <v>Mississippi</v>
      </c>
      <c r="O192" s="707">
        <f>IF(+All!$F437="Vanderbilt",+All!O437,IF(+All!$H437="Vanderbilt",+All!O437,0))</f>
        <v>52</v>
      </c>
      <c r="P192" s="707" t="str">
        <f>IF(+All!$F437="Vanderbilt",+All!P437,IF(+All!$H437="Vanderbilt",+All!P437,0))</f>
        <v>Vanderbilt</v>
      </c>
      <c r="Q192" s="709">
        <f>IF(+All!$F437="Vanderbilt",+All!Q437,IF(+All!$H437="Vanderbilt",+All!Q437,0))</f>
        <v>28</v>
      </c>
      <c r="R192" s="704" t="str">
        <f>IF(+All!$F437="Vanderbilt",+All!R437,IF(+All!$H437="Vanderbilt",+All!R437,0))</f>
        <v>Mississippi</v>
      </c>
      <c r="S192" s="707" t="str">
        <f>IF(+All!$F437="Vanderbilt",+All!S437,IF(+All!$H437="Vanderbilt",+All!S437,0))</f>
        <v>Vanderbilt</v>
      </c>
      <c r="T192" s="704" t="str">
        <f>IF(+All!$F437="Vanderbilt",+All!T437,IF(+All!$H437="Vanderbilt",+All!T437,0))</f>
        <v>Mississippi</v>
      </c>
      <c r="U192" s="701" t="str">
        <f>IF(+All!$F437="Vanderbilt",+All!U437,IF(+All!$H437="Vanderbilt",+All!U437,0))</f>
        <v>W</v>
      </c>
    </row>
    <row r="193" spans="1:21" x14ac:dyDescent="0.8">
      <c r="A193" s="717">
        <f>IF(+All!$F487="Vanderbilt",+All!A487,IF(+All!$H487="Vanderbilt",+All!A487,0))</f>
        <v>7</v>
      </c>
      <c r="B193" s="698" t="str">
        <f>IF(+All!$F487="Vanderbilt",+All!B487,IF(+All!$H487="Vanderbilt",+All!B487,0))</f>
        <v>Sat</v>
      </c>
      <c r="C193" s="699">
        <f>IF(+All!$F487="Vanderbilt",+All!C487,IF(+All!$H487="Vanderbilt",+All!C487,0))</f>
        <v>44849</v>
      </c>
      <c r="D193" s="700">
        <f>IF(+All!$F487="Vanderbilt",+All!D487,IF(+All!$H487="Vanderbilt",+All!D487,0))</f>
        <v>0.64583333333333337</v>
      </c>
      <c r="E193" s="701" t="str">
        <f>IF(+All!$F487="Vanderbilt",+All!E487,IF(+All!$H487="Vanderbilt",+All!E487,0))</f>
        <v>SEC</v>
      </c>
      <c r="F193" s="704" t="str">
        <f>IF(+All!$F487="Vanderbilt",+All!F487,IF(+All!$H487="Vanderbilt",+All!F487,0))</f>
        <v>Vanderbilt</v>
      </c>
      <c r="G193" s="701" t="str">
        <f>IF(+All!$F487="Vanderbilt",+All!G487,IF(+All!$H487="Vanderbilt",+All!G487,0))</f>
        <v>SEC</v>
      </c>
      <c r="H193" s="704" t="str">
        <f>IF(+All!$F487="Vanderbilt",+All!H487,IF(+All!$H487="Vanderbilt",+All!H487,0))</f>
        <v>Georgia</v>
      </c>
      <c r="I193" s="701" t="str">
        <f>IF(+All!$F487="Vanderbilt",+All!I487,IF(+All!$H487="Vanderbilt",+All!I487,0))</f>
        <v>SEC</v>
      </c>
      <c r="J193" s="704" t="str">
        <f>IF(+All!$F487="Vanderbilt",+All!J487,IF(+All!$H487="Vanderbilt",+All!J487,0))</f>
        <v>Georgia</v>
      </c>
      <c r="K193" s="701" t="str">
        <f>IF(+All!$F487="Vanderbilt",+All!K487,IF(+All!$H487="Vanderbilt",+All!K487,0))</f>
        <v>Vanderbilt</v>
      </c>
      <c r="L193" s="715">
        <f>IF(+All!$F487="Vanderbilt",+All!L487,IF(+All!$H487="Vanderbilt",+All!L487,0))</f>
        <v>38.5</v>
      </c>
      <c r="M193" s="716">
        <f>IF(+All!$F487="Vanderbilt",+All!M487,IF(+All!$H487="Vanderbilt",+All!M487,0))</f>
        <v>58.5</v>
      </c>
      <c r="N193" s="704" t="str">
        <f>IF(+All!$F487="Vanderbilt",+All!N487,IF(+All!$H487="Vanderbilt",+All!N487,0))</f>
        <v>Georgia</v>
      </c>
      <c r="O193" s="707">
        <f>IF(+All!$F487="Vanderbilt",+All!O487,IF(+All!$H487="Vanderbilt",+All!O487,0))</f>
        <v>55</v>
      </c>
      <c r="P193" s="707" t="str">
        <f>IF(+All!$F487="Vanderbilt",+All!P487,IF(+All!$H487="Vanderbilt",+All!P487,0))</f>
        <v>Vanderbilt</v>
      </c>
      <c r="Q193" s="709">
        <f>IF(+All!$F487="Vanderbilt",+All!Q487,IF(+All!$H487="Vanderbilt",+All!Q487,0))</f>
        <v>0</v>
      </c>
      <c r="R193" s="704" t="str">
        <f>IF(+All!$F487="Vanderbilt",+All!R487,IF(+All!$H487="Vanderbilt",+All!R487,0))</f>
        <v>Georgia</v>
      </c>
      <c r="S193" s="707" t="str">
        <f>IF(+All!$F487="Vanderbilt",+All!S487,IF(+All!$H487="Vanderbilt",+All!S487,0))</f>
        <v>Vanderbilt</v>
      </c>
      <c r="T193" s="704" t="str">
        <f>IF(+All!$F487="Vanderbilt",+All!T487,IF(+All!$H487="Vanderbilt",+All!T487,0))</f>
        <v>Vanderbilt</v>
      </c>
      <c r="U193" s="701" t="str">
        <f>IF(+All!$F487="Vanderbilt",+All!U487,IF(+All!$H487="Vanderbilt",+All!U487,0))</f>
        <v>L</v>
      </c>
    </row>
    <row r="194" spans="1:21" x14ac:dyDescent="0.8">
      <c r="A194" s="717">
        <f>IF(+All!$F542="Vanderbilt",+All!A542,IF(+All!$H542="Vanderbilt",+All!A542,0))</f>
        <v>8</v>
      </c>
      <c r="B194" s="698" t="str">
        <f>IF(+All!$F542="Vanderbilt",+All!B542,IF(+All!$H542="Vanderbilt",+All!B542,0))</f>
        <v>Sat</v>
      </c>
      <c r="C194" s="699">
        <f>IF(+All!$F542="Vanderbilt",+All!C542,IF(+All!$H542="Vanderbilt",+All!C542,0))</f>
        <v>44856</v>
      </c>
      <c r="D194" s="700">
        <f>IF(+All!$F542="Vanderbilt",+All!D542,IF(+All!$H542="Vanderbilt",+All!D542,0))</f>
        <v>0.66666666666666663</v>
      </c>
      <c r="E194" s="701" t="str">
        <f>IF(+All!$F542="Vanderbilt",+All!E542,IF(+All!$H542="Vanderbilt",+All!E542,0))</f>
        <v>SEC</v>
      </c>
      <c r="F194" s="704" t="str">
        <f>IF(+All!$F542="Vanderbilt",+All!F542,IF(+All!$H542="Vanderbilt",+All!F542,0))</f>
        <v>Vanderbilt</v>
      </c>
      <c r="G194" s="701" t="str">
        <f>IF(+All!$F542="Vanderbilt",+All!G542,IF(+All!$H542="Vanderbilt",+All!G542,0))</f>
        <v>SEC</v>
      </c>
      <c r="H194" s="704" t="str">
        <f>IF(+All!$F542="Vanderbilt",+All!H542,IF(+All!$H542="Vanderbilt",+All!H542,0))</f>
        <v>Missouri</v>
      </c>
      <c r="I194" s="701" t="str">
        <f>IF(+All!$F542="Vanderbilt",+All!I542,IF(+All!$H542="Vanderbilt",+All!I542,0))</f>
        <v>SEC</v>
      </c>
      <c r="J194" s="704" t="str">
        <f>IF(+All!$F542="Vanderbilt",+All!J542,IF(+All!$H542="Vanderbilt",+All!J542,0))</f>
        <v>Missouri</v>
      </c>
      <c r="K194" s="701" t="str">
        <f>IF(+All!$F542="Vanderbilt",+All!K542,IF(+All!$H542="Vanderbilt",+All!K542,0))</f>
        <v>Vanderbilt</v>
      </c>
      <c r="L194" s="715">
        <f>IF(+All!$F542="Vanderbilt",+All!L542,IF(+All!$H542="Vanderbilt",+All!L542,0))</f>
        <v>14</v>
      </c>
      <c r="M194" s="716">
        <f>IF(+All!$F542="Vanderbilt",+All!M542,IF(+All!$H542="Vanderbilt",+All!M542,0))</f>
        <v>53</v>
      </c>
      <c r="N194" s="704" t="str">
        <f>IF(+All!$F542="Vanderbilt",+All!N542,IF(+All!$H542="Vanderbilt",+All!N542,0))</f>
        <v>Missouri</v>
      </c>
      <c r="O194" s="707">
        <f>IF(+All!$F542="Vanderbilt",+All!O542,IF(+All!$H542="Vanderbilt",+All!O542,0))</f>
        <v>17</v>
      </c>
      <c r="P194" s="707" t="str">
        <f>IF(+All!$F542="Vanderbilt",+All!P542,IF(+All!$H542="Vanderbilt",+All!P542,0))</f>
        <v>Vanderbilt</v>
      </c>
      <c r="Q194" s="709">
        <f>IF(+All!$F542="Vanderbilt",+All!Q542,IF(+All!$H542="Vanderbilt",+All!Q542,0))</f>
        <v>14</v>
      </c>
      <c r="R194" s="704" t="str">
        <f>IF(+All!$F542="Vanderbilt",+All!R542,IF(+All!$H542="Vanderbilt",+All!R542,0))</f>
        <v>Vanderbilt</v>
      </c>
      <c r="S194" s="707" t="str">
        <f>IF(+All!$F542="Vanderbilt",+All!S542,IF(+All!$H542="Vanderbilt",+All!S542,0))</f>
        <v>Missouri</v>
      </c>
      <c r="T194" s="704" t="str">
        <f>IF(+All!$F542="Vanderbilt",+All!T542,IF(+All!$H542="Vanderbilt",+All!T542,0))</f>
        <v>Missouri</v>
      </c>
      <c r="U194" s="701" t="str">
        <f>IF(+All!$F542="Vanderbilt",+All!U542,IF(+All!$H542="Vanderbilt",+All!U542,0))</f>
        <v>L</v>
      </c>
    </row>
    <row r="195" spans="1:21" x14ac:dyDescent="0.8">
      <c r="A195" s="717" t="e">
        <f>IF(+All!#REF!="Vanderbilt",+All!#REF!,IF(+All!#REF!="Vanderbilt",+All!#REF!,0))</f>
        <v>#REF!</v>
      </c>
      <c r="B195" s="698" t="e">
        <f>IF(+All!#REF!="Vanderbilt",+All!#REF!,IF(+All!#REF!="Vanderbilt",+All!#REF!,0))</f>
        <v>#REF!</v>
      </c>
      <c r="C195" s="699" t="e">
        <f>IF(+All!#REF!="Vanderbilt",+All!#REF!,IF(+All!#REF!="Vanderbilt",+All!#REF!,0))</f>
        <v>#REF!</v>
      </c>
      <c r="D195" s="700" t="e">
        <f>IF(+All!#REF!="Vanderbilt",+All!#REF!,IF(+All!#REF!="Vanderbilt",+All!#REF!,0))</f>
        <v>#REF!</v>
      </c>
      <c r="E195" s="701" t="e">
        <f>IF(+All!#REF!="Vanderbilt",+All!#REF!,IF(+All!#REF!="Vanderbilt",+All!#REF!,0))</f>
        <v>#REF!</v>
      </c>
      <c r="F195" s="704" t="e">
        <f>IF(+All!#REF!="Vanderbilt",+All!#REF!,IF(+All!#REF!="Vanderbilt",+All!#REF!,0))</f>
        <v>#REF!</v>
      </c>
      <c r="G195" s="701" t="e">
        <f>IF(+All!#REF!="Vanderbilt",+All!#REF!,IF(+All!#REF!="Vanderbilt",+All!#REF!,0))</f>
        <v>#REF!</v>
      </c>
      <c r="H195" s="704" t="e">
        <f>IF(+All!#REF!="Vanderbilt",+All!#REF!,IF(+All!#REF!="Vanderbilt",+All!#REF!,0))</f>
        <v>#REF!</v>
      </c>
      <c r="I195" s="701" t="e">
        <f>IF(+All!#REF!="Vanderbilt",+All!#REF!,IF(+All!#REF!="Vanderbilt",+All!#REF!,0))</f>
        <v>#REF!</v>
      </c>
      <c r="J195" s="704" t="e">
        <f>IF(+All!#REF!="Vanderbilt",+All!#REF!,IF(+All!#REF!="Vanderbilt",+All!#REF!,0))</f>
        <v>#REF!</v>
      </c>
      <c r="K195" s="701" t="e">
        <f>IF(+All!#REF!="Vanderbilt",+All!#REF!,IF(+All!#REF!="Vanderbilt",+All!#REF!,0))</f>
        <v>#REF!</v>
      </c>
      <c r="L195" s="715" t="e">
        <f>IF(+All!#REF!="Vanderbilt",+All!#REF!,IF(+All!#REF!="Vanderbilt",+All!#REF!,0))</f>
        <v>#REF!</v>
      </c>
      <c r="M195" s="716" t="e">
        <f>IF(+All!#REF!="Vanderbilt",+All!#REF!,IF(+All!#REF!="Vanderbilt",+All!#REF!,0))</f>
        <v>#REF!</v>
      </c>
      <c r="N195" s="704" t="e">
        <f>IF(+All!#REF!="Vanderbilt",+All!#REF!,IF(+All!#REF!="Vanderbilt",+All!#REF!,0))</f>
        <v>#REF!</v>
      </c>
      <c r="O195" s="707" t="e">
        <f>IF(+All!#REF!="Vanderbilt",+All!#REF!,IF(+All!#REF!="Vanderbilt",+All!#REF!,0))</f>
        <v>#REF!</v>
      </c>
      <c r="P195" s="707" t="e">
        <f>IF(+All!#REF!="Vanderbilt",+All!#REF!,IF(+All!#REF!="Vanderbilt",+All!#REF!,0))</f>
        <v>#REF!</v>
      </c>
      <c r="Q195" s="709" t="e">
        <f>IF(+All!#REF!="Vanderbilt",+All!#REF!,IF(+All!#REF!="Vanderbilt",+All!#REF!,0))</f>
        <v>#REF!</v>
      </c>
      <c r="R195" s="704" t="e">
        <f>IF(+All!#REF!="Vanderbilt",+All!#REF!,IF(+All!#REF!="Vanderbilt",+All!#REF!,0))</f>
        <v>#REF!</v>
      </c>
      <c r="S195" s="707" t="e">
        <f>IF(+All!#REF!="Vanderbilt",+All!#REF!,IF(+All!#REF!="Vanderbilt",+All!#REF!,0))</f>
        <v>#REF!</v>
      </c>
      <c r="T195" s="704" t="e">
        <f>IF(+All!#REF!="Vanderbilt",+All!#REF!,IF(+All!#REF!="Vanderbilt",+All!#REF!,0))</f>
        <v>#REF!</v>
      </c>
      <c r="U195" s="701" t="e">
        <f>IF(+All!#REF!="Vanderbilt",+All!#REF!,IF(+All!#REF!="Vanderbilt",+All!#REF!,0))</f>
        <v>#REF!</v>
      </c>
    </row>
    <row r="196" spans="1:21" x14ac:dyDescent="0.8">
      <c r="A196" s="717">
        <f>IF(+All!$F652="Vanderbilt",+All!A652,IF(+All!$H652="Vanderbilt",+All!A652,0))</f>
        <v>10</v>
      </c>
      <c r="B196" s="698" t="str">
        <f>IF(+All!$F652="Vanderbilt",+All!B652,IF(+All!$H652="Vanderbilt",+All!B652,0))</f>
        <v>Sat</v>
      </c>
      <c r="C196" s="699">
        <f>IF(+All!$F652="Vanderbilt",+All!C652,IF(+All!$H652="Vanderbilt",+All!C652,0))</f>
        <v>44870</v>
      </c>
      <c r="D196" s="700">
        <f>IF(+All!$F652="Vanderbilt",+All!D652,IF(+All!$H652="Vanderbilt",+All!D652,0))</f>
        <v>0.8125</v>
      </c>
      <c r="E196" s="701" t="str">
        <f>IF(+All!$F652="Vanderbilt",+All!E652,IF(+All!$H652="Vanderbilt",+All!E652,0))</f>
        <v>SEC</v>
      </c>
      <c r="F196" s="704" t="str">
        <f>IF(+All!$F652="Vanderbilt",+All!F652,IF(+All!$H652="Vanderbilt",+All!F652,0))</f>
        <v>South Carolina</v>
      </c>
      <c r="G196" s="701" t="str">
        <f>IF(+All!$F652="Vanderbilt",+All!G652,IF(+All!$H652="Vanderbilt",+All!G652,0))</f>
        <v>SEC</v>
      </c>
      <c r="H196" s="704" t="str">
        <f>IF(+All!$F652="Vanderbilt",+All!H652,IF(+All!$H652="Vanderbilt",+All!H652,0))</f>
        <v>Vanderbilt</v>
      </c>
      <c r="I196" s="701" t="str">
        <f>IF(+All!$F652="Vanderbilt",+All!I652,IF(+All!$H652="Vanderbilt",+All!I652,0))</f>
        <v>SEC</v>
      </c>
      <c r="J196" s="704" t="str">
        <f>IF(+All!$F652="Vanderbilt",+All!J652,IF(+All!$H652="Vanderbilt",+All!J652,0))</f>
        <v>South Carolina</v>
      </c>
      <c r="K196" s="701" t="str">
        <f>IF(+All!$F652="Vanderbilt",+All!K652,IF(+All!$H652="Vanderbilt",+All!K652,0))</f>
        <v>Vanderbilt</v>
      </c>
      <c r="L196" s="715">
        <f>IF(+All!$F652="Vanderbilt",+All!L652,IF(+All!$H652="Vanderbilt",+All!L652,0))</f>
        <v>7</v>
      </c>
      <c r="M196" s="716">
        <f>IF(+All!$F652="Vanderbilt",+All!M652,IF(+All!$H652="Vanderbilt",+All!M652,0))</f>
        <v>48.5</v>
      </c>
      <c r="N196" s="704" t="str">
        <f>IF(+All!$F652="Vanderbilt",+All!N652,IF(+All!$H652="Vanderbilt",+All!N652,0))</f>
        <v>South Carolina</v>
      </c>
      <c r="O196" s="707">
        <f>IF(+All!$F652="Vanderbilt",+All!O652,IF(+All!$H652="Vanderbilt",+All!O652,0))</f>
        <v>38</v>
      </c>
      <c r="P196" s="707" t="str">
        <f>IF(+All!$F652="Vanderbilt",+All!P652,IF(+All!$H652="Vanderbilt",+All!P652,0))</f>
        <v>Vanderbilt</v>
      </c>
      <c r="Q196" s="709">
        <f>IF(+All!$F652="Vanderbilt",+All!Q652,IF(+All!$H652="Vanderbilt",+All!Q652,0))</f>
        <v>27</v>
      </c>
      <c r="R196" s="704" t="str">
        <f>IF(+All!$F652="Vanderbilt",+All!R652,IF(+All!$H652="Vanderbilt",+All!R652,0))</f>
        <v>South Carolina</v>
      </c>
      <c r="S196" s="707" t="str">
        <f>IF(+All!$F652="Vanderbilt",+All!S652,IF(+All!$H652="Vanderbilt",+All!S652,0))</f>
        <v>Vanderbilt</v>
      </c>
      <c r="T196" s="704" t="str">
        <f>IF(+All!$F652="Vanderbilt",+All!T652,IF(+All!$H652="Vanderbilt",+All!T652,0))</f>
        <v>South Carolina</v>
      </c>
      <c r="U196" s="701" t="str">
        <f>IF(+All!$F652="Vanderbilt",+All!U652,IF(+All!$H652="Vanderbilt",+All!U652,0))</f>
        <v>W</v>
      </c>
    </row>
    <row r="197" spans="1:21" x14ac:dyDescent="0.8">
      <c r="A197" s="717">
        <f>IF(+All!$F714="Vanderbilt",+All!A714,IF(+All!$H714="Vanderbilt",+All!A714,0))</f>
        <v>11</v>
      </c>
      <c r="B197" s="698" t="str">
        <f>IF(+All!$F714="Vanderbilt",+All!B714,IF(+All!$H714="Vanderbilt",+All!B714,0))</f>
        <v>Sat</v>
      </c>
      <c r="C197" s="699">
        <f>IF(+All!$F714="Vanderbilt",+All!C714,IF(+All!$H714="Vanderbilt",+All!C714,0))</f>
        <v>44877</v>
      </c>
      <c r="D197" s="700">
        <f>IF(+All!$F714="Vanderbilt",+All!D714,IF(+All!$H714="Vanderbilt",+All!D714,0))</f>
        <v>0.5</v>
      </c>
      <c r="E197" s="701" t="str">
        <f>IF(+All!$F714="Vanderbilt",+All!E714,IF(+All!$H714="Vanderbilt",+All!E714,0))</f>
        <v>SEC</v>
      </c>
      <c r="F197" s="704" t="str">
        <f>IF(+All!$F714="Vanderbilt",+All!F714,IF(+All!$H714="Vanderbilt",+All!F714,0))</f>
        <v>Vanderbilt</v>
      </c>
      <c r="G197" s="701" t="str">
        <f>IF(+All!$F714="Vanderbilt",+All!G714,IF(+All!$H714="Vanderbilt",+All!G714,0))</f>
        <v>SEC</v>
      </c>
      <c r="H197" s="704" t="str">
        <f>IF(+All!$F714="Vanderbilt",+All!H714,IF(+All!$H714="Vanderbilt",+All!H714,0))</f>
        <v>Kentucky</v>
      </c>
      <c r="I197" s="701" t="str">
        <f>IF(+All!$F714="Vanderbilt",+All!I714,IF(+All!$H714="Vanderbilt",+All!I714,0))</f>
        <v>SEC</v>
      </c>
      <c r="J197" s="704" t="str">
        <f>IF(+All!$F714="Vanderbilt",+All!J714,IF(+All!$H714="Vanderbilt",+All!J714,0))</f>
        <v>Kentucky</v>
      </c>
      <c r="K197" s="701" t="str">
        <f>IF(+All!$F714="Vanderbilt",+All!K714,IF(+All!$H714="Vanderbilt",+All!K714,0))</f>
        <v>Vanderbilt</v>
      </c>
      <c r="L197" s="715">
        <f>IF(+All!$F714="Vanderbilt",+All!L714,IF(+All!$H714="Vanderbilt",+All!L714,0))</f>
        <v>18</v>
      </c>
      <c r="M197" s="716">
        <f>IF(+All!$F714="Vanderbilt",+All!M714,IF(+All!$H714="Vanderbilt",+All!M714,0))</f>
        <v>48</v>
      </c>
      <c r="N197" s="704" t="str">
        <f>IF(+All!$F714="Vanderbilt",+All!N714,IF(+All!$H714="Vanderbilt",+All!N714,0))</f>
        <v>Vanderbilt</v>
      </c>
      <c r="O197" s="707">
        <f>IF(+All!$F714="Vanderbilt",+All!O714,IF(+All!$H714="Vanderbilt",+All!O714,0))</f>
        <v>24</v>
      </c>
      <c r="P197" s="707" t="str">
        <f>IF(+All!$F714="Vanderbilt",+All!P714,IF(+All!$H714="Vanderbilt",+All!P714,0))</f>
        <v>Kentucky</v>
      </c>
      <c r="Q197" s="709">
        <f>IF(+All!$F714="Vanderbilt",+All!Q714,IF(+All!$H714="Vanderbilt",+All!Q714,0))</f>
        <v>21</v>
      </c>
      <c r="R197" s="704" t="str">
        <f>IF(+All!$F714="Vanderbilt",+All!R714,IF(+All!$H714="Vanderbilt",+All!R714,0))</f>
        <v>Vanderbilt</v>
      </c>
      <c r="S197" s="707" t="str">
        <f>IF(+All!$F714="Vanderbilt",+All!S714,IF(+All!$H714="Vanderbilt",+All!S714,0))</f>
        <v>Kentucky</v>
      </c>
      <c r="T197" s="704" t="str">
        <f>IF(+All!$F714="Vanderbilt",+All!T714,IF(+All!$H714="Vanderbilt",+All!T714,0))</f>
        <v>Vanderbilt</v>
      </c>
      <c r="U197" s="701" t="str">
        <f>IF(+All!$F714="Vanderbilt",+All!U714,IF(+All!$H714="Vanderbilt",+All!U714,0))</f>
        <v>W</v>
      </c>
    </row>
    <row r="198" spans="1:21" x14ac:dyDescent="0.8">
      <c r="A198" s="717">
        <f>IF(+All!$F784="Vanderbilt",+All!A784,IF(+All!$H784="Vanderbilt",+All!A784,0))</f>
        <v>12</v>
      </c>
      <c r="B198" s="698" t="str">
        <f>IF(+All!$F784="Vanderbilt",+All!B784,IF(+All!$H784="Vanderbilt",+All!B784,0))</f>
        <v>Sat</v>
      </c>
      <c r="C198" s="699">
        <f>IF(+All!$F784="Vanderbilt",+All!C784,IF(+All!$H784="Vanderbilt",+All!C784,0))</f>
        <v>44884</v>
      </c>
      <c r="D198" s="700">
        <f>IF(+All!$F784="Vanderbilt",+All!D784,IF(+All!$H784="Vanderbilt",+All!D784,0))</f>
        <v>0.5</v>
      </c>
      <c r="E198" s="701" t="str">
        <f>IF(+All!$F784="Vanderbilt",+All!E784,IF(+All!$H784="Vanderbilt",+All!E784,0))</f>
        <v>SEC</v>
      </c>
      <c r="F198" s="704" t="str">
        <f>IF(+All!$F784="Vanderbilt",+All!F784,IF(+All!$H784="Vanderbilt",+All!F784,0))</f>
        <v>Florida</v>
      </c>
      <c r="G198" s="701" t="str">
        <f>IF(+All!$F784="Vanderbilt",+All!G784,IF(+All!$H784="Vanderbilt",+All!G784,0))</f>
        <v>SEC</v>
      </c>
      <c r="H198" s="704" t="str">
        <f>IF(+All!$F784="Vanderbilt",+All!H784,IF(+All!$H784="Vanderbilt",+All!H784,0))</f>
        <v>Vanderbilt</v>
      </c>
      <c r="I198" s="701" t="str">
        <f>IF(+All!$F784="Vanderbilt",+All!I784,IF(+All!$H784="Vanderbilt",+All!I784,0))</f>
        <v>SEC</v>
      </c>
      <c r="J198" s="704" t="str">
        <f>IF(+All!$F784="Vanderbilt",+All!J784,IF(+All!$H784="Vanderbilt",+All!J784,0))</f>
        <v>Florida</v>
      </c>
      <c r="K198" s="701" t="str">
        <f>IF(+All!$F784="Vanderbilt",+All!K784,IF(+All!$H784="Vanderbilt",+All!K784,0))</f>
        <v>Vanderbilt</v>
      </c>
      <c r="L198" s="715">
        <f>IF(+All!$F784="Vanderbilt",+All!L784,IF(+All!$H784="Vanderbilt",+All!L784,0))</f>
        <v>14</v>
      </c>
      <c r="M198" s="716">
        <f>IF(+All!$F784="Vanderbilt",+All!M784,IF(+All!$H784="Vanderbilt",+All!M784,0))</f>
        <v>57</v>
      </c>
      <c r="N198" s="704" t="str">
        <f>IF(+All!$F784="Vanderbilt",+All!N784,IF(+All!$H784="Vanderbilt",+All!N784,0))</f>
        <v>Vanderbilt</v>
      </c>
      <c r="O198" s="707">
        <f>IF(+All!$F784="Vanderbilt",+All!O784,IF(+All!$H784="Vanderbilt",+All!O784,0))</f>
        <v>31</v>
      </c>
      <c r="P198" s="707" t="str">
        <f>IF(+All!$F784="Vanderbilt",+All!P784,IF(+All!$H784="Vanderbilt",+All!P784,0))</f>
        <v>Florida</v>
      </c>
      <c r="Q198" s="709">
        <f>IF(+All!$F784="Vanderbilt",+All!Q784,IF(+All!$H784="Vanderbilt",+All!Q784,0))</f>
        <v>24</v>
      </c>
      <c r="R198" s="704" t="str">
        <f>IF(+All!$F784="Vanderbilt",+All!R784,IF(+All!$H784="Vanderbilt",+All!R784,0))</f>
        <v>Vanderbilt</v>
      </c>
      <c r="S198" s="707" t="str">
        <f>IF(+All!$F784="Vanderbilt",+All!S784,IF(+All!$H784="Vanderbilt",+All!S784,0))</f>
        <v>Florida</v>
      </c>
      <c r="T198" s="704" t="str">
        <f>IF(+All!$F784="Vanderbilt",+All!T784,IF(+All!$H784="Vanderbilt",+All!T784,0))</f>
        <v>Vanderbilt</v>
      </c>
      <c r="U198" s="701" t="str">
        <f>IF(+All!$F784="Vanderbilt",+All!U784,IF(+All!$H784="Vanderbilt",+All!U784,0))</f>
        <v>W</v>
      </c>
    </row>
    <row r="199" spans="1:21" x14ac:dyDescent="0.8">
      <c r="A199" s="717">
        <f>IF(+All!$F848="Vanderbilt",+All!A848,IF(+All!$H848="Vanderbilt",+All!A848,0))</f>
        <v>13</v>
      </c>
      <c r="B199" s="698" t="str">
        <f>IF(+All!$F848="Vanderbilt",+All!B848,IF(+All!$H848="Vanderbilt",+All!B848,0))</f>
        <v>Sat</v>
      </c>
      <c r="C199" s="699">
        <f>IF(+All!$F848="Vanderbilt",+All!C848,IF(+All!$H848="Vanderbilt",+All!C848,0))</f>
        <v>44891</v>
      </c>
      <c r="D199" s="700">
        <f>IF(+All!$F848="Vanderbilt",+All!D848,IF(+All!$H848="Vanderbilt",+All!D848,0))</f>
        <v>0.8125</v>
      </c>
      <c r="E199" s="701" t="str">
        <f>IF(+All!$F848="Vanderbilt",+All!E848,IF(+All!$H848="Vanderbilt",+All!E848,0))</f>
        <v>ESPN</v>
      </c>
      <c r="F199" s="704" t="str">
        <f>IF(+All!$F848="Vanderbilt",+All!F848,IF(+All!$H848="Vanderbilt",+All!F848,0))</f>
        <v>Tennessee</v>
      </c>
      <c r="G199" s="701" t="str">
        <f>IF(+All!$F848="Vanderbilt",+All!G848,IF(+All!$H848="Vanderbilt",+All!G848,0))</f>
        <v>SEC</v>
      </c>
      <c r="H199" s="704" t="str">
        <f>IF(+All!$F848="Vanderbilt",+All!H848,IF(+All!$H848="Vanderbilt",+All!H848,0))</f>
        <v>Vanderbilt</v>
      </c>
      <c r="I199" s="701" t="str">
        <f>IF(+All!$F848="Vanderbilt",+All!I848,IF(+All!$H848="Vanderbilt",+All!I848,0))</f>
        <v>SEC</v>
      </c>
      <c r="J199" s="704" t="str">
        <f>IF(+All!$F848="Vanderbilt",+All!J848,IF(+All!$H848="Vanderbilt",+All!J848,0))</f>
        <v>Tennessee</v>
      </c>
      <c r="K199" s="701" t="str">
        <f>IF(+All!$F848="Vanderbilt",+All!K848,IF(+All!$H848="Vanderbilt",+All!K848,0))</f>
        <v>Vanderbilt</v>
      </c>
      <c r="L199" s="715">
        <f>IF(+All!$F848="Vanderbilt",+All!L848,IF(+All!$H848="Vanderbilt",+All!L848,0))</f>
        <v>14</v>
      </c>
      <c r="M199" s="716">
        <f>IF(+All!$F848="Vanderbilt",+All!M848,IF(+All!$H848="Vanderbilt",+All!M848,0))</f>
        <v>64</v>
      </c>
      <c r="N199" s="704" t="str">
        <f>IF(+All!$F848="Vanderbilt",+All!N848,IF(+All!$H848="Vanderbilt",+All!N848,0))</f>
        <v>Tennessee</v>
      </c>
      <c r="O199" s="707">
        <f>IF(+All!$F848="Vanderbilt",+All!O848,IF(+All!$H848="Vanderbilt",+All!O848,0))</f>
        <v>56</v>
      </c>
      <c r="P199" s="707" t="str">
        <f>IF(+All!$F848="Vanderbilt",+All!P848,IF(+All!$H848="Vanderbilt",+All!P848,0))</f>
        <v>Vanderbilt</v>
      </c>
      <c r="Q199" s="709">
        <f>IF(+All!$F848="Vanderbilt",+All!Q848,IF(+All!$H848="Vanderbilt",+All!Q848,0))</f>
        <v>0</v>
      </c>
      <c r="R199" s="704" t="str">
        <f>IF(+All!$F848="Vanderbilt",+All!R848,IF(+All!$H848="Vanderbilt",+All!R848,0))</f>
        <v>Tennessee</v>
      </c>
      <c r="S199" s="707" t="str">
        <f>IF(+All!$F848="Vanderbilt",+All!S848,IF(+All!$H848="Vanderbilt",+All!S848,0))</f>
        <v>Vanderbilt</v>
      </c>
      <c r="T199" s="704" t="str">
        <f>IF(+All!$F848="Vanderbilt",+All!T848,IF(+All!$H848="Vanderbilt",+All!T848,0))</f>
        <v>Tennessee</v>
      </c>
      <c r="U199" s="701" t="str">
        <f>IF(+All!$F848="Vanderbilt",+All!U848,IF(+All!$H848="Vanderbilt",+All!U848,0))</f>
        <v>W</v>
      </c>
    </row>
  </sheetData>
  <sortState xmlns:xlrd2="http://schemas.microsoft.com/office/spreadsheetml/2017/richdata2" ref="A187:U199">
    <sortCondition ref="A187:A199"/>
    <sortCondition ref="F187:F199"/>
  </sortState>
  <mergeCells count="17">
    <mergeCell ref="F87:I87"/>
    <mergeCell ref="F171:I171"/>
    <mergeCell ref="F185:I185"/>
    <mergeCell ref="F73:I73"/>
    <mergeCell ref="F101:I101"/>
    <mergeCell ref="F115:I115"/>
    <mergeCell ref="F129:I129"/>
    <mergeCell ref="F143:I143"/>
    <mergeCell ref="F157:I157"/>
    <mergeCell ref="N1:Q1"/>
    <mergeCell ref="R1:S1"/>
    <mergeCell ref="F59:I59"/>
    <mergeCell ref="F3:I3"/>
    <mergeCell ref="F45:I45"/>
    <mergeCell ref="F1:I1"/>
    <mergeCell ref="F17:I17"/>
    <mergeCell ref="F31:I31"/>
  </mergeCells>
  <pageMargins left="0.25" right="0.25" top="0.25" bottom="0.25" header="0" footer="0"/>
  <pageSetup scale="58" fitToHeight="0" orientation="landscape" r:id="rId1"/>
  <headerFooter alignWithMargins="0">
    <oddFooter>&amp;C&amp;36SEC</oddFooter>
  </headerFooter>
  <rowBreaks count="3" manualBreakCount="3">
    <brk id="58" max="18" man="1"/>
    <brk id="114" max="18" man="1"/>
    <brk id="156" max="18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>
    <pageSetUpPr fitToPage="1"/>
  </sheetPr>
  <dimension ref="A1:DY280"/>
  <sheetViews>
    <sheetView topLeftCell="R1" zoomScale="82" zoomScaleNormal="82" workbookViewId="0">
      <selection activeCell="T8" sqref="T8"/>
    </sheetView>
  </sheetViews>
  <sheetFormatPr defaultColWidth="8.86328125" defaultRowHeight="24" customHeight="1" x14ac:dyDescent="0.9"/>
  <cols>
    <col min="1" max="1" width="20.6328125" style="762" customWidth="1"/>
    <col min="2" max="2" width="8.40625" style="763" customWidth="1"/>
    <col min="3" max="3" width="8.40625" style="764" customWidth="1"/>
    <col min="4" max="4" width="11.1796875" style="765" customWidth="1"/>
    <col min="5" max="5" width="9.2265625" style="766" customWidth="1"/>
    <col min="6" max="6" width="20.6796875" style="767" customWidth="1"/>
    <col min="7" max="7" width="8.6796875" style="768" customWidth="1"/>
    <col min="8" max="8" width="20.6796875" style="768" customWidth="1"/>
    <col min="9" max="9" width="8.6796875" style="769" customWidth="1"/>
    <col min="10" max="10" width="20.6796875" style="770" customWidth="1"/>
    <col min="11" max="11" width="20.6796875" style="728" customWidth="1"/>
    <col min="12" max="12" width="7.31640625" style="729" customWidth="1"/>
    <col min="13" max="13" width="7.31640625" style="730" customWidth="1"/>
    <col min="14" max="14" width="20.6796875" style="731" customWidth="1"/>
    <col min="15" max="15" width="5.31640625" style="732" customWidth="1"/>
    <col min="16" max="16" width="20.6796875" style="731" customWidth="1"/>
    <col min="17" max="17" width="5.31640625" style="732" customWidth="1"/>
    <col min="18" max="18" width="20.6796875" style="733" customWidth="1"/>
    <col min="19" max="19" width="20.6796875" style="734" customWidth="1"/>
    <col min="20" max="20" width="20.6796875" style="735" customWidth="1"/>
    <col min="21" max="21" width="6.6796875" style="736" customWidth="1"/>
    <col min="22" max="22" width="22.76953125" style="733" customWidth="1"/>
    <col min="23" max="23" width="6.6796875" style="734" customWidth="1"/>
    <col min="24" max="24" width="8.1796875" style="737" customWidth="1"/>
    <col min="25" max="25" width="8.1796875" style="738" customWidth="1"/>
    <col min="26" max="26" width="8.1796875" style="733" customWidth="1"/>
    <col min="27" max="27" width="8.1796875" style="734" customWidth="1"/>
    <col min="28" max="29" width="8.1796875" style="739" customWidth="1"/>
    <col min="30" max="30" width="20.6796875" style="740" customWidth="1"/>
    <col min="31" max="31" width="7.31640625" style="741" customWidth="1"/>
    <col min="32" max="32" width="20.6796875" style="742" customWidth="1"/>
    <col min="33" max="33" width="7.31640625" style="741" customWidth="1"/>
    <col min="34" max="34" width="20.6796875" style="742" customWidth="1"/>
    <col min="35" max="35" width="7.31640625" style="741" customWidth="1"/>
    <col min="36" max="36" width="20.6796875" style="742" customWidth="1"/>
    <col min="37" max="37" width="7.31640625" style="741" customWidth="1"/>
    <col min="38" max="38" width="20.6796875" style="742" customWidth="1"/>
    <col min="39" max="39" width="7.31640625" style="741" customWidth="1"/>
    <col min="40" max="40" width="20.6796875" style="742" customWidth="1"/>
    <col min="41" max="41" width="7.31640625" style="741" customWidth="1"/>
    <col min="42" max="42" width="22.76953125" style="742" customWidth="1"/>
    <col min="43" max="43" width="7.31640625" style="741" customWidth="1"/>
    <col min="44" max="44" width="22.76953125" style="742" customWidth="1"/>
    <col min="45" max="45" width="7.31640625" style="741" customWidth="1"/>
    <col min="46" max="46" width="6.26953125" style="743" customWidth="1"/>
    <col min="47" max="53" width="6.26953125" style="562" customWidth="1"/>
    <col min="54" max="54" width="20.6796875" style="771" customWidth="1"/>
    <col min="55" max="55" width="3.6796875" style="745" customWidth="1"/>
    <col min="56" max="56" width="3.6796875" style="732" customWidth="1"/>
    <col min="57" max="57" width="3.6796875" style="746" customWidth="1"/>
    <col min="58" max="60" width="3.6796875" style="747" customWidth="1"/>
    <col min="61" max="61" width="20.6796875" style="737" customWidth="1"/>
    <col min="62" max="62" width="3.6796875" style="745" customWidth="1"/>
    <col min="63" max="63" width="3.6796875" style="732" customWidth="1"/>
    <col min="64" max="64" width="3.6796875" style="746" customWidth="1"/>
    <col min="65" max="67" width="3.6796875" style="747" customWidth="1"/>
    <col min="68" max="68" width="20.6796875" style="767" customWidth="1"/>
    <col min="69" max="69" width="7.31640625" style="847" customWidth="1"/>
    <col min="70" max="70" width="7.31640625" style="849" customWidth="1"/>
    <col min="71" max="71" width="20.6796875" style="767" customWidth="1"/>
    <col min="72" max="72" width="7.31640625" style="748" customWidth="1"/>
    <col min="73" max="73" width="20.6796875" style="768" customWidth="1"/>
    <col min="74" max="74" width="7.31640625" style="744" customWidth="1"/>
    <col min="75" max="75" width="20.58984375" style="749" customWidth="1"/>
    <col min="76" max="77" width="7.31640625" style="477" customWidth="1"/>
    <col min="78" max="78" width="20.58984375" style="749" customWidth="1"/>
    <col min="79" max="80" width="7.31640625" style="477" customWidth="1"/>
    <col min="81" max="81" width="7.31640625" style="866" customWidth="1"/>
    <col min="82" max="82" width="7.31640625" style="477" customWidth="1"/>
    <col min="83" max="83" width="18.58984375" style="731" customWidth="1"/>
    <col min="84" max="84" width="4.58984375" style="731" customWidth="1"/>
    <col min="85" max="85" width="23.26953125" style="734" customWidth="1"/>
    <col min="86" max="86" width="18.58984375" style="731" customWidth="1"/>
    <col min="87" max="87" width="4.58984375" style="731" customWidth="1"/>
    <col min="88" max="88" width="18.58984375" style="734" customWidth="1"/>
    <col min="89" max="89" width="18.58984375" style="731" customWidth="1"/>
    <col min="90" max="90" width="4.58984375" style="731" customWidth="1"/>
    <col min="91" max="91" width="18.58984375" style="734" customWidth="1"/>
    <col min="92" max="92" width="20.6796875" style="772" customWidth="1"/>
    <col min="93" max="93" width="27.6796875" style="772" customWidth="1"/>
    <col min="94" max="94" width="12.86328125" style="817" customWidth="1"/>
    <col min="95" max="96" width="12.86328125" style="806" customWidth="1"/>
    <col min="97" max="97" width="12.86328125" style="831" customWidth="1"/>
    <col min="98" max="98" width="5.6796875" style="771" customWidth="1"/>
    <col min="99" max="116" width="8.86328125" style="773" customWidth="1"/>
    <col min="117" max="119" width="8.86328125" style="774" customWidth="1"/>
    <col min="120" max="120" width="8.86328125" style="90" customWidth="1"/>
    <col min="121" max="129" width="8.86328125" style="90"/>
    <col min="130" max="16384" width="8.86328125" style="9"/>
  </cols>
  <sheetData>
    <row r="1" spans="1:129" s="511" customFormat="1" ht="24" customHeight="1" x14ac:dyDescent="0.9">
      <c r="A1" s="499"/>
      <c r="B1" s="502"/>
      <c r="C1" s="503"/>
      <c r="D1" s="504"/>
      <c r="E1" s="505"/>
      <c r="F1" s="934"/>
      <c r="G1" s="935"/>
      <c r="H1" s="935"/>
      <c r="I1" s="935"/>
      <c r="J1" s="506"/>
      <c r="K1" s="507"/>
      <c r="L1" s="508"/>
      <c r="M1" s="508"/>
      <c r="N1" s="936" t="s">
        <v>285</v>
      </c>
      <c r="O1" s="937"/>
      <c r="P1" s="937"/>
      <c r="Q1" s="937"/>
      <c r="R1" s="756" t="s">
        <v>4</v>
      </c>
      <c r="S1" s="760"/>
      <c r="T1" s="936" t="s">
        <v>286</v>
      </c>
      <c r="U1" s="922"/>
      <c r="V1" s="922"/>
      <c r="W1" s="922"/>
      <c r="X1" s="936" t="s">
        <v>427</v>
      </c>
      <c r="Y1" s="936"/>
      <c r="Z1" s="936" t="s">
        <v>19</v>
      </c>
      <c r="AA1" s="936"/>
      <c r="AB1" s="936" t="s">
        <v>428</v>
      </c>
      <c r="AC1" s="936"/>
      <c r="AD1" s="938" t="s">
        <v>545</v>
      </c>
      <c r="AE1" s="939"/>
      <c r="AF1" s="927" t="s">
        <v>433</v>
      </c>
      <c r="AG1" s="928"/>
      <c r="AH1" s="927" t="s">
        <v>548</v>
      </c>
      <c r="AI1" s="928"/>
      <c r="AJ1" s="927" t="s">
        <v>549</v>
      </c>
      <c r="AK1" s="928"/>
      <c r="AL1" s="927" t="s">
        <v>431</v>
      </c>
      <c r="AM1" s="928"/>
      <c r="AN1" s="927" t="s">
        <v>432</v>
      </c>
      <c r="AO1" s="928"/>
      <c r="AP1" s="927" t="s">
        <v>551</v>
      </c>
      <c r="AQ1" s="928"/>
      <c r="AR1" s="927" t="s">
        <v>550</v>
      </c>
      <c r="AS1" s="928"/>
      <c r="AT1" s="929" t="s">
        <v>287</v>
      </c>
      <c r="AU1" s="930"/>
      <c r="AV1" s="930"/>
      <c r="AW1" s="930"/>
      <c r="AX1" s="930"/>
      <c r="AY1" s="930"/>
      <c r="AZ1" s="930"/>
      <c r="BA1" s="931"/>
      <c r="BB1" s="509"/>
      <c r="BC1" s="932" t="s">
        <v>471</v>
      </c>
      <c r="BD1" s="933"/>
      <c r="BE1" s="933"/>
      <c r="BF1" s="933"/>
      <c r="BG1" s="933"/>
      <c r="BH1" s="933"/>
      <c r="BI1" s="510"/>
      <c r="BJ1" s="932" t="s">
        <v>471</v>
      </c>
      <c r="BK1" s="933"/>
      <c r="BL1" s="933"/>
      <c r="BM1" s="933"/>
      <c r="BN1" s="933"/>
      <c r="BO1" s="933"/>
      <c r="BP1" s="921" t="s">
        <v>473</v>
      </c>
      <c r="BQ1" s="922"/>
      <c r="BR1" s="922"/>
      <c r="BS1" s="947" t="s">
        <v>426</v>
      </c>
      <c r="BT1" s="948"/>
      <c r="BU1" s="948"/>
      <c r="BV1" s="949"/>
      <c r="BW1" s="842" t="s">
        <v>472</v>
      </c>
      <c r="BX1" s="612"/>
      <c r="BY1" s="613"/>
      <c r="BZ1" s="611" t="s">
        <v>405</v>
      </c>
      <c r="CA1" s="612"/>
      <c r="CB1" s="614"/>
      <c r="CC1" s="862" t="s">
        <v>475</v>
      </c>
      <c r="CD1" s="860"/>
      <c r="CE1" s="586"/>
      <c r="CF1" s="586"/>
      <c r="CG1" s="586"/>
      <c r="CH1" s="586"/>
      <c r="CI1" s="586"/>
      <c r="CJ1" s="586"/>
      <c r="CK1" s="586"/>
      <c r="CL1" s="586"/>
      <c r="CM1" s="586"/>
      <c r="CN1" s="586"/>
      <c r="CO1" s="585"/>
      <c r="CP1" s="940" t="s">
        <v>388</v>
      </c>
      <c r="CQ1" s="941"/>
      <c r="CR1" s="942"/>
      <c r="CS1" s="943"/>
      <c r="CT1" s="586" t="s">
        <v>430</v>
      </c>
      <c r="CU1" s="726"/>
      <c r="CV1" s="727"/>
      <c r="CW1" s="726"/>
      <c r="CX1" s="726"/>
      <c r="CY1" s="727"/>
      <c r="CZ1" s="726"/>
      <c r="DA1" s="726"/>
      <c r="DB1" s="726"/>
      <c r="DC1" s="726"/>
      <c r="DD1" s="726"/>
      <c r="DE1" s="726"/>
      <c r="DF1" s="726"/>
      <c r="DG1" s="726"/>
      <c r="DH1" s="726"/>
      <c r="DI1" s="726"/>
      <c r="DJ1" s="726"/>
      <c r="DK1" s="726"/>
      <c r="DL1" s="726"/>
      <c r="DM1" s="629"/>
      <c r="DN1" s="629"/>
      <c r="DO1" s="629"/>
      <c r="DP1" s="629"/>
      <c r="DQ1" s="629"/>
      <c r="DR1" s="629"/>
      <c r="DS1" s="629"/>
      <c r="DT1" s="629"/>
      <c r="DU1" s="629"/>
      <c r="DV1" s="629"/>
      <c r="DW1" s="629"/>
      <c r="DX1" s="629"/>
      <c r="DY1" s="629"/>
    </row>
    <row r="2" spans="1:129" s="518" customFormat="1" ht="24" customHeight="1" x14ac:dyDescent="0.9">
      <c r="A2" s="512" t="s">
        <v>289</v>
      </c>
      <c r="B2" s="513" t="s">
        <v>11</v>
      </c>
      <c r="C2" s="514" t="s">
        <v>12</v>
      </c>
      <c r="D2" s="515" t="s">
        <v>13</v>
      </c>
      <c r="E2" s="516" t="s">
        <v>14</v>
      </c>
      <c r="F2" s="566" t="s">
        <v>6</v>
      </c>
      <c r="G2" s="567" t="s">
        <v>290</v>
      </c>
      <c r="H2" s="566" t="s">
        <v>8</v>
      </c>
      <c r="I2" s="568" t="s">
        <v>290</v>
      </c>
      <c r="J2" s="563" t="s">
        <v>16</v>
      </c>
      <c r="K2" s="564" t="s">
        <v>17</v>
      </c>
      <c r="L2" s="569" t="s">
        <v>18</v>
      </c>
      <c r="M2" s="565" t="s">
        <v>19</v>
      </c>
      <c r="N2" s="574" t="s">
        <v>20</v>
      </c>
      <c r="O2" s="622"/>
      <c r="P2" s="575" t="s">
        <v>21</v>
      </c>
      <c r="Q2" s="576"/>
      <c r="R2" s="574" t="s">
        <v>20</v>
      </c>
      <c r="S2" s="577" t="s">
        <v>21</v>
      </c>
      <c r="T2" s="578" t="s">
        <v>25</v>
      </c>
      <c r="U2" s="579" t="s">
        <v>23</v>
      </c>
      <c r="V2" s="578" t="s">
        <v>24</v>
      </c>
      <c r="W2" s="579" t="s">
        <v>23</v>
      </c>
      <c r="X2" s="574" t="s">
        <v>385</v>
      </c>
      <c r="Y2" s="577" t="s">
        <v>387</v>
      </c>
      <c r="Z2" s="574" t="s">
        <v>26</v>
      </c>
      <c r="AA2" s="577" t="s">
        <v>23</v>
      </c>
      <c r="AB2" s="574" t="s">
        <v>385</v>
      </c>
      <c r="AC2" s="577" t="s">
        <v>23</v>
      </c>
      <c r="AD2" s="517" t="s">
        <v>291</v>
      </c>
      <c r="AE2" s="598" t="s">
        <v>287</v>
      </c>
      <c r="AF2" s="599" t="s">
        <v>291</v>
      </c>
      <c r="AG2" s="598" t="s">
        <v>287</v>
      </c>
      <c r="AH2" s="623" t="s">
        <v>291</v>
      </c>
      <c r="AI2" s="624" t="s">
        <v>287</v>
      </c>
      <c r="AJ2" s="623" t="s">
        <v>291</v>
      </c>
      <c r="AK2" s="624" t="s">
        <v>287</v>
      </c>
      <c r="AL2" s="623" t="s">
        <v>291</v>
      </c>
      <c r="AM2" s="624" t="s">
        <v>287</v>
      </c>
      <c r="AN2" s="599" t="s">
        <v>291</v>
      </c>
      <c r="AO2" s="598" t="s">
        <v>287</v>
      </c>
      <c r="AP2" s="599" t="s">
        <v>291</v>
      </c>
      <c r="AQ2" s="598" t="s">
        <v>287</v>
      </c>
      <c r="AR2" s="599" t="s">
        <v>291</v>
      </c>
      <c r="AS2" s="598" t="s">
        <v>287</v>
      </c>
      <c r="AT2" s="600">
        <v>1</v>
      </c>
      <c r="AU2" s="601">
        <v>2</v>
      </c>
      <c r="AV2" s="601" t="s">
        <v>554</v>
      </c>
      <c r="AW2" s="601" t="s">
        <v>555</v>
      </c>
      <c r="AX2" s="601" t="s">
        <v>556</v>
      </c>
      <c r="AY2" s="601" t="s">
        <v>553</v>
      </c>
      <c r="AZ2" s="601" t="s">
        <v>24</v>
      </c>
      <c r="BA2" s="602" t="s">
        <v>552</v>
      </c>
      <c r="BB2" s="479" t="s">
        <v>30</v>
      </c>
      <c r="BC2" s="923" t="s">
        <v>424</v>
      </c>
      <c r="BD2" s="924"/>
      <c r="BE2" s="924"/>
      <c r="BF2" s="925" t="s">
        <v>386</v>
      </c>
      <c r="BG2" s="924"/>
      <c r="BH2" s="926"/>
      <c r="BI2" s="480" t="s">
        <v>8</v>
      </c>
      <c r="BJ2" s="923" t="s">
        <v>424</v>
      </c>
      <c r="BK2" s="924"/>
      <c r="BL2" s="924"/>
      <c r="BM2" s="925" t="s">
        <v>386</v>
      </c>
      <c r="BN2" s="924"/>
      <c r="BO2" s="926"/>
      <c r="BP2" s="757" t="s">
        <v>16</v>
      </c>
      <c r="BQ2" s="757" t="s">
        <v>474</v>
      </c>
      <c r="BR2" s="848" t="s">
        <v>398</v>
      </c>
      <c r="BS2" s="950" t="s">
        <v>6</v>
      </c>
      <c r="BT2" s="950"/>
      <c r="BU2" s="950" t="s">
        <v>8</v>
      </c>
      <c r="BV2" s="951"/>
      <c r="BW2" s="843" t="s">
        <v>470</v>
      </c>
      <c r="BX2" s="867" t="s">
        <v>292</v>
      </c>
      <c r="BY2" s="841" t="s">
        <v>287</v>
      </c>
      <c r="BZ2" s="615" t="s">
        <v>18</v>
      </c>
      <c r="CA2" s="616" t="s">
        <v>18</v>
      </c>
      <c r="CB2" s="617" t="s">
        <v>287</v>
      </c>
      <c r="CC2" s="863" t="s">
        <v>389</v>
      </c>
      <c r="CD2" s="861" t="s">
        <v>398</v>
      </c>
      <c r="CE2" s="944" t="s">
        <v>402</v>
      </c>
      <c r="CF2" s="945"/>
      <c r="CG2" s="945"/>
      <c r="CH2" s="945"/>
      <c r="CI2" s="945"/>
      <c r="CJ2" s="945"/>
      <c r="CK2" s="945"/>
      <c r="CL2" s="945"/>
      <c r="CM2" s="946"/>
      <c r="CN2" s="584" t="s">
        <v>288</v>
      </c>
      <c r="CO2" s="566" t="s">
        <v>293</v>
      </c>
      <c r="CP2" s="825" t="s">
        <v>6</v>
      </c>
      <c r="CQ2" s="826" t="s">
        <v>8</v>
      </c>
      <c r="CR2" s="827" t="s">
        <v>469</v>
      </c>
      <c r="CS2" s="828" t="s">
        <v>265</v>
      </c>
      <c r="CT2" s="587" t="s">
        <v>429</v>
      </c>
      <c r="CU2" s="727"/>
      <c r="CV2" s="727"/>
      <c r="CW2" s="727"/>
      <c r="CX2" s="727"/>
      <c r="CY2" s="727"/>
      <c r="CZ2" s="727"/>
      <c r="DA2" s="727"/>
      <c r="DB2" s="727"/>
      <c r="DC2" s="727"/>
      <c r="DD2" s="727"/>
      <c r="DE2" s="727"/>
      <c r="DF2" s="727"/>
      <c r="DG2" s="727"/>
      <c r="DH2" s="727"/>
      <c r="DI2" s="727"/>
      <c r="DJ2" s="727"/>
      <c r="DK2" s="727"/>
      <c r="DL2" s="727"/>
      <c r="DM2" s="630"/>
      <c r="DN2" s="630"/>
      <c r="DO2" s="630"/>
      <c r="DP2" s="630"/>
      <c r="DQ2" s="630"/>
      <c r="DR2" s="630"/>
      <c r="DS2" s="630"/>
      <c r="DT2" s="630"/>
      <c r="DU2" s="630"/>
      <c r="DV2" s="630"/>
      <c r="DW2" s="630"/>
      <c r="DX2" s="630"/>
      <c r="DY2" s="630"/>
    </row>
    <row r="3" spans="1:129" s="593" customFormat="1" ht="24" customHeight="1" x14ac:dyDescent="0.75">
      <c r="A3" s="500" t="s">
        <v>298</v>
      </c>
      <c r="B3" s="519" t="s">
        <v>88</v>
      </c>
      <c r="C3" s="520">
        <v>44911</v>
      </c>
      <c r="D3" s="521">
        <f>11.5/24</f>
        <v>0.47916666666666669</v>
      </c>
      <c r="E3" s="522" t="s">
        <v>35</v>
      </c>
      <c r="F3" s="527" t="s">
        <v>162</v>
      </c>
      <c r="G3" s="554" t="s">
        <v>68</v>
      </c>
      <c r="H3" s="527" t="s">
        <v>173</v>
      </c>
      <c r="I3" s="554" t="s">
        <v>39</v>
      </c>
      <c r="J3" s="527" t="str">
        <f t="shared" ref="J3:J8" si="0">H3</f>
        <v>UAB</v>
      </c>
      <c r="K3" s="522" t="str">
        <f t="shared" ref="K3:K43" si="1">IF(+J3=F3,H3,F3)</f>
        <v>Miami (OH)</v>
      </c>
      <c r="L3" s="570">
        <v>11</v>
      </c>
      <c r="M3" s="572">
        <v>45</v>
      </c>
      <c r="N3" s="580" t="str">
        <f>J3</f>
        <v>UAB</v>
      </c>
      <c r="O3" s="551">
        <v>24</v>
      </c>
      <c r="P3" s="621" t="str">
        <f t="shared" ref="P3:P17" si="2">IF(+N3=K3,J3,K3)</f>
        <v>Miami (OH)</v>
      </c>
      <c r="Q3" s="552">
        <v>20</v>
      </c>
      <c r="R3" s="597" t="str">
        <f t="shared" ref="R3:R44" si="3">IF(+N3=K3,+N3,IF(+O3-Q3&lt;L3,+K3,+J3))</f>
        <v>Miami (OH)</v>
      </c>
      <c r="S3" s="597" t="str">
        <f t="shared" ref="S3:S44" si="4">IF(+R3=J3,+K3,+J3)</f>
        <v>UAB</v>
      </c>
      <c r="T3" s="519" t="str">
        <f>J3</f>
        <v>UAB</v>
      </c>
      <c r="U3" s="522" t="str">
        <f t="shared" ref="U3:U44" si="5">IF($N3=$J3,IF($O3-$Q3=$L3,"T",IF($R3=T3,"W","L")),IF($R3=T3,"W","L"))</f>
        <v>L</v>
      </c>
      <c r="V3" s="519"/>
      <c r="W3" s="522" t="str">
        <f t="shared" ref="W3:W44" si="6">IF($N3=$J3,IF($O3-$Q3=$L3,"T",IF($R3=V3,"W","L")),IF($R3=V3,"W","L"))</f>
        <v>L</v>
      </c>
      <c r="X3" s="525"/>
      <c r="Y3" s="526"/>
      <c r="Z3" s="580"/>
      <c r="AA3" s="581"/>
      <c r="AB3" s="580"/>
      <c r="AC3" s="581"/>
      <c r="AD3" s="595" t="str">
        <f>J3</f>
        <v>UAB</v>
      </c>
      <c r="AE3" s="552">
        <v>22</v>
      </c>
      <c r="AF3" s="555" t="str">
        <f>J3</f>
        <v>UAB</v>
      </c>
      <c r="AG3" s="552">
        <v>32</v>
      </c>
      <c r="AH3" s="555"/>
      <c r="AI3" s="552"/>
      <c r="AJ3" s="550"/>
      <c r="AK3" s="532"/>
      <c r="AL3" s="555" t="str">
        <f>H3</f>
        <v>UAB</v>
      </c>
      <c r="AM3" s="532">
        <v>22</v>
      </c>
      <c r="AN3" s="632"/>
      <c r="AO3" s="552"/>
      <c r="AP3" s="632"/>
      <c r="AQ3" s="552"/>
      <c r="AR3" s="555" t="str">
        <f>J3</f>
        <v>UAB</v>
      </c>
      <c r="AS3" s="552">
        <v>31</v>
      </c>
      <c r="AT3" s="603">
        <f t="shared" ref="AT3:AT44" si="7">IF(+AD3=$N3,AE3,0)</f>
        <v>22</v>
      </c>
      <c r="AU3" s="604">
        <f t="shared" ref="AU3:AU44" si="8">IF(+AF3=$N3,+AG3,0)</f>
        <v>32</v>
      </c>
      <c r="AV3" s="875">
        <f t="shared" ref="AV3:AV44" si="9">IF(+AH3=$N3,+AI3,0)</f>
        <v>0</v>
      </c>
      <c r="AW3" s="875">
        <f>IF(+AJ3=$N3,+AK3,0)</f>
        <v>0</v>
      </c>
      <c r="AX3" s="875">
        <f>IF(+AN3=$N3,+AO3,0)</f>
        <v>0</v>
      </c>
      <c r="AY3" s="875">
        <f t="shared" ref="AY3:AY44" si="10">IF(+AP3=$N3,+AQ3,0)</f>
        <v>0</v>
      </c>
      <c r="AZ3" s="604">
        <f t="shared" ref="AZ3:AZ44" si="11">IF(+AL3=$N3,+AM3,0)</f>
        <v>22</v>
      </c>
      <c r="BA3" s="605">
        <f>IF(+AR3=$N3,AS3,0)</f>
        <v>31</v>
      </c>
      <c r="BB3" s="523" t="str">
        <f t="shared" ref="BB3:BB43" si="12">F3</f>
        <v>Miami (OH)</v>
      </c>
      <c r="BC3" s="550">
        <v>6</v>
      </c>
      <c r="BD3" s="551">
        <v>6</v>
      </c>
      <c r="BE3" s="552">
        <v>0</v>
      </c>
      <c r="BF3" s="550">
        <v>5</v>
      </c>
      <c r="BG3" s="551">
        <v>7</v>
      </c>
      <c r="BH3" s="552">
        <v>0</v>
      </c>
      <c r="BI3" s="589" t="str">
        <f t="shared" ref="BI3:BI43" si="13">H3</f>
        <v>UAB</v>
      </c>
      <c r="BJ3" s="550">
        <v>6</v>
      </c>
      <c r="BK3" s="551">
        <v>6</v>
      </c>
      <c r="BL3" s="552">
        <v>0</v>
      </c>
      <c r="BM3" s="550">
        <v>4</v>
      </c>
      <c r="BN3" s="551">
        <v>8</v>
      </c>
      <c r="BO3" s="552">
        <v>0</v>
      </c>
      <c r="BP3" s="555" t="str">
        <f>BI3</f>
        <v>UAB</v>
      </c>
      <c r="BQ3" s="857">
        <v>0.64</v>
      </c>
      <c r="BR3" s="858">
        <v>30</v>
      </c>
      <c r="BS3" s="555" t="s">
        <v>162</v>
      </c>
      <c r="BT3" s="555">
        <v>-12.1</v>
      </c>
      <c r="BU3" s="555" t="s">
        <v>173</v>
      </c>
      <c r="BV3" s="589">
        <v>0.4</v>
      </c>
      <c r="BW3" s="555" t="str">
        <f t="shared" ref="BW3:BW43" si="14">IF(+BT3&gt;BV3,BS3,BU3)</f>
        <v>UAB</v>
      </c>
      <c r="BX3" s="589">
        <f t="shared" ref="BX3:BX43" si="15">CR3</f>
        <v>12.5</v>
      </c>
      <c r="BY3" s="838">
        <v>40</v>
      </c>
      <c r="BZ3" s="555" t="str">
        <f t="shared" ref="BZ3:BZ43" si="16">J3</f>
        <v>UAB</v>
      </c>
      <c r="CA3" s="591">
        <f t="shared" ref="CA3:CA44" si="17">L3</f>
        <v>11</v>
      </c>
      <c r="CB3" s="590">
        <v>41</v>
      </c>
      <c r="CC3" s="555">
        <v>37</v>
      </c>
      <c r="CD3" s="590">
        <v>39</v>
      </c>
      <c r="CE3" s="583"/>
      <c r="CF3" s="533"/>
      <c r="CG3" s="522"/>
      <c r="CH3" s="583"/>
      <c r="CI3" s="533"/>
      <c r="CJ3" s="522"/>
      <c r="CK3" s="583"/>
      <c r="CL3" s="533"/>
      <c r="CM3" s="522"/>
      <c r="CN3" s="524"/>
      <c r="CO3" s="523" t="s">
        <v>173</v>
      </c>
      <c r="CP3" s="807">
        <v>-12.1</v>
      </c>
      <c r="CQ3" s="808">
        <v>0.4</v>
      </c>
      <c r="CR3" s="819">
        <f t="shared" ref="CR3:CR43" si="18">ABS(+CP3-CQ3)</f>
        <v>12.5</v>
      </c>
      <c r="CS3" s="832">
        <v>39</v>
      </c>
      <c r="CT3" s="592">
        <v>1</v>
      </c>
      <c r="CU3" s="592"/>
      <c r="CV3" s="592"/>
      <c r="CW3" s="592"/>
      <c r="CX3" s="592"/>
      <c r="CY3" s="592"/>
      <c r="CZ3" s="592"/>
      <c r="DA3" s="592"/>
      <c r="DB3" s="592"/>
      <c r="DC3" s="592"/>
      <c r="DD3" s="592"/>
      <c r="DE3" s="592"/>
      <c r="DF3" s="592"/>
      <c r="DG3" s="592"/>
      <c r="DH3" s="592"/>
      <c r="DI3" s="592"/>
      <c r="DJ3" s="592"/>
      <c r="DK3" s="592"/>
      <c r="DL3" s="592"/>
      <c r="DM3" s="628"/>
      <c r="DN3" s="628"/>
      <c r="DO3" s="628"/>
      <c r="DP3" s="628"/>
      <c r="DQ3" s="628"/>
      <c r="DR3" s="628"/>
      <c r="DS3" s="628"/>
      <c r="DT3" s="628"/>
      <c r="DU3" s="628"/>
      <c r="DV3" s="628"/>
      <c r="DW3" s="628"/>
      <c r="DX3" s="628"/>
      <c r="DY3" s="628"/>
    </row>
    <row r="4" spans="1:129" s="593" customFormat="1" ht="24" customHeight="1" x14ac:dyDescent="0.75">
      <c r="A4" s="500" t="s">
        <v>294</v>
      </c>
      <c r="B4" s="519" t="s">
        <v>88</v>
      </c>
      <c r="C4" s="520">
        <v>44911</v>
      </c>
      <c r="D4" s="521">
        <f>15/24</f>
        <v>0.625</v>
      </c>
      <c r="E4" s="522" t="s">
        <v>35</v>
      </c>
      <c r="F4" s="527" t="s">
        <v>175</v>
      </c>
      <c r="G4" s="554" t="s">
        <v>39</v>
      </c>
      <c r="H4" s="527" t="s">
        <v>185</v>
      </c>
      <c r="I4" s="554" t="s">
        <v>59</v>
      </c>
      <c r="J4" s="527" t="str">
        <f t="shared" si="0"/>
        <v>Troy</v>
      </c>
      <c r="K4" s="522" t="str">
        <f t="shared" si="1"/>
        <v>UT San Antonio</v>
      </c>
      <c r="L4" s="570">
        <v>1.5</v>
      </c>
      <c r="M4" s="572">
        <v>55.5</v>
      </c>
      <c r="N4" s="528" t="str">
        <f>J4</f>
        <v>Troy</v>
      </c>
      <c r="O4" s="531">
        <v>18</v>
      </c>
      <c r="P4" s="529" t="str">
        <f t="shared" si="2"/>
        <v>UT San Antonio</v>
      </c>
      <c r="Q4" s="532">
        <v>12</v>
      </c>
      <c r="R4" s="597" t="str">
        <f t="shared" si="3"/>
        <v>Troy</v>
      </c>
      <c r="S4" s="597" t="str">
        <f t="shared" si="4"/>
        <v>UT San Antonio</v>
      </c>
      <c r="T4" s="519" t="str">
        <f>K4</f>
        <v>UT San Antonio</v>
      </c>
      <c r="U4" s="522" t="str">
        <f t="shared" si="5"/>
        <v>L</v>
      </c>
      <c r="V4" s="519"/>
      <c r="W4" s="522" t="str">
        <f t="shared" si="6"/>
        <v>L</v>
      </c>
      <c r="X4" s="525"/>
      <c r="Y4" s="526"/>
      <c r="Z4" s="528"/>
      <c r="AA4" s="526"/>
      <c r="AB4" s="528"/>
      <c r="AC4" s="526"/>
      <c r="AD4" s="519" t="str">
        <f>K4</f>
        <v>UT San Antonio</v>
      </c>
      <c r="AE4" s="532">
        <v>5</v>
      </c>
      <c r="AF4" s="527" t="str">
        <f>J4</f>
        <v>Troy</v>
      </c>
      <c r="AG4" s="532">
        <v>11</v>
      </c>
      <c r="AH4" s="527"/>
      <c r="AI4" s="532"/>
      <c r="AJ4" s="527"/>
      <c r="AK4" s="532"/>
      <c r="AL4" s="527" t="str">
        <f>F4</f>
        <v>UT San Antonio</v>
      </c>
      <c r="AM4" s="532">
        <v>7</v>
      </c>
      <c r="AN4" s="633"/>
      <c r="AO4" s="532"/>
      <c r="AP4" s="633"/>
      <c r="AQ4" s="532"/>
      <c r="AR4" s="610" t="str">
        <f>K4</f>
        <v>UT San Antonio</v>
      </c>
      <c r="AS4" s="532">
        <v>11</v>
      </c>
      <c r="AT4" s="603">
        <f t="shared" si="7"/>
        <v>0</v>
      </c>
      <c r="AU4" s="604">
        <f t="shared" si="8"/>
        <v>11</v>
      </c>
      <c r="AV4" s="875">
        <f t="shared" si="9"/>
        <v>0</v>
      </c>
      <c r="AW4" s="875">
        <f t="shared" ref="AW4:AW44" si="19">IF(+AJ4=$N4,+AK4,0)</f>
        <v>0</v>
      </c>
      <c r="AX4" s="875">
        <f t="shared" ref="AX4:AX44" si="20">IF(+AN4=$N4,+AO4,0)</f>
        <v>0</v>
      </c>
      <c r="AY4" s="875">
        <f t="shared" si="10"/>
        <v>0</v>
      </c>
      <c r="AZ4" s="604">
        <f t="shared" si="11"/>
        <v>0</v>
      </c>
      <c r="BA4" s="605">
        <f t="shared" ref="BA4:BA44" si="21">IF(+AR4=$N4,AS4,0)</f>
        <v>0</v>
      </c>
      <c r="BB4" s="523" t="str">
        <f t="shared" si="12"/>
        <v>UT San Antonio</v>
      </c>
      <c r="BC4" s="530">
        <v>11</v>
      </c>
      <c r="BD4" s="531">
        <v>2</v>
      </c>
      <c r="BE4" s="532">
        <v>0</v>
      </c>
      <c r="BF4" s="530">
        <v>7</v>
      </c>
      <c r="BG4" s="531">
        <v>6</v>
      </c>
      <c r="BH4" s="532">
        <v>0</v>
      </c>
      <c r="BI4" s="523" t="str">
        <f t="shared" si="13"/>
        <v>Troy</v>
      </c>
      <c r="BJ4" s="530">
        <v>11</v>
      </c>
      <c r="BK4" s="531">
        <v>2</v>
      </c>
      <c r="BL4" s="532">
        <v>0</v>
      </c>
      <c r="BM4" s="530">
        <v>10</v>
      </c>
      <c r="BN4" s="531">
        <v>3</v>
      </c>
      <c r="BO4" s="532">
        <v>0</v>
      </c>
      <c r="BP4" s="527" t="str">
        <f>BI4</f>
        <v>Troy</v>
      </c>
      <c r="BQ4" s="854">
        <v>0.5</v>
      </c>
      <c r="BR4" s="851">
        <v>2</v>
      </c>
      <c r="BS4" s="527" t="s">
        <v>175</v>
      </c>
      <c r="BT4" s="527">
        <v>3.9</v>
      </c>
      <c r="BU4" s="527" t="s">
        <v>185</v>
      </c>
      <c r="BV4" s="523">
        <v>1.4</v>
      </c>
      <c r="BW4" s="527" t="str">
        <f t="shared" si="14"/>
        <v>UT San Antonio</v>
      </c>
      <c r="BX4" s="523">
        <f t="shared" si="15"/>
        <v>2.5</v>
      </c>
      <c r="BY4" s="839">
        <v>14</v>
      </c>
      <c r="BZ4" s="527" t="str">
        <f t="shared" si="16"/>
        <v>Troy</v>
      </c>
      <c r="CA4" s="558">
        <f t="shared" si="17"/>
        <v>1.5</v>
      </c>
      <c r="CB4" s="582">
        <v>7</v>
      </c>
      <c r="CC4" s="527">
        <v>7.333333333333333</v>
      </c>
      <c r="CD4" s="582">
        <v>3</v>
      </c>
      <c r="CE4" s="528"/>
      <c r="CF4" s="529"/>
      <c r="CG4" s="522"/>
      <c r="CH4" s="528"/>
      <c r="CI4" s="529"/>
      <c r="CJ4" s="522"/>
      <c r="CK4" s="528"/>
      <c r="CL4" s="529"/>
      <c r="CM4" s="522"/>
      <c r="CN4" s="524"/>
      <c r="CO4" s="523"/>
      <c r="CP4" s="807">
        <v>3.9</v>
      </c>
      <c r="CQ4" s="808">
        <v>1.4</v>
      </c>
      <c r="CR4" s="820">
        <f t="shared" si="18"/>
        <v>2.5</v>
      </c>
      <c r="CS4" s="833">
        <v>13</v>
      </c>
      <c r="CT4" s="592">
        <v>2</v>
      </c>
      <c r="CU4" s="592"/>
      <c r="CV4" s="592"/>
      <c r="CW4" s="592"/>
      <c r="CX4" s="592"/>
      <c r="CY4" s="592"/>
      <c r="CZ4" s="592"/>
      <c r="DA4" s="592"/>
      <c r="DB4" s="592"/>
      <c r="DC4" s="592"/>
      <c r="DD4" s="592"/>
      <c r="DE4" s="592"/>
      <c r="DF4" s="592"/>
      <c r="DG4" s="592"/>
      <c r="DH4" s="592"/>
      <c r="DI4" s="592"/>
      <c r="DJ4" s="592"/>
      <c r="DK4" s="592"/>
      <c r="DL4" s="592"/>
      <c r="DM4" s="628"/>
      <c r="DN4" s="628"/>
      <c r="DO4" s="628"/>
      <c r="DP4" s="628"/>
      <c r="DQ4" s="628"/>
      <c r="DR4" s="628"/>
      <c r="DS4" s="628"/>
      <c r="DT4" s="628"/>
      <c r="DU4" s="628"/>
      <c r="DV4" s="628"/>
      <c r="DW4" s="628"/>
      <c r="DX4" s="628"/>
      <c r="DY4" s="628"/>
    </row>
    <row r="5" spans="1:129" s="593" customFormat="1" ht="24" customHeight="1" x14ac:dyDescent="0.75">
      <c r="A5" s="500" t="s">
        <v>420</v>
      </c>
      <c r="B5" s="519" t="s">
        <v>34</v>
      </c>
      <c r="C5" s="520">
        <v>44912</v>
      </c>
      <c r="D5" s="521">
        <f>11/24</f>
        <v>0.45833333333333331</v>
      </c>
      <c r="E5" s="522" t="s">
        <v>35</v>
      </c>
      <c r="F5" s="527" t="s">
        <v>55</v>
      </c>
      <c r="G5" s="554" t="s">
        <v>50</v>
      </c>
      <c r="H5" s="527" t="s">
        <v>120</v>
      </c>
      <c r="I5" s="554" t="s">
        <v>61</v>
      </c>
      <c r="J5" s="527" t="str">
        <f t="shared" si="0"/>
        <v>Louisville</v>
      </c>
      <c r="K5" s="522" t="str">
        <f t="shared" si="1"/>
        <v>Cincinnati</v>
      </c>
      <c r="L5" s="570">
        <v>1</v>
      </c>
      <c r="M5" s="572">
        <v>40</v>
      </c>
      <c r="N5" s="528" t="str">
        <f>H5</f>
        <v>Louisville</v>
      </c>
      <c r="O5" s="531">
        <v>24</v>
      </c>
      <c r="P5" s="529" t="str">
        <f t="shared" si="2"/>
        <v>Cincinnati</v>
      </c>
      <c r="Q5" s="532">
        <v>7</v>
      </c>
      <c r="R5" s="597" t="str">
        <f t="shared" si="3"/>
        <v>Louisville</v>
      </c>
      <c r="S5" s="597" t="str">
        <f t="shared" si="4"/>
        <v>Cincinnati</v>
      </c>
      <c r="T5" s="519" t="str">
        <f>J5</f>
        <v>Louisville</v>
      </c>
      <c r="U5" s="522" t="str">
        <f t="shared" si="5"/>
        <v>W</v>
      </c>
      <c r="V5" s="519"/>
      <c r="W5" s="522" t="str">
        <f t="shared" si="6"/>
        <v>L</v>
      </c>
      <c r="X5" s="525"/>
      <c r="Y5" s="526"/>
      <c r="Z5" s="528"/>
      <c r="AA5" s="526"/>
      <c r="AB5" s="528"/>
      <c r="AC5" s="526"/>
      <c r="AD5" s="519" t="str">
        <f>J5</f>
        <v>Louisville</v>
      </c>
      <c r="AE5" s="532">
        <v>6</v>
      </c>
      <c r="AF5" s="610" t="str">
        <f>K5</f>
        <v>Cincinnati</v>
      </c>
      <c r="AG5" s="532">
        <v>19</v>
      </c>
      <c r="AH5" s="610" t="str">
        <f t="shared" ref="AH5:AH44" si="22">AD5</f>
        <v>Louisville</v>
      </c>
      <c r="AI5" s="532">
        <v>5</v>
      </c>
      <c r="AJ5" s="610" t="str">
        <f t="shared" ref="AJ5:AJ44" si="23">AF5</f>
        <v>Cincinnati</v>
      </c>
      <c r="AK5" s="532">
        <v>5</v>
      </c>
      <c r="AL5" s="610" t="str">
        <f>H5</f>
        <v>Louisville</v>
      </c>
      <c r="AM5" s="532">
        <v>9</v>
      </c>
      <c r="AN5" s="633" t="str">
        <f>F5</f>
        <v>Cincinnati</v>
      </c>
      <c r="AO5" s="532">
        <v>10</v>
      </c>
      <c r="AP5" s="633" t="str">
        <f>H5</f>
        <v>Louisville</v>
      </c>
      <c r="AQ5" s="532">
        <v>40</v>
      </c>
      <c r="AR5" s="610" t="str">
        <f>K5</f>
        <v>Cincinnati</v>
      </c>
      <c r="AS5" s="532">
        <v>8</v>
      </c>
      <c r="AT5" s="603">
        <f t="shared" si="7"/>
        <v>6</v>
      </c>
      <c r="AU5" s="604">
        <f t="shared" si="8"/>
        <v>0</v>
      </c>
      <c r="AV5" s="875">
        <f t="shared" si="9"/>
        <v>5</v>
      </c>
      <c r="AW5" s="875">
        <f t="shared" si="19"/>
        <v>0</v>
      </c>
      <c r="AX5" s="875">
        <f t="shared" si="20"/>
        <v>0</v>
      </c>
      <c r="AY5" s="875">
        <f t="shared" si="10"/>
        <v>40</v>
      </c>
      <c r="AZ5" s="604">
        <f t="shared" si="11"/>
        <v>9</v>
      </c>
      <c r="BA5" s="605">
        <f t="shared" si="21"/>
        <v>0</v>
      </c>
      <c r="BB5" s="523" t="str">
        <f t="shared" si="12"/>
        <v>Cincinnati</v>
      </c>
      <c r="BC5" s="530">
        <v>9</v>
      </c>
      <c r="BD5" s="531">
        <v>3</v>
      </c>
      <c r="BE5" s="532">
        <v>0</v>
      </c>
      <c r="BF5" s="530">
        <v>3</v>
      </c>
      <c r="BG5" s="531">
        <v>8</v>
      </c>
      <c r="BH5" s="532">
        <v>1</v>
      </c>
      <c r="BI5" s="523" t="str">
        <f t="shared" si="13"/>
        <v>Louisville</v>
      </c>
      <c r="BJ5" s="530">
        <v>7</v>
      </c>
      <c r="BK5" s="531">
        <v>5</v>
      </c>
      <c r="BL5" s="532">
        <v>0</v>
      </c>
      <c r="BM5" s="530">
        <v>7</v>
      </c>
      <c r="BN5" s="531">
        <v>5</v>
      </c>
      <c r="BO5" s="532">
        <v>0</v>
      </c>
      <c r="BP5" s="527" t="str">
        <f>BI5</f>
        <v>Louisville</v>
      </c>
      <c r="BQ5" s="854">
        <v>0.56999999999999995</v>
      </c>
      <c r="BR5" s="851">
        <v>19</v>
      </c>
      <c r="BS5" s="527" t="s">
        <v>55</v>
      </c>
      <c r="BT5" s="527">
        <v>7.3</v>
      </c>
      <c r="BU5" s="527" t="s">
        <v>120</v>
      </c>
      <c r="BV5" s="523">
        <v>9.8000000000000007</v>
      </c>
      <c r="BW5" s="527" t="str">
        <f t="shared" si="14"/>
        <v>Louisville</v>
      </c>
      <c r="BX5" s="523">
        <f t="shared" si="15"/>
        <v>2.5000000000000009</v>
      </c>
      <c r="BY5" s="839">
        <v>15</v>
      </c>
      <c r="BZ5" s="527" t="str">
        <f t="shared" si="16"/>
        <v>Louisville</v>
      </c>
      <c r="CA5" s="558">
        <f t="shared" si="17"/>
        <v>1</v>
      </c>
      <c r="CB5" s="582">
        <v>1</v>
      </c>
      <c r="CC5" s="527">
        <v>12</v>
      </c>
      <c r="CD5" s="582">
        <v>9</v>
      </c>
      <c r="CE5" s="528"/>
      <c r="CF5" s="529"/>
      <c r="CG5" s="526"/>
      <c r="CH5" s="528"/>
      <c r="CI5" s="529"/>
      <c r="CJ5" s="526"/>
      <c r="CK5" s="528"/>
      <c r="CL5" s="529"/>
      <c r="CM5" s="526"/>
      <c r="CN5" s="523"/>
      <c r="CO5" s="523" t="s">
        <v>476</v>
      </c>
      <c r="CP5" s="809">
        <v>7.3</v>
      </c>
      <c r="CQ5" s="810">
        <v>9.8000000000000007</v>
      </c>
      <c r="CR5" s="821">
        <f t="shared" si="18"/>
        <v>2.5000000000000009</v>
      </c>
      <c r="CS5" s="836">
        <v>14</v>
      </c>
      <c r="CT5" s="592">
        <v>3</v>
      </c>
      <c r="CU5" s="592"/>
      <c r="CV5" s="592"/>
      <c r="CW5" s="592"/>
      <c r="CX5" s="592"/>
      <c r="CY5" s="592"/>
      <c r="CZ5" s="592"/>
      <c r="DA5" s="592"/>
      <c r="DB5" s="592"/>
      <c r="DC5" s="592"/>
      <c r="DD5" s="592"/>
      <c r="DE5" s="592"/>
      <c r="DF5" s="592"/>
      <c r="DG5" s="592"/>
      <c r="DH5" s="592"/>
      <c r="DI5" s="592"/>
      <c r="DJ5" s="592"/>
      <c r="DK5" s="592"/>
      <c r="DL5" s="592"/>
      <c r="DM5" s="628"/>
      <c r="DN5" s="628"/>
      <c r="DO5" s="628"/>
      <c r="DP5" s="628"/>
      <c r="DQ5" s="628"/>
      <c r="DR5" s="628"/>
      <c r="DS5" s="628"/>
      <c r="DT5" s="628"/>
      <c r="DU5" s="628"/>
      <c r="DV5" s="628"/>
      <c r="DW5" s="628"/>
      <c r="DX5" s="628"/>
      <c r="DY5" s="628"/>
    </row>
    <row r="6" spans="1:129" s="548" customFormat="1" ht="24" customHeight="1" x14ac:dyDescent="0.75">
      <c r="A6" s="501" t="s">
        <v>295</v>
      </c>
      <c r="B6" s="534" t="s">
        <v>34</v>
      </c>
      <c r="C6" s="535">
        <v>44912</v>
      </c>
      <c r="D6" s="536">
        <f>14.5/24</f>
        <v>0.60416666666666663</v>
      </c>
      <c r="E6" s="537" t="s">
        <v>35</v>
      </c>
      <c r="F6" s="543" t="s">
        <v>136</v>
      </c>
      <c r="G6" s="549" t="s">
        <v>85</v>
      </c>
      <c r="H6" s="543" t="s">
        <v>47</v>
      </c>
      <c r="I6" s="549" t="s">
        <v>37</v>
      </c>
      <c r="J6" s="534" t="str">
        <f t="shared" si="0"/>
        <v>Oregon State</v>
      </c>
      <c r="K6" s="537" t="str">
        <f t="shared" si="1"/>
        <v>Florida</v>
      </c>
      <c r="L6" s="571">
        <v>10</v>
      </c>
      <c r="M6" s="573">
        <v>53</v>
      </c>
      <c r="N6" s="542" t="str">
        <f>H6</f>
        <v>Oregon State</v>
      </c>
      <c r="O6" s="546">
        <v>30</v>
      </c>
      <c r="P6" s="544" t="str">
        <f t="shared" si="2"/>
        <v>Florida</v>
      </c>
      <c r="Q6" s="547">
        <v>3</v>
      </c>
      <c r="R6" s="596" t="str">
        <f t="shared" si="3"/>
        <v>Oregon State</v>
      </c>
      <c r="S6" s="596" t="str">
        <f t="shared" si="4"/>
        <v>Florida</v>
      </c>
      <c r="T6" s="534" t="str">
        <f>J6</f>
        <v>Oregon State</v>
      </c>
      <c r="U6" s="537" t="str">
        <f t="shared" si="5"/>
        <v>W</v>
      </c>
      <c r="V6" s="534"/>
      <c r="W6" s="537" t="str">
        <f t="shared" si="6"/>
        <v>L</v>
      </c>
      <c r="X6" s="542"/>
      <c r="Y6" s="541"/>
      <c r="Z6" s="542"/>
      <c r="AA6" s="541"/>
      <c r="AB6" s="542"/>
      <c r="AC6" s="541"/>
      <c r="AD6" s="534" t="str">
        <f>J6</f>
        <v>Oregon State</v>
      </c>
      <c r="AE6" s="547">
        <v>23</v>
      </c>
      <c r="AF6" s="543" t="str">
        <f>J6</f>
        <v>Oregon State</v>
      </c>
      <c r="AG6" s="547">
        <v>40</v>
      </c>
      <c r="AH6" s="543" t="str">
        <f t="shared" si="22"/>
        <v>Oregon State</v>
      </c>
      <c r="AI6" s="547">
        <v>21</v>
      </c>
      <c r="AJ6" s="543" t="str">
        <f t="shared" si="23"/>
        <v>Oregon State</v>
      </c>
      <c r="AK6" s="547">
        <v>19</v>
      </c>
      <c r="AL6" s="543" t="str">
        <f>H6</f>
        <v>Oregon State</v>
      </c>
      <c r="AM6" s="547">
        <v>18</v>
      </c>
      <c r="AN6" s="634" t="str">
        <f>H6</f>
        <v>Oregon State</v>
      </c>
      <c r="AO6" s="547">
        <v>37</v>
      </c>
      <c r="AP6" s="634" t="str">
        <f>F6</f>
        <v>Florida</v>
      </c>
      <c r="AQ6" s="547">
        <v>4</v>
      </c>
      <c r="AR6" s="609" t="str">
        <f>J6</f>
        <v>Oregon State</v>
      </c>
      <c r="AS6" s="547">
        <v>38</v>
      </c>
      <c r="AT6" s="606">
        <f t="shared" si="7"/>
        <v>23</v>
      </c>
      <c r="AU6" s="607">
        <f t="shared" si="8"/>
        <v>40</v>
      </c>
      <c r="AV6" s="876">
        <f t="shared" si="9"/>
        <v>21</v>
      </c>
      <c r="AW6" s="876">
        <f t="shared" si="19"/>
        <v>19</v>
      </c>
      <c r="AX6" s="876">
        <f t="shared" si="20"/>
        <v>37</v>
      </c>
      <c r="AY6" s="876">
        <f t="shared" si="10"/>
        <v>0</v>
      </c>
      <c r="AZ6" s="607">
        <f t="shared" si="11"/>
        <v>18</v>
      </c>
      <c r="BA6" s="608">
        <f t="shared" si="21"/>
        <v>38</v>
      </c>
      <c r="BB6" s="538" t="str">
        <f t="shared" si="12"/>
        <v>Florida</v>
      </c>
      <c r="BC6" s="545">
        <v>6</v>
      </c>
      <c r="BD6" s="546">
        <v>6</v>
      </c>
      <c r="BE6" s="547">
        <v>0</v>
      </c>
      <c r="BF6" s="545">
        <v>7</v>
      </c>
      <c r="BG6" s="546">
        <v>5</v>
      </c>
      <c r="BH6" s="547">
        <v>0</v>
      </c>
      <c r="BI6" s="538" t="str">
        <f t="shared" si="13"/>
        <v>Oregon State</v>
      </c>
      <c r="BJ6" s="545">
        <v>9</v>
      </c>
      <c r="BK6" s="546">
        <v>3</v>
      </c>
      <c r="BL6" s="547">
        <v>0</v>
      </c>
      <c r="BM6" s="545">
        <v>10</v>
      </c>
      <c r="BN6" s="546">
        <v>2</v>
      </c>
      <c r="BO6" s="547">
        <v>0</v>
      </c>
      <c r="BP6" s="543" t="str">
        <f>BI6</f>
        <v>Oregon State</v>
      </c>
      <c r="BQ6" s="855">
        <v>0.62</v>
      </c>
      <c r="BR6" s="852">
        <v>23</v>
      </c>
      <c r="BS6" s="543" t="s">
        <v>136</v>
      </c>
      <c r="BT6" s="543">
        <v>9.1</v>
      </c>
      <c r="BU6" s="543" t="s">
        <v>47</v>
      </c>
      <c r="BV6" s="538">
        <v>10.5</v>
      </c>
      <c r="BW6" s="543" t="str">
        <f t="shared" si="14"/>
        <v>Oregon State</v>
      </c>
      <c r="BX6" s="538">
        <f t="shared" si="15"/>
        <v>1.4000000000000004</v>
      </c>
      <c r="BY6" s="840">
        <v>10</v>
      </c>
      <c r="BZ6" s="543" t="str">
        <f t="shared" si="16"/>
        <v>Oregon State</v>
      </c>
      <c r="CA6" s="755">
        <f t="shared" si="17"/>
        <v>10</v>
      </c>
      <c r="CB6" s="561">
        <v>38</v>
      </c>
      <c r="CC6" s="543">
        <v>23</v>
      </c>
      <c r="CD6" s="561">
        <v>23</v>
      </c>
      <c r="CE6" s="542" t="str">
        <f>BS6</f>
        <v>Florida</v>
      </c>
      <c r="CF6" s="544" t="s">
        <v>479</v>
      </c>
      <c r="CG6" s="537" t="s">
        <v>488</v>
      </c>
      <c r="CH6" s="542" t="str">
        <f>BS6</f>
        <v>Florida</v>
      </c>
      <c r="CI6" s="544" t="s">
        <v>484</v>
      </c>
      <c r="CJ6" s="537" t="s">
        <v>501</v>
      </c>
      <c r="CK6" s="542"/>
      <c r="CL6" s="544"/>
      <c r="CM6" s="537"/>
      <c r="CN6" s="539"/>
      <c r="CO6" s="538"/>
      <c r="CP6" s="811">
        <v>9.1</v>
      </c>
      <c r="CQ6" s="804">
        <v>10.5</v>
      </c>
      <c r="CR6" s="822">
        <f t="shared" si="18"/>
        <v>1.4000000000000004</v>
      </c>
      <c r="CS6" s="834">
        <v>9</v>
      </c>
      <c r="CT6" s="594">
        <v>4</v>
      </c>
      <c r="CU6" s="546"/>
      <c r="CV6" s="546"/>
      <c r="CW6" s="546"/>
      <c r="CX6" s="546"/>
      <c r="CY6" s="546"/>
      <c r="CZ6" s="546"/>
      <c r="DA6" s="546"/>
      <c r="DB6" s="546"/>
      <c r="DC6" s="546"/>
      <c r="DD6" s="758"/>
      <c r="DE6" s="758"/>
      <c r="DF6" s="758"/>
      <c r="DG6" s="758"/>
      <c r="DH6" s="758"/>
      <c r="DI6" s="758"/>
      <c r="DJ6" s="758"/>
      <c r="DK6" s="758"/>
      <c r="DL6" s="758"/>
      <c r="DM6" s="758"/>
      <c r="DN6" s="758"/>
      <c r="DO6" s="758"/>
      <c r="DP6" s="759"/>
      <c r="DQ6" s="759"/>
      <c r="DR6" s="759"/>
      <c r="DS6" s="759"/>
      <c r="DT6" s="759"/>
      <c r="DU6" s="759"/>
      <c r="DV6" s="759"/>
      <c r="DW6" s="759"/>
      <c r="DX6" s="759"/>
      <c r="DY6" s="759"/>
    </row>
    <row r="7" spans="1:129" s="548" customFormat="1" ht="24" customHeight="1" x14ac:dyDescent="0.75">
      <c r="A7" s="501" t="s">
        <v>413</v>
      </c>
      <c r="B7" s="534" t="s">
        <v>34</v>
      </c>
      <c r="C7" s="535">
        <v>44912</v>
      </c>
      <c r="D7" s="536">
        <f>15.5/24</f>
        <v>0.64583333333333337</v>
      </c>
      <c r="E7" s="537" t="s">
        <v>135</v>
      </c>
      <c r="F7" s="543" t="s">
        <v>204</v>
      </c>
      <c r="G7" s="549" t="s">
        <v>37</v>
      </c>
      <c r="H7" s="543" t="s">
        <v>188</v>
      </c>
      <c r="I7" s="549" t="s">
        <v>45</v>
      </c>
      <c r="J7" s="543" t="str">
        <f t="shared" si="0"/>
        <v>Fresno State</v>
      </c>
      <c r="K7" s="537" t="str">
        <f t="shared" si="1"/>
        <v>Washington State</v>
      </c>
      <c r="L7" s="571">
        <v>3.5</v>
      </c>
      <c r="M7" s="573">
        <v>52</v>
      </c>
      <c r="N7" s="542" t="str">
        <f>J7</f>
        <v>Fresno State</v>
      </c>
      <c r="O7" s="546">
        <v>29</v>
      </c>
      <c r="P7" s="544" t="str">
        <f t="shared" si="2"/>
        <v>Washington State</v>
      </c>
      <c r="Q7" s="547">
        <v>6</v>
      </c>
      <c r="R7" s="596" t="str">
        <f t="shared" si="3"/>
        <v>Fresno State</v>
      </c>
      <c r="S7" s="596" t="str">
        <f t="shared" si="4"/>
        <v>Washington State</v>
      </c>
      <c r="T7" s="534" t="str">
        <f>K7</f>
        <v>Washington State</v>
      </c>
      <c r="U7" s="537" t="str">
        <f t="shared" si="5"/>
        <v>L</v>
      </c>
      <c r="V7" s="534"/>
      <c r="W7" s="537" t="str">
        <f t="shared" si="6"/>
        <v>L</v>
      </c>
      <c r="X7" s="540"/>
      <c r="Y7" s="541"/>
      <c r="Z7" s="542"/>
      <c r="AA7" s="541"/>
      <c r="AB7" s="542"/>
      <c r="AC7" s="541"/>
      <c r="AD7" s="534" t="str">
        <f>J7</f>
        <v>Fresno State</v>
      </c>
      <c r="AE7" s="547">
        <v>7</v>
      </c>
      <c r="AF7" s="543" t="str">
        <f>K7</f>
        <v>Washington State</v>
      </c>
      <c r="AG7" s="547">
        <v>16</v>
      </c>
      <c r="AH7" s="543" t="str">
        <f t="shared" si="22"/>
        <v>Fresno State</v>
      </c>
      <c r="AI7" s="547">
        <v>6</v>
      </c>
      <c r="AJ7" s="543" t="str">
        <f t="shared" si="23"/>
        <v>Washington State</v>
      </c>
      <c r="AK7" s="547">
        <v>16</v>
      </c>
      <c r="AL7" s="543" t="str">
        <f>F7</f>
        <v>Washington State</v>
      </c>
      <c r="AM7" s="547">
        <v>12</v>
      </c>
      <c r="AN7" s="634" t="str">
        <f>H7</f>
        <v>Fresno State</v>
      </c>
      <c r="AO7" s="547">
        <v>11</v>
      </c>
      <c r="AP7" s="634" t="str">
        <f>H7</f>
        <v>Fresno State</v>
      </c>
      <c r="AQ7" s="547">
        <v>20</v>
      </c>
      <c r="AR7" s="543" t="str">
        <f>J7</f>
        <v>Fresno State</v>
      </c>
      <c r="AS7" s="547">
        <v>22</v>
      </c>
      <c r="AT7" s="606">
        <f t="shared" si="7"/>
        <v>7</v>
      </c>
      <c r="AU7" s="607">
        <f t="shared" si="8"/>
        <v>0</v>
      </c>
      <c r="AV7" s="876">
        <f t="shared" si="9"/>
        <v>6</v>
      </c>
      <c r="AW7" s="876">
        <f t="shared" si="19"/>
        <v>0</v>
      </c>
      <c r="AX7" s="876">
        <f t="shared" si="20"/>
        <v>11</v>
      </c>
      <c r="AY7" s="876">
        <f t="shared" si="10"/>
        <v>20</v>
      </c>
      <c r="AZ7" s="607">
        <f t="shared" si="11"/>
        <v>0</v>
      </c>
      <c r="BA7" s="608">
        <f t="shared" si="21"/>
        <v>22</v>
      </c>
      <c r="BB7" s="538" t="str">
        <f t="shared" si="12"/>
        <v>Washington State</v>
      </c>
      <c r="BC7" s="545">
        <v>7</v>
      </c>
      <c r="BD7" s="546">
        <v>5</v>
      </c>
      <c r="BE7" s="547">
        <v>0</v>
      </c>
      <c r="BF7" s="545">
        <v>8</v>
      </c>
      <c r="BG7" s="546">
        <v>4</v>
      </c>
      <c r="BH7" s="547">
        <v>0</v>
      </c>
      <c r="BI7" s="538" t="str">
        <f t="shared" si="13"/>
        <v>Fresno State</v>
      </c>
      <c r="BJ7" s="545">
        <v>9</v>
      </c>
      <c r="BK7" s="546">
        <v>4</v>
      </c>
      <c r="BL7" s="547">
        <v>0</v>
      </c>
      <c r="BM7" s="545">
        <v>6</v>
      </c>
      <c r="BN7" s="546">
        <v>7</v>
      </c>
      <c r="BO7" s="547">
        <v>0</v>
      </c>
      <c r="BP7" s="543" t="str">
        <f>BB7</f>
        <v>Washington State</v>
      </c>
      <c r="BQ7" s="855">
        <v>0.6</v>
      </c>
      <c r="BR7" s="852">
        <v>21</v>
      </c>
      <c r="BS7" s="543" t="s">
        <v>204</v>
      </c>
      <c r="BT7" s="543">
        <v>5.4</v>
      </c>
      <c r="BU7" s="543" t="s">
        <v>188</v>
      </c>
      <c r="BV7" s="538">
        <v>2.1</v>
      </c>
      <c r="BW7" s="543" t="str">
        <f t="shared" si="14"/>
        <v>Washington State</v>
      </c>
      <c r="BX7" s="538">
        <f t="shared" si="15"/>
        <v>3.3000000000000003</v>
      </c>
      <c r="BY7" s="840">
        <v>18</v>
      </c>
      <c r="BZ7" s="543" t="str">
        <f t="shared" si="16"/>
        <v>Fresno State</v>
      </c>
      <c r="CA7" s="559">
        <f t="shared" si="17"/>
        <v>3.5</v>
      </c>
      <c r="CB7" s="561">
        <v>16</v>
      </c>
      <c r="CC7" s="543">
        <v>18</v>
      </c>
      <c r="CD7" s="561">
        <v>17</v>
      </c>
      <c r="CE7" s="542" t="str">
        <f>BS7</f>
        <v>Washington State</v>
      </c>
      <c r="CF7" s="544" t="s">
        <v>486</v>
      </c>
      <c r="CG7" s="537" t="s">
        <v>502</v>
      </c>
      <c r="CH7" s="542" t="str">
        <f>BS7</f>
        <v>Washington State</v>
      </c>
      <c r="CI7" s="544" t="s">
        <v>486</v>
      </c>
      <c r="CJ7" s="537" t="s">
        <v>503</v>
      </c>
      <c r="CK7" s="542" t="str">
        <f>BU7</f>
        <v>Fresno State</v>
      </c>
      <c r="CL7" s="544" t="s">
        <v>504</v>
      </c>
      <c r="CM7" s="537" t="s">
        <v>505</v>
      </c>
      <c r="CN7" s="539" t="str">
        <f>H7</f>
        <v>Fresno State</v>
      </c>
      <c r="CO7" s="538"/>
      <c r="CP7" s="811">
        <v>5.4</v>
      </c>
      <c r="CQ7" s="804">
        <v>2.1</v>
      </c>
      <c r="CR7" s="822">
        <f t="shared" si="18"/>
        <v>3.3000000000000003</v>
      </c>
      <c r="CS7" s="834">
        <v>17</v>
      </c>
      <c r="CT7" s="594">
        <v>5</v>
      </c>
      <c r="CU7" s="594"/>
      <c r="CV7" s="594"/>
      <c r="CW7" s="594"/>
      <c r="CX7" s="594"/>
      <c r="CY7" s="594"/>
      <c r="CZ7" s="594"/>
      <c r="DA7" s="594"/>
      <c r="DB7" s="594"/>
      <c r="DC7" s="594"/>
      <c r="DD7" s="594"/>
      <c r="DE7" s="594"/>
      <c r="DF7" s="594"/>
      <c r="DG7" s="594"/>
      <c r="DH7" s="594"/>
      <c r="DI7" s="594"/>
      <c r="DJ7" s="594"/>
      <c r="DK7" s="594"/>
      <c r="DL7" s="594"/>
      <c r="DM7" s="631"/>
      <c r="DN7" s="631"/>
      <c r="DO7" s="631"/>
      <c r="DP7" s="631"/>
      <c r="DQ7" s="631"/>
      <c r="DR7" s="631"/>
      <c r="DS7" s="631"/>
      <c r="DT7" s="631"/>
      <c r="DU7" s="631"/>
      <c r="DV7" s="631"/>
      <c r="DW7" s="631"/>
      <c r="DX7" s="631"/>
      <c r="DY7" s="631"/>
    </row>
    <row r="8" spans="1:129" s="548" customFormat="1" ht="24" customHeight="1" x14ac:dyDescent="0.75">
      <c r="A8" s="501" t="s">
        <v>459</v>
      </c>
      <c r="B8" s="534" t="s">
        <v>34</v>
      </c>
      <c r="C8" s="535">
        <v>44912</v>
      </c>
      <c r="D8" s="536">
        <f>17.75/24</f>
        <v>0.73958333333333337</v>
      </c>
      <c r="E8" s="537" t="s">
        <v>35</v>
      </c>
      <c r="F8" s="543" t="s">
        <v>38</v>
      </c>
      <c r="G8" s="549" t="s">
        <v>39</v>
      </c>
      <c r="H8" s="543" t="s">
        <v>171</v>
      </c>
      <c r="I8" s="549" t="s">
        <v>59</v>
      </c>
      <c r="J8" s="543" t="str">
        <f t="shared" si="0"/>
        <v>Southern Miss</v>
      </c>
      <c r="K8" s="537" t="str">
        <f t="shared" si="1"/>
        <v>Rice</v>
      </c>
      <c r="L8" s="571">
        <v>6.5</v>
      </c>
      <c r="M8" s="573">
        <v>45.5</v>
      </c>
      <c r="N8" s="542" t="str">
        <f>J8</f>
        <v>Southern Miss</v>
      </c>
      <c r="O8" s="546">
        <v>38</v>
      </c>
      <c r="P8" s="544" t="str">
        <f t="shared" si="2"/>
        <v>Rice</v>
      </c>
      <c r="Q8" s="547">
        <v>24</v>
      </c>
      <c r="R8" s="596" t="str">
        <f t="shared" si="3"/>
        <v>Southern Miss</v>
      </c>
      <c r="S8" s="596" t="str">
        <f t="shared" si="4"/>
        <v>Rice</v>
      </c>
      <c r="T8" s="534" t="str">
        <f>J8</f>
        <v>Southern Miss</v>
      </c>
      <c r="U8" s="537" t="str">
        <f t="shared" si="5"/>
        <v>W</v>
      </c>
      <c r="V8" s="534"/>
      <c r="W8" s="537" t="str">
        <f t="shared" si="6"/>
        <v>L</v>
      </c>
      <c r="X8" s="540"/>
      <c r="Y8" s="541"/>
      <c r="Z8" s="542"/>
      <c r="AA8" s="541"/>
      <c r="AB8" s="542"/>
      <c r="AC8" s="541"/>
      <c r="AD8" s="534" t="str">
        <f>J8</f>
        <v>Southern Miss</v>
      </c>
      <c r="AE8" s="547">
        <v>24</v>
      </c>
      <c r="AF8" s="543" t="str">
        <f>J8</f>
        <v>Southern Miss</v>
      </c>
      <c r="AG8" s="547">
        <v>33</v>
      </c>
      <c r="AH8" s="543" t="str">
        <f t="shared" si="22"/>
        <v>Southern Miss</v>
      </c>
      <c r="AI8" s="547">
        <v>22</v>
      </c>
      <c r="AJ8" s="543" t="str">
        <f t="shared" si="23"/>
        <v>Southern Miss</v>
      </c>
      <c r="AK8" s="547">
        <v>32</v>
      </c>
      <c r="AL8" s="543" t="str">
        <f>H8</f>
        <v>Southern Miss</v>
      </c>
      <c r="AM8" s="547">
        <v>19</v>
      </c>
      <c r="AN8" s="634" t="str">
        <f>H8</f>
        <v>Southern Miss</v>
      </c>
      <c r="AO8" s="547">
        <v>32</v>
      </c>
      <c r="AP8" s="634" t="str">
        <f>H8</f>
        <v>Southern Miss</v>
      </c>
      <c r="AQ8" s="547">
        <v>25</v>
      </c>
      <c r="AR8" s="543" t="str">
        <f>J8</f>
        <v>Southern Miss</v>
      </c>
      <c r="AS8" s="547">
        <v>34</v>
      </c>
      <c r="AT8" s="606">
        <f t="shared" si="7"/>
        <v>24</v>
      </c>
      <c r="AU8" s="607">
        <f t="shared" si="8"/>
        <v>33</v>
      </c>
      <c r="AV8" s="876">
        <f t="shared" si="9"/>
        <v>22</v>
      </c>
      <c r="AW8" s="876">
        <f t="shared" si="19"/>
        <v>32</v>
      </c>
      <c r="AX8" s="876">
        <f t="shared" si="20"/>
        <v>32</v>
      </c>
      <c r="AY8" s="876">
        <f t="shared" si="10"/>
        <v>25</v>
      </c>
      <c r="AZ8" s="607">
        <f t="shared" si="11"/>
        <v>19</v>
      </c>
      <c r="BA8" s="608">
        <f t="shared" si="21"/>
        <v>34</v>
      </c>
      <c r="BB8" s="538" t="str">
        <f t="shared" si="12"/>
        <v>Rice</v>
      </c>
      <c r="BC8" s="545">
        <v>5</v>
      </c>
      <c r="BD8" s="546">
        <v>7</v>
      </c>
      <c r="BE8" s="547">
        <v>0</v>
      </c>
      <c r="BF8" s="545">
        <v>7</v>
      </c>
      <c r="BG8" s="546">
        <v>5</v>
      </c>
      <c r="BH8" s="547">
        <v>0</v>
      </c>
      <c r="BI8" s="538" t="str">
        <f t="shared" si="13"/>
        <v>Southern Miss</v>
      </c>
      <c r="BJ8" s="545">
        <v>6</v>
      </c>
      <c r="BK8" s="546">
        <v>6</v>
      </c>
      <c r="BL8" s="547">
        <v>0</v>
      </c>
      <c r="BM8" s="545">
        <v>8</v>
      </c>
      <c r="BN8" s="546">
        <v>3</v>
      </c>
      <c r="BO8" s="547">
        <v>1</v>
      </c>
      <c r="BP8" s="543" t="str">
        <f>BI8</f>
        <v>Southern Miss</v>
      </c>
      <c r="BQ8" s="855">
        <v>0.7</v>
      </c>
      <c r="BR8" s="852">
        <v>36</v>
      </c>
      <c r="BS8" s="543" t="s">
        <v>38</v>
      </c>
      <c r="BT8" s="543">
        <v>-13.5</v>
      </c>
      <c r="BU8" s="543" t="s">
        <v>171</v>
      </c>
      <c r="BV8" s="538">
        <v>-6.6</v>
      </c>
      <c r="BW8" s="543" t="str">
        <f t="shared" si="14"/>
        <v>Southern Miss</v>
      </c>
      <c r="BX8" s="538">
        <f t="shared" si="15"/>
        <v>6.9</v>
      </c>
      <c r="BY8" s="840">
        <v>31</v>
      </c>
      <c r="BZ8" s="543" t="str">
        <f t="shared" si="16"/>
        <v>Southern Miss</v>
      </c>
      <c r="CA8" s="559">
        <f t="shared" si="17"/>
        <v>6.5</v>
      </c>
      <c r="CB8" s="561">
        <v>31</v>
      </c>
      <c r="CC8" s="543">
        <v>32.666666666666664</v>
      </c>
      <c r="CD8" s="561">
        <v>34</v>
      </c>
      <c r="CE8" s="542"/>
      <c r="CF8" s="544"/>
      <c r="CG8" s="537"/>
      <c r="CH8" s="542"/>
      <c r="CI8" s="544"/>
      <c r="CJ8" s="537"/>
      <c r="CK8" s="542"/>
      <c r="CL8" s="544"/>
      <c r="CM8" s="537"/>
      <c r="CN8" s="539"/>
      <c r="CO8" s="538"/>
      <c r="CP8" s="811">
        <v>-13.5</v>
      </c>
      <c r="CQ8" s="804">
        <v>-6.6</v>
      </c>
      <c r="CR8" s="822">
        <f t="shared" si="18"/>
        <v>6.9</v>
      </c>
      <c r="CS8" s="834">
        <v>30</v>
      </c>
      <c r="CT8" s="594">
        <v>6</v>
      </c>
      <c r="CU8" s="594"/>
      <c r="CV8" s="594"/>
      <c r="CW8" s="594"/>
      <c r="CX8" s="594"/>
      <c r="CY8" s="594"/>
      <c r="CZ8" s="594"/>
      <c r="DA8" s="594"/>
      <c r="DB8" s="594"/>
      <c r="DC8" s="594"/>
      <c r="DD8" s="594"/>
      <c r="DE8" s="594"/>
      <c r="DF8" s="594"/>
      <c r="DG8" s="594"/>
      <c r="DH8" s="594"/>
      <c r="DI8" s="594"/>
      <c r="DJ8" s="594"/>
      <c r="DK8" s="594"/>
      <c r="DL8" s="594"/>
      <c r="DM8" s="631"/>
      <c r="DN8" s="631"/>
      <c r="DO8" s="631"/>
      <c r="DP8" s="631"/>
      <c r="DQ8" s="631"/>
      <c r="DR8" s="631"/>
      <c r="DS8" s="631"/>
      <c r="DT8" s="631"/>
      <c r="DU8" s="631"/>
      <c r="DV8" s="631"/>
      <c r="DW8" s="631"/>
      <c r="DX8" s="631"/>
      <c r="DY8" s="631"/>
    </row>
    <row r="9" spans="1:129" s="593" customFormat="1" ht="24" customHeight="1" x14ac:dyDescent="0.75">
      <c r="A9" s="500" t="s">
        <v>191</v>
      </c>
      <c r="B9" s="519" t="s">
        <v>34</v>
      </c>
      <c r="C9" s="520">
        <v>44912</v>
      </c>
      <c r="D9" s="521">
        <f>19.5/24</f>
        <v>0.8125</v>
      </c>
      <c r="E9" s="522" t="s">
        <v>135</v>
      </c>
      <c r="F9" s="527" t="s">
        <v>109</v>
      </c>
      <c r="G9" s="554" t="s">
        <v>50</v>
      </c>
      <c r="H9" s="527" t="s">
        <v>42</v>
      </c>
      <c r="I9" s="554" t="s">
        <v>43</v>
      </c>
      <c r="J9" s="527" t="str">
        <f>F9</f>
        <v>SMU</v>
      </c>
      <c r="K9" s="522" t="str">
        <f t="shared" si="1"/>
        <v>BYU</v>
      </c>
      <c r="L9" s="570">
        <v>3.5</v>
      </c>
      <c r="M9" s="572">
        <v>64</v>
      </c>
      <c r="N9" s="528" t="str">
        <f>K9</f>
        <v>BYU</v>
      </c>
      <c r="O9" s="531">
        <v>24</v>
      </c>
      <c r="P9" s="529" t="str">
        <f t="shared" si="2"/>
        <v>SMU</v>
      </c>
      <c r="Q9" s="532">
        <v>23</v>
      </c>
      <c r="R9" s="597" t="str">
        <f t="shared" si="3"/>
        <v>BYU</v>
      </c>
      <c r="S9" s="597" t="str">
        <f t="shared" si="4"/>
        <v>SMU</v>
      </c>
      <c r="T9" s="519" t="str">
        <f>K9</f>
        <v>BYU</v>
      </c>
      <c r="U9" s="522" t="str">
        <f t="shared" si="5"/>
        <v>W</v>
      </c>
      <c r="V9" s="519"/>
      <c r="W9" s="522" t="str">
        <f t="shared" si="6"/>
        <v>L</v>
      </c>
      <c r="X9" s="525"/>
      <c r="Y9" s="526"/>
      <c r="Z9" s="528"/>
      <c r="AA9" s="526"/>
      <c r="AB9" s="528"/>
      <c r="AC9" s="526"/>
      <c r="AD9" s="519" t="str">
        <f>K9</f>
        <v>BYU</v>
      </c>
      <c r="AE9" s="532">
        <v>8</v>
      </c>
      <c r="AF9" s="610" t="str">
        <f>J9</f>
        <v>SMU</v>
      </c>
      <c r="AG9" s="532">
        <v>25</v>
      </c>
      <c r="AH9" s="610" t="str">
        <f t="shared" si="22"/>
        <v>BYU</v>
      </c>
      <c r="AI9" s="532">
        <v>7</v>
      </c>
      <c r="AJ9" s="610" t="str">
        <f t="shared" si="23"/>
        <v>SMU</v>
      </c>
      <c r="AK9" s="532">
        <v>25</v>
      </c>
      <c r="AL9" s="610" t="str">
        <f>H9</f>
        <v>BYU</v>
      </c>
      <c r="AM9" s="532">
        <v>13</v>
      </c>
      <c r="AN9" s="633" t="str">
        <f>F9</f>
        <v>SMU</v>
      </c>
      <c r="AO9" s="532">
        <v>26</v>
      </c>
      <c r="AP9" s="633" t="str">
        <f>H9</f>
        <v>BYU</v>
      </c>
      <c r="AQ9" s="532">
        <v>5</v>
      </c>
      <c r="AR9" s="610" t="str">
        <f>K9</f>
        <v>BYU</v>
      </c>
      <c r="AS9" s="532">
        <v>2</v>
      </c>
      <c r="AT9" s="603">
        <f t="shared" si="7"/>
        <v>8</v>
      </c>
      <c r="AU9" s="604">
        <f t="shared" si="8"/>
        <v>0</v>
      </c>
      <c r="AV9" s="875">
        <f t="shared" si="9"/>
        <v>7</v>
      </c>
      <c r="AW9" s="875">
        <f t="shared" si="19"/>
        <v>0</v>
      </c>
      <c r="AX9" s="875">
        <f t="shared" si="20"/>
        <v>0</v>
      </c>
      <c r="AY9" s="875">
        <f t="shared" si="10"/>
        <v>5</v>
      </c>
      <c r="AZ9" s="604">
        <f t="shared" si="11"/>
        <v>13</v>
      </c>
      <c r="BA9" s="605">
        <f t="shared" si="21"/>
        <v>2</v>
      </c>
      <c r="BB9" s="523" t="str">
        <f t="shared" si="12"/>
        <v>SMU</v>
      </c>
      <c r="BC9" s="530">
        <v>7</v>
      </c>
      <c r="BD9" s="531">
        <v>5</v>
      </c>
      <c r="BE9" s="532">
        <v>0</v>
      </c>
      <c r="BF9" s="530">
        <v>5</v>
      </c>
      <c r="BG9" s="531">
        <v>7</v>
      </c>
      <c r="BH9" s="532">
        <v>0</v>
      </c>
      <c r="BI9" s="523" t="str">
        <f t="shared" si="13"/>
        <v>BYU</v>
      </c>
      <c r="BJ9" s="530">
        <v>7</v>
      </c>
      <c r="BK9" s="531">
        <v>5</v>
      </c>
      <c r="BL9" s="532">
        <v>0</v>
      </c>
      <c r="BM9" s="530">
        <v>4</v>
      </c>
      <c r="BN9" s="531">
        <v>8</v>
      </c>
      <c r="BO9" s="532">
        <v>0</v>
      </c>
      <c r="BP9" s="527" t="str">
        <f>BB9</f>
        <v>SMU</v>
      </c>
      <c r="BQ9" s="854">
        <v>0.51</v>
      </c>
      <c r="BR9" s="851">
        <v>5</v>
      </c>
      <c r="BS9" s="527" t="s">
        <v>109</v>
      </c>
      <c r="BT9" s="527">
        <v>2.2999999999999998</v>
      </c>
      <c r="BU9" s="527" t="s">
        <v>42</v>
      </c>
      <c r="BV9" s="523">
        <v>1</v>
      </c>
      <c r="BW9" s="527" t="str">
        <f t="shared" si="14"/>
        <v>SMU</v>
      </c>
      <c r="BX9" s="523">
        <f t="shared" si="15"/>
        <v>1.2999999999999998</v>
      </c>
      <c r="BY9" s="839">
        <v>8</v>
      </c>
      <c r="BZ9" s="527" t="str">
        <f t="shared" si="16"/>
        <v>SMU</v>
      </c>
      <c r="CA9" s="558">
        <f t="shared" si="17"/>
        <v>3.5</v>
      </c>
      <c r="CB9" s="582">
        <v>20</v>
      </c>
      <c r="CC9" s="527">
        <v>10.333333333333334</v>
      </c>
      <c r="CD9" s="582">
        <v>7</v>
      </c>
      <c r="CE9" s="583" t="str">
        <f>BS9</f>
        <v>SMU</v>
      </c>
      <c r="CF9" s="533" t="s">
        <v>486</v>
      </c>
      <c r="CG9" s="522" t="s">
        <v>506</v>
      </c>
      <c r="CH9" s="583" t="str">
        <f>BS9</f>
        <v>SMU</v>
      </c>
      <c r="CI9" s="533" t="s">
        <v>479</v>
      </c>
      <c r="CJ9" s="522" t="s">
        <v>546</v>
      </c>
      <c r="CK9" s="583"/>
      <c r="CL9" s="533"/>
      <c r="CM9" s="522"/>
      <c r="CN9" s="524"/>
      <c r="CO9" s="523"/>
      <c r="CP9" s="807">
        <v>2.2999999999999998</v>
      </c>
      <c r="CQ9" s="808">
        <v>1</v>
      </c>
      <c r="CR9" s="820">
        <f t="shared" si="18"/>
        <v>1.2999999999999998</v>
      </c>
      <c r="CS9" s="833">
        <v>7</v>
      </c>
      <c r="CT9" s="592">
        <v>7</v>
      </c>
      <c r="CU9" s="592"/>
      <c r="CV9" s="592"/>
      <c r="CW9" s="592"/>
      <c r="CX9" s="592"/>
      <c r="CY9" s="592"/>
      <c r="CZ9" s="592"/>
      <c r="DA9" s="592"/>
      <c r="DB9" s="592"/>
      <c r="DC9" s="592"/>
      <c r="DD9" s="592"/>
      <c r="DE9" s="592"/>
      <c r="DF9" s="592"/>
      <c r="DG9" s="592"/>
      <c r="DH9" s="592"/>
      <c r="DI9" s="592"/>
      <c r="DJ9" s="592"/>
      <c r="DK9" s="592"/>
      <c r="DL9" s="592"/>
      <c r="DM9" s="628"/>
      <c r="DN9" s="628"/>
      <c r="DO9" s="628"/>
      <c r="DP9" s="628"/>
      <c r="DQ9" s="628"/>
      <c r="DR9" s="628"/>
      <c r="DS9" s="628"/>
      <c r="DT9" s="628"/>
      <c r="DU9" s="628"/>
      <c r="DV9" s="628"/>
      <c r="DW9" s="628"/>
      <c r="DX9" s="628"/>
      <c r="DY9" s="628"/>
    </row>
    <row r="10" spans="1:129" s="593" customFormat="1" ht="24" customHeight="1" x14ac:dyDescent="0.75">
      <c r="A10" s="500" t="s">
        <v>415</v>
      </c>
      <c r="B10" s="519" t="s">
        <v>34</v>
      </c>
      <c r="C10" s="520">
        <v>44912</v>
      </c>
      <c r="D10" s="521">
        <f>21.25/24</f>
        <v>0.88541666666666663</v>
      </c>
      <c r="E10" s="522" t="s">
        <v>35</v>
      </c>
      <c r="F10" s="527" t="s">
        <v>167</v>
      </c>
      <c r="G10" s="554" t="s">
        <v>39</v>
      </c>
      <c r="H10" s="527" t="s">
        <v>186</v>
      </c>
      <c r="I10" s="554" t="s">
        <v>45</v>
      </c>
      <c r="J10" s="527" t="str">
        <f>H10</f>
        <v>Boise State</v>
      </c>
      <c r="K10" s="522" t="str">
        <f t="shared" si="1"/>
        <v>North Texas</v>
      </c>
      <c r="L10" s="570">
        <v>10.5</v>
      </c>
      <c r="M10" s="572">
        <v>59</v>
      </c>
      <c r="N10" s="528" t="str">
        <f>J10</f>
        <v>Boise State</v>
      </c>
      <c r="O10" s="531">
        <v>35</v>
      </c>
      <c r="P10" s="529" t="str">
        <f t="shared" si="2"/>
        <v>North Texas</v>
      </c>
      <c r="Q10" s="532">
        <v>32</v>
      </c>
      <c r="R10" s="597" t="str">
        <f t="shared" si="3"/>
        <v>North Texas</v>
      </c>
      <c r="S10" s="597" t="str">
        <f t="shared" si="4"/>
        <v>Boise State</v>
      </c>
      <c r="T10" s="519" t="str">
        <f>J10</f>
        <v>Boise State</v>
      </c>
      <c r="U10" s="522" t="str">
        <f t="shared" si="5"/>
        <v>L</v>
      </c>
      <c r="V10" s="519"/>
      <c r="W10" s="522" t="str">
        <f t="shared" si="6"/>
        <v>L</v>
      </c>
      <c r="X10" s="525"/>
      <c r="Y10" s="526"/>
      <c r="Z10" s="528"/>
      <c r="AA10" s="526"/>
      <c r="AB10" s="528"/>
      <c r="AC10" s="526"/>
      <c r="AD10" s="519" t="str">
        <f>J10</f>
        <v>Boise State</v>
      </c>
      <c r="AE10" s="532">
        <v>25</v>
      </c>
      <c r="AF10" s="527" t="str">
        <f>J10</f>
        <v>Boise State</v>
      </c>
      <c r="AG10" s="532">
        <v>31</v>
      </c>
      <c r="AH10" s="527" t="str">
        <f t="shared" si="22"/>
        <v>Boise State</v>
      </c>
      <c r="AI10" s="532">
        <v>23</v>
      </c>
      <c r="AJ10" s="527" t="str">
        <f t="shared" si="23"/>
        <v>Boise State</v>
      </c>
      <c r="AK10" s="532">
        <v>31</v>
      </c>
      <c r="AL10" s="527" t="str">
        <f>H10</f>
        <v>Boise State</v>
      </c>
      <c r="AM10" s="532">
        <v>41</v>
      </c>
      <c r="AN10" s="633" t="str">
        <f>H10</f>
        <v>Boise State</v>
      </c>
      <c r="AO10" s="532">
        <v>40</v>
      </c>
      <c r="AP10" s="633" t="str">
        <f>H10</f>
        <v>Boise State</v>
      </c>
      <c r="AQ10" s="532">
        <v>30</v>
      </c>
      <c r="AR10" s="527" t="str">
        <f>J10</f>
        <v>Boise State</v>
      </c>
      <c r="AS10" s="532">
        <v>32</v>
      </c>
      <c r="AT10" s="603">
        <f t="shared" si="7"/>
        <v>25</v>
      </c>
      <c r="AU10" s="604">
        <f t="shared" si="8"/>
        <v>31</v>
      </c>
      <c r="AV10" s="875">
        <f t="shared" si="9"/>
        <v>23</v>
      </c>
      <c r="AW10" s="875">
        <f t="shared" si="19"/>
        <v>31</v>
      </c>
      <c r="AX10" s="875">
        <f t="shared" si="20"/>
        <v>40</v>
      </c>
      <c r="AY10" s="875">
        <f t="shared" si="10"/>
        <v>30</v>
      </c>
      <c r="AZ10" s="604">
        <f t="shared" si="11"/>
        <v>41</v>
      </c>
      <c r="BA10" s="605">
        <f t="shared" si="21"/>
        <v>32</v>
      </c>
      <c r="BB10" s="523" t="str">
        <f t="shared" si="12"/>
        <v>North Texas</v>
      </c>
      <c r="BC10" s="530">
        <v>7</v>
      </c>
      <c r="BD10" s="531">
        <v>6</v>
      </c>
      <c r="BE10" s="532">
        <v>0</v>
      </c>
      <c r="BF10" s="530">
        <v>7</v>
      </c>
      <c r="BG10" s="531">
        <v>6</v>
      </c>
      <c r="BH10" s="532">
        <v>0</v>
      </c>
      <c r="BI10" s="523" t="str">
        <f t="shared" si="13"/>
        <v>Boise State</v>
      </c>
      <c r="BJ10" s="530">
        <v>9</v>
      </c>
      <c r="BK10" s="531">
        <v>4</v>
      </c>
      <c r="BL10" s="532">
        <v>0</v>
      </c>
      <c r="BM10" s="530">
        <v>6</v>
      </c>
      <c r="BN10" s="531">
        <v>6</v>
      </c>
      <c r="BO10" s="532">
        <v>1</v>
      </c>
      <c r="BP10" s="527" t="str">
        <f>BI10</f>
        <v>Boise State</v>
      </c>
      <c r="BQ10" s="854">
        <v>0.77</v>
      </c>
      <c r="BR10" s="851">
        <v>40</v>
      </c>
      <c r="BS10" s="527" t="s">
        <v>167</v>
      </c>
      <c r="BT10" s="527">
        <v>-3.5</v>
      </c>
      <c r="BU10" s="527" t="s">
        <v>186</v>
      </c>
      <c r="BV10" s="523">
        <v>3.5</v>
      </c>
      <c r="BW10" s="527" t="str">
        <f t="shared" si="14"/>
        <v>Boise State</v>
      </c>
      <c r="BX10" s="523">
        <f t="shared" si="15"/>
        <v>7</v>
      </c>
      <c r="BY10" s="839">
        <v>32</v>
      </c>
      <c r="BZ10" s="527" t="str">
        <f t="shared" si="16"/>
        <v>Boise State</v>
      </c>
      <c r="CA10" s="558">
        <f t="shared" si="17"/>
        <v>10.5</v>
      </c>
      <c r="CB10" s="582">
        <v>37</v>
      </c>
      <c r="CC10" s="527">
        <v>36.333333333333336</v>
      </c>
      <c r="CD10" s="582">
        <v>38</v>
      </c>
      <c r="CE10" s="528"/>
      <c r="CF10" s="529"/>
      <c r="CG10" s="522"/>
      <c r="CH10" s="528"/>
      <c r="CI10" s="529"/>
      <c r="CJ10" s="522"/>
      <c r="CK10" s="528"/>
      <c r="CL10" s="529"/>
      <c r="CM10" s="522"/>
      <c r="CN10" s="524" t="str">
        <f>F10</f>
        <v>North Texas</v>
      </c>
      <c r="CO10" s="523" t="s">
        <v>167</v>
      </c>
      <c r="CP10" s="807">
        <v>-3.5</v>
      </c>
      <c r="CQ10" s="808">
        <v>3.5</v>
      </c>
      <c r="CR10" s="820">
        <f t="shared" si="18"/>
        <v>7</v>
      </c>
      <c r="CS10" s="833">
        <v>31</v>
      </c>
      <c r="CT10" s="592">
        <v>8</v>
      </c>
      <c r="CU10" s="592"/>
      <c r="CV10" s="592"/>
      <c r="CW10" s="592"/>
      <c r="CX10" s="592"/>
      <c r="CY10" s="592"/>
      <c r="CZ10" s="592"/>
      <c r="DA10" s="592"/>
      <c r="DB10" s="592"/>
      <c r="DC10" s="592"/>
      <c r="DD10" s="592"/>
      <c r="DE10" s="592"/>
      <c r="DF10" s="592"/>
      <c r="DG10" s="592"/>
      <c r="DH10" s="592"/>
      <c r="DI10" s="592"/>
      <c r="DJ10" s="592"/>
      <c r="DK10" s="592"/>
      <c r="DL10" s="592"/>
      <c r="DM10" s="628"/>
      <c r="DN10" s="628"/>
      <c r="DO10" s="628"/>
      <c r="DP10" s="628"/>
      <c r="DQ10" s="628"/>
      <c r="DR10" s="628"/>
      <c r="DS10" s="628"/>
      <c r="DT10" s="628"/>
      <c r="DU10" s="628"/>
      <c r="DV10" s="628"/>
      <c r="DW10" s="628"/>
      <c r="DX10" s="628"/>
      <c r="DY10" s="628"/>
    </row>
    <row r="11" spans="1:129" s="593" customFormat="1" ht="24" customHeight="1" x14ac:dyDescent="0.75">
      <c r="A11" s="500" t="s">
        <v>414</v>
      </c>
      <c r="B11" s="519" t="s">
        <v>225</v>
      </c>
      <c r="C11" s="520">
        <v>44914</v>
      </c>
      <c r="D11" s="521">
        <f>14.5/24</f>
        <v>0.60416666666666663</v>
      </c>
      <c r="E11" s="522" t="s">
        <v>35</v>
      </c>
      <c r="F11" s="527" t="s">
        <v>163</v>
      </c>
      <c r="G11" s="554" t="s">
        <v>59</v>
      </c>
      <c r="H11" s="527" t="s">
        <v>460</v>
      </c>
      <c r="I11" s="554" t="s">
        <v>43</v>
      </c>
      <c r="J11" s="527" t="str">
        <f>F11</f>
        <v>Marshall</v>
      </c>
      <c r="K11" s="522" t="str">
        <f t="shared" si="1"/>
        <v>UConn</v>
      </c>
      <c r="L11" s="570">
        <v>10</v>
      </c>
      <c r="M11" s="572">
        <v>40.5</v>
      </c>
      <c r="N11" s="528" t="str">
        <f>J11</f>
        <v>Marshall</v>
      </c>
      <c r="O11" s="531">
        <v>28</v>
      </c>
      <c r="P11" s="529" t="str">
        <f t="shared" si="2"/>
        <v>UConn</v>
      </c>
      <c r="Q11" s="532">
        <v>14</v>
      </c>
      <c r="R11" s="597" t="str">
        <f t="shared" si="3"/>
        <v>Marshall</v>
      </c>
      <c r="S11" s="597" t="str">
        <f t="shared" si="4"/>
        <v>UConn</v>
      </c>
      <c r="T11" s="519" t="str">
        <f>K11</f>
        <v>UConn</v>
      </c>
      <c r="U11" s="522" t="str">
        <f t="shared" si="5"/>
        <v>L</v>
      </c>
      <c r="V11" s="519"/>
      <c r="W11" s="522" t="str">
        <f t="shared" si="6"/>
        <v>L</v>
      </c>
      <c r="X11" s="525"/>
      <c r="Y11" s="526"/>
      <c r="Z11" s="528"/>
      <c r="AA11" s="526"/>
      <c r="AB11" s="528"/>
      <c r="AC11" s="526"/>
      <c r="AD11" s="519" t="str">
        <f>K11</f>
        <v>UConn</v>
      </c>
      <c r="AE11" s="532">
        <v>1</v>
      </c>
      <c r="AF11" s="527" t="str">
        <f>K11</f>
        <v>UConn</v>
      </c>
      <c r="AG11" s="532">
        <v>1</v>
      </c>
      <c r="AH11" s="527" t="str">
        <f t="shared" si="22"/>
        <v>UConn</v>
      </c>
      <c r="AI11" s="532">
        <v>1</v>
      </c>
      <c r="AJ11" s="527" t="str">
        <f t="shared" si="23"/>
        <v>UConn</v>
      </c>
      <c r="AK11" s="532">
        <v>1</v>
      </c>
      <c r="AL11" s="527" t="str">
        <f>F11</f>
        <v>Marshall</v>
      </c>
      <c r="AM11" s="532">
        <v>34</v>
      </c>
      <c r="AN11" s="633" t="str">
        <f>F11</f>
        <v>Marshall</v>
      </c>
      <c r="AO11" s="532">
        <v>36</v>
      </c>
      <c r="AP11" s="633" t="str">
        <f>F11</f>
        <v>Marshall</v>
      </c>
      <c r="AQ11" s="532">
        <v>31</v>
      </c>
      <c r="AR11" s="527" t="str">
        <f>J11</f>
        <v>Marshall</v>
      </c>
      <c r="AS11" s="532">
        <v>39</v>
      </c>
      <c r="AT11" s="603">
        <f t="shared" si="7"/>
        <v>0</v>
      </c>
      <c r="AU11" s="604">
        <f t="shared" si="8"/>
        <v>0</v>
      </c>
      <c r="AV11" s="875">
        <f t="shared" si="9"/>
        <v>0</v>
      </c>
      <c r="AW11" s="875">
        <f t="shared" si="19"/>
        <v>0</v>
      </c>
      <c r="AX11" s="875">
        <f t="shared" si="20"/>
        <v>36</v>
      </c>
      <c r="AY11" s="875">
        <f t="shared" si="10"/>
        <v>31</v>
      </c>
      <c r="AZ11" s="604">
        <f t="shared" si="11"/>
        <v>34</v>
      </c>
      <c r="BA11" s="605">
        <f t="shared" si="21"/>
        <v>39</v>
      </c>
      <c r="BB11" s="523" t="str">
        <f t="shared" si="12"/>
        <v>Marshall</v>
      </c>
      <c r="BC11" s="530">
        <v>8</v>
      </c>
      <c r="BD11" s="531">
        <v>4</v>
      </c>
      <c r="BE11" s="532">
        <v>0</v>
      </c>
      <c r="BF11" s="530">
        <v>6</v>
      </c>
      <c r="BG11" s="531">
        <v>6</v>
      </c>
      <c r="BH11" s="532">
        <v>0</v>
      </c>
      <c r="BI11" s="523" t="str">
        <f t="shared" si="13"/>
        <v>UConn</v>
      </c>
      <c r="BJ11" s="530">
        <v>6</v>
      </c>
      <c r="BK11" s="531">
        <v>6</v>
      </c>
      <c r="BL11" s="532">
        <v>0</v>
      </c>
      <c r="BM11" s="530">
        <v>9</v>
      </c>
      <c r="BN11" s="531">
        <v>3</v>
      </c>
      <c r="BO11" s="532">
        <v>0</v>
      </c>
      <c r="BP11" s="527" t="str">
        <f>BB11</f>
        <v>Marshall</v>
      </c>
      <c r="BQ11" s="854">
        <v>0.79</v>
      </c>
      <c r="BR11" s="851">
        <v>41</v>
      </c>
      <c r="BS11" s="527" t="s">
        <v>163</v>
      </c>
      <c r="BT11" s="527">
        <v>-0.4</v>
      </c>
      <c r="BU11" s="527" t="s">
        <v>460</v>
      </c>
      <c r="BV11" s="523">
        <v>-15</v>
      </c>
      <c r="BW11" s="527" t="str">
        <f t="shared" si="14"/>
        <v>Marshall</v>
      </c>
      <c r="BX11" s="523">
        <f t="shared" si="15"/>
        <v>14.6</v>
      </c>
      <c r="BY11" s="839">
        <v>42</v>
      </c>
      <c r="BZ11" s="527" t="str">
        <f t="shared" si="16"/>
        <v>Marshall</v>
      </c>
      <c r="CA11" s="558">
        <f t="shared" si="17"/>
        <v>10</v>
      </c>
      <c r="CB11" s="582">
        <v>36</v>
      </c>
      <c r="CC11" s="527">
        <v>40.333333333333336</v>
      </c>
      <c r="CD11" s="582">
        <v>42</v>
      </c>
      <c r="CE11" s="528"/>
      <c r="CF11" s="529"/>
      <c r="CG11" s="526"/>
      <c r="CH11" s="528"/>
      <c r="CI11" s="529"/>
      <c r="CJ11" s="526"/>
      <c r="CK11" s="528"/>
      <c r="CL11" s="529"/>
      <c r="CM11" s="526"/>
      <c r="CN11" s="523"/>
      <c r="CO11" s="523"/>
      <c r="CP11" s="807">
        <v>-0.4</v>
      </c>
      <c r="CQ11" s="808">
        <v>-15</v>
      </c>
      <c r="CR11" s="820">
        <f t="shared" si="18"/>
        <v>14.6</v>
      </c>
      <c r="CS11" s="833">
        <v>41</v>
      </c>
      <c r="CT11" s="592">
        <v>9</v>
      </c>
      <c r="CU11" s="592"/>
      <c r="CV11" s="592"/>
      <c r="CW11" s="592"/>
      <c r="CX11" s="592"/>
      <c r="CY11" s="592"/>
      <c r="CZ11" s="592"/>
      <c r="DA11" s="592"/>
      <c r="DB11" s="592"/>
      <c r="DC11" s="592"/>
      <c r="DD11" s="592"/>
      <c r="DE11" s="592"/>
      <c r="DF11" s="592"/>
      <c r="DG11" s="592"/>
      <c r="DH11" s="592"/>
      <c r="DI11" s="592"/>
      <c r="DJ11" s="592"/>
      <c r="DK11" s="592"/>
      <c r="DL11" s="592"/>
      <c r="DM11" s="628"/>
      <c r="DN11" s="628"/>
      <c r="DO11" s="628"/>
      <c r="DP11" s="628"/>
      <c r="DQ11" s="628"/>
      <c r="DR11" s="628"/>
      <c r="DS11" s="628"/>
      <c r="DT11" s="628"/>
      <c r="DU11" s="628"/>
      <c r="DV11" s="628"/>
      <c r="DW11" s="628"/>
      <c r="DX11" s="628"/>
      <c r="DY11" s="628"/>
    </row>
    <row r="12" spans="1:129" s="548" customFormat="1" ht="24" customHeight="1" x14ac:dyDescent="0.75">
      <c r="A12" s="501" t="s">
        <v>416</v>
      </c>
      <c r="B12" s="534" t="s">
        <v>395</v>
      </c>
      <c r="C12" s="535">
        <v>44915</v>
      </c>
      <c r="D12" s="536">
        <f>15.5/24</f>
        <v>0.64583333333333337</v>
      </c>
      <c r="E12" s="537" t="s">
        <v>35</v>
      </c>
      <c r="F12" s="543" t="s">
        <v>101</v>
      </c>
      <c r="G12" s="549" t="s">
        <v>68</v>
      </c>
      <c r="H12" s="543" t="s">
        <v>51</v>
      </c>
      <c r="I12" s="549" t="s">
        <v>45</v>
      </c>
      <c r="J12" s="543" t="str">
        <f>H12</f>
        <v>San Jose State</v>
      </c>
      <c r="K12" s="537" t="str">
        <f t="shared" si="1"/>
        <v>Eastern Michigan</v>
      </c>
      <c r="L12" s="571">
        <v>3.5</v>
      </c>
      <c r="M12" s="573">
        <v>54.5</v>
      </c>
      <c r="N12" s="542" t="str">
        <f>J12</f>
        <v>San Jose State</v>
      </c>
      <c r="O12" s="546">
        <v>41</v>
      </c>
      <c r="P12" s="544" t="str">
        <f t="shared" si="2"/>
        <v>Eastern Michigan</v>
      </c>
      <c r="Q12" s="547">
        <v>27</v>
      </c>
      <c r="R12" s="596" t="str">
        <f t="shared" si="3"/>
        <v>San Jose State</v>
      </c>
      <c r="S12" s="596" t="str">
        <f t="shared" si="4"/>
        <v>Eastern Michigan</v>
      </c>
      <c r="T12" s="534" t="str">
        <f>J12</f>
        <v>San Jose State</v>
      </c>
      <c r="U12" s="537" t="str">
        <f t="shared" si="5"/>
        <v>W</v>
      </c>
      <c r="V12" s="534"/>
      <c r="W12" s="537" t="str">
        <f t="shared" si="6"/>
        <v>L</v>
      </c>
      <c r="X12" s="540"/>
      <c r="Y12" s="541"/>
      <c r="Z12" s="542"/>
      <c r="AA12" s="541"/>
      <c r="AB12" s="542"/>
      <c r="AC12" s="541"/>
      <c r="AD12" s="534" t="str">
        <f t="shared" ref="AD12:AD22" si="24">J12</f>
        <v>San Jose State</v>
      </c>
      <c r="AE12" s="547">
        <v>26</v>
      </c>
      <c r="AF12" s="609" t="str">
        <f>J12</f>
        <v>San Jose State</v>
      </c>
      <c r="AG12" s="547">
        <v>27</v>
      </c>
      <c r="AH12" s="609" t="str">
        <f t="shared" si="22"/>
        <v>San Jose State</v>
      </c>
      <c r="AI12" s="547">
        <v>24</v>
      </c>
      <c r="AJ12" s="609" t="str">
        <f t="shared" si="23"/>
        <v>San Jose State</v>
      </c>
      <c r="AK12" s="547">
        <v>27</v>
      </c>
      <c r="AL12" s="609" t="str">
        <f>H12</f>
        <v>San Jose State</v>
      </c>
      <c r="AM12" s="547">
        <v>20</v>
      </c>
      <c r="AN12" s="634" t="str">
        <f>H12</f>
        <v>San Jose State</v>
      </c>
      <c r="AO12" s="547">
        <v>22</v>
      </c>
      <c r="AP12" s="634" t="str">
        <f>H12</f>
        <v>San Jose State</v>
      </c>
      <c r="AQ12" s="547">
        <v>21</v>
      </c>
      <c r="AR12" s="543" t="str">
        <f>J12</f>
        <v>San Jose State</v>
      </c>
      <c r="AS12" s="547">
        <v>4</v>
      </c>
      <c r="AT12" s="606">
        <f t="shared" si="7"/>
        <v>26</v>
      </c>
      <c r="AU12" s="607">
        <f t="shared" si="8"/>
        <v>27</v>
      </c>
      <c r="AV12" s="876">
        <f t="shared" si="9"/>
        <v>24</v>
      </c>
      <c r="AW12" s="876">
        <f t="shared" si="19"/>
        <v>27</v>
      </c>
      <c r="AX12" s="876">
        <f t="shared" si="20"/>
        <v>22</v>
      </c>
      <c r="AY12" s="876">
        <f t="shared" si="10"/>
        <v>21</v>
      </c>
      <c r="AZ12" s="607">
        <f t="shared" si="11"/>
        <v>20</v>
      </c>
      <c r="BA12" s="608">
        <f t="shared" si="21"/>
        <v>4</v>
      </c>
      <c r="BB12" s="538" t="str">
        <f t="shared" si="12"/>
        <v>Eastern Michigan</v>
      </c>
      <c r="BC12" s="545">
        <v>8</v>
      </c>
      <c r="BD12" s="546">
        <v>4</v>
      </c>
      <c r="BE12" s="547">
        <v>0</v>
      </c>
      <c r="BF12" s="545">
        <v>6</v>
      </c>
      <c r="BG12" s="546">
        <v>5</v>
      </c>
      <c r="BH12" s="547">
        <v>1</v>
      </c>
      <c r="BI12" s="538" t="str">
        <f t="shared" si="13"/>
        <v>San Jose State</v>
      </c>
      <c r="BJ12" s="545">
        <v>7</v>
      </c>
      <c r="BK12" s="546">
        <v>4</v>
      </c>
      <c r="BL12" s="547">
        <v>0</v>
      </c>
      <c r="BM12" s="545">
        <v>4</v>
      </c>
      <c r="BN12" s="546">
        <v>7</v>
      </c>
      <c r="BO12" s="547">
        <v>0</v>
      </c>
      <c r="BP12" s="543" t="str">
        <f>BI12</f>
        <v>San Jose State</v>
      </c>
      <c r="BQ12" s="855">
        <v>0.54</v>
      </c>
      <c r="BR12" s="852">
        <v>14</v>
      </c>
      <c r="BS12" s="543" t="s">
        <v>101</v>
      </c>
      <c r="BT12" s="543">
        <v>-10.9</v>
      </c>
      <c r="BU12" s="543" t="s">
        <v>51</v>
      </c>
      <c r="BV12" s="538">
        <v>-5</v>
      </c>
      <c r="BW12" s="543" t="str">
        <f t="shared" si="14"/>
        <v>San Jose State</v>
      </c>
      <c r="BX12" s="538">
        <f t="shared" si="15"/>
        <v>5.9</v>
      </c>
      <c r="BY12" s="840">
        <v>27</v>
      </c>
      <c r="BZ12" s="543" t="str">
        <f t="shared" si="16"/>
        <v>San Jose State</v>
      </c>
      <c r="CA12" s="755">
        <f t="shared" si="17"/>
        <v>3.5</v>
      </c>
      <c r="CB12" s="561">
        <v>19</v>
      </c>
      <c r="CC12" s="543">
        <v>20.333333333333332</v>
      </c>
      <c r="CD12" s="561">
        <v>18</v>
      </c>
      <c r="CE12" s="542"/>
      <c r="CF12" s="544"/>
      <c r="CG12" s="537"/>
      <c r="CH12" s="542"/>
      <c r="CI12" s="544"/>
      <c r="CJ12" s="537"/>
      <c r="CK12" s="542"/>
      <c r="CL12" s="544"/>
      <c r="CM12" s="537"/>
      <c r="CN12" s="539"/>
      <c r="CO12" s="538"/>
      <c r="CP12" s="811">
        <v>-10.9</v>
      </c>
      <c r="CQ12" s="804">
        <v>-5</v>
      </c>
      <c r="CR12" s="822">
        <f t="shared" si="18"/>
        <v>5.9</v>
      </c>
      <c r="CS12" s="834">
        <v>26</v>
      </c>
      <c r="CT12" s="594">
        <v>10</v>
      </c>
      <c r="CU12" s="594"/>
      <c r="CV12" s="594"/>
      <c r="CW12" s="594"/>
      <c r="CX12" s="594"/>
      <c r="CY12" s="594"/>
      <c r="CZ12" s="594"/>
      <c r="DA12" s="594"/>
      <c r="DB12" s="594"/>
      <c r="DC12" s="594"/>
      <c r="DD12" s="594"/>
      <c r="DE12" s="594"/>
      <c r="DF12" s="594"/>
      <c r="DG12" s="594"/>
      <c r="DH12" s="594"/>
      <c r="DI12" s="594"/>
      <c r="DJ12" s="594"/>
      <c r="DK12" s="594"/>
      <c r="DL12" s="594"/>
      <c r="DM12" s="631"/>
      <c r="DN12" s="631"/>
      <c r="DO12" s="631"/>
      <c r="DP12" s="631"/>
      <c r="DQ12" s="631"/>
      <c r="DR12" s="631"/>
      <c r="DS12" s="631"/>
      <c r="DT12" s="631"/>
      <c r="DU12" s="631"/>
      <c r="DV12" s="631"/>
      <c r="DW12" s="631"/>
      <c r="DX12" s="631"/>
      <c r="DY12" s="631"/>
    </row>
    <row r="13" spans="1:129" s="548" customFormat="1" ht="24" customHeight="1" x14ac:dyDescent="0.75">
      <c r="A13" s="501" t="s">
        <v>297</v>
      </c>
      <c r="B13" s="534" t="s">
        <v>395</v>
      </c>
      <c r="C13" s="535">
        <v>44915</v>
      </c>
      <c r="D13" s="536">
        <f>19.5/24</f>
        <v>0.8125</v>
      </c>
      <c r="E13" s="537" t="s">
        <v>35</v>
      </c>
      <c r="F13" s="543" t="s">
        <v>306</v>
      </c>
      <c r="G13" s="549" t="s">
        <v>43</v>
      </c>
      <c r="H13" s="543" t="s">
        <v>77</v>
      </c>
      <c r="I13" s="549" t="s">
        <v>68</v>
      </c>
      <c r="J13" s="543" t="str">
        <f>H13</f>
        <v>Toledo</v>
      </c>
      <c r="K13" s="537" t="str">
        <f t="shared" si="1"/>
        <v>Liberty</v>
      </c>
      <c r="L13" s="571">
        <v>5</v>
      </c>
      <c r="M13" s="573">
        <v>54</v>
      </c>
      <c r="N13" s="542" t="str">
        <f>K13</f>
        <v>Liberty</v>
      </c>
      <c r="O13" s="546">
        <v>21</v>
      </c>
      <c r="P13" s="544" t="str">
        <f t="shared" si="2"/>
        <v>Toledo</v>
      </c>
      <c r="Q13" s="547">
        <v>19</v>
      </c>
      <c r="R13" s="596" t="str">
        <f t="shared" si="3"/>
        <v>Liberty</v>
      </c>
      <c r="S13" s="596" t="str">
        <f t="shared" si="4"/>
        <v>Toledo</v>
      </c>
      <c r="T13" s="534" t="str">
        <f>K13</f>
        <v>Liberty</v>
      </c>
      <c r="U13" s="537" t="str">
        <f t="shared" si="5"/>
        <v>W</v>
      </c>
      <c r="V13" s="534"/>
      <c r="W13" s="537" t="str">
        <f t="shared" si="6"/>
        <v>L</v>
      </c>
      <c r="X13" s="540"/>
      <c r="Y13" s="541"/>
      <c r="Z13" s="542"/>
      <c r="AA13" s="541"/>
      <c r="AB13" s="542"/>
      <c r="AC13" s="541"/>
      <c r="AD13" s="534" t="str">
        <f t="shared" si="24"/>
        <v>Toledo</v>
      </c>
      <c r="AE13" s="547">
        <v>27</v>
      </c>
      <c r="AF13" s="609" t="str">
        <f>J13</f>
        <v>Toledo</v>
      </c>
      <c r="AG13" s="547">
        <v>35</v>
      </c>
      <c r="AH13" s="609" t="str">
        <f t="shared" si="22"/>
        <v>Toledo</v>
      </c>
      <c r="AI13" s="547">
        <v>25</v>
      </c>
      <c r="AJ13" s="609" t="str">
        <f t="shared" si="23"/>
        <v>Toledo</v>
      </c>
      <c r="AK13" s="547">
        <v>34</v>
      </c>
      <c r="AL13" s="609" t="str">
        <f>F13</f>
        <v>Liberty</v>
      </c>
      <c r="AM13" s="547">
        <v>8</v>
      </c>
      <c r="AN13" s="634" t="str">
        <f>H13</f>
        <v>Toledo</v>
      </c>
      <c r="AO13" s="547">
        <v>31</v>
      </c>
      <c r="AP13" s="634" t="str">
        <f>H13</f>
        <v>Toledo</v>
      </c>
      <c r="AQ13" s="547">
        <v>28</v>
      </c>
      <c r="AR13" s="609" t="str">
        <f>K13</f>
        <v>Liberty</v>
      </c>
      <c r="AS13" s="547">
        <v>12</v>
      </c>
      <c r="AT13" s="606">
        <f t="shared" si="7"/>
        <v>0</v>
      </c>
      <c r="AU13" s="607">
        <f t="shared" si="8"/>
        <v>0</v>
      </c>
      <c r="AV13" s="876">
        <f t="shared" si="9"/>
        <v>0</v>
      </c>
      <c r="AW13" s="876">
        <f t="shared" si="19"/>
        <v>0</v>
      </c>
      <c r="AX13" s="876">
        <f t="shared" si="20"/>
        <v>0</v>
      </c>
      <c r="AY13" s="876">
        <f t="shared" si="10"/>
        <v>0</v>
      </c>
      <c r="AZ13" s="607">
        <f t="shared" si="11"/>
        <v>8</v>
      </c>
      <c r="BA13" s="608">
        <f t="shared" si="21"/>
        <v>12</v>
      </c>
      <c r="BB13" s="538" t="str">
        <f t="shared" si="12"/>
        <v>Liberty</v>
      </c>
      <c r="BC13" s="545">
        <v>8</v>
      </c>
      <c r="BD13" s="546">
        <v>4</v>
      </c>
      <c r="BE13" s="547">
        <v>0</v>
      </c>
      <c r="BF13" s="545">
        <v>5</v>
      </c>
      <c r="BG13" s="546">
        <v>7</v>
      </c>
      <c r="BH13" s="547">
        <v>0</v>
      </c>
      <c r="BI13" s="538" t="str">
        <f t="shared" si="13"/>
        <v>Toledo</v>
      </c>
      <c r="BJ13" s="545">
        <v>8</v>
      </c>
      <c r="BK13" s="546">
        <v>5</v>
      </c>
      <c r="BL13" s="547">
        <v>0</v>
      </c>
      <c r="BM13" s="545">
        <v>5</v>
      </c>
      <c r="BN13" s="546">
        <v>8</v>
      </c>
      <c r="BO13" s="547">
        <v>0</v>
      </c>
      <c r="BP13" s="543" t="str">
        <f>BI13</f>
        <v>Toledo</v>
      </c>
      <c r="BQ13" s="855">
        <v>0.6</v>
      </c>
      <c r="BR13" s="852">
        <v>20</v>
      </c>
      <c r="BS13" s="543" t="s">
        <v>306</v>
      </c>
      <c r="BT13" s="543">
        <v>-4</v>
      </c>
      <c r="BU13" s="543" t="s">
        <v>77</v>
      </c>
      <c r="BV13" s="538">
        <v>-3.6</v>
      </c>
      <c r="BW13" s="543" t="str">
        <f t="shared" si="14"/>
        <v>Toledo</v>
      </c>
      <c r="BX13" s="538">
        <f t="shared" si="15"/>
        <v>0.39999999999999991</v>
      </c>
      <c r="BY13" s="840">
        <v>3</v>
      </c>
      <c r="BZ13" s="543" t="str">
        <f t="shared" si="16"/>
        <v>Toledo</v>
      </c>
      <c r="CA13" s="559">
        <f t="shared" si="17"/>
        <v>5</v>
      </c>
      <c r="CB13" s="561">
        <v>21</v>
      </c>
      <c r="CC13" s="543">
        <v>15</v>
      </c>
      <c r="CD13" s="561">
        <v>14</v>
      </c>
      <c r="CE13" s="542"/>
      <c r="CF13" s="544"/>
      <c r="CG13" s="537"/>
      <c r="CH13" s="542"/>
      <c r="CI13" s="544"/>
      <c r="CJ13" s="537"/>
      <c r="CK13" s="542"/>
      <c r="CL13" s="544"/>
      <c r="CM13" s="537"/>
      <c r="CN13" s="539"/>
      <c r="CO13" s="538" t="s">
        <v>306</v>
      </c>
      <c r="CP13" s="811">
        <v>-4</v>
      </c>
      <c r="CQ13" s="804">
        <v>-3.6</v>
      </c>
      <c r="CR13" s="822">
        <f t="shared" si="18"/>
        <v>0.39999999999999991</v>
      </c>
      <c r="CS13" s="834">
        <v>2</v>
      </c>
      <c r="CT13" s="594">
        <v>11</v>
      </c>
      <c r="CU13" s="594"/>
      <c r="CV13" s="594"/>
      <c r="CW13" s="594"/>
      <c r="CX13" s="594"/>
      <c r="CY13" s="594"/>
      <c r="CZ13" s="594"/>
      <c r="DA13" s="594"/>
      <c r="DB13" s="594"/>
      <c r="DC13" s="594"/>
      <c r="DD13" s="594"/>
      <c r="DE13" s="594"/>
      <c r="DF13" s="594"/>
      <c r="DG13" s="594"/>
      <c r="DH13" s="594"/>
      <c r="DI13" s="594"/>
      <c r="DJ13" s="594"/>
      <c r="DK13" s="594"/>
      <c r="DL13" s="594"/>
      <c r="DM13" s="631"/>
      <c r="DN13" s="631"/>
      <c r="DO13" s="631"/>
      <c r="DP13" s="631"/>
      <c r="DQ13" s="631"/>
      <c r="DR13" s="631"/>
      <c r="DS13" s="631"/>
      <c r="DT13" s="631"/>
      <c r="DU13" s="631"/>
      <c r="DV13" s="631"/>
      <c r="DW13" s="631"/>
      <c r="DX13" s="631"/>
      <c r="DY13" s="631"/>
    </row>
    <row r="14" spans="1:129" s="548" customFormat="1" ht="24" customHeight="1" x14ac:dyDescent="0.75">
      <c r="A14" s="501" t="s">
        <v>461</v>
      </c>
      <c r="B14" s="534" t="s">
        <v>396</v>
      </c>
      <c r="C14" s="535">
        <v>44916</v>
      </c>
      <c r="D14" s="536">
        <f>21/24</f>
        <v>0.875</v>
      </c>
      <c r="E14" s="537" t="s">
        <v>35</v>
      </c>
      <c r="F14" s="543" t="s">
        <v>177</v>
      </c>
      <c r="G14" s="549" t="s">
        <v>39</v>
      </c>
      <c r="H14" s="543" t="s">
        <v>214</v>
      </c>
      <c r="I14" s="549" t="s">
        <v>59</v>
      </c>
      <c r="J14" s="543" t="str">
        <f>H14</f>
        <v>South Alabama</v>
      </c>
      <c r="K14" s="537" t="str">
        <f t="shared" si="1"/>
        <v>Western Kentucky</v>
      </c>
      <c r="L14" s="571">
        <v>8</v>
      </c>
      <c r="M14" s="573">
        <v>53.5</v>
      </c>
      <c r="N14" s="542" t="str">
        <f>K14</f>
        <v>Western Kentucky</v>
      </c>
      <c r="O14" s="546">
        <v>44</v>
      </c>
      <c r="P14" s="544" t="str">
        <f t="shared" si="2"/>
        <v>South Alabama</v>
      </c>
      <c r="Q14" s="547">
        <v>23</v>
      </c>
      <c r="R14" s="596" t="str">
        <f t="shared" si="3"/>
        <v>Western Kentucky</v>
      </c>
      <c r="S14" s="596" t="str">
        <f t="shared" si="4"/>
        <v>South Alabama</v>
      </c>
      <c r="T14" s="534" t="str">
        <f t="shared" ref="T14:T22" si="25">J14</f>
        <v>South Alabama</v>
      </c>
      <c r="U14" s="537" t="str">
        <f t="shared" si="5"/>
        <v>L</v>
      </c>
      <c r="V14" s="534"/>
      <c r="W14" s="537" t="str">
        <f t="shared" si="6"/>
        <v>L</v>
      </c>
      <c r="X14" s="540"/>
      <c r="Y14" s="541"/>
      <c r="Z14" s="542"/>
      <c r="AA14" s="541"/>
      <c r="AB14" s="542"/>
      <c r="AC14" s="541"/>
      <c r="AD14" s="534" t="str">
        <f t="shared" si="24"/>
        <v>South Alabama</v>
      </c>
      <c r="AE14" s="547">
        <v>28</v>
      </c>
      <c r="AF14" s="543" t="str">
        <f>J14</f>
        <v>South Alabama</v>
      </c>
      <c r="AG14" s="547">
        <v>36</v>
      </c>
      <c r="AH14" s="543" t="str">
        <f t="shared" si="22"/>
        <v>South Alabama</v>
      </c>
      <c r="AI14" s="547">
        <v>26</v>
      </c>
      <c r="AJ14" s="543" t="str">
        <f t="shared" si="23"/>
        <v>South Alabama</v>
      </c>
      <c r="AK14" s="547">
        <v>35</v>
      </c>
      <c r="AL14" s="543" t="str">
        <f>H14</f>
        <v>South Alabama</v>
      </c>
      <c r="AM14" s="547">
        <v>27</v>
      </c>
      <c r="AN14" s="634" t="str">
        <f>F14</f>
        <v>Western Kentucky</v>
      </c>
      <c r="AO14" s="547">
        <v>12</v>
      </c>
      <c r="AP14" s="634" t="str">
        <f>F14</f>
        <v>Western Kentucky</v>
      </c>
      <c r="AQ14" s="547">
        <v>6</v>
      </c>
      <c r="AR14" s="543" t="str">
        <f>J14</f>
        <v>South Alabama</v>
      </c>
      <c r="AS14" s="547">
        <v>33</v>
      </c>
      <c r="AT14" s="606">
        <f t="shared" si="7"/>
        <v>0</v>
      </c>
      <c r="AU14" s="607">
        <f t="shared" si="8"/>
        <v>0</v>
      </c>
      <c r="AV14" s="876">
        <f t="shared" si="9"/>
        <v>0</v>
      </c>
      <c r="AW14" s="876">
        <f t="shared" si="19"/>
        <v>0</v>
      </c>
      <c r="AX14" s="876">
        <f t="shared" si="20"/>
        <v>12</v>
      </c>
      <c r="AY14" s="876">
        <f t="shared" si="10"/>
        <v>6</v>
      </c>
      <c r="AZ14" s="607">
        <f t="shared" si="11"/>
        <v>0</v>
      </c>
      <c r="BA14" s="608">
        <f t="shared" si="21"/>
        <v>0</v>
      </c>
      <c r="BB14" s="538" t="str">
        <f t="shared" si="12"/>
        <v>Western Kentucky</v>
      </c>
      <c r="BC14" s="545">
        <v>8</v>
      </c>
      <c r="BD14" s="546">
        <v>5</v>
      </c>
      <c r="BE14" s="547">
        <v>0</v>
      </c>
      <c r="BF14" s="545">
        <v>8</v>
      </c>
      <c r="BG14" s="546">
        <v>5</v>
      </c>
      <c r="BH14" s="547">
        <v>0</v>
      </c>
      <c r="BI14" s="538" t="str">
        <f t="shared" si="13"/>
        <v>South Alabama</v>
      </c>
      <c r="BJ14" s="545">
        <v>10</v>
      </c>
      <c r="BK14" s="546">
        <v>2</v>
      </c>
      <c r="BL14" s="547">
        <v>0</v>
      </c>
      <c r="BM14" s="545">
        <v>7</v>
      </c>
      <c r="BN14" s="546">
        <v>4</v>
      </c>
      <c r="BO14" s="547">
        <v>1</v>
      </c>
      <c r="BP14" s="543" t="str">
        <f>BI14</f>
        <v>South Alabama</v>
      </c>
      <c r="BQ14" s="855">
        <v>0.52</v>
      </c>
      <c r="BR14" s="852">
        <v>7</v>
      </c>
      <c r="BS14" s="543" t="s">
        <v>177</v>
      </c>
      <c r="BT14" s="543">
        <v>4</v>
      </c>
      <c r="BU14" s="543" t="s">
        <v>214</v>
      </c>
      <c r="BV14" s="538">
        <v>-0.4</v>
      </c>
      <c r="BW14" s="543" t="str">
        <f t="shared" si="14"/>
        <v>Western Kentucky</v>
      </c>
      <c r="BX14" s="538">
        <f t="shared" si="15"/>
        <v>4.4000000000000004</v>
      </c>
      <c r="BY14" s="840">
        <v>23</v>
      </c>
      <c r="BZ14" s="543" t="str">
        <f t="shared" si="16"/>
        <v>South Alabama</v>
      </c>
      <c r="CA14" s="559">
        <f t="shared" si="17"/>
        <v>8</v>
      </c>
      <c r="CB14" s="561">
        <v>35</v>
      </c>
      <c r="CC14" s="543">
        <v>21.333333333333332</v>
      </c>
      <c r="CD14" s="561">
        <v>21</v>
      </c>
      <c r="CE14" s="542" t="str">
        <f>BS14</f>
        <v>Western Kentucky</v>
      </c>
      <c r="CF14" s="544" t="s">
        <v>479</v>
      </c>
      <c r="CG14" s="537" t="s">
        <v>507</v>
      </c>
      <c r="CH14" s="542" t="str">
        <f>BS14</f>
        <v>Western Kentucky</v>
      </c>
      <c r="CI14" s="544" t="s">
        <v>489</v>
      </c>
      <c r="CJ14" s="537" t="s">
        <v>509</v>
      </c>
      <c r="CK14" s="542"/>
      <c r="CL14" s="544"/>
      <c r="CM14" s="537"/>
      <c r="CN14" s="539"/>
      <c r="CO14" s="538"/>
      <c r="CP14" s="811">
        <v>4</v>
      </c>
      <c r="CQ14" s="804">
        <v>-0.4</v>
      </c>
      <c r="CR14" s="822">
        <f t="shared" si="18"/>
        <v>4.4000000000000004</v>
      </c>
      <c r="CS14" s="834">
        <v>22</v>
      </c>
      <c r="CT14" s="594">
        <v>12</v>
      </c>
      <c r="CU14" s="594"/>
      <c r="CV14" s="594"/>
      <c r="CW14" s="594"/>
      <c r="CX14" s="594"/>
      <c r="CY14" s="594"/>
      <c r="CZ14" s="594"/>
      <c r="DA14" s="594"/>
      <c r="DB14" s="594"/>
      <c r="DC14" s="594"/>
      <c r="DD14" s="594"/>
      <c r="DE14" s="594"/>
      <c r="DF14" s="594"/>
      <c r="DG14" s="594"/>
      <c r="DH14" s="594"/>
      <c r="DI14" s="594"/>
      <c r="DJ14" s="594"/>
      <c r="DK14" s="594"/>
      <c r="DL14" s="594"/>
      <c r="DM14" s="631"/>
      <c r="DN14" s="631"/>
      <c r="DO14" s="631"/>
      <c r="DP14" s="631"/>
      <c r="DQ14" s="631"/>
      <c r="DR14" s="631"/>
      <c r="DS14" s="631"/>
      <c r="DT14" s="631"/>
      <c r="DU14" s="631"/>
      <c r="DV14" s="631"/>
      <c r="DW14" s="631"/>
      <c r="DX14" s="631"/>
      <c r="DY14" s="631"/>
    </row>
    <row r="15" spans="1:129" s="593" customFormat="1" ht="24" customHeight="1" x14ac:dyDescent="0.75">
      <c r="A15" s="500" t="s">
        <v>300</v>
      </c>
      <c r="B15" s="519" t="s">
        <v>52</v>
      </c>
      <c r="C15" s="520">
        <v>44917</v>
      </c>
      <c r="D15" s="521">
        <f>19.5/24</f>
        <v>0.8125</v>
      </c>
      <c r="E15" s="522" t="s">
        <v>35</v>
      </c>
      <c r="F15" s="527" t="s">
        <v>146</v>
      </c>
      <c r="G15" s="554" t="s">
        <v>73</v>
      </c>
      <c r="H15" s="527" t="s">
        <v>184</v>
      </c>
      <c r="I15" s="554" t="s">
        <v>45</v>
      </c>
      <c r="J15" s="527" t="str">
        <f>F15</f>
        <v>Baylor</v>
      </c>
      <c r="K15" s="522" t="str">
        <f t="shared" si="1"/>
        <v>Air Force</v>
      </c>
      <c r="L15" s="570">
        <v>6.5</v>
      </c>
      <c r="M15" s="572">
        <v>50</v>
      </c>
      <c r="N15" s="528" t="str">
        <f>K15</f>
        <v>Air Force</v>
      </c>
      <c r="O15" s="531">
        <v>30</v>
      </c>
      <c r="P15" s="529" t="str">
        <f t="shared" si="2"/>
        <v>Baylor</v>
      </c>
      <c r="Q15" s="532">
        <v>15</v>
      </c>
      <c r="R15" s="597" t="str">
        <f t="shared" si="3"/>
        <v>Air Force</v>
      </c>
      <c r="S15" s="597" t="str">
        <f t="shared" si="4"/>
        <v>Baylor</v>
      </c>
      <c r="T15" s="519" t="str">
        <f t="shared" si="25"/>
        <v>Baylor</v>
      </c>
      <c r="U15" s="522" t="str">
        <f t="shared" si="5"/>
        <v>L</v>
      </c>
      <c r="V15" s="519"/>
      <c r="W15" s="522" t="str">
        <f t="shared" si="6"/>
        <v>L</v>
      </c>
      <c r="X15" s="525"/>
      <c r="Y15" s="526"/>
      <c r="Z15" s="528"/>
      <c r="AA15" s="526"/>
      <c r="AB15" s="528"/>
      <c r="AC15" s="526"/>
      <c r="AD15" s="519" t="str">
        <f t="shared" si="24"/>
        <v>Baylor</v>
      </c>
      <c r="AE15" s="532">
        <v>29</v>
      </c>
      <c r="AF15" s="610" t="str">
        <f>K15</f>
        <v>Air Force</v>
      </c>
      <c r="AG15" s="532">
        <v>5</v>
      </c>
      <c r="AH15" s="610" t="str">
        <f t="shared" si="22"/>
        <v>Baylor</v>
      </c>
      <c r="AI15" s="532">
        <v>27</v>
      </c>
      <c r="AJ15" s="610" t="str">
        <f t="shared" si="23"/>
        <v>Air Force</v>
      </c>
      <c r="AK15" s="532">
        <v>6</v>
      </c>
      <c r="AL15" s="610" t="str">
        <f>F15</f>
        <v>Baylor</v>
      </c>
      <c r="AM15" s="532">
        <v>26</v>
      </c>
      <c r="AN15" s="633" t="str">
        <f>F15</f>
        <v>Baylor</v>
      </c>
      <c r="AO15" s="532">
        <v>38</v>
      </c>
      <c r="AP15" s="633" t="str">
        <f t="shared" ref="AP15:AP20" si="26">H15</f>
        <v>Air Force</v>
      </c>
      <c r="AQ15" s="532">
        <v>7</v>
      </c>
      <c r="AR15" s="527" t="str">
        <f>J15</f>
        <v>Baylor</v>
      </c>
      <c r="AS15" s="532">
        <v>21</v>
      </c>
      <c r="AT15" s="603">
        <f t="shared" si="7"/>
        <v>0</v>
      </c>
      <c r="AU15" s="604">
        <f t="shared" si="8"/>
        <v>5</v>
      </c>
      <c r="AV15" s="875">
        <f t="shared" si="9"/>
        <v>0</v>
      </c>
      <c r="AW15" s="875">
        <f t="shared" si="19"/>
        <v>6</v>
      </c>
      <c r="AX15" s="875">
        <f t="shared" si="20"/>
        <v>0</v>
      </c>
      <c r="AY15" s="875">
        <f t="shared" si="10"/>
        <v>7</v>
      </c>
      <c r="AZ15" s="604">
        <f t="shared" si="11"/>
        <v>0</v>
      </c>
      <c r="BA15" s="605">
        <f t="shared" si="21"/>
        <v>0</v>
      </c>
      <c r="BB15" s="523" t="str">
        <f t="shared" si="12"/>
        <v>Baylor</v>
      </c>
      <c r="BC15" s="530">
        <v>6</v>
      </c>
      <c r="BD15" s="531">
        <v>6</v>
      </c>
      <c r="BE15" s="532">
        <v>0</v>
      </c>
      <c r="BF15" s="530">
        <v>7</v>
      </c>
      <c r="BG15" s="531">
        <v>5</v>
      </c>
      <c r="BH15" s="532">
        <v>0</v>
      </c>
      <c r="BI15" s="523" t="str">
        <f t="shared" si="13"/>
        <v>Air Force</v>
      </c>
      <c r="BJ15" s="530">
        <v>9</v>
      </c>
      <c r="BK15" s="531">
        <v>3</v>
      </c>
      <c r="BL15" s="532">
        <v>0</v>
      </c>
      <c r="BM15" s="530">
        <v>6</v>
      </c>
      <c r="BN15" s="531">
        <v>6</v>
      </c>
      <c r="BO15" s="532">
        <v>0</v>
      </c>
      <c r="BP15" s="527" t="str">
        <f>BB15</f>
        <v>Baylor</v>
      </c>
      <c r="BQ15" s="854">
        <v>0.72</v>
      </c>
      <c r="BR15" s="851">
        <v>37</v>
      </c>
      <c r="BS15" s="527" t="s">
        <v>146</v>
      </c>
      <c r="BT15" s="527">
        <v>10.6</v>
      </c>
      <c r="BU15" s="527" t="s">
        <v>184</v>
      </c>
      <c r="BV15" s="523">
        <v>2.4</v>
      </c>
      <c r="BW15" s="527" t="str">
        <f t="shared" si="14"/>
        <v>Baylor</v>
      </c>
      <c r="BX15" s="523">
        <f t="shared" si="15"/>
        <v>8.1999999999999993</v>
      </c>
      <c r="BY15" s="839">
        <v>34</v>
      </c>
      <c r="BZ15" s="527" t="str">
        <f t="shared" si="16"/>
        <v>Baylor</v>
      </c>
      <c r="CA15" s="558">
        <f t="shared" si="17"/>
        <v>6.5</v>
      </c>
      <c r="CB15" s="582">
        <v>27</v>
      </c>
      <c r="CC15" s="527">
        <v>33</v>
      </c>
      <c r="CD15" s="582">
        <v>36</v>
      </c>
      <c r="CE15" s="583"/>
      <c r="CF15" s="533"/>
      <c r="CG15" s="522"/>
      <c r="CH15" s="583"/>
      <c r="CI15" s="533"/>
      <c r="CJ15" s="522"/>
      <c r="CK15" s="583"/>
      <c r="CL15" s="533"/>
      <c r="CM15" s="522"/>
      <c r="CN15" s="524" t="str">
        <f>F15</f>
        <v>Baylor</v>
      </c>
      <c r="CO15" s="523"/>
      <c r="CP15" s="807">
        <v>10.6</v>
      </c>
      <c r="CQ15" s="808">
        <v>2.4</v>
      </c>
      <c r="CR15" s="820">
        <f t="shared" si="18"/>
        <v>8.1999999999999993</v>
      </c>
      <c r="CS15" s="833">
        <v>33</v>
      </c>
      <c r="CT15" s="592">
        <v>13</v>
      </c>
      <c r="CU15" s="592"/>
      <c r="CV15" s="592"/>
      <c r="CW15" s="592"/>
      <c r="CX15" s="592"/>
      <c r="CY15" s="592"/>
      <c r="CZ15" s="592"/>
      <c r="DA15" s="592"/>
      <c r="DB15" s="592"/>
      <c r="DC15" s="592"/>
      <c r="DD15" s="592"/>
      <c r="DE15" s="592"/>
      <c r="DF15" s="592"/>
      <c r="DG15" s="592"/>
      <c r="DH15" s="592"/>
      <c r="DI15" s="592"/>
      <c r="DJ15" s="592"/>
      <c r="DK15" s="592"/>
      <c r="DL15" s="592"/>
      <c r="DM15" s="628"/>
      <c r="DN15" s="628"/>
      <c r="DO15" s="628"/>
      <c r="DP15" s="628"/>
      <c r="DQ15" s="628"/>
      <c r="DR15" s="628"/>
      <c r="DS15" s="628"/>
      <c r="DT15" s="628"/>
      <c r="DU15" s="628"/>
      <c r="DV15" s="628"/>
      <c r="DW15" s="628"/>
      <c r="DX15" s="628"/>
      <c r="DY15" s="628"/>
    </row>
    <row r="16" spans="1:129" s="593" customFormat="1" ht="24" customHeight="1" x14ac:dyDescent="0.75">
      <c r="A16" s="500" t="s">
        <v>301</v>
      </c>
      <c r="B16" s="519" t="s">
        <v>88</v>
      </c>
      <c r="C16" s="520">
        <v>44918</v>
      </c>
      <c r="D16" s="521">
        <f>15/24</f>
        <v>0.625</v>
      </c>
      <c r="E16" s="522" t="s">
        <v>35</v>
      </c>
      <c r="F16" s="527" t="s">
        <v>209</v>
      </c>
      <c r="G16" s="554" t="s">
        <v>59</v>
      </c>
      <c r="H16" s="527" t="s">
        <v>174</v>
      </c>
      <c r="I16" s="554" t="s">
        <v>50</v>
      </c>
      <c r="J16" s="527" t="str">
        <f>H16</f>
        <v>Houston</v>
      </c>
      <c r="K16" s="522" t="str">
        <f t="shared" si="1"/>
        <v>UL Lafayette</v>
      </c>
      <c r="L16" s="570">
        <v>6.5</v>
      </c>
      <c r="M16" s="572">
        <v>61</v>
      </c>
      <c r="N16" s="528" t="str">
        <f>J16</f>
        <v>Houston</v>
      </c>
      <c r="O16" s="531">
        <v>23</v>
      </c>
      <c r="P16" s="529" t="str">
        <f t="shared" si="2"/>
        <v>UL Lafayette</v>
      </c>
      <c r="Q16" s="532">
        <v>16</v>
      </c>
      <c r="R16" s="597" t="str">
        <f t="shared" si="3"/>
        <v>Houston</v>
      </c>
      <c r="S16" s="597" t="str">
        <f t="shared" si="4"/>
        <v>UL Lafayette</v>
      </c>
      <c r="T16" s="519" t="str">
        <f t="shared" si="25"/>
        <v>Houston</v>
      </c>
      <c r="U16" s="522" t="str">
        <f t="shared" si="5"/>
        <v>W</v>
      </c>
      <c r="V16" s="519"/>
      <c r="W16" s="522" t="str">
        <f t="shared" si="6"/>
        <v>L</v>
      </c>
      <c r="X16" s="525"/>
      <c r="Y16" s="526"/>
      <c r="Z16" s="528"/>
      <c r="AA16" s="526"/>
      <c r="AB16" s="528"/>
      <c r="AC16" s="526"/>
      <c r="AD16" s="519" t="str">
        <f t="shared" si="24"/>
        <v>Houston</v>
      </c>
      <c r="AE16" s="532">
        <v>30</v>
      </c>
      <c r="AF16" s="610" t="str">
        <f>J16</f>
        <v>Houston</v>
      </c>
      <c r="AG16" s="532">
        <v>28</v>
      </c>
      <c r="AH16" s="610" t="str">
        <f t="shared" si="22"/>
        <v>Houston</v>
      </c>
      <c r="AI16" s="532">
        <v>29</v>
      </c>
      <c r="AJ16" s="610" t="str">
        <f t="shared" si="23"/>
        <v>Houston</v>
      </c>
      <c r="AK16" s="532">
        <v>28</v>
      </c>
      <c r="AL16" s="610" t="str">
        <f>H16</f>
        <v>Houston</v>
      </c>
      <c r="AM16" s="532">
        <v>36</v>
      </c>
      <c r="AN16" s="633" t="str">
        <f>H16</f>
        <v>Houston</v>
      </c>
      <c r="AO16" s="532">
        <v>27</v>
      </c>
      <c r="AP16" s="633" t="str">
        <f t="shared" si="26"/>
        <v>Houston</v>
      </c>
      <c r="AQ16" s="532">
        <v>23</v>
      </c>
      <c r="AR16" s="610" t="str">
        <f>K16</f>
        <v>UL Lafayette</v>
      </c>
      <c r="AS16" s="532">
        <v>13</v>
      </c>
      <c r="AT16" s="603">
        <f t="shared" si="7"/>
        <v>30</v>
      </c>
      <c r="AU16" s="604">
        <f t="shared" si="8"/>
        <v>28</v>
      </c>
      <c r="AV16" s="875">
        <f t="shared" si="9"/>
        <v>29</v>
      </c>
      <c r="AW16" s="875">
        <f t="shared" si="19"/>
        <v>28</v>
      </c>
      <c r="AX16" s="875">
        <f t="shared" si="20"/>
        <v>27</v>
      </c>
      <c r="AY16" s="875">
        <f t="shared" si="10"/>
        <v>23</v>
      </c>
      <c r="AZ16" s="604">
        <f t="shared" si="11"/>
        <v>36</v>
      </c>
      <c r="BA16" s="605">
        <f t="shared" si="21"/>
        <v>0</v>
      </c>
      <c r="BB16" s="523" t="str">
        <f t="shared" si="12"/>
        <v>UL Lafayette</v>
      </c>
      <c r="BC16" s="530">
        <v>6</v>
      </c>
      <c r="BD16" s="531">
        <v>6</v>
      </c>
      <c r="BE16" s="532">
        <v>0</v>
      </c>
      <c r="BF16" s="530">
        <v>7</v>
      </c>
      <c r="BG16" s="531">
        <v>5</v>
      </c>
      <c r="BH16" s="532">
        <v>0</v>
      </c>
      <c r="BI16" s="523" t="str">
        <f t="shared" si="13"/>
        <v>Houston</v>
      </c>
      <c r="BJ16" s="530">
        <v>7</v>
      </c>
      <c r="BK16" s="531">
        <v>5</v>
      </c>
      <c r="BL16" s="532">
        <v>0</v>
      </c>
      <c r="BM16" s="530">
        <v>4</v>
      </c>
      <c r="BN16" s="531">
        <v>8</v>
      </c>
      <c r="BO16" s="532">
        <v>0</v>
      </c>
      <c r="BP16" s="527" t="str">
        <f>BI16</f>
        <v>Houston</v>
      </c>
      <c r="BQ16" s="854">
        <v>0.56999999999999995</v>
      </c>
      <c r="BR16" s="851">
        <v>18</v>
      </c>
      <c r="BS16" s="527" t="s">
        <v>209</v>
      </c>
      <c r="BT16" s="527">
        <v>-2.4</v>
      </c>
      <c r="BU16" s="527" t="s">
        <v>174</v>
      </c>
      <c r="BV16" s="523">
        <v>4.0999999999999996</v>
      </c>
      <c r="BW16" s="527" t="str">
        <f t="shared" si="14"/>
        <v>Houston</v>
      </c>
      <c r="BX16" s="523">
        <f t="shared" si="15"/>
        <v>6.5</v>
      </c>
      <c r="BY16" s="839">
        <v>30</v>
      </c>
      <c r="BZ16" s="527" t="str">
        <f t="shared" si="16"/>
        <v>Houston</v>
      </c>
      <c r="CA16" s="558">
        <f t="shared" si="17"/>
        <v>6.5</v>
      </c>
      <c r="CB16" s="582">
        <v>26</v>
      </c>
      <c r="CC16" s="527">
        <v>25</v>
      </c>
      <c r="CD16" s="582">
        <v>27</v>
      </c>
      <c r="CE16" s="528"/>
      <c r="CF16" s="529"/>
      <c r="CG16" s="522"/>
      <c r="CH16" s="528"/>
      <c r="CI16" s="529"/>
      <c r="CJ16" s="522"/>
      <c r="CK16" s="528"/>
      <c r="CL16" s="529"/>
      <c r="CM16" s="522"/>
      <c r="CN16" s="524" t="str">
        <f>F16</f>
        <v>UL Lafayette</v>
      </c>
      <c r="CO16" s="523"/>
      <c r="CP16" s="807">
        <v>-2.4</v>
      </c>
      <c r="CQ16" s="808">
        <v>4.0999999999999996</v>
      </c>
      <c r="CR16" s="820">
        <f t="shared" si="18"/>
        <v>6.5</v>
      </c>
      <c r="CS16" s="833">
        <v>29</v>
      </c>
      <c r="CT16" s="592">
        <v>14</v>
      </c>
      <c r="CU16" s="592"/>
      <c r="CV16" s="592"/>
      <c r="CW16" s="592"/>
      <c r="CX16" s="592"/>
      <c r="CY16" s="592"/>
      <c r="CZ16" s="592"/>
      <c r="DA16" s="592"/>
      <c r="DB16" s="592"/>
      <c r="DC16" s="592"/>
      <c r="DD16" s="592"/>
      <c r="DE16" s="592"/>
      <c r="DF16" s="592"/>
      <c r="DG16" s="592"/>
      <c r="DH16" s="592"/>
      <c r="DI16" s="592"/>
      <c r="DJ16" s="592"/>
      <c r="DK16" s="592"/>
      <c r="DL16" s="592"/>
      <c r="DM16" s="628"/>
      <c r="DN16" s="628"/>
      <c r="DO16" s="628"/>
      <c r="DP16" s="628"/>
      <c r="DQ16" s="628"/>
      <c r="DR16" s="628"/>
      <c r="DS16" s="628"/>
      <c r="DT16" s="628"/>
      <c r="DU16" s="628"/>
      <c r="DV16" s="628"/>
      <c r="DW16" s="628"/>
      <c r="DX16" s="628"/>
      <c r="DY16" s="628"/>
    </row>
    <row r="17" spans="1:129" s="593" customFormat="1" ht="24" customHeight="1" x14ac:dyDescent="0.75">
      <c r="A17" s="500" t="s">
        <v>417</v>
      </c>
      <c r="B17" s="519" t="s">
        <v>88</v>
      </c>
      <c r="C17" s="520">
        <v>44918</v>
      </c>
      <c r="D17" s="521">
        <f>18.5/24</f>
        <v>0.77083333333333337</v>
      </c>
      <c r="E17" s="522" t="s">
        <v>35</v>
      </c>
      <c r="F17" s="527" t="s">
        <v>62</v>
      </c>
      <c r="G17" s="554" t="s">
        <v>61</v>
      </c>
      <c r="H17" s="527" t="s">
        <v>219</v>
      </c>
      <c r="I17" s="554" t="s">
        <v>85</v>
      </c>
      <c r="J17" s="527" t="str">
        <f>F17</f>
        <v>Wake Forest</v>
      </c>
      <c r="K17" s="522" t="str">
        <f t="shared" si="1"/>
        <v>Missouri</v>
      </c>
      <c r="L17" s="570">
        <v>1</v>
      </c>
      <c r="M17" s="572">
        <v>61</v>
      </c>
      <c r="N17" s="633" t="str">
        <f>J17</f>
        <v>Wake Forest</v>
      </c>
      <c r="O17" s="531">
        <v>27</v>
      </c>
      <c r="P17" s="529" t="str">
        <f t="shared" si="2"/>
        <v>Missouri</v>
      </c>
      <c r="Q17" s="532">
        <v>17</v>
      </c>
      <c r="R17" s="597" t="str">
        <f t="shared" si="3"/>
        <v>Wake Forest</v>
      </c>
      <c r="S17" s="597" t="str">
        <f t="shared" si="4"/>
        <v>Missouri</v>
      </c>
      <c r="T17" s="519" t="str">
        <f t="shared" si="25"/>
        <v>Wake Forest</v>
      </c>
      <c r="U17" s="522" t="str">
        <f t="shared" si="5"/>
        <v>W</v>
      </c>
      <c r="V17" s="519"/>
      <c r="W17" s="522" t="str">
        <f t="shared" si="6"/>
        <v>L</v>
      </c>
      <c r="X17" s="525"/>
      <c r="Y17" s="526"/>
      <c r="Z17" s="528"/>
      <c r="AA17" s="526"/>
      <c r="AB17" s="528"/>
      <c r="AC17" s="526"/>
      <c r="AD17" s="519" t="str">
        <f t="shared" si="24"/>
        <v>Wake Forest</v>
      </c>
      <c r="AE17" s="532">
        <v>9</v>
      </c>
      <c r="AF17" s="527" t="str">
        <f>K17</f>
        <v>Missouri</v>
      </c>
      <c r="AG17" s="532">
        <v>12</v>
      </c>
      <c r="AH17" s="527" t="str">
        <f t="shared" si="22"/>
        <v>Wake Forest</v>
      </c>
      <c r="AI17" s="532">
        <v>8</v>
      </c>
      <c r="AJ17" s="527" t="str">
        <f t="shared" si="23"/>
        <v>Missouri</v>
      </c>
      <c r="AK17" s="532">
        <v>12</v>
      </c>
      <c r="AL17" s="527" t="str">
        <f>H17</f>
        <v>Missouri</v>
      </c>
      <c r="AM17" s="532">
        <v>11</v>
      </c>
      <c r="AN17" s="633" t="str">
        <f>H17</f>
        <v>Missouri</v>
      </c>
      <c r="AO17" s="532">
        <v>21</v>
      </c>
      <c r="AP17" s="633" t="str">
        <f t="shared" si="26"/>
        <v>Missouri</v>
      </c>
      <c r="AQ17" s="532">
        <v>10</v>
      </c>
      <c r="AR17" s="527" t="str">
        <f t="shared" ref="AR17:AR26" si="27">J17</f>
        <v>Wake Forest</v>
      </c>
      <c r="AS17" s="532">
        <v>29</v>
      </c>
      <c r="AT17" s="603">
        <f t="shared" si="7"/>
        <v>9</v>
      </c>
      <c r="AU17" s="604">
        <f t="shared" si="8"/>
        <v>0</v>
      </c>
      <c r="AV17" s="875">
        <f t="shared" si="9"/>
        <v>8</v>
      </c>
      <c r="AW17" s="875">
        <f t="shared" si="19"/>
        <v>0</v>
      </c>
      <c r="AX17" s="875">
        <f t="shared" si="20"/>
        <v>0</v>
      </c>
      <c r="AY17" s="875">
        <f t="shared" si="10"/>
        <v>0</v>
      </c>
      <c r="AZ17" s="604">
        <f t="shared" si="11"/>
        <v>0</v>
      </c>
      <c r="BA17" s="605">
        <f t="shared" si="21"/>
        <v>29</v>
      </c>
      <c r="BB17" s="523" t="str">
        <f t="shared" si="12"/>
        <v>Wake Forest</v>
      </c>
      <c r="BC17" s="530">
        <v>7</v>
      </c>
      <c r="BD17" s="531">
        <v>5</v>
      </c>
      <c r="BE17" s="532">
        <v>0</v>
      </c>
      <c r="BF17" s="530">
        <v>7</v>
      </c>
      <c r="BG17" s="531">
        <v>5</v>
      </c>
      <c r="BH17" s="532">
        <v>0</v>
      </c>
      <c r="BI17" s="523" t="str">
        <f t="shared" si="13"/>
        <v>Missouri</v>
      </c>
      <c r="BJ17" s="530">
        <v>6</v>
      </c>
      <c r="BK17" s="531">
        <v>6</v>
      </c>
      <c r="BL17" s="532">
        <v>0</v>
      </c>
      <c r="BM17" s="530">
        <v>7</v>
      </c>
      <c r="BN17" s="531">
        <v>5</v>
      </c>
      <c r="BO17" s="532">
        <v>0</v>
      </c>
      <c r="BP17" s="527" t="str">
        <f>BB17</f>
        <v>Wake Forest</v>
      </c>
      <c r="BQ17" s="854">
        <v>0.56999999999999995</v>
      </c>
      <c r="BR17" s="851">
        <v>17</v>
      </c>
      <c r="BS17" s="527" t="s">
        <v>62</v>
      </c>
      <c r="BT17" s="527">
        <v>6.9</v>
      </c>
      <c r="BU17" s="527" t="s">
        <v>219</v>
      </c>
      <c r="BV17" s="523">
        <v>3.2</v>
      </c>
      <c r="BW17" s="527" t="str">
        <f t="shared" si="14"/>
        <v>Wake Forest</v>
      </c>
      <c r="BX17" s="523">
        <f t="shared" si="15"/>
        <v>3.7</v>
      </c>
      <c r="BY17" s="839">
        <v>21</v>
      </c>
      <c r="BZ17" s="527" t="str">
        <f t="shared" si="16"/>
        <v>Wake Forest</v>
      </c>
      <c r="CA17" s="558">
        <f t="shared" si="17"/>
        <v>1</v>
      </c>
      <c r="CB17" s="582">
        <v>3</v>
      </c>
      <c r="CC17" s="527">
        <v>13.666666666666666</v>
      </c>
      <c r="CD17" s="582">
        <v>11</v>
      </c>
      <c r="CE17" s="528" t="str">
        <f>BS17</f>
        <v>Wake Forest</v>
      </c>
      <c r="CF17" s="529" t="s">
        <v>477</v>
      </c>
      <c r="CG17" s="526" t="s">
        <v>510</v>
      </c>
      <c r="CH17" s="528" t="str">
        <f>BU17</f>
        <v>Missouri</v>
      </c>
      <c r="CI17" s="529" t="s">
        <v>486</v>
      </c>
      <c r="CJ17" s="526" t="s">
        <v>511</v>
      </c>
      <c r="CK17" s="528" t="str">
        <f>CH17</f>
        <v>Missouri</v>
      </c>
      <c r="CL17" s="529" t="s">
        <v>508</v>
      </c>
      <c r="CM17" s="526" t="s">
        <v>512</v>
      </c>
      <c r="CN17" s="523"/>
      <c r="CO17" s="523"/>
      <c r="CP17" s="807">
        <v>6.9</v>
      </c>
      <c r="CQ17" s="808">
        <v>3.2</v>
      </c>
      <c r="CR17" s="820">
        <f t="shared" si="18"/>
        <v>3.7</v>
      </c>
      <c r="CS17" s="833">
        <v>20</v>
      </c>
      <c r="CT17" s="592">
        <v>15</v>
      </c>
      <c r="CU17" s="592"/>
      <c r="CV17" s="592"/>
      <c r="CW17" s="592"/>
      <c r="CX17" s="592"/>
      <c r="CY17" s="592"/>
      <c r="CZ17" s="592"/>
      <c r="DA17" s="592"/>
      <c r="DB17" s="592"/>
      <c r="DC17" s="592"/>
      <c r="DD17" s="592"/>
      <c r="DE17" s="592"/>
      <c r="DF17" s="592"/>
      <c r="DG17" s="592"/>
      <c r="DH17" s="592"/>
      <c r="DI17" s="592"/>
      <c r="DJ17" s="592"/>
      <c r="DK17" s="592"/>
      <c r="DL17" s="592"/>
      <c r="DM17" s="628"/>
      <c r="DN17" s="628"/>
      <c r="DO17" s="628"/>
      <c r="DP17" s="628"/>
      <c r="DQ17" s="628"/>
      <c r="DR17" s="628"/>
      <c r="DS17" s="628"/>
      <c r="DT17" s="628"/>
      <c r="DU17" s="628"/>
      <c r="DV17" s="628"/>
      <c r="DW17" s="628"/>
      <c r="DX17" s="628"/>
      <c r="DY17" s="628"/>
    </row>
    <row r="18" spans="1:129" s="548" customFormat="1" ht="24" customHeight="1" x14ac:dyDescent="0.75">
      <c r="A18" s="501" t="s">
        <v>44</v>
      </c>
      <c r="B18" s="534" t="s">
        <v>34</v>
      </c>
      <c r="C18" s="535">
        <v>44919</v>
      </c>
      <c r="D18" s="536">
        <f>20/24</f>
        <v>0.83333333333333337</v>
      </c>
      <c r="E18" s="537" t="s">
        <v>35</v>
      </c>
      <c r="F18" s="543" t="s">
        <v>462</v>
      </c>
      <c r="G18" s="549" t="s">
        <v>39</v>
      </c>
      <c r="H18" s="543" t="s">
        <v>193</v>
      </c>
      <c r="I18" s="549" t="s">
        <v>45</v>
      </c>
      <c r="J18" s="543" t="str">
        <f>H18</f>
        <v>San Diego State</v>
      </c>
      <c r="K18" s="537" t="str">
        <f t="shared" si="1"/>
        <v>Middle Tenn State</v>
      </c>
      <c r="L18" s="571">
        <v>7</v>
      </c>
      <c r="M18" s="573">
        <v>49</v>
      </c>
      <c r="N18" s="634" t="str">
        <f>K18</f>
        <v>Middle Tenn State</v>
      </c>
      <c r="O18" s="758">
        <v>25</v>
      </c>
      <c r="P18" s="637" t="str">
        <f t="shared" ref="P18:P44" si="28">IF(+N18=K18,J18,K18)</f>
        <v>San Diego State</v>
      </c>
      <c r="Q18" s="547">
        <v>23</v>
      </c>
      <c r="R18" s="596" t="str">
        <f t="shared" si="3"/>
        <v>Middle Tenn State</v>
      </c>
      <c r="S18" s="596" t="str">
        <f t="shared" si="4"/>
        <v>San Diego State</v>
      </c>
      <c r="T18" s="534" t="str">
        <f t="shared" si="25"/>
        <v>San Diego State</v>
      </c>
      <c r="U18" s="537" t="str">
        <f t="shared" si="5"/>
        <v>L</v>
      </c>
      <c r="V18" s="534"/>
      <c r="W18" s="537" t="str">
        <f t="shared" si="6"/>
        <v>L</v>
      </c>
      <c r="X18" s="540"/>
      <c r="Y18" s="541"/>
      <c r="Z18" s="542"/>
      <c r="AA18" s="541"/>
      <c r="AB18" s="542"/>
      <c r="AC18" s="541"/>
      <c r="AD18" s="534" t="str">
        <f t="shared" si="24"/>
        <v>San Diego State</v>
      </c>
      <c r="AE18" s="547">
        <v>31</v>
      </c>
      <c r="AF18" s="543" t="str">
        <f>K18</f>
        <v>Middle Tenn State</v>
      </c>
      <c r="AG18" s="547">
        <v>4</v>
      </c>
      <c r="AH18" s="543" t="str">
        <f t="shared" si="22"/>
        <v>San Diego State</v>
      </c>
      <c r="AI18" s="547">
        <v>30</v>
      </c>
      <c r="AJ18" s="543" t="str">
        <f t="shared" si="23"/>
        <v>Middle Tenn State</v>
      </c>
      <c r="AK18" s="547">
        <v>4</v>
      </c>
      <c r="AL18" s="543" t="str">
        <f>H18</f>
        <v>San Diego State</v>
      </c>
      <c r="AM18" s="547">
        <v>5</v>
      </c>
      <c r="AN18" s="634" t="str">
        <f>H18</f>
        <v>San Diego State</v>
      </c>
      <c r="AO18" s="547">
        <v>30</v>
      </c>
      <c r="AP18" s="634" t="str">
        <f t="shared" si="26"/>
        <v>San Diego State</v>
      </c>
      <c r="AQ18" s="547">
        <v>29</v>
      </c>
      <c r="AR18" s="543" t="str">
        <f t="shared" si="27"/>
        <v>San Diego State</v>
      </c>
      <c r="AS18" s="547">
        <v>36</v>
      </c>
      <c r="AT18" s="606">
        <f t="shared" si="7"/>
        <v>0</v>
      </c>
      <c r="AU18" s="607">
        <f t="shared" si="8"/>
        <v>4</v>
      </c>
      <c r="AV18" s="876">
        <f t="shared" si="9"/>
        <v>0</v>
      </c>
      <c r="AW18" s="876">
        <f t="shared" si="19"/>
        <v>4</v>
      </c>
      <c r="AX18" s="876">
        <f t="shared" si="20"/>
        <v>0</v>
      </c>
      <c r="AY18" s="876">
        <f t="shared" si="10"/>
        <v>0</v>
      </c>
      <c r="AZ18" s="607">
        <f t="shared" si="11"/>
        <v>0</v>
      </c>
      <c r="BA18" s="608">
        <f t="shared" si="21"/>
        <v>0</v>
      </c>
      <c r="BB18" s="538" t="str">
        <f t="shared" si="12"/>
        <v>Middle Tenn State</v>
      </c>
      <c r="BC18" s="545">
        <v>7</v>
      </c>
      <c r="BD18" s="546">
        <v>5</v>
      </c>
      <c r="BE18" s="547">
        <v>0</v>
      </c>
      <c r="BF18" s="545">
        <v>5</v>
      </c>
      <c r="BG18" s="546">
        <v>6</v>
      </c>
      <c r="BH18" s="547">
        <v>1</v>
      </c>
      <c r="BI18" s="538" t="str">
        <f t="shared" si="13"/>
        <v>San Diego State</v>
      </c>
      <c r="BJ18" s="545">
        <v>7</v>
      </c>
      <c r="BK18" s="546">
        <v>5</v>
      </c>
      <c r="BL18" s="547">
        <v>0</v>
      </c>
      <c r="BM18" s="545">
        <v>5</v>
      </c>
      <c r="BN18" s="546">
        <v>7</v>
      </c>
      <c r="BO18" s="547">
        <v>0</v>
      </c>
      <c r="BP18" s="543" t="str">
        <f>BI18</f>
        <v>San Diego State</v>
      </c>
      <c r="BQ18" s="855">
        <v>0.7</v>
      </c>
      <c r="BR18" s="852">
        <v>35</v>
      </c>
      <c r="BS18" s="543" t="s">
        <v>462</v>
      </c>
      <c r="BT18" s="543">
        <v>-6.7</v>
      </c>
      <c r="BU18" s="543" t="s">
        <v>193</v>
      </c>
      <c r="BV18" s="538">
        <v>-5.4</v>
      </c>
      <c r="BW18" s="543" t="str">
        <f t="shared" si="14"/>
        <v>San Diego State</v>
      </c>
      <c r="BX18" s="538">
        <f t="shared" si="15"/>
        <v>1.2999999999999998</v>
      </c>
      <c r="BY18" s="840">
        <v>7</v>
      </c>
      <c r="BZ18" s="543" t="str">
        <f t="shared" si="16"/>
        <v>San Diego State</v>
      </c>
      <c r="CA18" s="755">
        <f t="shared" si="17"/>
        <v>7</v>
      </c>
      <c r="CB18" s="561">
        <v>30</v>
      </c>
      <c r="CC18" s="543">
        <v>23.666666666666668</v>
      </c>
      <c r="CD18" s="561">
        <v>24</v>
      </c>
      <c r="CE18" s="542"/>
      <c r="CF18" s="544"/>
      <c r="CG18" s="537"/>
      <c r="CH18" s="542"/>
      <c r="CI18" s="544"/>
      <c r="CJ18" s="537"/>
      <c r="CK18" s="542"/>
      <c r="CL18" s="544"/>
      <c r="CM18" s="537"/>
      <c r="CN18" s="539"/>
      <c r="CO18" s="538"/>
      <c r="CP18" s="811">
        <v>-6.7</v>
      </c>
      <c r="CQ18" s="804">
        <v>-5.4</v>
      </c>
      <c r="CR18" s="822">
        <f t="shared" si="18"/>
        <v>1.2999999999999998</v>
      </c>
      <c r="CS18" s="834">
        <v>6</v>
      </c>
      <c r="CT18" s="594">
        <v>16</v>
      </c>
      <c r="CU18" s="594"/>
      <c r="CV18" s="594"/>
      <c r="CW18" s="594"/>
      <c r="CX18" s="594"/>
      <c r="CY18" s="594"/>
      <c r="CZ18" s="594"/>
      <c r="DA18" s="594"/>
      <c r="DB18" s="594"/>
      <c r="DC18" s="594"/>
      <c r="DD18" s="594"/>
      <c r="DE18" s="594"/>
      <c r="DF18" s="594"/>
      <c r="DG18" s="594"/>
      <c r="DH18" s="594"/>
      <c r="DI18" s="594"/>
      <c r="DJ18" s="594"/>
      <c r="DK18" s="594"/>
      <c r="DL18" s="594"/>
      <c r="DM18" s="631"/>
      <c r="DN18" s="631"/>
      <c r="DO18" s="631"/>
      <c r="DP18" s="631"/>
      <c r="DQ18" s="631"/>
      <c r="DR18" s="631"/>
      <c r="DS18" s="631"/>
      <c r="DT18" s="631"/>
      <c r="DU18" s="631"/>
      <c r="DV18" s="631"/>
      <c r="DW18" s="631"/>
      <c r="DX18" s="631"/>
      <c r="DY18" s="631"/>
    </row>
    <row r="19" spans="1:129" s="548" customFormat="1" ht="24" customHeight="1" x14ac:dyDescent="0.75">
      <c r="A19" s="501" t="s">
        <v>418</v>
      </c>
      <c r="B19" s="534" t="s">
        <v>225</v>
      </c>
      <c r="C19" s="535">
        <v>44921</v>
      </c>
      <c r="D19" s="536">
        <f>14.5/24</f>
        <v>0.60416666666666663</v>
      </c>
      <c r="E19" s="537" t="s">
        <v>35</v>
      </c>
      <c r="F19" s="543" t="s">
        <v>78</v>
      </c>
      <c r="G19" s="549" t="s">
        <v>43</v>
      </c>
      <c r="H19" s="543" t="s">
        <v>138</v>
      </c>
      <c r="I19" s="549" t="s">
        <v>68</v>
      </c>
      <c r="J19" s="543" t="str">
        <f>H19</f>
        <v>Bowling Green</v>
      </c>
      <c r="K19" s="537" t="str">
        <f t="shared" si="1"/>
        <v>New Mexico State</v>
      </c>
      <c r="L19" s="571">
        <v>3</v>
      </c>
      <c r="M19" s="573">
        <v>48</v>
      </c>
      <c r="N19" s="634" t="str">
        <f>K19</f>
        <v>New Mexico State</v>
      </c>
      <c r="O19" s="758">
        <v>24</v>
      </c>
      <c r="P19" s="637" t="str">
        <f t="shared" si="28"/>
        <v>Bowling Green</v>
      </c>
      <c r="Q19" s="547">
        <v>19</v>
      </c>
      <c r="R19" s="596" t="str">
        <f t="shared" si="3"/>
        <v>New Mexico State</v>
      </c>
      <c r="S19" s="596" t="str">
        <f t="shared" si="4"/>
        <v>Bowling Green</v>
      </c>
      <c r="T19" s="534" t="str">
        <f t="shared" si="25"/>
        <v>Bowling Green</v>
      </c>
      <c r="U19" s="537" t="str">
        <f t="shared" si="5"/>
        <v>L</v>
      </c>
      <c r="V19" s="534"/>
      <c r="W19" s="537" t="str">
        <f t="shared" si="6"/>
        <v>L</v>
      </c>
      <c r="X19" s="540"/>
      <c r="Y19" s="541"/>
      <c r="Z19" s="542"/>
      <c r="AA19" s="541"/>
      <c r="AB19" s="542"/>
      <c r="AC19" s="541"/>
      <c r="AD19" s="534" t="str">
        <f t="shared" si="24"/>
        <v>Bowling Green</v>
      </c>
      <c r="AE19" s="547">
        <v>18</v>
      </c>
      <c r="AF19" s="543" t="str">
        <f>K19</f>
        <v>New Mexico State</v>
      </c>
      <c r="AG19" s="547">
        <v>2</v>
      </c>
      <c r="AH19" s="543" t="str">
        <f t="shared" si="22"/>
        <v>Bowling Green</v>
      </c>
      <c r="AI19" s="547">
        <v>17</v>
      </c>
      <c r="AJ19" s="543" t="str">
        <f t="shared" si="23"/>
        <v>New Mexico State</v>
      </c>
      <c r="AK19" s="547">
        <v>2</v>
      </c>
      <c r="AL19" s="543" t="str">
        <f>H19</f>
        <v>Bowling Green</v>
      </c>
      <c r="AM19" s="547">
        <v>30</v>
      </c>
      <c r="AN19" s="634" t="str">
        <f>F19</f>
        <v>New Mexico State</v>
      </c>
      <c r="AO19" s="547">
        <v>20</v>
      </c>
      <c r="AP19" s="634" t="str">
        <f t="shared" si="26"/>
        <v>Bowling Green</v>
      </c>
      <c r="AQ19" s="547">
        <v>11</v>
      </c>
      <c r="AR19" s="543" t="str">
        <f t="shared" si="27"/>
        <v>Bowling Green</v>
      </c>
      <c r="AS19" s="547">
        <v>15</v>
      </c>
      <c r="AT19" s="606">
        <f t="shared" si="7"/>
        <v>0</v>
      </c>
      <c r="AU19" s="607">
        <f t="shared" si="8"/>
        <v>2</v>
      </c>
      <c r="AV19" s="876">
        <f t="shared" si="9"/>
        <v>0</v>
      </c>
      <c r="AW19" s="876">
        <f t="shared" si="19"/>
        <v>2</v>
      </c>
      <c r="AX19" s="876">
        <f t="shared" si="20"/>
        <v>20</v>
      </c>
      <c r="AY19" s="876">
        <f t="shared" si="10"/>
        <v>0</v>
      </c>
      <c r="AZ19" s="607">
        <f t="shared" si="11"/>
        <v>0</v>
      </c>
      <c r="BA19" s="608">
        <f t="shared" si="21"/>
        <v>0</v>
      </c>
      <c r="BB19" s="538" t="str">
        <f t="shared" si="12"/>
        <v>New Mexico State</v>
      </c>
      <c r="BC19" s="545">
        <v>6</v>
      </c>
      <c r="BD19" s="546">
        <v>6</v>
      </c>
      <c r="BE19" s="547">
        <v>0</v>
      </c>
      <c r="BF19" s="545">
        <v>7</v>
      </c>
      <c r="BG19" s="546">
        <v>5</v>
      </c>
      <c r="BH19" s="547">
        <v>0</v>
      </c>
      <c r="BI19" s="538" t="str">
        <f t="shared" si="13"/>
        <v>Bowling Green</v>
      </c>
      <c r="BJ19" s="545">
        <v>6</v>
      </c>
      <c r="BK19" s="546">
        <v>6</v>
      </c>
      <c r="BL19" s="547">
        <v>0</v>
      </c>
      <c r="BM19" s="545">
        <v>4</v>
      </c>
      <c r="BN19" s="546">
        <v>7</v>
      </c>
      <c r="BO19" s="547">
        <v>1</v>
      </c>
      <c r="BP19" s="543" t="str">
        <f>BI19</f>
        <v>Bowling Green</v>
      </c>
      <c r="BQ19" s="855">
        <v>0.53</v>
      </c>
      <c r="BR19" s="852">
        <v>12</v>
      </c>
      <c r="BS19" s="543" t="s">
        <v>78</v>
      </c>
      <c r="BT19" s="543">
        <v>-15.1</v>
      </c>
      <c r="BU19" s="543" t="s">
        <v>138</v>
      </c>
      <c r="BV19" s="538">
        <v>-16.2</v>
      </c>
      <c r="BW19" s="543" t="str">
        <f t="shared" si="14"/>
        <v>New Mexico State</v>
      </c>
      <c r="BX19" s="538">
        <f t="shared" si="15"/>
        <v>1.0999999999999996</v>
      </c>
      <c r="BY19" s="840">
        <v>5</v>
      </c>
      <c r="BZ19" s="543" t="str">
        <f t="shared" si="16"/>
        <v>Bowling Green</v>
      </c>
      <c r="CA19" s="559">
        <f t="shared" si="17"/>
        <v>3</v>
      </c>
      <c r="CB19" s="561">
        <v>15</v>
      </c>
      <c r="CC19" s="543">
        <v>10</v>
      </c>
      <c r="CD19" s="561">
        <v>6</v>
      </c>
      <c r="CE19" s="542" t="str">
        <f>BS19</f>
        <v>New Mexico State</v>
      </c>
      <c r="CF19" s="544" t="s">
        <v>513</v>
      </c>
      <c r="CG19" s="537" t="s">
        <v>514</v>
      </c>
      <c r="CH19" s="542"/>
      <c r="CI19" s="544"/>
      <c r="CJ19" s="537"/>
      <c r="CK19" s="542"/>
      <c r="CL19" s="544"/>
      <c r="CM19" s="537"/>
      <c r="CN19" s="539"/>
      <c r="CO19" s="538"/>
      <c r="CP19" s="811">
        <v>-15.1</v>
      </c>
      <c r="CQ19" s="804">
        <v>-16.2</v>
      </c>
      <c r="CR19" s="822">
        <f t="shared" si="18"/>
        <v>1.0999999999999996</v>
      </c>
      <c r="CS19" s="834">
        <v>4</v>
      </c>
      <c r="CT19" s="594">
        <v>17</v>
      </c>
      <c r="CU19" s="594"/>
      <c r="CV19" s="594"/>
      <c r="CW19" s="594"/>
      <c r="CX19" s="594"/>
      <c r="CY19" s="594"/>
      <c r="CZ19" s="594"/>
      <c r="DA19" s="594"/>
      <c r="DB19" s="594"/>
      <c r="DC19" s="594"/>
      <c r="DD19" s="594"/>
      <c r="DE19" s="594"/>
      <c r="DF19" s="594"/>
      <c r="DG19" s="594"/>
      <c r="DH19" s="594"/>
      <c r="DI19" s="594"/>
      <c r="DJ19" s="594"/>
      <c r="DK19" s="594"/>
      <c r="DL19" s="594"/>
      <c r="DM19" s="631"/>
      <c r="DN19" s="631"/>
      <c r="DO19" s="631"/>
      <c r="DP19" s="631"/>
      <c r="DQ19" s="631"/>
      <c r="DR19" s="631"/>
      <c r="DS19" s="631"/>
      <c r="DT19" s="631"/>
      <c r="DU19" s="631"/>
      <c r="DV19" s="631"/>
      <c r="DW19" s="631"/>
      <c r="DX19" s="631"/>
      <c r="DY19" s="631"/>
    </row>
    <row r="20" spans="1:129" s="548" customFormat="1" ht="24" customHeight="1" x14ac:dyDescent="0.75">
      <c r="A20" s="501" t="s">
        <v>296</v>
      </c>
      <c r="B20" s="534" t="s">
        <v>395</v>
      </c>
      <c r="C20" s="535">
        <v>44922</v>
      </c>
      <c r="D20" s="536">
        <f>12/24</f>
        <v>0.5</v>
      </c>
      <c r="E20" s="537" t="s">
        <v>35</v>
      </c>
      <c r="F20" s="543" t="s">
        <v>210</v>
      </c>
      <c r="G20" s="549" t="s">
        <v>59</v>
      </c>
      <c r="H20" s="543" t="s">
        <v>67</v>
      </c>
      <c r="I20" s="549" t="s">
        <v>68</v>
      </c>
      <c r="J20" s="543" t="str">
        <f>F20</f>
        <v>Georgia Southern</v>
      </c>
      <c r="K20" s="537" t="str">
        <f t="shared" si="1"/>
        <v>Buffalo</v>
      </c>
      <c r="L20" s="571">
        <v>3.5</v>
      </c>
      <c r="M20" s="573">
        <v>66.5</v>
      </c>
      <c r="N20" s="634" t="str">
        <f>K20</f>
        <v>Buffalo</v>
      </c>
      <c r="O20" s="546">
        <v>23</v>
      </c>
      <c r="P20" s="637" t="str">
        <f t="shared" si="28"/>
        <v>Georgia Southern</v>
      </c>
      <c r="Q20" s="547">
        <v>21</v>
      </c>
      <c r="R20" s="596" t="str">
        <f t="shared" si="3"/>
        <v>Buffalo</v>
      </c>
      <c r="S20" s="596" t="str">
        <f t="shared" si="4"/>
        <v>Georgia Southern</v>
      </c>
      <c r="T20" s="534" t="str">
        <f t="shared" si="25"/>
        <v>Georgia Southern</v>
      </c>
      <c r="U20" s="537" t="str">
        <f t="shared" si="5"/>
        <v>L</v>
      </c>
      <c r="V20" s="534"/>
      <c r="W20" s="537" t="str">
        <f t="shared" si="6"/>
        <v>L</v>
      </c>
      <c r="X20" s="540"/>
      <c r="Y20" s="541"/>
      <c r="Z20" s="542"/>
      <c r="AA20" s="541"/>
      <c r="AB20" s="542"/>
      <c r="AC20" s="541"/>
      <c r="AD20" s="534" t="str">
        <f t="shared" si="24"/>
        <v>Georgia Southern</v>
      </c>
      <c r="AE20" s="547">
        <v>19</v>
      </c>
      <c r="AF20" s="609" t="str">
        <f>K20</f>
        <v>Buffalo</v>
      </c>
      <c r="AG20" s="547">
        <v>9</v>
      </c>
      <c r="AH20" s="609" t="str">
        <f t="shared" si="22"/>
        <v>Georgia Southern</v>
      </c>
      <c r="AI20" s="547">
        <v>18</v>
      </c>
      <c r="AJ20" s="609" t="str">
        <f t="shared" si="23"/>
        <v>Buffalo</v>
      </c>
      <c r="AK20" s="547">
        <v>10</v>
      </c>
      <c r="AL20" s="609" t="str">
        <f>F20</f>
        <v>Georgia Southern</v>
      </c>
      <c r="AM20" s="547">
        <v>37</v>
      </c>
      <c r="AN20" s="634" t="str">
        <f>H20</f>
        <v>Buffalo</v>
      </c>
      <c r="AO20" s="547">
        <v>19</v>
      </c>
      <c r="AP20" s="634" t="str">
        <f t="shared" si="26"/>
        <v>Buffalo</v>
      </c>
      <c r="AQ20" s="547">
        <v>22</v>
      </c>
      <c r="AR20" s="543" t="str">
        <f t="shared" si="27"/>
        <v>Georgia Southern</v>
      </c>
      <c r="AS20" s="547">
        <v>28</v>
      </c>
      <c r="AT20" s="606">
        <f t="shared" si="7"/>
        <v>0</v>
      </c>
      <c r="AU20" s="607">
        <f t="shared" si="8"/>
        <v>9</v>
      </c>
      <c r="AV20" s="876">
        <f t="shared" si="9"/>
        <v>0</v>
      </c>
      <c r="AW20" s="876">
        <f t="shared" si="19"/>
        <v>10</v>
      </c>
      <c r="AX20" s="876">
        <f t="shared" si="20"/>
        <v>19</v>
      </c>
      <c r="AY20" s="876">
        <f t="shared" si="10"/>
        <v>22</v>
      </c>
      <c r="AZ20" s="607">
        <f t="shared" si="11"/>
        <v>0</v>
      </c>
      <c r="BA20" s="608">
        <f t="shared" si="21"/>
        <v>0</v>
      </c>
      <c r="BB20" s="538" t="str">
        <f t="shared" si="12"/>
        <v>Georgia Southern</v>
      </c>
      <c r="BC20" s="545">
        <v>6</v>
      </c>
      <c r="BD20" s="546">
        <v>6</v>
      </c>
      <c r="BE20" s="547">
        <v>0</v>
      </c>
      <c r="BF20" s="545">
        <v>7</v>
      </c>
      <c r="BG20" s="546">
        <v>5</v>
      </c>
      <c r="BH20" s="547">
        <v>0</v>
      </c>
      <c r="BI20" s="538" t="str">
        <f t="shared" si="13"/>
        <v>Buffalo</v>
      </c>
      <c r="BJ20" s="545">
        <v>6</v>
      </c>
      <c r="BK20" s="546">
        <v>6</v>
      </c>
      <c r="BL20" s="547">
        <v>0</v>
      </c>
      <c r="BM20" s="545">
        <v>6</v>
      </c>
      <c r="BN20" s="546">
        <v>5</v>
      </c>
      <c r="BO20" s="547">
        <v>1</v>
      </c>
      <c r="BP20" s="543" t="str">
        <f>BB20</f>
        <v>Georgia Southern</v>
      </c>
      <c r="BQ20" s="855">
        <v>0.54</v>
      </c>
      <c r="BR20" s="852">
        <v>13</v>
      </c>
      <c r="BS20" s="543" t="s">
        <v>210</v>
      </c>
      <c r="BT20" s="543">
        <v>-5.7</v>
      </c>
      <c r="BU20" s="543" t="s">
        <v>67</v>
      </c>
      <c r="BV20" s="538">
        <v>-8.1</v>
      </c>
      <c r="BW20" s="543" t="str">
        <f t="shared" si="14"/>
        <v>Georgia Southern</v>
      </c>
      <c r="BX20" s="538">
        <f t="shared" si="15"/>
        <v>2.3999999999999995</v>
      </c>
      <c r="BY20" s="840">
        <v>13</v>
      </c>
      <c r="BZ20" s="543" t="str">
        <f t="shared" si="16"/>
        <v>Georgia Southern</v>
      </c>
      <c r="CA20" s="559">
        <f t="shared" si="17"/>
        <v>3.5</v>
      </c>
      <c r="CB20" s="561">
        <v>18</v>
      </c>
      <c r="CC20" s="543">
        <v>15</v>
      </c>
      <c r="CD20" s="561">
        <v>13</v>
      </c>
      <c r="CE20" s="542"/>
      <c r="CF20" s="544"/>
      <c r="CG20" s="537"/>
      <c r="CH20" s="542"/>
      <c r="CI20" s="544"/>
      <c r="CJ20" s="537"/>
      <c r="CK20" s="542"/>
      <c r="CL20" s="544"/>
      <c r="CM20" s="537"/>
      <c r="CN20" s="539"/>
      <c r="CO20" s="538"/>
      <c r="CP20" s="811">
        <v>-5.7</v>
      </c>
      <c r="CQ20" s="804">
        <v>-8.1</v>
      </c>
      <c r="CR20" s="822">
        <f t="shared" si="18"/>
        <v>2.3999999999999995</v>
      </c>
      <c r="CS20" s="834">
        <v>12</v>
      </c>
      <c r="CT20" s="594">
        <v>18</v>
      </c>
      <c r="CU20" s="594"/>
      <c r="CV20" s="594"/>
      <c r="CW20" s="594"/>
      <c r="CX20" s="594"/>
      <c r="CY20" s="594"/>
      <c r="CZ20" s="594"/>
      <c r="DA20" s="594"/>
      <c r="DB20" s="594"/>
      <c r="DC20" s="594"/>
      <c r="DD20" s="594"/>
      <c r="DE20" s="594"/>
      <c r="DF20" s="594"/>
      <c r="DG20" s="594"/>
      <c r="DH20" s="594"/>
      <c r="DI20" s="594"/>
      <c r="DJ20" s="594"/>
      <c r="DK20" s="594"/>
      <c r="DL20" s="594"/>
      <c r="DM20" s="631"/>
      <c r="DN20" s="631"/>
      <c r="DO20" s="631"/>
      <c r="DP20" s="631"/>
      <c r="DQ20" s="631"/>
      <c r="DR20" s="631"/>
      <c r="DS20" s="631"/>
      <c r="DT20" s="631"/>
      <c r="DU20" s="631"/>
      <c r="DV20" s="631"/>
      <c r="DW20" s="631"/>
      <c r="DX20" s="631"/>
      <c r="DY20" s="631"/>
    </row>
    <row r="21" spans="1:129" s="593" customFormat="1" ht="24" customHeight="1" x14ac:dyDescent="0.75">
      <c r="A21" s="500" t="s">
        <v>400</v>
      </c>
      <c r="B21" s="519" t="s">
        <v>395</v>
      </c>
      <c r="C21" s="520">
        <v>44922</v>
      </c>
      <c r="D21" s="521">
        <f>15.25/24</f>
        <v>0.63541666666666663</v>
      </c>
      <c r="E21" s="522" t="s">
        <v>35</v>
      </c>
      <c r="F21" s="527" t="s">
        <v>60</v>
      </c>
      <c r="G21" s="554" t="s">
        <v>50</v>
      </c>
      <c r="H21" s="527" t="s">
        <v>93</v>
      </c>
      <c r="I21" s="554" t="s">
        <v>45</v>
      </c>
      <c r="J21" s="527" t="str">
        <f>F21</f>
        <v>Memphis</v>
      </c>
      <c r="K21" s="522" t="str">
        <f t="shared" si="1"/>
        <v>Utah State</v>
      </c>
      <c r="L21" s="570">
        <v>7</v>
      </c>
      <c r="M21" s="572">
        <v>62</v>
      </c>
      <c r="N21" s="633" t="str">
        <f t="shared" ref="N21:N26" si="29">J21</f>
        <v>Memphis</v>
      </c>
      <c r="O21" s="635">
        <v>38</v>
      </c>
      <c r="P21" s="636" t="str">
        <f t="shared" si="28"/>
        <v>Utah State</v>
      </c>
      <c r="Q21" s="532">
        <v>10</v>
      </c>
      <c r="R21" s="597" t="str">
        <f t="shared" si="3"/>
        <v>Memphis</v>
      </c>
      <c r="S21" s="597" t="str">
        <f t="shared" si="4"/>
        <v>Utah State</v>
      </c>
      <c r="T21" s="519" t="str">
        <f t="shared" si="25"/>
        <v>Memphis</v>
      </c>
      <c r="U21" s="522" t="str">
        <f t="shared" si="5"/>
        <v>W</v>
      </c>
      <c r="V21" s="519"/>
      <c r="W21" s="522" t="str">
        <f t="shared" si="6"/>
        <v>L</v>
      </c>
      <c r="X21" s="525"/>
      <c r="Y21" s="526"/>
      <c r="Z21" s="528"/>
      <c r="AA21" s="526"/>
      <c r="AB21" s="528"/>
      <c r="AC21" s="526"/>
      <c r="AD21" s="519" t="str">
        <f t="shared" si="24"/>
        <v>Memphis</v>
      </c>
      <c r="AE21" s="532">
        <v>32</v>
      </c>
      <c r="AF21" s="610" t="str">
        <f>J21</f>
        <v>Memphis</v>
      </c>
      <c r="AG21" s="532">
        <v>41</v>
      </c>
      <c r="AH21" s="610" t="str">
        <f t="shared" si="22"/>
        <v>Memphis</v>
      </c>
      <c r="AI21" s="532">
        <v>31</v>
      </c>
      <c r="AJ21" s="610" t="str">
        <f t="shared" si="23"/>
        <v>Memphis</v>
      </c>
      <c r="AK21" s="532">
        <v>24</v>
      </c>
      <c r="AL21" s="610" t="str">
        <f>F21</f>
        <v>Memphis</v>
      </c>
      <c r="AM21" s="532">
        <v>31</v>
      </c>
      <c r="AN21" s="633" t="str">
        <f>F21</f>
        <v>Memphis</v>
      </c>
      <c r="AO21" s="532">
        <v>29</v>
      </c>
      <c r="AP21" s="633" t="str">
        <f>F21</f>
        <v>Memphis</v>
      </c>
      <c r="AQ21" s="532">
        <v>24</v>
      </c>
      <c r="AR21" s="527" t="str">
        <f t="shared" si="27"/>
        <v>Memphis</v>
      </c>
      <c r="AS21" s="532">
        <v>27</v>
      </c>
      <c r="AT21" s="603">
        <f t="shared" si="7"/>
        <v>32</v>
      </c>
      <c r="AU21" s="604">
        <f t="shared" si="8"/>
        <v>41</v>
      </c>
      <c r="AV21" s="875">
        <f t="shared" si="9"/>
        <v>31</v>
      </c>
      <c r="AW21" s="875">
        <f t="shared" si="19"/>
        <v>24</v>
      </c>
      <c r="AX21" s="875">
        <f t="shared" si="20"/>
        <v>29</v>
      </c>
      <c r="AY21" s="875">
        <f t="shared" si="10"/>
        <v>24</v>
      </c>
      <c r="AZ21" s="604">
        <f t="shared" si="11"/>
        <v>31</v>
      </c>
      <c r="BA21" s="605">
        <f t="shared" si="21"/>
        <v>27</v>
      </c>
      <c r="BB21" s="523" t="str">
        <f t="shared" si="12"/>
        <v>Memphis</v>
      </c>
      <c r="BC21" s="530">
        <v>6</v>
      </c>
      <c r="BD21" s="531">
        <v>6</v>
      </c>
      <c r="BE21" s="532">
        <v>0</v>
      </c>
      <c r="BF21" s="530">
        <v>6</v>
      </c>
      <c r="BG21" s="531">
        <v>6</v>
      </c>
      <c r="BH21" s="532">
        <v>0</v>
      </c>
      <c r="BI21" s="523" t="str">
        <f t="shared" si="13"/>
        <v>Utah State</v>
      </c>
      <c r="BJ21" s="530">
        <v>6</v>
      </c>
      <c r="BK21" s="531">
        <v>6</v>
      </c>
      <c r="BL21" s="532">
        <v>0</v>
      </c>
      <c r="BM21" s="530">
        <v>4</v>
      </c>
      <c r="BN21" s="531">
        <v>8</v>
      </c>
      <c r="BO21" s="532">
        <v>0</v>
      </c>
      <c r="BP21" s="527" t="str">
        <f>BB21</f>
        <v>Memphis</v>
      </c>
      <c r="BQ21" s="854">
        <v>0.76</v>
      </c>
      <c r="BR21" s="851">
        <v>39</v>
      </c>
      <c r="BS21" s="527" t="s">
        <v>60</v>
      </c>
      <c r="BT21" s="527">
        <v>3.5</v>
      </c>
      <c r="BU21" s="527" t="s">
        <v>93</v>
      </c>
      <c r="BV21" s="523">
        <v>-11.1</v>
      </c>
      <c r="BW21" s="527" t="str">
        <f t="shared" si="14"/>
        <v>Memphis</v>
      </c>
      <c r="BX21" s="523">
        <f t="shared" si="15"/>
        <v>14.6</v>
      </c>
      <c r="BY21" s="839">
        <v>41</v>
      </c>
      <c r="BZ21" s="527" t="str">
        <f t="shared" si="16"/>
        <v>Memphis</v>
      </c>
      <c r="CA21" s="558">
        <f t="shared" si="17"/>
        <v>7</v>
      </c>
      <c r="CB21" s="582">
        <v>29</v>
      </c>
      <c r="CC21" s="527">
        <v>37.333333333333336</v>
      </c>
      <c r="CD21" s="582">
        <v>40</v>
      </c>
      <c r="CE21" s="528" t="str">
        <f>BU21</f>
        <v>Utah State</v>
      </c>
      <c r="CF21" s="529" t="s">
        <v>477</v>
      </c>
      <c r="CG21" s="522" t="s">
        <v>515</v>
      </c>
      <c r="CH21" s="528"/>
      <c r="CI21" s="529"/>
      <c r="CJ21" s="522"/>
      <c r="CK21" s="528"/>
      <c r="CL21" s="529"/>
      <c r="CM21" s="522"/>
      <c r="CN21" s="524"/>
      <c r="CO21" s="523"/>
      <c r="CP21" s="807">
        <v>3.5</v>
      </c>
      <c r="CQ21" s="808">
        <v>-11.1</v>
      </c>
      <c r="CR21" s="820">
        <f t="shared" si="18"/>
        <v>14.6</v>
      </c>
      <c r="CS21" s="833">
        <v>40</v>
      </c>
      <c r="CT21" s="592">
        <v>19</v>
      </c>
      <c r="CU21" s="592"/>
      <c r="CV21" s="592"/>
      <c r="CW21" s="592"/>
      <c r="CX21" s="592"/>
      <c r="CY21" s="592"/>
      <c r="CZ21" s="592"/>
      <c r="DA21" s="592"/>
      <c r="DB21" s="592"/>
      <c r="DC21" s="592"/>
      <c r="DD21" s="592"/>
      <c r="DE21" s="592"/>
      <c r="DF21" s="592"/>
      <c r="DG21" s="592"/>
      <c r="DH21" s="592"/>
      <c r="DI21" s="592"/>
      <c r="DJ21" s="592"/>
      <c r="DK21" s="592"/>
      <c r="DL21" s="592"/>
      <c r="DM21" s="628"/>
      <c r="DN21" s="628"/>
      <c r="DO21" s="628"/>
      <c r="DP21" s="628"/>
      <c r="DQ21" s="628"/>
      <c r="DR21" s="628"/>
      <c r="DS21" s="628"/>
      <c r="DT21" s="628"/>
      <c r="DU21" s="628"/>
      <c r="DV21" s="628"/>
      <c r="DW21" s="628"/>
      <c r="DX21" s="628"/>
      <c r="DY21" s="628"/>
    </row>
    <row r="22" spans="1:129" s="593" customFormat="1" ht="24" customHeight="1" x14ac:dyDescent="0.75">
      <c r="A22" s="500" t="s">
        <v>299</v>
      </c>
      <c r="B22" s="519" t="s">
        <v>395</v>
      </c>
      <c r="C22" s="520">
        <v>44922</v>
      </c>
      <c r="D22" s="521">
        <f>18.75/24</f>
        <v>0.78125</v>
      </c>
      <c r="E22" s="522" t="s">
        <v>35</v>
      </c>
      <c r="F22" s="527" t="s">
        <v>205</v>
      </c>
      <c r="G22" s="554" t="s">
        <v>59</v>
      </c>
      <c r="H22" s="527" t="s">
        <v>107</v>
      </c>
      <c r="I22" s="554" t="s">
        <v>50</v>
      </c>
      <c r="J22" s="527" t="str">
        <f>H22</f>
        <v>East Carolina</v>
      </c>
      <c r="K22" s="522" t="str">
        <f t="shared" si="1"/>
        <v>Coastal Carolina</v>
      </c>
      <c r="L22" s="570">
        <v>10.5</v>
      </c>
      <c r="M22" s="572">
        <v>59.5</v>
      </c>
      <c r="N22" s="633" t="str">
        <f t="shared" si="29"/>
        <v>East Carolina</v>
      </c>
      <c r="O22" s="635">
        <v>53</v>
      </c>
      <c r="P22" s="636" t="str">
        <f t="shared" si="28"/>
        <v>Coastal Carolina</v>
      </c>
      <c r="Q22" s="532">
        <v>29</v>
      </c>
      <c r="R22" s="597" t="str">
        <f t="shared" si="3"/>
        <v>East Carolina</v>
      </c>
      <c r="S22" s="597" t="str">
        <f t="shared" si="4"/>
        <v>Coastal Carolina</v>
      </c>
      <c r="T22" s="519" t="str">
        <f t="shared" si="25"/>
        <v>East Carolina</v>
      </c>
      <c r="U22" s="522" t="str">
        <f t="shared" si="5"/>
        <v>W</v>
      </c>
      <c r="V22" s="519"/>
      <c r="W22" s="522" t="str">
        <f t="shared" si="6"/>
        <v>L</v>
      </c>
      <c r="X22" s="525"/>
      <c r="Y22" s="526"/>
      <c r="Z22" s="528"/>
      <c r="AA22" s="526"/>
      <c r="AB22" s="528"/>
      <c r="AC22" s="526"/>
      <c r="AD22" s="519" t="str">
        <f t="shared" si="24"/>
        <v>East Carolina</v>
      </c>
      <c r="AE22" s="532">
        <v>39</v>
      </c>
      <c r="AF22" s="610" t="str">
        <f>J22</f>
        <v>East Carolina</v>
      </c>
      <c r="AG22" s="532">
        <v>38</v>
      </c>
      <c r="AH22" s="610" t="str">
        <f t="shared" si="22"/>
        <v>East Carolina</v>
      </c>
      <c r="AI22" s="532">
        <v>28</v>
      </c>
      <c r="AJ22" s="610" t="str">
        <f t="shared" si="23"/>
        <v>East Carolina</v>
      </c>
      <c r="AK22" s="532">
        <v>37</v>
      </c>
      <c r="AL22" s="610" t="str">
        <f>H22</f>
        <v>East Carolina</v>
      </c>
      <c r="AM22" s="532">
        <v>40</v>
      </c>
      <c r="AN22" s="633" t="str">
        <f>H22</f>
        <v>East Carolina</v>
      </c>
      <c r="AO22" s="532">
        <v>39</v>
      </c>
      <c r="AP22" s="633" t="str">
        <f>H22</f>
        <v>East Carolina</v>
      </c>
      <c r="AQ22" s="532">
        <v>8</v>
      </c>
      <c r="AR22" s="527" t="str">
        <f t="shared" si="27"/>
        <v>East Carolina</v>
      </c>
      <c r="AS22" s="532">
        <v>23</v>
      </c>
      <c r="AT22" s="603">
        <f t="shared" si="7"/>
        <v>39</v>
      </c>
      <c r="AU22" s="604">
        <f t="shared" si="8"/>
        <v>38</v>
      </c>
      <c r="AV22" s="875">
        <f t="shared" si="9"/>
        <v>28</v>
      </c>
      <c r="AW22" s="875">
        <f t="shared" si="19"/>
        <v>37</v>
      </c>
      <c r="AX22" s="875">
        <f t="shared" si="20"/>
        <v>39</v>
      </c>
      <c r="AY22" s="875">
        <f t="shared" si="10"/>
        <v>8</v>
      </c>
      <c r="AZ22" s="604">
        <f t="shared" si="11"/>
        <v>40</v>
      </c>
      <c r="BA22" s="605">
        <f t="shared" si="21"/>
        <v>23</v>
      </c>
      <c r="BB22" s="523" t="str">
        <f t="shared" si="12"/>
        <v>Coastal Carolina</v>
      </c>
      <c r="BC22" s="530">
        <v>9</v>
      </c>
      <c r="BD22" s="531">
        <v>3</v>
      </c>
      <c r="BE22" s="532">
        <v>0</v>
      </c>
      <c r="BF22" s="530">
        <v>4</v>
      </c>
      <c r="BG22" s="531">
        <v>7</v>
      </c>
      <c r="BH22" s="532">
        <v>1</v>
      </c>
      <c r="BI22" s="523" t="str">
        <f t="shared" si="13"/>
        <v>East Carolina</v>
      </c>
      <c r="BJ22" s="530">
        <v>7</v>
      </c>
      <c r="BK22" s="531">
        <v>5</v>
      </c>
      <c r="BL22" s="532">
        <v>0</v>
      </c>
      <c r="BM22" s="530">
        <v>7</v>
      </c>
      <c r="BN22" s="531">
        <v>5</v>
      </c>
      <c r="BO22" s="532">
        <v>0</v>
      </c>
      <c r="BP22" s="527" t="str">
        <f>BI22</f>
        <v>East Carolina</v>
      </c>
      <c r="BQ22" s="854">
        <v>0.64</v>
      </c>
      <c r="BR22" s="851">
        <v>29</v>
      </c>
      <c r="BS22" s="527" t="s">
        <v>205</v>
      </c>
      <c r="BT22" s="527">
        <v>-5.7</v>
      </c>
      <c r="BU22" s="527" t="s">
        <v>107</v>
      </c>
      <c r="BV22" s="523">
        <v>0.8</v>
      </c>
      <c r="BW22" s="527" t="str">
        <f t="shared" si="14"/>
        <v>East Carolina</v>
      </c>
      <c r="BX22" s="523">
        <f t="shared" si="15"/>
        <v>6.5</v>
      </c>
      <c r="BY22" s="839">
        <v>29</v>
      </c>
      <c r="BZ22" s="527" t="str">
        <f t="shared" si="16"/>
        <v>East Carolina</v>
      </c>
      <c r="CA22" s="558">
        <f t="shared" si="17"/>
        <v>10.5</v>
      </c>
      <c r="CB22" s="582">
        <v>40</v>
      </c>
      <c r="CC22" s="527">
        <v>32.333333333333336</v>
      </c>
      <c r="CD22" s="582">
        <v>33</v>
      </c>
      <c r="CE22" s="583" t="str">
        <f>BU22</f>
        <v>East Carolina</v>
      </c>
      <c r="CF22" s="533" t="s">
        <v>516</v>
      </c>
      <c r="CG22" s="522" t="s">
        <v>517</v>
      </c>
      <c r="CH22" s="583" t="str">
        <f>CE22</f>
        <v>East Carolina</v>
      </c>
      <c r="CI22" s="533" t="s">
        <v>489</v>
      </c>
      <c r="CJ22" s="522" t="s">
        <v>518</v>
      </c>
      <c r="CK22" s="583"/>
      <c r="CL22" s="533"/>
      <c r="CM22" s="522"/>
      <c r="CN22" s="524"/>
      <c r="CO22" s="523" t="s">
        <v>205</v>
      </c>
      <c r="CP22" s="807">
        <v>-5.7</v>
      </c>
      <c r="CQ22" s="808">
        <v>0.8</v>
      </c>
      <c r="CR22" s="820">
        <f t="shared" si="18"/>
        <v>6.5</v>
      </c>
      <c r="CS22" s="833">
        <v>28</v>
      </c>
      <c r="CT22" s="592">
        <v>20</v>
      </c>
      <c r="CU22" s="592"/>
      <c r="CV22" s="592"/>
      <c r="CW22" s="592"/>
      <c r="CX22" s="592"/>
      <c r="CY22" s="592"/>
      <c r="CZ22" s="592"/>
      <c r="DA22" s="592"/>
      <c r="DB22" s="592"/>
      <c r="DC22" s="592"/>
      <c r="DD22" s="592"/>
      <c r="DE22" s="592"/>
      <c r="DF22" s="592"/>
      <c r="DG22" s="592"/>
      <c r="DH22" s="592"/>
      <c r="DI22" s="592"/>
      <c r="DJ22" s="592"/>
      <c r="DK22" s="592"/>
      <c r="DL22" s="592"/>
      <c r="DM22" s="628"/>
      <c r="DN22" s="628"/>
      <c r="DO22" s="628"/>
      <c r="DP22" s="628"/>
      <c r="DQ22" s="628"/>
      <c r="DR22" s="628"/>
      <c r="DS22" s="628"/>
      <c r="DT22" s="628"/>
      <c r="DU22" s="628"/>
      <c r="DV22" s="628"/>
      <c r="DW22" s="628"/>
      <c r="DX22" s="628"/>
      <c r="DY22" s="628"/>
    </row>
    <row r="23" spans="1:129" s="593" customFormat="1" ht="24" customHeight="1" x14ac:dyDescent="0.75">
      <c r="A23" s="500" t="s">
        <v>419</v>
      </c>
      <c r="B23" s="519" t="s">
        <v>395</v>
      </c>
      <c r="C23" s="520">
        <v>44922</v>
      </c>
      <c r="D23" s="521">
        <f>22.25/24</f>
        <v>0.92708333333333337</v>
      </c>
      <c r="E23" s="522" t="s">
        <v>35</v>
      </c>
      <c r="F23" s="527" t="s">
        <v>94</v>
      </c>
      <c r="G23" s="554" t="s">
        <v>64</v>
      </c>
      <c r="H23" s="527" t="s">
        <v>72</v>
      </c>
      <c r="I23" s="554" t="s">
        <v>73</v>
      </c>
      <c r="J23" s="527" t="str">
        <f>F23</f>
        <v>Wisconsin</v>
      </c>
      <c r="K23" s="522" t="str">
        <f t="shared" si="1"/>
        <v>Oklahoma State</v>
      </c>
      <c r="L23" s="570">
        <v>3</v>
      </c>
      <c r="M23" s="572">
        <v>43</v>
      </c>
      <c r="N23" s="633" t="str">
        <f t="shared" si="29"/>
        <v>Wisconsin</v>
      </c>
      <c r="O23" s="635">
        <v>24</v>
      </c>
      <c r="P23" s="636" t="str">
        <f t="shared" si="28"/>
        <v>Oklahoma State</v>
      </c>
      <c r="Q23" s="532">
        <v>17</v>
      </c>
      <c r="R23" s="597" t="str">
        <f t="shared" si="3"/>
        <v>Wisconsin</v>
      </c>
      <c r="S23" s="597" t="str">
        <f t="shared" si="4"/>
        <v>Oklahoma State</v>
      </c>
      <c r="T23" s="519" t="str">
        <f>K23</f>
        <v>Oklahoma State</v>
      </c>
      <c r="U23" s="522" t="str">
        <f t="shared" si="5"/>
        <v>L</v>
      </c>
      <c r="V23" s="519"/>
      <c r="W23" s="522" t="str">
        <f t="shared" si="6"/>
        <v>L</v>
      </c>
      <c r="X23" s="525"/>
      <c r="Y23" s="526"/>
      <c r="Z23" s="528"/>
      <c r="AA23" s="526"/>
      <c r="AB23" s="528"/>
      <c r="AC23" s="526"/>
      <c r="AD23" s="519" t="str">
        <f>K23</f>
        <v>Oklahoma State</v>
      </c>
      <c r="AE23" s="532">
        <v>10</v>
      </c>
      <c r="AF23" s="527" t="str">
        <f>J23</f>
        <v>Wisconsin</v>
      </c>
      <c r="AG23" s="532">
        <v>26</v>
      </c>
      <c r="AH23" s="527" t="str">
        <f t="shared" si="22"/>
        <v>Oklahoma State</v>
      </c>
      <c r="AI23" s="532">
        <v>9</v>
      </c>
      <c r="AJ23" s="527" t="str">
        <f t="shared" si="23"/>
        <v>Wisconsin</v>
      </c>
      <c r="AK23" s="532">
        <v>26</v>
      </c>
      <c r="AL23" s="527" t="str">
        <f>H23</f>
        <v>Oklahoma State</v>
      </c>
      <c r="AM23" s="532">
        <v>23</v>
      </c>
      <c r="AN23" s="633" t="str">
        <f>H23</f>
        <v>Oklahoma State</v>
      </c>
      <c r="AO23" s="532">
        <v>28</v>
      </c>
      <c r="AP23" s="633" t="str">
        <f>F23</f>
        <v>Wisconsin</v>
      </c>
      <c r="AQ23" s="532">
        <v>15</v>
      </c>
      <c r="AR23" s="527" t="str">
        <f t="shared" si="27"/>
        <v>Wisconsin</v>
      </c>
      <c r="AS23" s="532">
        <v>16</v>
      </c>
      <c r="AT23" s="603">
        <f t="shared" si="7"/>
        <v>0</v>
      </c>
      <c r="AU23" s="604">
        <f t="shared" si="8"/>
        <v>26</v>
      </c>
      <c r="AV23" s="875">
        <f t="shared" si="9"/>
        <v>0</v>
      </c>
      <c r="AW23" s="875">
        <f t="shared" si="19"/>
        <v>26</v>
      </c>
      <c r="AX23" s="875">
        <f t="shared" si="20"/>
        <v>0</v>
      </c>
      <c r="AY23" s="875">
        <f t="shared" si="10"/>
        <v>15</v>
      </c>
      <c r="AZ23" s="604">
        <f t="shared" si="11"/>
        <v>0</v>
      </c>
      <c r="BA23" s="605">
        <f t="shared" si="21"/>
        <v>16</v>
      </c>
      <c r="BB23" s="523" t="str">
        <f t="shared" si="12"/>
        <v>Wisconsin</v>
      </c>
      <c r="BC23" s="530">
        <v>6</v>
      </c>
      <c r="BD23" s="531">
        <v>6</v>
      </c>
      <c r="BE23" s="532">
        <v>0</v>
      </c>
      <c r="BF23" s="530">
        <v>5</v>
      </c>
      <c r="BG23" s="531">
        <v>7</v>
      </c>
      <c r="BH23" s="532">
        <v>0</v>
      </c>
      <c r="BI23" s="523" t="str">
        <f t="shared" si="13"/>
        <v>Oklahoma State</v>
      </c>
      <c r="BJ23" s="530">
        <v>7</v>
      </c>
      <c r="BK23" s="531">
        <v>5</v>
      </c>
      <c r="BL23" s="532">
        <v>0</v>
      </c>
      <c r="BM23" s="530">
        <v>6</v>
      </c>
      <c r="BN23" s="531">
        <v>6</v>
      </c>
      <c r="BO23" s="532">
        <v>0</v>
      </c>
      <c r="BP23" s="527" t="str">
        <f>BI23</f>
        <v>Oklahoma State</v>
      </c>
      <c r="BQ23" s="854">
        <v>0.52</v>
      </c>
      <c r="BR23" s="851">
        <v>6</v>
      </c>
      <c r="BS23" s="527" t="s">
        <v>94</v>
      </c>
      <c r="BT23" s="527">
        <v>8.8000000000000007</v>
      </c>
      <c r="BU23" s="527" t="s">
        <v>72</v>
      </c>
      <c r="BV23" s="523">
        <v>6.6</v>
      </c>
      <c r="BW23" s="527" t="str">
        <f t="shared" si="14"/>
        <v>Wisconsin</v>
      </c>
      <c r="BX23" s="523">
        <f t="shared" si="15"/>
        <v>2.2000000000000011</v>
      </c>
      <c r="BY23" s="839">
        <v>12</v>
      </c>
      <c r="BZ23" s="527" t="str">
        <f t="shared" si="16"/>
        <v>Wisconsin</v>
      </c>
      <c r="CA23" s="558">
        <f t="shared" si="17"/>
        <v>3</v>
      </c>
      <c r="CB23" s="582">
        <v>14</v>
      </c>
      <c r="CC23" s="527">
        <v>10.666666666666666</v>
      </c>
      <c r="CD23" s="582">
        <v>8</v>
      </c>
      <c r="CE23" s="528" t="str">
        <f>BS23</f>
        <v>Wisconsin</v>
      </c>
      <c r="CF23" s="529" t="s">
        <v>479</v>
      </c>
      <c r="CG23" s="526" t="s">
        <v>519</v>
      </c>
      <c r="CH23" s="528" t="str">
        <f>CE23</f>
        <v>Wisconsin</v>
      </c>
      <c r="CI23" s="529" t="s">
        <v>492</v>
      </c>
      <c r="CJ23" s="526" t="s">
        <v>520</v>
      </c>
      <c r="CK23" s="528" t="str">
        <f>BU23</f>
        <v>Oklahoma State</v>
      </c>
      <c r="CL23" s="529" t="s">
        <v>479</v>
      </c>
      <c r="CM23" s="526" t="s">
        <v>521</v>
      </c>
      <c r="CN23" s="523"/>
      <c r="CO23" s="523" t="s">
        <v>94</v>
      </c>
      <c r="CP23" s="807">
        <v>8.8000000000000007</v>
      </c>
      <c r="CQ23" s="808">
        <v>6.6</v>
      </c>
      <c r="CR23" s="820">
        <f t="shared" si="18"/>
        <v>2.2000000000000011</v>
      </c>
      <c r="CS23" s="833">
        <v>11</v>
      </c>
      <c r="CT23" s="592">
        <v>21</v>
      </c>
      <c r="CU23" s="592"/>
      <c r="CV23" s="592"/>
      <c r="CW23" s="592"/>
      <c r="CX23" s="592"/>
      <c r="CY23" s="592"/>
      <c r="CZ23" s="592"/>
      <c r="DA23" s="592"/>
      <c r="DB23" s="592"/>
      <c r="DC23" s="592"/>
      <c r="DD23" s="592"/>
      <c r="DE23" s="592"/>
      <c r="DF23" s="592"/>
      <c r="DG23" s="592"/>
      <c r="DH23" s="592"/>
      <c r="DI23" s="592"/>
      <c r="DJ23" s="592"/>
      <c r="DK23" s="592"/>
      <c r="DL23" s="592"/>
      <c r="DM23" s="628"/>
      <c r="DN23" s="628"/>
      <c r="DO23" s="628"/>
      <c r="DP23" s="628"/>
      <c r="DQ23" s="628"/>
      <c r="DR23" s="628"/>
      <c r="DS23" s="628"/>
      <c r="DT23" s="628"/>
      <c r="DU23" s="628"/>
      <c r="DV23" s="628"/>
      <c r="DW23" s="628"/>
      <c r="DX23" s="628"/>
      <c r="DY23" s="628"/>
    </row>
    <row r="24" spans="1:129" s="548" customFormat="1" ht="24" customHeight="1" x14ac:dyDescent="0.75">
      <c r="A24" s="501" t="s">
        <v>463</v>
      </c>
      <c r="B24" s="534" t="s">
        <v>396</v>
      </c>
      <c r="C24" s="535">
        <v>44923</v>
      </c>
      <c r="D24" s="536">
        <f>14/24</f>
        <v>0.58333333333333337</v>
      </c>
      <c r="E24" s="537" t="s">
        <v>35</v>
      </c>
      <c r="F24" s="543" t="s">
        <v>106</v>
      </c>
      <c r="G24" s="549" t="s">
        <v>50</v>
      </c>
      <c r="H24" s="543" t="s">
        <v>115</v>
      </c>
      <c r="I24" s="549" t="s">
        <v>61</v>
      </c>
      <c r="J24" s="543" t="str">
        <f>H24</f>
        <v>Duke</v>
      </c>
      <c r="K24" s="537" t="str">
        <f t="shared" si="1"/>
        <v>Central Florida</v>
      </c>
      <c r="L24" s="571">
        <v>1</v>
      </c>
      <c r="M24" s="573">
        <v>62.5</v>
      </c>
      <c r="N24" s="634" t="str">
        <f t="shared" si="29"/>
        <v>Duke</v>
      </c>
      <c r="O24" s="546">
        <v>30</v>
      </c>
      <c r="P24" s="637" t="str">
        <f t="shared" si="28"/>
        <v>Central Florida</v>
      </c>
      <c r="Q24" s="547">
        <v>13</v>
      </c>
      <c r="R24" s="596" t="str">
        <f t="shared" si="3"/>
        <v>Duke</v>
      </c>
      <c r="S24" s="596" t="str">
        <f t="shared" si="4"/>
        <v>Central Florida</v>
      </c>
      <c r="T24" s="534" t="str">
        <f>K24</f>
        <v>Central Florida</v>
      </c>
      <c r="U24" s="537" t="str">
        <f t="shared" si="5"/>
        <v>L</v>
      </c>
      <c r="V24" s="534"/>
      <c r="W24" s="537" t="str">
        <f t="shared" si="6"/>
        <v>L</v>
      </c>
      <c r="X24" s="540"/>
      <c r="Y24" s="541"/>
      <c r="Z24" s="542"/>
      <c r="AA24" s="541"/>
      <c r="AB24" s="542"/>
      <c r="AC24" s="541"/>
      <c r="AD24" s="534" t="str">
        <f>K24</f>
        <v>Central Florida</v>
      </c>
      <c r="AE24" s="547">
        <v>11</v>
      </c>
      <c r="AF24" s="543" t="str">
        <f>J24</f>
        <v>Duke</v>
      </c>
      <c r="AG24" s="547">
        <v>13</v>
      </c>
      <c r="AH24" s="543" t="str">
        <f t="shared" si="22"/>
        <v>Central Florida</v>
      </c>
      <c r="AI24" s="547">
        <v>10</v>
      </c>
      <c r="AJ24" s="543" t="str">
        <f t="shared" si="23"/>
        <v>Duke</v>
      </c>
      <c r="AK24" s="547">
        <v>13</v>
      </c>
      <c r="AL24" s="543" t="str">
        <f>H24</f>
        <v>Duke</v>
      </c>
      <c r="AM24" s="547">
        <v>21</v>
      </c>
      <c r="AN24" s="634" t="str">
        <f>F24</f>
        <v>Central Florida</v>
      </c>
      <c r="AO24" s="547">
        <v>15</v>
      </c>
      <c r="AP24" s="634" t="str">
        <f>H24</f>
        <v>Duke</v>
      </c>
      <c r="AQ24" s="547">
        <v>14</v>
      </c>
      <c r="AR24" s="543" t="str">
        <f t="shared" si="27"/>
        <v>Duke</v>
      </c>
      <c r="AS24" s="547">
        <v>14</v>
      </c>
      <c r="AT24" s="606">
        <f t="shared" si="7"/>
        <v>0</v>
      </c>
      <c r="AU24" s="607">
        <f t="shared" si="8"/>
        <v>13</v>
      </c>
      <c r="AV24" s="876">
        <f t="shared" si="9"/>
        <v>0</v>
      </c>
      <c r="AW24" s="876">
        <f t="shared" si="19"/>
        <v>13</v>
      </c>
      <c r="AX24" s="876">
        <f t="shared" si="20"/>
        <v>0</v>
      </c>
      <c r="AY24" s="876">
        <f t="shared" si="10"/>
        <v>14</v>
      </c>
      <c r="AZ24" s="607">
        <f t="shared" si="11"/>
        <v>21</v>
      </c>
      <c r="BA24" s="608">
        <f t="shared" si="21"/>
        <v>14</v>
      </c>
      <c r="BB24" s="538" t="str">
        <f t="shared" si="12"/>
        <v>Central Florida</v>
      </c>
      <c r="BC24" s="545">
        <v>9</v>
      </c>
      <c r="BD24" s="546">
        <v>4</v>
      </c>
      <c r="BE24" s="547">
        <v>0</v>
      </c>
      <c r="BF24" s="545">
        <v>7</v>
      </c>
      <c r="BG24" s="546">
        <v>6</v>
      </c>
      <c r="BH24" s="547">
        <v>0</v>
      </c>
      <c r="BI24" s="538" t="str">
        <f t="shared" si="13"/>
        <v>Duke</v>
      </c>
      <c r="BJ24" s="545">
        <v>8</v>
      </c>
      <c r="BK24" s="546">
        <v>4</v>
      </c>
      <c r="BL24" s="547">
        <v>0</v>
      </c>
      <c r="BM24" s="545">
        <v>8</v>
      </c>
      <c r="BN24" s="546">
        <v>4</v>
      </c>
      <c r="BO24" s="547">
        <v>0</v>
      </c>
      <c r="BP24" s="543" t="str">
        <f>BB24</f>
        <v>Central Florida</v>
      </c>
      <c r="BQ24" s="855">
        <v>0.53</v>
      </c>
      <c r="BR24" s="852">
        <v>11</v>
      </c>
      <c r="BS24" s="543" t="s">
        <v>106</v>
      </c>
      <c r="BT24" s="543">
        <v>7.8</v>
      </c>
      <c r="BU24" s="543" t="s">
        <v>115</v>
      </c>
      <c r="BV24" s="538">
        <v>4</v>
      </c>
      <c r="BW24" s="543" t="str">
        <f t="shared" si="14"/>
        <v>Central Florida</v>
      </c>
      <c r="BX24" s="538">
        <f t="shared" si="15"/>
        <v>3.8</v>
      </c>
      <c r="BY24" s="840">
        <v>22</v>
      </c>
      <c r="BZ24" s="543" t="str">
        <f t="shared" si="16"/>
        <v>Duke</v>
      </c>
      <c r="CA24" s="755">
        <f t="shared" si="17"/>
        <v>1</v>
      </c>
      <c r="CB24" s="561">
        <v>2</v>
      </c>
      <c r="CC24" s="543">
        <v>12.333333333333334</v>
      </c>
      <c r="CD24" s="561">
        <v>10</v>
      </c>
      <c r="CE24" s="542" t="str">
        <f>BS24</f>
        <v>Central Florida</v>
      </c>
      <c r="CF24" s="544" t="s">
        <v>486</v>
      </c>
      <c r="CG24" s="537" t="s">
        <v>522</v>
      </c>
      <c r="CH24" s="542" t="str">
        <f>CE24</f>
        <v>Central Florida</v>
      </c>
      <c r="CI24" s="544" t="s">
        <v>492</v>
      </c>
      <c r="CJ24" s="537" t="s">
        <v>523</v>
      </c>
      <c r="CK24" s="542"/>
      <c r="CL24" s="544"/>
      <c r="CM24" s="537"/>
      <c r="CN24" s="539"/>
      <c r="CO24" s="538"/>
      <c r="CP24" s="812">
        <v>7.8</v>
      </c>
      <c r="CQ24" s="813">
        <v>4</v>
      </c>
      <c r="CR24" s="823">
        <f t="shared" si="18"/>
        <v>3.8</v>
      </c>
      <c r="CS24" s="835">
        <v>21</v>
      </c>
      <c r="CT24" s="594">
        <v>22</v>
      </c>
      <c r="CU24" s="594"/>
      <c r="CV24" s="594"/>
      <c r="CW24" s="594"/>
      <c r="CX24" s="594"/>
      <c r="CY24" s="594"/>
      <c r="CZ24" s="594"/>
      <c r="DA24" s="594"/>
      <c r="DB24" s="594"/>
      <c r="DC24" s="594"/>
      <c r="DD24" s="594"/>
      <c r="DE24" s="594"/>
      <c r="DF24" s="594"/>
      <c r="DG24" s="594"/>
      <c r="DH24" s="594"/>
      <c r="DI24" s="594"/>
      <c r="DJ24" s="594"/>
      <c r="DK24" s="594"/>
      <c r="DL24" s="594"/>
      <c r="DM24" s="631"/>
      <c r="DN24" s="631"/>
      <c r="DO24" s="631"/>
      <c r="DP24" s="631"/>
      <c r="DQ24" s="631"/>
      <c r="DR24" s="631"/>
      <c r="DS24" s="631"/>
      <c r="DT24" s="631"/>
      <c r="DU24" s="631"/>
      <c r="DV24" s="631"/>
      <c r="DW24" s="631"/>
      <c r="DX24" s="631"/>
      <c r="DY24" s="631"/>
    </row>
    <row r="25" spans="1:129" s="548" customFormat="1" ht="24" customHeight="1" x14ac:dyDescent="0.75">
      <c r="A25" s="501" t="s">
        <v>306</v>
      </c>
      <c r="B25" s="534" t="s">
        <v>396</v>
      </c>
      <c r="C25" s="535">
        <v>44923</v>
      </c>
      <c r="D25" s="536">
        <f>17.5/24</f>
        <v>0.72916666666666663</v>
      </c>
      <c r="E25" s="537" t="s">
        <v>35</v>
      </c>
      <c r="F25" s="543" t="s">
        <v>150</v>
      </c>
      <c r="G25" s="549" t="s">
        <v>73</v>
      </c>
      <c r="H25" s="543" t="s">
        <v>87</v>
      </c>
      <c r="I25" s="549" t="s">
        <v>85</v>
      </c>
      <c r="J25" s="543" t="str">
        <f>H25</f>
        <v>Arkansas</v>
      </c>
      <c r="K25" s="537" t="str">
        <f t="shared" si="1"/>
        <v>Kansas</v>
      </c>
      <c r="L25" s="571">
        <v>3</v>
      </c>
      <c r="M25" s="573">
        <v>69</v>
      </c>
      <c r="N25" s="634" t="str">
        <f t="shared" si="29"/>
        <v>Arkansas</v>
      </c>
      <c r="O25" s="546">
        <v>55</v>
      </c>
      <c r="P25" s="637" t="str">
        <f t="shared" si="28"/>
        <v>Kansas</v>
      </c>
      <c r="Q25" s="547">
        <v>53</v>
      </c>
      <c r="R25" s="596" t="str">
        <f t="shared" si="3"/>
        <v>Kansas</v>
      </c>
      <c r="S25" s="596" t="str">
        <f t="shared" si="4"/>
        <v>Arkansas</v>
      </c>
      <c r="T25" s="534" t="str">
        <f>J25</f>
        <v>Arkansas</v>
      </c>
      <c r="U25" s="537" t="str">
        <f t="shared" si="5"/>
        <v>L</v>
      </c>
      <c r="V25" s="534"/>
      <c r="W25" s="537" t="str">
        <f t="shared" si="6"/>
        <v>L</v>
      </c>
      <c r="X25" s="540"/>
      <c r="Y25" s="541"/>
      <c r="Z25" s="542"/>
      <c r="AA25" s="541"/>
      <c r="AB25" s="542"/>
      <c r="AC25" s="541"/>
      <c r="AD25" s="534" t="str">
        <f>J25</f>
        <v>Arkansas</v>
      </c>
      <c r="AE25" s="547">
        <v>12</v>
      </c>
      <c r="AF25" s="609" t="str">
        <f>K25</f>
        <v>Kansas</v>
      </c>
      <c r="AG25" s="547">
        <v>18</v>
      </c>
      <c r="AH25" s="609" t="str">
        <f t="shared" si="22"/>
        <v>Arkansas</v>
      </c>
      <c r="AI25" s="547">
        <v>11</v>
      </c>
      <c r="AJ25" s="609" t="str">
        <f t="shared" si="23"/>
        <v>Kansas</v>
      </c>
      <c r="AK25" s="547">
        <v>18</v>
      </c>
      <c r="AL25" s="609" t="str">
        <f>H25</f>
        <v>Arkansas</v>
      </c>
      <c r="AM25" s="547">
        <v>32</v>
      </c>
      <c r="AN25" s="634" t="str">
        <f>F25</f>
        <v>Kansas</v>
      </c>
      <c r="AO25" s="547">
        <v>16</v>
      </c>
      <c r="AP25" s="634" t="str">
        <f>F25</f>
        <v>Kansas</v>
      </c>
      <c r="AQ25" s="547">
        <v>18</v>
      </c>
      <c r="AR25" s="543" t="str">
        <f t="shared" si="27"/>
        <v>Arkansas</v>
      </c>
      <c r="AS25" s="547">
        <v>20</v>
      </c>
      <c r="AT25" s="606">
        <f t="shared" si="7"/>
        <v>12</v>
      </c>
      <c r="AU25" s="607">
        <f t="shared" si="8"/>
        <v>0</v>
      </c>
      <c r="AV25" s="876">
        <f t="shared" si="9"/>
        <v>11</v>
      </c>
      <c r="AW25" s="876">
        <f t="shared" si="19"/>
        <v>0</v>
      </c>
      <c r="AX25" s="876">
        <f t="shared" si="20"/>
        <v>0</v>
      </c>
      <c r="AY25" s="876">
        <f t="shared" si="10"/>
        <v>0</v>
      </c>
      <c r="AZ25" s="607">
        <f t="shared" si="11"/>
        <v>32</v>
      </c>
      <c r="BA25" s="608">
        <f t="shared" si="21"/>
        <v>20</v>
      </c>
      <c r="BB25" s="538" t="str">
        <f t="shared" si="12"/>
        <v>Kansas</v>
      </c>
      <c r="BC25" s="545">
        <v>6</v>
      </c>
      <c r="BD25" s="546">
        <v>6</v>
      </c>
      <c r="BE25" s="547">
        <v>0</v>
      </c>
      <c r="BF25" s="545">
        <v>7</v>
      </c>
      <c r="BG25" s="546">
        <v>4</v>
      </c>
      <c r="BH25" s="547">
        <v>1</v>
      </c>
      <c r="BI25" s="538" t="str">
        <f t="shared" si="13"/>
        <v>Arkansas</v>
      </c>
      <c r="BJ25" s="545">
        <v>6</v>
      </c>
      <c r="BK25" s="546">
        <v>6</v>
      </c>
      <c r="BL25" s="547">
        <v>0</v>
      </c>
      <c r="BM25" s="545">
        <v>6</v>
      </c>
      <c r="BN25" s="546">
        <v>6</v>
      </c>
      <c r="BO25" s="547">
        <v>0</v>
      </c>
      <c r="BP25" s="543" t="str">
        <f>BI25</f>
        <v>Arkansas</v>
      </c>
      <c r="BQ25" s="855">
        <v>0.66</v>
      </c>
      <c r="BR25" s="852">
        <v>32</v>
      </c>
      <c r="BS25" s="543" t="s">
        <v>150</v>
      </c>
      <c r="BT25" s="543">
        <v>3.5</v>
      </c>
      <c r="BU25" s="543" t="s">
        <v>87</v>
      </c>
      <c r="BV25" s="538">
        <v>6.9</v>
      </c>
      <c r="BW25" s="543" t="str">
        <f t="shared" si="14"/>
        <v>Arkansas</v>
      </c>
      <c r="BX25" s="538">
        <f t="shared" si="15"/>
        <v>3.4000000000000004</v>
      </c>
      <c r="BY25" s="840">
        <v>19</v>
      </c>
      <c r="BZ25" s="543" t="str">
        <f t="shared" si="16"/>
        <v>Arkansas</v>
      </c>
      <c r="CA25" s="559">
        <f t="shared" si="17"/>
        <v>3</v>
      </c>
      <c r="CB25" s="561">
        <v>13</v>
      </c>
      <c r="CC25" s="543">
        <v>22.333333333333332</v>
      </c>
      <c r="CD25" s="561">
        <v>22</v>
      </c>
      <c r="CE25" s="542" t="str">
        <f>BU25</f>
        <v>Arkansas</v>
      </c>
      <c r="CF25" s="544" t="s">
        <v>492</v>
      </c>
      <c r="CG25" s="537" t="s">
        <v>493</v>
      </c>
      <c r="CH25" s="542" t="str">
        <f>CE25</f>
        <v>Arkansas</v>
      </c>
      <c r="CI25" s="544" t="s">
        <v>504</v>
      </c>
      <c r="CJ25" s="537" t="s">
        <v>524</v>
      </c>
      <c r="CK25" s="542"/>
      <c r="CL25" s="544"/>
      <c r="CM25" s="537"/>
      <c r="CN25" s="539"/>
      <c r="CO25" s="538"/>
      <c r="CP25" s="811">
        <v>3.5</v>
      </c>
      <c r="CQ25" s="804">
        <v>6.9</v>
      </c>
      <c r="CR25" s="822">
        <f t="shared" si="18"/>
        <v>3.4000000000000004</v>
      </c>
      <c r="CS25" s="834">
        <v>18</v>
      </c>
      <c r="CT25" s="594">
        <v>23</v>
      </c>
      <c r="CU25" s="594"/>
      <c r="CV25" s="594"/>
      <c r="CW25" s="594"/>
      <c r="CX25" s="594"/>
      <c r="CY25" s="594"/>
      <c r="CZ25" s="594"/>
      <c r="DA25" s="594"/>
      <c r="DB25" s="594"/>
      <c r="DC25" s="594"/>
      <c r="DD25" s="594"/>
      <c r="DE25" s="594"/>
      <c r="DF25" s="594"/>
      <c r="DG25" s="594"/>
      <c r="DH25" s="594"/>
      <c r="DI25" s="594"/>
      <c r="DJ25" s="594"/>
      <c r="DK25" s="594"/>
      <c r="DL25" s="594"/>
      <c r="DM25" s="631"/>
      <c r="DN25" s="631"/>
      <c r="DO25" s="631"/>
      <c r="DP25" s="631"/>
      <c r="DQ25" s="631"/>
      <c r="DR25" s="631"/>
      <c r="DS25" s="631"/>
      <c r="DT25" s="631"/>
      <c r="DU25" s="631"/>
      <c r="DV25" s="631"/>
      <c r="DW25" s="631"/>
      <c r="DX25" s="631"/>
      <c r="DY25" s="631"/>
    </row>
    <row r="26" spans="1:129" s="548" customFormat="1" ht="24" customHeight="1" x14ac:dyDescent="0.75">
      <c r="A26" s="501" t="s">
        <v>467</v>
      </c>
      <c r="B26" s="534" t="s">
        <v>396</v>
      </c>
      <c r="C26" s="535">
        <v>44923</v>
      </c>
      <c r="D26" s="536">
        <f>20/24</f>
        <v>0.83333333333333337</v>
      </c>
      <c r="E26" s="537" t="s">
        <v>118</v>
      </c>
      <c r="F26" s="543" t="s">
        <v>200</v>
      </c>
      <c r="G26" s="549" t="s">
        <v>37</v>
      </c>
      <c r="H26" s="543" t="s">
        <v>124</v>
      </c>
      <c r="I26" s="549" t="s">
        <v>61</v>
      </c>
      <c r="J26" s="543" t="str">
        <f>F26</f>
        <v>Oregon</v>
      </c>
      <c r="K26" s="537" t="str">
        <f t="shared" si="1"/>
        <v>North Carolina</v>
      </c>
      <c r="L26" s="571">
        <v>12.5</v>
      </c>
      <c r="M26" s="573">
        <v>71</v>
      </c>
      <c r="N26" s="634" t="str">
        <f t="shared" si="29"/>
        <v>Oregon</v>
      </c>
      <c r="O26" s="546">
        <v>28</v>
      </c>
      <c r="P26" s="637" t="str">
        <f t="shared" si="28"/>
        <v>North Carolina</v>
      </c>
      <c r="Q26" s="547">
        <v>27</v>
      </c>
      <c r="R26" s="596" t="str">
        <f t="shared" si="3"/>
        <v>North Carolina</v>
      </c>
      <c r="S26" s="596" t="str">
        <f t="shared" si="4"/>
        <v>Oregon</v>
      </c>
      <c r="T26" s="534" t="str">
        <f>J26</f>
        <v>Oregon</v>
      </c>
      <c r="U26" s="537" t="str">
        <f t="shared" si="5"/>
        <v>L</v>
      </c>
      <c r="V26" s="534"/>
      <c r="W26" s="537" t="str">
        <f t="shared" si="6"/>
        <v>L</v>
      </c>
      <c r="X26" s="540"/>
      <c r="Y26" s="541"/>
      <c r="Z26" s="542"/>
      <c r="AA26" s="541"/>
      <c r="AB26" s="542"/>
      <c r="AC26" s="541"/>
      <c r="AD26" s="534" t="str">
        <f>J26</f>
        <v>Oregon</v>
      </c>
      <c r="AE26" s="547">
        <v>34</v>
      </c>
      <c r="AF26" s="609" t="str">
        <f>J26</f>
        <v>Oregon</v>
      </c>
      <c r="AG26" s="547">
        <v>29</v>
      </c>
      <c r="AH26" s="609" t="str">
        <f t="shared" si="22"/>
        <v>Oregon</v>
      </c>
      <c r="AI26" s="547">
        <v>33</v>
      </c>
      <c r="AJ26" s="609" t="str">
        <f t="shared" si="23"/>
        <v>Oregon</v>
      </c>
      <c r="AK26" s="547">
        <v>29</v>
      </c>
      <c r="AL26" s="609" t="str">
        <f>F26</f>
        <v>Oregon</v>
      </c>
      <c r="AM26" s="547">
        <v>29</v>
      </c>
      <c r="AN26" s="634" t="str">
        <f>F26</f>
        <v>Oregon</v>
      </c>
      <c r="AO26" s="547">
        <v>35</v>
      </c>
      <c r="AP26" s="634" t="str">
        <f>F26</f>
        <v>Oregon</v>
      </c>
      <c r="AQ26" s="547">
        <v>32</v>
      </c>
      <c r="AR26" s="543" t="str">
        <f t="shared" si="27"/>
        <v>Oregon</v>
      </c>
      <c r="AS26" s="547">
        <v>40</v>
      </c>
      <c r="AT26" s="606">
        <f t="shared" si="7"/>
        <v>34</v>
      </c>
      <c r="AU26" s="607">
        <f t="shared" si="8"/>
        <v>29</v>
      </c>
      <c r="AV26" s="876">
        <f t="shared" si="9"/>
        <v>33</v>
      </c>
      <c r="AW26" s="876">
        <f t="shared" si="19"/>
        <v>29</v>
      </c>
      <c r="AX26" s="876">
        <f t="shared" si="20"/>
        <v>35</v>
      </c>
      <c r="AY26" s="876">
        <f t="shared" si="10"/>
        <v>32</v>
      </c>
      <c r="AZ26" s="607">
        <f t="shared" si="11"/>
        <v>29</v>
      </c>
      <c r="BA26" s="608">
        <f t="shared" si="21"/>
        <v>40</v>
      </c>
      <c r="BB26" s="538" t="str">
        <f t="shared" si="12"/>
        <v>Oregon</v>
      </c>
      <c r="BC26" s="545">
        <v>9</v>
      </c>
      <c r="BD26" s="546">
        <v>3</v>
      </c>
      <c r="BE26" s="547">
        <v>0</v>
      </c>
      <c r="BF26" s="545">
        <v>8</v>
      </c>
      <c r="BG26" s="546">
        <v>4</v>
      </c>
      <c r="BH26" s="547">
        <v>0</v>
      </c>
      <c r="BI26" s="538" t="str">
        <f t="shared" si="13"/>
        <v>North Carolina</v>
      </c>
      <c r="BJ26" s="545">
        <v>9</v>
      </c>
      <c r="BK26" s="546">
        <v>4</v>
      </c>
      <c r="BL26" s="547">
        <v>0</v>
      </c>
      <c r="BM26" s="545">
        <v>6</v>
      </c>
      <c r="BN26" s="546">
        <v>7</v>
      </c>
      <c r="BO26" s="547">
        <v>0</v>
      </c>
      <c r="BP26" s="543" t="str">
        <f>BB26</f>
        <v>Oregon</v>
      </c>
      <c r="BQ26" s="855">
        <v>0.81</v>
      </c>
      <c r="BR26" s="852">
        <v>42</v>
      </c>
      <c r="BS26" s="543" t="s">
        <v>200</v>
      </c>
      <c r="BT26" s="543">
        <v>14.6</v>
      </c>
      <c r="BU26" s="543" t="s">
        <v>124</v>
      </c>
      <c r="BV26" s="538">
        <v>5.5</v>
      </c>
      <c r="BW26" s="543" t="str">
        <f t="shared" si="14"/>
        <v>Oregon</v>
      </c>
      <c r="BX26" s="538">
        <f t="shared" si="15"/>
        <v>9.1</v>
      </c>
      <c r="BY26" s="840">
        <v>37</v>
      </c>
      <c r="BZ26" s="543" t="str">
        <f t="shared" si="16"/>
        <v>Oregon</v>
      </c>
      <c r="CA26" s="559">
        <f t="shared" si="17"/>
        <v>12.5</v>
      </c>
      <c r="CB26" s="561">
        <v>42</v>
      </c>
      <c r="CC26" s="543">
        <v>40.333333333333336</v>
      </c>
      <c r="CD26" s="561">
        <v>41</v>
      </c>
      <c r="CE26" s="542" t="str">
        <f>BZ26</f>
        <v>Oregon</v>
      </c>
      <c r="CF26" s="544" t="s">
        <v>481</v>
      </c>
      <c r="CG26" s="537" t="s">
        <v>482</v>
      </c>
      <c r="CH26" s="542" t="str">
        <f>BU26</f>
        <v>North Carolina</v>
      </c>
      <c r="CI26" s="544" t="s">
        <v>508</v>
      </c>
      <c r="CJ26" s="537" t="s">
        <v>525</v>
      </c>
      <c r="CK26" s="542"/>
      <c r="CL26" s="544"/>
      <c r="CM26" s="537"/>
      <c r="CN26" s="539"/>
      <c r="CO26" s="538"/>
      <c r="CP26" s="812">
        <v>14.6</v>
      </c>
      <c r="CQ26" s="813">
        <v>5.5</v>
      </c>
      <c r="CR26" s="823">
        <f t="shared" si="18"/>
        <v>9.1</v>
      </c>
      <c r="CS26" s="835">
        <v>36</v>
      </c>
      <c r="CT26" s="594">
        <v>24</v>
      </c>
      <c r="CU26" s="594"/>
      <c r="CV26" s="594"/>
      <c r="CW26" s="594"/>
      <c r="CX26" s="594"/>
      <c r="CY26" s="594"/>
      <c r="CZ26" s="594"/>
      <c r="DA26" s="594"/>
      <c r="DB26" s="594"/>
      <c r="DC26" s="594"/>
      <c r="DD26" s="594"/>
      <c r="DE26" s="594"/>
      <c r="DF26" s="594"/>
      <c r="DG26" s="594"/>
      <c r="DH26" s="594"/>
      <c r="DI26" s="594"/>
      <c r="DJ26" s="594"/>
      <c r="DK26" s="594"/>
      <c r="DL26" s="594"/>
      <c r="DM26" s="631"/>
      <c r="DN26" s="631"/>
      <c r="DO26" s="631"/>
      <c r="DP26" s="631"/>
      <c r="DQ26" s="631"/>
      <c r="DR26" s="631"/>
      <c r="DS26" s="631"/>
      <c r="DT26" s="631"/>
      <c r="DU26" s="631"/>
      <c r="DV26" s="631"/>
      <c r="DW26" s="631"/>
      <c r="DX26" s="631"/>
      <c r="DY26" s="631"/>
    </row>
    <row r="27" spans="1:129" s="593" customFormat="1" ht="24" customHeight="1" x14ac:dyDescent="0.75">
      <c r="A27" s="500" t="s">
        <v>157</v>
      </c>
      <c r="B27" s="519" t="s">
        <v>396</v>
      </c>
      <c r="C27" s="520">
        <v>44923</v>
      </c>
      <c r="D27" s="521">
        <f>21/24</f>
        <v>0.875</v>
      </c>
      <c r="E27" s="522" t="s">
        <v>35</v>
      </c>
      <c r="F27" s="527" t="s">
        <v>159</v>
      </c>
      <c r="G27" s="554" t="s">
        <v>73</v>
      </c>
      <c r="H27" s="527" t="s">
        <v>215</v>
      </c>
      <c r="I27" s="554" t="s">
        <v>85</v>
      </c>
      <c r="J27" s="527" t="str">
        <f>H27</f>
        <v>Mississippi</v>
      </c>
      <c r="K27" s="522" t="str">
        <f t="shared" si="1"/>
        <v>Texas Tech</v>
      </c>
      <c r="L27" s="570">
        <v>3</v>
      </c>
      <c r="M27" s="572">
        <v>70</v>
      </c>
      <c r="N27" s="633" t="str">
        <f>K27</f>
        <v>Texas Tech</v>
      </c>
      <c r="O27" s="635">
        <v>42</v>
      </c>
      <c r="P27" s="636" t="str">
        <f t="shared" si="28"/>
        <v>Mississippi</v>
      </c>
      <c r="Q27" s="532">
        <v>25</v>
      </c>
      <c r="R27" s="597" t="str">
        <f t="shared" si="3"/>
        <v>Texas Tech</v>
      </c>
      <c r="S27" s="597" t="str">
        <f t="shared" si="4"/>
        <v>Mississippi</v>
      </c>
      <c r="T27" s="519" t="str">
        <f>K27</f>
        <v>Texas Tech</v>
      </c>
      <c r="U27" s="522" t="str">
        <f t="shared" si="5"/>
        <v>W</v>
      </c>
      <c r="V27" s="519"/>
      <c r="W27" s="522" t="str">
        <f t="shared" si="6"/>
        <v>L</v>
      </c>
      <c r="X27" s="525"/>
      <c r="Y27" s="526"/>
      <c r="Z27" s="528"/>
      <c r="AA27" s="526"/>
      <c r="AB27" s="528"/>
      <c r="AC27" s="526"/>
      <c r="AD27" s="519" t="str">
        <f>K27</f>
        <v>Texas Tech</v>
      </c>
      <c r="AE27" s="532">
        <v>13</v>
      </c>
      <c r="AF27" s="610" t="str">
        <f>J27</f>
        <v>Mississippi</v>
      </c>
      <c r="AG27" s="532">
        <v>34</v>
      </c>
      <c r="AH27" s="610" t="str">
        <f t="shared" si="22"/>
        <v>Texas Tech</v>
      </c>
      <c r="AI27" s="532">
        <v>12</v>
      </c>
      <c r="AJ27" s="610" t="str">
        <f t="shared" si="23"/>
        <v>Mississippi</v>
      </c>
      <c r="AK27" s="532">
        <v>33</v>
      </c>
      <c r="AL27" s="610" t="str">
        <f>H27</f>
        <v>Mississippi</v>
      </c>
      <c r="AM27" s="532">
        <v>25</v>
      </c>
      <c r="AN27" s="633" t="str">
        <f>F27</f>
        <v>Texas Tech</v>
      </c>
      <c r="AO27" s="532">
        <v>25</v>
      </c>
      <c r="AP27" s="633" t="str">
        <f>H27</f>
        <v>Mississippi</v>
      </c>
      <c r="AQ27" s="532">
        <v>16</v>
      </c>
      <c r="AR27" s="610" t="str">
        <f>K27</f>
        <v>Texas Tech</v>
      </c>
      <c r="AS27" s="532">
        <v>18</v>
      </c>
      <c r="AT27" s="603">
        <f t="shared" si="7"/>
        <v>13</v>
      </c>
      <c r="AU27" s="604">
        <f t="shared" si="8"/>
        <v>0</v>
      </c>
      <c r="AV27" s="875">
        <f t="shared" si="9"/>
        <v>12</v>
      </c>
      <c r="AW27" s="875">
        <f t="shared" si="19"/>
        <v>0</v>
      </c>
      <c r="AX27" s="875">
        <f t="shared" si="20"/>
        <v>25</v>
      </c>
      <c r="AY27" s="875">
        <f t="shared" si="10"/>
        <v>0</v>
      </c>
      <c r="AZ27" s="604">
        <f t="shared" si="11"/>
        <v>0</v>
      </c>
      <c r="BA27" s="605">
        <f t="shared" si="21"/>
        <v>18</v>
      </c>
      <c r="BB27" s="523" t="str">
        <f t="shared" si="12"/>
        <v>Texas Tech</v>
      </c>
      <c r="BC27" s="530">
        <v>7</v>
      </c>
      <c r="BD27" s="531">
        <v>5</v>
      </c>
      <c r="BE27" s="532">
        <v>0</v>
      </c>
      <c r="BF27" s="530">
        <v>7</v>
      </c>
      <c r="BG27" s="531">
        <v>5</v>
      </c>
      <c r="BH27" s="532">
        <v>0</v>
      </c>
      <c r="BI27" s="523" t="str">
        <f t="shared" si="13"/>
        <v>Mississippi</v>
      </c>
      <c r="BJ27" s="530">
        <v>8</v>
      </c>
      <c r="BK27" s="531">
        <v>4</v>
      </c>
      <c r="BL27" s="532">
        <v>0</v>
      </c>
      <c r="BM27" s="530">
        <v>4</v>
      </c>
      <c r="BN27" s="531">
        <v>7</v>
      </c>
      <c r="BO27" s="532">
        <v>1</v>
      </c>
      <c r="BP27" s="527" t="str">
        <f>BI27</f>
        <v>Mississippi</v>
      </c>
      <c r="BQ27" s="854">
        <v>0.53</v>
      </c>
      <c r="BR27" s="851">
        <v>10</v>
      </c>
      <c r="BS27" s="527" t="s">
        <v>159</v>
      </c>
      <c r="BT27" s="527">
        <v>7.8</v>
      </c>
      <c r="BU27" s="527" t="s">
        <v>215</v>
      </c>
      <c r="BV27" s="523">
        <v>12.9</v>
      </c>
      <c r="BW27" s="527" t="str">
        <f t="shared" si="14"/>
        <v>Mississippi</v>
      </c>
      <c r="BX27" s="523">
        <f t="shared" si="15"/>
        <v>5.1000000000000005</v>
      </c>
      <c r="BY27" s="839">
        <v>25</v>
      </c>
      <c r="BZ27" s="527" t="str">
        <f t="shared" si="16"/>
        <v>Mississippi</v>
      </c>
      <c r="CA27" s="558">
        <f t="shared" si="17"/>
        <v>3</v>
      </c>
      <c r="CB27" s="582">
        <v>12</v>
      </c>
      <c r="CC27" s="527">
        <v>17.333333333333332</v>
      </c>
      <c r="CD27" s="582">
        <v>16</v>
      </c>
      <c r="CE27" s="528" t="str">
        <f>BS27</f>
        <v>Texas Tech</v>
      </c>
      <c r="CF27" s="529" t="s">
        <v>492</v>
      </c>
      <c r="CG27" s="522" t="s">
        <v>526</v>
      </c>
      <c r="CH27" s="528"/>
      <c r="CI27" s="529"/>
      <c r="CJ27" s="522"/>
      <c r="CK27" s="528"/>
      <c r="CL27" s="529"/>
      <c r="CM27" s="522"/>
      <c r="CN27" s="524" t="str">
        <f>F27</f>
        <v>Texas Tech</v>
      </c>
      <c r="CO27" s="523"/>
      <c r="CP27" s="807">
        <v>7.8</v>
      </c>
      <c r="CQ27" s="808">
        <v>12.9</v>
      </c>
      <c r="CR27" s="820">
        <f t="shared" si="18"/>
        <v>5.1000000000000005</v>
      </c>
      <c r="CS27" s="833">
        <v>24</v>
      </c>
      <c r="CT27" s="592">
        <v>25</v>
      </c>
      <c r="CU27" s="592"/>
      <c r="CV27" s="592"/>
      <c r="CW27" s="592"/>
      <c r="CX27" s="592"/>
      <c r="CY27" s="592"/>
      <c r="CZ27" s="592"/>
      <c r="DA27" s="592"/>
      <c r="DB27" s="592"/>
      <c r="DC27" s="592"/>
      <c r="DD27" s="592"/>
      <c r="DE27" s="592"/>
      <c r="DF27" s="592"/>
      <c r="DG27" s="592"/>
      <c r="DH27" s="592"/>
      <c r="DI27" s="592"/>
      <c r="DJ27" s="592"/>
      <c r="DK27" s="592"/>
      <c r="DL27" s="592"/>
      <c r="DM27" s="628"/>
      <c r="DN27" s="628"/>
      <c r="DO27" s="628"/>
      <c r="DP27" s="628"/>
      <c r="DQ27" s="628"/>
      <c r="DR27" s="628"/>
      <c r="DS27" s="628"/>
      <c r="DT27" s="628"/>
      <c r="DU27" s="628"/>
      <c r="DV27" s="628"/>
      <c r="DW27" s="628"/>
      <c r="DX27" s="628"/>
      <c r="DY27" s="628"/>
    </row>
    <row r="28" spans="1:129" s="593" customFormat="1" ht="24" customHeight="1" x14ac:dyDescent="0.75">
      <c r="A28" s="500" t="s">
        <v>406</v>
      </c>
      <c r="B28" s="519" t="s">
        <v>52</v>
      </c>
      <c r="C28" s="520">
        <v>44924</v>
      </c>
      <c r="D28" s="521">
        <f>14/24</f>
        <v>0.58333333333333337</v>
      </c>
      <c r="E28" s="522" t="s">
        <v>35</v>
      </c>
      <c r="F28" s="527" t="s">
        <v>90</v>
      </c>
      <c r="G28" s="554" t="s">
        <v>61</v>
      </c>
      <c r="H28" s="527" t="s">
        <v>69</v>
      </c>
      <c r="I28" s="554" t="s">
        <v>64</v>
      </c>
      <c r="J28" s="527" t="str">
        <f>H28</f>
        <v>Minnesota</v>
      </c>
      <c r="K28" s="522" t="str">
        <f t="shared" si="1"/>
        <v>Syracuse</v>
      </c>
      <c r="L28" s="570">
        <v>7</v>
      </c>
      <c r="M28" s="572">
        <v>42</v>
      </c>
      <c r="N28" s="633" t="str">
        <f>J28</f>
        <v>Minnesota</v>
      </c>
      <c r="O28" s="635">
        <v>28</v>
      </c>
      <c r="P28" s="636" t="str">
        <f t="shared" si="28"/>
        <v>Syracuse</v>
      </c>
      <c r="Q28" s="532">
        <v>20</v>
      </c>
      <c r="R28" s="597" t="str">
        <f t="shared" si="3"/>
        <v>Minnesota</v>
      </c>
      <c r="S28" s="597" t="str">
        <f t="shared" si="4"/>
        <v>Syracuse</v>
      </c>
      <c r="T28" s="519" t="str">
        <f>J28</f>
        <v>Minnesota</v>
      </c>
      <c r="U28" s="522" t="str">
        <f t="shared" si="5"/>
        <v>W</v>
      </c>
      <c r="V28" s="519"/>
      <c r="W28" s="522" t="str">
        <f t="shared" si="6"/>
        <v>L</v>
      </c>
      <c r="X28" s="525"/>
      <c r="Y28" s="526"/>
      <c r="Z28" s="528"/>
      <c r="AA28" s="526"/>
      <c r="AB28" s="528"/>
      <c r="AC28" s="526"/>
      <c r="AD28" s="519" t="str">
        <f>J28</f>
        <v>Minnesota</v>
      </c>
      <c r="AE28" s="532">
        <v>33</v>
      </c>
      <c r="AF28" s="610" t="str">
        <f>K28</f>
        <v>Syracuse</v>
      </c>
      <c r="AG28" s="532">
        <v>8</v>
      </c>
      <c r="AH28" s="610" t="str">
        <f t="shared" si="22"/>
        <v>Minnesota</v>
      </c>
      <c r="AI28" s="532">
        <v>32</v>
      </c>
      <c r="AJ28" s="610" t="str">
        <f t="shared" si="23"/>
        <v>Syracuse</v>
      </c>
      <c r="AK28" s="532">
        <v>9</v>
      </c>
      <c r="AL28" s="610" t="str">
        <f>F28</f>
        <v>Syracuse</v>
      </c>
      <c r="AM28" s="532">
        <v>39</v>
      </c>
      <c r="AN28" s="633" t="str">
        <f>H28</f>
        <v>Minnesota</v>
      </c>
      <c r="AO28" s="532">
        <v>17</v>
      </c>
      <c r="AP28" s="633" t="str">
        <f>F28</f>
        <v>Syracuse</v>
      </c>
      <c r="AQ28" s="532">
        <v>33</v>
      </c>
      <c r="AR28" s="527" t="str">
        <f>J28</f>
        <v>Minnesota</v>
      </c>
      <c r="AS28" s="532">
        <v>35</v>
      </c>
      <c r="AT28" s="603">
        <f t="shared" si="7"/>
        <v>33</v>
      </c>
      <c r="AU28" s="604">
        <f t="shared" si="8"/>
        <v>0</v>
      </c>
      <c r="AV28" s="875">
        <f t="shared" si="9"/>
        <v>32</v>
      </c>
      <c r="AW28" s="875">
        <f t="shared" si="19"/>
        <v>0</v>
      </c>
      <c r="AX28" s="875">
        <f t="shared" si="20"/>
        <v>17</v>
      </c>
      <c r="AY28" s="875">
        <f t="shared" si="10"/>
        <v>0</v>
      </c>
      <c r="AZ28" s="604">
        <f t="shared" si="11"/>
        <v>0</v>
      </c>
      <c r="BA28" s="605">
        <f t="shared" si="21"/>
        <v>35</v>
      </c>
      <c r="BB28" s="523" t="str">
        <f t="shared" si="12"/>
        <v>Syracuse</v>
      </c>
      <c r="BC28" s="530">
        <v>7</v>
      </c>
      <c r="BD28" s="531">
        <v>5</v>
      </c>
      <c r="BE28" s="532">
        <v>0</v>
      </c>
      <c r="BF28" s="530">
        <v>6</v>
      </c>
      <c r="BG28" s="531">
        <v>6</v>
      </c>
      <c r="BH28" s="532">
        <v>0</v>
      </c>
      <c r="BI28" s="523" t="str">
        <f t="shared" si="13"/>
        <v>Minnesota</v>
      </c>
      <c r="BJ28" s="530">
        <v>8</v>
      </c>
      <c r="BK28" s="531">
        <v>4</v>
      </c>
      <c r="BL28" s="532">
        <v>0</v>
      </c>
      <c r="BM28" s="530">
        <v>7</v>
      </c>
      <c r="BN28" s="531">
        <v>5</v>
      </c>
      <c r="BO28" s="532">
        <v>0</v>
      </c>
      <c r="BP28" s="527" t="str">
        <f>BI28</f>
        <v>Minnesota</v>
      </c>
      <c r="BQ28" s="854">
        <v>0.73</v>
      </c>
      <c r="BR28" s="851">
        <v>38</v>
      </c>
      <c r="BS28" s="527" t="s">
        <v>90</v>
      </c>
      <c r="BT28" s="527">
        <v>5.2</v>
      </c>
      <c r="BU28" s="527" t="s">
        <v>69</v>
      </c>
      <c r="BV28" s="523">
        <v>11.6</v>
      </c>
      <c r="BW28" s="527" t="str">
        <f t="shared" si="14"/>
        <v>Minnesota</v>
      </c>
      <c r="BX28" s="523">
        <f t="shared" si="15"/>
        <v>6.3999999999999995</v>
      </c>
      <c r="BY28" s="839">
        <v>28</v>
      </c>
      <c r="BZ28" s="527" t="str">
        <f t="shared" si="16"/>
        <v>Minnesota</v>
      </c>
      <c r="CA28" s="558">
        <f t="shared" si="17"/>
        <v>7</v>
      </c>
      <c r="CB28" s="582">
        <v>28</v>
      </c>
      <c r="CC28" s="527">
        <v>32</v>
      </c>
      <c r="CD28" s="582">
        <v>32</v>
      </c>
      <c r="CE28" s="583" t="str">
        <f>BS28</f>
        <v>Syracuse</v>
      </c>
      <c r="CF28" s="533" t="s">
        <v>508</v>
      </c>
      <c r="CG28" s="522" t="s">
        <v>527</v>
      </c>
      <c r="CH28" s="583" t="str">
        <f>BU28</f>
        <v>Minnesota</v>
      </c>
      <c r="CI28" s="533" t="s">
        <v>492</v>
      </c>
      <c r="CJ28" s="522" t="s">
        <v>528</v>
      </c>
      <c r="CK28" s="583" t="str">
        <f>CH28</f>
        <v>Minnesota</v>
      </c>
      <c r="CL28" s="533" t="s">
        <v>529</v>
      </c>
      <c r="CM28" s="522" t="s">
        <v>530</v>
      </c>
      <c r="CN28" s="524" t="str">
        <f>F28</f>
        <v>Syracuse</v>
      </c>
      <c r="CO28" s="523"/>
      <c r="CP28" s="807">
        <v>5.2</v>
      </c>
      <c r="CQ28" s="808">
        <v>11.6</v>
      </c>
      <c r="CR28" s="820">
        <f t="shared" si="18"/>
        <v>6.3999999999999995</v>
      </c>
      <c r="CS28" s="833">
        <v>27</v>
      </c>
      <c r="CT28" s="592">
        <v>26</v>
      </c>
      <c r="CU28" s="592"/>
      <c r="CV28" s="592"/>
      <c r="CW28" s="592"/>
      <c r="CX28" s="592"/>
      <c r="CY28" s="592"/>
      <c r="CZ28" s="592"/>
      <c r="DA28" s="592"/>
      <c r="DB28" s="592"/>
      <c r="DC28" s="592"/>
      <c r="DD28" s="592"/>
      <c r="DE28" s="592"/>
      <c r="DF28" s="592"/>
      <c r="DG28" s="592"/>
      <c r="DH28" s="592"/>
      <c r="DI28" s="592"/>
      <c r="DJ28" s="592"/>
      <c r="DK28" s="592"/>
      <c r="DL28" s="592"/>
      <c r="DM28" s="628"/>
      <c r="DN28" s="628"/>
      <c r="DO28" s="628"/>
      <c r="DP28" s="628"/>
      <c r="DQ28" s="628"/>
      <c r="DR28" s="628"/>
      <c r="DS28" s="628"/>
      <c r="DT28" s="628"/>
      <c r="DU28" s="628"/>
      <c r="DV28" s="628"/>
      <c r="DW28" s="628"/>
      <c r="DX28" s="628"/>
      <c r="DY28" s="628"/>
    </row>
    <row r="29" spans="1:129" s="593" customFormat="1" ht="24" customHeight="1" x14ac:dyDescent="0.75">
      <c r="A29" s="500" t="s">
        <v>421</v>
      </c>
      <c r="B29" s="519" t="s">
        <v>52</v>
      </c>
      <c r="C29" s="520">
        <v>44924</v>
      </c>
      <c r="D29" s="521">
        <f>17.5/24</f>
        <v>0.72916666666666663</v>
      </c>
      <c r="E29" s="522" t="s">
        <v>35</v>
      </c>
      <c r="F29" s="527" t="s">
        <v>154</v>
      </c>
      <c r="G29" s="554" t="s">
        <v>73</v>
      </c>
      <c r="H29" s="527" t="s">
        <v>117</v>
      </c>
      <c r="I29" s="554" t="s">
        <v>61</v>
      </c>
      <c r="J29" s="527" t="str">
        <f>H29</f>
        <v>Florida State</v>
      </c>
      <c r="K29" s="522" t="str">
        <f t="shared" si="1"/>
        <v>Oklahoma</v>
      </c>
      <c r="L29" s="570">
        <v>7.5</v>
      </c>
      <c r="M29" s="572">
        <v>65.5</v>
      </c>
      <c r="N29" s="633" t="str">
        <f>J29</f>
        <v>Florida State</v>
      </c>
      <c r="O29" s="635">
        <v>35</v>
      </c>
      <c r="P29" s="636" t="str">
        <f t="shared" si="28"/>
        <v>Oklahoma</v>
      </c>
      <c r="Q29" s="532">
        <v>32</v>
      </c>
      <c r="R29" s="597" t="str">
        <f t="shared" si="3"/>
        <v>Oklahoma</v>
      </c>
      <c r="S29" s="597" t="str">
        <f t="shared" si="4"/>
        <v>Florida State</v>
      </c>
      <c r="T29" s="519" t="str">
        <f>J29</f>
        <v>Florida State</v>
      </c>
      <c r="U29" s="522" t="str">
        <f t="shared" si="5"/>
        <v>L</v>
      </c>
      <c r="V29" s="519"/>
      <c r="W29" s="522" t="str">
        <f t="shared" si="6"/>
        <v>L</v>
      </c>
      <c r="X29" s="525"/>
      <c r="Y29" s="526"/>
      <c r="Z29" s="528"/>
      <c r="AA29" s="526"/>
      <c r="AB29" s="528"/>
      <c r="AC29" s="526"/>
      <c r="AD29" s="519" t="str">
        <f>J29</f>
        <v>Florida State</v>
      </c>
      <c r="AE29" s="532">
        <v>35</v>
      </c>
      <c r="AF29" s="610" t="str">
        <f>J29</f>
        <v>Florida State</v>
      </c>
      <c r="AG29" s="532">
        <v>30</v>
      </c>
      <c r="AH29" s="610" t="str">
        <f t="shared" si="22"/>
        <v>Florida State</v>
      </c>
      <c r="AI29" s="532">
        <v>34</v>
      </c>
      <c r="AJ29" s="610" t="str">
        <f t="shared" si="23"/>
        <v>Florida State</v>
      </c>
      <c r="AK29" s="532">
        <v>30</v>
      </c>
      <c r="AL29" s="610" t="str">
        <f>H29</f>
        <v>Florida State</v>
      </c>
      <c r="AM29" s="532">
        <v>28</v>
      </c>
      <c r="AN29" s="633" t="str">
        <f>F29</f>
        <v>Oklahoma</v>
      </c>
      <c r="AO29" s="532">
        <v>5</v>
      </c>
      <c r="AP29" s="633" t="str">
        <f>H29</f>
        <v>Florida State</v>
      </c>
      <c r="AQ29" s="532">
        <v>34</v>
      </c>
      <c r="AR29" s="527" t="str">
        <f>J29</f>
        <v>Florida State</v>
      </c>
      <c r="AS29" s="532">
        <v>25</v>
      </c>
      <c r="AT29" s="603">
        <f t="shared" si="7"/>
        <v>35</v>
      </c>
      <c r="AU29" s="604">
        <f t="shared" si="8"/>
        <v>30</v>
      </c>
      <c r="AV29" s="875">
        <f t="shared" si="9"/>
        <v>34</v>
      </c>
      <c r="AW29" s="875">
        <f t="shared" si="19"/>
        <v>30</v>
      </c>
      <c r="AX29" s="875">
        <f t="shared" si="20"/>
        <v>0</v>
      </c>
      <c r="AY29" s="875">
        <f t="shared" si="10"/>
        <v>34</v>
      </c>
      <c r="AZ29" s="604">
        <f t="shared" si="11"/>
        <v>28</v>
      </c>
      <c r="BA29" s="605">
        <f t="shared" si="21"/>
        <v>25</v>
      </c>
      <c r="BB29" s="523" t="str">
        <f t="shared" si="12"/>
        <v>Oklahoma</v>
      </c>
      <c r="BC29" s="530">
        <v>6</v>
      </c>
      <c r="BD29" s="531">
        <v>6</v>
      </c>
      <c r="BE29" s="532">
        <v>0</v>
      </c>
      <c r="BF29" s="530">
        <v>4</v>
      </c>
      <c r="BG29" s="531">
        <v>8</v>
      </c>
      <c r="BH29" s="532">
        <v>0</v>
      </c>
      <c r="BI29" s="523" t="str">
        <f t="shared" si="13"/>
        <v>Florida State</v>
      </c>
      <c r="BJ29" s="530">
        <v>9</v>
      </c>
      <c r="BK29" s="531">
        <v>3</v>
      </c>
      <c r="BL29" s="532">
        <v>0</v>
      </c>
      <c r="BM29" s="530">
        <v>8</v>
      </c>
      <c r="BN29" s="531">
        <v>4</v>
      </c>
      <c r="BO29" s="532">
        <v>0</v>
      </c>
      <c r="BP29" s="527" t="str">
        <f>BI29</f>
        <v>Florida State</v>
      </c>
      <c r="BQ29" s="854">
        <v>0.56999999999999995</v>
      </c>
      <c r="BR29" s="851">
        <v>16</v>
      </c>
      <c r="BS29" s="527" t="s">
        <v>154</v>
      </c>
      <c r="BT29" s="527">
        <v>10.1</v>
      </c>
      <c r="BU29" s="527" t="s">
        <v>117</v>
      </c>
      <c r="BV29" s="523">
        <v>15.5</v>
      </c>
      <c r="BW29" s="527" t="str">
        <f t="shared" si="14"/>
        <v>Florida State</v>
      </c>
      <c r="BX29" s="523">
        <f t="shared" si="15"/>
        <v>5.4</v>
      </c>
      <c r="BY29" s="839">
        <v>26</v>
      </c>
      <c r="BZ29" s="527" t="str">
        <f t="shared" si="16"/>
        <v>Florida State</v>
      </c>
      <c r="CA29" s="558">
        <f t="shared" si="17"/>
        <v>7.5</v>
      </c>
      <c r="CB29" s="582">
        <v>33</v>
      </c>
      <c r="CC29" s="527">
        <v>25</v>
      </c>
      <c r="CD29" s="582">
        <v>26</v>
      </c>
      <c r="CE29" s="528" t="str">
        <f>BS29</f>
        <v>Oklahoma</v>
      </c>
      <c r="CF29" s="529" t="s">
        <v>484</v>
      </c>
      <c r="CG29" s="522" t="s">
        <v>485</v>
      </c>
      <c r="CH29" s="528" t="str">
        <f>BS29</f>
        <v>Oklahoma</v>
      </c>
      <c r="CI29" s="529" t="s">
        <v>477</v>
      </c>
      <c r="CJ29" s="522" t="s">
        <v>498</v>
      </c>
      <c r="CK29" s="528" t="str">
        <f>CE29</f>
        <v>Oklahoma</v>
      </c>
      <c r="CL29" s="529" t="s">
        <v>499</v>
      </c>
      <c r="CM29" s="522" t="s">
        <v>500</v>
      </c>
      <c r="CN29" s="524" t="str">
        <f>H29</f>
        <v>Florida State</v>
      </c>
      <c r="CO29" s="523"/>
      <c r="CP29" s="809">
        <v>10.1</v>
      </c>
      <c r="CQ29" s="810">
        <v>15.5</v>
      </c>
      <c r="CR29" s="821">
        <f t="shared" si="18"/>
        <v>5.4</v>
      </c>
      <c r="CS29" s="836">
        <v>25</v>
      </c>
      <c r="CT29" s="592">
        <v>27</v>
      </c>
      <c r="CU29" s="592"/>
      <c r="CV29" s="592"/>
      <c r="CW29" s="592"/>
      <c r="CX29" s="592"/>
      <c r="CY29" s="592"/>
      <c r="CZ29" s="592"/>
      <c r="DA29" s="592"/>
      <c r="DB29" s="592"/>
      <c r="DC29" s="592"/>
      <c r="DD29" s="592"/>
      <c r="DE29" s="592"/>
      <c r="DF29" s="592"/>
      <c r="DG29" s="592"/>
      <c r="DH29" s="592"/>
      <c r="DI29" s="592"/>
      <c r="DJ29" s="592"/>
      <c r="DK29" s="592"/>
      <c r="DL29" s="592"/>
      <c r="DM29" s="628"/>
      <c r="DN29" s="628"/>
      <c r="DO29" s="628"/>
      <c r="DP29" s="628"/>
      <c r="DQ29" s="628"/>
      <c r="DR29" s="628"/>
      <c r="DS29" s="628"/>
      <c r="DT29" s="628"/>
      <c r="DU29" s="628"/>
      <c r="DV29" s="628"/>
      <c r="DW29" s="628"/>
      <c r="DX29" s="628"/>
      <c r="DY29" s="628"/>
    </row>
    <row r="30" spans="1:129" s="548" customFormat="1" ht="24" customHeight="1" x14ac:dyDescent="0.75">
      <c r="A30" s="501" t="s">
        <v>302</v>
      </c>
      <c r="B30" s="534" t="s">
        <v>52</v>
      </c>
      <c r="C30" s="535">
        <v>44924</v>
      </c>
      <c r="D30" s="536">
        <f>21/24</f>
        <v>0.875</v>
      </c>
      <c r="E30" s="537" t="s">
        <v>35</v>
      </c>
      <c r="F30" s="543" t="s">
        <v>157</v>
      </c>
      <c r="G30" s="549" t="s">
        <v>73</v>
      </c>
      <c r="H30" s="543" t="s">
        <v>91</v>
      </c>
      <c r="I30" s="549" t="s">
        <v>37</v>
      </c>
      <c r="J30" s="543" t="str">
        <f>F30</f>
        <v>Texas</v>
      </c>
      <c r="K30" s="537" t="str">
        <f t="shared" si="1"/>
        <v>Washington</v>
      </c>
      <c r="L30" s="571">
        <v>5.5</v>
      </c>
      <c r="M30" s="573">
        <v>69</v>
      </c>
      <c r="N30" s="634" t="str">
        <f>K30</f>
        <v>Washington</v>
      </c>
      <c r="O30" s="758">
        <v>27</v>
      </c>
      <c r="P30" s="637" t="str">
        <f t="shared" si="28"/>
        <v>Texas</v>
      </c>
      <c r="Q30" s="547">
        <v>20</v>
      </c>
      <c r="R30" s="596" t="str">
        <f t="shared" si="3"/>
        <v>Washington</v>
      </c>
      <c r="S30" s="596" t="str">
        <f t="shared" si="4"/>
        <v>Texas</v>
      </c>
      <c r="T30" s="534" t="str">
        <f>K30</f>
        <v>Washington</v>
      </c>
      <c r="U30" s="537" t="str">
        <f t="shared" si="5"/>
        <v>W</v>
      </c>
      <c r="V30" s="534"/>
      <c r="W30" s="537" t="str">
        <f t="shared" si="6"/>
        <v>L</v>
      </c>
      <c r="X30" s="540"/>
      <c r="Y30" s="541"/>
      <c r="Z30" s="542"/>
      <c r="AA30" s="541"/>
      <c r="AB30" s="542"/>
      <c r="AC30" s="541"/>
      <c r="AD30" s="534" t="str">
        <f>J30</f>
        <v>Texas</v>
      </c>
      <c r="AE30" s="547">
        <v>20</v>
      </c>
      <c r="AF30" s="543" t="str">
        <f>K30</f>
        <v>Washington</v>
      </c>
      <c r="AG30" s="547">
        <v>7</v>
      </c>
      <c r="AH30" s="543" t="str">
        <f t="shared" si="22"/>
        <v>Texas</v>
      </c>
      <c r="AI30" s="547">
        <v>19</v>
      </c>
      <c r="AJ30" s="543" t="str">
        <f t="shared" si="23"/>
        <v>Washington</v>
      </c>
      <c r="AK30" s="547">
        <v>8</v>
      </c>
      <c r="AL30" s="543" t="str">
        <f>H30</f>
        <v>Washington</v>
      </c>
      <c r="AM30" s="547">
        <v>17</v>
      </c>
      <c r="AN30" s="634" t="str">
        <f>F30</f>
        <v>Texas</v>
      </c>
      <c r="AO30" s="547">
        <v>18</v>
      </c>
      <c r="AP30" s="634" t="str">
        <f>H30</f>
        <v>Washington</v>
      </c>
      <c r="AQ30" s="547">
        <v>36</v>
      </c>
      <c r="AR30" s="543" t="str">
        <f>J30</f>
        <v>Texas</v>
      </c>
      <c r="AS30" s="547">
        <v>19</v>
      </c>
      <c r="AT30" s="606">
        <f t="shared" si="7"/>
        <v>0</v>
      </c>
      <c r="AU30" s="607">
        <f t="shared" si="8"/>
        <v>7</v>
      </c>
      <c r="AV30" s="876">
        <f t="shared" si="9"/>
        <v>0</v>
      </c>
      <c r="AW30" s="876">
        <f t="shared" si="19"/>
        <v>8</v>
      </c>
      <c r="AX30" s="876">
        <f t="shared" si="20"/>
        <v>0</v>
      </c>
      <c r="AY30" s="876">
        <f t="shared" si="10"/>
        <v>36</v>
      </c>
      <c r="AZ30" s="607">
        <f t="shared" si="11"/>
        <v>17</v>
      </c>
      <c r="BA30" s="608">
        <f t="shared" si="21"/>
        <v>0</v>
      </c>
      <c r="BB30" s="538" t="str">
        <f t="shared" si="12"/>
        <v>Texas</v>
      </c>
      <c r="BC30" s="545">
        <v>8</v>
      </c>
      <c r="BD30" s="546">
        <v>4</v>
      </c>
      <c r="BE30" s="547">
        <v>0</v>
      </c>
      <c r="BF30" s="545">
        <v>8</v>
      </c>
      <c r="BG30" s="546">
        <v>4</v>
      </c>
      <c r="BH30" s="547">
        <v>0</v>
      </c>
      <c r="BI30" s="538" t="str">
        <f t="shared" si="13"/>
        <v>Washington</v>
      </c>
      <c r="BJ30" s="545">
        <v>10</v>
      </c>
      <c r="BK30" s="546">
        <v>2</v>
      </c>
      <c r="BL30" s="547">
        <v>0</v>
      </c>
      <c r="BM30" s="545">
        <v>7</v>
      </c>
      <c r="BN30" s="546">
        <v>5</v>
      </c>
      <c r="BO30" s="547">
        <v>0</v>
      </c>
      <c r="BP30" s="543" t="str">
        <f>BB30</f>
        <v>Texas</v>
      </c>
      <c r="BQ30" s="855">
        <v>0.64</v>
      </c>
      <c r="BR30" s="852">
        <v>28</v>
      </c>
      <c r="BS30" s="543" t="s">
        <v>157</v>
      </c>
      <c r="BT30" s="543">
        <v>20.399999999999999</v>
      </c>
      <c r="BU30" s="543" t="s">
        <v>91</v>
      </c>
      <c r="BV30" s="538">
        <v>10.5</v>
      </c>
      <c r="BW30" s="543" t="str">
        <f t="shared" si="14"/>
        <v>Texas</v>
      </c>
      <c r="BX30" s="538">
        <f t="shared" si="15"/>
        <v>9.8999999999999986</v>
      </c>
      <c r="BY30" s="840">
        <v>38</v>
      </c>
      <c r="BZ30" s="543" t="str">
        <f t="shared" si="16"/>
        <v>Texas</v>
      </c>
      <c r="CA30" s="755">
        <f t="shared" si="17"/>
        <v>5.5</v>
      </c>
      <c r="CB30" s="561">
        <v>22</v>
      </c>
      <c r="CC30" s="543">
        <v>29.666666666666668</v>
      </c>
      <c r="CD30" s="561">
        <v>30</v>
      </c>
      <c r="CE30" s="542" t="str">
        <f>BZ30</f>
        <v>Texas</v>
      </c>
      <c r="CF30" s="544" t="s">
        <v>477</v>
      </c>
      <c r="CG30" s="541" t="s">
        <v>478</v>
      </c>
      <c r="CH30" s="542"/>
      <c r="CI30" s="544"/>
      <c r="CJ30" s="541"/>
      <c r="CK30" s="542"/>
      <c r="CL30" s="544"/>
      <c r="CM30" s="541"/>
      <c r="CN30" s="538" t="str">
        <f>F30</f>
        <v>Texas</v>
      </c>
      <c r="CO30" s="538"/>
      <c r="CP30" s="811">
        <v>20.399999999999999</v>
      </c>
      <c r="CQ30" s="804">
        <v>10.5</v>
      </c>
      <c r="CR30" s="822">
        <f t="shared" si="18"/>
        <v>9.8999999999999986</v>
      </c>
      <c r="CS30" s="834">
        <v>37</v>
      </c>
      <c r="CT30" s="594">
        <v>28</v>
      </c>
      <c r="CU30" s="594"/>
      <c r="CV30" s="594"/>
      <c r="CW30" s="594"/>
      <c r="CX30" s="594"/>
      <c r="CY30" s="594"/>
      <c r="CZ30" s="594"/>
      <c r="DA30" s="594"/>
      <c r="DB30" s="594"/>
      <c r="DC30" s="594"/>
      <c r="DD30" s="594"/>
      <c r="DE30" s="594"/>
      <c r="DF30" s="594"/>
      <c r="DG30" s="594"/>
      <c r="DH30" s="594"/>
      <c r="DI30" s="594"/>
      <c r="DJ30" s="594"/>
      <c r="DK30" s="594"/>
      <c r="DL30" s="594"/>
      <c r="DM30" s="631"/>
      <c r="DN30" s="631"/>
      <c r="DO30" s="631"/>
      <c r="DP30" s="631"/>
      <c r="DQ30" s="631"/>
      <c r="DR30" s="631"/>
      <c r="DS30" s="631"/>
      <c r="DT30" s="631"/>
      <c r="DU30" s="631"/>
      <c r="DV30" s="631"/>
      <c r="DW30" s="631"/>
      <c r="DX30" s="631"/>
      <c r="DY30" s="631"/>
    </row>
    <row r="31" spans="1:129" s="548" customFormat="1" ht="24" customHeight="1" x14ac:dyDescent="0.75">
      <c r="A31" s="501" t="s">
        <v>422</v>
      </c>
      <c r="B31" s="534" t="s">
        <v>88</v>
      </c>
      <c r="C31" s="535">
        <v>44925</v>
      </c>
      <c r="D31" s="536">
        <f>12/24</f>
        <v>0.5</v>
      </c>
      <c r="E31" s="537" t="s">
        <v>35</v>
      </c>
      <c r="F31" s="543" t="s">
        <v>156</v>
      </c>
      <c r="G31" s="549" t="s">
        <v>64</v>
      </c>
      <c r="H31" s="543" t="s">
        <v>126</v>
      </c>
      <c r="I31" s="549" t="s">
        <v>61</v>
      </c>
      <c r="J31" s="543" t="str">
        <f>F31</f>
        <v>Maryland</v>
      </c>
      <c r="K31" s="537" t="str">
        <f t="shared" si="1"/>
        <v>North Carolina St</v>
      </c>
      <c r="L31" s="571">
        <v>1.5</v>
      </c>
      <c r="M31" s="573">
        <v>48</v>
      </c>
      <c r="N31" s="634" t="str">
        <f>J31</f>
        <v>Maryland</v>
      </c>
      <c r="O31" s="758">
        <v>16</v>
      </c>
      <c r="P31" s="637" t="str">
        <f t="shared" si="28"/>
        <v>North Carolina St</v>
      </c>
      <c r="Q31" s="547">
        <v>12</v>
      </c>
      <c r="R31" s="596" t="str">
        <f t="shared" si="3"/>
        <v>Maryland</v>
      </c>
      <c r="S31" s="596" t="str">
        <f t="shared" si="4"/>
        <v>North Carolina St</v>
      </c>
      <c r="T31" s="534" t="str">
        <f>J31</f>
        <v>Maryland</v>
      </c>
      <c r="U31" s="537" t="str">
        <f t="shared" si="5"/>
        <v>W</v>
      </c>
      <c r="V31" s="534"/>
      <c r="W31" s="537" t="str">
        <f t="shared" si="6"/>
        <v>L</v>
      </c>
      <c r="X31" s="540"/>
      <c r="Y31" s="541"/>
      <c r="Z31" s="542"/>
      <c r="AA31" s="541"/>
      <c r="AB31" s="542"/>
      <c r="AC31" s="541"/>
      <c r="AD31" s="534" t="str">
        <f>K31</f>
        <v>North Carolina St</v>
      </c>
      <c r="AE31" s="547">
        <v>14</v>
      </c>
      <c r="AF31" s="543" t="str">
        <f>J31</f>
        <v>Maryland</v>
      </c>
      <c r="AG31" s="547">
        <v>10</v>
      </c>
      <c r="AH31" s="543" t="str">
        <f t="shared" si="22"/>
        <v>North Carolina St</v>
      </c>
      <c r="AI31" s="547">
        <v>13</v>
      </c>
      <c r="AJ31" s="543" t="str">
        <f t="shared" si="23"/>
        <v>Maryland</v>
      </c>
      <c r="AK31" s="547">
        <v>11</v>
      </c>
      <c r="AL31" s="543" t="str">
        <f>H31</f>
        <v>North Carolina St</v>
      </c>
      <c r="AM31" s="547">
        <v>14</v>
      </c>
      <c r="AN31" s="634" t="str">
        <f>H31</f>
        <v>North Carolina St</v>
      </c>
      <c r="AO31" s="547">
        <v>6</v>
      </c>
      <c r="AP31" s="634" t="str">
        <f>F31</f>
        <v>Maryland</v>
      </c>
      <c r="AQ31" s="547">
        <v>27</v>
      </c>
      <c r="AR31" s="543" t="str">
        <f>J31</f>
        <v>Maryland</v>
      </c>
      <c r="AS31" s="547">
        <v>7</v>
      </c>
      <c r="AT31" s="606">
        <f t="shared" si="7"/>
        <v>0</v>
      </c>
      <c r="AU31" s="607">
        <f t="shared" si="8"/>
        <v>10</v>
      </c>
      <c r="AV31" s="876">
        <f t="shared" si="9"/>
        <v>0</v>
      </c>
      <c r="AW31" s="876">
        <f t="shared" si="19"/>
        <v>11</v>
      </c>
      <c r="AX31" s="876">
        <f t="shared" si="20"/>
        <v>0</v>
      </c>
      <c r="AY31" s="876">
        <f t="shared" si="10"/>
        <v>27</v>
      </c>
      <c r="AZ31" s="607">
        <f t="shared" si="11"/>
        <v>0</v>
      </c>
      <c r="BA31" s="608">
        <f t="shared" si="21"/>
        <v>7</v>
      </c>
      <c r="BB31" s="538" t="str">
        <f t="shared" si="12"/>
        <v>Maryland</v>
      </c>
      <c r="BC31" s="545">
        <v>7</v>
      </c>
      <c r="BD31" s="546">
        <v>5</v>
      </c>
      <c r="BE31" s="547">
        <v>0</v>
      </c>
      <c r="BF31" s="545">
        <v>6</v>
      </c>
      <c r="BG31" s="546">
        <v>6</v>
      </c>
      <c r="BH31" s="547">
        <v>0</v>
      </c>
      <c r="BI31" s="538" t="str">
        <f t="shared" si="13"/>
        <v>North Carolina St</v>
      </c>
      <c r="BJ31" s="545">
        <v>8</v>
      </c>
      <c r="BK31" s="546">
        <v>4</v>
      </c>
      <c r="BL31" s="547">
        <v>0</v>
      </c>
      <c r="BM31" s="545">
        <v>4</v>
      </c>
      <c r="BN31" s="546">
        <v>8</v>
      </c>
      <c r="BO31" s="547">
        <v>0</v>
      </c>
      <c r="BP31" s="543" t="str">
        <f>BB31</f>
        <v>Maryland</v>
      </c>
      <c r="BQ31" s="855">
        <v>0.51</v>
      </c>
      <c r="BR31" s="852">
        <v>4</v>
      </c>
      <c r="BS31" s="543" t="s">
        <v>156</v>
      </c>
      <c r="BT31" s="543">
        <v>8.1</v>
      </c>
      <c r="BU31" s="543" t="s">
        <v>126</v>
      </c>
      <c r="BV31" s="538">
        <v>6.3</v>
      </c>
      <c r="BW31" s="543" t="str">
        <f t="shared" si="14"/>
        <v>Maryland</v>
      </c>
      <c r="BX31" s="538">
        <f t="shared" si="15"/>
        <v>1.7999999999999998</v>
      </c>
      <c r="BY31" s="840">
        <v>11</v>
      </c>
      <c r="BZ31" s="543" t="str">
        <f t="shared" si="16"/>
        <v>Maryland</v>
      </c>
      <c r="CA31" s="559">
        <f t="shared" si="17"/>
        <v>1.5</v>
      </c>
      <c r="CB31" s="561">
        <v>6</v>
      </c>
      <c r="CC31" s="543">
        <v>6.666666666666667</v>
      </c>
      <c r="CD31" s="561">
        <v>2</v>
      </c>
      <c r="CE31" s="542" t="str">
        <f>BP31</f>
        <v>Maryland</v>
      </c>
      <c r="CF31" s="544" t="s">
        <v>486</v>
      </c>
      <c r="CG31" s="541" t="s">
        <v>487</v>
      </c>
      <c r="CH31" s="542" t="str">
        <f>BU31</f>
        <v>North Carolina St</v>
      </c>
      <c r="CI31" s="544" t="s">
        <v>479</v>
      </c>
      <c r="CJ31" s="541" t="s">
        <v>531</v>
      </c>
      <c r="CK31" s="542"/>
      <c r="CL31" s="544"/>
      <c r="CM31" s="541"/>
      <c r="CN31" s="538" t="str">
        <f>H31</f>
        <v>North Carolina St</v>
      </c>
      <c r="CO31" s="538"/>
      <c r="CP31" s="812">
        <v>8.1</v>
      </c>
      <c r="CQ31" s="813">
        <v>6.3</v>
      </c>
      <c r="CR31" s="823">
        <f t="shared" si="18"/>
        <v>1.7999999999999998</v>
      </c>
      <c r="CS31" s="835">
        <v>10</v>
      </c>
      <c r="CT31" s="594">
        <v>29</v>
      </c>
      <c r="CU31" s="594"/>
      <c r="CV31" s="594"/>
      <c r="CW31" s="594"/>
      <c r="CX31" s="594"/>
      <c r="CY31" s="594"/>
      <c r="CZ31" s="594"/>
      <c r="DA31" s="594"/>
      <c r="DB31" s="594"/>
      <c r="DC31" s="594"/>
      <c r="DD31" s="594"/>
      <c r="DE31" s="594"/>
      <c r="DF31" s="594"/>
      <c r="DG31" s="594"/>
      <c r="DH31" s="594"/>
      <c r="DI31" s="594"/>
      <c r="DJ31" s="594"/>
      <c r="DK31" s="594"/>
      <c r="DL31" s="594"/>
      <c r="DM31" s="631"/>
      <c r="DN31" s="631"/>
      <c r="DO31" s="631"/>
      <c r="DP31" s="631"/>
      <c r="DQ31" s="631"/>
      <c r="DR31" s="631"/>
      <c r="DS31" s="631"/>
      <c r="DT31" s="631"/>
      <c r="DU31" s="631"/>
      <c r="DV31" s="631"/>
      <c r="DW31" s="631"/>
      <c r="DX31" s="631"/>
      <c r="DY31" s="631"/>
    </row>
    <row r="32" spans="1:129" s="548" customFormat="1" ht="24" customHeight="1" x14ac:dyDescent="0.75">
      <c r="A32" s="501" t="s">
        <v>220</v>
      </c>
      <c r="B32" s="534" t="s">
        <v>88</v>
      </c>
      <c r="C32" s="535">
        <v>44925</v>
      </c>
      <c r="D32" s="536">
        <f>14/24</f>
        <v>0.58333333333333337</v>
      </c>
      <c r="E32" s="537" t="s">
        <v>35</v>
      </c>
      <c r="F32" s="543" t="s">
        <v>464</v>
      </c>
      <c r="G32" s="549" t="s">
        <v>61</v>
      </c>
      <c r="H32" s="543" t="s">
        <v>224</v>
      </c>
      <c r="I32" s="549" t="s">
        <v>37</v>
      </c>
      <c r="J32" s="543" t="str">
        <f>H32</f>
        <v>UCLA</v>
      </c>
      <c r="K32" s="537" t="str">
        <f t="shared" si="1"/>
        <v>Pitt</v>
      </c>
      <c r="L32" s="571">
        <v>6.5</v>
      </c>
      <c r="M32" s="573">
        <v>58</v>
      </c>
      <c r="N32" s="634" t="str">
        <f>K32</f>
        <v>Pitt</v>
      </c>
      <c r="O32" s="758">
        <v>37</v>
      </c>
      <c r="P32" s="637" t="str">
        <f t="shared" si="28"/>
        <v>UCLA</v>
      </c>
      <c r="Q32" s="547">
        <v>35</v>
      </c>
      <c r="R32" s="596" t="str">
        <f t="shared" si="3"/>
        <v>Pitt</v>
      </c>
      <c r="S32" s="596" t="str">
        <f t="shared" si="4"/>
        <v>UCLA</v>
      </c>
      <c r="T32" s="534" t="str">
        <f>J32</f>
        <v>UCLA</v>
      </c>
      <c r="U32" s="537" t="str">
        <f t="shared" si="5"/>
        <v>L</v>
      </c>
      <c r="V32" s="534"/>
      <c r="W32" s="537" t="str">
        <f t="shared" si="6"/>
        <v>L</v>
      </c>
      <c r="X32" s="540"/>
      <c r="Y32" s="541"/>
      <c r="Z32" s="542"/>
      <c r="AA32" s="541"/>
      <c r="AB32" s="542"/>
      <c r="AC32" s="541"/>
      <c r="AD32" s="534" t="str">
        <f>J32</f>
        <v>UCLA</v>
      </c>
      <c r="AE32" s="547">
        <v>37</v>
      </c>
      <c r="AF32" s="543" t="str">
        <f>J32</f>
        <v>UCLA</v>
      </c>
      <c r="AG32" s="547">
        <v>24</v>
      </c>
      <c r="AH32" s="543" t="str">
        <f t="shared" si="22"/>
        <v>UCLA</v>
      </c>
      <c r="AI32" s="547">
        <v>36</v>
      </c>
      <c r="AJ32" s="543" t="str">
        <f t="shared" si="23"/>
        <v>UCLA</v>
      </c>
      <c r="AK32" s="547">
        <v>38</v>
      </c>
      <c r="AL32" s="543" t="str">
        <f>F32</f>
        <v>Pitt</v>
      </c>
      <c r="AM32" s="547">
        <v>4</v>
      </c>
      <c r="AN32" s="634" t="str">
        <f>H32</f>
        <v>UCLA</v>
      </c>
      <c r="AO32" s="547">
        <v>7</v>
      </c>
      <c r="AP32" s="634" t="str">
        <f>H32</f>
        <v>UCLA</v>
      </c>
      <c r="AQ32" s="547">
        <v>38</v>
      </c>
      <c r="AR32" s="609" t="str">
        <f>K32</f>
        <v>Pitt</v>
      </c>
      <c r="AS32" s="547">
        <v>5</v>
      </c>
      <c r="AT32" s="606">
        <f t="shared" si="7"/>
        <v>0</v>
      </c>
      <c r="AU32" s="607">
        <f t="shared" si="8"/>
        <v>0</v>
      </c>
      <c r="AV32" s="876">
        <f t="shared" si="9"/>
        <v>0</v>
      </c>
      <c r="AW32" s="876">
        <f t="shared" si="19"/>
        <v>0</v>
      </c>
      <c r="AX32" s="876">
        <f t="shared" si="20"/>
        <v>0</v>
      </c>
      <c r="AY32" s="876">
        <f t="shared" si="10"/>
        <v>0</v>
      </c>
      <c r="AZ32" s="607">
        <f t="shared" si="11"/>
        <v>4</v>
      </c>
      <c r="BA32" s="608">
        <f t="shared" si="21"/>
        <v>5</v>
      </c>
      <c r="BB32" s="538" t="str">
        <f t="shared" si="12"/>
        <v>Pitt</v>
      </c>
      <c r="BC32" s="545">
        <v>8</v>
      </c>
      <c r="BD32" s="546">
        <v>4</v>
      </c>
      <c r="BE32" s="547">
        <v>0</v>
      </c>
      <c r="BF32" s="545">
        <v>5</v>
      </c>
      <c r="BG32" s="546">
        <v>7</v>
      </c>
      <c r="BH32" s="547">
        <v>0</v>
      </c>
      <c r="BI32" s="538" t="str">
        <f t="shared" si="13"/>
        <v>UCLA</v>
      </c>
      <c r="BJ32" s="545">
        <v>9</v>
      </c>
      <c r="BK32" s="546">
        <v>3</v>
      </c>
      <c r="BL32" s="547">
        <v>0</v>
      </c>
      <c r="BM32" s="545">
        <v>6</v>
      </c>
      <c r="BN32" s="546">
        <v>6</v>
      </c>
      <c r="BO32" s="547">
        <v>0</v>
      </c>
      <c r="BP32" s="543" t="str">
        <f>BI32</f>
        <v>UCLA</v>
      </c>
      <c r="BQ32" s="855">
        <v>0.56999999999999995</v>
      </c>
      <c r="BR32" s="852">
        <v>15</v>
      </c>
      <c r="BS32" s="543" t="s">
        <v>464</v>
      </c>
      <c r="BT32" s="543">
        <v>7.7</v>
      </c>
      <c r="BU32" s="543" t="s">
        <v>224</v>
      </c>
      <c r="BV32" s="538">
        <v>8.5</v>
      </c>
      <c r="BW32" s="543" t="str">
        <f t="shared" si="14"/>
        <v>UCLA</v>
      </c>
      <c r="BX32" s="538">
        <f t="shared" si="15"/>
        <v>0.79999999999999982</v>
      </c>
      <c r="BY32" s="840">
        <v>4</v>
      </c>
      <c r="BZ32" s="543" t="str">
        <f t="shared" si="16"/>
        <v>UCLA</v>
      </c>
      <c r="CA32" s="559">
        <f t="shared" si="17"/>
        <v>6.5</v>
      </c>
      <c r="CB32" s="561">
        <v>25</v>
      </c>
      <c r="CC32" s="543">
        <v>14.333333333333334</v>
      </c>
      <c r="CD32" s="561">
        <v>12</v>
      </c>
      <c r="CE32" s="542" t="str">
        <f>BS32</f>
        <v>Pitt</v>
      </c>
      <c r="CF32" s="544" t="s">
        <v>508</v>
      </c>
      <c r="CG32" s="541" t="s">
        <v>532</v>
      </c>
      <c r="CH32" s="542" t="str">
        <f>BS32</f>
        <v>Pitt</v>
      </c>
      <c r="CI32" s="544" t="s">
        <v>479</v>
      </c>
      <c r="CJ32" s="541" t="s">
        <v>533</v>
      </c>
      <c r="CK32" s="542"/>
      <c r="CL32" s="544"/>
      <c r="CM32" s="541"/>
      <c r="CN32" s="538"/>
      <c r="CO32" s="538"/>
      <c r="CP32" s="811">
        <v>7.7</v>
      </c>
      <c r="CQ32" s="804">
        <v>8.5</v>
      </c>
      <c r="CR32" s="822">
        <f t="shared" si="18"/>
        <v>0.79999999999999982</v>
      </c>
      <c r="CS32" s="834">
        <v>3</v>
      </c>
      <c r="CT32" s="594">
        <v>30</v>
      </c>
      <c r="CU32" s="594"/>
      <c r="CV32" s="594"/>
      <c r="CW32" s="594"/>
      <c r="CX32" s="594"/>
      <c r="CY32" s="594"/>
      <c r="CZ32" s="594"/>
      <c r="DA32" s="594"/>
      <c r="DB32" s="594"/>
      <c r="DC32" s="594"/>
      <c r="DD32" s="594"/>
      <c r="DE32" s="594"/>
      <c r="DF32" s="594"/>
      <c r="DG32" s="594"/>
      <c r="DH32" s="594"/>
      <c r="DI32" s="594"/>
      <c r="DJ32" s="594"/>
      <c r="DK32" s="594"/>
      <c r="DL32" s="594"/>
      <c r="DM32" s="631"/>
      <c r="DN32" s="631"/>
      <c r="DO32" s="631"/>
      <c r="DP32" s="631"/>
      <c r="DQ32" s="631"/>
      <c r="DR32" s="631"/>
      <c r="DS32" s="631"/>
      <c r="DT32" s="631"/>
      <c r="DU32" s="631"/>
      <c r="DV32" s="631"/>
      <c r="DW32" s="631"/>
      <c r="DX32" s="631"/>
      <c r="DY32" s="631"/>
    </row>
    <row r="33" spans="1:129" s="593" customFormat="1" ht="24" customHeight="1" x14ac:dyDescent="0.75">
      <c r="A33" s="500" t="s">
        <v>401</v>
      </c>
      <c r="B33" s="519" t="s">
        <v>88</v>
      </c>
      <c r="C33" s="520">
        <v>44925</v>
      </c>
      <c r="D33" s="521">
        <f>15.5/24</f>
        <v>0.64583333333333337</v>
      </c>
      <c r="E33" s="522" t="s">
        <v>35</v>
      </c>
      <c r="F33" s="527" t="s">
        <v>181</v>
      </c>
      <c r="G33" s="554" t="s">
        <v>43</v>
      </c>
      <c r="H33" s="527" t="s">
        <v>125</v>
      </c>
      <c r="I33" s="554" t="s">
        <v>85</v>
      </c>
      <c r="J33" s="527" t="str">
        <f>F33</f>
        <v>Notre Dame</v>
      </c>
      <c r="K33" s="522" t="str">
        <f t="shared" si="1"/>
        <v>South Carolina</v>
      </c>
      <c r="L33" s="570">
        <v>2.5</v>
      </c>
      <c r="M33" s="572">
        <v>52</v>
      </c>
      <c r="N33" s="633" t="str">
        <f>J33</f>
        <v>Notre Dame</v>
      </c>
      <c r="O33" s="635">
        <v>45</v>
      </c>
      <c r="P33" s="636" t="str">
        <f t="shared" si="28"/>
        <v>South Carolina</v>
      </c>
      <c r="Q33" s="532">
        <v>38</v>
      </c>
      <c r="R33" s="597" t="str">
        <f t="shared" si="3"/>
        <v>Notre Dame</v>
      </c>
      <c r="S33" s="597" t="str">
        <f t="shared" si="4"/>
        <v>South Carolina</v>
      </c>
      <c r="T33" s="519" t="str">
        <f>J33</f>
        <v>Notre Dame</v>
      </c>
      <c r="U33" s="522" t="str">
        <f t="shared" si="5"/>
        <v>W</v>
      </c>
      <c r="V33" s="519"/>
      <c r="W33" s="522" t="str">
        <f t="shared" si="6"/>
        <v>L</v>
      </c>
      <c r="X33" s="525"/>
      <c r="Y33" s="526"/>
      <c r="Z33" s="528"/>
      <c r="AA33" s="526"/>
      <c r="AB33" s="528"/>
      <c r="AC33" s="526"/>
      <c r="AD33" s="519" t="str">
        <f>J33</f>
        <v>Notre Dame</v>
      </c>
      <c r="AE33" s="532">
        <v>15</v>
      </c>
      <c r="AF33" s="527" t="str">
        <f>K33</f>
        <v>South Carolina</v>
      </c>
      <c r="AG33" s="532">
        <v>14</v>
      </c>
      <c r="AH33" s="527" t="str">
        <f t="shared" si="22"/>
        <v>Notre Dame</v>
      </c>
      <c r="AI33" s="532">
        <v>14</v>
      </c>
      <c r="AJ33" s="527" t="str">
        <f t="shared" si="23"/>
        <v>South Carolina</v>
      </c>
      <c r="AK33" s="532">
        <v>14</v>
      </c>
      <c r="AL33" s="527" t="str">
        <f>H33</f>
        <v>South Carolina</v>
      </c>
      <c r="AM33" s="532">
        <v>3</v>
      </c>
      <c r="AN33" s="633" t="str">
        <f>H33</f>
        <v>South Carolina</v>
      </c>
      <c r="AO33" s="532">
        <v>8</v>
      </c>
      <c r="AP33" s="633" t="str">
        <f>H33</f>
        <v>South Carolina</v>
      </c>
      <c r="AQ33" s="532">
        <v>37</v>
      </c>
      <c r="AR33" s="527" t="str">
        <f>J33</f>
        <v>Notre Dame</v>
      </c>
      <c r="AS33" s="532">
        <v>26</v>
      </c>
      <c r="AT33" s="603">
        <f t="shared" si="7"/>
        <v>15</v>
      </c>
      <c r="AU33" s="604">
        <f t="shared" si="8"/>
        <v>0</v>
      </c>
      <c r="AV33" s="875">
        <f t="shared" si="9"/>
        <v>14</v>
      </c>
      <c r="AW33" s="875">
        <f t="shared" si="19"/>
        <v>0</v>
      </c>
      <c r="AX33" s="875">
        <f t="shared" si="20"/>
        <v>0</v>
      </c>
      <c r="AY33" s="875">
        <f t="shared" si="10"/>
        <v>0</v>
      </c>
      <c r="AZ33" s="604">
        <f t="shared" si="11"/>
        <v>0</v>
      </c>
      <c r="BA33" s="605">
        <f t="shared" si="21"/>
        <v>26</v>
      </c>
      <c r="BB33" s="523" t="str">
        <f t="shared" si="12"/>
        <v>Notre Dame</v>
      </c>
      <c r="BC33" s="530">
        <v>8</v>
      </c>
      <c r="BD33" s="531">
        <v>4</v>
      </c>
      <c r="BE33" s="532">
        <v>0</v>
      </c>
      <c r="BF33" s="530">
        <v>6</v>
      </c>
      <c r="BG33" s="531">
        <v>6</v>
      </c>
      <c r="BH33" s="532">
        <v>0</v>
      </c>
      <c r="BI33" s="523" t="str">
        <f t="shared" si="13"/>
        <v>South Carolina</v>
      </c>
      <c r="BJ33" s="530">
        <v>8</v>
      </c>
      <c r="BK33" s="531">
        <v>4</v>
      </c>
      <c r="BL33" s="532">
        <v>0</v>
      </c>
      <c r="BM33" s="530">
        <v>7</v>
      </c>
      <c r="BN33" s="531">
        <v>5</v>
      </c>
      <c r="BO33" s="532">
        <v>0</v>
      </c>
      <c r="BP33" s="527" t="str">
        <f>BB33</f>
        <v>Notre Dame</v>
      </c>
      <c r="BQ33" s="854">
        <v>0.69</v>
      </c>
      <c r="BR33" s="851">
        <v>33</v>
      </c>
      <c r="BS33" s="527" t="s">
        <v>181</v>
      </c>
      <c r="BT33" s="527">
        <v>12.7</v>
      </c>
      <c r="BU33" s="527" t="s">
        <v>125</v>
      </c>
      <c r="BV33" s="523">
        <v>4.3</v>
      </c>
      <c r="BW33" s="527" t="str">
        <f t="shared" si="14"/>
        <v>Notre Dame</v>
      </c>
      <c r="BX33" s="523">
        <f t="shared" si="15"/>
        <v>8.3999999999999986</v>
      </c>
      <c r="BY33" s="839">
        <v>35</v>
      </c>
      <c r="BZ33" s="527" t="str">
        <f t="shared" si="16"/>
        <v>Notre Dame</v>
      </c>
      <c r="CA33" s="558">
        <f t="shared" si="17"/>
        <v>2.5</v>
      </c>
      <c r="CB33" s="582">
        <v>11</v>
      </c>
      <c r="CC33" s="527">
        <v>26.666666666666668</v>
      </c>
      <c r="CD33" s="582">
        <v>28</v>
      </c>
      <c r="CE33" s="528" t="str">
        <f>BS33</f>
        <v>Notre Dame</v>
      </c>
      <c r="CF33" s="529" t="s">
        <v>489</v>
      </c>
      <c r="CG33" s="522" t="s">
        <v>490</v>
      </c>
      <c r="CH33" s="528" t="str">
        <f>BS33</f>
        <v>Notre Dame</v>
      </c>
      <c r="CI33" s="529" t="s">
        <v>479</v>
      </c>
      <c r="CJ33" s="522" t="s">
        <v>534</v>
      </c>
      <c r="CK33" s="528"/>
      <c r="CL33" s="529"/>
      <c r="CM33" s="522"/>
      <c r="CN33" s="524"/>
      <c r="CO33" s="523"/>
      <c r="CP33" s="807">
        <v>12.7</v>
      </c>
      <c r="CQ33" s="808">
        <v>4.3</v>
      </c>
      <c r="CR33" s="820">
        <f t="shared" si="18"/>
        <v>8.3999999999999986</v>
      </c>
      <c r="CS33" s="833">
        <v>34</v>
      </c>
      <c r="CT33" s="592">
        <v>31</v>
      </c>
      <c r="CU33" s="592"/>
      <c r="CV33" s="592"/>
      <c r="CW33" s="592"/>
      <c r="CX33" s="592"/>
      <c r="CY33" s="592"/>
      <c r="CZ33" s="592"/>
      <c r="DA33" s="592"/>
      <c r="DB33" s="592"/>
      <c r="DC33" s="592"/>
      <c r="DD33" s="592"/>
      <c r="DE33" s="592"/>
      <c r="DF33" s="592"/>
      <c r="DG33" s="592"/>
      <c r="DH33" s="592"/>
      <c r="DI33" s="592"/>
      <c r="DJ33" s="592"/>
      <c r="DK33" s="592"/>
      <c r="DL33" s="592"/>
      <c r="DM33" s="628"/>
      <c r="DN33" s="628"/>
      <c r="DO33" s="628"/>
      <c r="DP33" s="628"/>
      <c r="DQ33" s="628"/>
      <c r="DR33" s="628"/>
      <c r="DS33" s="628"/>
      <c r="DT33" s="628"/>
      <c r="DU33" s="628"/>
      <c r="DV33" s="628"/>
      <c r="DW33" s="628"/>
      <c r="DX33" s="628"/>
      <c r="DY33" s="628"/>
    </row>
    <row r="34" spans="1:129" s="593" customFormat="1" ht="24" customHeight="1" x14ac:dyDescent="0.75">
      <c r="A34" s="500" t="s">
        <v>308</v>
      </c>
      <c r="B34" s="519" t="s">
        <v>88</v>
      </c>
      <c r="C34" s="520">
        <v>44925</v>
      </c>
      <c r="D34" s="521">
        <f>20.5/24</f>
        <v>0.85416666666666663</v>
      </c>
      <c r="E34" s="522" t="s">
        <v>35</v>
      </c>
      <c r="F34" s="527" t="s">
        <v>226</v>
      </c>
      <c r="G34" s="554" t="s">
        <v>85</v>
      </c>
      <c r="H34" s="527" t="s">
        <v>114</v>
      </c>
      <c r="I34" s="554" t="s">
        <v>61</v>
      </c>
      <c r="J34" s="527" t="str">
        <f>H34</f>
        <v>Clemson</v>
      </c>
      <c r="K34" s="522" t="str">
        <f t="shared" si="1"/>
        <v>Tennessee</v>
      </c>
      <c r="L34" s="570">
        <v>6.5</v>
      </c>
      <c r="M34" s="572">
        <v>63.5</v>
      </c>
      <c r="N34" s="633" t="str">
        <f>K34</f>
        <v>Tennessee</v>
      </c>
      <c r="O34" s="635">
        <v>31</v>
      </c>
      <c r="P34" s="636" t="str">
        <f t="shared" si="28"/>
        <v>Clemson</v>
      </c>
      <c r="Q34" s="532">
        <v>14</v>
      </c>
      <c r="R34" s="597" t="str">
        <f t="shared" si="3"/>
        <v>Tennessee</v>
      </c>
      <c r="S34" s="597" t="str">
        <f t="shared" si="4"/>
        <v>Clemson</v>
      </c>
      <c r="T34" s="519" t="str">
        <f>K34</f>
        <v>Tennessee</v>
      </c>
      <c r="U34" s="522" t="str">
        <f t="shared" si="5"/>
        <v>W</v>
      </c>
      <c r="V34" s="519"/>
      <c r="W34" s="522" t="str">
        <f t="shared" si="6"/>
        <v>L</v>
      </c>
      <c r="X34" s="525"/>
      <c r="Y34" s="526"/>
      <c r="Z34" s="528"/>
      <c r="AA34" s="526"/>
      <c r="AB34" s="528"/>
      <c r="AC34" s="526"/>
      <c r="AD34" s="519" t="str">
        <f>J34</f>
        <v>Clemson</v>
      </c>
      <c r="AE34" s="532">
        <v>38</v>
      </c>
      <c r="AF34" s="527" t="str">
        <f>K34</f>
        <v>Tennessee</v>
      </c>
      <c r="AG34" s="532">
        <v>6</v>
      </c>
      <c r="AH34" s="527" t="str">
        <f t="shared" si="22"/>
        <v>Clemson</v>
      </c>
      <c r="AI34" s="532">
        <v>37</v>
      </c>
      <c r="AJ34" s="527" t="str">
        <f t="shared" si="23"/>
        <v>Tennessee</v>
      </c>
      <c r="AK34" s="532">
        <v>7</v>
      </c>
      <c r="AL34" s="527" t="str">
        <f>H34</f>
        <v>Clemson</v>
      </c>
      <c r="AM34" s="532">
        <v>6</v>
      </c>
      <c r="AN34" s="633" t="str">
        <f>F34</f>
        <v>Tennessee</v>
      </c>
      <c r="AO34" s="532">
        <v>14</v>
      </c>
      <c r="AP34" s="633" t="str">
        <f>H34</f>
        <v>Clemson</v>
      </c>
      <c r="AQ34" s="532">
        <v>26</v>
      </c>
      <c r="AR34" s="527" t="str">
        <f>J34</f>
        <v>Clemson</v>
      </c>
      <c r="AS34" s="532">
        <v>30</v>
      </c>
      <c r="AT34" s="603">
        <f t="shared" si="7"/>
        <v>0</v>
      </c>
      <c r="AU34" s="604">
        <f t="shared" si="8"/>
        <v>6</v>
      </c>
      <c r="AV34" s="875">
        <f t="shared" si="9"/>
        <v>0</v>
      </c>
      <c r="AW34" s="875">
        <f t="shared" si="19"/>
        <v>7</v>
      </c>
      <c r="AX34" s="875">
        <f t="shared" si="20"/>
        <v>14</v>
      </c>
      <c r="AY34" s="875">
        <f t="shared" si="10"/>
        <v>0</v>
      </c>
      <c r="AZ34" s="604">
        <f t="shared" si="11"/>
        <v>0</v>
      </c>
      <c r="BA34" s="605">
        <f t="shared" si="21"/>
        <v>0</v>
      </c>
      <c r="BB34" s="523" t="str">
        <f t="shared" si="12"/>
        <v>Tennessee</v>
      </c>
      <c r="BC34" s="530">
        <v>10</v>
      </c>
      <c r="BD34" s="531">
        <v>2</v>
      </c>
      <c r="BE34" s="532">
        <v>0</v>
      </c>
      <c r="BF34" s="530">
        <v>9</v>
      </c>
      <c r="BG34" s="531">
        <v>3</v>
      </c>
      <c r="BH34" s="532">
        <v>0</v>
      </c>
      <c r="BI34" s="523" t="str">
        <f t="shared" si="13"/>
        <v>Clemson</v>
      </c>
      <c r="BJ34" s="530">
        <v>11</v>
      </c>
      <c r="BK34" s="531">
        <v>2</v>
      </c>
      <c r="BL34" s="532">
        <v>0</v>
      </c>
      <c r="BM34" s="530">
        <v>7</v>
      </c>
      <c r="BN34" s="531">
        <v>6</v>
      </c>
      <c r="BO34" s="532">
        <v>0</v>
      </c>
      <c r="BP34" s="527" t="str">
        <f>BB34</f>
        <v>Tennessee</v>
      </c>
      <c r="BQ34" s="854">
        <v>0.64</v>
      </c>
      <c r="BR34" s="851">
        <v>27</v>
      </c>
      <c r="BS34" s="527" t="s">
        <v>226</v>
      </c>
      <c r="BT34" s="527">
        <v>21.7</v>
      </c>
      <c r="BU34" s="527" t="s">
        <v>114</v>
      </c>
      <c r="BV34" s="523">
        <v>18.100000000000001</v>
      </c>
      <c r="BW34" s="527" t="str">
        <f t="shared" si="14"/>
        <v>Tennessee</v>
      </c>
      <c r="BX34" s="523">
        <f t="shared" si="15"/>
        <v>3.5999999999999979</v>
      </c>
      <c r="BY34" s="839">
        <v>20</v>
      </c>
      <c r="BZ34" s="527" t="str">
        <f t="shared" si="16"/>
        <v>Clemson</v>
      </c>
      <c r="CA34" s="558">
        <f t="shared" si="17"/>
        <v>6.5</v>
      </c>
      <c r="CB34" s="582">
        <v>24</v>
      </c>
      <c r="CC34" s="527">
        <v>24.333333333333332</v>
      </c>
      <c r="CD34" s="582">
        <v>25</v>
      </c>
      <c r="CE34" s="528" t="str">
        <f>BS34</f>
        <v>Tennessee</v>
      </c>
      <c r="CF34" s="529" t="s">
        <v>479</v>
      </c>
      <c r="CG34" s="522" t="s">
        <v>537</v>
      </c>
      <c r="CH34" s="528" t="str">
        <f>BU34</f>
        <v>Clemson</v>
      </c>
      <c r="CI34" s="529" t="s">
        <v>477</v>
      </c>
      <c r="CJ34" s="522" t="s">
        <v>538</v>
      </c>
      <c r="CK34" s="528"/>
      <c r="CL34" s="529"/>
      <c r="CM34" s="522"/>
      <c r="CN34" s="524"/>
      <c r="CO34" s="523"/>
      <c r="CP34" s="809">
        <v>21.7</v>
      </c>
      <c r="CQ34" s="810">
        <v>18.100000000000001</v>
      </c>
      <c r="CR34" s="821">
        <f t="shared" si="18"/>
        <v>3.5999999999999979</v>
      </c>
      <c r="CS34" s="836">
        <v>19</v>
      </c>
      <c r="CT34" s="592">
        <v>32</v>
      </c>
      <c r="CU34" s="592"/>
      <c r="CV34" s="592"/>
      <c r="CW34" s="592"/>
      <c r="CX34" s="592"/>
      <c r="CY34" s="592"/>
      <c r="CZ34" s="592"/>
      <c r="DA34" s="592"/>
      <c r="DB34" s="592"/>
      <c r="DC34" s="592"/>
      <c r="DD34" s="592"/>
      <c r="DE34" s="592"/>
      <c r="DF34" s="592"/>
      <c r="DG34" s="592"/>
      <c r="DH34" s="592"/>
      <c r="DI34" s="592"/>
      <c r="DJ34" s="592"/>
      <c r="DK34" s="592"/>
      <c r="DL34" s="592"/>
      <c r="DM34" s="628"/>
      <c r="DN34" s="628"/>
      <c r="DO34" s="628"/>
      <c r="DP34" s="628"/>
      <c r="DQ34" s="628"/>
      <c r="DR34" s="628"/>
      <c r="DS34" s="628"/>
      <c r="DT34" s="628"/>
      <c r="DU34" s="628"/>
      <c r="DV34" s="628"/>
      <c r="DW34" s="628"/>
      <c r="DX34" s="628"/>
      <c r="DY34" s="628"/>
    </row>
    <row r="35" spans="1:129" s="593" customFormat="1" ht="24" customHeight="1" x14ac:dyDescent="0.75">
      <c r="A35" s="500" t="s">
        <v>198</v>
      </c>
      <c r="B35" s="519" t="s">
        <v>88</v>
      </c>
      <c r="C35" s="520">
        <v>44925</v>
      </c>
      <c r="D35" s="521">
        <f>16.5/24</f>
        <v>0.6875</v>
      </c>
      <c r="E35" s="522" t="s">
        <v>35</v>
      </c>
      <c r="F35" s="527" t="s">
        <v>182</v>
      </c>
      <c r="G35" s="554" t="s">
        <v>68</v>
      </c>
      <c r="H35" s="527" t="s">
        <v>133</v>
      </c>
      <c r="I35" s="554" t="s">
        <v>45</v>
      </c>
      <c r="J35" s="527" t="str">
        <f>F35</f>
        <v>Ohio</v>
      </c>
      <c r="K35" s="522" t="str">
        <f t="shared" si="1"/>
        <v>Wyoming</v>
      </c>
      <c r="L35" s="570">
        <v>1.5</v>
      </c>
      <c r="M35" s="572">
        <v>43</v>
      </c>
      <c r="N35" s="633" t="str">
        <f>J35</f>
        <v>Ohio</v>
      </c>
      <c r="O35" s="531">
        <v>30</v>
      </c>
      <c r="P35" s="636" t="str">
        <f t="shared" si="28"/>
        <v>Wyoming</v>
      </c>
      <c r="Q35" s="532">
        <v>27</v>
      </c>
      <c r="R35" s="597" t="str">
        <f t="shared" si="3"/>
        <v>Ohio</v>
      </c>
      <c r="S35" s="597" t="str">
        <f t="shared" si="4"/>
        <v>Wyoming</v>
      </c>
      <c r="T35" s="519" t="str">
        <f>K35</f>
        <v>Wyoming</v>
      </c>
      <c r="U35" s="522" t="str">
        <f t="shared" si="5"/>
        <v>L</v>
      </c>
      <c r="V35" s="519"/>
      <c r="W35" s="522" t="str">
        <f t="shared" si="6"/>
        <v>L</v>
      </c>
      <c r="X35" s="525"/>
      <c r="Y35" s="526"/>
      <c r="Z35" s="528"/>
      <c r="AA35" s="526"/>
      <c r="AB35" s="528"/>
      <c r="AC35" s="526"/>
      <c r="AD35" s="519" t="str">
        <f>K35</f>
        <v>Wyoming</v>
      </c>
      <c r="AE35" s="532">
        <v>16</v>
      </c>
      <c r="AF35" s="527" t="str">
        <f>J35</f>
        <v>Ohio</v>
      </c>
      <c r="AG35" s="532">
        <v>20</v>
      </c>
      <c r="AH35" s="527" t="str">
        <f t="shared" si="22"/>
        <v>Wyoming</v>
      </c>
      <c r="AI35" s="532">
        <v>15</v>
      </c>
      <c r="AJ35" s="527" t="str">
        <f t="shared" si="23"/>
        <v>Ohio</v>
      </c>
      <c r="AK35" s="532">
        <v>20</v>
      </c>
      <c r="AL35" s="527" t="str">
        <f>F35</f>
        <v>Ohio</v>
      </c>
      <c r="AM35" s="532">
        <v>10</v>
      </c>
      <c r="AN35" s="633" t="str">
        <f>H35</f>
        <v>Wyoming</v>
      </c>
      <c r="AO35" s="532">
        <v>9</v>
      </c>
      <c r="AP35" s="633" t="str">
        <f>F35</f>
        <v>Ohio</v>
      </c>
      <c r="AQ35" s="532">
        <v>35</v>
      </c>
      <c r="AR35" s="610" t="str">
        <f>K35</f>
        <v>Wyoming</v>
      </c>
      <c r="AS35" s="532">
        <v>17</v>
      </c>
      <c r="AT35" s="603">
        <f t="shared" si="7"/>
        <v>0</v>
      </c>
      <c r="AU35" s="604">
        <f t="shared" si="8"/>
        <v>20</v>
      </c>
      <c r="AV35" s="875">
        <f t="shared" si="9"/>
        <v>0</v>
      </c>
      <c r="AW35" s="875">
        <f t="shared" si="19"/>
        <v>20</v>
      </c>
      <c r="AX35" s="875">
        <f t="shared" si="20"/>
        <v>0</v>
      </c>
      <c r="AY35" s="875">
        <f t="shared" si="10"/>
        <v>35</v>
      </c>
      <c r="AZ35" s="604">
        <f t="shared" si="11"/>
        <v>10</v>
      </c>
      <c r="BA35" s="605">
        <f t="shared" si="21"/>
        <v>0</v>
      </c>
      <c r="BB35" s="523" t="str">
        <f t="shared" si="12"/>
        <v>Ohio</v>
      </c>
      <c r="BC35" s="530">
        <v>9</v>
      </c>
      <c r="BD35" s="531">
        <v>4</v>
      </c>
      <c r="BE35" s="532">
        <v>0</v>
      </c>
      <c r="BF35" s="530">
        <v>9</v>
      </c>
      <c r="BG35" s="531">
        <v>4</v>
      </c>
      <c r="BH35" s="532">
        <v>0</v>
      </c>
      <c r="BI35" s="523" t="str">
        <f t="shared" si="13"/>
        <v>Wyoming</v>
      </c>
      <c r="BJ35" s="530">
        <v>7</v>
      </c>
      <c r="BK35" s="531">
        <v>5</v>
      </c>
      <c r="BL35" s="532">
        <v>0</v>
      </c>
      <c r="BM35" s="530">
        <v>6</v>
      </c>
      <c r="BN35" s="531">
        <v>6</v>
      </c>
      <c r="BO35" s="532">
        <v>0</v>
      </c>
      <c r="BP35" s="527" t="str">
        <f>BB35</f>
        <v>Ohio</v>
      </c>
      <c r="BQ35" s="854">
        <v>0.64</v>
      </c>
      <c r="BR35" s="851">
        <v>26</v>
      </c>
      <c r="BS35" s="527" t="s">
        <v>182</v>
      </c>
      <c r="BT35" s="527">
        <v>-6.2</v>
      </c>
      <c r="BU35" s="527" t="s">
        <v>133</v>
      </c>
      <c r="BV35" s="523">
        <v>-9.4</v>
      </c>
      <c r="BW35" s="527" t="str">
        <f t="shared" si="14"/>
        <v>Ohio</v>
      </c>
      <c r="BX35" s="523">
        <f t="shared" si="15"/>
        <v>3.2</v>
      </c>
      <c r="BY35" s="839">
        <v>17</v>
      </c>
      <c r="BZ35" s="527" t="str">
        <f t="shared" si="16"/>
        <v>Ohio</v>
      </c>
      <c r="CA35" s="558">
        <f t="shared" si="17"/>
        <v>1.5</v>
      </c>
      <c r="CB35" s="582">
        <v>5</v>
      </c>
      <c r="CC35" s="527">
        <v>16.666666666666668</v>
      </c>
      <c r="CD35" s="582">
        <v>15</v>
      </c>
      <c r="CE35" s="528" t="str">
        <f>BS35</f>
        <v>Ohio</v>
      </c>
      <c r="CF35" s="529" t="s">
        <v>479</v>
      </c>
      <c r="CG35" s="522" t="s">
        <v>535</v>
      </c>
      <c r="CH35" s="528" t="str">
        <f>BU35</f>
        <v>Wyoming</v>
      </c>
      <c r="CI35" s="529" t="s">
        <v>486</v>
      </c>
      <c r="CJ35" s="522" t="s">
        <v>536</v>
      </c>
      <c r="CK35" s="528"/>
      <c r="CL35" s="529"/>
      <c r="CM35" s="522"/>
      <c r="CN35" s="524"/>
      <c r="CO35" s="523"/>
      <c r="CP35" s="807">
        <v>-6.2</v>
      </c>
      <c r="CQ35" s="808">
        <v>-9.4</v>
      </c>
      <c r="CR35" s="820">
        <f t="shared" si="18"/>
        <v>3.2</v>
      </c>
      <c r="CS35" s="833">
        <v>16</v>
      </c>
      <c r="CT35" s="592">
        <v>33</v>
      </c>
      <c r="CU35" s="592"/>
      <c r="CV35" s="592"/>
      <c r="CW35" s="592"/>
      <c r="CX35" s="592"/>
      <c r="CY35" s="592"/>
      <c r="CZ35" s="592"/>
      <c r="DA35" s="592"/>
      <c r="DB35" s="592"/>
      <c r="DC35" s="592"/>
      <c r="DD35" s="592"/>
      <c r="DE35" s="592"/>
      <c r="DF35" s="592"/>
      <c r="DG35" s="592"/>
      <c r="DH35" s="592"/>
      <c r="DI35" s="592"/>
      <c r="DJ35" s="592"/>
      <c r="DK35" s="592"/>
      <c r="DL35" s="592"/>
      <c r="DM35" s="628"/>
      <c r="DN35" s="628"/>
      <c r="DO35" s="628"/>
      <c r="DP35" s="628"/>
      <c r="DQ35" s="628"/>
      <c r="DR35" s="628"/>
      <c r="DS35" s="628"/>
      <c r="DT35" s="628"/>
      <c r="DU35" s="628"/>
      <c r="DV35" s="628"/>
      <c r="DW35" s="628"/>
      <c r="DX35" s="628"/>
      <c r="DY35" s="628"/>
    </row>
    <row r="36" spans="1:129" s="548" customFormat="1" ht="24" customHeight="1" x14ac:dyDescent="0.75">
      <c r="A36" s="501" t="s">
        <v>465</v>
      </c>
      <c r="B36" s="534" t="s">
        <v>34</v>
      </c>
      <c r="C36" s="535">
        <v>44926</v>
      </c>
      <c r="D36" s="536">
        <f>12/24</f>
        <v>0.5</v>
      </c>
      <c r="E36" s="537" t="s">
        <v>35</v>
      </c>
      <c r="F36" s="543" t="s">
        <v>116</v>
      </c>
      <c r="G36" s="549" t="s">
        <v>85</v>
      </c>
      <c r="H36" s="543" t="s">
        <v>152</v>
      </c>
      <c r="I36" s="549" t="s">
        <v>73</v>
      </c>
      <c r="J36" s="543" t="str">
        <f>F36</f>
        <v>Alabama</v>
      </c>
      <c r="K36" s="537" t="str">
        <f t="shared" si="1"/>
        <v>Kansas State</v>
      </c>
      <c r="L36" s="571">
        <v>3.5</v>
      </c>
      <c r="M36" s="573">
        <v>54</v>
      </c>
      <c r="N36" s="634" t="str">
        <f>J36</f>
        <v>Alabama</v>
      </c>
      <c r="O36" s="758">
        <v>45</v>
      </c>
      <c r="P36" s="637" t="str">
        <f t="shared" si="28"/>
        <v>Kansas State</v>
      </c>
      <c r="Q36" s="547">
        <v>20</v>
      </c>
      <c r="R36" s="596" t="str">
        <f t="shared" si="3"/>
        <v>Alabama</v>
      </c>
      <c r="S36" s="596" t="str">
        <f t="shared" si="4"/>
        <v>Kansas State</v>
      </c>
      <c r="T36" s="534" t="str">
        <f>K36</f>
        <v>Kansas State</v>
      </c>
      <c r="U36" s="537" t="str">
        <f t="shared" si="5"/>
        <v>L</v>
      </c>
      <c r="V36" s="534"/>
      <c r="W36" s="537" t="str">
        <f t="shared" si="6"/>
        <v>L</v>
      </c>
      <c r="X36" s="540"/>
      <c r="Y36" s="541"/>
      <c r="Z36" s="542"/>
      <c r="AA36" s="541"/>
      <c r="AB36" s="542"/>
      <c r="AC36" s="541"/>
      <c r="AD36" s="534" t="str">
        <f>J36</f>
        <v>Alabama</v>
      </c>
      <c r="AE36" s="547">
        <v>21</v>
      </c>
      <c r="AF36" s="609" t="str">
        <f>K36</f>
        <v>Kansas State</v>
      </c>
      <c r="AG36" s="547">
        <v>15</v>
      </c>
      <c r="AH36" s="609" t="str">
        <f t="shared" si="22"/>
        <v>Alabama</v>
      </c>
      <c r="AI36" s="547">
        <v>20</v>
      </c>
      <c r="AJ36" s="609" t="str">
        <f t="shared" si="23"/>
        <v>Kansas State</v>
      </c>
      <c r="AK36" s="547">
        <v>15</v>
      </c>
      <c r="AL36" s="609" t="str">
        <f>F36</f>
        <v>Alabama</v>
      </c>
      <c r="AM36" s="547">
        <v>35</v>
      </c>
      <c r="AN36" s="634" t="str">
        <f>F36</f>
        <v>Alabama</v>
      </c>
      <c r="AO36" s="547">
        <v>33</v>
      </c>
      <c r="AP36" s="634" t="str">
        <f>F36</f>
        <v>Alabama</v>
      </c>
      <c r="AQ36" s="547">
        <v>39</v>
      </c>
      <c r="AR36" s="609" t="str">
        <f>K36</f>
        <v>Kansas State</v>
      </c>
      <c r="AS36" s="547">
        <v>6</v>
      </c>
      <c r="AT36" s="606">
        <f t="shared" si="7"/>
        <v>21</v>
      </c>
      <c r="AU36" s="607">
        <f t="shared" si="8"/>
        <v>0</v>
      </c>
      <c r="AV36" s="876">
        <f t="shared" si="9"/>
        <v>20</v>
      </c>
      <c r="AW36" s="876">
        <f t="shared" si="19"/>
        <v>0</v>
      </c>
      <c r="AX36" s="876">
        <f t="shared" si="20"/>
        <v>33</v>
      </c>
      <c r="AY36" s="876">
        <f t="shared" si="10"/>
        <v>39</v>
      </c>
      <c r="AZ36" s="607">
        <f t="shared" si="11"/>
        <v>35</v>
      </c>
      <c r="BA36" s="608">
        <f t="shared" si="21"/>
        <v>0</v>
      </c>
      <c r="BB36" s="538" t="str">
        <f t="shared" si="12"/>
        <v>Alabama</v>
      </c>
      <c r="BC36" s="545">
        <v>10</v>
      </c>
      <c r="BD36" s="546">
        <v>2</v>
      </c>
      <c r="BE36" s="547">
        <v>0</v>
      </c>
      <c r="BF36" s="545">
        <v>6</v>
      </c>
      <c r="BG36" s="546">
        <v>6</v>
      </c>
      <c r="BH36" s="547">
        <v>0</v>
      </c>
      <c r="BI36" s="538" t="str">
        <f t="shared" si="13"/>
        <v>Kansas State</v>
      </c>
      <c r="BJ36" s="545">
        <v>10</v>
      </c>
      <c r="BK36" s="546">
        <v>3</v>
      </c>
      <c r="BL36" s="547">
        <v>0</v>
      </c>
      <c r="BM36" s="545">
        <v>9</v>
      </c>
      <c r="BN36" s="546">
        <v>3</v>
      </c>
      <c r="BO36" s="547">
        <v>1</v>
      </c>
      <c r="BP36" s="543" t="str">
        <f>BB36</f>
        <v>Alabama</v>
      </c>
      <c r="BQ36" s="855">
        <v>0.64</v>
      </c>
      <c r="BR36" s="852">
        <v>25</v>
      </c>
      <c r="BS36" s="543" t="s">
        <v>116</v>
      </c>
      <c r="BT36" s="543">
        <v>26.1</v>
      </c>
      <c r="BU36" s="543" t="s">
        <v>152</v>
      </c>
      <c r="BV36" s="538">
        <v>16</v>
      </c>
      <c r="BW36" s="543" t="str">
        <f t="shared" si="14"/>
        <v>Alabama</v>
      </c>
      <c r="BX36" s="538">
        <f t="shared" si="15"/>
        <v>10.100000000000001</v>
      </c>
      <c r="BY36" s="840">
        <v>39</v>
      </c>
      <c r="BZ36" s="543" t="str">
        <f t="shared" si="16"/>
        <v>Alabama</v>
      </c>
      <c r="CA36" s="755">
        <f t="shared" si="17"/>
        <v>3.5</v>
      </c>
      <c r="CB36" s="561">
        <v>17</v>
      </c>
      <c r="CC36" s="543">
        <v>28.333333333333332</v>
      </c>
      <c r="CD36" s="561">
        <v>29</v>
      </c>
      <c r="CE36" s="542" t="str">
        <f>BS36</f>
        <v>Alabama</v>
      </c>
      <c r="CF36" s="544" t="s">
        <v>486</v>
      </c>
      <c r="CG36" s="537" t="s">
        <v>539</v>
      </c>
      <c r="CH36" s="542"/>
      <c r="CI36" s="544"/>
      <c r="CJ36" s="537"/>
      <c r="CK36" s="542"/>
      <c r="CL36" s="544"/>
      <c r="CM36" s="537"/>
      <c r="CN36" s="539"/>
      <c r="CO36" s="538"/>
      <c r="CP36" s="811">
        <v>26.1</v>
      </c>
      <c r="CQ36" s="804">
        <v>16</v>
      </c>
      <c r="CR36" s="822">
        <f t="shared" si="18"/>
        <v>10.100000000000001</v>
      </c>
      <c r="CS36" s="834">
        <v>38</v>
      </c>
      <c r="CT36" s="594">
        <v>34</v>
      </c>
      <c r="CU36" s="594"/>
      <c r="CV36" s="594"/>
      <c r="CW36" s="594"/>
      <c r="CX36" s="594"/>
      <c r="CY36" s="594"/>
      <c r="CZ36" s="594"/>
      <c r="DA36" s="594"/>
      <c r="DB36" s="594"/>
      <c r="DC36" s="594"/>
      <c r="DD36" s="594"/>
      <c r="DE36" s="594"/>
      <c r="DF36" s="594"/>
      <c r="DG36" s="594"/>
      <c r="DH36" s="594"/>
      <c r="DI36" s="594"/>
      <c r="DJ36" s="594"/>
      <c r="DK36" s="594"/>
      <c r="DL36" s="594"/>
      <c r="DM36" s="631"/>
      <c r="DN36" s="631"/>
      <c r="DO36" s="631"/>
      <c r="DP36" s="631"/>
      <c r="DQ36" s="631"/>
      <c r="DR36" s="631"/>
      <c r="DS36" s="631"/>
      <c r="DT36" s="631"/>
      <c r="DU36" s="631"/>
      <c r="DV36" s="631"/>
      <c r="DW36" s="631"/>
      <c r="DX36" s="631"/>
      <c r="DY36" s="631"/>
    </row>
    <row r="37" spans="1:129" s="548" customFormat="1" ht="24" customHeight="1" x14ac:dyDescent="0.75">
      <c r="A37" s="501" t="s">
        <v>304</v>
      </c>
      <c r="B37" s="534" t="s">
        <v>34</v>
      </c>
      <c r="C37" s="535">
        <v>44926</v>
      </c>
      <c r="D37" s="536">
        <f>12/24</f>
        <v>0.5</v>
      </c>
      <c r="E37" s="537" t="s">
        <v>135</v>
      </c>
      <c r="F37" s="543" t="s">
        <v>134</v>
      </c>
      <c r="G37" s="549" t="s">
        <v>64</v>
      </c>
      <c r="H37" s="543" t="s">
        <v>170</v>
      </c>
      <c r="I37" s="549" t="s">
        <v>85</v>
      </c>
      <c r="J37" s="543" t="str">
        <f>F37</f>
        <v>Iowa</v>
      </c>
      <c r="K37" s="537" t="str">
        <f t="shared" si="1"/>
        <v>Kentucky</v>
      </c>
      <c r="L37" s="571">
        <v>2.5</v>
      </c>
      <c r="M37" s="573">
        <v>31</v>
      </c>
      <c r="N37" s="634" t="str">
        <f>J37</f>
        <v>Iowa</v>
      </c>
      <c r="O37" s="546">
        <v>21</v>
      </c>
      <c r="P37" s="637" t="str">
        <f t="shared" si="28"/>
        <v>Kentucky</v>
      </c>
      <c r="Q37" s="547">
        <v>0</v>
      </c>
      <c r="R37" s="596" t="str">
        <f t="shared" si="3"/>
        <v>Iowa</v>
      </c>
      <c r="S37" s="596" t="str">
        <f t="shared" si="4"/>
        <v>Kentucky</v>
      </c>
      <c r="T37" s="534" t="str">
        <f>K37</f>
        <v>Kentucky</v>
      </c>
      <c r="U37" s="537" t="str">
        <f t="shared" si="5"/>
        <v>L</v>
      </c>
      <c r="V37" s="534"/>
      <c r="W37" s="537" t="str">
        <f t="shared" si="6"/>
        <v>L</v>
      </c>
      <c r="X37" s="540"/>
      <c r="Y37" s="541"/>
      <c r="Z37" s="542"/>
      <c r="AA37" s="541"/>
      <c r="AB37" s="542"/>
      <c r="AC37" s="541"/>
      <c r="AD37" s="534" t="str">
        <f>K37</f>
        <v>Kentucky</v>
      </c>
      <c r="AE37" s="547">
        <v>4</v>
      </c>
      <c r="AF37" s="543" t="str">
        <f>J37</f>
        <v>Iowa</v>
      </c>
      <c r="AG37" s="547">
        <v>21</v>
      </c>
      <c r="AH37" s="543" t="str">
        <f t="shared" si="22"/>
        <v>Kentucky</v>
      </c>
      <c r="AI37" s="547">
        <v>4</v>
      </c>
      <c r="AJ37" s="543" t="str">
        <f t="shared" si="23"/>
        <v>Iowa</v>
      </c>
      <c r="AK37" s="547">
        <v>21</v>
      </c>
      <c r="AL37" s="543" t="str">
        <f>F37</f>
        <v>Iowa</v>
      </c>
      <c r="AM37" s="547">
        <v>2</v>
      </c>
      <c r="AN37" s="634" t="str">
        <f>F37</f>
        <v>Iowa</v>
      </c>
      <c r="AO37" s="547">
        <v>13</v>
      </c>
      <c r="AP37" s="634" t="str">
        <f>F37</f>
        <v>Iowa</v>
      </c>
      <c r="AQ37" s="547">
        <v>19</v>
      </c>
      <c r="AR37" s="543" t="str">
        <f>J37</f>
        <v>Iowa</v>
      </c>
      <c r="AS37" s="547">
        <v>9</v>
      </c>
      <c r="AT37" s="606">
        <f t="shared" si="7"/>
        <v>0</v>
      </c>
      <c r="AU37" s="607">
        <f t="shared" si="8"/>
        <v>21</v>
      </c>
      <c r="AV37" s="876">
        <f t="shared" si="9"/>
        <v>0</v>
      </c>
      <c r="AW37" s="876">
        <f t="shared" si="19"/>
        <v>21</v>
      </c>
      <c r="AX37" s="876">
        <f t="shared" si="20"/>
        <v>13</v>
      </c>
      <c r="AY37" s="876">
        <f t="shared" si="10"/>
        <v>19</v>
      </c>
      <c r="AZ37" s="607">
        <f t="shared" si="11"/>
        <v>2</v>
      </c>
      <c r="BA37" s="608">
        <f t="shared" si="21"/>
        <v>9</v>
      </c>
      <c r="BB37" s="538" t="str">
        <f t="shared" si="12"/>
        <v>Iowa</v>
      </c>
      <c r="BC37" s="545">
        <v>7</v>
      </c>
      <c r="BD37" s="546">
        <v>5</v>
      </c>
      <c r="BE37" s="547">
        <v>0</v>
      </c>
      <c r="BF37" s="545">
        <v>7</v>
      </c>
      <c r="BG37" s="546">
        <v>5</v>
      </c>
      <c r="BH37" s="547">
        <v>0</v>
      </c>
      <c r="BI37" s="538" t="str">
        <f t="shared" si="13"/>
        <v>Kentucky</v>
      </c>
      <c r="BJ37" s="545">
        <v>7</v>
      </c>
      <c r="BK37" s="546">
        <v>5</v>
      </c>
      <c r="BL37" s="547">
        <v>0</v>
      </c>
      <c r="BM37" s="545">
        <v>8</v>
      </c>
      <c r="BN37" s="546">
        <v>4</v>
      </c>
      <c r="BO37" s="547">
        <v>0</v>
      </c>
      <c r="BP37" s="543" t="str">
        <f>BB37</f>
        <v>Iowa</v>
      </c>
      <c r="BQ37" s="855">
        <v>0.51</v>
      </c>
      <c r="BR37" s="852">
        <v>3</v>
      </c>
      <c r="BS37" s="543" t="s">
        <v>134</v>
      </c>
      <c r="BT37" s="543">
        <v>7</v>
      </c>
      <c r="BU37" s="543" t="s">
        <v>170</v>
      </c>
      <c r="BV37" s="538">
        <v>6.8</v>
      </c>
      <c r="BW37" s="543" t="str">
        <f t="shared" si="14"/>
        <v>Iowa</v>
      </c>
      <c r="BX37" s="538">
        <f t="shared" si="15"/>
        <v>0.20000000000000018</v>
      </c>
      <c r="BY37" s="840">
        <v>2</v>
      </c>
      <c r="BZ37" s="543" t="str">
        <f t="shared" si="16"/>
        <v>Iowa</v>
      </c>
      <c r="CA37" s="559">
        <f t="shared" si="17"/>
        <v>2.5</v>
      </c>
      <c r="CB37" s="561">
        <v>10</v>
      </c>
      <c r="CC37" s="543">
        <v>5</v>
      </c>
      <c r="CD37" s="561">
        <v>1</v>
      </c>
      <c r="CE37" s="542" t="str">
        <f>BU37</f>
        <v>Kentucky</v>
      </c>
      <c r="CF37" s="544" t="s">
        <v>479</v>
      </c>
      <c r="CG37" s="537" t="s">
        <v>480</v>
      </c>
      <c r="CH37" s="542" t="str">
        <f>BU37</f>
        <v>Kentucky</v>
      </c>
      <c r="CI37" s="544" t="s">
        <v>477</v>
      </c>
      <c r="CJ37" s="537" t="s">
        <v>495</v>
      </c>
      <c r="CK37" s="542" t="str">
        <f>BS37</f>
        <v>Iowa</v>
      </c>
      <c r="CL37" s="544" t="s">
        <v>479</v>
      </c>
      <c r="CM37" s="537" t="s">
        <v>540</v>
      </c>
      <c r="CN37" s="539"/>
      <c r="CO37" s="538"/>
      <c r="CP37" s="811">
        <v>7</v>
      </c>
      <c r="CQ37" s="804">
        <v>6.8</v>
      </c>
      <c r="CR37" s="822">
        <f t="shared" si="18"/>
        <v>0.20000000000000018</v>
      </c>
      <c r="CS37" s="834">
        <v>1</v>
      </c>
      <c r="CT37" s="594">
        <v>35</v>
      </c>
      <c r="CU37" s="594"/>
      <c r="CV37" s="594"/>
      <c r="CW37" s="594"/>
      <c r="CX37" s="594"/>
      <c r="CY37" s="594"/>
      <c r="CZ37" s="594"/>
      <c r="DA37" s="594"/>
      <c r="DB37" s="594"/>
      <c r="DC37" s="594"/>
      <c r="DD37" s="594"/>
      <c r="DE37" s="594"/>
      <c r="DF37" s="594"/>
      <c r="DG37" s="594"/>
      <c r="DH37" s="594"/>
      <c r="DI37" s="594"/>
      <c r="DJ37" s="594"/>
      <c r="DK37" s="594"/>
      <c r="DL37" s="594"/>
      <c r="DM37" s="631"/>
      <c r="DN37" s="631"/>
      <c r="DO37" s="631"/>
      <c r="DP37" s="631"/>
      <c r="DQ37" s="631"/>
      <c r="DR37" s="631"/>
      <c r="DS37" s="631"/>
      <c r="DT37" s="631"/>
      <c r="DU37" s="631"/>
      <c r="DV37" s="631"/>
      <c r="DW37" s="631"/>
      <c r="DX37" s="631"/>
      <c r="DY37" s="631"/>
    </row>
    <row r="38" spans="1:129" s="548" customFormat="1" ht="24" customHeight="1" x14ac:dyDescent="0.75">
      <c r="A38" s="501" t="s">
        <v>307</v>
      </c>
      <c r="B38" s="534" t="s">
        <v>34</v>
      </c>
      <c r="C38" s="535">
        <v>44926</v>
      </c>
      <c r="D38" s="536">
        <f>16/24</f>
        <v>0.66666666666666663</v>
      </c>
      <c r="E38" s="537" t="s">
        <v>35</v>
      </c>
      <c r="F38" s="543" t="s">
        <v>155</v>
      </c>
      <c r="G38" s="549" t="s">
        <v>73</v>
      </c>
      <c r="H38" s="543" t="s">
        <v>137</v>
      </c>
      <c r="I38" s="549" t="s">
        <v>64</v>
      </c>
      <c r="J38" s="543" t="str">
        <f>H38</f>
        <v>Michigan</v>
      </c>
      <c r="K38" s="537" t="str">
        <f t="shared" si="1"/>
        <v>TCU</v>
      </c>
      <c r="L38" s="571">
        <v>8</v>
      </c>
      <c r="M38" s="573">
        <v>58.5</v>
      </c>
      <c r="N38" s="634" t="str">
        <f>K38</f>
        <v>TCU</v>
      </c>
      <c r="O38" s="546">
        <v>51</v>
      </c>
      <c r="P38" s="637" t="str">
        <f t="shared" si="28"/>
        <v>Michigan</v>
      </c>
      <c r="Q38" s="547">
        <v>45</v>
      </c>
      <c r="R38" s="596" t="str">
        <f t="shared" si="3"/>
        <v>TCU</v>
      </c>
      <c r="S38" s="596" t="str">
        <f t="shared" si="4"/>
        <v>Michigan</v>
      </c>
      <c r="T38" s="534" t="str">
        <f>K38</f>
        <v>TCU</v>
      </c>
      <c r="U38" s="537" t="str">
        <f t="shared" si="5"/>
        <v>W</v>
      </c>
      <c r="V38" s="534"/>
      <c r="W38" s="537" t="str">
        <f t="shared" si="6"/>
        <v>L</v>
      </c>
      <c r="X38" s="540"/>
      <c r="Y38" s="541"/>
      <c r="Z38" s="542"/>
      <c r="AA38" s="541"/>
      <c r="AB38" s="542"/>
      <c r="AC38" s="541"/>
      <c r="AD38" s="534" t="str">
        <f>K38</f>
        <v>TCU</v>
      </c>
      <c r="AE38" s="547">
        <v>3</v>
      </c>
      <c r="AF38" s="543" t="str">
        <f>K38</f>
        <v>TCU</v>
      </c>
      <c r="AG38" s="547">
        <v>3</v>
      </c>
      <c r="AH38" s="543" t="str">
        <f t="shared" si="22"/>
        <v>TCU</v>
      </c>
      <c r="AI38" s="547">
        <v>3</v>
      </c>
      <c r="AJ38" s="543" t="str">
        <f t="shared" si="23"/>
        <v>TCU</v>
      </c>
      <c r="AK38" s="547">
        <v>3</v>
      </c>
      <c r="AL38" s="543" t="str">
        <f>H38</f>
        <v>Michigan</v>
      </c>
      <c r="AM38" s="547">
        <v>42</v>
      </c>
      <c r="AN38" s="634" t="str">
        <f>F38</f>
        <v>TCU</v>
      </c>
      <c r="AO38" s="547">
        <v>2</v>
      </c>
      <c r="AP38" s="634" t="str">
        <f>H38</f>
        <v>Michigan</v>
      </c>
      <c r="AQ38" s="547">
        <v>3</v>
      </c>
      <c r="AR38" s="543" t="str">
        <f>J38</f>
        <v>Michigan</v>
      </c>
      <c r="AS38" s="547">
        <v>37</v>
      </c>
      <c r="AT38" s="606">
        <f t="shared" si="7"/>
        <v>3</v>
      </c>
      <c r="AU38" s="607">
        <f t="shared" si="8"/>
        <v>3</v>
      </c>
      <c r="AV38" s="876">
        <f t="shared" si="9"/>
        <v>3</v>
      </c>
      <c r="AW38" s="876">
        <f t="shared" si="19"/>
        <v>3</v>
      </c>
      <c r="AX38" s="876">
        <f t="shared" si="20"/>
        <v>2</v>
      </c>
      <c r="AY38" s="876">
        <f t="shared" si="10"/>
        <v>0</v>
      </c>
      <c r="AZ38" s="607">
        <f t="shared" si="11"/>
        <v>0</v>
      </c>
      <c r="BA38" s="608">
        <f t="shared" si="21"/>
        <v>0</v>
      </c>
      <c r="BB38" s="538" t="str">
        <f t="shared" si="12"/>
        <v>TCU</v>
      </c>
      <c r="BC38" s="545">
        <v>12</v>
      </c>
      <c r="BD38" s="546">
        <v>1</v>
      </c>
      <c r="BE38" s="547">
        <v>0</v>
      </c>
      <c r="BF38" s="545">
        <v>9</v>
      </c>
      <c r="BG38" s="546">
        <v>3</v>
      </c>
      <c r="BH38" s="547">
        <v>1</v>
      </c>
      <c r="BI38" s="538" t="str">
        <f t="shared" si="13"/>
        <v>Michigan</v>
      </c>
      <c r="BJ38" s="545">
        <v>13</v>
      </c>
      <c r="BK38" s="546">
        <v>0</v>
      </c>
      <c r="BL38" s="547">
        <v>0</v>
      </c>
      <c r="BM38" s="545">
        <v>8</v>
      </c>
      <c r="BN38" s="546">
        <v>4</v>
      </c>
      <c r="BO38" s="547">
        <v>1</v>
      </c>
      <c r="BP38" s="543" t="str">
        <f>BI38</f>
        <v>Michigan</v>
      </c>
      <c r="BQ38" s="855">
        <v>0.64</v>
      </c>
      <c r="BR38" s="852">
        <v>24</v>
      </c>
      <c r="BS38" s="543" t="s">
        <v>155</v>
      </c>
      <c r="BT38" s="543">
        <v>16.100000000000001</v>
      </c>
      <c r="BU38" s="543" t="s">
        <v>137</v>
      </c>
      <c r="BV38" s="538">
        <v>24.7</v>
      </c>
      <c r="BW38" s="543" t="str">
        <f t="shared" si="14"/>
        <v>Michigan</v>
      </c>
      <c r="BX38" s="538">
        <f t="shared" si="15"/>
        <v>8.5999999999999979</v>
      </c>
      <c r="BY38" s="840">
        <v>36</v>
      </c>
      <c r="BZ38" s="543" t="str">
        <f t="shared" si="16"/>
        <v>Michigan</v>
      </c>
      <c r="CA38" s="559">
        <f t="shared" si="17"/>
        <v>8</v>
      </c>
      <c r="CB38" s="561">
        <v>34</v>
      </c>
      <c r="CC38" s="543">
        <v>31.666666666666668</v>
      </c>
      <c r="CD38" s="561">
        <v>31</v>
      </c>
      <c r="CE38" s="542" t="str">
        <f>BU38</f>
        <v>Michigan</v>
      </c>
      <c r="CF38" s="544" t="s">
        <v>477</v>
      </c>
      <c r="CG38" s="541" t="s">
        <v>541</v>
      </c>
      <c r="CH38" s="542"/>
      <c r="CI38" s="544"/>
      <c r="CJ38" s="541"/>
      <c r="CK38" s="542"/>
      <c r="CL38" s="544"/>
      <c r="CM38" s="541"/>
      <c r="CN38" s="538"/>
      <c r="CO38" s="538"/>
      <c r="CP38" s="811">
        <v>16.100000000000001</v>
      </c>
      <c r="CQ38" s="804">
        <v>24.7</v>
      </c>
      <c r="CR38" s="822">
        <f t="shared" si="18"/>
        <v>8.5999999999999979</v>
      </c>
      <c r="CS38" s="834">
        <v>35</v>
      </c>
      <c r="CT38" s="594">
        <v>36</v>
      </c>
      <c r="CU38" s="594"/>
      <c r="CV38" s="594"/>
      <c r="CW38" s="594"/>
      <c r="CX38" s="594"/>
      <c r="CY38" s="594"/>
      <c r="CZ38" s="594"/>
      <c r="DA38" s="594"/>
      <c r="DB38" s="594"/>
      <c r="DC38" s="594"/>
      <c r="DD38" s="594"/>
      <c r="DE38" s="594"/>
      <c r="DF38" s="594"/>
      <c r="DG38" s="594"/>
      <c r="DH38" s="594"/>
      <c r="DI38" s="594"/>
      <c r="DJ38" s="594"/>
      <c r="DK38" s="594"/>
      <c r="DL38" s="594"/>
      <c r="DM38" s="631"/>
      <c r="DN38" s="631"/>
      <c r="DO38" s="631"/>
      <c r="DP38" s="631"/>
      <c r="DQ38" s="631"/>
      <c r="DR38" s="631"/>
      <c r="DS38" s="631"/>
      <c r="DT38" s="631"/>
      <c r="DU38" s="631"/>
      <c r="DV38" s="631"/>
      <c r="DW38" s="631"/>
      <c r="DX38" s="631"/>
      <c r="DY38" s="631"/>
    </row>
    <row r="39" spans="1:129" s="593" customFormat="1" ht="24" customHeight="1" x14ac:dyDescent="0.75">
      <c r="A39" s="500" t="s">
        <v>423</v>
      </c>
      <c r="B39" s="519" t="s">
        <v>34</v>
      </c>
      <c r="C39" s="520">
        <v>44926</v>
      </c>
      <c r="D39" s="521">
        <f>20/24</f>
        <v>0.83333333333333337</v>
      </c>
      <c r="E39" s="522" t="s">
        <v>35</v>
      </c>
      <c r="F39" s="527" t="s">
        <v>63</v>
      </c>
      <c r="G39" s="554" t="s">
        <v>64</v>
      </c>
      <c r="H39" s="527" t="s">
        <v>213</v>
      </c>
      <c r="I39" s="554" t="s">
        <v>85</v>
      </c>
      <c r="J39" s="527" t="str">
        <f>H39</f>
        <v>Georgia</v>
      </c>
      <c r="K39" s="522" t="str">
        <f t="shared" si="1"/>
        <v>Ohio State</v>
      </c>
      <c r="L39" s="570">
        <v>6.5</v>
      </c>
      <c r="M39" s="572">
        <v>62.5</v>
      </c>
      <c r="N39" s="633" t="str">
        <f>J39</f>
        <v>Georgia</v>
      </c>
      <c r="O39" s="635">
        <v>42</v>
      </c>
      <c r="P39" s="636" t="str">
        <f t="shared" si="28"/>
        <v>Ohio State</v>
      </c>
      <c r="Q39" s="532">
        <v>41</v>
      </c>
      <c r="R39" s="597" t="str">
        <f t="shared" si="3"/>
        <v>Ohio State</v>
      </c>
      <c r="S39" s="597" t="str">
        <f t="shared" si="4"/>
        <v>Georgia</v>
      </c>
      <c r="T39" s="519" t="str">
        <f t="shared" ref="T39:T43" si="30">J39</f>
        <v>Georgia</v>
      </c>
      <c r="U39" s="522" t="str">
        <f t="shared" si="5"/>
        <v>L</v>
      </c>
      <c r="V39" s="519"/>
      <c r="W39" s="522" t="str">
        <f t="shared" si="6"/>
        <v>L</v>
      </c>
      <c r="X39" s="525"/>
      <c r="Y39" s="526"/>
      <c r="Z39" s="528"/>
      <c r="AA39" s="526"/>
      <c r="AB39" s="528"/>
      <c r="AC39" s="526"/>
      <c r="AD39" s="519" t="str">
        <f>J39</f>
        <v>Georgia</v>
      </c>
      <c r="AE39" s="532">
        <v>40</v>
      </c>
      <c r="AF39" s="610" t="str">
        <f>J39</f>
        <v>Georgia</v>
      </c>
      <c r="AG39" s="532">
        <v>37</v>
      </c>
      <c r="AH39" s="610" t="str">
        <f t="shared" si="22"/>
        <v>Georgia</v>
      </c>
      <c r="AI39" s="532">
        <v>38</v>
      </c>
      <c r="AJ39" s="610" t="str">
        <f t="shared" si="23"/>
        <v>Georgia</v>
      </c>
      <c r="AK39" s="532">
        <v>36</v>
      </c>
      <c r="AL39" s="610" t="str">
        <f>H39</f>
        <v>Georgia</v>
      </c>
      <c r="AM39" s="532">
        <v>24</v>
      </c>
      <c r="AN39" s="633" t="str">
        <f>H39</f>
        <v>Georgia</v>
      </c>
      <c r="AO39" s="532">
        <v>3</v>
      </c>
      <c r="AP39" s="633" t="str">
        <f>H39</f>
        <v>Georgia</v>
      </c>
      <c r="AQ39" s="532">
        <v>2</v>
      </c>
      <c r="AR39" s="527" t="str">
        <f>J39</f>
        <v>Georgia</v>
      </c>
      <c r="AS39" s="532">
        <v>24</v>
      </c>
      <c r="AT39" s="603">
        <f t="shared" si="7"/>
        <v>40</v>
      </c>
      <c r="AU39" s="604">
        <f t="shared" si="8"/>
        <v>37</v>
      </c>
      <c r="AV39" s="875">
        <f t="shared" si="9"/>
        <v>38</v>
      </c>
      <c r="AW39" s="875">
        <f t="shared" si="19"/>
        <v>36</v>
      </c>
      <c r="AX39" s="875">
        <f t="shared" si="20"/>
        <v>3</v>
      </c>
      <c r="AY39" s="875">
        <f t="shared" si="10"/>
        <v>2</v>
      </c>
      <c r="AZ39" s="604">
        <f t="shared" si="11"/>
        <v>24</v>
      </c>
      <c r="BA39" s="605">
        <f t="shared" si="21"/>
        <v>24</v>
      </c>
      <c r="BB39" s="523" t="str">
        <f t="shared" si="12"/>
        <v>Ohio State</v>
      </c>
      <c r="BC39" s="530">
        <v>11</v>
      </c>
      <c r="BD39" s="531">
        <v>1</v>
      </c>
      <c r="BE39" s="532">
        <v>0</v>
      </c>
      <c r="BF39" s="530">
        <v>5</v>
      </c>
      <c r="BG39" s="531">
        <v>6</v>
      </c>
      <c r="BH39" s="532">
        <v>1</v>
      </c>
      <c r="BI39" s="523" t="str">
        <f t="shared" si="13"/>
        <v>Georgia</v>
      </c>
      <c r="BJ39" s="530">
        <v>13</v>
      </c>
      <c r="BK39" s="531">
        <v>0</v>
      </c>
      <c r="BL39" s="532">
        <v>0</v>
      </c>
      <c r="BM39" s="530">
        <v>7</v>
      </c>
      <c r="BN39" s="531">
        <v>6</v>
      </c>
      <c r="BO39" s="532">
        <v>0</v>
      </c>
      <c r="BP39" s="527" t="str">
        <f>BI39</f>
        <v>Georgia</v>
      </c>
      <c r="BQ39" s="854">
        <v>0.61</v>
      </c>
      <c r="BR39" s="851">
        <v>22</v>
      </c>
      <c r="BS39" s="527" t="s">
        <v>63</v>
      </c>
      <c r="BT39" s="527">
        <v>25.5</v>
      </c>
      <c r="BU39" s="527" t="s">
        <v>213</v>
      </c>
      <c r="BV39" s="523">
        <v>28.6</v>
      </c>
      <c r="BW39" s="527" t="str">
        <f t="shared" si="14"/>
        <v>Georgia</v>
      </c>
      <c r="BX39" s="523">
        <f t="shared" si="15"/>
        <v>3.1000000000000014</v>
      </c>
      <c r="BY39" s="839">
        <v>16</v>
      </c>
      <c r="BZ39" s="527" t="str">
        <f t="shared" si="16"/>
        <v>Georgia</v>
      </c>
      <c r="CA39" s="558">
        <f t="shared" si="17"/>
        <v>6.5</v>
      </c>
      <c r="CB39" s="582">
        <v>23</v>
      </c>
      <c r="CC39" s="527">
        <v>21</v>
      </c>
      <c r="CD39" s="582">
        <v>20</v>
      </c>
      <c r="CE39" s="528" t="str">
        <f>BS39</f>
        <v>Ohio State</v>
      </c>
      <c r="CF39" s="529" t="s">
        <v>486</v>
      </c>
      <c r="CG39" s="522" t="s">
        <v>497</v>
      </c>
      <c r="CH39" s="528"/>
      <c r="CI39" s="529"/>
      <c r="CJ39" s="522"/>
      <c r="CK39" s="528"/>
      <c r="CL39" s="529"/>
      <c r="CM39" s="522"/>
      <c r="CN39" s="524" t="str">
        <f>H39</f>
        <v>Georgia</v>
      </c>
      <c r="CO39" s="523"/>
      <c r="CP39" s="807">
        <v>25.5</v>
      </c>
      <c r="CQ39" s="808">
        <v>28.6</v>
      </c>
      <c r="CR39" s="820">
        <f t="shared" si="18"/>
        <v>3.1000000000000014</v>
      </c>
      <c r="CS39" s="833">
        <v>15</v>
      </c>
      <c r="CT39" s="592">
        <v>37</v>
      </c>
      <c r="CU39" s="592"/>
      <c r="CV39" s="592"/>
      <c r="CW39" s="592"/>
      <c r="CX39" s="592"/>
      <c r="CY39" s="592"/>
      <c r="CZ39" s="592"/>
      <c r="DA39" s="592"/>
      <c r="DB39" s="592"/>
      <c r="DC39" s="592"/>
      <c r="DD39" s="592"/>
      <c r="DE39" s="592"/>
      <c r="DF39" s="592"/>
      <c r="DG39" s="592"/>
      <c r="DH39" s="592"/>
      <c r="DI39" s="592"/>
      <c r="DJ39" s="592"/>
      <c r="DK39" s="592"/>
      <c r="DL39" s="592"/>
      <c r="DM39" s="628"/>
      <c r="DN39" s="628"/>
      <c r="DO39" s="628"/>
      <c r="DP39" s="628"/>
      <c r="DQ39" s="628"/>
      <c r="DR39" s="628"/>
      <c r="DS39" s="628"/>
      <c r="DT39" s="628"/>
      <c r="DU39" s="628"/>
      <c r="DV39" s="628"/>
      <c r="DW39" s="628"/>
      <c r="DX39" s="628"/>
      <c r="DY39" s="628"/>
    </row>
    <row r="40" spans="1:129" s="593" customFormat="1" ht="24" customHeight="1" x14ac:dyDescent="0.75">
      <c r="A40" s="500" t="s">
        <v>468</v>
      </c>
      <c r="B40" s="519" t="s">
        <v>225</v>
      </c>
      <c r="C40" s="520">
        <v>44928</v>
      </c>
      <c r="D40" s="521">
        <f>12/24</f>
        <v>0.5</v>
      </c>
      <c r="E40" s="522" t="s">
        <v>256</v>
      </c>
      <c r="F40" s="527" t="s">
        <v>217</v>
      </c>
      <c r="G40" s="554" t="s">
        <v>85</v>
      </c>
      <c r="H40" s="527" t="s">
        <v>132</v>
      </c>
      <c r="I40" s="554" t="s">
        <v>64</v>
      </c>
      <c r="J40" s="527" t="str">
        <f>H40</f>
        <v>Illinois</v>
      </c>
      <c r="K40" s="522" t="str">
        <f t="shared" si="1"/>
        <v>Mississippi State</v>
      </c>
      <c r="L40" s="570">
        <v>2</v>
      </c>
      <c r="M40" s="572">
        <v>46</v>
      </c>
      <c r="N40" s="633" t="str">
        <f>K40</f>
        <v>Mississippi State</v>
      </c>
      <c r="O40" s="531">
        <v>19</v>
      </c>
      <c r="P40" s="636" t="str">
        <f t="shared" si="28"/>
        <v>Illinois</v>
      </c>
      <c r="Q40" s="532">
        <v>10</v>
      </c>
      <c r="R40" s="597" t="str">
        <f t="shared" si="3"/>
        <v>Mississippi State</v>
      </c>
      <c r="S40" s="597" t="str">
        <f t="shared" si="4"/>
        <v>Illinois</v>
      </c>
      <c r="T40" s="519" t="str">
        <f t="shared" si="30"/>
        <v>Illinois</v>
      </c>
      <c r="U40" s="522" t="str">
        <f t="shared" si="5"/>
        <v>L</v>
      </c>
      <c r="V40" s="519"/>
      <c r="W40" s="522" t="str">
        <f t="shared" si="6"/>
        <v>L</v>
      </c>
      <c r="X40" s="525"/>
      <c r="Y40" s="526"/>
      <c r="Z40" s="528"/>
      <c r="AA40" s="526"/>
      <c r="AB40" s="528"/>
      <c r="AC40" s="526"/>
      <c r="AD40" s="519" t="str">
        <f>K40</f>
        <v>Mississippi State</v>
      </c>
      <c r="AE40" s="532">
        <v>17</v>
      </c>
      <c r="AF40" s="610" t="str">
        <f>J40</f>
        <v>Illinois</v>
      </c>
      <c r="AG40" s="532">
        <v>22</v>
      </c>
      <c r="AH40" s="610" t="str">
        <f t="shared" si="22"/>
        <v>Mississippi State</v>
      </c>
      <c r="AI40" s="532">
        <v>16</v>
      </c>
      <c r="AJ40" s="610" t="str">
        <f t="shared" si="23"/>
        <v>Illinois</v>
      </c>
      <c r="AK40" s="532">
        <v>22</v>
      </c>
      <c r="AL40" s="610" t="str">
        <f>H40</f>
        <v>Illinois</v>
      </c>
      <c r="AM40" s="532">
        <v>16</v>
      </c>
      <c r="AN40" s="633" t="str">
        <f>F40</f>
        <v>Mississippi State</v>
      </c>
      <c r="AO40" s="532">
        <v>24</v>
      </c>
      <c r="AP40" s="633" t="str">
        <f>H40</f>
        <v>Illinois</v>
      </c>
      <c r="AQ40" s="532">
        <v>12</v>
      </c>
      <c r="AR40" s="527" t="str">
        <f>J40</f>
        <v>Illinois</v>
      </c>
      <c r="AS40" s="532">
        <v>1</v>
      </c>
      <c r="AT40" s="603">
        <f t="shared" si="7"/>
        <v>17</v>
      </c>
      <c r="AU40" s="604">
        <f t="shared" si="8"/>
        <v>0</v>
      </c>
      <c r="AV40" s="875">
        <f t="shared" si="9"/>
        <v>16</v>
      </c>
      <c r="AW40" s="875">
        <f t="shared" si="19"/>
        <v>0</v>
      </c>
      <c r="AX40" s="875">
        <f t="shared" si="20"/>
        <v>24</v>
      </c>
      <c r="AY40" s="875">
        <f t="shared" si="10"/>
        <v>0</v>
      </c>
      <c r="AZ40" s="604">
        <f t="shared" si="11"/>
        <v>0</v>
      </c>
      <c r="BA40" s="605">
        <f t="shared" si="21"/>
        <v>0</v>
      </c>
      <c r="BB40" s="523" t="str">
        <f t="shared" si="12"/>
        <v>Mississippi State</v>
      </c>
      <c r="BC40" s="530">
        <v>8</v>
      </c>
      <c r="BD40" s="531">
        <v>4</v>
      </c>
      <c r="BE40" s="532">
        <v>0</v>
      </c>
      <c r="BF40" s="530">
        <v>6</v>
      </c>
      <c r="BG40" s="531">
        <v>5</v>
      </c>
      <c r="BH40" s="532">
        <v>1</v>
      </c>
      <c r="BI40" s="523" t="str">
        <f t="shared" si="13"/>
        <v>Illinois</v>
      </c>
      <c r="BJ40" s="530">
        <v>8</v>
      </c>
      <c r="BK40" s="531">
        <v>4</v>
      </c>
      <c r="BL40" s="532">
        <v>0</v>
      </c>
      <c r="BM40" s="530">
        <v>8</v>
      </c>
      <c r="BN40" s="531">
        <v>4</v>
      </c>
      <c r="BO40" s="532">
        <v>0</v>
      </c>
      <c r="BP40" s="527" t="str">
        <f>BB40</f>
        <v>Mississippi State</v>
      </c>
      <c r="BQ40" s="854">
        <v>0.53</v>
      </c>
      <c r="BR40" s="851">
        <v>9</v>
      </c>
      <c r="BS40" s="527" t="s">
        <v>217</v>
      </c>
      <c r="BT40" s="527">
        <v>12.2</v>
      </c>
      <c r="BU40" s="527" t="s">
        <v>132</v>
      </c>
      <c r="BV40" s="523">
        <v>10.8</v>
      </c>
      <c r="BW40" s="527" t="str">
        <f t="shared" si="14"/>
        <v>Mississippi State</v>
      </c>
      <c r="BX40" s="523">
        <f t="shared" si="15"/>
        <v>1.3999999999999986</v>
      </c>
      <c r="BY40" s="839">
        <v>9</v>
      </c>
      <c r="BZ40" s="527" t="str">
        <f t="shared" si="16"/>
        <v>Illinois</v>
      </c>
      <c r="CA40" s="558">
        <f t="shared" si="17"/>
        <v>2</v>
      </c>
      <c r="CB40" s="582">
        <v>8</v>
      </c>
      <c r="CC40" s="527">
        <v>9</v>
      </c>
      <c r="CD40" s="582">
        <v>5</v>
      </c>
      <c r="CE40" s="528" t="str">
        <f>BS40</f>
        <v>Mississippi State</v>
      </c>
      <c r="CF40" s="529" t="s">
        <v>481</v>
      </c>
      <c r="CG40" s="522" t="s">
        <v>542</v>
      </c>
      <c r="CH40" s="528" t="str">
        <f>BS40</f>
        <v>Mississippi State</v>
      </c>
      <c r="CI40" s="529" t="s">
        <v>486</v>
      </c>
      <c r="CJ40" s="522" t="s">
        <v>543</v>
      </c>
      <c r="CK40" s="528"/>
      <c r="CL40" s="529"/>
      <c r="CM40" s="522"/>
      <c r="CN40" s="524"/>
      <c r="CO40" s="523" t="str">
        <f>CH40</f>
        <v>Mississippi State</v>
      </c>
      <c r="CP40" s="807">
        <v>12.2</v>
      </c>
      <c r="CQ40" s="808">
        <v>10.8</v>
      </c>
      <c r="CR40" s="820">
        <f t="shared" si="18"/>
        <v>1.3999999999999986</v>
      </c>
      <c r="CS40" s="833">
        <v>8</v>
      </c>
      <c r="CT40" s="592">
        <v>38</v>
      </c>
      <c r="CU40" s="592"/>
      <c r="CV40" s="592"/>
      <c r="CW40" s="592"/>
      <c r="CX40" s="592"/>
      <c r="CY40" s="592"/>
      <c r="CZ40" s="592"/>
      <c r="DA40" s="592"/>
      <c r="DB40" s="592"/>
      <c r="DC40" s="592"/>
      <c r="DD40" s="592"/>
      <c r="DE40" s="592"/>
      <c r="DF40" s="592"/>
      <c r="DG40" s="592"/>
      <c r="DH40" s="592"/>
      <c r="DI40" s="592"/>
      <c r="DJ40" s="592"/>
      <c r="DK40" s="592"/>
      <c r="DL40" s="592"/>
      <c r="DM40" s="628"/>
      <c r="DN40" s="628"/>
      <c r="DO40" s="628"/>
      <c r="DP40" s="628"/>
      <c r="DQ40" s="628"/>
      <c r="DR40" s="628"/>
      <c r="DS40" s="628"/>
      <c r="DT40" s="628"/>
      <c r="DU40" s="628"/>
      <c r="DV40" s="628"/>
      <c r="DW40" s="628"/>
      <c r="DX40" s="628"/>
      <c r="DY40" s="628"/>
    </row>
    <row r="41" spans="1:129" s="593" customFormat="1" ht="24" customHeight="1" x14ac:dyDescent="0.75">
      <c r="A41" s="500" t="s">
        <v>309</v>
      </c>
      <c r="B41" s="519" t="s">
        <v>225</v>
      </c>
      <c r="C41" s="520">
        <v>44928</v>
      </c>
      <c r="D41" s="521">
        <f>13/24</f>
        <v>0.54166666666666663</v>
      </c>
      <c r="E41" s="522" t="s">
        <v>135</v>
      </c>
      <c r="F41" s="527" t="s">
        <v>178</v>
      </c>
      <c r="G41" s="554" t="s">
        <v>85</v>
      </c>
      <c r="H41" s="527" t="s">
        <v>119</v>
      </c>
      <c r="I41" s="554" t="s">
        <v>64</v>
      </c>
      <c r="J41" s="527" t="str">
        <f>F41</f>
        <v>LSU</v>
      </c>
      <c r="K41" s="522" t="str">
        <f t="shared" si="1"/>
        <v>Purdue</v>
      </c>
      <c r="L41" s="570">
        <v>10.5</v>
      </c>
      <c r="M41" s="572">
        <v>58.5</v>
      </c>
      <c r="N41" s="633" t="str">
        <f>J41</f>
        <v>LSU</v>
      </c>
      <c r="O41" s="531">
        <v>63</v>
      </c>
      <c r="P41" s="636" t="str">
        <f t="shared" si="28"/>
        <v>Purdue</v>
      </c>
      <c r="Q41" s="532">
        <v>7</v>
      </c>
      <c r="R41" s="597" t="str">
        <f t="shared" si="3"/>
        <v>LSU</v>
      </c>
      <c r="S41" s="597" t="str">
        <f t="shared" si="4"/>
        <v>Purdue</v>
      </c>
      <c r="T41" s="519" t="str">
        <f t="shared" si="30"/>
        <v>LSU</v>
      </c>
      <c r="U41" s="522" t="str">
        <f t="shared" si="5"/>
        <v>W</v>
      </c>
      <c r="V41" s="519"/>
      <c r="W41" s="522" t="str">
        <f t="shared" si="6"/>
        <v>L</v>
      </c>
      <c r="X41" s="525"/>
      <c r="Y41" s="526"/>
      <c r="Z41" s="528"/>
      <c r="AA41" s="526"/>
      <c r="AB41" s="528"/>
      <c r="AC41" s="526"/>
      <c r="AD41" s="519" t="str">
        <f>J41</f>
        <v>LSU</v>
      </c>
      <c r="AE41" s="532">
        <v>41</v>
      </c>
      <c r="AF41" s="527" t="str">
        <f>J41</f>
        <v>LSU</v>
      </c>
      <c r="AG41" s="532">
        <v>39</v>
      </c>
      <c r="AH41" s="527" t="str">
        <f t="shared" si="22"/>
        <v>LSU</v>
      </c>
      <c r="AI41" s="532">
        <v>39</v>
      </c>
      <c r="AJ41" s="527" t="str">
        <f t="shared" si="23"/>
        <v>LSU</v>
      </c>
      <c r="AK41" s="532">
        <v>39</v>
      </c>
      <c r="AL41" s="527" t="str">
        <f>F41</f>
        <v>LSU</v>
      </c>
      <c r="AM41" s="532">
        <v>38</v>
      </c>
      <c r="AN41" s="633" t="str">
        <f>F41</f>
        <v>LSU</v>
      </c>
      <c r="AO41" s="532">
        <v>34</v>
      </c>
      <c r="AP41" s="633" t="str">
        <f>H41</f>
        <v>Purdue</v>
      </c>
      <c r="AQ41" s="532">
        <v>9</v>
      </c>
      <c r="AR41" s="527" t="str">
        <f>J41</f>
        <v>LSU</v>
      </c>
      <c r="AS41" s="532">
        <v>41</v>
      </c>
      <c r="AT41" s="603">
        <f t="shared" si="7"/>
        <v>41</v>
      </c>
      <c r="AU41" s="604">
        <f t="shared" si="8"/>
        <v>39</v>
      </c>
      <c r="AV41" s="875">
        <f t="shared" si="9"/>
        <v>39</v>
      </c>
      <c r="AW41" s="875">
        <f t="shared" si="19"/>
        <v>39</v>
      </c>
      <c r="AX41" s="875">
        <f t="shared" si="20"/>
        <v>34</v>
      </c>
      <c r="AY41" s="875">
        <f t="shared" si="10"/>
        <v>0</v>
      </c>
      <c r="AZ41" s="604">
        <f t="shared" si="11"/>
        <v>38</v>
      </c>
      <c r="BA41" s="605">
        <f t="shared" si="21"/>
        <v>41</v>
      </c>
      <c r="BB41" s="523" t="str">
        <f t="shared" si="12"/>
        <v>LSU</v>
      </c>
      <c r="BC41" s="530">
        <v>9</v>
      </c>
      <c r="BD41" s="531">
        <v>4</v>
      </c>
      <c r="BE41" s="532">
        <v>0</v>
      </c>
      <c r="BF41" s="530">
        <v>7</v>
      </c>
      <c r="BG41" s="531">
        <v>6</v>
      </c>
      <c r="BH41" s="532">
        <v>0</v>
      </c>
      <c r="BI41" s="523" t="str">
        <f t="shared" si="13"/>
        <v>Purdue</v>
      </c>
      <c r="BJ41" s="530">
        <v>8</v>
      </c>
      <c r="BK41" s="531">
        <v>5</v>
      </c>
      <c r="BL41" s="532">
        <v>0</v>
      </c>
      <c r="BM41" s="530">
        <v>5</v>
      </c>
      <c r="BN41" s="531">
        <v>8</v>
      </c>
      <c r="BO41" s="532">
        <v>0</v>
      </c>
      <c r="BP41" s="527" t="str">
        <f>BB41</f>
        <v>LSU</v>
      </c>
      <c r="BQ41" s="854">
        <v>0.7</v>
      </c>
      <c r="BR41" s="851">
        <v>34</v>
      </c>
      <c r="BS41" s="527" t="s">
        <v>178</v>
      </c>
      <c r="BT41" s="527">
        <v>15.1</v>
      </c>
      <c r="BU41" s="527" t="s">
        <v>119</v>
      </c>
      <c r="BV41" s="523">
        <v>6.9</v>
      </c>
      <c r="BW41" s="527" t="str">
        <f t="shared" si="14"/>
        <v>LSU</v>
      </c>
      <c r="BX41" s="523">
        <f t="shared" si="15"/>
        <v>8.1999999999999993</v>
      </c>
      <c r="BY41" s="839">
        <v>33</v>
      </c>
      <c r="BZ41" s="527" t="str">
        <f t="shared" si="16"/>
        <v>LSU</v>
      </c>
      <c r="CA41" s="558">
        <f t="shared" si="17"/>
        <v>10.5</v>
      </c>
      <c r="CB41" s="582">
        <v>39</v>
      </c>
      <c r="CC41" s="527">
        <v>35.666666666666664</v>
      </c>
      <c r="CD41" s="582">
        <v>37</v>
      </c>
      <c r="CE41" s="528" t="str">
        <f>BS41</f>
        <v>LSU</v>
      </c>
      <c r="CF41" s="529" t="s">
        <v>481</v>
      </c>
      <c r="CG41" s="522" t="s">
        <v>491</v>
      </c>
      <c r="CH41" s="528" t="str">
        <f>BU41</f>
        <v>Purdue</v>
      </c>
      <c r="CI41" s="529" t="s">
        <v>484</v>
      </c>
      <c r="CJ41" s="522" t="s">
        <v>544</v>
      </c>
      <c r="CK41" s="528"/>
      <c r="CL41" s="529"/>
      <c r="CM41" s="522"/>
      <c r="CN41" s="524"/>
      <c r="CO41" s="523" t="s">
        <v>119</v>
      </c>
      <c r="CP41" s="807">
        <v>15.1</v>
      </c>
      <c r="CQ41" s="808">
        <v>6.9</v>
      </c>
      <c r="CR41" s="820">
        <f t="shared" si="18"/>
        <v>8.1999999999999993</v>
      </c>
      <c r="CS41" s="833">
        <v>32</v>
      </c>
      <c r="CT41" s="592">
        <v>39</v>
      </c>
      <c r="CU41" s="592"/>
      <c r="CV41" s="592"/>
      <c r="CW41" s="592"/>
      <c r="CX41" s="592"/>
      <c r="CY41" s="592"/>
      <c r="CZ41" s="592"/>
      <c r="DA41" s="592"/>
      <c r="DB41" s="592"/>
      <c r="DC41" s="592"/>
      <c r="DD41" s="592"/>
      <c r="DE41" s="592"/>
      <c r="DF41" s="592"/>
      <c r="DG41" s="592"/>
      <c r="DH41" s="592"/>
      <c r="DI41" s="592"/>
      <c r="DJ41" s="592"/>
      <c r="DK41" s="592"/>
      <c r="DL41" s="592"/>
      <c r="DM41" s="628"/>
      <c r="DN41" s="628"/>
      <c r="DO41" s="628"/>
      <c r="DP41" s="628"/>
      <c r="DQ41" s="628"/>
      <c r="DR41" s="628"/>
      <c r="DS41" s="628"/>
      <c r="DT41" s="628"/>
      <c r="DU41" s="628"/>
      <c r="DV41" s="628"/>
      <c r="DW41" s="628"/>
      <c r="DX41" s="628"/>
      <c r="DY41" s="628"/>
    </row>
    <row r="42" spans="1:129" s="548" customFormat="1" ht="24" customHeight="1" x14ac:dyDescent="0.75">
      <c r="A42" s="501" t="s">
        <v>305</v>
      </c>
      <c r="B42" s="534" t="s">
        <v>225</v>
      </c>
      <c r="C42" s="535">
        <v>44928</v>
      </c>
      <c r="D42" s="536">
        <f>13/24</f>
        <v>0.54166666666666663</v>
      </c>
      <c r="E42" s="537" t="s">
        <v>35</v>
      </c>
      <c r="F42" s="543" t="s">
        <v>112</v>
      </c>
      <c r="G42" s="549" t="s">
        <v>50</v>
      </c>
      <c r="H42" s="543" t="s">
        <v>466</v>
      </c>
      <c r="I42" s="549" t="s">
        <v>37</v>
      </c>
      <c r="J42" s="543" t="str">
        <f>H42</f>
        <v>USC</v>
      </c>
      <c r="K42" s="537" t="str">
        <f t="shared" si="1"/>
        <v>Tulane</v>
      </c>
      <c r="L42" s="571">
        <v>1.5</v>
      </c>
      <c r="M42" s="573">
        <v>61.5</v>
      </c>
      <c r="N42" s="634" t="str">
        <f>K42</f>
        <v>Tulane</v>
      </c>
      <c r="O42" s="546">
        <v>46</v>
      </c>
      <c r="P42" s="637" t="str">
        <f t="shared" si="28"/>
        <v>USC</v>
      </c>
      <c r="Q42" s="547">
        <v>45</v>
      </c>
      <c r="R42" s="596" t="str">
        <f t="shared" si="3"/>
        <v>Tulane</v>
      </c>
      <c r="S42" s="596" t="str">
        <f t="shared" si="4"/>
        <v>USC</v>
      </c>
      <c r="T42" s="534" t="str">
        <f t="shared" si="30"/>
        <v>USC</v>
      </c>
      <c r="U42" s="537" t="str">
        <f t="shared" si="5"/>
        <v>L</v>
      </c>
      <c r="V42" s="534"/>
      <c r="W42" s="537" t="str">
        <f t="shared" si="6"/>
        <v>L</v>
      </c>
      <c r="X42" s="540"/>
      <c r="Y42" s="541"/>
      <c r="Z42" s="542"/>
      <c r="AA42" s="541"/>
      <c r="AB42" s="542"/>
      <c r="AC42" s="541"/>
      <c r="AD42" s="534" t="str">
        <f>K42</f>
        <v>Tulane</v>
      </c>
      <c r="AE42" s="547">
        <v>2</v>
      </c>
      <c r="AF42" s="543" t="str">
        <f>J42</f>
        <v>USC</v>
      </c>
      <c r="AG42" s="547">
        <v>23</v>
      </c>
      <c r="AH42" s="543" t="str">
        <f t="shared" si="22"/>
        <v>Tulane</v>
      </c>
      <c r="AI42" s="547">
        <v>2</v>
      </c>
      <c r="AJ42" s="543" t="str">
        <f t="shared" si="23"/>
        <v>USC</v>
      </c>
      <c r="AK42" s="547">
        <v>23</v>
      </c>
      <c r="AL42" s="543" t="str">
        <f>F42</f>
        <v>Tulane</v>
      </c>
      <c r="AM42" s="547">
        <v>1</v>
      </c>
      <c r="AN42" s="634" t="str">
        <f>H42</f>
        <v>USC</v>
      </c>
      <c r="AO42" s="547">
        <v>23</v>
      </c>
      <c r="AP42" s="634" t="str">
        <f>H42</f>
        <v>USC</v>
      </c>
      <c r="AQ42" s="547">
        <v>13</v>
      </c>
      <c r="AR42" s="609" t="str">
        <f>K42</f>
        <v>Tulane</v>
      </c>
      <c r="AS42" s="547">
        <v>3</v>
      </c>
      <c r="AT42" s="606">
        <f t="shared" si="7"/>
        <v>2</v>
      </c>
      <c r="AU42" s="607">
        <f t="shared" si="8"/>
        <v>0</v>
      </c>
      <c r="AV42" s="876">
        <f t="shared" si="9"/>
        <v>2</v>
      </c>
      <c r="AW42" s="876">
        <f t="shared" si="19"/>
        <v>0</v>
      </c>
      <c r="AX42" s="876">
        <f t="shared" si="20"/>
        <v>0</v>
      </c>
      <c r="AY42" s="876">
        <f t="shared" si="10"/>
        <v>0</v>
      </c>
      <c r="AZ42" s="607">
        <f t="shared" si="11"/>
        <v>1</v>
      </c>
      <c r="BA42" s="608">
        <f t="shared" si="21"/>
        <v>3</v>
      </c>
      <c r="BB42" s="538" t="str">
        <f t="shared" si="12"/>
        <v>Tulane</v>
      </c>
      <c r="BC42" s="545">
        <v>11</v>
      </c>
      <c r="BD42" s="546">
        <v>2</v>
      </c>
      <c r="BE42" s="547">
        <v>0</v>
      </c>
      <c r="BF42" s="545">
        <v>11</v>
      </c>
      <c r="BG42" s="546">
        <v>2</v>
      </c>
      <c r="BH42" s="547">
        <v>0</v>
      </c>
      <c r="BI42" s="538" t="str">
        <f t="shared" si="13"/>
        <v>USC</v>
      </c>
      <c r="BJ42" s="545">
        <v>11</v>
      </c>
      <c r="BK42" s="546">
        <v>2</v>
      </c>
      <c r="BL42" s="547">
        <v>0</v>
      </c>
      <c r="BM42" s="545">
        <v>8</v>
      </c>
      <c r="BN42" s="546">
        <v>5</v>
      </c>
      <c r="BO42" s="547">
        <v>0</v>
      </c>
      <c r="BP42" s="543" t="str">
        <f>BI42</f>
        <v>USC</v>
      </c>
      <c r="BQ42" s="855">
        <v>0.65</v>
      </c>
      <c r="BR42" s="852">
        <v>31</v>
      </c>
      <c r="BS42" s="543" t="s">
        <v>112</v>
      </c>
      <c r="BT42" s="543">
        <v>9.1999999999999993</v>
      </c>
      <c r="BU42" s="543" t="s">
        <v>466</v>
      </c>
      <c r="BV42" s="538">
        <v>13.7</v>
      </c>
      <c r="BW42" s="543" t="str">
        <f t="shared" si="14"/>
        <v>USC</v>
      </c>
      <c r="BX42" s="538">
        <f t="shared" si="15"/>
        <v>4.5</v>
      </c>
      <c r="BY42" s="840">
        <v>24</v>
      </c>
      <c r="BZ42" s="543" t="str">
        <f t="shared" si="16"/>
        <v>USC</v>
      </c>
      <c r="CA42" s="559">
        <f t="shared" si="17"/>
        <v>1.5</v>
      </c>
      <c r="CB42" s="561">
        <v>4</v>
      </c>
      <c r="CC42" s="543">
        <v>21</v>
      </c>
      <c r="CD42" s="561">
        <v>19</v>
      </c>
      <c r="CE42" s="542"/>
      <c r="CF42" s="544"/>
      <c r="CG42" s="537"/>
      <c r="CH42" s="542"/>
      <c r="CI42" s="544"/>
      <c r="CJ42" s="537"/>
      <c r="CK42" s="542"/>
      <c r="CL42" s="544"/>
      <c r="CM42" s="537"/>
      <c r="CN42" s="539"/>
      <c r="CO42" s="538"/>
      <c r="CP42" s="811">
        <v>9.1999999999999993</v>
      </c>
      <c r="CQ42" s="804">
        <v>13.7</v>
      </c>
      <c r="CR42" s="822">
        <f t="shared" si="18"/>
        <v>4.5</v>
      </c>
      <c r="CS42" s="834">
        <v>23</v>
      </c>
      <c r="CT42" s="594">
        <v>40</v>
      </c>
      <c r="CU42" s="594"/>
      <c r="CV42" s="594"/>
      <c r="CW42" s="594"/>
      <c r="CX42" s="594"/>
      <c r="CY42" s="594"/>
      <c r="CZ42" s="594"/>
      <c r="DA42" s="594"/>
      <c r="DB42" s="594"/>
      <c r="DC42" s="594"/>
      <c r="DD42" s="594"/>
      <c r="DE42" s="594"/>
      <c r="DF42" s="594"/>
      <c r="DG42" s="594"/>
      <c r="DH42" s="594"/>
      <c r="DI42" s="594"/>
      <c r="DJ42" s="594"/>
      <c r="DK42" s="594"/>
      <c r="DL42" s="594"/>
      <c r="DM42" s="631"/>
      <c r="DN42" s="631"/>
      <c r="DO42" s="631"/>
      <c r="DP42" s="631"/>
      <c r="DQ42" s="631"/>
      <c r="DR42" s="631"/>
      <c r="DS42" s="631"/>
      <c r="DT42" s="631"/>
      <c r="DU42" s="631"/>
      <c r="DV42" s="631"/>
      <c r="DW42" s="631"/>
      <c r="DX42" s="631"/>
      <c r="DY42" s="631"/>
    </row>
    <row r="43" spans="1:129" s="548" customFormat="1" ht="24" customHeight="1" x14ac:dyDescent="0.75">
      <c r="A43" s="501" t="s">
        <v>310</v>
      </c>
      <c r="B43" s="534" t="s">
        <v>225</v>
      </c>
      <c r="C43" s="535">
        <v>44928</v>
      </c>
      <c r="D43" s="536">
        <f>17/24</f>
        <v>0.70833333333333337</v>
      </c>
      <c r="E43" s="537" t="s">
        <v>35</v>
      </c>
      <c r="F43" s="543" t="s">
        <v>145</v>
      </c>
      <c r="G43" s="549" t="s">
        <v>64</v>
      </c>
      <c r="H43" s="543" t="s">
        <v>81</v>
      </c>
      <c r="I43" s="549" t="s">
        <v>37</v>
      </c>
      <c r="J43" s="543" t="str">
        <f>H43</f>
        <v>Utah</v>
      </c>
      <c r="K43" s="537" t="str">
        <f t="shared" si="1"/>
        <v>Penn State</v>
      </c>
      <c r="L43" s="571">
        <v>2.5</v>
      </c>
      <c r="M43" s="573">
        <v>52.5</v>
      </c>
      <c r="N43" s="634" t="str">
        <f>K43</f>
        <v>Penn State</v>
      </c>
      <c r="O43" s="758">
        <v>35</v>
      </c>
      <c r="P43" s="637" t="str">
        <f t="shared" si="28"/>
        <v>Utah</v>
      </c>
      <c r="Q43" s="547">
        <v>21</v>
      </c>
      <c r="R43" s="596" t="str">
        <f t="shared" si="3"/>
        <v>Penn State</v>
      </c>
      <c r="S43" s="596" t="str">
        <f t="shared" si="4"/>
        <v>Utah</v>
      </c>
      <c r="T43" s="534" t="str">
        <f t="shared" si="30"/>
        <v>Utah</v>
      </c>
      <c r="U43" s="537" t="str">
        <f t="shared" si="5"/>
        <v>L</v>
      </c>
      <c r="V43" s="534"/>
      <c r="W43" s="537" t="str">
        <f t="shared" si="6"/>
        <v>L</v>
      </c>
      <c r="X43" s="540"/>
      <c r="Y43" s="541"/>
      <c r="Z43" s="542"/>
      <c r="AA43" s="541"/>
      <c r="AB43" s="542"/>
      <c r="AC43" s="541"/>
      <c r="AD43" s="534" t="str">
        <f>J43</f>
        <v>Utah</v>
      </c>
      <c r="AE43" s="547">
        <v>36</v>
      </c>
      <c r="AF43" s="543" t="str">
        <f>K43</f>
        <v>Penn State</v>
      </c>
      <c r="AG43" s="547">
        <v>17</v>
      </c>
      <c r="AH43" s="543" t="str">
        <f t="shared" si="22"/>
        <v>Utah</v>
      </c>
      <c r="AI43" s="547">
        <v>35</v>
      </c>
      <c r="AJ43" s="543" t="str">
        <f t="shared" si="23"/>
        <v>Penn State</v>
      </c>
      <c r="AK43" s="547">
        <v>17</v>
      </c>
      <c r="AL43" s="543" t="str">
        <f>F43</f>
        <v>Penn State</v>
      </c>
      <c r="AM43" s="547">
        <v>15</v>
      </c>
      <c r="AN43" s="634" t="str">
        <f>F43</f>
        <v>Penn State</v>
      </c>
      <c r="AO43" s="547">
        <v>4</v>
      </c>
      <c r="AP43" s="634" t="str">
        <f>F43</f>
        <v>Penn State</v>
      </c>
      <c r="AQ43" s="547">
        <v>17</v>
      </c>
      <c r="AR43" s="609" t="str">
        <f>K43</f>
        <v>Penn State</v>
      </c>
      <c r="AS43" s="547">
        <v>10</v>
      </c>
      <c r="AT43" s="606">
        <f t="shared" si="7"/>
        <v>0</v>
      </c>
      <c r="AU43" s="607">
        <f t="shared" si="8"/>
        <v>17</v>
      </c>
      <c r="AV43" s="876">
        <f t="shared" si="9"/>
        <v>0</v>
      </c>
      <c r="AW43" s="876">
        <f t="shared" si="19"/>
        <v>17</v>
      </c>
      <c r="AX43" s="876">
        <f t="shared" si="20"/>
        <v>4</v>
      </c>
      <c r="AY43" s="876">
        <f t="shared" si="10"/>
        <v>17</v>
      </c>
      <c r="AZ43" s="607">
        <f t="shared" si="11"/>
        <v>15</v>
      </c>
      <c r="BA43" s="608">
        <f t="shared" si="21"/>
        <v>10</v>
      </c>
      <c r="BB43" s="538" t="str">
        <f t="shared" si="12"/>
        <v>Penn State</v>
      </c>
      <c r="BC43" s="545">
        <v>10</v>
      </c>
      <c r="BD43" s="546">
        <v>2</v>
      </c>
      <c r="BE43" s="547">
        <v>0</v>
      </c>
      <c r="BF43" s="545">
        <v>9</v>
      </c>
      <c r="BG43" s="546">
        <v>3</v>
      </c>
      <c r="BH43" s="547">
        <v>0</v>
      </c>
      <c r="BI43" s="538" t="str">
        <f t="shared" si="13"/>
        <v>Utah</v>
      </c>
      <c r="BJ43" s="545">
        <v>10</v>
      </c>
      <c r="BK43" s="546">
        <v>3</v>
      </c>
      <c r="BL43" s="547">
        <v>0</v>
      </c>
      <c r="BM43" s="545">
        <v>8</v>
      </c>
      <c r="BN43" s="546">
        <v>5</v>
      </c>
      <c r="BO43" s="547">
        <v>0</v>
      </c>
      <c r="BP43" s="543" t="str">
        <f>BI43</f>
        <v>Utah</v>
      </c>
      <c r="BQ43" s="855">
        <v>0.53</v>
      </c>
      <c r="BR43" s="852">
        <v>8</v>
      </c>
      <c r="BS43" s="543" t="str">
        <f>BB43</f>
        <v>Penn State</v>
      </c>
      <c r="BT43" s="543">
        <v>18.8</v>
      </c>
      <c r="BU43" s="543" t="s">
        <v>81</v>
      </c>
      <c r="BV43" s="538">
        <v>20</v>
      </c>
      <c r="BW43" s="543" t="str">
        <f t="shared" si="14"/>
        <v>Utah</v>
      </c>
      <c r="BX43" s="538">
        <f t="shared" si="15"/>
        <v>1.1999999999999993</v>
      </c>
      <c r="BY43" s="840">
        <v>6</v>
      </c>
      <c r="BZ43" s="543" t="str">
        <f t="shared" si="16"/>
        <v>Utah</v>
      </c>
      <c r="CA43" s="559">
        <f t="shared" si="17"/>
        <v>2.5</v>
      </c>
      <c r="CB43" s="561">
        <v>9</v>
      </c>
      <c r="CC43" s="543">
        <v>8.3333333333333339</v>
      </c>
      <c r="CD43" s="561">
        <v>4</v>
      </c>
      <c r="CE43" s="542" t="str">
        <f>BS43</f>
        <v>Penn State</v>
      </c>
      <c r="CF43" s="544" t="s">
        <v>481</v>
      </c>
      <c r="CG43" s="537" t="s">
        <v>483</v>
      </c>
      <c r="CH43" s="542" t="str">
        <f>BU43</f>
        <v>Utah</v>
      </c>
      <c r="CI43" s="544" t="s">
        <v>477</v>
      </c>
      <c r="CJ43" s="537" t="s">
        <v>494</v>
      </c>
      <c r="CK43" s="542" t="str">
        <f>CH43</f>
        <v>Utah</v>
      </c>
      <c r="CL43" s="544" t="s">
        <v>489</v>
      </c>
      <c r="CM43" s="537" t="s">
        <v>496</v>
      </c>
      <c r="CN43" s="539"/>
      <c r="CO43" s="538"/>
      <c r="CP43" s="811">
        <v>18.8</v>
      </c>
      <c r="CQ43" s="804">
        <v>20</v>
      </c>
      <c r="CR43" s="822">
        <f t="shared" si="18"/>
        <v>1.1999999999999993</v>
      </c>
      <c r="CS43" s="834">
        <v>5</v>
      </c>
      <c r="CT43" s="594">
        <v>41</v>
      </c>
      <c r="CU43" s="594"/>
      <c r="CV43" s="594"/>
      <c r="CW43" s="594"/>
      <c r="CX43" s="594"/>
      <c r="CY43" s="594"/>
      <c r="CZ43" s="594"/>
      <c r="DA43" s="594"/>
      <c r="DB43" s="594"/>
      <c r="DC43" s="594"/>
      <c r="DD43" s="594"/>
      <c r="DE43" s="594"/>
      <c r="DF43" s="594"/>
      <c r="DG43" s="594"/>
      <c r="DH43" s="594"/>
      <c r="DI43" s="594"/>
      <c r="DJ43" s="594"/>
      <c r="DK43" s="594"/>
      <c r="DL43" s="594"/>
      <c r="DM43" s="631"/>
      <c r="DN43" s="631"/>
      <c r="DO43" s="631"/>
      <c r="DP43" s="631"/>
      <c r="DQ43" s="631"/>
      <c r="DR43" s="631"/>
      <c r="DS43" s="631"/>
      <c r="DT43" s="631"/>
      <c r="DU43" s="631"/>
      <c r="DV43" s="631"/>
      <c r="DW43" s="631"/>
      <c r="DX43" s="631"/>
      <c r="DY43" s="631"/>
    </row>
    <row r="44" spans="1:129" s="801" customFormat="1" ht="24" customHeight="1" x14ac:dyDescent="0.75">
      <c r="A44" s="775" t="s">
        <v>425</v>
      </c>
      <c r="B44" s="776" t="s">
        <v>225</v>
      </c>
      <c r="C44" s="777">
        <v>44935</v>
      </c>
      <c r="D44" s="778">
        <f>19.5/24</f>
        <v>0.8125</v>
      </c>
      <c r="E44" s="779" t="s">
        <v>35</v>
      </c>
      <c r="F44" s="780" t="str">
        <f>H39</f>
        <v>Georgia</v>
      </c>
      <c r="G44" s="781" t="str">
        <f>I39</f>
        <v>SEC</v>
      </c>
      <c r="H44" s="780" t="str">
        <f>F38</f>
        <v>TCU</v>
      </c>
      <c r="I44" s="781" t="str">
        <f>G38</f>
        <v>B12</v>
      </c>
      <c r="J44" s="780" t="str">
        <f>N39</f>
        <v>Georgia</v>
      </c>
      <c r="K44" s="779" t="str">
        <f>N38</f>
        <v>TCU</v>
      </c>
      <c r="L44" s="782">
        <v>13.5</v>
      </c>
      <c r="M44" s="783">
        <v>60.5</v>
      </c>
      <c r="N44" s="784" t="str">
        <f>J44</f>
        <v>Georgia</v>
      </c>
      <c r="O44" s="785">
        <v>65</v>
      </c>
      <c r="P44" s="786" t="str">
        <f t="shared" si="28"/>
        <v>TCU</v>
      </c>
      <c r="Q44" s="787">
        <v>7</v>
      </c>
      <c r="R44" s="788" t="str">
        <f t="shared" si="3"/>
        <v>Georgia</v>
      </c>
      <c r="S44" s="789" t="str">
        <f t="shared" si="4"/>
        <v>TCU</v>
      </c>
      <c r="T44" s="776" t="str">
        <f>S44</f>
        <v>TCU</v>
      </c>
      <c r="U44" s="779" t="str">
        <f t="shared" si="5"/>
        <v>L</v>
      </c>
      <c r="V44" s="776"/>
      <c r="W44" s="779" t="str">
        <f t="shared" si="6"/>
        <v>L</v>
      </c>
      <c r="X44" s="790"/>
      <c r="Y44" s="791"/>
      <c r="Z44" s="792"/>
      <c r="AA44" s="791"/>
      <c r="AB44" s="792"/>
      <c r="AC44" s="791"/>
      <c r="AD44" s="776" t="str">
        <f>J44</f>
        <v>Georgia</v>
      </c>
      <c r="AE44" s="787">
        <v>42</v>
      </c>
      <c r="AF44" s="780" t="str">
        <f>J44</f>
        <v>Georgia</v>
      </c>
      <c r="AG44" s="787">
        <v>42</v>
      </c>
      <c r="AH44" s="780" t="str">
        <f t="shared" si="22"/>
        <v>Georgia</v>
      </c>
      <c r="AI44" s="787">
        <v>40</v>
      </c>
      <c r="AJ44" s="780" t="str">
        <f t="shared" si="23"/>
        <v>Georgia</v>
      </c>
      <c r="AK44" s="787">
        <v>40</v>
      </c>
      <c r="AL44" s="780" t="s">
        <v>213</v>
      </c>
      <c r="AM44" s="787">
        <v>33</v>
      </c>
      <c r="AN44" s="784" t="str">
        <f>AN39</f>
        <v>Georgia</v>
      </c>
      <c r="AO44" s="787">
        <v>1</v>
      </c>
      <c r="AP44" s="784" t="s">
        <v>213</v>
      </c>
      <c r="AQ44" s="787">
        <v>1</v>
      </c>
      <c r="AR44" s="793"/>
      <c r="AS44" s="787"/>
      <c r="AT44" s="794">
        <f t="shared" si="7"/>
        <v>42</v>
      </c>
      <c r="AU44" s="795">
        <f t="shared" si="8"/>
        <v>42</v>
      </c>
      <c r="AV44" s="877">
        <f t="shared" si="9"/>
        <v>40</v>
      </c>
      <c r="AW44" s="877">
        <f t="shared" si="19"/>
        <v>40</v>
      </c>
      <c r="AX44" s="877">
        <f t="shared" si="20"/>
        <v>1</v>
      </c>
      <c r="AY44" s="877">
        <f t="shared" si="10"/>
        <v>1</v>
      </c>
      <c r="AZ44" s="795">
        <f t="shared" si="11"/>
        <v>33</v>
      </c>
      <c r="BA44" s="796">
        <f t="shared" si="21"/>
        <v>0</v>
      </c>
      <c r="BB44" s="797"/>
      <c r="BC44" s="793"/>
      <c r="BD44" s="785"/>
      <c r="BE44" s="787"/>
      <c r="BF44" s="793"/>
      <c r="BG44" s="785"/>
      <c r="BH44" s="787"/>
      <c r="BI44" s="797"/>
      <c r="BJ44" s="793"/>
      <c r="BK44" s="785"/>
      <c r="BL44" s="787"/>
      <c r="BM44" s="793"/>
      <c r="BN44" s="785"/>
      <c r="BO44" s="787"/>
      <c r="BP44" s="780"/>
      <c r="BQ44" s="856"/>
      <c r="BR44" s="853"/>
      <c r="BS44" s="780"/>
      <c r="BT44" s="780"/>
      <c r="BU44" s="780"/>
      <c r="BV44" s="797"/>
      <c r="BW44" s="780"/>
      <c r="BX44" s="797"/>
      <c r="BY44" s="859"/>
      <c r="BZ44" s="780" t="s">
        <v>213</v>
      </c>
      <c r="CA44" s="798">
        <f t="shared" si="17"/>
        <v>13.5</v>
      </c>
      <c r="CB44" s="844">
        <v>32</v>
      </c>
      <c r="CC44" s="780">
        <v>33</v>
      </c>
      <c r="CD44" s="844">
        <v>35</v>
      </c>
      <c r="CE44" s="792"/>
      <c r="CF44" s="799"/>
      <c r="CG44" s="779"/>
      <c r="CH44" s="792"/>
      <c r="CI44" s="799"/>
      <c r="CJ44" s="779"/>
      <c r="CK44" s="792"/>
      <c r="CL44" s="799"/>
      <c r="CM44" s="779"/>
      <c r="CN44" s="800"/>
      <c r="CO44" s="797"/>
      <c r="CP44" s="814"/>
      <c r="CQ44" s="818"/>
      <c r="CR44" s="824"/>
      <c r="CS44" s="837">
        <v>0</v>
      </c>
      <c r="CT44" s="594">
        <v>42</v>
      </c>
      <c r="CU44" s="594"/>
      <c r="CV44" s="594"/>
      <c r="CW44" s="594"/>
      <c r="CX44" s="594"/>
      <c r="CY44" s="594"/>
      <c r="CZ44" s="594"/>
      <c r="DA44" s="594"/>
      <c r="DB44" s="594"/>
      <c r="DC44" s="594"/>
      <c r="DD44" s="802"/>
      <c r="DE44" s="802"/>
      <c r="DF44" s="802"/>
      <c r="DG44" s="802"/>
      <c r="DH44" s="802"/>
      <c r="DI44" s="802"/>
      <c r="DJ44" s="802"/>
      <c r="DK44" s="802"/>
      <c r="DL44" s="802"/>
      <c r="DM44" s="803"/>
      <c r="DN44" s="803"/>
      <c r="DO44" s="803"/>
      <c r="DP44" s="803"/>
      <c r="DQ44" s="803"/>
      <c r="DR44" s="803"/>
      <c r="DS44" s="803"/>
      <c r="DT44" s="803"/>
      <c r="DU44" s="803"/>
      <c r="DV44" s="803"/>
      <c r="DW44" s="803"/>
      <c r="DX44" s="803"/>
      <c r="DY44" s="803"/>
    </row>
    <row r="45" spans="1:129" customFormat="1" ht="24" customHeight="1" x14ac:dyDescent="0.9">
      <c r="A45" s="627" t="s">
        <v>547</v>
      </c>
      <c r="B45" s="750"/>
      <c r="C45" s="750"/>
      <c r="D45" s="750"/>
      <c r="E45" s="750"/>
      <c r="F45" s="750"/>
      <c r="G45" s="750"/>
      <c r="H45" s="750"/>
      <c r="I45" s="750"/>
      <c r="J45" s="750"/>
      <c r="K45" s="750"/>
      <c r="L45" s="751"/>
      <c r="M45" s="751"/>
      <c r="N45" s="750"/>
      <c r="O45" s="625"/>
      <c r="P45" s="750"/>
      <c r="Q45" s="625"/>
      <c r="R45" s="750"/>
      <c r="S45" s="750"/>
      <c r="T45" s="750"/>
      <c r="U45" s="750"/>
      <c r="V45" s="750"/>
      <c r="W45" s="750"/>
      <c r="X45" s="750"/>
      <c r="Y45" s="750"/>
      <c r="Z45" s="750"/>
      <c r="AA45" s="560"/>
      <c r="AB45" s="750"/>
      <c r="AC45" s="560"/>
      <c r="AD45" s="750"/>
      <c r="AE45" s="750">
        <f>42*43/2</f>
        <v>903</v>
      </c>
      <c r="AF45" s="625"/>
      <c r="AG45" s="750">
        <f>42*43/2</f>
        <v>903</v>
      </c>
      <c r="AH45" s="625"/>
      <c r="AI45" s="750">
        <f>40*41/2</f>
        <v>820</v>
      </c>
      <c r="AJ45" s="625"/>
      <c r="AK45" s="750">
        <v>861</v>
      </c>
      <c r="AL45" s="625"/>
      <c r="AM45" s="750">
        <v>861</v>
      </c>
      <c r="AN45" s="625"/>
      <c r="AO45" s="560">
        <f>40*41/2</f>
        <v>820</v>
      </c>
      <c r="AP45" s="625"/>
      <c r="AQ45" s="560">
        <f>40*41/2</f>
        <v>820</v>
      </c>
      <c r="AR45" s="625"/>
      <c r="AS45" s="560">
        <f>SUM(AS3:AS44)</f>
        <v>861</v>
      </c>
      <c r="AT45" s="560">
        <f t="shared" ref="AT45:BA45" si="31">SUM(AT3:AT44)</f>
        <v>559</v>
      </c>
      <c r="AU45" s="560">
        <f t="shared" si="31"/>
        <v>601</v>
      </c>
      <c r="AV45" s="878">
        <f t="shared" si="31"/>
        <v>498</v>
      </c>
      <c r="AW45" s="560">
        <f t="shared" si="31"/>
        <v>520</v>
      </c>
      <c r="AX45" s="878">
        <f t="shared" si="31"/>
        <v>529</v>
      </c>
      <c r="AY45" s="878">
        <f t="shared" si="31"/>
        <v>533</v>
      </c>
      <c r="AZ45" s="560">
        <f t="shared" si="31"/>
        <v>580</v>
      </c>
      <c r="BA45" s="560">
        <f t="shared" si="31"/>
        <v>586</v>
      </c>
      <c r="BB45" s="750"/>
      <c r="BC45" s="625"/>
      <c r="BD45" s="625"/>
      <c r="BE45" s="625"/>
      <c r="BF45" s="625"/>
      <c r="BG45" s="625"/>
      <c r="BH45" s="625"/>
      <c r="BI45" s="750"/>
      <c r="BJ45" s="625"/>
      <c r="BK45" s="625"/>
      <c r="BL45" s="625"/>
      <c r="BM45" s="625"/>
      <c r="BN45" s="625"/>
      <c r="BO45" s="625"/>
      <c r="BP45" s="750"/>
      <c r="BQ45" s="845"/>
      <c r="BR45" s="560" t="e">
        <f>SUM(#REF!)</f>
        <v>#REF!</v>
      </c>
      <c r="BS45" s="750"/>
      <c r="BT45" s="620"/>
      <c r="BU45" s="750"/>
      <c r="BV45" s="750"/>
      <c r="BW45" s="750"/>
      <c r="BX45" s="750"/>
      <c r="BY45" s="560" t="e">
        <f>SUM(#REF!)</f>
        <v>#REF!</v>
      </c>
      <c r="BZ45" s="750"/>
      <c r="CA45" s="750"/>
      <c r="CB45" s="560" t="e">
        <f>SUM(#REF!)</f>
        <v>#REF!</v>
      </c>
      <c r="CC45" s="751"/>
      <c r="CD45" s="560" t="e">
        <f>SUM(#REF!)</f>
        <v>#REF!</v>
      </c>
      <c r="CE45" s="750"/>
      <c r="CF45" s="750"/>
      <c r="CG45" s="750"/>
      <c r="CH45" s="750"/>
      <c r="CI45" s="750"/>
      <c r="CJ45" s="750"/>
      <c r="CK45" s="750"/>
      <c r="CL45" s="750"/>
      <c r="CM45" s="750"/>
      <c r="CN45" s="750"/>
      <c r="CO45" s="750"/>
      <c r="CP45" s="815"/>
      <c r="CQ45" s="815"/>
      <c r="CR45" s="815"/>
      <c r="CS45" s="829"/>
      <c r="CT45" s="588"/>
      <c r="CU45" s="626"/>
      <c r="CV45" s="626"/>
      <c r="CW45" s="626"/>
      <c r="CX45" s="626"/>
      <c r="CY45" s="626"/>
      <c r="CZ45" s="626"/>
      <c r="DA45" s="626"/>
      <c r="DB45" s="626"/>
      <c r="DC45" s="626"/>
      <c r="DD45" s="625"/>
      <c r="DE45" s="625"/>
      <c r="DF45" s="625"/>
      <c r="DG45" s="625"/>
      <c r="DH45" s="625"/>
      <c r="DI45" s="625"/>
      <c r="DJ45" s="625"/>
      <c r="DK45" s="625"/>
      <c r="DL45" s="625"/>
      <c r="DM45" s="868"/>
      <c r="DN45" s="868"/>
      <c r="DO45" s="868"/>
      <c r="DP45" s="619"/>
      <c r="DQ45" s="619"/>
      <c r="DR45" s="619"/>
      <c r="DS45" s="619"/>
      <c r="DT45" s="619"/>
      <c r="DU45" s="619"/>
      <c r="DV45" s="619"/>
      <c r="DW45" s="619"/>
      <c r="DX45" s="619"/>
      <c r="DY45" s="619"/>
    </row>
    <row r="46" spans="1:129" customFormat="1" ht="24" customHeight="1" x14ac:dyDescent="0.9">
      <c r="A46" s="627" t="s">
        <v>434</v>
      </c>
      <c r="B46" s="750"/>
      <c r="C46" s="750"/>
      <c r="D46" s="750"/>
      <c r="E46" s="750"/>
      <c r="F46" s="750"/>
      <c r="G46" s="750"/>
      <c r="H46" s="750"/>
      <c r="I46" s="750"/>
      <c r="J46" s="750"/>
      <c r="K46" s="750"/>
      <c r="L46" s="751"/>
      <c r="M46" s="751"/>
      <c r="N46" s="750"/>
      <c r="O46" s="625"/>
      <c r="P46" s="750"/>
      <c r="Q46" s="625"/>
      <c r="R46" s="750"/>
      <c r="S46" s="750"/>
      <c r="T46" s="750"/>
      <c r="U46" s="750"/>
      <c r="V46" s="750"/>
      <c r="W46" s="750"/>
      <c r="X46" s="750"/>
      <c r="Y46" s="750"/>
      <c r="Z46" s="750"/>
      <c r="AA46" s="618"/>
      <c r="AB46" s="750"/>
      <c r="AC46" s="618"/>
      <c r="AD46" s="750"/>
      <c r="AE46" s="618"/>
      <c r="AF46" s="625"/>
      <c r="AG46" s="618"/>
      <c r="AH46" s="625"/>
      <c r="AI46" s="618">
        <f>SUM(AI44:AI45)</f>
        <v>860</v>
      </c>
      <c r="AJ46" s="625"/>
      <c r="AK46" s="618">
        <f>SUM(AK44:AK45)</f>
        <v>901</v>
      </c>
      <c r="AL46" s="625"/>
      <c r="AM46" s="618">
        <f>AM44-AM45</f>
        <v>-828</v>
      </c>
      <c r="AN46" s="625"/>
      <c r="AO46" s="618">
        <f>SUM(AO3:AO44)</f>
        <v>820</v>
      </c>
      <c r="AP46" s="625"/>
      <c r="AQ46" s="618">
        <f>SUM(AQ3:AQ44)</f>
        <v>820</v>
      </c>
      <c r="AR46" s="625"/>
      <c r="AS46" s="618">
        <f>SUM(AS44:AS45)</f>
        <v>861</v>
      </c>
      <c r="AT46" s="560">
        <f t="shared" ref="AT46:BA46" si="32">SUM(AT44:AT45)</f>
        <v>601</v>
      </c>
      <c r="AU46" s="560">
        <f t="shared" si="32"/>
        <v>643</v>
      </c>
      <c r="AV46" s="878">
        <f t="shared" si="32"/>
        <v>538</v>
      </c>
      <c r="AW46" s="560">
        <f t="shared" si="32"/>
        <v>560</v>
      </c>
      <c r="AX46" s="878">
        <f t="shared" si="32"/>
        <v>530</v>
      </c>
      <c r="AY46" s="878">
        <f t="shared" si="32"/>
        <v>534</v>
      </c>
      <c r="AZ46" s="560">
        <f t="shared" si="32"/>
        <v>613</v>
      </c>
      <c r="BA46" s="560">
        <f t="shared" si="32"/>
        <v>586</v>
      </c>
      <c r="BB46" s="750"/>
      <c r="BC46" s="625"/>
      <c r="BD46" s="625"/>
      <c r="BE46" s="625"/>
      <c r="BF46" s="625"/>
      <c r="BG46" s="625"/>
      <c r="BH46" s="625"/>
      <c r="BI46" s="750"/>
      <c r="BJ46" s="625"/>
      <c r="BK46" s="625"/>
      <c r="BL46" s="625"/>
      <c r="BM46" s="625"/>
      <c r="BN46" s="625"/>
      <c r="BO46" s="625"/>
      <c r="BP46" s="750"/>
      <c r="BQ46" s="845"/>
      <c r="BR46" s="618">
        <f>42*43/2</f>
        <v>903</v>
      </c>
      <c r="BS46" s="750"/>
      <c r="BT46" s="620"/>
      <c r="BU46" s="750"/>
      <c r="BV46" s="750"/>
      <c r="BW46" s="750"/>
      <c r="BX46" s="750"/>
      <c r="BY46" s="618">
        <f>42*43/2</f>
        <v>903</v>
      </c>
      <c r="BZ46" s="750"/>
      <c r="CA46" s="750"/>
      <c r="CB46" s="618">
        <f>42*43/2</f>
        <v>903</v>
      </c>
      <c r="CC46" s="864"/>
      <c r="CD46" s="618">
        <f>42*43/2</f>
        <v>903</v>
      </c>
      <c r="CE46" s="750"/>
      <c r="CF46" s="750"/>
      <c r="CG46" s="750"/>
      <c r="CH46" s="750"/>
      <c r="CI46" s="750"/>
      <c r="CJ46" s="750"/>
      <c r="CK46" s="750"/>
      <c r="CL46" s="750"/>
      <c r="CM46" s="750"/>
      <c r="CN46" s="750"/>
      <c r="CO46" s="750"/>
      <c r="CP46" s="815"/>
      <c r="CQ46" s="815"/>
      <c r="CR46" s="815"/>
      <c r="CS46" s="829"/>
      <c r="CT46" s="588"/>
      <c r="CU46" s="626"/>
      <c r="CV46" s="626"/>
      <c r="CW46" s="626"/>
      <c r="CX46" s="626"/>
      <c r="CY46" s="626"/>
      <c r="CZ46" s="626"/>
      <c r="DA46" s="626"/>
      <c r="DB46" s="626"/>
      <c r="DC46" s="626"/>
      <c r="DD46" s="625"/>
      <c r="DE46" s="625"/>
      <c r="DF46" s="625"/>
      <c r="DG46" s="625"/>
      <c r="DH46" s="625"/>
      <c r="DI46" s="625"/>
      <c r="DJ46" s="625"/>
      <c r="DK46" s="625"/>
      <c r="DL46" s="625"/>
      <c r="DM46" s="868"/>
      <c r="DN46" s="868"/>
      <c r="DO46" s="868"/>
      <c r="DP46" s="619"/>
      <c r="DQ46" s="619"/>
      <c r="DR46" s="619"/>
      <c r="DS46" s="619"/>
      <c r="DT46" s="619"/>
      <c r="DU46" s="619"/>
      <c r="DV46" s="619"/>
      <c r="DW46" s="619"/>
      <c r="DX46" s="619"/>
      <c r="DY46" s="619"/>
    </row>
    <row r="47" spans="1:129" customFormat="1" ht="24" customHeight="1" x14ac:dyDescent="0.9">
      <c r="A47" s="627"/>
      <c r="B47" s="750"/>
      <c r="C47" s="750"/>
      <c r="D47" s="750"/>
      <c r="E47" s="750"/>
      <c r="F47" s="750"/>
      <c r="G47" s="750"/>
      <c r="H47" s="750"/>
      <c r="I47" s="750"/>
      <c r="J47" s="750"/>
      <c r="K47" s="750"/>
      <c r="L47" s="751"/>
      <c r="M47" s="751"/>
      <c r="N47" s="750"/>
      <c r="O47" s="625"/>
      <c r="P47" s="750"/>
      <c r="Q47" s="625"/>
      <c r="R47" s="588"/>
      <c r="S47" s="588"/>
      <c r="T47" s="750"/>
      <c r="U47" s="750"/>
      <c r="V47" s="750"/>
      <c r="W47" s="750"/>
      <c r="X47" s="750"/>
      <c r="Y47" s="750"/>
      <c r="Z47" s="750"/>
      <c r="AA47" s="618"/>
      <c r="AB47" s="750"/>
      <c r="AC47" s="618"/>
      <c r="AD47" s="750"/>
      <c r="AE47" s="625" t="e">
        <f>SUM(#REF!)</f>
        <v>#REF!</v>
      </c>
      <c r="AF47" s="625"/>
      <c r="AG47" s="625" t="e">
        <f>SUM(#REF!)</f>
        <v>#REF!</v>
      </c>
      <c r="AH47" s="625"/>
      <c r="AI47" s="625">
        <f>SUM(AI5:AI46)</f>
        <v>2500</v>
      </c>
      <c r="AJ47" s="625"/>
      <c r="AK47" s="625"/>
      <c r="AL47" s="625"/>
      <c r="AM47" s="625"/>
      <c r="AN47" s="625"/>
      <c r="AO47" s="625"/>
      <c r="AP47" s="625"/>
      <c r="AQ47" s="625"/>
      <c r="AR47" s="625"/>
      <c r="AS47" s="625"/>
      <c r="AT47" s="873"/>
      <c r="AU47" s="874"/>
      <c r="AV47" s="874"/>
      <c r="AW47" s="874"/>
      <c r="AX47" s="874"/>
      <c r="AY47" s="874"/>
      <c r="AZ47" s="874"/>
      <c r="BA47" s="874"/>
      <c r="BB47" s="750"/>
      <c r="BC47" s="625"/>
      <c r="BD47" s="625"/>
      <c r="BE47" s="625"/>
      <c r="BF47" s="625"/>
      <c r="BG47" s="625"/>
      <c r="BH47" s="625"/>
      <c r="BI47" s="750"/>
      <c r="BJ47" s="625"/>
      <c r="BK47" s="625"/>
      <c r="BL47" s="625"/>
      <c r="BM47" s="625"/>
      <c r="BN47" s="625"/>
      <c r="BO47" s="625"/>
      <c r="BP47" s="750"/>
      <c r="BQ47" s="845"/>
      <c r="BR47" s="849"/>
      <c r="BS47" s="750"/>
      <c r="BT47" s="620"/>
      <c r="BU47" s="750"/>
      <c r="BV47" s="750"/>
      <c r="BW47" s="750"/>
      <c r="BX47" s="750"/>
      <c r="BY47" s="618"/>
      <c r="BZ47" s="750"/>
      <c r="CA47" s="750"/>
      <c r="CB47" s="618"/>
      <c r="CC47" s="864"/>
      <c r="CD47" s="618"/>
      <c r="CE47" s="750"/>
      <c r="CF47" s="588"/>
      <c r="CG47" s="750"/>
      <c r="CH47" s="750"/>
      <c r="CI47" s="588"/>
      <c r="CJ47" s="750"/>
      <c r="CK47" s="750"/>
      <c r="CL47" s="588"/>
      <c r="CM47" s="750"/>
      <c r="CN47" s="750"/>
      <c r="CO47" s="750"/>
      <c r="CP47" s="815"/>
      <c r="CQ47" s="815"/>
      <c r="CR47" s="815"/>
      <c r="CS47" s="829"/>
      <c r="CT47" s="588"/>
      <c r="CU47" s="625"/>
      <c r="CV47" s="625"/>
      <c r="CW47" s="625"/>
      <c r="CX47" s="625"/>
      <c r="CY47" s="625"/>
      <c r="CZ47" s="625"/>
      <c r="DA47" s="625"/>
      <c r="DB47" s="625"/>
      <c r="DC47" s="625"/>
      <c r="DD47" s="626"/>
      <c r="DE47" s="626"/>
      <c r="DF47" s="626"/>
      <c r="DG47" s="626"/>
      <c r="DH47" s="626"/>
      <c r="DI47" s="626"/>
      <c r="DJ47" s="626"/>
      <c r="DK47" s="626"/>
      <c r="DL47" s="626"/>
      <c r="DM47" s="761"/>
      <c r="DN47" s="761"/>
      <c r="DO47" s="761"/>
      <c r="DP47" s="553"/>
      <c r="DQ47" s="553"/>
      <c r="DR47" s="553"/>
      <c r="DS47" s="553"/>
      <c r="DT47" s="553"/>
      <c r="DU47" s="553"/>
      <c r="DV47" s="553"/>
      <c r="DW47" s="553"/>
      <c r="DX47" s="553"/>
      <c r="DY47" s="553"/>
    </row>
    <row r="48" spans="1:129" customFormat="1" ht="24" customHeight="1" x14ac:dyDescent="0.9">
      <c r="A48" s="869"/>
      <c r="B48" s="750"/>
      <c r="C48" s="750"/>
      <c r="D48" s="750"/>
      <c r="E48" s="750"/>
      <c r="F48" s="750"/>
      <c r="G48" s="750"/>
      <c r="H48" s="750"/>
      <c r="I48" s="750"/>
      <c r="J48" s="750"/>
      <c r="K48" s="750"/>
      <c r="L48" s="751"/>
      <c r="M48" s="751"/>
      <c r="N48" s="750"/>
      <c r="O48" s="626"/>
      <c r="P48" s="588"/>
      <c r="Q48" s="625"/>
      <c r="R48" s="588"/>
      <c r="S48" s="588"/>
      <c r="T48" s="750"/>
      <c r="U48" s="750"/>
      <c r="V48" s="750"/>
      <c r="W48" s="750"/>
      <c r="X48" s="750"/>
      <c r="Y48" s="750"/>
      <c r="Z48" s="750"/>
      <c r="AA48" s="750"/>
      <c r="AB48" s="750"/>
      <c r="AC48" s="750"/>
      <c r="AD48" s="750"/>
      <c r="AE48" s="618"/>
      <c r="AF48" s="625"/>
      <c r="AG48" s="618"/>
      <c r="AH48" s="625"/>
      <c r="AI48" s="625"/>
      <c r="AJ48" s="625"/>
      <c r="AK48" s="625"/>
      <c r="AL48" s="625"/>
      <c r="AM48" s="625">
        <f>42*41/2</f>
        <v>861</v>
      </c>
      <c r="AN48" s="625"/>
      <c r="AO48" s="625"/>
      <c r="AP48" s="625"/>
      <c r="AQ48" s="625"/>
      <c r="AR48" s="625"/>
      <c r="AS48" s="625"/>
      <c r="AT48" s="625"/>
      <c r="AU48" s="625"/>
      <c r="AV48" s="625"/>
      <c r="AW48" s="625"/>
      <c r="AX48" s="625"/>
      <c r="AY48" s="625"/>
      <c r="AZ48" s="625"/>
      <c r="BA48" s="626"/>
      <c r="BB48" s="750"/>
      <c r="BC48" s="625"/>
      <c r="BD48" s="626"/>
      <c r="BE48" s="625"/>
      <c r="BF48" s="625"/>
      <c r="BG48" s="626"/>
      <c r="BH48" s="625"/>
      <c r="BI48" s="750"/>
      <c r="BJ48" s="625"/>
      <c r="BK48" s="626"/>
      <c r="BL48" s="625"/>
      <c r="BM48" s="625"/>
      <c r="BN48" s="626"/>
      <c r="BO48" s="625"/>
      <c r="BP48" s="750"/>
      <c r="BQ48" s="845"/>
      <c r="BR48" s="849"/>
      <c r="BS48" s="750"/>
      <c r="BT48" s="620"/>
      <c r="BU48" s="750"/>
      <c r="BV48" s="750"/>
      <c r="BW48" s="750"/>
      <c r="BX48" s="750"/>
      <c r="BY48" s="750"/>
      <c r="BZ48" s="750"/>
      <c r="CA48" s="588"/>
      <c r="CB48" s="750"/>
      <c r="CC48" s="864"/>
      <c r="CD48" s="750"/>
      <c r="CE48" s="750"/>
      <c r="CF48" s="588"/>
      <c r="CG48" s="750"/>
      <c r="CH48" s="750"/>
      <c r="CI48" s="588"/>
      <c r="CJ48" s="750"/>
      <c r="CK48" s="750"/>
      <c r="CL48" s="588"/>
      <c r="CM48" s="750"/>
      <c r="CN48" s="750"/>
      <c r="CO48" s="750"/>
      <c r="CP48" s="870"/>
      <c r="CQ48" s="805"/>
      <c r="CR48" s="871"/>
      <c r="CS48" s="872"/>
      <c r="CT48" s="588"/>
      <c r="CU48" s="626"/>
      <c r="CV48" s="626"/>
      <c r="CW48" s="626"/>
      <c r="CX48" s="626"/>
      <c r="CY48" s="626"/>
      <c r="CZ48" s="626"/>
      <c r="DA48" s="626"/>
      <c r="DB48" s="626"/>
      <c r="DC48" s="626"/>
      <c r="DD48" s="626"/>
      <c r="DE48" s="626"/>
      <c r="DF48" s="626"/>
      <c r="DG48" s="626"/>
      <c r="DH48" s="626"/>
      <c r="DI48" s="626"/>
      <c r="DJ48" s="626"/>
      <c r="DK48" s="626"/>
      <c r="DL48" s="626"/>
      <c r="DM48" s="761"/>
      <c r="DN48" s="761"/>
      <c r="DO48" s="761"/>
      <c r="DP48" s="553"/>
      <c r="DQ48" s="553"/>
      <c r="DR48" s="553"/>
      <c r="DS48" s="553"/>
      <c r="DT48" s="553"/>
      <c r="DU48" s="553"/>
      <c r="DV48" s="553"/>
      <c r="DW48" s="553"/>
      <c r="DX48" s="553"/>
      <c r="DY48" s="553"/>
    </row>
    <row r="49" spans="1:129" customFormat="1" ht="24" customHeight="1" x14ac:dyDescent="0.9">
      <c r="A49" s="752"/>
      <c r="B49" s="588"/>
      <c r="C49" s="588"/>
      <c r="D49" s="588"/>
      <c r="E49" s="588"/>
      <c r="F49" s="588"/>
      <c r="G49" s="588"/>
      <c r="H49" s="588"/>
      <c r="I49" s="588"/>
      <c r="J49" s="588"/>
      <c r="K49" s="588"/>
      <c r="L49" s="753"/>
      <c r="M49" s="753"/>
      <c r="N49" s="588"/>
      <c r="O49" s="626"/>
      <c r="P49" s="588"/>
      <c r="Q49" s="626"/>
      <c r="R49" s="588"/>
      <c r="S49" s="588"/>
      <c r="T49" s="588"/>
      <c r="U49" s="588"/>
      <c r="V49" s="588"/>
      <c r="W49" s="588"/>
      <c r="X49" s="588"/>
      <c r="Y49" s="588"/>
      <c r="Z49" s="588"/>
      <c r="AA49" s="588"/>
      <c r="AB49" s="588"/>
      <c r="AC49" s="588"/>
      <c r="AD49" s="588"/>
      <c r="AE49" s="626"/>
      <c r="AF49" s="626"/>
      <c r="AG49" s="626"/>
      <c r="AH49" s="626"/>
      <c r="AI49" s="626"/>
      <c r="AJ49" s="626"/>
      <c r="AK49" s="626"/>
      <c r="AL49" s="626"/>
      <c r="AM49" s="626"/>
      <c r="AN49" s="626"/>
      <c r="AO49" s="626"/>
      <c r="AP49" s="626"/>
      <c r="AQ49" s="626"/>
      <c r="AR49" s="626"/>
      <c r="AS49" s="626"/>
      <c r="AT49" s="625"/>
      <c r="AU49" s="625"/>
      <c r="AV49" s="625"/>
      <c r="AW49" s="625"/>
      <c r="AX49" s="625"/>
      <c r="AY49" s="625"/>
      <c r="AZ49" s="625"/>
      <c r="BA49" s="625"/>
      <c r="BB49" s="588"/>
      <c r="BC49" s="626"/>
      <c r="BD49" s="626"/>
      <c r="BE49" s="626"/>
      <c r="BF49" s="626"/>
      <c r="BG49" s="626"/>
      <c r="BH49" s="626"/>
      <c r="BI49" s="588"/>
      <c r="BJ49" s="626"/>
      <c r="BK49" s="626"/>
      <c r="BL49" s="626"/>
      <c r="BM49" s="626"/>
      <c r="BN49" s="626"/>
      <c r="BO49" s="626"/>
      <c r="BP49" s="588"/>
      <c r="BQ49" s="846"/>
      <c r="BR49" s="850"/>
      <c r="BS49" s="588"/>
      <c r="BT49" s="754"/>
      <c r="BU49" s="588"/>
      <c r="BV49" s="588"/>
      <c r="BW49" s="588"/>
      <c r="BX49" s="588"/>
      <c r="BY49" s="588"/>
      <c r="BZ49" s="588"/>
      <c r="CA49" s="588"/>
      <c r="CB49" s="588"/>
      <c r="CC49" s="865"/>
      <c r="CD49" s="588"/>
      <c r="CE49" s="588"/>
      <c r="CF49" s="588"/>
      <c r="CG49" s="588"/>
      <c r="CH49" s="588"/>
      <c r="CI49" s="588"/>
      <c r="CJ49" s="588"/>
      <c r="CK49" s="588"/>
      <c r="CL49" s="588"/>
      <c r="CM49" s="588"/>
      <c r="CN49" s="588"/>
      <c r="CO49" s="588"/>
      <c r="CP49" s="816"/>
      <c r="CQ49" s="805"/>
      <c r="CR49" s="805"/>
      <c r="CS49" s="830"/>
      <c r="CT49" s="588"/>
      <c r="CU49" s="592"/>
      <c r="CV49" s="592"/>
      <c r="CW49" s="592"/>
      <c r="CX49" s="592"/>
      <c r="CY49" s="592"/>
      <c r="CZ49" s="592"/>
      <c r="DA49" s="592"/>
      <c r="DB49" s="592"/>
      <c r="DC49" s="592"/>
      <c r="DD49" s="626"/>
      <c r="DE49" s="626"/>
      <c r="DF49" s="626"/>
      <c r="DG49" s="626"/>
      <c r="DH49" s="626"/>
      <c r="DI49" s="626"/>
      <c r="DJ49" s="626"/>
      <c r="DK49" s="626"/>
      <c r="DL49" s="626"/>
      <c r="DM49" s="761"/>
      <c r="DN49" s="761"/>
      <c r="DO49" s="761"/>
      <c r="DP49" s="553"/>
      <c r="DQ49" s="553"/>
      <c r="DR49" s="553"/>
      <c r="DS49" s="553"/>
      <c r="DT49" s="553"/>
      <c r="DU49" s="553"/>
      <c r="DV49" s="553"/>
      <c r="DW49" s="553"/>
      <c r="DX49" s="553"/>
      <c r="DY49" s="553"/>
    </row>
    <row r="50" spans="1:129" customFormat="1" ht="24" customHeight="1" x14ac:dyDescent="0.9">
      <c r="A50" s="752"/>
      <c r="B50" s="588"/>
      <c r="C50" s="588"/>
      <c r="D50" s="588"/>
      <c r="E50" s="588"/>
      <c r="F50" s="588"/>
      <c r="G50" s="588"/>
      <c r="H50" s="588"/>
      <c r="I50" s="588"/>
      <c r="J50" s="588"/>
      <c r="K50" s="588"/>
      <c r="L50" s="753"/>
      <c r="M50" s="753"/>
      <c r="N50" s="588"/>
      <c r="O50" s="626"/>
      <c r="P50" s="588"/>
      <c r="Q50" s="626"/>
      <c r="R50" s="588"/>
      <c r="S50" s="588"/>
      <c r="T50" s="588"/>
      <c r="U50" s="588"/>
      <c r="V50" s="588"/>
      <c r="W50" s="588"/>
      <c r="X50" s="588"/>
      <c r="Y50" s="588"/>
      <c r="Z50" s="588"/>
      <c r="AA50" s="588"/>
      <c r="AB50" s="588"/>
      <c r="AC50" s="588"/>
      <c r="AD50" s="588"/>
      <c r="AE50" s="626"/>
      <c r="AF50" s="626"/>
      <c r="AG50" s="626"/>
      <c r="AH50" s="626"/>
      <c r="AI50" s="626"/>
      <c r="AJ50" s="626"/>
      <c r="AK50" s="626"/>
      <c r="AL50" s="626"/>
      <c r="AM50" s="626"/>
      <c r="AN50" s="626"/>
      <c r="AO50" s="626"/>
      <c r="AP50" s="626"/>
      <c r="AQ50" s="626"/>
      <c r="AR50" s="626"/>
      <c r="AS50" s="626"/>
      <c r="AT50" s="626"/>
      <c r="AU50" s="626"/>
      <c r="AV50" s="626"/>
      <c r="AW50" s="626"/>
      <c r="AX50" s="626"/>
      <c r="AY50" s="626"/>
      <c r="AZ50" s="626"/>
      <c r="BA50" s="626"/>
      <c r="BB50" s="588"/>
      <c r="BC50" s="626"/>
      <c r="BD50" s="626"/>
      <c r="BE50" s="626"/>
      <c r="BF50" s="626"/>
      <c r="BG50" s="626"/>
      <c r="BH50" s="626"/>
      <c r="BI50" s="588"/>
      <c r="BJ50" s="626"/>
      <c r="BK50" s="626"/>
      <c r="BL50" s="626"/>
      <c r="BM50" s="626"/>
      <c r="BN50" s="626"/>
      <c r="BO50" s="626"/>
      <c r="BP50" s="588"/>
      <c r="BQ50" s="846"/>
      <c r="BR50" s="850"/>
      <c r="BS50" s="588"/>
      <c r="BT50" s="754"/>
      <c r="BU50" s="588"/>
      <c r="BV50" s="588"/>
      <c r="BW50" s="588"/>
      <c r="BX50" s="588"/>
      <c r="BY50" s="588"/>
      <c r="BZ50" s="588"/>
      <c r="CA50" s="588"/>
      <c r="CB50" s="588"/>
      <c r="CC50" s="865"/>
      <c r="CD50" s="588"/>
      <c r="CE50" s="588"/>
      <c r="CF50" s="588"/>
      <c r="CG50" s="588"/>
      <c r="CH50" s="588"/>
      <c r="CI50" s="588"/>
      <c r="CJ50" s="588"/>
      <c r="CK50" s="588"/>
      <c r="CL50" s="588"/>
      <c r="CM50" s="588"/>
      <c r="CN50" s="588"/>
      <c r="CO50" s="588"/>
      <c r="CP50" s="816"/>
      <c r="CQ50" s="805"/>
      <c r="CR50" s="805"/>
      <c r="CS50" s="830"/>
      <c r="CT50" s="588"/>
      <c r="CU50" s="626"/>
      <c r="CV50" s="626"/>
      <c r="CW50" s="626"/>
      <c r="CX50" s="626"/>
      <c r="CY50" s="626"/>
      <c r="CZ50" s="626"/>
      <c r="DA50" s="626"/>
      <c r="DB50" s="626"/>
      <c r="DC50" s="626"/>
      <c r="DD50" s="626"/>
      <c r="DE50" s="626"/>
      <c r="DF50" s="626"/>
      <c r="DG50" s="626"/>
      <c r="DH50" s="626"/>
      <c r="DI50" s="626"/>
      <c r="DJ50" s="626"/>
      <c r="DK50" s="626"/>
      <c r="DL50" s="626"/>
      <c r="DM50" s="761"/>
      <c r="DN50" s="761"/>
      <c r="DO50" s="761"/>
      <c r="DP50" s="553"/>
      <c r="DQ50" s="553"/>
      <c r="DR50" s="553"/>
      <c r="DS50" s="553"/>
      <c r="DT50" s="553"/>
      <c r="DU50" s="553"/>
      <c r="DV50" s="553"/>
      <c r="DW50" s="553"/>
      <c r="DX50" s="553"/>
      <c r="DY50" s="553"/>
    </row>
    <row r="51" spans="1:129" customFormat="1" ht="24" customHeight="1" x14ac:dyDescent="0.9">
      <c r="A51" s="752"/>
      <c r="B51" s="588"/>
      <c r="C51" s="588"/>
      <c r="D51" s="588"/>
      <c r="E51" s="588"/>
      <c r="F51" s="588"/>
      <c r="G51" s="588"/>
      <c r="H51" s="588"/>
      <c r="I51" s="588"/>
      <c r="J51" s="588"/>
      <c r="K51" s="588"/>
      <c r="L51" s="753"/>
      <c r="M51" s="753"/>
      <c r="N51" s="588"/>
      <c r="O51" s="626"/>
      <c r="P51" s="588"/>
      <c r="Q51" s="626"/>
      <c r="R51" s="588"/>
      <c r="S51" s="588"/>
      <c r="T51" s="588"/>
      <c r="U51" s="588"/>
      <c r="V51" s="588"/>
      <c r="W51" s="588"/>
      <c r="X51" s="588"/>
      <c r="Y51" s="588"/>
      <c r="Z51" s="588"/>
      <c r="AA51" s="588"/>
      <c r="AB51" s="588"/>
      <c r="AC51" s="588"/>
      <c r="AD51" s="588"/>
      <c r="AE51" s="626"/>
      <c r="AF51" s="626"/>
      <c r="AG51" s="626"/>
      <c r="AH51" s="626"/>
      <c r="AI51" s="626"/>
      <c r="AJ51" s="626"/>
      <c r="AK51" s="626"/>
      <c r="AL51" s="626"/>
      <c r="AM51" s="626"/>
      <c r="AN51" s="626"/>
      <c r="AO51" s="626"/>
      <c r="AP51" s="626"/>
      <c r="AQ51" s="626"/>
      <c r="AR51" s="626"/>
      <c r="AS51" s="626"/>
      <c r="AT51" s="626"/>
      <c r="AU51" s="626"/>
      <c r="AV51" s="626"/>
      <c r="AW51" s="626"/>
      <c r="AX51" s="626"/>
      <c r="AY51" s="626"/>
      <c r="AZ51" s="626"/>
      <c r="BA51" s="626"/>
      <c r="BB51" s="588"/>
      <c r="BC51" s="626"/>
      <c r="BD51" s="626"/>
      <c r="BE51" s="626"/>
      <c r="BF51" s="626"/>
      <c r="BG51" s="626"/>
      <c r="BH51" s="626"/>
      <c r="BI51" s="588"/>
      <c r="BJ51" s="626"/>
      <c r="BK51" s="626"/>
      <c r="BL51" s="626"/>
      <c r="BM51" s="626"/>
      <c r="BN51" s="626"/>
      <c r="BO51" s="626"/>
      <c r="BP51" s="588"/>
      <c r="BQ51" s="846"/>
      <c r="BR51" s="850"/>
      <c r="BS51" s="588"/>
      <c r="BT51" s="754"/>
      <c r="BU51" s="588"/>
      <c r="BV51" s="588"/>
      <c r="BW51" s="588"/>
      <c r="BX51" s="588"/>
      <c r="BY51" s="588"/>
      <c r="BZ51" s="588"/>
      <c r="CA51" s="588"/>
      <c r="CB51" s="588"/>
      <c r="CC51" s="865"/>
      <c r="CD51" s="588"/>
      <c r="CE51" s="588"/>
      <c r="CF51" s="588"/>
      <c r="CG51" s="588"/>
      <c r="CH51" s="588"/>
      <c r="CI51" s="588"/>
      <c r="CJ51" s="588"/>
      <c r="CK51" s="588"/>
      <c r="CL51" s="588"/>
      <c r="CM51" s="588"/>
      <c r="CN51" s="588"/>
      <c r="CO51" s="588"/>
      <c r="CP51" s="816"/>
      <c r="CQ51" s="805"/>
      <c r="CR51" s="805"/>
      <c r="CS51" s="830"/>
      <c r="CT51" s="588"/>
      <c r="CU51" s="626"/>
      <c r="CV51" s="626"/>
      <c r="CW51" s="626"/>
      <c r="CX51" s="626"/>
      <c r="CY51" s="626"/>
      <c r="CZ51" s="626"/>
      <c r="DA51" s="626"/>
      <c r="DB51" s="626"/>
      <c r="DC51" s="626"/>
      <c r="DD51" s="626"/>
      <c r="DE51" s="626"/>
      <c r="DF51" s="626"/>
      <c r="DG51" s="626"/>
      <c r="DH51" s="626"/>
      <c r="DI51" s="626"/>
      <c r="DJ51" s="626"/>
      <c r="DK51" s="626"/>
      <c r="DL51" s="626"/>
      <c r="DM51" s="761"/>
      <c r="DN51" s="761"/>
      <c r="DO51" s="761"/>
      <c r="DP51" s="553"/>
      <c r="DQ51" s="553"/>
      <c r="DR51" s="553"/>
      <c r="DS51" s="553"/>
      <c r="DT51" s="553"/>
      <c r="DU51" s="553"/>
      <c r="DV51" s="553"/>
      <c r="DW51" s="553"/>
      <c r="DX51" s="553"/>
      <c r="DY51" s="553"/>
    </row>
    <row r="52" spans="1:129" customFormat="1" ht="24" customHeight="1" x14ac:dyDescent="0.9">
      <c r="A52" s="752"/>
      <c r="B52" s="588"/>
      <c r="C52" s="588"/>
      <c r="D52" s="588"/>
      <c r="E52" s="588"/>
      <c r="F52" s="588"/>
      <c r="G52" s="588"/>
      <c r="H52" s="588"/>
      <c r="I52" s="588"/>
      <c r="J52" s="588"/>
      <c r="K52" s="588"/>
      <c r="L52" s="753"/>
      <c r="M52" s="753"/>
      <c r="N52" s="588"/>
      <c r="O52" s="626"/>
      <c r="P52" s="588"/>
      <c r="Q52" s="626"/>
      <c r="R52" s="588"/>
      <c r="S52" s="588"/>
      <c r="T52" s="588"/>
      <c r="U52" s="588"/>
      <c r="V52" s="588"/>
      <c r="W52" s="588"/>
      <c r="X52" s="588"/>
      <c r="Y52" s="588"/>
      <c r="Z52" s="588"/>
      <c r="AA52" s="588"/>
      <c r="AB52" s="588"/>
      <c r="AC52" s="588"/>
      <c r="AD52" s="588"/>
      <c r="AE52" s="626"/>
      <c r="AF52" s="626"/>
      <c r="AG52" s="626"/>
      <c r="AH52" s="626"/>
      <c r="AI52" s="626"/>
      <c r="AJ52" s="626"/>
      <c r="AK52" s="626"/>
      <c r="AL52" s="626"/>
      <c r="AM52" s="626"/>
      <c r="AN52" s="626"/>
      <c r="AO52" s="626"/>
      <c r="AP52" s="626"/>
      <c r="AQ52" s="626"/>
      <c r="AR52" s="626"/>
      <c r="AS52" s="626"/>
      <c r="AT52" s="626"/>
      <c r="AU52" s="626"/>
      <c r="AV52" s="626"/>
      <c r="AW52" s="626"/>
      <c r="AX52" s="626"/>
      <c r="AY52" s="626"/>
      <c r="AZ52" s="626"/>
      <c r="BA52" s="626"/>
      <c r="BB52" s="588"/>
      <c r="BC52" s="626"/>
      <c r="BD52" s="626"/>
      <c r="BE52" s="626"/>
      <c r="BF52" s="626"/>
      <c r="BG52" s="626"/>
      <c r="BH52" s="626"/>
      <c r="BI52" s="588"/>
      <c r="BJ52" s="626"/>
      <c r="BK52" s="626"/>
      <c r="BL52" s="626"/>
      <c r="BM52" s="626"/>
      <c r="BN52" s="626"/>
      <c r="BO52" s="626"/>
      <c r="BP52" s="588"/>
      <c r="BQ52" s="846"/>
      <c r="BR52" s="850"/>
      <c r="BS52" s="588"/>
      <c r="BT52" s="754"/>
      <c r="BU52" s="588"/>
      <c r="BV52" s="588"/>
      <c r="BW52" s="588"/>
      <c r="BX52" s="588"/>
      <c r="BY52" s="588"/>
      <c r="BZ52" s="588"/>
      <c r="CA52" s="588"/>
      <c r="CB52" s="588"/>
      <c r="CC52" s="865"/>
      <c r="CD52" s="588"/>
      <c r="CE52" s="588"/>
      <c r="CF52" s="588"/>
      <c r="CG52" s="588"/>
      <c r="CH52" s="588"/>
      <c r="CI52" s="588"/>
      <c r="CJ52" s="588"/>
      <c r="CK52" s="588"/>
      <c r="CL52" s="588"/>
      <c r="CM52" s="588"/>
      <c r="CN52" s="588"/>
      <c r="CO52" s="588"/>
      <c r="CP52" s="816"/>
      <c r="CQ52" s="805"/>
      <c r="CR52" s="805"/>
      <c r="CS52" s="830"/>
      <c r="CT52" s="588"/>
      <c r="CU52" s="626"/>
      <c r="CV52" s="626"/>
      <c r="CW52" s="626"/>
      <c r="CX52" s="626"/>
      <c r="CY52" s="626"/>
      <c r="CZ52" s="626"/>
      <c r="DA52" s="626"/>
      <c r="DB52" s="626"/>
      <c r="DC52" s="626"/>
      <c r="DD52" s="626"/>
      <c r="DE52" s="626"/>
      <c r="DF52" s="626"/>
      <c r="DG52" s="626"/>
      <c r="DH52" s="626"/>
      <c r="DI52" s="626"/>
      <c r="DJ52" s="626"/>
      <c r="DK52" s="626"/>
      <c r="DL52" s="626"/>
      <c r="DM52" s="761"/>
      <c r="DN52" s="761"/>
      <c r="DO52" s="761"/>
      <c r="DP52" s="553"/>
      <c r="DQ52" s="553"/>
      <c r="DR52" s="553"/>
      <c r="DS52" s="553"/>
      <c r="DT52" s="553"/>
      <c r="DU52" s="553"/>
      <c r="DV52" s="553"/>
      <c r="DW52" s="553"/>
      <c r="DX52" s="553"/>
      <c r="DY52" s="553"/>
    </row>
    <row r="53" spans="1:129" customFormat="1" ht="24" customHeight="1" x14ac:dyDescent="0.9">
      <c r="A53" s="752"/>
      <c r="B53" s="588"/>
      <c r="C53" s="588"/>
      <c r="D53" s="588"/>
      <c r="E53" s="588"/>
      <c r="F53" s="588"/>
      <c r="G53" s="588"/>
      <c r="H53" s="588"/>
      <c r="I53" s="588"/>
      <c r="J53" s="588"/>
      <c r="K53" s="588"/>
      <c r="L53" s="753"/>
      <c r="M53" s="753"/>
      <c r="N53" s="588"/>
      <c r="O53" s="626"/>
      <c r="P53" s="588"/>
      <c r="Q53" s="626"/>
      <c r="R53" s="588"/>
      <c r="S53" s="588"/>
      <c r="T53" s="588"/>
      <c r="U53" s="588"/>
      <c r="V53" s="588"/>
      <c r="W53" s="588"/>
      <c r="X53" s="588"/>
      <c r="Y53" s="588"/>
      <c r="Z53" s="588"/>
      <c r="AA53" s="588"/>
      <c r="AB53" s="588"/>
      <c r="AC53" s="588"/>
      <c r="AD53" s="588"/>
      <c r="AE53" s="626"/>
      <c r="AF53" s="626"/>
      <c r="AG53" s="626"/>
      <c r="AH53" s="626"/>
      <c r="AI53" s="626"/>
      <c r="AJ53" s="626"/>
      <c r="AK53" s="626"/>
      <c r="AL53" s="626"/>
      <c r="AM53" s="626"/>
      <c r="AN53" s="626"/>
      <c r="AO53" s="626"/>
      <c r="AP53" s="626"/>
      <c r="AQ53" s="626"/>
      <c r="AR53" s="626"/>
      <c r="AS53" s="626"/>
      <c r="AT53" s="626"/>
      <c r="AU53" s="626"/>
      <c r="AV53" s="626"/>
      <c r="AW53" s="626"/>
      <c r="AX53" s="626"/>
      <c r="AY53" s="626"/>
      <c r="AZ53" s="626"/>
      <c r="BA53" s="626"/>
      <c r="BB53" s="588"/>
      <c r="BC53" s="626"/>
      <c r="BD53" s="626"/>
      <c r="BE53" s="626"/>
      <c r="BF53" s="626"/>
      <c r="BG53" s="626"/>
      <c r="BH53" s="626"/>
      <c r="BI53" s="588"/>
      <c r="BJ53" s="626"/>
      <c r="BK53" s="626"/>
      <c r="BL53" s="626"/>
      <c r="BM53" s="626"/>
      <c r="BN53" s="626"/>
      <c r="BO53" s="626"/>
      <c r="BP53" s="588"/>
      <c r="BQ53" s="846"/>
      <c r="BR53" s="850"/>
      <c r="BS53" s="588"/>
      <c r="BT53" s="754"/>
      <c r="BU53" s="588"/>
      <c r="BV53" s="588"/>
      <c r="BW53" s="588"/>
      <c r="BX53" s="588"/>
      <c r="BY53" s="588"/>
      <c r="BZ53" s="588"/>
      <c r="CA53" s="588"/>
      <c r="CB53" s="588"/>
      <c r="CC53" s="865"/>
      <c r="CD53" s="588"/>
      <c r="CE53" s="588"/>
      <c r="CF53" s="588"/>
      <c r="CG53" s="588"/>
      <c r="CH53" s="588"/>
      <c r="CI53" s="588"/>
      <c r="CJ53" s="588"/>
      <c r="CK53" s="588"/>
      <c r="CL53" s="588"/>
      <c r="CM53" s="588"/>
      <c r="CN53" s="588"/>
      <c r="CO53" s="588"/>
      <c r="CP53" s="816"/>
      <c r="CQ53" s="805"/>
      <c r="CR53" s="805"/>
      <c r="CS53" s="830"/>
      <c r="CT53" s="588"/>
      <c r="CU53" s="626"/>
      <c r="CV53" s="626"/>
      <c r="CW53" s="626"/>
      <c r="CX53" s="626"/>
      <c r="CY53" s="626"/>
      <c r="CZ53" s="626"/>
      <c r="DA53" s="626"/>
      <c r="DB53" s="626"/>
      <c r="DC53" s="626"/>
      <c r="DD53" s="626"/>
      <c r="DE53" s="626"/>
      <c r="DF53" s="626"/>
      <c r="DG53" s="626"/>
      <c r="DH53" s="626"/>
      <c r="DI53" s="626"/>
      <c r="DJ53" s="626"/>
      <c r="DK53" s="626"/>
      <c r="DL53" s="626"/>
      <c r="DM53" s="761"/>
      <c r="DN53" s="761"/>
      <c r="DO53" s="761"/>
      <c r="DP53" s="553"/>
      <c r="DQ53" s="553"/>
      <c r="DR53" s="553"/>
      <c r="DS53" s="553"/>
      <c r="DT53" s="553"/>
      <c r="DU53" s="553"/>
      <c r="DV53" s="553"/>
      <c r="DW53" s="553"/>
      <c r="DX53" s="553"/>
      <c r="DY53" s="553"/>
    </row>
    <row r="54" spans="1:129" customFormat="1" ht="24" customHeight="1" x14ac:dyDescent="0.9">
      <c r="A54" s="752"/>
      <c r="B54" s="588"/>
      <c r="C54" s="588"/>
      <c r="D54" s="588"/>
      <c r="E54" s="588"/>
      <c r="F54" s="588"/>
      <c r="G54" s="588"/>
      <c r="H54" s="588"/>
      <c r="I54" s="588"/>
      <c r="J54" s="588"/>
      <c r="K54" s="588"/>
      <c r="L54" s="753"/>
      <c r="M54" s="753"/>
      <c r="N54" s="588"/>
      <c r="O54" s="626"/>
      <c r="P54" s="588"/>
      <c r="Q54" s="626"/>
      <c r="R54" s="588"/>
      <c r="S54" s="588"/>
      <c r="T54" s="588"/>
      <c r="U54" s="588"/>
      <c r="V54" s="588"/>
      <c r="W54" s="588"/>
      <c r="X54" s="588"/>
      <c r="Y54" s="588"/>
      <c r="Z54" s="588"/>
      <c r="AA54" s="588"/>
      <c r="AB54" s="588"/>
      <c r="AC54" s="588"/>
      <c r="AD54" s="588"/>
      <c r="AE54" s="626"/>
      <c r="AF54" s="626"/>
      <c r="AG54" s="626"/>
      <c r="AH54" s="626"/>
      <c r="AI54" s="626"/>
      <c r="AJ54" s="626"/>
      <c r="AK54" s="626"/>
      <c r="AL54" s="626"/>
      <c r="AM54" s="626"/>
      <c r="AN54" s="626"/>
      <c r="AO54" s="626"/>
      <c r="AP54" s="626"/>
      <c r="AQ54" s="626"/>
      <c r="AR54" s="626"/>
      <c r="AS54" s="626"/>
      <c r="AT54" s="626"/>
      <c r="AU54" s="626"/>
      <c r="AV54" s="626"/>
      <c r="AW54" s="626"/>
      <c r="AX54" s="626"/>
      <c r="AY54" s="626"/>
      <c r="AZ54" s="626"/>
      <c r="BA54" s="626"/>
      <c r="BB54" s="588"/>
      <c r="BC54" s="626"/>
      <c r="BD54" s="626"/>
      <c r="BE54" s="626"/>
      <c r="BF54" s="626"/>
      <c r="BG54" s="626"/>
      <c r="BH54" s="626"/>
      <c r="BI54" s="588"/>
      <c r="BJ54" s="626"/>
      <c r="BK54" s="626"/>
      <c r="BL54" s="626"/>
      <c r="BM54" s="626"/>
      <c r="BN54" s="626"/>
      <c r="BO54" s="626"/>
      <c r="BP54" s="588"/>
      <c r="BQ54" s="846"/>
      <c r="BR54" s="850"/>
      <c r="BS54" s="588"/>
      <c r="BT54" s="754"/>
      <c r="BU54" s="588"/>
      <c r="BV54" s="588"/>
      <c r="BW54" s="588"/>
      <c r="BX54" s="588"/>
      <c r="BY54" s="588"/>
      <c r="BZ54" s="588"/>
      <c r="CA54" s="588"/>
      <c r="CB54" s="588"/>
      <c r="CC54" s="865"/>
      <c r="CD54" s="588"/>
      <c r="CE54" s="588"/>
      <c r="CF54" s="588"/>
      <c r="CG54" s="588"/>
      <c r="CH54" s="588"/>
      <c r="CI54" s="588"/>
      <c r="CJ54" s="588"/>
      <c r="CK54" s="588"/>
      <c r="CL54" s="588"/>
      <c r="CM54" s="588"/>
      <c r="CN54" s="588"/>
      <c r="CO54" s="588"/>
      <c r="CP54" s="816"/>
      <c r="CQ54" s="805"/>
      <c r="CR54" s="805"/>
      <c r="CS54" s="830"/>
      <c r="CT54" s="588"/>
      <c r="CU54" s="626"/>
      <c r="CV54" s="626"/>
      <c r="CW54" s="626"/>
      <c r="CX54" s="626"/>
      <c r="CY54" s="626"/>
      <c r="CZ54" s="626"/>
      <c r="DA54" s="626"/>
      <c r="DB54" s="626"/>
      <c r="DC54" s="626"/>
      <c r="DD54" s="626"/>
      <c r="DE54" s="626"/>
      <c r="DF54" s="626"/>
      <c r="DG54" s="626"/>
      <c r="DH54" s="626"/>
      <c r="DI54" s="626"/>
      <c r="DJ54" s="626"/>
      <c r="DK54" s="626"/>
      <c r="DL54" s="626"/>
      <c r="DM54" s="761"/>
      <c r="DN54" s="761"/>
      <c r="DO54" s="761"/>
      <c r="DP54" s="553"/>
      <c r="DQ54" s="553"/>
      <c r="DR54" s="553"/>
      <c r="DS54" s="553"/>
      <c r="DT54" s="553"/>
      <c r="DU54" s="553"/>
      <c r="DV54" s="553"/>
      <c r="DW54" s="553"/>
      <c r="DX54" s="553"/>
      <c r="DY54" s="553"/>
    </row>
    <row r="55" spans="1:129" customFormat="1" ht="24" customHeight="1" x14ac:dyDescent="0.9">
      <c r="A55" s="752"/>
      <c r="B55" s="588"/>
      <c r="C55" s="588"/>
      <c r="D55" s="588"/>
      <c r="E55" s="588"/>
      <c r="F55" s="588"/>
      <c r="G55" s="588"/>
      <c r="H55" s="588"/>
      <c r="I55" s="588"/>
      <c r="J55" s="588"/>
      <c r="K55" s="588"/>
      <c r="L55" s="753"/>
      <c r="M55" s="753"/>
      <c r="N55" s="588"/>
      <c r="O55" s="626"/>
      <c r="P55" s="588"/>
      <c r="Q55" s="626"/>
      <c r="R55" s="588"/>
      <c r="S55" s="588"/>
      <c r="T55" s="588"/>
      <c r="U55" s="588"/>
      <c r="V55" s="588"/>
      <c r="W55" s="588"/>
      <c r="X55" s="588"/>
      <c r="Y55" s="588"/>
      <c r="Z55" s="588"/>
      <c r="AA55" s="588"/>
      <c r="AB55" s="588"/>
      <c r="AC55" s="588"/>
      <c r="AD55" s="588"/>
      <c r="AE55" s="626"/>
      <c r="AF55" s="626"/>
      <c r="AG55" s="626"/>
      <c r="AH55" s="626"/>
      <c r="AI55" s="626"/>
      <c r="AJ55" s="626"/>
      <c r="AK55" s="626"/>
      <c r="AL55" s="626"/>
      <c r="AM55" s="626"/>
      <c r="AN55" s="626"/>
      <c r="AO55" s="626"/>
      <c r="AP55" s="626"/>
      <c r="AQ55" s="626"/>
      <c r="AR55" s="626"/>
      <c r="AS55" s="626"/>
      <c r="AT55" s="626"/>
      <c r="AU55" s="626"/>
      <c r="AV55" s="626"/>
      <c r="AW55" s="626"/>
      <c r="AX55" s="626"/>
      <c r="AY55" s="626"/>
      <c r="AZ55" s="626"/>
      <c r="BA55" s="626"/>
      <c r="BB55" s="588"/>
      <c r="BC55" s="626"/>
      <c r="BD55" s="626"/>
      <c r="BE55" s="626"/>
      <c r="BF55" s="626"/>
      <c r="BG55" s="626"/>
      <c r="BH55" s="626"/>
      <c r="BI55" s="588"/>
      <c r="BJ55" s="626"/>
      <c r="BK55" s="626"/>
      <c r="BL55" s="626"/>
      <c r="BM55" s="626"/>
      <c r="BN55" s="626"/>
      <c r="BO55" s="626"/>
      <c r="BP55" s="588"/>
      <c r="BQ55" s="846"/>
      <c r="BR55" s="850"/>
      <c r="BS55" s="588"/>
      <c r="BT55" s="754"/>
      <c r="BU55" s="588"/>
      <c r="BV55" s="588"/>
      <c r="BW55" s="588"/>
      <c r="BX55" s="588"/>
      <c r="BY55" s="588"/>
      <c r="BZ55" s="588"/>
      <c r="CA55" s="588"/>
      <c r="CB55" s="588"/>
      <c r="CC55" s="865"/>
      <c r="CD55" s="588"/>
      <c r="CE55" s="588"/>
      <c r="CF55" s="588"/>
      <c r="CG55" s="588"/>
      <c r="CH55" s="588"/>
      <c r="CI55" s="588"/>
      <c r="CJ55" s="588"/>
      <c r="CK55" s="588"/>
      <c r="CL55" s="588"/>
      <c r="CM55" s="588"/>
      <c r="CN55" s="588"/>
      <c r="CO55" s="588"/>
      <c r="CP55" s="816"/>
      <c r="CQ55" s="805"/>
      <c r="CR55" s="805"/>
      <c r="CS55" s="830"/>
      <c r="CT55" s="588"/>
      <c r="CU55" s="626"/>
      <c r="CV55" s="626"/>
      <c r="CW55" s="626"/>
      <c r="CX55" s="626"/>
      <c r="CY55" s="626"/>
      <c r="CZ55" s="626"/>
      <c r="DA55" s="626"/>
      <c r="DB55" s="626"/>
      <c r="DC55" s="626"/>
      <c r="DD55" s="626"/>
      <c r="DE55" s="626"/>
      <c r="DF55" s="626"/>
      <c r="DG55" s="626"/>
      <c r="DH55" s="626"/>
      <c r="DI55" s="626"/>
      <c r="DJ55" s="626"/>
      <c r="DK55" s="626"/>
      <c r="DL55" s="626"/>
      <c r="DM55" s="761"/>
      <c r="DN55" s="761"/>
      <c r="DO55" s="761"/>
      <c r="DP55" s="553"/>
      <c r="DQ55" s="553"/>
      <c r="DR55" s="553"/>
      <c r="DS55" s="553"/>
      <c r="DT55" s="553"/>
      <c r="DU55" s="553"/>
      <c r="DV55" s="553"/>
      <c r="DW55" s="553"/>
      <c r="DX55" s="553"/>
      <c r="DY55" s="553"/>
    </row>
    <row r="56" spans="1:129" customFormat="1" ht="24" customHeight="1" x14ac:dyDescent="0.9">
      <c r="A56" s="752"/>
      <c r="B56" s="588"/>
      <c r="C56" s="588"/>
      <c r="D56" s="588"/>
      <c r="E56" s="588"/>
      <c r="F56" s="588"/>
      <c r="G56" s="588"/>
      <c r="H56" s="588"/>
      <c r="I56" s="588"/>
      <c r="J56" s="588"/>
      <c r="K56" s="588"/>
      <c r="L56" s="753"/>
      <c r="M56" s="753"/>
      <c r="N56" s="588"/>
      <c r="O56" s="626"/>
      <c r="P56" s="588"/>
      <c r="Q56" s="626"/>
      <c r="R56" s="588"/>
      <c r="S56" s="588"/>
      <c r="T56" s="588"/>
      <c r="U56" s="588"/>
      <c r="V56" s="588"/>
      <c r="W56" s="588"/>
      <c r="X56" s="588"/>
      <c r="Y56" s="588"/>
      <c r="Z56" s="588"/>
      <c r="AA56" s="588"/>
      <c r="AB56" s="588"/>
      <c r="AC56" s="588"/>
      <c r="AD56" s="588"/>
      <c r="AE56" s="626"/>
      <c r="AF56" s="626"/>
      <c r="AG56" s="626"/>
      <c r="AH56" s="626"/>
      <c r="AI56" s="626"/>
      <c r="AJ56" s="626"/>
      <c r="AK56" s="626"/>
      <c r="AL56" s="626"/>
      <c r="AM56" s="626"/>
      <c r="AN56" s="626"/>
      <c r="AO56" s="626"/>
      <c r="AP56" s="626"/>
      <c r="AQ56" s="626"/>
      <c r="AR56" s="626"/>
      <c r="AS56" s="626"/>
      <c r="AT56" s="626"/>
      <c r="AU56" s="626"/>
      <c r="AV56" s="626"/>
      <c r="AW56" s="626"/>
      <c r="AX56" s="626"/>
      <c r="AY56" s="626"/>
      <c r="AZ56" s="626"/>
      <c r="BA56" s="626"/>
      <c r="BB56" s="588"/>
      <c r="BC56" s="626"/>
      <c r="BD56" s="626"/>
      <c r="BE56" s="626"/>
      <c r="BF56" s="626"/>
      <c r="BG56" s="626"/>
      <c r="BH56" s="626"/>
      <c r="BI56" s="588"/>
      <c r="BJ56" s="626"/>
      <c r="BK56" s="626"/>
      <c r="BL56" s="626"/>
      <c r="BM56" s="626"/>
      <c r="BN56" s="626"/>
      <c r="BO56" s="626"/>
      <c r="BP56" s="588"/>
      <c r="BQ56" s="846"/>
      <c r="BR56" s="850"/>
      <c r="BS56" s="588"/>
      <c r="BT56" s="754"/>
      <c r="BU56" s="588"/>
      <c r="BV56" s="588"/>
      <c r="BW56" s="588"/>
      <c r="BX56" s="588"/>
      <c r="BY56" s="588"/>
      <c r="BZ56" s="588"/>
      <c r="CA56" s="588"/>
      <c r="CB56" s="588"/>
      <c r="CC56" s="865"/>
      <c r="CD56" s="588"/>
      <c r="CE56" s="588"/>
      <c r="CF56" s="588"/>
      <c r="CG56" s="588"/>
      <c r="CH56" s="588"/>
      <c r="CI56" s="588"/>
      <c r="CJ56" s="588"/>
      <c r="CK56" s="588"/>
      <c r="CL56" s="588"/>
      <c r="CM56" s="588"/>
      <c r="CN56" s="588"/>
      <c r="CO56" s="588"/>
      <c r="CP56" s="816"/>
      <c r="CQ56" s="805"/>
      <c r="CR56" s="805"/>
      <c r="CS56" s="830"/>
      <c r="CT56" s="588"/>
      <c r="CU56" s="626"/>
      <c r="CV56" s="626"/>
      <c r="CW56" s="626"/>
      <c r="CX56" s="626"/>
      <c r="CY56" s="626"/>
      <c r="CZ56" s="626"/>
      <c r="DA56" s="626"/>
      <c r="DB56" s="626"/>
      <c r="DC56" s="626"/>
      <c r="DD56" s="626"/>
      <c r="DE56" s="626"/>
      <c r="DF56" s="626"/>
      <c r="DG56" s="626"/>
      <c r="DH56" s="626"/>
      <c r="DI56" s="626"/>
      <c r="DJ56" s="626"/>
      <c r="DK56" s="626"/>
      <c r="DL56" s="626"/>
      <c r="DM56" s="761"/>
      <c r="DN56" s="761"/>
      <c r="DO56" s="761"/>
      <c r="DP56" s="553"/>
      <c r="DQ56" s="553"/>
      <c r="DR56" s="553"/>
      <c r="DS56" s="553"/>
      <c r="DT56" s="553"/>
      <c r="DU56" s="553"/>
      <c r="DV56" s="553"/>
      <c r="DW56" s="553"/>
      <c r="DX56" s="553"/>
      <c r="DY56" s="553"/>
    </row>
    <row r="57" spans="1:129" customFormat="1" ht="24" customHeight="1" x14ac:dyDescent="0.9">
      <c r="A57" s="752"/>
      <c r="B57" s="588"/>
      <c r="C57" s="588"/>
      <c r="D57" s="588"/>
      <c r="E57" s="588"/>
      <c r="F57" s="588"/>
      <c r="G57" s="588"/>
      <c r="H57" s="588"/>
      <c r="I57" s="588"/>
      <c r="J57" s="588"/>
      <c r="K57" s="588"/>
      <c r="L57" s="753"/>
      <c r="M57" s="753"/>
      <c r="N57" s="588"/>
      <c r="O57" s="626"/>
      <c r="P57" s="588"/>
      <c r="Q57" s="626"/>
      <c r="R57" s="588"/>
      <c r="S57" s="588"/>
      <c r="T57" s="588"/>
      <c r="U57" s="588"/>
      <c r="V57" s="588"/>
      <c r="W57" s="588"/>
      <c r="X57" s="588"/>
      <c r="Y57" s="588"/>
      <c r="Z57" s="588"/>
      <c r="AA57" s="588"/>
      <c r="AB57" s="588"/>
      <c r="AC57" s="588"/>
      <c r="AD57" s="588"/>
      <c r="AE57" s="626"/>
      <c r="AF57" s="626"/>
      <c r="AG57" s="626"/>
      <c r="AH57" s="626"/>
      <c r="AI57" s="626"/>
      <c r="AJ57" s="626"/>
      <c r="AK57" s="626"/>
      <c r="AL57" s="626"/>
      <c r="AM57" s="626"/>
      <c r="AN57" s="626"/>
      <c r="AO57" s="626"/>
      <c r="AP57" s="626"/>
      <c r="AQ57" s="626"/>
      <c r="AR57" s="626"/>
      <c r="AS57" s="626"/>
      <c r="AT57" s="626"/>
      <c r="AU57" s="626"/>
      <c r="AV57" s="626"/>
      <c r="AW57" s="626"/>
      <c r="AX57" s="626"/>
      <c r="AY57" s="626"/>
      <c r="AZ57" s="626"/>
      <c r="BA57" s="626"/>
      <c r="BB57" s="588"/>
      <c r="BC57" s="626"/>
      <c r="BD57" s="626"/>
      <c r="BE57" s="626"/>
      <c r="BF57" s="626"/>
      <c r="BG57" s="626"/>
      <c r="BH57" s="626"/>
      <c r="BI57" s="588"/>
      <c r="BJ57" s="626"/>
      <c r="BK57" s="626"/>
      <c r="BL57" s="626"/>
      <c r="BM57" s="626"/>
      <c r="BN57" s="626"/>
      <c r="BO57" s="626"/>
      <c r="BP57" s="588"/>
      <c r="BQ57" s="846"/>
      <c r="BR57" s="850"/>
      <c r="BS57" s="588"/>
      <c r="BT57" s="754"/>
      <c r="BU57" s="588"/>
      <c r="BV57" s="588"/>
      <c r="BW57" s="588"/>
      <c r="BX57" s="588"/>
      <c r="BY57" s="588"/>
      <c r="BZ57" s="588"/>
      <c r="CA57" s="588"/>
      <c r="CB57" s="588"/>
      <c r="CC57" s="865"/>
      <c r="CD57" s="588"/>
      <c r="CE57" s="588"/>
      <c r="CF57" s="588"/>
      <c r="CG57" s="588"/>
      <c r="CH57" s="588"/>
      <c r="CI57" s="588"/>
      <c r="CJ57" s="588"/>
      <c r="CK57" s="588"/>
      <c r="CL57" s="588"/>
      <c r="CM57" s="588"/>
      <c r="CN57" s="588"/>
      <c r="CO57" s="588"/>
      <c r="CP57" s="816"/>
      <c r="CQ57" s="805"/>
      <c r="CR57" s="805"/>
      <c r="CS57" s="830"/>
      <c r="CT57" s="588"/>
      <c r="CU57" s="626"/>
      <c r="CV57" s="626"/>
      <c r="CW57" s="626"/>
      <c r="CX57" s="626"/>
      <c r="CY57" s="626"/>
      <c r="CZ57" s="626"/>
      <c r="DA57" s="626"/>
      <c r="DB57" s="626"/>
      <c r="DC57" s="626"/>
      <c r="DD57" s="626"/>
      <c r="DE57" s="626"/>
      <c r="DF57" s="626"/>
      <c r="DG57" s="626"/>
      <c r="DH57" s="626"/>
      <c r="DI57" s="626"/>
      <c r="DJ57" s="626"/>
      <c r="DK57" s="626"/>
      <c r="DL57" s="626"/>
      <c r="DM57" s="761"/>
      <c r="DN57" s="761"/>
      <c r="DO57" s="761"/>
      <c r="DP57" s="553"/>
      <c r="DQ57" s="553"/>
      <c r="DR57" s="553"/>
      <c r="DS57" s="553"/>
      <c r="DT57" s="553"/>
      <c r="DU57" s="553"/>
      <c r="DV57" s="553"/>
      <c r="DW57" s="553"/>
      <c r="DX57" s="553"/>
      <c r="DY57" s="553"/>
    </row>
    <row r="58" spans="1:129" customFormat="1" ht="24" customHeight="1" x14ac:dyDescent="0.9">
      <c r="A58" s="752"/>
      <c r="B58" s="588"/>
      <c r="C58" s="588"/>
      <c r="D58" s="588"/>
      <c r="E58" s="588"/>
      <c r="F58" s="588"/>
      <c r="G58" s="588"/>
      <c r="H58" s="588"/>
      <c r="I58" s="588"/>
      <c r="J58" s="588"/>
      <c r="K58" s="588"/>
      <c r="L58" s="753"/>
      <c r="M58" s="753"/>
      <c r="N58" s="588"/>
      <c r="O58" s="626"/>
      <c r="P58" s="588"/>
      <c r="Q58" s="626"/>
      <c r="R58" s="588"/>
      <c r="S58" s="588"/>
      <c r="T58" s="588"/>
      <c r="U58" s="588"/>
      <c r="V58" s="588"/>
      <c r="W58" s="588"/>
      <c r="X58" s="588"/>
      <c r="Y58" s="588"/>
      <c r="Z58" s="588"/>
      <c r="AA58" s="588"/>
      <c r="AB58" s="588"/>
      <c r="AC58" s="588"/>
      <c r="AD58" s="588"/>
      <c r="AE58" s="626"/>
      <c r="AF58" s="626"/>
      <c r="AG58" s="626"/>
      <c r="AH58" s="626"/>
      <c r="AI58" s="626"/>
      <c r="AJ58" s="626"/>
      <c r="AK58" s="626"/>
      <c r="AL58" s="626"/>
      <c r="AM58" s="626"/>
      <c r="AN58" s="626"/>
      <c r="AO58" s="626"/>
      <c r="AP58" s="626"/>
      <c r="AQ58" s="626"/>
      <c r="AR58" s="626"/>
      <c r="AS58" s="626"/>
      <c r="AT58" s="626"/>
      <c r="AU58" s="626"/>
      <c r="AV58" s="626"/>
      <c r="AW58" s="626"/>
      <c r="AX58" s="626"/>
      <c r="AY58" s="626"/>
      <c r="AZ58" s="626"/>
      <c r="BA58" s="626"/>
      <c r="BB58" s="588"/>
      <c r="BC58" s="626"/>
      <c r="BD58" s="626"/>
      <c r="BE58" s="626"/>
      <c r="BF58" s="626"/>
      <c r="BG58" s="626"/>
      <c r="BH58" s="626"/>
      <c r="BI58" s="588"/>
      <c r="BJ58" s="626"/>
      <c r="BK58" s="626"/>
      <c r="BL58" s="626"/>
      <c r="BM58" s="626"/>
      <c r="BN58" s="626"/>
      <c r="BO58" s="626"/>
      <c r="BP58" s="588"/>
      <c r="BQ58" s="846"/>
      <c r="BR58" s="850"/>
      <c r="BS58" s="588"/>
      <c r="BT58" s="754"/>
      <c r="BU58" s="588"/>
      <c r="BV58" s="588"/>
      <c r="BW58" s="588"/>
      <c r="BX58" s="588"/>
      <c r="BY58" s="588"/>
      <c r="BZ58" s="588"/>
      <c r="CA58" s="588"/>
      <c r="CB58" s="588"/>
      <c r="CC58" s="865"/>
      <c r="CD58" s="588"/>
      <c r="CE58" s="588"/>
      <c r="CF58" s="588"/>
      <c r="CG58" s="588"/>
      <c r="CH58" s="588"/>
      <c r="CI58" s="588"/>
      <c r="CJ58" s="588"/>
      <c r="CK58" s="588"/>
      <c r="CL58" s="588"/>
      <c r="CM58" s="588"/>
      <c r="CN58" s="588"/>
      <c r="CO58" s="588"/>
      <c r="CP58" s="816"/>
      <c r="CQ58" s="805"/>
      <c r="CR58" s="805"/>
      <c r="CS58" s="830"/>
      <c r="CT58" s="588"/>
      <c r="CU58" s="626"/>
      <c r="CV58" s="626"/>
      <c r="CW58" s="626"/>
      <c r="CX58" s="626"/>
      <c r="CY58" s="626"/>
      <c r="CZ58" s="626"/>
      <c r="DA58" s="626"/>
      <c r="DB58" s="626"/>
      <c r="DC58" s="626"/>
      <c r="DD58" s="626"/>
      <c r="DE58" s="626"/>
      <c r="DF58" s="626"/>
      <c r="DG58" s="626"/>
      <c r="DH58" s="626"/>
      <c r="DI58" s="626"/>
      <c r="DJ58" s="626"/>
      <c r="DK58" s="626"/>
      <c r="DL58" s="626"/>
      <c r="DM58" s="761"/>
      <c r="DN58" s="761"/>
      <c r="DO58" s="761"/>
      <c r="DP58" s="553"/>
      <c r="DQ58" s="553"/>
      <c r="DR58" s="553"/>
      <c r="DS58" s="553"/>
      <c r="DT58" s="553"/>
      <c r="DU58" s="553"/>
      <c r="DV58" s="553"/>
      <c r="DW58" s="553"/>
      <c r="DX58" s="553"/>
      <c r="DY58" s="553"/>
    </row>
    <row r="59" spans="1:129" customFormat="1" ht="24" customHeight="1" x14ac:dyDescent="0.9">
      <c r="A59" s="752"/>
      <c r="B59" s="588"/>
      <c r="C59" s="588"/>
      <c r="D59" s="588"/>
      <c r="E59" s="588"/>
      <c r="F59" s="588"/>
      <c r="G59" s="588"/>
      <c r="H59" s="588"/>
      <c r="I59" s="588"/>
      <c r="J59" s="588"/>
      <c r="K59" s="588"/>
      <c r="L59" s="753"/>
      <c r="M59" s="753"/>
      <c r="N59" s="588"/>
      <c r="O59" s="626"/>
      <c r="P59" s="588"/>
      <c r="Q59" s="626"/>
      <c r="R59" s="588"/>
      <c r="S59" s="588"/>
      <c r="T59" s="588"/>
      <c r="U59" s="588"/>
      <c r="V59" s="588"/>
      <c r="W59" s="588"/>
      <c r="X59" s="588"/>
      <c r="Y59" s="588"/>
      <c r="Z59" s="588"/>
      <c r="AA59" s="588"/>
      <c r="AB59" s="588"/>
      <c r="AC59" s="588"/>
      <c r="AD59" s="588"/>
      <c r="AE59" s="626"/>
      <c r="AF59" s="626"/>
      <c r="AG59" s="626"/>
      <c r="AH59" s="626"/>
      <c r="AI59" s="626"/>
      <c r="AJ59" s="626"/>
      <c r="AK59" s="626"/>
      <c r="AL59" s="626"/>
      <c r="AM59" s="626"/>
      <c r="AN59" s="626"/>
      <c r="AO59" s="626"/>
      <c r="AP59" s="626"/>
      <c r="AQ59" s="626"/>
      <c r="AR59" s="626"/>
      <c r="AS59" s="626"/>
      <c r="AT59" s="626"/>
      <c r="AU59" s="626"/>
      <c r="AV59" s="626"/>
      <c r="AW59" s="626"/>
      <c r="AX59" s="626"/>
      <c r="AY59" s="626"/>
      <c r="AZ59" s="626"/>
      <c r="BA59" s="626"/>
      <c r="BB59" s="588"/>
      <c r="BC59" s="626"/>
      <c r="BD59" s="626"/>
      <c r="BE59" s="626"/>
      <c r="BF59" s="626"/>
      <c r="BG59" s="626"/>
      <c r="BH59" s="626"/>
      <c r="BI59" s="588"/>
      <c r="BJ59" s="626"/>
      <c r="BK59" s="626"/>
      <c r="BL59" s="626"/>
      <c r="BM59" s="626"/>
      <c r="BN59" s="626"/>
      <c r="BO59" s="626"/>
      <c r="BP59" s="588"/>
      <c r="BQ59" s="846"/>
      <c r="BR59" s="850"/>
      <c r="BS59" s="588"/>
      <c r="BT59" s="754"/>
      <c r="BU59" s="588"/>
      <c r="BV59" s="588"/>
      <c r="BW59" s="588"/>
      <c r="BX59" s="588"/>
      <c r="BY59" s="588"/>
      <c r="BZ59" s="588"/>
      <c r="CA59" s="588"/>
      <c r="CB59" s="588"/>
      <c r="CC59" s="865"/>
      <c r="CD59" s="588"/>
      <c r="CE59" s="588"/>
      <c r="CF59" s="588"/>
      <c r="CG59" s="588"/>
      <c r="CH59" s="588"/>
      <c r="CI59" s="588"/>
      <c r="CJ59" s="588"/>
      <c r="CK59" s="588"/>
      <c r="CL59" s="588"/>
      <c r="CM59" s="588"/>
      <c r="CN59" s="588"/>
      <c r="CO59" s="588"/>
      <c r="CP59" s="816"/>
      <c r="CQ59" s="805"/>
      <c r="CR59" s="805"/>
      <c r="CS59" s="830"/>
      <c r="CT59" s="588"/>
      <c r="CU59" s="626"/>
      <c r="CV59" s="626"/>
      <c r="CW59" s="626"/>
      <c r="CX59" s="626"/>
      <c r="CY59" s="626"/>
      <c r="CZ59" s="626"/>
      <c r="DA59" s="626"/>
      <c r="DB59" s="626"/>
      <c r="DC59" s="626"/>
      <c r="DD59" s="626"/>
      <c r="DE59" s="626"/>
      <c r="DF59" s="626"/>
      <c r="DG59" s="626"/>
      <c r="DH59" s="626"/>
      <c r="DI59" s="626"/>
      <c r="DJ59" s="626"/>
      <c r="DK59" s="626"/>
      <c r="DL59" s="626"/>
      <c r="DM59" s="761"/>
      <c r="DN59" s="761"/>
      <c r="DO59" s="761"/>
      <c r="DP59" s="553"/>
      <c r="DQ59" s="553"/>
      <c r="DR59" s="553"/>
      <c r="DS59" s="553"/>
      <c r="DT59" s="553"/>
      <c r="DU59" s="553"/>
      <c r="DV59" s="553"/>
      <c r="DW59" s="553"/>
      <c r="DX59" s="553"/>
      <c r="DY59" s="553"/>
    </row>
    <row r="60" spans="1:129" customFormat="1" ht="24" customHeight="1" x14ac:dyDescent="0.9">
      <c r="A60" s="752"/>
      <c r="B60" s="588"/>
      <c r="C60" s="588"/>
      <c r="D60" s="588"/>
      <c r="E60" s="588"/>
      <c r="F60" s="588"/>
      <c r="G60" s="588"/>
      <c r="H60" s="588"/>
      <c r="I60" s="588"/>
      <c r="J60" s="588"/>
      <c r="K60" s="588"/>
      <c r="L60" s="753"/>
      <c r="M60" s="753"/>
      <c r="N60" s="588"/>
      <c r="O60" s="626"/>
      <c r="P60" s="588"/>
      <c r="Q60" s="626"/>
      <c r="R60" s="588"/>
      <c r="S60" s="588"/>
      <c r="T60" s="588"/>
      <c r="U60" s="588"/>
      <c r="V60" s="588"/>
      <c r="W60" s="588"/>
      <c r="X60" s="588"/>
      <c r="Y60" s="588"/>
      <c r="Z60" s="588"/>
      <c r="AA60" s="588"/>
      <c r="AB60" s="588"/>
      <c r="AC60" s="588"/>
      <c r="AD60" s="588"/>
      <c r="AE60" s="626"/>
      <c r="AF60" s="626"/>
      <c r="AG60" s="626"/>
      <c r="AH60" s="626"/>
      <c r="AI60" s="626"/>
      <c r="AJ60" s="626"/>
      <c r="AK60" s="626"/>
      <c r="AL60" s="626"/>
      <c r="AM60" s="626"/>
      <c r="AN60" s="626"/>
      <c r="AO60" s="626"/>
      <c r="AP60" s="626"/>
      <c r="AQ60" s="626"/>
      <c r="AR60" s="626"/>
      <c r="AS60" s="626"/>
      <c r="AT60" s="626"/>
      <c r="AU60" s="626"/>
      <c r="AV60" s="626"/>
      <c r="AW60" s="626"/>
      <c r="AX60" s="626"/>
      <c r="AY60" s="626"/>
      <c r="AZ60" s="626"/>
      <c r="BA60" s="626"/>
      <c r="BB60" s="588"/>
      <c r="BC60" s="626"/>
      <c r="BD60" s="626"/>
      <c r="BE60" s="626"/>
      <c r="BF60" s="626"/>
      <c r="BG60" s="626"/>
      <c r="BH60" s="626"/>
      <c r="BI60" s="588"/>
      <c r="BJ60" s="626"/>
      <c r="BK60" s="626"/>
      <c r="BL60" s="626"/>
      <c r="BM60" s="626"/>
      <c r="BN60" s="626"/>
      <c r="BO60" s="626"/>
      <c r="BP60" s="588"/>
      <c r="BQ60" s="846"/>
      <c r="BR60" s="850"/>
      <c r="BS60" s="588"/>
      <c r="BT60" s="754"/>
      <c r="BU60" s="588"/>
      <c r="BV60" s="588"/>
      <c r="BW60" s="588"/>
      <c r="BX60" s="588"/>
      <c r="BY60" s="588"/>
      <c r="BZ60" s="588"/>
      <c r="CA60" s="588"/>
      <c r="CB60" s="588"/>
      <c r="CC60" s="865"/>
      <c r="CD60" s="588"/>
      <c r="CE60" s="588"/>
      <c r="CF60" s="588"/>
      <c r="CG60" s="588"/>
      <c r="CH60" s="588"/>
      <c r="CI60" s="588"/>
      <c r="CJ60" s="588"/>
      <c r="CK60" s="588"/>
      <c r="CL60" s="588"/>
      <c r="CM60" s="588"/>
      <c r="CN60" s="588"/>
      <c r="CO60" s="588"/>
      <c r="CP60" s="816"/>
      <c r="CQ60" s="805"/>
      <c r="CR60" s="805"/>
      <c r="CS60" s="830"/>
      <c r="CT60" s="588"/>
      <c r="CU60" s="626"/>
      <c r="CV60" s="626"/>
      <c r="CW60" s="626"/>
      <c r="CX60" s="626"/>
      <c r="CY60" s="626"/>
      <c r="CZ60" s="626"/>
      <c r="DA60" s="626"/>
      <c r="DB60" s="626"/>
      <c r="DC60" s="626"/>
      <c r="DD60" s="626"/>
      <c r="DE60" s="626"/>
      <c r="DF60" s="626"/>
      <c r="DG60" s="626"/>
      <c r="DH60" s="626"/>
      <c r="DI60" s="626"/>
      <c r="DJ60" s="626"/>
      <c r="DK60" s="626"/>
      <c r="DL60" s="626"/>
      <c r="DM60" s="761"/>
      <c r="DN60" s="761"/>
      <c r="DO60" s="761"/>
      <c r="DP60" s="553"/>
      <c r="DQ60" s="553"/>
      <c r="DR60" s="553"/>
      <c r="DS60" s="553"/>
      <c r="DT60" s="553"/>
      <c r="DU60" s="553"/>
      <c r="DV60" s="553"/>
      <c r="DW60" s="553"/>
      <c r="DX60" s="553"/>
      <c r="DY60" s="553"/>
    </row>
    <row r="61" spans="1:129" customFormat="1" ht="24" customHeight="1" x14ac:dyDescent="0.9">
      <c r="A61" s="752"/>
      <c r="B61" s="588"/>
      <c r="C61" s="588"/>
      <c r="D61" s="588"/>
      <c r="E61" s="588"/>
      <c r="F61" s="588"/>
      <c r="G61" s="588"/>
      <c r="H61" s="588"/>
      <c r="I61" s="588"/>
      <c r="J61" s="588"/>
      <c r="K61" s="588"/>
      <c r="L61" s="753"/>
      <c r="M61" s="753"/>
      <c r="N61" s="588"/>
      <c r="O61" s="626"/>
      <c r="P61" s="588"/>
      <c r="Q61" s="626"/>
      <c r="R61" s="588"/>
      <c r="S61" s="588"/>
      <c r="T61" s="588"/>
      <c r="U61" s="588"/>
      <c r="V61" s="588"/>
      <c r="W61" s="588"/>
      <c r="X61" s="588"/>
      <c r="Y61" s="588"/>
      <c r="Z61" s="588"/>
      <c r="AA61" s="588"/>
      <c r="AB61" s="588"/>
      <c r="AC61" s="588"/>
      <c r="AD61" s="588"/>
      <c r="AE61" s="626"/>
      <c r="AF61" s="626"/>
      <c r="AG61" s="626"/>
      <c r="AH61" s="626"/>
      <c r="AI61" s="626"/>
      <c r="AJ61" s="626"/>
      <c r="AK61" s="626"/>
      <c r="AL61" s="626"/>
      <c r="AM61" s="626"/>
      <c r="AN61" s="626"/>
      <c r="AO61" s="626"/>
      <c r="AP61" s="626"/>
      <c r="AQ61" s="626"/>
      <c r="AR61" s="626"/>
      <c r="AS61" s="626"/>
      <c r="AT61" s="626"/>
      <c r="AU61" s="626"/>
      <c r="AV61" s="626"/>
      <c r="AW61" s="626"/>
      <c r="AX61" s="626"/>
      <c r="AY61" s="626"/>
      <c r="AZ61" s="626"/>
      <c r="BA61" s="626"/>
      <c r="BB61" s="588"/>
      <c r="BC61" s="626"/>
      <c r="BD61" s="626"/>
      <c r="BE61" s="626"/>
      <c r="BF61" s="626"/>
      <c r="BG61" s="626"/>
      <c r="BH61" s="626"/>
      <c r="BI61" s="588"/>
      <c r="BJ61" s="626"/>
      <c r="BK61" s="626"/>
      <c r="BL61" s="626"/>
      <c r="BM61" s="626"/>
      <c r="BN61" s="626"/>
      <c r="BO61" s="626"/>
      <c r="BP61" s="588"/>
      <c r="BQ61" s="846"/>
      <c r="BR61" s="850"/>
      <c r="BS61" s="588"/>
      <c r="BT61" s="754"/>
      <c r="BU61" s="588"/>
      <c r="BV61" s="588"/>
      <c r="BW61" s="588"/>
      <c r="BX61" s="588"/>
      <c r="BY61" s="588"/>
      <c r="BZ61" s="588"/>
      <c r="CA61" s="588"/>
      <c r="CB61" s="588"/>
      <c r="CC61" s="865"/>
      <c r="CD61" s="588"/>
      <c r="CE61" s="588"/>
      <c r="CF61" s="588"/>
      <c r="CG61" s="588"/>
      <c r="CH61" s="588"/>
      <c r="CI61" s="588"/>
      <c r="CJ61" s="588"/>
      <c r="CK61" s="588"/>
      <c r="CL61" s="588"/>
      <c r="CM61" s="588"/>
      <c r="CN61" s="588"/>
      <c r="CO61" s="588"/>
      <c r="CP61" s="816"/>
      <c r="CQ61" s="805"/>
      <c r="CR61" s="805"/>
      <c r="CS61" s="830"/>
      <c r="CT61" s="588"/>
      <c r="CU61" s="626"/>
      <c r="CV61" s="626"/>
      <c r="CW61" s="626"/>
      <c r="CX61" s="626"/>
      <c r="CY61" s="626"/>
      <c r="CZ61" s="626"/>
      <c r="DA61" s="626"/>
      <c r="DB61" s="626"/>
      <c r="DC61" s="626"/>
      <c r="DD61" s="626"/>
      <c r="DE61" s="626"/>
      <c r="DF61" s="626"/>
      <c r="DG61" s="626"/>
      <c r="DH61" s="626"/>
      <c r="DI61" s="626"/>
      <c r="DJ61" s="626"/>
      <c r="DK61" s="626"/>
      <c r="DL61" s="626"/>
      <c r="DM61" s="761"/>
      <c r="DN61" s="761"/>
      <c r="DO61" s="761"/>
      <c r="DP61" s="553"/>
      <c r="DQ61" s="553"/>
      <c r="DR61" s="553"/>
      <c r="DS61" s="553"/>
      <c r="DT61" s="553"/>
      <c r="DU61" s="553"/>
      <c r="DV61" s="553"/>
      <c r="DW61" s="553"/>
      <c r="DX61" s="553"/>
      <c r="DY61" s="553"/>
    </row>
    <row r="62" spans="1:129" customFormat="1" ht="24" customHeight="1" x14ac:dyDescent="0.9">
      <c r="A62" s="725"/>
      <c r="B62" s="588"/>
      <c r="C62" s="588"/>
      <c r="D62" s="588"/>
      <c r="E62" s="588"/>
      <c r="F62" s="588"/>
      <c r="G62" s="588"/>
      <c r="H62" s="588"/>
      <c r="I62" s="588"/>
      <c r="J62" s="588"/>
      <c r="K62" s="588"/>
      <c r="L62" s="753"/>
      <c r="M62" s="753"/>
      <c r="N62" s="588"/>
      <c r="O62" s="626"/>
      <c r="P62" s="588"/>
      <c r="Q62" s="626"/>
      <c r="R62" s="588"/>
      <c r="S62" s="588"/>
      <c r="T62" s="588"/>
      <c r="U62" s="588"/>
      <c r="V62" s="588"/>
      <c r="W62" s="588"/>
      <c r="X62" s="588"/>
      <c r="Y62" s="588"/>
      <c r="Z62" s="588"/>
      <c r="AA62" s="588"/>
      <c r="AB62" s="588"/>
      <c r="AC62" s="588"/>
      <c r="AD62" s="588"/>
      <c r="AE62" s="626"/>
      <c r="AF62" s="626"/>
      <c r="AG62" s="626"/>
      <c r="AH62" s="626"/>
      <c r="AI62" s="626"/>
      <c r="AJ62" s="626"/>
      <c r="AK62" s="626"/>
      <c r="AL62" s="626"/>
      <c r="AM62" s="626"/>
      <c r="AN62" s="626"/>
      <c r="AO62" s="626"/>
      <c r="AP62" s="626"/>
      <c r="AQ62" s="626"/>
      <c r="AR62" s="626"/>
      <c r="AS62" s="626"/>
      <c r="AT62" s="626"/>
      <c r="AU62" s="626"/>
      <c r="AV62" s="626"/>
      <c r="AW62" s="626"/>
      <c r="AX62" s="626"/>
      <c r="AY62" s="626"/>
      <c r="AZ62" s="626"/>
      <c r="BA62" s="626"/>
      <c r="BB62" s="588"/>
      <c r="BC62" s="626"/>
      <c r="BD62" s="626"/>
      <c r="BE62" s="626"/>
      <c r="BF62" s="626"/>
      <c r="BG62" s="626"/>
      <c r="BH62" s="626"/>
      <c r="BI62" s="588"/>
      <c r="BJ62" s="626"/>
      <c r="BK62" s="626"/>
      <c r="BL62" s="626"/>
      <c r="BM62" s="626"/>
      <c r="BN62" s="626"/>
      <c r="BO62" s="626"/>
      <c r="BP62" s="588"/>
      <c r="BQ62" s="846"/>
      <c r="BR62" s="850"/>
      <c r="BS62" s="588"/>
      <c r="BT62" s="754"/>
      <c r="BU62" s="588"/>
      <c r="BV62" s="588"/>
      <c r="BW62" s="588"/>
      <c r="BX62" s="588"/>
      <c r="BY62" s="588"/>
      <c r="BZ62" s="588"/>
      <c r="CA62" s="588"/>
      <c r="CB62" s="588"/>
      <c r="CC62" s="865"/>
      <c r="CD62" s="588"/>
      <c r="CE62" s="588"/>
      <c r="CF62" s="588"/>
      <c r="CG62" s="588"/>
      <c r="CH62" s="588"/>
      <c r="CI62" s="588"/>
      <c r="CJ62" s="588"/>
      <c r="CK62" s="588"/>
      <c r="CL62" s="588"/>
      <c r="CM62" s="588"/>
      <c r="CN62" s="588"/>
      <c r="CO62" s="588"/>
      <c r="CP62" s="816"/>
      <c r="CQ62" s="805"/>
      <c r="CR62" s="805"/>
      <c r="CS62" s="830"/>
      <c r="CT62" s="588"/>
      <c r="CU62" s="626"/>
      <c r="CV62" s="626"/>
      <c r="CW62" s="626"/>
      <c r="CX62" s="626"/>
      <c r="CY62" s="626"/>
      <c r="CZ62" s="626"/>
      <c r="DA62" s="626"/>
      <c r="DB62" s="626"/>
      <c r="DC62" s="626"/>
      <c r="DD62" s="626"/>
      <c r="DE62" s="626"/>
      <c r="DF62" s="626"/>
      <c r="DG62" s="626"/>
      <c r="DH62" s="626"/>
      <c r="DI62" s="626"/>
      <c r="DJ62" s="626"/>
      <c r="DK62" s="626"/>
      <c r="DL62" s="626"/>
      <c r="DM62" s="761"/>
      <c r="DN62" s="761"/>
      <c r="DO62" s="761"/>
      <c r="DP62" s="553"/>
      <c r="DQ62" s="553"/>
      <c r="DR62" s="553"/>
      <c r="DS62" s="553"/>
      <c r="DT62" s="553"/>
      <c r="DU62" s="553"/>
      <c r="DV62" s="553"/>
      <c r="DW62" s="553"/>
      <c r="DX62" s="553"/>
      <c r="DY62" s="553"/>
    </row>
    <row r="63" spans="1:129" customFormat="1" ht="24" customHeight="1" x14ac:dyDescent="0.9">
      <c r="A63" s="752"/>
      <c r="B63" s="588"/>
      <c r="C63" s="588"/>
      <c r="D63" s="588"/>
      <c r="E63" s="588"/>
      <c r="F63" s="588"/>
      <c r="G63" s="588"/>
      <c r="H63" s="588"/>
      <c r="I63" s="588"/>
      <c r="J63" s="588"/>
      <c r="K63" s="588"/>
      <c r="L63" s="753"/>
      <c r="M63" s="753"/>
      <c r="N63" s="588"/>
      <c r="O63" s="626"/>
      <c r="P63" s="588"/>
      <c r="Q63" s="626"/>
      <c r="R63" s="588"/>
      <c r="S63" s="588"/>
      <c r="T63" s="588"/>
      <c r="U63" s="588"/>
      <c r="V63" s="588"/>
      <c r="W63" s="588"/>
      <c r="X63" s="588"/>
      <c r="Y63" s="588"/>
      <c r="Z63" s="588"/>
      <c r="AA63" s="588"/>
      <c r="AB63" s="588"/>
      <c r="AC63" s="588"/>
      <c r="AD63" s="588"/>
      <c r="AE63" s="626"/>
      <c r="AF63" s="626"/>
      <c r="AG63" s="626"/>
      <c r="AH63" s="626"/>
      <c r="AI63" s="626"/>
      <c r="AJ63" s="626"/>
      <c r="AK63" s="626"/>
      <c r="AL63" s="626"/>
      <c r="AM63" s="626"/>
      <c r="AN63" s="626"/>
      <c r="AO63" s="626"/>
      <c r="AP63" s="626"/>
      <c r="AQ63" s="626"/>
      <c r="AR63" s="626"/>
      <c r="AS63" s="626"/>
      <c r="AT63" s="626"/>
      <c r="AU63" s="626"/>
      <c r="AV63" s="626"/>
      <c r="AW63" s="626"/>
      <c r="AX63" s="626"/>
      <c r="AY63" s="626"/>
      <c r="AZ63" s="626"/>
      <c r="BA63" s="626"/>
      <c r="BB63" s="588"/>
      <c r="BC63" s="626"/>
      <c r="BD63" s="626"/>
      <c r="BE63" s="626"/>
      <c r="BF63" s="626"/>
      <c r="BG63" s="626"/>
      <c r="BH63" s="626"/>
      <c r="BI63" s="588"/>
      <c r="BJ63" s="626"/>
      <c r="BK63" s="626"/>
      <c r="BL63" s="626"/>
      <c r="BM63" s="626"/>
      <c r="BN63" s="626"/>
      <c r="BO63" s="626"/>
      <c r="BP63" s="588"/>
      <c r="BQ63" s="846"/>
      <c r="BR63" s="850"/>
      <c r="BS63" s="588"/>
      <c r="BT63" s="754"/>
      <c r="BU63" s="588"/>
      <c r="BV63" s="588"/>
      <c r="BW63" s="588"/>
      <c r="BX63" s="588"/>
      <c r="BY63" s="588"/>
      <c r="BZ63" s="588"/>
      <c r="CA63" s="588"/>
      <c r="CB63" s="588"/>
      <c r="CC63" s="865"/>
      <c r="CD63" s="588"/>
      <c r="CE63" s="588"/>
      <c r="CF63" s="588"/>
      <c r="CG63" s="588"/>
      <c r="CH63" s="588"/>
      <c r="CI63" s="588"/>
      <c r="CJ63" s="588"/>
      <c r="CK63" s="588"/>
      <c r="CL63" s="588"/>
      <c r="CM63" s="588"/>
      <c r="CN63" s="588"/>
      <c r="CO63" s="588"/>
      <c r="CP63" s="816"/>
      <c r="CQ63" s="805"/>
      <c r="CR63" s="805"/>
      <c r="CS63" s="830"/>
      <c r="CT63" s="588"/>
      <c r="CU63" s="626"/>
      <c r="CV63" s="626"/>
      <c r="CW63" s="626"/>
      <c r="CX63" s="626"/>
      <c r="CY63" s="626"/>
      <c r="CZ63" s="626"/>
      <c r="DA63" s="626"/>
      <c r="DB63" s="626"/>
      <c r="DC63" s="626"/>
      <c r="DD63" s="626"/>
      <c r="DE63" s="626"/>
      <c r="DF63" s="626"/>
      <c r="DG63" s="626"/>
      <c r="DH63" s="626"/>
      <c r="DI63" s="626"/>
      <c r="DJ63" s="626"/>
      <c r="DK63" s="626"/>
      <c r="DL63" s="626"/>
      <c r="DM63" s="761"/>
      <c r="DN63" s="761"/>
      <c r="DO63" s="761"/>
      <c r="DP63" s="553"/>
      <c r="DQ63" s="553"/>
      <c r="DR63" s="553"/>
      <c r="DS63" s="553"/>
      <c r="DT63" s="553"/>
      <c r="DU63" s="553"/>
      <c r="DV63" s="553"/>
      <c r="DW63" s="553"/>
      <c r="DX63" s="553"/>
      <c r="DY63" s="553"/>
    </row>
    <row r="64" spans="1:129" customFormat="1" ht="24" customHeight="1" x14ac:dyDescent="0.9">
      <c r="A64" s="752"/>
      <c r="B64" s="588"/>
      <c r="C64" s="588"/>
      <c r="D64" s="588"/>
      <c r="E64" s="588"/>
      <c r="F64" s="588"/>
      <c r="G64" s="588"/>
      <c r="H64" s="588"/>
      <c r="I64" s="588"/>
      <c r="J64" s="588"/>
      <c r="K64" s="588"/>
      <c r="L64" s="753"/>
      <c r="M64" s="753"/>
      <c r="N64" s="588"/>
      <c r="O64" s="626"/>
      <c r="P64" s="588"/>
      <c r="Q64" s="626"/>
      <c r="R64" s="588"/>
      <c r="S64" s="588"/>
      <c r="T64" s="588"/>
      <c r="U64" s="588"/>
      <c r="V64" s="588"/>
      <c r="W64" s="588"/>
      <c r="X64" s="588"/>
      <c r="Y64" s="588"/>
      <c r="Z64" s="588"/>
      <c r="AA64" s="588"/>
      <c r="AB64" s="588"/>
      <c r="AC64" s="588"/>
      <c r="AD64" s="588"/>
      <c r="AE64" s="626"/>
      <c r="AF64" s="626"/>
      <c r="AG64" s="626"/>
      <c r="AH64" s="626"/>
      <c r="AI64" s="626"/>
      <c r="AJ64" s="626"/>
      <c r="AK64" s="626"/>
      <c r="AL64" s="626"/>
      <c r="AM64" s="626"/>
      <c r="AN64" s="626"/>
      <c r="AO64" s="626"/>
      <c r="AP64" s="626"/>
      <c r="AQ64" s="626"/>
      <c r="AR64" s="626"/>
      <c r="AS64" s="626"/>
      <c r="AT64" s="626"/>
      <c r="AU64" s="626"/>
      <c r="AV64" s="626"/>
      <c r="AW64" s="626"/>
      <c r="AX64" s="626"/>
      <c r="AY64" s="626"/>
      <c r="AZ64" s="626"/>
      <c r="BA64" s="626"/>
      <c r="BB64" s="588"/>
      <c r="BC64" s="626"/>
      <c r="BD64" s="626"/>
      <c r="BE64" s="626"/>
      <c r="BF64" s="626"/>
      <c r="BG64" s="626"/>
      <c r="BH64" s="626"/>
      <c r="BI64" s="588"/>
      <c r="BJ64" s="626"/>
      <c r="BK64" s="626"/>
      <c r="BL64" s="626"/>
      <c r="BM64" s="626"/>
      <c r="BN64" s="626"/>
      <c r="BO64" s="626"/>
      <c r="BP64" s="588"/>
      <c r="BQ64" s="846"/>
      <c r="BR64" s="850"/>
      <c r="BS64" s="588"/>
      <c r="BT64" s="754"/>
      <c r="BU64" s="588"/>
      <c r="BV64" s="588"/>
      <c r="BW64" s="588"/>
      <c r="BX64" s="588"/>
      <c r="BY64" s="588"/>
      <c r="BZ64" s="588"/>
      <c r="CA64" s="588"/>
      <c r="CB64" s="588"/>
      <c r="CC64" s="865"/>
      <c r="CD64" s="588"/>
      <c r="CE64" s="588"/>
      <c r="CF64" s="588"/>
      <c r="CG64" s="588"/>
      <c r="CH64" s="588"/>
      <c r="CI64" s="588"/>
      <c r="CJ64" s="588"/>
      <c r="CK64" s="588"/>
      <c r="CL64" s="588"/>
      <c r="CM64" s="588"/>
      <c r="CN64" s="588"/>
      <c r="CO64" s="588"/>
      <c r="CP64" s="816"/>
      <c r="CQ64" s="805"/>
      <c r="CR64" s="805"/>
      <c r="CS64" s="830"/>
      <c r="CT64" s="588"/>
      <c r="CU64" s="626"/>
      <c r="CV64" s="626"/>
      <c r="CW64" s="626"/>
      <c r="CX64" s="626"/>
      <c r="CY64" s="626"/>
      <c r="CZ64" s="626"/>
      <c r="DA64" s="626"/>
      <c r="DB64" s="626"/>
      <c r="DC64" s="626"/>
      <c r="DD64" s="626"/>
      <c r="DE64" s="626"/>
      <c r="DF64" s="626"/>
      <c r="DG64" s="626"/>
      <c r="DH64" s="626"/>
      <c r="DI64" s="626"/>
      <c r="DJ64" s="626"/>
      <c r="DK64" s="626"/>
      <c r="DL64" s="626"/>
      <c r="DM64" s="761"/>
      <c r="DN64" s="761"/>
      <c r="DO64" s="761"/>
      <c r="DP64" s="553"/>
      <c r="DQ64" s="553"/>
      <c r="DR64" s="553"/>
      <c r="DS64" s="553"/>
      <c r="DT64" s="553"/>
      <c r="DU64" s="553"/>
      <c r="DV64" s="553"/>
      <c r="DW64" s="553"/>
      <c r="DX64" s="553"/>
      <c r="DY64" s="553"/>
    </row>
    <row r="65" spans="1:129" customFormat="1" ht="24" customHeight="1" x14ac:dyDescent="0.9">
      <c r="A65" s="752"/>
      <c r="B65" s="588"/>
      <c r="C65" s="588"/>
      <c r="D65" s="588"/>
      <c r="E65" s="588"/>
      <c r="F65" s="588"/>
      <c r="G65" s="588"/>
      <c r="H65" s="588"/>
      <c r="I65" s="588"/>
      <c r="J65" s="588"/>
      <c r="K65" s="588"/>
      <c r="L65" s="753"/>
      <c r="M65" s="753"/>
      <c r="N65" s="588"/>
      <c r="O65" s="626"/>
      <c r="P65" s="588"/>
      <c r="Q65" s="626"/>
      <c r="R65" s="588"/>
      <c r="S65" s="588"/>
      <c r="T65" s="588"/>
      <c r="U65" s="588"/>
      <c r="V65" s="588"/>
      <c r="W65" s="588"/>
      <c r="X65" s="588"/>
      <c r="Y65" s="588"/>
      <c r="Z65" s="588"/>
      <c r="AA65" s="588"/>
      <c r="AB65" s="588"/>
      <c r="AC65" s="588"/>
      <c r="AD65" s="588"/>
      <c r="AE65" s="626"/>
      <c r="AF65" s="626"/>
      <c r="AG65" s="626"/>
      <c r="AH65" s="626"/>
      <c r="AI65" s="626"/>
      <c r="AJ65" s="626"/>
      <c r="AK65" s="626"/>
      <c r="AL65" s="626"/>
      <c r="AM65" s="626"/>
      <c r="AN65" s="626"/>
      <c r="AO65" s="626"/>
      <c r="AP65" s="626"/>
      <c r="AQ65" s="626"/>
      <c r="AR65" s="626"/>
      <c r="AS65" s="626"/>
      <c r="AT65" s="626"/>
      <c r="AU65" s="626"/>
      <c r="AV65" s="626"/>
      <c r="AW65" s="626"/>
      <c r="AX65" s="626"/>
      <c r="AY65" s="626"/>
      <c r="AZ65" s="626"/>
      <c r="BA65" s="626"/>
      <c r="BB65" s="588"/>
      <c r="BC65" s="626"/>
      <c r="BD65" s="626"/>
      <c r="BE65" s="626"/>
      <c r="BF65" s="626"/>
      <c r="BG65" s="626"/>
      <c r="BH65" s="626"/>
      <c r="BI65" s="588"/>
      <c r="BJ65" s="626"/>
      <c r="BK65" s="626"/>
      <c r="BL65" s="626"/>
      <c r="BM65" s="626"/>
      <c r="BN65" s="626"/>
      <c r="BO65" s="626"/>
      <c r="BP65" s="588"/>
      <c r="BQ65" s="846"/>
      <c r="BR65" s="850"/>
      <c r="BS65" s="588"/>
      <c r="BT65" s="754"/>
      <c r="BU65" s="588"/>
      <c r="BV65" s="588"/>
      <c r="BW65" s="588"/>
      <c r="BX65" s="588"/>
      <c r="BY65" s="588"/>
      <c r="BZ65" s="588"/>
      <c r="CA65" s="588"/>
      <c r="CB65" s="588"/>
      <c r="CC65" s="865"/>
      <c r="CD65" s="588"/>
      <c r="CE65" s="588"/>
      <c r="CF65" s="588"/>
      <c r="CG65" s="588"/>
      <c r="CH65" s="588"/>
      <c r="CI65" s="588"/>
      <c r="CJ65" s="588"/>
      <c r="CK65" s="588"/>
      <c r="CL65" s="588"/>
      <c r="CM65" s="588"/>
      <c r="CN65" s="588"/>
      <c r="CO65" s="588"/>
      <c r="CP65" s="816"/>
      <c r="CQ65" s="805"/>
      <c r="CR65" s="805"/>
      <c r="CS65" s="830"/>
      <c r="CT65" s="588"/>
      <c r="CU65" s="626"/>
      <c r="CV65" s="626"/>
      <c r="CW65" s="626"/>
      <c r="CX65" s="626"/>
      <c r="CY65" s="626"/>
      <c r="CZ65" s="626"/>
      <c r="DA65" s="626"/>
      <c r="DB65" s="626"/>
      <c r="DC65" s="626"/>
      <c r="DD65" s="626"/>
      <c r="DE65" s="626"/>
      <c r="DF65" s="626"/>
      <c r="DG65" s="626"/>
      <c r="DH65" s="626"/>
      <c r="DI65" s="626"/>
      <c r="DJ65" s="626"/>
      <c r="DK65" s="626"/>
      <c r="DL65" s="626"/>
      <c r="DM65" s="761"/>
      <c r="DN65" s="761"/>
      <c r="DO65" s="761"/>
      <c r="DP65" s="553"/>
      <c r="DQ65" s="553"/>
      <c r="DR65" s="553"/>
      <c r="DS65" s="553"/>
      <c r="DT65" s="553"/>
      <c r="DU65" s="553"/>
      <c r="DV65" s="553"/>
      <c r="DW65" s="553"/>
      <c r="DX65" s="553"/>
      <c r="DY65" s="553"/>
    </row>
    <row r="66" spans="1:129" customFormat="1" ht="24" customHeight="1" x14ac:dyDescent="0.9">
      <c r="A66" s="752"/>
      <c r="B66" s="588"/>
      <c r="C66" s="588"/>
      <c r="D66" s="588"/>
      <c r="E66" s="588"/>
      <c r="F66" s="588"/>
      <c r="G66" s="588"/>
      <c r="H66" s="588"/>
      <c r="I66" s="588"/>
      <c r="J66" s="588"/>
      <c r="K66" s="588"/>
      <c r="L66" s="753"/>
      <c r="M66" s="753"/>
      <c r="N66" s="588"/>
      <c r="O66" s="626"/>
      <c r="P66" s="588"/>
      <c r="Q66" s="626"/>
      <c r="R66" s="588"/>
      <c r="S66" s="588"/>
      <c r="T66" s="588"/>
      <c r="U66" s="588"/>
      <c r="V66" s="588"/>
      <c r="W66" s="588"/>
      <c r="X66" s="588"/>
      <c r="Y66" s="588"/>
      <c r="Z66" s="588"/>
      <c r="AA66" s="588"/>
      <c r="AB66" s="588"/>
      <c r="AC66" s="588"/>
      <c r="AD66" s="588"/>
      <c r="AE66" s="626"/>
      <c r="AF66" s="626"/>
      <c r="AG66" s="626"/>
      <c r="AH66" s="626"/>
      <c r="AI66" s="626"/>
      <c r="AJ66" s="626"/>
      <c r="AK66" s="626"/>
      <c r="AL66" s="626"/>
      <c r="AM66" s="626"/>
      <c r="AN66" s="626"/>
      <c r="AO66" s="626"/>
      <c r="AP66" s="626"/>
      <c r="AQ66" s="626"/>
      <c r="AR66" s="626"/>
      <c r="AS66" s="626"/>
      <c r="AT66" s="626"/>
      <c r="AU66" s="626"/>
      <c r="AV66" s="626"/>
      <c r="AW66" s="626"/>
      <c r="AX66" s="626"/>
      <c r="AY66" s="626"/>
      <c r="AZ66" s="626"/>
      <c r="BA66" s="626"/>
      <c r="BB66" s="588"/>
      <c r="BC66" s="626"/>
      <c r="BD66" s="626"/>
      <c r="BE66" s="626"/>
      <c r="BF66" s="626"/>
      <c r="BG66" s="626"/>
      <c r="BH66" s="626"/>
      <c r="BI66" s="588"/>
      <c r="BJ66" s="626"/>
      <c r="BK66" s="626"/>
      <c r="BL66" s="626"/>
      <c r="BM66" s="626"/>
      <c r="BN66" s="626"/>
      <c r="BO66" s="626"/>
      <c r="BP66" s="588"/>
      <c r="BQ66" s="846"/>
      <c r="BR66" s="850"/>
      <c r="BS66" s="588"/>
      <c r="BT66" s="754"/>
      <c r="BU66" s="588"/>
      <c r="BV66" s="588"/>
      <c r="BW66" s="588"/>
      <c r="BX66" s="588"/>
      <c r="BY66" s="588"/>
      <c r="BZ66" s="588"/>
      <c r="CA66" s="588"/>
      <c r="CB66" s="588"/>
      <c r="CC66" s="865"/>
      <c r="CD66" s="588"/>
      <c r="CE66" s="588"/>
      <c r="CF66" s="588"/>
      <c r="CG66" s="588"/>
      <c r="CH66" s="588"/>
      <c r="CI66" s="588"/>
      <c r="CJ66" s="588"/>
      <c r="CK66" s="588"/>
      <c r="CL66" s="588"/>
      <c r="CM66" s="588"/>
      <c r="CN66" s="588"/>
      <c r="CO66" s="588"/>
      <c r="CP66" s="816"/>
      <c r="CQ66" s="805"/>
      <c r="CR66" s="805"/>
      <c r="CS66" s="830"/>
      <c r="CT66" s="588"/>
      <c r="CU66" s="626"/>
      <c r="CV66" s="626"/>
      <c r="CW66" s="626"/>
      <c r="CX66" s="626"/>
      <c r="CY66" s="626"/>
      <c r="CZ66" s="626"/>
      <c r="DA66" s="626"/>
      <c r="DB66" s="626"/>
      <c r="DC66" s="626"/>
      <c r="DD66" s="626"/>
      <c r="DE66" s="626"/>
      <c r="DF66" s="626"/>
      <c r="DG66" s="626"/>
      <c r="DH66" s="626"/>
      <c r="DI66" s="626"/>
      <c r="DJ66" s="626"/>
      <c r="DK66" s="626"/>
      <c r="DL66" s="626"/>
      <c r="DM66" s="761"/>
      <c r="DN66" s="761"/>
      <c r="DO66" s="761"/>
      <c r="DP66" s="553"/>
      <c r="DQ66" s="553"/>
      <c r="DR66" s="553"/>
      <c r="DS66" s="553"/>
      <c r="DT66" s="553"/>
      <c r="DU66" s="553"/>
      <c r="DV66" s="553"/>
      <c r="DW66" s="553"/>
      <c r="DX66" s="553"/>
      <c r="DY66" s="553"/>
    </row>
    <row r="67" spans="1:129" customFormat="1" ht="24" customHeight="1" x14ac:dyDescent="0.9">
      <c r="A67" s="752"/>
      <c r="B67" s="588"/>
      <c r="C67" s="588"/>
      <c r="D67" s="588"/>
      <c r="E67" s="588"/>
      <c r="F67" s="588"/>
      <c r="G67" s="588"/>
      <c r="H67" s="588"/>
      <c r="I67" s="588"/>
      <c r="J67" s="588"/>
      <c r="K67" s="588"/>
      <c r="L67" s="753"/>
      <c r="M67" s="753"/>
      <c r="N67" s="588"/>
      <c r="O67" s="626"/>
      <c r="P67" s="588"/>
      <c r="Q67" s="626"/>
      <c r="R67" s="588"/>
      <c r="S67" s="588"/>
      <c r="T67" s="588"/>
      <c r="U67" s="588"/>
      <c r="V67" s="588"/>
      <c r="W67" s="588"/>
      <c r="X67" s="588"/>
      <c r="Y67" s="588"/>
      <c r="Z67" s="588"/>
      <c r="AA67" s="588"/>
      <c r="AB67" s="588"/>
      <c r="AC67" s="588"/>
      <c r="AD67" s="588"/>
      <c r="AE67" s="626"/>
      <c r="AF67" s="626"/>
      <c r="AG67" s="626"/>
      <c r="AH67" s="626"/>
      <c r="AI67" s="626"/>
      <c r="AJ67" s="626"/>
      <c r="AK67" s="626"/>
      <c r="AL67" s="626"/>
      <c r="AM67" s="626"/>
      <c r="AN67" s="626"/>
      <c r="AO67" s="626"/>
      <c r="AP67" s="626"/>
      <c r="AQ67" s="626"/>
      <c r="AR67" s="626"/>
      <c r="AS67" s="626"/>
      <c r="AT67" s="626"/>
      <c r="AU67" s="626"/>
      <c r="AV67" s="626"/>
      <c r="AW67" s="626"/>
      <c r="AX67" s="626"/>
      <c r="AY67" s="626"/>
      <c r="AZ67" s="626"/>
      <c r="BA67" s="626"/>
      <c r="BB67" s="588"/>
      <c r="BC67" s="626"/>
      <c r="BD67" s="626"/>
      <c r="BE67" s="626"/>
      <c r="BF67" s="626"/>
      <c r="BG67" s="626"/>
      <c r="BH67" s="626"/>
      <c r="BI67" s="588"/>
      <c r="BJ67" s="626"/>
      <c r="BK67" s="626"/>
      <c r="BL67" s="626"/>
      <c r="BM67" s="626"/>
      <c r="BN67" s="626"/>
      <c r="BO67" s="626"/>
      <c r="BP67" s="588"/>
      <c r="BQ67" s="846"/>
      <c r="BR67" s="850"/>
      <c r="BS67" s="588"/>
      <c r="BT67" s="754"/>
      <c r="BU67" s="588"/>
      <c r="BV67" s="588"/>
      <c r="BW67" s="588"/>
      <c r="BX67" s="588"/>
      <c r="BY67" s="588"/>
      <c r="BZ67" s="588"/>
      <c r="CA67" s="588"/>
      <c r="CB67" s="588"/>
      <c r="CC67" s="865"/>
      <c r="CD67" s="588"/>
      <c r="CE67" s="588"/>
      <c r="CF67" s="588"/>
      <c r="CG67" s="588"/>
      <c r="CH67" s="588"/>
      <c r="CI67" s="588"/>
      <c r="CJ67" s="588"/>
      <c r="CK67" s="588"/>
      <c r="CL67" s="588"/>
      <c r="CM67" s="588"/>
      <c r="CN67" s="588"/>
      <c r="CO67" s="588"/>
      <c r="CP67" s="816"/>
      <c r="CQ67" s="805"/>
      <c r="CR67" s="805"/>
      <c r="CS67" s="830"/>
      <c r="CT67" s="588"/>
      <c r="CU67" s="626"/>
      <c r="CV67" s="626"/>
      <c r="CW67" s="626"/>
      <c r="CX67" s="626"/>
      <c r="CY67" s="626"/>
      <c r="CZ67" s="626"/>
      <c r="DA67" s="626"/>
      <c r="DB67" s="626"/>
      <c r="DC67" s="626"/>
      <c r="DD67" s="626"/>
      <c r="DE67" s="626"/>
      <c r="DF67" s="626"/>
      <c r="DG67" s="626"/>
      <c r="DH67" s="626"/>
      <c r="DI67" s="626"/>
      <c r="DJ67" s="626"/>
      <c r="DK67" s="626"/>
      <c r="DL67" s="626"/>
      <c r="DM67" s="761"/>
      <c r="DN67" s="761"/>
      <c r="DO67" s="761"/>
      <c r="DP67" s="553"/>
      <c r="DQ67" s="553"/>
      <c r="DR67" s="553"/>
      <c r="DS67" s="553"/>
      <c r="DT67" s="553"/>
      <c r="DU67" s="553"/>
      <c r="DV67" s="553"/>
      <c r="DW67" s="553"/>
      <c r="DX67" s="553"/>
      <c r="DY67" s="553"/>
    </row>
    <row r="68" spans="1:129" customFormat="1" ht="24" customHeight="1" x14ac:dyDescent="0.9">
      <c r="A68" s="752"/>
      <c r="B68" s="588"/>
      <c r="C68" s="588"/>
      <c r="D68" s="588"/>
      <c r="E68" s="588"/>
      <c r="F68" s="588"/>
      <c r="G68" s="588"/>
      <c r="H68" s="588"/>
      <c r="I68" s="588"/>
      <c r="J68" s="588"/>
      <c r="K68" s="588"/>
      <c r="L68" s="753"/>
      <c r="M68" s="753"/>
      <c r="N68" s="588"/>
      <c r="O68" s="626"/>
      <c r="P68" s="588"/>
      <c r="Q68" s="626"/>
      <c r="R68" s="588"/>
      <c r="S68" s="588"/>
      <c r="T68" s="588"/>
      <c r="U68" s="588"/>
      <c r="V68" s="588"/>
      <c r="W68" s="588"/>
      <c r="X68" s="588"/>
      <c r="Y68" s="588"/>
      <c r="Z68" s="588"/>
      <c r="AA68" s="588"/>
      <c r="AB68" s="588"/>
      <c r="AC68" s="588"/>
      <c r="AD68" s="588"/>
      <c r="AE68" s="626"/>
      <c r="AF68" s="626"/>
      <c r="AG68" s="626"/>
      <c r="AH68" s="626"/>
      <c r="AI68" s="626"/>
      <c r="AJ68" s="626"/>
      <c r="AK68" s="626"/>
      <c r="AL68" s="626"/>
      <c r="AM68" s="626"/>
      <c r="AN68" s="626"/>
      <c r="AO68" s="626"/>
      <c r="AP68" s="626"/>
      <c r="AQ68" s="626"/>
      <c r="AR68" s="626"/>
      <c r="AS68" s="626"/>
      <c r="AT68" s="626"/>
      <c r="AU68" s="626"/>
      <c r="AV68" s="626"/>
      <c r="AW68" s="626"/>
      <c r="AX68" s="626"/>
      <c r="AY68" s="626"/>
      <c r="AZ68" s="626"/>
      <c r="BA68" s="626"/>
      <c r="BB68" s="588"/>
      <c r="BC68" s="626"/>
      <c r="BD68" s="626"/>
      <c r="BE68" s="626"/>
      <c r="BF68" s="626"/>
      <c r="BG68" s="626"/>
      <c r="BH68" s="626"/>
      <c r="BI68" s="588"/>
      <c r="BJ68" s="626"/>
      <c r="BK68" s="626"/>
      <c r="BL68" s="626"/>
      <c r="BM68" s="626"/>
      <c r="BN68" s="626"/>
      <c r="BO68" s="626"/>
      <c r="BP68" s="588"/>
      <c r="BQ68" s="846"/>
      <c r="BR68" s="850"/>
      <c r="BS68" s="588"/>
      <c r="BT68" s="754"/>
      <c r="BU68" s="588"/>
      <c r="BV68" s="588"/>
      <c r="BW68" s="588"/>
      <c r="BX68" s="588"/>
      <c r="BY68" s="588"/>
      <c r="BZ68" s="588"/>
      <c r="CA68" s="588"/>
      <c r="CB68" s="588"/>
      <c r="CC68" s="865"/>
      <c r="CD68" s="588"/>
      <c r="CE68" s="588"/>
      <c r="CF68" s="588"/>
      <c r="CG68" s="588"/>
      <c r="CH68" s="588"/>
      <c r="CI68" s="588"/>
      <c r="CJ68" s="588"/>
      <c r="CK68" s="588"/>
      <c r="CL68" s="588"/>
      <c r="CM68" s="588"/>
      <c r="CN68" s="588"/>
      <c r="CO68" s="588"/>
      <c r="CP68" s="816"/>
      <c r="CQ68" s="805"/>
      <c r="CR68" s="805"/>
      <c r="CS68" s="830"/>
      <c r="CT68" s="588"/>
      <c r="CU68" s="626"/>
      <c r="CV68" s="626"/>
      <c r="CW68" s="626"/>
      <c r="CX68" s="626"/>
      <c r="CY68" s="626"/>
      <c r="CZ68" s="626"/>
      <c r="DA68" s="626"/>
      <c r="DB68" s="626"/>
      <c r="DC68" s="626"/>
      <c r="DD68" s="626"/>
      <c r="DE68" s="626"/>
      <c r="DF68" s="626"/>
      <c r="DG68" s="626"/>
      <c r="DH68" s="626"/>
      <c r="DI68" s="626"/>
      <c r="DJ68" s="626"/>
      <c r="DK68" s="626"/>
      <c r="DL68" s="626"/>
      <c r="DM68" s="761"/>
      <c r="DN68" s="761"/>
      <c r="DO68" s="761"/>
      <c r="DP68" s="553"/>
      <c r="DQ68" s="553"/>
      <c r="DR68" s="553"/>
      <c r="DS68" s="553"/>
      <c r="DT68" s="553"/>
      <c r="DU68" s="553"/>
      <c r="DV68" s="553"/>
      <c r="DW68" s="553"/>
      <c r="DX68" s="553"/>
      <c r="DY68" s="553"/>
    </row>
    <row r="69" spans="1:129" customFormat="1" ht="24" customHeight="1" x14ac:dyDescent="0.9">
      <c r="A69" s="752"/>
      <c r="B69" s="588"/>
      <c r="C69" s="588"/>
      <c r="D69" s="588"/>
      <c r="E69" s="588"/>
      <c r="F69" s="588"/>
      <c r="G69" s="588"/>
      <c r="H69" s="588"/>
      <c r="I69" s="588"/>
      <c r="J69" s="588"/>
      <c r="K69" s="588"/>
      <c r="L69" s="753"/>
      <c r="M69" s="753"/>
      <c r="N69" s="588"/>
      <c r="O69" s="626"/>
      <c r="P69" s="588"/>
      <c r="Q69" s="626"/>
      <c r="R69" s="588"/>
      <c r="S69" s="588"/>
      <c r="T69" s="588"/>
      <c r="U69" s="588"/>
      <c r="V69" s="588"/>
      <c r="W69" s="588"/>
      <c r="X69" s="588"/>
      <c r="Y69" s="588"/>
      <c r="Z69" s="588"/>
      <c r="AA69" s="588"/>
      <c r="AB69" s="588"/>
      <c r="AC69" s="588"/>
      <c r="AD69" s="588"/>
      <c r="AE69" s="626"/>
      <c r="AF69" s="626"/>
      <c r="AG69" s="626"/>
      <c r="AH69" s="626"/>
      <c r="AI69" s="626"/>
      <c r="AJ69" s="626"/>
      <c r="AK69" s="626"/>
      <c r="AL69" s="626"/>
      <c r="AM69" s="626"/>
      <c r="AN69" s="626"/>
      <c r="AO69" s="626"/>
      <c r="AP69" s="626"/>
      <c r="AQ69" s="626"/>
      <c r="AR69" s="626"/>
      <c r="AS69" s="626"/>
      <c r="AT69" s="626"/>
      <c r="AU69" s="626"/>
      <c r="AV69" s="626"/>
      <c r="AW69" s="626"/>
      <c r="AX69" s="626"/>
      <c r="AY69" s="626"/>
      <c r="AZ69" s="626"/>
      <c r="BA69" s="626"/>
      <c r="BB69" s="588"/>
      <c r="BC69" s="626"/>
      <c r="BD69" s="626"/>
      <c r="BE69" s="626"/>
      <c r="BF69" s="626"/>
      <c r="BG69" s="626"/>
      <c r="BH69" s="626"/>
      <c r="BI69" s="588"/>
      <c r="BJ69" s="626"/>
      <c r="BK69" s="626"/>
      <c r="BL69" s="626"/>
      <c r="BM69" s="626"/>
      <c r="BN69" s="626"/>
      <c r="BO69" s="626"/>
      <c r="BP69" s="588"/>
      <c r="BQ69" s="846"/>
      <c r="BR69" s="850"/>
      <c r="BS69" s="588"/>
      <c r="BT69" s="754"/>
      <c r="BU69" s="588"/>
      <c r="BV69" s="588"/>
      <c r="BW69" s="588"/>
      <c r="BX69" s="588"/>
      <c r="BY69" s="588"/>
      <c r="BZ69" s="588"/>
      <c r="CA69" s="588"/>
      <c r="CB69" s="588"/>
      <c r="CC69" s="865"/>
      <c r="CD69" s="588"/>
      <c r="CE69" s="588"/>
      <c r="CF69" s="588"/>
      <c r="CG69" s="588"/>
      <c r="CH69" s="588"/>
      <c r="CI69" s="588"/>
      <c r="CJ69" s="588"/>
      <c r="CK69" s="588"/>
      <c r="CL69" s="588"/>
      <c r="CM69" s="588"/>
      <c r="CN69" s="588"/>
      <c r="CO69" s="588"/>
      <c r="CP69" s="816"/>
      <c r="CQ69" s="805"/>
      <c r="CR69" s="805"/>
      <c r="CS69" s="830"/>
      <c r="CT69" s="588"/>
      <c r="CU69" s="626"/>
      <c r="CV69" s="626"/>
      <c r="CW69" s="626"/>
      <c r="CX69" s="626"/>
      <c r="CY69" s="626"/>
      <c r="CZ69" s="626"/>
      <c r="DA69" s="626"/>
      <c r="DB69" s="626"/>
      <c r="DC69" s="626"/>
      <c r="DD69" s="626"/>
      <c r="DE69" s="626"/>
      <c r="DF69" s="626"/>
      <c r="DG69" s="626"/>
      <c r="DH69" s="626"/>
      <c r="DI69" s="626"/>
      <c r="DJ69" s="626"/>
      <c r="DK69" s="626"/>
      <c r="DL69" s="626"/>
      <c r="DM69" s="761"/>
      <c r="DN69" s="761"/>
      <c r="DO69" s="761"/>
      <c r="DP69" s="553"/>
      <c r="DQ69" s="553"/>
      <c r="DR69" s="553"/>
      <c r="DS69" s="553"/>
      <c r="DT69" s="553"/>
      <c r="DU69" s="553"/>
      <c r="DV69" s="553"/>
      <c r="DW69" s="553"/>
      <c r="DX69" s="553"/>
      <c r="DY69" s="553"/>
    </row>
    <row r="70" spans="1:129" customFormat="1" ht="24" customHeight="1" x14ac:dyDescent="0.9">
      <c r="A70" s="752"/>
      <c r="B70" s="588"/>
      <c r="C70" s="588"/>
      <c r="D70" s="588"/>
      <c r="E70" s="588"/>
      <c r="F70" s="588"/>
      <c r="G70" s="588"/>
      <c r="H70" s="588"/>
      <c r="I70" s="588"/>
      <c r="J70" s="588"/>
      <c r="K70" s="588"/>
      <c r="L70" s="753"/>
      <c r="M70" s="753"/>
      <c r="N70" s="588"/>
      <c r="O70" s="626"/>
      <c r="P70" s="588"/>
      <c r="Q70" s="626"/>
      <c r="R70" s="588"/>
      <c r="S70" s="588"/>
      <c r="T70" s="588"/>
      <c r="U70" s="588"/>
      <c r="V70" s="588"/>
      <c r="W70" s="588"/>
      <c r="X70" s="588"/>
      <c r="Y70" s="588"/>
      <c r="Z70" s="588"/>
      <c r="AA70" s="588"/>
      <c r="AB70" s="588"/>
      <c r="AC70" s="588"/>
      <c r="AD70" s="588"/>
      <c r="AE70" s="626"/>
      <c r="AF70" s="626"/>
      <c r="AG70" s="626"/>
      <c r="AH70" s="626"/>
      <c r="AI70" s="626"/>
      <c r="AJ70" s="626"/>
      <c r="AK70" s="626"/>
      <c r="AL70" s="626"/>
      <c r="AM70" s="626"/>
      <c r="AN70" s="626"/>
      <c r="AO70" s="626"/>
      <c r="AP70" s="626"/>
      <c r="AQ70" s="626"/>
      <c r="AR70" s="626"/>
      <c r="AS70" s="626"/>
      <c r="AT70" s="626"/>
      <c r="AU70" s="626"/>
      <c r="AV70" s="626"/>
      <c r="AW70" s="626"/>
      <c r="AX70" s="626"/>
      <c r="AY70" s="626"/>
      <c r="AZ70" s="626"/>
      <c r="BA70" s="626"/>
      <c r="BB70" s="588"/>
      <c r="BC70" s="626"/>
      <c r="BD70" s="626"/>
      <c r="BE70" s="626"/>
      <c r="BF70" s="626"/>
      <c r="BG70" s="626"/>
      <c r="BH70" s="626"/>
      <c r="BI70" s="588"/>
      <c r="BJ70" s="626"/>
      <c r="BK70" s="626"/>
      <c r="BL70" s="626"/>
      <c r="BM70" s="626"/>
      <c r="BN70" s="626"/>
      <c r="BO70" s="626"/>
      <c r="BP70" s="588"/>
      <c r="BQ70" s="846"/>
      <c r="BR70" s="850"/>
      <c r="BS70" s="588"/>
      <c r="BT70" s="754"/>
      <c r="BU70" s="588"/>
      <c r="BV70" s="588"/>
      <c r="BW70" s="588"/>
      <c r="BX70" s="588"/>
      <c r="BY70" s="588"/>
      <c r="BZ70" s="588"/>
      <c r="CA70" s="588"/>
      <c r="CB70" s="588"/>
      <c r="CC70" s="865"/>
      <c r="CD70" s="588"/>
      <c r="CE70" s="588"/>
      <c r="CF70" s="588"/>
      <c r="CG70" s="588"/>
      <c r="CH70" s="588"/>
      <c r="CI70" s="588"/>
      <c r="CJ70" s="588"/>
      <c r="CK70" s="588"/>
      <c r="CL70" s="588"/>
      <c r="CM70" s="588"/>
      <c r="CN70" s="588"/>
      <c r="CO70" s="588"/>
      <c r="CP70" s="816"/>
      <c r="CQ70" s="805"/>
      <c r="CR70" s="805"/>
      <c r="CS70" s="830"/>
      <c r="CT70" s="588"/>
      <c r="CU70" s="626"/>
      <c r="CV70" s="626"/>
      <c r="CW70" s="626"/>
      <c r="CX70" s="626"/>
      <c r="CY70" s="626"/>
      <c r="CZ70" s="626"/>
      <c r="DA70" s="626"/>
      <c r="DB70" s="626"/>
      <c r="DC70" s="626"/>
      <c r="DD70" s="626"/>
      <c r="DE70" s="626"/>
      <c r="DF70" s="626"/>
      <c r="DG70" s="626"/>
      <c r="DH70" s="626"/>
      <c r="DI70" s="626"/>
      <c r="DJ70" s="626"/>
      <c r="DK70" s="626"/>
      <c r="DL70" s="626"/>
      <c r="DM70" s="761"/>
      <c r="DN70" s="761"/>
      <c r="DO70" s="761"/>
      <c r="DP70" s="553"/>
      <c r="DQ70" s="553"/>
      <c r="DR70" s="553"/>
      <c r="DS70" s="553"/>
      <c r="DT70" s="553"/>
      <c r="DU70" s="553"/>
      <c r="DV70" s="553"/>
      <c r="DW70" s="553"/>
      <c r="DX70" s="553"/>
      <c r="DY70" s="553"/>
    </row>
    <row r="71" spans="1:129" customFormat="1" ht="24" customHeight="1" x14ac:dyDescent="0.9">
      <c r="A71" s="752"/>
      <c r="B71" s="588"/>
      <c r="C71" s="588"/>
      <c r="D71" s="588"/>
      <c r="E71" s="588"/>
      <c r="F71" s="588"/>
      <c r="G71" s="588"/>
      <c r="H71" s="588"/>
      <c r="I71" s="588"/>
      <c r="J71" s="588"/>
      <c r="K71" s="588"/>
      <c r="L71" s="753"/>
      <c r="M71" s="753"/>
      <c r="N71" s="588"/>
      <c r="O71" s="626"/>
      <c r="P71" s="588"/>
      <c r="Q71" s="626"/>
      <c r="R71" s="588"/>
      <c r="S71" s="588"/>
      <c r="T71" s="588"/>
      <c r="U71" s="588"/>
      <c r="V71" s="588"/>
      <c r="W71" s="588"/>
      <c r="X71" s="588"/>
      <c r="Y71" s="588"/>
      <c r="Z71" s="588"/>
      <c r="AA71" s="588"/>
      <c r="AB71" s="588"/>
      <c r="AC71" s="588"/>
      <c r="AD71" s="588"/>
      <c r="AE71" s="626"/>
      <c r="AF71" s="626"/>
      <c r="AG71" s="626"/>
      <c r="AH71" s="626"/>
      <c r="AI71" s="626"/>
      <c r="AJ71" s="626"/>
      <c r="AK71" s="626"/>
      <c r="AL71" s="626"/>
      <c r="AM71" s="626"/>
      <c r="AN71" s="626"/>
      <c r="AO71" s="626"/>
      <c r="AP71" s="626"/>
      <c r="AQ71" s="626"/>
      <c r="AR71" s="626"/>
      <c r="AS71" s="626"/>
      <c r="AT71" s="626"/>
      <c r="AU71" s="626"/>
      <c r="AV71" s="626"/>
      <c r="AW71" s="626"/>
      <c r="AX71" s="626"/>
      <c r="AY71" s="626"/>
      <c r="AZ71" s="626"/>
      <c r="BA71" s="626"/>
      <c r="BB71" s="588"/>
      <c r="BC71" s="626"/>
      <c r="BD71" s="626"/>
      <c r="BE71" s="626"/>
      <c r="BF71" s="626"/>
      <c r="BG71" s="626"/>
      <c r="BH71" s="626"/>
      <c r="BI71" s="588"/>
      <c r="BJ71" s="626"/>
      <c r="BK71" s="626"/>
      <c r="BL71" s="626"/>
      <c r="BM71" s="626"/>
      <c r="BN71" s="626"/>
      <c r="BO71" s="626"/>
      <c r="BP71" s="588"/>
      <c r="BQ71" s="846"/>
      <c r="BR71" s="850"/>
      <c r="BS71" s="588"/>
      <c r="BT71" s="754"/>
      <c r="BU71" s="588"/>
      <c r="BV71" s="588"/>
      <c r="BW71" s="588"/>
      <c r="BX71" s="588"/>
      <c r="BY71" s="588"/>
      <c r="BZ71" s="588"/>
      <c r="CA71" s="588"/>
      <c r="CB71" s="588"/>
      <c r="CC71" s="865"/>
      <c r="CD71" s="588"/>
      <c r="CE71" s="588"/>
      <c r="CF71" s="588"/>
      <c r="CG71" s="588"/>
      <c r="CH71" s="588"/>
      <c r="CI71" s="588"/>
      <c r="CJ71" s="588"/>
      <c r="CK71" s="588"/>
      <c r="CL71" s="588"/>
      <c r="CM71" s="588"/>
      <c r="CN71" s="588"/>
      <c r="CO71" s="588"/>
      <c r="CP71" s="816"/>
      <c r="CQ71" s="805"/>
      <c r="CR71" s="805"/>
      <c r="CS71" s="830"/>
      <c r="CT71" s="588"/>
      <c r="CU71" s="626"/>
      <c r="CV71" s="626"/>
      <c r="CW71" s="626"/>
      <c r="CX71" s="626"/>
      <c r="CY71" s="626"/>
      <c r="CZ71" s="626"/>
      <c r="DA71" s="626"/>
      <c r="DB71" s="626"/>
      <c r="DC71" s="626"/>
      <c r="DD71" s="626"/>
      <c r="DE71" s="626"/>
      <c r="DF71" s="626"/>
      <c r="DG71" s="626"/>
      <c r="DH71" s="626"/>
      <c r="DI71" s="626"/>
      <c r="DJ71" s="626"/>
      <c r="DK71" s="626"/>
      <c r="DL71" s="626"/>
      <c r="DM71" s="761"/>
      <c r="DN71" s="761"/>
      <c r="DO71" s="761"/>
      <c r="DP71" s="553"/>
      <c r="DQ71" s="553"/>
      <c r="DR71" s="553"/>
      <c r="DS71" s="553"/>
      <c r="DT71" s="553"/>
      <c r="DU71" s="553"/>
      <c r="DV71" s="553"/>
      <c r="DW71" s="553"/>
      <c r="DX71" s="553"/>
      <c r="DY71" s="553"/>
    </row>
    <row r="72" spans="1:129" customFormat="1" ht="24" customHeight="1" x14ac:dyDescent="0.9">
      <c r="A72" s="752"/>
      <c r="B72" s="588"/>
      <c r="C72" s="588"/>
      <c r="D72" s="588"/>
      <c r="E72" s="588"/>
      <c r="F72" s="588"/>
      <c r="G72" s="588"/>
      <c r="H72" s="588"/>
      <c r="I72" s="588"/>
      <c r="J72" s="588"/>
      <c r="K72" s="588"/>
      <c r="L72" s="753"/>
      <c r="M72" s="753"/>
      <c r="N72" s="588"/>
      <c r="O72" s="626"/>
      <c r="P72" s="588"/>
      <c r="Q72" s="626"/>
      <c r="R72" s="588"/>
      <c r="S72" s="588"/>
      <c r="T72" s="588"/>
      <c r="U72" s="588"/>
      <c r="V72" s="588"/>
      <c r="W72" s="588"/>
      <c r="X72" s="588"/>
      <c r="Y72" s="588"/>
      <c r="Z72" s="588"/>
      <c r="AA72" s="588"/>
      <c r="AB72" s="588"/>
      <c r="AC72" s="588"/>
      <c r="AD72" s="588"/>
      <c r="AE72" s="626"/>
      <c r="AF72" s="626"/>
      <c r="AG72" s="626"/>
      <c r="AH72" s="626"/>
      <c r="AI72" s="626"/>
      <c r="AJ72" s="626"/>
      <c r="AK72" s="626"/>
      <c r="AL72" s="626"/>
      <c r="AM72" s="626"/>
      <c r="AN72" s="626"/>
      <c r="AO72" s="626"/>
      <c r="AP72" s="626"/>
      <c r="AQ72" s="626"/>
      <c r="AR72" s="626"/>
      <c r="AS72" s="626"/>
      <c r="AT72" s="626"/>
      <c r="AU72" s="626"/>
      <c r="AV72" s="626"/>
      <c r="AW72" s="626"/>
      <c r="AX72" s="626"/>
      <c r="AY72" s="626"/>
      <c r="AZ72" s="626"/>
      <c r="BA72" s="626"/>
      <c r="BB72" s="588"/>
      <c r="BC72" s="626"/>
      <c r="BD72" s="626"/>
      <c r="BE72" s="626"/>
      <c r="BF72" s="626"/>
      <c r="BG72" s="626"/>
      <c r="BH72" s="626"/>
      <c r="BI72" s="588"/>
      <c r="BJ72" s="626"/>
      <c r="BK72" s="626"/>
      <c r="BL72" s="626"/>
      <c r="BM72" s="626"/>
      <c r="BN72" s="626"/>
      <c r="BO72" s="626"/>
      <c r="BP72" s="588"/>
      <c r="BQ72" s="846"/>
      <c r="BR72" s="850"/>
      <c r="BS72" s="588"/>
      <c r="BT72" s="754"/>
      <c r="BU72" s="588"/>
      <c r="BV72" s="588"/>
      <c r="BW72" s="588"/>
      <c r="BX72" s="588"/>
      <c r="BY72" s="588"/>
      <c r="BZ72" s="588"/>
      <c r="CA72" s="588"/>
      <c r="CB72" s="588"/>
      <c r="CC72" s="865"/>
      <c r="CD72" s="588"/>
      <c r="CE72" s="588"/>
      <c r="CF72" s="588"/>
      <c r="CG72" s="588"/>
      <c r="CH72" s="588"/>
      <c r="CI72" s="588"/>
      <c r="CJ72" s="588"/>
      <c r="CK72" s="588"/>
      <c r="CL72" s="588"/>
      <c r="CM72" s="588"/>
      <c r="CN72" s="588"/>
      <c r="CO72" s="588"/>
      <c r="CP72" s="816"/>
      <c r="CQ72" s="805"/>
      <c r="CR72" s="805"/>
      <c r="CS72" s="830"/>
      <c r="CT72" s="588"/>
      <c r="CU72" s="626"/>
      <c r="CV72" s="626"/>
      <c r="CW72" s="626"/>
      <c r="CX72" s="626"/>
      <c r="CY72" s="626"/>
      <c r="CZ72" s="626"/>
      <c r="DA72" s="626"/>
      <c r="DB72" s="626"/>
      <c r="DC72" s="626"/>
      <c r="DD72" s="626"/>
      <c r="DE72" s="626"/>
      <c r="DF72" s="626"/>
      <c r="DG72" s="626"/>
      <c r="DH72" s="626"/>
      <c r="DI72" s="626"/>
      <c r="DJ72" s="626"/>
      <c r="DK72" s="626"/>
      <c r="DL72" s="626"/>
      <c r="DM72" s="761"/>
      <c r="DN72" s="761"/>
      <c r="DO72" s="761"/>
      <c r="DP72" s="553"/>
      <c r="DQ72" s="553"/>
      <c r="DR72" s="553"/>
      <c r="DS72" s="553"/>
      <c r="DT72" s="553"/>
      <c r="DU72" s="553"/>
      <c r="DV72" s="553"/>
      <c r="DW72" s="553"/>
      <c r="DX72" s="553"/>
      <c r="DY72" s="553"/>
    </row>
    <row r="73" spans="1:129" customFormat="1" ht="24" customHeight="1" x14ac:dyDescent="0.9">
      <c r="A73" s="752"/>
      <c r="B73" s="588"/>
      <c r="C73" s="588"/>
      <c r="D73" s="588"/>
      <c r="E73" s="588"/>
      <c r="F73" s="588"/>
      <c r="G73" s="588"/>
      <c r="H73" s="588"/>
      <c r="I73" s="588"/>
      <c r="J73" s="588"/>
      <c r="K73" s="588"/>
      <c r="L73" s="753"/>
      <c r="M73" s="753"/>
      <c r="N73" s="588"/>
      <c r="O73" s="626"/>
      <c r="P73" s="588"/>
      <c r="Q73" s="626"/>
      <c r="R73" s="588"/>
      <c r="S73" s="588"/>
      <c r="T73" s="588"/>
      <c r="U73" s="588"/>
      <c r="V73" s="588"/>
      <c r="W73" s="588"/>
      <c r="X73" s="588"/>
      <c r="Y73" s="588"/>
      <c r="Z73" s="588"/>
      <c r="AA73" s="588"/>
      <c r="AB73" s="588"/>
      <c r="AC73" s="588"/>
      <c r="AD73" s="588"/>
      <c r="AE73" s="626"/>
      <c r="AF73" s="626"/>
      <c r="AG73" s="626"/>
      <c r="AH73" s="626"/>
      <c r="AI73" s="626"/>
      <c r="AJ73" s="626"/>
      <c r="AK73" s="626"/>
      <c r="AL73" s="626"/>
      <c r="AM73" s="626"/>
      <c r="AN73" s="626"/>
      <c r="AO73" s="626"/>
      <c r="AP73" s="626"/>
      <c r="AQ73" s="626"/>
      <c r="AR73" s="626"/>
      <c r="AS73" s="626"/>
      <c r="AT73" s="626"/>
      <c r="AU73" s="626"/>
      <c r="AV73" s="626"/>
      <c r="AW73" s="626"/>
      <c r="AX73" s="626"/>
      <c r="AY73" s="626"/>
      <c r="AZ73" s="626"/>
      <c r="BA73" s="626"/>
      <c r="BB73" s="588"/>
      <c r="BC73" s="626"/>
      <c r="BD73" s="626"/>
      <c r="BE73" s="626"/>
      <c r="BF73" s="626"/>
      <c r="BG73" s="626"/>
      <c r="BH73" s="626"/>
      <c r="BI73" s="588"/>
      <c r="BJ73" s="626"/>
      <c r="BK73" s="626"/>
      <c r="BL73" s="626"/>
      <c r="BM73" s="626"/>
      <c r="BN73" s="626"/>
      <c r="BO73" s="626"/>
      <c r="BP73" s="588"/>
      <c r="BQ73" s="846"/>
      <c r="BR73" s="850"/>
      <c r="BS73" s="588"/>
      <c r="BT73" s="754"/>
      <c r="BU73" s="588"/>
      <c r="BV73" s="588"/>
      <c r="BW73" s="588"/>
      <c r="BX73" s="588"/>
      <c r="BY73" s="588"/>
      <c r="BZ73" s="588"/>
      <c r="CA73" s="588"/>
      <c r="CB73" s="588"/>
      <c r="CC73" s="865"/>
      <c r="CD73" s="588"/>
      <c r="CE73" s="588"/>
      <c r="CF73" s="588"/>
      <c r="CG73" s="588"/>
      <c r="CH73" s="588"/>
      <c r="CI73" s="588"/>
      <c r="CJ73" s="588"/>
      <c r="CK73" s="588"/>
      <c r="CL73" s="588"/>
      <c r="CM73" s="588"/>
      <c r="CN73" s="588"/>
      <c r="CO73" s="588"/>
      <c r="CP73" s="816"/>
      <c r="CQ73" s="805"/>
      <c r="CR73" s="805"/>
      <c r="CS73" s="830"/>
      <c r="CT73" s="588"/>
      <c r="CU73" s="626"/>
      <c r="CV73" s="626"/>
      <c r="CW73" s="626"/>
      <c r="CX73" s="626"/>
      <c r="CY73" s="626"/>
      <c r="CZ73" s="626"/>
      <c r="DA73" s="626"/>
      <c r="DB73" s="626"/>
      <c r="DC73" s="626"/>
      <c r="DD73" s="626"/>
      <c r="DE73" s="626"/>
      <c r="DF73" s="626"/>
      <c r="DG73" s="626"/>
      <c r="DH73" s="626"/>
      <c r="DI73" s="626"/>
      <c r="DJ73" s="626"/>
      <c r="DK73" s="626"/>
      <c r="DL73" s="626"/>
      <c r="DM73" s="761"/>
      <c r="DN73" s="761"/>
      <c r="DO73" s="761"/>
      <c r="DP73" s="553"/>
      <c r="DQ73" s="553"/>
      <c r="DR73" s="553"/>
      <c r="DS73" s="553"/>
      <c r="DT73" s="553"/>
      <c r="DU73" s="553"/>
      <c r="DV73" s="553"/>
      <c r="DW73" s="553"/>
      <c r="DX73" s="553"/>
      <c r="DY73" s="553"/>
    </row>
    <row r="74" spans="1:129" customFormat="1" ht="24" customHeight="1" x14ac:dyDescent="0.9">
      <c r="A74" s="752"/>
      <c r="B74" s="588"/>
      <c r="C74" s="588"/>
      <c r="D74" s="588"/>
      <c r="E74" s="588"/>
      <c r="F74" s="588"/>
      <c r="G74" s="588"/>
      <c r="H74" s="588"/>
      <c r="I74" s="588"/>
      <c r="J74" s="588"/>
      <c r="K74" s="588"/>
      <c r="L74" s="753"/>
      <c r="M74" s="753"/>
      <c r="N74" s="588"/>
      <c r="O74" s="626"/>
      <c r="P74" s="588"/>
      <c r="Q74" s="626"/>
      <c r="R74" s="588"/>
      <c r="S74" s="588"/>
      <c r="T74" s="588"/>
      <c r="U74" s="588"/>
      <c r="V74" s="588"/>
      <c r="W74" s="588"/>
      <c r="X74" s="588"/>
      <c r="Y74" s="588"/>
      <c r="Z74" s="588"/>
      <c r="AA74" s="588"/>
      <c r="AB74" s="588"/>
      <c r="AC74" s="588"/>
      <c r="AD74" s="588"/>
      <c r="AE74" s="626"/>
      <c r="AF74" s="626"/>
      <c r="AG74" s="626"/>
      <c r="AH74" s="626"/>
      <c r="AI74" s="626"/>
      <c r="AJ74" s="626"/>
      <c r="AK74" s="626"/>
      <c r="AL74" s="626"/>
      <c r="AM74" s="626"/>
      <c r="AN74" s="626"/>
      <c r="AO74" s="626"/>
      <c r="AP74" s="626"/>
      <c r="AQ74" s="626"/>
      <c r="AR74" s="626"/>
      <c r="AS74" s="626"/>
      <c r="AT74" s="626"/>
      <c r="AU74" s="626"/>
      <c r="AV74" s="626"/>
      <c r="AW74" s="626"/>
      <c r="AX74" s="626"/>
      <c r="AY74" s="626"/>
      <c r="AZ74" s="626"/>
      <c r="BA74" s="626"/>
      <c r="BB74" s="588"/>
      <c r="BC74" s="626"/>
      <c r="BD74" s="626"/>
      <c r="BE74" s="626"/>
      <c r="BF74" s="626"/>
      <c r="BG74" s="626"/>
      <c r="BH74" s="626"/>
      <c r="BI74" s="588"/>
      <c r="BJ74" s="626"/>
      <c r="BK74" s="626"/>
      <c r="BL74" s="626"/>
      <c r="BM74" s="626"/>
      <c r="BN74" s="626"/>
      <c r="BO74" s="626"/>
      <c r="BP74" s="588"/>
      <c r="BQ74" s="846"/>
      <c r="BR74" s="850"/>
      <c r="BS74" s="588"/>
      <c r="BT74" s="754"/>
      <c r="BU74" s="588"/>
      <c r="BV74" s="588"/>
      <c r="BW74" s="588"/>
      <c r="BX74" s="588"/>
      <c r="BY74" s="588"/>
      <c r="BZ74" s="588"/>
      <c r="CA74" s="588"/>
      <c r="CB74" s="588"/>
      <c r="CC74" s="865"/>
      <c r="CD74" s="588"/>
      <c r="CE74" s="588"/>
      <c r="CF74" s="588"/>
      <c r="CG74" s="588"/>
      <c r="CH74" s="588"/>
      <c r="CI74" s="588"/>
      <c r="CJ74" s="588"/>
      <c r="CK74" s="588"/>
      <c r="CL74" s="588"/>
      <c r="CM74" s="588"/>
      <c r="CN74" s="588"/>
      <c r="CO74" s="588"/>
      <c r="CP74" s="816"/>
      <c r="CQ74" s="805"/>
      <c r="CR74" s="805"/>
      <c r="CS74" s="830"/>
      <c r="CT74" s="588"/>
      <c r="CU74" s="626"/>
      <c r="CV74" s="626"/>
      <c r="CW74" s="626"/>
      <c r="CX74" s="626"/>
      <c r="CY74" s="626"/>
      <c r="CZ74" s="626"/>
      <c r="DA74" s="626"/>
      <c r="DB74" s="626"/>
      <c r="DC74" s="626"/>
      <c r="DD74" s="626"/>
      <c r="DE74" s="626"/>
      <c r="DF74" s="626"/>
      <c r="DG74" s="626"/>
      <c r="DH74" s="626"/>
      <c r="DI74" s="626"/>
      <c r="DJ74" s="626"/>
      <c r="DK74" s="626"/>
      <c r="DL74" s="626"/>
      <c r="DM74" s="761"/>
      <c r="DN74" s="761"/>
      <c r="DO74" s="761"/>
      <c r="DP74" s="553"/>
      <c r="DQ74" s="553"/>
      <c r="DR74" s="553"/>
      <c r="DS74" s="553"/>
      <c r="DT74" s="553"/>
      <c r="DU74" s="553"/>
      <c r="DV74" s="553"/>
      <c r="DW74" s="553"/>
      <c r="DX74" s="553"/>
      <c r="DY74" s="553"/>
    </row>
    <row r="75" spans="1:129" customFormat="1" ht="24" customHeight="1" x14ac:dyDescent="0.9">
      <c r="A75" s="752"/>
      <c r="B75" s="588"/>
      <c r="C75" s="588"/>
      <c r="D75" s="588"/>
      <c r="E75" s="588"/>
      <c r="F75" s="588"/>
      <c r="G75" s="588"/>
      <c r="H75" s="588"/>
      <c r="I75" s="588"/>
      <c r="J75" s="588"/>
      <c r="K75" s="588"/>
      <c r="L75" s="753"/>
      <c r="M75" s="753"/>
      <c r="N75" s="588"/>
      <c r="O75" s="626"/>
      <c r="P75" s="588"/>
      <c r="Q75" s="626"/>
      <c r="R75" s="588"/>
      <c r="S75" s="588"/>
      <c r="T75" s="588"/>
      <c r="U75" s="588"/>
      <c r="V75" s="588"/>
      <c r="W75" s="588"/>
      <c r="X75" s="588"/>
      <c r="Y75" s="588"/>
      <c r="Z75" s="588"/>
      <c r="AA75" s="588"/>
      <c r="AB75" s="588"/>
      <c r="AC75" s="588"/>
      <c r="AD75" s="588"/>
      <c r="AE75" s="626"/>
      <c r="AF75" s="626"/>
      <c r="AG75" s="626"/>
      <c r="AH75" s="626"/>
      <c r="AI75" s="626"/>
      <c r="AJ75" s="626"/>
      <c r="AK75" s="626"/>
      <c r="AL75" s="626"/>
      <c r="AM75" s="626"/>
      <c r="AN75" s="626"/>
      <c r="AO75" s="626"/>
      <c r="AP75" s="626"/>
      <c r="AQ75" s="626"/>
      <c r="AR75" s="626"/>
      <c r="AS75" s="626"/>
      <c r="AT75" s="626"/>
      <c r="AU75" s="626"/>
      <c r="AV75" s="626"/>
      <c r="AW75" s="626"/>
      <c r="AX75" s="626"/>
      <c r="AY75" s="626"/>
      <c r="AZ75" s="626"/>
      <c r="BA75" s="626"/>
      <c r="BB75" s="588"/>
      <c r="BC75" s="626"/>
      <c r="BD75" s="626"/>
      <c r="BE75" s="626"/>
      <c r="BF75" s="626"/>
      <c r="BG75" s="626"/>
      <c r="BH75" s="626"/>
      <c r="BI75" s="588"/>
      <c r="BJ75" s="626"/>
      <c r="BK75" s="626"/>
      <c r="BL75" s="626"/>
      <c r="BM75" s="626"/>
      <c r="BN75" s="626"/>
      <c r="BO75" s="626"/>
      <c r="BP75" s="588"/>
      <c r="BQ75" s="846"/>
      <c r="BR75" s="850"/>
      <c r="BS75" s="588"/>
      <c r="BT75" s="754"/>
      <c r="BU75" s="588"/>
      <c r="BV75" s="588"/>
      <c r="BW75" s="588"/>
      <c r="BX75" s="588"/>
      <c r="BY75" s="588"/>
      <c r="BZ75" s="588"/>
      <c r="CA75" s="588"/>
      <c r="CB75" s="588"/>
      <c r="CC75" s="865"/>
      <c r="CD75" s="588"/>
      <c r="CE75" s="588"/>
      <c r="CF75" s="588"/>
      <c r="CG75" s="588"/>
      <c r="CH75" s="588"/>
      <c r="CI75" s="588"/>
      <c r="CJ75" s="588"/>
      <c r="CK75" s="588"/>
      <c r="CL75" s="588"/>
      <c r="CM75" s="588"/>
      <c r="CN75" s="588"/>
      <c r="CO75" s="588"/>
      <c r="CP75" s="816"/>
      <c r="CQ75" s="805"/>
      <c r="CR75" s="805"/>
      <c r="CS75" s="830"/>
      <c r="CT75" s="588"/>
      <c r="CU75" s="626"/>
      <c r="CV75" s="626"/>
      <c r="CW75" s="626"/>
      <c r="CX75" s="626"/>
      <c r="CY75" s="626"/>
      <c r="CZ75" s="626"/>
      <c r="DA75" s="626"/>
      <c r="DB75" s="626"/>
      <c r="DC75" s="626"/>
      <c r="DD75" s="626"/>
      <c r="DE75" s="626"/>
      <c r="DF75" s="626"/>
      <c r="DG75" s="626"/>
      <c r="DH75" s="626"/>
      <c r="DI75" s="626"/>
      <c r="DJ75" s="626"/>
      <c r="DK75" s="626"/>
      <c r="DL75" s="626"/>
      <c r="DM75" s="761"/>
      <c r="DN75" s="761"/>
      <c r="DO75" s="761"/>
      <c r="DP75" s="553"/>
      <c r="DQ75" s="553"/>
      <c r="DR75" s="553"/>
      <c r="DS75" s="553"/>
      <c r="DT75" s="553"/>
      <c r="DU75" s="553"/>
      <c r="DV75" s="553"/>
      <c r="DW75" s="553"/>
      <c r="DX75" s="553"/>
      <c r="DY75" s="553"/>
    </row>
    <row r="76" spans="1:129" customFormat="1" ht="24" customHeight="1" x14ac:dyDescent="0.9">
      <c r="A76" s="752"/>
      <c r="B76" s="588"/>
      <c r="C76" s="588"/>
      <c r="D76" s="588"/>
      <c r="E76" s="588"/>
      <c r="F76" s="588"/>
      <c r="G76" s="588"/>
      <c r="H76" s="588"/>
      <c r="I76" s="588"/>
      <c r="J76" s="588"/>
      <c r="K76" s="588"/>
      <c r="L76" s="753"/>
      <c r="M76" s="753"/>
      <c r="N76" s="588"/>
      <c r="O76" s="626"/>
      <c r="P76" s="588"/>
      <c r="Q76" s="626"/>
      <c r="R76" s="588"/>
      <c r="S76" s="588"/>
      <c r="T76" s="588"/>
      <c r="U76" s="588"/>
      <c r="V76" s="588"/>
      <c r="W76" s="588"/>
      <c r="X76" s="588"/>
      <c r="Y76" s="588"/>
      <c r="Z76" s="588"/>
      <c r="AA76" s="588"/>
      <c r="AB76" s="588"/>
      <c r="AC76" s="588"/>
      <c r="AD76" s="588"/>
      <c r="AE76" s="626"/>
      <c r="AF76" s="626"/>
      <c r="AG76" s="626"/>
      <c r="AH76" s="626"/>
      <c r="AI76" s="626"/>
      <c r="AJ76" s="626"/>
      <c r="AK76" s="626"/>
      <c r="AL76" s="626"/>
      <c r="AM76" s="626"/>
      <c r="AN76" s="626"/>
      <c r="AO76" s="626"/>
      <c r="AP76" s="626"/>
      <c r="AQ76" s="626"/>
      <c r="AR76" s="626"/>
      <c r="AS76" s="626"/>
      <c r="AT76" s="626"/>
      <c r="AU76" s="626"/>
      <c r="AV76" s="626"/>
      <c r="AW76" s="626"/>
      <c r="AX76" s="626"/>
      <c r="AY76" s="626"/>
      <c r="AZ76" s="626"/>
      <c r="BA76" s="626"/>
      <c r="BB76" s="588"/>
      <c r="BC76" s="626"/>
      <c r="BD76" s="626"/>
      <c r="BE76" s="626"/>
      <c r="BF76" s="626"/>
      <c r="BG76" s="626"/>
      <c r="BH76" s="626"/>
      <c r="BI76" s="588"/>
      <c r="BJ76" s="626"/>
      <c r="BK76" s="626"/>
      <c r="BL76" s="626"/>
      <c r="BM76" s="626"/>
      <c r="BN76" s="626"/>
      <c r="BO76" s="626"/>
      <c r="BP76" s="588"/>
      <c r="BQ76" s="846"/>
      <c r="BR76" s="850"/>
      <c r="BS76" s="588"/>
      <c r="BT76" s="754"/>
      <c r="BU76" s="588"/>
      <c r="BV76" s="588"/>
      <c r="BW76" s="588"/>
      <c r="BX76" s="588"/>
      <c r="BY76" s="588"/>
      <c r="BZ76" s="588"/>
      <c r="CA76" s="588"/>
      <c r="CB76" s="588"/>
      <c r="CC76" s="865"/>
      <c r="CD76" s="588"/>
      <c r="CE76" s="588"/>
      <c r="CF76" s="588"/>
      <c r="CG76" s="588"/>
      <c r="CH76" s="588"/>
      <c r="CI76" s="588"/>
      <c r="CJ76" s="588"/>
      <c r="CK76" s="588"/>
      <c r="CL76" s="588"/>
      <c r="CM76" s="588"/>
      <c r="CN76" s="588"/>
      <c r="CO76" s="588"/>
      <c r="CP76" s="816"/>
      <c r="CQ76" s="805"/>
      <c r="CR76" s="805"/>
      <c r="CS76" s="830"/>
      <c r="CT76" s="588"/>
      <c r="CU76" s="626"/>
      <c r="CV76" s="626"/>
      <c r="CW76" s="626"/>
      <c r="CX76" s="626"/>
      <c r="CY76" s="626"/>
      <c r="CZ76" s="626"/>
      <c r="DA76" s="626"/>
      <c r="DB76" s="626"/>
      <c r="DC76" s="626"/>
      <c r="DD76" s="626"/>
      <c r="DE76" s="626"/>
      <c r="DF76" s="626"/>
      <c r="DG76" s="626"/>
      <c r="DH76" s="626"/>
      <c r="DI76" s="626"/>
      <c r="DJ76" s="626"/>
      <c r="DK76" s="626"/>
      <c r="DL76" s="626"/>
      <c r="DM76" s="761"/>
      <c r="DN76" s="761"/>
      <c r="DO76" s="761"/>
      <c r="DP76" s="553"/>
      <c r="DQ76" s="553"/>
      <c r="DR76" s="553"/>
      <c r="DS76" s="553"/>
      <c r="DT76" s="553"/>
      <c r="DU76" s="553"/>
      <c r="DV76" s="553"/>
      <c r="DW76" s="553"/>
      <c r="DX76" s="553"/>
      <c r="DY76" s="553"/>
    </row>
    <row r="77" spans="1:129" customFormat="1" ht="24" customHeight="1" x14ac:dyDescent="0.9">
      <c r="A77" s="752"/>
      <c r="B77" s="588"/>
      <c r="C77" s="588"/>
      <c r="D77" s="588"/>
      <c r="E77" s="588"/>
      <c r="F77" s="588"/>
      <c r="G77" s="588"/>
      <c r="H77" s="588"/>
      <c r="I77" s="588"/>
      <c r="J77" s="588"/>
      <c r="K77" s="588"/>
      <c r="L77" s="753"/>
      <c r="M77" s="753"/>
      <c r="N77" s="588"/>
      <c r="O77" s="626"/>
      <c r="P77" s="588"/>
      <c r="Q77" s="626"/>
      <c r="R77" s="588"/>
      <c r="S77" s="588"/>
      <c r="T77" s="588"/>
      <c r="U77" s="588"/>
      <c r="V77" s="588"/>
      <c r="W77" s="588"/>
      <c r="X77" s="588"/>
      <c r="Y77" s="588"/>
      <c r="Z77" s="588"/>
      <c r="AA77" s="588"/>
      <c r="AB77" s="588"/>
      <c r="AC77" s="588"/>
      <c r="AD77" s="588"/>
      <c r="AE77" s="626"/>
      <c r="AF77" s="626"/>
      <c r="AG77" s="626"/>
      <c r="AH77" s="626"/>
      <c r="AI77" s="626"/>
      <c r="AJ77" s="626"/>
      <c r="AK77" s="626"/>
      <c r="AL77" s="626"/>
      <c r="AM77" s="626"/>
      <c r="AN77" s="626"/>
      <c r="AO77" s="626"/>
      <c r="AP77" s="626"/>
      <c r="AQ77" s="626"/>
      <c r="AR77" s="626"/>
      <c r="AS77" s="626"/>
      <c r="AT77" s="626"/>
      <c r="AU77" s="626"/>
      <c r="AV77" s="626"/>
      <c r="AW77" s="626"/>
      <c r="AX77" s="626"/>
      <c r="AY77" s="626"/>
      <c r="AZ77" s="626"/>
      <c r="BA77" s="626"/>
      <c r="BB77" s="588"/>
      <c r="BC77" s="626"/>
      <c r="BD77" s="626"/>
      <c r="BE77" s="626"/>
      <c r="BF77" s="626"/>
      <c r="BG77" s="626"/>
      <c r="BH77" s="626"/>
      <c r="BI77" s="588"/>
      <c r="BJ77" s="626"/>
      <c r="BK77" s="626"/>
      <c r="BL77" s="626"/>
      <c r="BM77" s="626"/>
      <c r="BN77" s="626"/>
      <c r="BO77" s="626"/>
      <c r="BP77" s="588"/>
      <c r="BQ77" s="846"/>
      <c r="BR77" s="850"/>
      <c r="BS77" s="588"/>
      <c r="BT77" s="754"/>
      <c r="BU77" s="588"/>
      <c r="BV77" s="588"/>
      <c r="BW77" s="588"/>
      <c r="BX77" s="588"/>
      <c r="BY77" s="588"/>
      <c r="BZ77" s="588"/>
      <c r="CA77" s="588"/>
      <c r="CB77" s="588"/>
      <c r="CC77" s="865"/>
      <c r="CD77" s="588"/>
      <c r="CE77" s="588"/>
      <c r="CF77" s="588"/>
      <c r="CG77" s="588"/>
      <c r="CH77" s="588"/>
      <c r="CI77" s="588"/>
      <c r="CJ77" s="588"/>
      <c r="CK77" s="588"/>
      <c r="CL77" s="588"/>
      <c r="CM77" s="588"/>
      <c r="CN77" s="588"/>
      <c r="CO77" s="588"/>
      <c r="CP77" s="816"/>
      <c r="CQ77" s="805"/>
      <c r="CR77" s="805"/>
      <c r="CS77" s="830"/>
      <c r="CT77" s="588"/>
      <c r="CU77" s="626"/>
      <c r="CV77" s="626"/>
      <c r="CW77" s="626"/>
      <c r="CX77" s="626"/>
      <c r="CY77" s="626"/>
      <c r="CZ77" s="626"/>
      <c r="DA77" s="626"/>
      <c r="DB77" s="626"/>
      <c r="DC77" s="626"/>
      <c r="DD77" s="626"/>
      <c r="DE77" s="626"/>
      <c r="DF77" s="626"/>
      <c r="DG77" s="626"/>
      <c r="DH77" s="626"/>
      <c r="DI77" s="626"/>
      <c r="DJ77" s="626"/>
      <c r="DK77" s="626"/>
      <c r="DL77" s="626"/>
      <c r="DM77" s="761"/>
      <c r="DN77" s="761"/>
      <c r="DO77" s="761"/>
      <c r="DP77" s="553"/>
      <c r="DQ77" s="553"/>
      <c r="DR77" s="553"/>
      <c r="DS77" s="553"/>
      <c r="DT77" s="553"/>
      <c r="DU77" s="553"/>
      <c r="DV77" s="553"/>
      <c r="DW77" s="553"/>
      <c r="DX77" s="553"/>
      <c r="DY77" s="553"/>
    </row>
    <row r="78" spans="1:129" customFormat="1" ht="24" customHeight="1" x14ac:dyDescent="0.9">
      <c r="A78" s="752"/>
      <c r="B78" s="588"/>
      <c r="C78" s="588"/>
      <c r="D78" s="588"/>
      <c r="E78" s="588"/>
      <c r="F78" s="588"/>
      <c r="G78" s="588"/>
      <c r="H78" s="588"/>
      <c r="I78" s="588"/>
      <c r="J78" s="588"/>
      <c r="K78" s="588"/>
      <c r="L78" s="753"/>
      <c r="M78" s="753"/>
      <c r="N78" s="588"/>
      <c r="O78" s="626"/>
      <c r="P78" s="588"/>
      <c r="Q78" s="626"/>
      <c r="R78" s="588"/>
      <c r="S78" s="588"/>
      <c r="T78" s="588"/>
      <c r="U78" s="588"/>
      <c r="V78" s="588"/>
      <c r="W78" s="588"/>
      <c r="X78" s="588"/>
      <c r="Y78" s="588"/>
      <c r="Z78" s="588"/>
      <c r="AA78" s="588"/>
      <c r="AB78" s="588"/>
      <c r="AC78" s="588"/>
      <c r="AD78" s="588"/>
      <c r="AE78" s="626"/>
      <c r="AF78" s="626"/>
      <c r="AG78" s="626"/>
      <c r="AH78" s="626"/>
      <c r="AI78" s="626"/>
      <c r="AJ78" s="626"/>
      <c r="AK78" s="626"/>
      <c r="AL78" s="626"/>
      <c r="AM78" s="626"/>
      <c r="AN78" s="626"/>
      <c r="AO78" s="626"/>
      <c r="AP78" s="626"/>
      <c r="AQ78" s="626"/>
      <c r="AR78" s="626"/>
      <c r="AS78" s="626"/>
      <c r="AT78" s="626"/>
      <c r="AU78" s="626"/>
      <c r="AV78" s="626"/>
      <c r="AW78" s="626"/>
      <c r="AX78" s="626"/>
      <c r="AY78" s="626"/>
      <c r="AZ78" s="626"/>
      <c r="BA78" s="626"/>
      <c r="BB78" s="588"/>
      <c r="BC78" s="626"/>
      <c r="BD78" s="626"/>
      <c r="BE78" s="626"/>
      <c r="BF78" s="626"/>
      <c r="BG78" s="626"/>
      <c r="BH78" s="626"/>
      <c r="BI78" s="588"/>
      <c r="BJ78" s="626"/>
      <c r="BK78" s="626"/>
      <c r="BL78" s="626"/>
      <c r="BM78" s="626"/>
      <c r="BN78" s="626"/>
      <c r="BO78" s="626"/>
      <c r="BP78" s="588"/>
      <c r="BQ78" s="846"/>
      <c r="BR78" s="850"/>
      <c r="BS78" s="588"/>
      <c r="BT78" s="754"/>
      <c r="BU78" s="588"/>
      <c r="BV78" s="588"/>
      <c r="BW78" s="588"/>
      <c r="BX78" s="588"/>
      <c r="BY78" s="588"/>
      <c r="BZ78" s="588"/>
      <c r="CA78" s="588"/>
      <c r="CB78" s="588"/>
      <c r="CC78" s="865"/>
      <c r="CD78" s="588"/>
      <c r="CE78" s="588"/>
      <c r="CF78" s="588"/>
      <c r="CG78" s="588"/>
      <c r="CH78" s="588"/>
      <c r="CI78" s="588"/>
      <c r="CJ78" s="588"/>
      <c r="CK78" s="588"/>
      <c r="CL78" s="588"/>
      <c r="CM78" s="588"/>
      <c r="CN78" s="588"/>
      <c r="CO78" s="588"/>
      <c r="CP78" s="816"/>
      <c r="CQ78" s="805"/>
      <c r="CR78" s="805"/>
      <c r="CS78" s="830"/>
      <c r="CT78" s="588"/>
      <c r="CU78" s="626"/>
      <c r="CV78" s="626"/>
      <c r="CW78" s="626"/>
      <c r="CX78" s="626"/>
      <c r="CY78" s="626"/>
      <c r="CZ78" s="626"/>
      <c r="DA78" s="626"/>
      <c r="DB78" s="626"/>
      <c r="DC78" s="626"/>
      <c r="DD78" s="626"/>
      <c r="DE78" s="626"/>
      <c r="DF78" s="626"/>
      <c r="DG78" s="626"/>
      <c r="DH78" s="626"/>
      <c r="DI78" s="626"/>
      <c r="DJ78" s="626"/>
      <c r="DK78" s="626"/>
      <c r="DL78" s="626"/>
      <c r="DM78" s="761"/>
      <c r="DN78" s="761"/>
      <c r="DO78" s="761"/>
      <c r="DP78" s="553"/>
      <c r="DQ78" s="553"/>
      <c r="DR78" s="553"/>
      <c r="DS78" s="553"/>
      <c r="DT78" s="553"/>
      <c r="DU78" s="553"/>
      <c r="DV78" s="553"/>
      <c r="DW78" s="553"/>
      <c r="DX78" s="553"/>
      <c r="DY78" s="553"/>
    </row>
    <row r="79" spans="1:129" customFormat="1" ht="24" customHeight="1" x14ac:dyDescent="0.9">
      <c r="A79" s="752"/>
      <c r="B79" s="588"/>
      <c r="C79" s="588"/>
      <c r="D79" s="588"/>
      <c r="E79" s="588"/>
      <c r="F79" s="588"/>
      <c r="G79" s="588"/>
      <c r="H79" s="588"/>
      <c r="I79" s="588"/>
      <c r="J79" s="588"/>
      <c r="K79" s="588"/>
      <c r="L79" s="753"/>
      <c r="M79" s="753"/>
      <c r="N79" s="588"/>
      <c r="O79" s="626"/>
      <c r="P79" s="588"/>
      <c r="Q79" s="626"/>
      <c r="R79" s="588"/>
      <c r="S79" s="588"/>
      <c r="T79" s="588"/>
      <c r="U79" s="588"/>
      <c r="V79" s="588"/>
      <c r="W79" s="588"/>
      <c r="X79" s="588"/>
      <c r="Y79" s="588"/>
      <c r="Z79" s="588"/>
      <c r="AA79" s="588"/>
      <c r="AB79" s="588"/>
      <c r="AC79" s="588"/>
      <c r="AD79" s="588"/>
      <c r="AE79" s="626"/>
      <c r="AF79" s="626"/>
      <c r="AG79" s="626"/>
      <c r="AH79" s="626"/>
      <c r="AI79" s="626"/>
      <c r="AJ79" s="626"/>
      <c r="AK79" s="626"/>
      <c r="AL79" s="626"/>
      <c r="AM79" s="626"/>
      <c r="AN79" s="626"/>
      <c r="AO79" s="626"/>
      <c r="AP79" s="626"/>
      <c r="AQ79" s="626"/>
      <c r="AR79" s="626"/>
      <c r="AS79" s="626"/>
      <c r="AT79" s="626"/>
      <c r="AU79" s="626"/>
      <c r="AV79" s="626"/>
      <c r="AW79" s="626"/>
      <c r="AX79" s="626"/>
      <c r="AY79" s="626"/>
      <c r="AZ79" s="626"/>
      <c r="BA79" s="626"/>
      <c r="BB79" s="588"/>
      <c r="BC79" s="626"/>
      <c r="BD79" s="626"/>
      <c r="BE79" s="626"/>
      <c r="BF79" s="626"/>
      <c r="BG79" s="626"/>
      <c r="BH79" s="626"/>
      <c r="BI79" s="588"/>
      <c r="BJ79" s="626"/>
      <c r="BK79" s="626"/>
      <c r="BL79" s="626"/>
      <c r="BM79" s="626"/>
      <c r="BN79" s="626"/>
      <c r="BO79" s="626"/>
      <c r="BP79" s="588"/>
      <c r="BQ79" s="846"/>
      <c r="BR79" s="850"/>
      <c r="BS79" s="588"/>
      <c r="BT79" s="754"/>
      <c r="BU79" s="588"/>
      <c r="BV79" s="588"/>
      <c r="BW79" s="588"/>
      <c r="BX79" s="588"/>
      <c r="BY79" s="588"/>
      <c r="BZ79" s="588"/>
      <c r="CA79" s="588"/>
      <c r="CB79" s="588"/>
      <c r="CC79" s="865"/>
      <c r="CD79" s="588"/>
      <c r="CE79" s="588"/>
      <c r="CF79" s="588"/>
      <c r="CG79" s="588"/>
      <c r="CH79" s="588"/>
      <c r="CI79" s="588"/>
      <c r="CJ79" s="588"/>
      <c r="CK79" s="588"/>
      <c r="CL79" s="588"/>
      <c r="CM79" s="588"/>
      <c r="CN79" s="588"/>
      <c r="CO79" s="588"/>
      <c r="CP79" s="816"/>
      <c r="CQ79" s="805"/>
      <c r="CR79" s="805"/>
      <c r="CS79" s="830"/>
      <c r="CT79" s="588"/>
      <c r="CU79" s="626"/>
      <c r="CV79" s="626"/>
      <c r="CW79" s="626"/>
      <c r="CX79" s="626"/>
      <c r="CY79" s="626"/>
      <c r="CZ79" s="626"/>
      <c r="DA79" s="626"/>
      <c r="DB79" s="626"/>
      <c r="DC79" s="626"/>
      <c r="DD79" s="626"/>
      <c r="DE79" s="626"/>
      <c r="DF79" s="626"/>
      <c r="DG79" s="626"/>
      <c r="DH79" s="626"/>
      <c r="DI79" s="626"/>
      <c r="DJ79" s="626"/>
      <c r="DK79" s="626"/>
      <c r="DL79" s="626"/>
      <c r="DM79" s="761"/>
      <c r="DN79" s="761"/>
      <c r="DO79" s="761"/>
      <c r="DP79" s="553"/>
      <c r="DQ79" s="553"/>
      <c r="DR79" s="553"/>
      <c r="DS79" s="553"/>
      <c r="DT79" s="553"/>
      <c r="DU79" s="553"/>
      <c r="DV79" s="553"/>
      <c r="DW79" s="553"/>
      <c r="DX79" s="553"/>
      <c r="DY79" s="553"/>
    </row>
    <row r="80" spans="1:129" customFormat="1" ht="24" customHeight="1" x14ac:dyDescent="0.9">
      <c r="A80" s="752"/>
      <c r="B80" s="588"/>
      <c r="C80" s="588"/>
      <c r="D80" s="588"/>
      <c r="E80" s="588"/>
      <c r="F80" s="588"/>
      <c r="G80" s="588"/>
      <c r="H80" s="588"/>
      <c r="I80" s="588"/>
      <c r="J80" s="588"/>
      <c r="K80" s="588"/>
      <c r="L80" s="753"/>
      <c r="M80" s="753"/>
      <c r="N80" s="588"/>
      <c r="O80" s="626"/>
      <c r="P80" s="588"/>
      <c r="Q80" s="626"/>
      <c r="R80" s="588"/>
      <c r="S80" s="588"/>
      <c r="T80" s="588"/>
      <c r="U80" s="588"/>
      <c r="V80" s="588"/>
      <c r="W80" s="588"/>
      <c r="X80" s="588"/>
      <c r="Y80" s="588"/>
      <c r="Z80" s="588"/>
      <c r="AA80" s="588"/>
      <c r="AB80" s="588"/>
      <c r="AC80" s="588"/>
      <c r="AD80" s="588"/>
      <c r="AE80" s="626"/>
      <c r="AF80" s="626"/>
      <c r="AG80" s="626"/>
      <c r="AH80" s="626"/>
      <c r="AI80" s="626"/>
      <c r="AJ80" s="626"/>
      <c r="AK80" s="626"/>
      <c r="AL80" s="626"/>
      <c r="AM80" s="626"/>
      <c r="AN80" s="626"/>
      <c r="AO80" s="626"/>
      <c r="AP80" s="626"/>
      <c r="AQ80" s="626"/>
      <c r="AR80" s="626"/>
      <c r="AS80" s="626"/>
      <c r="AT80" s="626"/>
      <c r="AU80" s="626"/>
      <c r="AV80" s="626"/>
      <c r="AW80" s="626"/>
      <c r="AX80" s="626"/>
      <c r="AY80" s="626"/>
      <c r="AZ80" s="626"/>
      <c r="BA80" s="626"/>
      <c r="BB80" s="588"/>
      <c r="BC80" s="626"/>
      <c r="BD80" s="626"/>
      <c r="BE80" s="626"/>
      <c r="BF80" s="626"/>
      <c r="BG80" s="626"/>
      <c r="BH80" s="626"/>
      <c r="BI80" s="588"/>
      <c r="BJ80" s="626"/>
      <c r="BK80" s="626"/>
      <c r="BL80" s="626"/>
      <c r="BM80" s="626"/>
      <c r="BN80" s="626"/>
      <c r="BO80" s="626"/>
      <c r="BP80" s="588"/>
      <c r="BQ80" s="846"/>
      <c r="BR80" s="850"/>
      <c r="BS80" s="588"/>
      <c r="BT80" s="754"/>
      <c r="BU80" s="588"/>
      <c r="BV80" s="588"/>
      <c r="BW80" s="588"/>
      <c r="BX80" s="588"/>
      <c r="BY80" s="588"/>
      <c r="BZ80" s="588"/>
      <c r="CA80" s="588"/>
      <c r="CB80" s="588"/>
      <c r="CC80" s="865"/>
      <c r="CD80" s="588"/>
      <c r="CE80" s="588"/>
      <c r="CF80" s="588"/>
      <c r="CG80" s="588"/>
      <c r="CH80" s="588"/>
      <c r="CI80" s="588"/>
      <c r="CJ80" s="588"/>
      <c r="CK80" s="588"/>
      <c r="CL80" s="588"/>
      <c r="CM80" s="588"/>
      <c r="CN80" s="588"/>
      <c r="CO80" s="588"/>
      <c r="CP80" s="816"/>
      <c r="CQ80" s="805"/>
      <c r="CR80" s="805"/>
      <c r="CS80" s="830"/>
      <c r="CT80" s="588"/>
      <c r="CU80" s="626"/>
      <c r="CV80" s="626"/>
      <c r="CW80" s="626"/>
      <c r="CX80" s="626"/>
      <c r="CY80" s="626"/>
      <c r="CZ80" s="626"/>
      <c r="DA80" s="626"/>
      <c r="DB80" s="626"/>
      <c r="DC80" s="626"/>
      <c r="DD80" s="626"/>
      <c r="DE80" s="626"/>
      <c r="DF80" s="626"/>
      <c r="DG80" s="626"/>
      <c r="DH80" s="626"/>
      <c r="DI80" s="626"/>
      <c r="DJ80" s="626"/>
      <c r="DK80" s="626"/>
      <c r="DL80" s="626"/>
      <c r="DM80" s="761"/>
      <c r="DN80" s="761"/>
      <c r="DO80" s="761"/>
      <c r="DP80" s="553"/>
      <c r="DQ80" s="553"/>
      <c r="DR80" s="553"/>
      <c r="DS80" s="553"/>
      <c r="DT80" s="553"/>
      <c r="DU80" s="553"/>
      <c r="DV80" s="553"/>
      <c r="DW80" s="553"/>
      <c r="DX80" s="553"/>
      <c r="DY80" s="553"/>
    </row>
    <row r="81" spans="1:129" customFormat="1" ht="24" customHeight="1" x14ac:dyDescent="0.9">
      <c r="A81" s="752"/>
      <c r="B81" s="588"/>
      <c r="C81" s="588"/>
      <c r="D81" s="588"/>
      <c r="E81" s="588"/>
      <c r="F81" s="588"/>
      <c r="G81" s="588"/>
      <c r="H81" s="588"/>
      <c r="I81" s="588"/>
      <c r="J81" s="588"/>
      <c r="K81" s="588"/>
      <c r="L81" s="753"/>
      <c r="M81" s="753"/>
      <c r="N81" s="588"/>
      <c r="O81" s="626"/>
      <c r="P81" s="588"/>
      <c r="Q81" s="626"/>
      <c r="R81" s="588"/>
      <c r="S81" s="588"/>
      <c r="T81" s="588"/>
      <c r="U81" s="588"/>
      <c r="V81" s="588"/>
      <c r="W81" s="588"/>
      <c r="X81" s="588"/>
      <c r="Y81" s="588"/>
      <c r="Z81" s="588"/>
      <c r="AA81" s="588"/>
      <c r="AB81" s="588"/>
      <c r="AC81" s="588"/>
      <c r="AD81" s="588"/>
      <c r="AE81" s="626"/>
      <c r="AF81" s="626"/>
      <c r="AG81" s="626"/>
      <c r="AH81" s="626"/>
      <c r="AI81" s="626"/>
      <c r="AJ81" s="626"/>
      <c r="AK81" s="626"/>
      <c r="AL81" s="626"/>
      <c r="AM81" s="626"/>
      <c r="AN81" s="626"/>
      <c r="AO81" s="626"/>
      <c r="AP81" s="626"/>
      <c r="AQ81" s="626"/>
      <c r="AR81" s="626"/>
      <c r="AS81" s="626"/>
      <c r="AT81" s="626"/>
      <c r="AU81" s="626"/>
      <c r="AV81" s="626"/>
      <c r="AW81" s="626"/>
      <c r="AX81" s="626"/>
      <c r="AY81" s="626"/>
      <c r="AZ81" s="626"/>
      <c r="BA81" s="626"/>
      <c r="BB81" s="588"/>
      <c r="BC81" s="626"/>
      <c r="BD81" s="626"/>
      <c r="BE81" s="626"/>
      <c r="BF81" s="626"/>
      <c r="BG81" s="626"/>
      <c r="BH81" s="626"/>
      <c r="BI81" s="588"/>
      <c r="BJ81" s="626"/>
      <c r="BK81" s="626"/>
      <c r="BL81" s="626"/>
      <c r="BM81" s="626"/>
      <c r="BN81" s="626"/>
      <c r="BO81" s="626"/>
      <c r="BP81" s="588"/>
      <c r="BQ81" s="846"/>
      <c r="BR81" s="850"/>
      <c r="BS81" s="588"/>
      <c r="BT81" s="754"/>
      <c r="BU81" s="588"/>
      <c r="BV81" s="588"/>
      <c r="BW81" s="588"/>
      <c r="BX81" s="588"/>
      <c r="BY81" s="588"/>
      <c r="BZ81" s="588"/>
      <c r="CA81" s="588"/>
      <c r="CB81" s="588"/>
      <c r="CC81" s="865"/>
      <c r="CD81" s="588"/>
      <c r="CE81" s="588"/>
      <c r="CF81" s="588"/>
      <c r="CG81" s="588"/>
      <c r="CH81" s="588"/>
      <c r="CI81" s="588"/>
      <c r="CJ81" s="588"/>
      <c r="CK81" s="588"/>
      <c r="CL81" s="588"/>
      <c r="CM81" s="588"/>
      <c r="CN81" s="588"/>
      <c r="CO81" s="588"/>
      <c r="CP81" s="816"/>
      <c r="CQ81" s="805"/>
      <c r="CR81" s="805"/>
      <c r="CS81" s="830"/>
      <c r="CT81" s="588"/>
      <c r="CU81" s="626"/>
      <c r="CV81" s="626"/>
      <c r="CW81" s="626"/>
      <c r="CX81" s="626"/>
      <c r="CY81" s="626"/>
      <c r="CZ81" s="626"/>
      <c r="DA81" s="626"/>
      <c r="DB81" s="626"/>
      <c r="DC81" s="626"/>
      <c r="DD81" s="626"/>
      <c r="DE81" s="626"/>
      <c r="DF81" s="626"/>
      <c r="DG81" s="626"/>
      <c r="DH81" s="626"/>
      <c r="DI81" s="626"/>
      <c r="DJ81" s="626"/>
      <c r="DK81" s="626"/>
      <c r="DL81" s="626"/>
      <c r="DM81" s="761"/>
      <c r="DN81" s="761"/>
      <c r="DO81" s="761"/>
      <c r="DP81" s="553"/>
      <c r="DQ81" s="553"/>
      <c r="DR81" s="553"/>
      <c r="DS81" s="553"/>
      <c r="DT81" s="553"/>
      <c r="DU81" s="553"/>
      <c r="DV81" s="553"/>
      <c r="DW81" s="553"/>
      <c r="DX81" s="553"/>
      <c r="DY81" s="553"/>
    </row>
    <row r="82" spans="1:129" customFormat="1" ht="24" customHeight="1" x14ac:dyDescent="0.9">
      <c r="A82" s="752"/>
      <c r="B82" s="588"/>
      <c r="C82" s="588"/>
      <c r="D82" s="588"/>
      <c r="E82" s="588"/>
      <c r="F82" s="588"/>
      <c r="G82" s="588"/>
      <c r="H82" s="588"/>
      <c r="I82" s="588"/>
      <c r="J82" s="588"/>
      <c r="K82" s="588"/>
      <c r="L82" s="753"/>
      <c r="M82" s="753"/>
      <c r="N82" s="588"/>
      <c r="O82" s="626"/>
      <c r="P82" s="588"/>
      <c r="Q82" s="626"/>
      <c r="R82" s="588"/>
      <c r="S82" s="588"/>
      <c r="T82" s="588"/>
      <c r="U82" s="588"/>
      <c r="V82" s="588"/>
      <c r="W82" s="588"/>
      <c r="X82" s="588"/>
      <c r="Y82" s="588"/>
      <c r="Z82" s="588"/>
      <c r="AA82" s="588"/>
      <c r="AB82" s="588"/>
      <c r="AC82" s="588"/>
      <c r="AD82" s="588"/>
      <c r="AE82" s="626"/>
      <c r="AF82" s="626"/>
      <c r="AG82" s="626"/>
      <c r="AH82" s="626"/>
      <c r="AI82" s="626"/>
      <c r="AJ82" s="626"/>
      <c r="AK82" s="626"/>
      <c r="AL82" s="626"/>
      <c r="AM82" s="626"/>
      <c r="AN82" s="626"/>
      <c r="AO82" s="626"/>
      <c r="AP82" s="626"/>
      <c r="AQ82" s="626"/>
      <c r="AR82" s="626"/>
      <c r="AS82" s="626"/>
      <c r="AT82" s="626"/>
      <c r="AU82" s="626"/>
      <c r="AV82" s="626"/>
      <c r="AW82" s="626"/>
      <c r="AX82" s="626"/>
      <c r="AY82" s="626"/>
      <c r="AZ82" s="626"/>
      <c r="BA82" s="626"/>
      <c r="BB82" s="588"/>
      <c r="BC82" s="626"/>
      <c r="BD82" s="626"/>
      <c r="BE82" s="626"/>
      <c r="BF82" s="626"/>
      <c r="BG82" s="626"/>
      <c r="BH82" s="626"/>
      <c r="BI82" s="588"/>
      <c r="BJ82" s="626"/>
      <c r="BK82" s="626"/>
      <c r="BL82" s="626"/>
      <c r="BM82" s="626"/>
      <c r="BN82" s="626"/>
      <c r="BO82" s="626"/>
      <c r="BP82" s="588"/>
      <c r="BQ82" s="846"/>
      <c r="BR82" s="850"/>
      <c r="BS82" s="588"/>
      <c r="BT82" s="754"/>
      <c r="BU82" s="588"/>
      <c r="BV82" s="588"/>
      <c r="BW82" s="588"/>
      <c r="BX82" s="588"/>
      <c r="BY82" s="588"/>
      <c r="BZ82" s="588"/>
      <c r="CA82" s="588"/>
      <c r="CB82" s="588"/>
      <c r="CC82" s="865"/>
      <c r="CD82" s="588"/>
      <c r="CE82" s="588"/>
      <c r="CF82" s="588"/>
      <c r="CG82" s="588"/>
      <c r="CH82" s="588"/>
      <c r="CI82" s="588"/>
      <c r="CJ82" s="588"/>
      <c r="CK82" s="588"/>
      <c r="CL82" s="588"/>
      <c r="CM82" s="588"/>
      <c r="CN82" s="588"/>
      <c r="CO82" s="588"/>
      <c r="CP82" s="816"/>
      <c r="CQ82" s="805"/>
      <c r="CR82" s="805"/>
      <c r="CS82" s="830"/>
      <c r="CT82" s="588"/>
      <c r="CU82" s="626"/>
      <c r="CV82" s="626"/>
      <c r="CW82" s="626"/>
      <c r="CX82" s="626"/>
      <c r="CY82" s="626"/>
      <c r="CZ82" s="626"/>
      <c r="DA82" s="626"/>
      <c r="DB82" s="626"/>
      <c r="DC82" s="626"/>
      <c r="DD82" s="626"/>
      <c r="DE82" s="626"/>
      <c r="DF82" s="626"/>
      <c r="DG82" s="626"/>
      <c r="DH82" s="626"/>
      <c r="DI82" s="626"/>
      <c r="DJ82" s="626"/>
      <c r="DK82" s="626"/>
      <c r="DL82" s="626"/>
      <c r="DM82" s="761"/>
      <c r="DN82" s="761"/>
      <c r="DO82" s="761"/>
      <c r="DP82" s="553"/>
      <c r="DQ82" s="553"/>
      <c r="DR82" s="553"/>
      <c r="DS82" s="553"/>
      <c r="DT82" s="553"/>
      <c r="DU82" s="553"/>
      <c r="DV82" s="553"/>
      <c r="DW82" s="553"/>
      <c r="DX82" s="553"/>
      <c r="DY82" s="553"/>
    </row>
    <row r="83" spans="1:129" customFormat="1" ht="24" customHeight="1" x14ac:dyDescent="0.9">
      <c r="A83" s="752"/>
      <c r="B83" s="588"/>
      <c r="C83" s="588"/>
      <c r="D83" s="588"/>
      <c r="E83" s="588"/>
      <c r="F83" s="588"/>
      <c r="G83" s="588"/>
      <c r="H83" s="588"/>
      <c r="I83" s="588"/>
      <c r="J83" s="588"/>
      <c r="K83" s="588"/>
      <c r="L83" s="753"/>
      <c r="M83" s="753"/>
      <c r="N83" s="588"/>
      <c r="O83" s="626"/>
      <c r="P83" s="588"/>
      <c r="Q83" s="626"/>
      <c r="R83" s="588"/>
      <c r="S83" s="588"/>
      <c r="T83" s="588"/>
      <c r="U83" s="588"/>
      <c r="V83" s="588"/>
      <c r="W83" s="588"/>
      <c r="X83" s="588"/>
      <c r="Y83" s="588"/>
      <c r="Z83" s="588"/>
      <c r="AA83" s="588"/>
      <c r="AB83" s="588"/>
      <c r="AC83" s="588"/>
      <c r="AD83" s="588"/>
      <c r="AE83" s="626"/>
      <c r="AF83" s="626"/>
      <c r="AG83" s="626"/>
      <c r="AH83" s="626"/>
      <c r="AI83" s="626"/>
      <c r="AJ83" s="626"/>
      <c r="AK83" s="626"/>
      <c r="AL83" s="626"/>
      <c r="AM83" s="626"/>
      <c r="AN83" s="626"/>
      <c r="AO83" s="626"/>
      <c r="AP83" s="626"/>
      <c r="AQ83" s="626"/>
      <c r="AR83" s="626"/>
      <c r="AS83" s="626"/>
      <c r="AT83" s="626"/>
      <c r="AU83" s="626"/>
      <c r="AV83" s="626"/>
      <c r="AW83" s="626"/>
      <c r="AX83" s="626"/>
      <c r="AY83" s="626"/>
      <c r="AZ83" s="626"/>
      <c r="BA83" s="626"/>
      <c r="BB83" s="588"/>
      <c r="BC83" s="626"/>
      <c r="BD83" s="626"/>
      <c r="BE83" s="626"/>
      <c r="BF83" s="626"/>
      <c r="BG83" s="626"/>
      <c r="BH83" s="626"/>
      <c r="BI83" s="588"/>
      <c r="BJ83" s="626"/>
      <c r="BK83" s="626"/>
      <c r="BL83" s="626"/>
      <c r="BM83" s="626"/>
      <c r="BN83" s="626"/>
      <c r="BO83" s="626"/>
      <c r="BP83" s="588"/>
      <c r="BQ83" s="846"/>
      <c r="BR83" s="850"/>
      <c r="BS83" s="588"/>
      <c r="BT83" s="754"/>
      <c r="BU83" s="588"/>
      <c r="BV83" s="588"/>
      <c r="BW83" s="588"/>
      <c r="BX83" s="588"/>
      <c r="BY83" s="588"/>
      <c r="BZ83" s="588"/>
      <c r="CA83" s="588"/>
      <c r="CB83" s="588"/>
      <c r="CC83" s="865"/>
      <c r="CD83" s="588"/>
      <c r="CE83" s="588"/>
      <c r="CF83" s="588"/>
      <c r="CG83" s="588"/>
      <c r="CH83" s="588"/>
      <c r="CI83" s="588"/>
      <c r="CJ83" s="588"/>
      <c r="CK83" s="588"/>
      <c r="CL83" s="588"/>
      <c r="CM83" s="588"/>
      <c r="CN83" s="588"/>
      <c r="CO83" s="588"/>
      <c r="CP83" s="816"/>
      <c r="CQ83" s="805"/>
      <c r="CR83" s="805"/>
      <c r="CS83" s="830"/>
      <c r="CT83" s="588"/>
      <c r="CU83" s="626"/>
      <c r="CV83" s="626"/>
      <c r="CW83" s="626"/>
      <c r="CX83" s="626"/>
      <c r="CY83" s="626"/>
      <c r="CZ83" s="626"/>
      <c r="DA83" s="626"/>
      <c r="DB83" s="626"/>
      <c r="DC83" s="626"/>
      <c r="DD83" s="626"/>
      <c r="DE83" s="626"/>
      <c r="DF83" s="626"/>
      <c r="DG83" s="626"/>
      <c r="DH83" s="626"/>
      <c r="DI83" s="626"/>
      <c r="DJ83" s="626"/>
      <c r="DK83" s="626"/>
      <c r="DL83" s="626"/>
      <c r="DM83" s="761"/>
      <c r="DN83" s="761"/>
      <c r="DO83" s="761"/>
      <c r="DP83" s="553"/>
      <c r="DQ83" s="553"/>
      <c r="DR83" s="553"/>
      <c r="DS83" s="553"/>
      <c r="DT83" s="553"/>
      <c r="DU83" s="553"/>
      <c r="DV83" s="553"/>
      <c r="DW83" s="553"/>
      <c r="DX83" s="553"/>
      <c r="DY83" s="553"/>
    </row>
    <row r="84" spans="1:129" customFormat="1" ht="24" customHeight="1" x14ac:dyDescent="0.9">
      <c r="A84" s="752"/>
      <c r="B84" s="588"/>
      <c r="C84" s="588"/>
      <c r="D84" s="588"/>
      <c r="E84" s="588"/>
      <c r="F84" s="588"/>
      <c r="G84" s="588"/>
      <c r="H84" s="588"/>
      <c r="I84" s="588"/>
      <c r="J84" s="588"/>
      <c r="K84" s="588"/>
      <c r="L84" s="753"/>
      <c r="M84" s="753"/>
      <c r="N84" s="588"/>
      <c r="O84" s="626"/>
      <c r="P84" s="588"/>
      <c r="Q84" s="626"/>
      <c r="R84" s="588"/>
      <c r="S84" s="588"/>
      <c r="T84" s="588"/>
      <c r="U84" s="588"/>
      <c r="V84" s="588"/>
      <c r="W84" s="588"/>
      <c r="X84" s="588"/>
      <c r="Y84" s="588"/>
      <c r="Z84" s="588"/>
      <c r="AA84" s="588"/>
      <c r="AB84" s="588"/>
      <c r="AC84" s="588"/>
      <c r="AD84" s="588"/>
      <c r="AE84" s="626"/>
      <c r="AF84" s="626"/>
      <c r="AG84" s="626"/>
      <c r="AH84" s="626"/>
      <c r="AI84" s="626"/>
      <c r="AJ84" s="626"/>
      <c r="AK84" s="626"/>
      <c r="AL84" s="626"/>
      <c r="AM84" s="626"/>
      <c r="AN84" s="626"/>
      <c r="AO84" s="626"/>
      <c r="AP84" s="626"/>
      <c r="AQ84" s="626"/>
      <c r="AR84" s="626"/>
      <c r="AS84" s="626"/>
      <c r="AT84" s="626"/>
      <c r="AU84" s="626"/>
      <c r="AV84" s="626"/>
      <c r="AW84" s="626"/>
      <c r="AX84" s="626"/>
      <c r="AY84" s="626"/>
      <c r="AZ84" s="626"/>
      <c r="BA84" s="626"/>
      <c r="BB84" s="588"/>
      <c r="BC84" s="626"/>
      <c r="BD84" s="626"/>
      <c r="BE84" s="626"/>
      <c r="BF84" s="626"/>
      <c r="BG84" s="626"/>
      <c r="BH84" s="626"/>
      <c r="BI84" s="588"/>
      <c r="BJ84" s="626"/>
      <c r="BK84" s="626"/>
      <c r="BL84" s="626"/>
      <c r="BM84" s="626"/>
      <c r="BN84" s="626"/>
      <c r="BO84" s="626"/>
      <c r="BP84" s="588"/>
      <c r="BQ84" s="846"/>
      <c r="BR84" s="850"/>
      <c r="BS84" s="588"/>
      <c r="BT84" s="754"/>
      <c r="BU84" s="588"/>
      <c r="BV84" s="588"/>
      <c r="BW84" s="588"/>
      <c r="BX84" s="588"/>
      <c r="BY84" s="588"/>
      <c r="BZ84" s="588"/>
      <c r="CA84" s="588"/>
      <c r="CB84" s="588"/>
      <c r="CC84" s="865"/>
      <c r="CD84" s="588"/>
      <c r="CE84" s="588"/>
      <c r="CF84" s="588"/>
      <c r="CG84" s="588"/>
      <c r="CH84" s="588"/>
      <c r="CI84" s="588"/>
      <c r="CJ84" s="588"/>
      <c r="CK84" s="588"/>
      <c r="CL84" s="588"/>
      <c r="CM84" s="588"/>
      <c r="CN84" s="588"/>
      <c r="CO84" s="588"/>
      <c r="CP84" s="816"/>
      <c r="CQ84" s="805"/>
      <c r="CR84" s="805"/>
      <c r="CS84" s="830"/>
      <c r="CT84" s="588"/>
      <c r="CU84" s="626"/>
      <c r="CV84" s="626"/>
      <c r="CW84" s="626"/>
      <c r="CX84" s="626"/>
      <c r="CY84" s="626"/>
      <c r="CZ84" s="626"/>
      <c r="DA84" s="626"/>
      <c r="DB84" s="626"/>
      <c r="DC84" s="626"/>
      <c r="DD84" s="626"/>
      <c r="DE84" s="626"/>
      <c r="DF84" s="626"/>
      <c r="DG84" s="626"/>
      <c r="DH84" s="626"/>
      <c r="DI84" s="626"/>
      <c r="DJ84" s="626"/>
      <c r="DK84" s="626"/>
      <c r="DL84" s="626"/>
      <c r="DM84" s="761"/>
      <c r="DN84" s="761"/>
      <c r="DO84" s="761"/>
      <c r="DP84" s="553"/>
      <c r="DQ84" s="553"/>
      <c r="DR84" s="553"/>
      <c r="DS84" s="553"/>
      <c r="DT84" s="553"/>
      <c r="DU84" s="553"/>
      <c r="DV84" s="553"/>
      <c r="DW84" s="553"/>
      <c r="DX84" s="553"/>
      <c r="DY84" s="553"/>
    </row>
    <row r="85" spans="1:129" customFormat="1" ht="24" customHeight="1" x14ac:dyDescent="0.9">
      <c r="A85" s="752"/>
      <c r="B85" s="588"/>
      <c r="C85" s="588"/>
      <c r="D85" s="588"/>
      <c r="E85" s="588"/>
      <c r="F85" s="588"/>
      <c r="G85" s="588"/>
      <c r="H85" s="588"/>
      <c r="I85" s="588"/>
      <c r="J85" s="588"/>
      <c r="K85" s="588"/>
      <c r="L85" s="753"/>
      <c r="M85" s="753"/>
      <c r="N85" s="588"/>
      <c r="O85" s="626"/>
      <c r="P85" s="588"/>
      <c r="Q85" s="626"/>
      <c r="R85" s="588"/>
      <c r="S85" s="588"/>
      <c r="T85" s="588"/>
      <c r="U85" s="588"/>
      <c r="V85" s="588"/>
      <c r="W85" s="588"/>
      <c r="X85" s="588"/>
      <c r="Y85" s="588"/>
      <c r="Z85" s="588"/>
      <c r="AA85" s="588"/>
      <c r="AB85" s="588"/>
      <c r="AC85" s="588"/>
      <c r="AD85" s="588"/>
      <c r="AE85" s="626"/>
      <c r="AF85" s="626"/>
      <c r="AG85" s="626"/>
      <c r="AH85" s="626"/>
      <c r="AI85" s="626"/>
      <c r="AJ85" s="626"/>
      <c r="AK85" s="626"/>
      <c r="AL85" s="626"/>
      <c r="AM85" s="626"/>
      <c r="AN85" s="626"/>
      <c r="AO85" s="626"/>
      <c r="AP85" s="626"/>
      <c r="AQ85" s="626"/>
      <c r="AR85" s="626"/>
      <c r="AS85" s="626"/>
      <c r="AT85" s="626"/>
      <c r="AU85" s="626"/>
      <c r="AV85" s="626"/>
      <c r="AW85" s="626"/>
      <c r="AX85" s="626"/>
      <c r="AY85" s="626"/>
      <c r="AZ85" s="626"/>
      <c r="BA85" s="626"/>
      <c r="BB85" s="588"/>
      <c r="BC85" s="626"/>
      <c r="BD85" s="626"/>
      <c r="BE85" s="626"/>
      <c r="BF85" s="626"/>
      <c r="BG85" s="626"/>
      <c r="BH85" s="626"/>
      <c r="BI85" s="588"/>
      <c r="BJ85" s="626"/>
      <c r="BK85" s="626"/>
      <c r="BL85" s="626"/>
      <c r="BM85" s="626"/>
      <c r="BN85" s="626"/>
      <c r="BO85" s="626"/>
      <c r="BP85" s="588"/>
      <c r="BQ85" s="846"/>
      <c r="BR85" s="850"/>
      <c r="BS85" s="588"/>
      <c r="BT85" s="754"/>
      <c r="BU85" s="588"/>
      <c r="BV85" s="588"/>
      <c r="BW85" s="588"/>
      <c r="BX85" s="588"/>
      <c r="BY85" s="588"/>
      <c r="BZ85" s="588"/>
      <c r="CA85" s="588"/>
      <c r="CB85" s="588"/>
      <c r="CC85" s="865"/>
      <c r="CD85" s="588"/>
      <c r="CE85" s="588"/>
      <c r="CF85" s="588"/>
      <c r="CG85" s="588"/>
      <c r="CH85" s="588"/>
      <c r="CI85" s="588"/>
      <c r="CJ85" s="588"/>
      <c r="CK85" s="588"/>
      <c r="CL85" s="588"/>
      <c r="CM85" s="588"/>
      <c r="CN85" s="588"/>
      <c r="CO85" s="588"/>
      <c r="CP85" s="816"/>
      <c r="CQ85" s="805"/>
      <c r="CR85" s="805"/>
      <c r="CS85" s="830"/>
      <c r="CT85" s="588"/>
      <c r="CU85" s="626"/>
      <c r="CV85" s="626"/>
      <c r="CW85" s="626"/>
      <c r="CX85" s="626"/>
      <c r="CY85" s="626"/>
      <c r="CZ85" s="626"/>
      <c r="DA85" s="626"/>
      <c r="DB85" s="626"/>
      <c r="DC85" s="626"/>
      <c r="DD85" s="626"/>
      <c r="DE85" s="626"/>
      <c r="DF85" s="626"/>
      <c r="DG85" s="626"/>
      <c r="DH85" s="626"/>
      <c r="DI85" s="626"/>
      <c r="DJ85" s="626"/>
      <c r="DK85" s="626"/>
      <c r="DL85" s="626"/>
      <c r="DM85" s="761"/>
      <c r="DN85" s="761"/>
      <c r="DO85" s="761"/>
      <c r="DP85" s="553"/>
      <c r="DQ85" s="553"/>
      <c r="DR85" s="553"/>
      <c r="DS85" s="553"/>
      <c r="DT85" s="553"/>
      <c r="DU85" s="553"/>
      <c r="DV85" s="553"/>
      <c r="DW85" s="553"/>
      <c r="DX85" s="553"/>
      <c r="DY85" s="553"/>
    </row>
    <row r="86" spans="1:129" customFormat="1" ht="24" customHeight="1" x14ac:dyDescent="0.9">
      <c r="A86" s="752"/>
      <c r="B86" s="588"/>
      <c r="C86" s="588"/>
      <c r="D86" s="588"/>
      <c r="E86" s="588"/>
      <c r="F86" s="588"/>
      <c r="G86" s="588"/>
      <c r="H86" s="588"/>
      <c r="I86" s="588"/>
      <c r="J86" s="588"/>
      <c r="K86" s="588"/>
      <c r="L86" s="753"/>
      <c r="M86" s="753"/>
      <c r="N86" s="588"/>
      <c r="O86" s="626"/>
      <c r="P86" s="588"/>
      <c r="Q86" s="626"/>
      <c r="R86" s="588"/>
      <c r="S86" s="588"/>
      <c r="T86" s="588"/>
      <c r="U86" s="588"/>
      <c r="V86" s="588"/>
      <c r="W86" s="588"/>
      <c r="X86" s="588"/>
      <c r="Y86" s="588"/>
      <c r="Z86" s="588"/>
      <c r="AA86" s="588"/>
      <c r="AB86" s="588"/>
      <c r="AC86" s="588"/>
      <c r="AD86" s="588"/>
      <c r="AE86" s="626"/>
      <c r="AF86" s="626"/>
      <c r="AG86" s="626"/>
      <c r="AH86" s="626"/>
      <c r="AI86" s="626"/>
      <c r="AJ86" s="626"/>
      <c r="AK86" s="626"/>
      <c r="AL86" s="626"/>
      <c r="AM86" s="626"/>
      <c r="AN86" s="626"/>
      <c r="AO86" s="626"/>
      <c r="AP86" s="626"/>
      <c r="AQ86" s="626"/>
      <c r="AR86" s="626"/>
      <c r="AS86" s="626"/>
      <c r="AT86" s="626"/>
      <c r="AU86" s="626"/>
      <c r="AV86" s="626"/>
      <c r="AW86" s="626"/>
      <c r="AX86" s="626"/>
      <c r="AY86" s="626"/>
      <c r="AZ86" s="626"/>
      <c r="BA86" s="626"/>
      <c r="BB86" s="588"/>
      <c r="BC86" s="626"/>
      <c r="BD86" s="626"/>
      <c r="BE86" s="626"/>
      <c r="BF86" s="626"/>
      <c r="BG86" s="626"/>
      <c r="BH86" s="626"/>
      <c r="BI86" s="588"/>
      <c r="BJ86" s="626"/>
      <c r="BK86" s="626"/>
      <c r="BL86" s="626"/>
      <c r="BM86" s="626"/>
      <c r="BN86" s="626"/>
      <c r="BO86" s="626"/>
      <c r="BP86" s="588"/>
      <c r="BQ86" s="846"/>
      <c r="BR86" s="850"/>
      <c r="BS86" s="588"/>
      <c r="BT86" s="754"/>
      <c r="BU86" s="588"/>
      <c r="BV86" s="588"/>
      <c r="BW86" s="588"/>
      <c r="BX86" s="588"/>
      <c r="BY86" s="588"/>
      <c r="BZ86" s="588"/>
      <c r="CA86" s="588"/>
      <c r="CB86" s="588"/>
      <c r="CC86" s="865"/>
      <c r="CD86" s="588"/>
      <c r="CE86" s="588"/>
      <c r="CF86" s="588"/>
      <c r="CG86" s="588"/>
      <c r="CH86" s="588"/>
      <c r="CI86" s="588"/>
      <c r="CJ86" s="588"/>
      <c r="CK86" s="588"/>
      <c r="CL86" s="588"/>
      <c r="CM86" s="588"/>
      <c r="CN86" s="588"/>
      <c r="CO86" s="588"/>
      <c r="CP86" s="816"/>
      <c r="CQ86" s="805"/>
      <c r="CR86" s="805"/>
      <c r="CS86" s="830"/>
      <c r="CT86" s="588"/>
      <c r="CU86" s="626"/>
      <c r="CV86" s="626"/>
      <c r="CW86" s="626"/>
      <c r="CX86" s="626"/>
      <c r="CY86" s="626"/>
      <c r="CZ86" s="626"/>
      <c r="DA86" s="626"/>
      <c r="DB86" s="626"/>
      <c r="DC86" s="626"/>
      <c r="DD86" s="626"/>
      <c r="DE86" s="626"/>
      <c r="DF86" s="626"/>
      <c r="DG86" s="626"/>
      <c r="DH86" s="626"/>
      <c r="DI86" s="626"/>
      <c r="DJ86" s="626"/>
      <c r="DK86" s="626"/>
      <c r="DL86" s="626"/>
      <c r="DM86" s="761"/>
      <c r="DN86" s="761"/>
      <c r="DO86" s="761"/>
      <c r="DP86" s="553"/>
      <c r="DQ86" s="553"/>
      <c r="DR86" s="553"/>
      <c r="DS86" s="553"/>
      <c r="DT86" s="553"/>
      <c r="DU86" s="553"/>
      <c r="DV86" s="553"/>
      <c r="DW86" s="553"/>
      <c r="DX86" s="553"/>
      <c r="DY86" s="553"/>
    </row>
    <row r="87" spans="1:129" customFormat="1" ht="24" customHeight="1" x14ac:dyDescent="0.9">
      <c r="A87" s="752"/>
      <c r="B87" s="588"/>
      <c r="C87" s="588"/>
      <c r="D87" s="588"/>
      <c r="E87" s="588"/>
      <c r="F87" s="588"/>
      <c r="G87" s="588"/>
      <c r="H87" s="588"/>
      <c r="I87" s="588"/>
      <c r="J87" s="588"/>
      <c r="K87" s="588"/>
      <c r="L87" s="753"/>
      <c r="M87" s="753"/>
      <c r="N87" s="588"/>
      <c r="O87" s="626"/>
      <c r="P87" s="588"/>
      <c r="Q87" s="626"/>
      <c r="R87" s="588"/>
      <c r="S87" s="588"/>
      <c r="T87" s="588"/>
      <c r="U87" s="588"/>
      <c r="V87" s="588"/>
      <c r="W87" s="588"/>
      <c r="X87" s="588"/>
      <c r="Y87" s="588"/>
      <c r="Z87" s="588"/>
      <c r="AA87" s="588"/>
      <c r="AB87" s="588"/>
      <c r="AC87" s="588"/>
      <c r="AD87" s="588"/>
      <c r="AE87" s="626"/>
      <c r="AF87" s="626"/>
      <c r="AG87" s="626"/>
      <c r="AH87" s="626"/>
      <c r="AI87" s="626"/>
      <c r="AJ87" s="626"/>
      <c r="AK87" s="626"/>
      <c r="AL87" s="626"/>
      <c r="AM87" s="626"/>
      <c r="AN87" s="626"/>
      <c r="AO87" s="626"/>
      <c r="AP87" s="626"/>
      <c r="AQ87" s="626"/>
      <c r="AR87" s="626"/>
      <c r="AS87" s="626"/>
      <c r="AT87" s="626"/>
      <c r="AU87" s="626"/>
      <c r="AV87" s="626"/>
      <c r="AW87" s="626"/>
      <c r="AX87" s="626"/>
      <c r="AY87" s="626"/>
      <c r="AZ87" s="626"/>
      <c r="BA87" s="626"/>
      <c r="BB87" s="588"/>
      <c r="BC87" s="626"/>
      <c r="BD87" s="626"/>
      <c r="BE87" s="626"/>
      <c r="BF87" s="626"/>
      <c r="BG87" s="626"/>
      <c r="BH87" s="626"/>
      <c r="BI87" s="588"/>
      <c r="BJ87" s="626"/>
      <c r="BK87" s="626"/>
      <c r="BL87" s="626"/>
      <c r="BM87" s="626"/>
      <c r="BN87" s="626"/>
      <c r="BO87" s="626"/>
      <c r="BP87" s="588"/>
      <c r="BQ87" s="846"/>
      <c r="BR87" s="850"/>
      <c r="BS87" s="588"/>
      <c r="BT87" s="754"/>
      <c r="BU87" s="588"/>
      <c r="BV87" s="588"/>
      <c r="BW87" s="588"/>
      <c r="BX87" s="588"/>
      <c r="BY87" s="588"/>
      <c r="BZ87" s="588"/>
      <c r="CA87" s="588"/>
      <c r="CB87" s="588"/>
      <c r="CC87" s="865"/>
      <c r="CD87" s="588"/>
      <c r="CE87" s="588"/>
      <c r="CF87" s="588"/>
      <c r="CG87" s="588"/>
      <c r="CH87" s="588"/>
      <c r="CI87" s="588"/>
      <c r="CJ87" s="588"/>
      <c r="CK87" s="588"/>
      <c r="CL87" s="588"/>
      <c r="CM87" s="588"/>
      <c r="CN87" s="588"/>
      <c r="CO87" s="588"/>
      <c r="CP87" s="816"/>
      <c r="CQ87" s="805"/>
      <c r="CR87" s="805"/>
      <c r="CS87" s="830"/>
      <c r="CT87" s="588"/>
      <c r="CU87" s="626"/>
      <c r="CV87" s="626"/>
      <c r="CW87" s="626"/>
      <c r="CX87" s="626"/>
      <c r="CY87" s="626"/>
      <c r="CZ87" s="626"/>
      <c r="DA87" s="626"/>
      <c r="DB87" s="626"/>
      <c r="DC87" s="626"/>
      <c r="DD87" s="626"/>
      <c r="DE87" s="626"/>
      <c r="DF87" s="626"/>
      <c r="DG87" s="626"/>
      <c r="DH87" s="626"/>
      <c r="DI87" s="626"/>
      <c r="DJ87" s="626"/>
      <c r="DK87" s="626"/>
      <c r="DL87" s="626"/>
      <c r="DM87" s="761"/>
      <c r="DN87" s="761"/>
      <c r="DO87" s="761"/>
      <c r="DP87" s="553"/>
      <c r="DQ87" s="553"/>
      <c r="DR87" s="553"/>
      <c r="DS87" s="553"/>
      <c r="DT87" s="553"/>
      <c r="DU87" s="553"/>
      <c r="DV87" s="553"/>
      <c r="DW87" s="553"/>
      <c r="DX87" s="553"/>
      <c r="DY87" s="553"/>
    </row>
    <row r="88" spans="1:129" customFormat="1" ht="24" customHeight="1" x14ac:dyDescent="0.9">
      <c r="A88" s="752"/>
      <c r="B88" s="588"/>
      <c r="C88" s="588"/>
      <c r="D88" s="588"/>
      <c r="E88" s="588"/>
      <c r="F88" s="588"/>
      <c r="G88" s="588"/>
      <c r="H88" s="588"/>
      <c r="I88" s="588"/>
      <c r="J88" s="588"/>
      <c r="K88" s="588"/>
      <c r="L88" s="753"/>
      <c r="M88" s="753"/>
      <c r="N88" s="588"/>
      <c r="O88" s="626"/>
      <c r="P88" s="588"/>
      <c r="Q88" s="626"/>
      <c r="R88" s="588"/>
      <c r="S88" s="588"/>
      <c r="T88" s="588"/>
      <c r="U88" s="588"/>
      <c r="V88" s="588"/>
      <c r="W88" s="588"/>
      <c r="X88" s="588"/>
      <c r="Y88" s="588"/>
      <c r="Z88" s="588"/>
      <c r="AA88" s="588"/>
      <c r="AB88" s="588"/>
      <c r="AC88" s="588"/>
      <c r="AD88" s="588"/>
      <c r="AE88" s="626"/>
      <c r="AF88" s="626"/>
      <c r="AG88" s="626"/>
      <c r="AH88" s="626"/>
      <c r="AI88" s="626"/>
      <c r="AJ88" s="626"/>
      <c r="AK88" s="626"/>
      <c r="AL88" s="626"/>
      <c r="AM88" s="626"/>
      <c r="AN88" s="626"/>
      <c r="AO88" s="626"/>
      <c r="AP88" s="626"/>
      <c r="AQ88" s="626"/>
      <c r="AR88" s="626"/>
      <c r="AS88" s="626"/>
      <c r="AT88" s="626"/>
      <c r="AU88" s="626"/>
      <c r="AV88" s="626"/>
      <c r="AW88" s="626"/>
      <c r="AX88" s="626"/>
      <c r="AY88" s="626"/>
      <c r="AZ88" s="626"/>
      <c r="BA88" s="626"/>
      <c r="BB88" s="588"/>
      <c r="BC88" s="626"/>
      <c r="BD88" s="626"/>
      <c r="BE88" s="626"/>
      <c r="BF88" s="626"/>
      <c r="BG88" s="626"/>
      <c r="BH88" s="626"/>
      <c r="BI88" s="588"/>
      <c r="BJ88" s="626"/>
      <c r="BK88" s="626"/>
      <c r="BL88" s="626"/>
      <c r="BM88" s="626"/>
      <c r="BN88" s="626"/>
      <c r="BO88" s="626"/>
      <c r="BP88" s="588"/>
      <c r="BQ88" s="846"/>
      <c r="BR88" s="850"/>
      <c r="BS88" s="588"/>
      <c r="BT88" s="754"/>
      <c r="BU88" s="588"/>
      <c r="BV88" s="588"/>
      <c r="BW88" s="588"/>
      <c r="BX88" s="588"/>
      <c r="BY88" s="588"/>
      <c r="BZ88" s="588"/>
      <c r="CA88" s="588"/>
      <c r="CB88" s="588"/>
      <c r="CC88" s="865"/>
      <c r="CD88" s="588"/>
      <c r="CE88" s="588"/>
      <c r="CF88" s="588"/>
      <c r="CG88" s="588"/>
      <c r="CH88" s="588"/>
      <c r="CI88" s="588"/>
      <c r="CJ88" s="588"/>
      <c r="CK88" s="588"/>
      <c r="CL88" s="588"/>
      <c r="CM88" s="588"/>
      <c r="CN88" s="588"/>
      <c r="CO88" s="588"/>
      <c r="CP88" s="816"/>
      <c r="CQ88" s="805"/>
      <c r="CR88" s="805"/>
      <c r="CS88" s="830"/>
      <c r="CT88" s="588"/>
      <c r="CU88" s="626"/>
      <c r="CV88" s="626"/>
      <c r="CW88" s="626"/>
      <c r="CX88" s="626"/>
      <c r="CY88" s="626"/>
      <c r="CZ88" s="626"/>
      <c r="DA88" s="626"/>
      <c r="DB88" s="626"/>
      <c r="DC88" s="626"/>
      <c r="DD88" s="626"/>
      <c r="DE88" s="626"/>
      <c r="DF88" s="626"/>
      <c r="DG88" s="626"/>
      <c r="DH88" s="626"/>
      <c r="DI88" s="626"/>
      <c r="DJ88" s="626"/>
      <c r="DK88" s="626"/>
      <c r="DL88" s="626"/>
      <c r="DM88" s="761"/>
      <c r="DN88" s="761"/>
      <c r="DO88" s="761"/>
      <c r="DP88" s="553"/>
      <c r="DQ88" s="553"/>
      <c r="DR88" s="553"/>
      <c r="DS88" s="553"/>
      <c r="DT88" s="553"/>
      <c r="DU88" s="553"/>
      <c r="DV88" s="553"/>
      <c r="DW88" s="553"/>
      <c r="DX88" s="553"/>
      <c r="DY88" s="553"/>
    </row>
    <row r="89" spans="1:129" customFormat="1" ht="24" customHeight="1" x14ac:dyDescent="0.9">
      <c r="A89" s="752"/>
      <c r="B89" s="588"/>
      <c r="C89" s="588"/>
      <c r="D89" s="588"/>
      <c r="E89" s="588"/>
      <c r="F89" s="588"/>
      <c r="G89" s="588"/>
      <c r="H89" s="588"/>
      <c r="I89" s="588"/>
      <c r="J89" s="588"/>
      <c r="K89" s="588"/>
      <c r="L89" s="753"/>
      <c r="M89" s="753"/>
      <c r="N89" s="588"/>
      <c r="O89" s="626"/>
      <c r="P89" s="588"/>
      <c r="Q89" s="626"/>
      <c r="R89" s="588"/>
      <c r="S89" s="588"/>
      <c r="T89" s="588"/>
      <c r="U89" s="588"/>
      <c r="V89" s="588"/>
      <c r="W89" s="588"/>
      <c r="X89" s="588"/>
      <c r="Y89" s="588"/>
      <c r="Z89" s="588"/>
      <c r="AA89" s="588"/>
      <c r="AB89" s="588"/>
      <c r="AC89" s="588"/>
      <c r="AD89" s="588"/>
      <c r="AE89" s="626"/>
      <c r="AF89" s="626"/>
      <c r="AG89" s="626"/>
      <c r="AH89" s="626"/>
      <c r="AI89" s="626"/>
      <c r="AJ89" s="626"/>
      <c r="AK89" s="626"/>
      <c r="AL89" s="626"/>
      <c r="AM89" s="626"/>
      <c r="AN89" s="626"/>
      <c r="AO89" s="626"/>
      <c r="AP89" s="626"/>
      <c r="AQ89" s="626"/>
      <c r="AR89" s="626"/>
      <c r="AS89" s="626"/>
      <c r="AT89" s="626"/>
      <c r="AU89" s="626"/>
      <c r="AV89" s="626"/>
      <c r="AW89" s="626"/>
      <c r="AX89" s="626"/>
      <c r="AY89" s="626"/>
      <c r="AZ89" s="626"/>
      <c r="BA89" s="626"/>
      <c r="BB89" s="588"/>
      <c r="BC89" s="626"/>
      <c r="BD89" s="626"/>
      <c r="BE89" s="626"/>
      <c r="BF89" s="626"/>
      <c r="BG89" s="626"/>
      <c r="BH89" s="626"/>
      <c r="BI89" s="588"/>
      <c r="BJ89" s="626"/>
      <c r="BK89" s="626"/>
      <c r="BL89" s="626"/>
      <c r="BM89" s="626"/>
      <c r="BN89" s="626"/>
      <c r="BO89" s="626"/>
      <c r="BP89" s="588"/>
      <c r="BQ89" s="846"/>
      <c r="BR89" s="850"/>
      <c r="BS89" s="588"/>
      <c r="BT89" s="754"/>
      <c r="BU89" s="588"/>
      <c r="BV89" s="588"/>
      <c r="BW89" s="588"/>
      <c r="BX89" s="588"/>
      <c r="BY89" s="588"/>
      <c r="BZ89" s="588"/>
      <c r="CA89" s="588"/>
      <c r="CB89" s="588"/>
      <c r="CC89" s="865"/>
      <c r="CD89" s="588"/>
      <c r="CE89" s="588"/>
      <c r="CF89" s="588"/>
      <c r="CG89" s="588"/>
      <c r="CH89" s="588"/>
      <c r="CI89" s="588"/>
      <c r="CJ89" s="588"/>
      <c r="CK89" s="588"/>
      <c r="CL89" s="588"/>
      <c r="CM89" s="588"/>
      <c r="CN89" s="588"/>
      <c r="CO89" s="588"/>
      <c r="CP89" s="816"/>
      <c r="CQ89" s="805"/>
      <c r="CR89" s="805"/>
      <c r="CS89" s="830"/>
      <c r="CT89" s="588"/>
      <c r="CU89" s="626"/>
      <c r="CV89" s="626"/>
      <c r="CW89" s="626"/>
      <c r="CX89" s="626"/>
      <c r="CY89" s="626"/>
      <c r="CZ89" s="626"/>
      <c r="DA89" s="626"/>
      <c r="DB89" s="626"/>
      <c r="DC89" s="626"/>
      <c r="DD89" s="626"/>
      <c r="DE89" s="626"/>
      <c r="DF89" s="626"/>
      <c r="DG89" s="626"/>
      <c r="DH89" s="626"/>
      <c r="DI89" s="626"/>
      <c r="DJ89" s="626"/>
      <c r="DK89" s="626"/>
      <c r="DL89" s="626"/>
      <c r="DM89" s="761"/>
      <c r="DN89" s="761"/>
      <c r="DO89" s="761"/>
      <c r="DP89" s="553"/>
      <c r="DQ89" s="553"/>
      <c r="DR89" s="553"/>
      <c r="DS89" s="553"/>
      <c r="DT89" s="553"/>
      <c r="DU89" s="553"/>
      <c r="DV89" s="553"/>
      <c r="DW89" s="553"/>
      <c r="DX89" s="553"/>
      <c r="DY89" s="553"/>
    </row>
    <row r="90" spans="1:129" customFormat="1" ht="24" customHeight="1" x14ac:dyDescent="0.9">
      <c r="A90" s="752"/>
      <c r="B90" s="588"/>
      <c r="C90" s="588"/>
      <c r="D90" s="588"/>
      <c r="E90" s="588"/>
      <c r="F90" s="588"/>
      <c r="G90" s="588"/>
      <c r="H90" s="588"/>
      <c r="I90" s="588"/>
      <c r="J90" s="588"/>
      <c r="K90" s="588"/>
      <c r="L90" s="753"/>
      <c r="M90" s="753"/>
      <c r="N90" s="588"/>
      <c r="O90" s="626"/>
      <c r="P90" s="588"/>
      <c r="Q90" s="626"/>
      <c r="R90" s="588"/>
      <c r="S90" s="588"/>
      <c r="T90" s="588"/>
      <c r="U90" s="588"/>
      <c r="V90" s="588"/>
      <c r="W90" s="588"/>
      <c r="X90" s="588"/>
      <c r="Y90" s="588"/>
      <c r="Z90" s="588"/>
      <c r="AA90" s="588"/>
      <c r="AB90" s="588"/>
      <c r="AC90" s="588"/>
      <c r="AD90" s="588"/>
      <c r="AE90" s="626"/>
      <c r="AF90" s="626"/>
      <c r="AG90" s="626"/>
      <c r="AH90" s="626"/>
      <c r="AI90" s="626"/>
      <c r="AJ90" s="626"/>
      <c r="AK90" s="626"/>
      <c r="AL90" s="626"/>
      <c r="AM90" s="626"/>
      <c r="AN90" s="626"/>
      <c r="AO90" s="626"/>
      <c r="AP90" s="626"/>
      <c r="AQ90" s="626"/>
      <c r="AR90" s="626"/>
      <c r="AS90" s="626"/>
      <c r="AT90" s="626"/>
      <c r="AU90" s="626"/>
      <c r="AV90" s="626"/>
      <c r="AW90" s="626"/>
      <c r="AX90" s="626"/>
      <c r="AY90" s="626"/>
      <c r="AZ90" s="626"/>
      <c r="BA90" s="626"/>
      <c r="BB90" s="588"/>
      <c r="BC90" s="626"/>
      <c r="BD90" s="626"/>
      <c r="BE90" s="626"/>
      <c r="BF90" s="626"/>
      <c r="BG90" s="626"/>
      <c r="BH90" s="626"/>
      <c r="BI90" s="588"/>
      <c r="BJ90" s="626"/>
      <c r="BK90" s="626"/>
      <c r="BL90" s="626"/>
      <c r="BM90" s="626"/>
      <c r="BN90" s="626"/>
      <c r="BO90" s="626"/>
      <c r="BP90" s="588"/>
      <c r="BQ90" s="846"/>
      <c r="BR90" s="850"/>
      <c r="BS90" s="588"/>
      <c r="BT90" s="754"/>
      <c r="BU90" s="588"/>
      <c r="BV90" s="588"/>
      <c r="BW90" s="588"/>
      <c r="BX90" s="588"/>
      <c r="BY90" s="588"/>
      <c r="BZ90" s="588"/>
      <c r="CA90" s="588"/>
      <c r="CB90" s="588"/>
      <c r="CC90" s="865"/>
      <c r="CD90" s="588"/>
      <c r="CE90" s="588"/>
      <c r="CF90" s="588"/>
      <c r="CG90" s="588"/>
      <c r="CH90" s="588"/>
      <c r="CI90" s="588"/>
      <c r="CJ90" s="588"/>
      <c r="CK90" s="588"/>
      <c r="CL90" s="588"/>
      <c r="CM90" s="588"/>
      <c r="CN90" s="588"/>
      <c r="CO90" s="588"/>
      <c r="CP90" s="816"/>
      <c r="CQ90" s="805"/>
      <c r="CR90" s="805"/>
      <c r="CS90" s="830"/>
      <c r="CT90" s="588"/>
      <c r="CU90" s="626"/>
      <c r="CV90" s="626"/>
      <c r="CW90" s="626"/>
      <c r="CX90" s="626"/>
      <c r="CY90" s="626"/>
      <c r="CZ90" s="626"/>
      <c r="DA90" s="626"/>
      <c r="DB90" s="626"/>
      <c r="DC90" s="626"/>
      <c r="DD90" s="626"/>
      <c r="DE90" s="626"/>
      <c r="DF90" s="626"/>
      <c r="DG90" s="626"/>
      <c r="DH90" s="626"/>
      <c r="DI90" s="626"/>
      <c r="DJ90" s="626"/>
      <c r="DK90" s="626"/>
      <c r="DL90" s="626"/>
      <c r="DM90" s="761"/>
      <c r="DN90" s="761"/>
      <c r="DO90" s="761"/>
      <c r="DP90" s="553"/>
      <c r="DQ90" s="553"/>
      <c r="DR90" s="553"/>
      <c r="DS90" s="553"/>
      <c r="DT90" s="553"/>
      <c r="DU90" s="553"/>
      <c r="DV90" s="553"/>
      <c r="DW90" s="553"/>
      <c r="DX90" s="553"/>
      <c r="DY90" s="553"/>
    </row>
    <row r="91" spans="1:129" customFormat="1" ht="24" customHeight="1" x14ac:dyDescent="0.9">
      <c r="A91" s="752"/>
      <c r="B91" s="588"/>
      <c r="C91" s="588"/>
      <c r="D91" s="588"/>
      <c r="E91" s="588"/>
      <c r="F91" s="588"/>
      <c r="G91" s="588"/>
      <c r="H91" s="588"/>
      <c r="I91" s="588"/>
      <c r="J91" s="588"/>
      <c r="K91" s="588"/>
      <c r="L91" s="753"/>
      <c r="M91" s="753"/>
      <c r="N91" s="588"/>
      <c r="O91" s="626"/>
      <c r="P91" s="588"/>
      <c r="Q91" s="626"/>
      <c r="R91" s="588"/>
      <c r="S91" s="588"/>
      <c r="T91" s="588"/>
      <c r="U91" s="588"/>
      <c r="V91" s="588"/>
      <c r="W91" s="588"/>
      <c r="X91" s="588"/>
      <c r="Y91" s="588"/>
      <c r="Z91" s="588"/>
      <c r="AA91" s="588"/>
      <c r="AB91" s="588"/>
      <c r="AC91" s="588"/>
      <c r="AD91" s="588"/>
      <c r="AE91" s="626"/>
      <c r="AF91" s="626"/>
      <c r="AG91" s="626"/>
      <c r="AH91" s="626"/>
      <c r="AI91" s="626"/>
      <c r="AJ91" s="626"/>
      <c r="AK91" s="626"/>
      <c r="AL91" s="626"/>
      <c r="AM91" s="626"/>
      <c r="AN91" s="626"/>
      <c r="AO91" s="626"/>
      <c r="AP91" s="626"/>
      <c r="AQ91" s="626"/>
      <c r="AR91" s="626"/>
      <c r="AS91" s="626"/>
      <c r="AT91" s="626"/>
      <c r="AU91" s="626"/>
      <c r="AV91" s="626"/>
      <c r="AW91" s="626"/>
      <c r="AX91" s="626"/>
      <c r="AY91" s="626"/>
      <c r="AZ91" s="626"/>
      <c r="BA91" s="626"/>
      <c r="BB91" s="588"/>
      <c r="BC91" s="626"/>
      <c r="BD91" s="626"/>
      <c r="BE91" s="626"/>
      <c r="BF91" s="626"/>
      <c r="BG91" s="626"/>
      <c r="BH91" s="626"/>
      <c r="BI91" s="588"/>
      <c r="BJ91" s="626"/>
      <c r="BK91" s="626"/>
      <c r="BL91" s="626"/>
      <c r="BM91" s="626"/>
      <c r="BN91" s="626"/>
      <c r="BO91" s="626"/>
      <c r="BP91" s="588"/>
      <c r="BQ91" s="846"/>
      <c r="BR91" s="850"/>
      <c r="BS91" s="588"/>
      <c r="BT91" s="754"/>
      <c r="BU91" s="588"/>
      <c r="BV91" s="588"/>
      <c r="BW91" s="588"/>
      <c r="BX91" s="588"/>
      <c r="BY91" s="588"/>
      <c r="BZ91" s="588"/>
      <c r="CA91" s="588"/>
      <c r="CB91" s="588"/>
      <c r="CC91" s="865"/>
      <c r="CD91" s="588"/>
      <c r="CE91" s="588"/>
      <c r="CF91" s="588"/>
      <c r="CG91" s="588"/>
      <c r="CH91" s="588"/>
      <c r="CI91" s="588"/>
      <c r="CJ91" s="588"/>
      <c r="CK91" s="588"/>
      <c r="CL91" s="588"/>
      <c r="CM91" s="588"/>
      <c r="CN91" s="588"/>
      <c r="CO91" s="588"/>
      <c r="CP91" s="816"/>
      <c r="CQ91" s="805"/>
      <c r="CR91" s="805"/>
      <c r="CS91" s="830"/>
      <c r="CT91" s="588"/>
      <c r="CU91" s="626"/>
      <c r="CV91" s="626"/>
      <c r="CW91" s="626"/>
      <c r="CX91" s="626"/>
      <c r="CY91" s="626"/>
      <c r="CZ91" s="626"/>
      <c r="DA91" s="626"/>
      <c r="DB91" s="626"/>
      <c r="DC91" s="626"/>
      <c r="DD91" s="626"/>
      <c r="DE91" s="626"/>
      <c r="DF91" s="626"/>
      <c r="DG91" s="626"/>
      <c r="DH91" s="626"/>
      <c r="DI91" s="626"/>
      <c r="DJ91" s="626"/>
      <c r="DK91" s="626"/>
      <c r="DL91" s="626"/>
      <c r="DM91" s="761"/>
      <c r="DN91" s="761"/>
      <c r="DO91" s="761"/>
      <c r="DP91" s="553"/>
      <c r="DQ91" s="553"/>
      <c r="DR91" s="553"/>
      <c r="DS91" s="553"/>
      <c r="DT91" s="553"/>
      <c r="DU91" s="553"/>
      <c r="DV91" s="553"/>
      <c r="DW91" s="553"/>
      <c r="DX91" s="553"/>
      <c r="DY91" s="553"/>
    </row>
    <row r="92" spans="1:129" customFormat="1" ht="24" customHeight="1" x14ac:dyDescent="0.9">
      <c r="A92" s="752"/>
      <c r="B92" s="588"/>
      <c r="C92" s="588"/>
      <c r="D92" s="588"/>
      <c r="E92" s="588"/>
      <c r="F92" s="588"/>
      <c r="G92" s="588"/>
      <c r="H92" s="588"/>
      <c r="I92" s="588"/>
      <c r="J92" s="588"/>
      <c r="K92" s="588"/>
      <c r="L92" s="753"/>
      <c r="M92" s="753"/>
      <c r="N92" s="588"/>
      <c r="O92" s="626"/>
      <c r="P92" s="588"/>
      <c r="Q92" s="626"/>
      <c r="R92" s="588"/>
      <c r="S92" s="588"/>
      <c r="T92" s="588"/>
      <c r="U92" s="588"/>
      <c r="V92" s="588"/>
      <c r="W92" s="588"/>
      <c r="X92" s="588"/>
      <c r="Y92" s="588"/>
      <c r="Z92" s="588"/>
      <c r="AA92" s="588"/>
      <c r="AB92" s="588"/>
      <c r="AC92" s="588"/>
      <c r="AD92" s="588"/>
      <c r="AE92" s="626"/>
      <c r="AF92" s="626"/>
      <c r="AG92" s="626"/>
      <c r="AH92" s="626"/>
      <c r="AI92" s="626"/>
      <c r="AJ92" s="626"/>
      <c r="AK92" s="626"/>
      <c r="AL92" s="626"/>
      <c r="AM92" s="626"/>
      <c r="AN92" s="626"/>
      <c r="AO92" s="626"/>
      <c r="AP92" s="626"/>
      <c r="AQ92" s="626"/>
      <c r="AR92" s="626"/>
      <c r="AS92" s="626"/>
      <c r="AT92" s="626"/>
      <c r="AU92" s="626"/>
      <c r="AV92" s="626"/>
      <c r="AW92" s="626"/>
      <c r="AX92" s="626"/>
      <c r="AY92" s="626"/>
      <c r="AZ92" s="626"/>
      <c r="BA92" s="626"/>
      <c r="BB92" s="588"/>
      <c r="BC92" s="626"/>
      <c r="BD92" s="626"/>
      <c r="BE92" s="626"/>
      <c r="BF92" s="626"/>
      <c r="BG92" s="626"/>
      <c r="BH92" s="626"/>
      <c r="BI92" s="588"/>
      <c r="BJ92" s="626"/>
      <c r="BK92" s="626"/>
      <c r="BL92" s="626"/>
      <c r="BM92" s="626"/>
      <c r="BN92" s="626"/>
      <c r="BO92" s="626"/>
      <c r="BP92" s="588"/>
      <c r="BQ92" s="846"/>
      <c r="BR92" s="850"/>
      <c r="BS92" s="588"/>
      <c r="BT92" s="754"/>
      <c r="BU92" s="588"/>
      <c r="BV92" s="588"/>
      <c r="BW92" s="588"/>
      <c r="BX92" s="588"/>
      <c r="BY92" s="588"/>
      <c r="BZ92" s="588"/>
      <c r="CA92" s="588"/>
      <c r="CB92" s="588"/>
      <c r="CC92" s="865"/>
      <c r="CD92" s="588"/>
      <c r="CE92" s="588"/>
      <c r="CF92" s="588"/>
      <c r="CG92" s="588"/>
      <c r="CH92" s="588"/>
      <c r="CI92" s="588"/>
      <c r="CJ92" s="588"/>
      <c r="CK92" s="588"/>
      <c r="CL92" s="588"/>
      <c r="CM92" s="588"/>
      <c r="CN92" s="588"/>
      <c r="CO92" s="588"/>
      <c r="CP92" s="816"/>
      <c r="CQ92" s="805"/>
      <c r="CR92" s="805"/>
      <c r="CS92" s="830"/>
      <c r="CT92" s="588"/>
      <c r="CU92" s="626"/>
      <c r="CV92" s="626"/>
      <c r="CW92" s="626"/>
      <c r="CX92" s="626"/>
      <c r="CY92" s="626"/>
      <c r="CZ92" s="626"/>
      <c r="DA92" s="626"/>
      <c r="DB92" s="626"/>
      <c r="DC92" s="626"/>
      <c r="DD92" s="626"/>
      <c r="DE92" s="626"/>
      <c r="DF92" s="626"/>
      <c r="DG92" s="626"/>
      <c r="DH92" s="626"/>
      <c r="DI92" s="626"/>
      <c r="DJ92" s="626"/>
      <c r="DK92" s="626"/>
      <c r="DL92" s="626"/>
      <c r="DM92" s="761"/>
      <c r="DN92" s="761"/>
      <c r="DO92" s="761"/>
      <c r="DP92" s="553"/>
      <c r="DQ92" s="553"/>
      <c r="DR92" s="553"/>
      <c r="DS92" s="553"/>
      <c r="DT92" s="553"/>
      <c r="DU92" s="553"/>
      <c r="DV92" s="553"/>
      <c r="DW92" s="553"/>
      <c r="DX92" s="553"/>
      <c r="DY92" s="553"/>
    </row>
    <row r="93" spans="1:129" customFormat="1" ht="24" customHeight="1" x14ac:dyDescent="0.9">
      <c r="A93" s="752"/>
      <c r="B93" s="588"/>
      <c r="C93" s="588"/>
      <c r="D93" s="588"/>
      <c r="E93" s="588"/>
      <c r="F93" s="588"/>
      <c r="G93" s="588"/>
      <c r="H93" s="588"/>
      <c r="I93" s="588"/>
      <c r="J93" s="588"/>
      <c r="K93" s="588"/>
      <c r="L93" s="753"/>
      <c r="M93" s="753"/>
      <c r="N93" s="588"/>
      <c r="O93" s="626"/>
      <c r="P93" s="588"/>
      <c r="Q93" s="626"/>
      <c r="R93" s="588"/>
      <c r="S93" s="588"/>
      <c r="T93" s="588"/>
      <c r="U93" s="588"/>
      <c r="V93" s="588"/>
      <c r="W93" s="588"/>
      <c r="X93" s="588"/>
      <c r="Y93" s="588"/>
      <c r="Z93" s="588"/>
      <c r="AA93" s="588"/>
      <c r="AB93" s="588"/>
      <c r="AC93" s="588"/>
      <c r="AD93" s="588"/>
      <c r="AE93" s="626"/>
      <c r="AF93" s="626"/>
      <c r="AG93" s="626"/>
      <c r="AH93" s="626"/>
      <c r="AI93" s="626"/>
      <c r="AJ93" s="626"/>
      <c r="AK93" s="626"/>
      <c r="AL93" s="626"/>
      <c r="AM93" s="626"/>
      <c r="AN93" s="626"/>
      <c r="AO93" s="626"/>
      <c r="AP93" s="626"/>
      <c r="AQ93" s="626"/>
      <c r="AR93" s="626"/>
      <c r="AS93" s="626"/>
      <c r="AT93" s="626"/>
      <c r="AU93" s="626"/>
      <c r="AV93" s="626"/>
      <c r="AW93" s="626"/>
      <c r="AX93" s="626"/>
      <c r="AY93" s="626"/>
      <c r="AZ93" s="626"/>
      <c r="BA93" s="626"/>
      <c r="BB93" s="588"/>
      <c r="BC93" s="626"/>
      <c r="BD93" s="626"/>
      <c r="BE93" s="626"/>
      <c r="BF93" s="626"/>
      <c r="BG93" s="626"/>
      <c r="BH93" s="626"/>
      <c r="BI93" s="588"/>
      <c r="BJ93" s="626"/>
      <c r="BK93" s="626"/>
      <c r="BL93" s="626"/>
      <c r="BM93" s="626"/>
      <c r="BN93" s="626"/>
      <c r="BO93" s="626"/>
      <c r="BP93" s="588"/>
      <c r="BQ93" s="846"/>
      <c r="BR93" s="850"/>
      <c r="BS93" s="588"/>
      <c r="BT93" s="754"/>
      <c r="BU93" s="588"/>
      <c r="BV93" s="588"/>
      <c r="BW93" s="588"/>
      <c r="BX93" s="588"/>
      <c r="BY93" s="588"/>
      <c r="BZ93" s="588"/>
      <c r="CA93" s="588"/>
      <c r="CB93" s="588"/>
      <c r="CC93" s="865"/>
      <c r="CD93" s="588"/>
      <c r="CE93" s="588"/>
      <c r="CF93" s="588"/>
      <c r="CG93" s="588"/>
      <c r="CH93" s="588"/>
      <c r="CI93" s="588"/>
      <c r="CJ93" s="588"/>
      <c r="CK93" s="588"/>
      <c r="CL93" s="588"/>
      <c r="CM93" s="588"/>
      <c r="CN93" s="588"/>
      <c r="CO93" s="588"/>
      <c r="CP93" s="816"/>
      <c r="CQ93" s="805"/>
      <c r="CR93" s="805"/>
      <c r="CS93" s="830"/>
      <c r="CT93" s="588"/>
      <c r="CU93" s="626"/>
      <c r="CV93" s="626"/>
      <c r="CW93" s="626"/>
      <c r="CX93" s="626"/>
      <c r="CY93" s="626"/>
      <c r="CZ93" s="626"/>
      <c r="DA93" s="626"/>
      <c r="DB93" s="626"/>
      <c r="DC93" s="626"/>
      <c r="DD93" s="626"/>
      <c r="DE93" s="626"/>
      <c r="DF93" s="626"/>
      <c r="DG93" s="626"/>
      <c r="DH93" s="626"/>
      <c r="DI93" s="626"/>
      <c r="DJ93" s="626"/>
      <c r="DK93" s="626"/>
      <c r="DL93" s="626"/>
      <c r="DM93" s="761"/>
      <c r="DN93" s="761"/>
      <c r="DO93" s="761"/>
      <c r="DP93" s="553"/>
      <c r="DQ93" s="553"/>
      <c r="DR93" s="553"/>
      <c r="DS93" s="553"/>
      <c r="DT93" s="553"/>
      <c r="DU93" s="553"/>
      <c r="DV93" s="553"/>
      <c r="DW93" s="553"/>
      <c r="DX93" s="553"/>
      <c r="DY93" s="553"/>
    </row>
    <row r="94" spans="1:129" customFormat="1" ht="24" customHeight="1" x14ac:dyDescent="0.9">
      <c r="A94" s="752"/>
      <c r="B94" s="588"/>
      <c r="C94" s="588"/>
      <c r="D94" s="588"/>
      <c r="E94" s="588"/>
      <c r="F94" s="588"/>
      <c r="G94" s="588"/>
      <c r="H94" s="588"/>
      <c r="I94" s="588"/>
      <c r="J94" s="588"/>
      <c r="K94" s="588"/>
      <c r="L94" s="753"/>
      <c r="M94" s="753"/>
      <c r="N94" s="588"/>
      <c r="O94" s="626"/>
      <c r="P94" s="588"/>
      <c r="Q94" s="626"/>
      <c r="R94" s="588"/>
      <c r="S94" s="588"/>
      <c r="T94" s="588"/>
      <c r="U94" s="588"/>
      <c r="V94" s="588"/>
      <c r="W94" s="588"/>
      <c r="X94" s="588"/>
      <c r="Y94" s="588"/>
      <c r="Z94" s="588"/>
      <c r="AA94" s="588"/>
      <c r="AB94" s="588"/>
      <c r="AC94" s="588"/>
      <c r="AD94" s="588"/>
      <c r="AE94" s="626"/>
      <c r="AF94" s="626"/>
      <c r="AG94" s="626"/>
      <c r="AH94" s="626"/>
      <c r="AI94" s="626"/>
      <c r="AJ94" s="626"/>
      <c r="AK94" s="626"/>
      <c r="AL94" s="626"/>
      <c r="AM94" s="626"/>
      <c r="AN94" s="626"/>
      <c r="AO94" s="626"/>
      <c r="AP94" s="626"/>
      <c r="AQ94" s="626"/>
      <c r="AR94" s="626"/>
      <c r="AS94" s="626"/>
      <c r="AT94" s="626"/>
      <c r="AU94" s="626"/>
      <c r="AV94" s="626"/>
      <c r="AW94" s="626"/>
      <c r="AX94" s="626"/>
      <c r="AY94" s="626"/>
      <c r="AZ94" s="626"/>
      <c r="BA94" s="626"/>
      <c r="BB94" s="588"/>
      <c r="BC94" s="626"/>
      <c r="BD94" s="626"/>
      <c r="BE94" s="626"/>
      <c r="BF94" s="626"/>
      <c r="BG94" s="626"/>
      <c r="BH94" s="626"/>
      <c r="BI94" s="588"/>
      <c r="BJ94" s="626"/>
      <c r="BK94" s="626"/>
      <c r="BL94" s="626"/>
      <c r="BM94" s="626"/>
      <c r="BN94" s="626"/>
      <c r="BO94" s="626"/>
      <c r="BP94" s="588"/>
      <c r="BQ94" s="846"/>
      <c r="BR94" s="850"/>
      <c r="BS94" s="588"/>
      <c r="BT94" s="754"/>
      <c r="BU94" s="588"/>
      <c r="BV94" s="588"/>
      <c r="BW94" s="588"/>
      <c r="BX94" s="588"/>
      <c r="BY94" s="588"/>
      <c r="BZ94" s="588"/>
      <c r="CA94" s="588"/>
      <c r="CB94" s="588"/>
      <c r="CC94" s="865"/>
      <c r="CD94" s="588"/>
      <c r="CE94" s="588"/>
      <c r="CF94" s="588"/>
      <c r="CG94" s="588"/>
      <c r="CH94" s="588"/>
      <c r="CI94" s="588"/>
      <c r="CJ94" s="588"/>
      <c r="CK94" s="588"/>
      <c r="CL94" s="588"/>
      <c r="CM94" s="588"/>
      <c r="CN94" s="588"/>
      <c r="CO94" s="588"/>
      <c r="CP94" s="816"/>
      <c r="CQ94" s="805"/>
      <c r="CR94" s="805"/>
      <c r="CS94" s="830"/>
      <c r="CT94" s="588"/>
      <c r="CU94" s="626"/>
      <c r="CV94" s="626"/>
      <c r="CW94" s="626"/>
      <c r="CX94" s="626"/>
      <c r="CY94" s="626"/>
      <c r="CZ94" s="626"/>
      <c r="DA94" s="626"/>
      <c r="DB94" s="626"/>
      <c r="DC94" s="626"/>
      <c r="DD94" s="626"/>
      <c r="DE94" s="626"/>
      <c r="DF94" s="626"/>
      <c r="DG94" s="626"/>
      <c r="DH94" s="626"/>
      <c r="DI94" s="626"/>
      <c r="DJ94" s="626"/>
      <c r="DK94" s="626"/>
      <c r="DL94" s="626"/>
      <c r="DM94" s="761"/>
      <c r="DN94" s="761"/>
      <c r="DO94" s="761"/>
      <c r="DP94" s="553"/>
      <c r="DQ94" s="553"/>
      <c r="DR94" s="553"/>
      <c r="DS94" s="553"/>
      <c r="DT94" s="553"/>
      <c r="DU94" s="553"/>
      <c r="DV94" s="553"/>
      <c r="DW94" s="553"/>
      <c r="DX94" s="553"/>
      <c r="DY94" s="553"/>
    </row>
    <row r="95" spans="1:129" customFormat="1" ht="24" customHeight="1" x14ac:dyDescent="0.9">
      <c r="A95" s="752"/>
      <c r="B95" s="588"/>
      <c r="C95" s="588"/>
      <c r="D95" s="588"/>
      <c r="E95" s="588"/>
      <c r="F95" s="588"/>
      <c r="G95" s="588"/>
      <c r="H95" s="588"/>
      <c r="I95" s="588"/>
      <c r="J95" s="588"/>
      <c r="K95" s="588"/>
      <c r="L95" s="753"/>
      <c r="M95" s="753"/>
      <c r="N95" s="588"/>
      <c r="O95" s="626"/>
      <c r="P95" s="588"/>
      <c r="Q95" s="626"/>
      <c r="R95" s="588"/>
      <c r="S95" s="588"/>
      <c r="T95" s="588"/>
      <c r="U95" s="588"/>
      <c r="V95" s="588"/>
      <c r="W95" s="588"/>
      <c r="X95" s="588"/>
      <c r="Y95" s="588"/>
      <c r="Z95" s="588"/>
      <c r="AA95" s="588"/>
      <c r="AB95" s="588"/>
      <c r="AC95" s="588"/>
      <c r="AD95" s="588"/>
      <c r="AE95" s="626"/>
      <c r="AF95" s="626"/>
      <c r="AG95" s="626"/>
      <c r="AH95" s="626"/>
      <c r="AI95" s="626"/>
      <c r="AJ95" s="626"/>
      <c r="AK95" s="626"/>
      <c r="AL95" s="626"/>
      <c r="AM95" s="626"/>
      <c r="AN95" s="626"/>
      <c r="AO95" s="626"/>
      <c r="AP95" s="626"/>
      <c r="AQ95" s="626"/>
      <c r="AR95" s="626"/>
      <c r="AS95" s="626"/>
      <c r="AT95" s="626"/>
      <c r="AU95" s="626"/>
      <c r="AV95" s="626"/>
      <c r="AW95" s="626"/>
      <c r="AX95" s="626"/>
      <c r="AY95" s="626"/>
      <c r="AZ95" s="626"/>
      <c r="BA95" s="626"/>
      <c r="BB95" s="588"/>
      <c r="BC95" s="626"/>
      <c r="BD95" s="626"/>
      <c r="BE95" s="626"/>
      <c r="BF95" s="626"/>
      <c r="BG95" s="626"/>
      <c r="BH95" s="626"/>
      <c r="BI95" s="588"/>
      <c r="BJ95" s="626"/>
      <c r="BK95" s="626"/>
      <c r="BL95" s="626"/>
      <c r="BM95" s="626"/>
      <c r="BN95" s="626"/>
      <c r="BO95" s="626"/>
      <c r="BP95" s="588"/>
      <c r="BQ95" s="846"/>
      <c r="BR95" s="850"/>
      <c r="BS95" s="588"/>
      <c r="BT95" s="754"/>
      <c r="BU95" s="588"/>
      <c r="BV95" s="588"/>
      <c r="BW95" s="588"/>
      <c r="BX95" s="588"/>
      <c r="BY95" s="588"/>
      <c r="BZ95" s="588"/>
      <c r="CA95" s="588"/>
      <c r="CB95" s="588"/>
      <c r="CC95" s="865"/>
      <c r="CD95" s="588"/>
      <c r="CE95" s="588"/>
      <c r="CF95" s="588"/>
      <c r="CG95" s="588"/>
      <c r="CH95" s="588"/>
      <c r="CI95" s="588"/>
      <c r="CJ95" s="588"/>
      <c r="CK95" s="588"/>
      <c r="CL95" s="588"/>
      <c r="CM95" s="588"/>
      <c r="CN95" s="588"/>
      <c r="CO95" s="588"/>
      <c r="CP95" s="816"/>
      <c r="CQ95" s="805"/>
      <c r="CR95" s="805"/>
      <c r="CS95" s="830"/>
      <c r="CT95" s="588"/>
      <c r="CU95" s="626"/>
      <c r="CV95" s="626"/>
      <c r="CW95" s="626"/>
      <c r="CX95" s="626"/>
      <c r="CY95" s="626"/>
      <c r="CZ95" s="626"/>
      <c r="DA95" s="626"/>
      <c r="DB95" s="626"/>
      <c r="DC95" s="626"/>
      <c r="DD95" s="626"/>
      <c r="DE95" s="626"/>
      <c r="DF95" s="626"/>
      <c r="DG95" s="626"/>
      <c r="DH95" s="626"/>
      <c r="DI95" s="626"/>
      <c r="DJ95" s="626"/>
      <c r="DK95" s="626"/>
      <c r="DL95" s="626"/>
      <c r="DM95" s="761"/>
      <c r="DN95" s="761"/>
      <c r="DO95" s="761"/>
      <c r="DP95" s="553"/>
      <c r="DQ95" s="553"/>
      <c r="DR95" s="553"/>
      <c r="DS95" s="553"/>
      <c r="DT95" s="553"/>
      <c r="DU95" s="553"/>
      <c r="DV95" s="553"/>
      <c r="DW95" s="553"/>
      <c r="DX95" s="553"/>
      <c r="DY95" s="553"/>
    </row>
    <row r="96" spans="1:129" customFormat="1" ht="24" customHeight="1" x14ac:dyDescent="0.9">
      <c r="A96" s="752"/>
      <c r="B96" s="588"/>
      <c r="C96" s="588"/>
      <c r="D96" s="588"/>
      <c r="E96" s="588"/>
      <c r="F96" s="588"/>
      <c r="G96" s="588"/>
      <c r="H96" s="588"/>
      <c r="I96" s="588"/>
      <c r="J96" s="588"/>
      <c r="K96" s="588"/>
      <c r="L96" s="753"/>
      <c r="M96" s="753"/>
      <c r="N96" s="588"/>
      <c r="O96" s="626"/>
      <c r="P96" s="588"/>
      <c r="Q96" s="626"/>
      <c r="R96" s="588"/>
      <c r="S96" s="588"/>
      <c r="T96" s="588"/>
      <c r="U96" s="588"/>
      <c r="V96" s="588"/>
      <c r="W96" s="588"/>
      <c r="X96" s="588"/>
      <c r="Y96" s="588"/>
      <c r="Z96" s="588"/>
      <c r="AA96" s="588"/>
      <c r="AB96" s="588"/>
      <c r="AC96" s="588"/>
      <c r="AD96" s="588"/>
      <c r="AE96" s="626"/>
      <c r="AF96" s="626"/>
      <c r="AG96" s="626"/>
      <c r="AH96" s="626"/>
      <c r="AI96" s="626"/>
      <c r="AJ96" s="626"/>
      <c r="AK96" s="626"/>
      <c r="AL96" s="626"/>
      <c r="AM96" s="626"/>
      <c r="AN96" s="626"/>
      <c r="AO96" s="626"/>
      <c r="AP96" s="626"/>
      <c r="AQ96" s="626"/>
      <c r="AR96" s="626"/>
      <c r="AS96" s="626"/>
      <c r="AT96" s="626"/>
      <c r="AU96" s="626"/>
      <c r="AV96" s="626"/>
      <c r="AW96" s="626"/>
      <c r="AX96" s="626"/>
      <c r="AY96" s="626"/>
      <c r="AZ96" s="626"/>
      <c r="BA96" s="626"/>
      <c r="BB96" s="588"/>
      <c r="BC96" s="626"/>
      <c r="BD96" s="626"/>
      <c r="BE96" s="626"/>
      <c r="BF96" s="626"/>
      <c r="BG96" s="626"/>
      <c r="BH96" s="626"/>
      <c r="BI96" s="588"/>
      <c r="BJ96" s="626"/>
      <c r="BK96" s="626"/>
      <c r="BL96" s="626"/>
      <c r="BM96" s="626"/>
      <c r="BN96" s="626"/>
      <c r="BO96" s="626"/>
      <c r="BP96" s="588"/>
      <c r="BQ96" s="846"/>
      <c r="BR96" s="850"/>
      <c r="BS96" s="588"/>
      <c r="BT96" s="754"/>
      <c r="BU96" s="588"/>
      <c r="BV96" s="588"/>
      <c r="BW96" s="588"/>
      <c r="BX96" s="588"/>
      <c r="BY96" s="588"/>
      <c r="BZ96" s="588"/>
      <c r="CA96" s="588"/>
      <c r="CB96" s="588"/>
      <c r="CC96" s="865"/>
      <c r="CD96" s="588"/>
      <c r="CE96" s="588"/>
      <c r="CF96" s="588"/>
      <c r="CG96" s="588"/>
      <c r="CH96" s="588"/>
      <c r="CI96" s="588"/>
      <c r="CJ96" s="588"/>
      <c r="CK96" s="588"/>
      <c r="CL96" s="588"/>
      <c r="CM96" s="588"/>
      <c r="CN96" s="588"/>
      <c r="CO96" s="588"/>
      <c r="CP96" s="816"/>
      <c r="CQ96" s="805"/>
      <c r="CR96" s="805"/>
      <c r="CS96" s="830"/>
      <c r="CT96" s="588"/>
      <c r="CU96" s="626"/>
      <c r="CV96" s="626"/>
      <c r="CW96" s="626"/>
      <c r="CX96" s="626"/>
      <c r="CY96" s="626"/>
      <c r="CZ96" s="626"/>
      <c r="DA96" s="626"/>
      <c r="DB96" s="626"/>
      <c r="DC96" s="626"/>
      <c r="DD96" s="626"/>
      <c r="DE96" s="626"/>
      <c r="DF96" s="626"/>
      <c r="DG96" s="626"/>
      <c r="DH96" s="626"/>
      <c r="DI96" s="626"/>
      <c r="DJ96" s="626"/>
      <c r="DK96" s="626"/>
      <c r="DL96" s="626"/>
      <c r="DM96" s="761"/>
      <c r="DN96" s="761"/>
      <c r="DO96" s="761"/>
      <c r="DP96" s="553"/>
      <c r="DQ96" s="553"/>
      <c r="DR96" s="553"/>
      <c r="DS96" s="553"/>
      <c r="DT96" s="553"/>
      <c r="DU96" s="553"/>
      <c r="DV96" s="553"/>
      <c r="DW96" s="553"/>
      <c r="DX96" s="553"/>
      <c r="DY96" s="553"/>
    </row>
    <row r="97" spans="1:129" customFormat="1" ht="24" customHeight="1" x14ac:dyDescent="0.9">
      <c r="A97" s="752"/>
      <c r="B97" s="588"/>
      <c r="C97" s="588"/>
      <c r="D97" s="588"/>
      <c r="E97" s="588"/>
      <c r="F97" s="588"/>
      <c r="G97" s="588"/>
      <c r="H97" s="588"/>
      <c r="I97" s="588"/>
      <c r="J97" s="588"/>
      <c r="K97" s="588"/>
      <c r="L97" s="753"/>
      <c r="M97" s="753"/>
      <c r="N97" s="588"/>
      <c r="O97" s="626"/>
      <c r="P97" s="588"/>
      <c r="Q97" s="626"/>
      <c r="R97" s="588"/>
      <c r="S97" s="588"/>
      <c r="T97" s="588"/>
      <c r="U97" s="588"/>
      <c r="V97" s="588"/>
      <c r="W97" s="588"/>
      <c r="X97" s="588"/>
      <c r="Y97" s="588"/>
      <c r="Z97" s="588"/>
      <c r="AA97" s="588"/>
      <c r="AB97" s="588"/>
      <c r="AC97" s="588"/>
      <c r="AD97" s="588"/>
      <c r="AE97" s="626"/>
      <c r="AF97" s="626"/>
      <c r="AG97" s="626"/>
      <c r="AH97" s="626"/>
      <c r="AI97" s="626"/>
      <c r="AJ97" s="626"/>
      <c r="AK97" s="626"/>
      <c r="AL97" s="626"/>
      <c r="AM97" s="626"/>
      <c r="AN97" s="626"/>
      <c r="AO97" s="626"/>
      <c r="AP97" s="626"/>
      <c r="AQ97" s="626"/>
      <c r="AR97" s="626"/>
      <c r="AS97" s="626"/>
      <c r="AT97" s="626"/>
      <c r="AU97" s="626"/>
      <c r="AV97" s="626"/>
      <c r="AW97" s="626"/>
      <c r="AX97" s="626"/>
      <c r="AY97" s="626"/>
      <c r="AZ97" s="626"/>
      <c r="BA97" s="626"/>
      <c r="BB97" s="588"/>
      <c r="BC97" s="626"/>
      <c r="BD97" s="626"/>
      <c r="BE97" s="626"/>
      <c r="BF97" s="626"/>
      <c r="BG97" s="626"/>
      <c r="BH97" s="626"/>
      <c r="BI97" s="588"/>
      <c r="BJ97" s="626"/>
      <c r="BK97" s="626"/>
      <c r="BL97" s="626"/>
      <c r="BM97" s="626"/>
      <c r="BN97" s="626"/>
      <c r="BO97" s="626"/>
      <c r="BP97" s="588"/>
      <c r="BQ97" s="846"/>
      <c r="BR97" s="850"/>
      <c r="BS97" s="588"/>
      <c r="BT97" s="754"/>
      <c r="BU97" s="588"/>
      <c r="BV97" s="588"/>
      <c r="BW97" s="588"/>
      <c r="BX97" s="588"/>
      <c r="BY97" s="588"/>
      <c r="BZ97" s="588"/>
      <c r="CA97" s="588"/>
      <c r="CB97" s="588"/>
      <c r="CC97" s="865"/>
      <c r="CD97" s="588"/>
      <c r="CE97" s="588"/>
      <c r="CF97" s="588"/>
      <c r="CG97" s="588"/>
      <c r="CH97" s="588"/>
      <c r="CI97" s="588"/>
      <c r="CJ97" s="588"/>
      <c r="CK97" s="588"/>
      <c r="CL97" s="588"/>
      <c r="CM97" s="588"/>
      <c r="CN97" s="588"/>
      <c r="CO97" s="588"/>
      <c r="CP97" s="816"/>
      <c r="CQ97" s="805"/>
      <c r="CR97" s="805"/>
      <c r="CS97" s="830"/>
      <c r="CT97" s="588"/>
      <c r="CU97" s="626"/>
      <c r="CV97" s="626"/>
      <c r="CW97" s="626"/>
      <c r="CX97" s="626"/>
      <c r="CY97" s="626"/>
      <c r="CZ97" s="626"/>
      <c r="DA97" s="626"/>
      <c r="DB97" s="626"/>
      <c r="DC97" s="626"/>
      <c r="DD97" s="626"/>
      <c r="DE97" s="626"/>
      <c r="DF97" s="626"/>
      <c r="DG97" s="626"/>
      <c r="DH97" s="626"/>
      <c r="DI97" s="626"/>
      <c r="DJ97" s="626"/>
      <c r="DK97" s="626"/>
      <c r="DL97" s="626"/>
      <c r="DM97" s="761"/>
      <c r="DN97" s="761"/>
      <c r="DO97" s="761"/>
      <c r="DP97" s="553"/>
      <c r="DQ97" s="553"/>
      <c r="DR97" s="553"/>
      <c r="DS97" s="553"/>
      <c r="DT97" s="553"/>
      <c r="DU97" s="553"/>
      <c r="DV97" s="553"/>
      <c r="DW97" s="553"/>
      <c r="DX97" s="553"/>
      <c r="DY97" s="553"/>
    </row>
    <row r="98" spans="1:129" customFormat="1" ht="24" customHeight="1" x14ac:dyDescent="0.9">
      <c r="A98" s="752"/>
      <c r="B98" s="588"/>
      <c r="C98" s="588"/>
      <c r="D98" s="588"/>
      <c r="E98" s="588"/>
      <c r="F98" s="588"/>
      <c r="G98" s="588"/>
      <c r="H98" s="588"/>
      <c r="I98" s="588"/>
      <c r="J98" s="588"/>
      <c r="K98" s="588"/>
      <c r="L98" s="753"/>
      <c r="M98" s="753"/>
      <c r="N98" s="588"/>
      <c r="O98" s="626"/>
      <c r="P98" s="588"/>
      <c r="Q98" s="626"/>
      <c r="R98" s="588"/>
      <c r="S98" s="588"/>
      <c r="T98" s="588"/>
      <c r="U98" s="588"/>
      <c r="V98" s="588"/>
      <c r="W98" s="588"/>
      <c r="X98" s="588"/>
      <c r="Y98" s="588"/>
      <c r="Z98" s="588"/>
      <c r="AA98" s="588"/>
      <c r="AB98" s="588"/>
      <c r="AC98" s="588"/>
      <c r="AD98" s="588"/>
      <c r="AE98" s="626"/>
      <c r="AF98" s="626"/>
      <c r="AG98" s="626"/>
      <c r="AH98" s="626"/>
      <c r="AI98" s="626"/>
      <c r="AJ98" s="626"/>
      <c r="AK98" s="626"/>
      <c r="AL98" s="626"/>
      <c r="AM98" s="626"/>
      <c r="AN98" s="626"/>
      <c r="AO98" s="626"/>
      <c r="AP98" s="626"/>
      <c r="AQ98" s="626"/>
      <c r="AR98" s="626"/>
      <c r="AS98" s="626"/>
      <c r="AT98" s="626"/>
      <c r="AU98" s="626"/>
      <c r="AV98" s="626"/>
      <c r="AW98" s="626"/>
      <c r="AX98" s="626"/>
      <c r="AY98" s="626"/>
      <c r="AZ98" s="626"/>
      <c r="BA98" s="626"/>
      <c r="BB98" s="588"/>
      <c r="BC98" s="626"/>
      <c r="BD98" s="626"/>
      <c r="BE98" s="626"/>
      <c r="BF98" s="626"/>
      <c r="BG98" s="626"/>
      <c r="BH98" s="626"/>
      <c r="BI98" s="588"/>
      <c r="BJ98" s="626"/>
      <c r="BK98" s="626"/>
      <c r="BL98" s="626"/>
      <c r="BM98" s="626"/>
      <c r="BN98" s="626"/>
      <c r="BO98" s="626"/>
      <c r="BP98" s="588"/>
      <c r="BQ98" s="846"/>
      <c r="BR98" s="850"/>
      <c r="BS98" s="588"/>
      <c r="BT98" s="754"/>
      <c r="BU98" s="588"/>
      <c r="BV98" s="588"/>
      <c r="BW98" s="588"/>
      <c r="BX98" s="588"/>
      <c r="BY98" s="588"/>
      <c r="BZ98" s="588"/>
      <c r="CA98" s="588"/>
      <c r="CB98" s="588"/>
      <c r="CC98" s="865"/>
      <c r="CD98" s="588"/>
      <c r="CE98" s="588"/>
      <c r="CF98" s="588"/>
      <c r="CG98" s="588"/>
      <c r="CH98" s="588"/>
      <c r="CI98" s="588"/>
      <c r="CJ98" s="588"/>
      <c r="CK98" s="588"/>
      <c r="CL98" s="588"/>
      <c r="CM98" s="588"/>
      <c r="CN98" s="588"/>
      <c r="CO98" s="588"/>
      <c r="CP98" s="816"/>
      <c r="CQ98" s="805"/>
      <c r="CR98" s="805"/>
      <c r="CS98" s="830"/>
      <c r="CT98" s="588"/>
      <c r="CU98" s="626"/>
      <c r="CV98" s="626"/>
      <c r="CW98" s="626"/>
      <c r="CX98" s="626"/>
      <c r="CY98" s="626"/>
      <c r="CZ98" s="626"/>
      <c r="DA98" s="626"/>
      <c r="DB98" s="626"/>
      <c r="DC98" s="626"/>
      <c r="DD98" s="626"/>
      <c r="DE98" s="626"/>
      <c r="DF98" s="626"/>
      <c r="DG98" s="626"/>
      <c r="DH98" s="626"/>
      <c r="DI98" s="626"/>
      <c r="DJ98" s="626"/>
      <c r="DK98" s="626"/>
      <c r="DL98" s="626"/>
      <c r="DM98" s="761"/>
      <c r="DN98" s="761"/>
      <c r="DO98" s="761"/>
      <c r="DP98" s="553"/>
      <c r="DQ98" s="553"/>
      <c r="DR98" s="553"/>
      <c r="DS98" s="553"/>
      <c r="DT98" s="553"/>
      <c r="DU98" s="553"/>
      <c r="DV98" s="553"/>
      <c r="DW98" s="553"/>
      <c r="DX98" s="553"/>
      <c r="DY98" s="553"/>
    </row>
    <row r="99" spans="1:129" customFormat="1" ht="24" customHeight="1" x14ac:dyDescent="0.9">
      <c r="A99" s="752"/>
      <c r="B99" s="588"/>
      <c r="C99" s="588"/>
      <c r="D99" s="588"/>
      <c r="E99" s="588"/>
      <c r="F99" s="588"/>
      <c r="G99" s="588"/>
      <c r="H99" s="588"/>
      <c r="I99" s="588"/>
      <c r="J99" s="588"/>
      <c r="K99" s="588"/>
      <c r="L99" s="753"/>
      <c r="M99" s="753"/>
      <c r="N99" s="588"/>
      <c r="O99" s="626"/>
      <c r="P99" s="588"/>
      <c r="Q99" s="626"/>
      <c r="R99" s="588"/>
      <c r="S99" s="588"/>
      <c r="T99" s="588"/>
      <c r="U99" s="588"/>
      <c r="V99" s="588"/>
      <c r="W99" s="588"/>
      <c r="X99" s="588"/>
      <c r="Y99" s="588"/>
      <c r="Z99" s="588"/>
      <c r="AA99" s="588"/>
      <c r="AB99" s="588"/>
      <c r="AC99" s="588"/>
      <c r="AD99" s="588"/>
      <c r="AE99" s="626"/>
      <c r="AF99" s="626"/>
      <c r="AG99" s="626"/>
      <c r="AH99" s="626"/>
      <c r="AI99" s="626"/>
      <c r="AJ99" s="626"/>
      <c r="AK99" s="626"/>
      <c r="AL99" s="626"/>
      <c r="AM99" s="626"/>
      <c r="AN99" s="626"/>
      <c r="AO99" s="626"/>
      <c r="AP99" s="626"/>
      <c r="AQ99" s="626"/>
      <c r="AR99" s="626"/>
      <c r="AS99" s="626"/>
      <c r="AT99" s="626"/>
      <c r="AU99" s="626"/>
      <c r="AV99" s="626"/>
      <c r="AW99" s="626"/>
      <c r="AX99" s="626"/>
      <c r="AY99" s="626"/>
      <c r="AZ99" s="626"/>
      <c r="BA99" s="626"/>
      <c r="BB99" s="588"/>
      <c r="BC99" s="626"/>
      <c r="BD99" s="626"/>
      <c r="BE99" s="626"/>
      <c r="BF99" s="626"/>
      <c r="BG99" s="626"/>
      <c r="BH99" s="626"/>
      <c r="BI99" s="588"/>
      <c r="BJ99" s="626"/>
      <c r="BK99" s="626"/>
      <c r="BL99" s="626"/>
      <c r="BM99" s="626"/>
      <c r="BN99" s="626"/>
      <c r="BO99" s="626"/>
      <c r="BP99" s="588"/>
      <c r="BQ99" s="846"/>
      <c r="BR99" s="850"/>
      <c r="BS99" s="588"/>
      <c r="BT99" s="754"/>
      <c r="BU99" s="588"/>
      <c r="BV99" s="588"/>
      <c r="BW99" s="588"/>
      <c r="BX99" s="588"/>
      <c r="BY99" s="588"/>
      <c r="BZ99" s="588"/>
      <c r="CA99" s="588"/>
      <c r="CB99" s="588"/>
      <c r="CC99" s="865"/>
      <c r="CD99" s="588"/>
      <c r="CE99" s="588"/>
      <c r="CF99" s="588"/>
      <c r="CG99" s="588"/>
      <c r="CH99" s="588"/>
      <c r="CI99" s="588"/>
      <c r="CJ99" s="588"/>
      <c r="CK99" s="588"/>
      <c r="CL99" s="588"/>
      <c r="CM99" s="588"/>
      <c r="CN99" s="588"/>
      <c r="CO99" s="588"/>
      <c r="CP99" s="816"/>
      <c r="CQ99" s="805"/>
      <c r="CR99" s="805"/>
      <c r="CS99" s="830"/>
      <c r="CT99" s="588"/>
      <c r="CU99" s="626"/>
      <c r="CV99" s="626"/>
      <c r="CW99" s="626"/>
      <c r="CX99" s="626"/>
      <c r="CY99" s="626"/>
      <c r="CZ99" s="626"/>
      <c r="DA99" s="626"/>
      <c r="DB99" s="626"/>
      <c r="DC99" s="626"/>
      <c r="DD99" s="626"/>
      <c r="DE99" s="626"/>
      <c r="DF99" s="626"/>
      <c r="DG99" s="626"/>
      <c r="DH99" s="626"/>
      <c r="DI99" s="626"/>
      <c r="DJ99" s="626"/>
      <c r="DK99" s="626"/>
      <c r="DL99" s="626"/>
      <c r="DM99" s="761"/>
      <c r="DN99" s="761"/>
      <c r="DO99" s="761"/>
      <c r="DP99" s="553"/>
      <c r="DQ99" s="553"/>
      <c r="DR99" s="553"/>
      <c r="DS99" s="553"/>
      <c r="DT99" s="553"/>
      <c r="DU99" s="553"/>
      <c r="DV99" s="553"/>
      <c r="DW99" s="553"/>
      <c r="DX99" s="553"/>
      <c r="DY99" s="553"/>
    </row>
    <row r="100" spans="1:129" customFormat="1" ht="24" customHeight="1" x14ac:dyDescent="0.9">
      <c r="A100" s="752"/>
      <c r="B100" s="588"/>
      <c r="C100" s="588"/>
      <c r="D100" s="588"/>
      <c r="E100" s="588"/>
      <c r="F100" s="588"/>
      <c r="G100" s="588"/>
      <c r="H100" s="588"/>
      <c r="I100" s="588"/>
      <c r="J100" s="588"/>
      <c r="K100" s="588"/>
      <c r="L100" s="753"/>
      <c r="M100" s="753"/>
      <c r="N100" s="588"/>
      <c r="O100" s="626"/>
      <c r="P100" s="588"/>
      <c r="Q100" s="626"/>
      <c r="R100" s="588"/>
      <c r="S100" s="588"/>
      <c r="T100" s="588"/>
      <c r="U100" s="588"/>
      <c r="V100" s="588"/>
      <c r="W100" s="588"/>
      <c r="X100" s="588"/>
      <c r="Y100" s="588"/>
      <c r="Z100" s="588"/>
      <c r="AA100" s="588"/>
      <c r="AB100" s="588"/>
      <c r="AC100" s="588"/>
      <c r="AD100" s="588"/>
      <c r="AE100" s="626"/>
      <c r="AF100" s="626"/>
      <c r="AG100" s="626"/>
      <c r="AH100" s="626"/>
      <c r="AI100" s="626"/>
      <c r="AJ100" s="626"/>
      <c r="AK100" s="626"/>
      <c r="AL100" s="626"/>
      <c r="AM100" s="626"/>
      <c r="AN100" s="626"/>
      <c r="AO100" s="626"/>
      <c r="AP100" s="626"/>
      <c r="AQ100" s="626"/>
      <c r="AR100" s="626"/>
      <c r="AS100" s="626"/>
      <c r="AT100" s="626"/>
      <c r="AU100" s="626"/>
      <c r="AV100" s="626"/>
      <c r="AW100" s="626"/>
      <c r="AX100" s="626"/>
      <c r="AY100" s="626"/>
      <c r="AZ100" s="626"/>
      <c r="BA100" s="626"/>
      <c r="BB100" s="588"/>
      <c r="BC100" s="626"/>
      <c r="BD100" s="626"/>
      <c r="BE100" s="626"/>
      <c r="BF100" s="626"/>
      <c r="BG100" s="626"/>
      <c r="BH100" s="626"/>
      <c r="BI100" s="588"/>
      <c r="BJ100" s="626"/>
      <c r="BK100" s="626"/>
      <c r="BL100" s="626"/>
      <c r="BM100" s="626"/>
      <c r="BN100" s="626"/>
      <c r="BO100" s="626"/>
      <c r="BP100" s="588"/>
      <c r="BQ100" s="846"/>
      <c r="BR100" s="850"/>
      <c r="BS100" s="588"/>
      <c r="BT100" s="754"/>
      <c r="BU100" s="588"/>
      <c r="BV100" s="588"/>
      <c r="BW100" s="588"/>
      <c r="BX100" s="588"/>
      <c r="BY100" s="588"/>
      <c r="BZ100" s="588"/>
      <c r="CA100" s="588"/>
      <c r="CB100" s="588"/>
      <c r="CC100" s="865"/>
      <c r="CD100" s="588"/>
      <c r="CE100" s="588"/>
      <c r="CF100" s="588"/>
      <c r="CG100" s="588"/>
      <c r="CH100" s="588"/>
      <c r="CI100" s="588"/>
      <c r="CJ100" s="588"/>
      <c r="CK100" s="588"/>
      <c r="CL100" s="588"/>
      <c r="CM100" s="588"/>
      <c r="CN100" s="588"/>
      <c r="CO100" s="588"/>
      <c r="CP100" s="816"/>
      <c r="CQ100" s="805"/>
      <c r="CR100" s="805"/>
      <c r="CS100" s="830"/>
      <c r="CT100" s="588"/>
      <c r="CU100" s="626"/>
      <c r="CV100" s="626"/>
      <c r="CW100" s="626"/>
      <c r="CX100" s="626"/>
      <c r="CY100" s="626"/>
      <c r="CZ100" s="626"/>
      <c r="DA100" s="626"/>
      <c r="DB100" s="626"/>
      <c r="DC100" s="626"/>
      <c r="DD100" s="626"/>
      <c r="DE100" s="626"/>
      <c r="DF100" s="626"/>
      <c r="DG100" s="626"/>
      <c r="DH100" s="626"/>
      <c r="DI100" s="626"/>
      <c r="DJ100" s="626"/>
      <c r="DK100" s="626"/>
      <c r="DL100" s="626"/>
      <c r="DM100" s="761"/>
      <c r="DN100" s="761"/>
      <c r="DO100" s="761"/>
      <c r="DP100" s="553"/>
      <c r="DQ100" s="553"/>
      <c r="DR100" s="553"/>
      <c r="DS100" s="553"/>
      <c r="DT100" s="553"/>
      <c r="DU100" s="553"/>
      <c r="DV100" s="553"/>
      <c r="DW100" s="553"/>
      <c r="DX100" s="553"/>
      <c r="DY100" s="553"/>
    </row>
    <row r="101" spans="1:129" customFormat="1" ht="24" customHeight="1" x14ac:dyDescent="0.9">
      <c r="A101" s="752"/>
      <c r="B101" s="588"/>
      <c r="C101" s="588"/>
      <c r="D101" s="588"/>
      <c r="E101" s="588"/>
      <c r="F101" s="588"/>
      <c r="G101" s="588"/>
      <c r="H101" s="588"/>
      <c r="I101" s="588"/>
      <c r="J101" s="588"/>
      <c r="K101" s="588"/>
      <c r="L101" s="753"/>
      <c r="M101" s="753"/>
      <c r="N101" s="588"/>
      <c r="O101" s="626"/>
      <c r="P101" s="588"/>
      <c r="Q101" s="626"/>
      <c r="R101" s="588"/>
      <c r="S101" s="588"/>
      <c r="T101" s="588"/>
      <c r="U101" s="588"/>
      <c r="V101" s="588"/>
      <c r="W101" s="588"/>
      <c r="X101" s="588"/>
      <c r="Y101" s="588"/>
      <c r="Z101" s="588"/>
      <c r="AA101" s="588"/>
      <c r="AB101" s="588"/>
      <c r="AC101" s="588"/>
      <c r="AD101" s="588"/>
      <c r="AE101" s="626"/>
      <c r="AF101" s="626"/>
      <c r="AG101" s="626"/>
      <c r="AH101" s="626"/>
      <c r="AI101" s="626"/>
      <c r="AJ101" s="626"/>
      <c r="AK101" s="626"/>
      <c r="AL101" s="626"/>
      <c r="AM101" s="626"/>
      <c r="AN101" s="626"/>
      <c r="AO101" s="626"/>
      <c r="AP101" s="626"/>
      <c r="AQ101" s="626"/>
      <c r="AR101" s="626"/>
      <c r="AS101" s="626"/>
      <c r="AT101" s="626"/>
      <c r="AU101" s="626"/>
      <c r="AV101" s="626"/>
      <c r="AW101" s="626"/>
      <c r="AX101" s="626"/>
      <c r="AY101" s="626"/>
      <c r="AZ101" s="626"/>
      <c r="BA101" s="626"/>
      <c r="BB101" s="588"/>
      <c r="BC101" s="626"/>
      <c r="BD101" s="626"/>
      <c r="BE101" s="626"/>
      <c r="BF101" s="626"/>
      <c r="BG101" s="626"/>
      <c r="BH101" s="626"/>
      <c r="BI101" s="588"/>
      <c r="BJ101" s="626"/>
      <c r="BK101" s="626"/>
      <c r="BL101" s="626"/>
      <c r="BM101" s="626"/>
      <c r="BN101" s="626"/>
      <c r="BO101" s="626"/>
      <c r="BP101" s="588"/>
      <c r="BQ101" s="846"/>
      <c r="BR101" s="850"/>
      <c r="BS101" s="588"/>
      <c r="BT101" s="754"/>
      <c r="BU101" s="588"/>
      <c r="BV101" s="588"/>
      <c r="BW101" s="588"/>
      <c r="BX101" s="588"/>
      <c r="BY101" s="588"/>
      <c r="BZ101" s="588"/>
      <c r="CA101" s="588"/>
      <c r="CB101" s="588"/>
      <c r="CC101" s="865"/>
      <c r="CD101" s="588"/>
      <c r="CE101" s="588"/>
      <c r="CF101" s="588"/>
      <c r="CG101" s="588"/>
      <c r="CH101" s="588"/>
      <c r="CI101" s="588"/>
      <c r="CJ101" s="588"/>
      <c r="CK101" s="588"/>
      <c r="CL101" s="588"/>
      <c r="CM101" s="588"/>
      <c r="CN101" s="588"/>
      <c r="CO101" s="588"/>
      <c r="CP101" s="816"/>
      <c r="CQ101" s="805"/>
      <c r="CR101" s="805"/>
      <c r="CS101" s="830"/>
      <c r="CT101" s="588"/>
      <c r="CU101" s="626"/>
      <c r="CV101" s="626"/>
      <c r="CW101" s="626"/>
      <c r="CX101" s="626"/>
      <c r="CY101" s="626"/>
      <c r="CZ101" s="626"/>
      <c r="DA101" s="626"/>
      <c r="DB101" s="626"/>
      <c r="DC101" s="626"/>
      <c r="DD101" s="626"/>
      <c r="DE101" s="626"/>
      <c r="DF101" s="626"/>
      <c r="DG101" s="626"/>
      <c r="DH101" s="626"/>
      <c r="DI101" s="626"/>
      <c r="DJ101" s="626"/>
      <c r="DK101" s="626"/>
      <c r="DL101" s="626"/>
      <c r="DM101" s="761"/>
      <c r="DN101" s="761"/>
      <c r="DO101" s="761"/>
      <c r="DP101" s="553"/>
      <c r="DQ101" s="553"/>
      <c r="DR101" s="553"/>
      <c r="DS101" s="553"/>
      <c r="DT101" s="553"/>
      <c r="DU101" s="553"/>
      <c r="DV101" s="553"/>
      <c r="DW101" s="553"/>
      <c r="DX101" s="553"/>
      <c r="DY101" s="553"/>
    </row>
    <row r="102" spans="1:129" customFormat="1" ht="24" customHeight="1" x14ac:dyDescent="0.9">
      <c r="A102" s="752"/>
      <c r="B102" s="588"/>
      <c r="C102" s="588"/>
      <c r="D102" s="588"/>
      <c r="E102" s="588"/>
      <c r="F102" s="588"/>
      <c r="G102" s="588"/>
      <c r="H102" s="588"/>
      <c r="I102" s="588"/>
      <c r="J102" s="588"/>
      <c r="K102" s="588"/>
      <c r="L102" s="753"/>
      <c r="M102" s="753"/>
      <c r="N102" s="588"/>
      <c r="O102" s="626"/>
      <c r="P102" s="588"/>
      <c r="Q102" s="626"/>
      <c r="R102" s="588"/>
      <c r="S102" s="588"/>
      <c r="T102" s="588"/>
      <c r="U102" s="588"/>
      <c r="V102" s="588"/>
      <c r="W102" s="588"/>
      <c r="X102" s="588"/>
      <c r="Y102" s="588"/>
      <c r="Z102" s="588"/>
      <c r="AA102" s="588"/>
      <c r="AB102" s="588"/>
      <c r="AC102" s="588"/>
      <c r="AD102" s="588"/>
      <c r="AE102" s="626"/>
      <c r="AF102" s="626"/>
      <c r="AG102" s="626"/>
      <c r="AH102" s="626"/>
      <c r="AI102" s="626"/>
      <c r="AJ102" s="626"/>
      <c r="AK102" s="626"/>
      <c r="AL102" s="626"/>
      <c r="AM102" s="626"/>
      <c r="AN102" s="626"/>
      <c r="AO102" s="626"/>
      <c r="AP102" s="626"/>
      <c r="AQ102" s="626"/>
      <c r="AR102" s="626"/>
      <c r="AS102" s="626"/>
      <c r="AT102" s="626"/>
      <c r="AU102" s="626"/>
      <c r="AV102" s="626"/>
      <c r="AW102" s="626"/>
      <c r="AX102" s="626"/>
      <c r="AY102" s="626"/>
      <c r="AZ102" s="626"/>
      <c r="BA102" s="626"/>
      <c r="BB102" s="588"/>
      <c r="BC102" s="626"/>
      <c r="BD102" s="626"/>
      <c r="BE102" s="626"/>
      <c r="BF102" s="626"/>
      <c r="BG102" s="626"/>
      <c r="BH102" s="626"/>
      <c r="BI102" s="588"/>
      <c r="BJ102" s="626"/>
      <c r="BK102" s="626"/>
      <c r="BL102" s="626"/>
      <c r="BM102" s="626"/>
      <c r="BN102" s="626"/>
      <c r="BO102" s="626"/>
      <c r="BP102" s="588"/>
      <c r="BQ102" s="846"/>
      <c r="BR102" s="850"/>
      <c r="BS102" s="588"/>
      <c r="BT102" s="754"/>
      <c r="BU102" s="588"/>
      <c r="BV102" s="588"/>
      <c r="BW102" s="588"/>
      <c r="BX102" s="588"/>
      <c r="BY102" s="588"/>
      <c r="BZ102" s="588"/>
      <c r="CA102" s="588"/>
      <c r="CB102" s="588"/>
      <c r="CC102" s="865"/>
      <c r="CD102" s="588"/>
      <c r="CE102" s="588"/>
      <c r="CF102" s="588"/>
      <c r="CG102" s="588"/>
      <c r="CH102" s="588"/>
      <c r="CI102" s="588"/>
      <c r="CJ102" s="588"/>
      <c r="CK102" s="588"/>
      <c r="CL102" s="588"/>
      <c r="CM102" s="588"/>
      <c r="CN102" s="588"/>
      <c r="CO102" s="588"/>
      <c r="CP102" s="816"/>
      <c r="CQ102" s="805"/>
      <c r="CR102" s="805"/>
      <c r="CS102" s="830"/>
      <c r="CT102" s="588"/>
      <c r="CU102" s="626"/>
      <c r="CV102" s="626"/>
      <c r="CW102" s="626"/>
      <c r="CX102" s="626"/>
      <c r="CY102" s="626"/>
      <c r="CZ102" s="626"/>
      <c r="DA102" s="626"/>
      <c r="DB102" s="626"/>
      <c r="DC102" s="626"/>
      <c r="DD102" s="626"/>
      <c r="DE102" s="626"/>
      <c r="DF102" s="626"/>
      <c r="DG102" s="626"/>
      <c r="DH102" s="626"/>
      <c r="DI102" s="626"/>
      <c r="DJ102" s="626"/>
      <c r="DK102" s="626"/>
      <c r="DL102" s="626"/>
      <c r="DM102" s="761"/>
      <c r="DN102" s="761"/>
      <c r="DO102" s="761"/>
      <c r="DP102" s="553"/>
      <c r="DQ102" s="553"/>
      <c r="DR102" s="553"/>
      <c r="DS102" s="553"/>
      <c r="DT102" s="553"/>
      <c r="DU102" s="553"/>
      <c r="DV102" s="553"/>
      <c r="DW102" s="553"/>
      <c r="DX102" s="553"/>
      <c r="DY102" s="553"/>
    </row>
    <row r="103" spans="1:129" customFormat="1" ht="24" customHeight="1" x14ac:dyDescent="0.9">
      <c r="A103" s="752"/>
      <c r="B103" s="588"/>
      <c r="C103" s="588"/>
      <c r="D103" s="588"/>
      <c r="E103" s="588"/>
      <c r="F103" s="588"/>
      <c r="G103" s="588"/>
      <c r="H103" s="588"/>
      <c r="I103" s="588"/>
      <c r="J103" s="588"/>
      <c r="K103" s="588"/>
      <c r="L103" s="753"/>
      <c r="M103" s="753"/>
      <c r="N103" s="588"/>
      <c r="O103" s="626"/>
      <c r="P103" s="588"/>
      <c r="Q103" s="626"/>
      <c r="R103" s="588"/>
      <c r="S103" s="588"/>
      <c r="T103" s="588"/>
      <c r="U103" s="588"/>
      <c r="V103" s="588"/>
      <c r="W103" s="588"/>
      <c r="X103" s="588"/>
      <c r="Y103" s="588"/>
      <c r="Z103" s="588"/>
      <c r="AA103" s="588"/>
      <c r="AB103" s="588"/>
      <c r="AC103" s="588"/>
      <c r="AD103" s="588"/>
      <c r="AE103" s="626"/>
      <c r="AF103" s="626"/>
      <c r="AG103" s="626"/>
      <c r="AH103" s="626"/>
      <c r="AI103" s="626"/>
      <c r="AJ103" s="626"/>
      <c r="AK103" s="626"/>
      <c r="AL103" s="626"/>
      <c r="AM103" s="626"/>
      <c r="AN103" s="626"/>
      <c r="AO103" s="626"/>
      <c r="AP103" s="626"/>
      <c r="AQ103" s="626"/>
      <c r="AR103" s="626"/>
      <c r="AS103" s="626"/>
      <c r="AT103" s="626"/>
      <c r="AU103" s="626"/>
      <c r="AV103" s="626"/>
      <c r="AW103" s="626"/>
      <c r="AX103" s="626"/>
      <c r="AY103" s="626"/>
      <c r="AZ103" s="626"/>
      <c r="BA103" s="626"/>
      <c r="BB103" s="588"/>
      <c r="BC103" s="626"/>
      <c r="BD103" s="626"/>
      <c r="BE103" s="626"/>
      <c r="BF103" s="626"/>
      <c r="BG103" s="626"/>
      <c r="BH103" s="626"/>
      <c r="BI103" s="588"/>
      <c r="BJ103" s="626"/>
      <c r="BK103" s="626"/>
      <c r="BL103" s="626"/>
      <c r="BM103" s="626"/>
      <c r="BN103" s="626"/>
      <c r="BO103" s="626"/>
      <c r="BP103" s="588"/>
      <c r="BQ103" s="846"/>
      <c r="BR103" s="850"/>
      <c r="BS103" s="588"/>
      <c r="BT103" s="754"/>
      <c r="BU103" s="588"/>
      <c r="BV103" s="588"/>
      <c r="BW103" s="588"/>
      <c r="BX103" s="588"/>
      <c r="BY103" s="588"/>
      <c r="BZ103" s="588"/>
      <c r="CA103" s="588"/>
      <c r="CB103" s="588"/>
      <c r="CC103" s="865"/>
      <c r="CD103" s="588"/>
      <c r="CE103" s="588"/>
      <c r="CF103" s="588"/>
      <c r="CG103" s="588"/>
      <c r="CH103" s="588"/>
      <c r="CI103" s="588"/>
      <c r="CJ103" s="588"/>
      <c r="CK103" s="588"/>
      <c r="CL103" s="588"/>
      <c r="CM103" s="588"/>
      <c r="CN103" s="588"/>
      <c r="CO103" s="588"/>
      <c r="CP103" s="816"/>
      <c r="CQ103" s="805"/>
      <c r="CR103" s="805"/>
      <c r="CS103" s="830"/>
      <c r="CT103" s="588"/>
      <c r="CU103" s="626"/>
      <c r="CV103" s="626"/>
      <c r="CW103" s="626"/>
      <c r="CX103" s="626"/>
      <c r="CY103" s="626"/>
      <c r="CZ103" s="626"/>
      <c r="DA103" s="626"/>
      <c r="DB103" s="626"/>
      <c r="DC103" s="626"/>
      <c r="DD103" s="626"/>
      <c r="DE103" s="626"/>
      <c r="DF103" s="626"/>
      <c r="DG103" s="626"/>
      <c r="DH103" s="626"/>
      <c r="DI103" s="626"/>
      <c r="DJ103" s="626"/>
      <c r="DK103" s="626"/>
      <c r="DL103" s="626"/>
      <c r="DM103" s="761"/>
      <c r="DN103" s="761"/>
      <c r="DO103" s="761"/>
      <c r="DP103" s="553"/>
      <c r="DQ103" s="553"/>
      <c r="DR103" s="553"/>
      <c r="DS103" s="553"/>
      <c r="DT103" s="553"/>
      <c r="DU103" s="553"/>
      <c r="DV103" s="553"/>
      <c r="DW103" s="553"/>
      <c r="DX103" s="553"/>
      <c r="DY103" s="553"/>
    </row>
    <row r="104" spans="1:129" customFormat="1" ht="24" customHeight="1" x14ac:dyDescent="0.9">
      <c r="A104" s="752"/>
      <c r="B104" s="588"/>
      <c r="C104" s="588"/>
      <c r="D104" s="588"/>
      <c r="E104" s="588"/>
      <c r="F104" s="588"/>
      <c r="G104" s="588"/>
      <c r="H104" s="588"/>
      <c r="I104" s="588"/>
      <c r="J104" s="588"/>
      <c r="K104" s="588"/>
      <c r="L104" s="753"/>
      <c r="M104" s="753"/>
      <c r="N104" s="588"/>
      <c r="O104" s="626"/>
      <c r="P104" s="588"/>
      <c r="Q104" s="626"/>
      <c r="R104" s="588"/>
      <c r="S104" s="588"/>
      <c r="T104" s="588"/>
      <c r="U104" s="588"/>
      <c r="V104" s="588"/>
      <c r="W104" s="588"/>
      <c r="X104" s="588"/>
      <c r="Y104" s="588"/>
      <c r="Z104" s="588"/>
      <c r="AA104" s="588"/>
      <c r="AB104" s="588"/>
      <c r="AC104" s="588"/>
      <c r="AD104" s="588"/>
      <c r="AE104" s="626"/>
      <c r="AF104" s="626"/>
      <c r="AG104" s="626"/>
      <c r="AH104" s="626"/>
      <c r="AI104" s="626"/>
      <c r="AJ104" s="626"/>
      <c r="AK104" s="626"/>
      <c r="AL104" s="626"/>
      <c r="AM104" s="626"/>
      <c r="AN104" s="626"/>
      <c r="AO104" s="626"/>
      <c r="AP104" s="626"/>
      <c r="AQ104" s="626"/>
      <c r="AR104" s="626"/>
      <c r="AS104" s="626"/>
      <c r="AT104" s="626"/>
      <c r="AU104" s="626"/>
      <c r="AV104" s="626"/>
      <c r="AW104" s="626"/>
      <c r="AX104" s="626"/>
      <c r="AY104" s="626"/>
      <c r="AZ104" s="626"/>
      <c r="BA104" s="626"/>
      <c r="BB104" s="588"/>
      <c r="BC104" s="626"/>
      <c r="BD104" s="626"/>
      <c r="BE104" s="626"/>
      <c r="BF104" s="626"/>
      <c r="BG104" s="626"/>
      <c r="BH104" s="626"/>
      <c r="BI104" s="588"/>
      <c r="BJ104" s="626"/>
      <c r="BK104" s="626"/>
      <c r="BL104" s="626"/>
      <c r="BM104" s="626"/>
      <c r="BN104" s="626"/>
      <c r="BO104" s="626"/>
      <c r="BP104" s="588"/>
      <c r="BQ104" s="846"/>
      <c r="BR104" s="850"/>
      <c r="BS104" s="588"/>
      <c r="BT104" s="754"/>
      <c r="BU104" s="588"/>
      <c r="BV104" s="588"/>
      <c r="BW104" s="588"/>
      <c r="BX104" s="588"/>
      <c r="BY104" s="588"/>
      <c r="BZ104" s="588"/>
      <c r="CA104" s="588"/>
      <c r="CB104" s="588"/>
      <c r="CC104" s="865"/>
      <c r="CD104" s="588"/>
      <c r="CE104" s="588"/>
      <c r="CF104" s="588"/>
      <c r="CG104" s="588"/>
      <c r="CH104" s="588"/>
      <c r="CI104" s="588"/>
      <c r="CJ104" s="588"/>
      <c r="CK104" s="588"/>
      <c r="CL104" s="588"/>
      <c r="CM104" s="588"/>
      <c r="CN104" s="588"/>
      <c r="CO104" s="588"/>
      <c r="CP104" s="816"/>
      <c r="CQ104" s="805"/>
      <c r="CR104" s="805"/>
      <c r="CS104" s="830"/>
      <c r="CT104" s="588"/>
      <c r="CU104" s="626"/>
      <c r="CV104" s="626"/>
      <c r="CW104" s="626"/>
      <c r="CX104" s="626"/>
      <c r="CY104" s="626"/>
      <c r="CZ104" s="626"/>
      <c r="DA104" s="626"/>
      <c r="DB104" s="626"/>
      <c r="DC104" s="626"/>
      <c r="DD104" s="626"/>
      <c r="DE104" s="626"/>
      <c r="DF104" s="626"/>
      <c r="DG104" s="626"/>
      <c r="DH104" s="626"/>
      <c r="DI104" s="626"/>
      <c r="DJ104" s="626"/>
      <c r="DK104" s="626"/>
      <c r="DL104" s="626"/>
      <c r="DM104" s="761"/>
      <c r="DN104" s="761"/>
      <c r="DO104" s="761"/>
      <c r="DP104" s="553"/>
      <c r="DQ104" s="553"/>
      <c r="DR104" s="553"/>
      <c r="DS104" s="553"/>
      <c r="DT104" s="553"/>
      <c r="DU104" s="553"/>
      <c r="DV104" s="553"/>
      <c r="DW104" s="553"/>
      <c r="DX104" s="553"/>
      <c r="DY104" s="553"/>
    </row>
    <row r="105" spans="1:129" customFormat="1" ht="24" customHeight="1" x14ac:dyDescent="0.9">
      <c r="A105" s="752"/>
      <c r="B105" s="588"/>
      <c r="C105" s="588"/>
      <c r="D105" s="588"/>
      <c r="E105" s="588"/>
      <c r="F105" s="588"/>
      <c r="G105" s="588"/>
      <c r="H105" s="588"/>
      <c r="I105" s="588"/>
      <c r="J105" s="588"/>
      <c r="K105" s="588"/>
      <c r="L105" s="753"/>
      <c r="M105" s="753"/>
      <c r="N105" s="588"/>
      <c r="O105" s="626"/>
      <c r="P105" s="588"/>
      <c r="Q105" s="626"/>
      <c r="R105" s="588"/>
      <c r="S105" s="588"/>
      <c r="T105" s="588"/>
      <c r="U105" s="588"/>
      <c r="V105" s="588"/>
      <c r="W105" s="588"/>
      <c r="X105" s="588"/>
      <c r="Y105" s="588"/>
      <c r="Z105" s="588"/>
      <c r="AA105" s="588"/>
      <c r="AB105" s="588"/>
      <c r="AC105" s="588"/>
      <c r="AD105" s="588"/>
      <c r="AE105" s="626"/>
      <c r="AF105" s="626"/>
      <c r="AG105" s="626"/>
      <c r="AH105" s="626"/>
      <c r="AI105" s="626"/>
      <c r="AJ105" s="626"/>
      <c r="AK105" s="626"/>
      <c r="AL105" s="626"/>
      <c r="AM105" s="626"/>
      <c r="AN105" s="626"/>
      <c r="AO105" s="626"/>
      <c r="AP105" s="626"/>
      <c r="AQ105" s="626"/>
      <c r="AR105" s="626"/>
      <c r="AS105" s="626"/>
      <c r="AT105" s="626"/>
      <c r="AU105" s="626"/>
      <c r="AV105" s="626"/>
      <c r="AW105" s="626"/>
      <c r="AX105" s="626"/>
      <c r="AY105" s="626"/>
      <c r="AZ105" s="626"/>
      <c r="BA105" s="626"/>
      <c r="BB105" s="588"/>
      <c r="BC105" s="626"/>
      <c r="BD105" s="626"/>
      <c r="BE105" s="626"/>
      <c r="BF105" s="626"/>
      <c r="BG105" s="626"/>
      <c r="BH105" s="626"/>
      <c r="BI105" s="588"/>
      <c r="BJ105" s="626"/>
      <c r="BK105" s="626"/>
      <c r="BL105" s="626"/>
      <c r="BM105" s="626"/>
      <c r="BN105" s="626"/>
      <c r="BO105" s="626"/>
      <c r="BP105" s="588"/>
      <c r="BQ105" s="846"/>
      <c r="BR105" s="850"/>
      <c r="BS105" s="588"/>
      <c r="BT105" s="754"/>
      <c r="BU105" s="588"/>
      <c r="BV105" s="588"/>
      <c r="BW105" s="588"/>
      <c r="BX105" s="588"/>
      <c r="BY105" s="588"/>
      <c r="BZ105" s="588"/>
      <c r="CA105" s="588"/>
      <c r="CB105" s="588"/>
      <c r="CC105" s="865"/>
      <c r="CD105" s="588"/>
      <c r="CE105" s="588"/>
      <c r="CF105" s="588"/>
      <c r="CG105" s="588"/>
      <c r="CH105" s="588"/>
      <c r="CI105" s="588"/>
      <c r="CJ105" s="588"/>
      <c r="CK105" s="588"/>
      <c r="CL105" s="588"/>
      <c r="CM105" s="588"/>
      <c r="CN105" s="588"/>
      <c r="CO105" s="588"/>
      <c r="CP105" s="816"/>
      <c r="CQ105" s="805"/>
      <c r="CR105" s="805"/>
      <c r="CS105" s="830"/>
      <c r="CT105" s="588"/>
      <c r="CU105" s="626"/>
      <c r="CV105" s="626"/>
      <c r="CW105" s="626"/>
      <c r="CX105" s="626"/>
      <c r="CY105" s="626"/>
      <c r="CZ105" s="626"/>
      <c r="DA105" s="626"/>
      <c r="DB105" s="626"/>
      <c r="DC105" s="626"/>
      <c r="DD105" s="626"/>
      <c r="DE105" s="626"/>
      <c r="DF105" s="626"/>
      <c r="DG105" s="626"/>
      <c r="DH105" s="626"/>
      <c r="DI105" s="626"/>
      <c r="DJ105" s="626"/>
      <c r="DK105" s="626"/>
      <c r="DL105" s="626"/>
      <c r="DM105" s="761"/>
      <c r="DN105" s="761"/>
      <c r="DO105" s="761"/>
      <c r="DP105" s="553"/>
      <c r="DQ105" s="553"/>
      <c r="DR105" s="553"/>
      <c r="DS105" s="553"/>
      <c r="DT105" s="553"/>
      <c r="DU105" s="553"/>
      <c r="DV105" s="553"/>
      <c r="DW105" s="553"/>
      <c r="DX105" s="553"/>
      <c r="DY105" s="553"/>
    </row>
    <row r="106" spans="1:129" customFormat="1" ht="24" customHeight="1" x14ac:dyDescent="0.9">
      <c r="A106" s="752"/>
      <c r="B106" s="588"/>
      <c r="C106" s="588"/>
      <c r="D106" s="588"/>
      <c r="E106" s="588"/>
      <c r="F106" s="588"/>
      <c r="G106" s="588"/>
      <c r="H106" s="588"/>
      <c r="I106" s="588"/>
      <c r="J106" s="588"/>
      <c r="K106" s="588"/>
      <c r="L106" s="753"/>
      <c r="M106" s="753"/>
      <c r="N106" s="588"/>
      <c r="O106" s="626"/>
      <c r="P106" s="588"/>
      <c r="Q106" s="626"/>
      <c r="R106" s="588"/>
      <c r="S106" s="588"/>
      <c r="T106" s="588"/>
      <c r="U106" s="588"/>
      <c r="V106" s="588"/>
      <c r="W106" s="588"/>
      <c r="X106" s="588"/>
      <c r="Y106" s="588"/>
      <c r="Z106" s="588"/>
      <c r="AA106" s="588"/>
      <c r="AB106" s="588"/>
      <c r="AC106" s="588"/>
      <c r="AD106" s="588"/>
      <c r="AE106" s="626"/>
      <c r="AF106" s="626"/>
      <c r="AG106" s="626"/>
      <c r="AH106" s="626"/>
      <c r="AI106" s="626"/>
      <c r="AJ106" s="626"/>
      <c r="AK106" s="626"/>
      <c r="AL106" s="626"/>
      <c r="AM106" s="626"/>
      <c r="AN106" s="626"/>
      <c r="AO106" s="626"/>
      <c r="AP106" s="626"/>
      <c r="AQ106" s="626"/>
      <c r="AR106" s="626"/>
      <c r="AS106" s="626"/>
      <c r="AT106" s="626"/>
      <c r="AU106" s="626"/>
      <c r="AV106" s="626"/>
      <c r="AW106" s="626"/>
      <c r="AX106" s="626"/>
      <c r="AY106" s="626"/>
      <c r="AZ106" s="626"/>
      <c r="BA106" s="626"/>
      <c r="BB106" s="588"/>
      <c r="BC106" s="626"/>
      <c r="BD106" s="626"/>
      <c r="BE106" s="626"/>
      <c r="BF106" s="626"/>
      <c r="BG106" s="626"/>
      <c r="BH106" s="626"/>
      <c r="BI106" s="588"/>
      <c r="BJ106" s="626"/>
      <c r="BK106" s="626"/>
      <c r="BL106" s="626"/>
      <c r="BM106" s="626"/>
      <c r="BN106" s="626"/>
      <c r="BO106" s="626"/>
      <c r="BP106" s="588"/>
      <c r="BQ106" s="846"/>
      <c r="BR106" s="850"/>
      <c r="BS106" s="588"/>
      <c r="BT106" s="754"/>
      <c r="BU106" s="588"/>
      <c r="BV106" s="588"/>
      <c r="BW106" s="588"/>
      <c r="BX106" s="588"/>
      <c r="BY106" s="588"/>
      <c r="BZ106" s="588"/>
      <c r="CA106" s="588"/>
      <c r="CB106" s="588"/>
      <c r="CC106" s="865"/>
      <c r="CD106" s="588"/>
      <c r="CE106" s="588"/>
      <c r="CF106" s="588"/>
      <c r="CG106" s="588"/>
      <c r="CH106" s="588"/>
      <c r="CI106" s="588"/>
      <c r="CJ106" s="588"/>
      <c r="CK106" s="588"/>
      <c r="CL106" s="588"/>
      <c r="CM106" s="588"/>
      <c r="CN106" s="588"/>
      <c r="CO106" s="588"/>
      <c r="CP106" s="816"/>
      <c r="CQ106" s="805"/>
      <c r="CR106" s="805"/>
      <c r="CS106" s="830"/>
      <c r="CT106" s="588"/>
      <c r="CU106" s="626"/>
      <c r="CV106" s="626"/>
      <c r="CW106" s="626"/>
      <c r="CX106" s="626"/>
      <c r="CY106" s="626"/>
      <c r="CZ106" s="626"/>
      <c r="DA106" s="626"/>
      <c r="DB106" s="626"/>
      <c r="DC106" s="626"/>
      <c r="DD106" s="626"/>
      <c r="DE106" s="626"/>
      <c r="DF106" s="626"/>
      <c r="DG106" s="626"/>
      <c r="DH106" s="626"/>
      <c r="DI106" s="626"/>
      <c r="DJ106" s="626"/>
      <c r="DK106" s="626"/>
      <c r="DL106" s="626"/>
      <c r="DM106" s="761"/>
      <c r="DN106" s="761"/>
      <c r="DO106" s="761"/>
      <c r="DP106" s="553"/>
      <c r="DQ106" s="553"/>
      <c r="DR106" s="553"/>
      <c r="DS106" s="553"/>
      <c r="DT106" s="553"/>
      <c r="DU106" s="553"/>
      <c r="DV106" s="553"/>
      <c r="DW106" s="553"/>
      <c r="DX106" s="553"/>
      <c r="DY106" s="553"/>
    </row>
    <row r="107" spans="1:129" customFormat="1" ht="24" customHeight="1" x14ac:dyDescent="0.9">
      <c r="A107" s="752"/>
      <c r="B107" s="588"/>
      <c r="C107" s="588"/>
      <c r="D107" s="588"/>
      <c r="E107" s="588"/>
      <c r="F107" s="588"/>
      <c r="G107" s="588"/>
      <c r="H107" s="588"/>
      <c r="I107" s="588"/>
      <c r="J107" s="588"/>
      <c r="K107" s="588"/>
      <c r="L107" s="753"/>
      <c r="M107" s="753"/>
      <c r="N107" s="588"/>
      <c r="O107" s="626"/>
      <c r="P107" s="588"/>
      <c r="Q107" s="626"/>
      <c r="R107" s="588"/>
      <c r="S107" s="588"/>
      <c r="T107" s="588"/>
      <c r="U107" s="588"/>
      <c r="V107" s="588"/>
      <c r="W107" s="588"/>
      <c r="X107" s="588"/>
      <c r="Y107" s="588"/>
      <c r="Z107" s="588"/>
      <c r="AA107" s="588"/>
      <c r="AB107" s="588"/>
      <c r="AC107" s="588"/>
      <c r="AD107" s="588"/>
      <c r="AE107" s="626"/>
      <c r="AF107" s="626"/>
      <c r="AG107" s="626"/>
      <c r="AH107" s="626"/>
      <c r="AI107" s="626"/>
      <c r="AJ107" s="626"/>
      <c r="AK107" s="626"/>
      <c r="AL107" s="626"/>
      <c r="AM107" s="626"/>
      <c r="AN107" s="626"/>
      <c r="AO107" s="626"/>
      <c r="AP107" s="626"/>
      <c r="AQ107" s="626"/>
      <c r="AR107" s="626"/>
      <c r="AS107" s="626"/>
      <c r="AT107" s="626"/>
      <c r="AU107" s="626"/>
      <c r="AV107" s="626"/>
      <c r="AW107" s="626"/>
      <c r="AX107" s="626"/>
      <c r="AY107" s="626"/>
      <c r="AZ107" s="626"/>
      <c r="BA107" s="626"/>
      <c r="BB107" s="588"/>
      <c r="BC107" s="626"/>
      <c r="BD107" s="626"/>
      <c r="BE107" s="626"/>
      <c r="BF107" s="626"/>
      <c r="BG107" s="626"/>
      <c r="BH107" s="626"/>
      <c r="BI107" s="588"/>
      <c r="BJ107" s="626"/>
      <c r="BK107" s="626"/>
      <c r="BL107" s="626"/>
      <c r="BM107" s="626"/>
      <c r="BN107" s="626"/>
      <c r="BO107" s="626"/>
      <c r="BP107" s="588"/>
      <c r="BQ107" s="846"/>
      <c r="BR107" s="850"/>
      <c r="BS107" s="588"/>
      <c r="BT107" s="754"/>
      <c r="BU107" s="588"/>
      <c r="BV107" s="588"/>
      <c r="BW107" s="588"/>
      <c r="BX107" s="588"/>
      <c r="BY107" s="588"/>
      <c r="BZ107" s="588"/>
      <c r="CA107" s="588"/>
      <c r="CB107" s="588"/>
      <c r="CC107" s="865"/>
      <c r="CD107" s="588"/>
      <c r="CE107" s="588"/>
      <c r="CF107" s="588"/>
      <c r="CG107" s="588"/>
      <c r="CH107" s="588"/>
      <c r="CI107" s="588"/>
      <c r="CJ107" s="588"/>
      <c r="CK107" s="588"/>
      <c r="CL107" s="588"/>
      <c r="CM107" s="588"/>
      <c r="CN107" s="588"/>
      <c r="CO107" s="588"/>
      <c r="CP107" s="816"/>
      <c r="CQ107" s="805"/>
      <c r="CR107" s="805"/>
      <c r="CS107" s="830"/>
      <c r="CT107" s="588"/>
      <c r="CU107" s="626"/>
      <c r="CV107" s="626"/>
      <c r="CW107" s="626"/>
      <c r="CX107" s="626"/>
      <c r="CY107" s="626"/>
      <c r="CZ107" s="626"/>
      <c r="DA107" s="626"/>
      <c r="DB107" s="626"/>
      <c r="DC107" s="626"/>
      <c r="DD107" s="626"/>
      <c r="DE107" s="626"/>
      <c r="DF107" s="626"/>
      <c r="DG107" s="626"/>
      <c r="DH107" s="626"/>
      <c r="DI107" s="626"/>
      <c r="DJ107" s="626"/>
      <c r="DK107" s="626"/>
      <c r="DL107" s="626"/>
      <c r="DM107" s="761"/>
      <c r="DN107" s="761"/>
      <c r="DO107" s="761"/>
      <c r="DP107" s="553"/>
      <c r="DQ107" s="553"/>
      <c r="DR107" s="553"/>
      <c r="DS107" s="553"/>
      <c r="DT107" s="553"/>
      <c r="DU107" s="553"/>
      <c r="DV107" s="553"/>
      <c r="DW107" s="553"/>
      <c r="DX107" s="553"/>
      <c r="DY107" s="553"/>
    </row>
    <row r="108" spans="1:129" customFormat="1" ht="24" customHeight="1" x14ac:dyDescent="0.9">
      <c r="A108" s="752"/>
      <c r="B108" s="588"/>
      <c r="C108" s="588"/>
      <c r="D108" s="588"/>
      <c r="E108" s="588"/>
      <c r="F108" s="588"/>
      <c r="G108" s="588"/>
      <c r="H108" s="588"/>
      <c r="I108" s="588"/>
      <c r="J108" s="588"/>
      <c r="K108" s="588"/>
      <c r="L108" s="753"/>
      <c r="M108" s="753"/>
      <c r="N108" s="588"/>
      <c r="O108" s="626"/>
      <c r="P108" s="588"/>
      <c r="Q108" s="626"/>
      <c r="R108" s="588"/>
      <c r="S108" s="588"/>
      <c r="T108" s="588"/>
      <c r="U108" s="588"/>
      <c r="V108" s="588"/>
      <c r="W108" s="588"/>
      <c r="X108" s="588"/>
      <c r="Y108" s="588"/>
      <c r="Z108" s="588"/>
      <c r="AA108" s="588"/>
      <c r="AB108" s="588"/>
      <c r="AC108" s="588"/>
      <c r="AD108" s="588"/>
      <c r="AE108" s="626"/>
      <c r="AF108" s="626"/>
      <c r="AG108" s="626"/>
      <c r="AH108" s="626"/>
      <c r="AI108" s="626"/>
      <c r="AJ108" s="626"/>
      <c r="AK108" s="626"/>
      <c r="AL108" s="626"/>
      <c r="AM108" s="626"/>
      <c r="AN108" s="626"/>
      <c r="AO108" s="626"/>
      <c r="AP108" s="626"/>
      <c r="AQ108" s="626"/>
      <c r="AR108" s="626"/>
      <c r="AS108" s="626"/>
      <c r="AT108" s="626"/>
      <c r="AU108" s="626"/>
      <c r="AV108" s="626"/>
      <c r="AW108" s="626"/>
      <c r="AX108" s="626"/>
      <c r="AY108" s="626"/>
      <c r="AZ108" s="626"/>
      <c r="BA108" s="626"/>
      <c r="BB108" s="588"/>
      <c r="BC108" s="626"/>
      <c r="BD108" s="626"/>
      <c r="BE108" s="626"/>
      <c r="BF108" s="626"/>
      <c r="BG108" s="626"/>
      <c r="BH108" s="626"/>
      <c r="BI108" s="588"/>
      <c r="BJ108" s="626"/>
      <c r="BK108" s="626"/>
      <c r="BL108" s="626"/>
      <c r="BM108" s="626"/>
      <c r="BN108" s="626"/>
      <c r="BO108" s="626"/>
      <c r="BP108" s="588"/>
      <c r="BQ108" s="846"/>
      <c r="BR108" s="850"/>
      <c r="BS108" s="588"/>
      <c r="BT108" s="754"/>
      <c r="BU108" s="588"/>
      <c r="BV108" s="588"/>
      <c r="BW108" s="588"/>
      <c r="BX108" s="588"/>
      <c r="BY108" s="588"/>
      <c r="BZ108" s="588"/>
      <c r="CA108" s="588"/>
      <c r="CB108" s="588"/>
      <c r="CC108" s="865"/>
      <c r="CD108" s="588"/>
      <c r="CE108" s="588"/>
      <c r="CF108" s="588"/>
      <c r="CG108" s="588"/>
      <c r="CH108" s="588"/>
      <c r="CI108" s="588"/>
      <c r="CJ108" s="588"/>
      <c r="CK108" s="588"/>
      <c r="CL108" s="588"/>
      <c r="CM108" s="588"/>
      <c r="CN108" s="588"/>
      <c r="CO108" s="588"/>
      <c r="CP108" s="816"/>
      <c r="CQ108" s="805"/>
      <c r="CR108" s="805"/>
      <c r="CS108" s="830"/>
      <c r="CT108" s="588"/>
      <c r="CU108" s="626"/>
      <c r="CV108" s="626"/>
      <c r="CW108" s="626"/>
      <c r="CX108" s="626"/>
      <c r="CY108" s="626"/>
      <c r="CZ108" s="626"/>
      <c r="DA108" s="626"/>
      <c r="DB108" s="626"/>
      <c r="DC108" s="626"/>
      <c r="DD108" s="626"/>
      <c r="DE108" s="626"/>
      <c r="DF108" s="626"/>
      <c r="DG108" s="626"/>
      <c r="DH108" s="626"/>
      <c r="DI108" s="626"/>
      <c r="DJ108" s="626"/>
      <c r="DK108" s="626"/>
      <c r="DL108" s="626"/>
      <c r="DM108" s="761"/>
      <c r="DN108" s="761"/>
      <c r="DO108" s="761"/>
      <c r="DP108" s="553"/>
      <c r="DQ108" s="553"/>
      <c r="DR108" s="553"/>
      <c r="DS108" s="553"/>
      <c r="DT108" s="553"/>
      <c r="DU108" s="553"/>
      <c r="DV108" s="553"/>
      <c r="DW108" s="553"/>
      <c r="DX108" s="553"/>
      <c r="DY108" s="553"/>
    </row>
    <row r="109" spans="1:129" customFormat="1" ht="24" customHeight="1" x14ac:dyDescent="0.9">
      <c r="A109" s="752"/>
      <c r="B109" s="588"/>
      <c r="C109" s="588"/>
      <c r="D109" s="588"/>
      <c r="E109" s="588"/>
      <c r="F109" s="588"/>
      <c r="G109" s="588"/>
      <c r="H109" s="588"/>
      <c r="I109" s="588"/>
      <c r="J109" s="588"/>
      <c r="K109" s="588"/>
      <c r="L109" s="753"/>
      <c r="M109" s="753"/>
      <c r="N109" s="588"/>
      <c r="O109" s="626"/>
      <c r="P109" s="588"/>
      <c r="Q109" s="626"/>
      <c r="R109" s="588"/>
      <c r="S109" s="588"/>
      <c r="T109" s="588"/>
      <c r="U109" s="588"/>
      <c r="V109" s="588"/>
      <c r="W109" s="588"/>
      <c r="X109" s="588"/>
      <c r="Y109" s="588"/>
      <c r="Z109" s="588"/>
      <c r="AA109" s="588"/>
      <c r="AB109" s="588"/>
      <c r="AC109" s="588"/>
      <c r="AD109" s="588"/>
      <c r="AE109" s="626"/>
      <c r="AF109" s="626"/>
      <c r="AG109" s="626"/>
      <c r="AH109" s="626"/>
      <c r="AI109" s="626"/>
      <c r="AJ109" s="626"/>
      <c r="AK109" s="626"/>
      <c r="AL109" s="626"/>
      <c r="AM109" s="626"/>
      <c r="AN109" s="626"/>
      <c r="AO109" s="626"/>
      <c r="AP109" s="626"/>
      <c r="AQ109" s="626"/>
      <c r="AR109" s="626"/>
      <c r="AS109" s="626"/>
      <c r="AT109" s="626"/>
      <c r="AU109" s="626"/>
      <c r="AV109" s="626"/>
      <c r="AW109" s="626"/>
      <c r="AX109" s="626"/>
      <c r="AY109" s="626"/>
      <c r="AZ109" s="626"/>
      <c r="BA109" s="626"/>
      <c r="BB109" s="588"/>
      <c r="BC109" s="626"/>
      <c r="BD109" s="626"/>
      <c r="BE109" s="626"/>
      <c r="BF109" s="626"/>
      <c r="BG109" s="626"/>
      <c r="BH109" s="626"/>
      <c r="BI109" s="588"/>
      <c r="BJ109" s="626"/>
      <c r="BK109" s="626"/>
      <c r="BL109" s="626"/>
      <c r="BM109" s="626"/>
      <c r="BN109" s="626"/>
      <c r="BO109" s="626"/>
      <c r="BP109" s="588"/>
      <c r="BQ109" s="846"/>
      <c r="BR109" s="850"/>
      <c r="BS109" s="588"/>
      <c r="BT109" s="754"/>
      <c r="BU109" s="588"/>
      <c r="BV109" s="588"/>
      <c r="BW109" s="588"/>
      <c r="BX109" s="588"/>
      <c r="BY109" s="588"/>
      <c r="BZ109" s="588"/>
      <c r="CA109" s="588"/>
      <c r="CB109" s="588"/>
      <c r="CC109" s="865"/>
      <c r="CD109" s="588"/>
      <c r="CE109" s="588"/>
      <c r="CF109" s="588"/>
      <c r="CG109" s="588"/>
      <c r="CH109" s="588"/>
      <c r="CI109" s="588"/>
      <c r="CJ109" s="588"/>
      <c r="CK109" s="588"/>
      <c r="CL109" s="588"/>
      <c r="CM109" s="588"/>
      <c r="CN109" s="588"/>
      <c r="CO109" s="588"/>
      <c r="CP109" s="816"/>
      <c r="CQ109" s="805"/>
      <c r="CR109" s="805"/>
      <c r="CS109" s="830"/>
      <c r="CT109" s="588"/>
      <c r="CU109" s="626"/>
      <c r="CV109" s="626"/>
      <c r="CW109" s="626"/>
      <c r="CX109" s="626"/>
      <c r="CY109" s="626"/>
      <c r="CZ109" s="626"/>
      <c r="DA109" s="626"/>
      <c r="DB109" s="626"/>
      <c r="DC109" s="626"/>
      <c r="DD109" s="626"/>
      <c r="DE109" s="626"/>
      <c r="DF109" s="626"/>
      <c r="DG109" s="626"/>
      <c r="DH109" s="626"/>
      <c r="DI109" s="626"/>
      <c r="DJ109" s="626"/>
      <c r="DK109" s="626"/>
      <c r="DL109" s="626"/>
      <c r="DM109" s="761"/>
      <c r="DN109" s="761"/>
      <c r="DO109" s="761"/>
      <c r="DP109" s="553"/>
      <c r="DQ109" s="553"/>
      <c r="DR109" s="553"/>
      <c r="DS109" s="553"/>
      <c r="DT109" s="553"/>
      <c r="DU109" s="553"/>
      <c r="DV109" s="553"/>
      <c r="DW109" s="553"/>
      <c r="DX109" s="553"/>
      <c r="DY109" s="553"/>
    </row>
    <row r="110" spans="1:129" customFormat="1" ht="24" customHeight="1" x14ac:dyDescent="0.9">
      <c r="A110" s="752"/>
      <c r="B110" s="588"/>
      <c r="C110" s="588"/>
      <c r="D110" s="588"/>
      <c r="E110" s="588"/>
      <c r="F110" s="588"/>
      <c r="G110" s="588"/>
      <c r="H110" s="588"/>
      <c r="I110" s="588"/>
      <c r="J110" s="588"/>
      <c r="K110" s="588"/>
      <c r="L110" s="753"/>
      <c r="M110" s="753"/>
      <c r="N110" s="588"/>
      <c r="O110" s="626"/>
      <c r="P110" s="588"/>
      <c r="Q110" s="626"/>
      <c r="R110" s="588"/>
      <c r="S110" s="588"/>
      <c r="T110" s="588"/>
      <c r="U110" s="588"/>
      <c r="V110" s="588"/>
      <c r="W110" s="588"/>
      <c r="X110" s="588"/>
      <c r="Y110" s="588"/>
      <c r="Z110" s="588"/>
      <c r="AA110" s="588"/>
      <c r="AB110" s="588"/>
      <c r="AC110" s="588"/>
      <c r="AD110" s="588"/>
      <c r="AE110" s="626"/>
      <c r="AF110" s="626"/>
      <c r="AG110" s="626"/>
      <c r="AH110" s="626"/>
      <c r="AI110" s="626"/>
      <c r="AJ110" s="626"/>
      <c r="AK110" s="626"/>
      <c r="AL110" s="626"/>
      <c r="AM110" s="626"/>
      <c r="AN110" s="626"/>
      <c r="AO110" s="626"/>
      <c r="AP110" s="626"/>
      <c r="AQ110" s="626"/>
      <c r="AR110" s="626"/>
      <c r="AS110" s="626"/>
      <c r="AT110" s="626"/>
      <c r="AU110" s="626"/>
      <c r="AV110" s="626"/>
      <c r="AW110" s="626"/>
      <c r="AX110" s="626"/>
      <c r="AY110" s="626"/>
      <c r="AZ110" s="626"/>
      <c r="BA110" s="626"/>
      <c r="BB110" s="588"/>
      <c r="BC110" s="626"/>
      <c r="BD110" s="626"/>
      <c r="BE110" s="626"/>
      <c r="BF110" s="626"/>
      <c r="BG110" s="626"/>
      <c r="BH110" s="626"/>
      <c r="BI110" s="588"/>
      <c r="BJ110" s="626"/>
      <c r="BK110" s="626"/>
      <c r="BL110" s="626"/>
      <c r="BM110" s="626"/>
      <c r="BN110" s="626"/>
      <c r="BO110" s="626"/>
      <c r="BP110" s="588"/>
      <c r="BQ110" s="846"/>
      <c r="BR110" s="850"/>
      <c r="BS110" s="588"/>
      <c r="BT110" s="754"/>
      <c r="BU110" s="588"/>
      <c r="BV110" s="588"/>
      <c r="BW110" s="588"/>
      <c r="BX110" s="588"/>
      <c r="BY110" s="588"/>
      <c r="BZ110" s="588"/>
      <c r="CA110" s="588"/>
      <c r="CB110" s="588"/>
      <c r="CC110" s="865"/>
      <c r="CD110" s="588"/>
      <c r="CE110" s="588"/>
      <c r="CF110" s="588"/>
      <c r="CG110" s="588"/>
      <c r="CH110" s="588"/>
      <c r="CI110" s="588"/>
      <c r="CJ110" s="588"/>
      <c r="CK110" s="588"/>
      <c r="CL110" s="588"/>
      <c r="CM110" s="588"/>
      <c r="CN110" s="588"/>
      <c r="CO110" s="588"/>
      <c r="CP110" s="816"/>
      <c r="CQ110" s="805"/>
      <c r="CR110" s="805"/>
      <c r="CS110" s="830"/>
      <c r="CT110" s="588"/>
      <c r="CU110" s="626"/>
      <c r="CV110" s="626"/>
      <c r="CW110" s="626"/>
      <c r="CX110" s="626"/>
      <c r="CY110" s="626"/>
      <c r="CZ110" s="626"/>
      <c r="DA110" s="626"/>
      <c r="DB110" s="626"/>
      <c r="DC110" s="626"/>
      <c r="DD110" s="626"/>
      <c r="DE110" s="626"/>
      <c r="DF110" s="626"/>
      <c r="DG110" s="626"/>
      <c r="DH110" s="626"/>
      <c r="DI110" s="626"/>
      <c r="DJ110" s="626"/>
      <c r="DK110" s="626"/>
      <c r="DL110" s="626"/>
      <c r="DM110" s="761"/>
      <c r="DN110" s="761"/>
      <c r="DO110" s="761"/>
      <c r="DP110" s="553"/>
      <c r="DQ110" s="553"/>
      <c r="DR110" s="553"/>
      <c r="DS110" s="553"/>
      <c r="DT110" s="553"/>
      <c r="DU110" s="553"/>
      <c r="DV110" s="553"/>
      <c r="DW110" s="553"/>
      <c r="DX110" s="553"/>
      <c r="DY110" s="553"/>
    </row>
    <row r="111" spans="1:129" customFormat="1" ht="24" customHeight="1" x14ac:dyDescent="0.9">
      <c r="A111" s="752"/>
      <c r="B111" s="588"/>
      <c r="C111" s="588"/>
      <c r="D111" s="588"/>
      <c r="E111" s="588"/>
      <c r="F111" s="588"/>
      <c r="G111" s="588"/>
      <c r="H111" s="588"/>
      <c r="I111" s="588"/>
      <c r="J111" s="588"/>
      <c r="K111" s="588"/>
      <c r="L111" s="753"/>
      <c r="M111" s="753"/>
      <c r="N111" s="588"/>
      <c r="O111" s="626"/>
      <c r="P111" s="588"/>
      <c r="Q111" s="626"/>
      <c r="R111" s="588"/>
      <c r="S111" s="588"/>
      <c r="T111" s="588"/>
      <c r="U111" s="588"/>
      <c r="V111" s="588"/>
      <c r="W111" s="588"/>
      <c r="X111" s="588"/>
      <c r="Y111" s="588"/>
      <c r="Z111" s="588"/>
      <c r="AA111" s="588"/>
      <c r="AB111" s="588"/>
      <c r="AC111" s="588"/>
      <c r="AD111" s="588"/>
      <c r="AE111" s="626"/>
      <c r="AF111" s="626"/>
      <c r="AG111" s="626"/>
      <c r="AH111" s="626"/>
      <c r="AI111" s="626"/>
      <c r="AJ111" s="626"/>
      <c r="AK111" s="626"/>
      <c r="AL111" s="626"/>
      <c r="AM111" s="626"/>
      <c r="AN111" s="626"/>
      <c r="AO111" s="626"/>
      <c r="AP111" s="626"/>
      <c r="AQ111" s="626"/>
      <c r="AR111" s="626"/>
      <c r="AS111" s="626"/>
      <c r="AT111" s="626"/>
      <c r="AU111" s="626"/>
      <c r="AV111" s="626"/>
      <c r="AW111" s="626"/>
      <c r="AX111" s="626"/>
      <c r="AY111" s="626"/>
      <c r="AZ111" s="626"/>
      <c r="BA111" s="626"/>
      <c r="BB111" s="588"/>
      <c r="BC111" s="626"/>
      <c r="BD111" s="626"/>
      <c r="BE111" s="626"/>
      <c r="BF111" s="626"/>
      <c r="BG111" s="626"/>
      <c r="BH111" s="626"/>
      <c r="BI111" s="588"/>
      <c r="BJ111" s="626"/>
      <c r="BK111" s="626"/>
      <c r="BL111" s="626"/>
      <c r="BM111" s="626"/>
      <c r="BN111" s="626"/>
      <c r="BO111" s="626"/>
      <c r="BP111" s="588"/>
      <c r="BQ111" s="846"/>
      <c r="BR111" s="850"/>
      <c r="BS111" s="588"/>
      <c r="BT111" s="754"/>
      <c r="BU111" s="588"/>
      <c r="BV111" s="588"/>
      <c r="BW111" s="588"/>
      <c r="BX111" s="588"/>
      <c r="BY111" s="588"/>
      <c r="BZ111" s="588"/>
      <c r="CA111" s="588"/>
      <c r="CB111" s="588"/>
      <c r="CC111" s="865"/>
      <c r="CD111" s="588"/>
      <c r="CE111" s="588"/>
      <c r="CF111" s="588"/>
      <c r="CG111" s="588"/>
      <c r="CH111" s="588"/>
      <c r="CI111" s="588"/>
      <c r="CJ111" s="588"/>
      <c r="CK111" s="588"/>
      <c r="CL111" s="588"/>
      <c r="CM111" s="588"/>
      <c r="CN111" s="588"/>
      <c r="CO111" s="588"/>
      <c r="CP111" s="816"/>
      <c r="CQ111" s="805"/>
      <c r="CR111" s="805"/>
      <c r="CS111" s="830"/>
      <c r="CT111" s="588"/>
      <c r="CU111" s="626"/>
      <c r="CV111" s="626"/>
      <c r="CW111" s="626"/>
      <c r="CX111" s="626"/>
      <c r="CY111" s="626"/>
      <c r="CZ111" s="626"/>
      <c r="DA111" s="626"/>
      <c r="DB111" s="626"/>
      <c r="DC111" s="626"/>
      <c r="DD111" s="626"/>
      <c r="DE111" s="626"/>
      <c r="DF111" s="626"/>
      <c r="DG111" s="626"/>
      <c r="DH111" s="626"/>
      <c r="DI111" s="626"/>
      <c r="DJ111" s="626"/>
      <c r="DK111" s="626"/>
      <c r="DL111" s="626"/>
      <c r="DM111" s="761"/>
      <c r="DN111" s="761"/>
      <c r="DO111" s="761"/>
      <c r="DP111" s="553"/>
      <c r="DQ111" s="553"/>
      <c r="DR111" s="553"/>
      <c r="DS111" s="553"/>
      <c r="DT111" s="553"/>
      <c r="DU111" s="553"/>
      <c r="DV111" s="553"/>
      <c r="DW111" s="553"/>
      <c r="DX111" s="553"/>
      <c r="DY111" s="553"/>
    </row>
    <row r="112" spans="1:129" customFormat="1" ht="24" customHeight="1" x14ac:dyDescent="0.9">
      <c r="A112" s="752"/>
      <c r="B112" s="588"/>
      <c r="C112" s="588"/>
      <c r="D112" s="588"/>
      <c r="E112" s="588"/>
      <c r="F112" s="588"/>
      <c r="G112" s="588"/>
      <c r="H112" s="588"/>
      <c r="I112" s="588"/>
      <c r="J112" s="588"/>
      <c r="K112" s="588"/>
      <c r="L112" s="753"/>
      <c r="M112" s="753"/>
      <c r="N112" s="588"/>
      <c r="O112" s="626"/>
      <c r="P112" s="588"/>
      <c r="Q112" s="626"/>
      <c r="R112" s="588"/>
      <c r="S112" s="588"/>
      <c r="T112" s="588"/>
      <c r="U112" s="588"/>
      <c r="V112" s="588"/>
      <c r="W112" s="588"/>
      <c r="X112" s="588"/>
      <c r="Y112" s="588"/>
      <c r="Z112" s="588"/>
      <c r="AA112" s="588"/>
      <c r="AB112" s="588"/>
      <c r="AC112" s="588"/>
      <c r="AD112" s="588"/>
      <c r="AE112" s="626"/>
      <c r="AF112" s="626"/>
      <c r="AG112" s="626"/>
      <c r="AH112" s="626"/>
      <c r="AI112" s="626"/>
      <c r="AJ112" s="626"/>
      <c r="AK112" s="626"/>
      <c r="AL112" s="626"/>
      <c r="AM112" s="626"/>
      <c r="AN112" s="626"/>
      <c r="AO112" s="626"/>
      <c r="AP112" s="626"/>
      <c r="AQ112" s="626"/>
      <c r="AR112" s="626"/>
      <c r="AS112" s="626"/>
      <c r="AT112" s="626"/>
      <c r="AU112" s="626"/>
      <c r="AV112" s="626"/>
      <c r="AW112" s="626"/>
      <c r="AX112" s="626"/>
      <c r="AY112" s="626"/>
      <c r="AZ112" s="626"/>
      <c r="BA112" s="626"/>
      <c r="BB112" s="588"/>
      <c r="BC112" s="626"/>
      <c r="BD112" s="626"/>
      <c r="BE112" s="626"/>
      <c r="BF112" s="626"/>
      <c r="BG112" s="626"/>
      <c r="BH112" s="626"/>
      <c r="BI112" s="588"/>
      <c r="BJ112" s="626"/>
      <c r="BK112" s="626"/>
      <c r="BL112" s="626"/>
      <c r="BM112" s="626"/>
      <c r="BN112" s="626"/>
      <c r="BO112" s="626"/>
      <c r="BP112" s="588"/>
      <c r="BQ112" s="846"/>
      <c r="BR112" s="850"/>
      <c r="BS112" s="588"/>
      <c r="BT112" s="754"/>
      <c r="BU112" s="588"/>
      <c r="BV112" s="588"/>
      <c r="BW112" s="588"/>
      <c r="BX112" s="588"/>
      <c r="BY112" s="588"/>
      <c r="BZ112" s="588"/>
      <c r="CA112" s="588"/>
      <c r="CB112" s="588"/>
      <c r="CC112" s="865"/>
      <c r="CD112" s="588"/>
      <c r="CE112" s="588"/>
      <c r="CF112" s="588"/>
      <c r="CG112" s="588"/>
      <c r="CH112" s="588"/>
      <c r="CI112" s="588"/>
      <c r="CJ112" s="588"/>
      <c r="CK112" s="588"/>
      <c r="CL112" s="588"/>
      <c r="CM112" s="588"/>
      <c r="CN112" s="588"/>
      <c r="CO112" s="588"/>
      <c r="CP112" s="816"/>
      <c r="CQ112" s="805"/>
      <c r="CR112" s="805"/>
      <c r="CS112" s="830"/>
      <c r="CT112" s="588"/>
      <c r="CU112" s="626"/>
      <c r="CV112" s="626"/>
      <c r="CW112" s="626"/>
      <c r="CX112" s="626"/>
      <c r="CY112" s="626"/>
      <c r="CZ112" s="626"/>
      <c r="DA112" s="626"/>
      <c r="DB112" s="626"/>
      <c r="DC112" s="626"/>
      <c r="DD112" s="626"/>
      <c r="DE112" s="626"/>
      <c r="DF112" s="626"/>
      <c r="DG112" s="626"/>
      <c r="DH112" s="626"/>
      <c r="DI112" s="626"/>
      <c r="DJ112" s="626"/>
      <c r="DK112" s="626"/>
      <c r="DL112" s="626"/>
      <c r="DM112" s="761"/>
      <c r="DN112" s="761"/>
      <c r="DO112" s="761"/>
      <c r="DP112" s="553"/>
      <c r="DQ112" s="553"/>
      <c r="DR112" s="553"/>
      <c r="DS112" s="553"/>
      <c r="DT112" s="553"/>
      <c r="DU112" s="553"/>
      <c r="DV112" s="553"/>
      <c r="DW112" s="553"/>
      <c r="DX112" s="553"/>
      <c r="DY112" s="553"/>
    </row>
    <row r="113" spans="1:129" customFormat="1" ht="24" customHeight="1" x14ac:dyDescent="0.9">
      <c r="A113" s="752"/>
      <c r="B113" s="588"/>
      <c r="C113" s="588"/>
      <c r="D113" s="588"/>
      <c r="E113" s="588"/>
      <c r="F113" s="588"/>
      <c r="G113" s="588"/>
      <c r="H113" s="588"/>
      <c r="I113" s="588"/>
      <c r="J113" s="588"/>
      <c r="K113" s="588"/>
      <c r="L113" s="753"/>
      <c r="M113" s="753"/>
      <c r="N113" s="588"/>
      <c r="O113" s="626"/>
      <c r="P113" s="588"/>
      <c r="Q113" s="626"/>
      <c r="R113" s="588"/>
      <c r="S113" s="588"/>
      <c r="T113" s="588"/>
      <c r="U113" s="588"/>
      <c r="V113" s="588"/>
      <c r="W113" s="588"/>
      <c r="X113" s="588"/>
      <c r="Y113" s="588"/>
      <c r="Z113" s="588"/>
      <c r="AA113" s="588"/>
      <c r="AB113" s="588"/>
      <c r="AC113" s="588"/>
      <c r="AD113" s="588"/>
      <c r="AE113" s="626"/>
      <c r="AF113" s="626"/>
      <c r="AG113" s="626"/>
      <c r="AH113" s="626"/>
      <c r="AI113" s="626"/>
      <c r="AJ113" s="626"/>
      <c r="AK113" s="626"/>
      <c r="AL113" s="626"/>
      <c r="AM113" s="626"/>
      <c r="AN113" s="626"/>
      <c r="AO113" s="626"/>
      <c r="AP113" s="626"/>
      <c r="AQ113" s="626"/>
      <c r="AR113" s="626"/>
      <c r="AS113" s="626"/>
      <c r="AT113" s="626"/>
      <c r="AU113" s="626"/>
      <c r="AV113" s="626"/>
      <c r="AW113" s="626"/>
      <c r="AX113" s="626"/>
      <c r="AY113" s="626"/>
      <c r="AZ113" s="626"/>
      <c r="BA113" s="626"/>
      <c r="BB113" s="588"/>
      <c r="BC113" s="626"/>
      <c r="BD113" s="626"/>
      <c r="BE113" s="626"/>
      <c r="BF113" s="626"/>
      <c r="BG113" s="626"/>
      <c r="BH113" s="626"/>
      <c r="BI113" s="588"/>
      <c r="BJ113" s="626"/>
      <c r="BK113" s="626"/>
      <c r="BL113" s="626"/>
      <c r="BM113" s="626"/>
      <c r="BN113" s="626"/>
      <c r="BO113" s="626"/>
      <c r="BP113" s="588"/>
      <c r="BQ113" s="846"/>
      <c r="BR113" s="850"/>
      <c r="BS113" s="588"/>
      <c r="BT113" s="754"/>
      <c r="BU113" s="588"/>
      <c r="BV113" s="588"/>
      <c r="BW113" s="588"/>
      <c r="BX113" s="588"/>
      <c r="BY113" s="588"/>
      <c r="BZ113" s="588"/>
      <c r="CA113" s="588"/>
      <c r="CB113" s="588"/>
      <c r="CC113" s="865"/>
      <c r="CD113" s="588"/>
      <c r="CE113" s="588"/>
      <c r="CF113" s="588"/>
      <c r="CG113" s="588"/>
      <c r="CH113" s="588"/>
      <c r="CI113" s="588"/>
      <c r="CJ113" s="588"/>
      <c r="CK113" s="588"/>
      <c r="CL113" s="588"/>
      <c r="CM113" s="588"/>
      <c r="CN113" s="588"/>
      <c r="CO113" s="588"/>
      <c r="CP113" s="816"/>
      <c r="CQ113" s="805"/>
      <c r="CR113" s="805"/>
      <c r="CS113" s="830"/>
      <c r="CT113" s="588"/>
      <c r="CU113" s="626"/>
      <c r="CV113" s="626"/>
      <c r="CW113" s="626"/>
      <c r="CX113" s="626"/>
      <c r="CY113" s="626"/>
      <c r="CZ113" s="626"/>
      <c r="DA113" s="626"/>
      <c r="DB113" s="626"/>
      <c r="DC113" s="626"/>
      <c r="DD113" s="626"/>
      <c r="DE113" s="626"/>
      <c r="DF113" s="626"/>
      <c r="DG113" s="626"/>
      <c r="DH113" s="626"/>
      <c r="DI113" s="626"/>
      <c r="DJ113" s="626"/>
      <c r="DK113" s="626"/>
      <c r="DL113" s="626"/>
      <c r="DM113" s="761"/>
      <c r="DN113" s="761"/>
      <c r="DO113" s="761"/>
      <c r="DP113" s="553"/>
      <c r="DQ113" s="553"/>
      <c r="DR113" s="553"/>
      <c r="DS113" s="553"/>
      <c r="DT113" s="553"/>
      <c r="DU113" s="553"/>
      <c r="DV113" s="553"/>
      <c r="DW113" s="553"/>
      <c r="DX113" s="553"/>
      <c r="DY113" s="553"/>
    </row>
    <row r="114" spans="1:129" customFormat="1" ht="24" customHeight="1" x14ac:dyDescent="0.9">
      <c r="A114" s="752"/>
      <c r="B114" s="588"/>
      <c r="C114" s="588"/>
      <c r="D114" s="588"/>
      <c r="E114" s="588"/>
      <c r="F114" s="588"/>
      <c r="G114" s="588"/>
      <c r="H114" s="588"/>
      <c r="I114" s="588"/>
      <c r="J114" s="588"/>
      <c r="K114" s="588"/>
      <c r="L114" s="753"/>
      <c r="M114" s="753"/>
      <c r="N114" s="588"/>
      <c r="O114" s="626"/>
      <c r="P114" s="588"/>
      <c r="Q114" s="626"/>
      <c r="R114" s="588"/>
      <c r="S114" s="588"/>
      <c r="T114" s="588"/>
      <c r="U114" s="588"/>
      <c r="V114" s="588"/>
      <c r="W114" s="588"/>
      <c r="X114" s="588"/>
      <c r="Y114" s="588"/>
      <c r="Z114" s="588"/>
      <c r="AA114" s="588"/>
      <c r="AB114" s="588"/>
      <c r="AC114" s="588"/>
      <c r="AD114" s="588"/>
      <c r="AE114" s="626"/>
      <c r="AF114" s="626"/>
      <c r="AG114" s="626"/>
      <c r="AH114" s="626"/>
      <c r="AI114" s="626"/>
      <c r="AJ114" s="626"/>
      <c r="AK114" s="626"/>
      <c r="AL114" s="626"/>
      <c r="AM114" s="626"/>
      <c r="AN114" s="626"/>
      <c r="AO114" s="626"/>
      <c r="AP114" s="626"/>
      <c r="AQ114" s="626"/>
      <c r="AR114" s="626"/>
      <c r="AS114" s="626"/>
      <c r="AT114" s="626"/>
      <c r="AU114" s="626"/>
      <c r="AV114" s="626"/>
      <c r="AW114" s="626"/>
      <c r="AX114" s="626"/>
      <c r="AY114" s="626"/>
      <c r="AZ114" s="626"/>
      <c r="BA114" s="626"/>
      <c r="BB114" s="588"/>
      <c r="BC114" s="626"/>
      <c r="BD114" s="626"/>
      <c r="BE114" s="626"/>
      <c r="BF114" s="626"/>
      <c r="BG114" s="626"/>
      <c r="BH114" s="626"/>
      <c r="BI114" s="588"/>
      <c r="BJ114" s="626"/>
      <c r="BK114" s="626"/>
      <c r="BL114" s="626"/>
      <c r="BM114" s="626"/>
      <c r="BN114" s="626"/>
      <c r="BO114" s="626"/>
      <c r="BP114" s="588"/>
      <c r="BQ114" s="846"/>
      <c r="BR114" s="850"/>
      <c r="BS114" s="588"/>
      <c r="BT114" s="754"/>
      <c r="BU114" s="588"/>
      <c r="BV114" s="588"/>
      <c r="BW114" s="588"/>
      <c r="BX114" s="588"/>
      <c r="BY114" s="588"/>
      <c r="BZ114" s="588"/>
      <c r="CA114" s="588"/>
      <c r="CB114" s="588"/>
      <c r="CC114" s="865"/>
      <c r="CD114" s="588"/>
      <c r="CE114" s="588"/>
      <c r="CF114" s="588"/>
      <c r="CG114" s="588"/>
      <c r="CH114" s="588"/>
      <c r="CI114" s="588"/>
      <c r="CJ114" s="588"/>
      <c r="CK114" s="588"/>
      <c r="CL114" s="588"/>
      <c r="CM114" s="588"/>
      <c r="CN114" s="588"/>
      <c r="CO114" s="588"/>
      <c r="CP114" s="816"/>
      <c r="CQ114" s="805"/>
      <c r="CR114" s="805"/>
      <c r="CS114" s="830"/>
      <c r="CT114" s="588"/>
      <c r="CU114" s="626"/>
      <c r="CV114" s="626"/>
      <c r="CW114" s="626"/>
      <c r="CX114" s="626"/>
      <c r="CY114" s="626"/>
      <c r="CZ114" s="626"/>
      <c r="DA114" s="626"/>
      <c r="DB114" s="626"/>
      <c r="DC114" s="626"/>
      <c r="DD114" s="626"/>
      <c r="DE114" s="626"/>
      <c r="DF114" s="626"/>
      <c r="DG114" s="626"/>
      <c r="DH114" s="626"/>
      <c r="DI114" s="626"/>
      <c r="DJ114" s="626"/>
      <c r="DK114" s="626"/>
      <c r="DL114" s="626"/>
      <c r="DM114" s="761"/>
      <c r="DN114" s="761"/>
      <c r="DO114" s="761"/>
      <c r="DP114" s="553"/>
      <c r="DQ114" s="553"/>
      <c r="DR114" s="553"/>
      <c r="DS114" s="553"/>
      <c r="DT114" s="553"/>
      <c r="DU114" s="553"/>
      <c r="DV114" s="553"/>
      <c r="DW114" s="553"/>
      <c r="DX114" s="553"/>
      <c r="DY114" s="553"/>
    </row>
    <row r="115" spans="1:129" customFormat="1" ht="24" customHeight="1" x14ac:dyDescent="0.9">
      <c r="A115" s="752"/>
      <c r="B115" s="588"/>
      <c r="C115" s="588"/>
      <c r="D115" s="588"/>
      <c r="E115" s="588"/>
      <c r="F115" s="588"/>
      <c r="G115" s="588"/>
      <c r="H115" s="588"/>
      <c r="I115" s="588"/>
      <c r="J115" s="588"/>
      <c r="K115" s="588"/>
      <c r="L115" s="753"/>
      <c r="M115" s="753"/>
      <c r="N115" s="588"/>
      <c r="O115" s="626"/>
      <c r="P115" s="588"/>
      <c r="Q115" s="626"/>
      <c r="R115" s="588"/>
      <c r="S115" s="588"/>
      <c r="T115" s="588"/>
      <c r="U115" s="588"/>
      <c r="V115" s="588"/>
      <c r="W115" s="588"/>
      <c r="X115" s="588"/>
      <c r="Y115" s="588"/>
      <c r="Z115" s="588"/>
      <c r="AA115" s="588"/>
      <c r="AB115" s="588"/>
      <c r="AC115" s="588"/>
      <c r="AD115" s="588"/>
      <c r="AE115" s="626"/>
      <c r="AF115" s="626"/>
      <c r="AG115" s="626"/>
      <c r="AH115" s="626"/>
      <c r="AI115" s="626"/>
      <c r="AJ115" s="626"/>
      <c r="AK115" s="626"/>
      <c r="AL115" s="626"/>
      <c r="AM115" s="626"/>
      <c r="AN115" s="626"/>
      <c r="AO115" s="626"/>
      <c r="AP115" s="626"/>
      <c r="AQ115" s="626"/>
      <c r="AR115" s="626"/>
      <c r="AS115" s="626"/>
      <c r="AT115" s="626"/>
      <c r="AU115" s="626"/>
      <c r="AV115" s="626"/>
      <c r="AW115" s="626"/>
      <c r="AX115" s="626"/>
      <c r="AY115" s="626"/>
      <c r="AZ115" s="626"/>
      <c r="BA115" s="626"/>
      <c r="BB115" s="588"/>
      <c r="BC115" s="626"/>
      <c r="BD115" s="626"/>
      <c r="BE115" s="626"/>
      <c r="BF115" s="626"/>
      <c r="BG115" s="626"/>
      <c r="BH115" s="626"/>
      <c r="BI115" s="588"/>
      <c r="BJ115" s="626"/>
      <c r="BK115" s="626"/>
      <c r="BL115" s="626"/>
      <c r="BM115" s="626"/>
      <c r="BN115" s="626"/>
      <c r="BO115" s="626"/>
      <c r="BP115" s="588"/>
      <c r="BQ115" s="846"/>
      <c r="BR115" s="850"/>
      <c r="BS115" s="588"/>
      <c r="BT115" s="754"/>
      <c r="BU115" s="588"/>
      <c r="BV115" s="588"/>
      <c r="BW115" s="588"/>
      <c r="BX115" s="588"/>
      <c r="BY115" s="588"/>
      <c r="BZ115" s="588"/>
      <c r="CA115" s="588"/>
      <c r="CB115" s="588"/>
      <c r="CC115" s="865"/>
      <c r="CD115" s="588"/>
      <c r="CE115" s="588"/>
      <c r="CF115" s="588"/>
      <c r="CG115" s="588"/>
      <c r="CH115" s="588"/>
      <c r="CI115" s="588"/>
      <c r="CJ115" s="588"/>
      <c r="CK115" s="588"/>
      <c r="CL115" s="588"/>
      <c r="CM115" s="588"/>
      <c r="CN115" s="588"/>
      <c r="CO115" s="588"/>
      <c r="CP115" s="816"/>
      <c r="CQ115" s="805"/>
      <c r="CR115" s="805"/>
      <c r="CS115" s="830"/>
      <c r="CT115" s="588"/>
      <c r="CU115" s="626"/>
      <c r="CV115" s="626"/>
      <c r="CW115" s="626"/>
      <c r="CX115" s="626"/>
      <c r="CY115" s="626"/>
      <c r="CZ115" s="626"/>
      <c r="DA115" s="626"/>
      <c r="DB115" s="626"/>
      <c r="DC115" s="626"/>
      <c r="DD115" s="626"/>
      <c r="DE115" s="626"/>
      <c r="DF115" s="626"/>
      <c r="DG115" s="626"/>
      <c r="DH115" s="626"/>
      <c r="DI115" s="626"/>
      <c r="DJ115" s="626"/>
      <c r="DK115" s="626"/>
      <c r="DL115" s="626"/>
      <c r="DM115" s="761"/>
      <c r="DN115" s="761"/>
      <c r="DO115" s="761"/>
      <c r="DP115" s="553"/>
      <c r="DQ115" s="553"/>
      <c r="DR115" s="553"/>
      <c r="DS115" s="553"/>
      <c r="DT115" s="553"/>
      <c r="DU115" s="553"/>
      <c r="DV115" s="553"/>
      <c r="DW115" s="553"/>
      <c r="DX115" s="553"/>
      <c r="DY115" s="553"/>
    </row>
    <row r="116" spans="1:129" customFormat="1" ht="24" customHeight="1" x14ac:dyDescent="0.9">
      <c r="A116" s="752"/>
      <c r="B116" s="588"/>
      <c r="C116" s="588"/>
      <c r="D116" s="588"/>
      <c r="E116" s="588"/>
      <c r="F116" s="588"/>
      <c r="G116" s="588"/>
      <c r="H116" s="588"/>
      <c r="I116" s="588"/>
      <c r="J116" s="588"/>
      <c r="K116" s="588"/>
      <c r="L116" s="753"/>
      <c r="M116" s="753"/>
      <c r="N116" s="588"/>
      <c r="O116" s="626"/>
      <c r="P116" s="588"/>
      <c r="Q116" s="626"/>
      <c r="R116" s="588"/>
      <c r="S116" s="588"/>
      <c r="T116" s="588"/>
      <c r="U116" s="588"/>
      <c r="V116" s="588"/>
      <c r="W116" s="588"/>
      <c r="X116" s="588"/>
      <c r="Y116" s="588"/>
      <c r="Z116" s="588"/>
      <c r="AA116" s="588"/>
      <c r="AB116" s="588"/>
      <c r="AC116" s="588"/>
      <c r="AD116" s="588"/>
      <c r="AE116" s="626"/>
      <c r="AF116" s="626"/>
      <c r="AG116" s="626"/>
      <c r="AH116" s="626"/>
      <c r="AI116" s="626"/>
      <c r="AJ116" s="626"/>
      <c r="AK116" s="626"/>
      <c r="AL116" s="626"/>
      <c r="AM116" s="626"/>
      <c r="AN116" s="626"/>
      <c r="AO116" s="626"/>
      <c r="AP116" s="626"/>
      <c r="AQ116" s="626"/>
      <c r="AR116" s="626"/>
      <c r="AS116" s="626"/>
      <c r="AT116" s="626"/>
      <c r="AU116" s="626"/>
      <c r="AV116" s="626"/>
      <c r="AW116" s="626"/>
      <c r="AX116" s="626"/>
      <c r="AY116" s="626"/>
      <c r="AZ116" s="626"/>
      <c r="BA116" s="626"/>
      <c r="BB116" s="588"/>
      <c r="BC116" s="626"/>
      <c r="BD116" s="626"/>
      <c r="BE116" s="626"/>
      <c r="BF116" s="626"/>
      <c r="BG116" s="626"/>
      <c r="BH116" s="626"/>
      <c r="BI116" s="588"/>
      <c r="BJ116" s="626"/>
      <c r="BK116" s="626"/>
      <c r="BL116" s="626"/>
      <c r="BM116" s="626"/>
      <c r="BN116" s="626"/>
      <c r="BO116" s="626"/>
      <c r="BP116" s="588"/>
      <c r="BQ116" s="846"/>
      <c r="BR116" s="850"/>
      <c r="BS116" s="588"/>
      <c r="BT116" s="754"/>
      <c r="BU116" s="588"/>
      <c r="BV116" s="588"/>
      <c r="BW116" s="588"/>
      <c r="BX116" s="588"/>
      <c r="BY116" s="588"/>
      <c r="BZ116" s="588"/>
      <c r="CA116" s="588"/>
      <c r="CB116" s="588"/>
      <c r="CC116" s="865"/>
      <c r="CD116" s="588"/>
      <c r="CE116" s="588"/>
      <c r="CF116" s="588"/>
      <c r="CG116" s="588"/>
      <c r="CH116" s="588"/>
      <c r="CI116" s="588"/>
      <c r="CJ116" s="588"/>
      <c r="CK116" s="588"/>
      <c r="CL116" s="588"/>
      <c r="CM116" s="588"/>
      <c r="CN116" s="588"/>
      <c r="CO116" s="588"/>
      <c r="CP116" s="816"/>
      <c r="CQ116" s="805"/>
      <c r="CR116" s="805"/>
      <c r="CS116" s="830"/>
      <c r="CT116" s="588"/>
      <c r="CU116" s="626"/>
      <c r="CV116" s="626"/>
      <c r="CW116" s="626"/>
      <c r="CX116" s="626"/>
      <c r="CY116" s="626"/>
      <c r="CZ116" s="626"/>
      <c r="DA116" s="626"/>
      <c r="DB116" s="626"/>
      <c r="DC116" s="626"/>
      <c r="DD116" s="626"/>
      <c r="DE116" s="626"/>
      <c r="DF116" s="626"/>
      <c r="DG116" s="626"/>
      <c r="DH116" s="626"/>
      <c r="DI116" s="626"/>
      <c r="DJ116" s="626"/>
      <c r="DK116" s="626"/>
      <c r="DL116" s="626"/>
      <c r="DM116" s="761"/>
      <c r="DN116" s="761"/>
      <c r="DO116" s="761"/>
      <c r="DP116" s="553"/>
      <c r="DQ116" s="553"/>
      <c r="DR116" s="553"/>
      <c r="DS116" s="553"/>
      <c r="DT116" s="553"/>
      <c r="DU116" s="553"/>
      <c r="DV116" s="553"/>
      <c r="DW116" s="553"/>
      <c r="DX116" s="553"/>
      <c r="DY116" s="553"/>
    </row>
    <row r="117" spans="1:129" customFormat="1" ht="24" customHeight="1" x14ac:dyDescent="0.9">
      <c r="A117" s="752"/>
      <c r="B117" s="588"/>
      <c r="C117" s="588"/>
      <c r="D117" s="588"/>
      <c r="E117" s="588"/>
      <c r="F117" s="588"/>
      <c r="G117" s="588"/>
      <c r="H117" s="588"/>
      <c r="I117" s="588"/>
      <c r="J117" s="588"/>
      <c r="K117" s="588"/>
      <c r="L117" s="753"/>
      <c r="M117" s="753"/>
      <c r="N117" s="588"/>
      <c r="O117" s="626"/>
      <c r="P117" s="588"/>
      <c r="Q117" s="626"/>
      <c r="R117" s="588"/>
      <c r="S117" s="588"/>
      <c r="T117" s="588"/>
      <c r="U117" s="588"/>
      <c r="V117" s="588"/>
      <c r="W117" s="588"/>
      <c r="X117" s="588"/>
      <c r="Y117" s="588"/>
      <c r="Z117" s="588"/>
      <c r="AA117" s="588"/>
      <c r="AB117" s="588"/>
      <c r="AC117" s="588"/>
      <c r="AD117" s="588"/>
      <c r="AE117" s="626"/>
      <c r="AF117" s="626"/>
      <c r="AG117" s="626"/>
      <c r="AH117" s="626"/>
      <c r="AI117" s="626"/>
      <c r="AJ117" s="626"/>
      <c r="AK117" s="626"/>
      <c r="AL117" s="626"/>
      <c r="AM117" s="626"/>
      <c r="AN117" s="626"/>
      <c r="AO117" s="626"/>
      <c r="AP117" s="626"/>
      <c r="AQ117" s="626"/>
      <c r="AR117" s="626"/>
      <c r="AS117" s="626"/>
      <c r="AT117" s="626"/>
      <c r="AU117" s="626"/>
      <c r="AV117" s="626"/>
      <c r="AW117" s="626"/>
      <c r="AX117" s="626"/>
      <c r="AY117" s="626"/>
      <c r="AZ117" s="626"/>
      <c r="BA117" s="626"/>
      <c r="BB117" s="588"/>
      <c r="BC117" s="626"/>
      <c r="BD117" s="626"/>
      <c r="BE117" s="626"/>
      <c r="BF117" s="626"/>
      <c r="BG117" s="626"/>
      <c r="BH117" s="626"/>
      <c r="BI117" s="588"/>
      <c r="BJ117" s="626"/>
      <c r="BK117" s="626"/>
      <c r="BL117" s="626"/>
      <c r="BM117" s="626"/>
      <c r="BN117" s="626"/>
      <c r="BO117" s="626"/>
      <c r="BP117" s="588"/>
      <c r="BQ117" s="846"/>
      <c r="BR117" s="850"/>
      <c r="BS117" s="588"/>
      <c r="BT117" s="754"/>
      <c r="BU117" s="588"/>
      <c r="BV117" s="588"/>
      <c r="BW117" s="588"/>
      <c r="BX117" s="588"/>
      <c r="BY117" s="588"/>
      <c r="BZ117" s="588"/>
      <c r="CA117" s="588"/>
      <c r="CB117" s="588"/>
      <c r="CC117" s="865"/>
      <c r="CD117" s="588"/>
      <c r="CE117" s="588"/>
      <c r="CF117" s="588"/>
      <c r="CG117" s="588"/>
      <c r="CH117" s="588"/>
      <c r="CI117" s="588"/>
      <c r="CJ117" s="588"/>
      <c r="CK117" s="588"/>
      <c r="CL117" s="588"/>
      <c r="CM117" s="588"/>
      <c r="CN117" s="588"/>
      <c r="CO117" s="588"/>
      <c r="CP117" s="816"/>
      <c r="CQ117" s="805"/>
      <c r="CR117" s="805"/>
      <c r="CS117" s="830"/>
      <c r="CT117" s="588"/>
      <c r="CU117" s="626"/>
      <c r="CV117" s="626"/>
      <c r="CW117" s="626"/>
      <c r="CX117" s="626"/>
      <c r="CY117" s="626"/>
      <c r="CZ117" s="626"/>
      <c r="DA117" s="626"/>
      <c r="DB117" s="626"/>
      <c r="DC117" s="626"/>
      <c r="DD117" s="626"/>
      <c r="DE117" s="626"/>
      <c r="DF117" s="626"/>
      <c r="DG117" s="626"/>
      <c r="DH117" s="626"/>
      <c r="DI117" s="626"/>
      <c r="DJ117" s="626"/>
      <c r="DK117" s="626"/>
      <c r="DL117" s="626"/>
      <c r="DM117" s="761"/>
      <c r="DN117" s="761"/>
      <c r="DO117" s="761"/>
      <c r="DP117" s="553"/>
      <c r="DQ117" s="553"/>
      <c r="DR117" s="553"/>
      <c r="DS117" s="553"/>
      <c r="DT117" s="553"/>
      <c r="DU117" s="553"/>
      <c r="DV117" s="553"/>
      <c r="DW117" s="553"/>
      <c r="DX117" s="553"/>
      <c r="DY117" s="553"/>
    </row>
    <row r="118" spans="1:129" customFormat="1" ht="24" customHeight="1" x14ac:dyDescent="0.9">
      <c r="A118" s="752"/>
      <c r="B118" s="588"/>
      <c r="C118" s="588"/>
      <c r="D118" s="588"/>
      <c r="E118" s="588"/>
      <c r="F118" s="588"/>
      <c r="G118" s="588"/>
      <c r="H118" s="588"/>
      <c r="I118" s="588"/>
      <c r="J118" s="588"/>
      <c r="K118" s="588"/>
      <c r="L118" s="753"/>
      <c r="M118" s="753"/>
      <c r="N118" s="588"/>
      <c r="O118" s="626"/>
      <c r="P118" s="588"/>
      <c r="Q118" s="626"/>
      <c r="R118" s="588"/>
      <c r="S118" s="588"/>
      <c r="T118" s="588"/>
      <c r="U118" s="588"/>
      <c r="V118" s="588"/>
      <c r="W118" s="588"/>
      <c r="X118" s="588"/>
      <c r="Y118" s="588"/>
      <c r="Z118" s="588"/>
      <c r="AA118" s="588"/>
      <c r="AB118" s="588"/>
      <c r="AC118" s="588"/>
      <c r="AD118" s="588"/>
      <c r="AE118" s="626"/>
      <c r="AF118" s="626"/>
      <c r="AG118" s="626"/>
      <c r="AH118" s="626"/>
      <c r="AI118" s="626"/>
      <c r="AJ118" s="626"/>
      <c r="AK118" s="626"/>
      <c r="AL118" s="626"/>
      <c r="AM118" s="626"/>
      <c r="AN118" s="626"/>
      <c r="AO118" s="626"/>
      <c r="AP118" s="626"/>
      <c r="AQ118" s="626"/>
      <c r="AR118" s="626"/>
      <c r="AS118" s="626"/>
      <c r="AT118" s="626"/>
      <c r="AU118" s="626"/>
      <c r="AV118" s="626"/>
      <c r="AW118" s="626"/>
      <c r="AX118" s="626"/>
      <c r="AY118" s="626"/>
      <c r="AZ118" s="626"/>
      <c r="BA118" s="626"/>
      <c r="BB118" s="588"/>
      <c r="BC118" s="626"/>
      <c r="BD118" s="626"/>
      <c r="BE118" s="626"/>
      <c r="BF118" s="626"/>
      <c r="BG118" s="626"/>
      <c r="BH118" s="626"/>
      <c r="BI118" s="588"/>
      <c r="BJ118" s="626"/>
      <c r="BK118" s="626"/>
      <c r="BL118" s="626"/>
      <c r="BM118" s="626"/>
      <c r="BN118" s="626"/>
      <c r="BO118" s="626"/>
      <c r="BP118" s="588"/>
      <c r="BQ118" s="846"/>
      <c r="BR118" s="850"/>
      <c r="BS118" s="588"/>
      <c r="BT118" s="754"/>
      <c r="BU118" s="588"/>
      <c r="BV118" s="588"/>
      <c r="BW118" s="588"/>
      <c r="BX118" s="588"/>
      <c r="BY118" s="588"/>
      <c r="BZ118" s="588"/>
      <c r="CA118" s="588"/>
      <c r="CB118" s="588"/>
      <c r="CC118" s="865"/>
      <c r="CD118" s="588"/>
      <c r="CE118" s="588"/>
      <c r="CF118" s="588"/>
      <c r="CG118" s="588"/>
      <c r="CH118" s="588"/>
      <c r="CI118" s="588"/>
      <c r="CJ118" s="588"/>
      <c r="CK118" s="588"/>
      <c r="CL118" s="588"/>
      <c r="CM118" s="588"/>
      <c r="CN118" s="588"/>
      <c r="CO118" s="588"/>
      <c r="CP118" s="816"/>
      <c r="CQ118" s="805"/>
      <c r="CR118" s="805"/>
      <c r="CS118" s="830"/>
      <c r="CT118" s="588"/>
      <c r="CU118" s="626"/>
      <c r="CV118" s="626"/>
      <c r="CW118" s="626"/>
      <c r="CX118" s="626"/>
      <c r="CY118" s="626"/>
      <c r="CZ118" s="626"/>
      <c r="DA118" s="626"/>
      <c r="DB118" s="626"/>
      <c r="DC118" s="626"/>
      <c r="DD118" s="626"/>
      <c r="DE118" s="626"/>
      <c r="DF118" s="626"/>
      <c r="DG118" s="626"/>
      <c r="DH118" s="626"/>
      <c r="DI118" s="626"/>
      <c r="DJ118" s="626"/>
      <c r="DK118" s="626"/>
      <c r="DL118" s="626"/>
      <c r="DM118" s="761"/>
      <c r="DN118" s="761"/>
      <c r="DO118" s="761"/>
      <c r="DP118" s="553"/>
      <c r="DQ118" s="553"/>
      <c r="DR118" s="553"/>
      <c r="DS118" s="553"/>
      <c r="DT118" s="553"/>
      <c r="DU118" s="553"/>
      <c r="DV118" s="553"/>
      <c r="DW118" s="553"/>
      <c r="DX118" s="553"/>
      <c r="DY118" s="553"/>
    </row>
    <row r="119" spans="1:129" customFormat="1" ht="24" customHeight="1" x14ac:dyDescent="0.9">
      <c r="A119" s="752"/>
      <c r="B119" s="588"/>
      <c r="C119" s="588"/>
      <c r="D119" s="588"/>
      <c r="E119" s="588"/>
      <c r="F119" s="588"/>
      <c r="G119" s="588"/>
      <c r="H119" s="588"/>
      <c r="I119" s="588"/>
      <c r="J119" s="588"/>
      <c r="K119" s="588"/>
      <c r="L119" s="753"/>
      <c r="M119" s="753"/>
      <c r="N119" s="588"/>
      <c r="O119" s="626"/>
      <c r="P119" s="588"/>
      <c r="Q119" s="626"/>
      <c r="R119" s="588"/>
      <c r="S119" s="588"/>
      <c r="T119" s="588"/>
      <c r="U119" s="588"/>
      <c r="V119" s="588"/>
      <c r="W119" s="588"/>
      <c r="X119" s="588"/>
      <c r="Y119" s="588"/>
      <c r="Z119" s="588"/>
      <c r="AA119" s="588"/>
      <c r="AB119" s="588"/>
      <c r="AC119" s="588"/>
      <c r="AD119" s="588"/>
      <c r="AE119" s="626"/>
      <c r="AF119" s="626"/>
      <c r="AG119" s="626"/>
      <c r="AH119" s="626"/>
      <c r="AI119" s="626"/>
      <c r="AJ119" s="626"/>
      <c r="AK119" s="626"/>
      <c r="AL119" s="626"/>
      <c r="AM119" s="626"/>
      <c r="AN119" s="626"/>
      <c r="AO119" s="626"/>
      <c r="AP119" s="626"/>
      <c r="AQ119" s="626"/>
      <c r="AR119" s="626"/>
      <c r="AS119" s="626"/>
      <c r="AT119" s="626"/>
      <c r="AU119" s="626"/>
      <c r="AV119" s="626"/>
      <c r="AW119" s="626"/>
      <c r="AX119" s="626"/>
      <c r="AY119" s="626"/>
      <c r="AZ119" s="626"/>
      <c r="BA119" s="626"/>
      <c r="BB119" s="588"/>
      <c r="BC119" s="626"/>
      <c r="BD119" s="626"/>
      <c r="BE119" s="626"/>
      <c r="BF119" s="626"/>
      <c r="BG119" s="626"/>
      <c r="BH119" s="626"/>
      <c r="BI119" s="588"/>
      <c r="BJ119" s="626"/>
      <c r="BK119" s="626"/>
      <c r="BL119" s="626"/>
      <c r="BM119" s="626"/>
      <c r="BN119" s="626"/>
      <c r="BO119" s="626"/>
      <c r="BP119" s="588"/>
      <c r="BQ119" s="846"/>
      <c r="BR119" s="850"/>
      <c r="BS119" s="588"/>
      <c r="BT119" s="754"/>
      <c r="BU119" s="588"/>
      <c r="BV119" s="588"/>
      <c r="BW119" s="588"/>
      <c r="BX119" s="588"/>
      <c r="BY119" s="588"/>
      <c r="BZ119" s="588"/>
      <c r="CA119" s="588"/>
      <c r="CB119" s="588"/>
      <c r="CC119" s="865"/>
      <c r="CD119" s="588"/>
      <c r="CE119" s="588"/>
      <c r="CF119" s="588"/>
      <c r="CG119" s="588"/>
      <c r="CH119" s="588"/>
      <c r="CI119" s="588"/>
      <c r="CJ119" s="588"/>
      <c r="CK119" s="588"/>
      <c r="CL119" s="588"/>
      <c r="CM119" s="588"/>
      <c r="CN119" s="588"/>
      <c r="CO119" s="588"/>
      <c r="CP119" s="816"/>
      <c r="CQ119" s="805"/>
      <c r="CR119" s="805"/>
      <c r="CS119" s="830"/>
      <c r="CT119" s="588"/>
      <c r="CU119" s="626"/>
      <c r="CV119" s="626"/>
      <c r="CW119" s="626"/>
      <c r="CX119" s="626"/>
      <c r="CY119" s="626"/>
      <c r="CZ119" s="626"/>
      <c r="DA119" s="626"/>
      <c r="DB119" s="626"/>
      <c r="DC119" s="626"/>
      <c r="DD119" s="626"/>
      <c r="DE119" s="626"/>
      <c r="DF119" s="626"/>
      <c r="DG119" s="626"/>
      <c r="DH119" s="626"/>
      <c r="DI119" s="626"/>
      <c r="DJ119" s="626"/>
      <c r="DK119" s="626"/>
      <c r="DL119" s="626"/>
      <c r="DM119" s="761"/>
      <c r="DN119" s="761"/>
      <c r="DO119" s="761"/>
      <c r="DP119" s="553"/>
      <c r="DQ119" s="553"/>
      <c r="DR119" s="553"/>
      <c r="DS119" s="553"/>
      <c r="DT119" s="553"/>
      <c r="DU119" s="553"/>
      <c r="DV119" s="553"/>
      <c r="DW119" s="553"/>
      <c r="DX119" s="553"/>
      <c r="DY119" s="553"/>
    </row>
    <row r="120" spans="1:129" customFormat="1" ht="24" customHeight="1" x14ac:dyDescent="0.9">
      <c r="A120" s="752"/>
      <c r="B120" s="588"/>
      <c r="C120" s="588"/>
      <c r="D120" s="588"/>
      <c r="E120" s="588"/>
      <c r="F120" s="588"/>
      <c r="G120" s="588"/>
      <c r="H120" s="588"/>
      <c r="I120" s="588"/>
      <c r="J120" s="588"/>
      <c r="K120" s="588"/>
      <c r="L120" s="753"/>
      <c r="M120" s="753"/>
      <c r="N120" s="588"/>
      <c r="O120" s="626"/>
      <c r="P120" s="588"/>
      <c r="Q120" s="626"/>
      <c r="R120" s="588"/>
      <c r="S120" s="588"/>
      <c r="T120" s="588"/>
      <c r="U120" s="588"/>
      <c r="V120" s="588"/>
      <c r="W120" s="588"/>
      <c r="X120" s="588"/>
      <c r="Y120" s="588"/>
      <c r="Z120" s="588"/>
      <c r="AA120" s="588"/>
      <c r="AB120" s="588"/>
      <c r="AC120" s="588"/>
      <c r="AD120" s="588"/>
      <c r="AE120" s="626"/>
      <c r="AF120" s="626"/>
      <c r="AG120" s="626"/>
      <c r="AH120" s="626"/>
      <c r="AI120" s="626"/>
      <c r="AJ120" s="626"/>
      <c r="AK120" s="626"/>
      <c r="AL120" s="626"/>
      <c r="AM120" s="626"/>
      <c r="AN120" s="626"/>
      <c r="AO120" s="626"/>
      <c r="AP120" s="626"/>
      <c r="AQ120" s="626"/>
      <c r="AR120" s="626"/>
      <c r="AS120" s="626"/>
      <c r="AT120" s="626"/>
      <c r="AU120" s="626"/>
      <c r="AV120" s="626"/>
      <c r="AW120" s="626"/>
      <c r="AX120" s="626"/>
      <c r="AY120" s="626"/>
      <c r="AZ120" s="626"/>
      <c r="BA120" s="626"/>
      <c r="BB120" s="588"/>
      <c r="BC120" s="626"/>
      <c r="BD120" s="626"/>
      <c r="BE120" s="626"/>
      <c r="BF120" s="626"/>
      <c r="BG120" s="626"/>
      <c r="BH120" s="626"/>
      <c r="BI120" s="588"/>
      <c r="BJ120" s="626"/>
      <c r="BK120" s="626"/>
      <c r="BL120" s="626"/>
      <c r="BM120" s="626"/>
      <c r="BN120" s="626"/>
      <c r="BO120" s="626"/>
      <c r="BP120" s="588"/>
      <c r="BQ120" s="846"/>
      <c r="BR120" s="850"/>
      <c r="BS120" s="588"/>
      <c r="BT120" s="754"/>
      <c r="BU120" s="588"/>
      <c r="BV120" s="588"/>
      <c r="BW120" s="588"/>
      <c r="BX120" s="588"/>
      <c r="BY120" s="588"/>
      <c r="BZ120" s="588"/>
      <c r="CA120" s="588"/>
      <c r="CB120" s="588"/>
      <c r="CC120" s="865"/>
      <c r="CD120" s="588"/>
      <c r="CE120" s="588"/>
      <c r="CF120" s="588"/>
      <c r="CG120" s="588"/>
      <c r="CH120" s="588"/>
      <c r="CI120" s="588"/>
      <c r="CJ120" s="588"/>
      <c r="CK120" s="588"/>
      <c r="CL120" s="588"/>
      <c r="CM120" s="588"/>
      <c r="CN120" s="588"/>
      <c r="CO120" s="588"/>
      <c r="CP120" s="816"/>
      <c r="CQ120" s="805"/>
      <c r="CR120" s="805"/>
      <c r="CS120" s="830"/>
      <c r="CT120" s="588"/>
      <c r="CU120" s="626"/>
      <c r="CV120" s="626"/>
      <c r="CW120" s="626"/>
      <c r="CX120" s="626"/>
      <c r="CY120" s="626"/>
      <c r="CZ120" s="626"/>
      <c r="DA120" s="626"/>
      <c r="DB120" s="626"/>
      <c r="DC120" s="626"/>
      <c r="DD120" s="626"/>
      <c r="DE120" s="626"/>
      <c r="DF120" s="626"/>
      <c r="DG120" s="626"/>
      <c r="DH120" s="626"/>
      <c r="DI120" s="626"/>
      <c r="DJ120" s="626"/>
      <c r="DK120" s="626"/>
      <c r="DL120" s="626"/>
      <c r="DM120" s="761"/>
      <c r="DN120" s="761"/>
      <c r="DO120" s="761"/>
      <c r="DP120" s="553"/>
      <c r="DQ120" s="553"/>
      <c r="DR120" s="553"/>
      <c r="DS120" s="553"/>
      <c r="DT120" s="553"/>
      <c r="DU120" s="553"/>
      <c r="DV120" s="553"/>
      <c r="DW120" s="553"/>
      <c r="DX120" s="553"/>
      <c r="DY120" s="553"/>
    </row>
    <row r="121" spans="1:129" customFormat="1" ht="24" customHeight="1" x14ac:dyDescent="0.9">
      <c r="A121" s="752"/>
      <c r="B121" s="588"/>
      <c r="C121" s="588"/>
      <c r="D121" s="588"/>
      <c r="E121" s="588"/>
      <c r="F121" s="588"/>
      <c r="G121" s="588"/>
      <c r="H121" s="588"/>
      <c r="I121" s="588"/>
      <c r="J121" s="588"/>
      <c r="K121" s="588"/>
      <c r="L121" s="753"/>
      <c r="M121" s="753"/>
      <c r="N121" s="588"/>
      <c r="O121" s="626"/>
      <c r="P121" s="588"/>
      <c r="Q121" s="626"/>
      <c r="R121" s="588"/>
      <c r="S121" s="588"/>
      <c r="T121" s="588"/>
      <c r="U121" s="588"/>
      <c r="V121" s="588"/>
      <c r="W121" s="588"/>
      <c r="X121" s="588"/>
      <c r="Y121" s="588"/>
      <c r="Z121" s="588"/>
      <c r="AA121" s="588"/>
      <c r="AB121" s="588"/>
      <c r="AC121" s="588"/>
      <c r="AD121" s="588"/>
      <c r="AE121" s="626"/>
      <c r="AF121" s="626"/>
      <c r="AG121" s="626"/>
      <c r="AH121" s="626"/>
      <c r="AI121" s="626"/>
      <c r="AJ121" s="626"/>
      <c r="AK121" s="626"/>
      <c r="AL121" s="626"/>
      <c r="AM121" s="626"/>
      <c r="AN121" s="626"/>
      <c r="AO121" s="626"/>
      <c r="AP121" s="626"/>
      <c r="AQ121" s="626"/>
      <c r="AR121" s="626"/>
      <c r="AS121" s="626"/>
      <c r="AT121" s="626"/>
      <c r="AU121" s="626"/>
      <c r="AV121" s="626"/>
      <c r="AW121" s="626"/>
      <c r="AX121" s="626"/>
      <c r="AY121" s="626"/>
      <c r="AZ121" s="626"/>
      <c r="BA121" s="626"/>
      <c r="BB121" s="588"/>
      <c r="BC121" s="626"/>
      <c r="BD121" s="626"/>
      <c r="BE121" s="626"/>
      <c r="BF121" s="626"/>
      <c r="BG121" s="626"/>
      <c r="BH121" s="626"/>
      <c r="BI121" s="588"/>
      <c r="BJ121" s="626"/>
      <c r="BK121" s="626"/>
      <c r="BL121" s="626"/>
      <c r="BM121" s="626"/>
      <c r="BN121" s="626"/>
      <c r="BO121" s="626"/>
      <c r="BP121" s="588"/>
      <c r="BQ121" s="846"/>
      <c r="BR121" s="850"/>
      <c r="BS121" s="588"/>
      <c r="BT121" s="754"/>
      <c r="BU121" s="588"/>
      <c r="BV121" s="588"/>
      <c r="BW121" s="588"/>
      <c r="BX121" s="588"/>
      <c r="BY121" s="588"/>
      <c r="BZ121" s="588"/>
      <c r="CA121" s="588"/>
      <c r="CB121" s="588"/>
      <c r="CC121" s="865"/>
      <c r="CD121" s="588"/>
      <c r="CE121" s="588"/>
      <c r="CF121" s="588"/>
      <c r="CG121" s="588"/>
      <c r="CH121" s="588"/>
      <c r="CI121" s="588"/>
      <c r="CJ121" s="588"/>
      <c r="CK121" s="588"/>
      <c r="CL121" s="588"/>
      <c r="CM121" s="588"/>
      <c r="CN121" s="588"/>
      <c r="CO121" s="588"/>
      <c r="CP121" s="816"/>
      <c r="CQ121" s="805"/>
      <c r="CR121" s="805"/>
      <c r="CS121" s="830"/>
      <c r="CT121" s="588"/>
      <c r="CU121" s="626"/>
      <c r="CV121" s="626"/>
      <c r="CW121" s="626"/>
      <c r="CX121" s="626"/>
      <c r="CY121" s="626"/>
      <c r="CZ121" s="626"/>
      <c r="DA121" s="626"/>
      <c r="DB121" s="626"/>
      <c r="DC121" s="626"/>
      <c r="DD121" s="626"/>
      <c r="DE121" s="626"/>
      <c r="DF121" s="626"/>
      <c r="DG121" s="626"/>
      <c r="DH121" s="626"/>
      <c r="DI121" s="626"/>
      <c r="DJ121" s="626"/>
      <c r="DK121" s="626"/>
      <c r="DL121" s="626"/>
      <c r="DM121" s="761"/>
      <c r="DN121" s="761"/>
      <c r="DO121" s="761"/>
      <c r="DP121" s="553"/>
      <c r="DQ121" s="553"/>
      <c r="DR121" s="553"/>
      <c r="DS121" s="553"/>
      <c r="DT121" s="553"/>
      <c r="DU121" s="553"/>
      <c r="DV121" s="553"/>
      <c r="DW121" s="553"/>
      <c r="DX121" s="553"/>
      <c r="DY121" s="553"/>
    </row>
    <row r="122" spans="1:129" customFormat="1" ht="24" customHeight="1" x14ac:dyDescent="0.9">
      <c r="A122" s="752"/>
      <c r="B122" s="588"/>
      <c r="C122" s="588"/>
      <c r="D122" s="588"/>
      <c r="E122" s="588"/>
      <c r="F122" s="588"/>
      <c r="G122" s="588"/>
      <c r="H122" s="588"/>
      <c r="I122" s="588"/>
      <c r="J122" s="588"/>
      <c r="K122" s="588"/>
      <c r="L122" s="753"/>
      <c r="M122" s="753"/>
      <c r="N122" s="588"/>
      <c r="O122" s="626"/>
      <c r="P122" s="588"/>
      <c r="Q122" s="626"/>
      <c r="R122" s="588"/>
      <c r="S122" s="588"/>
      <c r="T122" s="588"/>
      <c r="U122" s="588"/>
      <c r="V122" s="588"/>
      <c r="W122" s="588"/>
      <c r="X122" s="588"/>
      <c r="Y122" s="588"/>
      <c r="Z122" s="588"/>
      <c r="AA122" s="588"/>
      <c r="AB122" s="588"/>
      <c r="AC122" s="588"/>
      <c r="AD122" s="588"/>
      <c r="AE122" s="626"/>
      <c r="AF122" s="626"/>
      <c r="AG122" s="626"/>
      <c r="AH122" s="626"/>
      <c r="AI122" s="626"/>
      <c r="AJ122" s="626"/>
      <c r="AK122" s="626"/>
      <c r="AL122" s="626"/>
      <c r="AM122" s="626"/>
      <c r="AN122" s="626"/>
      <c r="AO122" s="626"/>
      <c r="AP122" s="626"/>
      <c r="AQ122" s="626"/>
      <c r="AR122" s="626"/>
      <c r="AS122" s="626"/>
      <c r="AT122" s="626"/>
      <c r="AU122" s="626"/>
      <c r="AV122" s="626"/>
      <c r="AW122" s="626"/>
      <c r="AX122" s="626"/>
      <c r="AY122" s="626"/>
      <c r="AZ122" s="626"/>
      <c r="BA122" s="626"/>
      <c r="BB122" s="588"/>
      <c r="BC122" s="626"/>
      <c r="BD122" s="626"/>
      <c r="BE122" s="626"/>
      <c r="BF122" s="626"/>
      <c r="BG122" s="626"/>
      <c r="BH122" s="626"/>
      <c r="BI122" s="588"/>
      <c r="BJ122" s="626"/>
      <c r="BK122" s="626"/>
      <c r="BL122" s="626"/>
      <c r="BM122" s="626"/>
      <c r="BN122" s="626"/>
      <c r="BO122" s="626"/>
      <c r="BP122" s="588"/>
      <c r="BQ122" s="846"/>
      <c r="BR122" s="850"/>
      <c r="BS122" s="588"/>
      <c r="BT122" s="754"/>
      <c r="BU122" s="588"/>
      <c r="BV122" s="588"/>
      <c r="BW122" s="588"/>
      <c r="BX122" s="588"/>
      <c r="BY122" s="588"/>
      <c r="BZ122" s="588"/>
      <c r="CA122" s="588"/>
      <c r="CB122" s="588"/>
      <c r="CC122" s="865"/>
      <c r="CD122" s="588"/>
      <c r="CE122" s="588"/>
      <c r="CF122" s="588"/>
      <c r="CG122" s="588"/>
      <c r="CH122" s="588"/>
      <c r="CI122" s="588"/>
      <c r="CJ122" s="588"/>
      <c r="CK122" s="588"/>
      <c r="CL122" s="588"/>
      <c r="CM122" s="588"/>
      <c r="CN122" s="588"/>
      <c r="CO122" s="588"/>
      <c r="CP122" s="816"/>
      <c r="CQ122" s="805"/>
      <c r="CR122" s="805"/>
      <c r="CS122" s="830"/>
      <c r="CT122" s="588"/>
      <c r="CU122" s="626"/>
      <c r="CV122" s="626"/>
      <c r="CW122" s="626"/>
      <c r="CX122" s="626"/>
      <c r="CY122" s="626"/>
      <c r="CZ122" s="626"/>
      <c r="DA122" s="626"/>
      <c r="DB122" s="626"/>
      <c r="DC122" s="626"/>
      <c r="DD122" s="626"/>
      <c r="DE122" s="626"/>
      <c r="DF122" s="626"/>
      <c r="DG122" s="626"/>
      <c r="DH122" s="626"/>
      <c r="DI122" s="626"/>
      <c r="DJ122" s="626"/>
      <c r="DK122" s="626"/>
      <c r="DL122" s="626"/>
      <c r="DM122" s="761"/>
      <c r="DN122" s="761"/>
      <c r="DO122" s="761"/>
      <c r="DP122" s="553"/>
      <c r="DQ122" s="553"/>
      <c r="DR122" s="553"/>
      <c r="DS122" s="553"/>
      <c r="DT122" s="553"/>
      <c r="DU122" s="553"/>
      <c r="DV122" s="553"/>
      <c r="DW122" s="553"/>
      <c r="DX122" s="553"/>
      <c r="DY122" s="553"/>
    </row>
    <row r="123" spans="1:129" customFormat="1" ht="24" customHeight="1" x14ac:dyDescent="0.9">
      <c r="A123" s="752"/>
      <c r="B123" s="588"/>
      <c r="C123" s="588"/>
      <c r="D123" s="588"/>
      <c r="E123" s="588"/>
      <c r="F123" s="588"/>
      <c r="G123" s="588"/>
      <c r="H123" s="588"/>
      <c r="I123" s="588"/>
      <c r="J123" s="588"/>
      <c r="K123" s="588"/>
      <c r="L123" s="753"/>
      <c r="M123" s="753"/>
      <c r="N123" s="588"/>
      <c r="O123" s="626"/>
      <c r="P123" s="588"/>
      <c r="Q123" s="626"/>
      <c r="R123" s="588"/>
      <c r="S123" s="588"/>
      <c r="T123" s="588"/>
      <c r="U123" s="588"/>
      <c r="V123" s="588"/>
      <c r="W123" s="588"/>
      <c r="X123" s="588"/>
      <c r="Y123" s="588"/>
      <c r="Z123" s="588"/>
      <c r="AA123" s="588"/>
      <c r="AB123" s="588"/>
      <c r="AC123" s="588"/>
      <c r="AD123" s="588"/>
      <c r="AE123" s="626"/>
      <c r="AF123" s="626"/>
      <c r="AG123" s="626"/>
      <c r="AH123" s="626"/>
      <c r="AI123" s="626"/>
      <c r="AJ123" s="626"/>
      <c r="AK123" s="626"/>
      <c r="AL123" s="626"/>
      <c r="AM123" s="626"/>
      <c r="AN123" s="626"/>
      <c r="AO123" s="626"/>
      <c r="AP123" s="626"/>
      <c r="AQ123" s="626"/>
      <c r="AR123" s="626"/>
      <c r="AS123" s="626"/>
      <c r="AT123" s="626"/>
      <c r="AU123" s="626"/>
      <c r="AV123" s="626"/>
      <c r="AW123" s="626"/>
      <c r="AX123" s="626"/>
      <c r="AY123" s="626"/>
      <c r="AZ123" s="626"/>
      <c r="BA123" s="626"/>
      <c r="BB123" s="588"/>
      <c r="BC123" s="626"/>
      <c r="BD123" s="626"/>
      <c r="BE123" s="626"/>
      <c r="BF123" s="626"/>
      <c r="BG123" s="626"/>
      <c r="BH123" s="626"/>
      <c r="BI123" s="588"/>
      <c r="BJ123" s="626"/>
      <c r="BK123" s="626"/>
      <c r="BL123" s="626"/>
      <c r="BM123" s="626"/>
      <c r="BN123" s="626"/>
      <c r="BO123" s="626"/>
      <c r="BP123" s="588"/>
      <c r="BQ123" s="846"/>
      <c r="BR123" s="850"/>
      <c r="BS123" s="588"/>
      <c r="BT123" s="754"/>
      <c r="BU123" s="588"/>
      <c r="BV123" s="588"/>
      <c r="BW123" s="588"/>
      <c r="BX123" s="588"/>
      <c r="BY123" s="588"/>
      <c r="BZ123" s="588"/>
      <c r="CA123" s="588"/>
      <c r="CB123" s="588"/>
      <c r="CC123" s="865"/>
      <c r="CD123" s="588"/>
      <c r="CE123" s="588"/>
      <c r="CF123" s="588"/>
      <c r="CG123" s="588"/>
      <c r="CH123" s="588"/>
      <c r="CI123" s="588"/>
      <c r="CJ123" s="588"/>
      <c r="CK123" s="588"/>
      <c r="CL123" s="588"/>
      <c r="CM123" s="588"/>
      <c r="CN123" s="588"/>
      <c r="CO123" s="588"/>
      <c r="CP123" s="816"/>
      <c r="CQ123" s="805"/>
      <c r="CR123" s="805"/>
      <c r="CS123" s="830"/>
      <c r="CT123" s="588"/>
      <c r="CU123" s="626"/>
      <c r="CV123" s="626"/>
      <c r="CW123" s="626"/>
      <c r="CX123" s="626"/>
      <c r="CY123" s="626"/>
      <c r="CZ123" s="626"/>
      <c r="DA123" s="626"/>
      <c r="DB123" s="626"/>
      <c r="DC123" s="626"/>
      <c r="DD123" s="626"/>
      <c r="DE123" s="626"/>
      <c r="DF123" s="626"/>
      <c r="DG123" s="626"/>
      <c r="DH123" s="626"/>
      <c r="DI123" s="626"/>
      <c r="DJ123" s="626"/>
      <c r="DK123" s="626"/>
      <c r="DL123" s="626"/>
      <c r="DM123" s="761"/>
      <c r="DN123" s="761"/>
      <c r="DO123" s="761"/>
      <c r="DP123" s="553"/>
      <c r="DQ123" s="553"/>
      <c r="DR123" s="553"/>
      <c r="DS123" s="553"/>
      <c r="DT123" s="553"/>
      <c r="DU123" s="553"/>
      <c r="DV123" s="553"/>
      <c r="DW123" s="553"/>
      <c r="DX123" s="553"/>
      <c r="DY123" s="553"/>
    </row>
    <row r="124" spans="1:129" customFormat="1" ht="24" customHeight="1" x14ac:dyDescent="0.9">
      <c r="A124" s="752"/>
      <c r="B124" s="588"/>
      <c r="C124" s="588"/>
      <c r="D124" s="588"/>
      <c r="E124" s="588"/>
      <c r="F124" s="588"/>
      <c r="G124" s="588"/>
      <c r="H124" s="588"/>
      <c r="I124" s="588"/>
      <c r="J124" s="588"/>
      <c r="K124" s="588"/>
      <c r="L124" s="753"/>
      <c r="M124" s="753"/>
      <c r="N124" s="588"/>
      <c r="O124" s="626"/>
      <c r="P124" s="588"/>
      <c r="Q124" s="626"/>
      <c r="R124" s="588"/>
      <c r="S124" s="588"/>
      <c r="T124" s="588"/>
      <c r="U124" s="588"/>
      <c r="V124" s="588"/>
      <c r="W124" s="588"/>
      <c r="X124" s="588"/>
      <c r="Y124" s="588"/>
      <c r="Z124" s="588"/>
      <c r="AA124" s="588"/>
      <c r="AB124" s="588"/>
      <c r="AC124" s="588"/>
      <c r="AD124" s="588"/>
      <c r="AE124" s="626"/>
      <c r="AF124" s="626"/>
      <c r="AG124" s="626"/>
      <c r="AH124" s="626"/>
      <c r="AI124" s="626"/>
      <c r="AJ124" s="626"/>
      <c r="AK124" s="626"/>
      <c r="AL124" s="626"/>
      <c r="AM124" s="626"/>
      <c r="AN124" s="626"/>
      <c r="AO124" s="626"/>
      <c r="AP124" s="626"/>
      <c r="AQ124" s="626"/>
      <c r="AR124" s="626"/>
      <c r="AS124" s="626"/>
      <c r="AT124" s="626"/>
      <c r="AU124" s="626"/>
      <c r="AV124" s="626"/>
      <c r="AW124" s="626"/>
      <c r="AX124" s="626"/>
      <c r="AY124" s="626"/>
      <c r="AZ124" s="626"/>
      <c r="BA124" s="626"/>
      <c r="BB124" s="588"/>
      <c r="BC124" s="626"/>
      <c r="BD124" s="626"/>
      <c r="BE124" s="626"/>
      <c r="BF124" s="626"/>
      <c r="BG124" s="626"/>
      <c r="BH124" s="626"/>
      <c r="BI124" s="588"/>
      <c r="BJ124" s="626"/>
      <c r="BK124" s="626"/>
      <c r="BL124" s="626"/>
      <c r="BM124" s="626"/>
      <c r="BN124" s="626"/>
      <c r="BO124" s="626"/>
      <c r="BP124" s="588"/>
      <c r="BQ124" s="846"/>
      <c r="BR124" s="850"/>
      <c r="BS124" s="588"/>
      <c r="BT124" s="754"/>
      <c r="BU124" s="588"/>
      <c r="BV124" s="588"/>
      <c r="BW124" s="588"/>
      <c r="BX124" s="588"/>
      <c r="BY124" s="588"/>
      <c r="BZ124" s="588"/>
      <c r="CA124" s="588"/>
      <c r="CB124" s="588"/>
      <c r="CC124" s="865"/>
      <c r="CD124" s="588"/>
      <c r="CE124" s="588"/>
      <c r="CF124" s="588"/>
      <c r="CG124" s="588"/>
      <c r="CH124" s="588"/>
      <c r="CI124" s="588"/>
      <c r="CJ124" s="588"/>
      <c r="CK124" s="588"/>
      <c r="CL124" s="588"/>
      <c r="CM124" s="588"/>
      <c r="CN124" s="588"/>
      <c r="CO124" s="588"/>
      <c r="CP124" s="816"/>
      <c r="CQ124" s="805"/>
      <c r="CR124" s="805"/>
      <c r="CS124" s="830"/>
      <c r="CT124" s="588"/>
      <c r="CU124" s="626"/>
      <c r="CV124" s="626"/>
      <c r="CW124" s="626"/>
      <c r="CX124" s="626"/>
      <c r="CY124" s="626"/>
      <c r="CZ124" s="626"/>
      <c r="DA124" s="626"/>
      <c r="DB124" s="626"/>
      <c r="DC124" s="626"/>
      <c r="DD124" s="626"/>
      <c r="DE124" s="626"/>
      <c r="DF124" s="626"/>
      <c r="DG124" s="626"/>
      <c r="DH124" s="626"/>
      <c r="DI124" s="626"/>
      <c r="DJ124" s="626"/>
      <c r="DK124" s="626"/>
      <c r="DL124" s="626"/>
      <c r="DM124" s="761"/>
      <c r="DN124" s="761"/>
      <c r="DO124" s="761"/>
      <c r="DP124" s="553"/>
      <c r="DQ124" s="553"/>
      <c r="DR124" s="553"/>
      <c r="DS124" s="553"/>
      <c r="DT124" s="553"/>
      <c r="DU124" s="553"/>
      <c r="DV124" s="553"/>
      <c r="DW124" s="553"/>
      <c r="DX124" s="553"/>
      <c r="DY124" s="553"/>
    </row>
    <row r="125" spans="1:129" customFormat="1" ht="24" customHeight="1" x14ac:dyDescent="0.9">
      <c r="A125" s="752"/>
      <c r="B125" s="588"/>
      <c r="C125" s="588"/>
      <c r="D125" s="588"/>
      <c r="E125" s="588"/>
      <c r="F125" s="588"/>
      <c r="G125" s="588"/>
      <c r="H125" s="588"/>
      <c r="I125" s="588"/>
      <c r="J125" s="588"/>
      <c r="K125" s="588"/>
      <c r="L125" s="753"/>
      <c r="M125" s="753"/>
      <c r="N125" s="588"/>
      <c r="O125" s="626"/>
      <c r="P125" s="588"/>
      <c r="Q125" s="626"/>
      <c r="R125" s="588"/>
      <c r="S125" s="588"/>
      <c r="T125" s="588"/>
      <c r="U125" s="588"/>
      <c r="V125" s="588"/>
      <c r="W125" s="588"/>
      <c r="X125" s="588"/>
      <c r="Y125" s="588"/>
      <c r="Z125" s="588"/>
      <c r="AA125" s="588"/>
      <c r="AB125" s="588"/>
      <c r="AC125" s="588"/>
      <c r="AD125" s="588"/>
      <c r="AE125" s="626"/>
      <c r="AF125" s="626"/>
      <c r="AG125" s="626"/>
      <c r="AH125" s="626"/>
      <c r="AI125" s="626"/>
      <c r="AJ125" s="626"/>
      <c r="AK125" s="626"/>
      <c r="AL125" s="626"/>
      <c r="AM125" s="626"/>
      <c r="AN125" s="626"/>
      <c r="AO125" s="626"/>
      <c r="AP125" s="626"/>
      <c r="AQ125" s="626"/>
      <c r="AR125" s="626"/>
      <c r="AS125" s="626"/>
      <c r="AT125" s="626"/>
      <c r="AU125" s="626"/>
      <c r="AV125" s="626"/>
      <c r="AW125" s="626"/>
      <c r="AX125" s="626"/>
      <c r="AY125" s="626"/>
      <c r="AZ125" s="626"/>
      <c r="BA125" s="626"/>
      <c r="BB125" s="588"/>
      <c r="BC125" s="626"/>
      <c r="BD125" s="626"/>
      <c r="BE125" s="626"/>
      <c r="BF125" s="626"/>
      <c r="BG125" s="626"/>
      <c r="BH125" s="626"/>
      <c r="BI125" s="588"/>
      <c r="BJ125" s="626"/>
      <c r="BK125" s="626"/>
      <c r="BL125" s="626"/>
      <c r="BM125" s="626"/>
      <c r="BN125" s="626"/>
      <c r="BO125" s="626"/>
      <c r="BP125" s="588"/>
      <c r="BQ125" s="846"/>
      <c r="BR125" s="850"/>
      <c r="BS125" s="588"/>
      <c r="BT125" s="754"/>
      <c r="BU125" s="588"/>
      <c r="BV125" s="588"/>
      <c r="BW125" s="588"/>
      <c r="BX125" s="588"/>
      <c r="BY125" s="588"/>
      <c r="BZ125" s="588"/>
      <c r="CA125" s="588"/>
      <c r="CB125" s="588"/>
      <c r="CC125" s="865"/>
      <c r="CD125" s="588"/>
      <c r="CE125" s="588"/>
      <c r="CF125" s="588"/>
      <c r="CG125" s="588"/>
      <c r="CH125" s="588"/>
      <c r="CI125" s="588"/>
      <c r="CJ125" s="588"/>
      <c r="CK125" s="588"/>
      <c r="CL125" s="588"/>
      <c r="CM125" s="588"/>
      <c r="CN125" s="588"/>
      <c r="CO125" s="588"/>
      <c r="CP125" s="816"/>
      <c r="CQ125" s="805"/>
      <c r="CR125" s="805"/>
      <c r="CS125" s="830"/>
      <c r="CT125" s="588"/>
      <c r="CU125" s="626"/>
      <c r="CV125" s="626"/>
      <c r="CW125" s="626"/>
      <c r="CX125" s="626"/>
      <c r="CY125" s="626"/>
      <c r="CZ125" s="626"/>
      <c r="DA125" s="626"/>
      <c r="DB125" s="626"/>
      <c r="DC125" s="626"/>
      <c r="DD125" s="626"/>
      <c r="DE125" s="626"/>
      <c r="DF125" s="626"/>
      <c r="DG125" s="626"/>
      <c r="DH125" s="626"/>
      <c r="DI125" s="626"/>
      <c r="DJ125" s="626"/>
      <c r="DK125" s="626"/>
      <c r="DL125" s="626"/>
      <c r="DM125" s="761"/>
      <c r="DN125" s="761"/>
      <c r="DO125" s="761"/>
      <c r="DP125" s="553"/>
      <c r="DQ125" s="553"/>
      <c r="DR125" s="553"/>
      <c r="DS125" s="553"/>
      <c r="DT125" s="553"/>
      <c r="DU125" s="553"/>
      <c r="DV125" s="553"/>
      <c r="DW125" s="553"/>
      <c r="DX125" s="553"/>
      <c r="DY125" s="553"/>
    </row>
    <row r="126" spans="1:129" customFormat="1" ht="24" customHeight="1" x14ac:dyDescent="0.9">
      <c r="A126" s="752"/>
      <c r="B126" s="588"/>
      <c r="C126" s="588"/>
      <c r="D126" s="588"/>
      <c r="E126" s="588"/>
      <c r="F126" s="588"/>
      <c r="G126" s="588"/>
      <c r="H126" s="588"/>
      <c r="I126" s="588"/>
      <c r="J126" s="588"/>
      <c r="K126" s="588"/>
      <c r="L126" s="753"/>
      <c r="M126" s="753"/>
      <c r="N126" s="588"/>
      <c r="O126" s="626"/>
      <c r="P126" s="588"/>
      <c r="Q126" s="626"/>
      <c r="R126" s="588"/>
      <c r="S126" s="588"/>
      <c r="T126" s="588"/>
      <c r="U126" s="588"/>
      <c r="V126" s="588"/>
      <c r="W126" s="588"/>
      <c r="X126" s="588"/>
      <c r="Y126" s="588"/>
      <c r="Z126" s="588"/>
      <c r="AA126" s="588"/>
      <c r="AB126" s="588"/>
      <c r="AC126" s="588"/>
      <c r="AD126" s="588"/>
      <c r="AE126" s="626"/>
      <c r="AF126" s="626"/>
      <c r="AG126" s="626"/>
      <c r="AH126" s="626"/>
      <c r="AI126" s="626"/>
      <c r="AJ126" s="626"/>
      <c r="AK126" s="626"/>
      <c r="AL126" s="626"/>
      <c r="AM126" s="626"/>
      <c r="AN126" s="626"/>
      <c r="AO126" s="626"/>
      <c r="AP126" s="626"/>
      <c r="AQ126" s="626"/>
      <c r="AR126" s="626"/>
      <c r="AS126" s="626"/>
      <c r="AT126" s="626"/>
      <c r="AU126" s="626"/>
      <c r="AV126" s="626"/>
      <c r="AW126" s="626"/>
      <c r="AX126" s="626"/>
      <c r="AY126" s="626"/>
      <c r="AZ126" s="626"/>
      <c r="BA126" s="626"/>
      <c r="BB126" s="588"/>
      <c r="BC126" s="626"/>
      <c r="BD126" s="626"/>
      <c r="BE126" s="626"/>
      <c r="BF126" s="626"/>
      <c r="BG126" s="626"/>
      <c r="BH126" s="626"/>
      <c r="BI126" s="588"/>
      <c r="BJ126" s="626"/>
      <c r="BK126" s="626"/>
      <c r="BL126" s="626"/>
      <c r="BM126" s="626"/>
      <c r="BN126" s="626"/>
      <c r="BO126" s="626"/>
      <c r="BP126" s="588"/>
      <c r="BQ126" s="846"/>
      <c r="BR126" s="850"/>
      <c r="BS126" s="588"/>
      <c r="BT126" s="754"/>
      <c r="BU126" s="588"/>
      <c r="BV126" s="588"/>
      <c r="BW126" s="588"/>
      <c r="BX126" s="588"/>
      <c r="BY126" s="588"/>
      <c r="BZ126" s="588"/>
      <c r="CA126" s="588"/>
      <c r="CB126" s="588"/>
      <c r="CC126" s="865"/>
      <c r="CD126" s="588"/>
      <c r="CE126" s="588"/>
      <c r="CF126" s="588"/>
      <c r="CG126" s="588"/>
      <c r="CH126" s="588"/>
      <c r="CI126" s="588"/>
      <c r="CJ126" s="588"/>
      <c r="CK126" s="588"/>
      <c r="CL126" s="588"/>
      <c r="CM126" s="588"/>
      <c r="CN126" s="588"/>
      <c r="CO126" s="588"/>
      <c r="CP126" s="816"/>
      <c r="CQ126" s="805"/>
      <c r="CR126" s="805"/>
      <c r="CS126" s="830"/>
      <c r="CT126" s="588"/>
      <c r="CU126" s="626"/>
      <c r="CV126" s="626"/>
      <c r="CW126" s="626"/>
      <c r="CX126" s="626"/>
      <c r="CY126" s="626"/>
      <c r="CZ126" s="626"/>
      <c r="DA126" s="626"/>
      <c r="DB126" s="626"/>
      <c r="DC126" s="626"/>
      <c r="DD126" s="626"/>
      <c r="DE126" s="626"/>
      <c r="DF126" s="626"/>
      <c r="DG126" s="626"/>
      <c r="DH126" s="626"/>
      <c r="DI126" s="626"/>
      <c r="DJ126" s="626"/>
      <c r="DK126" s="626"/>
      <c r="DL126" s="626"/>
      <c r="DM126" s="761"/>
      <c r="DN126" s="761"/>
      <c r="DO126" s="761"/>
      <c r="DP126" s="553"/>
      <c r="DQ126" s="553"/>
      <c r="DR126" s="553"/>
      <c r="DS126" s="553"/>
      <c r="DT126" s="553"/>
      <c r="DU126" s="553"/>
      <c r="DV126" s="553"/>
      <c r="DW126" s="553"/>
      <c r="DX126" s="553"/>
      <c r="DY126" s="553"/>
    </row>
    <row r="127" spans="1:129" customFormat="1" ht="24" customHeight="1" x14ac:dyDescent="0.9">
      <c r="A127" s="752"/>
      <c r="B127" s="588"/>
      <c r="C127" s="588"/>
      <c r="D127" s="588"/>
      <c r="E127" s="588"/>
      <c r="F127" s="588"/>
      <c r="G127" s="588"/>
      <c r="H127" s="588"/>
      <c r="I127" s="588"/>
      <c r="J127" s="588"/>
      <c r="K127" s="588"/>
      <c r="L127" s="753"/>
      <c r="M127" s="753"/>
      <c r="N127" s="588"/>
      <c r="O127" s="626"/>
      <c r="P127" s="588"/>
      <c r="Q127" s="626"/>
      <c r="R127" s="588"/>
      <c r="S127" s="588"/>
      <c r="T127" s="588"/>
      <c r="U127" s="588"/>
      <c r="V127" s="588"/>
      <c r="W127" s="588"/>
      <c r="X127" s="588"/>
      <c r="Y127" s="588"/>
      <c r="Z127" s="588"/>
      <c r="AA127" s="588"/>
      <c r="AB127" s="588"/>
      <c r="AC127" s="588"/>
      <c r="AD127" s="588"/>
      <c r="AE127" s="626"/>
      <c r="AF127" s="626"/>
      <c r="AG127" s="626"/>
      <c r="AH127" s="626"/>
      <c r="AI127" s="626"/>
      <c r="AJ127" s="626"/>
      <c r="AK127" s="626"/>
      <c r="AL127" s="626"/>
      <c r="AM127" s="626"/>
      <c r="AN127" s="626"/>
      <c r="AO127" s="626"/>
      <c r="AP127" s="626"/>
      <c r="AQ127" s="626"/>
      <c r="AR127" s="626"/>
      <c r="AS127" s="626"/>
      <c r="AT127" s="626"/>
      <c r="AU127" s="626"/>
      <c r="AV127" s="626"/>
      <c r="AW127" s="626"/>
      <c r="AX127" s="626"/>
      <c r="AY127" s="626"/>
      <c r="AZ127" s="626"/>
      <c r="BA127" s="626"/>
      <c r="BB127" s="588"/>
      <c r="BC127" s="626"/>
      <c r="BD127" s="626"/>
      <c r="BE127" s="626"/>
      <c r="BF127" s="626"/>
      <c r="BG127" s="626"/>
      <c r="BH127" s="626"/>
      <c r="BI127" s="588"/>
      <c r="BJ127" s="626"/>
      <c r="BK127" s="626"/>
      <c r="BL127" s="626"/>
      <c r="BM127" s="626"/>
      <c r="BN127" s="626"/>
      <c r="BO127" s="626"/>
      <c r="BP127" s="588"/>
      <c r="BQ127" s="846"/>
      <c r="BR127" s="850"/>
      <c r="BS127" s="588"/>
      <c r="BT127" s="754"/>
      <c r="BU127" s="588"/>
      <c r="BV127" s="588"/>
      <c r="BW127" s="588"/>
      <c r="BX127" s="588"/>
      <c r="BY127" s="588"/>
      <c r="BZ127" s="588"/>
      <c r="CA127" s="588"/>
      <c r="CB127" s="588"/>
      <c r="CC127" s="865"/>
      <c r="CD127" s="588"/>
      <c r="CE127" s="588"/>
      <c r="CF127" s="588"/>
      <c r="CG127" s="588"/>
      <c r="CH127" s="588"/>
      <c r="CI127" s="588"/>
      <c r="CJ127" s="588"/>
      <c r="CK127" s="588"/>
      <c r="CL127" s="588"/>
      <c r="CM127" s="588"/>
      <c r="CN127" s="588"/>
      <c r="CO127" s="588"/>
      <c r="CP127" s="816"/>
      <c r="CQ127" s="805"/>
      <c r="CR127" s="805"/>
      <c r="CS127" s="830"/>
      <c r="CT127" s="588"/>
      <c r="CU127" s="626"/>
      <c r="CV127" s="626"/>
      <c r="CW127" s="626"/>
      <c r="CX127" s="626"/>
      <c r="CY127" s="626"/>
      <c r="CZ127" s="626"/>
      <c r="DA127" s="626"/>
      <c r="DB127" s="626"/>
      <c r="DC127" s="626"/>
      <c r="DD127" s="626"/>
      <c r="DE127" s="626"/>
      <c r="DF127" s="626"/>
      <c r="DG127" s="626"/>
      <c r="DH127" s="626"/>
      <c r="DI127" s="626"/>
      <c r="DJ127" s="626"/>
      <c r="DK127" s="626"/>
      <c r="DL127" s="626"/>
      <c r="DM127" s="761"/>
      <c r="DN127" s="761"/>
      <c r="DO127" s="761"/>
      <c r="DP127" s="553"/>
      <c r="DQ127" s="553"/>
      <c r="DR127" s="553"/>
      <c r="DS127" s="553"/>
      <c r="DT127" s="553"/>
      <c r="DU127" s="553"/>
      <c r="DV127" s="553"/>
      <c r="DW127" s="553"/>
      <c r="DX127" s="553"/>
      <c r="DY127" s="553"/>
    </row>
    <row r="128" spans="1:129" customFormat="1" ht="24" customHeight="1" x14ac:dyDescent="0.9">
      <c r="A128" s="752"/>
      <c r="B128" s="588"/>
      <c r="C128" s="588"/>
      <c r="D128" s="588"/>
      <c r="E128" s="588"/>
      <c r="F128" s="588"/>
      <c r="G128" s="588"/>
      <c r="H128" s="588"/>
      <c r="I128" s="588"/>
      <c r="J128" s="588"/>
      <c r="K128" s="588"/>
      <c r="L128" s="753"/>
      <c r="M128" s="753"/>
      <c r="N128" s="588"/>
      <c r="O128" s="626"/>
      <c r="P128" s="588"/>
      <c r="Q128" s="626"/>
      <c r="R128" s="588"/>
      <c r="S128" s="588"/>
      <c r="T128" s="588"/>
      <c r="U128" s="588"/>
      <c r="V128" s="588"/>
      <c r="W128" s="588"/>
      <c r="X128" s="588"/>
      <c r="Y128" s="588"/>
      <c r="Z128" s="588"/>
      <c r="AA128" s="588"/>
      <c r="AB128" s="588"/>
      <c r="AC128" s="588"/>
      <c r="AD128" s="588"/>
      <c r="AE128" s="626"/>
      <c r="AF128" s="626"/>
      <c r="AG128" s="626"/>
      <c r="AH128" s="626"/>
      <c r="AI128" s="626"/>
      <c r="AJ128" s="626"/>
      <c r="AK128" s="626"/>
      <c r="AL128" s="626"/>
      <c r="AM128" s="626"/>
      <c r="AN128" s="626"/>
      <c r="AO128" s="626"/>
      <c r="AP128" s="626"/>
      <c r="AQ128" s="626"/>
      <c r="AR128" s="626"/>
      <c r="AS128" s="626"/>
      <c r="AT128" s="626"/>
      <c r="AU128" s="626"/>
      <c r="AV128" s="626"/>
      <c r="AW128" s="626"/>
      <c r="AX128" s="626"/>
      <c r="AY128" s="626"/>
      <c r="AZ128" s="626"/>
      <c r="BA128" s="626"/>
      <c r="BB128" s="588"/>
      <c r="BC128" s="626"/>
      <c r="BD128" s="626"/>
      <c r="BE128" s="626"/>
      <c r="BF128" s="626"/>
      <c r="BG128" s="626"/>
      <c r="BH128" s="626"/>
      <c r="BI128" s="588"/>
      <c r="BJ128" s="626"/>
      <c r="BK128" s="626"/>
      <c r="BL128" s="626"/>
      <c r="BM128" s="626"/>
      <c r="BN128" s="626"/>
      <c r="BO128" s="626"/>
      <c r="BP128" s="588"/>
      <c r="BQ128" s="846"/>
      <c r="BR128" s="850"/>
      <c r="BS128" s="588"/>
      <c r="BT128" s="754"/>
      <c r="BU128" s="588"/>
      <c r="BV128" s="588"/>
      <c r="BW128" s="588"/>
      <c r="BX128" s="588"/>
      <c r="BY128" s="588"/>
      <c r="BZ128" s="588"/>
      <c r="CA128" s="588"/>
      <c r="CB128" s="588"/>
      <c r="CC128" s="865"/>
      <c r="CD128" s="588"/>
      <c r="CE128" s="588"/>
      <c r="CF128" s="588"/>
      <c r="CG128" s="588"/>
      <c r="CH128" s="588"/>
      <c r="CI128" s="588"/>
      <c r="CJ128" s="588"/>
      <c r="CK128" s="588"/>
      <c r="CL128" s="588"/>
      <c r="CM128" s="588"/>
      <c r="CN128" s="588"/>
      <c r="CO128" s="588"/>
      <c r="CP128" s="816"/>
      <c r="CQ128" s="805"/>
      <c r="CR128" s="805"/>
      <c r="CS128" s="830"/>
      <c r="CT128" s="588"/>
      <c r="CU128" s="626"/>
      <c r="CV128" s="626"/>
      <c r="CW128" s="626"/>
      <c r="CX128" s="626"/>
      <c r="CY128" s="626"/>
      <c r="CZ128" s="626"/>
      <c r="DA128" s="626"/>
      <c r="DB128" s="626"/>
      <c r="DC128" s="626"/>
      <c r="DD128" s="626"/>
      <c r="DE128" s="626"/>
      <c r="DF128" s="626"/>
      <c r="DG128" s="626"/>
      <c r="DH128" s="626"/>
      <c r="DI128" s="626"/>
      <c r="DJ128" s="626"/>
      <c r="DK128" s="626"/>
      <c r="DL128" s="626"/>
      <c r="DM128" s="761"/>
      <c r="DN128" s="761"/>
      <c r="DO128" s="761"/>
      <c r="DP128" s="553"/>
      <c r="DQ128" s="553"/>
      <c r="DR128" s="553"/>
      <c r="DS128" s="553"/>
      <c r="DT128" s="553"/>
      <c r="DU128" s="553"/>
      <c r="DV128" s="553"/>
      <c r="DW128" s="553"/>
      <c r="DX128" s="553"/>
      <c r="DY128" s="553"/>
    </row>
    <row r="129" spans="1:129" customFormat="1" ht="24" customHeight="1" x14ac:dyDescent="0.9">
      <c r="A129" s="752"/>
      <c r="B129" s="588"/>
      <c r="C129" s="588"/>
      <c r="D129" s="588"/>
      <c r="E129" s="588"/>
      <c r="F129" s="588"/>
      <c r="G129" s="588"/>
      <c r="H129" s="588"/>
      <c r="I129" s="588"/>
      <c r="J129" s="588"/>
      <c r="K129" s="588"/>
      <c r="L129" s="753"/>
      <c r="M129" s="753"/>
      <c r="N129" s="588"/>
      <c r="O129" s="626"/>
      <c r="P129" s="588"/>
      <c r="Q129" s="626"/>
      <c r="R129" s="588"/>
      <c r="S129" s="588"/>
      <c r="T129" s="588"/>
      <c r="U129" s="588"/>
      <c r="V129" s="588"/>
      <c r="W129" s="588"/>
      <c r="X129" s="588"/>
      <c r="Y129" s="588"/>
      <c r="Z129" s="588"/>
      <c r="AA129" s="588"/>
      <c r="AB129" s="588"/>
      <c r="AC129" s="588"/>
      <c r="AD129" s="588"/>
      <c r="AE129" s="626"/>
      <c r="AF129" s="626"/>
      <c r="AG129" s="626"/>
      <c r="AH129" s="626"/>
      <c r="AI129" s="626"/>
      <c r="AJ129" s="626"/>
      <c r="AK129" s="626"/>
      <c r="AL129" s="626"/>
      <c r="AM129" s="626"/>
      <c r="AN129" s="626"/>
      <c r="AO129" s="626"/>
      <c r="AP129" s="626"/>
      <c r="AQ129" s="626"/>
      <c r="AR129" s="626"/>
      <c r="AS129" s="626"/>
      <c r="AT129" s="626"/>
      <c r="AU129" s="626"/>
      <c r="AV129" s="626"/>
      <c r="AW129" s="626"/>
      <c r="AX129" s="626"/>
      <c r="AY129" s="626"/>
      <c r="AZ129" s="626"/>
      <c r="BA129" s="626"/>
      <c r="BB129" s="588"/>
      <c r="BC129" s="626"/>
      <c r="BD129" s="626"/>
      <c r="BE129" s="626"/>
      <c r="BF129" s="626"/>
      <c r="BG129" s="626"/>
      <c r="BH129" s="626"/>
      <c r="BI129" s="588"/>
      <c r="BJ129" s="626"/>
      <c r="BK129" s="626"/>
      <c r="BL129" s="626"/>
      <c r="BM129" s="626"/>
      <c r="BN129" s="626"/>
      <c r="BO129" s="626"/>
      <c r="BP129" s="588"/>
      <c r="BQ129" s="846"/>
      <c r="BR129" s="850"/>
      <c r="BS129" s="588"/>
      <c r="BT129" s="754"/>
      <c r="BU129" s="588"/>
      <c r="BV129" s="588"/>
      <c r="BW129" s="588"/>
      <c r="BX129" s="588"/>
      <c r="BY129" s="588"/>
      <c r="BZ129" s="588"/>
      <c r="CA129" s="588"/>
      <c r="CB129" s="588"/>
      <c r="CC129" s="865"/>
      <c r="CD129" s="588"/>
      <c r="CE129" s="588"/>
      <c r="CF129" s="588"/>
      <c r="CG129" s="588"/>
      <c r="CH129" s="588"/>
      <c r="CI129" s="588"/>
      <c r="CJ129" s="588"/>
      <c r="CK129" s="588"/>
      <c r="CL129" s="588"/>
      <c r="CM129" s="588"/>
      <c r="CN129" s="588"/>
      <c r="CO129" s="588"/>
      <c r="CP129" s="816"/>
      <c r="CQ129" s="805"/>
      <c r="CR129" s="805"/>
      <c r="CS129" s="830"/>
      <c r="CT129" s="588"/>
      <c r="CU129" s="626"/>
      <c r="CV129" s="626"/>
      <c r="CW129" s="626"/>
      <c r="CX129" s="626"/>
      <c r="CY129" s="626"/>
      <c r="CZ129" s="626"/>
      <c r="DA129" s="626"/>
      <c r="DB129" s="626"/>
      <c r="DC129" s="626"/>
      <c r="DD129" s="626"/>
      <c r="DE129" s="626"/>
      <c r="DF129" s="626"/>
      <c r="DG129" s="626"/>
      <c r="DH129" s="626"/>
      <c r="DI129" s="626"/>
      <c r="DJ129" s="626"/>
      <c r="DK129" s="626"/>
      <c r="DL129" s="626"/>
      <c r="DM129" s="761"/>
      <c r="DN129" s="761"/>
      <c r="DO129" s="761"/>
      <c r="DP129" s="553"/>
      <c r="DQ129" s="553"/>
      <c r="DR129" s="553"/>
      <c r="DS129" s="553"/>
      <c r="DT129" s="553"/>
      <c r="DU129" s="553"/>
      <c r="DV129" s="553"/>
      <c r="DW129" s="553"/>
      <c r="DX129" s="553"/>
      <c r="DY129" s="553"/>
    </row>
    <row r="130" spans="1:129" customFormat="1" ht="24" customHeight="1" x14ac:dyDescent="0.9">
      <c r="A130" s="752"/>
      <c r="B130" s="588"/>
      <c r="C130" s="588"/>
      <c r="D130" s="588"/>
      <c r="E130" s="588"/>
      <c r="F130" s="588"/>
      <c r="G130" s="588"/>
      <c r="H130" s="588"/>
      <c r="I130" s="588"/>
      <c r="J130" s="588"/>
      <c r="K130" s="588"/>
      <c r="L130" s="753"/>
      <c r="M130" s="753"/>
      <c r="N130" s="588"/>
      <c r="O130" s="626"/>
      <c r="P130" s="588"/>
      <c r="Q130" s="626"/>
      <c r="R130" s="588"/>
      <c r="S130" s="588"/>
      <c r="T130" s="588"/>
      <c r="U130" s="588"/>
      <c r="V130" s="588"/>
      <c r="W130" s="588"/>
      <c r="X130" s="588"/>
      <c r="Y130" s="588"/>
      <c r="Z130" s="588"/>
      <c r="AA130" s="588"/>
      <c r="AB130" s="588"/>
      <c r="AC130" s="588"/>
      <c r="AD130" s="588"/>
      <c r="AE130" s="626"/>
      <c r="AF130" s="626"/>
      <c r="AG130" s="626"/>
      <c r="AH130" s="626"/>
      <c r="AI130" s="626"/>
      <c r="AJ130" s="626"/>
      <c r="AK130" s="626"/>
      <c r="AL130" s="626"/>
      <c r="AM130" s="626"/>
      <c r="AN130" s="626"/>
      <c r="AO130" s="626"/>
      <c r="AP130" s="626"/>
      <c r="AQ130" s="626"/>
      <c r="AR130" s="626"/>
      <c r="AS130" s="626"/>
      <c r="AT130" s="626"/>
      <c r="AU130" s="626"/>
      <c r="AV130" s="626"/>
      <c r="AW130" s="626"/>
      <c r="AX130" s="626"/>
      <c r="AY130" s="626"/>
      <c r="AZ130" s="626"/>
      <c r="BA130" s="626"/>
      <c r="BB130" s="588"/>
      <c r="BC130" s="626"/>
      <c r="BD130" s="626"/>
      <c r="BE130" s="626"/>
      <c r="BF130" s="626"/>
      <c r="BG130" s="626"/>
      <c r="BH130" s="626"/>
      <c r="BI130" s="588"/>
      <c r="BJ130" s="626"/>
      <c r="BK130" s="626"/>
      <c r="BL130" s="626"/>
      <c r="BM130" s="626"/>
      <c r="BN130" s="626"/>
      <c r="BO130" s="626"/>
      <c r="BP130" s="588"/>
      <c r="BQ130" s="846"/>
      <c r="BR130" s="850"/>
      <c r="BS130" s="588"/>
      <c r="BT130" s="754"/>
      <c r="BU130" s="588"/>
      <c r="BV130" s="588"/>
      <c r="BW130" s="588"/>
      <c r="BX130" s="588"/>
      <c r="BY130" s="588"/>
      <c r="BZ130" s="588"/>
      <c r="CA130" s="588"/>
      <c r="CB130" s="588"/>
      <c r="CC130" s="865"/>
      <c r="CD130" s="588"/>
      <c r="CE130" s="588"/>
      <c r="CF130" s="588"/>
      <c r="CG130" s="588"/>
      <c r="CH130" s="588"/>
      <c r="CI130" s="588"/>
      <c r="CJ130" s="588"/>
      <c r="CK130" s="588"/>
      <c r="CL130" s="588"/>
      <c r="CM130" s="588"/>
      <c r="CN130" s="588"/>
      <c r="CO130" s="588"/>
      <c r="CP130" s="816"/>
      <c r="CQ130" s="805"/>
      <c r="CR130" s="805"/>
      <c r="CS130" s="830"/>
      <c r="CT130" s="588"/>
      <c r="CU130" s="626"/>
      <c r="CV130" s="626"/>
      <c r="CW130" s="626"/>
      <c r="CX130" s="626"/>
      <c r="CY130" s="626"/>
      <c r="CZ130" s="626"/>
      <c r="DA130" s="626"/>
      <c r="DB130" s="626"/>
      <c r="DC130" s="626"/>
      <c r="DD130" s="626"/>
      <c r="DE130" s="626"/>
      <c r="DF130" s="626"/>
      <c r="DG130" s="626"/>
      <c r="DH130" s="626"/>
      <c r="DI130" s="626"/>
      <c r="DJ130" s="626"/>
      <c r="DK130" s="626"/>
      <c r="DL130" s="626"/>
      <c r="DM130" s="761"/>
      <c r="DN130" s="761"/>
      <c r="DO130" s="761"/>
      <c r="DP130" s="553"/>
      <c r="DQ130" s="553"/>
      <c r="DR130" s="553"/>
      <c r="DS130" s="553"/>
      <c r="DT130" s="553"/>
      <c r="DU130" s="553"/>
      <c r="DV130" s="553"/>
      <c r="DW130" s="553"/>
      <c r="DX130" s="553"/>
      <c r="DY130" s="553"/>
    </row>
    <row r="131" spans="1:129" customFormat="1" ht="24" customHeight="1" x14ac:dyDescent="0.9">
      <c r="A131" s="752"/>
      <c r="B131" s="588"/>
      <c r="C131" s="588"/>
      <c r="D131" s="588"/>
      <c r="E131" s="588"/>
      <c r="F131" s="588"/>
      <c r="G131" s="588"/>
      <c r="H131" s="588"/>
      <c r="I131" s="588"/>
      <c r="J131" s="588"/>
      <c r="K131" s="588"/>
      <c r="L131" s="753"/>
      <c r="M131" s="753"/>
      <c r="N131" s="588"/>
      <c r="O131" s="626"/>
      <c r="P131" s="588"/>
      <c r="Q131" s="626"/>
      <c r="R131" s="588"/>
      <c r="S131" s="588"/>
      <c r="T131" s="588"/>
      <c r="U131" s="588"/>
      <c r="V131" s="588"/>
      <c r="W131" s="588"/>
      <c r="X131" s="588"/>
      <c r="Y131" s="588"/>
      <c r="Z131" s="588"/>
      <c r="AA131" s="588"/>
      <c r="AB131" s="588"/>
      <c r="AC131" s="588"/>
      <c r="AD131" s="588"/>
      <c r="AE131" s="626"/>
      <c r="AF131" s="626"/>
      <c r="AG131" s="626"/>
      <c r="AH131" s="626"/>
      <c r="AI131" s="626"/>
      <c r="AJ131" s="626"/>
      <c r="AK131" s="626"/>
      <c r="AL131" s="626"/>
      <c r="AM131" s="626"/>
      <c r="AN131" s="626"/>
      <c r="AO131" s="626"/>
      <c r="AP131" s="626"/>
      <c r="AQ131" s="626"/>
      <c r="AR131" s="626"/>
      <c r="AS131" s="626"/>
      <c r="AT131" s="626"/>
      <c r="AU131" s="626"/>
      <c r="AV131" s="626"/>
      <c r="AW131" s="626"/>
      <c r="AX131" s="626"/>
      <c r="AY131" s="626"/>
      <c r="AZ131" s="626"/>
      <c r="BA131" s="626"/>
      <c r="BB131" s="588"/>
      <c r="BC131" s="626"/>
      <c r="BD131" s="626"/>
      <c r="BE131" s="626"/>
      <c r="BF131" s="626"/>
      <c r="BG131" s="626"/>
      <c r="BH131" s="626"/>
      <c r="BI131" s="588"/>
      <c r="BJ131" s="626"/>
      <c r="BK131" s="626"/>
      <c r="BL131" s="626"/>
      <c r="BM131" s="626"/>
      <c r="BN131" s="626"/>
      <c r="BO131" s="626"/>
      <c r="BP131" s="588"/>
      <c r="BQ131" s="846"/>
      <c r="BR131" s="850"/>
      <c r="BS131" s="588"/>
      <c r="BT131" s="754"/>
      <c r="BU131" s="588"/>
      <c r="BV131" s="588"/>
      <c r="BW131" s="588"/>
      <c r="BX131" s="588"/>
      <c r="BY131" s="588"/>
      <c r="BZ131" s="588"/>
      <c r="CA131" s="588"/>
      <c r="CB131" s="588"/>
      <c r="CC131" s="865"/>
      <c r="CD131" s="588"/>
      <c r="CE131" s="588"/>
      <c r="CF131" s="588"/>
      <c r="CG131" s="588"/>
      <c r="CH131" s="588"/>
      <c r="CI131" s="588"/>
      <c r="CJ131" s="588"/>
      <c r="CK131" s="588"/>
      <c r="CL131" s="588"/>
      <c r="CM131" s="588"/>
      <c r="CN131" s="588"/>
      <c r="CO131" s="588"/>
      <c r="CP131" s="816"/>
      <c r="CQ131" s="805"/>
      <c r="CR131" s="805"/>
      <c r="CS131" s="830"/>
      <c r="CT131" s="588"/>
      <c r="CU131" s="626"/>
      <c r="CV131" s="626"/>
      <c r="CW131" s="626"/>
      <c r="CX131" s="626"/>
      <c r="CY131" s="626"/>
      <c r="CZ131" s="626"/>
      <c r="DA131" s="626"/>
      <c r="DB131" s="626"/>
      <c r="DC131" s="626"/>
      <c r="DD131" s="626"/>
      <c r="DE131" s="626"/>
      <c r="DF131" s="626"/>
      <c r="DG131" s="626"/>
      <c r="DH131" s="626"/>
      <c r="DI131" s="626"/>
      <c r="DJ131" s="626"/>
      <c r="DK131" s="626"/>
      <c r="DL131" s="626"/>
      <c r="DM131" s="761"/>
      <c r="DN131" s="761"/>
      <c r="DO131" s="761"/>
      <c r="DP131" s="553"/>
      <c r="DQ131" s="553"/>
      <c r="DR131" s="553"/>
      <c r="DS131" s="553"/>
      <c r="DT131" s="553"/>
      <c r="DU131" s="553"/>
      <c r="DV131" s="553"/>
      <c r="DW131" s="553"/>
      <c r="DX131" s="553"/>
      <c r="DY131" s="553"/>
    </row>
    <row r="132" spans="1:129" customFormat="1" ht="24" customHeight="1" x14ac:dyDescent="0.9">
      <c r="A132" s="752"/>
      <c r="B132" s="588"/>
      <c r="C132" s="588"/>
      <c r="D132" s="588"/>
      <c r="E132" s="588"/>
      <c r="F132" s="588"/>
      <c r="G132" s="588"/>
      <c r="H132" s="588"/>
      <c r="I132" s="588"/>
      <c r="J132" s="588"/>
      <c r="K132" s="588"/>
      <c r="L132" s="753"/>
      <c r="M132" s="753"/>
      <c r="N132" s="588"/>
      <c r="O132" s="626"/>
      <c r="P132" s="588"/>
      <c r="Q132" s="626"/>
      <c r="R132" s="588"/>
      <c r="S132" s="588"/>
      <c r="T132" s="588"/>
      <c r="U132" s="588"/>
      <c r="V132" s="588"/>
      <c r="W132" s="588"/>
      <c r="X132" s="588"/>
      <c r="Y132" s="588"/>
      <c r="Z132" s="588"/>
      <c r="AA132" s="588"/>
      <c r="AB132" s="588"/>
      <c r="AC132" s="588"/>
      <c r="AD132" s="588"/>
      <c r="AE132" s="626"/>
      <c r="AF132" s="626"/>
      <c r="AG132" s="626"/>
      <c r="AH132" s="626"/>
      <c r="AI132" s="626"/>
      <c r="AJ132" s="626"/>
      <c r="AK132" s="626"/>
      <c r="AL132" s="626"/>
      <c r="AM132" s="626"/>
      <c r="AN132" s="626"/>
      <c r="AO132" s="626"/>
      <c r="AP132" s="626"/>
      <c r="AQ132" s="626"/>
      <c r="AR132" s="626"/>
      <c r="AS132" s="626"/>
      <c r="AT132" s="626"/>
      <c r="AU132" s="626"/>
      <c r="AV132" s="626"/>
      <c r="AW132" s="626"/>
      <c r="AX132" s="626"/>
      <c r="AY132" s="626"/>
      <c r="AZ132" s="626"/>
      <c r="BA132" s="626"/>
      <c r="BB132" s="588"/>
      <c r="BC132" s="626"/>
      <c r="BD132" s="626"/>
      <c r="BE132" s="626"/>
      <c r="BF132" s="626"/>
      <c r="BG132" s="626"/>
      <c r="BH132" s="626"/>
      <c r="BI132" s="588"/>
      <c r="BJ132" s="626"/>
      <c r="BK132" s="626"/>
      <c r="BL132" s="626"/>
      <c r="BM132" s="626"/>
      <c r="BN132" s="626"/>
      <c r="BO132" s="626"/>
      <c r="BP132" s="588"/>
      <c r="BQ132" s="846"/>
      <c r="BR132" s="850"/>
      <c r="BS132" s="588"/>
      <c r="BT132" s="754"/>
      <c r="BU132" s="588"/>
      <c r="BV132" s="588"/>
      <c r="BW132" s="588"/>
      <c r="BX132" s="588"/>
      <c r="BY132" s="588"/>
      <c r="BZ132" s="588"/>
      <c r="CA132" s="588"/>
      <c r="CB132" s="588"/>
      <c r="CC132" s="865"/>
      <c r="CD132" s="588"/>
      <c r="CE132" s="588"/>
      <c r="CF132" s="588"/>
      <c r="CG132" s="588"/>
      <c r="CH132" s="588"/>
      <c r="CI132" s="588"/>
      <c r="CJ132" s="588"/>
      <c r="CK132" s="588"/>
      <c r="CL132" s="588"/>
      <c r="CM132" s="588"/>
      <c r="CN132" s="588"/>
      <c r="CO132" s="588"/>
      <c r="CP132" s="816"/>
      <c r="CQ132" s="805"/>
      <c r="CR132" s="805"/>
      <c r="CS132" s="830"/>
      <c r="CT132" s="588"/>
      <c r="CU132" s="626"/>
      <c r="CV132" s="626"/>
      <c r="CW132" s="626"/>
      <c r="CX132" s="626"/>
      <c r="CY132" s="626"/>
      <c r="CZ132" s="626"/>
      <c r="DA132" s="626"/>
      <c r="DB132" s="626"/>
      <c r="DC132" s="626"/>
      <c r="DD132" s="626"/>
      <c r="DE132" s="626"/>
      <c r="DF132" s="626"/>
      <c r="DG132" s="626"/>
      <c r="DH132" s="626"/>
      <c r="DI132" s="626"/>
      <c r="DJ132" s="626"/>
      <c r="DK132" s="626"/>
      <c r="DL132" s="626"/>
      <c r="DM132" s="761"/>
      <c r="DN132" s="761"/>
      <c r="DO132" s="761"/>
      <c r="DP132" s="553"/>
      <c r="DQ132" s="553"/>
      <c r="DR132" s="553"/>
      <c r="DS132" s="553"/>
      <c r="DT132" s="553"/>
      <c r="DU132" s="553"/>
      <c r="DV132" s="553"/>
      <c r="DW132" s="553"/>
      <c r="DX132" s="553"/>
      <c r="DY132" s="553"/>
    </row>
    <row r="133" spans="1:129" customFormat="1" ht="24" customHeight="1" x14ac:dyDescent="0.9">
      <c r="A133" s="752"/>
      <c r="B133" s="588"/>
      <c r="C133" s="588"/>
      <c r="D133" s="588"/>
      <c r="E133" s="588"/>
      <c r="F133" s="588"/>
      <c r="G133" s="588"/>
      <c r="H133" s="588"/>
      <c r="I133" s="588"/>
      <c r="J133" s="588"/>
      <c r="K133" s="588"/>
      <c r="L133" s="753"/>
      <c r="M133" s="753"/>
      <c r="N133" s="588"/>
      <c r="O133" s="626"/>
      <c r="P133" s="588"/>
      <c r="Q133" s="626"/>
      <c r="R133" s="588"/>
      <c r="S133" s="588"/>
      <c r="T133" s="588"/>
      <c r="U133" s="588"/>
      <c r="V133" s="588"/>
      <c r="W133" s="588"/>
      <c r="X133" s="588"/>
      <c r="Y133" s="588"/>
      <c r="Z133" s="588"/>
      <c r="AA133" s="588"/>
      <c r="AB133" s="588"/>
      <c r="AC133" s="588"/>
      <c r="AD133" s="588"/>
      <c r="AE133" s="626"/>
      <c r="AF133" s="626"/>
      <c r="AG133" s="626"/>
      <c r="AH133" s="626"/>
      <c r="AI133" s="626"/>
      <c r="AJ133" s="626"/>
      <c r="AK133" s="626"/>
      <c r="AL133" s="626"/>
      <c r="AM133" s="626"/>
      <c r="AN133" s="626"/>
      <c r="AO133" s="626"/>
      <c r="AP133" s="626"/>
      <c r="AQ133" s="626"/>
      <c r="AR133" s="626"/>
      <c r="AS133" s="626"/>
      <c r="AT133" s="626"/>
      <c r="AU133" s="626"/>
      <c r="AV133" s="626"/>
      <c r="AW133" s="626"/>
      <c r="AX133" s="626"/>
      <c r="AY133" s="626"/>
      <c r="AZ133" s="626"/>
      <c r="BA133" s="626"/>
      <c r="BB133" s="588"/>
      <c r="BC133" s="626"/>
      <c r="BD133" s="626"/>
      <c r="BE133" s="626"/>
      <c r="BF133" s="626"/>
      <c r="BG133" s="626"/>
      <c r="BH133" s="626"/>
      <c r="BI133" s="588"/>
      <c r="BJ133" s="626"/>
      <c r="BK133" s="626"/>
      <c r="BL133" s="626"/>
      <c r="BM133" s="626"/>
      <c r="BN133" s="626"/>
      <c r="BO133" s="626"/>
      <c r="BP133" s="588"/>
      <c r="BQ133" s="846"/>
      <c r="BR133" s="850"/>
      <c r="BS133" s="588"/>
      <c r="BT133" s="754"/>
      <c r="BU133" s="588"/>
      <c r="BV133" s="588"/>
      <c r="BW133" s="588"/>
      <c r="BX133" s="588"/>
      <c r="BY133" s="588"/>
      <c r="BZ133" s="588"/>
      <c r="CA133" s="588"/>
      <c r="CB133" s="588"/>
      <c r="CC133" s="865"/>
      <c r="CD133" s="588"/>
      <c r="CE133" s="588"/>
      <c r="CF133" s="588"/>
      <c r="CG133" s="588"/>
      <c r="CH133" s="588"/>
      <c r="CI133" s="588"/>
      <c r="CJ133" s="588"/>
      <c r="CK133" s="588"/>
      <c r="CL133" s="588"/>
      <c r="CM133" s="588"/>
      <c r="CN133" s="588"/>
      <c r="CO133" s="588"/>
      <c r="CP133" s="816"/>
      <c r="CQ133" s="805"/>
      <c r="CR133" s="805"/>
      <c r="CS133" s="830"/>
      <c r="CT133" s="588"/>
      <c r="CU133" s="626"/>
      <c r="CV133" s="626"/>
      <c r="CW133" s="626"/>
      <c r="CX133" s="626"/>
      <c r="CY133" s="626"/>
      <c r="CZ133" s="626"/>
      <c r="DA133" s="626"/>
      <c r="DB133" s="626"/>
      <c r="DC133" s="626"/>
      <c r="DD133" s="626"/>
      <c r="DE133" s="626"/>
      <c r="DF133" s="626"/>
      <c r="DG133" s="626"/>
      <c r="DH133" s="626"/>
      <c r="DI133" s="626"/>
      <c r="DJ133" s="626"/>
      <c r="DK133" s="626"/>
      <c r="DL133" s="626"/>
      <c r="DM133" s="761"/>
      <c r="DN133" s="761"/>
      <c r="DO133" s="761"/>
      <c r="DP133" s="553"/>
      <c r="DQ133" s="553"/>
      <c r="DR133" s="553"/>
      <c r="DS133" s="553"/>
      <c r="DT133" s="553"/>
      <c r="DU133" s="553"/>
      <c r="DV133" s="553"/>
      <c r="DW133" s="553"/>
      <c r="DX133" s="553"/>
      <c r="DY133" s="553"/>
    </row>
    <row r="134" spans="1:129" customFormat="1" ht="24" customHeight="1" x14ac:dyDescent="0.9">
      <c r="A134" s="752"/>
      <c r="B134" s="588"/>
      <c r="C134" s="588"/>
      <c r="D134" s="588"/>
      <c r="E134" s="588"/>
      <c r="F134" s="588"/>
      <c r="G134" s="588"/>
      <c r="H134" s="588"/>
      <c r="I134" s="588"/>
      <c r="J134" s="588"/>
      <c r="K134" s="588"/>
      <c r="L134" s="753"/>
      <c r="M134" s="753"/>
      <c r="N134" s="588"/>
      <c r="O134" s="626"/>
      <c r="P134" s="588"/>
      <c r="Q134" s="626"/>
      <c r="R134" s="588"/>
      <c r="S134" s="588"/>
      <c r="T134" s="588"/>
      <c r="U134" s="588"/>
      <c r="V134" s="588"/>
      <c r="W134" s="588"/>
      <c r="X134" s="588"/>
      <c r="Y134" s="588"/>
      <c r="Z134" s="588"/>
      <c r="AA134" s="588"/>
      <c r="AB134" s="588"/>
      <c r="AC134" s="588"/>
      <c r="AD134" s="588"/>
      <c r="AE134" s="626"/>
      <c r="AF134" s="626"/>
      <c r="AG134" s="626"/>
      <c r="AH134" s="626"/>
      <c r="AI134" s="626"/>
      <c r="AJ134" s="626"/>
      <c r="AK134" s="626"/>
      <c r="AL134" s="626"/>
      <c r="AM134" s="626"/>
      <c r="AN134" s="626"/>
      <c r="AO134" s="626"/>
      <c r="AP134" s="626"/>
      <c r="AQ134" s="626"/>
      <c r="AR134" s="626"/>
      <c r="AS134" s="626"/>
      <c r="AT134" s="626"/>
      <c r="AU134" s="626"/>
      <c r="AV134" s="626"/>
      <c r="AW134" s="626"/>
      <c r="AX134" s="626"/>
      <c r="AY134" s="626"/>
      <c r="AZ134" s="626"/>
      <c r="BA134" s="626"/>
      <c r="BB134" s="588"/>
      <c r="BC134" s="626"/>
      <c r="BD134" s="626"/>
      <c r="BE134" s="626"/>
      <c r="BF134" s="626"/>
      <c r="BG134" s="626"/>
      <c r="BH134" s="626"/>
      <c r="BI134" s="588"/>
      <c r="BJ134" s="626"/>
      <c r="BK134" s="626"/>
      <c r="BL134" s="626"/>
      <c r="BM134" s="626"/>
      <c r="BN134" s="626"/>
      <c r="BO134" s="626"/>
      <c r="BP134" s="588"/>
      <c r="BQ134" s="846"/>
      <c r="BR134" s="850"/>
      <c r="BS134" s="588"/>
      <c r="BT134" s="754"/>
      <c r="BU134" s="588"/>
      <c r="BV134" s="588"/>
      <c r="BW134" s="588"/>
      <c r="BX134" s="588"/>
      <c r="BY134" s="588"/>
      <c r="BZ134" s="588"/>
      <c r="CA134" s="588"/>
      <c r="CB134" s="588"/>
      <c r="CC134" s="865"/>
      <c r="CD134" s="588"/>
      <c r="CE134" s="588"/>
      <c r="CF134" s="588"/>
      <c r="CG134" s="588"/>
      <c r="CH134" s="588"/>
      <c r="CI134" s="588"/>
      <c r="CJ134" s="588"/>
      <c r="CK134" s="588"/>
      <c r="CL134" s="588"/>
      <c r="CM134" s="588"/>
      <c r="CN134" s="588"/>
      <c r="CO134" s="588"/>
      <c r="CP134" s="816"/>
      <c r="CQ134" s="805"/>
      <c r="CR134" s="805"/>
      <c r="CS134" s="830"/>
      <c r="CT134" s="588"/>
      <c r="CU134" s="626"/>
      <c r="CV134" s="626"/>
      <c r="CW134" s="626"/>
      <c r="CX134" s="626"/>
      <c r="CY134" s="626"/>
      <c r="CZ134" s="626"/>
      <c r="DA134" s="626"/>
      <c r="DB134" s="626"/>
      <c r="DC134" s="626"/>
      <c r="DD134" s="626"/>
      <c r="DE134" s="626"/>
      <c r="DF134" s="626"/>
      <c r="DG134" s="626"/>
      <c r="DH134" s="626"/>
      <c r="DI134" s="626"/>
      <c r="DJ134" s="626"/>
      <c r="DK134" s="626"/>
      <c r="DL134" s="626"/>
      <c r="DM134" s="761"/>
      <c r="DN134" s="761"/>
      <c r="DO134" s="761"/>
      <c r="DP134" s="553"/>
      <c r="DQ134" s="553"/>
      <c r="DR134" s="553"/>
      <c r="DS134" s="553"/>
      <c r="DT134" s="553"/>
      <c r="DU134" s="553"/>
      <c r="DV134" s="553"/>
      <c r="DW134" s="553"/>
      <c r="DX134" s="553"/>
      <c r="DY134" s="553"/>
    </row>
    <row r="135" spans="1:129" customFormat="1" ht="24" customHeight="1" x14ac:dyDescent="0.9">
      <c r="A135" s="752"/>
      <c r="B135" s="588"/>
      <c r="C135" s="588"/>
      <c r="D135" s="588"/>
      <c r="E135" s="588"/>
      <c r="F135" s="588"/>
      <c r="G135" s="588"/>
      <c r="H135" s="588"/>
      <c r="I135" s="588"/>
      <c r="J135" s="588"/>
      <c r="K135" s="588"/>
      <c r="L135" s="753"/>
      <c r="M135" s="753"/>
      <c r="N135" s="588"/>
      <c r="O135" s="626"/>
      <c r="P135" s="588"/>
      <c r="Q135" s="626"/>
      <c r="R135" s="588"/>
      <c r="S135" s="588"/>
      <c r="T135" s="588"/>
      <c r="U135" s="588"/>
      <c r="V135" s="588"/>
      <c r="W135" s="588"/>
      <c r="X135" s="588"/>
      <c r="Y135" s="588"/>
      <c r="Z135" s="588"/>
      <c r="AA135" s="588"/>
      <c r="AB135" s="588"/>
      <c r="AC135" s="588"/>
      <c r="AD135" s="588"/>
      <c r="AE135" s="626"/>
      <c r="AF135" s="626"/>
      <c r="AG135" s="626"/>
      <c r="AH135" s="626"/>
      <c r="AI135" s="626"/>
      <c r="AJ135" s="626"/>
      <c r="AK135" s="626"/>
      <c r="AL135" s="626"/>
      <c r="AM135" s="626"/>
      <c r="AN135" s="626"/>
      <c r="AO135" s="626"/>
      <c r="AP135" s="626"/>
      <c r="AQ135" s="626"/>
      <c r="AR135" s="626"/>
      <c r="AS135" s="626"/>
      <c r="AT135" s="626"/>
      <c r="AU135" s="626"/>
      <c r="AV135" s="626"/>
      <c r="AW135" s="626"/>
      <c r="AX135" s="626"/>
      <c r="AY135" s="626"/>
      <c r="AZ135" s="626"/>
      <c r="BA135" s="626"/>
      <c r="BB135" s="588"/>
      <c r="BC135" s="626"/>
      <c r="BD135" s="626"/>
      <c r="BE135" s="626"/>
      <c r="BF135" s="626"/>
      <c r="BG135" s="626"/>
      <c r="BH135" s="626"/>
      <c r="BI135" s="588"/>
      <c r="BJ135" s="626"/>
      <c r="BK135" s="626"/>
      <c r="BL135" s="626"/>
      <c r="BM135" s="626"/>
      <c r="BN135" s="626"/>
      <c r="BO135" s="626"/>
      <c r="BP135" s="588"/>
      <c r="BQ135" s="846"/>
      <c r="BR135" s="850"/>
      <c r="BS135" s="588"/>
      <c r="BT135" s="754"/>
      <c r="BU135" s="588"/>
      <c r="BV135" s="588"/>
      <c r="BW135" s="588"/>
      <c r="BX135" s="588"/>
      <c r="BY135" s="588"/>
      <c r="BZ135" s="588"/>
      <c r="CA135" s="588"/>
      <c r="CB135" s="588"/>
      <c r="CC135" s="865"/>
      <c r="CD135" s="588"/>
      <c r="CE135" s="588"/>
      <c r="CF135" s="588"/>
      <c r="CG135" s="588"/>
      <c r="CH135" s="588"/>
      <c r="CI135" s="588"/>
      <c r="CJ135" s="588"/>
      <c r="CK135" s="588"/>
      <c r="CL135" s="588"/>
      <c r="CM135" s="588"/>
      <c r="CN135" s="588"/>
      <c r="CO135" s="588"/>
      <c r="CP135" s="816"/>
      <c r="CQ135" s="805"/>
      <c r="CR135" s="805"/>
      <c r="CS135" s="830"/>
      <c r="CT135" s="588"/>
      <c r="CU135" s="626"/>
      <c r="CV135" s="626"/>
      <c r="CW135" s="626"/>
      <c r="CX135" s="626"/>
      <c r="CY135" s="626"/>
      <c r="CZ135" s="626"/>
      <c r="DA135" s="626"/>
      <c r="DB135" s="626"/>
      <c r="DC135" s="626"/>
      <c r="DD135" s="626"/>
      <c r="DE135" s="626"/>
      <c r="DF135" s="626"/>
      <c r="DG135" s="626"/>
      <c r="DH135" s="626"/>
      <c r="DI135" s="626"/>
      <c r="DJ135" s="626"/>
      <c r="DK135" s="626"/>
      <c r="DL135" s="626"/>
      <c r="DM135" s="761"/>
      <c r="DN135" s="761"/>
      <c r="DO135" s="761"/>
      <c r="DP135" s="553"/>
      <c r="DQ135" s="553"/>
      <c r="DR135" s="553"/>
      <c r="DS135" s="553"/>
      <c r="DT135" s="553"/>
      <c r="DU135" s="553"/>
      <c r="DV135" s="553"/>
      <c r="DW135" s="553"/>
      <c r="DX135" s="553"/>
      <c r="DY135" s="553"/>
    </row>
    <row r="136" spans="1:129" customFormat="1" ht="24" customHeight="1" x14ac:dyDescent="0.9">
      <c r="A136" s="752"/>
      <c r="B136" s="588"/>
      <c r="C136" s="588"/>
      <c r="D136" s="588"/>
      <c r="E136" s="588"/>
      <c r="F136" s="588"/>
      <c r="G136" s="588"/>
      <c r="H136" s="588"/>
      <c r="I136" s="588"/>
      <c r="J136" s="588"/>
      <c r="K136" s="588"/>
      <c r="L136" s="753"/>
      <c r="M136" s="753"/>
      <c r="N136" s="588"/>
      <c r="O136" s="626"/>
      <c r="P136" s="588"/>
      <c r="Q136" s="626"/>
      <c r="R136" s="588"/>
      <c r="S136" s="588"/>
      <c r="T136" s="588"/>
      <c r="U136" s="588"/>
      <c r="V136" s="588"/>
      <c r="W136" s="588"/>
      <c r="X136" s="588"/>
      <c r="Y136" s="588"/>
      <c r="Z136" s="588"/>
      <c r="AA136" s="588"/>
      <c r="AB136" s="588"/>
      <c r="AC136" s="588"/>
      <c r="AD136" s="588"/>
      <c r="AE136" s="626"/>
      <c r="AF136" s="626"/>
      <c r="AG136" s="626"/>
      <c r="AH136" s="626"/>
      <c r="AI136" s="626"/>
      <c r="AJ136" s="626"/>
      <c r="AK136" s="626"/>
      <c r="AL136" s="626"/>
      <c r="AM136" s="626"/>
      <c r="AN136" s="626"/>
      <c r="AO136" s="626"/>
      <c r="AP136" s="626"/>
      <c r="AQ136" s="626"/>
      <c r="AR136" s="626"/>
      <c r="AS136" s="626"/>
      <c r="AT136" s="626"/>
      <c r="AU136" s="626"/>
      <c r="AV136" s="626"/>
      <c r="AW136" s="626"/>
      <c r="AX136" s="626"/>
      <c r="AY136" s="626"/>
      <c r="AZ136" s="626"/>
      <c r="BA136" s="626"/>
      <c r="BB136" s="588"/>
      <c r="BC136" s="626"/>
      <c r="BD136" s="626"/>
      <c r="BE136" s="626"/>
      <c r="BF136" s="626"/>
      <c r="BG136" s="626"/>
      <c r="BH136" s="626"/>
      <c r="BI136" s="588"/>
      <c r="BJ136" s="626"/>
      <c r="BK136" s="626"/>
      <c r="BL136" s="626"/>
      <c r="BM136" s="626"/>
      <c r="BN136" s="626"/>
      <c r="BO136" s="626"/>
      <c r="BP136" s="588"/>
      <c r="BQ136" s="846"/>
      <c r="BR136" s="850"/>
      <c r="BS136" s="588"/>
      <c r="BT136" s="754"/>
      <c r="BU136" s="588"/>
      <c r="BV136" s="588"/>
      <c r="BW136" s="588"/>
      <c r="BX136" s="588"/>
      <c r="BY136" s="588"/>
      <c r="BZ136" s="588"/>
      <c r="CA136" s="588"/>
      <c r="CB136" s="588"/>
      <c r="CC136" s="865"/>
      <c r="CD136" s="588"/>
      <c r="CE136" s="588"/>
      <c r="CF136" s="588"/>
      <c r="CG136" s="588"/>
      <c r="CH136" s="588"/>
      <c r="CI136" s="588"/>
      <c r="CJ136" s="588"/>
      <c r="CK136" s="588"/>
      <c r="CL136" s="588"/>
      <c r="CM136" s="588"/>
      <c r="CN136" s="588"/>
      <c r="CO136" s="588"/>
      <c r="CP136" s="816"/>
      <c r="CQ136" s="805"/>
      <c r="CR136" s="805"/>
      <c r="CS136" s="830"/>
      <c r="CT136" s="588"/>
      <c r="CU136" s="626"/>
      <c r="CV136" s="626"/>
      <c r="CW136" s="626"/>
      <c r="CX136" s="626"/>
      <c r="CY136" s="626"/>
      <c r="CZ136" s="626"/>
      <c r="DA136" s="626"/>
      <c r="DB136" s="626"/>
      <c r="DC136" s="626"/>
      <c r="DD136" s="626"/>
      <c r="DE136" s="626"/>
      <c r="DF136" s="626"/>
      <c r="DG136" s="626"/>
      <c r="DH136" s="626"/>
      <c r="DI136" s="626"/>
      <c r="DJ136" s="626"/>
      <c r="DK136" s="626"/>
      <c r="DL136" s="626"/>
      <c r="DM136" s="761"/>
      <c r="DN136" s="761"/>
      <c r="DO136" s="761"/>
      <c r="DP136" s="553"/>
      <c r="DQ136" s="553"/>
      <c r="DR136" s="553"/>
      <c r="DS136" s="553"/>
      <c r="DT136" s="553"/>
      <c r="DU136" s="553"/>
      <c r="DV136" s="553"/>
      <c r="DW136" s="553"/>
      <c r="DX136" s="553"/>
      <c r="DY136" s="553"/>
    </row>
    <row r="137" spans="1:129" customFormat="1" ht="24" customHeight="1" x14ac:dyDescent="0.9">
      <c r="A137" s="752"/>
      <c r="B137" s="588"/>
      <c r="C137" s="588"/>
      <c r="D137" s="588"/>
      <c r="E137" s="588"/>
      <c r="F137" s="588"/>
      <c r="G137" s="588"/>
      <c r="H137" s="588"/>
      <c r="I137" s="588"/>
      <c r="J137" s="588"/>
      <c r="K137" s="588"/>
      <c r="L137" s="753"/>
      <c r="M137" s="753"/>
      <c r="N137" s="588"/>
      <c r="O137" s="626"/>
      <c r="P137" s="588"/>
      <c r="Q137" s="626"/>
      <c r="R137" s="588"/>
      <c r="S137" s="588"/>
      <c r="T137" s="588"/>
      <c r="U137" s="588"/>
      <c r="V137" s="588"/>
      <c r="W137" s="588"/>
      <c r="X137" s="588"/>
      <c r="Y137" s="588"/>
      <c r="Z137" s="588"/>
      <c r="AA137" s="588"/>
      <c r="AB137" s="588"/>
      <c r="AC137" s="588"/>
      <c r="AD137" s="588"/>
      <c r="AE137" s="626"/>
      <c r="AF137" s="626"/>
      <c r="AG137" s="626"/>
      <c r="AH137" s="626"/>
      <c r="AI137" s="626"/>
      <c r="AJ137" s="626"/>
      <c r="AK137" s="626"/>
      <c r="AL137" s="626"/>
      <c r="AM137" s="626"/>
      <c r="AN137" s="626"/>
      <c r="AO137" s="626"/>
      <c r="AP137" s="626"/>
      <c r="AQ137" s="626"/>
      <c r="AR137" s="626"/>
      <c r="AS137" s="626"/>
      <c r="AT137" s="626"/>
      <c r="AU137" s="626"/>
      <c r="AV137" s="626"/>
      <c r="AW137" s="626"/>
      <c r="AX137" s="626"/>
      <c r="AY137" s="626"/>
      <c r="AZ137" s="626"/>
      <c r="BA137" s="626"/>
      <c r="BB137" s="588"/>
      <c r="BC137" s="626"/>
      <c r="BD137" s="626"/>
      <c r="BE137" s="626"/>
      <c r="BF137" s="626"/>
      <c r="BG137" s="626"/>
      <c r="BH137" s="626"/>
      <c r="BI137" s="588"/>
      <c r="BJ137" s="626"/>
      <c r="BK137" s="626"/>
      <c r="BL137" s="626"/>
      <c r="BM137" s="626"/>
      <c r="BN137" s="626"/>
      <c r="BO137" s="626"/>
      <c r="BP137" s="588"/>
      <c r="BQ137" s="846"/>
      <c r="BR137" s="850"/>
      <c r="BS137" s="588"/>
      <c r="BT137" s="754"/>
      <c r="BU137" s="588"/>
      <c r="BV137" s="588"/>
      <c r="BW137" s="588"/>
      <c r="BX137" s="588"/>
      <c r="BY137" s="588"/>
      <c r="BZ137" s="588"/>
      <c r="CA137" s="588"/>
      <c r="CB137" s="588"/>
      <c r="CC137" s="865"/>
      <c r="CD137" s="588"/>
      <c r="CE137" s="588"/>
      <c r="CF137" s="588"/>
      <c r="CG137" s="588"/>
      <c r="CH137" s="588"/>
      <c r="CI137" s="588"/>
      <c r="CJ137" s="588"/>
      <c r="CK137" s="588"/>
      <c r="CL137" s="588"/>
      <c r="CM137" s="588"/>
      <c r="CN137" s="588"/>
      <c r="CO137" s="588"/>
      <c r="CP137" s="816"/>
      <c r="CQ137" s="805"/>
      <c r="CR137" s="805"/>
      <c r="CS137" s="830"/>
      <c r="CT137" s="588"/>
      <c r="CU137" s="626"/>
      <c r="CV137" s="626"/>
      <c r="CW137" s="626"/>
      <c r="CX137" s="626"/>
      <c r="CY137" s="626"/>
      <c r="CZ137" s="626"/>
      <c r="DA137" s="626"/>
      <c r="DB137" s="626"/>
      <c r="DC137" s="626"/>
      <c r="DD137" s="626"/>
      <c r="DE137" s="626"/>
      <c r="DF137" s="626"/>
      <c r="DG137" s="626"/>
      <c r="DH137" s="626"/>
      <c r="DI137" s="626"/>
      <c r="DJ137" s="626"/>
      <c r="DK137" s="626"/>
      <c r="DL137" s="626"/>
      <c r="DM137" s="761"/>
      <c r="DN137" s="761"/>
      <c r="DO137" s="761"/>
      <c r="DP137" s="553"/>
      <c r="DQ137" s="553"/>
      <c r="DR137" s="553"/>
      <c r="DS137" s="553"/>
      <c r="DT137" s="553"/>
      <c r="DU137" s="553"/>
      <c r="DV137" s="553"/>
      <c r="DW137" s="553"/>
      <c r="DX137" s="553"/>
      <c r="DY137" s="553"/>
    </row>
    <row r="138" spans="1:129" customFormat="1" ht="24" customHeight="1" x14ac:dyDescent="0.9">
      <c r="A138" s="752"/>
      <c r="B138" s="588"/>
      <c r="C138" s="588"/>
      <c r="D138" s="588"/>
      <c r="E138" s="588"/>
      <c r="F138" s="588"/>
      <c r="G138" s="588"/>
      <c r="H138" s="588"/>
      <c r="I138" s="588"/>
      <c r="J138" s="588"/>
      <c r="K138" s="588"/>
      <c r="L138" s="753"/>
      <c r="M138" s="753"/>
      <c r="N138" s="588"/>
      <c r="O138" s="626"/>
      <c r="P138" s="588"/>
      <c r="Q138" s="626"/>
      <c r="R138" s="588"/>
      <c r="S138" s="588"/>
      <c r="T138" s="588"/>
      <c r="U138" s="588"/>
      <c r="V138" s="588"/>
      <c r="W138" s="588"/>
      <c r="X138" s="588"/>
      <c r="Y138" s="588"/>
      <c r="Z138" s="588"/>
      <c r="AA138" s="588"/>
      <c r="AB138" s="588"/>
      <c r="AC138" s="588"/>
      <c r="AD138" s="588"/>
      <c r="AE138" s="626"/>
      <c r="AF138" s="626"/>
      <c r="AG138" s="626"/>
      <c r="AH138" s="626"/>
      <c r="AI138" s="626"/>
      <c r="AJ138" s="626"/>
      <c r="AK138" s="626"/>
      <c r="AL138" s="626"/>
      <c r="AM138" s="626"/>
      <c r="AN138" s="626"/>
      <c r="AO138" s="626"/>
      <c r="AP138" s="626"/>
      <c r="AQ138" s="626"/>
      <c r="AR138" s="626"/>
      <c r="AS138" s="626"/>
      <c r="AT138" s="626"/>
      <c r="AU138" s="626"/>
      <c r="AV138" s="626"/>
      <c r="AW138" s="626"/>
      <c r="AX138" s="626"/>
      <c r="AY138" s="626"/>
      <c r="AZ138" s="626"/>
      <c r="BA138" s="626"/>
      <c r="BB138" s="588"/>
      <c r="BC138" s="626"/>
      <c r="BD138" s="626"/>
      <c r="BE138" s="626"/>
      <c r="BF138" s="626"/>
      <c r="BG138" s="626"/>
      <c r="BH138" s="626"/>
      <c r="BI138" s="588"/>
      <c r="BJ138" s="626"/>
      <c r="BK138" s="626"/>
      <c r="BL138" s="626"/>
      <c r="BM138" s="626"/>
      <c r="BN138" s="626"/>
      <c r="BO138" s="626"/>
      <c r="BP138" s="588"/>
      <c r="BQ138" s="846"/>
      <c r="BR138" s="850"/>
      <c r="BS138" s="588"/>
      <c r="BT138" s="754"/>
      <c r="BU138" s="588"/>
      <c r="BV138" s="588"/>
      <c r="BW138" s="588"/>
      <c r="BX138" s="588"/>
      <c r="BY138" s="588"/>
      <c r="BZ138" s="588"/>
      <c r="CA138" s="588"/>
      <c r="CB138" s="588"/>
      <c r="CC138" s="865"/>
      <c r="CD138" s="588"/>
      <c r="CE138" s="588"/>
      <c r="CF138" s="588"/>
      <c r="CG138" s="588"/>
      <c r="CH138" s="588"/>
      <c r="CI138" s="588"/>
      <c r="CJ138" s="588"/>
      <c r="CK138" s="588"/>
      <c r="CL138" s="588"/>
      <c r="CM138" s="588"/>
      <c r="CN138" s="588"/>
      <c r="CO138" s="588"/>
      <c r="CP138" s="816"/>
      <c r="CQ138" s="805"/>
      <c r="CR138" s="805"/>
      <c r="CS138" s="830"/>
      <c r="CT138" s="588"/>
      <c r="CU138" s="626"/>
      <c r="CV138" s="626"/>
      <c r="CW138" s="626"/>
      <c r="CX138" s="626"/>
      <c r="CY138" s="626"/>
      <c r="CZ138" s="626"/>
      <c r="DA138" s="626"/>
      <c r="DB138" s="626"/>
      <c r="DC138" s="626"/>
      <c r="DD138" s="626"/>
      <c r="DE138" s="626"/>
      <c r="DF138" s="626"/>
      <c r="DG138" s="626"/>
      <c r="DH138" s="626"/>
      <c r="DI138" s="626"/>
      <c r="DJ138" s="626"/>
      <c r="DK138" s="626"/>
      <c r="DL138" s="626"/>
      <c r="DM138" s="761"/>
      <c r="DN138" s="761"/>
      <c r="DO138" s="761"/>
      <c r="DP138" s="553"/>
      <c r="DQ138" s="553"/>
      <c r="DR138" s="553"/>
      <c r="DS138" s="553"/>
      <c r="DT138" s="553"/>
      <c r="DU138" s="553"/>
      <c r="DV138" s="553"/>
      <c r="DW138" s="553"/>
      <c r="DX138" s="553"/>
      <c r="DY138" s="553"/>
    </row>
    <row r="139" spans="1:129" customFormat="1" ht="24" customHeight="1" x14ac:dyDescent="0.9">
      <c r="A139" s="752"/>
      <c r="B139" s="588"/>
      <c r="C139" s="588"/>
      <c r="D139" s="588"/>
      <c r="E139" s="588"/>
      <c r="F139" s="588"/>
      <c r="G139" s="588"/>
      <c r="H139" s="588"/>
      <c r="I139" s="588"/>
      <c r="J139" s="588"/>
      <c r="K139" s="588"/>
      <c r="L139" s="753"/>
      <c r="M139" s="753"/>
      <c r="N139" s="588"/>
      <c r="O139" s="626"/>
      <c r="P139" s="588"/>
      <c r="Q139" s="626"/>
      <c r="R139" s="588"/>
      <c r="S139" s="588"/>
      <c r="T139" s="588"/>
      <c r="U139" s="588"/>
      <c r="V139" s="588"/>
      <c r="W139" s="588"/>
      <c r="X139" s="588"/>
      <c r="Y139" s="588"/>
      <c r="Z139" s="588"/>
      <c r="AA139" s="588"/>
      <c r="AB139" s="588"/>
      <c r="AC139" s="588"/>
      <c r="AD139" s="588"/>
      <c r="AE139" s="626"/>
      <c r="AF139" s="626"/>
      <c r="AG139" s="626"/>
      <c r="AH139" s="626"/>
      <c r="AI139" s="626"/>
      <c r="AJ139" s="626"/>
      <c r="AK139" s="626"/>
      <c r="AL139" s="626"/>
      <c r="AM139" s="626"/>
      <c r="AN139" s="626"/>
      <c r="AO139" s="626"/>
      <c r="AP139" s="626"/>
      <c r="AQ139" s="626"/>
      <c r="AR139" s="626"/>
      <c r="AS139" s="626"/>
      <c r="AT139" s="626"/>
      <c r="AU139" s="626"/>
      <c r="AV139" s="626"/>
      <c r="AW139" s="626"/>
      <c r="AX139" s="626"/>
      <c r="AY139" s="626"/>
      <c r="AZ139" s="626"/>
      <c r="BA139" s="626"/>
      <c r="BB139" s="588"/>
      <c r="BC139" s="626"/>
      <c r="BD139" s="626"/>
      <c r="BE139" s="626"/>
      <c r="BF139" s="626"/>
      <c r="BG139" s="626"/>
      <c r="BH139" s="626"/>
      <c r="BI139" s="588"/>
      <c r="BJ139" s="626"/>
      <c r="BK139" s="626"/>
      <c r="BL139" s="626"/>
      <c r="BM139" s="626"/>
      <c r="BN139" s="626"/>
      <c r="BO139" s="626"/>
      <c r="BP139" s="588"/>
      <c r="BQ139" s="846"/>
      <c r="BR139" s="850"/>
      <c r="BS139" s="588"/>
      <c r="BT139" s="754"/>
      <c r="BU139" s="588"/>
      <c r="BV139" s="588"/>
      <c r="BW139" s="588"/>
      <c r="BX139" s="588"/>
      <c r="BY139" s="588"/>
      <c r="BZ139" s="588"/>
      <c r="CA139" s="588"/>
      <c r="CB139" s="588"/>
      <c r="CC139" s="865"/>
      <c r="CD139" s="588"/>
      <c r="CE139" s="588"/>
      <c r="CF139" s="588"/>
      <c r="CG139" s="588"/>
      <c r="CH139" s="588"/>
      <c r="CI139" s="588"/>
      <c r="CJ139" s="588"/>
      <c r="CK139" s="588"/>
      <c r="CL139" s="588"/>
      <c r="CM139" s="588"/>
      <c r="CN139" s="588"/>
      <c r="CO139" s="588"/>
      <c r="CP139" s="816"/>
      <c r="CQ139" s="805"/>
      <c r="CR139" s="805"/>
      <c r="CS139" s="830"/>
      <c r="CT139" s="588"/>
      <c r="CU139" s="626"/>
      <c r="CV139" s="626"/>
      <c r="CW139" s="626"/>
      <c r="CX139" s="626"/>
      <c r="CY139" s="626"/>
      <c r="CZ139" s="626"/>
      <c r="DA139" s="626"/>
      <c r="DB139" s="626"/>
      <c r="DC139" s="626"/>
      <c r="DD139" s="626"/>
      <c r="DE139" s="626"/>
      <c r="DF139" s="626"/>
      <c r="DG139" s="626"/>
      <c r="DH139" s="626"/>
      <c r="DI139" s="626"/>
      <c r="DJ139" s="626"/>
      <c r="DK139" s="626"/>
      <c r="DL139" s="626"/>
      <c r="DM139" s="761"/>
      <c r="DN139" s="761"/>
      <c r="DO139" s="761"/>
      <c r="DP139" s="553"/>
      <c r="DQ139" s="553"/>
      <c r="DR139" s="553"/>
      <c r="DS139" s="553"/>
      <c r="DT139" s="553"/>
      <c r="DU139" s="553"/>
      <c r="DV139" s="553"/>
      <c r="DW139" s="553"/>
      <c r="DX139" s="553"/>
      <c r="DY139" s="553"/>
    </row>
    <row r="140" spans="1:129" customFormat="1" ht="24" customHeight="1" x14ac:dyDescent="0.9">
      <c r="A140" s="752"/>
      <c r="B140" s="588"/>
      <c r="C140" s="588"/>
      <c r="D140" s="588"/>
      <c r="E140" s="588"/>
      <c r="F140" s="588"/>
      <c r="G140" s="588"/>
      <c r="H140" s="588"/>
      <c r="I140" s="588"/>
      <c r="J140" s="588"/>
      <c r="K140" s="588"/>
      <c r="L140" s="753"/>
      <c r="M140" s="753"/>
      <c r="N140" s="588"/>
      <c r="O140" s="626"/>
      <c r="P140" s="588"/>
      <c r="Q140" s="626"/>
      <c r="R140" s="588"/>
      <c r="S140" s="588"/>
      <c r="T140" s="588"/>
      <c r="U140" s="588"/>
      <c r="V140" s="588"/>
      <c r="W140" s="588"/>
      <c r="X140" s="588"/>
      <c r="Y140" s="588"/>
      <c r="Z140" s="588"/>
      <c r="AA140" s="588"/>
      <c r="AB140" s="588"/>
      <c r="AC140" s="588"/>
      <c r="AD140" s="588"/>
      <c r="AE140" s="626"/>
      <c r="AF140" s="626"/>
      <c r="AG140" s="626"/>
      <c r="AH140" s="626"/>
      <c r="AI140" s="626"/>
      <c r="AJ140" s="626"/>
      <c r="AK140" s="626"/>
      <c r="AL140" s="626"/>
      <c r="AM140" s="626"/>
      <c r="AN140" s="626"/>
      <c r="AO140" s="626"/>
      <c r="AP140" s="626"/>
      <c r="AQ140" s="626"/>
      <c r="AR140" s="626"/>
      <c r="AS140" s="626"/>
      <c r="AT140" s="626"/>
      <c r="AU140" s="626"/>
      <c r="AV140" s="626"/>
      <c r="AW140" s="626"/>
      <c r="AX140" s="626"/>
      <c r="AY140" s="626"/>
      <c r="AZ140" s="626"/>
      <c r="BA140" s="626"/>
      <c r="BB140" s="588"/>
      <c r="BC140" s="626"/>
      <c r="BD140" s="626"/>
      <c r="BE140" s="626"/>
      <c r="BF140" s="626"/>
      <c r="BG140" s="626"/>
      <c r="BH140" s="626"/>
      <c r="BI140" s="588"/>
      <c r="BJ140" s="626"/>
      <c r="BK140" s="626"/>
      <c r="BL140" s="626"/>
      <c r="BM140" s="626"/>
      <c r="BN140" s="626"/>
      <c r="BO140" s="626"/>
      <c r="BP140" s="588"/>
      <c r="BQ140" s="846"/>
      <c r="BR140" s="850"/>
      <c r="BS140" s="588"/>
      <c r="BT140" s="754"/>
      <c r="BU140" s="588"/>
      <c r="BV140" s="588"/>
      <c r="BW140" s="588"/>
      <c r="BX140" s="588"/>
      <c r="BY140" s="588"/>
      <c r="BZ140" s="588"/>
      <c r="CA140" s="588"/>
      <c r="CB140" s="588"/>
      <c r="CC140" s="865"/>
      <c r="CD140" s="588"/>
      <c r="CE140" s="588"/>
      <c r="CF140" s="588"/>
      <c r="CG140" s="588"/>
      <c r="CH140" s="588"/>
      <c r="CI140" s="588"/>
      <c r="CJ140" s="588"/>
      <c r="CK140" s="588"/>
      <c r="CL140" s="588"/>
      <c r="CM140" s="588"/>
      <c r="CN140" s="588"/>
      <c r="CO140" s="588"/>
      <c r="CP140" s="816"/>
      <c r="CQ140" s="805"/>
      <c r="CR140" s="805"/>
      <c r="CS140" s="830"/>
      <c r="CT140" s="588"/>
      <c r="CU140" s="626"/>
      <c r="CV140" s="626"/>
      <c r="CW140" s="626"/>
      <c r="CX140" s="626"/>
      <c r="CY140" s="626"/>
      <c r="CZ140" s="626"/>
      <c r="DA140" s="626"/>
      <c r="DB140" s="626"/>
      <c r="DC140" s="626"/>
      <c r="DD140" s="626"/>
      <c r="DE140" s="626"/>
      <c r="DF140" s="626"/>
      <c r="DG140" s="626"/>
      <c r="DH140" s="626"/>
      <c r="DI140" s="626"/>
      <c r="DJ140" s="626"/>
      <c r="DK140" s="626"/>
      <c r="DL140" s="626"/>
      <c r="DM140" s="761"/>
      <c r="DN140" s="761"/>
      <c r="DO140" s="761"/>
      <c r="DP140" s="553"/>
      <c r="DQ140" s="553"/>
      <c r="DR140" s="553"/>
      <c r="DS140" s="553"/>
      <c r="DT140" s="553"/>
      <c r="DU140" s="553"/>
      <c r="DV140" s="553"/>
      <c r="DW140" s="553"/>
      <c r="DX140" s="553"/>
      <c r="DY140" s="553"/>
    </row>
    <row r="141" spans="1:129" customFormat="1" ht="24" customHeight="1" x14ac:dyDescent="0.9">
      <c r="A141" s="752"/>
      <c r="B141" s="588"/>
      <c r="C141" s="588"/>
      <c r="D141" s="588"/>
      <c r="E141" s="588"/>
      <c r="F141" s="588"/>
      <c r="G141" s="588"/>
      <c r="H141" s="588"/>
      <c r="I141" s="588"/>
      <c r="J141" s="588"/>
      <c r="K141" s="588"/>
      <c r="L141" s="753"/>
      <c r="M141" s="753"/>
      <c r="N141" s="588"/>
      <c r="O141" s="626"/>
      <c r="P141" s="588"/>
      <c r="Q141" s="626"/>
      <c r="R141" s="588"/>
      <c r="S141" s="588"/>
      <c r="T141" s="588"/>
      <c r="U141" s="588"/>
      <c r="V141" s="588"/>
      <c r="W141" s="588"/>
      <c r="X141" s="588"/>
      <c r="Y141" s="588"/>
      <c r="Z141" s="588"/>
      <c r="AA141" s="588"/>
      <c r="AB141" s="588"/>
      <c r="AC141" s="588"/>
      <c r="AD141" s="588"/>
      <c r="AE141" s="626"/>
      <c r="AF141" s="626"/>
      <c r="AG141" s="626"/>
      <c r="AH141" s="626"/>
      <c r="AI141" s="626"/>
      <c r="AJ141" s="626"/>
      <c r="AK141" s="626"/>
      <c r="AL141" s="626"/>
      <c r="AM141" s="626"/>
      <c r="AN141" s="626"/>
      <c r="AO141" s="626"/>
      <c r="AP141" s="626"/>
      <c r="AQ141" s="626"/>
      <c r="AR141" s="626"/>
      <c r="AS141" s="626"/>
      <c r="AT141" s="626"/>
      <c r="AU141" s="626"/>
      <c r="AV141" s="626"/>
      <c r="AW141" s="626"/>
      <c r="AX141" s="626"/>
      <c r="AY141" s="626"/>
      <c r="AZ141" s="626"/>
      <c r="BA141" s="626"/>
      <c r="BB141" s="588"/>
      <c r="BC141" s="626"/>
      <c r="BD141" s="626"/>
      <c r="BE141" s="626"/>
      <c r="BF141" s="626"/>
      <c r="BG141" s="626"/>
      <c r="BH141" s="626"/>
      <c r="BI141" s="588"/>
      <c r="BJ141" s="626"/>
      <c r="BK141" s="626"/>
      <c r="BL141" s="626"/>
      <c r="BM141" s="626"/>
      <c r="BN141" s="626"/>
      <c r="BO141" s="626"/>
      <c r="BP141" s="588"/>
      <c r="BQ141" s="846"/>
      <c r="BR141" s="850"/>
      <c r="BS141" s="588"/>
      <c r="BT141" s="754"/>
      <c r="BU141" s="588"/>
      <c r="BV141" s="588"/>
      <c r="BW141" s="588"/>
      <c r="BX141" s="588"/>
      <c r="BY141" s="588"/>
      <c r="BZ141" s="588"/>
      <c r="CA141" s="588"/>
      <c r="CB141" s="588"/>
      <c r="CC141" s="865"/>
      <c r="CD141" s="588"/>
      <c r="CE141" s="588"/>
      <c r="CF141" s="588"/>
      <c r="CG141" s="588"/>
      <c r="CH141" s="588"/>
      <c r="CI141" s="588"/>
      <c r="CJ141" s="588"/>
      <c r="CK141" s="588"/>
      <c r="CL141" s="588"/>
      <c r="CM141" s="588"/>
      <c r="CN141" s="588"/>
      <c r="CO141" s="588"/>
      <c r="CP141" s="816"/>
      <c r="CQ141" s="805"/>
      <c r="CR141" s="805"/>
      <c r="CS141" s="830"/>
      <c r="CT141" s="588"/>
      <c r="CU141" s="626"/>
      <c r="CV141" s="626"/>
      <c r="CW141" s="626"/>
      <c r="CX141" s="626"/>
      <c r="CY141" s="626"/>
      <c r="CZ141" s="626"/>
      <c r="DA141" s="626"/>
      <c r="DB141" s="626"/>
      <c r="DC141" s="626"/>
      <c r="DD141" s="626"/>
      <c r="DE141" s="626"/>
      <c r="DF141" s="626"/>
      <c r="DG141" s="626"/>
      <c r="DH141" s="626"/>
      <c r="DI141" s="626"/>
      <c r="DJ141" s="626"/>
      <c r="DK141" s="626"/>
      <c r="DL141" s="626"/>
      <c r="DM141" s="761"/>
      <c r="DN141" s="761"/>
      <c r="DO141" s="761"/>
      <c r="DP141" s="553"/>
      <c r="DQ141" s="553"/>
      <c r="DR141" s="553"/>
      <c r="DS141" s="553"/>
      <c r="DT141" s="553"/>
      <c r="DU141" s="553"/>
      <c r="DV141" s="553"/>
      <c r="DW141" s="553"/>
      <c r="DX141" s="553"/>
      <c r="DY141" s="553"/>
    </row>
    <row r="142" spans="1:129" customFormat="1" ht="24" customHeight="1" x14ac:dyDescent="0.9">
      <c r="A142" s="752"/>
      <c r="B142" s="588"/>
      <c r="C142" s="588"/>
      <c r="D142" s="588"/>
      <c r="E142" s="588"/>
      <c r="F142" s="588"/>
      <c r="G142" s="588"/>
      <c r="H142" s="588"/>
      <c r="I142" s="588"/>
      <c r="J142" s="588"/>
      <c r="K142" s="588"/>
      <c r="L142" s="753"/>
      <c r="M142" s="753"/>
      <c r="N142" s="588"/>
      <c r="O142" s="626"/>
      <c r="P142" s="588"/>
      <c r="Q142" s="626"/>
      <c r="R142" s="588"/>
      <c r="S142" s="588"/>
      <c r="T142" s="588"/>
      <c r="U142" s="588"/>
      <c r="V142" s="588"/>
      <c r="W142" s="588"/>
      <c r="X142" s="588"/>
      <c r="Y142" s="588"/>
      <c r="Z142" s="588"/>
      <c r="AA142" s="588"/>
      <c r="AB142" s="588"/>
      <c r="AC142" s="588"/>
      <c r="AD142" s="588"/>
      <c r="AE142" s="626"/>
      <c r="AF142" s="626"/>
      <c r="AG142" s="626"/>
      <c r="AH142" s="626"/>
      <c r="AI142" s="626"/>
      <c r="AJ142" s="626"/>
      <c r="AK142" s="626"/>
      <c r="AL142" s="626"/>
      <c r="AM142" s="626"/>
      <c r="AN142" s="626"/>
      <c r="AO142" s="626"/>
      <c r="AP142" s="626"/>
      <c r="AQ142" s="626"/>
      <c r="AR142" s="626"/>
      <c r="AS142" s="626"/>
      <c r="AT142" s="626"/>
      <c r="AU142" s="626"/>
      <c r="AV142" s="626"/>
      <c r="AW142" s="626"/>
      <c r="AX142" s="626"/>
      <c r="AY142" s="626"/>
      <c r="AZ142" s="626"/>
      <c r="BA142" s="626"/>
      <c r="BB142" s="588"/>
      <c r="BC142" s="626"/>
      <c r="BD142" s="626"/>
      <c r="BE142" s="626"/>
      <c r="BF142" s="626"/>
      <c r="BG142" s="626"/>
      <c r="BH142" s="626"/>
      <c r="BI142" s="588"/>
      <c r="BJ142" s="626"/>
      <c r="BK142" s="626"/>
      <c r="BL142" s="626"/>
      <c r="BM142" s="626"/>
      <c r="BN142" s="626"/>
      <c r="BO142" s="626"/>
      <c r="BP142" s="588"/>
      <c r="BQ142" s="846"/>
      <c r="BR142" s="850"/>
      <c r="BS142" s="588"/>
      <c r="BT142" s="754"/>
      <c r="BU142" s="588"/>
      <c r="BV142" s="588"/>
      <c r="BW142" s="588"/>
      <c r="BX142" s="588"/>
      <c r="BY142" s="588"/>
      <c r="BZ142" s="588"/>
      <c r="CA142" s="588"/>
      <c r="CB142" s="588"/>
      <c r="CC142" s="865"/>
      <c r="CD142" s="588"/>
      <c r="CE142" s="588"/>
      <c r="CF142" s="588"/>
      <c r="CG142" s="588"/>
      <c r="CH142" s="588"/>
      <c r="CI142" s="588"/>
      <c r="CJ142" s="588"/>
      <c r="CK142" s="588"/>
      <c r="CL142" s="588"/>
      <c r="CM142" s="588"/>
      <c r="CN142" s="588"/>
      <c r="CO142" s="588"/>
      <c r="CP142" s="816"/>
      <c r="CQ142" s="805"/>
      <c r="CR142" s="805"/>
      <c r="CS142" s="830"/>
      <c r="CT142" s="588"/>
      <c r="CU142" s="626"/>
      <c r="CV142" s="626"/>
      <c r="CW142" s="626"/>
      <c r="CX142" s="626"/>
      <c r="CY142" s="626"/>
      <c r="CZ142" s="626"/>
      <c r="DA142" s="626"/>
      <c r="DB142" s="626"/>
      <c r="DC142" s="626"/>
      <c r="DD142" s="626"/>
      <c r="DE142" s="626"/>
      <c r="DF142" s="626"/>
      <c r="DG142" s="626"/>
      <c r="DH142" s="626"/>
      <c r="DI142" s="626"/>
      <c r="DJ142" s="626"/>
      <c r="DK142" s="626"/>
      <c r="DL142" s="626"/>
      <c r="DM142" s="761"/>
      <c r="DN142" s="761"/>
      <c r="DO142" s="761"/>
      <c r="DP142" s="553"/>
      <c r="DQ142" s="553"/>
      <c r="DR142" s="553"/>
      <c r="DS142" s="553"/>
      <c r="DT142" s="553"/>
      <c r="DU142" s="553"/>
      <c r="DV142" s="553"/>
      <c r="DW142" s="553"/>
      <c r="DX142" s="553"/>
      <c r="DY142" s="553"/>
    </row>
    <row r="143" spans="1:129" customFormat="1" ht="24" customHeight="1" x14ac:dyDescent="0.9">
      <c r="A143" s="752"/>
      <c r="B143" s="588"/>
      <c r="C143" s="588"/>
      <c r="D143" s="588"/>
      <c r="E143" s="588"/>
      <c r="F143" s="588"/>
      <c r="G143" s="588"/>
      <c r="H143" s="588"/>
      <c r="I143" s="588"/>
      <c r="J143" s="588"/>
      <c r="K143" s="588"/>
      <c r="L143" s="753"/>
      <c r="M143" s="753"/>
      <c r="N143" s="588"/>
      <c r="O143" s="626"/>
      <c r="P143" s="588"/>
      <c r="Q143" s="626"/>
      <c r="R143" s="588"/>
      <c r="S143" s="588"/>
      <c r="T143" s="588"/>
      <c r="U143" s="588"/>
      <c r="V143" s="588"/>
      <c r="W143" s="588"/>
      <c r="X143" s="588"/>
      <c r="Y143" s="588"/>
      <c r="Z143" s="588"/>
      <c r="AA143" s="588"/>
      <c r="AB143" s="588"/>
      <c r="AC143" s="588"/>
      <c r="AD143" s="588"/>
      <c r="AE143" s="626"/>
      <c r="AF143" s="626"/>
      <c r="AG143" s="626"/>
      <c r="AH143" s="626"/>
      <c r="AI143" s="626"/>
      <c r="AJ143" s="626"/>
      <c r="AK143" s="626"/>
      <c r="AL143" s="626"/>
      <c r="AM143" s="626"/>
      <c r="AN143" s="626"/>
      <c r="AO143" s="626"/>
      <c r="AP143" s="626"/>
      <c r="AQ143" s="626"/>
      <c r="AR143" s="626"/>
      <c r="AS143" s="626"/>
      <c r="AT143" s="626"/>
      <c r="AU143" s="626"/>
      <c r="AV143" s="626"/>
      <c r="AW143" s="626"/>
      <c r="AX143" s="626"/>
      <c r="AY143" s="626"/>
      <c r="AZ143" s="626"/>
      <c r="BA143" s="626"/>
      <c r="BB143" s="588"/>
      <c r="BC143" s="626"/>
      <c r="BD143" s="626"/>
      <c r="BE143" s="626"/>
      <c r="BF143" s="626"/>
      <c r="BG143" s="626"/>
      <c r="BH143" s="626"/>
      <c r="BI143" s="588"/>
      <c r="BJ143" s="626"/>
      <c r="BK143" s="626"/>
      <c r="BL143" s="626"/>
      <c r="BM143" s="626"/>
      <c r="BN143" s="626"/>
      <c r="BO143" s="626"/>
      <c r="BP143" s="588"/>
      <c r="BQ143" s="846"/>
      <c r="BR143" s="850"/>
      <c r="BS143" s="588"/>
      <c r="BT143" s="754"/>
      <c r="BU143" s="588"/>
      <c r="BV143" s="588"/>
      <c r="BW143" s="588"/>
      <c r="BX143" s="588"/>
      <c r="BY143" s="588"/>
      <c r="BZ143" s="588"/>
      <c r="CA143" s="588"/>
      <c r="CB143" s="588"/>
      <c r="CC143" s="865"/>
      <c r="CD143" s="588"/>
      <c r="CE143" s="588"/>
      <c r="CF143" s="588"/>
      <c r="CG143" s="588"/>
      <c r="CH143" s="588"/>
      <c r="CI143" s="588"/>
      <c r="CJ143" s="588"/>
      <c r="CK143" s="588"/>
      <c r="CL143" s="588"/>
      <c r="CM143" s="588"/>
      <c r="CN143" s="588"/>
      <c r="CO143" s="588"/>
      <c r="CP143" s="816"/>
      <c r="CQ143" s="805"/>
      <c r="CR143" s="805"/>
      <c r="CS143" s="830"/>
      <c r="CT143" s="588"/>
      <c r="CU143" s="626"/>
      <c r="CV143" s="626"/>
      <c r="CW143" s="626"/>
      <c r="CX143" s="626"/>
      <c r="CY143" s="626"/>
      <c r="CZ143" s="626"/>
      <c r="DA143" s="626"/>
      <c r="DB143" s="626"/>
      <c r="DC143" s="626"/>
      <c r="DD143" s="626"/>
      <c r="DE143" s="626"/>
      <c r="DF143" s="626"/>
      <c r="DG143" s="626"/>
      <c r="DH143" s="626"/>
      <c r="DI143" s="626"/>
      <c r="DJ143" s="626"/>
      <c r="DK143" s="626"/>
      <c r="DL143" s="626"/>
      <c r="DM143" s="761"/>
      <c r="DN143" s="761"/>
      <c r="DO143" s="761"/>
      <c r="DP143" s="553"/>
      <c r="DQ143" s="553"/>
      <c r="DR143" s="553"/>
      <c r="DS143" s="553"/>
      <c r="DT143" s="553"/>
      <c r="DU143" s="553"/>
      <c r="DV143" s="553"/>
      <c r="DW143" s="553"/>
      <c r="DX143" s="553"/>
      <c r="DY143" s="553"/>
    </row>
    <row r="144" spans="1:129" customFormat="1" ht="24" customHeight="1" x14ac:dyDescent="0.9">
      <c r="A144" s="752"/>
      <c r="B144" s="588"/>
      <c r="C144" s="588"/>
      <c r="D144" s="588"/>
      <c r="E144" s="588"/>
      <c r="F144" s="588"/>
      <c r="G144" s="588"/>
      <c r="H144" s="588"/>
      <c r="I144" s="588"/>
      <c r="J144" s="588"/>
      <c r="K144" s="588"/>
      <c r="L144" s="753"/>
      <c r="M144" s="753"/>
      <c r="N144" s="588"/>
      <c r="O144" s="626"/>
      <c r="P144" s="588"/>
      <c r="Q144" s="626"/>
      <c r="R144" s="588"/>
      <c r="S144" s="588"/>
      <c r="T144" s="588"/>
      <c r="U144" s="588"/>
      <c r="V144" s="588"/>
      <c r="W144" s="588"/>
      <c r="X144" s="588"/>
      <c r="Y144" s="588"/>
      <c r="Z144" s="588"/>
      <c r="AA144" s="588"/>
      <c r="AB144" s="588"/>
      <c r="AC144" s="588"/>
      <c r="AD144" s="588"/>
      <c r="AE144" s="626"/>
      <c r="AF144" s="626"/>
      <c r="AG144" s="626"/>
      <c r="AH144" s="626"/>
      <c r="AI144" s="626"/>
      <c r="AJ144" s="626"/>
      <c r="AK144" s="626"/>
      <c r="AL144" s="626"/>
      <c r="AM144" s="626"/>
      <c r="AN144" s="626"/>
      <c r="AO144" s="626"/>
      <c r="AP144" s="626"/>
      <c r="AQ144" s="626"/>
      <c r="AR144" s="626"/>
      <c r="AS144" s="626"/>
      <c r="AT144" s="626"/>
      <c r="AU144" s="626"/>
      <c r="AV144" s="626"/>
      <c r="AW144" s="626"/>
      <c r="AX144" s="626"/>
      <c r="AY144" s="626"/>
      <c r="AZ144" s="626"/>
      <c r="BA144" s="626"/>
      <c r="BB144" s="588"/>
      <c r="BC144" s="626"/>
      <c r="BD144" s="626"/>
      <c r="BE144" s="626"/>
      <c r="BF144" s="626"/>
      <c r="BG144" s="626"/>
      <c r="BH144" s="626"/>
      <c r="BI144" s="588"/>
      <c r="BJ144" s="626"/>
      <c r="BK144" s="626"/>
      <c r="BL144" s="626"/>
      <c r="BM144" s="626"/>
      <c r="BN144" s="626"/>
      <c r="BO144" s="626"/>
      <c r="BP144" s="588"/>
      <c r="BQ144" s="846"/>
      <c r="BR144" s="850"/>
      <c r="BS144" s="588"/>
      <c r="BT144" s="754"/>
      <c r="BU144" s="588"/>
      <c r="BV144" s="588"/>
      <c r="BW144" s="588"/>
      <c r="BX144" s="588"/>
      <c r="BY144" s="588"/>
      <c r="BZ144" s="588"/>
      <c r="CA144" s="588"/>
      <c r="CB144" s="588"/>
      <c r="CC144" s="865"/>
      <c r="CD144" s="588"/>
      <c r="CE144" s="588"/>
      <c r="CF144" s="588"/>
      <c r="CG144" s="588"/>
      <c r="CH144" s="588"/>
      <c r="CI144" s="588"/>
      <c r="CJ144" s="588"/>
      <c r="CK144" s="588"/>
      <c r="CL144" s="588"/>
      <c r="CM144" s="588"/>
      <c r="CN144" s="588"/>
      <c r="CO144" s="588"/>
      <c r="CP144" s="816"/>
      <c r="CQ144" s="805"/>
      <c r="CR144" s="805"/>
      <c r="CS144" s="830"/>
      <c r="CT144" s="588"/>
      <c r="CU144" s="626"/>
      <c r="CV144" s="626"/>
      <c r="CW144" s="626"/>
      <c r="CX144" s="626"/>
      <c r="CY144" s="626"/>
      <c r="CZ144" s="626"/>
      <c r="DA144" s="626"/>
      <c r="DB144" s="626"/>
      <c r="DC144" s="626"/>
      <c r="DD144" s="626"/>
      <c r="DE144" s="626"/>
      <c r="DF144" s="626"/>
      <c r="DG144" s="626"/>
      <c r="DH144" s="626"/>
      <c r="DI144" s="626"/>
      <c r="DJ144" s="626"/>
      <c r="DK144" s="626"/>
      <c r="DL144" s="626"/>
      <c r="DM144" s="761"/>
      <c r="DN144" s="761"/>
      <c r="DO144" s="761"/>
      <c r="DP144" s="553"/>
      <c r="DQ144" s="553"/>
      <c r="DR144" s="553"/>
      <c r="DS144" s="553"/>
      <c r="DT144" s="553"/>
      <c r="DU144" s="553"/>
      <c r="DV144" s="553"/>
      <c r="DW144" s="553"/>
      <c r="DX144" s="553"/>
      <c r="DY144" s="553"/>
    </row>
    <row r="145" spans="1:129" customFormat="1" ht="24" customHeight="1" x14ac:dyDescent="0.9">
      <c r="A145" s="752"/>
      <c r="B145" s="588"/>
      <c r="C145" s="588"/>
      <c r="D145" s="588"/>
      <c r="E145" s="588"/>
      <c r="F145" s="588"/>
      <c r="G145" s="588"/>
      <c r="H145" s="588"/>
      <c r="I145" s="588"/>
      <c r="J145" s="588"/>
      <c r="K145" s="588"/>
      <c r="L145" s="753"/>
      <c r="M145" s="753"/>
      <c r="N145" s="588"/>
      <c r="O145" s="626"/>
      <c r="P145" s="588"/>
      <c r="Q145" s="626"/>
      <c r="R145" s="588"/>
      <c r="S145" s="588"/>
      <c r="T145" s="588"/>
      <c r="U145" s="588"/>
      <c r="V145" s="588"/>
      <c r="W145" s="588"/>
      <c r="X145" s="588"/>
      <c r="Y145" s="588"/>
      <c r="Z145" s="588"/>
      <c r="AA145" s="588"/>
      <c r="AB145" s="588"/>
      <c r="AC145" s="588"/>
      <c r="AD145" s="588"/>
      <c r="AE145" s="626"/>
      <c r="AF145" s="626"/>
      <c r="AG145" s="626"/>
      <c r="AH145" s="626"/>
      <c r="AI145" s="626"/>
      <c r="AJ145" s="626"/>
      <c r="AK145" s="626"/>
      <c r="AL145" s="626"/>
      <c r="AM145" s="626"/>
      <c r="AN145" s="626"/>
      <c r="AO145" s="626"/>
      <c r="AP145" s="626"/>
      <c r="AQ145" s="626"/>
      <c r="AR145" s="626"/>
      <c r="AS145" s="626"/>
      <c r="AT145" s="626"/>
      <c r="AU145" s="626"/>
      <c r="AV145" s="626"/>
      <c r="AW145" s="626"/>
      <c r="AX145" s="626"/>
      <c r="AY145" s="626"/>
      <c r="AZ145" s="626"/>
      <c r="BA145" s="626"/>
      <c r="BB145" s="588"/>
      <c r="BC145" s="626"/>
      <c r="BD145" s="626"/>
      <c r="BE145" s="626"/>
      <c r="BF145" s="626"/>
      <c r="BG145" s="626"/>
      <c r="BH145" s="626"/>
      <c r="BI145" s="588"/>
      <c r="BJ145" s="626"/>
      <c r="BK145" s="626"/>
      <c r="BL145" s="626"/>
      <c r="BM145" s="626"/>
      <c r="BN145" s="626"/>
      <c r="BO145" s="626"/>
      <c r="BP145" s="588"/>
      <c r="BQ145" s="846"/>
      <c r="BR145" s="850"/>
      <c r="BS145" s="588"/>
      <c r="BT145" s="754"/>
      <c r="BU145" s="588"/>
      <c r="BV145" s="588"/>
      <c r="BW145" s="588"/>
      <c r="BX145" s="588"/>
      <c r="BY145" s="588"/>
      <c r="BZ145" s="588"/>
      <c r="CA145" s="588"/>
      <c r="CB145" s="588"/>
      <c r="CC145" s="865"/>
      <c r="CD145" s="588"/>
      <c r="CE145" s="588"/>
      <c r="CF145" s="588"/>
      <c r="CG145" s="588"/>
      <c r="CH145" s="588"/>
      <c r="CI145" s="588"/>
      <c r="CJ145" s="588"/>
      <c r="CK145" s="588"/>
      <c r="CL145" s="588"/>
      <c r="CM145" s="588"/>
      <c r="CN145" s="588"/>
      <c r="CO145" s="588"/>
      <c r="CP145" s="816"/>
      <c r="CQ145" s="805"/>
      <c r="CR145" s="805"/>
      <c r="CS145" s="830"/>
      <c r="CT145" s="588"/>
      <c r="CU145" s="626"/>
      <c r="CV145" s="626"/>
      <c r="CW145" s="626"/>
      <c r="CX145" s="626"/>
      <c r="CY145" s="626"/>
      <c r="CZ145" s="626"/>
      <c r="DA145" s="626"/>
      <c r="DB145" s="626"/>
      <c r="DC145" s="626"/>
      <c r="DD145" s="626"/>
      <c r="DE145" s="626"/>
      <c r="DF145" s="626"/>
      <c r="DG145" s="626"/>
      <c r="DH145" s="626"/>
      <c r="DI145" s="626"/>
      <c r="DJ145" s="626"/>
      <c r="DK145" s="626"/>
      <c r="DL145" s="626"/>
      <c r="DM145" s="761"/>
      <c r="DN145" s="761"/>
      <c r="DO145" s="761"/>
      <c r="DP145" s="553"/>
      <c r="DQ145" s="553"/>
      <c r="DR145" s="553"/>
      <c r="DS145" s="553"/>
      <c r="DT145" s="553"/>
      <c r="DU145" s="553"/>
      <c r="DV145" s="553"/>
      <c r="DW145" s="553"/>
      <c r="DX145" s="553"/>
      <c r="DY145" s="553"/>
    </row>
    <row r="146" spans="1:129" customFormat="1" ht="24" customHeight="1" x14ac:dyDescent="0.9">
      <c r="A146" s="752"/>
      <c r="B146" s="588"/>
      <c r="C146" s="588"/>
      <c r="D146" s="588"/>
      <c r="E146" s="588"/>
      <c r="F146" s="588"/>
      <c r="G146" s="588"/>
      <c r="H146" s="588"/>
      <c r="I146" s="588"/>
      <c r="J146" s="588"/>
      <c r="K146" s="588"/>
      <c r="L146" s="753"/>
      <c r="M146" s="753"/>
      <c r="N146" s="588"/>
      <c r="O146" s="626"/>
      <c r="P146" s="588"/>
      <c r="Q146" s="626"/>
      <c r="R146" s="588"/>
      <c r="S146" s="588"/>
      <c r="T146" s="588"/>
      <c r="U146" s="588"/>
      <c r="V146" s="588"/>
      <c r="W146" s="588"/>
      <c r="X146" s="588"/>
      <c r="Y146" s="588"/>
      <c r="Z146" s="588"/>
      <c r="AA146" s="588"/>
      <c r="AB146" s="588"/>
      <c r="AC146" s="588"/>
      <c r="AD146" s="588"/>
      <c r="AE146" s="626"/>
      <c r="AF146" s="626"/>
      <c r="AG146" s="626"/>
      <c r="AH146" s="626"/>
      <c r="AI146" s="626"/>
      <c r="AJ146" s="626"/>
      <c r="AK146" s="626"/>
      <c r="AL146" s="626"/>
      <c r="AM146" s="626"/>
      <c r="AN146" s="626"/>
      <c r="AO146" s="626"/>
      <c r="AP146" s="626"/>
      <c r="AQ146" s="626"/>
      <c r="AR146" s="626"/>
      <c r="AS146" s="626"/>
      <c r="AT146" s="626"/>
      <c r="AU146" s="626"/>
      <c r="AV146" s="626"/>
      <c r="AW146" s="626"/>
      <c r="AX146" s="626"/>
      <c r="AY146" s="626"/>
      <c r="AZ146" s="626"/>
      <c r="BA146" s="626"/>
      <c r="BB146" s="588"/>
      <c r="BC146" s="626"/>
      <c r="BD146" s="626"/>
      <c r="BE146" s="626"/>
      <c r="BF146" s="626"/>
      <c r="BG146" s="626"/>
      <c r="BH146" s="626"/>
      <c r="BI146" s="588"/>
      <c r="BJ146" s="626"/>
      <c r="BK146" s="626"/>
      <c r="BL146" s="626"/>
      <c r="BM146" s="626"/>
      <c r="BN146" s="626"/>
      <c r="BO146" s="626"/>
      <c r="BP146" s="588"/>
      <c r="BQ146" s="846"/>
      <c r="BR146" s="850"/>
      <c r="BS146" s="588"/>
      <c r="BT146" s="754"/>
      <c r="BU146" s="588"/>
      <c r="BV146" s="588"/>
      <c r="BW146" s="588"/>
      <c r="BX146" s="588"/>
      <c r="BY146" s="588"/>
      <c r="BZ146" s="588"/>
      <c r="CA146" s="588"/>
      <c r="CB146" s="588"/>
      <c r="CC146" s="865"/>
      <c r="CD146" s="588"/>
      <c r="CE146" s="588"/>
      <c r="CF146" s="588"/>
      <c r="CG146" s="588"/>
      <c r="CH146" s="588"/>
      <c r="CI146" s="588"/>
      <c r="CJ146" s="588"/>
      <c r="CK146" s="588"/>
      <c r="CL146" s="588"/>
      <c r="CM146" s="588"/>
      <c r="CN146" s="588"/>
      <c r="CO146" s="588"/>
      <c r="CP146" s="816"/>
      <c r="CQ146" s="805"/>
      <c r="CR146" s="805"/>
      <c r="CS146" s="830"/>
      <c r="CT146" s="588"/>
      <c r="CU146" s="626"/>
      <c r="CV146" s="626"/>
      <c r="CW146" s="626"/>
      <c r="CX146" s="626"/>
      <c r="CY146" s="626"/>
      <c r="CZ146" s="626"/>
      <c r="DA146" s="626"/>
      <c r="DB146" s="626"/>
      <c r="DC146" s="626"/>
      <c r="DD146" s="626"/>
      <c r="DE146" s="626"/>
      <c r="DF146" s="626"/>
      <c r="DG146" s="626"/>
      <c r="DH146" s="626"/>
      <c r="DI146" s="626"/>
      <c r="DJ146" s="626"/>
      <c r="DK146" s="626"/>
      <c r="DL146" s="626"/>
      <c r="DM146" s="761"/>
      <c r="DN146" s="761"/>
      <c r="DO146" s="761"/>
      <c r="DP146" s="553"/>
      <c r="DQ146" s="553"/>
      <c r="DR146" s="553"/>
      <c r="DS146" s="553"/>
      <c r="DT146" s="553"/>
      <c r="DU146" s="553"/>
      <c r="DV146" s="553"/>
      <c r="DW146" s="553"/>
      <c r="DX146" s="553"/>
      <c r="DY146" s="553"/>
    </row>
    <row r="147" spans="1:129" customFormat="1" ht="24" customHeight="1" x14ac:dyDescent="0.9">
      <c r="A147" s="752"/>
      <c r="B147" s="588"/>
      <c r="C147" s="588"/>
      <c r="D147" s="588"/>
      <c r="E147" s="588"/>
      <c r="F147" s="588"/>
      <c r="G147" s="588"/>
      <c r="H147" s="588"/>
      <c r="I147" s="588"/>
      <c r="J147" s="588"/>
      <c r="K147" s="588"/>
      <c r="L147" s="753"/>
      <c r="M147" s="753"/>
      <c r="N147" s="588"/>
      <c r="O147" s="626"/>
      <c r="P147" s="588"/>
      <c r="Q147" s="626"/>
      <c r="R147" s="588"/>
      <c r="S147" s="588"/>
      <c r="T147" s="588"/>
      <c r="U147" s="588"/>
      <c r="V147" s="588"/>
      <c r="W147" s="588"/>
      <c r="X147" s="588"/>
      <c r="Y147" s="588"/>
      <c r="Z147" s="588"/>
      <c r="AA147" s="588"/>
      <c r="AB147" s="588"/>
      <c r="AC147" s="588"/>
      <c r="AD147" s="588"/>
      <c r="AE147" s="626"/>
      <c r="AF147" s="626"/>
      <c r="AG147" s="626"/>
      <c r="AH147" s="626"/>
      <c r="AI147" s="626"/>
      <c r="AJ147" s="626"/>
      <c r="AK147" s="626"/>
      <c r="AL147" s="626"/>
      <c r="AM147" s="626"/>
      <c r="AN147" s="626"/>
      <c r="AO147" s="626"/>
      <c r="AP147" s="626"/>
      <c r="AQ147" s="626"/>
      <c r="AR147" s="626"/>
      <c r="AS147" s="626"/>
      <c r="AT147" s="626"/>
      <c r="AU147" s="626"/>
      <c r="AV147" s="626"/>
      <c r="AW147" s="626"/>
      <c r="AX147" s="626"/>
      <c r="AY147" s="626"/>
      <c r="AZ147" s="626"/>
      <c r="BA147" s="626"/>
      <c r="BB147" s="588"/>
      <c r="BC147" s="626"/>
      <c r="BD147" s="626"/>
      <c r="BE147" s="626"/>
      <c r="BF147" s="626"/>
      <c r="BG147" s="626"/>
      <c r="BH147" s="626"/>
      <c r="BI147" s="588"/>
      <c r="BJ147" s="626"/>
      <c r="BK147" s="626"/>
      <c r="BL147" s="626"/>
      <c r="BM147" s="626"/>
      <c r="BN147" s="626"/>
      <c r="BO147" s="626"/>
      <c r="BP147" s="588"/>
      <c r="BQ147" s="846"/>
      <c r="BR147" s="850"/>
      <c r="BS147" s="588"/>
      <c r="BT147" s="754"/>
      <c r="BU147" s="588"/>
      <c r="BV147" s="588"/>
      <c r="BW147" s="588"/>
      <c r="BX147" s="588"/>
      <c r="BY147" s="588"/>
      <c r="BZ147" s="588"/>
      <c r="CA147" s="588"/>
      <c r="CB147" s="588"/>
      <c r="CC147" s="865"/>
      <c r="CD147" s="588"/>
      <c r="CE147" s="588"/>
      <c r="CF147" s="588"/>
      <c r="CG147" s="588"/>
      <c r="CH147" s="588"/>
      <c r="CI147" s="588"/>
      <c r="CJ147" s="588"/>
      <c r="CK147" s="588"/>
      <c r="CL147" s="588"/>
      <c r="CM147" s="588"/>
      <c r="CN147" s="588"/>
      <c r="CO147" s="588"/>
      <c r="CP147" s="816"/>
      <c r="CQ147" s="805"/>
      <c r="CR147" s="805"/>
      <c r="CS147" s="830"/>
      <c r="CT147" s="588"/>
      <c r="CU147" s="626"/>
      <c r="CV147" s="626"/>
      <c r="CW147" s="626"/>
      <c r="CX147" s="626"/>
      <c r="CY147" s="626"/>
      <c r="CZ147" s="626"/>
      <c r="DA147" s="626"/>
      <c r="DB147" s="626"/>
      <c r="DC147" s="626"/>
      <c r="DD147" s="626"/>
      <c r="DE147" s="626"/>
      <c r="DF147" s="626"/>
      <c r="DG147" s="626"/>
      <c r="DH147" s="626"/>
      <c r="DI147" s="626"/>
      <c r="DJ147" s="626"/>
      <c r="DK147" s="626"/>
      <c r="DL147" s="626"/>
      <c r="DM147" s="761"/>
      <c r="DN147" s="761"/>
      <c r="DO147" s="761"/>
      <c r="DP147" s="553"/>
      <c r="DQ147" s="553"/>
      <c r="DR147" s="553"/>
      <c r="DS147" s="553"/>
      <c r="DT147" s="553"/>
      <c r="DU147" s="553"/>
      <c r="DV147" s="553"/>
      <c r="DW147" s="553"/>
      <c r="DX147" s="553"/>
      <c r="DY147" s="553"/>
    </row>
    <row r="148" spans="1:129" customFormat="1" ht="24" customHeight="1" x14ac:dyDescent="0.9">
      <c r="A148" s="752"/>
      <c r="B148" s="588"/>
      <c r="C148" s="588"/>
      <c r="D148" s="588"/>
      <c r="E148" s="588"/>
      <c r="F148" s="588"/>
      <c r="G148" s="588"/>
      <c r="H148" s="588"/>
      <c r="I148" s="588"/>
      <c r="J148" s="588"/>
      <c r="K148" s="588"/>
      <c r="L148" s="753"/>
      <c r="M148" s="753"/>
      <c r="N148" s="588"/>
      <c r="O148" s="626"/>
      <c r="P148" s="588"/>
      <c r="Q148" s="626"/>
      <c r="R148" s="588"/>
      <c r="S148" s="588"/>
      <c r="T148" s="588"/>
      <c r="U148" s="588"/>
      <c r="V148" s="588"/>
      <c r="W148" s="588"/>
      <c r="X148" s="588"/>
      <c r="Y148" s="588"/>
      <c r="Z148" s="588"/>
      <c r="AA148" s="588"/>
      <c r="AB148" s="588"/>
      <c r="AC148" s="588"/>
      <c r="AD148" s="588"/>
      <c r="AE148" s="626"/>
      <c r="AF148" s="626"/>
      <c r="AG148" s="626"/>
      <c r="AH148" s="626"/>
      <c r="AI148" s="626"/>
      <c r="AJ148" s="626"/>
      <c r="AK148" s="626"/>
      <c r="AL148" s="626"/>
      <c r="AM148" s="626"/>
      <c r="AN148" s="626"/>
      <c r="AO148" s="626"/>
      <c r="AP148" s="626"/>
      <c r="AQ148" s="626"/>
      <c r="AR148" s="626"/>
      <c r="AS148" s="626"/>
      <c r="AT148" s="626"/>
      <c r="AU148" s="626"/>
      <c r="AV148" s="626"/>
      <c r="AW148" s="626"/>
      <c r="AX148" s="626"/>
      <c r="AY148" s="626"/>
      <c r="AZ148" s="626"/>
      <c r="BA148" s="626"/>
      <c r="BB148" s="588"/>
      <c r="BC148" s="626"/>
      <c r="BD148" s="626"/>
      <c r="BE148" s="626"/>
      <c r="BF148" s="626"/>
      <c r="BG148" s="626"/>
      <c r="BH148" s="626"/>
      <c r="BI148" s="588"/>
      <c r="BJ148" s="626"/>
      <c r="BK148" s="626"/>
      <c r="BL148" s="626"/>
      <c r="BM148" s="626"/>
      <c r="BN148" s="626"/>
      <c r="BO148" s="626"/>
      <c r="BP148" s="588"/>
      <c r="BQ148" s="846"/>
      <c r="BR148" s="850"/>
      <c r="BS148" s="588"/>
      <c r="BT148" s="754"/>
      <c r="BU148" s="588"/>
      <c r="BV148" s="588"/>
      <c r="BW148" s="588"/>
      <c r="BX148" s="588"/>
      <c r="BY148" s="588"/>
      <c r="BZ148" s="588"/>
      <c r="CA148" s="588"/>
      <c r="CB148" s="588"/>
      <c r="CC148" s="865"/>
      <c r="CD148" s="588"/>
      <c r="CE148" s="588"/>
      <c r="CF148" s="588"/>
      <c r="CG148" s="588"/>
      <c r="CH148" s="588"/>
      <c r="CI148" s="588"/>
      <c r="CJ148" s="588"/>
      <c r="CK148" s="588"/>
      <c r="CL148" s="588"/>
      <c r="CM148" s="588"/>
      <c r="CN148" s="588"/>
      <c r="CO148" s="588"/>
      <c r="CP148" s="816"/>
      <c r="CQ148" s="805"/>
      <c r="CR148" s="805"/>
      <c r="CS148" s="830"/>
      <c r="CT148" s="588"/>
      <c r="CU148" s="626"/>
      <c r="CV148" s="626"/>
      <c r="CW148" s="626"/>
      <c r="CX148" s="626"/>
      <c r="CY148" s="626"/>
      <c r="CZ148" s="626"/>
      <c r="DA148" s="626"/>
      <c r="DB148" s="626"/>
      <c r="DC148" s="626"/>
      <c r="DD148" s="626"/>
      <c r="DE148" s="626"/>
      <c r="DF148" s="626"/>
      <c r="DG148" s="626"/>
      <c r="DH148" s="626"/>
      <c r="DI148" s="626"/>
      <c r="DJ148" s="626"/>
      <c r="DK148" s="626"/>
      <c r="DL148" s="626"/>
      <c r="DM148" s="761"/>
      <c r="DN148" s="761"/>
      <c r="DO148" s="761"/>
      <c r="DP148" s="553"/>
      <c r="DQ148" s="553"/>
      <c r="DR148" s="553"/>
      <c r="DS148" s="553"/>
      <c r="DT148" s="553"/>
      <c r="DU148" s="553"/>
      <c r="DV148" s="553"/>
      <c r="DW148" s="553"/>
      <c r="DX148" s="553"/>
      <c r="DY148" s="553"/>
    </row>
    <row r="149" spans="1:129" customFormat="1" ht="24" customHeight="1" x14ac:dyDescent="0.9">
      <c r="A149" s="752"/>
      <c r="B149" s="588"/>
      <c r="C149" s="588"/>
      <c r="D149" s="588"/>
      <c r="E149" s="588"/>
      <c r="F149" s="588"/>
      <c r="G149" s="588"/>
      <c r="H149" s="588"/>
      <c r="I149" s="588"/>
      <c r="J149" s="588"/>
      <c r="K149" s="588"/>
      <c r="L149" s="753"/>
      <c r="M149" s="753"/>
      <c r="N149" s="588"/>
      <c r="O149" s="626"/>
      <c r="P149" s="588"/>
      <c r="Q149" s="626"/>
      <c r="R149" s="588"/>
      <c r="S149" s="588"/>
      <c r="T149" s="588"/>
      <c r="U149" s="588"/>
      <c r="V149" s="588"/>
      <c r="W149" s="588"/>
      <c r="X149" s="588"/>
      <c r="Y149" s="588"/>
      <c r="Z149" s="588"/>
      <c r="AA149" s="588"/>
      <c r="AB149" s="588"/>
      <c r="AC149" s="588"/>
      <c r="AD149" s="588"/>
      <c r="AE149" s="626"/>
      <c r="AF149" s="626"/>
      <c r="AG149" s="626"/>
      <c r="AH149" s="626"/>
      <c r="AI149" s="626"/>
      <c r="AJ149" s="626"/>
      <c r="AK149" s="626"/>
      <c r="AL149" s="626"/>
      <c r="AM149" s="626"/>
      <c r="AN149" s="626"/>
      <c r="AO149" s="626"/>
      <c r="AP149" s="626"/>
      <c r="AQ149" s="626"/>
      <c r="AR149" s="626"/>
      <c r="AS149" s="626"/>
      <c r="AT149" s="626"/>
      <c r="AU149" s="626"/>
      <c r="AV149" s="626"/>
      <c r="AW149" s="626"/>
      <c r="AX149" s="626"/>
      <c r="AY149" s="626"/>
      <c r="AZ149" s="626"/>
      <c r="BA149" s="626"/>
      <c r="BB149" s="588"/>
      <c r="BC149" s="626"/>
      <c r="BD149" s="626"/>
      <c r="BE149" s="626"/>
      <c r="BF149" s="626"/>
      <c r="BG149" s="626"/>
      <c r="BH149" s="626"/>
      <c r="BI149" s="588"/>
      <c r="BJ149" s="626"/>
      <c r="BK149" s="626"/>
      <c r="BL149" s="626"/>
      <c r="BM149" s="626"/>
      <c r="BN149" s="626"/>
      <c r="BO149" s="626"/>
      <c r="BP149" s="588"/>
      <c r="BQ149" s="846"/>
      <c r="BR149" s="850"/>
      <c r="BS149" s="588"/>
      <c r="BT149" s="754"/>
      <c r="BU149" s="588"/>
      <c r="BV149" s="588"/>
      <c r="BW149" s="588"/>
      <c r="BX149" s="588"/>
      <c r="BY149" s="588"/>
      <c r="BZ149" s="588"/>
      <c r="CA149" s="588"/>
      <c r="CB149" s="588"/>
      <c r="CC149" s="865"/>
      <c r="CD149" s="588"/>
      <c r="CE149" s="588"/>
      <c r="CF149" s="588"/>
      <c r="CG149" s="588"/>
      <c r="CH149" s="588"/>
      <c r="CI149" s="588"/>
      <c r="CJ149" s="588"/>
      <c r="CK149" s="588"/>
      <c r="CL149" s="588"/>
      <c r="CM149" s="588"/>
      <c r="CN149" s="588"/>
      <c r="CO149" s="588"/>
      <c r="CP149" s="816"/>
      <c r="CQ149" s="805"/>
      <c r="CR149" s="805"/>
      <c r="CS149" s="830"/>
      <c r="CT149" s="588"/>
      <c r="CU149" s="626"/>
      <c r="CV149" s="626"/>
      <c r="CW149" s="626"/>
      <c r="CX149" s="626"/>
      <c r="CY149" s="626"/>
      <c r="CZ149" s="626"/>
      <c r="DA149" s="626"/>
      <c r="DB149" s="626"/>
      <c r="DC149" s="626"/>
      <c r="DD149" s="626"/>
      <c r="DE149" s="626"/>
      <c r="DF149" s="626"/>
      <c r="DG149" s="626"/>
      <c r="DH149" s="626"/>
      <c r="DI149" s="626"/>
      <c r="DJ149" s="626"/>
      <c r="DK149" s="626"/>
      <c r="DL149" s="626"/>
      <c r="DM149" s="761"/>
      <c r="DN149" s="761"/>
      <c r="DO149" s="761"/>
      <c r="DP149" s="553"/>
      <c r="DQ149" s="553"/>
      <c r="DR149" s="553"/>
      <c r="DS149" s="553"/>
      <c r="DT149" s="553"/>
      <c r="DU149" s="553"/>
      <c r="DV149" s="553"/>
      <c r="DW149" s="553"/>
      <c r="DX149" s="553"/>
      <c r="DY149" s="553"/>
    </row>
    <row r="150" spans="1:129" customFormat="1" ht="24" customHeight="1" x14ac:dyDescent="0.9">
      <c r="A150" s="752"/>
      <c r="B150" s="588"/>
      <c r="C150" s="588"/>
      <c r="D150" s="588"/>
      <c r="E150" s="588"/>
      <c r="F150" s="588"/>
      <c r="G150" s="588"/>
      <c r="H150" s="588"/>
      <c r="I150" s="588"/>
      <c r="J150" s="588"/>
      <c r="K150" s="588"/>
      <c r="L150" s="753"/>
      <c r="M150" s="753"/>
      <c r="N150" s="588"/>
      <c r="O150" s="626"/>
      <c r="P150" s="588"/>
      <c r="Q150" s="626"/>
      <c r="R150" s="588"/>
      <c r="S150" s="588"/>
      <c r="T150" s="588"/>
      <c r="U150" s="588"/>
      <c r="V150" s="588"/>
      <c r="W150" s="588"/>
      <c r="X150" s="588"/>
      <c r="Y150" s="588"/>
      <c r="Z150" s="588"/>
      <c r="AA150" s="588"/>
      <c r="AB150" s="588"/>
      <c r="AC150" s="588"/>
      <c r="AD150" s="588"/>
      <c r="AE150" s="626"/>
      <c r="AF150" s="626"/>
      <c r="AG150" s="626"/>
      <c r="AH150" s="626"/>
      <c r="AI150" s="626"/>
      <c r="AJ150" s="626"/>
      <c r="AK150" s="626"/>
      <c r="AL150" s="626"/>
      <c r="AM150" s="626"/>
      <c r="AN150" s="626"/>
      <c r="AO150" s="626"/>
      <c r="AP150" s="626"/>
      <c r="AQ150" s="626"/>
      <c r="AR150" s="626"/>
      <c r="AS150" s="626"/>
      <c r="AT150" s="626"/>
      <c r="AU150" s="626"/>
      <c r="AV150" s="626"/>
      <c r="AW150" s="626"/>
      <c r="AX150" s="626"/>
      <c r="AY150" s="626"/>
      <c r="AZ150" s="626"/>
      <c r="BA150" s="626"/>
      <c r="BB150" s="588"/>
      <c r="BC150" s="626"/>
      <c r="BD150" s="626"/>
      <c r="BE150" s="626"/>
      <c r="BF150" s="626"/>
      <c r="BG150" s="626"/>
      <c r="BH150" s="626"/>
      <c r="BI150" s="588"/>
      <c r="BJ150" s="626"/>
      <c r="BK150" s="626"/>
      <c r="BL150" s="626"/>
      <c r="BM150" s="626"/>
      <c r="BN150" s="626"/>
      <c r="BO150" s="626"/>
      <c r="BP150" s="588"/>
      <c r="BQ150" s="846"/>
      <c r="BR150" s="850"/>
      <c r="BS150" s="588"/>
      <c r="BT150" s="754"/>
      <c r="BU150" s="588"/>
      <c r="BV150" s="588"/>
      <c r="BW150" s="588"/>
      <c r="BX150" s="588"/>
      <c r="BY150" s="588"/>
      <c r="BZ150" s="588"/>
      <c r="CA150" s="588"/>
      <c r="CB150" s="588"/>
      <c r="CC150" s="865"/>
      <c r="CD150" s="588"/>
      <c r="CE150" s="588"/>
      <c r="CF150" s="588"/>
      <c r="CG150" s="588"/>
      <c r="CH150" s="588"/>
      <c r="CI150" s="588"/>
      <c r="CJ150" s="588"/>
      <c r="CK150" s="588"/>
      <c r="CL150" s="588"/>
      <c r="CM150" s="588"/>
      <c r="CN150" s="588"/>
      <c r="CO150" s="588"/>
      <c r="CP150" s="816"/>
      <c r="CQ150" s="805"/>
      <c r="CR150" s="805"/>
      <c r="CS150" s="830"/>
      <c r="CT150" s="588"/>
      <c r="CU150" s="626"/>
      <c r="CV150" s="626"/>
      <c r="CW150" s="626"/>
      <c r="CX150" s="626"/>
      <c r="CY150" s="626"/>
      <c r="CZ150" s="626"/>
      <c r="DA150" s="626"/>
      <c r="DB150" s="626"/>
      <c r="DC150" s="626"/>
      <c r="DD150" s="626"/>
      <c r="DE150" s="626"/>
      <c r="DF150" s="626"/>
      <c r="DG150" s="626"/>
      <c r="DH150" s="626"/>
      <c r="DI150" s="626"/>
      <c r="DJ150" s="626"/>
      <c r="DK150" s="626"/>
      <c r="DL150" s="626"/>
      <c r="DM150" s="761"/>
      <c r="DN150" s="761"/>
      <c r="DO150" s="761"/>
      <c r="DP150" s="553"/>
      <c r="DQ150" s="553"/>
      <c r="DR150" s="553"/>
      <c r="DS150" s="553"/>
      <c r="DT150" s="553"/>
      <c r="DU150" s="553"/>
      <c r="DV150" s="553"/>
      <c r="DW150" s="553"/>
      <c r="DX150" s="553"/>
      <c r="DY150" s="553"/>
    </row>
    <row r="151" spans="1:129" customFormat="1" ht="24" customHeight="1" x14ac:dyDescent="0.9">
      <c r="A151" s="752"/>
      <c r="B151" s="588"/>
      <c r="C151" s="588"/>
      <c r="D151" s="588"/>
      <c r="E151" s="588"/>
      <c r="F151" s="588"/>
      <c r="G151" s="588"/>
      <c r="H151" s="588"/>
      <c r="I151" s="588"/>
      <c r="J151" s="588"/>
      <c r="K151" s="588"/>
      <c r="L151" s="753"/>
      <c r="M151" s="753"/>
      <c r="N151" s="588"/>
      <c r="O151" s="626"/>
      <c r="P151" s="588"/>
      <c r="Q151" s="626"/>
      <c r="R151" s="588"/>
      <c r="S151" s="588"/>
      <c r="T151" s="588"/>
      <c r="U151" s="588"/>
      <c r="V151" s="588"/>
      <c r="W151" s="588"/>
      <c r="X151" s="588"/>
      <c r="Y151" s="588"/>
      <c r="Z151" s="588"/>
      <c r="AA151" s="588"/>
      <c r="AB151" s="588"/>
      <c r="AC151" s="588"/>
      <c r="AD151" s="588"/>
      <c r="AE151" s="626"/>
      <c r="AF151" s="626"/>
      <c r="AG151" s="626"/>
      <c r="AH151" s="626"/>
      <c r="AI151" s="626"/>
      <c r="AJ151" s="626"/>
      <c r="AK151" s="626"/>
      <c r="AL151" s="626"/>
      <c r="AM151" s="626"/>
      <c r="AN151" s="626"/>
      <c r="AO151" s="626"/>
      <c r="AP151" s="626"/>
      <c r="AQ151" s="626"/>
      <c r="AR151" s="626"/>
      <c r="AS151" s="626"/>
      <c r="AT151" s="626"/>
      <c r="AU151" s="626"/>
      <c r="AV151" s="626"/>
      <c r="AW151" s="626"/>
      <c r="AX151" s="626"/>
      <c r="AY151" s="626"/>
      <c r="AZ151" s="626"/>
      <c r="BA151" s="626"/>
      <c r="BB151" s="588"/>
      <c r="BC151" s="626"/>
      <c r="BD151" s="626"/>
      <c r="BE151" s="626"/>
      <c r="BF151" s="626"/>
      <c r="BG151" s="626"/>
      <c r="BH151" s="626"/>
      <c r="BI151" s="588"/>
      <c r="BJ151" s="626"/>
      <c r="BK151" s="626"/>
      <c r="BL151" s="626"/>
      <c r="BM151" s="626"/>
      <c r="BN151" s="626"/>
      <c r="BO151" s="626"/>
      <c r="BP151" s="588"/>
      <c r="BQ151" s="846"/>
      <c r="BR151" s="850"/>
      <c r="BS151" s="588"/>
      <c r="BT151" s="754"/>
      <c r="BU151" s="588"/>
      <c r="BV151" s="588"/>
      <c r="BW151" s="588"/>
      <c r="BX151" s="588"/>
      <c r="BY151" s="588"/>
      <c r="BZ151" s="588"/>
      <c r="CA151" s="588"/>
      <c r="CB151" s="588"/>
      <c r="CC151" s="865"/>
      <c r="CD151" s="588"/>
      <c r="CE151" s="588"/>
      <c r="CF151" s="588"/>
      <c r="CG151" s="588"/>
      <c r="CH151" s="588"/>
      <c r="CI151" s="588"/>
      <c r="CJ151" s="588"/>
      <c r="CK151" s="588"/>
      <c r="CL151" s="588"/>
      <c r="CM151" s="588"/>
      <c r="CN151" s="588"/>
      <c r="CO151" s="588"/>
      <c r="CP151" s="816"/>
      <c r="CQ151" s="805"/>
      <c r="CR151" s="805"/>
      <c r="CS151" s="830"/>
      <c r="CT151" s="588"/>
      <c r="CU151" s="626"/>
      <c r="CV151" s="626"/>
      <c r="CW151" s="626"/>
      <c r="CX151" s="626"/>
      <c r="CY151" s="626"/>
      <c r="CZ151" s="626"/>
      <c r="DA151" s="626"/>
      <c r="DB151" s="626"/>
      <c r="DC151" s="626"/>
      <c r="DD151" s="626"/>
      <c r="DE151" s="626"/>
      <c r="DF151" s="626"/>
      <c r="DG151" s="626"/>
      <c r="DH151" s="626"/>
      <c r="DI151" s="626"/>
      <c r="DJ151" s="626"/>
      <c r="DK151" s="626"/>
      <c r="DL151" s="626"/>
      <c r="DM151" s="761"/>
      <c r="DN151" s="761"/>
      <c r="DO151" s="761"/>
      <c r="DP151" s="553"/>
      <c r="DQ151" s="553"/>
      <c r="DR151" s="553"/>
      <c r="DS151" s="553"/>
      <c r="DT151" s="553"/>
      <c r="DU151" s="553"/>
      <c r="DV151" s="553"/>
      <c r="DW151" s="553"/>
      <c r="DX151" s="553"/>
      <c r="DY151" s="553"/>
    </row>
    <row r="152" spans="1:129" customFormat="1" ht="24" customHeight="1" x14ac:dyDescent="0.9">
      <c r="A152" s="752"/>
      <c r="B152" s="588"/>
      <c r="C152" s="588"/>
      <c r="D152" s="588"/>
      <c r="E152" s="588"/>
      <c r="F152" s="588"/>
      <c r="G152" s="588"/>
      <c r="H152" s="588"/>
      <c r="I152" s="588"/>
      <c r="J152" s="588"/>
      <c r="K152" s="588"/>
      <c r="L152" s="753"/>
      <c r="M152" s="753"/>
      <c r="N152" s="588"/>
      <c r="O152" s="626"/>
      <c r="P152" s="588"/>
      <c r="Q152" s="626"/>
      <c r="R152" s="588"/>
      <c r="S152" s="588"/>
      <c r="T152" s="588"/>
      <c r="U152" s="588"/>
      <c r="V152" s="588"/>
      <c r="W152" s="588"/>
      <c r="X152" s="588"/>
      <c r="Y152" s="588"/>
      <c r="Z152" s="588"/>
      <c r="AA152" s="588"/>
      <c r="AB152" s="588"/>
      <c r="AC152" s="588"/>
      <c r="AD152" s="588"/>
      <c r="AE152" s="626"/>
      <c r="AF152" s="626"/>
      <c r="AG152" s="626"/>
      <c r="AH152" s="626"/>
      <c r="AI152" s="626"/>
      <c r="AJ152" s="626"/>
      <c r="AK152" s="626"/>
      <c r="AL152" s="626"/>
      <c r="AM152" s="626"/>
      <c r="AN152" s="626"/>
      <c r="AO152" s="626"/>
      <c r="AP152" s="626"/>
      <c r="AQ152" s="626"/>
      <c r="AR152" s="626"/>
      <c r="AS152" s="626"/>
      <c r="AT152" s="626"/>
      <c r="AU152" s="626"/>
      <c r="AV152" s="626"/>
      <c r="AW152" s="626"/>
      <c r="AX152" s="626"/>
      <c r="AY152" s="626"/>
      <c r="AZ152" s="626"/>
      <c r="BA152" s="626"/>
      <c r="BB152" s="588"/>
      <c r="BC152" s="626"/>
      <c r="BD152" s="626"/>
      <c r="BE152" s="626"/>
      <c r="BF152" s="626"/>
      <c r="BG152" s="626"/>
      <c r="BH152" s="626"/>
      <c r="BI152" s="588"/>
      <c r="BJ152" s="626"/>
      <c r="BK152" s="626"/>
      <c r="BL152" s="626"/>
      <c r="BM152" s="626"/>
      <c r="BN152" s="626"/>
      <c r="BO152" s="626"/>
      <c r="BP152" s="588"/>
      <c r="BQ152" s="846"/>
      <c r="BR152" s="850"/>
      <c r="BS152" s="588"/>
      <c r="BT152" s="754"/>
      <c r="BU152" s="588"/>
      <c r="BV152" s="588"/>
      <c r="BW152" s="588"/>
      <c r="BX152" s="588"/>
      <c r="BY152" s="588"/>
      <c r="BZ152" s="588"/>
      <c r="CA152" s="588"/>
      <c r="CB152" s="588"/>
      <c r="CC152" s="865"/>
      <c r="CD152" s="588"/>
      <c r="CE152" s="588"/>
      <c r="CF152" s="588"/>
      <c r="CG152" s="588"/>
      <c r="CH152" s="588"/>
      <c r="CI152" s="588"/>
      <c r="CJ152" s="588"/>
      <c r="CK152" s="588"/>
      <c r="CL152" s="588"/>
      <c r="CM152" s="588"/>
      <c r="CN152" s="588"/>
      <c r="CO152" s="588"/>
      <c r="CP152" s="816"/>
      <c r="CQ152" s="805"/>
      <c r="CR152" s="805"/>
      <c r="CS152" s="830"/>
      <c r="CT152" s="588"/>
      <c r="CU152" s="626"/>
      <c r="CV152" s="626"/>
      <c r="CW152" s="626"/>
      <c r="CX152" s="626"/>
      <c r="CY152" s="626"/>
      <c r="CZ152" s="626"/>
      <c r="DA152" s="626"/>
      <c r="DB152" s="626"/>
      <c r="DC152" s="626"/>
      <c r="DD152" s="626"/>
      <c r="DE152" s="626"/>
      <c r="DF152" s="626"/>
      <c r="DG152" s="626"/>
      <c r="DH152" s="626"/>
      <c r="DI152" s="626"/>
      <c r="DJ152" s="626"/>
      <c r="DK152" s="626"/>
      <c r="DL152" s="626"/>
      <c r="DM152" s="761"/>
      <c r="DN152" s="761"/>
      <c r="DO152" s="761"/>
      <c r="DP152" s="553"/>
      <c r="DQ152" s="553"/>
      <c r="DR152" s="553"/>
      <c r="DS152" s="553"/>
      <c r="DT152" s="553"/>
      <c r="DU152" s="553"/>
      <c r="DV152" s="553"/>
      <c r="DW152" s="553"/>
      <c r="DX152" s="553"/>
      <c r="DY152" s="553"/>
    </row>
    <row r="153" spans="1:129" customFormat="1" ht="24" customHeight="1" x14ac:dyDescent="0.9">
      <c r="A153" s="752"/>
      <c r="B153" s="588"/>
      <c r="C153" s="588"/>
      <c r="D153" s="588"/>
      <c r="E153" s="588"/>
      <c r="F153" s="588"/>
      <c r="G153" s="588"/>
      <c r="H153" s="588"/>
      <c r="I153" s="588"/>
      <c r="J153" s="588"/>
      <c r="K153" s="588"/>
      <c r="L153" s="753"/>
      <c r="M153" s="753"/>
      <c r="N153" s="588"/>
      <c r="O153" s="626"/>
      <c r="P153" s="588"/>
      <c r="Q153" s="626"/>
      <c r="R153" s="588"/>
      <c r="S153" s="588"/>
      <c r="T153" s="588"/>
      <c r="U153" s="588"/>
      <c r="V153" s="588"/>
      <c r="W153" s="588"/>
      <c r="X153" s="588"/>
      <c r="Y153" s="588"/>
      <c r="Z153" s="588"/>
      <c r="AA153" s="588"/>
      <c r="AB153" s="588"/>
      <c r="AC153" s="588"/>
      <c r="AD153" s="588"/>
      <c r="AE153" s="626"/>
      <c r="AF153" s="626"/>
      <c r="AG153" s="626"/>
      <c r="AH153" s="626"/>
      <c r="AI153" s="626"/>
      <c r="AJ153" s="626"/>
      <c r="AK153" s="626"/>
      <c r="AL153" s="626"/>
      <c r="AM153" s="626"/>
      <c r="AN153" s="626"/>
      <c r="AO153" s="626"/>
      <c r="AP153" s="626"/>
      <c r="AQ153" s="626"/>
      <c r="AR153" s="626"/>
      <c r="AS153" s="626"/>
      <c r="AT153" s="626"/>
      <c r="AU153" s="626"/>
      <c r="AV153" s="626"/>
      <c r="AW153" s="626"/>
      <c r="AX153" s="626"/>
      <c r="AY153" s="626"/>
      <c r="AZ153" s="626"/>
      <c r="BA153" s="626"/>
      <c r="BB153" s="588"/>
      <c r="BC153" s="626"/>
      <c r="BD153" s="626"/>
      <c r="BE153" s="626"/>
      <c r="BF153" s="626"/>
      <c r="BG153" s="626"/>
      <c r="BH153" s="626"/>
      <c r="BI153" s="588"/>
      <c r="BJ153" s="626"/>
      <c r="BK153" s="626"/>
      <c r="BL153" s="626"/>
      <c r="BM153" s="626"/>
      <c r="BN153" s="626"/>
      <c r="BO153" s="626"/>
      <c r="BP153" s="588"/>
      <c r="BQ153" s="846"/>
      <c r="BR153" s="850"/>
      <c r="BS153" s="588"/>
      <c r="BT153" s="754"/>
      <c r="BU153" s="588"/>
      <c r="BV153" s="588"/>
      <c r="BW153" s="588"/>
      <c r="BX153" s="588"/>
      <c r="BY153" s="588"/>
      <c r="BZ153" s="588"/>
      <c r="CA153" s="588"/>
      <c r="CB153" s="588"/>
      <c r="CC153" s="865"/>
      <c r="CD153" s="588"/>
      <c r="CE153" s="588"/>
      <c r="CF153" s="588"/>
      <c r="CG153" s="588"/>
      <c r="CH153" s="588"/>
      <c r="CI153" s="588"/>
      <c r="CJ153" s="588"/>
      <c r="CK153" s="588"/>
      <c r="CL153" s="588"/>
      <c r="CM153" s="588"/>
      <c r="CN153" s="588"/>
      <c r="CO153" s="588"/>
      <c r="CP153" s="816"/>
      <c r="CQ153" s="805"/>
      <c r="CR153" s="805"/>
      <c r="CS153" s="830"/>
      <c r="CT153" s="588"/>
      <c r="CU153" s="626"/>
      <c r="CV153" s="626"/>
      <c r="CW153" s="626"/>
      <c r="CX153" s="626"/>
      <c r="CY153" s="626"/>
      <c r="CZ153" s="626"/>
      <c r="DA153" s="626"/>
      <c r="DB153" s="626"/>
      <c r="DC153" s="626"/>
      <c r="DD153" s="626"/>
      <c r="DE153" s="626"/>
      <c r="DF153" s="626"/>
      <c r="DG153" s="626"/>
      <c r="DH153" s="626"/>
      <c r="DI153" s="626"/>
      <c r="DJ153" s="626"/>
      <c r="DK153" s="626"/>
      <c r="DL153" s="626"/>
      <c r="DM153" s="761"/>
      <c r="DN153" s="761"/>
      <c r="DO153" s="761"/>
      <c r="DP153" s="553"/>
      <c r="DQ153" s="553"/>
      <c r="DR153" s="553"/>
      <c r="DS153" s="553"/>
      <c r="DT153" s="553"/>
      <c r="DU153" s="553"/>
      <c r="DV153" s="553"/>
      <c r="DW153" s="553"/>
      <c r="DX153" s="553"/>
      <c r="DY153" s="553"/>
    </row>
    <row r="154" spans="1:129" customFormat="1" ht="24" customHeight="1" x14ac:dyDescent="0.9">
      <c r="A154" s="752"/>
      <c r="B154" s="588"/>
      <c r="C154" s="588"/>
      <c r="D154" s="588"/>
      <c r="E154" s="588"/>
      <c r="F154" s="588"/>
      <c r="G154" s="588"/>
      <c r="H154" s="588"/>
      <c r="I154" s="588"/>
      <c r="J154" s="588"/>
      <c r="K154" s="588"/>
      <c r="L154" s="753"/>
      <c r="M154" s="753"/>
      <c r="N154" s="588"/>
      <c r="O154" s="626"/>
      <c r="P154" s="588"/>
      <c r="Q154" s="626"/>
      <c r="R154" s="588"/>
      <c r="S154" s="588"/>
      <c r="T154" s="588"/>
      <c r="U154" s="588"/>
      <c r="V154" s="588"/>
      <c r="W154" s="588"/>
      <c r="X154" s="588"/>
      <c r="Y154" s="588"/>
      <c r="Z154" s="588"/>
      <c r="AA154" s="588"/>
      <c r="AB154" s="588"/>
      <c r="AC154" s="588"/>
      <c r="AD154" s="588"/>
      <c r="AE154" s="626"/>
      <c r="AF154" s="626"/>
      <c r="AG154" s="626"/>
      <c r="AH154" s="626"/>
      <c r="AI154" s="626"/>
      <c r="AJ154" s="626"/>
      <c r="AK154" s="626"/>
      <c r="AL154" s="626"/>
      <c r="AM154" s="626"/>
      <c r="AN154" s="626"/>
      <c r="AO154" s="626"/>
      <c r="AP154" s="626"/>
      <c r="AQ154" s="626"/>
      <c r="AR154" s="626"/>
      <c r="AS154" s="626"/>
      <c r="AT154" s="626"/>
      <c r="AU154" s="626"/>
      <c r="AV154" s="626"/>
      <c r="AW154" s="626"/>
      <c r="AX154" s="626"/>
      <c r="AY154" s="626"/>
      <c r="AZ154" s="626"/>
      <c r="BA154" s="626"/>
      <c r="BB154" s="588"/>
      <c r="BC154" s="626"/>
      <c r="BD154" s="626"/>
      <c r="BE154" s="626"/>
      <c r="BF154" s="626"/>
      <c r="BG154" s="626"/>
      <c r="BH154" s="626"/>
      <c r="BI154" s="588"/>
      <c r="BJ154" s="626"/>
      <c r="BK154" s="626"/>
      <c r="BL154" s="626"/>
      <c r="BM154" s="626"/>
      <c r="BN154" s="626"/>
      <c r="BO154" s="626"/>
      <c r="BP154" s="588"/>
      <c r="BQ154" s="846"/>
      <c r="BR154" s="850"/>
      <c r="BS154" s="588"/>
      <c r="BT154" s="754"/>
      <c r="BU154" s="588"/>
      <c r="BV154" s="588"/>
      <c r="BW154" s="588"/>
      <c r="BX154" s="588"/>
      <c r="BY154" s="588"/>
      <c r="BZ154" s="588"/>
      <c r="CA154" s="588"/>
      <c r="CB154" s="588"/>
      <c r="CC154" s="865"/>
      <c r="CD154" s="588"/>
      <c r="CE154" s="588"/>
      <c r="CF154" s="588"/>
      <c r="CG154" s="588"/>
      <c r="CH154" s="588"/>
      <c r="CI154" s="588"/>
      <c r="CJ154" s="588"/>
      <c r="CK154" s="588"/>
      <c r="CL154" s="588"/>
      <c r="CM154" s="588"/>
      <c r="CN154" s="588"/>
      <c r="CO154" s="588"/>
      <c r="CP154" s="816"/>
      <c r="CQ154" s="805"/>
      <c r="CR154" s="805"/>
      <c r="CS154" s="830"/>
      <c r="CT154" s="588"/>
      <c r="CU154" s="626"/>
      <c r="CV154" s="626"/>
      <c r="CW154" s="626"/>
      <c r="CX154" s="626"/>
      <c r="CY154" s="626"/>
      <c r="CZ154" s="626"/>
      <c r="DA154" s="626"/>
      <c r="DB154" s="626"/>
      <c r="DC154" s="626"/>
      <c r="DD154" s="626"/>
      <c r="DE154" s="626"/>
      <c r="DF154" s="626"/>
      <c r="DG154" s="626"/>
      <c r="DH154" s="626"/>
      <c r="DI154" s="626"/>
      <c r="DJ154" s="626"/>
      <c r="DK154" s="626"/>
      <c r="DL154" s="626"/>
      <c r="DM154" s="761"/>
      <c r="DN154" s="761"/>
      <c r="DO154" s="761"/>
      <c r="DP154" s="553"/>
      <c r="DQ154" s="553"/>
      <c r="DR154" s="553"/>
      <c r="DS154" s="553"/>
      <c r="DT154" s="553"/>
      <c r="DU154" s="553"/>
      <c r="DV154" s="553"/>
      <c r="DW154" s="553"/>
      <c r="DX154" s="553"/>
      <c r="DY154" s="553"/>
    </row>
    <row r="155" spans="1:129" customFormat="1" ht="24" customHeight="1" x14ac:dyDescent="0.9">
      <c r="A155" s="752"/>
      <c r="B155" s="588"/>
      <c r="C155" s="588"/>
      <c r="D155" s="588"/>
      <c r="E155" s="588"/>
      <c r="F155" s="588"/>
      <c r="G155" s="588"/>
      <c r="H155" s="588"/>
      <c r="I155" s="588"/>
      <c r="J155" s="588"/>
      <c r="K155" s="588"/>
      <c r="L155" s="753"/>
      <c r="M155" s="753"/>
      <c r="N155" s="588"/>
      <c r="O155" s="626"/>
      <c r="P155" s="588"/>
      <c r="Q155" s="626"/>
      <c r="R155" s="588"/>
      <c r="S155" s="588"/>
      <c r="T155" s="588"/>
      <c r="U155" s="588"/>
      <c r="V155" s="588"/>
      <c r="W155" s="588"/>
      <c r="X155" s="588"/>
      <c r="Y155" s="588"/>
      <c r="Z155" s="588"/>
      <c r="AA155" s="588"/>
      <c r="AB155" s="588"/>
      <c r="AC155" s="588"/>
      <c r="AD155" s="588"/>
      <c r="AE155" s="626"/>
      <c r="AF155" s="626"/>
      <c r="AG155" s="626"/>
      <c r="AH155" s="626"/>
      <c r="AI155" s="626"/>
      <c r="AJ155" s="626"/>
      <c r="AK155" s="626"/>
      <c r="AL155" s="626"/>
      <c r="AM155" s="626"/>
      <c r="AN155" s="626"/>
      <c r="AO155" s="626"/>
      <c r="AP155" s="626"/>
      <c r="AQ155" s="626"/>
      <c r="AR155" s="626"/>
      <c r="AS155" s="626"/>
      <c r="AT155" s="626"/>
      <c r="AU155" s="626"/>
      <c r="AV155" s="626"/>
      <c r="AW155" s="626"/>
      <c r="AX155" s="626"/>
      <c r="AY155" s="626"/>
      <c r="AZ155" s="626"/>
      <c r="BA155" s="626"/>
      <c r="BB155" s="588"/>
      <c r="BC155" s="626"/>
      <c r="BD155" s="626"/>
      <c r="BE155" s="626"/>
      <c r="BF155" s="626"/>
      <c r="BG155" s="626"/>
      <c r="BH155" s="626"/>
      <c r="BI155" s="588"/>
      <c r="BJ155" s="626"/>
      <c r="BK155" s="626"/>
      <c r="BL155" s="626"/>
      <c r="BM155" s="626"/>
      <c r="BN155" s="626"/>
      <c r="BO155" s="626"/>
      <c r="BP155" s="588"/>
      <c r="BQ155" s="846"/>
      <c r="BR155" s="850"/>
      <c r="BS155" s="588"/>
      <c r="BT155" s="754"/>
      <c r="BU155" s="588"/>
      <c r="BV155" s="588"/>
      <c r="BW155" s="588"/>
      <c r="BX155" s="588"/>
      <c r="BY155" s="588"/>
      <c r="BZ155" s="588"/>
      <c r="CA155" s="588"/>
      <c r="CB155" s="588"/>
      <c r="CC155" s="865"/>
      <c r="CD155" s="588"/>
      <c r="CE155" s="588"/>
      <c r="CF155" s="588"/>
      <c r="CG155" s="588"/>
      <c r="CH155" s="588"/>
      <c r="CI155" s="588"/>
      <c r="CJ155" s="588"/>
      <c r="CK155" s="588"/>
      <c r="CL155" s="588"/>
      <c r="CM155" s="588"/>
      <c r="CN155" s="588"/>
      <c r="CO155" s="588"/>
      <c r="CP155" s="816"/>
      <c r="CQ155" s="805"/>
      <c r="CR155" s="805"/>
      <c r="CS155" s="830"/>
      <c r="CT155" s="588"/>
      <c r="CU155" s="626"/>
      <c r="CV155" s="626"/>
      <c r="CW155" s="626"/>
      <c r="CX155" s="626"/>
      <c r="CY155" s="626"/>
      <c r="CZ155" s="626"/>
      <c r="DA155" s="626"/>
      <c r="DB155" s="626"/>
      <c r="DC155" s="626"/>
      <c r="DD155" s="626"/>
      <c r="DE155" s="626"/>
      <c r="DF155" s="626"/>
      <c r="DG155" s="626"/>
      <c r="DH155" s="626"/>
      <c r="DI155" s="626"/>
      <c r="DJ155" s="626"/>
      <c r="DK155" s="626"/>
      <c r="DL155" s="626"/>
      <c r="DM155" s="761"/>
      <c r="DN155" s="761"/>
      <c r="DO155" s="761"/>
      <c r="DP155" s="553"/>
      <c r="DQ155" s="553"/>
      <c r="DR155" s="553"/>
      <c r="DS155" s="553"/>
      <c r="DT155" s="553"/>
      <c r="DU155" s="553"/>
      <c r="DV155" s="553"/>
      <c r="DW155" s="553"/>
      <c r="DX155" s="553"/>
      <c r="DY155" s="553"/>
    </row>
    <row r="156" spans="1:129" customFormat="1" ht="24" customHeight="1" x14ac:dyDescent="0.9">
      <c r="A156" s="752"/>
      <c r="B156" s="588"/>
      <c r="C156" s="588"/>
      <c r="D156" s="588"/>
      <c r="E156" s="588"/>
      <c r="F156" s="588"/>
      <c r="G156" s="588"/>
      <c r="H156" s="588"/>
      <c r="I156" s="588"/>
      <c r="J156" s="588"/>
      <c r="K156" s="588"/>
      <c r="L156" s="753"/>
      <c r="M156" s="753"/>
      <c r="N156" s="588"/>
      <c r="O156" s="626"/>
      <c r="P156" s="588"/>
      <c r="Q156" s="626"/>
      <c r="R156" s="588"/>
      <c r="S156" s="588"/>
      <c r="T156" s="588"/>
      <c r="U156" s="588"/>
      <c r="V156" s="588"/>
      <c r="W156" s="588"/>
      <c r="X156" s="588"/>
      <c r="Y156" s="588"/>
      <c r="Z156" s="588"/>
      <c r="AA156" s="588"/>
      <c r="AB156" s="588"/>
      <c r="AC156" s="588"/>
      <c r="AD156" s="588"/>
      <c r="AE156" s="626"/>
      <c r="AF156" s="626"/>
      <c r="AG156" s="626"/>
      <c r="AH156" s="626"/>
      <c r="AI156" s="626"/>
      <c r="AJ156" s="626"/>
      <c r="AK156" s="626"/>
      <c r="AL156" s="626"/>
      <c r="AM156" s="626"/>
      <c r="AN156" s="626"/>
      <c r="AO156" s="626"/>
      <c r="AP156" s="626"/>
      <c r="AQ156" s="626"/>
      <c r="AR156" s="626"/>
      <c r="AS156" s="626"/>
      <c r="AT156" s="626"/>
      <c r="AU156" s="626"/>
      <c r="AV156" s="626"/>
      <c r="AW156" s="626"/>
      <c r="AX156" s="626"/>
      <c r="AY156" s="626"/>
      <c r="AZ156" s="626"/>
      <c r="BA156" s="626"/>
      <c r="BB156" s="588"/>
      <c r="BC156" s="626"/>
      <c r="BD156" s="626"/>
      <c r="BE156" s="626"/>
      <c r="BF156" s="626"/>
      <c r="BG156" s="626"/>
      <c r="BH156" s="626"/>
      <c r="BI156" s="588"/>
      <c r="BJ156" s="626"/>
      <c r="BK156" s="626"/>
      <c r="BL156" s="626"/>
      <c r="BM156" s="626"/>
      <c r="BN156" s="626"/>
      <c r="BO156" s="626"/>
      <c r="BP156" s="588"/>
      <c r="BQ156" s="846"/>
      <c r="BR156" s="850"/>
      <c r="BS156" s="588"/>
      <c r="BT156" s="754"/>
      <c r="BU156" s="588"/>
      <c r="BV156" s="588"/>
      <c r="BW156" s="588"/>
      <c r="BX156" s="588"/>
      <c r="BY156" s="588"/>
      <c r="BZ156" s="588"/>
      <c r="CA156" s="588"/>
      <c r="CB156" s="588"/>
      <c r="CC156" s="865"/>
      <c r="CD156" s="588"/>
      <c r="CE156" s="588"/>
      <c r="CF156" s="588"/>
      <c r="CG156" s="588"/>
      <c r="CH156" s="588"/>
      <c r="CI156" s="588"/>
      <c r="CJ156" s="588"/>
      <c r="CK156" s="588"/>
      <c r="CL156" s="588"/>
      <c r="CM156" s="588"/>
      <c r="CN156" s="588"/>
      <c r="CO156" s="588"/>
      <c r="CP156" s="816"/>
      <c r="CQ156" s="805"/>
      <c r="CR156" s="805"/>
      <c r="CS156" s="830"/>
      <c r="CT156" s="588"/>
      <c r="CU156" s="626"/>
      <c r="CV156" s="626"/>
      <c r="CW156" s="626"/>
      <c r="CX156" s="626"/>
      <c r="CY156" s="626"/>
      <c r="CZ156" s="626"/>
      <c r="DA156" s="626"/>
      <c r="DB156" s="626"/>
      <c r="DC156" s="626"/>
      <c r="DD156" s="626"/>
      <c r="DE156" s="626"/>
      <c r="DF156" s="626"/>
      <c r="DG156" s="626"/>
      <c r="DH156" s="626"/>
      <c r="DI156" s="626"/>
      <c r="DJ156" s="626"/>
      <c r="DK156" s="626"/>
      <c r="DL156" s="626"/>
      <c r="DM156" s="761"/>
      <c r="DN156" s="761"/>
      <c r="DO156" s="761"/>
      <c r="DP156" s="553"/>
      <c r="DQ156" s="553"/>
      <c r="DR156" s="553"/>
      <c r="DS156" s="553"/>
      <c r="DT156" s="553"/>
      <c r="DU156" s="553"/>
      <c r="DV156" s="553"/>
      <c r="DW156" s="553"/>
      <c r="DX156" s="553"/>
      <c r="DY156" s="553"/>
    </row>
    <row r="157" spans="1:129" customFormat="1" ht="24" customHeight="1" x14ac:dyDescent="0.9">
      <c r="A157" s="752"/>
      <c r="B157" s="588"/>
      <c r="C157" s="588"/>
      <c r="D157" s="588"/>
      <c r="E157" s="588"/>
      <c r="F157" s="588"/>
      <c r="G157" s="588"/>
      <c r="H157" s="588"/>
      <c r="I157" s="588"/>
      <c r="J157" s="588"/>
      <c r="K157" s="588"/>
      <c r="L157" s="753"/>
      <c r="M157" s="753"/>
      <c r="N157" s="588"/>
      <c r="O157" s="626"/>
      <c r="P157" s="588"/>
      <c r="Q157" s="626"/>
      <c r="R157" s="588"/>
      <c r="S157" s="588"/>
      <c r="T157" s="588"/>
      <c r="U157" s="588"/>
      <c r="V157" s="588"/>
      <c r="W157" s="588"/>
      <c r="X157" s="588"/>
      <c r="Y157" s="588"/>
      <c r="Z157" s="588"/>
      <c r="AA157" s="588"/>
      <c r="AB157" s="588"/>
      <c r="AC157" s="588"/>
      <c r="AD157" s="588"/>
      <c r="AE157" s="626"/>
      <c r="AF157" s="626"/>
      <c r="AG157" s="626"/>
      <c r="AH157" s="626"/>
      <c r="AI157" s="626"/>
      <c r="AJ157" s="626"/>
      <c r="AK157" s="626"/>
      <c r="AL157" s="626"/>
      <c r="AM157" s="626"/>
      <c r="AN157" s="626"/>
      <c r="AO157" s="626"/>
      <c r="AP157" s="626"/>
      <c r="AQ157" s="626"/>
      <c r="AR157" s="626"/>
      <c r="AS157" s="626"/>
      <c r="AT157" s="626"/>
      <c r="AU157" s="626"/>
      <c r="AV157" s="626"/>
      <c r="AW157" s="626"/>
      <c r="AX157" s="626"/>
      <c r="AY157" s="626"/>
      <c r="AZ157" s="626"/>
      <c r="BA157" s="626"/>
      <c r="BB157" s="588"/>
      <c r="BC157" s="626"/>
      <c r="BD157" s="626"/>
      <c r="BE157" s="626"/>
      <c r="BF157" s="626"/>
      <c r="BG157" s="626"/>
      <c r="BH157" s="626"/>
      <c r="BI157" s="588"/>
      <c r="BJ157" s="626"/>
      <c r="BK157" s="626"/>
      <c r="BL157" s="626"/>
      <c r="BM157" s="626"/>
      <c r="BN157" s="626"/>
      <c r="BO157" s="626"/>
      <c r="BP157" s="588"/>
      <c r="BQ157" s="846"/>
      <c r="BR157" s="850"/>
      <c r="BS157" s="588"/>
      <c r="BT157" s="754"/>
      <c r="BU157" s="588"/>
      <c r="BV157" s="588"/>
      <c r="BW157" s="588"/>
      <c r="BX157" s="588"/>
      <c r="BY157" s="588"/>
      <c r="BZ157" s="588"/>
      <c r="CA157" s="588"/>
      <c r="CB157" s="588"/>
      <c r="CC157" s="865"/>
      <c r="CD157" s="588"/>
      <c r="CE157" s="588"/>
      <c r="CF157" s="588"/>
      <c r="CG157" s="588"/>
      <c r="CH157" s="588"/>
      <c r="CI157" s="588"/>
      <c r="CJ157" s="588"/>
      <c r="CK157" s="588"/>
      <c r="CL157" s="588"/>
      <c r="CM157" s="588"/>
      <c r="CN157" s="588"/>
      <c r="CO157" s="588"/>
      <c r="CP157" s="816"/>
      <c r="CQ157" s="805"/>
      <c r="CR157" s="805"/>
      <c r="CS157" s="830"/>
      <c r="CT157" s="588"/>
      <c r="CU157" s="626"/>
      <c r="CV157" s="626"/>
      <c r="CW157" s="626"/>
      <c r="CX157" s="626"/>
      <c r="CY157" s="626"/>
      <c r="CZ157" s="626"/>
      <c r="DA157" s="626"/>
      <c r="DB157" s="626"/>
      <c r="DC157" s="626"/>
      <c r="DD157" s="626"/>
      <c r="DE157" s="626"/>
      <c r="DF157" s="626"/>
      <c r="DG157" s="626"/>
      <c r="DH157" s="626"/>
      <c r="DI157" s="626"/>
      <c r="DJ157" s="626"/>
      <c r="DK157" s="626"/>
      <c r="DL157" s="626"/>
      <c r="DM157" s="761"/>
      <c r="DN157" s="761"/>
      <c r="DO157" s="761"/>
      <c r="DP157" s="553"/>
      <c r="DQ157" s="553"/>
      <c r="DR157" s="553"/>
      <c r="DS157" s="553"/>
      <c r="DT157" s="553"/>
      <c r="DU157" s="553"/>
      <c r="DV157" s="553"/>
      <c r="DW157" s="553"/>
      <c r="DX157" s="553"/>
      <c r="DY157" s="553"/>
    </row>
    <row r="158" spans="1:129" customFormat="1" ht="24" customHeight="1" x14ac:dyDescent="0.9">
      <c r="A158" s="752"/>
      <c r="B158" s="588"/>
      <c r="C158" s="588"/>
      <c r="D158" s="588"/>
      <c r="E158" s="588"/>
      <c r="F158" s="588"/>
      <c r="G158" s="588"/>
      <c r="H158" s="588"/>
      <c r="I158" s="588"/>
      <c r="J158" s="588"/>
      <c r="K158" s="588"/>
      <c r="L158" s="753"/>
      <c r="M158" s="753"/>
      <c r="N158" s="588"/>
      <c r="O158" s="626"/>
      <c r="P158" s="588"/>
      <c r="Q158" s="626"/>
      <c r="R158" s="588"/>
      <c r="S158" s="588"/>
      <c r="T158" s="588"/>
      <c r="U158" s="588"/>
      <c r="V158" s="588"/>
      <c r="W158" s="588"/>
      <c r="X158" s="588"/>
      <c r="Y158" s="588"/>
      <c r="Z158" s="588"/>
      <c r="AA158" s="588"/>
      <c r="AB158" s="588"/>
      <c r="AC158" s="588"/>
      <c r="AD158" s="588"/>
      <c r="AE158" s="626"/>
      <c r="AF158" s="626"/>
      <c r="AG158" s="626"/>
      <c r="AH158" s="626"/>
      <c r="AI158" s="626"/>
      <c r="AJ158" s="626"/>
      <c r="AK158" s="626"/>
      <c r="AL158" s="626"/>
      <c r="AM158" s="626"/>
      <c r="AN158" s="626"/>
      <c r="AO158" s="626"/>
      <c r="AP158" s="626"/>
      <c r="AQ158" s="626"/>
      <c r="AR158" s="626"/>
      <c r="AS158" s="626"/>
      <c r="AT158" s="626"/>
      <c r="AU158" s="626"/>
      <c r="AV158" s="626"/>
      <c r="AW158" s="626"/>
      <c r="AX158" s="626"/>
      <c r="AY158" s="626"/>
      <c r="AZ158" s="626"/>
      <c r="BA158" s="626"/>
      <c r="BB158" s="588"/>
      <c r="BC158" s="626"/>
      <c r="BD158" s="626"/>
      <c r="BE158" s="626"/>
      <c r="BF158" s="626"/>
      <c r="BG158" s="626"/>
      <c r="BH158" s="626"/>
      <c r="BI158" s="588"/>
      <c r="BJ158" s="626"/>
      <c r="BK158" s="626"/>
      <c r="BL158" s="626"/>
      <c r="BM158" s="626"/>
      <c r="BN158" s="626"/>
      <c r="BO158" s="626"/>
      <c r="BP158" s="588"/>
      <c r="BQ158" s="846"/>
      <c r="BR158" s="850"/>
      <c r="BS158" s="588"/>
      <c r="BT158" s="754"/>
      <c r="BU158" s="588"/>
      <c r="BV158" s="588"/>
      <c r="BW158" s="588"/>
      <c r="BX158" s="588"/>
      <c r="BY158" s="588"/>
      <c r="BZ158" s="588"/>
      <c r="CA158" s="588"/>
      <c r="CB158" s="588"/>
      <c r="CC158" s="865"/>
      <c r="CD158" s="588"/>
      <c r="CE158" s="588"/>
      <c r="CF158" s="588"/>
      <c r="CG158" s="588"/>
      <c r="CH158" s="588"/>
      <c r="CI158" s="588"/>
      <c r="CJ158" s="588"/>
      <c r="CK158" s="588"/>
      <c r="CL158" s="588"/>
      <c r="CM158" s="588"/>
      <c r="CN158" s="588"/>
      <c r="CO158" s="588"/>
      <c r="CP158" s="816"/>
      <c r="CQ158" s="805"/>
      <c r="CR158" s="805"/>
      <c r="CS158" s="830"/>
      <c r="CT158" s="588"/>
      <c r="CU158" s="626"/>
      <c r="CV158" s="626"/>
      <c r="CW158" s="626"/>
      <c r="CX158" s="626"/>
      <c r="CY158" s="626"/>
      <c r="CZ158" s="626"/>
      <c r="DA158" s="626"/>
      <c r="DB158" s="626"/>
      <c r="DC158" s="626"/>
      <c r="DD158" s="626"/>
      <c r="DE158" s="626"/>
      <c r="DF158" s="626"/>
      <c r="DG158" s="626"/>
      <c r="DH158" s="626"/>
      <c r="DI158" s="626"/>
      <c r="DJ158" s="626"/>
      <c r="DK158" s="626"/>
      <c r="DL158" s="626"/>
      <c r="DM158" s="761"/>
      <c r="DN158" s="761"/>
      <c r="DO158" s="761"/>
      <c r="DP158" s="553"/>
      <c r="DQ158" s="553"/>
      <c r="DR158" s="553"/>
      <c r="DS158" s="553"/>
      <c r="DT158" s="553"/>
      <c r="DU158" s="553"/>
      <c r="DV158" s="553"/>
      <c r="DW158" s="553"/>
      <c r="DX158" s="553"/>
      <c r="DY158" s="553"/>
    </row>
    <row r="159" spans="1:129" customFormat="1" ht="24" customHeight="1" x14ac:dyDescent="0.9">
      <c r="A159" s="752"/>
      <c r="B159" s="588"/>
      <c r="C159" s="588"/>
      <c r="D159" s="588"/>
      <c r="E159" s="588"/>
      <c r="F159" s="588"/>
      <c r="G159" s="588"/>
      <c r="H159" s="588"/>
      <c r="I159" s="588"/>
      <c r="J159" s="588"/>
      <c r="K159" s="588"/>
      <c r="L159" s="753"/>
      <c r="M159" s="753"/>
      <c r="N159" s="588"/>
      <c r="O159" s="626"/>
      <c r="P159" s="588"/>
      <c r="Q159" s="626"/>
      <c r="R159" s="588"/>
      <c r="S159" s="588"/>
      <c r="T159" s="588"/>
      <c r="U159" s="588"/>
      <c r="V159" s="588"/>
      <c r="W159" s="588"/>
      <c r="X159" s="588"/>
      <c r="Y159" s="588"/>
      <c r="Z159" s="588"/>
      <c r="AA159" s="588"/>
      <c r="AB159" s="588"/>
      <c r="AC159" s="588"/>
      <c r="AD159" s="588"/>
      <c r="AE159" s="626"/>
      <c r="AF159" s="626"/>
      <c r="AG159" s="626"/>
      <c r="AH159" s="626"/>
      <c r="AI159" s="626"/>
      <c r="AJ159" s="626"/>
      <c r="AK159" s="626"/>
      <c r="AL159" s="626"/>
      <c r="AM159" s="626"/>
      <c r="AN159" s="626"/>
      <c r="AO159" s="626"/>
      <c r="AP159" s="626"/>
      <c r="AQ159" s="626"/>
      <c r="AR159" s="626"/>
      <c r="AS159" s="626"/>
      <c r="AT159" s="626"/>
      <c r="AU159" s="626"/>
      <c r="AV159" s="626"/>
      <c r="AW159" s="626"/>
      <c r="AX159" s="626"/>
      <c r="AY159" s="626"/>
      <c r="AZ159" s="626"/>
      <c r="BA159" s="626"/>
      <c r="BB159" s="588"/>
      <c r="BC159" s="626"/>
      <c r="BD159" s="626"/>
      <c r="BE159" s="626"/>
      <c r="BF159" s="626"/>
      <c r="BG159" s="626"/>
      <c r="BH159" s="626"/>
      <c r="BI159" s="588"/>
      <c r="BJ159" s="626"/>
      <c r="BK159" s="626"/>
      <c r="BL159" s="626"/>
      <c r="BM159" s="626"/>
      <c r="BN159" s="626"/>
      <c r="BO159" s="626"/>
      <c r="BP159" s="588"/>
      <c r="BQ159" s="846"/>
      <c r="BR159" s="850"/>
      <c r="BS159" s="588"/>
      <c r="BT159" s="754"/>
      <c r="BU159" s="588"/>
      <c r="BV159" s="588"/>
      <c r="BW159" s="588"/>
      <c r="BX159" s="588"/>
      <c r="BY159" s="588"/>
      <c r="BZ159" s="588"/>
      <c r="CA159" s="588"/>
      <c r="CB159" s="588"/>
      <c r="CC159" s="865"/>
      <c r="CD159" s="588"/>
      <c r="CE159" s="588"/>
      <c r="CF159" s="588"/>
      <c r="CG159" s="588"/>
      <c r="CH159" s="588"/>
      <c r="CI159" s="588"/>
      <c r="CJ159" s="588"/>
      <c r="CK159" s="588"/>
      <c r="CL159" s="588"/>
      <c r="CM159" s="588"/>
      <c r="CN159" s="588"/>
      <c r="CO159" s="588"/>
      <c r="CP159" s="816"/>
      <c r="CQ159" s="805"/>
      <c r="CR159" s="805"/>
      <c r="CS159" s="830"/>
      <c r="CT159" s="588"/>
      <c r="CU159" s="626"/>
      <c r="CV159" s="626"/>
      <c r="CW159" s="626"/>
      <c r="CX159" s="626"/>
      <c r="CY159" s="626"/>
      <c r="CZ159" s="626"/>
      <c r="DA159" s="626"/>
      <c r="DB159" s="626"/>
      <c r="DC159" s="626"/>
      <c r="DD159" s="626"/>
      <c r="DE159" s="626"/>
      <c r="DF159" s="626"/>
      <c r="DG159" s="626"/>
      <c r="DH159" s="626"/>
      <c r="DI159" s="626"/>
      <c r="DJ159" s="626"/>
      <c r="DK159" s="626"/>
      <c r="DL159" s="626"/>
      <c r="DM159" s="761"/>
      <c r="DN159" s="761"/>
      <c r="DO159" s="761"/>
      <c r="DP159" s="553"/>
      <c r="DQ159" s="553"/>
      <c r="DR159" s="553"/>
      <c r="DS159" s="553"/>
      <c r="DT159" s="553"/>
      <c r="DU159" s="553"/>
      <c r="DV159" s="553"/>
      <c r="DW159" s="553"/>
      <c r="DX159" s="553"/>
      <c r="DY159" s="553"/>
    </row>
    <row r="160" spans="1:129" customFormat="1" ht="24" customHeight="1" x14ac:dyDescent="0.9">
      <c r="A160" s="752"/>
      <c r="B160" s="588"/>
      <c r="C160" s="588"/>
      <c r="D160" s="588"/>
      <c r="E160" s="588"/>
      <c r="F160" s="588"/>
      <c r="G160" s="588"/>
      <c r="H160" s="588"/>
      <c r="I160" s="588"/>
      <c r="J160" s="588"/>
      <c r="K160" s="588"/>
      <c r="L160" s="753"/>
      <c r="M160" s="753"/>
      <c r="N160" s="588"/>
      <c r="O160" s="626"/>
      <c r="P160" s="588"/>
      <c r="Q160" s="626"/>
      <c r="R160" s="588"/>
      <c r="S160" s="588"/>
      <c r="T160" s="588"/>
      <c r="U160" s="588"/>
      <c r="V160" s="588"/>
      <c r="W160" s="588"/>
      <c r="X160" s="588"/>
      <c r="Y160" s="588"/>
      <c r="Z160" s="588"/>
      <c r="AA160" s="588"/>
      <c r="AB160" s="588"/>
      <c r="AC160" s="588"/>
      <c r="AD160" s="588"/>
      <c r="AE160" s="626"/>
      <c r="AF160" s="626"/>
      <c r="AG160" s="626"/>
      <c r="AH160" s="626"/>
      <c r="AI160" s="626"/>
      <c r="AJ160" s="626"/>
      <c r="AK160" s="626"/>
      <c r="AL160" s="626"/>
      <c r="AM160" s="626"/>
      <c r="AN160" s="626"/>
      <c r="AO160" s="626"/>
      <c r="AP160" s="626"/>
      <c r="AQ160" s="626"/>
      <c r="AR160" s="626"/>
      <c r="AS160" s="626"/>
      <c r="AT160" s="626"/>
      <c r="AU160" s="626"/>
      <c r="AV160" s="626"/>
      <c r="AW160" s="626"/>
      <c r="AX160" s="626"/>
      <c r="AY160" s="626"/>
      <c r="AZ160" s="626"/>
      <c r="BA160" s="626"/>
      <c r="BB160" s="588"/>
      <c r="BC160" s="626"/>
      <c r="BD160" s="626"/>
      <c r="BE160" s="626"/>
      <c r="BF160" s="626"/>
      <c r="BG160" s="626"/>
      <c r="BH160" s="626"/>
      <c r="BI160" s="588"/>
      <c r="BJ160" s="626"/>
      <c r="BK160" s="626"/>
      <c r="BL160" s="626"/>
      <c r="BM160" s="626"/>
      <c r="BN160" s="626"/>
      <c r="BO160" s="626"/>
      <c r="BP160" s="588"/>
      <c r="BQ160" s="846"/>
      <c r="BR160" s="850"/>
      <c r="BS160" s="588"/>
      <c r="BT160" s="754"/>
      <c r="BU160" s="588"/>
      <c r="BV160" s="588"/>
      <c r="BW160" s="588"/>
      <c r="BX160" s="588"/>
      <c r="BY160" s="588"/>
      <c r="BZ160" s="588"/>
      <c r="CA160" s="588"/>
      <c r="CB160" s="588"/>
      <c r="CC160" s="865"/>
      <c r="CD160" s="588"/>
      <c r="CE160" s="588"/>
      <c r="CF160" s="588"/>
      <c r="CG160" s="588"/>
      <c r="CH160" s="588"/>
      <c r="CI160" s="588"/>
      <c r="CJ160" s="588"/>
      <c r="CK160" s="588"/>
      <c r="CL160" s="588"/>
      <c r="CM160" s="588"/>
      <c r="CN160" s="588"/>
      <c r="CO160" s="588"/>
      <c r="CP160" s="816"/>
      <c r="CQ160" s="805"/>
      <c r="CR160" s="805"/>
      <c r="CS160" s="830"/>
      <c r="CT160" s="588"/>
      <c r="CU160" s="626"/>
      <c r="CV160" s="626"/>
      <c r="CW160" s="626"/>
      <c r="CX160" s="626"/>
      <c r="CY160" s="626"/>
      <c r="CZ160" s="626"/>
      <c r="DA160" s="626"/>
      <c r="DB160" s="626"/>
      <c r="DC160" s="626"/>
      <c r="DD160" s="626"/>
      <c r="DE160" s="626"/>
      <c r="DF160" s="626"/>
      <c r="DG160" s="626"/>
      <c r="DH160" s="626"/>
      <c r="DI160" s="626"/>
      <c r="DJ160" s="626"/>
      <c r="DK160" s="626"/>
      <c r="DL160" s="626"/>
      <c r="DM160" s="761"/>
      <c r="DN160" s="761"/>
      <c r="DO160" s="761"/>
      <c r="DP160" s="553"/>
      <c r="DQ160" s="553"/>
      <c r="DR160" s="553"/>
      <c r="DS160" s="553"/>
      <c r="DT160" s="553"/>
      <c r="DU160" s="553"/>
      <c r="DV160" s="553"/>
      <c r="DW160" s="553"/>
      <c r="DX160" s="553"/>
      <c r="DY160" s="553"/>
    </row>
    <row r="161" spans="1:129" customFormat="1" ht="24" customHeight="1" x14ac:dyDescent="0.9">
      <c r="A161" s="752"/>
      <c r="B161" s="588"/>
      <c r="C161" s="588"/>
      <c r="D161" s="588"/>
      <c r="E161" s="588"/>
      <c r="F161" s="588"/>
      <c r="G161" s="588"/>
      <c r="H161" s="588"/>
      <c r="I161" s="588"/>
      <c r="J161" s="588"/>
      <c r="K161" s="588"/>
      <c r="L161" s="753"/>
      <c r="M161" s="753"/>
      <c r="N161" s="588"/>
      <c r="O161" s="626"/>
      <c r="P161" s="588"/>
      <c r="Q161" s="626"/>
      <c r="R161" s="588"/>
      <c r="S161" s="588"/>
      <c r="T161" s="588"/>
      <c r="U161" s="588"/>
      <c r="V161" s="588"/>
      <c r="W161" s="588"/>
      <c r="X161" s="588"/>
      <c r="Y161" s="588"/>
      <c r="Z161" s="588"/>
      <c r="AA161" s="588"/>
      <c r="AB161" s="588"/>
      <c r="AC161" s="588"/>
      <c r="AD161" s="588"/>
      <c r="AE161" s="626"/>
      <c r="AF161" s="626"/>
      <c r="AG161" s="626"/>
      <c r="AH161" s="626"/>
      <c r="AI161" s="626"/>
      <c r="AJ161" s="626"/>
      <c r="AK161" s="626"/>
      <c r="AL161" s="626"/>
      <c r="AM161" s="626"/>
      <c r="AN161" s="626"/>
      <c r="AO161" s="626"/>
      <c r="AP161" s="626"/>
      <c r="AQ161" s="626"/>
      <c r="AR161" s="626"/>
      <c r="AS161" s="626"/>
      <c r="AT161" s="626"/>
      <c r="AU161" s="626"/>
      <c r="AV161" s="626"/>
      <c r="AW161" s="626"/>
      <c r="AX161" s="626"/>
      <c r="AY161" s="626"/>
      <c r="AZ161" s="626"/>
      <c r="BA161" s="626"/>
      <c r="BB161" s="588"/>
      <c r="BC161" s="626"/>
      <c r="BD161" s="626"/>
      <c r="BE161" s="626"/>
      <c r="BF161" s="626"/>
      <c r="BG161" s="626"/>
      <c r="BH161" s="626"/>
      <c r="BI161" s="588"/>
      <c r="BJ161" s="626"/>
      <c r="BK161" s="626"/>
      <c r="BL161" s="626"/>
      <c r="BM161" s="626"/>
      <c r="BN161" s="626"/>
      <c r="BO161" s="626"/>
      <c r="BP161" s="588"/>
      <c r="BQ161" s="846"/>
      <c r="BR161" s="850"/>
      <c r="BS161" s="588"/>
      <c r="BT161" s="754"/>
      <c r="BU161" s="588"/>
      <c r="BV161" s="588"/>
      <c r="BW161" s="588"/>
      <c r="BX161" s="588"/>
      <c r="BY161" s="588"/>
      <c r="BZ161" s="588"/>
      <c r="CA161" s="588"/>
      <c r="CB161" s="588"/>
      <c r="CC161" s="865"/>
      <c r="CD161" s="588"/>
      <c r="CE161" s="588"/>
      <c r="CF161" s="588"/>
      <c r="CG161" s="588"/>
      <c r="CH161" s="588"/>
      <c r="CI161" s="588"/>
      <c r="CJ161" s="588"/>
      <c r="CK161" s="588"/>
      <c r="CL161" s="588"/>
      <c r="CM161" s="588"/>
      <c r="CN161" s="588"/>
      <c r="CO161" s="588"/>
      <c r="CP161" s="816"/>
      <c r="CQ161" s="805"/>
      <c r="CR161" s="805"/>
      <c r="CS161" s="830"/>
      <c r="CT161" s="588"/>
      <c r="CU161" s="626"/>
      <c r="CV161" s="626"/>
      <c r="CW161" s="626"/>
      <c r="CX161" s="626"/>
      <c r="CY161" s="626"/>
      <c r="CZ161" s="626"/>
      <c r="DA161" s="626"/>
      <c r="DB161" s="626"/>
      <c r="DC161" s="626"/>
      <c r="DD161" s="626"/>
      <c r="DE161" s="626"/>
      <c r="DF161" s="626"/>
      <c r="DG161" s="626"/>
      <c r="DH161" s="626"/>
      <c r="DI161" s="626"/>
      <c r="DJ161" s="626"/>
      <c r="DK161" s="626"/>
      <c r="DL161" s="626"/>
      <c r="DM161" s="761"/>
      <c r="DN161" s="761"/>
      <c r="DO161" s="761"/>
      <c r="DP161" s="553"/>
      <c r="DQ161" s="553"/>
      <c r="DR161" s="553"/>
      <c r="DS161" s="553"/>
      <c r="DT161" s="553"/>
      <c r="DU161" s="553"/>
      <c r="DV161" s="553"/>
      <c r="DW161" s="553"/>
      <c r="DX161" s="553"/>
      <c r="DY161" s="553"/>
    </row>
    <row r="162" spans="1:129" customFormat="1" ht="24" customHeight="1" x14ac:dyDescent="0.9">
      <c r="A162" s="752"/>
      <c r="B162" s="588"/>
      <c r="C162" s="588"/>
      <c r="D162" s="588"/>
      <c r="E162" s="588"/>
      <c r="F162" s="588"/>
      <c r="G162" s="588"/>
      <c r="H162" s="588"/>
      <c r="I162" s="588"/>
      <c r="J162" s="588"/>
      <c r="K162" s="588"/>
      <c r="L162" s="753"/>
      <c r="M162" s="753"/>
      <c r="N162" s="588"/>
      <c r="O162" s="626"/>
      <c r="P162" s="588"/>
      <c r="Q162" s="626"/>
      <c r="R162" s="588"/>
      <c r="S162" s="588"/>
      <c r="T162" s="588"/>
      <c r="U162" s="588"/>
      <c r="V162" s="588"/>
      <c r="W162" s="588"/>
      <c r="X162" s="588"/>
      <c r="Y162" s="588"/>
      <c r="Z162" s="588"/>
      <c r="AA162" s="588"/>
      <c r="AB162" s="588"/>
      <c r="AC162" s="588"/>
      <c r="AD162" s="588"/>
      <c r="AE162" s="626"/>
      <c r="AF162" s="626"/>
      <c r="AG162" s="626"/>
      <c r="AH162" s="626"/>
      <c r="AI162" s="626"/>
      <c r="AJ162" s="626"/>
      <c r="AK162" s="626"/>
      <c r="AL162" s="626"/>
      <c r="AM162" s="626"/>
      <c r="AN162" s="626"/>
      <c r="AO162" s="626"/>
      <c r="AP162" s="626"/>
      <c r="AQ162" s="626"/>
      <c r="AR162" s="626"/>
      <c r="AS162" s="626"/>
      <c r="AT162" s="626"/>
      <c r="AU162" s="626"/>
      <c r="AV162" s="626"/>
      <c r="AW162" s="626"/>
      <c r="AX162" s="626"/>
      <c r="AY162" s="626"/>
      <c r="AZ162" s="626"/>
      <c r="BA162" s="626"/>
      <c r="BB162" s="588"/>
      <c r="BC162" s="626"/>
      <c r="BD162" s="626"/>
      <c r="BE162" s="626"/>
      <c r="BF162" s="626"/>
      <c r="BG162" s="626"/>
      <c r="BH162" s="626"/>
      <c r="BI162" s="588"/>
      <c r="BJ162" s="626"/>
      <c r="BK162" s="626"/>
      <c r="BL162" s="626"/>
      <c r="BM162" s="626"/>
      <c r="BN162" s="626"/>
      <c r="BO162" s="626"/>
      <c r="BP162" s="588"/>
      <c r="BQ162" s="846"/>
      <c r="BR162" s="850"/>
      <c r="BS162" s="588"/>
      <c r="BT162" s="754"/>
      <c r="BU162" s="588"/>
      <c r="BV162" s="588"/>
      <c r="BW162" s="588"/>
      <c r="BX162" s="588"/>
      <c r="BY162" s="588"/>
      <c r="BZ162" s="588"/>
      <c r="CA162" s="588"/>
      <c r="CB162" s="588"/>
      <c r="CC162" s="865"/>
      <c r="CD162" s="588"/>
      <c r="CE162" s="588"/>
      <c r="CF162" s="588"/>
      <c r="CG162" s="588"/>
      <c r="CH162" s="588"/>
      <c r="CI162" s="588"/>
      <c r="CJ162" s="588"/>
      <c r="CK162" s="588"/>
      <c r="CL162" s="588"/>
      <c r="CM162" s="588"/>
      <c r="CN162" s="588"/>
      <c r="CO162" s="588"/>
      <c r="CP162" s="816"/>
      <c r="CQ162" s="805"/>
      <c r="CR162" s="805"/>
      <c r="CS162" s="830"/>
      <c r="CT162" s="588"/>
      <c r="CU162" s="626"/>
      <c r="CV162" s="626"/>
      <c r="CW162" s="626"/>
      <c r="CX162" s="626"/>
      <c r="CY162" s="626"/>
      <c r="CZ162" s="626"/>
      <c r="DA162" s="626"/>
      <c r="DB162" s="626"/>
      <c r="DC162" s="626"/>
      <c r="DD162" s="626"/>
      <c r="DE162" s="626"/>
      <c r="DF162" s="626"/>
      <c r="DG162" s="626"/>
      <c r="DH162" s="626"/>
      <c r="DI162" s="626"/>
      <c r="DJ162" s="626"/>
      <c r="DK162" s="626"/>
      <c r="DL162" s="626"/>
      <c r="DM162" s="761"/>
      <c r="DN162" s="761"/>
      <c r="DO162" s="761"/>
      <c r="DP162" s="553"/>
      <c r="DQ162" s="553"/>
      <c r="DR162" s="553"/>
      <c r="DS162" s="553"/>
      <c r="DT162" s="553"/>
      <c r="DU162" s="553"/>
      <c r="DV162" s="553"/>
      <c r="DW162" s="553"/>
      <c r="DX162" s="553"/>
      <c r="DY162" s="553"/>
    </row>
    <row r="163" spans="1:129" customFormat="1" ht="24" customHeight="1" x14ac:dyDescent="0.9">
      <c r="A163" s="752"/>
      <c r="B163" s="588"/>
      <c r="C163" s="588"/>
      <c r="D163" s="588"/>
      <c r="E163" s="588"/>
      <c r="F163" s="588"/>
      <c r="G163" s="588"/>
      <c r="H163" s="588"/>
      <c r="I163" s="588"/>
      <c r="J163" s="588"/>
      <c r="K163" s="588"/>
      <c r="L163" s="753"/>
      <c r="M163" s="753"/>
      <c r="N163" s="588"/>
      <c r="O163" s="626"/>
      <c r="P163" s="588"/>
      <c r="Q163" s="626"/>
      <c r="R163" s="588"/>
      <c r="S163" s="588"/>
      <c r="T163" s="588"/>
      <c r="U163" s="588"/>
      <c r="V163" s="588"/>
      <c r="W163" s="588"/>
      <c r="X163" s="588"/>
      <c r="Y163" s="588"/>
      <c r="Z163" s="588"/>
      <c r="AA163" s="588"/>
      <c r="AB163" s="588"/>
      <c r="AC163" s="588"/>
      <c r="AD163" s="588"/>
      <c r="AE163" s="626"/>
      <c r="AF163" s="626"/>
      <c r="AG163" s="626"/>
      <c r="AH163" s="626"/>
      <c r="AI163" s="626"/>
      <c r="AJ163" s="626"/>
      <c r="AK163" s="626"/>
      <c r="AL163" s="626"/>
      <c r="AM163" s="626"/>
      <c r="AN163" s="626"/>
      <c r="AO163" s="626"/>
      <c r="AP163" s="626"/>
      <c r="AQ163" s="626"/>
      <c r="AR163" s="626"/>
      <c r="AS163" s="626"/>
      <c r="AT163" s="626"/>
      <c r="AU163" s="626"/>
      <c r="AV163" s="626"/>
      <c r="AW163" s="626"/>
      <c r="AX163" s="626"/>
      <c r="AY163" s="626"/>
      <c r="AZ163" s="626"/>
      <c r="BA163" s="626"/>
      <c r="BB163" s="588"/>
      <c r="BC163" s="626"/>
      <c r="BD163" s="626"/>
      <c r="BE163" s="626"/>
      <c r="BF163" s="626"/>
      <c r="BG163" s="626"/>
      <c r="BH163" s="626"/>
      <c r="BI163" s="588"/>
      <c r="BJ163" s="626"/>
      <c r="BK163" s="626"/>
      <c r="BL163" s="626"/>
      <c r="BM163" s="626"/>
      <c r="BN163" s="626"/>
      <c r="BO163" s="626"/>
      <c r="BP163" s="588"/>
      <c r="BQ163" s="846"/>
      <c r="BR163" s="850"/>
      <c r="BS163" s="588"/>
      <c r="BT163" s="754"/>
      <c r="BU163" s="588"/>
      <c r="BV163" s="588"/>
      <c r="BW163" s="588"/>
      <c r="BX163" s="588"/>
      <c r="BY163" s="588"/>
      <c r="BZ163" s="588"/>
      <c r="CA163" s="588"/>
      <c r="CB163" s="588"/>
      <c r="CC163" s="865"/>
      <c r="CD163" s="588"/>
      <c r="CE163" s="588"/>
      <c r="CF163" s="588"/>
      <c r="CG163" s="588"/>
      <c r="CH163" s="588"/>
      <c r="CI163" s="588"/>
      <c r="CJ163" s="588"/>
      <c r="CK163" s="588"/>
      <c r="CL163" s="588"/>
      <c r="CM163" s="588"/>
      <c r="CN163" s="588"/>
      <c r="CO163" s="588"/>
      <c r="CP163" s="816"/>
      <c r="CQ163" s="805"/>
      <c r="CR163" s="805"/>
      <c r="CS163" s="830"/>
      <c r="CT163" s="588"/>
      <c r="CU163" s="626"/>
      <c r="CV163" s="626"/>
      <c r="CW163" s="626"/>
      <c r="CX163" s="626"/>
      <c r="CY163" s="626"/>
      <c r="CZ163" s="626"/>
      <c r="DA163" s="626"/>
      <c r="DB163" s="626"/>
      <c r="DC163" s="626"/>
      <c r="DD163" s="626"/>
      <c r="DE163" s="626"/>
      <c r="DF163" s="626"/>
      <c r="DG163" s="626"/>
      <c r="DH163" s="626"/>
      <c r="DI163" s="626"/>
      <c r="DJ163" s="626"/>
      <c r="DK163" s="626"/>
      <c r="DL163" s="626"/>
      <c r="DM163" s="761"/>
      <c r="DN163" s="761"/>
      <c r="DO163" s="761"/>
      <c r="DP163" s="553"/>
      <c r="DQ163" s="553"/>
      <c r="DR163" s="553"/>
      <c r="DS163" s="553"/>
      <c r="DT163" s="553"/>
      <c r="DU163" s="553"/>
      <c r="DV163" s="553"/>
      <c r="DW163" s="553"/>
      <c r="DX163" s="553"/>
      <c r="DY163" s="553"/>
    </row>
    <row r="164" spans="1:129" customFormat="1" ht="24" customHeight="1" x14ac:dyDescent="0.9">
      <c r="A164" s="752"/>
      <c r="B164" s="588"/>
      <c r="C164" s="588"/>
      <c r="D164" s="588"/>
      <c r="E164" s="588"/>
      <c r="F164" s="588"/>
      <c r="G164" s="588"/>
      <c r="H164" s="588"/>
      <c r="I164" s="588"/>
      <c r="J164" s="588"/>
      <c r="K164" s="588"/>
      <c r="L164" s="753"/>
      <c r="M164" s="753"/>
      <c r="N164" s="588"/>
      <c r="O164" s="626"/>
      <c r="P164" s="588"/>
      <c r="Q164" s="626"/>
      <c r="R164" s="588"/>
      <c r="S164" s="588"/>
      <c r="T164" s="588"/>
      <c r="U164" s="588"/>
      <c r="V164" s="588"/>
      <c r="W164" s="588"/>
      <c r="X164" s="588"/>
      <c r="Y164" s="588"/>
      <c r="Z164" s="588"/>
      <c r="AA164" s="588"/>
      <c r="AB164" s="588"/>
      <c r="AC164" s="588"/>
      <c r="AD164" s="588"/>
      <c r="AE164" s="626"/>
      <c r="AF164" s="626"/>
      <c r="AG164" s="626"/>
      <c r="AH164" s="626"/>
      <c r="AI164" s="626"/>
      <c r="AJ164" s="626"/>
      <c r="AK164" s="626"/>
      <c r="AL164" s="626"/>
      <c r="AM164" s="626"/>
      <c r="AN164" s="626"/>
      <c r="AO164" s="626"/>
      <c r="AP164" s="626"/>
      <c r="AQ164" s="626"/>
      <c r="AR164" s="626"/>
      <c r="AS164" s="626"/>
      <c r="AT164" s="626"/>
      <c r="AU164" s="626"/>
      <c r="AV164" s="626"/>
      <c r="AW164" s="626"/>
      <c r="AX164" s="626"/>
      <c r="AY164" s="626"/>
      <c r="AZ164" s="626"/>
      <c r="BA164" s="626"/>
      <c r="BB164" s="588"/>
      <c r="BC164" s="626"/>
      <c r="BD164" s="626"/>
      <c r="BE164" s="626"/>
      <c r="BF164" s="626"/>
      <c r="BG164" s="626"/>
      <c r="BH164" s="626"/>
      <c r="BI164" s="588"/>
      <c r="BJ164" s="626"/>
      <c r="BK164" s="626"/>
      <c r="BL164" s="626"/>
      <c r="BM164" s="626"/>
      <c r="BN164" s="626"/>
      <c r="BO164" s="626"/>
      <c r="BP164" s="588"/>
      <c r="BQ164" s="846"/>
      <c r="BR164" s="850"/>
      <c r="BS164" s="588"/>
      <c r="BT164" s="754"/>
      <c r="BU164" s="588"/>
      <c r="BV164" s="588"/>
      <c r="BW164" s="588"/>
      <c r="BX164" s="588"/>
      <c r="BY164" s="588"/>
      <c r="BZ164" s="588"/>
      <c r="CA164" s="588"/>
      <c r="CB164" s="588"/>
      <c r="CC164" s="865"/>
      <c r="CD164" s="588"/>
      <c r="CE164" s="588"/>
      <c r="CF164" s="588"/>
      <c r="CG164" s="588"/>
      <c r="CH164" s="588"/>
      <c r="CI164" s="588"/>
      <c r="CJ164" s="588"/>
      <c r="CK164" s="588"/>
      <c r="CL164" s="588"/>
      <c r="CM164" s="588"/>
      <c r="CN164" s="588"/>
      <c r="CO164" s="588"/>
      <c r="CP164" s="816"/>
      <c r="CQ164" s="805"/>
      <c r="CR164" s="805"/>
      <c r="CS164" s="830"/>
      <c r="CT164" s="588"/>
      <c r="CU164" s="626"/>
      <c r="CV164" s="626"/>
      <c r="CW164" s="626"/>
      <c r="CX164" s="626"/>
      <c r="CY164" s="626"/>
      <c r="CZ164" s="626"/>
      <c r="DA164" s="626"/>
      <c r="DB164" s="626"/>
      <c r="DC164" s="626"/>
      <c r="DD164" s="626"/>
      <c r="DE164" s="626"/>
      <c r="DF164" s="626"/>
      <c r="DG164" s="626"/>
      <c r="DH164" s="626"/>
      <c r="DI164" s="626"/>
      <c r="DJ164" s="626"/>
      <c r="DK164" s="626"/>
      <c r="DL164" s="626"/>
      <c r="DM164" s="761"/>
      <c r="DN164" s="761"/>
      <c r="DO164" s="761"/>
      <c r="DP164" s="553"/>
      <c r="DQ164" s="553"/>
      <c r="DR164" s="553"/>
      <c r="DS164" s="553"/>
      <c r="DT164" s="553"/>
      <c r="DU164" s="553"/>
      <c r="DV164" s="553"/>
      <c r="DW164" s="553"/>
      <c r="DX164" s="553"/>
      <c r="DY164" s="553"/>
    </row>
    <row r="165" spans="1:129" customFormat="1" ht="24" customHeight="1" x14ac:dyDescent="0.9">
      <c r="A165" s="752"/>
      <c r="B165" s="588"/>
      <c r="C165" s="588"/>
      <c r="D165" s="588"/>
      <c r="E165" s="588"/>
      <c r="F165" s="588"/>
      <c r="G165" s="588"/>
      <c r="H165" s="588"/>
      <c r="I165" s="588"/>
      <c r="J165" s="588"/>
      <c r="K165" s="588"/>
      <c r="L165" s="753"/>
      <c r="M165" s="753"/>
      <c r="N165" s="588"/>
      <c r="O165" s="626"/>
      <c r="P165" s="588"/>
      <c r="Q165" s="626"/>
      <c r="R165" s="588"/>
      <c r="S165" s="588"/>
      <c r="T165" s="588"/>
      <c r="U165" s="588"/>
      <c r="V165" s="588"/>
      <c r="W165" s="588"/>
      <c r="X165" s="588"/>
      <c r="Y165" s="588"/>
      <c r="Z165" s="588"/>
      <c r="AA165" s="588"/>
      <c r="AB165" s="588"/>
      <c r="AC165" s="588"/>
      <c r="AD165" s="588"/>
      <c r="AE165" s="626"/>
      <c r="AF165" s="626"/>
      <c r="AG165" s="626"/>
      <c r="AH165" s="626"/>
      <c r="AI165" s="626"/>
      <c r="AJ165" s="626"/>
      <c r="AK165" s="626"/>
      <c r="AL165" s="626"/>
      <c r="AM165" s="626"/>
      <c r="AN165" s="626"/>
      <c r="AO165" s="626"/>
      <c r="AP165" s="626"/>
      <c r="AQ165" s="626"/>
      <c r="AR165" s="626"/>
      <c r="AS165" s="626"/>
      <c r="AT165" s="626"/>
      <c r="AU165" s="626"/>
      <c r="AV165" s="626"/>
      <c r="AW165" s="626"/>
      <c r="AX165" s="626"/>
      <c r="AY165" s="626"/>
      <c r="AZ165" s="626"/>
      <c r="BA165" s="626"/>
      <c r="BB165" s="588"/>
      <c r="BC165" s="626"/>
      <c r="BD165" s="626"/>
      <c r="BE165" s="626"/>
      <c r="BF165" s="626"/>
      <c r="BG165" s="626"/>
      <c r="BH165" s="626"/>
      <c r="BI165" s="588"/>
      <c r="BJ165" s="626"/>
      <c r="BK165" s="626"/>
      <c r="BL165" s="626"/>
      <c r="BM165" s="626"/>
      <c r="BN165" s="626"/>
      <c r="BO165" s="626"/>
      <c r="BP165" s="588"/>
      <c r="BQ165" s="846"/>
      <c r="BR165" s="850"/>
      <c r="BS165" s="588"/>
      <c r="BT165" s="754"/>
      <c r="BU165" s="588"/>
      <c r="BV165" s="588"/>
      <c r="BW165" s="588"/>
      <c r="BX165" s="588"/>
      <c r="BY165" s="588"/>
      <c r="BZ165" s="588"/>
      <c r="CA165" s="588"/>
      <c r="CB165" s="588"/>
      <c r="CC165" s="865"/>
      <c r="CD165" s="588"/>
      <c r="CE165" s="588"/>
      <c r="CF165" s="588"/>
      <c r="CG165" s="588"/>
      <c r="CH165" s="588"/>
      <c r="CI165" s="588"/>
      <c r="CJ165" s="588"/>
      <c r="CK165" s="588"/>
      <c r="CL165" s="588"/>
      <c r="CM165" s="588"/>
      <c r="CN165" s="588"/>
      <c r="CO165" s="588"/>
      <c r="CP165" s="816"/>
      <c r="CQ165" s="805"/>
      <c r="CR165" s="805"/>
      <c r="CS165" s="830"/>
      <c r="CT165" s="588"/>
      <c r="CU165" s="626"/>
      <c r="CV165" s="626"/>
      <c r="CW165" s="626"/>
      <c r="CX165" s="626"/>
      <c r="CY165" s="626"/>
      <c r="CZ165" s="626"/>
      <c r="DA165" s="626"/>
      <c r="DB165" s="626"/>
      <c r="DC165" s="626"/>
      <c r="DD165" s="626"/>
      <c r="DE165" s="626"/>
      <c r="DF165" s="626"/>
      <c r="DG165" s="626"/>
      <c r="DH165" s="626"/>
      <c r="DI165" s="626"/>
      <c r="DJ165" s="626"/>
      <c r="DK165" s="626"/>
      <c r="DL165" s="626"/>
      <c r="DM165" s="761"/>
      <c r="DN165" s="761"/>
      <c r="DO165" s="761"/>
      <c r="DP165" s="553"/>
      <c r="DQ165" s="553"/>
      <c r="DR165" s="553"/>
      <c r="DS165" s="553"/>
      <c r="DT165" s="553"/>
      <c r="DU165" s="553"/>
      <c r="DV165" s="553"/>
      <c r="DW165" s="553"/>
      <c r="DX165" s="553"/>
      <c r="DY165" s="553"/>
    </row>
    <row r="166" spans="1:129" customFormat="1" ht="24" customHeight="1" x14ac:dyDescent="0.9">
      <c r="A166" s="752"/>
      <c r="B166" s="588"/>
      <c r="C166" s="588"/>
      <c r="D166" s="588"/>
      <c r="E166" s="588"/>
      <c r="F166" s="588"/>
      <c r="G166" s="588"/>
      <c r="H166" s="588"/>
      <c r="I166" s="588"/>
      <c r="J166" s="588"/>
      <c r="K166" s="588"/>
      <c r="L166" s="753"/>
      <c r="M166" s="753"/>
      <c r="N166" s="588"/>
      <c r="O166" s="626"/>
      <c r="P166" s="588"/>
      <c r="Q166" s="626"/>
      <c r="R166" s="588"/>
      <c r="S166" s="588"/>
      <c r="T166" s="588"/>
      <c r="U166" s="588"/>
      <c r="V166" s="588"/>
      <c r="W166" s="588"/>
      <c r="X166" s="588"/>
      <c r="Y166" s="588"/>
      <c r="Z166" s="588"/>
      <c r="AA166" s="588"/>
      <c r="AB166" s="588"/>
      <c r="AC166" s="588"/>
      <c r="AD166" s="588"/>
      <c r="AE166" s="626"/>
      <c r="AF166" s="626"/>
      <c r="AG166" s="626"/>
      <c r="AH166" s="626"/>
      <c r="AI166" s="626"/>
      <c r="AJ166" s="626"/>
      <c r="AK166" s="626"/>
      <c r="AL166" s="626"/>
      <c r="AM166" s="626"/>
      <c r="AN166" s="626"/>
      <c r="AO166" s="626"/>
      <c r="AP166" s="626"/>
      <c r="AQ166" s="626"/>
      <c r="AR166" s="626"/>
      <c r="AS166" s="626"/>
      <c r="AT166" s="626"/>
      <c r="AU166" s="626"/>
      <c r="AV166" s="626"/>
      <c r="AW166" s="626"/>
      <c r="AX166" s="626"/>
      <c r="AY166" s="626"/>
      <c r="AZ166" s="626"/>
      <c r="BA166" s="626"/>
      <c r="BB166" s="588"/>
      <c r="BC166" s="626"/>
      <c r="BD166" s="626"/>
      <c r="BE166" s="626"/>
      <c r="BF166" s="626"/>
      <c r="BG166" s="626"/>
      <c r="BH166" s="626"/>
      <c r="BI166" s="588"/>
      <c r="BJ166" s="626"/>
      <c r="BK166" s="626"/>
      <c r="BL166" s="626"/>
      <c r="BM166" s="626"/>
      <c r="BN166" s="626"/>
      <c r="BO166" s="626"/>
      <c r="BP166" s="588"/>
      <c r="BQ166" s="846"/>
      <c r="BR166" s="850"/>
      <c r="BS166" s="588"/>
      <c r="BT166" s="754"/>
      <c r="BU166" s="588"/>
      <c r="BV166" s="588"/>
      <c r="BW166" s="588"/>
      <c r="BX166" s="588"/>
      <c r="BY166" s="588"/>
      <c r="BZ166" s="588"/>
      <c r="CA166" s="588"/>
      <c r="CB166" s="588"/>
      <c r="CC166" s="865"/>
      <c r="CD166" s="588"/>
      <c r="CE166" s="588"/>
      <c r="CF166" s="588"/>
      <c r="CG166" s="588"/>
      <c r="CH166" s="588"/>
      <c r="CI166" s="588"/>
      <c r="CJ166" s="588"/>
      <c r="CK166" s="588"/>
      <c r="CL166" s="588"/>
      <c r="CM166" s="588"/>
      <c r="CN166" s="588"/>
      <c r="CO166" s="588"/>
      <c r="CP166" s="816"/>
      <c r="CQ166" s="805"/>
      <c r="CR166" s="805"/>
      <c r="CS166" s="830"/>
      <c r="CT166" s="588"/>
      <c r="CU166" s="626"/>
      <c r="CV166" s="626"/>
      <c r="CW166" s="626"/>
      <c r="CX166" s="626"/>
      <c r="CY166" s="626"/>
      <c r="CZ166" s="626"/>
      <c r="DA166" s="626"/>
      <c r="DB166" s="626"/>
      <c r="DC166" s="626"/>
      <c r="DD166" s="626"/>
      <c r="DE166" s="626"/>
      <c r="DF166" s="626"/>
      <c r="DG166" s="626"/>
      <c r="DH166" s="626"/>
      <c r="DI166" s="626"/>
      <c r="DJ166" s="626"/>
      <c r="DK166" s="626"/>
      <c r="DL166" s="626"/>
      <c r="DM166" s="761"/>
      <c r="DN166" s="761"/>
      <c r="DO166" s="761"/>
      <c r="DP166" s="553"/>
      <c r="DQ166" s="553"/>
      <c r="DR166" s="553"/>
      <c r="DS166" s="553"/>
      <c r="DT166" s="553"/>
      <c r="DU166" s="553"/>
      <c r="DV166" s="553"/>
      <c r="DW166" s="553"/>
      <c r="DX166" s="553"/>
      <c r="DY166" s="553"/>
    </row>
    <row r="167" spans="1:129" customFormat="1" ht="24" customHeight="1" x14ac:dyDescent="0.9">
      <c r="A167" s="752"/>
      <c r="B167" s="588"/>
      <c r="C167" s="588"/>
      <c r="D167" s="588"/>
      <c r="E167" s="588"/>
      <c r="F167" s="588"/>
      <c r="G167" s="588"/>
      <c r="H167" s="588"/>
      <c r="I167" s="588"/>
      <c r="J167" s="588"/>
      <c r="K167" s="588"/>
      <c r="L167" s="753"/>
      <c r="M167" s="753"/>
      <c r="N167" s="588"/>
      <c r="O167" s="626"/>
      <c r="P167" s="588"/>
      <c r="Q167" s="626"/>
      <c r="R167" s="588"/>
      <c r="S167" s="588"/>
      <c r="T167" s="588"/>
      <c r="U167" s="588"/>
      <c r="V167" s="588"/>
      <c r="W167" s="588"/>
      <c r="X167" s="588"/>
      <c r="Y167" s="588"/>
      <c r="Z167" s="588"/>
      <c r="AA167" s="588"/>
      <c r="AB167" s="588"/>
      <c r="AC167" s="588"/>
      <c r="AD167" s="588"/>
      <c r="AE167" s="626"/>
      <c r="AF167" s="626"/>
      <c r="AG167" s="626"/>
      <c r="AH167" s="626"/>
      <c r="AI167" s="626"/>
      <c r="AJ167" s="626"/>
      <c r="AK167" s="626"/>
      <c r="AL167" s="626"/>
      <c r="AM167" s="626"/>
      <c r="AN167" s="626"/>
      <c r="AO167" s="626"/>
      <c r="AP167" s="626"/>
      <c r="AQ167" s="626"/>
      <c r="AR167" s="626"/>
      <c r="AS167" s="626"/>
      <c r="AT167" s="626"/>
      <c r="AU167" s="626"/>
      <c r="AV167" s="626"/>
      <c r="AW167" s="626"/>
      <c r="AX167" s="626"/>
      <c r="AY167" s="626"/>
      <c r="AZ167" s="626"/>
      <c r="BA167" s="626"/>
      <c r="BB167" s="588"/>
      <c r="BC167" s="626"/>
      <c r="BD167" s="626"/>
      <c r="BE167" s="626"/>
      <c r="BF167" s="626"/>
      <c r="BG167" s="626"/>
      <c r="BH167" s="626"/>
      <c r="BI167" s="588"/>
      <c r="BJ167" s="626"/>
      <c r="BK167" s="626"/>
      <c r="BL167" s="626"/>
      <c r="BM167" s="626"/>
      <c r="BN167" s="626"/>
      <c r="BO167" s="626"/>
      <c r="BP167" s="588"/>
      <c r="BQ167" s="846"/>
      <c r="BR167" s="850"/>
      <c r="BS167" s="588"/>
      <c r="BT167" s="754"/>
      <c r="BU167" s="588"/>
      <c r="BV167" s="588"/>
      <c r="BW167" s="588"/>
      <c r="BX167" s="588"/>
      <c r="BY167" s="588"/>
      <c r="BZ167" s="588"/>
      <c r="CA167" s="588"/>
      <c r="CB167" s="588"/>
      <c r="CC167" s="865"/>
      <c r="CD167" s="588"/>
      <c r="CE167" s="588"/>
      <c r="CF167" s="588"/>
      <c r="CG167" s="588"/>
      <c r="CH167" s="588"/>
      <c r="CI167" s="588"/>
      <c r="CJ167" s="588"/>
      <c r="CK167" s="588"/>
      <c r="CL167" s="588"/>
      <c r="CM167" s="588"/>
      <c r="CN167" s="588"/>
      <c r="CO167" s="588"/>
      <c r="CP167" s="816"/>
      <c r="CQ167" s="805"/>
      <c r="CR167" s="805"/>
      <c r="CS167" s="830"/>
      <c r="CT167" s="588"/>
      <c r="CU167" s="626"/>
      <c r="CV167" s="626"/>
      <c r="CW167" s="626"/>
      <c r="CX167" s="626"/>
      <c r="CY167" s="626"/>
      <c r="CZ167" s="626"/>
      <c r="DA167" s="626"/>
      <c r="DB167" s="626"/>
      <c r="DC167" s="626"/>
      <c r="DD167" s="626"/>
      <c r="DE167" s="626"/>
      <c r="DF167" s="626"/>
      <c r="DG167" s="626"/>
      <c r="DH167" s="626"/>
      <c r="DI167" s="626"/>
      <c r="DJ167" s="626"/>
      <c r="DK167" s="626"/>
      <c r="DL167" s="626"/>
      <c r="DM167" s="761"/>
      <c r="DN167" s="761"/>
      <c r="DO167" s="761"/>
      <c r="DP167" s="553"/>
      <c r="DQ167" s="553"/>
      <c r="DR167" s="553"/>
      <c r="DS167" s="553"/>
      <c r="DT167" s="553"/>
      <c r="DU167" s="553"/>
      <c r="DV167" s="553"/>
      <c r="DW167" s="553"/>
      <c r="DX167" s="553"/>
      <c r="DY167" s="553"/>
    </row>
    <row r="168" spans="1:129" customFormat="1" ht="24" customHeight="1" x14ac:dyDescent="0.9">
      <c r="A168" s="752"/>
      <c r="B168" s="588"/>
      <c r="C168" s="588"/>
      <c r="D168" s="588"/>
      <c r="E168" s="588"/>
      <c r="F168" s="588"/>
      <c r="G168" s="588"/>
      <c r="H168" s="588"/>
      <c r="I168" s="588"/>
      <c r="J168" s="588"/>
      <c r="K168" s="588"/>
      <c r="L168" s="753"/>
      <c r="M168" s="753"/>
      <c r="N168" s="588"/>
      <c r="O168" s="626"/>
      <c r="P168" s="588"/>
      <c r="Q168" s="626"/>
      <c r="R168" s="588"/>
      <c r="S168" s="588"/>
      <c r="T168" s="588"/>
      <c r="U168" s="588"/>
      <c r="V168" s="588"/>
      <c r="W168" s="588"/>
      <c r="X168" s="588"/>
      <c r="Y168" s="588"/>
      <c r="Z168" s="588"/>
      <c r="AA168" s="588"/>
      <c r="AB168" s="588"/>
      <c r="AC168" s="588"/>
      <c r="AD168" s="588"/>
      <c r="AE168" s="626"/>
      <c r="AF168" s="626"/>
      <c r="AG168" s="626"/>
      <c r="AH168" s="626"/>
      <c r="AI168" s="626"/>
      <c r="AJ168" s="626"/>
      <c r="AK168" s="626"/>
      <c r="AL168" s="626"/>
      <c r="AM168" s="626"/>
      <c r="AN168" s="626"/>
      <c r="AO168" s="626"/>
      <c r="AP168" s="626"/>
      <c r="AQ168" s="626"/>
      <c r="AR168" s="626"/>
      <c r="AS168" s="626"/>
      <c r="AT168" s="626"/>
      <c r="AU168" s="626"/>
      <c r="AV168" s="626"/>
      <c r="AW168" s="626"/>
      <c r="AX168" s="626"/>
      <c r="AY168" s="626"/>
      <c r="AZ168" s="626"/>
      <c r="BA168" s="626"/>
      <c r="BB168" s="588"/>
      <c r="BC168" s="626"/>
      <c r="BD168" s="626"/>
      <c r="BE168" s="626"/>
      <c r="BF168" s="626"/>
      <c r="BG168" s="626"/>
      <c r="BH168" s="626"/>
      <c r="BI168" s="588"/>
      <c r="BJ168" s="626"/>
      <c r="BK168" s="626"/>
      <c r="BL168" s="626"/>
      <c r="BM168" s="626"/>
      <c r="BN168" s="626"/>
      <c r="BO168" s="626"/>
      <c r="BP168" s="588"/>
      <c r="BQ168" s="846"/>
      <c r="BR168" s="850"/>
      <c r="BS168" s="588"/>
      <c r="BT168" s="754"/>
      <c r="BU168" s="588"/>
      <c r="BV168" s="588"/>
      <c r="BW168" s="588"/>
      <c r="BX168" s="588"/>
      <c r="BY168" s="588"/>
      <c r="BZ168" s="588"/>
      <c r="CA168" s="588"/>
      <c r="CB168" s="588"/>
      <c r="CC168" s="865"/>
      <c r="CD168" s="588"/>
      <c r="CE168" s="588"/>
      <c r="CF168" s="588"/>
      <c r="CG168" s="588"/>
      <c r="CH168" s="588"/>
      <c r="CI168" s="588"/>
      <c r="CJ168" s="588"/>
      <c r="CK168" s="588"/>
      <c r="CL168" s="588"/>
      <c r="CM168" s="588"/>
      <c r="CN168" s="588"/>
      <c r="CO168" s="588"/>
      <c r="CP168" s="816"/>
      <c r="CQ168" s="805"/>
      <c r="CR168" s="805"/>
      <c r="CS168" s="830"/>
      <c r="CT168" s="588"/>
      <c r="CU168" s="626"/>
      <c r="CV168" s="626"/>
      <c r="CW168" s="626"/>
      <c r="CX168" s="626"/>
      <c r="CY168" s="626"/>
      <c r="CZ168" s="626"/>
      <c r="DA168" s="626"/>
      <c r="DB168" s="626"/>
      <c r="DC168" s="626"/>
      <c r="DD168" s="626"/>
      <c r="DE168" s="626"/>
      <c r="DF168" s="626"/>
      <c r="DG168" s="626"/>
      <c r="DH168" s="626"/>
      <c r="DI168" s="626"/>
      <c r="DJ168" s="626"/>
      <c r="DK168" s="626"/>
      <c r="DL168" s="626"/>
      <c r="DM168" s="761"/>
      <c r="DN168" s="761"/>
      <c r="DO168" s="761"/>
      <c r="DP168" s="553"/>
      <c r="DQ168" s="553"/>
      <c r="DR168" s="553"/>
      <c r="DS168" s="553"/>
      <c r="DT168" s="553"/>
      <c r="DU168" s="553"/>
      <c r="DV168" s="553"/>
      <c r="DW168" s="553"/>
      <c r="DX168" s="553"/>
      <c r="DY168" s="553"/>
    </row>
    <row r="169" spans="1:129" customFormat="1" ht="24" customHeight="1" x14ac:dyDescent="0.9">
      <c r="A169" s="752"/>
      <c r="B169" s="588"/>
      <c r="C169" s="588"/>
      <c r="D169" s="588"/>
      <c r="E169" s="588"/>
      <c r="F169" s="588"/>
      <c r="G169" s="588"/>
      <c r="H169" s="588"/>
      <c r="I169" s="588"/>
      <c r="J169" s="588"/>
      <c r="K169" s="588"/>
      <c r="L169" s="753"/>
      <c r="M169" s="753"/>
      <c r="N169" s="588"/>
      <c r="O169" s="626"/>
      <c r="P169" s="588"/>
      <c r="Q169" s="626"/>
      <c r="R169" s="588"/>
      <c r="S169" s="588"/>
      <c r="T169" s="588"/>
      <c r="U169" s="588"/>
      <c r="V169" s="588"/>
      <c r="W169" s="588"/>
      <c r="X169" s="588"/>
      <c r="Y169" s="588"/>
      <c r="Z169" s="588"/>
      <c r="AA169" s="588"/>
      <c r="AB169" s="588"/>
      <c r="AC169" s="588"/>
      <c r="AD169" s="588"/>
      <c r="AE169" s="626"/>
      <c r="AF169" s="626"/>
      <c r="AG169" s="626"/>
      <c r="AH169" s="626"/>
      <c r="AI169" s="626"/>
      <c r="AJ169" s="626"/>
      <c r="AK169" s="626"/>
      <c r="AL169" s="626"/>
      <c r="AM169" s="626"/>
      <c r="AN169" s="626"/>
      <c r="AO169" s="626"/>
      <c r="AP169" s="626"/>
      <c r="AQ169" s="626"/>
      <c r="AR169" s="626"/>
      <c r="AS169" s="626"/>
      <c r="AT169" s="626"/>
      <c r="AU169" s="626"/>
      <c r="AV169" s="626"/>
      <c r="AW169" s="626"/>
      <c r="AX169" s="626"/>
      <c r="AY169" s="626"/>
      <c r="AZ169" s="626"/>
      <c r="BA169" s="626"/>
      <c r="BB169" s="588"/>
      <c r="BC169" s="626"/>
      <c r="BD169" s="626"/>
      <c r="BE169" s="626"/>
      <c r="BF169" s="626"/>
      <c r="BG169" s="626"/>
      <c r="BH169" s="626"/>
      <c r="BI169" s="588"/>
      <c r="BJ169" s="626"/>
      <c r="BK169" s="626"/>
      <c r="BL169" s="626"/>
      <c r="BM169" s="626"/>
      <c r="BN169" s="626"/>
      <c r="BO169" s="626"/>
      <c r="BP169" s="588"/>
      <c r="BQ169" s="846"/>
      <c r="BR169" s="850"/>
      <c r="BS169" s="588"/>
      <c r="BT169" s="754"/>
      <c r="BU169" s="588"/>
      <c r="BV169" s="588"/>
      <c r="BW169" s="588"/>
      <c r="BX169" s="588"/>
      <c r="BY169" s="588"/>
      <c r="BZ169" s="588"/>
      <c r="CA169" s="588"/>
      <c r="CB169" s="588"/>
      <c r="CC169" s="865"/>
      <c r="CD169" s="588"/>
      <c r="CE169" s="588"/>
      <c r="CF169" s="588"/>
      <c r="CG169" s="588"/>
      <c r="CH169" s="588"/>
      <c r="CI169" s="588"/>
      <c r="CJ169" s="588"/>
      <c r="CK169" s="588"/>
      <c r="CL169" s="588"/>
      <c r="CM169" s="588"/>
      <c r="CN169" s="588"/>
      <c r="CO169" s="588"/>
      <c r="CP169" s="816"/>
      <c r="CQ169" s="805"/>
      <c r="CR169" s="805"/>
      <c r="CS169" s="830"/>
      <c r="CT169" s="588"/>
      <c r="CU169" s="626"/>
      <c r="CV169" s="626"/>
      <c r="CW169" s="626"/>
      <c r="CX169" s="626"/>
      <c r="CY169" s="626"/>
      <c r="CZ169" s="626"/>
      <c r="DA169" s="626"/>
      <c r="DB169" s="626"/>
      <c r="DC169" s="626"/>
      <c r="DD169" s="626"/>
      <c r="DE169" s="626"/>
      <c r="DF169" s="626"/>
      <c r="DG169" s="626"/>
      <c r="DH169" s="626"/>
      <c r="DI169" s="626"/>
      <c r="DJ169" s="626"/>
      <c r="DK169" s="626"/>
      <c r="DL169" s="626"/>
      <c r="DM169" s="761"/>
      <c r="DN169" s="761"/>
      <c r="DO169" s="761"/>
      <c r="DP169" s="553"/>
      <c r="DQ169" s="553"/>
      <c r="DR169" s="553"/>
      <c r="DS169" s="553"/>
      <c r="DT169" s="553"/>
      <c r="DU169" s="553"/>
      <c r="DV169" s="553"/>
      <c r="DW169" s="553"/>
      <c r="DX169" s="553"/>
      <c r="DY169" s="553"/>
    </row>
    <row r="170" spans="1:129" customFormat="1" ht="24" customHeight="1" x14ac:dyDescent="0.9">
      <c r="A170" s="752"/>
      <c r="B170" s="588"/>
      <c r="C170" s="588"/>
      <c r="D170" s="588"/>
      <c r="E170" s="588"/>
      <c r="F170" s="588"/>
      <c r="G170" s="588"/>
      <c r="H170" s="588"/>
      <c r="I170" s="588"/>
      <c r="J170" s="588"/>
      <c r="K170" s="588"/>
      <c r="L170" s="753"/>
      <c r="M170" s="753"/>
      <c r="N170" s="588"/>
      <c r="O170" s="626"/>
      <c r="P170" s="588"/>
      <c r="Q170" s="626"/>
      <c r="R170" s="588"/>
      <c r="S170" s="588"/>
      <c r="T170" s="588"/>
      <c r="U170" s="588"/>
      <c r="V170" s="588"/>
      <c r="W170" s="588"/>
      <c r="X170" s="588"/>
      <c r="Y170" s="588"/>
      <c r="Z170" s="588"/>
      <c r="AA170" s="588"/>
      <c r="AB170" s="588"/>
      <c r="AC170" s="588"/>
      <c r="AD170" s="588"/>
      <c r="AE170" s="626"/>
      <c r="AF170" s="626"/>
      <c r="AG170" s="626"/>
      <c r="AH170" s="626"/>
      <c r="AI170" s="626"/>
      <c r="AJ170" s="626"/>
      <c r="AK170" s="626"/>
      <c r="AL170" s="626"/>
      <c r="AM170" s="626"/>
      <c r="AN170" s="626"/>
      <c r="AO170" s="626"/>
      <c r="AP170" s="626"/>
      <c r="AQ170" s="626"/>
      <c r="AR170" s="626"/>
      <c r="AS170" s="626"/>
      <c r="AT170" s="626"/>
      <c r="AU170" s="626"/>
      <c r="AV170" s="626"/>
      <c r="AW170" s="626"/>
      <c r="AX170" s="626"/>
      <c r="AY170" s="626"/>
      <c r="AZ170" s="626"/>
      <c r="BA170" s="626"/>
      <c r="BB170" s="588"/>
      <c r="BC170" s="626"/>
      <c r="BD170" s="626"/>
      <c r="BE170" s="626"/>
      <c r="BF170" s="626"/>
      <c r="BG170" s="626"/>
      <c r="BH170" s="626"/>
      <c r="BI170" s="588"/>
      <c r="BJ170" s="626"/>
      <c r="BK170" s="626"/>
      <c r="BL170" s="626"/>
      <c r="BM170" s="626"/>
      <c r="BN170" s="626"/>
      <c r="BO170" s="626"/>
      <c r="BP170" s="588"/>
      <c r="BQ170" s="846"/>
      <c r="BR170" s="850"/>
      <c r="BS170" s="588"/>
      <c r="BT170" s="754"/>
      <c r="BU170" s="588"/>
      <c r="BV170" s="588"/>
      <c r="BW170" s="588"/>
      <c r="BX170" s="588"/>
      <c r="BY170" s="588"/>
      <c r="BZ170" s="588"/>
      <c r="CA170" s="588"/>
      <c r="CB170" s="588"/>
      <c r="CC170" s="865"/>
      <c r="CD170" s="588"/>
      <c r="CE170" s="588"/>
      <c r="CF170" s="588"/>
      <c r="CG170" s="588"/>
      <c r="CH170" s="588"/>
      <c r="CI170" s="588"/>
      <c r="CJ170" s="588"/>
      <c r="CK170" s="588"/>
      <c r="CL170" s="588"/>
      <c r="CM170" s="588"/>
      <c r="CN170" s="588"/>
      <c r="CO170" s="588"/>
      <c r="CP170" s="816"/>
      <c r="CQ170" s="805"/>
      <c r="CR170" s="805"/>
      <c r="CS170" s="830"/>
      <c r="CT170" s="588"/>
      <c r="CU170" s="626"/>
      <c r="CV170" s="626"/>
      <c r="CW170" s="626"/>
      <c r="CX170" s="626"/>
      <c r="CY170" s="626"/>
      <c r="CZ170" s="626"/>
      <c r="DA170" s="626"/>
      <c r="DB170" s="626"/>
      <c r="DC170" s="626"/>
      <c r="DD170" s="626"/>
      <c r="DE170" s="626"/>
      <c r="DF170" s="626"/>
      <c r="DG170" s="626"/>
      <c r="DH170" s="626"/>
      <c r="DI170" s="626"/>
      <c r="DJ170" s="626"/>
      <c r="DK170" s="626"/>
      <c r="DL170" s="626"/>
      <c r="DM170" s="761"/>
      <c r="DN170" s="761"/>
      <c r="DO170" s="761"/>
      <c r="DP170" s="553"/>
      <c r="DQ170" s="553"/>
      <c r="DR170" s="553"/>
      <c r="DS170" s="553"/>
      <c r="DT170" s="553"/>
      <c r="DU170" s="553"/>
      <c r="DV170" s="553"/>
      <c r="DW170" s="553"/>
      <c r="DX170" s="553"/>
      <c r="DY170" s="553"/>
    </row>
    <row r="171" spans="1:129" customFormat="1" ht="24" customHeight="1" x14ac:dyDescent="0.9">
      <c r="A171" s="752"/>
      <c r="B171" s="588"/>
      <c r="C171" s="588"/>
      <c r="D171" s="588"/>
      <c r="E171" s="588"/>
      <c r="F171" s="588"/>
      <c r="G171" s="588"/>
      <c r="H171" s="588"/>
      <c r="I171" s="588"/>
      <c r="J171" s="588"/>
      <c r="K171" s="588"/>
      <c r="L171" s="753"/>
      <c r="M171" s="753"/>
      <c r="N171" s="588"/>
      <c r="O171" s="626"/>
      <c r="P171" s="588"/>
      <c r="Q171" s="626"/>
      <c r="R171" s="588"/>
      <c r="S171" s="588"/>
      <c r="T171" s="588"/>
      <c r="U171" s="588"/>
      <c r="V171" s="588"/>
      <c r="W171" s="588"/>
      <c r="X171" s="588"/>
      <c r="Y171" s="588"/>
      <c r="Z171" s="588"/>
      <c r="AA171" s="588"/>
      <c r="AB171" s="588"/>
      <c r="AC171" s="588"/>
      <c r="AD171" s="588"/>
      <c r="AE171" s="626"/>
      <c r="AF171" s="626"/>
      <c r="AG171" s="626"/>
      <c r="AH171" s="626"/>
      <c r="AI171" s="626"/>
      <c r="AJ171" s="626"/>
      <c r="AK171" s="626"/>
      <c r="AL171" s="626"/>
      <c r="AM171" s="626"/>
      <c r="AN171" s="626"/>
      <c r="AO171" s="626"/>
      <c r="AP171" s="626"/>
      <c r="AQ171" s="626"/>
      <c r="AR171" s="626"/>
      <c r="AS171" s="626"/>
      <c r="AT171" s="626"/>
      <c r="AU171" s="626"/>
      <c r="AV171" s="626"/>
      <c r="AW171" s="626"/>
      <c r="AX171" s="626"/>
      <c r="AY171" s="626"/>
      <c r="AZ171" s="626"/>
      <c r="BA171" s="626"/>
      <c r="BB171" s="588"/>
      <c r="BC171" s="626"/>
      <c r="BD171" s="626"/>
      <c r="BE171" s="626"/>
      <c r="BF171" s="626"/>
      <c r="BG171" s="626"/>
      <c r="BH171" s="626"/>
      <c r="BI171" s="588"/>
      <c r="BJ171" s="626"/>
      <c r="BK171" s="626"/>
      <c r="BL171" s="626"/>
      <c r="BM171" s="626"/>
      <c r="BN171" s="626"/>
      <c r="BO171" s="626"/>
      <c r="BP171" s="588"/>
      <c r="BQ171" s="846"/>
      <c r="BR171" s="850"/>
      <c r="BS171" s="588"/>
      <c r="BT171" s="754"/>
      <c r="BU171" s="588"/>
      <c r="BV171" s="588"/>
      <c r="BW171" s="588"/>
      <c r="BX171" s="588"/>
      <c r="BY171" s="588"/>
      <c r="BZ171" s="588"/>
      <c r="CA171" s="588"/>
      <c r="CB171" s="588"/>
      <c r="CC171" s="865"/>
      <c r="CD171" s="588"/>
      <c r="CE171" s="588"/>
      <c r="CF171" s="588"/>
      <c r="CG171" s="588"/>
      <c r="CH171" s="588"/>
      <c r="CI171" s="588"/>
      <c r="CJ171" s="588"/>
      <c r="CK171" s="588"/>
      <c r="CL171" s="588"/>
      <c r="CM171" s="588"/>
      <c r="CN171" s="588"/>
      <c r="CO171" s="588"/>
      <c r="CP171" s="816"/>
      <c r="CQ171" s="805"/>
      <c r="CR171" s="805"/>
      <c r="CS171" s="830"/>
      <c r="CT171" s="588"/>
      <c r="CU171" s="626"/>
      <c r="CV171" s="626"/>
      <c r="CW171" s="626"/>
      <c r="CX171" s="626"/>
      <c r="CY171" s="626"/>
      <c r="CZ171" s="626"/>
      <c r="DA171" s="626"/>
      <c r="DB171" s="626"/>
      <c r="DC171" s="626"/>
      <c r="DD171" s="626"/>
      <c r="DE171" s="626"/>
      <c r="DF171" s="626"/>
      <c r="DG171" s="626"/>
      <c r="DH171" s="626"/>
      <c r="DI171" s="626"/>
      <c r="DJ171" s="626"/>
      <c r="DK171" s="626"/>
      <c r="DL171" s="626"/>
      <c r="DM171" s="761"/>
      <c r="DN171" s="761"/>
      <c r="DO171" s="761"/>
      <c r="DP171" s="553"/>
      <c r="DQ171" s="553"/>
      <c r="DR171" s="553"/>
      <c r="DS171" s="553"/>
      <c r="DT171" s="553"/>
      <c r="DU171" s="553"/>
      <c r="DV171" s="553"/>
      <c r="DW171" s="553"/>
      <c r="DX171" s="553"/>
      <c r="DY171" s="553"/>
    </row>
    <row r="172" spans="1:129" customFormat="1" ht="24" customHeight="1" x14ac:dyDescent="0.9">
      <c r="A172" s="752"/>
      <c r="B172" s="588"/>
      <c r="C172" s="588"/>
      <c r="D172" s="588"/>
      <c r="E172" s="588"/>
      <c r="F172" s="588"/>
      <c r="G172" s="588"/>
      <c r="H172" s="588"/>
      <c r="I172" s="588"/>
      <c r="J172" s="588"/>
      <c r="K172" s="588"/>
      <c r="L172" s="753"/>
      <c r="M172" s="753"/>
      <c r="N172" s="588"/>
      <c r="O172" s="626"/>
      <c r="P172" s="588"/>
      <c r="Q172" s="626"/>
      <c r="R172" s="588"/>
      <c r="S172" s="588"/>
      <c r="T172" s="588"/>
      <c r="U172" s="588"/>
      <c r="V172" s="588"/>
      <c r="W172" s="588"/>
      <c r="X172" s="588"/>
      <c r="Y172" s="588"/>
      <c r="Z172" s="588"/>
      <c r="AA172" s="588"/>
      <c r="AB172" s="588"/>
      <c r="AC172" s="588"/>
      <c r="AD172" s="588"/>
      <c r="AE172" s="626"/>
      <c r="AF172" s="626"/>
      <c r="AG172" s="626"/>
      <c r="AH172" s="626"/>
      <c r="AI172" s="626"/>
      <c r="AJ172" s="626"/>
      <c r="AK172" s="626"/>
      <c r="AL172" s="626"/>
      <c r="AM172" s="626"/>
      <c r="AN172" s="626"/>
      <c r="AO172" s="626"/>
      <c r="AP172" s="626"/>
      <c r="AQ172" s="626"/>
      <c r="AR172" s="626"/>
      <c r="AS172" s="626"/>
      <c r="AT172" s="626"/>
      <c r="AU172" s="626"/>
      <c r="AV172" s="626"/>
      <c r="AW172" s="626"/>
      <c r="AX172" s="626"/>
      <c r="AY172" s="626"/>
      <c r="AZ172" s="626"/>
      <c r="BA172" s="626"/>
      <c r="BB172" s="588"/>
      <c r="BC172" s="626"/>
      <c r="BD172" s="626"/>
      <c r="BE172" s="626"/>
      <c r="BF172" s="626"/>
      <c r="BG172" s="626"/>
      <c r="BH172" s="626"/>
      <c r="BI172" s="588"/>
      <c r="BJ172" s="626"/>
      <c r="BK172" s="626"/>
      <c r="BL172" s="626"/>
      <c r="BM172" s="626"/>
      <c r="BN172" s="626"/>
      <c r="BO172" s="626"/>
      <c r="BP172" s="588"/>
      <c r="BQ172" s="846"/>
      <c r="BR172" s="850"/>
      <c r="BS172" s="588"/>
      <c r="BT172" s="754"/>
      <c r="BU172" s="588"/>
      <c r="BV172" s="588"/>
      <c r="BW172" s="588"/>
      <c r="BX172" s="588"/>
      <c r="BY172" s="588"/>
      <c r="BZ172" s="588"/>
      <c r="CA172" s="588"/>
      <c r="CB172" s="588"/>
      <c r="CC172" s="865"/>
      <c r="CD172" s="588"/>
      <c r="CE172" s="588"/>
      <c r="CF172" s="588"/>
      <c r="CG172" s="588"/>
      <c r="CH172" s="588"/>
      <c r="CI172" s="588"/>
      <c r="CJ172" s="588"/>
      <c r="CK172" s="588"/>
      <c r="CL172" s="588"/>
      <c r="CM172" s="588"/>
      <c r="CN172" s="588"/>
      <c r="CO172" s="588"/>
      <c r="CP172" s="816"/>
      <c r="CQ172" s="805"/>
      <c r="CR172" s="805"/>
      <c r="CS172" s="830"/>
      <c r="CT172" s="588"/>
      <c r="CU172" s="626"/>
      <c r="CV172" s="626"/>
      <c r="CW172" s="626"/>
      <c r="CX172" s="626"/>
      <c r="CY172" s="626"/>
      <c r="CZ172" s="626"/>
      <c r="DA172" s="626"/>
      <c r="DB172" s="626"/>
      <c r="DC172" s="626"/>
      <c r="DD172" s="626"/>
      <c r="DE172" s="626"/>
      <c r="DF172" s="626"/>
      <c r="DG172" s="626"/>
      <c r="DH172" s="626"/>
      <c r="DI172" s="626"/>
      <c r="DJ172" s="626"/>
      <c r="DK172" s="626"/>
      <c r="DL172" s="626"/>
      <c r="DM172" s="761"/>
      <c r="DN172" s="761"/>
      <c r="DO172" s="761"/>
      <c r="DP172" s="553"/>
      <c r="DQ172" s="553"/>
      <c r="DR172" s="553"/>
      <c r="DS172" s="553"/>
      <c r="DT172" s="553"/>
      <c r="DU172" s="553"/>
      <c r="DV172" s="553"/>
      <c r="DW172" s="553"/>
      <c r="DX172" s="553"/>
      <c r="DY172" s="553"/>
    </row>
    <row r="173" spans="1:129" customFormat="1" ht="24" customHeight="1" x14ac:dyDescent="0.9">
      <c r="A173" s="752"/>
      <c r="B173" s="588"/>
      <c r="C173" s="588"/>
      <c r="D173" s="588"/>
      <c r="E173" s="588"/>
      <c r="F173" s="588"/>
      <c r="G173" s="588"/>
      <c r="H173" s="588"/>
      <c r="I173" s="588"/>
      <c r="J173" s="588"/>
      <c r="K173" s="588"/>
      <c r="L173" s="753"/>
      <c r="M173" s="753"/>
      <c r="N173" s="588"/>
      <c r="O173" s="626"/>
      <c r="P173" s="588"/>
      <c r="Q173" s="626"/>
      <c r="R173" s="588"/>
      <c r="S173" s="588"/>
      <c r="T173" s="588"/>
      <c r="U173" s="588"/>
      <c r="V173" s="588"/>
      <c r="W173" s="588"/>
      <c r="X173" s="588"/>
      <c r="Y173" s="588"/>
      <c r="Z173" s="588"/>
      <c r="AA173" s="588"/>
      <c r="AB173" s="588"/>
      <c r="AC173" s="588"/>
      <c r="AD173" s="588"/>
      <c r="AE173" s="626"/>
      <c r="AF173" s="626"/>
      <c r="AG173" s="626"/>
      <c r="AH173" s="626"/>
      <c r="AI173" s="626"/>
      <c r="AJ173" s="626"/>
      <c r="AK173" s="626"/>
      <c r="AL173" s="626"/>
      <c r="AM173" s="626"/>
      <c r="AN173" s="626"/>
      <c r="AO173" s="626"/>
      <c r="AP173" s="626"/>
      <c r="AQ173" s="626"/>
      <c r="AR173" s="626"/>
      <c r="AS173" s="626"/>
      <c r="AT173" s="626"/>
      <c r="AU173" s="626"/>
      <c r="AV173" s="626"/>
      <c r="AW173" s="626"/>
      <c r="AX173" s="626"/>
      <c r="AY173" s="626"/>
      <c r="AZ173" s="626"/>
      <c r="BA173" s="626"/>
      <c r="BB173" s="588"/>
      <c r="BC173" s="626"/>
      <c r="BD173" s="626"/>
      <c r="BE173" s="626"/>
      <c r="BF173" s="626"/>
      <c r="BG173" s="626"/>
      <c r="BH173" s="626"/>
      <c r="BI173" s="588"/>
      <c r="BJ173" s="626"/>
      <c r="BK173" s="626"/>
      <c r="BL173" s="626"/>
      <c r="BM173" s="626"/>
      <c r="BN173" s="626"/>
      <c r="BO173" s="626"/>
      <c r="BP173" s="588"/>
      <c r="BQ173" s="846"/>
      <c r="BR173" s="850"/>
      <c r="BS173" s="588"/>
      <c r="BT173" s="754"/>
      <c r="BU173" s="588"/>
      <c r="BV173" s="588"/>
      <c r="BW173" s="588"/>
      <c r="BX173" s="588"/>
      <c r="BY173" s="588"/>
      <c r="BZ173" s="588"/>
      <c r="CA173" s="588"/>
      <c r="CB173" s="588"/>
      <c r="CC173" s="865"/>
      <c r="CD173" s="588"/>
      <c r="CE173" s="588"/>
      <c r="CF173" s="588"/>
      <c r="CG173" s="588"/>
      <c r="CH173" s="588"/>
      <c r="CI173" s="588"/>
      <c r="CJ173" s="588"/>
      <c r="CK173" s="588"/>
      <c r="CL173" s="588"/>
      <c r="CM173" s="588"/>
      <c r="CN173" s="588"/>
      <c r="CO173" s="588"/>
      <c r="CP173" s="816"/>
      <c r="CQ173" s="805"/>
      <c r="CR173" s="805"/>
      <c r="CS173" s="830"/>
      <c r="CT173" s="588"/>
      <c r="CU173" s="626"/>
      <c r="CV173" s="626"/>
      <c r="CW173" s="626"/>
      <c r="CX173" s="626"/>
      <c r="CY173" s="626"/>
      <c r="CZ173" s="626"/>
      <c r="DA173" s="626"/>
      <c r="DB173" s="626"/>
      <c r="DC173" s="626"/>
      <c r="DD173" s="626"/>
      <c r="DE173" s="626"/>
      <c r="DF173" s="626"/>
      <c r="DG173" s="626"/>
      <c r="DH173" s="626"/>
      <c r="DI173" s="626"/>
      <c r="DJ173" s="626"/>
      <c r="DK173" s="626"/>
      <c r="DL173" s="626"/>
      <c r="DM173" s="761"/>
      <c r="DN173" s="761"/>
      <c r="DO173" s="761"/>
      <c r="DP173" s="553"/>
      <c r="DQ173" s="553"/>
      <c r="DR173" s="553"/>
      <c r="DS173" s="553"/>
      <c r="DT173" s="553"/>
      <c r="DU173" s="553"/>
      <c r="DV173" s="553"/>
      <c r="DW173" s="553"/>
      <c r="DX173" s="553"/>
      <c r="DY173" s="553"/>
    </row>
    <row r="174" spans="1:129" customFormat="1" ht="24" customHeight="1" x14ac:dyDescent="0.9">
      <c r="A174" s="752"/>
      <c r="B174" s="588"/>
      <c r="C174" s="588"/>
      <c r="D174" s="588"/>
      <c r="E174" s="588"/>
      <c r="F174" s="588"/>
      <c r="G174" s="588"/>
      <c r="H174" s="588"/>
      <c r="I174" s="588"/>
      <c r="J174" s="588"/>
      <c r="K174" s="588"/>
      <c r="L174" s="753"/>
      <c r="M174" s="753"/>
      <c r="N174" s="588"/>
      <c r="O174" s="626"/>
      <c r="P174" s="588"/>
      <c r="Q174" s="626"/>
      <c r="R174" s="588"/>
      <c r="S174" s="588"/>
      <c r="T174" s="588"/>
      <c r="U174" s="588"/>
      <c r="V174" s="588"/>
      <c r="W174" s="588"/>
      <c r="X174" s="588"/>
      <c r="Y174" s="588"/>
      <c r="Z174" s="588"/>
      <c r="AA174" s="588"/>
      <c r="AB174" s="588"/>
      <c r="AC174" s="588"/>
      <c r="AD174" s="588"/>
      <c r="AE174" s="626"/>
      <c r="AF174" s="626"/>
      <c r="AG174" s="626"/>
      <c r="AH174" s="626"/>
      <c r="AI174" s="626"/>
      <c r="AJ174" s="626"/>
      <c r="AK174" s="626"/>
      <c r="AL174" s="626"/>
      <c r="AM174" s="626"/>
      <c r="AN174" s="626"/>
      <c r="AO174" s="626"/>
      <c r="AP174" s="626"/>
      <c r="AQ174" s="626"/>
      <c r="AR174" s="626"/>
      <c r="AS174" s="626"/>
      <c r="AT174" s="626"/>
      <c r="AU174" s="626"/>
      <c r="AV174" s="626"/>
      <c r="AW174" s="626"/>
      <c r="AX174" s="626"/>
      <c r="AY174" s="626"/>
      <c r="AZ174" s="626"/>
      <c r="BA174" s="626"/>
      <c r="BB174" s="588"/>
      <c r="BC174" s="626"/>
      <c r="BD174" s="626"/>
      <c r="BE174" s="626"/>
      <c r="BF174" s="626"/>
      <c r="BG174" s="626"/>
      <c r="BH174" s="626"/>
      <c r="BI174" s="588"/>
      <c r="BJ174" s="626"/>
      <c r="BK174" s="626"/>
      <c r="BL174" s="626"/>
      <c r="BM174" s="626"/>
      <c r="BN174" s="626"/>
      <c r="BO174" s="626"/>
      <c r="BP174" s="588"/>
      <c r="BQ174" s="846"/>
      <c r="BR174" s="850"/>
      <c r="BS174" s="588"/>
      <c r="BT174" s="754"/>
      <c r="BU174" s="588"/>
      <c r="BV174" s="588"/>
      <c r="BW174" s="588"/>
      <c r="BX174" s="588"/>
      <c r="BY174" s="588"/>
      <c r="BZ174" s="588"/>
      <c r="CA174" s="588"/>
      <c r="CB174" s="588"/>
      <c r="CC174" s="865"/>
      <c r="CD174" s="588"/>
      <c r="CE174" s="588"/>
      <c r="CF174" s="588"/>
      <c r="CG174" s="588"/>
      <c r="CH174" s="588"/>
      <c r="CI174" s="588"/>
      <c r="CJ174" s="588"/>
      <c r="CK174" s="588"/>
      <c r="CL174" s="588"/>
      <c r="CM174" s="588"/>
      <c r="CN174" s="588"/>
      <c r="CO174" s="588"/>
      <c r="CP174" s="816"/>
      <c r="CQ174" s="805"/>
      <c r="CR174" s="805"/>
      <c r="CS174" s="830"/>
      <c r="CT174" s="588"/>
      <c r="CU174" s="626"/>
      <c r="CV174" s="626"/>
      <c r="CW174" s="626"/>
      <c r="CX174" s="626"/>
      <c r="CY174" s="626"/>
      <c r="CZ174" s="626"/>
      <c r="DA174" s="626"/>
      <c r="DB174" s="626"/>
      <c r="DC174" s="626"/>
      <c r="DD174" s="626"/>
      <c r="DE174" s="626"/>
      <c r="DF174" s="626"/>
      <c r="DG174" s="626"/>
      <c r="DH174" s="626"/>
      <c r="DI174" s="626"/>
      <c r="DJ174" s="626"/>
      <c r="DK174" s="626"/>
      <c r="DL174" s="626"/>
      <c r="DM174" s="761"/>
      <c r="DN174" s="761"/>
      <c r="DO174" s="761"/>
      <c r="DP174" s="553"/>
      <c r="DQ174" s="553"/>
      <c r="DR174" s="553"/>
      <c r="DS174" s="553"/>
      <c r="DT174" s="553"/>
      <c r="DU174" s="553"/>
      <c r="DV174" s="553"/>
      <c r="DW174" s="553"/>
      <c r="DX174" s="553"/>
      <c r="DY174" s="553"/>
    </row>
    <row r="175" spans="1:129" customFormat="1" ht="24" customHeight="1" x14ac:dyDescent="0.9">
      <c r="A175" s="752"/>
      <c r="B175" s="588"/>
      <c r="C175" s="588"/>
      <c r="D175" s="588"/>
      <c r="E175" s="588"/>
      <c r="F175" s="588"/>
      <c r="G175" s="588"/>
      <c r="H175" s="588"/>
      <c r="I175" s="588"/>
      <c r="J175" s="588"/>
      <c r="K175" s="588"/>
      <c r="L175" s="753"/>
      <c r="M175" s="753"/>
      <c r="N175" s="588"/>
      <c r="O175" s="626"/>
      <c r="P175" s="588"/>
      <c r="Q175" s="626"/>
      <c r="R175" s="588"/>
      <c r="S175" s="588"/>
      <c r="T175" s="588"/>
      <c r="U175" s="588"/>
      <c r="V175" s="588"/>
      <c r="W175" s="588"/>
      <c r="X175" s="588"/>
      <c r="Y175" s="588"/>
      <c r="Z175" s="588"/>
      <c r="AA175" s="588"/>
      <c r="AB175" s="588"/>
      <c r="AC175" s="588"/>
      <c r="AD175" s="588"/>
      <c r="AE175" s="626"/>
      <c r="AF175" s="626"/>
      <c r="AG175" s="626"/>
      <c r="AH175" s="626"/>
      <c r="AI175" s="626"/>
      <c r="AJ175" s="626"/>
      <c r="AK175" s="626"/>
      <c r="AL175" s="626"/>
      <c r="AM175" s="626"/>
      <c r="AN175" s="626"/>
      <c r="AO175" s="626"/>
      <c r="AP175" s="626"/>
      <c r="AQ175" s="626"/>
      <c r="AR175" s="626"/>
      <c r="AS175" s="626"/>
      <c r="AT175" s="626"/>
      <c r="AU175" s="626"/>
      <c r="AV175" s="626"/>
      <c r="AW175" s="626"/>
      <c r="AX175" s="626"/>
      <c r="AY175" s="626"/>
      <c r="AZ175" s="626"/>
      <c r="BA175" s="626"/>
      <c r="BB175" s="588"/>
      <c r="BC175" s="626"/>
      <c r="BD175" s="626"/>
      <c r="BE175" s="626"/>
      <c r="BF175" s="626"/>
      <c r="BG175" s="626"/>
      <c r="BH175" s="626"/>
      <c r="BI175" s="588"/>
      <c r="BJ175" s="626"/>
      <c r="BK175" s="626"/>
      <c r="BL175" s="626"/>
      <c r="BM175" s="626"/>
      <c r="BN175" s="626"/>
      <c r="BO175" s="626"/>
      <c r="BP175" s="588"/>
      <c r="BQ175" s="846"/>
      <c r="BR175" s="850"/>
      <c r="BS175" s="588"/>
      <c r="BT175" s="754"/>
      <c r="BU175" s="588"/>
      <c r="BV175" s="588"/>
      <c r="BW175" s="588"/>
      <c r="BX175" s="588"/>
      <c r="BY175" s="588"/>
      <c r="BZ175" s="588"/>
      <c r="CA175" s="588"/>
      <c r="CB175" s="588"/>
      <c r="CC175" s="865"/>
      <c r="CD175" s="588"/>
      <c r="CE175" s="588"/>
      <c r="CF175" s="588"/>
      <c r="CG175" s="588"/>
      <c r="CH175" s="588"/>
      <c r="CI175" s="588"/>
      <c r="CJ175" s="588"/>
      <c r="CK175" s="588"/>
      <c r="CL175" s="588"/>
      <c r="CM175" s="588"/>
      <c r="CN175" s="588"/>
      <c r="CO175" s="588"/>
      <c r="CP175" s="816"/>
      <c r="CQ175" s="805"/>
      <c r="CR175" s="805"/>
      <c r="CS175" s="830"/>
      <c r="CT175" s="588"/>
      <c r="CU175" s="626"/>
      <c r="CV175" s="626"/>
      <c r="CW175" s="626"/>
      <c r="CX175" s="626"/>
      <c r="CY175" s="626"/>
      <c r="CZ175" s="626"/>
      <c r="DA175" s="626"/>
      <c r="DB175" s="626"/>
      <c r="DC175" s="626"/>
      <c r="DD175" s="626"/>
      <c r="DE175" s="626"/>
      <c r="DF175" s="626"/>
      <c r="DG175" s="626"/>
      <c r="DH175" s="626"/>
      <c r="DI175" s="626"/>
      <c r="DJ175" s="626"/>
      <c r="DK175" s="626"/>
      <c r="DL175" s="626"/>
      <c r="DM175" s="761"/>
      <c r="DN175" s="761"/>
      <c r="DO175" s="761"/>
      <c r="DP175" s="553"/>
      <c r="DQ175" s="553"/>
      <c r="DR175" s="553"/>
      <c r="DS175" s="553"/>
      <c r="DT175" s="553"/>
      <c r="DU175" s="553"/>
      <c r="DV175" s="553"/>
      <c r="DW175" s="553"/>
      <c r="DX175" s="553"/>
      <c r="DY175" s="553"/>
    </row>
    <row r="176" spans="1:129" customFormat="1" ht="24" customHeight="1" x14ac:dyDescent="0.9">
      <c r="A176" s="752"/>
      <c r="B176" s="588"/>
      <c r="C176" s="588"/>
      <c r="D176" s="588"/>
      <c r="E176" s="588"/>
      <c r="F176" s="588"/>
      <c r="G176" s="588"/>
      <c r="H176" s="588"/>
      <c r="I176" s="588"/>
      <c r="J176" s="588"/>
      <c r="K176" s="588"/>
      <c r="L176" s="753"/>
      <c r="M176" s="753"/>
      <c r="N176" s="588"/>
      <c r="O176" s="626"/>
      <c r="P176" s="588"/>
      <c r="Q176" s="626"/>
      <c r="R176" s="588"/>
      <c r="S176" s="588"/>
      <c r="T176" s="588"/>
      <c r="U176" s="588"/>
      <c r="V176" s="588"/>
      <c r="W176" s="588"/>
      <c r="X176" s="588"/>
      <c r="Y176" s="588"/>
      <c r="Z176" s="588"/>
      <c r="AA176" s="588"/>
      <c r="AB176" s="588"/>
      <c r="AC176" s="588"/>
      <c r="AD176" s="588"/>
      <c r="AE176" s="626"/>
      <c r="AF176" s="626"/>
      <c r="AG176" s="626"/>
      <c r="AH176" s="626"/>
      <c r="AI176" s="626"/>
      <c r="AJ176" s="626"/>
      <c r="AK176" s="626"/>
      <c r="AL176" s="626"/>
      <c r="AM176" s="626"/>
      <c r="AN176" s="626"/>
      <c r="AO176" s="626"/>
      <c r="AP176" s="626"/>
      <c r="AQ176" s="626"/>
      <c r="AR176" s="626"/>
      <c r="AS176" s="626"/>
      <c r="AT176" s="626"/>
      <c r="AU176" s="626"/>
      <c r="AV176" s="626"/>
      <c r="AW176" s="626"/>
      <c r="AX176" s="626"/>
      <c r="AY176" s="626"/>
      <c r="AZ176" s="626"/>
      <c r="BA176" s="626"/>
      <c r="BB176" s="588"/>
      <c r="BC176" s="626"/>
      <c r="BD176" s="626"/>
      <c r="BE176" s="626"/>
      <c r="BF176" s="626"/>
      <c r="BG176" s="626"/>
      <c r="BH176" s="626"/>
      <c r="BI176" s="588"/>
      <c r="BJ176" s="626"/>
      <c r="BK176" s="626"/>
      <c r="BL176" s="626"/>
      <c r="BM176" s="626"/>
      <c r="BN176" s="626"/>
      <c r="BO176" s="626"/>
      <c r="BP176" s="588"/>
      <c r="BQ176" s="846"/>
      <c r="BR176" s="850"/>
      <c r="BS176" s="588"/>
      <c r="BT176" s="754"/>
      <c r="BU176" s="588"/>
      <c r="BV176" s="588"/>
      <c r="BW176" s="588"/>
      <c r="BX176" s="588"/>
      <c r="BY176" s="588"/>
      <c r="BZ176" s="588"/>
      <c r="CA176" s="588"/>
      <c r="CB176" s="588"/>
      <c r="CC176" s="865"/>
      <c r="CD176" s="588"/>
      <c r="CE176" s="588"/>
      <c r="CF176" s="588"/>
      <c r="CG176" s="588"/>
      <c r="CH176" s="588"/>
      <c r="CI176" s="588"/>
      <c r="CJ176" s="588"/>
      <c r="CK176" s="588"/>
      <c r="CL176" s="588"/>
      <c r="CM176" s="588"/>
      <c r="CN176" s="588"/>
      <c r="CO176" s="588"/>
      <c r="CP176" s="816"/>
      <c r="CQ176" s="805"/>
      <c r="CR176" s="805"/>
      <c r="CS176" s="830"/>
      <c r="CT176" s="588"/>
      <c r="CU176" s="626"/>
      <c r="CV176" s="626"/>
      <c r="CW176" s="626"/>
      <c r="CX176" s="626"/>
      <c r="CY176" s="626"/>
      <c r="CZ176" s="626"/>
      <c r="DA176" s="626"/>
      <c r="DB176" s="626"/>
      <c r="DC176" s="626"/>
      <c r="DD176" s="626"/>
      <c r="DE176" s="626"/>
      <c r="DF176" s="626"/>
      <c r="DG176" s="626"/>
      <c r="DH176" s="626"/>
      <c r="DI176" s="626"/>
      <c r="DJ176" s="626"/>
      <c r="DK176" s="626"/>
      <c r="DL176" s="626"/>
      <c r="DM176" s="761"/>
      <c r="DN176" s="761"/>
      <c r="DO176" s="761"/>
      <c r="DP176" s="553"/>
      <c r="DQ176" s="553"/>
      <c r="DR176" s="553"/>
      <c r="DS176" s="553"/>
      <c r="DT176" s="553"/>
      <c r="DU176" s="553"/>
      <c r="DV176" s="553"/>
      <c r="DW176" s="553"/>
      <c r="DX176" s="553"/>
      <c r="DY176" s="553"/>
    </row>
    <row r="177" spans="1:129" customFormat="1" ht="24" customHeight="1" x14ac:dyDescent="0.9">
      <c r="A177" s="752"/>
      <c r="B177" s="588"/>
      <c r="C177" s="588"/>
      <c r="D177" s="588"/>
      <c r="E177" s="588"/>
      <c r="F177" s="588"/>
      <c r="G177" s="588"/>
      <c r="H177" s="588"/>
      <c r="I177" s="588"/>
      <c r="J177" s="588"/>
      <c r="K177" s="588"/>
      <c r="L177" s="753"/>
      <c r="M177" s="753"/>
      <c r="N177" s="588"/>
      <c r="O177" s="626"/>
      <c r="P177" s="588"/>
      <c r="Q177" s="626"/>
      <c r="R177" s="588"/>
      <c r="S177" s="588"/>
      <c r="T177" s="588"/>
      <c r="U177" s="588"/>
      <c r="V177" s="588"/>
      <c r="W177" s="588"/>
      <c r="X177" s="588"/>
      <c r="Y177" s="588"/>
      <c r="Z177" s="588"/>
      <c r="AA177" s="588"/>
      <c r="AB177" s="588"/>
      <c r="AC177" s="588"/>
      <c r="AD177" s="588"/>
      <c r="AE177" s="626"/>
      <c r="AF177" s="626"/>
      <c r="AG177" s="626"/>
      <c r="AH177" s="626"/>
      <c r="AI177" s="626"/>
      <c r="AJ177" s="626"/>
      <c r="AK177" s="626"/>
      <c r="AL177" s="626"/>
      <c r="AM177" s="626"/>
      <c r="AN177" s="626"/>
      <c r="AO177" s="626"/>
      <c r="AP177" s="626"/>
      <c r="AQ177" s="626"/>
      <c r="AR177" s="626"/>
      <c r="AS177" s="626"/>
      <c r="AT177" s="626"/>
      <c r="AU177" s="626"/>
      <c r="AV177" s="626"/>
      <c r="AW177" s="626"/>
      <c r="AX177" s="626"/>
      <c r="AY177" s="626"/>
      <c r="AZ177" s="626"/>
      <c r="BA177" s="626"/>
      <c r="BB177" s="588"/>
      <c r="BC177" s="626"/>
      <c r="BD177" s="626"/>
      <c r="BE177" s="626"/>
      <c r="BF177" s="626"/>
      <c r="BG177" s="626"/>
      <c r="BH177" s="626"/>
      <c r="BI177" s="588"/>
      <c r="BJ177" s="626"/>
      <c r="BK177" s="626"/>
      <c r="BL177" s="626"/>
      <c r="BM177" s="626"/>
      <c r="BN177" s="626"/>
      <c r="BO177" s="626"/>
      <c r="BP177" s="588"/>
      <c r="BQ177" s="846"/>
      <c r="BR177" s="850"/>
      <c r="BS177" s="588"/>
      <c r="BT177" s="754"/>
      <c r="BU177" s="588"/>
      <c r="BV177" s="588"/>
      <c r="BW177" s="588"/>
      <c r="BX177" s="588"/>
      <c r="BY177" s="588"/>
      <c r="BZ177" s="588"/>
      <c r="CA177" s="588"/>
      <c r="CB177" s="588"/>
      <c r="CC177" s="865"/>
      <c r="CD177" s="588"/>
      <c r="CE177" s="588"/>
      <c r="CF177" s="588"/>
      <c r="CG177" s="588"/>
      <c r="CH177" s="588"/>
      <c r="CI177" s="588"/>
      <c r="CJ177" s="588"/>
      <c r="CK177" s="588"/>
      <c r="CL177" s="588"/>
      <c r="CM177" s="588"/>
      <c r="CN177" s="588"/>
      <c r="CO177" s="588"/>
      <c r="CP177" s="816"/>
      <c r="CQ177" s="805"/>
      <c r="CR177" s="805"/>
      <c r="CS177" s="830"/>
      <c r="CT177" s="588"/>
      <c r="CU177" s="626"/>
      <c r="CV177" s="626"/>
      <c r="CW177" s="626"/>
      <c r="CX177" s="626"/>
      <c r="CY177" s="626"/>
      <c r="CZ177" s="626"/>
      <c r="DA177" s="626"/>
      <c r="DB177" s="626"/>
      <c r="DC177" s="626"/>
      <c r="DD177" s="626"/>
      <c r="DE177" s="626"/>
      <c r="DF177" s="626"/>
      <c r="DG177" s="626"/>
      <c r="DH177" s="626"/>
      <c r="DI177" s="626"/>
      <c r="DJ177" s="626"/>
      <c r="DK177" s="626"/>
      <c r="DL177" s="626"/>
      <c r="DM177" s="761"/>
      <c r="DN177" s="761"/>
      <c r="DO177" s="761"/>
      <c r="DP177" s="553"/>
      <c r="DQ177" s="553"/>
      <c r="DR177" s="553"/>
      <c r="DS177" s="553"/>
      <c r="DT177" s="553"/>
      <c r="DU177" s="553"/>
      <c r="DV177" s="553"/>
      <c r="DW177" s="553"/>
      <c r="DX177" s="553"/>
      <c r="DY177" s="553"/>
    </row>
    <row r="178" spans="1:129" customFormat="1" ht="24" customHeight="1" x14ac:dyDescent="0.9">
      <c r="A178" s="752"/>
      <c r="B178" s="588"/>
      <c r="C178" s="588"/>
      <c r="D178" s="588"/>
      <c r="E178" s="588"/>
      <c r="F178" s="588"/>
      <c r="G178" s="588"/>
      <c r="H178" s="588"/>
      <c r="I178" s="588"/>
      <c r="J178" s="588"/>
      <c r="K178" s="588"/>
      <c r="L178" s="753"/>
      <c r="M178" s="753"/>
      <c r="N178" s="588"/>
      <c r="O178" s="626"/>
      <c r="P178" s="588"/>
      <c r="Q178" s="626"/>
      <c r="R178" s="588"/>
      <c r="S178" s="588"/>
      <c r="T178" s="588"/>
      <c r="U178" s="588"/>
      <c r="V178" s="588"/>
      <c r="W178" s="588"/>
      <c r="X178" s="588"/>
      <c r="Y178" s="588"/>
      <c r="Z178" s="588"/>
      <c r="AA178" s="588"/>
      <c r="AB178" s="588"/>
      <c r="AC178" s="588"/>
      <c r="AD178" s="588"/>
      <c r="AE178" s="626"/>
      <c r="AF178" s="626"/>
      <c r="AG178" s="626"/>
      <c r="AH178" s="626"/>
      <c r="AI178" s="626"/>
      <c r="AJ178" s="626"/>
      <c r="AK178" s="626"/>
      <c r="AL178" s="626"/>
      <c r="AM178" s="626"/>
      <c r="AN178" s="626"/>
      <c r="AO178" s="626"/>
      <c r="AP178" s="626"/>
      <c r="AQ178" s="626"/>
      <c r="AR178" s="626"/>
      <c r="AS178" s="626"/>
      <c r="AT178" s="626"/>
      <c r="AU178" s="626"/>
      <c r="AV178" s="626"/>
      <c r="AW178" s="626"/>
      <c r="AX178" s="626"/>
      <c r="AY178" s="626"/>
      <c r="AZ178" s="626"/>
      <c r="BA178" s="626"/>
      <c r="BB178" s="588"/>
      <c r="BC178" s="626"/>
      <c r="BD178" s="626"/>
      <c r="BE178" s="626"/>
      <c r="BF178" s="626"/>
      <c r="BG178" s="626"/>
      <c r="BH178" s="626"/>
      <c r="BI178" s="588"/>
      <c r="BJ178" s="626"/>
      <c r="BK178" s="626"/>
      <c r="BL178" s="626"/>
      <c r="BM178" s="626"/>
      <c r="BN178" s="626"/>
      <c r="BO178" s="626"/>
      <c r="BP178" s="588"/>
      <c r="BQ178" s="846"/>
      <c r="BR178" s="850"/>
      <c r="BS178" s="588"/>
      <c r="BT178" s="754"/>
      <c r="BU178" s="588"/>
      <c r="BV178" s="588"/>
      <c r="BW178" s="588"/>
      <c r="BX178" s="588"/>
      <c r="BY178" s="588"/>
      <c r="BZ178" s="588"/>
      <c r="CA178" s="588"/>
      <c r="CB178" s="588"/>
      <c r="CC178" s="865"/>
      <c r="CD178" s="588"/>
      <c r="CE178" s="588"/>
      <c r="CF178" s="588"/>
      <c r="CG178" s="588"/>
      <c r="CH178" s="588"/>
      <c r="CI178" s="588"/>
      <c r="CJ178" s="588"/>
      <c r="CK178" s="588"/>
      <c r="CL178" s="588"/>
      <c r="CM178" s="588"/>
      <c r="CN178" s="588"/>
      <c r="CO178" s="588"/>
      <c r="CP178" s="816"/>
      <c r="CQ178" s="805"/>
      <c r="CR178" s="805"/>
      <c r="CS178" s="830"/>
      <c r="CT178" s="588"/>
      <c r="CU178" s="626"/>
      <c r="CV178" s="626"/>
      <c r="CW178" s="626"/>
      <c r="CX178" s="626"/>
      <c r="CY178" s="626"/>
      <c r="CZ178" s="626"/>
      <c r="DA178" s="626"/>
      <c r="DB178" s="626"/>
      <c r="DC178" s="626"/>
      <c r="DD178" s="626"/>
      <c r="DE178" s="626"/>
      <c r="DF178" s="626"/>
      <c r="DG178" s="626"/>
      <c r="DH178" s="626"/>
      <c r="DI178" s="626"/>
      <c r="DJ178" s="626"/>
      <c r="DK178" s="626"/>
      <c r="DL178" s="626"/>
      <c r="DM178" s="761"/>
      <c r="DN178" s="761"/>
      <c r="DO178" s="761"/>
      <c r="DP178" s="553"/>
      <c r="DQ178" s="553"/>
      <c r="DR178" s="553"/>
      <c r="DS178" s="553"/>
      <c r="DT178" s="553"/>
      <c r="DU178" s="553"/>
      <c r="DV178" s="553"/>
      <c r="DW178" s="553"/>
      <c r="DX178" s="553"/>
      <c r="DY178" s="553"/>
    </row>
    <row r="179" spans="1:129" customFormat="1" ht="24" customHeight="1" x14ac:dyDescent="0.9">
      <c r="A179" s="752"/>
      <c r="B179" s="588"/>
      <c r="C179" s="588"/>
      <c r="D179" s="588"/>
      <c r="E179" s="588"/>
      <c r="F179" s="588"/>
      <c r="G179" s="588"/>
      <c r="H179" s="588"/>
      <c r="I179" s="588"/>
      <c r="J179" s="588"/>
      <c r="K179" s="588"/>
      <c r="L179" s="753"/>
      <c r="M179" s="753"/>
      <c r="N179" s="588"/>
      <c r="O179" s="626"/>
      <c r="P179" s="588"/>
      <c r="Q179" s="626"/>
      <c r="R179" s="588"/>
      <c r="S179" s="588"/>
      <c r="T179" s="588"/>
      <c r="U179" s="588"/>
      <c r="V179" s="588"/>
      <c r="W179" s="588"/>
      <c r="X179" s="588"/>
      <c r="Y179" s="588"/>
      <c r="Z179" s="588"/>
      <c r="AA179" s="588"/>
      <c r="AB179" s="588"/>
      <c r="AC179" s="588"/>
      <c r="AD179" s="588"/>
      <c r="AE179" s="626"/>
      <c r="AF179" s="626"/>
      <c r="AG179" s="626"/>
      <c r="AH179" s="626"/>
      <c r="AI179" s="626"/>
      <c r="AJ179" s="626"/>
      <c r="AK179" s="626"/>
      <c r="AL179" s="626"/>
      <c r="AM179" s="626"/>
      <c r="AN179" s="626"/>
      <c r="AO179" s="626"/>
      <c r="AP179" s="626"/>
      <c r="AQ179" s="626"/>
      <c r="AR179" s="626"/>
      <c r="AS179" s="626"/>
      <c r="AT179" s="626"/>
      <c r="AU179" s="626"/>
      <c r="AV179" s="626"/>
      <c r="AW179" s="626"/>
      <c r="AX179" s="626"/>
      <c r="AY179" s="626"/>
      <c r="AZ179" s="626"/>
      <c r="BA179" s="626"/>
      <c r="BB179" s="588"/>
      <c r="BC179" s="626"/>
      <c r="BD179" s="626"/>
      <c r="BE179" s="626"/>
      <c r="BF179" s="626"/>
      <c r="BG179" s="626"/>
      <c r="BH179" s="626"/>
      <c r="BI179" s="588"/>
      <c r="BJ179" s="626"/>
      <c r="BK179" s="626"/>
      <c r="BL179" s="626"/>
      <c r="BM179" s="626"/>
      <c r="BN179" s="626"/>
      <c r="BO179" s="626"/>
      <c r="BP179" s="588"/>
      <c r="BQ179" s="846"/>
      <c r="BR179" s="850"/>
      <c r="BS179" s="588"/>
      <c r="BT179" s="754"/>
      <c r="BU179" s="588"/>
      <c r="BV179" s="588"/>
      <c r="BW179" s="588"/>
      <c r="BX179" s="588"/>
      <c r="BY179" s="588"/>
      <c r="BZ179" s="588"/>
      <c r="CA179" s="588"/>
      <c r="CB179" s="588"/>
      <c r="CC179" s="865"/>
      <c r="CD179" s="588"/>
      <c r="CE179" s="588"/>
      <c r="CF179" s="588"/>
      <c r="CG179" s="588"/>
      <c r="CH179" s="588"/>
      <c r="CI179" s="588"/>
      <c r="CJ179" s="588"/>
      <c r="CK179" s="588"/>
      <c r="CL179" s="588"/>
      <c r="CM179" s="588"/>
      <c r="CN179" s="588"/>
      <c r="CO179" s="588"/>
      <c r="CP179" s="816"/>
      <c r="CQ179" s="805"/>
      <c r="CR179" s="805"/>
      <c r="CS179" s="830"/>
      <c r="CT179" s="588"/>
      <c r="CU179" s="626"/>
      <c r="CV179" s="626"/>
      <c r="CW179" s="626"/>
      <c r="CX179" s="626"/>
      <c r="CY179" s="626"/>
      <c r="CZ179" s="626"/>
      <c r="DA179" s="626"/>
      <c r="DB179" s="626"/>
      <c r="DC179" s="626"/>
      <c r="DD179" s="626"/>
      <c r="DE179" s="626"/>
      <c r="DF179" s="626"/>
      <c r="DG179" s="626"/>
      <c r="DH179" s="626"/>
      <c r="DI179" s="626"/>
      <c r="DJ179" s="626"/>
      <c r="DK179" s="626"/>
      <c r="DL179" s="626"/>
      <c r="DM179" s="761"/>
      <c r="DN179" s="761"/>
      <c r="DO179" s="761"/>
      <c r="DP179" s="553"/>
      <c r="DQ179" s="553"/>
      <c r="DR179" s="553"/>
      <c r="DS179" s="553"/>
      <c r="DT179" s="553"/>
      <c r="DU179" s="553"/>
      <c r="DV179" s="553"/>
      <c r="DW179" s="553"/>
      <c r="DX179" s="553"/>
      <c r="DY179" s="553"/>
    </row>
    <row r="180" spans="1:129" customFormat="1" ht="24" customHeight="1" x14ac:dyDescent="0.9">
      <c r="A180" s="752"/>
      <c r="B180" s="588"/>
      <c r="C180" s="588"/>
      <c r="D180" s="588"/>
      <c r="E180" s="588"/>
      <c r="F180" s="588"/>
      <c r="G180" s="588"/>
      <c r="H180" s="588"/>
      <c r="I180" s="588"/>
      <c r="J180" s="588"/>
      <c r="K180" s="588"/>
      <c r="L180" s="753"/>
      <c r="M180" s="753"/>
      <c r="N180" s="588"/>
      <c r="O180" s="626"/>
      <c r="P180" s="588"/>
      <c r="Q180" s="626"/>
      <c r="R180" s="588"/>
      <c r="S180" s="588"/>
      <c r="T180" s="588"/>
      <c r="U180" s="588"/>
      <c r="V180" s="588"/>
      <c r="W180" s="588"/>
      <c r="X180" s="588"/>
      <c r="Y180" s="588"/>
      <c r="Z180" s="588"/>
      <c r="AA180" s="588"/>
      <c r="AB180" s="588"/>
      <c r="AC180" s="588"/>
      <c r="AD180" s="588"/>
      <c r="AE180" s="626"/>
      <c r="AF180" s="626"/>
      <c r="AG180" s="626"/>
      <c r="AH180" s="626"/>
      <c r="AI180" s="626"/>
      <c r="AJ180" s="626"/>
      <c r="AK180" s="626"/>
      <c r="AL180" s="626"/>
      <c r="AM180" s="626"/>
      <c r="AN180" s="626"/>
      <c r="AO180" s="626"/>
      <c r="AP180" s="626"/>
      <c r="AQ180" s="626"/>
      <c r="AR180" s="626"/>
      <c r="AS180" s="626"/>
      <c r="AT180" s="626"/>
      <c r="AU180" s="626"/>
      <c r="AV180" s="626"/>
      <c r="AW180" s="626"/>
      <c r="AX180" s="626"/>
      <c r="AY180" s="626"/>
      <c r="AZ180" s="626"/>
      <c r="BA180" s="626"/>
      <c r="BB180" s="588"/>
      <c r="BC180" s="626"/>
      <c r="BD180" s="626"/>
      <c r="BE180" s="626"/>
      <c r="BF180" s="626"/>
      <c r="BG180" s="626"/>
      <c r="BH180" s="626"/>
      <c r="BI180" s="588"/>
      <c r="BJ180" s="626"/>
      <c r="BK180" s="626"/>
      <c r="BL180" s="626"/>
      <c r="BM180" s="626"/>
      <c r="BN180" s="626"/>
      <c r="BO180" s="626"/>
      <c r="BP180" s="588"/>
      <c r="BQ180" s="846"/>
      <c r="BR180" s="850"/>
      <c r="BS180" s="588"/>
      <c r="BT180" s="754"/>
      <c r="BU180" s="588"/>
      <c r="BV180" s="588"/>
      <c r="BW180" s="588"/>
      <c r="BX180" s="588"/>
      <c r="BY180" s="588"/>
      <c r="BZ180" s="588"/>
      <c r="CA180" s="588"/>
      <c r="CB180" s="588"/>
      <c r="CC180" s="865"/>
      <c r="CD180" s="588"/>
      <c r="CE180" s="588"/>
      <c r="CF180" s="588"/>
      <c r="CG180" s="588"/>
      <c r="CH180" s="588"/>
      <c r="CI180" s="588"/>
      <c r="CJ180" s="588"/>
      <c r="CK180" s="588"/>
      <c r="CL180" s="588"/>
      <c r="CM180" s="588"/>
      <c r="CN180" s="588"/>
      <c r="CO180" s="588"/>
      <c r="CP180" s="816"/>
      <c r="CQ180" s="805"/>
      <c r="CR180" s="805"/>
      <c r="CS180" s="830"/>
      <c r="CT180" s="588"/>
      <c r="CU180" s="626"/>
      <c r="CV180" s="626"/>
      <c r="CW180" s="626"/>
      <c r="CX180" s="626"/>
      <c r="CY180" s="626"/>
      <c r="CZ180" s="626"/>
      <c r="DA180" s="626"/>
      <c r="DB180" s="626"/>
      <c r="DC180" s="626"/>
      <c r="DD180" s="626"/>
      <c r="DE180" s="626"/>
      <c r="DF180" s="626"/>
      <c r="DG180" s="626"/>
      <c r="DH180" s="626"/>
      <c r="DI180" s="626"/>
      <c r="DJ180" s="626"/>
      <c r="DK180" s="626"/>
      <c r="DL180" s="626"/>
      <c r="DM180" s="761"/>
      <c r="DN180" s="761"/>
      <c r="DO180" s="761"/>
      <c r="DP180" s="553"/>
      <c r="DQ180" s="553"/>
      <c r="DR180" s="553"/>
      <c r="DS180" s="553"/>
      <c r="DT180" s="553"/>
      <c r="DU180" s="553"/>
      <c r="DV180" s="553"/>
      <c r="DW180" s="553"/>
      <c r="DX180" s="553"/>
      <c r="DY180" s="553"/>
    </row>
    <row r="181" spans="1:129" customFormat="1" ht="24" customHeight="1" x14ac:dyDescent="0.9">
      <c r="A181" s="752"/>
      <c r="B181" s="588"/>
      <c r="C181" s="588"/>
      <c r="D181" s="588"/>
      <c r="E181" s="588"/>
      <c r="F181" s="588"/>
      <c r="G181" s="588"/>
      <c r="H181" s="588"/>
      <c r="I181" s="588"/>
      <c r="J181" s="588"/>
      <c r="K181" s="588"/>
      <c r="L181" s="753"/>
      <c r="M181" s="753"/>
      <c r="N181" s="588"/>
      <c r="O181" s="626"/>
      <c r="P181" s="588"/>
      <c r="Q181" s="626"/>
      <c r="R181" s="588"/>
      <c r="S181" s="588"/>
      <c r="T181" s="588"/>
      <c r="U181" s="588"/>
      <c r="V181" s="588"/>
      <c r="W181" s="588"/>
      <c r="X181" s="588"/>
      <c r="Y181" s="588"/>
      <c r="Z181" s="588"/>
      <c r="AA181" s="588"/>
      <c r="AB181" s="588"/>
      <c r="AC181" s="588"/>
      <c r="AD181" s="588"/>
      <c r="AE181" s="626"/>
      <c r="AF181" s="626"/>
      <c r="AG181" s="626"/>
      <c r="AH181" s="626"/>
      <c r="AI181" s="626"/>
      <c r="AJ181" s="626"/>
      <c r="AK181" s="626"/>
      <c r="AL181" s="626"/>
      <c r="AM181" s="626"/>
      <c r="AN181" s="626"/>
      <c r="AO181" s="626"/>
      <c r="AP181" s="626"/>
      <c r="AQ181" s="626"/>
      <c r="AR181" s="626"/>
      <c r="AS181" s="626"/>
      <c r="AT181" s="626"/>
      <c r="AU181" s="626"/>
      <c r="AV181" s="626"/>
      <c r="AW181" s="626"/>
      <c r="AX181" s="626"/>
      <c r="AY181" s="626"/>
      <c r="AZ181" s="626"/>
      <c r="BA181" s="626"/>
      <c r="BB181" s="588"/>
      <c r="BC181" s="626"/>
      <c r="BD181" s="626"/>
      <c r="BE181" s="626"/>
      <c r="BF181" s="626"/>
      <c r="BG181" s="626"/>
      <c r="BH181" s="626"/>
      <c r="BI181" s="588"/>
      <c r="BJ181" s="626"/>
      <c r="BK181" s="626"/>
      <c r="BL181" s="626"/>
      <c r="BM181" s="626"/>
      <c r="BN181" s="626"/>
      <c r="BO181" s="626"/>
      <c r="BP181" s="588"/>
      <c r="BQ181" s="846"/>
      <c r="BR181" s="850"/>
      <c r="BS181" s="588"/>
      <c r="BT181" s="754"/>
      <c r="BU181" s="588"/>
      <c r="BV181" s="588"/>
      <c r="BW181" s="588"/>
      <c r="BX181" s="588"/>
      <c r="BY181" s="588"/>
      <c r="BZ181" s="588"/>
      <c r="CA181" s="588"/>
      <c r="CB181" s="588"/>
      <c r="CC181" s="865"/>
      <c r="CD181" s="588"/>
      <c r="CE181" s="588"/>
      <c r="CF181" s="588"/>
      <c r="CG181" s="588"/>
      <c r="CH181" s="588"/>
      <c r="CI181" s="588"/>
      <c r="CJ181" s="588"/>
      <c r="CK181" s="588"/>
      <c r="CL181" s="588"/>
      <c r="CM181" s="588"/>
      <c r="CN181" s="588"/>
      <c r="CO181" s="588"/>
      <c r="CP181" s="816"/>
      <c r="CQ181" s="805"/>
      <c r="CR181" s="805"/>
      <c r="CS181" s="830"/>
      <c r="CT181" s="588"/>
      <c r="CU181" s="626"/>
      <c r="CV181" s="626"/>
      <c r="CW181" s="626"/>
      <c r="CX181" s="626"/>
      <c r="CY181" s="626"/>
      <c r="CZ181" s="626"/>
      <c r="DA181" s="626"/>
      <c r="DB181" s="626"/>
      <c r="DC181" s="626"/>
      <c r="DD181" s="626"/>
      <c r="DE181" s="626"/>
      <c r="DF181" s="626"/>
      <c r="DG181" s="626"/>
      <c r="DH181" s="626"/>
      <c r="DI181" s="626"/>
      <c r="DJ181" s="626"/>
      <c r="DK181" s="626"/>
      <c r="DL181" s="626"/>
      <c r="DM181" s="761"/>
      <c r="DN181" s="761"/>
      <c r="DO181" s="761"/>
      <c r="DP181" s="553"/>
      <c r="DQ181" s="553"/>
      <c r="DR181" s="553"/>
      <c r="DS181" s="553"/>
      <c r="DT181" s="553"/>
      <c r="DU181" s="553"/>
      <c r="DV181" s="553"/>
      <c r="DW181" s="553"/>
      <c r="DX181" s="553"/>
      <c r="DY181" s="553"/>
    </row>
    <row r="182" spans="1:129" customFormat="1" ht="24" customHeight="1" x14ac:dyDescent="0.9">
      <c r="A182" s="752"/>
      <c r="B182" s="588"/>
      <c r="C182" s="588"/>
      <c r="D182" s="588"/>
      <c r="E182" s="588"/>
      <c r="F182" s="588"/>
      <c r="G182" s="588"/>
      <c r="H182" s="588"/>
      <c r="I182" s="588"/>
      <c r="J182" s="588"/>
      <c r="K182" s="588"/>
      <c r="L182" s="753"/>
      <c r="M182" s="753"/>
      <c r="N182" s="588"/>
      <c r="O182" s="626"/>
      <c r="P182" s="588"/>
      <c r="Q182" s="626"/>
      <c r="R182" s="588"/>
      <c r="S182" s="588"/>
      <c r="T182" s="588"/>
      <c r="U182" s="588"/>
      <c r="V182" s="588"/>
      <c r="W182" s="588"/>
      <c r="X182" s="588"/>
      <c r="Y182" s="588"/>
      <c r="Z182" s="588"/>
      <c r="AA182" s="588"/>
      <c r="AB182" s="588"/>
      <c r="AC182" s="588"/>
      <c r="AD182" s="588"/>
      <c r="AE182" s="626"/>
      <c r="AF182" s="626"/>
      <c r="AG182" s="626"/>
      <c r="AH182" s="626"/>
      <c r="AI182" s="626"/>
      <c r="AJ182" s="626"/>
      <c r="AK182" s="626"/>
      <c r="AL182" s="626"/>
      <c r="AM182" s="626"/>
      <c r="AN182" s="626"/>
      <c r="AO182" s="626"/>
      <c r="AP182" s="626"/>
      <c r="AQ182" s="626"/>
      <c r="AR182" s="626"/>
      <c r="AS182" s="626"/>
      <c r="AT182" s="626"/>
      <c r="AU182" s="626"/>
      <c r="AV182" s="626"/>
      <c r="AW182" s="626"/>
      <c r="AX182" s="626"/>
      <c r="AY182" s="626"/>
      <c r="AZ182" s="626"/>
      <c r="BA182" s="626"/>
      <c r="BB182" s="588"/>
      <c r="BC182" s="626"/>
      <c r="BD182" s="626"/>
      <c r="BE182" s="626"/>
      <c r="BF182" s="626"/>
      <c r="BG182" s="626"/>
      <c r="BH182" s="626"/>
      <c r="BI182" s="588"/>
      <c r="BJ182" s="626"/>
      <c r="BK182" s="626"/>
      <c r="BL182" s="626"/>
      <c r="BM182" s="626"/>
      <c r="BN182" s="626"/>
      <c r="BO182" s="626"/>
      <c r="BP182" s="588"/>
      <c r="BQ182" s="846"/>
      <c r="BR182" s="850"/>
      <c r="BS182" s="588"/>
      <c r="BT182" s="754"/>
      <c r="BU182" s="588"/>
      <c r="BV182" s="588"/>
      <c r="BW182" s="588"/>
      <c r="BX182" s="588"/>
      <c r="BY182" s="588"/>
      <c r="BZ182" s="588"/>
      <c r="CA182" s="588"/>
      <c r="CB182" s="588"/>
      <c r="CC182" s="865"/>
      <c r="CD182" s="588"/>
      <c r="CE182" s="588"/>
      <c r="CF182" s="588"/>
      <c r="CG182" s="588"/>
      <c r="CH182" s="588"/>
      <c r="CI182" s="588"/>
      <c r="CJ182" s="588"/>
      <c r="CK182" s="588"/>
      <c r="CL182" s="588"/>
      <c r="CM182" s="588"/>
      <c r="CN182" s="588"/>
      <c r="CO182" s="588"/>
      <c r="CP182" s="816"/>
      <c r="CQ182" s="805"/>
      <c r="CR182" s="805"/>
      <c r="CS182" s="830"/>
      <c r="CT182" s="588"/>
      <c r="CU182" s="626"/>
      <c r="CV182" s="626"/>
      <c r="CW182" s="626"/>
      <c r="CX182" s="626"/>
      <c r="CY182" s="626"/>
      <c r="CZ182" s="626"/>
      <c r="DA182" s="626"/>
      <c r="DB182" s="626"/>
      <c r="DC182" s="626"/>
      <c r="DD182" s="626"/>
      <c r="DE182" s="626"/>
      <c r="DF182" s="626"/>
      <c r="DG182" s="626"/>
      <c r="DH182" s="626"/>
      <c r="DI182" s="626"/>
      <c r="DJ182" s="626"/>
      <c r="DK182" s="626"/>
      <c r="DL182" s="626"/>
      <c r="DM182" s="761"/>
      <c r="DN182" s="761"/>
      <c r="DO182" s="761"/>
      <c r="DP182" s="553"/>
      <c r="DQ182" s="553"/>
      <c r="DR182" s="553"/>
      <c r="DS182" s="553"/>
      <c r="DT182" s="553"/>
      <c r="DU182" s="553"/>
      <c r="DV182" s="553"/>
      <c r="DW182" s="553"/>
      <c r="DX182" s="553"/>
      <c r="DY182" s="553"/>
    </row>
    <row r="183" spans="1:129" customFormat="1" ht="24" customHeight="1" x14ac:dyDescent="0.9">
      <c r="A183" s="752"/>
      <c r="B183" s="588"/>
      <c r="C183" s="588"/>
      <c r="D183" s="588"/>
      <c r="E183" s="588"/>
      <c r="F183" s="588"/>
      <c r="G183" s="588"/>
      <c r="H183" s="588"/>
      <c r="I183" s="588"/>
      <c r="J183" s="588"/>
      <c r="K183" s="588"/>
      <c r="L183" s="753"/>
      <c r="M183" s="753"/>
      <c r="N183" s="588"/>
      <c r="O183" s="626"/>
      <c r="P183" s="588"/>
      <c r="Q183" s="626"/>
      <c r="R183" s="588"/>
      <c r="S183" s="588"/>
      <c r="T183" s="588"/>
      <c r="U183" s="588"/>
      <c r="V183" s="588"/>
      <c r="W183" s="588"/>
      <c r="X183" s="588"/>
      <c r="Y183" s="588"/>
      <c r="Z183" s="588"/>
      <c r="AA183" s="588"/>
      <c r="AB183" s="588"/>
      <c r="AC183" s="588"/>
      <c r="AD183" s="588"/>
      <c r="AE183" s="626"/>
      <c r="AF183" s="626"/>
      <c r="AG183" s="626"/>
      <c r="AH183" s="626"/>
      <c r="AI183" s="626"/>
      <c r="AJ183" s="626"/>
      <c r="AK183" s="626"/>
      <c r="AL183" s="626"/>
      <c r="AM183" s="626"/>
      <c r="AN183" s="626"/>
      <c r="AO183" s="626"/>
      <c r="AP183" s="626"/>
      <c r="AQ183" s="626"/>
      <c r="AR183" s="626"/>
      <c r="AS183" s="626"/>
      <c r="AT183" s="626"/>
      <c r="AU183" s="626"/>
      <c r="AV183" s="626"/>
      <c r="AW183" s="626"/>
      <c r="AX183" s="626"/>
      <c r="AY183" s="626"/>
      <c r="AZ183" s="626"/>
      <c r="BA183" s="626"/>
      <c r="BB183" s="588"/>
      <c r="BC183" s="626"/>
      <c r="BD183" s="626"/>
      <c r="BE183" s="626"/>
      <c r="BF183" s="626"/>
      <c r="BG183" s="626"/>
      <c r="BH183" s="626"/>
      <c r="BI183" s="588"/>
      <c r="BJ183" s="626"/>
      <c r="BK183" s="626"/>
      <c r="BL183" s="626"/>
      <c r="BM183" s="626"/>
      <c r="BN183" s="626"/>
      <c r="BO183" s="626"/>
      <c r="BP183" s="588"/>
      <c r="BQ183" s="846"/>
      <c r="BR183" s="850"/>
      <c r="BS183" s="588"/>
      <c r="BT183" s="754"/>
      <c r="BU183" s="588"/>
      <c r="BV183" s="588"/>
      <c r="BW183" s="588"/>
      <c r="BX183" s="588"/>
      <c r="BY183" s="588"/>
      <c r="BZ183" s="588"/>
      <c r="CA183" s="588"/>
      <c r="CB183" s="588"/>
      <c r="CC183" s="865"/>
      <c r="CD183" s="588"/>
      <c r="CE183" s="588"/>
      <c r="CF183" s="588"/>
      <c r="CG183" s="588"/>
      <c r="CH183" s="588"/>
      <c r="CI183" s="588"/>
      <c r="CJ183" s="588"/>
      <c r="CK183" s="588"/>
      <c r="CL183" s="588"/>
      <c r="CM183" s="588"/>
      <c r="CN183" s="588"/>
      <c r="CO183" s="588"/>
      <c r="CP183" s="816"/>
      <c r="CQ183" s="805"/>
      <c r="CR183" s="805"/>
      <c r="CS183" s="830"/>
      <c r="CT183" s="588"/>
      <c r="CU183" s="626"/>
      <c r="CV183" s="626"/>
      <c r="CW183" s="626"/>
      <c r="CX183" s="626"/>
      <c r="CY183" s="626"/>
      <c r="CZ183" s="626"/>
      <c r="DA183" s="626"/>
      <c r="DB183" s="626"/>
      <c r="DC183" s="626"/>
      <c r="DD183" s="626"/>
      <c r="DE183" s="626"/>
      <c r="DF183" s="626"/>
      <c r="DG183" s="626"/>
      <c r="DH183" s="626"/>
      <c r="DI183" s="626"/>
      <c r="DJ183" s="626"/>
      <c r="DK183" s="626"/>
      <c r="DL183" s="626"/>
      <c r="DM183" s="761"/>
      <c r="DN183" s="761"/>
      <c r="DO183" s="761"/>
      <c r="DP183" s="553"/>
      <c r="DQ183" s="553"/>
      <c r="DR183" s="553"/>
      <c r="DS183" s="553"/>
      <c r="DT183" s="553"/>
      <c r="DU183" s="553"/>
      <c r="DV183" s="553"/>
      <c r="DW183" s="553"/>
      <c r="DX183" s="553"/>
      <c r="DY183" s="553"/>
    </row>
    <row r="184" spans="1:129" customFormat="1" ht="24" customHeight="1" x14ac:dyDescent="0.9">
      <c r="A184" s="752"/>
      <c r="B184" s="588"/>
      <c r="C184" s="588"/>
      <c r="D184" s="588"/>
      <c r="E184" s="588"/>
      <c r="F184" s="588"/>
      <c r="G184" s="588"/>
      <c r="H184" s="588"/>
      <c r="I184" s="588"/>
      <c r="J184" s="588"/>
      <c r="K184" s="588"/>
      <c r="L184" s="753"/>
      <c r="M184" s="753"/>
      <c r="N184" s="588"/>
      <c r="O184" s="626"/>
      <c r="P184" s="588"/>
      <c r="Q184" s="626"/>
      <c r="R184" s="588"/>
      <c r="S184" s="588"/>
      <c r="T184" s="588"/>
      <c r="U184" s="588"/>
      <c r="V184" s="588"/>
      <c r="W184" s="588"/>
      <c r="X184" s="588"/>
      <c r="Y184" s="588"/>
      <c r="Z184" s="588"/>
      <c r="AA184" s="588"/>
      <c r="AB184" s="588"/>
      <c r="AC184" s="588"/>
      <c r="AD184" s="588"/>
      <c r="AE184" s="626"/>
      <c r="AF184" s="626"/>
      <c r="AG184" s="626"/>
      <c r="AH184" s="626"/>
      <c r="AI184" s="626"/>
      <c r="AJ184" s="626"/>
      <c r="AK184" s="626"/>
      <c r="AL184" s="626"/>
      <c r="AM184" s="626"/>
      <c r="AN184" s="626"/>
      <c r="AO184" s="626"/>
      <c r="AP184" s="626"/>
      <c r="AQ184" s="626"/>
      <c r="AR184" s="626"/>
      <c r="AS184" s="626"/>
      <c r="AT184" s="626"/>
      <c r="AU184" s="626"/>
      <c r="AV184" s="626"/>
      <c r="AW184" s="626"/>
      <c r="AX184" s="626"/>
      <c r="AY184" s="626"/>
      <c r="AZ184" s="626"/>
      <c r="BA184" s="626"/>
      <c r="BB184" s="588"/>
      <c r="BC184" s="626"/>
      <c r="BD184" s="626"/>
      <c r="BE184" s="626"/>
      <c r="BF184" s="626"/>
      <c r="BG184" s="626"/>
      <c r="BH184" s="626"/>
      <c r="BI184" s="588"/>
      <c r="BJ184" s="626"/>
      <c r="BK184" s="626"/>
      <c r="BL184" s="626"/>
      <c r="BM184" s="626"/>
      <c r="BN184" s="626"/>
      <c r="BO184" s="626"/>
      <c r="BP184" s="588"/>
      <c r="BQ184" s="846"/>
      <c r="BR184" s="850"/>
      <c r="BS184" s="588"/>
      <c r="BT184" s="754"/>
      <c r="BU184" s="588"/>
      <c r="BV184" s="588"/>
      <c r="BW184" s="588"/>
      <c r="BX184" s="588"/>
      <c r="BY184" s="588"/>
      <c r="BZ184" s="588"/>
      <c r="CA184" s="588"/>
      <c r="CB184" s="588"/>
      <c r="CC184" s="865"/>
      <c r="CD184" s="588"/>
      <c r="CE184" s="588"/>
      <c r="CF184" s="588"/>
      <c r="CG184" s="588"/>
      <c r="CH184" s="588"/>
      <c r="CI184" s="588"/>
      <c r="CJ184" s="588"/>
      <c r="CK184" s="588"/>
      <c r="CL184" s="588"/>
      <c r="CM184" s="588"/>
      <c r="CN184" s="588"/>
      <c r="CO184" s="588"/>
      <c r="CP184" s="816"/>
      <c r="CQ184" s="805"/>
      <c r="CR184" s="805"/>
      <c r="CS184" s="830"/>
      <c r="CT184" s="588"/>
      <c r="CU184" s="626"/>
      <c r="CV184" s="626"/>
      <c r="CW184" s="626"/>
      <c r="CX184" s="626"/>
      <c r="CY184" s="626"/>
      <c r="CZ184" s="626"/>
      <c r="DA184" s="626"/>
      <c r="DB184" s="626"/>
      <c r="DC184" s="626"/>
      <c r="DD184" s="626"/>
      <c r="DE184" s="626"/>
      <c r="DF184" s="626"/>
      <c r="DG184" s="626"/>
      <c r="DH184" s="626"/>
      <c r="DI184" s="626"/>
      <c r="DJ184" s="626"/>
      <c r="DK184" s="626"/>
      <c r="DL184" s="626"/>
      <c r="DM184" s="761"/>
      <c r="DN184" s="761"/>
      <c r="DO184" s="761"/>
      <c r="DP184" s="553"/>
      <c r="DQ184" s="553"/>
      <c r="DR184" s="553"/>
      <c r="DS184" s="553"/>
      <c r="DT184" s="553"/>
      <c r="DU184" s="553"/>
      <c r="DV184" s="553"/>
      <c r="DW184" s="553"/>
      <c r="DX184" s="553"/>
      <c r="DY184" s="553"/>
    </row>
    <row r="185" spans="1:129" customFormat="1" ht="24" customHeight="1" x14ac:dyDescent="0.9">
      <c r="A185" s="752"/>
      <c r="B185" s="588"/>
      <c r="C185" s="588"/>
      <c r="D185" s="588"/>
      <c r="E185" s="588"/>
      <c r="F185" s="588"/>
      <c r="G185" s="588"/>
      <c r="H185" s="588"/>
      <c r="I185" s="588"/>
      <c r="J185" s="588"/>
      <c r="K185" s="588"/>
      <c r="L185" s="753"/>
      <c r="M185" s="753"/>
      <c r="N185" s="588"/>
      <c r="O185" s="626"/>
      <c r="P185" s="588"/>
      <c r="Q185" s="626"/>
      <c r="R185" s="588"/>
      <c r="S185" s="588"/>
      <c r="T185" s="588"/>
      <c r="U185" s="588"/>
      <c r="V185" s="588"/>
      <c r="W185" s="588"/>
      <c r="X185" s="588"/>
      <c r="Y185" s="588"/>
      <c r="Z185" s="588"/>
      <c r="AA185" s="588"/>
      <c r="AB185" s="588"/>
      <c r="AC185" s="588"/>
      <c r="AD185" s="588"/>
      <c r="AE185" s="626"/>
      <c r="AF185" s="626"/>
      <c r="AG185" s="626"/>
      <c r="AH185" s="626"/>
      <c r="AI185" s="626"/>
      <c r="AJ185" s="626"/>
      <c r="AK185" s="626"/>
      <c r="AL185" s="626"/>
      <c r="AM185" s="626"/>
      <c r="AN185" s="626"/>
      <c r="AO185" s="626"/>
      <c r="AP185" s="626"/>
      <c r="AQ185" s="626"/>
      <c r="AR185" s="626"/>
      <c r="AS185" s="626"/>
      <c r="AT185" s="626"/>
      <c r="AU185" s="626"/>
      <c r="AV185" s="626"/>
      <c r="AW185" s="626"/>
      <c r="AX185" s="626"/>
      <c r="AY185" s="626"/>
      <c r="AZ185" s="626"/>
      <c r="BA185" s="626"/>
      <c r="BB185" s="588"/>
      <c r="BC185" s="626"/>
      <c r="BD185" s="626"/>
      <c r="BE185" s="626"/>
      <c r="BF185" s="626"/>
      <c r="BG185" s="626"/>
      <c r="BH185" s="626"/>
      <c r="BI185" s="588"/>
      <c r="BJ185" s="626"/>
      <c r="BK185" s="626"/>
      <c r="BL185" s="626"/>
      <c r="BM185" s="626"/>
      <c r="BN185" s="626"/>
      <c r="BO185" s="626"/>
      <c r="BP185" s="588"/>
      <c r="BQ185" s="846"/>
      <c r="BR185" s="850"/>
      <c r="BS185" s="588"/>
      <c r="BT185" s="754"/>
      <c r="BU185" s="588"/>
      <c r="BV185" s="588"/>
      <c r="BW185" s="588"/>
      <c r="BX185" s="588"/>
      <c r="BY185" s="588"/>
      <c r="BZ185" s="588"/>
      <c r="CA185" s="588"/>
      <c r="CB185" s="588"/>
      <c r="CC185" s="865"/>
      <c r="CD185" s="588"/>
      <c r="CE185" s="588"/>
      <c r="CF185" s="588"/>
      <c r="CG185" s="588"/>
      <c r="CH185" s="588"/>
      <c r="CI185" s="588"/>
      <c r="CJ185" s="588"/>
      <c r="CK185" s="588"/>
      <c r="CL185" s="588"/>
      <c r="CM185" s="588"/>
      <c r="CN185" s="588"/>
      <c r="CO185" s="588"/>
      <c r="CP185" s="816"/>
      <c r="CQ185" s="805"/>
      <c r="CR185" s="805"/>
      <c r="CS185" s="830"/>
      <c r="CT185" s="588"/>
      <c r="CU185" s="626"/>
      <c r="CV185" s="626"/>
      <c r="CW185" s="626"/>
      <c r="CX185" s="626"/>
      <c r="CY185" s="626"/>
      <c r="CZ185" s="626"/>
      <c r="DA185" s="626"/>
      <c r="DB185" s="626"/>
      <c r="DC185" s="626"/>
      <c r="DD185" s="626"/>
      <c r="DE185" s="626"/>
      <c r="DF185" s="626"/>
      <c r="DG185" s="626"/>
      <c r="DH185" s="626"/>
      <c r="DI185" s="626"/>
      <c r="DJ185" s="626"/>
      <c r="DK185" s="626"/>
      <c r="DL185" s="626"/>
      <c r="DM185" s="761"/>
      <c r="DN185" s="761"/>
      <c r="DO185" s="761"/>
      <c r="DP185" s="553"/>
      <c r="DQ185" s="553"/>
      <c r="DR185" s="553"/>
      <c r="DS185" s="553"/>
      <c r="DT185" s="553"/>
      <c r="DU185" s="553"/>
      <c r="DV185" s="553"/>
      <c r="DW185" s="553"/>
      <c r="DX185" s="553"/>
      <c r="DY185" s="553"/>
    </row>
    <row r="186" spans="1:129" customFormat="1" ht="24" customHeight="1" x14ac:dyDescent="0.9">
      <c r="A186" s="752"/>
      <c r="B186" s="588"/>
      <c r="C186" s="588"/>
      <c r="D186" s="588"/>
      <c r="E186" s="588"/>
      <c r="F186" s="588"/>
      <c r="G186" s="588"/>
      <c r="H186" s="588"/>
      <c r="I186" s="588"/>
      <c r="J186" s="588"/>
      <c r="K186" s="588"/>
      <c r="L186" s="753"/>
      <c r="M186" s="753"/>
      <c r="N186" s="588"/>
      <c r="O186" s="626"/>
      <c r="P186" s="588"/>
      <c r="Q186" s="626"/>
      <c r="R186" s="588"/>
      <c r="S186" s="588"/>
      <c r="T186" s="588"/>
      <c r="U186" s="588"/>
      <c r="V186" s="588"/>
      <c r="W186" s="588"/>
      <c r="X186" s="588"/>
      <c r="Y186" s="588"/>
      <c r="Z186" s="588"/>
      <c r="AA186" s="588"/>
      <c r="AB186" s="588"/>
      <c r="AC186" s="588"/>
      <c r="AD186" s="588"/>
      <c r="AE186" s="626"/>
      <c r="AF186" s="626"/>
      <c r="AG186" s="626"/>
      <c r="AH186" s="626"/>
      <c r="AI186" s="626"/>
      <c r="AJ186" s="626"/>
      <c r="AK186" s="626"/>
      <c r="AL186" s="626"/>
      <c r="AM186" s="626"/>
      <c r="AN186" s="626"/>
      <c r="AO186" s="626"/>
      <c r="AP186" s="626"/>
      <c r="AQ186" s="626"/>
      <c r="AR186" s="626"/>
      <c r="AS186" s="626"/>
      <c r="AT186" s="626"/>
      <c r="AU186" s="626"/>
      <c r="AV186" s="626"/>
      <c r="AW186" s="626"/>
      <c r="AX186" s="626"/>
      <c r="AY186" s="626"/>
      <c r="AZ186" s="626"/>
      <c r="BA186" s="626"/>
      <c r="BB186" s="588"/>
      <c r="BC186" s="626"/>
      <c r="BD186" s="626"/>
      <c r="BE186" s="626"/>
      <c r="BF186" s="626"/>
      <c r="BG186" s="626"/>
      <c r="BH186" s="626"/>
      <c r="BI186" s="588"/>
      <c r="BJ186" s="626"/>
      <c r="BK186" s="626"/>
      <c r="BL186" s="626"/>
      <c r="BM186" s="626"/>
      <c r="BN186" s="626"/>
      <c r="BO186" s="626"/>
      <c r="BP186" s="588"/>
      <c r="BQ186" s="846"/>
      <c r="BR186" s="850"/>
      <c r="BS186" s="588"/>
      <c r="BT186" s="754"/>
      <c r="BU186" s="588"/>
      <c r="BV186" s="588"/>
      <c r="BW186" s="588"/>
      <c r="BX186" s="588"/>
      <c r="BY186" s="588"/>
      <c r="BZ186" s="588"/>
      <c r="CA186" s="588"/>
      <c r="CB186" s="588"/>
      <c r="CC186" s="865"/>
      <c r="CD186" s="588"/>
      <c r="CE186" s="588"/>
      <c r="CF186" s="588"/>
      <c r="CG186" s="588"/>
      <c r="CH186" s="588"/>
      <c r="CI186" s="588"/>
      <c r="CJ186" s="588"/>
      <c r="CK186" s="588"/>
      <c r="CL186" s="588"/>
      <c r="CM186" s="588"/>
      <c r="CN186" s="588"/>
      <c r="CO186" s="588"/>
      <c r="CP186" s="816"/>
      <c r="CQ186" s="805"/>
      <c r="CR186" s="805"/>
      <c r="CS186" s="830"/>
      <c r="CT186" s="588"/>
      <c r="CU186" s="626"/>
      <c r="CV186" s="626"/>
      <c r="CW186" s="626"/>
      <c r="CX186" s="626"/>
      <c r="CY186" s="626"/>
      <c r="CZ186" s="626"/>
      <c r="DA186" s="626"/>
      <c r="DB186" s="626"/>
      <c r="DC186" s="626"/>
      <c r="DD186" s="626"/>
      <c r="DE186" s="626"/>
      <c r="DF186" s="626"/>
      <c r="DG186" s="626"/>
      <c r="DH186" s="626"/>
      <c r="DI186" s="626"/>
      <c r="DJ186" s="626"/>
      <c r="DK186" s="626"/>
      <c r="DL186" s="626"/>
      <c r="DM186" s="761"/>
      <c r="DN186" s="761"/>
      <c r="DO186" s="761"/>
      <c r="DP186" s="553"/>
      <c r="DQ186" s="553"/>
      <c r="DR186" s="553"/>
      <c r="DS186" s="553"/>
      <c r="DT186" s="553"/>
      <c r="DU186" s="553"/>
      <c r="DV186" s="553"/>
      <c r="DW186" s="553"/>
      <c r="DX186" s="553"/>
      <c r="DY186" s="553"/>
    </row>
    <row r="187" spans="1:129" customFormat="1" ht="24" customHeight="1" x14ac:dyDescent="0.9">
      <c r="A187" s="752"/>
      <c r="B187" s="588"/>
      <c r="C187" s="588"/>
      <c r="D187" s="588"/>
      <c r="E187" s="588"/>
      <c r="F187" s="588"/>
      <c r="G187" s="588"/>
      <c r="H187" s="588"/>
      <c r="I187" s="588"/>
      <c r="J187" s="588"/>
      <c r="K187" s="588"/>
      <c r="L187" s="753"/>
      <c r="M187" s="753"/>
      <c r="N187" s="588"/>
      <c r="O187" s="626"/>
      <c r="P187" s="588"/>
      <c r="Q187" s="626"/>
      <c r="R187" s="588"/>
      <c r="S187" s="588"/>
      <c r="T187" s="588"/>
      <c r="U187" s="588"/>
      <c r="V187" s="588"/>
      <c r="W187" s="588"/>
      <c r="X187" s="588"/>
      <c r="Y187" s="588"/>
      <c r="Z187" s="588"/>
      <c r="AA187" s="588"/>
      <c r="AB187" s="588"/>
      <c r="AC187" s="588"/>
      <c r="AD187" s="588"/>
      <c r="AE187" s="626"/>
      <c r="AF187" s="626"/>
      <c r="AG187" s="626"/>
      <c r="AH187" s="626"/>
      <c r="AI187" s="626"/>
      <c r="AJ187" s="626"/>
      <c r="AK187" s="626"/>
      <c r="AL187" s="626"/>
      <c r="AM187" s="626"/>
      <c r="AN187" s="626"/>
      <c r="AO187" s="626"/>
      <c r="AP187" s="626"/>
      <c r="AQ187" s="626"/>
      <c r="AR187" s="626"/>
      <c r="AS187" s="626"/>
      <c r="AT187" s="626"/>
      <c r="AU187" s="626"/>
      <c r="AV187" s="626"/>
      <c r="AW187" s="626"/>
      <c r="AX187" s="626"/>
      <c r="AY187" s="626"/>
      <c r="AZ187" s="626"/>
      <c r="BA187" s="626"/>
      <c r="BB187" s="588"/>
      <c r="BC187" s="626"/>
      <c r="BD187" s="626"/>
      <c r="BE187" s="626"/>
      <c r="BF187" s="626"/>
      <c r="BG187" s="626"/>
      <c r="BH187" s="626"/>
      <c r="BI187" s="588"/>
      <c r="BJ187" s="626"/>
      <c r="BK187" s="626"/>
      <c r="BL187" s="626"/>
      <c r="BM187" s="626"/>
      <c r="BN187" s="626"/>
      <c r="BO187" s="626"/>
      <c r="BP187" s="588"/>
      <c r="BQ187" s="846"/>
      <c r="BR187" s="850"/>
      <c r="BS187" s="588"/>
      <c r="BT187" s="754"/>
      <c r="BU187" s="588"/>
      <c r="BV187" s="588"/>
      <c r="BW187" s="588"/>
      <c r="BX187" s="588"/>
      <c r="BY187" s="588"/>
      <c r="BZ187" s="588"/>
      <c r="CA187" s="588"/>
      <c r="CB187" s="588"/>
      <c r="CC187" s="865"/>
      <c r="CD187" s="588"/>
      <c r="CE187" s="588"/>
      <c r="CF187" s="588"/>
      <c r="CG187" s="588"/>
      <c r="CH187" s="588"/>
      <c r="CI187" s="588"/>
      <c r="CJ187" s="588"/>
      <c r="CK187" s="588"/>
      <c r="CL187" s="588"/>
      <c r="CM187" s="588"/>
      <c r="CN187" s="588"/>
      <c r="CO187" s="588"/>
      <c r="CP187" s="816"/>
      <c r="CQ187" s="805"/>
      <c r="CR187" s="805"/>
      <c r="CS187" s="830"/>
      <c r="CT187" s="588"/>
      <c r="CU187" s="626"/>
      <c r="CV187" s="626"/>
      <c r="CW187" s="626"/>
      <c r="CX187" s="626"/>
      <c r="CY187" s="626"/>
      <c r="CZ187" s="626"/>
      <c r="DA187" s="626"/>
      <c r="DB187" s="626"/>
      <c r="DC187" s="626"/>
      <c r="DD187" s="626"/>
      <c r="DE187" s="626"/>
      <c r="DF187" s="626"/>
      <c r="DG187" s="626"/>
      <c r="DH187" s="626"/>
      <c r="DI187" s="626"/>
      <c r="DJ187" s="626"/>
      <c r="DK187" s="626"/>
      <c r="DL187" s="626"/>
      <c r="DM187" s="761"/>
      <c r="DN187" s="761"/>
      <c r="DO187" s="761"/>
      <c r="DP187" s="553"/>
      <c r="DQ187" s="553"/>
      <c r="DR187" s="553"/>
      <c r="DS187" s="553"/>
      <c r="DT187" s="553"/>
      <c r="DU187" s="553"/>
      <c r="DV187" s="553"/>
      <c r="DW187" s="553"/>
      <c r="DX187" s="553"/>
      <c r="DY187" s="553"/>
    </row>
    <row r="188" spans="1:129" customFormat="1" ht="24" customHeight="1" x14ac:dyDescent="0.9">
      <c r="A188" s="752"/>
      <c r="B188" s="588"/>
      <c r="C188" s="588"/>
      <c r="D188" s="588"/>
      <c r="E188" s="588"/>
      <c r="F188" s="588"/>
      <c r="G188" s="588"/>
      <c r="H188" s="588"/>
      <c r="I188" s="588"/>
      <c r="J188" s="588"/>
      <c r="K188" s="588"/>
      <c r="L188" s="753"/>
      <c r="M188" s="753"/>
      <c r="N188" s="588"/>
      <c r="O188" s="626"/>
      <c r="P188" s="588"/>
      <c r="Q188" s="626"/>
      <c r="R188" s="588"/>
      <c r="S188" s="588"/>
      <c r="T188" s="588"/>
      <c r="U188" s="588"/>
      <c r="V188" s="588"/>
      <c r="W188" s="588"/>
      <c r="X188" s="588"/>
      <c r="Y188" s="588"/>
      <c r="Z188" s="588"/>
      <c r="AA188" s="588"/>
      <c r="AB188" s="588"/>
      <c r="AC188" s="588"/>
      <c r="AD188" s="588"/>
      <c r="AE188" s="626"/>
      <c r="AF188" s="626"/>
      <c r="AG188" s="626"/>
      <c r="AH188" s="626"/>
      <c r="AI188" s="626"/>
      <c r="AJ188" s="626"/>
      <c r="AK188" s="626"/>
      <c r="AL188" s="626"/>
      <c r="AM188" s="626"/>
      <c r="AN188" s="626"/>
      <c r="AO188" s="626"/>
      <c r="AP188" s="626"/>
      <c r="AQ188" s="626"/>
      <c r="AR188" s="626"/>
      <c r="AS188" s="626"/>
      <c r="AT188" s="626"/>
      <c r="AU188" s="626"/>
      <c r="AV188" s="626"/>
      <c r="AW188" s="626"/>
      <c r="AX188" s="626"/>
      <c r="AY188" s="626"/>
      <c r="AZ188" s="626"/>
      <c r="BA188" s="626"/>
      <c r="BB188" s="588"/>
      <c r="BC188" s="626"/>
      <c r="BD188" s="626"/>
      <c r="BE188" s="626"/>
      <c r="BF188" s="626"/>
      <c r="BG188" s="626"/>
      <c r="BH188" s="626"/>
      <c r="BI188" s="588"/>
      <c r="BJ188" s="626"/>
      <c r="BK188" s="626"/>
      <c r="BL188" s="626"/>
      <c r="BM188" s="626"/>
      <c r="BN188" s="626"/>
      <c r="BO188" s="626"/>
      <c r="BP188" s="588"/>
      <c r="BQ188" s="846"/>
      <c r="BR188" s="850"/>
      <c r="BS188" s="588"/>
      <c r="BT188" s="754"/>
      <c r="BU188" s="588"/>
      <c r="BV188" s="588"/>
      <c r="BW188" s="588"/>
      <c r="BX188" s="588"/>
      <c r="BY188" s="588"/>
      <c r="BZ188" s="588"/>
      <c r="CA188" s="588"/>
      <c r="CB188" s="588"/>
      <c r="CC188" s="865"/>
      <c r="CD188" s="588"/>
      <c r="CE188" s="588"/>
      <c r="CF188" s="588"/>
      <c r="CG188" s="588"/>
      <c r="CH188" s="588"/>
      <c r="CI188" s="588"/>
      <c r="CJ188" s="588"/>
      <c r="CK188" s="588"/>
      <c r="CL188" s="588"/>
      <c r="CM188" s="588"/>
      <c r="CN188" s="588"/>
      <c r="CO188" s="588"/>
      <c r="CP188" s="816"/>
      <c r="CQ188" s="805"/>
      <c r="CR188" s="805"/>
      <c r="CS188" s="830"/>
      <c r="CT188" s="588"/>
      <c r="CU188" s="626"/>
      <c r="CV188" s="626"/>
      <c r="CW188" s="626"/>
      <c r="CX188" s="626"/>
      <c r="CY188" s="626"/>
      <c r="CZ188" s="626"/>
      <c r="DA188" s="626"/>
      <c r="DB188" s="626"/>
      <c r="DC188" s="626"/>
      <c r="DD188" s="626"/>
      <c r="DE188" s="626"/>
      <c r="DF188" s="626"/>
      <c r="DG188" s="626"/>
      <c r="DH188" s="626"/>
      <c r="DI188" s="626"/>
      <c r="DJ188" s="626"/>
      <c r="DK188" s="626"/>
      <c r="DL188" s="626"/>
      <c r="DM188" s="761"/>
      <c r="DN188" s="761"/>
      <c r="DO188" s="761"/>
      <c r="DP188" s="553"/>
      <c r="DQ188" s="553"/>
      <c r="DR188" s="553"/>
      <c r="DS188" s="553"/>
      <c r="DT188" s="553"/>
      <c r="DU188" s="553"/>
      <c r="DV188" s="553"/>
      <c r="DW188" s="553"/>
      <c r="DX188" s="553"/>
      <c r="DY188" s="553"/>
    </row>
    <row r="189" spans="1:129" customFormat="1" ht="24" customHeight="1" x14ac:dyDescent="0.9">
      <c r="A189" s="752"/>
      <c r="B189" s="588"/>
      <c r="C189" s="588"/>
      <c r="D189" s="588"/>
      <c r="E189" s="588"/>
      <c r="F189" s="588"/>
      <c r="G189" s="588"/>
      <c r="H189" s="588"/>
      <c r="I189" s="588"/>
      <c r="J189" s="588"/>
      <c r="K189" s="588"/>
      <c r="L189" s="753"/>
      <c r="M189" s="753"/>
      <c r="N189" s="588"/>
      <c r="O189" s="626"/>
      <c r="P189" s="588"/>
      <c r="Q189" s="626"/>
      <c r="R189" s="588"/>
      <c r="S189" s="588"/>
      <c r="T189" s="588"/>
      <c r="U189" s="588"/>
      <c r="V189" s="588"/>
      <c r="W189" s="588"/>
      <c r="X189" s="588"/>
      <c r="Y189" s="588"/>
      <c r="Z189" s="588"/>
      <c r="AA189" s="588"/>
      <c r="AB189" s="588"/>
      <c r="AC189" s="588"/>
      <c r="AD189" s="588"/>
      <c r="AE189" s="626"/>
      <c r="AF189" s="626"/>
      <c r="AG189" s="626"/>
      <c r="AH189" s="626"/>
      <c r="AI189" s="626"/>
      <c r="AJ189" s="626"/>
      <c r="AK189" s="626"/>
      <c r="AL189" s="626"/>
      <c r="AM189" s="626"/>
      <c r="AN189" s="626"/>
      <c r="AO189" s="626"/>
      <c r="AP189" s="626"/>
      <c r="AQ189" s="626"/>
      <c r="AR189" s="626"/>
      <c r="AS189" s="626"/>
      <c r="AT189" s="626"/>
      <c r="AU189" s="626"/>
      <c r="AV189" s="626"/>
      <c r="AW189" s="626"/>
      <c r="AX189" s="626"/>
      <c r="AY189" s="626"/>
      <c r="AZ189" s="626"/>
      <c r="BA189" s="626"/>
      <c r="BB189" s="588"/>
      <c r="BC189" s="626"/>
      <c r="BD189" s="626"/>
      <c r="BE189" s="626"/>
      <c r="BF189" s="626"/>
      <c r="BG189" s="626"/>
      <c r="BH189" s="626"/>
      <c r="BI189" s="588"/>
      <c r="BJ189" s="626"/>
      <c r="BK189" s="626"/>
      <c r="BL189" s="626"/>
      <c r="BM189" s="626"/>
      <c r="BN189" s="626"/>
      <c r="BO189" s="626"/>
      <c r="BP189" s="588"/>
      <c r="BQ189" s="846"/>
      <c r="BR189" s="850"/>
      <c r="BS189" s="588"/>
      <c r="BT189" s="754"/>
      <c r="BU189" s="588"/>
      <c r="BV189" s="588"/>
      <c r="BW189" s="588"/>
      <c r="BX189" s="588"/>
      <c r="BY189" s="588"/>
      <c r="BZ189" s="588"/>
      <c r="CA189" s="588"/>
      <c r="CB189" s="588"/>
      <c r="CC189" s="865"/>
      <c r="CD189" s="588"/>
      <c r="CE189" s="588"/>
      <c r="CF189" s="588"/>
      <c r="CG189" s="588"/>
      <c r="CH189" s="588"/>
      <c r="CI189" s="588"/>
      <c r="CJ189" s="588"/>
      <c r="CK189" s="588"/>
      <c r="CL189" s="588"/>
      <c r="CM189" s="588"/>
      <c r="CN189" s="588"/>
      <c r="CO189" s="588"/>
      <c r="CP189" s="816"/>
      <c r="CQ189" s="805"/>
      <c r="CR189" s="805"/>
      <c r="CS189" s="830"/>
      <c r="CT189" s="588"/>
      <c r="CU189" s="626"/>
      <c r="CV189" s="626"/>
      <c r="CW189" s="626"/>
      <c r="CX189" s="626"/>
      <c r="CY189" s="626"/>
      <c r="CZ189" s="626"/>
      <c r="DA189" s="626"/>
      <c r="DB189" s="626"/>
      <c r="DC189" s="626"/>
      <c r="DD189" s="626"/>
      <c r="DE189" s="626"/>
      <c r="DF189" s="626"/>
      <c r="DG189" s="626"/>
      <c r="DH189" s="626"/>
      <c r="DI189" s="626"/>
      <c r="DJ189" s="626"/>
      <c r="DK189" s="626"/>
      <c r="DL189" s="626"/>
      <c r="DM189" s="761"/>
      <c r="DN189" s="761"/>
      <c r="DO189" s="761"/>
      <c r="DP189" s="553"/>
      <c r="DQ189" s="553"/>
      <c r="DR189" s="553"/>
      <c r="DS189" s="553"/>
      <c r="DT189" s="553"/>
      <c r="DU189" s="553"/>
      <c r="DV189" s="553"/>
      <c r="DW189" s="553"/>
      <c r="DX189" s="553"/>
      <c r="DY189" s="553"/>
    </row>
    <row r="190" spans="1:129" customFormat="1" ht="24" customHeight="1" x14ac:dyDescent="0.9">
      <c r="A190" s="752"/>
      <c r="B190" s="588"/>
      <c r="C190" s="588"/>
      <c r="D190" s="588"/>
      <c r="E190" s="588"/>
      <c r="F190" s="588"/>
      <c r="G190" s="588"/>
      <c r="H190" s="588"/>
      <c r="I190" s="588"/>
      <c r="J190" s="588"/>
      <c r="K190" s="588"/>
      <c r="L190" s="753"/>
      <c r="M190" s="753"/>
      <c r="N190" s="588"/>
      <c r="O190" s="626"/>
      <c r="P190" s="588"/>
      <c r="Q190" s="626"/>
      <c r="R190" s="588"/>
      <c r="S190" s="588"/>
      <c r="T190" s="588"/>
      <c r="U190" s="588"/>
      <c r="V190" s="588"/>
      <c r="W190" s="588"/>
      <c r="X190" s="588"/>
      <c r="Y190" s="588"/>
      <c r="Z190" s="588"/>
      <c r="AA190" s="588"/>
      <c r="AB190" s="588"/>
      <c r="AC190" s="588"/>
      <c r="AD190" s="588"/>
      <c r="AE190" s="626"/>
      <c r="AF190" s="626"/>
      <c r="AG190" s="626"/>
      <c r="AH190" s="626"/>
      <c r="AI190" s="626"/>
      <c r="AJ190" s="626"/>
      <c r="AK190" s="626"/>
      <c r="AL190" s="626"/>
      <c r="AM190" s="626"/>
      <c r="AN190" s="626"/>
      <c r="AO190" s="626"/>
      <c r="AP190" s="626"/>
      <c r="AQ190" s="626"/>
      <c r="AR190" s="626"/>
      <c r="AS190" s="626"/>
      <c r="AT190" s="626"/>
      <c r="AU190" s="626"/>
      <c r="AV190" s="626"/>
      <c r="AW190" s="626"/>
      <c r="AX190" s="626"/>
      <c r="AY190" s="626"/>
      <c r="AZ190" s="626"/>
      <c r="BA190" s="626"/>
      <c r="BB190" s="588"/>
      <c r="BC190" s="626"/>
      <c r="BD190" s="626"/>
      <c r="BE190" s="626"/>
      <c r="BF190" s="626"/>
      <c r="BG190" s="626"/>
      <c r="BH190" s="626"/>
      <c r="BI190" s="588"/>
      <c r="BJ190" s="626"/>
      <c r="BK190" s="626"/>
      <c r="BL190" s="626"/>
      <c r="BM190" s="626"/>
      <c r="BN190" s="626"/>
      <c r="BO190" s="626"/>
      <c r="BP190" s="588"/>
      <c r="BQ190" s="846"/>
      <c r="BR190" s="850"/>
      <c r="BS190" s="588"/>
      <c r="BT190" s="754"/>
      <c r="BU190" s="588"/>
      <c r="BV190" s="588"/>
      <c r="BW190" s="588"/>
      <c r="BX190" s="588"/>
      <c r="BY190" s="588"/>
      <c r="BZ190" s="588"/>
      <c r="CA190" s="588"/>
      <c r="CB190" s="588"/>
      <c r="CC190" s="865"/>
      <c r="CD190" s="588"/>
      <c r="CE190" s="588"/>
      <c r="CF190" s="588"/>
      <c r="CG190" s="588"/>
      <c r="CH190" s="588"/>
      <c r="CI190" s="588"/>
      <c r="CJ190" s="588"/>
      <c r="CK190" s="588"/>
      <c r="CL190" s="588"/>
      <c r="CM190" s="588"/>
      <c r="CN190" s="588"/>
      <c r="CO190" s="588"/>
      <c r="CP190" s="816"/>
      <c r="CQ190" s="805"/>
      <c r="CR190" s="805"/>
      <c r="CS190" s="830"/>
      <c r="CT190" s="588"/>
      <c r="CU190" s="626"/>
      <c r="CV190" s="626"/>
      <c r="CW190" s="626"/>
      <c r="CX190" s="626"/>
      <c r="CY190" s="626"/>
      <c r="CZ190" s="626"/>
      <c r="DA190" s="626"/>
      <c r="DB190" s="626"/>
      <c r="DC190" s="626"/>
      <c r="DD190" s="626"/>
      <c r="DE190" s="626"/>
      <c r="DF190" s="626"/>
      <c r="DG190" s="626"/>
      <c r="DH190" s="626"/>
      <c r="DI190" s="626"/>
      <c r="DJ190" s="626"/>
      <c r="DK190" s="626"/>
      <c r="DL190" s="626"/>
      <c r="DM190" s="761"/>
      <c r="DN190" s="761"/>
      <c r="DO190" s="761"/>
      <c r="DP190" s="553"/>
      <c r="DQ190" s="553"/>
      <c r="DR190" s="553"/>
      <c r="DS190" s="553"/>
      <c r="DT190" s="553"/>
      <c r="DU190" s="553"/>
      <c r="DV190" s="553"/>
      <c r="DW190" s="553"/>
      <c r="DX190" s="553"/>
      <c r="DY190" s="553"/>
    </row>
    <row r="191" spans="1:129" customFormat="1" ht="24" customHeight="1" x14ac:dyDescent="0.9">
      <c r="A191" s="752"/>
      <c r="B191" s="588"/>
      <c r="C191" s="588"/>
      <c r="D191" s="588"/>
      <c r="E191" s="588"/>
      <c r="F191" s="588"/>
      <c r="G191" s="588"/>
      <c r="H191" s="588"/>
      <c r="I191" s="588"/>
      <c r="J191" s="588"/>
      <c r="K191" s="588"/>
      <c r="L191" s="753"/>
      <c r="M191" s="753"/>
      <c r="N191" s="588"/>
      <c r="O191" s="626"/>
      <c r="P191" s="588"/>
      <c r="Q191" s="626"/>
      <c r="R191" s="588"/>
      <c r="S191" s="588"/>
      <c r="T191" s="588"/>
      <c r="U191" s="588"/>
      <c r="V191" s="588"/>
      <c r="W191" s="588"/>
      <c r="X191" s="588"/>
      <c r="Y191" s="588"/>
      <c r="Z191" s="588"/>
      <c r="AA191" s="588"/>
      <c r="AB191" s="588"/>
      <c r="AC191" s="588"/>
      <c r="AD191" s="588"/>
      <c r="AE191" s="626"/>
      <c r="AF191" s="626"/>
      <c r="AG191" s="626"/>
      <c r="AH191" s="626"/>
      <c r="AI191" s="626"/>
      <c r="AJ191" s="626"/>
      <c r="AK191" s="626"/>
      <c r="AL191" s="626"/>
      <c r="AM191" s="626"/>
      <c r="AN191" s="626"/>
      <c r="AO191" s="626"/>
      <c r="AP191" s="626"/>
      <c r="AQ191" s="626"/>
      <c r="AR191" s="626"/>
      <c r="AS191" s="626"/>
      <c r="AT191" s="626"/>
      <c r="AU191" s="626"/>
      <c r="AV191" s="626"/>
      <c r="AW191" s="626"/>
      <c r="AX191" s="626"/>
      <c r="AY191" s="626"/>
      <c r="AZ191" s="626"/>
      <c r="BA191" s="626"/>
      <c r="BB191" s="588"/>
      <c r="BC191" s="626"/>
      <c r="BD191" s="626"/>
      <c r="BE191" s="626"/>
      <c r="BF191" s="626"/>
      <c r="BG191" s="626"/>
      <c r="BH191" s="626"/>
      <c r="BI191" s="588"/>
      <c r="BJ191" s="626"/>
      <c r="BK191" s="626"/>
      <c r="BL191" s="626"/>
      <c r="BM191" s="626"/>
      <c r="BN191" s="626"/>
      <c r="BO191" s="626"/>
      <c r="BP191" s="588"/>
      <c r="BQ191" s="846"/>
      <c r="BR191" s="850"/>
      <c r="BS191" s="588"/>
      <c r="BT191" s="754"/>
      <c r="BU191" s="588"/>
      <c r="BV191" s="588"/>
      <c r="BW191" s="588"/>
      <c r="BX191" s="588"/>
      <c r="BY191" s="588"/>
      <c r="BZ191" s="588"/>
      <c r="CA191" s="588"/>
      <c r="CB191" s="588"/>
      <c r="CC191" s="865"/>
      <c r="CD191" s="588"/>
      <c r="CE191" s="588"/>
      <c r="CF191" s="588"/>
      <c r="CG191" s="588"/>
      <c r="CH191" s="588"/>
      <c r="CI191" s="588"/>
      <c r="CJ191" s="588"/>
      <c r="CK191" s="588"/>
      <c r="CL191" s="588"/>
      <c r="CM191" s="588"/>
      <c r="CN191" s="588"/>
      <c r="CO191" s="588"/>
      <c r="CP191" s="816"/>
      <c r="CQ191" s="805"/>
      <c r="CR191" s="805"/>
      <c r="CS191" s="830"/>
      <c r="CT191" s="588"/>
      <c r="CU191" s="626"/>
      <c r="CV191" s="626"/>
      <c r="CW191" s="626"/>
      <c r="CX191" s="626"/>
      <c r="CY191" s="626"/>
      <c r="CZ191" s="626"/>
      <c r="DA191" s="626"/>
      <c r="DB191" s="626"/>
      <c r="DC191" s="626"/>
      <c r="DD191" s="626"/>
      <c r="DE191" s="626"/>
      <c r="DF191" s="626"/>
      <c r="DG191" s="626"/>
      <c r="DH191" s="626"/>
      <c r="DI191" s="626"/>
      <c r="DJ191" s="626"/>
      <c r="DK191" s="626"/>
      <c r="DL191" s="626"/>
      <c r="DM191" s="761"/>
      <c r="DN191" s="761"/>
      <c r="DO191" s="761"/>
      <c r="DP191" s="553"/>
      <c r="DQ191" s="553"/>
      <c r="DR191" s="553"/>
      <c r="DS191" s="553"/>
      <c r="DT191" s="553"/>
      <c r="DU191" s="553"/>
      <c r="DV191" s="553"/>
      <c r="DW191" s="553"/>
      <c r="DX191" s="553"/>
      <c r="DY191" s="553"/>
    </row>
    <row r="192" spans="1:129" customFormat="1" ht="24" customHeight="1" x14ac:dyDescent="0.9">
      <c r="A192" s="752"/>
      <c r="B192" s="588"/>
      <c r="C192" s="588"/>
      <c r="D192" s="588"/>
      <c r="E192" s="588"/>
      <c r="F192" s="588"/>
      <c r="G192" s="588"/>
      <c r="H192" s="588"/>
      <c r="I192" s="588"/>
      <c r="J192" s="588"/>
      <c r="K192" s="588"/>
      <c r="L192" s="753"/>
      <c r="M192" s="753"/>
      <c r="N192" s="588"/>
      <c r="O192" s="626"/>
      <c r="P192" s="588"/>
      <c r="Q192" s="626"/>
      <c r="R192" s="588"/>
      <c r="S192" s="588"/>
      <c r="T192" s="588"/>
      <c r="U192" s="588"/>
      <c r="V192" s="588"/>
      <c r="W192" s="588"/>
      <c r="X192" s="588"/>
      <c r="Y192" s="588"/>
      <c r="Z192" s="588"/>
      <c r="AA192" s="588"/>
      <c r="AB192" s="588"/>
      <c r="AC192" s="588"/>
      <c r="AD192" s="588"/>
      <c r="AE192" s="626"/>
      <c r="AF192" s="626"/>
      <c r="AG192" s="626"/>
      <c r="AH192" s="626"/>
      <c r="AI192" s="626"/>
      <c r="AJ192" s="626"/>
      <c r="AK192" s="626"/>
      <c r="AL192" s="626"/>
      <c r="AM192" s="626"/>
      <c r="AN192" s="626"/>
      <c r="AO192" s="626"/>
      <c r="AP192" s="626"/>
      <c r="AQ192" s="626"/>
      <c r="AR192" s="626"/>
      <c r="AS192" s="626"/>
      <c r="AT192" s="626"/>
      <c r="AU192" s="626"/>
      <c r="AV192" s="626"/>
      <c r="AW192" s="626"/>
      <c r="AX192" s="626"/>
      <c r="AY192" s="626"/>
      <c r="AZ192" s="626"/>
      <c r="BA192" s="626"/>
      <c r="BB192" s="588"/>
      <c r="BC192" s="626"/>
      <c r="BD192" s="626"/>
      <c r="BE192" s="626"/>
      <c r="BF192" s="626"/>
      <c r="BG192" s="626"/>
      <c r="BH192" s="626"/>
      <c r="BI192" s="588"/>
      <c r="BJ192" s="626"/>
      <c r="BK192" s="626"/>
      <c r="BL192" s="626"/>
      <c r="BM192" s="626"/>
      <c r="BN192" s="626"/>
      <c r="BO192" s="626"/>
      <c r="BP192" s="588"/>
      <c r="BQ192" s="846"/>
      <c r="BR192" s="850"/>
      <c r="BS192" s="588"/>
      <c r="BT192" s="754"/>
      <c r="BU192" s="588"/>
      <c r="BV192" s="588"/>
      <c r="BW192" s="588"/>
      <c r="BX192" s="588"/>
      <c r="BY192" s="588"/>
      <c r="BZ192" s="588"/>
      <c r="CA192" s="588"/>
      <c r="CB192" s="588"/>
      <c r="CC192" s="865"/>
      <c r="CD192" s="588"/>
      <c r="CE192" s="588"/>
      <c r="CF192" s="588"/>
      <c r="CG192" s="588"/>
      <c r="CH192" s="588"/>
      <c r="CI192" s="588"/>
      <c r="CJ192" s="588"/>
      <c r="CK192" s="588"/>
      <c r="CL192" s="588"/>
      <c r="CM192" s="588"/>
      <c r="CN192" s="588"/>
      <c r="CO192" s="588"/>
      <c r="CP192" s="816"/>
      <c r="CQ192" s="805"/>
      <c r="CR192" s="805"/>
      <c r="CS192" s="830"/>
      <c r="CT192" s="588"/>
      <c r="CU192" s="626"/>
      <c r="CV192" s="626"/>
      <c r="CW192" s="626"/>
      <c r="CX192" s="626"/>
      <c r="CY192" s="626"/>
      <c r="CZ192" s="626"/>
      <c r="DA192" s="626"/>
      <c r="DB192" s="626"/>
      <c r="DC192" s="626"/>
      <c r="DD192" s="626"/>
      <c r="DE192" s="626"/>
      <c r="DF192" s="626"/>
      <c r="DG192" s="626"/>
      <c r="DH192" s="626"/>
      <c r="DI192" s="626"/>
      <c r="DJ192" s="626"/>
      <c r="DK192" s="626"/>
      <c r="DL192" s="626"/>
      <c r="DM192" s="761"/>
      <c r="DN192" s="761"/>
      <c r="DO192" s="761"/>
      <c r="DP192" s="553"/>
      <c r="DQ192" s="553"/>
      <c r="DR192" s="553"/>
      <c r="DS192" s="553"/>
      <c r="DT192" s="553"/>
      <c r="DU192" s="553"/>
      <c r="DV192" s="553"/>
      <c r="DW192" s="553"/>
      <c r="DX192" s="553"/>
      <c r="DY192" s="553"/>
    </row>
    <row r="193" spans="1:129" customFormat="1" ht="24" customHeight="1" x14ac:dyDescent="0.9">
      <c r="A193" s="752"/>
      <c r="B193" s="588"/>
      <c r="C193" s="588"/>
      <c r="D193" s="588"/>
      <c r="E193" s="588"/>
      <c r="F193" s="588"/>
      <c r="G193" s="588"/>
      <c r="H193" s="588"/>
      <c r="I193" s="588"/>
      <c r="J193" s="588"/>
      <c r="K193" s="588"/>
      <c r="L193" s="753"/>
      <c r="M193" s="753"/>
      <c r="N193" s="588"/>
      <c r="O193" s="626"/>
      <c r="P193" s="588"/>
      <c r="Q193" s="626"/>
      <c r="R193" s="588"/>
      <c r="S193" s="588"/>
      <c r="T193" s="588"/>
      <c r="U193" s="588"/>
      <c r="V193" s="588"/>
      <c r="W193" s="588"/>
      <c r="X193" s="588"/>
      <c r="Y193" s="588"/>
      <c r="Z193" s="588"/>
      <c r="AA193" s="588"/>
      <c r="AB193" s="588"/>
      <c r="AC193" s="588"/>
      <c r="AD193" s="588"/>
      <c r="AE193" s="626"/>
      <c r="AF193" s="626"/>
      <c r="AG193" s="626"/>
      <c r="AH193" s="626"/>
      <c r="AI193" s="626"/>
      <c r="AJ193" s="626"/>
      <c r="AK193" s="626"/>
      <c r="AL193" s="626"/>
      <c r="AM193" s="626"/>
      <c r="AN193" s="626"/>
      <c r="AO193" s="626"/>
      <c r="AP193" s="626"/>
      <c r="AQ193" s="626"/>
      <c r="AR193" s="626"/>
      <c r="AS193" s="626"/>
      <c r="AT193" s="626"/>
      <c r="AU193" s="626"/>
      <c r="AV193" s="626"/>
      <c r="AW193" s="626"/>
      <c r="AX193" s="626"/>
      <c r="AY193" s="626"/>
      <c r="AZ193" s="626"/>
      <c r="BA193" s="626"/>
      <c r="BB193" s="588"/>
      <c r="BC193" s="626"/>
      <c r="BD193" s="626"/>
      <c r="BE193" s="626"/>
      <c r="BF193" s="626"/>
      <c r="BG193" s="626"/>
      <c r="BH193" s="626"/>
      <c r="BI193" s="588"/>
      <c r="BJ193" s="626"/>
      <c r="BK193" s="626"/>
      <c r="BL193" s="626"/>
      <c r="BM193" s="626"/>
      <c r="BN193" s="626"/>
      <c r="BO193" s="626"/>
      <c r="BP193" s="588"/>
      <c r="BQ193" s="846"/>
      <c r="BR193" s="850"/>
      <c r="BS193" s="588"/>
      <c r="BT193" s="754"/>
      <c r="BU193" s="588"/>
      <c r="BV193" s="588"/>
      <c r="BW193" s="588"/>
      <c r="BX193" s="588"/>
      <c r="BY193" s="588"/>
      <c r="BZ193" s="588"/>
      <c r="CA193" s="588"/>
      <c r="CB193" s="588"/>
      <c r="CC193" s="865"/>
      <c r="CD193" s="588"/>
      <c r="CE193" s="588"/>
      <c r="CF193" s="588"/>
      <c r="CG193" s="588"/>
      <c r="CH193" s="588"/>
      <c r="CI193" s="588"/>
      <c r="CJ193" s="588"/>
      <c r="CK193" s="588"/>
      <c r="CL193" s="588"/>
      <c r="CM193" s="588"/>
      <c r="CN193" s="588"/>
      <c r="CO193" s="588"/>
      <c r="CP193" s="816"/>
      <c r="CQ193" s="805"/>
      <c r="CR193" s="805"/>
      <c r="CS193" s="830"/>
      <c r="CT193" s="588"/>
      <c r="CU193" s="626"/>
      <c r="CV193" s="626"/>
      <c r="CW193" s="626"/>
      <c r="CX193" s="626"/>
      <c r="CY193" s="626"/>
      <c r="CZ193" s="626"/>
      <c r="DA193" s="626"/>
      <c r="DB193" s="626"/>
      <c r="DC193" s="626"/>
      <c r="DD193" s="626"/>
      <c r="DE193" s="626"/>
      <c r="DF193" s="626"/>
      <c r="DG193" s="626"/>
      <c r="DH193" s="626"/>
      <c r="DI193" s="626"/>
      <c r="DJ193" s="626"/>
      <c r="DK193" s="626"/>
      <c r="DL193" s="626"/>
      <c r="DM193" s="761"/>
      <c r="DN193" s="761"/>
      <c r="DO193" s="761"/>
      <c r="DP193" s="553"/>
      <c r="DQ193" s="553"/>
      <c r="DR193" s="553"/>
      <c r="DS193" s="553"/>
      <c r="DT193" s="553"/>
      <c r="DU193" s="553"/>
      <c r="DV193" s="553"/>
      <c r="DW193" s="553"/>
      <c r="DX193" s="553"/>
      <c r="DY193" s="553"/>
    </row>
    <row r="194" spans="1:129" customFormat="1" ht="24" customHeight="1" x14ac:dyDescent="0.9">
      <c r="A194" s="752"/>
      <c r="B194" s="588"/>
      <c r="C194" s="588"/>
      <c r="D194" s="588"/>
      <c r="E194" s="588"/>
      <c r="F194" s="588"/>
      <c r="G194" s="588"/>
      <c r="H194" s="588"/>
      <c r="I194" s="588"/>
      <c r="J194" s="588"/>
      <c r="K194" s="588"/>
      <c r="L194" s="753"/>
      <c r="M194" s="753"/>
      <c r="N194" s="588"/>
      <c r="O194" s="626"/>
      <c r="P194" s="588"/>
      <c r="Q194" s="626"/>
      <c r="R194" s="588"/>
      <c r="S194" s="588"/>
      <c r="T194" s="588"/>
      <c r="U194" s="588"/>
      <c r="V194" s="588"/>
      <c r="W194" s="588"/>
      <c r="X194" s="588"/>
      <c r="Y194" s="588"/>
      <c r="Z194" s="588"/>
      <c r="AA194" s="588"/>
      <c r="AB194" s="588"/>
      <c r="AC194" s="588"/>
      <c r="AD194" s="588"/>
      <c r="AE194" s="626"/>
      <c r="AF194" s="626"/>
      <c r="AG194" s="626"/>
      <c r="AH194" s="626"/>
      <c r="AI194" s="626"/>
      <c r="AJ194" s="626"/>
      <c r="AK194" s="626"/>
      <c r="AL194" s="626"/>
      <c r="AM194" s="626"/>
      <c r="AN194" s="626"/>
      <c r="AO194" s="626"/>
      <c r="AP194" s="626"/>
      <c r="AQ194" s="626"/>
      <c r="AR194" s="626"/>
      <c r="AS194" s="626"/>
      <c r="AT194" s="626"/>
      <c r="AU194" s="626"/>
      <c r="AV194" s="626"/>
      <c r="AW194" s="626"/>
      <c r="AX194" s="626"/>
      <c r="AY194" s="626"/>
      <c r="AZ194" s="626"/>
      <c r="BA194" s="626"/>
      <c r="BB194" s="588"/>
      <c r="BC194" s="626"/>
      <c r="BD194" s="626"/>
      <c r="BE194" s="626"/>
      <c r="BF194" s="626"/>
      <c r="BG194" s="626"/>
      <c r="BH194" s="626"/>
      <c r="BI194" s="588"/>
      <c r="BJ194" s="626"/>
      <c r="BK194" s="626"/>
      <c r="BL194" s="626"/>
      <c r="BM194" s="626"/>
      <c r="BN194" s="626"/>
      <c r="BO194" s="626"/>
      <c r="BP194" s="588"/>
      <c r="BQ194" s="846"/>
      <c r="BR194" s="850"/>
      <c r="BS194" s="588"/>
      <c r="BT194" s="754"/>
      <c r="BU194" s="588"/>
      <c r="BV194" s="588"/>
      <c r="BW194" s="588"/>
      <c r="BX194" s="588"/>
      <c r="BY194" s="588"/>
      <c r="BZ194" s="588"/>
      <c r="CA194" s="588"/>
      <c r="CB194" s="588"/>
      <c r="CC194" s="865"/>
      <c r="CD194" s="588"/>
      <c r="CE194" s="588"/>
      <c r="CF194" s="588"/>
      <c r="CG194" s="588"/>
      <c r="CH194" s="588"/>
      <c r="CI194" s="588"/>
      <c r="CJ194" s="588"/>
      <c r="CK194" s="588"/>
      <c r="CL194" s="588"/>
      <c r="CM194" s="588"/>
      <c r="CN194" s="588"/>
      <c r="CO194" s="588"/>
      <c r="CP194" s="816"/>
      <c r="CQ194" s="805"/>
      <c r="CR194" s="805"/>
      <c r="CS194" s="830"/>
      <c r="CT194" s="588"/>
      <c r="CU194" s="626"/>
      <c r="CV194" s="626"/>
      <c r="CW194" s="626"/>
      <c r="CX194" s="626"/>
      <c r="CY194" s="626"/>
      <c r="CZ194" s="626"/>
      <c r="DA194" s="626"/>
      <c r="DB194" s="626"/>
      <c r="DC194" s="626"/>
      <c r="DD194" s="626"/>
      <c r="DE194" s="626"/>
      <c r="DF194" s="626"/>
      <c r="DG194" s="626"/>
      <c r="DH194" s="626"/>
      <c r="DI194" s="626"/>
      <c r="DJ194" s="626"/>
      <c r="DK194" s="626"/>
      <c r="DL194" s="626"/>
      <c r="DM194" s="761"/>
      <c r="DN194" s="761"/>
      <c r="DO194" s="761"/>
      <c r="DP194" s="553"/>
      <c r="DQ194" s="553"/>
      <c r="DR194" s="553"/>
      <c r="DS194" s="553"/>
      <c r="DT194" s="553"/>
      <c r="DU194" s="553"/>
      <c r="DV194" s="553"/>
      <c r="DW194" s="553"/>
      <c r="DX194" s="553"/>
      <c r="DY194" s="553"/>
    </row>
    <row r="195" spans="1:129" s="489" customFormat="1" ht="24" customHeight="1" x14ac:dyDescent="0.9">
      <c r="A195" s="752"/>
      <c r="B195" s="588"/>
      <c r="C195" s="588"/>
      <c r="D195" s="588"/>
      <c r="E195" s="588"/>
      <c r="F195" s="588"/>
      <c r="G195" s="588"/>
      <c r="H195" s="588"/>
      <c r="I195" s="588"/>
      <c r="J195" s="588"/>
      <c r="K195" s="588"/>
      <c r="L195" s="753"/>
      <c r="M195" s="753"/>
      <c r="N195" s="588"/>
      <c r="O195" s="626"/>
      <c r="P195" s="588"/>
      <c r="Q195" s="626"/>
      <c r="R195" s="588"/>
      <c r="S195" s="588"/>
      <c r="T195" s="588"/>
      <c r="U195" s="588"/>
      <c r="V195" s="588"/>
      <c r="W195" s="588"/>
      <c r="X195" s="588"/>
      <c r="Y195" s="588"/>
      <c r="Z195" s="588"/>
      <c r="AA195" s="588"/>
      <c r="AB195" s="588"/>
      <c r="AC195" s="588"/>
      <c r="AD195" s="588"/>
      <c r="AE195" s="626"/>
      <c r="AF195" s="626"/>
      <c r="AG195" s="626"/>
      <c r="AH195" s="626"/>
      <c r="AI195" s="626"/>
      <c r="AJ195" s="626"/>
      <c r="AK195" s="626"/>
      <c r="AL195" s="626"/>
      <c r="AM195" s="626"/>
      <c r="AN195" s="626"/>
      <c r="AO195" s="626"/>
      <c r="AP195" s="626"/>
      <c r="AQ195" s="626"/>
      <c r="AR195" s="626"/>
      <c r="AS195" s="626"/>
      <c r="AT195" s="626"/>
      <c r="AU195" s="626"/>
      <c r="AV195" s="626"/>
      <c r="AW195" s="626"/>
      <c r="AX195" s="626"/>
      <c r="AY195" s="626"/>
      <c r="AZ195" s="626"/>
      <c r="BA195" s="626"/>
      <c r="BB195" s="588"/>
      <c r="BC195" s="626"/>
      <c r="BD195" s="626"/>
      <c r="BE195" s="626"/>
      <c r="BF195" s="626"/>
      <c r="BG195" s="626"/>
      <c r="BH195" s="626"/>
      <c r="BI195" s="588"/>
      <c r="BJ195" s="626"/>
      <c r="BK195" s="626"/>
      <c r="BL195" s="626"/>
      <c r="BM195" s="626"/>
      <c r="BN195" s="626"/>
      <c r="BO195" s="626"/>
      <c r="BP195" s="588"/>
      <c r="BQ195" s="846"/>
      <c r="BR195" s="850"/>
      <c r="BS195" s="588"/>
      <c r="BT195" s="754"/>
      <c r="BU195" s="588"/>
      <c r="BV195" s="588"/>
      <c r="BW195" s="588"/>
      <c r="BX195" s="588"/>
      <c r="BY195" s="588"/>
      <c r="BZ195" s="588"/>
      <c r="CA195" s="588"/>
      <c r="CB195" s="588"/>
      <c r="CC195" s="865"/>
      <c r="CD195" s="588"/>
      <c r="CE195" s="588"/>
      <c r="CF195" s="588"/>
      <c r="CG195" s="588"/>
      <c r="CH195" s="588"/>
      <c r="CI195" s="588"/>
      <c r="CJ195" s="588"/>
      <c r="CK195" s="588"/>
      <c r="CL195" s="588"/>
      <c r="CM195" s="588"/>
      <c r="CN195" s="588"/>
      <c r="CO195" s="588"/>
      <c r="CP195" s="816"/>
      <c r="CQ195" s="805"/>
      <c r="CR195" s="805"/>
      <c r="CS195" s="830"/>
      <c r="CT195" s="588"/>
      <c r="CU195" s="626"/>
      <c r="CV195" s="626"/>
      <c r="CW195" s="626"/>
      <c r="CX195" s="626"/>
      <c r="CY195" s="626"/>
      <c r="CZ195" s="626"/>
      <c r="DA195" s="626"/>
      <c r="DB195" s="626"/>
      <c r="DC195" s="626"/>
      <c r="DD195" s="626"/>
      <c r="DE195" s="626"/>
      <c r="DF195" s="626"/>
      <c r="DG195" s="626"/>
      <c r="DH195" s="626"/>
      <c r="DI195" s="626"/>
      <c r="DJ195" s="626"/>
      <c r="DK195" s="626"/>
      <c r="DL195" s="626"/>
      <c r="DM195" s="761"/>
      <c r="DN195" s="761"/>
      <c r="DO195" s="761"/>
      <c r="DP195" s="553"/>
      <c r="DQ195" s="553"/>
      <c r="DR195" s="553"/>
      <c r="DS195" s="553"/>
      <c r="DT195" s="553"/>
      <c r="DU195" s="553"/>
      <c r="DV195" s="553"/>
      <c r="DW195" s="553"/>
      <c r="DX195" s="553"/>
      <c r="DY195" s="553"/>
    </row>
    <row r="196" spans="1:129" s="489" customFormat="1" ht="24" customHeight="1" x14ac:dyDescent="0.9">
      <c r="A196" s="752"/>
      <c r="B196" s="588"/>
      <c r="C196" s="588"/>
      <c r="D196" s="588"/>
      <c r="E196" s="588"/>
      <c r="F196" s="588"/>
      <c r="G196" s="588"/>
      <c r="H196" s="588"/>
      <c r="I196" s="588"/>
      <c r="J196" s="588"/>
      <c r="K196" s="588"/>
      <c r="L196" s="753"/>
      <c r="M196" s="753"/>
      <c r="N196" s="588"/>
      <c r="O196" s="626"/>
      <c r="P196" s="588"/>
      <c r="Q196" s="626"/>
      <c r="R196" s="588"/>
      <c r="S196" s="588"/>
      <c r="T196" s="588"/>
      <c r="U196" s="588"/>
      <c r="V196" s="588"/>
      <c r="W196" s="588"/>
      <c r="X196" s="588"/>
      <c r="Y196" s="588"/>
      <c r="Z196" s="588"/>
      <c r="AA196" s="588"/>
      <c r="AB196" s="588"/>
      <c r="AC196" s="588"/>
      <c r="AD196" s="588"/>
      <c r="AE196" s="626"/>
      <c r="AF196" s="626"/>
      <c r="AG196" s="626"/>
      <c r="AH196" s="626"/>
      <c r="AI196" s="626"/>
      <c r="AJ196" s="626"/>
      <c r="AK196" s="626"/>
      <c r="AL196" s="626"/>
      <c r="AM196" s="626"/>
      <c r="AN196" s="626"/>
      <c r="AO196" s="626"/>
      <c r="AP196" s="626"/>
      <c r="AQ196" s="626"/>
      <c r="AR196" s="626"/>
      <c r="AS196" s="626"/>
      <c r="AT196" s="626"/>
      <c r="AU196" s="626"/>
      <c r="AV196" s="626"/>
      <c r="AW196" s="626"/>
      <c r="AX196" s="626"/>
      <c r="AY196" s="626"/>
      <c r="AZ196" s="626"/>
      <c r="BA196" s="626"/>
      <c r="BB196" s="588"/>
      <c r="BC196" s="626"/>
      <c r="BD196" s="626"/>
      <c r="BE196" s="626"/>
      <c r="BF196" s="626"/>
      <c r="BG196" s="626"/>
      <c r="BH196" s="626"/>
      <c r="BI196" s="588"/>
      <c r="BJ196" s="626"/>
      <c r="BK196" s="626"/>
      <c r="BL196" s="626"/>
      <c r="BM196" s="626"/>
      <c r="BN196" s="626"/>
      <c r="BO196" s="626"/>
      <c r="BP196" s="588"/>
      <c r="BQ196" s="846"/>
      <c r="BR196" s="850"/>
      <c r="BS196" s="588"/>
      <c r="BT196" s="754"/>
      <c r="BU196" s="588"/>
      <c r="BV196" s="588"/>
      <c r="BW196" s="588"/>
      <c r="BX196" s="588"/>
      <c r="BY196" s="588"/>
      <c r="BZ196" s="588"/>
      <c r="CA196" s="588"/>
      <c r="CB196" s="588"/>
      <c r="CC196" s="865"/>
      <c r="CD196" s="588"/>
      <c r="CE196" s="588"/>
      <c r="CF196" s="588"/>
      <c r="CG196" s="588"/>
      <c r="CH196" s="588"/>
      <c r="CI196" s="588"/>
      <c r="CJ196" s="588"/>
      <c r="CK196" s="588"/>
      <c r="CL196" s="588"/>
      <c r="CM196" s="588"/>
      <c r="CN196" s="588"/>
      <c r="CO196" s="588"/>
      <c r="CP196" s="816"/>
      <c r="CQ196" s="805"/>
      <c r="CR196" s="805"/>
      <c r="CS196" s="830"/>
      <c r="CT196" s="588"/>
      <c r="CU196" s="626"/>
      <c r="CV196" s="626"/>
      <c r="CW196" s="626"/>
      <c r="CX196" s="626"/>
      <c r="CY196" s="626"/>
      <c r="CZ196" s="626"/>
      <c r="DA196" s="626"/>
      <c r="DB196" s="626"/>
      <c r="DC196" s="626"/>
      <c r="DD196" s="626"/>
      <c r="DE196" s="626"/>
      <c r="DF196" s="626"/>
      <c r="DG196" s="626"/>
      <c r="DH196" s="626"/>
      <c r="DI196" s="626"/>
      <c r="DJ196" s="626"/>
      <c r="DK196" s="626"/>
      <c r="DL196" s="626"/>
      <c r="DM196" s="761"/>
      <c r="DN196" s="761"/>
      <c r="DO196" s="761"/>
      <c r="DP196" s="553"/>
      <c r="DQ196" s="553"/>
      <c r="DR196" s="553"/>
      <c r="DS196" s="553"/>
      <c r="DT196" s="553"/>
      <c r="DU196" s="553"/>
      <c r="DV196" s="553"/>
      <c r="DW196" s="553"/>
      <c r="DX196" s="553"/>
      <c r="DY196" s="553"/>
    </row>
    <row r="197" spans="1:129" s="489" customFormat="1" ht="24" customHeight="1" x14ac:dyDescent="0.9">
      <c r="A197" s="752"/>
      <c r="B197" s="588"/>
      <c r="C197" s="588"/>
      <c r="D197" s="588"/>
      <c r="E197" s="588"/>
      <c r="F197" s="588"/>
      <c r="G197" s="588"/>
      <c r="H197" s="588"/>
      <c r="I197" s="588"/>
      <c r="J197" s="588"/>
      <c r="K197" s="588"/>
      <c r="L197" s="753"/>
      <c r="M197" s="753"/>
      <c r="N197" s="588"/>
      <c r="O197" s="626"/>
      <c r="P197" s="588"/>
      <c r="Q197" s="626"/>
      <c r="R197" s="588"/>
      <c r="S197" s="588"/>
      <c r="T197" s="588"/>
      <c r="U197" s="588"/>
      <c r="V197" s="588"/>
      <c r="W197" s="588"/>
      <c r="X197" s="588"/>
      <c r="Y197" s="588"/>
      <c r="Z197" s="588"/>
      <c r="AA197" s="588"/>
      <c r="AB197" s="588"/>
      <c r="AC197" s="588"/>
      <c r="AD197" s="588"/>
      <c r="AE197" s="626"/>
      <c r="AF197" s="626"/>
      <c r="AG197" s="626"/>
      <c r="AH197" s="626"/>
      <c r="AI197" s="626"/>
      <c r="AJ197" s="626"/>
      <c r="AK197" s="626"/>
      <c r="AL197" s="626"/>
      <c r="AM197" s="626"/>
      <c r="AN197" s="626"/>
      <c r="AO197" s="626"/>
      <c r="AP197" s="626"/>
      <c r="AQ197" s="626"/>
      <c r="AR197" s="626"/>
      <c r="AS197" s="626"/>
      <c r="AT197" s="626"/>
      <c r="AU197" s="626"/>
      <c r="AV197" s="626"/>
      <c r="AW197" s="626"/>
      <c r="AX197" s="626"/>
      <c r="AY197" s="626"/>
      <c r="AZ197" s="626"/>
      <c r="BA197" s="626"/>
      <c r="BB197" s="588"/>
      <c r="BC197" s="626"/>
      <c r="BD197" s="626"/>
      <c r="BE197" s="626"/>
      <c r="BF197" s="626"/>
      <c r="BG197" s="626"/>
      <c r="BH197" s="626"/>
      <c r="BI197" s="588"/>
      <c r="BJ197" s="626"/>
      <c r="BK197" s="626"/>
      <c r="BL197" s="626"/>
      <c r="BM197" s="626"/>
      <c r="BN197" s="626"/>
      <c r="BO197" s="626"/>
      <c r="BP197" s="588"/>
      <c r="BQ197" s="846"/>
      <c r="BR197" s="850"/>
      <c r="BS197" s="588"/>
      <c r="BT197" s="754"/>
      <c r="BU197" s="588"/>
      <c r="BV197" s="588"/>
      <c r="BW197" s="588"/>
      <c r="BX197" s="588"/>
      <c r="BY197" s="588"/>
      <c r="BZ197" s="588"/>
      <c r="CA197" s="588"/>
      <c r="CB197" s="588"/>
      <c r="CC197" s="865"/>
      <c r="CD197" s="588"/>
      <c r="CE197" s="588"/>
      <c r="CF197" s="588"/>
      <c r="CG197" s="588"/>
      <c r="CH197" s="588"/>
      <c r="CI197" s="588"/>
      <c r="CJ197" s="588"/>
      <c r="CK197" s="588"/>
      <c r="CL197" s="588"/>
      <c r="CM197" s="588"/>
      <c r="CN197" s="588"/>
      <c r="CO197" s="588"/>
      <c r="CP197" s="816"/>
      <c r="CQ197" s="805"/>
      <c r="CR197" s="805"/>
      <c r="CS197" s="830"/>
      <c r="CT197" s="588"/>
      <c r="CU197" s="626"/>
      <c r="CV197" s="626"/>
      <c r="CW197" s="626"/>
      <c r="CX197" s="626"/>
      <c r="CY197" s="626"/>
      <c r="CZ197" s="626"/>
      <c r="DA197" s="626"/>
      <c r="DB197" s="626"/>
      <c r="DC197" s="626"/>
      <c r="DD197" s="626"/>
      <c r="DE197" s="626"/>
      <c r="DF197" s="626"/>
      <c r="DG197" s="626"/>
      <c r="DH197" s="626"/>
      <c r="DI197" s="626"/>
      <c r="DJ197" s="626"/>
      <c r="DK197" s="626"/>
      <c r="DL197" s="626"/>
      <c r="DM197" s="761"/>
      <c r="DN197" s="761"/>
      <c r="DO197" s="761"/>
      <c r="DP197" s="553"/>
      <c r="DQ197" s="553"/>
      <c r="DR197" s="553"/>
      <c r="DS197" s="553"/>
      <c r="DT197" s="553"/>
      <c r="DU197" s="553"/>
      <c r="DV197" s="553"/>
      <c r="DW197" s="553"/>
      <c r="DX197" s="553"/>
      <c r="DY197" s="553"/>
    </row>
    <row r="198" spans="1:129" s="489" customFormat="1" ht="24" customHeight="1" x14ac:dyDescent="0.9">
      <c r="A198" s="752"/>
      <c r="B198" s="588"/>
      <c r="C198" s="588"/>
      <c r="D198" s="588"/>
      <c r="E198" s="588"/>
      <c r="F198" s="588"/>
      <c r="G198" s="588"/>
      <c r="H198" s="588"/>
      <c r="I198" s="588"/>
      <c r="J198" s="588"/>
      <c r="K198" s="588"/>
      <c r="L198" s="753"/>
      <c r="M198" s="753"/>
      <c r="N198" s="588"/>
      <c r="O198" s="626"/>
      <c r="P198" s="588"/>
      <c r="Q198" s="626"/>
      <c r="R198" s="588"/>
      <c r="S198" s="588"/>
      <c r="T198" s="588"/>
      <c r="U198" s="588"/>
      <c r="V198" s="588"/>
      <c r="W198" s="588"/>
      <c r="X198" s="588"/>
      <c r="Y198" s="588"/>
      <c r="Z198" s="588"/>
      <c r="AA198" s="588"/>
      <c r="AB198" s="588"/>
      <c r="AC198" s="588"/>
      <c r="AD198" s="588"/>
      <c r="AE198" s="626"/>
      <c r="AF198" s="626"/>
      <c r="AG198" s="626"/>
      <c r="AH198" s="626"/>
      <c r="AI198" s="626"/>
      <c r="AJ198" s="626"/>
      <c r="AK198" s="626"/>
      <c r="AL198" s="626"/>
      <c r="AM198" s="626"/>
      <c r="AN198" s="626"/>
      <c r="AO198" s="626"/>
      <c r="AP198" s="626"/>
      <c r="AQ198" s="626"/>
      <c r="AR198" s="626"/>
      <c r="AS198" s="626"/>
      <c r="AT198" s="626"/>
      <c r="AU198" s="626"/>
      <c r="AV198" s="626"/>
      <c r="AW198" s="626"/>
      <c r="AX198" s="626"/>
      <c r="AY198" s="626"/>
      <c r="AZ198" s="626"/>
      <c r="BA198" s="626"/>
      <c r="BB198" s="588"/>
      <c r="BC198" s="626"/>
      <c r="BD198" s="626"/>
      <c r="BE198" s="626"/>
      <c r="BF198" s="626"/>
      <c r="BG198" s="626"/>
      <c r="BH198" s="626"/>
      <c r="BI198" s="588"/>
      <c r="BJ198" s="626"/>
      <c r="BK198" s="626"/>
      <c r="BL198" s="626"/>
      <c r="BM198" s="626"/>
      <c r="BN198" s="626"/>
      <c r="BO198" s="626"/>
      <c r="BP198" s="588"/>
      <c r="BQ198" s="846"/>
      <c r="BR198" s="850"/>
      <c r="BS198" s="588"/>
      <c r="BT198" s="754"/>
      <c r="BU198" s="588"/>
      <c r="BV198" s="588"/>
      <c r="BW198" s="588"/>
      <c r="BX198" s="588"/>
      <c r="BY198" s="588"/>
      <c r="BZ198" s="588"/>
      <c r="CA198" s="588"/>
      <c r="CB198" s="588"/>
      <c r="CC198" s="865"/>
      <c r="CD198" s="588"/>
      <c r="CE198" s="588"/>
      <c r="CF198" s="588"/>
      <c r="CG198" s="588"/>
      <c r="CH198" s="588"/>
      <c r="CI198" s="588"/>
      <c r="CJ198" s="588"/>
      <c r="CK198" s="588"/>
      <c r="CL198" s="588"/>
      <c r="CM198" s="588"/>
      <c r="CN198" s="588"/>
      <c r="CO198" s="588"/>
      <c r="CP198" s="816"/>
      <c r="CQ198" s="805"/>
      <c r="CR198" s="805"/>
      <c r="CS198" s="830"/>
      <c r="CT198" s="588"/>
      <c r="CU198" s="626"/>
      <c r="CV198" s="626"/>
      <c r="CW198" s="626"/>
      <c r="CX198" s="626"/>
      <c r="CY198" s="626"/>
      <c r="CZ198" s="626"/>
      <c r="DA198" s="626"/>
      <c r="DB198" s="626"/>
      <c r="DC198" s="626"/>
      <c r="DD198" s="626"/>
      <c r="DE198" s="626"/>
      <c r="DF198" s="626"/>
      <c r="DG198" s="626"/>
      <c r="DH198" s="626"/>
      <c r="DI198" s="626"/>
      <c r="DJ198" s="626"/>
      <c r="DK198" s="626"/>
      <c r="DL198" s="626"/>
      <c r="DM198" s="761"/>
      <c r="DN198" s="761"/>
      <c r="DO198" s="761"/>
      <c r="DP198" s="553"/>
      <c r="DQ198" s="553"/>
      <c r="DR198" s="553"/>
      <c r="DS198" s="553"/>
      <c r="DT198" s="553"/>
      <c r="DU198" s="553"/>
      <c r="DV198" s="553"/>
      <c r="DW198" s="553"/>
      <c r="DX198" s="553"/>
      <c r="DY198" s="553"/>
    </row>
    <row r="199" spans="1:129" s="489" customFormat="1" ht="24" customHeight="1" x14ac:dyDescent="0.9">
      <c r="A199" s="752"/>
      <c r="B199" s="588"/>
      <c r="C199" s="588"/>
      <c r="D199" s="588"/>
      <c r="E199" s="588"/>
      <c r="F199" s="588"/>
      <c r="G199" s="588"/>
      <c r="H199" s="588"/>
      <c r="I199" s="588"/>
      <c r="J199" s="588"/>
      <c r="K199" s="588"/>
      <c r="L199" s="753"/>
      <c r="M199" s="753"/>
      <c r="N199" s="588"/>
      <c r="O199" s="626"/>
      <c r="P199" s="588"/>
      <c r="Q199" s="626"/>
      <c r="R199" s="588"/>
      <c r="S199" s="588"/>
      <c r="T199" s="588"/>
      <c r="U199" s="588"/>
      <c r="V199" s="588"/>
      <c r="W199" s="588"/>
      <c r="X199" s="588"/>
      <c r="Y199" s="588"/>
      <c r="Z199" s="588"/>
      <c r="AA199" s="588"/>
      <c r="AB199" s="588"/>
      <c r="AC199" s="588"/>
      <c r="AD199" s="588"/>
      <c r="AE199" s="626"/>
      <c r="AF199" s="626"/>
      <c r="AG199" s="626"/>
      <c r="AH199" s="626"/>
      <c r="AI199" s="626"/>
      <c r="AJ199" s="626"/>
      <c r="AK199" s="626"/>
      <c r="AL199" s="626"/>
      <c r="AM199" s="626"/>
      <c r="AN199" s="626"/>
      <c r="AO199" s="626"/>
      <c r="AP199" s="626"/>
      <c r="AQ199" s="626"/>
      <c r="AR199" s="626"/>
      <c r="AS199" s="626"/>
      <c r="AT199" s="626"/>
      <c r="AU199" s="626"/>
      <c r="AV199" s="626"/>
      <c r="AW199" s="626"/>
      <c r="AX199" s="626"/>
      <c r="AY199" s="626"/>
      <c r="AZ199" s="626"/>
      <c r="BA199" s="626"/>
      <c r="BB199" s="588"/>
      <c r="BC199" s="626"/>
      <c r="BD199" s="626"/>
      <c r="BE199" s="626"/>
      <c r="BF199" s="626"/>
      <c r="BG199" s="626"/>
      <c r="BH199" s="626"/>
      <c r="BI199" s="588"/>
      <c r="BJ199" s="626"/>
      <c r="BK199" s="626"/>
      <c r="BL199" s="626"/>
      <c r="BM199" s="626"/>
      <c r="BN199" s="626"/>
      <c r="BO199" s="626"/>
      <c r="BP199" s="588"/>
      <c r="BQ199" s="846"/>
      <c r="BR199" s="850"/>
      <c r="BS199" s="588"/>
      <c r="BT199" s="754"/>
      <c r="BU199" s="588"/>
      <c r="BV199" s="588"/>
      <c r="BW199" s="588"/>
      <c r="BX199" s="588"/>
      <c r="BY199" s="588"/>
      <c r="BZ199" s="588"/>
      <c r="CA199" s="588"/>
      <c r="CB199" s="588"/>
      <c r="CC199" s="865"/>
      <c r="CD199" s="588"/>
      <c r="CE199" s="588"/>
      <c r="CF199" s="588"/>
      <c r="CG199" s="588"/>
      <c r="CH199" s="588"/>
      <c r="CI199" s="588"/>
      <c r="CJ199" s="588"/>
      <c r="CK199" s="588"/>
      <c r="CL199" s="588"/>
      <c r="CM199" s="588"/>
      <c r="CN199" s="588"/>
      <c r="CO199" s="588"/>
      <c r="CP199" s="816"/>
      <c r="CQ199" s="805"/>
      <c r="CR199" s="805"/>
      <c r="CS199" s="830"/>
      <c r="CT199" s="588"/>
      <c r="CU199" s="626"/>
      <c r="CV199" s="626"/>
      <c r="CW199" s="626"/>
      <c r="CX199" s="626"/>
      <c r="CY199" s="626"/>
      <c r="CZ199" s="626"/>
      <c r="DA199" s="626"/>
      <c r="DB199" s="626"/>
      <c r="DC199" s="626"/>
      <c r="DD199" s="626"/>
      <c r="DE199" s="626"/>
      <c r="DF199" s="626"/>
      <c r="DG199" s="626"/>
      <c r="DH199" s="626"/>
      <c r="DI199" s="626"/>
      <c r="DJ199" s="626"/>
      <c r="DK199" s="626"/>
      <c r="DL199" s="626"/>
      <c r="DM199" s="761"/>
      <c r="DN199" s="761"/>
      <c r="DO199" s="761"/>
      <c r="DP199" s="553"/>
      <c r="DQ199" s="553"/>
      <c r="DR199" s="553"/>
      <c r="DS199" s="553"/>
      <c r="DT199" s="553"/>
      <c r="DU199" s="553"/>
      <c r="DV199" s="553"/>
      <c r="DW199" s="553"/>
      <c r="DX199" s="553"/>
      <c r="DY199" s="553"/>
    </row>
    <row r="200" spans="1:129" s="489" customFormat="1" ht="24" customHeight="1" x14ac:dyDescent="0.9">
      <c r="A200" s="752"/>
      <c r="B200" s="588"/>
      <c r="C200" s="588"/>
      <c r="D200" s="588"/>
      <c r="E200" s="588"/>
      <c r="F200" s="588"/>
      <c r="G200" s="588"/>
      <c r="H200" s="588"/>
      <c r="I200" s="588"/>
      <c r="J200" s="588"/>
      <c r="K200" s="588"/>
      <c r="L200" s="753"/>
      <c r="M200" s="753"/>
      <c r="N200" s="588"/>
      <c r="O200" s="626"/>
      <c r="P200" s="588"/>
      <c r="Q200" s="626"/>
      <c r="R200" s="588"/>
      <c r="S200" s="588"/>
      <c r="T200" s="588"/>
      <c r="U200" s="588"/>
      <c r="V200" s="588"/>
      <c r="W200" s="588"/>
      <c r="X200" s="588"/>
      <c r="Y200" s="588"/>
      <c r="Z200" s="588"/>
      <c r="AA200" s="588"/>
      <c r="AB200" s="588"/>
      <c r="AC200" s="588"/>
      <c r="AD200" s="588"/>
      <c r="AE200" s="626"/>
      <c r="AF200" s="626"/>
      <c r="AG200" s="626"/>
      <c r="AH200" s="626"/>
      <c r="AI200" s="626"/>
      <c r="AJ200" s="626"/>
      <c r="AK200" s="626"/>
      <c r="AL200" s="626"/>
      <c r="AM200" s="626"/>
      <c r="AN200" s="626"/>
      <c r="AO200" s="626"/>
      <c r="AP200" s="626"/>
      <c r="AQ200" s="626"/>
      <c r="AR200" s="626"/>
      <c r="AS200" s="626"/>
      <c r="AT200" s="626"/>
      <c r="AU200" s="626"/>
      <c r="AV200" s="626"/>
      <c r="AW200" s="626"/>
      <c r="AX200" s="626"/>
      <c r="AY200" s="626"/>
      <c r="AZ200" s="626"/>
      <c r="BA200" s="626"/>
      <c r="BB200" s="588"/>
      <c r="BC200" s="626"/>
      <c r="BD200" s="626"/>
      <c r="BE200" s="626"/>
      <c r="BF200" s="626"/>
      <c r="BG200" s="626"/>
      <c r="BH200" s="626"/>
      <c r="BI200" s="588"/>
      <c r="BJ200" s="626"/>
      <c r="BK200" s="626"/>
      <c r="BL200" s="626"/>
      <c r="BM200" s="626"/>
      <c r="BN200" s="626"/>
      <c r="BO200" s="626"/>
      <c r="BP200" s="588"/>
      <c r="BQ200" s="846"/>
      <c r="BR200" s="850"/>
      <c r="BS200" s="588"/>
      <c r="BT200" s="754"/>
      <c r="BU200" s="588"/>
      <c r="BV200" s="588"/>
      <c r="BW200" s="588"/>
      <c r="BX200" s="588"/>
      <c r="BY200" s="588"/>
      <c r="BZ200" s="588"/>
      <c r="CA200" s="588"/>
      <c r="CB200" s="588"/>
      <c r="CC200" s="865"/>
      <c r="CD200" s="588"/>
      <c r="CE200" s="588"/>
      <c r="CF200" s="588"/>
      <c r="CG200" s="588"/>
      <c r="CH200" s="588"/>
      <c r="CI200" s="588"/>
      <c r="CJ200" s="588"/>
      <c r="CK200" s="588"/>
      <c r="CL200" s="588"/>
      <c r="CM200" s="588"/>
      <c r="CN200" s="588"/>
      <c r="CO200" s="588"/>
      <c r="CP200" s="816"/>
      <c r="CQ200" s="805"/>
      <c r="CR200" s="805"/>
      <c r="CS200" s="830"/>
      <c r="CT200" s="588"/>
      <c r="CU200" s="626"/>
      <c r="CV200" s="626"/>
      <c r="CW200" s="626"/>
      <c r="CX200" s="626"/>
      <c r="CY200" s="626"/>
      <c r="CZ200" s="626"/>
      <c r="DA200" s="626"/>
      <c r="DB200" s="626"/>
      <c r="DC200" s="626"/>
      <c r="DD200" s="626"/>
      <c r="DE200" s="626"/>
      <c r="DF200" s="626"/>
      <c r="DG200" s="626"/>
      <c r="DH200" s="626"/>
      <c r="DI200" s="626"/>
      <c r="DJ200" s="626"/>
      <c r="DK200" s="626"/>
      <c r="DL200" s="626"/>
      <c r="DM200" s="761"/>
      <c r="DN200" s="761"/>
      <c r="DO200" s="761"/>
      <c r="DP200" s="553"/>
      <c r="DQ200" s="553"/>
      <c r="DR200" s="553"/>
      <c r="DS200" s="553"/>
      <c r="DT200" s="553"/>
      <c r="DU200" s="553"/>
      <c r="DV200" s="553"/>
      <c r="DW200" s="553"/>
      <c r="DX200" s="553"/>
      <c r="DY200" s="553"/>
    </row>
    <row r="201" spans="1:129" s="489" customFormat="1" ht="24" customHeight="1" x14ac:dyDescent="0.9">
      <c r="A201" s="752"/>
      <c r="B201" s="588"/>
      <c r="C201" s="588"/>
      <c r="D201" s="588"/>
      <c r="E201" s="588"/>
      <c r="F201" s="588"/>
      <c r="G201" s="588"/>
      <c r="H201" s="588"/>
      <c r="I201" s="588"/>
      <c r="J201" s="588"/>
      <c r="K201" s="588"/>
      <c r="L201" s="753"/>
      <c r="M201" s="753"/>
      <c r="N201" s="588"/>
      <c r="O201" s="626"/>
      <c r="P201" s="588"/>
      <c r="Q201" s="626"/>
      <c r="R201" s="588"/>
      <c r="S201" s="588"/>
      <c r="T201" s="588"/>
      <c r="U201" s="588"/>
      <c r="V201" s="588"/>
      <c r="W201" s="588"/>
      <c r="X201" s="588"/>
      <c r="Y201" s="588"/>
      <c r="Z201" s="588"/>
      <c r="AA201" s="588"/>
      <c r="AB201" s="588"/>
      <c r="AC201" s="588"/>
      <c r="AD201" s="588"/>
      <c r="AE201" s="626"/>
      <c r="AF201" s="626"/>
      <c r="AG201" s="626"/>
      <c r="AH201" s="626"/>
      <c r="AI201" s="626"/>
      <c r="AJ201" s="626"/>
      <c r="AK201" s="626"/>
      <c r="AL201" s="626"/>
      <c r="AM201" s="626"/>
      <c r="AN201" s="626"/>
      <c r="AO201" s="626"/>
      <c r="AP201" s="626"/>
      <c r="AQ201" s="626"/>
      <c r="AR201" s="626"/>
      <c r="AS201" s="626"/>
      <c r="AT201" s="626"/>
      <c r="AU201" s="626"/>
      <c r="AV201" s="626"/>
      <c r="AW201" s="626"/>
      <c r="AX201" s="626"/>
      <c r="AY201" s="626"/>
      <c r="AZ201" s="626"/>
      <c r="BA201" s="626"/>
      <c r="BB201" s="588"/>
      <c r="BC201" s="626"/>
      <c r="BD201" s="626"/>
      <c r="BE201" s="626"/>
      <c r="BF201" s="626"/>
      <c r="BG201" s="626"/>
      <c r="BH201" s="626"/>
      <c r="BI201" s="588"/>
      <c r="BJ201" s="626"/>
      <c r="BK201" s="626"/>
      <c r="BL201" s="626"/>
      <c r="BM201" s="626"/>
      <c r="BN201" s="626"/>
      <c r="BO201" s="626"/>
      <c r="BP201" s="588"/>
      <c r="BQ201" s="846"/>
      <c r="BR201" s="850"/>
      <c r="BS201" s="588"/>
      <c r="BT201" s="754"/>
      <c r="BU201" s="588"/>
      <c r="BV201" s="588"/>
      <c r="BW201" s="588"/>
      <c r="BX201" s="588"/>
      <c r="BY201" s="588"/>
      <c r="BZ201" s="588"/>
      <c r="CA201" s="588"/>
      <c r="CB201" s="588"/>
      <c r="CC201" s="865"/>
      <c r="CD201" s="588"/>
      <c r="CE201" s="588"/>
      <c r="CF201" s="588"/>
      <c r="CG201" s="588"/>
      <c r="CH201" s="588"/>
      <c r="CI201" s="588"/>
      <c r="CJ201" s="588"/>
      <c r="CK201" s="588"/>
      <c r="CL201" s="588"/>
      <c r="CM201" s="588"/>
      <c r="CN201" s="588"/>
      <c r="CO201" s="588"/>
      <c r="CP201" s="816"/>
      <c r="CQ201" s="805"/>
      <c r="CR201" s="805"/>
      <c r="CS201" s="830"/>
      <c r="CT201" s="588"/>
      <c r="CU201" s="626"/>
      <c r="CV201" s="626"/>
      <c r="CW201" s="626"/>
      <c r="CX201" s="626"/>
      <c r="CY201" s="626"/>
      <c r="CZ201" s="626"/>
      <c r="DA201" s="626"/>
      <c r="DB201" s="626"/>
      <c r="DC201" s="626"/>
      <c r="DD201" s="626"/>
      <c r="DE201" s="626"/>
      <c r="DF201" s="626"/>
      <c r="DG201" s="626"/>
      <c r="DH201" s="626"/>
      <c r="DI201" s="626"/>
      <c r="DJ201" s="626"/>
      <c r="DK201" s="626"/>
      <c r="DL201" s="626"/>
      <c r="DM201" s="761"/>
      <c r="DN201" s="761"/>
      <c r="DO201" s="761"/>
      <c r="DP201" s="553"/>
      <c r="DQ201" s="553"/>
      <c r="DR201" s="553"/>
      <c r="DS201" s="553"/>
      <c r="DT201" s="553"/>
      <c r="DU201" s="553"/>
      <c r="DV201" s="553"/>
      <c r="DW201" s="553"/>
      <c r="DX201" s="553"/>
      <c r="DY201" s="553"/>
    </row>
    <row r="202" spans="1:129" s="489" customFormat="1" ht="24" customHeight="1" x14ac:dyDescent="0.9">
      <c r="A202" s="752"/>
      <c r="B202" s="588"/>
      <c r="C202" s="588"/>
      <c r="D202" s="588"/>
      <c r="E202" s="588"/>
      <c r="F202" s="588"/>
      <c r="G202" s="588"/>
      <c r="H202" s="588"/>
      <c r="I202" s="588"/>
      <c r="J202" s="588"/>
      <c r="K202" s="588"/>
      <c r="L202" s="753"/>
      <c r="M202" s="753"/>
      <c r="N202" s="588"/>
      <c r="O202" s="626"/>
      <c r="P202" s="588"/>
      <c r="Q202" s="626"/>
      <c r="R202" s="588"/>
      <c r="S202" s="588"/>
      <c r="T202" s="588"/>
      <c r="U202" s="588"/>
      <c r="V202" s="588"/>
      <c r="W202" s="588"/>
      <c r="X202" s="588"/>
      <c r="Y202" s="588"/>
      <c r="Z202" s="588"/>
      <c r="AA202" s="588"/>
      <c r="AB202" s="588"/>
      <c r="AC202" s="588"/>
      <c r="AD202" s="588"/>
      <c r="AE202" s="626"/>
      <c r="AF202" s="626"/>
      <c r="AG202" s="626"/>
      <c r="AH202" s="626"/>
      <c r="AI202" s="626"/>
      <c r="AJ202" s="626"/>
      <c r="AK202" s="626"/>
      <c r="AL202" s="626"/>
      <c r="AM202" s="626"/>
      <c r="AN202" s="626"/>
      <c r="AO202" s="626"/>
      <c r="AP202" s="626"/>
      <c r="AQ202" s="626"/>
      <c r="AR202" s="626"/>
      <c r="AS202" s="626"/>
      <c r="AT202" s="626"/>
      <c r="AU202" s="626"/>
      <c r="AV202" s="626"/>
      <c r="AW202" s="626"/>
      <c r="AX202" s="626"/>
      <c r="AY202" s="626"/>
      <c r="AZ202" s="626"/>
      <c r="BA202" s="626"/>
      <c r="BB202" s="588"/>
      <c r="BC202" s="626"/>
      <c r="BD202" s="626"/>
      <c r="BE202" s="626"/>
      <c r="BF202" s="626"/>
      <c r="BG202" s="626"/>
      <c r="BH202" s="626"/>
      <c r="BI202" s="588"/>
      <c r="BJ202" s="626"/>
      <c r="BK202" s="626"/>
      <c r="BL202" s="626"/>
      <c r="BM202" s="626"/>
      <c r="BN202" s="626"/>
      <c r="BO202" s="626"/>
      <c r="BP202" s="588"/>
      <c r="BQ202" s="846"/>
      <c r="BR202" s="850"/>
      <c r="BS202" s="588"/>
      <c r="BT202" s="754"/>
      <c r="BU202" s="588"/>
      <c r="BV202" s="588"/>
      <c r="BW202" s="588"/>
      <c r="BX202" s="588"/>
      <c r="BY202" s="588"/>
      <c r="BZ202" s="588"/>
      <c r="CA202" s="588"/>
      <c r="CB202" s="588"/>
      <c r="CC202" s="865"/>
      <c r="CD202" s="588"/>
      <c r="CE202" s="588"/>
      <c r="CF202" s="588"/>
      <c r="CG202" s="588"/>
      <c r="CH202" s="588"/>
      <c r="CI202" s="588"/>
      <c r="CJ202" s="588"/>
      <c r="CK202" s="588"/>
      <c r="CL202" s="588"/>
      <c r="CM202" s="588"/>
      <c r="CN202" s="588"/>
      <c r="CO202" s="588"/>
      <c r="CP202" s="816"/>
      <c r="CQ202" s="805"/>
      <c r="CR202" s="805"/>
      <c r="CS202" s="830"/>
      <c r="CT202" s="588"/>
      <c r="CU202" s="626"/>
      <c r="CV202" s="626"/>
      <c r="CW202" s="626"/>
      <c r="CX202" s="626"/>
      <c r="CY202" s="626"/>
      <c r="CZ202" s="626"/>
      <c r="DA202" s="626"/>
      <c r="DB202" s="626"/>
      <c r="DC202" s="626"/>
      <c r="DD202" s="626"/>
      <c r="DE202" s="626"/>
      <c r="DF202" s="626"/>
      <c r="DG202" s="626"/>
      <c r="DH202" s="626"/>
      <c r="DI202" s="626"/>
      <c r="DJ202" s="626"/>
      <c r="DK202" s="626"/>
      <c r="DL202" s="626"/>
      <c r="DM202" s="761"/>
      <c r="DN202" s="761"/>
      <c r="DO202" s="761"/>
      <c r="DP202" s="553"/>
      <c r="DQ202" s="553"/>
      <c r="DR202" s="553"/>
      <c r="DS202" s="553"/>
      <c r="DT202" s="553"/>
      <c r="DU202" s="553"/>
      <c r="DV202" s="553"/>
      <c r="DW202" s="553"/>
      <c r="DX202" s="553"/>
      <c r="DY202" s="553"/>
    </row>
    <row r="203" spans="1:129" s="489" customFormat="1" ht="24" customHeight="1" x14ac:dyDescent="0.9">
      <c r="A203" s="752"/>
      <c r="B203" s="588"/>
      <c r="C203" s="588"/>
      <c r="D203" s="588"/>
      <c r="E203" s="588"/>
      <c r="F203" s="588"/>
      <c r="G203" s="588"/>
      <c r="H203" s="588"/>
      <c r="I203" s="588"/>
      <c r="J203" s="588"/>
      <c r="K203" s="588"/>
      <c r="L203" s="753"/>
      <c r="M203" s="753"/>
      <c r="N203" s="588"/>
      <c r="O203" s="626"/>
      <c r="P203" s="588"/>
      <c r="Q203" s="626"/>
      <c r="R203" s="588"/>
      <c r="S203" s="588"/>
      <c r="T203" s="588"/>
      <c r="U203" s="588"/>
      <c r="V203" s="588"/>
      <c r="W203" s="588"/>
      <c r="X203" s="588"/>
      <c r="Y203" s="588"/>
      <c r="Z203" s="588"/>
      <c r="AA203" s="588"/>
      <c r="AB203" s="588"/>
      <c r="AC203" s="588"/>
      <c r="AD203" s="588"/>
      <c r="AE203" s="626"/>
      <c r="AF203" s="626"/>
      <c r="AG203" s="626"/>
      <c r="AH203" s="626"/>
      <c r="AI203" s="626"/>
      <c r="AJ203" s="626"/>
      <c r="AK203" s="626"/>
      <c r="AL203" s="626"/>
      <c r="AM203" s="626"/>
      <c r="AN203" s="626"/>
      <c r="AO203" s="626"/>
      <c r="AP203" s="626"/>
      <c r="AQ203" s="626"/>
      <c r="AR203" s="626"/>
      <c r="AS203" s="626"/>
      <c r="AT203" s="626"/>
      <c r="AU203" s="626"/>
      <c r="AV203" s="626"/>
      <c r="AW203" s="626"/>
      <c r="AX203" s="626"/>
      <c r="AY203" s="626"/>
      <c r="AZ203" s="626"/>
      <c r="BA203" s="626"/>
      <c r="BB203" s="588"/>
      <c r="BC203" s="626"/>
      <c r="BD203" s="626"/>
      <c r="BE203" s="626"/>
      <c r="BF203" s="626"/>
      <c r="BG203" s="626"/>
      <c r="BH203" s="626"/>
      <c r="BI203" s="588"/>
      <c r="BJ203" s="626"/>
      <c r="BK203" s="626"/>
      <c r="BL203" s="626"/>
      <c r="BM203" s="626"/>
      <c r="BN203" s="626"/>
      <c r="BO203" s="626"/>
      <c r="BP203" s="588"/>
      <c r="BQ203" s="846"/>
      <c r="BR203" s="850"/>
      <c r="BS203" s="588"/>
      <c r="BT203" s="754"/>
      <c r="BU203" s="588"/>
      <c r="BV203" s="588"/>
      <c r="BW203" s="588"/>
      <c r="BX203" s="588"/>
      <c r="BY203" s="588"/>
      <c r="BZ203" s="588"/>
      <c r="CA203" s="588"/>
      <c r="CB203" s="588"/>
      <c r="CC203" s="865"/>
      <c r="CD203" s="588"/>
      <c r="CE203" s="588"/>
      <c r="CF203" s="588"/>
      <c r="CG203" s="588"/>
      <c r="CH203" s="588"/>
      <c r="CI203" s="588"/>
      <c r="CJ203" s="588"/>
      <c r="CK203" s="588"/>
      <c r="CL203" s="588"/>
      <c r="CM203" s="588"/>
      <c r="CN203" s="588"/>
      <c r="CO203" s="588"/>
      <c r="CP203" s="816"/>
      <c r="CQ203" s="805"/>
      <c r="CR203" s="805"/>
      <c r="CS203" s="830"/>
      <c r="CT203" s="588"/>
      <c r="CU203" s="626"/>
      <c r="CV203" s="626"/>
      <c r="CW203" s="626"/>
      <c r="CX203" s="626"/>
      <c r="CY203" s="626"/>
      <c r="CZ203" s="626"/>
      <c r="DA203" s="626"/>
      <c r="DB203" s="626"/>
      <c r="DC203" s="626"/>
      <c r="DD203" s="626"/>
      <c r="DE203" s="626"/>
      <c r="DF203" s="626"/>
      <c r="DG203" s="626"/>
      <c r="DH203" s="626"/>
      <c r="DI203" s="626"/>
      <c r="DJ203" s="626"/>
      <c r="DK203" s="626"/>
      <c r="DL203" s="626"/>
      <c r="DM203" s="761"/>
      <c r="DN203" s="761"/>
      <c r="DO203" s="761"/>
      <c r="DP203" s="553"/>
      <c r="DQ203" s="553"/>
      <c r="DR203" s="553"/>
      <c r="DS203" s="553"/>
      <c r="DT203" s="553"/>
      <c r="DU203" s="553"/>
      <c r="DV203" s="553"/>
      <c r="DW203" s="553"/>
      <c r="DX203" s="553"/>
      <c r="DY203" s="553"/>
    </row>
    <row r="204" spans="1:129" s="489" customFormat="1" ht="24" customHeight="1" x14ac:dyDescent="0.9">
      <c r="A204" s="752"/>
      <c r="B204" s="588"/>
      <c r="C204" s="588"/>
      <c r="D204" s="588"/>
      <c r="E204" s="588"/>
      <c r="F204" s="588"/>
      <c r="G204" s="588"/>
      <c r="H204" s="588"/>
      <c r="I204" s="588"/>
      <c r="J204" s="588"/>
      <c r="K204" s="588"/>
      <c r="L204" s="753"/>
      <c r="M204" s="753"/>
      <c r="N204" s="588"/>
      <c r="O204" s="626"/>
      <c r="P204" s="588"/>
      <c r="Q204" s="626"/>
      <c r="R204" s="588"/>
      <c r="S204" s="588"/>
      <c r="T204" s="588"/>
      <c r="U204" s="588"/>
      <c r="V204" s="588"/>
      <c r="W204" s="588"/>
      <c r="X204" s="588"/>
      <c r="Y204" s="588"/>
      <c r="Z204" s="588"/>
      <c r="AA204" s="588"/>
      <c r="AB204" s="588"/>
      <c r="AC204" s="588"/>
      <c r="AD204" s="588"/>
      <c r="AE204" s="626"/>
      <c r="AF204" s="626"/>
      <c r="AG204" s="626"/>
      <c r="AH204" s="626"/>
      <c r="AI204" s="626"/>
      <c r="AJ204" s="626"/>
      <c r="AK204" s="626"/>
      <c r="AL204" s="626"/>
      <c r="AM204" s="626"/>
      <c r="AN204" s="626"/>
      <c r="AO204" s="626"/>
      <c r="AP204" s="626"/>
      <c r="AQ204" s="626"/>
      <c r="AR204" s="626"/>
      <c r="AS204" s="626"/>
      <c r="AT204" s="626"/>
      <c r="AU204" s="626"/>
      <c r="AV204" s="626"/>
      <c r="AW204" s="626"/>
      <c r="AX204" s="626"/>
      <c r="AY204" s="626"/>
      <c r="AZ204" s="626"/>
      <c r="BA204" s="626"/>
      <c r="BB204" s="588"/>
      <c r="BC204" s="626"/>
      <c r="BD204" s="626"/>
      <c r="BE204" s="626"/>
      <c r="BF204" s="626"/>
      <c r="BG204" s="626"/>
      <c r="BH204" s="626"/>
      <c r="BI204" s="588"/>
      <c r="BJ204" s="626"/>
      <c r="BK204" s="626"/>
      <c r="BL204" s="626"/>
      <c r="BM204" s="626"/>
      <c r="BN204" s="626"/>
      <c r="BO204" s="626"/>
      <c r="BP204" s="588"/>
      <c r="BQ204" s="846"/>
      <c r="BR204" s="850"/>
      <c r="BS204" s="588"/>
      <c r="BT204" s="754"/>
      <c r="BU204" s="588"/>
      <c r="BV204" s="588"/>
      <c r="BW204" s="588"/>
      <c r="BX204" s="588"/>
      <c r="BY204" s="588"/>
      <c r="BZ204" s="588"/>
      <c r="CA204" s="588"/>
      <c r="CB204" s="588"/>
      <c r="CC204" s="865"/>
      <c r="CD204" s="588"/>
      <c r="CE204" s="588"/>
      <c r="CF204" s="588"/>
      <c r="CG204" s="588"/>
      <c r="CH204" s="588"/>
      <c r="CI204" s="588"/>
      <c r="CJ204" s="588"/>
      <c r="CK204" s="588"/>
      <c r="CL204" s="588"/>
      <c r="CM204" s="588"/>
      <c r="CN204" s="588"/>
      <c r="CO204" s="588"/>
      <c r="CP204" s="816"/>
      <c r="CQ204" s="805"/>
      <c r="CR204" s="805"/>
      <c r="CS204" s="830"/>
      <c r="CT204" s="588"/>
      <c r="CU204" s="626"/>
      <c r="CV204" s="626"/>
      <c r="CW204" s="626"/>
      <c r="CX204" s="626"/>
      <c r="CY204" s="626"/>
      <c r="CZ204" s="626"/>
      <c r="DA204" s="626"/>
      <c r="DB204" s="626"/>
      <c r="DC204" s="626"/>
      <c r="DD204" s="626"/>
      <c r="DE204" s="626"/>
      <c r="DF204" s="626"/>
      <c r="DG204" s="626"/>
      <c r="DH204" s="626"/>
      <c r="DI204" s="626"/>
      <c r="DJ204" s="626"/>
      <c r="DK204" s="626"/>
      <c r="DL204" s="626"/>
      <c r="DM204" s="761"/>
      <c r="DN204" s="761"/>
      <c r="DO204" s="761"/>
      <c r="DP204" s="553"/>
      <c r="DQ204" s="553"/>
      <c r="DR204" s="553"/>
      <c r="DS204" s="553"/>
      <c r="DT204" s="553"/>
      <c r="DU204" s="553"/>
      <c r="DV204" s="553"/>
      <c r="DW204" s="553"/>
      <c r="DX204" s="553"/>
      <c r="DY204" s="553"/>
    </row>
    <row r="205" spans="1:129" s="489" customFormat="1" ht="24" customHeight="1" x14ac:dyDescent="0.9">
      <c r="A205" s="752"/>
      <c r="B205" s="588"/>
      <c r="C205" s="588"/>
      <c r="D205" s="588"/>
      <c r="E205" s="588"/>
      <c r="F205" s="588"/>
      <c r="G205" s="588"/>
      <c r="H205" s="588"/>
      <c r="I205" s="588"/>
      <c r="J205" s="588"/>
      <c r="K205" s="588"/>
      <c r="L205" s="753"/>
      <c r="M205" s="753"/>
      <c r="N205" s="588"/>
      <c r="O205" s="626"/>
      <c r="P205" s="588"/>
      <c r="Q205" s="626"/>
      <c r="R205" s="588"/>
      <c r="S205" s="588"/>
      <c r="T205" s="588"/>
      <c r="U205" s="588"/>
      <c r="V205" s="588"/>
      <c r="W205" s="588"/>
      <c r="X205" s="588"/>
      <c r="Y205" s="588"/>
      <c r="Z205" s="588"/>
      <c r="AA205" s="588"/>
      <c r="AB205" s="588"/>
      <c r="AC205" s="588"/>
      <c r="AD205" s="588"/>
      <c r="AE205" s="626"/>
      <c r="AF205" s="626"/>
      <c r="AG205" s="626"/>
      <c r="AH205" s="626"/>
      <c r="AI205" s="626"/>
      <c r="AJ205" s="626"/>
      <c r="AK205" s="626"/>
      <c r="AL205" s="626"/>
      <c r="AM205" s="626"/>
      <c r="AN205" s="626"/>
      <c r="AO205" s="626"/>
      <c r="AP205" s="626"/>
      <c r="AQ205" s="626"/>
      <c r="AR205" s="626"/>
      <c r="AS205" s="626"/>
      <c r="AT205" s="626"/>
      <c r="AU205" s="626"/>
      <c r="AV205" s="626"/>
      <c r="AW205" s="626"/>
      <c r="AX205" s="626"/>
      <c r="AY205" s="626"/>
      <c r="AZ205" s="626"/>
      <c r="BA205" s="626"/>
      <c r="BB205" s="588"/>
      <c r="BC205" s="626"/>
      <c r="BD205" s="626"/>
      <c r="BE205" s="626"/>
      <c r="BF205" s="626"/>
      <c r="BG205" s="626"/>
      <c r="BH205" s="626"/>
      <c r="BI205" s="588"/>
      <c r="BJ205" s="626"/>
      <c r="BK205" s="626"/>
      <c r="BL205" s="626"/>
      <c r="BM205" s="626"/>
      <c r="BN205" s="626"/>
      <c r="BO205" s="626"/>
      <c r="BP205" s="588"/>
      <c r="BQ205" s="846"/>
      <c r="BR205" s="850"/>
      <c r="BS205" s="588"/>
      <c r="BT205" s="754"/>
      <c r="BU205" s="588"/>
      <c r="BV205" s="588"/>
      <c r="BW205" s="588"/>
      <c r="BX205" s="588"/>
      <c r="BY205" s="588"/>
      <c r="BZ205" s="588"/>
      <c r="CA205" s="588"/>
      <c r="CB205" s="588"/>
      <c r="CC205" s="865"/>
      <c r="CD205" s="588"/>
      <c r="CE205" s="588"/>
      <c r="CF205" s="588"/>
      <c r="CG205" s="588"/>
      <c r="CH205" s="588"/>
      <c r="CI205" s="588"/>
      <c r="CJ205" s="588"/>
      <c r="CK205" s="588"/>
      <c r="CL205" s="588"/>
      <c r="CM205" s="588"/>
      <c r="CN205" s="588"/>
      <c r="CO205" s="588"/>
      <c r="CP205" s="816"/>
      <c r="CQ205" s="805"/>
      <c r="CR205" s="805"/>
      <c r="CS205" s="830"/>
      <c r="CT205" s="588"/>
      <c r="CU205" s="626"/>
      <c r="CV205" s="626"/>
      <c r="CW205" s="626"/>
      <c r="CX205" s="626"/>
      <c r="CY205" s="626"/>
      <c r="CZ205" s="626"/>
      <c r="DA205" s="626"/>
      <c r="DB205" s="626"/>
      <c r="DC205" s="626"/>
      <c r="DD205" s="626"/>
      <c r="DE205" s="626"/>
      <c r="DF205" s="626"/>
      <c r="DG205" s="626"/>
      <c r="DH205" s="626"/>
      <c r="DI205" s="626"/>
      <c r="DJ205" s="626"/>
      <c r="DK205" s="626"/>
      <c r="DL205" s="626"/>
      <c r="DM205" s="761"/>
      <c r="DN205" s="761"/>
      <c r="DO205" s="761"/>
      <c r="DP205" s="553"/>
      <c r="DQ205" s="553"/>
      <c r="DR205" s="553"/>
      <c r="DS205" s="553"/>
      <c r="DT205" s="553"/>
      <c r="DU205" s="553"/>
      <c r="DV205" s="553"/>
      <c r="DW205" s="553"/>
      <c r="DX205" s="553"/>
      <c r="DY205" s="553"/>
    </row>
    <row r="206" spans="1:129" s="489" customFormat="1" ht="24" customHeight="1" x14ac:dyDescent="0.9">
      <c r="A206" s="752"/>
      <c r="B206" s="588"/>
      <c r="C206" s="588"/>
      <c r="D206" s="588"/>
      <c r="E206" s="588"/>
      <c r="F206" s="588"/>
      <c r="G206" s="588"/>
      <c r="H206" s="588"/>
      <c r="I206" s="588"/>
      <c r="J206" s="588"/>
      <c r="K206" s="588"/>
      <c r="L206" s="753"/>
      <c r="M206" s="753"/>
      <c r="N206" s="588"/>
      <c r="O206" s="626"/>
      <c r="P206" s="588"/>
      <c r="Q206" s="626"/>
      <c r="R206" s="588"/>
      <c r="S206" s="588"/>
      <c r="T206" s="588"/>
      <c r="U206" s="588"/>
      <c r="V206" s="588"/>
      <c r="W206" s="588"/>
      <c r="X206" s="588"/>
      <c r="Y206" s="588"/>
      <c r="Z206" s="588"/>
      <c r="AA206" s="588"/>
      <c r="AB206" s="588"/>
      <c r="AC206" s="588"/>
      <c r="AD206" s="588"/>
      <c r="AE206" s="626"/>
      <c r="AF206" s="626"/>
      <c r="AG206" s="626"/>
      <c r="AH206" s="626"/>
      <c r="AI206" s="626"/>
      <c r="AJ206" s="626"/>
      <c r="AK206" s="626"/>
      <c r="AL206" s="626"/>
      <c r="AM206" s="626"/>
      <c r="AN206" s="626"/>
      <c r="AO206" s="626"/>
      <c r="AP206" s="626"/>
      <c r="AQ206" s="626"/>
      <c r="AR206" s="626"/>
      <c r="AS206" s="626"/>
      <c r="AT206" s="626"/>
      <c r="AU206" s="626"/>
      <c r="AV206" s="626"/>
      <c r="AW206" s="626"/>
      <c r="AX206" s="626"/>
      <c r="AY206" s="626"/>
      <c r="AZ206" s="626"/>
      <c r="BA206" s="626"/>
      <c r="BB206" s="588"/>
      <c r="BC206" s="626"/>
      <c r="BD206" s="626"/>
      <c r="BE206" s="626"/>
      <c r="BF206" s="626"/>
      <c r="BG206" s="626"/>
      <c r="BH206" s="626"/>
      <c r="BI206" s="588"/>
      <c r="BJ206" s="626"/>
      <c r="BK206" s="626"/>
      <c r="BL206" s="626"/>
      <c r="BM206" s="626"/>
      <c r="BN206" s="626"/>
      <c r="BO206" s="626"/>
      <c r="BP206" s="588"/>
      <c r="BQ206" s="846"/>
      <c r="BR206" s="850"/>
      <c r="BS206" s="588"/>
      <c r="BT206" s="754"/>
      <c r="BU206" s="588"/>
      <c r="BV206" s="588"/>
      <c r="BW206" s="588"/>
      <c r="BX206" s="588"/>
      <c r="BY206" s="588"/>
      <c r="BZ206" s="588"/>
      <c r="CA206" s="588"/>
      <c r="CB206" s="588"/>
      <c r="CC206" s="865"/>
      <c r="CD206" s="588"/>
      <c r="CE206" s="588"/>
      <c r="CF206" s="588"/>
      <c r="CG206" s="588"/>
      <c r="CH206" s="588"/>
      <c r="CI206" s="588"/>
      <c r="CJ206" s="588"/>
      <c r="CK206" s="588"/>
      <c r="CL206" s="588"/>
      <c r="CM206" s="588"/>
      <c r="CN206" s="588"/>
      <c r="CO206" s="588"/>
      <c r="CP206" s="816"/>
      <c r="CQ206" s="805"/>
      <c r="CR206" s="805"/>
      <c r="CS206" s="830"/>
      <c r="CT206" s="588"/>
      <c r="CU206" s="626"/>
      <c r="CV206" s="626"/>
      <c r="CW206" s="626"/>
      <c r="CX206" s="626"/>
      <c r="CY206" s="626"/>
      <c r="CZ206" s="626"/>
      <c r="DA206" s="626"/>
      <c r="DB206" s="626"/>
      <c r="DC206" s="626"/>
      <c r="DD206" s="626"/>
      <c r="DE206" s="626"/>
      <c r="DF206" s="626"/>
      <c r="DG206" s="626"/>
      <c r="DH206" s="626"/>
      <c r="DI206" s="626"/>
      <c r="DJ206" s="626"/>
      <c r="DK206" s="626"/>
      <c r="DL206" s="626"/>
      <c r="DM206" s="761"/>
      <c r="DN206" s="761"/>
      <c r="DO206" s="761"/>
      <c r="DP206" s="553"/>
      <c r="DQ206" s="553"/>
      <c r="DR206" s="553"/>
      <c r="DS206" s="553"/>
      <c r="DT206" s="553"/>
      <c r="DU206" s="553"/>
      <c r="DV206" s="553"/>
      <c r="DW206" s="553"/>
      <c r="DX206" s="553"/>
      <c r="DY206" s="553"/>
    </row>
    <row r="207" spans="1:129" s="489" customFormat="1" ht="24" customHeight="1" x14ac:dyDescent="0.9">
      <c r="A207" s="752"/>
      <c r="B207" s="588"/>
      <c r="C207" s="588"/>
      <c r="D207" s="588"/>
      <c r="E207" s="588"/>
      <c r="F207" s="588"/>
      <c r="G207" s="588"/>
      <c r="H207" s="588"/>
      <c r="I207" s="588"/>
      <c r="J207" s="588"/>
      <c r="K207" s="588"/>
      <c r="L207" s="753"/>
      <c r="M207" s="753"/>
      <c r="N207" s="588"/>
      <c r="O207" s="626"/>
      <c r="P207" s="588"/>
      <c r="Q207" s="626"/>
      <c r="R207" s="588"/>
      <c r="S207" s="588"/>
      <c r="T207" s="588"/>
      <c r="U207" s="588"/>
      <c r="V207" s="588"/>
      <c r="W207" s="588"/>
      <c r="X207" s="588"/>
      <c r="Y207" s="588"/>
      <c r="Z207" s="588"/>
      <c r="AA207" s="588"/>
      <c r="AB207" s="588"/>
      <c r="AC207" s="588"/>
      <c r="AD207" s="588"/>
      <c r="AE207" s="626"/>
      <c r="AF207" s="626"/>
      <c r="AG207" s="626"/>
      <c r="AH207" s="626"/>
      <c r="AI207" s="626"/>
      <c r="AJ207" s="626"/>
      <c r="AK207" s="626"/>
      <c r="AL207" s="626"/>
      <c r="AM207" s="626"/>
      <c r="AN207" s="626"/>
      <c r="AO207" s="626"/>
      <c r="AP207" s="626"/>
      <c r="AQ207" s="626"/>
      <c r="AR207" s="626"/>
      <c r="AS207" s="626"/>
      <c r="AT207" s="626"/>
      <c r="AU207" s="626"/>
      <c r="AV207" s="626"/>
      <c r="AW207" s="626"/>
      <c r="AX207" s="626"/>
      <c r="AY207" s="626"/>
      <c r="AZ207" s="626"/>
      <c r="BA207" s="626"/>
      <c r="BB207" s="588"/>
      <c r="BC207" s="626"/>
      <c r="BD207" s="626"/>
      <c r="BE207" s="626"/>
      <c r="BF207" s="626"/>
      <c r="BG207" s="626"/>
      <c r="BH207" s="626"/>
      <c r="BI207" s="588"/>
      <c r="BJ207" s="626"/>
      <c r="BK207" s="626"/>
      <c r="BL207" s="626"/>
      <c r="BM207" s="626"/>
      <c r="BN207" s="626"/>
      <c r="BO207" s="626"/>
      <c r="BP207" s="588"/>
      <c r="BQ207" s="846"/>
      <c r="BR207" s="850"/>
      <c r="BS207" s="588"/>
      <c r="BT207" s="754"/>
      <c r="BU207" s="588"/>
      <c r="BV207" s="588"/>
      <c r="BW207" s="588"/>
      <c r="BX207" s="588"/>
      <c r="BY207" s="588"/>
      <c r="BZ207" s="588"/>
      <c r="CA207" s="588"/>
      <c r="CB207" s="588"/>
      <c r="CC207" s="865"/>
      <c r="CD207" s="588"/>
      <c r="CE207" s="588"/>
      <c r="CF207" s="588"/>
      <c r="CG207" s="588"/>
      <c r="CH207" s="588"/>
      <c r="CI207" s="588"/>
      <c r="CJ207" s="588"/>
      <c r="CK207" s="588"/>
      <c r="CL207" s="588"/>
      <c r="CM207" s="588"/>
      <c r="CN207" s="588"/>
      <c r="CO207" s="588"/>
      <c r="CP207" s="816"/>
      <c r="CQ207" s="805"/>
      <c r="CR207" s="805"/>
      <c r="CS207" s="830"/>
      <c r="CT207" s="588"/>
      <c r="CU207" s="626"/>
      <c r="CV207" s="626"/>
      <c r="CW207" s="626"/>
      <c r="CX207" s="626"/>
      <c r="CY207" s="626"/>
      <c r="CZ207" s="626"/>
      <c r="DA207" s="626"/>
      <c r="DB207" s="626"/>
      <c r="DC207" s="626"/>
      <c r="DD207" s="626"/>
      <c r="DE207" s="626"/>
      <c r="DF207" s="626"/>
      <c r="DG207" s="626"/>
      <c r="DH207" s="626"/>
      <c r="DI207" s="626"/>
      <c r="DJ207" s="626"/>
      <c r="DK207" s="626"/>
      <c r="DL207" s="626"/>
      <c r="DM207" s="761"/>
      <c r="DN207" s="761"/>
      <c r="DO207" s="761"/>
      <c r="DP207" s="553"/>
      <c r="DQ207" s="553"/>
      <c r="DR207" s="553"/>
      <c r="DS207" s="553"/>
      <c r="DT207" s="553"/>
      <c r="DU207" s="553"/>
      <c r="DV207" s="553"/>
      <c r="DW207" s="553"/>
      <c r="DX207" s="553"/>
      <c r="DY207" s="553"/>
    </row>
    <row r="208" spans="1:129" s="489" customFormat="1" ht="24" customHeight="1" x14ac:dyDescent="0.9">
      <c r="A208" s="752"/>
      <c r="B208" s="588"/>
      <c r="C208" s="588"/>
      <c r="D208" s="588"/>
      <c r="E208" s="588"/>
      <c r="F208" s="588"/>
      <c r="G208" s="588"/>
      <c r="H208" s="588"/>
      <c r="I208" s="588"/>
      <c r="J208" s="588"/>
      <c r="K208" s="588"/>
      <c r="L208" s="753"/>
      <c r="M208" s="753"/>
      <c r="N208" s="588"/>
      <c r="O208" s="626"/>
      <c r="P208" s="588"/>
      <c r="Q208" s="626"/>
      <c r="R208" s="588"/>
      <c r="S208" s="588"/>
      <c r="T208" s="588"/>
      <c r="U208" s="588"/>
      <c r="V208" s="588"/>
      <c r="W208" s="588"/>
      <c r="X208" s="588"/>
      <c r="Y208" s="588"/>
      <c r="Z208" s="588"/>
      <c r="AA208" s="588"/>
      <c r="AB208" s="588"/>
      <c r="AC208" s="588"/>
      <c r="AD208" s="588"/>
      <c r="AE208" s="626"/>
      <c r="AF208" s="626"/>
      <c r="AG208" s="626"/>
      <c r="AH208" s="626"/>
      <c r="AI208" s="626"/>
      <c r="AJ208" s="626"/>
      <c r="AK208" s="626"/>
      <c r="AL208" s="626"/>
      <c r="AM208" s="626"/>
      <c r="AN208" s="626"/>
      <c r="AO208" s="626"/>
      <c r="AP208" s="626"/>
      <c r="AQ208" s="626"/>
      <c r="AR208" s="626"/>
      <c r="AS208" s="626"/>
      <c r="AT208" s="626"/>
      <c r="AU208" s="626"/>
      <c r="AV208" s="626"/>
      <c r="AW208" s="626"/>
      <c r="AX208" s="626"/>
      <c r="AY208" s="626"/>
      <c r="AZ208" s="626"/>
      <c r="BA208" s="626"/>
      <c r="BB208" s="588"/>
      <c r="BC208" s="626"/>
      <c r="BD208" s="626"/>
      <c r="BE208" s="626"/>
      <c r="BF208" s="626"/>
      <c r="BG208" s="626"/>
      <c r="BH208" s="626"/>
      <c r="BI208" s="588"/>
      <c r="BJ208" s="626"/>
      <c r="BK208" s="626"/>
      <c r="BL208" s="626"/>
      <c r="BM208" s="626"/>
      <c r="BN208" s="626"/>
      <c r="BO208" s="626"/>
      <c r="BP208" s="588"/>
      <c r="BQ208" s="846"/>
      <c r="BR208" s="850"/>
      <c r="BS208" s="588"/>
      <c r="BT208" s="754"/>
      <c r="BU208" s="588"/>
      <c r="BV208" s="588"/>
      <c r="BW208" s="588"/>
      <c r="BX208" s="588"/>
      <c r="BY208" s="588"/>
      <c r="BZ208" s="588"/>
      <c r="CA208" s="588"/>
      <c r="CB208" s="588"/>
      <c r="CC208" s="865"/>
      <c r="CD208" s="588"/>
      <c r="CE208" s="588"/>
      <c r="CF208" s="588"/>
      <c r="CG208" s="588"/>
      <c r="CH208" s="588"/>
      <c r="CI208" s="588"/>
      <c r="CJ208" s="588"/>
      <c r="CK208" s="588"/>
      <c r="CL208" s="588"/>
      <c r="CM208" s="588"/>
      <c r="CN208" s="588"/>
      <c r="CO208" s="588"/>
      <c r="CP208" s="816"/>
      <c r="CQ208" s="805"/>
      <c r="CR208" s="805"/>
      <c r="CS208" s="830"/>
      <c r="CT208" s="588"/>
      <c r="CU208" s="626"/>
      <c r="CV208" s="626"/>
      <c r="CW208" s="626"/>
      <c r="CX208" s="626"/>
      <c r="CY208" s="626"/>
      <c r="CZ208" s="626"/>
      <c r="DA208" s="626"/>
      <c r="DB208" s="626"/>
      <c r="DC208" s="626"/>
      <c r="DD208" s="626"/>
      <c r="DE208" s="626"/>
      <c r="DF208" s="626"/>
      <c r="DG208" s="626"/>
      <c r="DH208" s="626"/>
      <c r="DI208" s="626"/>
      <c r="DJ208" s="626"/>
      <c r="DK208" s="626"/>
      <c r="DL208" s="626"/>
      <c r="DM208" s="761"/>
      <c r="DN208" s="761"/>
      <c r="DO208" s="761"/>
      <c r="DP208" s="553"/>
      <c r="DQ208" s="553"/>
      <c r="DR208" s="553"/>
      <c r="DS208" s="553"/>
      <c r="DT208" s="553"/>
      <c r="DU208" s="553"/>
      <c r="DV208" s="553"/>
      <c r="DW208" s="553"/>
      <c r="DX208" s="553"/>
      <c r="DY208" s="553"/>
    </row>
    <row r="209" spans="1:129" s="489" customFormat="1" ht="24" customHeight="1" x14ac:dyDescent="0.9">
      <c r="A209" s="752"/>
      <c r="B209" s="588"/>
      <c r="C209" s="588"/>
      <c r="D209" s="588"/>
      <c r="E209" s="588"/>
      <c r="F209" s="588"/>
      <c r="G209" s="588"/>
      <c r="H209" s="588"/>
      <c r="I209" s="588"/>
      <c r="J209" s="588"/>
      <c r="K209" s="588"/>
      <c r="L209" s="753"/>
      <c r="M209" s="753"/>
      <c r="N209" s="588"/>
      <c r="O209" s="626"/>
      <c r="P209" s="588"/>
      <c r="Q209" s="626"/>
      <c r="R209" s="588"/>
      <c r="S209" s="588"/>
      <c r="T209" s="588"/>
      <c r="U209" s="588"/>
      <c r="V209" s="588"/>
      <c r="W209" s="588"/>
      <c r="X209" s="588"/>
      <c r="Y209" s="588"/>
      <c r="Z209" s="588"/>
      <c r="AA209" s="588"/>
      <c r="AB209" s="588"/>
      <c r="AC209" s="588"/>
      <c r="AD209" s="588"/>
      <c r="AE209" s="626"/>
      <c r="AF209" s="626"/>
      <c r="AG209" s="626"/>
      <c r="AH209" s="626"/>
      <c r="AI209" s="626"/>
      <c r="AJ209" s="626"/>
      <c r="AK209" s="626"/>
      <c r="AL209" s="626"/>
      <c r="AM209" s="626"/>
      <c r="AN209" s="626"/>
      <c r="AO209" s="626"/>
      <c r="AP209" s="626"/>
      <c r="AQ209" s="626"/>
      <c r="AR209" s="626"/>
      <c r="AS209" s="626"/>
      <c r="AT209" s="626"/>
      <c r="AU209" s="626"/>
      <c r="AV209" s="626"/>
      <c r="AW209" s="626"/>
      <c r="AX209" s="626"/>
      <c r="AY209" s="626"/>
      <c r="AZ209" s="626"/>
      <c r="BA209" s="626"/>
      <c r="BB209" s="588"/>
      <c r="BC209" s="626"/>
      <c r="BD209" s="626"/>
      <c r="BE209" s="626"/>
      <c r="BF209" s="626"/>
      <c r="BG209" s="626"/>
      <c r="BH209" s="626"/>
      <c r="BI209" s="588"/>
      <c r="BJ209" s="626"/>
      <c r="BK209" s="626"/>
      <c r="BL209" s="626"/>
      <c r="BM209" s="626"/>
      <c r="BN209" s="626"/>
      <c r="BO209" s="626"/>
      <c r="BP209" s="588"/>
      <c r="BQ209" s="846"/>
      <c r="BR209" s="850"/>
      <c r="BS209" s="588"/>
      <c r="BT209" s="754"/>
      <c r="BU209" s="588"/>
      <c r="BV209" s="588"/>
      <c r="BW209" s="588"/>
      <c r="BX209" s="588"/>
      <c r="BY209" s="588"/>
      <c r="BZ209" s="588"/>
      <c r="CA209" s="588"/>
      <c r="CB209" s="588"/>
      <c r="CC209" s="865"/>
      <c r="CD209" s="588"/>
      <c r="CE209" s="588"/>
      <c r="CF209" s="588"/>
      <c r="CG209" s="588"/>
      <c r="CH209" s="588"/>
      <c r="CI209" s="588"/>
      <c r="CJ209" s="588"/>
      <c r="CK209" s="588"/>
      <c r="CL209" s="588"/>
      <c r="CM209" s="588"/>
      <c r="CN209" s="588"/>
      <c r="CO209" s="588"/>
      <c r="CP209" s="816"/>
      <c r="CQ209" s="805"/>
      <c r="CR209" s="805"/>
      <c r="CS209" s="830"/>
      <c r="CT209" s="588"/>
      <c r="CU209" s="626"/>
      <c r="CV209" s="626"/>
      <c r="CW209" s="626"/>
      <c r="CX209" s="626"/>
      <c r="CY209" s="626"/>
      <c r="CZ209" s="626"/>
      <c r="DA209" s="626"/>
      <c r="DB209" s="626"/>
      <c r="DC209" s="626"/>
      <c r="DD209" s="626"/>
      <c r="DE209" s="626"/>
      <c r="DF209" s="626"/>
      <c r="DG209" s="626"/>
      <c r="DH209" s="626"/>
      <c r="DI209" s="626"/>
      <c r="DJ209" s="626"/>
      <c r="DK209" s="626"/>
      <c r="DL209" s="626"/>
      <c r="DM209" s="761"/>
      <c r="DN209" s="761"/>
      <c r="DO209" s="761"/>
      <c r="DP209" s="553"/>
      <c r="DQ209" s="553"/>
      <c r="DR209" s="553"/>
      <c r="DS209" s="553"/>
      <c r="DT209" s="553"/>
      <c r="DU209" s="553"/>
      <c r="DV209" s="553"/>
      <c r="DW209" s="553"/>
      <c r="DX209" s="553"/>
      <c r="DY209" s="553"/>
    </row>
    <row r="210" spans="1:129" s="489" customFormat="1" ht="24" customHeight="1" x14ac:dyDescent="0.9">
      <c r="A210" s="752"/>
      <c r="B210" s="588"/>
      <c r="C210" s="588"/>
      <c r="D210" s="588"/>
      <c r="E210" s="588"/>
      <c r="F210" s="588"/>
      <c r="G210" s="588"/>
      <c r="H210" s="588"/>
      <c r="I210" s="588"/>
      <c r="J210" s="588"/>
      <c r="K210" s="588"/>
      <c r="L210" s="753"/>
      <c r="M210" s="753"/>
      <c r="N210" s="588"/>
      <c r="O210" s="626"/>
      <c r="P210" s="588"/>
      <c r="Q210" s="626"/>
      <c r="R210" s="588"/>
      <c r="S210" s="588"/>
      <c r="T210" s="588"/>
      <c r="U210" s="588"/>
      <c r="V210" s="588"/>
      <c r="W210" s="588"/>
      <c r="X210" s="588"/>
      <c r="Y210" s="588"/>
      <c r="Z210" s="588"/>
      <c r="AA210" s="588"/>
      <c r="AB210" s="588"/>
      <c r="AC210" s="588"/>
      <c r="AD210" s="588"/>
      <c r="AE210" s="626"/>
      <c r="AF210" s="626"/>
      <c r="AG210" s="626"/>
      <c r="AH210" s="626"/>
      <c r="AI210" s="626"/>
      <c r="AJ210" s="626"/>
      <c r="AK210" s="626"/>
      <c r="AL210" s="626"/>
      <c r="AM210" s="626"/>
      <c r="AN210" s="626"/>
      <c r="AO210" s="626"/>
      <c r="AP210" s="626"/>
      <c r="AQ210" s="626"/>
      <c r="AR210" s="626"/>
      <c r="AS210" s="626"/>
      <c r="AT210" s="626"/>
      <c r="AU210" s="626"/>
      <c r="AV210" s="626"/>
      <c r="AW210" s="626"/>
      <c r="AX210" s="626"/>
      <c r="AY210" s="626"/>
      <c r="AZ210" s="626"/>
      <c r="BA210" s="626"/>
      <c r="BB210" s="588"/>
      <c r="BC210" s="626"/>
      <c r="BD210" s="626"/>
      <c r="BE210" s="626"/>
      <c r="BF210" s="626"/>
      <c r="BG210" s="626"/>
      <c r="BH210" s="626"/>
      <c r="BI210" s="588"/>
      <c r="BJ210" s="626"/>
      <c r="BK210" s="626"/>
      <c r="BL210" s="626"/>
      <c r="BM210" s="626"/>
      <c r="BN210" s="626"/>
      <c r="BO210" s="626"/>
      <c r="BP210" s="588"/>
      <c r="BQ210" s="846"/>
      <c r="BR210" s="850"/>
      <c r="BS210" s="588"/>
      <c r="BT210" s="754"/>
      <c r="BU210" s="588"/>
      <c r="BV210" s="588"/>
      <c r="BW210" s="588"/>
      <c r="BX210" s="588"/>
      <c r="BY210" s="588"/>
      <c r="BZ210" s="588"/>
      <c r="CA210" s="588"/>
      <c r="CB210" s="588"/>
      <c r="CC210" s="865"/>
      <c r="CD210" s="588"/>
      <c r="CE210" s="588"/>
      <c r="CF210" s="588"/>
      <c r="CG210" s="588"/>
      <c r="CH210" s="588"/>
      <c r="CI210" s="588"/>
      <c r="CJ210" s="588"/>
      <c r="CK210" s="588"/>
      <c r="CL210" s="588"/>
      <c r="CM210" s="588"/>
      <c r="CN210" s="588"/>
      <c r="CO210" s="588"/>
      <c r="CP210" s="816"/>
      <c r="CQ210" s="805"/>
      <c r="CR210" s="805"/>
      <c r="CS210" s="830"/>
      <c r="CT210" s="588"/>
      <c r="CU210" s="626"/>
      <c r="CV210" s="626"/>
      <c r="CW210" s="626"/>
      <c r="CX210" s="626"/>
      <c r="CY210" s="626"/>
      <c r="CZ210" s="626"/>
      <c r="DA210" s="626"/>
      <c r="DB210" s="626"/>
      <c r="DC210" s="626"/>
      <c r="DD210" s="626"/>
      <c r="DE210" s="626"/>
      <c r="DF210" s="626"/>
      <c r="DG210" s="626"/>
      <c r="DH210" s="626"/>
      <c r="DI210" s="626"/>
      <c r="DJ210" s="626"/>
      <c r="DK210" s="626"/>
      <c r="DL210" s="626"/>
      <c r="DM210" s="761"/>
      <c r="DN210" s="761"/>
      <c r="DO210" s="761"/>
      <c r="DP210" s="553"/>
      <c r="DQ210" s="553"/>
      <c r="DR210" s="553"/>
      <c r="DS210" s="553"/>
      <c r="DT210" s="553"/>
      <c r="DU210" s="553"/>
      <c r="DV210" s="553"/>
      <c r="DW210" s="553"/>
      <c r="DX210" s="553"/>
      <c r="DY210" s="553"/>
    </row>
    <row r="211" spans="1:129" s="489" customFormat="1" ht="24" customHeight="1" x14ac:dyDescent="0.9">
      <c r="A211" s="752"/>
      <c r="B211" s="588"/>
      <c r="C211" s="588"/>
      <c r="D211" s="588"/>
      <c r="E211" s="588"/>
      <c r="F211" s="588"/>
      <c r="G211" s="588"/>
      <c r="H211" s="588"/>
      <c r="I211" s="588"/>
      <c r="J211" s="588"/>
      <c r="K211" s="588"/>
      <c r="L211" s="753"/>
      <c r="M211" s="753"/>
      <c r="N211" s="588"/>
      <c r="O211" s="626"/>
      <c r="P211" s="588"/>
      <c r="Q211" s="626"/>
      <c r="R211" s="588"/>
      <c r="S211" s="588"/>
      <c r="T211" s="588"/>
      <c r="U211" s="588"/>
      <c r="V211" s="588"/>
      <c r="W211" s="588"/>
      <c r="X211" s="588"/>
      <c r="Y211" s="588"/>
      <c r="Z211" s="588"/>
      <c r="AA211" s="588"/>
      <c r="AB211" s="588"/>
      <c r="AC211" s="588"/>
      <c r="AD211" s="588"/>
      <c r="AE211" s="626"/>
      <c r="AF211" s="626"/>
      <c r="AG211" s="626"/>
      <c r="AH211" s="626"/>
      <c r="AI211" s="626"/>
      <c r="AJ211" s="626"/>
      <c r="AK211" s="626"/>
      <c r="AL211" s="626"/>
      <c r="AM211" s="626"/>
      <c r="AN211" s="626"/>
      <c r="AO211" s="626"/>
      <c r="AP211" s="626"/>
      <c r="AQ211" s="626"/>
      <c r="AR211" s="626"/>
      <c r="AS211" s="626"/>
      <c r="AT211" s="626"/>
      <c r="AU211" s="626"/>
      <c r="AV211" s="626"/>
      <c r="AW211" s="626"/>
      <c r="AX211" s="626"/>
      <c r="AY211" s="626"/>
      <c r="AZ211" s="626"/>
      <c r="BA211" s="626"/>
      <c r="BB211" s="588"/>
      <c r="BC211" s="626"/>
      <c r="BD211" s="626"/>
      <c r="BE211" s="626"/>
      <c r="BF211" s="626"/>
      <c r="BG211" s="626"/>
      <c r="BH211" s="626"/>
      <c r="BI211" s="588"/>
      <c r="BJ211" s="626"/>
      <c r="BK211" s="626"/>
      <c r="BL211" s="626"/>
      <c r="BM211" s="626"/>
      <c r="BN211" s="626"/>
      <c r="BO211" s="626"/>
      <c r="BP211" s="588"/>
      <c r="BQ211" s="846"/>
      <c r="BR211" s="850"/>
      <c r="BS211" s="588"/>
      <c r="BT211" s="754"/>
      <c r="BU211" s="588"/>
      <c r="BV211" s="588"/>
      <c r="BW211" s="588"/>
      <c r="BX211" s="588"/>
      <c r="BY211" s="588"/>
      <c r="BZ211" s="588"/>
      <c r="CA211" s="588"/>
      <c r="CB211" s="588"/>
      <c r="CC211" s="865"/>
      <c r="CD211" s="588"/>
      <c r="CE211" s="588"/>
      <c r="CF211" s="588"/>
      <c r="CG211" s="588"/>
      <c r="CH211" s="588"/>
      <c r="CI211" s="588"/>
      <c r="CJ211" s="588"/>
      <c r="CK211" s="588"/>
      <c r="CL211" s="588"/>
      <c r="CM211" s="588"/>
      <c r="CN211" s="588"/>
      <c r="CO211" s="588"/>
      <c r="CP211" s="816"/>
      <c r="CQ211" s="805"/>
      <c r="CR211" s="805"/>
      <c r="CS211" s="830"/>
      <c r="CT211" s="588"/>
      <c r="CU211" s="626"/>
      <c r="CV211" s="626"/>
      <c r="CW211" s="626"/>
      <c r="CX211" s="626"/>
      <c r="CY211" s="626"/>
      <c r="CZ211" s="626"/>
      <c r="DA211" s="626"/>
      <c r="DB211" s="626"/>
      <c r="DC211" s="626"/>
      <c r="DD211" s="626"/>
      <c r="DE211" s="626"/>
      <c r="DF211" s="626"/>
      <c r="DG211" s="626"/>
      <c r="DH211" s="626"/>
      <c r="DI211" s="626"/>
      <c r="DJ211" s="626"/>
      <c r="DK211" s="626"/>
      <c r="DL211" s="626"/>
      <c r="DM211" s="761"/>
      <c r="DN211" s="761"/>
      <c r="DO211" s="761"/>
      <c r="DP211" s="553"/>
      <c r="DQ211" s="553"/>
      <c r="DR211" s="553"/>
      <c r="DS211" s="553"/>
      <c r="DT211" s="553"/>
      <c r="DU211" s="553"/>
      <c r="DV211" s="553"/>
      <c r="DW211" s="553"/>
      <c r="DX211" s="553"/>
      <c r="DY211" s="553"/>
    </row>
    <row r="212" spans="1:129" s="489" customFormat="1" ht="24" customHeight="1" x14ac:dyDescent="0.9">
      <c r="A212" s="752"/>
      <c r="B212" s="588"/>
      <c r="C212" s="588"/>
      <c r="D212" s="588"/>
      <c r="E212" s="588"/>
      <c r="F212" s="588"/>
      <c r="G212" s="588"/>
      <c r="H212" s="588"/>
      <c r="I212" s="588"/>
      <c r="J212" s="588"/>
      <c r="K212" s="588"/>
      <c r="L212" s="753"/>
      <c r="M212" s="753"/>
      <c r="N212" s="588"/>
      <c r="O212" s="626"/>
      <c r="P212" s="588"/>
      <c r="Q212" s="626"/>
      <c r="R212" s="588"/>
      <c r="S212" s="588"/>
      <c r="T212" s="588"/>
      <c r="U212" s="588"/>
      <c r="V212" s="588"/>
      <c r="W212" s="588"/>
      <c r="X212" s="588"/>
      <c r="Y212" s="588"/>
      <c r="Z212" s="588"/>
      <c r="AA212" s="588"/>
      <c r="AB212" s="588"/>
      <c r="AC212" s="588"/>
      <c r="AD212" s="588"/>
      <c r="AE212" s="626"/>
      <c r="AF212" s="626"/>
      <c r="AG212" s="626"/>
      <c r="AH212" s="626"/>
      <c r="AI212" s="626"/>
      <c r="AJ212" s="626"/>
      <c r="AK212" s="626"/>
      <c r="AL212" s="626"/>
      <c r="AM212" s="626"/>
      <c r="AN212" s="626"/>
      <c r="AO212" s="626"/>
      <c r="AP212" s="626"/>
      <c r="AQ212" s="626"/>
      <c r="AR212" s="626"/>
      <c r="AS212" s="626"/>
      <c r="AT212" s="626"/>
      <c r="AU212" s="626"/>
      <c r="AV212" s="626"/>
      <c r="AW212" s="626"/>
      <c r="AX212" s="626"/>
      <c r="AY212" s="626"/>
      <c r="AZ212" s="626"/>
      <c r="BA212" s="626"/>
      <c r="BB212" s="588"/>
      <c r="BC212" s="626"/>
      <c r="BD212" s="626"/>
      <c r="BE212" s="626"/>
      <c r="BF212" s="626"/>
      <c r="BG212" s="626"/>
      <c r="BH212" s="626"/>
      <c r="BI212" s="588"/>
      <c r="BJ212" s="626"/>
      <c r="BK212" s="626"/>
      <c r="BL212" s="626"/>
      <c r="BM212" s="626"/>
      <c r="BN212" s="626"/>
      <c r="BO212" s="626"/>
      <c r="BP212" s="588"/>
      <c r="BQ212" s="846"/>
      <c r="BR212" s="850"/>
      <c r="BS212" s="588"/>
      <c r="BT212" s="754"/>
      <c r="BU212" s="588"/>
      <c r="BV212" s="588"/>
      <c r="BW212" s="588"/>
      <c r="BX212" s="588"/>
      <c r="BY212" s="588"/>
      <c r="BZ212" s="588"/>
      <c r="CA212" s="588"/>
      <c r="CB212" s="588"/>
      <c r="CC212" s="865"/>
      <c r="CD212" s="588"/>
      <c r="CE212" s="588"/>
      <c r="CF212" s="588"/>
      <c r="CG212" s="588"/>
      <c r="CH212" s="588"/>
      <c r="CI212" s="588"/>
      <c r="CJ212" s="588"/>
      <c r="CK212" s="588"/>
      <c r="CL212" s="588"/>
      <c r="CM212" s="588"/>
      <c r="CN212" s="588"/>
      <c r="CO212" s="588"/>
      <c r="CP212" s="816"/>
      <c r="CQ212" s="805"/>
      <c r="CR212" s="805"/>
      <c r="CS212" s="830"/>
      <c r="CT212" s="588"/>
      <c r="CU212" s="626"/>
      <c r="CV212" s="626"/>
      <c r="CW212" s="626"/>
      <c r="CX212" s="626"/>
      <c r="CY212" s="626"/>
      <c r="CZ212" s="626"/>
      <c r="DA212" s="626"/>
      <c r="DB212" s="626"/>
      <c r="DC212" s="626"/>
      <c r="DD212" s="626"/>
      <c r="DE212" s="626"/>
      <c r="DF212" s="626"/>
      <c r="DG212" s="626"/>
      <c r="DH212" s="626"/>
      <c r="DI212" s="626"/>
      <c r="DJ212" s="626"/>
      <c r="DK212" s="626"/>
      <c r="DL212" s="626"/>
      <c r="DM212" s="761"/>
      <c r="DN212" s="761"/>
      <c r="DO212" s="761"/>
      <c r="DP212" s="553"/>
      <c r="DQ212" s="553"/>
      <c r="DR212" s="553"/>
      <c r="DS212" s="553"/>
      <c r="DT212" s="553"/>
      <c r="DU212" s="553"/>
      <c r="DV212" s="553"/>
      <c r="DW212" s="553"/>
      <c r="DX212" s="553"/>
      <c r="DY212" s="553"/>
    </row>
    <row r="213" spans="1:129" s="489" customFormat="1" ht="24" customHeight="1" x14ac:dyDescent="0.9">
      <c r="A213" s="752"/>
      <c r="B213" s="588"/>
      <c r="C213" s="588"/>
      <c r="D213" s="588"/>
      <c r="E213" s="588"/>
      <c r="F213" s="588"/>
      <c r="G213" s="588"/>
      <c r="H213" s="588"/>
      <c r="I213" s="588"/>
      <c r="J213" s="588"/>
      <c r="K213" s="588"/>
      <c r="L213" s="753"/>
      <c r="M213" s="753"/>
      <c r="N213" s="588"/>
      <c r="O213" s="626"/>
      <c r="P213" s="588"/>
      <c r="Q213" s="626"/>
      <c r="R213" s="588"/>
      <c r="S213" s="588"/>
      <c r="T213" s="588"/>
      <c r="U213" s="588"/>
      <c r="V213" s="588"/>
      <c r="W213" s="588"/>
      <c r="X213" s="588"/>
      <c r="Y213" s="588"/>
      <c r="Z213" s="588"/>
      <c r="AA213" s="588"/>
      <c r="AB213" s="588"/>
      <c r="AC213" s="588"/>
      <c r="AD213" s="588"/>
      <c r="AE213" s="626"/>
      <c r="AF213" s="626"/>
      <c r="AG213" s="626"/>
      <c r="AH213" s="626"/>
      <c r="AI213" s="626"/>
      <c r="AJ213" s="626"/>
      <c r="AK213" s="626"/>
      <c r="AL213" s="626"/>
      <c r="AM213" s="626"/>
      <c r="AN213" s="626"/>
      <c r="AO213" s="626"/>
      <c r="AP213" s="626"/>
      <c r="AQ213" s="626"/>
      <c r="AR213" s="626"/>
      <c r="AS213" s="626"/>
      <c r="AT213" s="626"/>
      <c r="AU213" s="626"/>
      <c r="AV213" s="626"/>
      <c r="AW213" s="626"/>
      <c r="AX213" s="626"/>
      <c r="AY213" s="626"/>
      <c r="AZ213" s="626"/>
      <c r="BA213" s="626"/>
      <c r="BB213" s="588"/>
      <c r="BC213" s="626"/>
      <c r="BD213" s="626"/>
      <c r="BE213" s="626"/>
      <c r="BF213" s="626"/>
      <c r="BG213" s="626"/>
      <c r="BH213" s="626"/>
      <c r="BI213" s="588"/>
      <c r="BJ213" s="626"/>
      <c r="BK213" s="626"/>
      <c r="BL213" s="626"/>
      <c r="BM213" s="626"/>
      <c r="BN213" s="626"/>
      <c r="BO213" s="626"/>
      <c r="BP213" s="588"/>
      <c r="BQ213" s="846"/>
      <c r="BR213" s="850"/>
      <c r="BS213" s="588"/>
      <c r="BT213" s="754"/>
      <c r="BU213" s="588"/>
      <c r="BV213" s="588"/>
      <c r="BW213" s="588"/>
      <c r="BX213" s="588"/>
      <c r="BY213" s="588"/>
      <c r="BZ213" s="588"/>
      <c r="CA213" s="588"/>
      <c r="CB213" s="588"/>
      <c r="CC213" s="865"/>
      <c r="CD213" s="588"/>
      <c r="CE213" s="588"/>
      <c r="CF213" s="588"/>
      <c r="CG213" s="588"/>
      <c r="CH213" s="588"/>
      <c r="CI213" s="588"/>
      <c r="CJ213" s="588"/>
      <c r="CK213" s="588"/>
      <c r="CL213" s="588"/>
      <c r="CM213" s="588"/>
      <c r="CN213" s="588"/>
      <c r="CO213" s="588"/>
      <c r="CP213" s="816"/>
      <c r="CQ213" s="805"/>
      <c r="CR213" s="805"/>
      <c r="CS213" s="830"/>
      <c r="CT213" s="588"/>
      <c r="CU213" s="626"/>
      <c r="CV213" s="626"/>
      <c r="CW213" s="626"/>
      <c r="CX213" s="626"/>
      <c r="CY213" s="626"/>
      <c r="CZ213" s="626"/>
      <c r="DA213" s="626"/>
      <c r="DB213" s="626"/>
      <c r="DC213" s="626"/>
      <c r="DD213" s="626"/>
      <c r="DE213" s="626"/>
      <c r="DF213" s="626"/>
      <c r="DG213" s="626"/>
      <c r="DH213" s="626"/>
      <c r="DI213" s="626"/>
      <c r="DJ213" s="626"/>
      <c r="DK213" s="626"/>
      <c r="DL213" s="626"/>
      <c r="DM213" s="761"/>
      <c r="DN213" s="761"/>
      <c r="DO213" s="761"/>
      <c r="DP213" s="553"/>
      <c r="DQ213" s="553"/>
      <c r="DR213" s="553"/>
      <c r="DS213" s="553"/>
      <c r="DT213" s="553"/>
      <c r="DU213" s="553"/>
      <c r="DV213" s="553"/>
      <c r="DW213" s="553"/>
      <c r="DX213" s="553"/>
      <c r="DY213" s="553"/>
    </row>
    <row r="214" spans="1:129" s="489" customFormat="1" ht="24" customHeight="1" x14ac:dyDescent="0.9">
      <c r="A214" s="752"/>
      <c r="B214" s="588"/>
      <c r="C214" s="588"/>
      <c r="D214" s="588"/>
      <c r="E214" s="588"/>
      <c r="F214" s="588"/>
      <c r="G214" s="588"/>
      <c r="H214" s="588"/>
      <c r="I214" s="588"/>
      <c r="J214" s="588"/>
      <c r="K214" s="588"/>
      <c r="L214" s="753"/>
      <c r="M214" s="753"/>
      <c r="N214" s="588"/>
      <c r="O214" s="626"/>
      <c r="P214" s="588"/>
      <c r="Q214" s="626"/>
      <c r="R214" s="588"/>
      <c r="S214" s="588"/>
      <c r="T214" s="588"/>
      <c r="U214" s="588"/>
      <c r="V214" s="588"/>
      <c r="W214" s="588"/>
      <c r="X214" s="588"/>
      <c r="Y214" s="588"/>
      <c r="Z214" s="588"/>
      <c r="AA214" s="588"/>
      <c r="AB214" s="588"/>
      <c r="AC214" s="588"/>
      <c r="AD214" s="588"/>
      <c r="AE214" s="626"/>
      <c r="AF214" s="626"/>
      <c r="AG214" s="626"/>
      <c r="AH214" s="626"/>
      <c r="AI214" s="626"/>
      <c r="AJ214" s="626"/>
      <c r="AK214" s="626"/>
      <c r="AL214" s="626"/>
      <c r="AM214" s="626"/>
      <c r="AN214" s="626"/>
      <c r="AO214" s="626"/>
      <c r="AP214" s="626"/>
      <c r="AQ214" s="626"/>
      <c r="AR214" s="626"/>
      <c r="AS214" s="626"/>
      <c r="AT214" s="626"/>
      <c r="AU214" s="626"/>
      <c r="AV214" s="626"/>
      <c r="AW214" s="626"/>
      <c r="AX214" s="626"/>
      <c r="AY214" s="626"/>
      <c r="AZ214" s="626"/>
      <c r="BA214" s="626"/>
      <c r="BB214" s="588"/>
      <c r="BC214" s="626"/>
      <c r="BD214" s="626"/>
      <c r="BE214" s="626"/>
      <c r="BF214" s="626"/>
      <c r="BG214" s="626"/>
      <c r="BH214" s="626"/>
      <c r="BI214" s="588"/>
      <c r="BJ214" s="626"/>
      <c r="BK214" s="626"/>
      <c r="BL214" s="626"/>
      <c r="BM214" s="626"/>
      <c r="BN214" s="626"/>
      <c r="BO214" s="626"/>
      <c r="BP214" s="588"/>
      <c r="BQ214" s="846"/>
      <c r="BR214" s="850"/>
      <c r="BS214" s="588"/>
      <c r="BT214" s="754"/>
      <c r="BU214" s="588"/>
      <c r="BV214" s="588"/>
      <c r="BW214" s="588"/>
      <c r="BX214" s="588"/>
      <c r="BY214" s="588"/>
      <c r="BZ214" s="588"/>
      <c r="CA214" s="588"/>
      <c r="CB214" s="588"/>
      <c r="CC214" s="865"/>
      <c r="CD214" s="588"/>
      <c r="CE214" s="588"/>
      <c r="CF214" s="588"/>
      <c r="CG214" s="588"/>
      <c r="CH214" s="588"/>
      <c r="CI214" s="588"/>
      <c r="CJ214" s="588"/>
      <c r="CK214" s="588"/>
      <c r="CL214" s="588"/>
      <c r="CM214" s="588"/>
      <c r="CN214" s="588"/>
      <c r="CO214" s="588"/>
      <c r="CP214" s="816"/>
      <c r="CQ214" s="805"/>
      <c r="CR214" s="805"/>
      <c r="CS214" s="830"/>
      <c r="CT214" s="588"/>
      <c r="CU214" s="626"/>
      <c r="CV214" s="626"/>
      <c r="CW214" s="626"/>
      <c r="CX214" s="626"/>
      <c r="CY214" s="626"/>
      <c r="CZ214" s="626"/>
      <c r="DA214" s="626"/>
      <c r="DB214" s="626"/>
      <c r="DC214" s="626"/>
      <c r="DD214" s="626"/>
      <c r="DE214" s="626"/>
      <c r="DF214" s="626"/>
      <c r="DG214" s="626"/>
      <c r="DH214" s="626"/>
      <c r="DI214" s="626"/>
      <c r="DJ214" s="626"/>
      <c r="DK214" s="626"/>
      <c r="DL214" s="626"/>
      <c r="DM214" s="761"/>
      <c r="DN214" s="761"/>
      <c r="DO214" s="761"/>
      <c r="DP214" s="553"/>
      <c r="DQ214" s="553"/>
      <c r="DR214" s="553"/>
      <c r="DS214" s="553"/>
      <c r="DT214" s="553"/>
      <c r="DU214" s="553"/>
      <c r="DV214" s="553"/>
      <c r="DW214" s="553"/>
      <c r="DX214" s="553"/>
      <c r="DY214" s="553"/>
    </row>
    <row r="215" spans="1:129" s="489" customFormat="1" ht="24" customHeight="1" x14ac:dyDescent="0.9">
      <c r="A215" s="752"/>
      <c r="B215" s="588"/>
      <c r="C215" s="588"/>
      <c r="D215" s="588"/>
      <c r="E215" s="588"/>
      <c r="F215" s="588"/>
      <c r="G215" s="588"/>
      <c r="H215" s="588"/>
      <c r="I215" s="588"/>
      <c r="J215" s="588"/>
      <c r="K215" s="588"/>
      <c r="L215" s="753"/>
      <c r="M215" s="753"/>
      <c r="N215" s="588"/>
      <c r="O215" s="626"/>
      <c r="P215" s="588"/>
      <c r="Q215" s="626"/>
      <c r="R215" s="588"/>
      <c r="S215" s="588"/>
      <c r="T215" s="588"/>
      <c r="U215" s="588"/>
      <c r="V215" s="588"/>
      <c r="W215" s="588"/>
      <c r="X215" s="588"/>
      <c r="Y215" s="588"/>
      <c r="Z215" s="588"/>
      <c r="AA215" s="588"/>
      <c r="AB215" s="588"/>
      <c r="AC215" s="588"/>
      <c r="AD215" s="588"/>
      <c r="AE215" s="626"/>
      <c r="AF215" s="626"/>
      <c r="AG215" s="626"/>
      <c r="AH215" s="626"/>
      <c r="AI215" s="626"/>
      <c r="AJ215" s="626"/>
      <c r="AK215" s="626"/>
      <c r="AL215" s="626"/>
      <c r="AM215" s="626"/>
      <c r="AN215" s="626"/>
      <c r="AO215" s="626"/>
      <c r="AP215" s="626"/>
      <c r="AQ215" s="626"/>
      <c r="AR215" s="626"/>
      <c r="AS215" s="626"/>
      <c r="AT215" s="626"/>
      <c r="AU215" s="626"/>
      <c r="AV215" s="626"/>
      <c r="AW215" s="626"/>
      <c r="AX215" s="626"/>
      <c r="AY215" s="626"/>
      <c r="AZ215" s="626"/>
      <c r="BA215" s="626"/>
      <c r="BB215" s="588"/>
      <c r="BC215" s="626"/>
      <c r="BD215" s="626"/>
      <c r="BE215" s="626"/>
      <c r="BF215" s="626"/>
      <c r="BG215" s="626"/>
      <c r="BH215" s="626"/>
      <c r="BI215" s="588"/>
      <c r="BJ215" s="626"/>
      <c r="BK215" s="626"/>
      <c r="BL215" s="626"/>
      <c r="BM215" s="626"/>
      <c r="BN215" s="626"/>
      <c r="BO215" s="626"/>
      <c r="BP215" s="588"/>
      <c r="BQ215" s="846"/>
      <c r="BR215" s="850"/>
      <c r="BS215" s="588"/>
      <c r="BT215" s="754"/>
      <c r="BU215" s="588"/>
      <c r="BV215" s="588"/>
      <c r="BW215" s="588"/>
      <c r="BX215" s="588"/>
      <c r="BY215" s="588"/>
      <c r="BZ215" s="588"/>
      <c r="CA215" s="588"/>
      <c r="CB215" s="588"/>
      <c r="CC215" s="865"/>
      <c r="CD215" s="588"/>
      <c r="CE215" s="588"/>
      <c r="CF215" s="588"/>
      <c r="CG215" s="588"/>
      <c r="CH215" s="588"/>
      <c r="CI215" s="588"/>
      <c r="CJ215" s="588"/>
      <c r="CK215" s="588"/>
      <c r="CL215" s="588"/>
      <c r="CM215" s="588"/>
      <c r="CN215" s="588"/>
      <c r="CO215" s="588"/>
      <c r="CP215" s="816"/>
      <c r="CQ215" s="805"/>
      <c r="CR215" s="805"/>
      <c r="CS215" s="830"/>
      <c r="CT215" s="588"/>
      <c r="CU215" s="626"/>
      <c r="CV215" s="626"/>
      <c r="CW215" s="626"/>
      <c r="CX215" s="626"/>
      <c r="CY215" s="626"/>
      <c r="CZ215" s="626"/>
      <c r="DA215" s="626"/>
      <c r="DB215" s="626"/>
      <c r="DC215" s="626"/>
      <c r="DD215" s="626"/>
      <c r="DE215" s="626"/>
      <c r="DF215" s="626"/>
      <c r="DG215" s="626"/>
      <c r="DH215" s="626"/>
      <c r="DI215" s="626"/>
      <c r="DJ215" s="626"/>
      <c r="DK215" s="626"/>
      <c r="DL215" s="626"/>
      <c r="DM215" s="761"/>
      <c r="DN215" s="761"/>
      <c r="DO215" s="761"/>
      <c r="DP215" s="553"/>
      <c r="DQ215" s="553"/>
      <c r="DR215" s="553"/>
      <c r="DS215" s="553"/>
      <c r="DT215" s="553"/>
      <c r="DU215" s="553"/>
      <c r="DV215" s="553"/>
      <c r="DW215" s="553"/>
      <c r="DX215" s="553"/>
      <c r="DY215" s="553"/>
    </row>
    <row r="216" spans="1:129" s="489" customFormat="1" ht="24" customHeight="1" x14ac:dyDescent="0.9">
      <c r="A216" s="752"/>
      <c r="B216" s="588"/>
      <c r="C216" s="588"/>
      <c r="D216" s="588"/>
      <c r="E216" s="588"/>
      <c r="F216" s="588"/>
      <c r="G216" s="588"/>
      <c r="H216" s="588"/>
      <c r="I216" s="588"/>
      <c r="J216" s="588"/>
      <c r="K216" s="588"/>
      <c r="L216" s="753"/>
      <c r="M216" s="753"/>
      <c r="N216" s="588"/>
      <c r="O216" s="626"/>
      <c r="P216" s="588"/>
      <c r="Q216" s="626"/>
      <c r="R216" s="588"/>
      <c r="S216" s="588"/>
      <c r="T216" s="588"/>
      <c r="U216" s="588"/>
      <c r="V216" s="588"/>
      <c r="W216" s="588"/>
      <c r="X216" s="588"/>
      <c r="Y216" s="588"/>
      <c r="Z216" s="588"/>
      <c r="AA216" s="588"/>
      <c r="AB216" s="588"/>
      <c r="AC216" s="588"/>
      <c r="AD216" s="588"/>
      <c r="AE216" s="626"/>
      <c r="AF216" s="626"/>
      <c r="AG216" s="626"/>
      <c r="AH216" s="626"/>
      <c r="AI216" s="626"/>
      <c r="AJ216" s="626"/>
      <c r="AK216" s="626"/>
      <c r="AL216" s="626"/>
      <c r="AM216" s="626"/>
      <c r="AN216" s="626"/>
      <c r="AO216" s="626"/>
      <c r="AP216" s="626"/>
      <c r="AQ216" s="626"/>
      <c r="AR216" s="626"/>
      <c r="AS216" s="626"/>
      <c r="AT216" s="626"/>
      <c r="AU216" s="626"/>
      <c r="AV216" s="626"/>
      <c r="AW216" s="626"/>
      <c r="AX216" s="626"/>
      <c r="AY216" s="626"/>
      <c r="AZ216" s="626"/>
      <c r="BA216" s="626"/>
      <c r="BB216" s="588"/>
      <c r="BC216" s="626"/>
      <c r="BD216" s="626"/>
      <c r="BE216" s="626"/>
      <c r="BF216" s="626"/>
      <c r="BG216" s="626"/>
      <c r="BH216" s="626"/>
      <c r="BI216" s="588"/>
      <c r="BJ216" s="626"/>
      <c r="BK216" s="626"/>
      <c r="BL216" s="626"/>
      <c r="BM216" s="626"/>
      <c r="BN216" s="626"/>
      <c r="BO216" s="626"/>
      <c r="BP216" s="588"/>
      <c r="BQ216" s="846"/>
      <c r="BR216" s="850"/>
      <c r="BS216" s="588"/>
      <c r="BT216" s="754"/>
      <c r="BU216" s="588"/>
      <c r="BV216" s="588"/>
      <c r="BW216" s="588"/>
      <c r="BX216" s="588"/>
      <c r="BY216" s="588"/>
      <c r="BZ216" s="588"/>
      <c r="CA216" s="588"/>
      <c r="CB216" s="588"/>
      <c r="CC216" s="865"/>
      <c r="CD216" s="588"/>
      <c r="CE216" s="588"/>
      <c r="CF216" s="588"/>
      <c r="CG216" s="588"/>
      <c r="CH216" s="588"/>
      <c r="CI216" s="588"/>
      <c r="CJ216" s="588"/>
      <c r="CK216" s="588"/>
      <c r="CL216" s="588"/>
      <c r="CM216" s="588"/>
      <c r="CN216" s="588"/>
      <c r="CO216" s="588"/>
      <c r="CP216" s="816"/>
      <c r="CQ216" s="805"/>
      <c r="CR216" s="805"/>
      <c r="CS216" s="830"/>
      <c r="CT216" s="588"/>
      <c r="CU216" s="626"/>
      <c r="CV216" s="626"/>
      <c r="CW216" s="626"/>
      <c r="CX216" s="626"/>
      <c r="CY216" s="626"/>
      <c r="CZ216" s="626"/>
      <c r="DA216" s="626"/>
      <c r="DB216" s="626"/>
      <c r="DC216" s="626"/>
      <c r="DD216" s="626"/>
      <c r="DE216" s="626"/>
      <c r="DF216" s="626"/>
      <c r="DG216" s="626"/>
      <c r="DH216" s="626"/>
      <c r="DI216" s="626"/>
      <c r="DJ216" s="626"/>
      <c r="DK216" s="626"/>
      <c r="DL216" s="626"/>
      <c r="DM216" s="761"/>
      <c r="DN216" s="761"/>
      <c r="DO216" s="761"/>
      <c r="DP216" s="553"/>
      <c r="DQ216" s="553"/>
      <c r="DR216" s="553"/>
      <c r="DS216" s="553"/>
      <c r="DT216" s="553"/>
      <c r="DU216" s="553"/>
      <c r="DV216" s="553"/>
      <c r="DW216" s="553"/>
      <c r="DX216" s="553"/>
      <c r="DY216" s="553"/>
    </row>
    <row r="217" spans="1:129" s="489" customFormat="1" ht="24" customHeight="1" x14ac:dyDescent="0.9">
      <c r="A217" s="752"/>
      <c r="B217" s="588"/>
      <c r="C217" s="588"/>
      <c r="D217" s="588"/>
      <c r="E217" s="588"/>
      <c r="F217" s="588"/>
      <c r="G217" s="588"/>
      <c r="H217" s="588"/>
      <c r="I217" s="588"/>
      <c r="J217" s="588"/>
      <c r="K217" s="588"/>
      <c r="L217" s="753"/>
      <c r="M217" s="753"/>
      <c r="N217" s="588"/>
      <c r="O217" s="626"/>
      <c r="P217" s="588"/>
      <c r="Q217" s="626"/>
      <c r="R217" s="588"/>
      <c r="S217" s="588"/>
      <c r="T217" s="588"/>
      <c r="U217" s="588"/>
      <c r="V217" s="588"/>
      <c r="W217" s="588"/>
      <c r="X217" s="588"/>
      <c r="Y217" s="588"/>
      <c r="Z217" s="588"/>
      <c r="AA217" s="588"/>
      <c r="AB217" s="588"/>
      <c r="AC217" s="588"/>
      <c r="AD217" s="588"/>
      <c r="AE217" s="626"/>
      <c r="AF217" s="626"/>
      <c r="AG217" s="626"/>
      <c r="AH217" s="626"/>
      <c r="AI217" s="626"/>
      <c r="AJ217" s="626"/>
      <c r="AK217" s="626"/>
      <c r="AL217" s="626"/>
      <c r="AM217" s="626"/>
      <c r="AN217" s="626"/>
      <c r="AO217" s="626"/>
      <c r="AP217" s="626"/>
      <c r="AQ217" s="626"/>
      <c r="AR217" s="626"/>
      <c r="AS217" s="626"/>
      <c r="AT217" s="626"/>
      <c r="AU217" s="626"/>
      <c r="AV217" s="626"/>
      <c r="AW217" s="626"/>
      <c r="AX217" s="626"/>
      <c r="AY217" s="626"/>
      <c r="AZ217" s="626"/>
      <c r="BA217" s="626"/>
      <c r="BB217" s="588"/>
      <c r="BC217" s="626"/>
      <c r="BD217" s="626"/>
      <c r="BE217" s="626"/>
      <c r="BF217" s="626"/>
      <c r="BG217" s="626"/>
      <c r="BH217" s="626"/>
      <c r="BI217" s="588"/>
      <c r="BJ217" s="626"/>
      <c r="BK217" s="626"/>
      <c r="BL217" s="626"/>
      <c r="BM217" s="626"/>
      <c r="BN217" s="626"/>
      <c r="BO217" s="626"/>
      <c r="BP217" s="588"/>
      <c r="BQ217" s="846"/>
      <c r="BR217" s="850"/>
      <c r="BS217" s="588"/>
      <c r="BT217" s="754"/>
      <c r="BU217" s="588"/>
      <c r="BV217" s="588"/>
      <c r="BW217" s="588"/>
      <c r="BX217" s="588"/>
      <c r="BY217" s="588"/>
      <c r="BZ217" s="588"/>
      <c r="CA217" s="588"/>
      <c r="CB217" s="588"/>
      <c r="CC217" s="865"/>
      <c r="CD217" s="588"/>
      <c r="CE217" s="588"/>
      <c r="CF217" s="588"/>
      <c r="CG217" s="588"/>
      <c r="CH217" s="588"/>
      <c r="CI217" s="588"/>
      <c r="CJ217" s="588"/>
      <c r="CK217" s="588"/>
      <c r="CL217" s="588"/>
      <c r="CM217" s="588"/>
      <c r="CN217" s="588"/>
      <c r="CO217" s="588"/>
      <c r="CP217" s="816"/>
      <c r="CQ217" s="805"/>
      <c r="CR217" s="805"/>
      <c r="CS217" s="830"/>
      <c r="CT217" s="588"/>
      <c r="CU217" s="626"/>
      <c r="CV217" s="626"/>
      <c r="CW217" s="626"/>
      <c r="CX217" s="626"/>
      <c r="CY217" s="626"/>
      <c r="CZ217" s="626"/>
      <c r="DA217" s="626"/>
      <c r="DB217" s="626"/>
      <c r="DC217" s="626"/>
      <c r="DD217" s="626"/>
      <c r="DE217" s="626"/>
      <c r="DF217" s="626"/>
      <c r="DG217" s="626"/>
      <c r="DH217" s="626"/>
      <c r="DI217" s="626"/>
      <c r="DJ217" s="626"/>
      <c r="DK217" s="626"/>
      <c r="DL217" s="626"/>
      <c r="DM217" s="761"/>
      <c r="DN217" s="761"/>
      <c r="DO217" s="761"/>
      <c r="DP217" s="553"/>
      <c r="DQ217" s="553"/>
      <c r="DR217" s="553"/>
      <c r="DS217" s="553"/>
      <c r="DT217" s="553"/>
      <c r="DU217" s="553"/>
      <c r="DV217" s="553"/>
      <c r="DW217" s="553"/>
      <c r="DX217" s="553"/>
      <c r="DY217" s="553"/>
    </row>
    <row r="218" spans="1:129" s="489" customFormat="1" ht="24" customHeight="1" x14ac:dyDescent="0.9">
      <c r="A218" s="752"/>
      <c r="B218" s="588"/>
      <c r="C218" s="588"/>
      <c r="D218" s="588"/>
      <c r="E218" s="588"/>
      <c r="F218" s="588"/>
      <c r="G218" s="588"/>
      <c r="H218" s="588"/>
      <c r="I218" s="588"/>
      <c r="J218" s="588"/>
      <c r="K218" s="588"/>
      <c r="L218" s="753"/>
      <c r="M218" s="753"/>
      <c r="N218" s="588"/>
      <c r="O218" s="626"/>
      <c r="P218" s="588"/>
      <c r="Q218" s="626"/>
      <c r="R218" s="588"/>
      <c r="S218" s="588"/>
      <c r="T218" s="588"/>
      <c r="U218" s="588"/>
      <c r="V218" s="588"/>
      <c r="W218" s="588"/>
      <c r="X218" s="588"/>
      <c r="Y218" s="588"/>
      <c r="Z218" s="588"/>
      <c r="AA218" s="588"/>
      <c r="AB218" s="588"/>
      <c r="AC218" s="588"/>
      <c r="AD218" s="588"/>
      <c r="AE218" s="626"/>
      <c r="AF218" s="626"/>
      <c r="AG218" s="626"/>
      <c r="AH218" s="626"/>
      <c r="AI218" s="626"/>
      <c r="AJ218" s="626"/>
      <c r="AK218" s="626"/>
      <c r="AL218" s="626"/>
      <c r="AM218" s="626"/>
      <c r="AN218" s="626"/>
      <c r="AO218" s="626"/>
      <c r="AP218" s="626"/>
      <c r="AQ218" s="626"/>
      <c r="AR218" s="626"/>
      <c r="AS218" s="626"/>
      <c r="AT218" s="626"/>
      <c r="AU218" s="626"/>
      <c r="AV218" s="626"/>
      <c r="AW218" s="626"/>
      <c r="AX218" s="626"/>
      <c r="AY218" s="626"/>
      <c r="AZ218" s="626"/>
      <c r="BA218" s="626"/>
      <c r="BB218" s="588"/>
      <c r="BC218" s="626"/>
      <c r="BD218" s="626"/>
      <c r="BE218" s="626"/>
      <c r="BF218" s="626"/>
      <c r="BG218" s="626"/>
      <c r="BH218" s="626"/>
      <c r="BI218" s="588"/>
      <c r="BJ218" s="626"/>
      <c r="BK218" s="626"/>
      <c r="BL218" s="626"/>
      <c r="BM218" s="626"/>
      <c r="BN218" s="626"/>
      <c r="BO218" s="626"/>
      <c r="BP218" s="588"/>
      <c r="BQ218" s="846"/>
      <c r="BR218" s="850"/>
      <c r="BS218" s="588"/>
      <c r="BT218" s="754"/>
      <c r="BU218" s="588"/>
      <c r="BV218" s="588"/>
      <c r="BW218" s="588"/>
      <c r="BX218" s="588"/>
      <c r="BY218" s="588"/>
      <c r="BZ218" s="588"/>
      <c r="CA218" s="588"/>
      <c r="CB218" s="588"/>
      <c r="CC218" s="865"/>
      <c r="CD218" s="588"/>
      <c r="CE218" s="588"/>
      <c r="CF218" s="588"/>
      <c r="CG218" s="588"/>
      <c r="CH218" s="588"/>
      <c r="CI218" s="588"/>
      <c r="CJ218" s="588"/>
      <c r="CK218" s="588"/>
      <c r="CL218" s="588"/>
      <c r="CM218" s="588"/>
      <c r="CN218" s="588"/>
      <c r="CO218" s="588"/>
      <c r="CP218" s="816"/>
      <c r="CQ218" s="805"/>
      <c r="CR218" s="805"/>
      <c r="CS218" s="830"/>
      <c r="CT218" s="588"/>
      <c r="CU218" s="626"/>
      <c r="CV218" s="626"/>
      <c r="CW218" s="626"/>
      <c r="CX218" s="626"/>
      <c r="CY218" s="626"/>
      <c r="CZ218" s="626"/>
      <c r="DA218" s="626"/>
      <c r="DB218" s="626"/>
      <c r="DC218" s="626"/>
      <c r="DD218" s="626"/>
      <c r="DE218" s="626"/>
      <c r="DF218" s="626"/>
      <c r="DG218" s="626"/>
      <c r="DH218" s="626"/>
      <c r="DI218" s="626"/>
      <c r="DJ218" s="626"/>
      <c r="DK218" s="626"/>
      <c r="DL218" s="626"/>
      <c r="DM218" s="761"/>
      <c r="DN218" s="761"/>
      <c r="DO218" s="761"/>
      <c r="DP218" s="553"/>
      <c r="DQ218" s="553"/>
      <c r="DR218" s="553"/>
      <c r="DS218" s="553"/>
      <c r="DT218" s="553"/>
      <c r="DU218" s="553"/>
      <c r="DV218" s="553"/>
      <c r="DW218" s="553"/>
      <c r="DX218" s="553"/>
      <c r="DY218" s="553"/>
    </row>
    <row r="219" spans="1:129" s="489" customFormat="1" ht="24" customHeight="1" x14ac:dyDescent="0.9">
      <c r="A219" s="752"/>
      <c r="B219" s="588"/>
      <c r="C219" s="588"/>
      <c r="D219" s="588"/>
      <c r="E219" s="588"/>
      <c r="F219" s="588"/>
      <c r="G219" s="588"/>
      <c r="H219" s="588"/>
      <c r="I219" s="588"/>
      <c r="J219" s="588"/>
      <c r="K219" s="588"/>
      <c r="L219" s="753"/>
      <c r="M219" s="753"/>
      <c r="N219" s="588"/>
      <c r="O219" s="626"/>
      <c r="P219" s="588"/>
      <c r="Q219" s="626"/>
      <c r="R219" s="588"/>
      <c r="S219" s="588"/>
      <c r="T219" s="588"/>
      <c r="U219" s="588"/>
      <c r="V219" s="588"/>
      <c r="W219" s="588"/>
      <c r="X219" s="588"/>
      <c r="Y219" s="588"/>
      <c r="Z219" s="588"/>
      <c r="AA219" s="588"/>
      <c r="AB219" s="588"/>
      <c r="AC219" s="588"/>
      <c r="AD219" s="588"/>
      <c r="AE219" s="626"/>
      <c r="AF219" s="626"/>
      <c r="AG219" s="626"/>
      <c r="AH219" s="626"/>
      <c r="AI219" s="626"/>
      <c r="AJ219" s="626"/>
      <c r="AK219" s="626"/>
      <c r="AL219" s="626"/>
      <c r="AM219" s="626"/>
      <c r="AN219" s="626"/>
      <c r="AO219" s="626"/>
      <c r="AP219" s="626"/>
      <c r="AQ219" s="626"/>
      <c r="AR219" s="626"/>
      <c r="AS219" s="626"/>
      <c r="AT219" s="626"/>
      <c r="AU219" s="626"/>
      <c r="AV219" s="626"/>
      <c r="AW219" s="626"/>
      <c r="AX219" s="626"/>
      <c r="AY219" s="626"/>
      <c r="AZ219" s="626"/>
      <c r="BA219" s="626"/>
      <c r="BB219" s="588"/>
      <c r="BC219" s="626"/>
      <c r="BD219" s="626"/>
      <c r="BE219" s="626"/>
      <c r="BF219" s="626"/>
      <c r="BG219" s="626"/>
      <c r="BH219" s="626"/>
      <c r="BI219" s="588"/>
      <c r="BJ219" s="626"/>
      <c r="BK219" s="626"/>
      <c r="BL219" s="626"/>
      <c r="BM219" s="626"/>
      <c r="BN219" s="626"/>
      <c r="BO219" s="626"/>
      <c r="BP219" s="588"/>
      <c r="BQ219" s="846"/>
      <c r="BR219" s="850"/>
      <c r="BS219" s="588"/>
      <c r="BT219" s="754"/>
      <c r="BU219" s="588"/>
      <c r="BV219" s="588"/>
      <c r="BW219" s="588"/>
      <c r="BX219" s="588"/>
      <c r="BY219" s="588"/>
      <c r="BZ219" s="588"/>
      <c r="CA219" s="588"/>
      <c r="CB219" s="588"/>
      <c r="CC219" s="865"/>
      <c r="CD219" s="588"/>
      <c r="CE219" s="588"/>
      <c r="CF219" s="588"/>
      <c r="CG219" s="588"/>
      <c r="CH219" s="588"/>
      <c r="CI219" s="588"/>
      <c r="CJ219" s="588"/>
      <c r="CK219" s="588"/>
      <c r="CL219" s="588"/>
      <c r="CM219" s="588"/>
      <c r="CN219" s="588"/>
      <c r="CO219" s="588"/>
      <c r="CP219" s="816"/>
      <c r="CQ219" s="805"/>
      <c r="CR219" s="805"/>
      <c r="CS219" s="830"/>
      <c r="CT219" s="588"/>
      <c r="CU219" s="626"/>
      <c r="CV219" s="626"/>
      <c r="CW219" s="626"/>
      <c r="CX219" s="626"/>
      <c r="CY219" s="626"/>
      <c r="CZ219" s="626"/>
      <c r="DA219" s="626"/>
      <c r="DB219" s="626"/>
      <c r="DC219" s="626"/>
      <c r="DD219" s="626"/>
      <c r="DE219" s="626"/>
      <c r="DF219" s="626"/>
      <c r="DG219" s="626"/>
      <c r="DH219" s="626"/>
      <c r="DI219" s="626"/>
      <c r="DJ219" s="626"/>
      <c r="DK219" s="626"/>
      <c r="DL219" s="626"/>
      <c r="DM219" s="761"/>
      <c r="DN219" s="761"/>
      <c r="DO219" s="761"/>
      <c r="DP219" s="553"/>
      <c r="DQ219" s="553"/>
      <c r="DR219" s="553"/>
      <c r="DS219" s="553"/>
      <c r="DT219" s="553"/>
      <c r="DU219" s="553"/>
      <c r="DV219" s="553"/>
      <c r="DW219" s="553"/>
      <c r="DX219" s="553"/>
      <c r="DY219" s="553"/>
    </row>
    <row r="220" spans="1:129" s="489" customFormat="1" ht="24" customHeight="1" x14ac:dyDescent="0.9">
      <c r="A220" s="752"/>
      <c r="B220" s="588"/>
      <c r="C220" s="588"/>
      <c r="D220" s="588"/>
      <c r="E220" s="588"/>
      <c r="F220" s="588"/>
      <c r="G220" s="588"/>
      <c r="H220" s="588"/>
      <c r="I220" s="588"/>
      <c r="J220" s="588"/>
      <c r="K220" s="588"/>
      <c r="L220" s="753"/>
      <c r="M220" s="753"/>
      <c r="N220" s="588"/>
      <c r="O220" s="626"/>
      <c r="P220" s="588"/>
      <c r="Q220" s="626"/>
      <c r="R220" s="588"/>
      <c r="S220" s="588"/>
      <c r="T220" s="588"/>
      <c r="U220" s="588"/>
      <c r="V220" s="588"/>
      <c r="W220" s="588"/>
      <c r="X220" s="588"/>
      <c r="Y220" s="588"/>
      <c r="Z220" s="588"/>
      <c r="AA220" s="588"/>
      <c r="AB220" s="588"/>
      <c r="AC220" s="588"/>
      <c r="AD220" s="588"/>
      <c r="AE220" s="626"/>
      <c r="AF220" s="626"/>
      <c r="AG220" s="626"/>
      <c r="AH220" s="626"/>
      <c r="AI220" s="626"/>
      <c r="AJ220" s="626"/>
      <c r="AK220" s="626"/>
      <c r="AL220" s="626"/>
      <c r="AM220" s="626"/>
      <c r="AN220" s="626"/>
      <c r="AO220" s="626"/>
      <c r="AP220" s="626"/>
      <c r="AQ220" s="626"/>
      <c r="AR220" s="626"/>
      <c r="AS220" s="626"/>
      <c r="AT220" s="626"/>
      <c r="AU220" s="626"/>
      <c r="AV220" s="626"/>
      <c r="AW220" s="626"/>
      <c r="AX220" s="626"/>
      <c r="AY220" s="626"/>
      <c r="AZ220" s="626"/>
      <c r="BA220" s="626"/>
      <c r="BB220" s="588"/>
      <c r="BC220" s="626"/>
      <c r="BD220" s="626"/>
      <c r="BE220" s="626"/>
      <c r="BF220" s="626"/>
      <c r="BG220" s="626"/>
      <c r="BH220" s="626"/>
      <c r="BI220" s="588"/>
      <c r="BJ220" s="626"/>
      <c r="BK220" s="626"/>
      <c r="BL220" s="626"/>
      <c r="BM220" s="626"/>
      <c r="BN220" s="626"/>
      <c r="BO220" s="626"/>
      <c r="BP220" s="588"/>
      <c r="BQ220" s="846"/>
      <c r="BR220" s="850"/>
      <c r="BS220" s="588"/>
      <c r="BT220" s="754"/>
      <c r="BU220" s="588"/>
      <c r="BV220" s="588"/>
      <c r="BW220" s="588"/>
      <c r="BX220" s="588"/>
      <c r="BY220" s="588"/>
      <c r="BZ220" s="588"/>
      <c r="CA220" s="588"/>
      <c r="CB220" s="588"/>
      <c r="CC220" s="865"/>
      <c r="CD220" s="588"/>
      <c r="CE220" s="588"/>
      <c r="CF220" s="588"/>
      <c r="CG220" s="588"/>
      <c r="CH220" s="588"/>
      <c r="CI220" s="588"/>
      <c r="CJ220" s="588"/>
      <c r="CK220" s="588"/>
      <c r="CL220" s="588"/>
      <c r="CM220" s="588"/>
      <c r="CN220" s="588"/>
      <c r="CO220" s="588"/>
      <c r="CP220" s="816"/>
      <c r="CQ220" s="805"/>
      <c r="CR220" s="805"/>
      <c r="CS220" s="830"/>
      <c r="CT220" s="588"/>
      <c r="CU220" s="626"/>
      <c r="CV220" s="626"/>
      <c r="CW220" s="626"/>
      <c r="CX220" s="626"/>
      <c r="CY220" s="626"/>
      <c r="CZ220" s="626"/>
      <c r="DA220" s="626"/>
      <c r="DB220" s="626"/>
      <c r="DC220" s="626"/>
      <c r="DD220" s="626"/>
      <c r="DE220" s="626"/>
      <c r="DF220" s="626"/>
      <c r="DG220" s="626"/>
      <c r="DH220" s="626"/>
      <c r="DI220" s="626"/>
      <c r="DJ220" s="626"/>
      <c r="DK220" s="626"/>
      <c r="DL220" s="626"/>
      <c r="DM220" s="761"/>
      <c r="DN220" s="761"/>
      <c r="DO220" s="761"/>
      <c r="DP220" s="553"/>
      <c r="DQ220" s="553"/>
      <c r="DR220" s="553"/>
      <c r="DS220" s="553"/>
      <c r="DT220" s="553"/>
      <c r="DU220" s="553"/>
      <c r="DV220" s="553"/>
      <c r="DW220" s="553"/>
      <c r="DX220" s="553"/>
      <c r="DY220" s="553"/>
    </row>
    <row r="221" spans="1:129" s="489" customFormat="1" ht="24" customHeight="1" x14ac:dyDescent="0.9">
      <c r="A221" s="752"/>
      <c r="B221" s="588"/>
      <c r="C221" s="588"/>
      <c r="D221" s="588"/>
      <c r="E221" s="588"/>
      <c r="F221" s="588"/>
      <c r="G221" s="588"/>
      <c r="H221" s="588"/>
      <c r="I221" s="588"/>
      <c r="J221" s="588"/>
      <c r="K221" s="588"/>
      <c r="L221" s="753"/>
      <c r="M221" s="753"/>
      <c r="N221" s="588"/>
      <c r="O221" s="626"/>
      <c r="P221" s="588"/>
      <c r="Q221" s="626"/>
      <c r="R221" s="588"/>
      <c r="S221" s="588"/>
      <c r="T221" s="588"/>
      <c r="U221" s="588"/>
      <c r="V221" s="588"/>
      <c r="W221" s="588"/>
      <c r="X221" s="588"/>
      <c r="Y221" s="588"/>
      <c r="Z221" s="588"/>
      <c r="AA221" s="588"/>
      <c r="AB221" s="588"/>
      <c r="AC221" s="588"/>
      <c r="AD221" s="588"/>
      <c r="AE221" s="626"/>
      <c r="AF221" s="626"/>
      <c r="AG221" s="626"/>
      <c r="AH221" s="626"/>
      <c r="AI221" s="626"/>
      <c r="AJ221" s="626"/>
      <c r="AK221" s="626"/>
      <c r="AL221" s="626"/>
      <c r="AM221" s="626"/>
      <c r="AN221" s="626"/>
      <c r="AO221" s="626"/>
      <c r="AP221" s="626"/>
      <c r="AQ221" s="626"/>
      <c r="AR221" s="626"/>
      <c r="AS221" s="626"/>
      <c r="AT221" s="626"/>
      <c r="AU221" s="626"/>
      <c r="AV221" s="626"/>
      <c r="AW221" s="626"/>
      <c r="AX221" s="626"/>
      <c r="AY221" s="626"/>
      <c r="AZ221" s="626"/>
      <c r="BA221" s="626"/>
      <c r="BB221" s="588"/>
      <c r="BC221" s="626"/>
      <c r="BD221" s="626"/>
      <c r="BE221" s="626"/>
      <c r="BF221" s="626"/>
      <c r="BG221" s="626"/>
      <c r="BH221" s="626"/>
      <c r="BI221" s="588"/>
      <c r="BJ221" s="626"/>
      <c r="BK221" s="626"/>
      <c r="BL221" s="626"/>
      <c r="BM221" s="626"/>
      <c r="BN221" s="626"/>
      <c r="BO221" s="626"/>
      <c r="BP221" s="588"/>
      <c r="BQ221" s="846"/>
      <c r="BR221" s="850"/>
      <c r="BS221" s="588"/>
      <c r="BT221" s="754"/>
      <c r="BU221" s="588"/>
      <c r="BV221" s="588"/>
      <c r="BW221" s="588"/>
      <c r="BX221" s="588"/>
      <c r="BY221" s="588"/>
      <c r="BZ221" s="588"/>
      <c r="CA221" s="588"/>
      <c r="CB221" s="588"/>
      <c r="CC221" s="865"/>
      <c r="CD221" s="588"/>
      <c r="CE221" s="588"/>
      <c r="CF221" s="588"/>
      <c r="CG221" s="588"/>
      <c r="CH221" s="588"/>
      <c r="CI221" s="588"/>
      <c r="CJ221" s="588"/>
      <c r="CK221" s="588"/>
      <c r="CL221" s="588"/>
      <c r="CM221" s="588"/>
      <c r="CN221" s="588"/>
      <c r="CO221" s="588"/>
      <c r="CP221" s="816"/>
      <c r="CQ221" s="805"/>
      <c r="CR221" s="805"/>
      <c r="CS221" s="830"/>
      <c r="CT221" s="588"/>
      <c r="CU221" s="626"/>
      <c r="CV221" s="626"/>
      <c r="CW221" s="626"/>
      <c r="CX221" s="626"/>
      <c r="CY221" s="626"/>
      <c r="CZ221" s="626"/>
      <c r="DA221" s="626"/>
      <c r="DB221" s="626"/>
      <c r="DC221" s="626"/>
      <c r="DD221" s="626"/>
      <c r="DE221" s="626"/>
      <c r="DF221" s="626"/>
      <c r="DG221" s="626"/>
      <c r="DH221" s="626"/>
      <c r="DI221" s="626"/>
      <c r="DJ221" s="626"/>
      <c r="DK221" s="626"/>
      <c r="DL221" s="626"/>
      <c r="DM221" s="761"/>
      <c r="DN221" s="761"/>
      <c r="DO221" s="761"/>
      <c r="DP221" s="553"/>
      <c r="DQ221" s="553"/>
      <c r="DR221" s="553"/>
      <c r="DS221" s="553"/>
      <c r="DT221" s="553"/>
      <c r="DU221" s="553"/>
      <c r="DV221" s="553"/>
      <c r="DW221" s="553"/>
      <c r="DX221" s="553"/>
      <c r="DY221" s="553"/>
    </row>
    <row r="222" spans="1:129" s="489" customFormat="1" ht="24" customHeight="1" x14ac:dyDescent="0.9">
      <c r="A222" s="752"/>
      <c r="B222" s="588"/>
      <c r="C222" s="588"/>
      <c r="D222" s="588"/>
      <c r="E222" s="588"/>
      <c r="F222" s="588"/>
      <c r="G222" s="588"/>
      <c r="H222" s="588"/>
      <c r="I222" s="588"/>
      <c r="J222" s="588"/>
      <c r="K222" s="588"/>
      <c r="L222" s="753"/>
      <c r="M222" s="753"/>
      <c r="N222" s="588"/>
      <c r="O222" s="626"/>
      <c r="P222" s="588"/>
      <c r="Q222" s="626"/>
      <c r="R222" s="588"/>
      <c r="S222" s="588"/>
      <c r="T222" s="588"/>
      <c r="U222" s="588"/>
      <c r="V222" s="588"/>
      <c r="W222" s="588"/>
      <c r="X222" s="588"/>
      <c r="Y222" s="588"/>
      <c r="Z222" s="588"/>
      <c r="AA222" s="588"/>
      <c r="AB222" s="588"/>
      <c r="AC222" s="588"/>
      <c r="AD222" s="588"/>
      <c r="AE222" s="626"/>
      <c r="AF222" s="626"/>
      <c r="AG222" s="626"/>
      <c r="AH222" s="626"/>
      <c r="AI222" s="626"/>
      <c r="AJ222" s="626"/>
      <c r="AK222" s="626"/>
      <c r="AL222" s="626"/>
      <c r="AM222" s="626"/>
      <c r="AN222" s="626"/>
      <c r="AO222" s="626"/>
      <c r="AP222" s="626"/>
      <c r="AQ222" s="626"/>
      <c r="AR222" s="626"/>
      <c r="AS222" s="626"/>
      <c r="AT222" s="626"/>
      <c r="AU222" s="626"/>
      <c r="AV222" s="626"/>
      <c r="AW222" s="626"/>
      <c r="AX222" s="626"/>
      <c r="AY222" s="626"/>
      <c r="AZ222" s="626"/>
      <c r="BA222" s="626"/>
      <c r="BB222" s="588"/>
      <c r="BC222" s="626"/>
      <c r="BD222" s="626"/>
      <c r="BE222" s="626"/>
      <c r="BF222" s="626"/>
      <c r="BG222" s="626"/>
      <c r="BH222" s="626"/>
      <c r="BI222" s="588"/>
      <c r="BJ222" s="626"/>
      <c r="BK222" s="626"/>
      <c r="BL222" s="626"/>
      <c r="BM222" s="626"/>
      <c r="BN222" s="626"/>
      <c r="BO222" s="626"/>
      <c r="BP222" s="588"/>
      <c r="BQ222" s="846"/>
      <c r="BR222" s="850"/>
      <c r="BS222" s="588"/>
      <c r="BT222" s="754"/>
      <c r="BU222" s="588"/>
      <c r="BV222" s="588"/>
      <c r="BW222" s="588"/>
      <c r="BX222" s="588"/>
      <c r="BY222" s="588"/>
      <c r="BZ222" s="588"/>
      <c r="CA222" s="588"/>
      <c r="CB222" s="588"/>
      <c r="CC222" s="865"/>
      <c r="CD222" s="588"/>
      <c r="CE222" s="588"/>
      <c r="CF222" s="588"/>
      <c r="CG222" s="588"/>
      <c r="CH222" s="588"/>
      <c r="CI222" s="588"/>
      <c r="CJ222" s="588"/>
      <c r="CK222" s="588"/>
      <c r="CL222" s="588"/>
      <c r="CM222" s="588"/>
      <c r="CN222" s="588"/>
      <c r="CO222" s="588"/>
      <c r="CP222" s="816"/>
      <c r="CQ222" s="805"/>
      <c r="CR222" s="805"/>
      <c r="CS222" s="830"/>
      <c r="CT222" s="588"/>
      <c r="CU222" s="626"/>
      <c r="CV222" s="626"/>
      <c r="CW222" s="626"/>
      <c r="CX222" s="626"/>
      <c r="CY222" s="626"/>
      <c r="CZ222" s="626"/>
      <c r="DA222" s="626"/>
      <c r="DB222" s="626"/>
      <c r="DC222" s="626"/>
      <c r="DD222" s="626"/>
      <c r="DE222" s="626"/>
      <c r="DF222" s="626"/>
      <c r="DG222" s="626"/>
      <c r="DH222" s="626"/>
      <c r="DI222" s="626"/>
      <c r="DJ222" s="626"/>
      <c r="DK222" s="626"/>
      <c r="DL222" s="626"/>
      <c r="DM222" s="761"/>
      <c r="DN222" s="761"/>
      <c r="DO222" s="761"/>
      <c r="DP222" s="553"/>
      <c r="DQ222" s="553"/>
      <c r="DR222" s="553"/>
      <c r="DS222" s="553"/>
      <c r="DT222" s="553"/>
      <c r="DU222" s="553"/>
      <c r="DV222" s="553"/>
      <c r="DW222" s="553"/>
      <c r="DX222" s="553"/>
      <c r="DY222" s="553"/>
    </row>
    <row r="223" spans="1:129" s="489" customFormat="1" ht="24" customHeight="1" x14ac:dyDescent="0.9">
      <c r="A223" s="752"/>
      <c r="B223" s="588"/>
      <c r="C223" s="588"/>
      <c r="D223" s="588"/>
      <c r="E223" s="588"/>
      <c r="F223" s="588"/>
      <c r="G223" s="588"/>
      <c r="H223" s="588"/>
      <c r="I223" s="588"/>
      <c r="J223" s="588"/>
      <c r="K223" s="588"/>
      <c r="L223" s="753"/>
      <c r="M223" s="753"/>
      <c r="N223" s="588"/>
      <c r="O223" s="626"/>
      <c r="P223" s="588"/>
      <c r="Q223" s="626"/>
      <c r="R223" s="588"/>
      <c r="S223" s="588"/>
      <c r="T223" s="588"/>
      <c r="U223" s="588"/>
      <c r="V223" s="588"/>
      <c r="W223" s="588"/>
      <c r="X223" s="588"/>
      <c r="Y223" s="588"/>
      <c r="Z223" s="588"/>
      <c r="AA223" s="588"/>
      <c r="AB223" s="588"/>
      <c r="AC223" s="588"/>
      <c r="AD223" s="588"/>
      <c r="AE223" s="626"/>
      <c r="AF223" s="626"/>
      <c r="AG223" s="626"/>
      <c r="AH223" s="626"/>
      <c r="AI223" s="626"/>
      <c r="AJ223" s="626"/>
      <c r="AK223" s="626"/>
      <c r="AL223" s="626"/>
      <c r="AM223" s="626"/>
      <c r="AN223" s="626"/>
      <c r="AO223" s="626"/>
      <c r="AP223" s="626"/>
      <c r="AQ223" s="626"/>
      <c r="AR223" s="626"/>
      <c r="AS223" s="626"/>
      <c r="AT223" s="626"/>
      <c r="AU223" s="626"/>
      <c r="AV223" s="626"/>
      <c r="AW223" s="626"/>
      <c r="AX223" s="626"/>
      <c r="AY223" s="626"/>
      <c r="AZ223" s="626"/>
      <c r="BA223" s="626"/>
      <c r="BB223" s="588"/>
      <c r="BC223" s="626"/>
      <c r="BD223" s="626"/>
      <c r="BE223" s="626"/>
      <c r="BF223" s="626"/>
      <c r="BG223" s="626"/>
      <c r="BH223" s="626"/>
      <c r="BI223" s="588"/>
      <c r="BJ223" s="626"/>
      <c r="BK223" s="626"/>
      <c r="BL223" s="626"/>
      <c r="BM223" s="626"/>
      <c r="BN223" s="626"/>
      <c r="BO223" s="626"/>
      <c r="BP223" s="588"/>
      <c r="BQ223" s="846"/>
      <c r="BR223" s="850"/>
      <c r="BS223" s="588"/>
      <c r="BT223" s="754"/>
      <c r="BU223" s="588"/>
      <c r="BV223" s="588"/>
      <c r="BW223" s="588"/>
      <c r="BX223" s="588"/>
      <c r="BY223" s="588"/>
      <c r="BZ223" s="588"/>
      <c r="CA223" s="588"/>
      <c r="CB223" s="588"/>
      <c r="CC223" s="865"/>
      <c r="CD223" s="588"/>
      <c r="CE223" s="588"/>
      <c r="CF223" s="588"/>
      <c r="CG223" s="588"/>
      <c r="CH223" s="588"/>
      <c r="CI223" s="588"/>
      <c r="CJ223" s="588"/>
      <c r="CK223" s="588"/>
      <c r="CL223" s="588"/>
      <c r="CM223" s="588"/>
      <c r="CN223" s="588"/>
      <c r="CO223" s="588"/>
      <c r="CP223" s="816"/>
      <c r="CQ223" s="805"/>
      <c r="CR223" s="805"/>
      <c r="CS223" s="830"/>
      <c r="CT223" s="588"/>
      <c r="CU223" s="626"/>
      <c r="CV223" s="626"/>
      <c r="CW223" s="626"/>
      <c r="CX223" s="626"/>
      <c r="CY223" s="626"/>
      <c r="CZ223" s="626"/>
      <c r="DA223" s="626"/>
      <c r="DB223" s="626"/>
      <c r="DC223" s="626"/>
      <c r="DD223" s="626"/>
      <c r="DE223" s="626"/>
      <c r="DF223" s="626"/>
      <c r="DG223" s="626"/>
      <c r="DH223" s="626"/>
      <c r="DI223" s="626"/>
      <c r="DJ223" s="626"/>
      <c r="DK223" s="626"/>
      <c r="DL223" s="626"/>
      <c r="DM223" s="761"/>
      <c r="DN223" s="761"/>
      <c r="DO223" s="761"/>
      <c r="DP223" s="553"/>
      <c r="DQ223" s="553"/>
      <c r="DR223" s="553"/>
      <c r="DS223" s="553"/>
      <c r="DT223" s="553"/>
      <c r="DU223" s="553"/>
      <c r="DV223" s="553"/>
      <c r="DW223" s="553"/>
      <c r="DX223" s="553"/>
      <c r="DY223" s="553"/>
    </row>
    <row r="224" spans="1:129" s="489" customFormat="1" ht="24" customHeight="1" x14ac:dyDescent="0.9">
      <c r="A224" s="752"/>
      <c r="B224" s="588"/>
      <c r="C224" s="588"/>
      <c r="D224" s="588"/>
      <c r="E224" s="588"/>
      <c r="F224" s="588"/>
      <c r="G224" s="588"/>
      <c r="H224" s="588"/>
      <c r="I224" s="588"/>
      <c r="J224" s="588"/>
      <c r="K224" s="588"/>
      <c r="L224" s="753"/>
      <c r="M224" s="753"/>
      <c r="N224" s="588"/>
      <c r="O224" s="626"/>
      <c r="P224" s="588"/>
      <c r="Q224" s="626"/>
      <c r="R224" s="588"/>
      <c r="S224" s="588"/>
      <c r="T224" s="588"/>
      <c r="U224" s="588"/>
      <c r="V224" s="588"/>
      <c r="W224" s="588"/>
      <c r="X224" s="588"/>
      <c r="Y224" s="588"/>
      <c r="Z224" s="588"/>
      <c r="AA224" s="588"/>
      <c r="AB224" s="588"/>
      <c r="AC224" s="588"/>
      <c r="AD224" s="588"/>
      <c r="AE224" s="626"/>
      <c r="AF224" s="626"/>
      <c r="AG224" s="626"/>
      <c r="AH224" s="626"/>
      <c r="AI224" s="626"/>
      <c r="AJ224" s="626"/>
      <c r="AK224" s="626"/>
      <c r="AL224" s="626"/>
      <c r="AM224" s="626"/>
      <c r="AN224" s="626"/>
      <c r="AO224" s="626"/>
      <c r="AP224" s="626"/>
      <c r="AQ224" s="626"/>
      <c r="AR224" s="626"/>
      <c r="AS224" s="626"/>
      <c r="AT224" s="626"/>
      <c r="AU224" s="626"/>
      <c r="AV224" s="626"/>
      <c r="AW224" s="626"/>
      <c r="AX224" s="626"/>
      <c r="AY224" s="626"/>
      <c r="AZ224" s="626"/>
      <c r="BA224" s="626"/>
      <c r="BB224" s="588"/>
      <c r="BC224" s="626"/>
      <c r="BD224" s="626"/>
      <c r="BE224" s="626"/>
      <c r="BF224" s="626"/>
      <c r="BG224" s="626"/>
      <c r="BH224" s="626"/>
      <c r="BI224" s="588"/>
      <c r="BJ224" s="626"/>
      <c r="BK224" s="626"/>
      <c r="BL224" s="626"/>
      <c r="BM224" s="626"/>
      <c r="BN224" s="626"/>
      <c r="BO224" s="626"/>
      <c r="BP224" s="588"/>
      <c r="BQ224" s="846"/>
      <c r="BR224" s="850"/>
      <c r="BS224" s="588"/>
      <c r="BT224" s="754"/>
      <c r="BU224" s="588"/>
      <c r="BV224" s="588"/>
      <c r="BW224" s="588"/>
      <c r="BX224" s="588"/>
      <c r="BY224" s="588"/>
      <c r="BZ224" s="588"/>
      <c r="CA224" s="588"/>
      <c r="CB224" s="588"/>
      <c r="CC224" s="865"/>
      <c r="CD224" s="588"/>
      <c r="CE224" s="588"/>
      <c r="CF224" s="588"/>
      <c r="CG224" s="588"/>
      <c r="CH224" s="588"/>
      <c r="CI224" s="588"/>
      <c r="CJ224" s="588"/>
      <c r="CK224" s="588"/>
      <c r="CL224" s="588"/>
      <c r="CM224" s="588"/>
      <c r="CN224" s="588"/>
      <c r="CO224" s="588"/>
      <c r="CP224" s="816"/>
      <c r="CQ224" s="805"/>
      <c r="CR224" s="805"/>
      <c r="CS224" s="830"/>
      <c r="CT224" s="588"/>
      <c r="CU224" s="626"/>
      <c r="CV224" s="626"/>
      <c r="CW224" s="626"/>
      <c r="CX224" s="626"/>
      <c r="CY224" s="626"/>
      <c r="CZ224" s="626"/>
      <c r="DA224" s="626"/>
      <c r="DB224" s="626"/>
      <c r="DC224" s="626"/>
      <c r="DD224" s="626"/>
      <c r="DE224" s="626"/>
      <c r="DF224" s="626"/>
      <c r="DG224" s="626"/>
      <c r="DH224" s="626"/>
      <c r="DI224" s="626"/>
      <c r="DJ224" s="626"/>
      <c r="DK224" s="626"/>
      <c r="DL224" s="626"/>
      <c r="DM224" s="761"/>
      <c r="DN224" s="761"/>
      <c r="DO224" s="761"/>
      <c r="DP224" s="553"/>
      <c r="DQ224" s="553"/>
      <c r="DR224" s="553"/>
      <c r="DS224" s="553"/>
      <c r="DT224" s="553"/>
      <c r="DU224" s="553"/>
      <c r="DV224" s="553"/>
      <c r="DW224" s="553"/>
      <c r="DX224" s="553"/>
      <c r="DY224" s="553"/>
    </row>
    <row r="225" spans="1:129" s="489" customFormat="1" ht="24" customHeight="1" x14ac:dyDescent="0.9">
      <c r="A225" s="752"/>
      <c r="B225" s="588"/>
      <c r="C225" s="588"/>
      <c r="D225" s="588"/>
      <c r="E225" s="588"/>
      <c r="F225" s="588"/>
      <c r="G225" s="588"/>
      <c r="H225" s="588"/>
      <c r="I225" s="588"/>
      <c r="J225" s="588"/>
      <c r="K225" s="588"/>
      <c r="L225" s="753"/>
      <c r="M225" s="753"/>
      <c r="N225" s="588"/>
      <c r="O225" s="626"/>
      <c r="P225" s="588"/>
      <c r="Q225" s="626"/>
      <c r="R225" s="588"/>
      <c r="S225" s="588"/>
      <c r="T225" s="588"/>
      <c r="U225" s="588"/>
      <c r="V225" s="588"/>
      <c r="W225" s="588"/>
      <c r="X225" s="588"/>
      <c r="Y225" s="588"/>
      <c r="Z225" s="588"/>
      <c r="AA225" s="588"/>
      <c r="AB225" s="588"/>
      <c r="AC225" s="588"/>
      <c r="AD225" s="588"/>
      <c r="AE225" s="626"/>
      <c r="AF225" s="626"/>
      <c r="AG225" s="626"/>
      <c r="AH225" s="626"/>
      <c r="AI225" s="626"/>
      <c r="AJ225" s="626"/>
      <c r="AK225" s="626"/>
      <c r="AL225" s="626"/>
      <c r="AM225" s="626"/>
      <c r="AN225" s="626"/>
      <c r="AO225" s="626"/>
      <c r="AP225" s="626"/>
      <c r="AQ225" s="626"/>
      <c r="AR225" s="626"/>
      <c r="AS225" s="626"/>
      <c r="AT225" s="626"/>
      <c r="AU225" s="626"/>
      <c r="AV225" s="626"/>
      <c r="AW225" s="626"/>
      <c r="AX225" s="626"/>
      <c r="AY225" s="626"/>
      <c r="AZ225" s="626"/>
      <c r="BA225" s="626"/>
      <c r="BB225" s="588"/>
      <c r="BC225" s="626"/>
      <c r="BD225" s="626"/>
      <c r="BE225" s="626"/>
      <c r="BF225" s="626"/>
      <c r="BG225" s="626"/>
      <c r="BH225" s="626"/>
      <c r="BI225" s="588"/>
      <c r="BJ225" s="626"/>
      <c r="BK225" s="626"/>
      <c r="BL225" s="626"/>
      <c r="BM225" s="626"/>
      <c r="BN225" s="626"/>
      <c r="BO225" s="626"/>
      <c r="BP225" s="588"/>
      <c r="BQ225" s="846"/>
      <c r="BR225" s="850"/>
      <c r="BS225" s="588"/>
      <c r="BT225" s="754"/>
      <c r="BU225" s="588"/>
      <c r="BV225" s="588"/>
      <c r="BW225" s="588"/>
      <c r="BX225" s="588"/>
      <c r="BY225" s="588"/>
      <c r="BZ225" s="588"/>
      <c r="CA225" s="588"/>
      <c r="CB225" s="588"/>
      <c r="CC225" s="865"/>
      <c r="CD225" s="588"/>
      <c r="CE225" s="588"/>
      <c r="CF225" s="588"/>
      <c r="CG225" s="588"/>
      <c r="CH225" s="588"/>
      <c r="CI225" s="588"/>
      <c r="CJ225" s="588"/>
      <c r="CK225" s="588"/>
      <c r="CL225" s="588"/>
      <c r="CM225" s="588"/>
      <c r="CN225" s="588"/>
      <c r="CO225" s="588"/>
      <c r="CP225" s="816"/>
      <c r="CQ225" s="805"/>
      <c r="CR225" s="805"/>
      <c r="CS225" s="830"/>
      <c r="CT225" s="588"/>
      <c r="CU225" s="626"/>
      <c r="CV225" s="626"/>
      <c r="CW225" s="626"/>
      <c r="CX225" s="626"/>
      <c r="CY225" s="626"/>
      <c r="CZ225" s="626"/>
      <c r="DA225" s="626"/>
      <c r="DB225" s="626"/>
      <c r="DC225" s="626"/>
      <c r="DD225" s="626"/>
      <c r="DE225" s="626"/>
      <c r="DF225" s="626"/>
      <c r="DG225" s="626"/>
      <c r="DH225" s="626"/>
      <c r="DI225" s="626"/>
      <c r="DJ225" s="626"/>
      <c r="DK225" s="626"/>
      <c r="DL225" s="626"/>
      <c r="DM225" s="761"/>
      <c r="DN225" s="761"/>
      <c r="DO225" s="761"/>
      <c r="DP225" s="553"/>
      <c r="DQ225" s="553"/>
      <c r="DR225" s="553"/>
      <c r="DS225" s="553"/>
      <c r="DT225" s="553"/>
      <c r="DU225" s="553"/>
      <c r="DV225" s="553"/>
      <c r="DW225" s="553"/>
      <c r="DX225" s="553"/>
      <c r="DY225" s="553"/>
    </row>
    <row r="226" spans="1:129" s="489" customFormat="1" ht="24" customHeight="1" x14ac:dyDescent="0.9">
      <c r="A226" s="752"/>
      <c r="B226" s="588"/>
      <c r="C226" s="588"/>
      <c r="D226" s="588"/>
      <c r="E226" s="588"/>
      <c r="F226" s="588"/>
      <c r="G226" s="588"/>
      <c r="H226" s="588"/>
      <c r="I226" s="588"/>
      <c r="J226" s="588"/>
      <c r="K226" s="588"/>
      <c r="L226" s="753"/>
      <c r="M226" s="753"/>
      <c r="N226" s="588"/>
      <c r="O226" s="626"/>
      <c r="P226" s="588"/>
      <c r="Q226" s="626"/>
      <c r="R226" s="588"/>
      <c r="S226" s="588"/>
      <c r="T226" s="588"/>
      <c r="U226" s="588"/>
      <c r="V226" s="588"/>
      <c r="W226" s="588"/>
      <c r="X226" s="588"/>
      <c r="Y226" s="588"/>
      <c r="Z226" s="588"/>
      <c r="AA226" s="588"/>
      <c r="AB226" s="588"/>
      <c r="AC226" s="588"/>
      <c r="AD226" s="588"/>
      <c r="AE226" s="626"/>
      <c r="AF226" s="626"/>
      <c r="AG226" s="626"/>
      <c r="AH226" s="626"/>
      <c r="AI226" s="626"/>
      <c r="AJ226" s="626"/>
      <c r="AK226" s="626"/>
      <c r="AL226" s="626"/>
      <c r="AM226" s="626"/>
      <c r="AN226" s="626"/>
      <c r="AO226" s="626"/>
      <c r="AP226" s="626"/>
      <c r="AQ226" s="626"/>
      <c r="AR226" s="626"/>
      <c r="AS226" s="626"/>
      <c r="AT226" s="626"/>
      <c r="AU226" s="626"/>
      <c r="AV226" s="626"/>
      <c r="AW226" s="626"/>
      <c r="AX226" s="626"/>
      <c r="AY226" s="626"/>
      <c r="AZ226" s="626"/>
      <c r="BA226" s="626"/>
      <c r="BB226" s="588"/>
      <c r="BC226" s="626"/>
      <c r="BD226" s="626"/>
      <c r="BE226" s="626"/>
      <c r="BF226" s="626"/>
      <c r="BG226" s="626"/>
      <c r="BH226" s="626"/>
      <c r="BI226" s="588"/>
      <c r="BJ226" s="626"/>
      <c r="BK226" s="626"/>
      <c r="BL226" s="626"/>
      <c r="BM226" s="626"/>
      <c r="BN226" s="626"/>
      <c r="BO226" s="626"/>
      <c r="BP226" s="588"/>
      <c r="BQ226" s="846"/>
      <c r="BR226" s="850"/>
      <c r="BS226" s="588"/>
      <c r="BT226" s="754"/>
      <c r="BU226" s="588"/>
      <c r="BV226" s="588"/>
      <c r="BW226" s="588"/>
      <c r="BX226" s="588"/>
      <c r="BY226" s="588"/>
      <c r="BZ226" s="588"/>
      <c r="CA226" s="588"/>
      <c r="CB226" s="588"/>
      <c r="CC226" s="865"/>
      <c r="CD226" s="588"/>
      <c r="CE226" s="588"/>
      <c r="CF226" s="588"/>
      <c r="CG226" s="588"/>
      <c r="CH226" s="588"/>
      <c r="CI226" s="588"/>
      <c r="CJ226" s="588"/>
      <c r="CK226" s="588"/>
      <c r="CL226" s="588"/>
      <c r="CM226" s="588"/>
      <c r="CN226" s="588"/>
      <c r="CO226" s="588"/>
      <c r="CP226" s="816"/>
      <c r="CQ226" s="805"/>
      <c r="CR226" s="805"/>
      <c r="CS226" s="830"/>
      <c r="CT226" s="588"/>
      <c r="CU226" s="626"/>
      <c r="CV226" s="626"/>
      <c r="CW226" s="626"/>
      <c r="CX226" s="626"/>
      <c r="CY226" s="626"/>
      <c r="CZ226" s="626"/>
      <c r="DA226" s="626"/>
      <c r="DB226" s="626"/>
      <c r="DC226" s="626"/>
      <c r="DD226" s="626"/>
      <c r="DE226" s="626"/>
      <c r="DF226" s="626"/>
      <c r="DG226" s="626"/>
      <c r="DH226" s="626"/>
      <c r="DI226" s="626"/>
      <c r="DJ226" s="626"/>
      <c r="DK226" s="626"/>
      <c r="DL226" s="626"/>
      <c r="DM226" s="761"/>
      <c r="DN226" s="761"/>
      <c r="DO226" s="761"/>
      <c r="DP226" s="553"/>
      <c r="DQ226" s="553"/>
      <c r="DR226" s="553"/>
      <c r="DS226" s="553"/>
      <c r="DT226" s="553"/>
      <c r="DU226" s="553"/>
      <c r="DV226" s="553"/>
      <c r="DW226" s="553"/>
      <c r="DX226" s="553"/>
      <c r="DY226" s="553"/>
    </row>
    <row r="227" spans="1:129" s="489" customFormat="1" ht="24" customHeight="1" x14ac:dyDescent="0.9">
      <c r="A227" s="752"/>
      <c r="B227" s="588"/>
      <c r="C227" s="588"/>
      <c r="D227" s="588"/>
      <c r="E227" s="588"/>
      <c r="F227" s="588"/>
      <c r="G227" s="588"/>
      <c r="H227" s="588"/>
      <c r="I227" s="588"/>
      <c r="J227" s="588"/>
      <c r="K227" s="588"/>
      <c r="L227" s="753"/>
      <c r="M227" s="753"/>
      <c r="N227" s="588"/>
      <c r="O227" s="626"/>
      <c r="P227" s="588"/>
      <c r="Q227" s="626"/>
      <c r="R227" s="588"/>
      <c r="S227" s="588"/>
      <c r="T227" s="588"/>
      <c r="U227" s="588"/>
      <c r="V227" s="588"/>
      <c r="W227" s="588"/>
      <c r="X227" s="588"/>
      <c r="Y227" s="588"/>
      <c r="Z227" s="588"/>
      <c r="AA227" s="588"/>
      <c r="AB227" s="588"/>
      <c r="AC227" s="588"/>
      <c r="AD227" s="588"/>
      <c r="AE227" s="626"/>
      <c r="AF227" s="626"/>
      <c r="AG227" s="626"/>
      <c r="AH227" s="626"/>
      <c r="AI227" s="626"/>
      <c r="AJ227" s="626"/>
      <c r="AK227" s="626"/>
      <c r="AL227" s="626"/>
      <c r="AM227" s="626"/>
      <c r="AN227" s="626"/>
      <c r="AO227" s="626"/>
      <c r="AP227" s="626"/>
      <c r="AQ227" s="626"/>
      <c r="AR227" s="626"/>
      <c r="AS227" s="626"/>
      <c r="AT227" s="626"/>
      <c r="AU227" s="626"/>
      <c r="AV227" s="626"/>
      <c r="AW227" s="626"/>
      <c r="AX227" s="626"/>
      <c r="AY227" s="626"/>
      <c r="AZ227" s="626"/>
      <c r="BA227" s="626"/>
      <c r="BB227" s="588"/>
      <c r="BC227" s="626"/>
      <c r="BD227" s="626"/>
      <c r="BE227" s="626"/>
      <c r="BF227" s="626"/>
      <c r="BG227" s="626"/>
      <c r="BH227" s="626"/>
      <c r="BI227" s="588"/>
      <c r="BJ227" s="626"/>
      <c r="BK227" s="626"/>
      <c r="BL227" s="626"/>
      <c r="BM227" s="626"/>
      <c r="BN227" s="626"/>
      <c r="BO227" s="626"/>
      <c r="BP227" s="588"/>
      <c r="BQ227" s="846"/>
      <c r="BR227" s="850"/>
      <c r="BS227" s="588"/>
      <c r="BT227" s="754"/>
      <c r="BU227" s="588"/>
      <c r="BV227" s="588"/>
      <c r="BW227" s="588"/>
      <c r="BX227" s="588"/>
      <c r="BY227" s="588"/>
      <c r="BZ227" s="588"/>
      <c r="CA227" s="588"/>
      <c r="CB227" s="588"/>
      <c r="CC227" s="865"/>
      <c r="CD227" s="588"/>
      <c r="CE227" s="588"/>
      <c r="CF227" s="588"/>
      <c r="CG227" s="588"/>
      <c r="CH227" s="588"/>
      <c r="CI227" s="588"/>
      <c r="CJ227" s="588"/>
      <c r="CK227" s="588"/>
      <c r="CL227" s="588"/>
      <c r="CM227" s="588"/>
      <c r="CN227" s="588"/>
      <c r="CO227" s="588"/>
      <c r="CP227" s="816"/>
      <c r="CQ227" s="805"/>
      <c r="CR227" s="805"/>
      <c r="CS227" s="830"/>
      <c r="CT227" s="588"/>
      <c r="CU227" s="626"/>
      <c r="CV227" s="626"/>
      <c r="CW227" s="626"/>
      <c r="CX227" s="626"/>
      <c r="CY227" s="626"/>
      <c r="CZ227" s="626"/>
      <c r="DA227" s="626"/>
      <c r="DB227" s="626"/>
      <c r="DC227" s="626"/>
      <c r="DD227" s="626"/>
      <c r="DE227" s="626"/>
      <c r="DF227" s="626"/>
      <c r="DG227" s="626"/>
      <c r="DH227" s="626"/>
      <c r="DI227" s="626"/>
      <c r="DJ227" s="626"/>
      <c r="DK227" s="626"/>
      <c r="DL227" s="626"/>
      <c r="DM227" s="761"/>
      <c r="DN227" s="761"/>
      <c r="DO227" s="761"/>
      <c r="DP227" s="553"/>
      <c r="DQ227" s="553"/>
      <c r="DR227" s="553"/>
      <c r="DS227" s="553"/>
      <c r="DT227" s="553"/>
      <c r="DU227" s="553"/>
      <c r="DV227" s="553"/>
      <c r="DW227" s="553"/>
      <c r="DX227" s="553"/>
      <c r="DY227" s="553"/>
    </row>
    <row r="228" spans="1:129" s="489" customFormat="1" ht="24" customHeight="1" x14ac:dyDescent="0.9">
      <c r="A228" s="752"/>
      <c r="B228" s="588"/>
      <c r="C228" s="588"/>
      <c r="D228" s="588"/>
      <c r="E228" s="588"/>
      <c r="F228" s="588"/>
      <c r="G228" s="588"/>
      <c r="H228" s="588"/>
      <c r="I228" s="588"/>
      <c r="J228" s="588"/>
      <c r="K228" s="588"/>
      <c r="L228" s="753"/>
      <c r="M228" s="753"/>
      <c r="N228" s="588"/>
      <c r="O228" s="626"/>
      <c r="P228" s="588"/>
      <c r="Q228" s="626"/>
      <c r="R228" s="588"/>
      <c r="S228" s="588"/>
      <c r="T228" s="588"/>
      <c r="U228" s="588"/>
      <c r="V228" s="588"/>
      <c r="W228" s="588"/>
      <c r="X228" s="588"/>
      <c r="Y228" s="588"/>
      <c r="Z228" s="588"/>
      <c r="AA228" s="588"/>
      <c r="AB228" s="588"/>
      <c r="AC228" s="588"/>
      <c r="AD228" s="588"/>
      <c r="AE228" s="626"/>
      <c r="AF228" s="626"/>
      <c r="AG228" s="626"/>
      <c r="AH228" s="626"/>
      <c r="AI228" s="626"/>
      <c r="AJ228" s="626"/>
      <c r="AK228" s="626"/>
      <c r="AL228" s="626"/>
      <c r="AM228" s="626"/>
      <c r="AN228" s="626"/>
      <c r="AO228" s="626"/>
      <c r="AP228" s="626"/>
      <c r="AQ228" s="626"/>
      <c r="AR228" s="626"/>
      <c r="AS228" s="626"/>
      <c r="AT228" s="626"/>
      <c r="AU228" s="626"/>
      <c r="AV228" s="626"/>
      <c r="AW228" s="626"/>
      <c r="AX228" s="626"/>
      <c r="AY228" s="626"/>
      <c r="AZ228" s="626"/>
      <c r="BA228" s="626"/>
      <c r="BB228" s="588"/>
      <c r="BC228" s="626"/>
      <c r="BD228" s="626"/>
      <c r="BE228" s="626"/>
      <c r="BF228" s="626"/>
      <c r="BG228" s="626"/>
      <c r="BH228" s="626"/>
      <c r="BI228" s="588"/>
      <c r="BJ228" s="626"/>
      <c r="BK228" s="626"/>
      <c r="BL228" s="626"/>
      <c r="BM228" s="626"/>
      <c r="BN228" s="626"/>
      <c r="BO228" s="626"/>
      <c r="BP228" s="588"/>
      <c r="BQ228" s="846"/>
      <c r="BR228" s="850"/>
      <c r="BS228" s="588"/>
      <c r="BT228" s="754"/>
      <c r="BU228" s="588"/>
      <c r="BV228" s="588"/>
      <c r="BW228" s="588"/>
      <c r="BX228" s="588"/>
      <c r="BY228" s="588"/>
      <c r="BZ228" s="588"/>
      <c r="CA228" s="588"/>
      <c r="CB228" s="588"/>
      <c r="CC228" s="865"/>
      <c r="CD228" s="588"/>
      <c r="CE228" s="588"/>
      <c r="CF228" s="588"/>
      <c r="CG228" s="588"/>
      <c r="CH228" s="588"/>
      <c r="CI228" s="588"/>
      <c r="CJ228" s="588"/>
      <c r="CK228" s="588"/>
      <c r="CL228" s="588"/>
      <c r="CM228" s="588"/>
      <c r="CN228" s="588"/>
      <c r="CO228" s="588"/>
      <c r="CP228" s="816"/>
      <c r="CQ228" s="805"/>
      <c r="CR228" s="805"/>
      <c r="CS228" s="830"/>
      <c r="CT228" s="588"/>
      <c r="CU228" s="626"/>
      <c r="CV228" s="626"/>
      <c r="CW228" s="626"/>
      <c r="CX228" s="626"/>
      <c r="CY228" s="626"/>
      <c r="CZ228" s="626"/>
      <c r="DA228" s="626"/>
      <c r="DB228" s="626"/>
      <c r="DC228" s="626"/>
      <c r="DD228" s="626"/>
      <c r="DE228" s="626"/>
      <c r="DF228" s="626"/>
      <c r="DG228" s="626"/>
      <c r="DH228" s="626"/>
      <c r="DI228" s="626"/>
      <c r="DJ228" s="626"/>
      <c r="DK228" s="626"/>
      <c r="DL228" s="626"/>
      <c r="DM228" s="761"/>
      <c r="DN228" s="761"/>
      <c r="DO228" s="761"/>
      <c r="DP228" s="553"/>
      <c r="DQ228" s="553"/>
      <c r="DR228" s="553"/>
      <c r="DS228" s="553"/>
      <c r="DT228" s="553"/>
      <c r="DU228" s="553"/>
      <c r="DV228" s="553"/>
      <c r="DW228" s="553"/>
      <c r="DX228" s="553"/>
      <c r="DY228" s="553"/>
    </row>
    <row r="229" spans="1:129" s="489" customFormat="1" ht="24" customHeight="1" x14ac:dyDescent="0.9">
      <c r="A229" s="752"/>
      <c r="B229" s="588"/>
      <c r="C229" s="588"/>
      <c r="D229" s="588"/>
      <c r="E229" s="588"/>
      <c r="F229" s="588"/>
      <c r="G229" s="588"/>
      <c r="H229" s="588"/>
      <c r="I229" s="588"/>
      <c r="J229" s="588"/>
      <c r="K229" s="588"/>
      <c r="L229" s="753"/>
      <c r="M229" s="753"/>
      <c r="N229" s="588"/>
      <c r="O229" s="626"/>
      <c r="P229" s="588"/>
      <c r="Q229" s="626"/>
      <c r="R229" s="588"/>
      <c r="S229" s="588"/>
      <c r="T229" s="588"/>
      <c r="U229" s="588"/>
      <c r="V229" s="588"/>
      <c r="W229" s="588"/>
      <c r="X229" s="588"/>
      <c r="Y229" s="588"/>
      <c r="Z229" s="588"/>
      <c r="AA229" s="588"/>
      <c r="AB229" s="588"/>
      <c r="AC229" s="588"/>
      <c r="AD229" s="588"/>
      <c r="AE229" s="626"/>
      <c r="AF229" s="626"/>
      <c r="AG229" s="626"/>
      <c r="AH229" s="626"/>
      <c r="AI229" s="626"/>
      <c r="AJ229" s="626"/>
      <c r="AK229" s="626"/>
      <c r="AL229" s="626"/>
      <c r="AM229" s="626"/>
      <c r="AN229" s="626"/>
      <c r="AO229" s="626"/>
      <c r="AP229" s="626"/>
      <c r="AQ229" s="626"/>
      <c r="AR229" s="626"/>
      <c r="AS229" s="626"/>
      <c r="AT229" s="626"/>
      <c r="AU229" s="626"/>
      <c r="AV229" s="626"/>
      <c r="AW229" s="626"/>
      <c r="AX229" s="626"/>
      <c r="AY229" s="626"/>
      <c r="AZ229" s="626"/>
      <c r="BA229" s="626"/>
      <c r="BB229" s="588"/>
      <c r="BC229" s="626"/>
      <c r="BD229" s="626"/>
      <c r="BE229" s="626"/>
      <c r="BF229" s="626"/>
      <c r="BG229" s="626"/>
      <c r="BH229" s="626"/>
      <c r="BI229" s="588"/>
      <c r="BJ229" s="626"/>
      <c r="BK229" s="626"/>
      <c r="BL229" s="626"/>
      <c r="BM229" s="626"/>
      <c r="BN229" s="626"/>
      <c r="BO229" s="626"/>
      <c r="BP229" s="588"/>
      <c r="BQ229" s="846"/>
      <c r="BR229" s="850"/>
      <c r="BS229" s="588"/>
      <c r="BT229" s="754"/>
      <c r="BU229" s="588"/>
      <c r="BV229" s="588"/>
      <c r="BW229" s="588"/>
      <c r="BX229" s="588"/>
      <c r="BY229" s="588"/>
      <c r="BZ229" s="588"/>
      <c r="CA229" s="588"/>
      <c r="CB229" s="588"/>
      <c r="CC229" s="865"/>
      <c r="CD229" s="588"/>
      <c r="CE229" s="588"/>
      <c r="CF229" s="588"/>
      <c r="CG229" s="588"/>
      <c r="CH229" s="588"/>
      <c r="CI229" s="588"/>
      <c r="CJ229" s="588"/>
      <c r="CK229" s="588"/>
      <c r="CL229" s="588"/>
      <c r="CM229" s="588"/>
      <c r="CN229" s="588"/>
      <c r="CO229" s="588"/>
      <c r="CP229" s="816"/>
      <c r="CQ229" s="805"/>
      <c r="CR229" s="805"/>
      <c r="CS229" s="830"/>
      <c r="CT229" s="588"/>
      <c r="CU229" s="626"/>
      <c r="CV229" s="626"/>
      <c r="CW229" s="626"/>
      <c r="CX229" s="626"/>
      <c r="CY229" s="626"/>
      <c r="CZ229" s="626"/>
      <c r="DA229" s="626"/>
      <c r="DB229" s="626"/>
      <c r="DC229" s="626"/>
      <c r="DD229" s="626"/>
      <c r="DE229" s="626"/>
      <c r="DF229" s="626"/>
      <c r="DG229" s="626"/>
      <c r="DH229" s="626"/>
      <c r="DI229" s="626"/>
      <c r="DJ229" s="626"/>
      <c r="DK229" s="626"/>
      <c r="DL229" s="626"/>
      <c r="DM229" s="761"/>
      <c r="DN229" s="761"/>
      <c r="DO229" s="761"/>
      <c r="DP229" s="553"/>
      <c r="DQ229" s="553"/>
      <c r="DR229" s="553"/>
      <c r="DS229" s="553"/>
      <c r="DT229" s="553"/>
      <c r="DU229" s="553"/>
      <c r="DV229" s="553"/>
      <c r="DW229" s="553"/>
      <c r="DX229" s="553"/>
      <c r="DY229" s="553"/>
    </row>
    <row r="230" spans="1:129" s="489" customFormat="1" ht="24" customHeight="1" x14ac:dyDescent="0.9">
      <c r="A230" s="752"/>
      <c r="B230" s="588"/>
      <c r="C230" s="588"/>
      <c r="D230" s="588"/>
      <c r="E230" s="588"/>
      <c r="F230" s="588"/>
      <c r="G230" s="588"/>
      <c r="H230" s="588"/>
      <c r="I230" s="588"/>
      <c r="J230" s="588"/>
      <c r="K230" s="588"/>
      <c r="L230" s="753"/>
      <c r="M230" s="753"/>
      <c r="N230" s="588"/>
      <c r="O230" s="626"/>
      <c r="P230" s="588"/>
      <c r="Q230" s="626"/>
      <c r="R230" s="588"/>
      <c r="S230" s="588"/>
      <c r="T230" s="588"/>
      <c r="U230" s="588"/>
      <c r="V230" s="588"/>
      <c r="W230" s="588"/>
      <c r="X230" s="588"/>
      <c r="Y230" s="588"/>
      <c r="Z230" s="588"/>
      <c r="AA230" s="588"/>
      <c r="AB230" s="588"/>
      <c r="AC230" s="588"/>
      <c r="AD230" s="588"/>
      <c r="AE230" s="626"/>
      <c r="AF230" s="626"/>
      <c r="AG230" s="626"/>
      <c r="AH230" s="626"/>
      <c r="AI230" s="626"/>
      <c r="AJ230" s="626"/>
      <c r="AK230" s="626"/>
      <c r="AL230" s="626"/>
      <c r="AM230" s="626"/>
      <c r="AN230" s="626"/>
      <c r="AO230" s="626"/>
      <c r="AP230" s="626"/>
      <c r="AQ230" s="626"/>
      <c r="AR230" s="626"/>
      <c r="AS230" s="626"/>
      <c r="AT230" s="626"/>
      <c r="AU230" s="626"/>
      <c r="AV230" s="626"/>
      <c r="AW230" s="626"/>
      <c r="AX230" s="626"/>
      <c r="AY230" s="626"/>
      <c r="AZ230" s="626"/>
      <c r="BA230" s="626"/>
      <c r="BB230" s="588"/>
      <c r="BC230" s="626"/>
      <c r="BD230" s="626"/>
      <c r="BE230" s="626"/>
      <c r="BF230" s="626"/>
      <c r="BG230" s="626"/>
      <c r="BH230" s="626"/>
      <c r="BI230" s="588"/>
      <c r="BJ230" s="626"/>
      <c r="BK230" s="626"/>
      <c r="BL230" s="626"/>
      <c r="BM230" s="626"/>
      <c r="BN230" s="626"/>
      <c r="BO230" s="626"/>
      <c r="BP230" s="588"/>
      <c r="BQ230" s="846"/>
      <c r="BR230" s="850"/>
      <c r="BS230" s="588"/>
      <c r="BT230" s="754"/>
      <c r="BU230" s="588"/>
      <c r="BV230" s="588"/>
      <c r="BW230" s="588"/>
      <c r="BX230" s="588"/>
      <c r="BY230" s="588"/>
      <c r="BZ230" s="588"/>
      <c r="CA230" s="588"/>
      <c r="CB230" s="588"/>
      <c r="CC230" s="865"/>
      <c r="CD230" s="588"/>
      <c r="CE230" s="588"/>
      <c r="CF230" s="588"/>
      <c r="CG230" s="588"/>
      <c r="CH230" s="588"/>
      <c r="CI230" s="588"/>
      <c r="CJ230" s="588"/>
      <c r="CK230" s="588"/>
      <c r="CL230" s="588"/>
      <c r="CM230" s="588"/>
      <c r="CN230" s="588"/>
      <c r="CO230" s="588"/>
      <c r="CP230" s="816"/>
      <c r="CQ230" s="805"/>
      <c r="CR230" s="805"/>
      <c r="CS230" s="830"/>
      <c r="CT230" s="588"/>
      <c r="CU230" s="626"/>
      <c r="CV230" s="626"/>
      <c r="CW230" s="626"/>
      <c r="CX230" s="626"/>
      <c r="CY230" s="626"/>
      <c r="CZ230" s="626"/>
      <c r="DA230" s="626"/>
      <c r="DB230" s="626"/>
      <c r="DC230" s="626"/>
      <c r="DD230" s="626"/>
      <c r="DE230" s="626"/>
      <c r="DF230" s="626"/>
      <c r="DG230" s="626"/>
      <c r="DH230" s="626"/>
      <c r="DI230" s="626"/>
      <c r="DJ230" s="626"/>
      <c r="DK230" s="626"/>
      <c r="DL230" s="626"/>
      <c r="DM230" s="761"/>
      <c r="DN230" s="761"/>
      <c r="DO230" s="761"/>
      <c r="DP230" s="553"/>
      <c r="DQ230" s="553"/>
      <c r="DR230" s="553"/>
      <c r="DS230" s="553"/>
      <c r="DT230" s="553"/>
      <c r="DU230" s="553"/>
      <c r="DV230" s="553"/>
      <c r="DW230" s="553"/>
      <c r="DX230" s="553"/>
      <c r="DY230" s="553"/>
    </row>
    <row r="231" spans="1:129" s="489" customFormat="1" ht="24" customHeight="1" x14ac:dyDescent="0.9">
      <c r="A231" s="752"/>
      <c r="B231" s="588"/>
      <c r="C231" s="588"/>
      <c r="D231" s="588"/>
      <c r="E231" s="588"/>
      <c r="F231" s="588"/>
      <c r="G231" s="588"/>
      <c r="H231" s="588"/>
      <c r="I231" s="588"/>
      <c r="J231" s="588"/>
      <c r="K231" s="588"/>
      <c r="L231" s="753"/>
      <c r="M231" s="753"/>
      <c r="N231" s="588"/>
      <c r="O231" s="626"/>
      <c r="P231" s="588"/>
      <c r="Q231" s="626"/>
      <c r="R231" s="588"/>
      <c r="S231" s="588"/>
      <c r="T231" s="588"/>
      <c r="U231" s="588"/>
      <c r="V231" s="588"/>
      <c r="W231" s="588"/>
      <c r="X231" s="588"/>
      <c r="Y231" s="588"/>
      <c r="Z231" s="588"/>
      <c r="AA231" s="588"/>
      <c r="AB231" s="588"/>
      <c r="AC231" s="588"/>
      <c r="AD231" s="588"/>
      <c r="AE231" s="626"/>
      <c r="AF231" s="626"/>
      <c r="AG231" s="626"/>
      <c r="AH231" s="626"/>
      <c r="AI231" s="626"/>
      <c r="AJ231" s="626"/>
      <c r="AK231" s="626"/>
      <c r="AL231" s="626"/>
      <c r="AM231" s="626"/>
      <c r="AN231" s="626"/>
      <c r="AO231" s="626"/>
      <c r="AP231" s="626"/>
      <c r="AQ231" s="626"/>
      <c r="AR231" s="626"/>
      <c r="AS231" s="626"/>
      <c r="AT231" s="626"/>
      <c r="AU231" s="626"/>
      <c r="AV231" s="626"/>
      <c r="AW231" s="626"/>
      <c r="AX231" s="626"/>
      <c r="AY231" s="626"/>
      <c r="AZ231" s="626"/>
      <c r="BA231" s="626"/>
      <c r="BB231" s="588"/>
      <c r="BC231" s="626"/>
      <c r="BD231" s="626"/>
      <c r="BE231" s="626"/>
      <c r="BF231" s="626"/>
      <c r="BG231" s="626"/>
      <c r="BH231" s="626"/>
      <c r="BI231" s="588"/>
      <c r="BJ231" s="626"/>
      <c r="BK231" s="626"/>
      <c r="BL231" s="626"/>
      <c r="BM231" s="626"/>
      <c r="BN231" s="626"/>
      <c r="BO231" s="626"/>
      <c r="BP231" s="588"/>
      <c r="BQ231" s="846"/>
      <c r="BR231" s="850"/>
      <c r="BS231" s="588"/>
      <c r="BT231" s="754"/>
      <c r="BU231" s="588"/>
      <c r="BV231" s="588"/>
      <c r="BW231" s="588"/>
      <c r="BX231" s="588"/>
      <c r="BY231" s="588"/>
      <c r="BZ231" s="588"/>
      <c r="CA231" s="588"/>
      <c r="CB231" s="588"/>
      <c r="CC231" s="865"/>
      <c r="CD231" s="588"/>
      <c r="CE231" s="588"/>
      <c r="CF231" s="588"/>
      <c r="CG231" s="588"/>
      <c r="CH231" s="588"/>
      <c r="CI231" s="588"/>
      <c r="CJ231" s="588"/>
      <c r="CK231" s="588"/>
      <c r="CL231" s="588"/>
      <c r="CM231" s="588"/>
      <c r="CN231" s="588"/>
      <c r="CO231" s="588"/>
      <c r="CP231" s="816"/>
      <c r="CQ231" s="805"/>
      <c r="CR231" s="805"/>
      <c r="CS231" s="830"/>
      <c r="CT231" s="588"/>
      <c r="CU231" s="626"/>
      <c r="CV231" s="626"/>
      <c r="CW231" s="626"/>
      <c r="CX231" s="626"/>
      <c r="CY231" s="626"/>
      <c r="CZ231" s="626"/>
      <c r="DA231" s="626"/>
      <c r="DB231" s="626"/>
      <c r="DC231" s="626"/>
      <c r="DD231" s="626"/>
      <c r="DE231" s="626"/>
      <c r="DF231" s="626"/>
      <c r="DG231" s="626"/>
      <c r="DH231" s="626"/>
      <c r="DI231" s="626"/>
      <c r="DJ231" s="626"/>
      <c r="DK231" s="626"/>
      <c r="DL231" s="626"/>
      <c r="DM231" s="761"/>
      <c r="DN231" s="761"/>
      <c r="DO231" s="761"/>
      <c r="DP231" s="553"/>
      <c r="DQ231" s="553"/>
      <c r="DR231" s="553"/>
      <c r="DS231" s="553"/>
      <c r="DT231" s="553"/>
      <c r="DU231" s="553"/>
      <c r="DV231" s="553"/>
      <c r="DW231" s="553"/>
      <c r="DX231" s="553"/>
      <c r="DY231" s="553"/>
    </row>
    <row r="232" spans="1:129" s="489" customFormat="1" ht="24" customHeight="1" x14ac:dyDescent="0.9">
      <c r="A232" s="752"/>
      <c r="B232" s="588"/>
      <c r="C232" s="588"/>
      <c r="D232" s="588"/>
      <c r="E232" s="588"/>
      <c r="F232" s="588"/>
      <c r="G232" s="588"/>
      <c r="H232" s="588"/>
      <c r="I232" s="588"/>
      <c r="J232" s="588"/>
      <c r="K232" s="588"/>
      <c r="L232" s="753"/>
      <c r="M232" s="753"/>
      <c r="N232" s="588"/>
      <c r="O232" s="626"/>
      <c r="P232" s="588"/>
      <c r="Q232" s="626"/>
      <c r="R232" s="588"/>
      <c r="S232" s="588"/>
      <c r="T232" s="588"/>
      <c r="U232" s="588"/>
      <c r="V232" s="588"/>
      <c r="W232" s="588"/>
      <c r="X232" s="588"/>
      <c r="Y232" s="588"/>
      <c r="Z232" s="588"/>
      <c r="AA232" s="588"/>
      <c r="AB232" s="588"/>
      <c r="AC232" s="588"/>
      <c r="AD232" s="588"/>
      <c r="AE232" s="626"/>
      <c r="AF232" s="626"/>
      <c r="AG232" s="626"/>
      <c r="AH232" s="626"/>
      <c r="AI232" s="626"/>
      <c r="AJ232" s="626"/>
      <c r="AK232" s="626"/>
      <c r="AL232" s="626"/>
      <c r="AM232" s="626"/>
      <c r="AN232" s="626"/>
      <c r="AO232" s="626"/>
      <c r="AP232" s="626"/>
      <c r="AQ232" s="626"/>
      <c r="AR232" s="626"/>
      <c r="AS232" s="626"/>
      <c r="AT232" s="626"/>
      <c r="AU232" s="626"/>
      <c r="AV232" s="626"/>
      <c r="AW232" s="626"/>
      <c r="AX232" s="626"/>
      <c r="AY232" s="626"/>
      <c r="AZ232" s="626"/>
      <c r="BA232" s="626"/>
      <c r="BB232" s="588"/>
      <c r="BC232" s="626"/>
      <c r="BD232" s="626"/>
      <c r="BE232" s="626"/>
      <c r="BF232" s="626"/>
      <c r="BG232" s="626"/>
      <c r="BH232" s="626"/>
      <c r="BI232" s="588"/>
      <c r="BJ232" s="626"/>
      <c r="BK232" s="626"/>
      <c r="BL232" s="626"/>
      <c r="BM232" s="626"/>
      <c r="BN232" s="626"/>
      <c r="BO232" s="626"/>
      <c r="BP232" s="588"/>
      <c r="BQ232" s="846"/>
      <c r="BR232" s="850"/>
      <c r="BS232" s="588"/>
      <c r="BT232" s="754"/>
      <c r="BU232" s="588"/>
      <c r="BV232" s="588"/>
      <c r="BW232" s="588"/>
      <c r="BX232" s="588"/>
      <c r="BY232" s="588"/>
      <c r="BZ232" s="588"/>
      <c r="CA232" s="588"/>
      <c r="CB232" s="588"/>
      <c r="CC232" s="865"/>
      <c r="CD232" s="588"/>
      <c r="CE232" s="588"/>
      <c r="CF232" s="588"/>
      <c r="CG232" s="588"/>
      <c r="CH232" s="588"/>
      <c r="CI232" s="588"/>
      <c r="CJ232" s="588"/>
      <c r="CK232" s="588"/>
      <c r="CL232" s="588"/>
      <c r="CM232" s="588"/>
      <c r="CN232" s="588"/>
      <c r="CO232" s="588"/>
      <c r="CP232" s="816"/>
      <c r="CQ232" s="805"/>
      <c r="CR232" s="805"/>
      <c r="CS232" s="830"/>
      <c r="CT232" s="588"/>
      <c r="CU232" s="626"/>
      <c r="CV232" s="626"/>
      <c r="CW232" s="626"/>
      <c r="CX232" s="626"/>
      <c r="CY232" s="626"/>
      <c r="CZ232" s="626"/>
      <c r="DA232" s="626"/>
      <c r="DB232" s="626"/>
      <c r="DC232" s="626"/>
      <c r="DD232" s="626"/>
      <c r="DE232" s="626"/>
      <c r="DF232" s="626"/>
      <c r="DG232" s="626"/>
      <c r="DH232" s="626"/>
      <c r="DI232" s="626"/>
      <c r="DJ232" s="626"/>
      <c r="DK232" s="626"/>
      <c r="DL232" s="626"/>
      <c r="DM232" s="761"/>
      <c r="DN232" s="761"/>
      <c r="DO232" s="761"/>
      <c r="DP232" s="553"/>
      <c r="DQ232" s="553"/>
      <c r="DR232" s="553"/>
      <c r="DS232" s="553"/>
      <c r="DT232" s="553"/>
      <c r="DU232" s="553"/>
      <c r="DV232" s="553"/>
      <c r="DW232" s="553"/>
      <c r="DX232" s="553"/>
      <c r="DY232" s="553"/>
    </row>
    <row r="233" spans="1:129" s="489" customFormat="1" ht="24" customHeight="1" x14ac:dyDescent="0.9">
      <c r="A233" s="752"/>
      <c r="B233" s="588"/>
      <c r="C233" s="588"/>
      <c r="D233" s="588"/>
      <c r="E233" s="588"/>
      <c r="F233" s="588"/>
      <c r="G233" s="588"/>
      <c r="H233" s="588"/>
      <c r="I233" s="588"/>
      <c r="J233" s="588"/>
      <c r="K233" s="588"/>
      <c r="L233" s="753"/>
      <c r="M233" s="753"/>
      <c r="N233" s="588"/>
      <c r="O233" s="626"/>
      <c r="P233" s="588"/>
      <c r="Q233" s="626"/>
      <c r="R233" s="588"/>
      <c r="S233" s="588"/>
      <c r="T233" s="588"/>
      <c r="U233" s="588"/>
      <c r="V233" s="588"/>
      <c r="W233" s="588"/>
      <c r="X233" s="588"/>
      <c r="Y233" s="588"/>
      <c r="Z233" s="588"/>
      <c r="AA233" s="588"/>
      <c r="AB233" s="588"/>
      <c r="AC233" s="588"/>
      <c r="AD233" s="588"/>
      <c r="AE233" s="626"/>
      <c r="AF233" s="626"/>
      <c r="AG233" s="626"/>
      <c r="AH233" s="626"/>
      <c r="AI233" s="626"/>
      <c r="AJ233" s="626"/>
      <c r="AK233" s="626"/>
      <c r="AL233" s="626"/>
      <c r="AM233" s="626"/>
      <c r="AN233" s="626"/>
      <c r="AO233" s="626"/>
      <c r="AP233" s="626"/>
      <c r="AQ233" s="626"/>
      <c r="AR233" s="626"/>
      <c r="AS233" s="626"/>
      <c r="AT233" s="626"/>
      <c r="AU233" s="626"/>
      <c r="AV233" s="626"/>
      <c r="AW233" s="626"/>
      <c r="AX233" s="626"/>
      <c r="AY233" s="626"/>
      <c r="AZ233" s="626"/>
      <c r="BA233" s="626"/>
      <c r="BB233" s="588"/>
      <c r="BC233" s="626"/>
      <c r="BD233" s="626"/>
      <c r="BE233" s="626"/>
      <c r="BF233" s="626"/>
      <c r="BG233" s="626"/>
      <c r="BH233" s="626"/>
      <c r="BI233" s="588"/>
      <c r="BJ233" s="626"/>
      <c r="BK233" s="626"/>
      <c r="BL233" s="626"/>
      <c r="BM233" s="626"/>
      <c r="BN233" s="626"/>
      <c r="BO233" s="626"/>
      <c r="BP233" s="588"/>
      <c r="BQ233" s="846"/>
      <c r="BR233" s="850"/>
      <c r="BS233" s="588"/>
      <c r="BT233" s="754"/>
      <c r="BU233" s="588"/>
      <c r="BV233" s="588"/>
      <c r="BW233" s="588"/>
      <c r="BX233" s="588"/>
      <c r="BY233" s="588"/>
      <c r="BZ233" s="588"/>
      <c r="CA233" s="588"/>
      <c r="CB233" s="588"/>
      <c r="CC233" s="865"/>
      <c r="CD233" s="588"/>
      <c r="CE233" s="588"/>
      <c r="CF233" s="588"/>
      <c r="CG233" s="588"/>
      <c r="CH233" s="588"/>
      <c r="CI233" s="588"/>
      <c r="CJ233" s="588"/>
      <c r="CK233" s="588"/>
      <c r="CL233" s="588"/>
      <c r="CM233" s="588"/>
      <c r="CN233" s="588"/>
      <c r="CO233" s="588"/>
      <c r="CP233" s="816"/>
      <c r="CQ233" s="805"/>
      <c r="CR233" s="805"/>
      <c r="CS233" s="830"/>
      <c r="CT233" s="588"/>
      <c r="CU233" s="626"/>
      <c r="CV233" s="626"/>
      <c r="CW233" s="626"/>
      <c r="CX233" s="626"/>
      <c r="CY233" s="626"/>
      <c r="CZ233" s="626"/>
      <c r="DA233" s="626"/>
      <c r="DB233" s="626"/>
      <c r="DC233" s="626"/>
      <c r="DD233" s="626"/>
      <c r="DE233" s="626"/>
      <c r="DF233" s="626"/>
      <c r="DG233" s="626"/>
      <c r="DH233" s="626"/>
      <c r="DI233" s="626"/>
      <c r="DJ233" s="626"/>
      <c r="DK233" s="626"/>
      <c r="DL233" s="626"/>
      <c r="DM233" s="761"/>
      <c r="DN233" s="761"/>
      <c r="DO233" s="761"/>
      <c r="DP233" s="553"/>
      <c r="DQ233" s="553"/>
      <c r="DR233" s="553"/>
      <c r="DS233" s="553"/>
      <c r="DT233" s="553"/>
      <c r="DU233" s="553"/>
      <c r="DV233" s="553"/>
      <c r="DW233" s="553"/>
      <c r="DX233" s="553"/>
      <c r="DY233" s="553"/>
    </row>
    <row r="234" spans="1:129" s="489" customFormat="1" ht="24" customHeight="1" x14ac:dyDescent="0.9">
      <c r="A234" s="752"/>
      <c r="B234" s="588"/>
      <c r="C234" s="588"/>
      <c r="D234" s="588"/>
      <c r="E234" s="588"/>
      <c r="F234" s="588"/>
      <c r="G234" s="588"/>
      <c r="H234" s="588"/>
      <c r="I234" s="588"/>
      <c r="J234" s="588"/>
      <c r="K234" s="588"/>
      <c r="L234" s="753"/>
      <c r="M234" s="753"/>
      <c r="N234" s="588"/>
      <c r="O234" s="626"/>
      <c r="P234" s="588"/>
      <c r="Q234" s="626"/>
      <c r="R234" s="588"/>
      <c r="S234" s="588"/>
      <c r="T234" s="588"/>
      <c r="U234" s="588"/>
      <c r="V234" s="588"/>
      <c r="W234" s="588"/>
      <c r="X234" s="588"/>
      <c r="Y234" s="588"/>
      <c r="Z234" s="588"/>
      <c r="AA234" s="588"/>
      <c r="AB234" s="588"/>
      <c r="AC234" s="588"/>
      <c r="AD234" s="588"/>
      <c r="AE234" s="626"/>
      <c r="AF234" s="626"/>
      <c r="AG234" s="626"/>
      <c r="AH234" s="626"/>
      <c r="AI234" s="626"/>
      <c r="AJ234" s="626"/>
      <c r="AK234" s="626"/>
      <c r="AL234" s="626"/>
      <c r="AM234" s="626"/>
      <c r="AN234" s="626"/>
      <c r="AO234" s="626"/>
      <c r="AP234" s="626"/>
      <c r="AQ234" s="626"/>
      <c r="AR234" s="626"/>
      <c r="AS234" s="626"/>
      <c r="AT234" s="626"/>
      <c r="AU234" s="626"/>
      <c r="AV234" s="626"/>
      <c r="AW234" s="626"/>
      <c r="AX234" s="626"/>
      <c r="AY234" s="626"/>
      <c r="AZ234" s="626"/>
      <c r="BA234" s="626"/>
      <c r="BB234" s="588"/>
      <c r="BC234" s="626"/>
      <c r="BD234" s="626"/>
      <c r="BE234" s="626"/>
      <c r="BF234" s="626"/>
      <c r="BG234" s="626"/>
      <c r="BH234" s="626"/>
      <c r="BI234" s="588"/>
      <c r="BJ234" s="626"/>
      <c r="BK234" s="626"/>
      <c r="BL234" s="626"/>
      <c r="BM234" s="626"/>
      <c r="BN234" s="626"/>
      <c r="BO234" s="626"/>
      <c r="BP234" s="588"/>
      <c r="BQ234" s="846"/>
      <c r="BR234" s="850"/>
      <c r="BS234" s="588"/>
      <c r="BT234" s="754"/>
      <c r="BU234" s="588"/>
      <c r="BV234" s="588"/>
      <c r="BW234" s="588"/>
      <c r="BX234" s="588"/>
      <c r="BY234" s="588"/>
      <c r="BZ234" s="588"/>
      <c r="CA234" s="588"/>
      <c r="CB234" s="588"/>
      <c r="CC234" s="865"/>
      <c r="CD234" s="588"/>
      <c r="CE234" s="588"/>
      <c r="CF234" s="588"/>
      <c r="CG234" s="588"/>
      <c r="CH234" s="588"/>
      <c r="CI234" s="588"/>
      <c r="CJ234" s="588"/>
      <c r="CK234" s="588"/>
      <c r="CL234" s="588"/>
      <c r="CM234" s="588"/>
      <c r="CN234" s="588"/>
      <c r="CO234" s="588"/>
      <c r="CP234" s="816"/>
      <c r="CQ234" s="805"/>
      <c r="CR234" s="805"/>
      <c r="CS234" s="830"/>
      <c r="CT234" s="588"/>
      <c r="CU234" s="626"/>
      <c r="CV234" s="626"/>
      <c r="CW234" s="626"/>
      <c r="CX234" s="626"/>
      <c r="CY234" s="626"/>
      <c r="CZ234" s="626"/>
      <c r="DA234" s="626"/>
      <c r="DB234" s="626"/>
      <c r="DC234" s="626"/>
      <c r="DD234" s="626"/>
      <c r="DE234" s="626"/>
      <c r="DF234" s="626"/>
      <c r="DG234" s="626"/>
      <c r="DH234" s="626"/>
      <c r="DI234" s="626"/>
      <c r="DJ234" s="626"/>
      <c r="DK234" s="626"/>
      <c r="DL234" s="626"/>
      <c r="DM234" s="761"/>
      <c r="DN234" s="761"/>
      <c r="DO234" s="761"/>
      <c r="DP234" s="553"/>
      <c r="DQ234" s="553"/>
      <c r="DR234" s="553"/>
      <c r="DS234" s="553"/>
      <c r="DT234" s="553"/>
      <c r="DU234" s="553"/>
      <c r="DV234" s="553"/>
      <c r="DW234" s="553"/>
      <c r="DX234" s="553"/>
      <c r="DY234" s="553"/>
    </row>
    <row r="235" spans="1:129" s="489" customFormat="1" ht="24" customHeight="1" x14ac:dyDescent="0.9">
      <c r="A235" s="752"/>
      <c r="B235" s="588"/>
      <c r="C235" s="588"/>
      <c r="D235" s="588"/>
      <c r="E235" s="588"/>
      <c r="F235" s="588"/>
      <c r="G235" s="588"/>
      <c r="H235" s="588"/>
      <c r="I235" s="588"/>
      <c r="J235" s="588"/>
      <c r="K235" s="588"/>
      <c r="L235" s="753"/>
      <c r="M235" s="753"/>
      <c r="N235" s="588"/>
      <c r="O235" s="626"/>
      <c r="P235" s="588"/>
      <c r="Q235" s="626"/>
      <c r="R235" s="588"/>
      <c r="S235" s="588"/>
      <c r="T235" s="588"/>
      <c r="U235" s="588"/>
      <c r="V235" s="588"/>
      <c r="W235" s="588"/>
      <c r="X235" s="588"/>
      <c r="Y235" s="588"/>
      <c r="Z235" s="588"/>
      <c r="AA235" s="588"/>
      <c r="AB235" s="588"/>
      <c r="AC235" s="588"/>
      <c r="AD235" s="588"/>
      <c r="AE235" s="626"/>
      <c r="AF235" s="626"/>
      <c r="AG235" s="626"/>
      <c r="AH235" s="626"/>
      <c r="AI235" s="626"/>
      <c r="AJ235" s="626"/>
      <c r="AK235" s="626"/>
      <c r="AL235" s="626"/>
      <c r="AM235" s="626"/>
      <c r="AN235" s="626"/>
      <c r="AO235" s="626"/>
      <c r="AP235" s="626"/>
      <c r="AQ235" s="626"/>
      <c r="AR235" s="626"/>
      <c r="AS235" s="626"/>
      <c r="AT235" s="626"/>
      <c r="AU235" s="626"/>
      <c r="AV235" s="626"/>
      <c r="AW235" s="626"/>
      <c r="AX235" s="626"/>
      <c r="AY235" s="626"/>
      <c r="AZ235" s="626"/>
      <c r="BA235" s="626"/>
      <c r="BB235" s="588"/>
      <c r="BC235" s="626"/>
      <c r="BD235" s="626"/>
      <c r="BE235" s="626"/>
      <c r="BF235" s="626"/>
      <c r="BG235" s="626"/>
      <c r="BH235" s="626"/>
      <c r="BI235" s="588"/>
      <c r="BJ235" s="626"/>
      <c r="BK235" s="626"/>
      <c r="BL235" s="626"/>
      <c r="BM235" s="626"/>
      <c r="BN235" s="626"/>
      <c r="BO235" s="626"/>
      <c r="BP235" s="588"/>
      <c r="BQ235" s="846"/>
      <c r="BR235" s="850"/>
      <c r="BS235" s="588"/>
      <c r="BT235" s="754"/>
      <c r="BU235" s="588"/>
      <c r="BV235" s="588"/>
      <c r="BW235" s="588"/>
      <c r="BX235" s="588"/>
      <c r="BY235" s="588"/>
      <c r="BZ235" s="588"/>
      <c r="CA235" s="588"/>
      <c r="CB235" s="588"/>
      <c r="CC235" s="865"/>
      <c r="CD235" s="588"/>
      <c r="CE235" s="588"/>
      <c r="CF235" s="588"/>
      <c r="CG235" s="588"/>
      <c r="CH235" s="588"/>
      <c r="CI235" s="588"/>
      <c r="CJ235" s="588"/>
      <c r="CK235" s="588"/>
      <c r="CL235" s="588"/>
      <c r="CM235" s="588"/>
      <c r="CN235" s="588"/>
      <c r="CO235" s="588"/>
      <c r="CP235" s="816"/>
      <c r="CQ235" s="805"/>
      <c r="CR235" s="805"/>
      <c r="CS235" s="830"/>
      <c r="CT235" s="588"/>
      <c r="CU235" s="626"/>
      <c r="CV235" s="626"/>
      <c r="CW235" s="626"/>
      <c r="CX235" s="626"/>
      <c r="CY235" s="626"/>
      <c r="CZ235" s="626"/>
      <c r="DA235" s="626"/>
      <c r="DB235" s="626"/>
      <c r="DC235" s="626"/>
      <c r="DD235" s="626"/>
      <c r="DE235" s="626"/>
      <c r="DF235" s="626"/>
      <c r="DG235" s="626"/>
      <c r="DH235" s="626"/>
      <c r="DI235" s="626"/>
      <c r="DJ235" s="626"/>
      <c r="DK235" s="626"/>
      <c r="DL235" s="626"/>
      <c r="DM235" s="761"/>
      <c r="DN235" s="761"/>
      <c r="DO235" s="761"/>
      <c r="DP235" s="553"/>
      <c r="DQ235" s="553"/>
      <c r="DR235" s="553"/>
      <c r="DS235" s="553"/>
      <c r="DT235" s="553"/>
      <c r="DU235" s="553"/>
      <c r="DV235" s="553"/>
      <c r="DW235" s="553"/>
      <c r="DX235" s="553"/>
      <c r="DY235" s="553"/>
    </row>
    <row r="236" spans="1:129" s="489" customFormat="1" ht="24" customHeight="1" x14ac:dyDescent="0.9">
      <c r="A236" s="752"/>
      <c r="B236" s="588"/>
      <c r="C236" s="588"/>
      <c r="D236" s="588"/>
      <c r="E236" s="588"/>
      <c r="F236" s="588"/>
      <c r="G236" s="588"/>
      <c r="H236" s="588"/>
      <c r="I236" s="588"/>
      <c r="J236" s="588"/>
      <c r="K236" s="588"/>
      <c r="L236" s="753"/>
      <c r="M236" s="753"/>
      <c r="N236" s="588"/>
      <c r="O236" s="626"/>
      <c r="P236" s="588"/>
      <c r="Q236" s="626"/>
      <c r="R236" s="588"/>
      <c r="S236" s="588"/>
      <c r="T236" s="588"/>
      <c r="U236" s="588"/>
      <c r="V236" s="588"/>
      <c r="W236" s="588"/>
      <c r="X236" s="588"/>
      <c r="Y236" s="588"/>
      <c r="Z236" s="588"/>
      <c r="AA236" s="588"/>
      <c r="AB236" s="588"/>
      <c r="AC236" s="588"/>
      <c r="AD236" s="588"/>
      <c r="AE236" s="626"/>
      <c r="AF236" s="626"/>
      <c r="AG236" s="626"/>
      <c r="AH236" s="626"/>
      <c r="AI236" s="626"/>
      <c r="AJ236" s="626"/>
      <c r="AK236" s="626"/>
      <c r="AL236" s="626"/>
      <c r="AM236" s="626"/>
      <c r="AN236" s="626"/>
      <c r="AO236" s="626"/>
      <c r="AP236" s="626"/>
      <c r="AQ236" s="626"/>
      <c r="AR236" s="626"/>
      <c r="AS236" s="626"/>
      <c r="AT236" s="626"/>
      <c r="AU236" s="626"/>
      <c r="AV236" s="626"/>
      <c r="AW236" s="626"/>
      <c r="AX236" s="626"/>
      <c r="AY236" s="626"/>
      <c r="AZ236" s="626"/>
      <c r="BA236" s="626"/>
      <c r="BB236" s="588"/>
      <c r="BC236" s="626"/>
      <c r="BD236" s="626"/>
      <c r="BE236" s="626"/>
      <c r="BF236" s="626"/>
      <c r="BG236" s="626"/>
      <c r="BH236" s="626"/>
      <c r="BI236" s="588"/>
      <c r="BJ236" s="626"/>
      <c r="BK236" s="626"/>
      <c r="BL236" s="626"/>
      <c r="BM236" s="626"/>
      <c r="BN236" s="626"/>
      <c r="BO236" s="626"/>
      <c r="BP236" s="588"/>
      <c r="BQ236" s="846"/>
      <c r="BR236" s="850"/>
      <c r="BS236" s="588"/>
      <c r="BT236" s="754"/>
      <c r="BU236" s="588"/>
      <c r="BV236" s="588"/>
      <c r="BW236" s="588"/>
      <c r="BX236" s="588"/>
      <c r="BY236" s="588"/>
      <c r="BZ236" s="588"/>
      <c r="CA236" s="588"/>
      <c r="CB236" s="588"/>
      <c r="CC236" s="865"/>
      <c r="CD236" s="588"/>
      <c r="CE236" s="588"/>
      <c r="CF236" s="588"/>
      <c r="CG236" s="588"/>
      <c r="CH236" s="588"/>
      <c r="CI236" s="588"/>
      <c r="CJ236" s="588"/>
      <c r="CK236" s="588"/>
      <c r="CL236" s="588"/>
      <c r="CM236" s="588"/>
      <c r="CN236" s="588"/>
      <c r="CO236" s="588"/>
      <c r="CP236" s="816"/>
      <c r="CQ236" s="805"/>
      <c r="CR236" s="805"/>
      <c r="CS236" s="830"/>
      <c r="CT236" s="588"/>
      <c r="CU236" s="626"/>
      <c r="CV236" s="626"/>
      <c r="CW236" s="626"/>
      <c r="CX236" s="626"/>
      <c r="CY236" s="626"/>
      <c r="CZ236" s="626"/>
      <c r="DA236" s="626"/>
      <c r="DB236" s="626"/>
      <c r="DC236" s="626"/>
      <c r="DD236" s="626"/>
      <c r="DE236" s="626"/>
      <c r="DF236" s="626"/>
      <c r="DG236" s="626"/>
      <c r="DH236" s="626"/>
      <c r="DI236" s="626"/>
      <c r="DJ236" s="626"/>
      <c r="DK236" s="626"/>
      <c r="DL236" s="626"/>
      <c r="DM236" s="761"/>
      <c r="DN236" s="761"/>
      <c r="DO236" s="761"/>
      <c r="DP236" s="553"/>
      <c r="DQ236" s="553"/>
      <c r="DR236" s="553"/>
      <c r="DS236" s="553"/>
      <c r="DT236" s="553"/>
      <c r="DU236" s="553"/>
      <c r="DV236" s="553"/>
      <c r="DW236" s="553"/>
      <c r="DX236" s="553"/>
      <c r="DY236" s="553"/>
    </row>
    <row r="237" spans="1:129" s="489" customFormat="1" ht="24" customHeight="1" x14ac:dyDescent="0.9">
      <c r="A237" s="752"/>
      <c r="B237" s="588"/>
      <c r="C237" s="588"/>
      <c r="D237" s="588"/>
      <c r="E237" s="588"/>
      <c r="F237" s="588"/>
      <c r="G237" s="588"/>
      <c r="H237" s="588"/>
      <c r="I237" s="588"/>
      <c r="J237" s="588"/>
      <c r="K237" s="588"/>
      <c r="L237" s="753"/>
      <c r="M237" s="753"/>
      <c r="N237" s="588"/>
      <c r="O237" s="626"/>
      <c r="P237" s="588"/>
      <c r="Q237" s="626"/>
      <c r="R237" s="588"/>
      <c r="S237" s="588"/>
      <c r="T237" s="588"/>
      <c r="U237" s="588"/>
      <c r="V237" s="588"/>
      <c r="W237" s="588"/>
      <c r="X237" s="588"/>
      <c r="Y237" s="588"/>
      <c r="Z237" s="588"/>
      <c r="AA237" s="588"/>
      <c r="AB237" s="588"/>
      <c r="AC237" s="588"/>
      <c r="AD237" s="588"/>
      <c r="AE237" s="626"/>
      <c r="AF237" s="626"/>
      <c r="AG237" s="626"/>
      <c r="AH237" s="626"/>
      <c r="AI237" s="626"/>
      <c r="AJ237" s="626"/>
      <c r="AK237" s="626"/>
      <c r="AL237" s="626"/>
      <c r="AM237" s="626"/>
      <c r="AN237" s="626"/>
      <c r="AO237" s="626"/>
      <c r="AP237" s="626"/>
      <c r="AQ237" s="626"/>
      <c r="AR237" s="626"/>
      <c r="AS237" s="626"/>
      <c r="AT237" s="626"/>
      <c r="AU237" s="626"/>
      <c r="AV237" s="626"/>
      <c r="AW237" s="626"/>
      <c r="AX237" s="626"/>
      <c r="AY237" s="626"/>
      <c r="AZ237" s="626"/>
      <c r="BA237" s="626"/>
      <c r="BB237" s="588"/>
      <c r="BC237" s="626"/>
      <c r="BD237" s="626"/>
      <c r="BE237" s="626"/>
      <c r="BF237" s="626"/>
      <c r="BG237" s="626"/>
      <c r="BH237" s="626"/>
      <c r="BI237" s="588"/>
      <c r="BJ237" s="626"/>
      <c r="BK237" s="626"/>
      <c r="BL237" s="626"/>
      <c r="BM237" s="626"/>
      <c r="BN237" s="626"/>
      <c r="BO237" s="626"/>
      <c r="BP237" s="588"/>
      <c r="BQ237" s="846"/>
      <c r="BR237" s="850"/>
      <c r="BS237" s="588"/>
      <c r="BT237" s="754"/>
      <c r="BU237" s="588"/>
      <c r="BV237" s="588"/>
      <c r="BW237" s="588"/>
      <c r="BX237" s="588"/>
      <c r="BY237" s="588"/>
      <c r="BZ237" s="588"/>
      <c r="CA237" s="588"/>
      <c r="CB237" s="588"/>
      <c r="CC237" s="865"/>
      <c r="CD237" s="588"/>
      <c r="CE237" s="588"/>
      <c r="CF237" s="588"/>
      <c r="CG237" s="588"/>
      <c r="CH237" s="588"/>
      <c r="CI237" s="588"/>
      <c r="CJ237" s="588"/>
      <c r="CK237" s="588"/>
      <c r="CL237" s="588"/>
      <c r="CM237" s="588"/>
      <c r="CN237" s="588"/>
      <c r="CO237" s="588"/>
      <c r="CP237" s="816"/>
      <c r="CQ237" s="805"/>
      <c r="CR237" s="805"/>
      <c r="CS237" s="830"/>
      <c r="CT237" s="588"/>
      <c r="CU237" s="626"/>
      <c r="CV237" s="626"/>
      <c r="CW237" s="626"/>
      <c r="CX237" s="626"/>
      <c r="CY237" s="626"/>
      <c r="CZ237" s="626"/>
      <c r="DA237" s="626"/>
      <c r="DB237" s="626"/>
      <c r="DC237" s="626"/>
      <c r="DD237" s="626"/>
      <c r="DE237" s="626"/>
      <c r="DF237" s="626"/>
      <c r="DG237" s="626"/>
      <c r="DH237" s="626"/>
      <c r="DI237" s="626"/>
      <c r="DJ237" s="626"/>
      <c r="DK237" s="626"/>
      <c r="DL237" s="626"/>
      <c r="DM237" s="761"/>
      <c r="DN237" s="761"/>
      <c r="DO237" s="761"/>
      <c r="DP237" s="553"/>
      <c r="DQ237" s="553"/>
      <c r="DR237" s="553"/>
      <c r="DS237" s="553"/>
      <c r="DT237" s="553"/>
      <c r="DU237" s="553"/>
      <c r="DV237" s="553"/>
      <c r="DW237" s="553"/>
      <c r="DX237" s="553"/>
      <c r="DY237" s="553"/>
    </row>
    <row r="238" spans="1:129" s="489" customFormat="1" ht="24" customHeight="1" x14ac:dyDescent="0.9">
      <c r="A238" s="752"/>
      <c r="B238" s="588"/>
      <c r="C238" s="588"/>
      <c r="D238" s="588"/>
      <c r="E238" s="588"/>
      <c r="F238" s="588"/>
      <c r="G238" s="588"/>
      <c r="H238" s="588"/>
      <c r="I238" s="588"/>
      <c r="J238" s="588"/>
      <c r="K238" s="588"/>
      <c r="L238" s="753"/>
      <c r="M238" s="753"/>
      <c r="N238" s="588"/>
      <c r="O238" s="626"/>
      <c r="P238" s="588"/>
      <c r="Q238" s="626"/>
      <c r="R238" s="588"/>
      <c r="S238" s="588"/>
      <c r="T238" s="588"/>
      <c r="U238" s="588"/>
      <c r="V238" s="588"/>
      <c r="W238" s="588"/>
      <c r="X238" s="588"/>
      <c r="Y238" s="588"/>
      <c r="Z238" s="588"/>
      <c r="AA238" s="588"/>
      <c r="AB238" s="588"/>
      <c r="AC238" s="588"/>
      <c r="AD238" s="588"/>
      <c r="AE238" s="626"/>
      <c r="AF238" s="626"/>
      <c r="AG238" s="626"/>
      <c r="AH238" s="626"/>
      <c r="AI238" s="626"/>
      <c r="AJ238" s="626"/>
      <c r="AK238" s="626"/>
      <c r="AL238" s="626"/>
      <c r="AM238" s="626"/>
      <c r="AN238" s="626"/>
      <c r="AO238" s="626"/>
      <c r="AP238" s="626"/>
      <c r="AQ238" s="626"/>
      <c r="AR238" s="626"/>
      <c r="AS238" s="626"/>
      <c r="AT238" s="626"/>
      <c r="AU238" s="626"/>
      <c r="AV238" s="626"/>
      <c r="AW238" s="626"/>
      <c r="AX238" s="626"/>
      <c r="AY238" s="626"/>
      <c r="AZ238" s="626"/>
      <c r="BA238" s="626"/>
      <c r="BB238" s="588"/>
      <c r="BC238" s="626"/>
      <c r="BD238" s="626"/>
      <c r="BE238" s="626"/>
      <c r="BF238" s="626"/>
      <c r="BG238" s="626"/>
      <c r="BH238" s="626"/>
      <c r="BI238" s="588"/>
      <c r="BJ238" s="626"/>
      <c r="BK238" s="626"/>
      <c r="BL238" s="626"/>
      <c r="BM238" s="626"/>
      <c r="BN238" s="626"/>
      <c r="BO238" s="626"/>
      <c r="BP238" s="588"/>
      <c r="BQ238" s="846"/>
      <c r="BR238" s="850"/>
      <c r="BS238" s="588"/>
      <c r="BT238" s="754"/>
      <c r="BU238" s="588"/>
      <c r="BV238" s="588"/>
      <c r="BW238" s="588"/>
      <c r="BX238" s="588"/>
      <c r="BY238" s="588"/>
      <c r="BZ238" s="588"/>
      <c r="CA238" s="588"/>
      <c r="CB238" s="588"/>
      <c r="CC238" s="865"/>
      <c r="CD238" s="588"/>
      <c r="CE238" s="588"/>
      <c r="CF238" s="588"/>
      <c r="CG238" s="588"/>
      <c r="CH238" s="588"/>
      <c r="CI238" s="588"/>
      <c r="CJ238" s="588"/>
      <c r="CK238" s="588"/>
      <c r="CL238" s="588"/>
      <c r="CM238" s="588"/>
      <c r="CN238" s="588"/>
      <c r="CO238" s="588"/>
      <c r="CP238" s="816"/>
      <c r="CQ238" s="805"/>
      <c r="CR238" s="805"/>
      <c r="CS238" s="830"/>
      <c r="CT238" s="588"/>
      <c r="CU238" s="626"/>
      <c r="CV238" s="626"/>
      <c r="CW238" s="626"/>
      <c r="CX238" s="626"/>
      <c r="CY238" s="626"/>
      <c r="CZ238" s="626"/>
      <c r="DA238" s="626"/>
      <c r="DB238" s="626"/>
      <c r="DC238" s="626"/>
      <c r="DD238" s="626"/>
      <c r="DE238" s="626"/>
      <c r="DF238" s="626"/>
      <c r="DG238" s="626"/>
      <c r="DH238" s="626"/>
      <c r="DI238" s="626"/>
      <c r="DJ238" s="626"/>
      <c r="DK238" s="626"/>
      <c r="DL238" s="626"/>
      <c r="DM238" s="761"/>
      <c r="DN238" s="761"/>
      <c r="DO238" s="761"/>
      <c r="DP238" s="553"/>
      <c r="DQ238" s="553"/>
      <c r="DR238" s="553"/>
      <c r="DS238" s="553"/>
      <c r="DT238" s="553"/>
      <c r="DU238" s="553"/>
      <c r="DV238" s="553"/>
      <c r="DW238" s="553"/>
      <c r="DX238" s="553"/>
      <c r="DY238" s="553"/>
    </row>
    <row r="239" spans="1:129" s="489" customFormat="1" ht="24" customHeight="1" x14ac:dyDescent="0.9">
      <c r="A239" s="752"/>
      <c r="B239" s="588"/>
      <c r="C239" s="588"/>
      <c r="D239" s="588"/>
      <c r="E239" s="588"/>
      <c r="F239" s="588"/>
      <c r="G239" s="588"/>
      <c r="H239" s="588"/>
      <c r="I239" s="588"/>
      <c r="J239" s="588"/>
      <c r="K239" s="588"/>
      <c r="L239" s="753"/>
      <c r="M239" s="753"/>
      <c r="N239" s="588"/>
      <c r="O239" s="626"/>
      <c r="P239" s="588"/>
      <c r="Q239" s="626"/>
      <c r="R239" s="588"/>
      <c r="S239" s="588"/>
      <c r="T239" s="588"/>
      <c r="U239" s="588"/>
      <c r="V239" s="588"/>
      <c r="W239" s="588"/>
      <c r="X239" s="588"/>
      <c r="Y239" s="588"/>
      <c r="Z239" s="588"/>
      <c r="AA239" s="588"/>
      <c r="AB239" s="588"/>
      <c r="AC239" s="588"/>
      <c r="AD239" s="588"/>
      <c r="AE239" s="626"/>
      <c r="AF239" s="626"/>
      <c r="AG239" s="626"/>
      <c r="AH239" s="626"/>
      <c r="AI239" s="626"/>
      <c r="AJ239" s="626"/>
      <c r="AK239" s="626"/>
      <c r="AL239" s="626"/>
      <c r="AM239" s="626"/>
      <c r="AN239" s="626"/>
      <c r="AO239" s="626"/>
      <c r="AP239" s="626"/>
      <c r="AQ239" s="626"/>
      <c r="AR239" s="626"/>
      <c r="AS239" s="626"/>
      <c r="AT239" s="626"/>
      <c r="AU239" s="626"/>
      <c r="AV239" s="626"/>
      <c r="AW239" s="626"/>
      <c r="AX239" s="626"/>
      <c r="AY239" s="626"/>
      <c r="AZ239" s="626"/>
      <c r="BA239" s="626"/>
      <c r="BB239" s="588"/>
      <c r="BC239" s="626"/>
      <c r="BD239" s="626"/>
      <c r="BE239" s="626"/>
      <c r="BF239" s="626"/>
      <c r="BG239" s="626"/>
      <c r="BH239" s="626"/>
      <c r="BI239" s="588"/>
      <c r="BJ239" s="626"/>
      <c r="BK239" s="626"/>
      <c r="BL239" s="626"/>
      <c r="BM239" s="626"/>
      <c r="BN239" s="626"/>
      <c r="BO239" s="626"/>
      <c r="BP239" s="588"/>
      <c r="BQ239" s="846"/>
      <c r="BR239" s="850"/>
      <c r="BS239" s="588"/>
      <c r="BT239" s="754"/>
      <c r="BU239" s="588"/>
      <c r="BV239" s="588"/>
      <c r="BW239" s="588"/>
      <c r="BX239" s="588"/>
      <c r="BY239" s="588"/>
      <c r="BZ239" s="588"/>
      <c r="CA239" s="588"/>
      <c r="CB239" s="588"/>
      <c r="CC239" s="865"/>
      <c r="CD239" s="588"/>
      <c r="CE239" s="588"/>
      <c r="CF239" s="588"/>
      <c r="CG239" s="588"/>
      <c r="CH239" s="588"/>
      <c r="CI239" s="588"/>
      <c r="CJ239" s="588"/>
      <c r="CK239" s="588"/>
      <c r="CL239" s="588"/>
      <c r="CM239" s="588"/>
      <c r="CN239" s="588"/>
      <c r="CO239" s="588"/>
      <c r="CP239" s="816"/>
      <c r="CQ239" s="805"/>
      <c r="CR239" s="805"/>
      <c r="CS239" s="830"/>
      <c r="CT239" s="588"/>
      <c r="CU239" s="626"/>
      <c r="CV239" s="626"/>
      <c r="CW239" s="626"/>
      <c r="CX239" s="626"/>
      <c r="CY239" s="626"/>
      <c r="CZ239" s="626"/>
      <c r="DA239" s="626"/>
      <c r="DB239" s="626"/>
      <c r="DC239" s="626"/>
      <c r="DD239" s="626"/>
      <c r="DE239" s="626"/>
      <c r="DF239" s="626"/>
      <c r="DG239" s="626"/>
      <c r="DH239" s="626"/>
      <c r="DI239" s="626"/>
      <c r="DJ239" s="626"/>
      <c r="DK239" s="626"/>
      <c r="DL239" s="626"/>
      <c r="DM239" s="761"/>
      <c r="DN239" s="761"/>
      <c r="DO239" s="761"/>
      <c r="DP239" s="553"/>
      <c r="DQ239" s="553"/>
      <c r="DR239" s="553"/>
      <c r="DS239" s="553"/>
      <c r="DT239" s="553"/>
      <c r="DU239" s="553"/>
      <c r="DV239" s="553"/>
      <c r="DW239" s="553"/>
      <c r="DX239" s="553"/>
      <c r="DY239" s="553"/>
    </row>
    <row r="240" spans="1:129" s="489" customFormat="1" ht="24" customHeight="1" x14ac:dyDescent="0.9">
      <c r="A240" s="752"/>
      <c r="B240" s="588"/>
      <c r="C240" s="588"/>
      <c r="D240" s="588"/>
      <c r="E240" s="588"/>
      <c r="F240" s="588"/>
      <c r="G240" s="588"/>
      <c r="H240" s="588"/>
      <c r="I240" s="588"/>
      <c r="J240" s="588"/>
      <c r="K240" s="588"/>
      <c r="L240" s="753"/>
      <c r="M240" s="753"/>
      <c r="N240" s="588"/>
      <c r="O240" s="626"/>
      <c r="P240" s="588"/>
      <c r="Q240" s="626"/>
      <c r="R240" s="588"/>
      <c r="S240" s="588"/>
      <c r="T240" s="588"/>
      <c r="U240" s="588"/>
      <c r="V240" s="588"/>
      <c r="W240" s="588"/>
      <c r="X240" s="588"/>
      <c r="Y240" s="588"/>
      <c r="Z240" s="588"/>
      <c r="AA240" s="588"/>
      <c r="AB240" s="588"/>
      <c r="AC240" s="588"/>
      <c r="AD240" s="588"/>
      <c r="AE240" s="626"/>
      <c r="AF240" s="626"/>
      <c r="AG240" s="626"/>
      <c r="AH240" s="626"/>
      <c r="AI240" s="626"/>
      <c r="AJ240" s="626"/>
      <c r="AK240" s="626"/>
      <c r="AL240" s="626"/>
      <c r="AM240" s="626"/>
      <c r="AN240" s="626"/>
      <c r="AO240" s="626"/>
      <c r="AP240" s="626"/>
      <c r="AQ240" s="626"/>
      <c r="AR240" s="626"/>
      <c r="AS240" s="626"/>
      <c r="AT240" s="626"/>
      <c r="AU240" s="626"/>
      <c r="AV240" s="626"/>
      <c r="AW240" s="626"/>
      <c r="AX240" s="626"/>
      <c r="AY240" s="626"/>
      <c r="AZ240" s="626"/>
      <c r="BA240" s="626"/>
      <c r="BB240" s="588"/>
      <c r="BC240" s="626"/>
      <c r="BD240" s="626"/>
      <c r="BE240" s="626"/>
      <c r="BF240" s="626"/>
      <c r="BG240" s="626"/>
      <c r="BH240" s="626"/>
      <c r="BI240" s="588"/>
      <c r="BJ240" s="626"/>
      <c r="BK240" s="626"/>
      <c r="BL240" s="626"/>
      <c r="BM240" s="626"/>
      <c r="BN240" s="626"/>
      <c r="BO240" s="626"/>
      <c r="BP240" s="588"/>
      <c r="BQ240" s="846"/>
      <c r="BR240" s="850"/>
      <c r="BS240" s="588"/>
      <c r="BT240" s="754"/>
      <c r="BU240" s="588"/>
      <c r="BV240" s="588"/>
      <c r="BW240" s="588"/>
      <c r="BX240" s="588"/>
      <c r="BY240" s="588"/>
      <c r="BZ240" s="588"/>
      <c r="CA240" s="588"/>
      <c r="CB240" s="588"/>
      <c r="CC240" s="865"/>
      <c r="CD240" s="588"/>
      <c r="CE240" s="588"/>
      <c r="CF240" s="588"/>
      <c r="CG240" s="588"/>
      <c r="CH240" s="588"/>
      <c r="CI240" s="588"/>
      <c r="CJ240" s="588"/>
      <c r="CK240" s="588"/>
      <c r="CL240" s="588"/>
      <c r="CM240" s="588"/>
      <c r="CN240" s="588"/>
      <c r="CO240" s="588"/>
      <c r="CP240" s="816"/>
      <c r="CQ240" s="805"/>
      <c r="CR240" s="805"/>
      <c r="CS240" s="830"/>
      <c r="CT240" s="588"/>
      <c r="CU240" s="626"/>
      <c r="CV240" s="626"/>
      <c r="CW240" s="626"/>
      <c r="CX240" s="626"/>
      <c r="CY240" s="626"/>
      <c r="CZ240" s="626"/>
      <c r="DA240" s="626"/>
      <c r="DB240" s="626"/>
      <c r="DC240" s="626"/>
      <c r="DD240" s="626"/>
      <c r="DE240" s="626"/>
      <c r="DF240" s="626"/>
      <c r="DG240" s="626"/>
      <c r="DH240" s="626"/>
      <c r="DI240" s="626"/>
      <c r="DJ240" s="626"/>
      <c r="DK240" s="626"/>
      <c r="DL240" s="626"/>
      <c r="DM240" s="761"/>
      <c r="DN240" s="761"/>
      <c r="DO240" s="761"/>
      <c r="DP240" s="553"/>
      <c r="DQ240" s="553"/>
      <c r="DR240" s="553"/>
      <c r="DS240" s="553"/>
      <c r="DT240" s="553"/>
      <c r="DU240" s="553"/>
      <c r="DV240" s="553"/>
      <c r="DW240" s="553"/>
      <c r="DX240" s="553"/>
      <c r="DY240" s="553"/>
    </row>
    <row r="241" spans="1:129" s="489" customFormat="1" ht="24" customHeight="1" x14ac:dyDescent="0.9">
      <c r="A241" s="752"/>
      <c r="B241" s="588"/>
      <c r="C241" s="588"/>
      <c r="D241" s="588"/>
      <c r="E241" s="588"/>
      <c r="F241" s="588"/>
      <c r="G241" s="588"/>
      <c r="H241" s="588"/>
      <c r="I241" s="588"/>
      <c r="J241" s="588"/>
      <c r="K241" s="588"/>
      <c r="L241" s="753"/>
      <c r="M241" s="753"/>
      <c r="N241" s="588"/>
      <c r="O241" s="626"/>
      <c r="P241" s="588"/>
      <c r="Q241" s="626"/>
      <c r="R241" s="588"/>
      <c r="S241" s="588"/>
      <c r="T241" s="588"/>
      <c r="U241" s="588"/>
      <c r="V241" s="588"/>
      <c r="W241" s="588"/>
      <c r="X241" s="588"/>
      <c r="Y241" s="588"/>
      <c r="Z241" s="588"/>
      <c r="AA241" s="588"/>
      <c r="AB241" s="588"/>
      <c r="AC241" s="588"/>
      <c r="AD241" s="588"/>
      <c r="AE241" s="626"/>
      <c r="AF241" s="626"/>
      <c r="AG241" s="626"/>
      <c r="AH241" s="626"/>
      <c r="AI241" s="626"/>
      <c r="AJ241" s="626"/>
      <c r="AK241" s="626"/>
      <c r="AL241" s="626"/>
      <c r="AM241" s="626"/>
      <c r="AN241" s="626"/>
      <c r="AO241" s="626"/>
      <c r="AP241" s="626"/>
      <c r="AQ241" s="626"/>
      <c r="AR241" s="626"/>
      <c r="AS241" s="626"/>
      <c r="AT241" s="626"/>
      <c r="AU241" s="626"/>
      <c r="AV241" s="626"/>
      <c r="AW241" s="626"/>
      <c r="AX241" s="626"/>
      <c r="AY241" s="626"/>
      <c r="AZ241" s="626"/>
      <c r="BA241" s="626"/>
      <c r="BB241" s="588"/>
      <c r="BC241" s="626"/>
      <c r="BD241" s="626"/>
      <c r="BE241" s="626"/>
      <c r="BF241" s="626"/>
      <c r="BG241" s="626"/>
      <c r="BH241" s="626"/>
      <c r="BI241" s="588"/>
      <c r="BJ241" s="626"/>
      <c r="BK241" s="626"/>
      <c r="BL241" s="626"/>
      <c r="BM241" s="626"/>
      <c r="BN241" s="626"/>
      <c r="BO241" s="626"/>
      <c r="BP241" s="588"/>
      <c r="BQ241" s="846"/>
      <c r="BR241" s="850"/>
      <c r="BS241" s="588"/>
      <c r="BT241" s="754"/>
      <c r="BU241" s="588"/>
      <c r="BV241" s="588"/>
      <c r="BW241" s="588"/>
      <c r="BX241" s="588"/>
      <c r="BY241" s="588"/>
      <c r="BZ241" s="588"/>
      <c r="CA241" s="588"/>
      <c r="CB241" s="588"/>
      <c r="CC241" s="865"/>
      <c r="CD241" s="588"/>
      <c r="CE241" s="588"/>
      <c r="CF241" s="588"/>
      <c r="CG241" s="588"/>
      <c r="CH241" s="588"/>
      <c r="CI241" s="588"/>
      <c r="CJ241" s="588"/>
      <c r="CK241" s="588"/>
      <c r="CL241" s="588"/>
      <c r="CM241" s="588"/>
      <c r="CN241" s="588"/>
      <c r="CO241" s="588"/>
      <c r="CP241" s="816"/>
      <c r="CQ241" s="805"/>
      <c r="CR241" s="805"/>
      <c r="CS241" s="830"/>
      <c r="CT241" s="588"/>
      <c r="CU241" s="626"/>
      <c r="CV241" s="626"/>
      <c r="CW241" s="626"/>
      <c r="CX241" s="626"/>
      <c r="CY241" s="626"/>
      <c r="CZ241" s="626"/>
      <c r="DA241" s="626"/>
      <c r="DB241" s="626"/>
      <c r="DC241" s="626"/>
      <c r="DD241" s="626"/>
      <c r="DE241" s="626"/>
      <c r="DF241" s="626"/>
      <c r="DG241" s="626"/>
      <c r="DH241" s="626"/>
      <c r="DI241" s="626"/>
      <c r="DJ241" s="626"/>
      <c r="DK241" s="626"/>
      <c r="DL241" s="626"/>
      <c r="DM241" s="761"/>
      <c r="DN241" s="761"/>
      <c r="DO241" s="761"/>
      <c r="DP241" s="553"/>
      <c r="DQ241" s="553"/>
      <c r="DR241" s="553"/>
      <c r="DS241" s="553"/>
      <c r="DT241" s="553"/>
      <c r="DU241" s="553"/>
      <c r="DV241" s="553"/>
      <c r="DW241" s="553"/>
      <c r="DX241" s="553"/>
      <c r="DY241" s="553"/>
    </row>
    <row r="242" spans="1:129" s="489" customFormat="1" ht="24" customHeight="1" x14ac:dyDescent="0.9">
      <c r="A242" s="752"/>
      <c r="B242" s="588"/>
      <c r="C242" s="588"/>
      <c r="D242" s="588"/>
      <c r="E242" s="588"/>
      <c r="F242" s="588"/>
      <c r="G242" s="588"/>
      <c r="H242" s="588"/>
      <c r="I242" s="588"/>
      <c r="J242" s="588"/>
      <c r="K242" s="588"/>
      <c r="L242" s="753"/>
      <c r="M242" s="753"/>
      <c r="N242" s="588"/>
      <c r="O242" s="626"/>
      <c r="P242" s="588"/>
      <c r="Q242" s="626"/>
      <c r="R242" s="588"/>
      <c r="S242" s="588"/>
      <c r="T242" s="588"/>
      <c r="U242" s="588"/>
      <c r="V242" s="588"/>
      <c r="W242" s="588"/>
      <c r="X242" s="588"/>
      <c r="Y242" s="588"/>
      <c r="Z242" s="588"/>
      <c r="AA242" s="588"/>
      <c r="AB242" s="588"/>
      <c r="AC242" s="588"/>
      <c r="AD242" s="588"/>
      <c r="AE242" s="626"/>
      <c r="AF242" s="626"/>
      <c r="AG242" s="626"/>
      <c r="AH242" s="626"/>
      <c r="AI242" s="626"/>
      <c r="AJ242" s="626"/>
      <c r="AK242" s="626"/>
      <c r="AL242" s="626"/>
      <c r="AM242" s="626"/>
      <c r="AN242" s="626"/>
      <c r="AO242" s="626"/>
      <c r="AP242" s="626"/>
      <c r="AQ242" s="626"/>
      <c r="AR242" s="626"/>
      <c r="AS242" s="626"/>
      <c r="AT242" s="626"/>
      <c r="AU242" s="626"/>
      <c r="AV242" s="626"/>
      <c r="AW242" s="626"/>
      <c r="AX242" s="626"/>
      <c r="AY242" s="626"/>
      <c r="AZ242" s="626"/>
      <c r="BA242" s="626"/>
      <c r="BB242" s="588"/>
      <c r="BC242" s="626"/>
      <c r="BD242" s="626"/>
      <c r="BE242" s="626"/>
      <c r="BF242" s="626"/>
      <c r="BG242" s="626"/>
      <c r="BH242" s="626"/>
      <c r="BI242" s="588"/>
      <c r="BJ242" s="626"/>
      <c r="BK242" s="626"/>
      <c r="BL242" s="626"/>
      <c r="BM242" s="626"/>
      <c r="BN242" s="626"/>
      <c r="BO242" s="626"/>
      <c r="BP242" s="588"/>
      <c r="BQ242" s="846"/>
      <c r="BR242" s="850"/>
      <c r="BS242" s="588"/>
      <c r="BT242" s="754"/>
      <c r="BU242" s="588"/>
      <c r="BV242" s="588"/>
      <c r="BW242" s="588"/>
      <c r="BX242" s="588"/>
      <c r="BY242" s="588"/>
      <c r="BZ242" s="588"/>
      <c r="CA242" s="588"/>
      <c r="CB242" s="588"/>
      <c r="CC242" s="865"/>
      <c r="CD242" s="588"/>
      <c r="CE242" s="588"/>
      <c r="CF242" s="588"/>
      <c r="CG242" s="588"/>
      <c r="CH242" s="588"/>
      <c r="CI242" s="588"/>
      <c r="CJ242" s="588"/>
      <c r="CK242" s="588"/>
      <c r="CL242" s="588"/>
      <c r="CM242" s="588"/>
      <c r="CN242" s="588"/>
      <c r="CO242" s="588"/>
      <c r="CP242" s="816"/>
      <c r="CQ242" s="805"/>
      <c r="CR242" s="805"/>
      <c r="CS242" s="830"/>
      <c r="CT242" s="588"/>
      <c r="CU242" s="626"/>
      <c r="CV242" s="626"/>
      <c r="CW242" s="626"/>
      <c r="CX242" s="626"/>
      <c r="CY242" s="626"/>
      <c r="CZ242" s="626"/>
      <c r="DA242" s="626"/>
      <c r="DB242" s="626"/>
      <c r="DC242" s="626"/>
      <c r="DD242" s="626"/>
      <c r="DE242" s="626"/>
      <c r="DF242" s="626"/>
      <c r="DG242" s="626"/>
      <c r="DH242" s="626"/>
      <c r="DI242" s="626"/>
      <c r="DJ242" s="626"/>
      <c r="DK242" s="626"/>
      <c r="DL242" s="626"/>
      <c r="DM242" s="761"/>
      <c r="DN242" s="761"/>
      <c r="DO242" s="761"/>
      <c r="DP242" s="553"/>
      <c r="DQ242" s="553"/>
      <c r="DR242" s="553"/>
      <c r="DS242" s="553"/>
      <c r="DT242" s="553"/>
      <c r="DU242" s="553"/>
      <c r="DV242" s="553"/>
      <c r="DW242" s="553"/>
      <c r="DX242" s="553"/>
      <c r="DY242" s="553"/>
    </row>
    <row r="243" spans="1:129" s="489" customFormat="1" ht="24" customHeight="1" x14ac:dyDescent="0.9">
      <c r="A243" s="752"/>
      <c r="B243" s="588"/>
      <c r="C243" s="588"/>
      <c r="D243" s="588"/>
      <c r="E243" s="588"/>
      <c r="F243" s="588"/>
      <c r="G243" s="588"/>
      <c r="H243" s="588"/>
      <c r="I243" s="588"/>
      <c r="J243" s="588"/>
      <c r="K243" s="588"/>
      <c r="L243" s="753"/>
      <c r="M243" s="753"/>
      <c r="N243" s="588"/>
      <c r="O243" s="626"/>
      <c r="P243" s="588"/>
      <c r="Q243" s="626"/>
      <c r="R243" s="588"/>
      <c r="S243" s="588"/>
      <c r="T243" s="588"/>
      <c r="U243" s="588"/>
      <c r="V243" s="588"/>
      <c r="W243" s="588"/>
      <c r="X243" s="588"/>
      <c r="Y243" s="588"/>
      <c r="Z243" s="588"/>
      <c r="AA243" s="588"/>
      <c r="AB243" s="588"/>
      <c r="AC243" s="588"/>
      <c r="AD243" s="588"/>
      <c r="AE243" s="626"/>
      <c r="AF243" s="626"/>
      <c r="AG243" s="626"/>
      <c r="AH243" s="626"/>
      <c r="AI243" s="626"/>
      <c r="AJ243" s="626"/>
      <c r="AK243" s="626"/>
      <c r="AL243" s="626"/>
      <c r="AM243" s="626"/>
      <c r="AN243" s="626"/>
      <c r="AO243" s="626"/>
      <c r="AP243" s="626"/>
      <c r="AQ243" s="626"/>
      <c r="AR243" s="626"/>
      <c r="AS243" s="626"/>
      <c r="AT243" s="626"/>
      <c r="AU243" s="626"/>
      <c r="AV243" s="626"/>
      <c r="AW243" s="626"/>
      <c r="AX243" s="626"/>
      <c r="AY243" s="626"/>
      <c r="AZ243" s="626"/>
      <c r="BA243" s="626"/>
      <c r="BB243" s="588"/>
      <c r="BC243" s="626"/>
      <c r="BD243" s="626"/>
      <c r="BE243" s="626"/>
      <c r="BF243" s="626"/>
      <c r="BG243" s="626"/>
      <c r="BH243" s="626"/>
      <c r="BI243" s="588"/>
      <c r="BJ243" s="626"/>
      <c r="BK243" s="626"/>
      <c r="BL243" s="626"/>
      <c r="BM243" s="626"/>
      <c r="BN243" s="626"/>
      <c r="BO243" s="626"/>
      <c r="BP243" s="588"/>
      <c r="BQ243" s="846"/>
      <c r="BR243" s="850"/>
      <c r="BS243" s="588"/>
      <c r="BT243" s="754"/>
      <c r="BU243" s="588"/>
      <c r="BV243" s="588"/>
      <c r="BW243" s="588"/>
      <c r="BX243" s="588"/>
      <c r="BY243" s="588"/>
      <c r="BZ243" s="588"/>
      <c r="CA243" s="588"/>
      <c r="CB243" s="588"/>
      <c r="CC243" s="865"/>
      <c r="CD243" s="588"/>
      <c r="CE243" s="588"/>
      <c r="CF243" s="588"/>
      <c r="CG243" s="588"/>
      <c r="CH243" s="588"/>
      <c r="CI243" s="588"/>
      <c r="CJ243" s="588"/>
      <c r="CK243" s="588"/>
      <c r="CL243" s="588"/>
      <c r="CM243" s="588"/>
      <c r="CN243" s="588"/>
      <c r="CO243" s="588"/>
      <c r="CP243" s="816"/>
      <c r="CQ243" s="805"/>
      <c r="CR243" s="805"/>
      <c r="CS243" s="830"/>
      <c r="CT243" s="588"/>
      <c r="CU243" s="626"/>
      <c r="CV243" s="626"/>
      <c r="CW243" s="626"/>
      <c r="CX243" s="626"/>
      <c r="CY243" s="626"/>
      <c r="CZ243" s="626"/>
      <c r="DA243" s="626"/>
      <c r="DB243" s="626"/>
      <c r="DC243" s="626"/>
      <c r="DD243" s="626"/>
      <c r="DE243" s="626"/>
      <c r="DF243" s="626"/>
      <c r="DG243" s="626"/>
      <c r="DH243" s="626"/>
      <c r="DI243" s="626"/>
      <c r="DJ243" s="626"/>
      <c r="DK243" s="626"/>
      <c r="DL243" s="626"/>
      <c r="DM243" s="761"/>
      <c r="DN243" s="761"/>
      <c r="DO243" s="761"/>
      <c r="DP243" s="553"/>
      <c r="DQ243" s="553"/>
      <c r="DR243" s="553"/>
      <c r="DS243" s="553"/>
      <c r="DT243" s="553"/>
      <c r="DU243" s="553"/>
      <c r="DV243" s="553"/>
      <c r="DW243" s="553"/>
      <c r="DX243" s="553"/>
      <c r="DY243" s="553"/>
    </row>
    <row r="244" spans="1:129" s="489" customFormat="1" ht="24" customHeight="1" x14ac:dyDescent="0.9">
      <c r="A244" s="752"/>
      <c r="B244" s="588"/>
      <c r="C244" s="588"/>
      <c r="D244" s="588"/>
      <c r="E244" s="588"/>
      <c r="F244" s="588"/>
      <c r="G244" s="588"/>
      <c r="H244" s="588"/>
      <c r="I244" s="588"/>
      <c r="J244" s="588"/>
      <c r="K244" s="588"/>
      <c r="L244" s="753"/>
      <c r="M244" s="753"/>
      <c r="N244" s="588"/>
      <c r="O244" s="626"/>
      <c r="P244" s="588"/>
      <c r="Q244" s="626"/>
      <c r="R244" s="588"/>
      <c r="S244" s="588"/>
      <c r="T244" s="588"/>
      <c r="U244" s="588"/>
      <c r="V244" s="588"/>
      <c r="W244" s="588"/>
      <c r="X244" s="588"/>
      <c r="Y244" s="588"/>
      <c r="Z244" s="588"/>
      <c r="AA244" s="588"/>
      <c r="AB244" s="588"/>
      <c r="AC244" s="588"/>
      <c r="AD244" s="588"/>
      <c r="AE244" s="626"/>
      <c r="AF244" s="626"/>
      <c r="AG244" s="626"/>
      <c r="AH244" s="626"/>
      <c r="AI244" s="626"/>
      <c r="AJ244" s="626"/>
      <c r="AK244" s="626"/>
      <c r="AL244" s="626"/>
      <c r="AM244" s="626"/>
      <c r="AN244" s="626"/>
      <c r="AO244" s="626"/>
      <c r="AP244" s="626"/>
      <c r="AQ244" s="626"/>
      <c r="AR244" s="626"/>
      <c r="AS244" s="626"/>
      <c r="AT244" s="626"/>
      <c r="AU244" s="626"/>
      <c r="AV244" s="626"/>
      <c r="AW244" s="626"/>
      <c r="AX244" s="626"/>
      <c r="AY244" s="626"/>
      <c r="AZ244" s="626"/>
      <c r="BA244" s="626"/>
      <c r="BB244" s="588"/>
      <c r="BC244" s="626"/>
      <c r="BD244" s="626"/>
      <c r="BE244" s="626"/>
      <c r="BF244" s="626"/>
      <c r="BG244" s="626"/>
      <c r="BH244" s="626"/>
      <c r="BI244" s="588"/>
      <c r="BJ244" s="626"/>
      <c r="BK244" s="626"/>
      <c r="BL244" s="626"/>
      <c r="BM244" s="626"/>
      <c r="BN244" s="626"/>
      <c r="BO244" s="626"/>
      <c r="BP244" s="588"/>
      <c r="BQ244" s="846"/>
      <c r="BR244" s="850"/>
      <c r="BS244" s="588"/>
      <c r="BT244" s="754"/>
      <c r="BU244" s="588"/>
      <c r="BV244" s="588"/>
      <c r="BW244" s="588"/>
      <c r="BX244" s="588"/>
      <c r="BY244" s="588"/>
      <c r="BZ244" s="588"/>
      <c r="CA244" s="588"/>
      <c r="CB244" s="588"/>
      <c r="CC244" s="865"/>
      <c r="CD244" s="588"/>
      <c r="CE244" s="588"/>
      <c r="CF244" s="588"/>
      <c r="CG244" s="588"/>
      <c r="CH244" s="588"/>
      <c r="CI244" s="588"/>
      <c r="CJ244" s="588"/>
      <c r="CK244" s="588"/>
      <c r="CL244" s="588"/>
      <c r="CM244" s="588"/>
      <c r="CN244" s="588"/>
      <c r="CO244" s="588"/>
      <c r="CP244" s="816"/>
      <c r="CQ244" s="805"/>
      <c r="CR244" s="805"/>
      <c r="CS244" s="830"/>
      <c r="CT244" s="588"/>
      <c r="CU244" s="626"/>
      <c r="CV244" s="626"/>
      <c r="CW244" s="626"/>
      <c r="CX244" s="626"/>
      <c r="CY244" s="626"/>
      <c r="CZ244" s="626"/>
      <c r="DA244" s="626"/>
      <c r="DB244" s="626"/>
      <c r="DC244" s="626"/>
      <c r="DD244" s="626"/>
      <c r="DE244" s="626"/>
      <c r="DF244" s="626"/>
      <c r="DG244" s="626"/>
      <c r="DH244" s="626"/>
      <c r="DI244" s="626"/>
      <c r="DJ244" s="626"/>
      <c r="DK244" s="626"/>
      <c r="DL244" s="626"/>
      <c r="DM244" s="761"/>
      <c r="DN244" s="761"/>
      <c r="DO244" s="761"/>
      <c r="DP244" s="553"/>
      <c r="DQ244" s="553"/>
      <c r="DR244" s="553"/>
      <c r="DS244" s="553"/>
      <c r="DT244" s="553"/>
      <c r="DU244" s="553"/>
      <c r="DV244" s="553"/>
      <c r="DW244" s="553"/>
      <c r="DX244" s="553"/>
      <c r="DY244" s="553"/>
    </row>
    <row r="245" spans="1:129" s="489" customFormat="1" ht="24" customHeight="1" x14ac:dyDescent="0.9">
      <c r="A245" s="752"/>
      <c r="B245" s="588"/>
      <c r="C245" s="588"/>
      <c r="D245" s="588"/>
      <c r="E245" s="588"/>
      <c r="F245" s="588"/>
      <c r="G245" s="588"/>
      <c r="H245" s="588"/>
      <c r="I245" s="588"/>
      <c r="J245" s="588"/>
      <c r="K245" s="588"/>
      <c r="L245" s="753"/>
      <c r="M245" s="753"/>
      <c r="N245" s="588"/>
      <c r="O245" s="626"/>
      <c r="P245" s="588"/>
      <c r="Q245" s="626"/>
      <c r="R245" s="588"/>
      <c r="S245" s="588"/>
      <c r="T245" s="588"/>
      <c r="U245" s="588"/>
      <c r="V245" s="588"/>
      <c r="W245" s="588"/>
      <c r="X245" s="588"/>
      <c r="Y245" s="588"/>
      <c r="Z245" s="588"/>
      <c r="AA245" s="588"/>
      <c r="AB245" s="588"/>
      <c r="AC245" s="588"/>
      <c r="AD245" s="588"/>
      <c r="AE245" s="626"/>
      <c r="AF245" s="626"/>
      <c r="AG245" s="626"/>
      <c r="AH245" s="626"/>
      <c r="AI245" s="626"/>
      <c r="AJ245" s="626"/>
      <c r="AK245" s="626"/>
      <c r="AL245" s="626"/>
      <c r="AM245" s="626"/>
      <c r="AN245" s="626"/>
      <c r="AO245" s="626"/>
      <c r="AP245" s="626"/>
      <c r="AQ245" s="626"/>
      <c r="AR245" s="626"/>
      <c r="AS245" s="626"/>
      <c r="AT245" s="626"/>
      <c r="AU245" s="626"/>
      <c r="AV245" s="626"/>
      <c r="AW245" s="626"/>
      <c r="AX245" s="626"/>
      <c r="AY245" s="626"/>
      <c r="AZ245" s="626"/>
      <c r="BA245" s="626"/>
      <c r="BB245" s="588"/>
      <c r="BC245" s="626"/>
      <c r="BD245" s="626"/>
      <c r="BE245" s="626"/>
      <c r="BF245" s="626"/>
      <c r="BG245" s="626"/>
      <c r="BH245" s="626"/>
      <c r="BI245" s="588"/>
      <c r="BJ245" s="626"/>
      <c r="BK245" s="626"/>
      <c r="BL245" s="626"/>
      <c r="BM245" s="626"/>
      <c r="BN245" s="626"/>
      <c r="BO245" s="626"/>
      <c r="BP245" s="588"/>
      <c r="BQ245" s="846"/>
      <c r="BR245" s="850"/>
      <c r="BS245" s="588"/>
      <c r="BT245" s="754"/>
      <c r="BU245" s="588"/>
      <c r="BV245" s="588"/>
      <c r="BW245" s="588"/>
      <c r="BX245" s="588"/>
      <c r="BY245" s="588"/>
      <c r="BZ245" s="588"/>
      <c r="CA245" s="588"/>
      <c r="CB245" s="588"/>
      <c r="CC245" s="865"/>
      <c r="CD245" s="588"/>
      <c r="CE245" s="588"/>
      <c r="CF245" s="588"/>
      <c r="CG245" s="588"/>
      <c r="CH245" s="588"/>
      <c r="CI245" s="588"/>
      <c r="CJ245" s="588"/>
      <c r="CK245" s="588"/>
      <c r="CL245" s="588"/>
      <c r="CM245" s="588"/>
      <c r="CN245" s="588"/>
      <c r="CO245" s="588"/>
      <c r="CP245" s="816"/>
      <c r="CQ245" s="805"/>
      <c r="CR245" s="805"/>
      <c r="CS245" s="830"/>
      <c r="CT245" s="588"/>
      <c r="CU245" s="626"/>
      <c r="CV245" s="626"/>
      <c r="CW245" s="626"/>
      <c r="CX245" s="626"/>
      <c r="CY245" s="626"/>
      <c r="CZ245" s="626"/>
      <c r="DA245" s="626"/>
      <c r="DB245" s="626"/>
      <c r="DC245" s="626"/>
      <c r="DD245" s="626"/>
      <c r="DE245" s="626"/>
      <c r="DF245" s="626"/>
      <c r="DG245" s="626"/>
      <c r="DH245" s="626"/>
      <c r="DI245" s="626"/>
      <c r="DJ245" s="626"/>
      <c r="DK245" s="626"/>
      <c r="DL245" s="626"/>
      <c r="DM245" s="761"/>
      <c r="DN245" s="761"/>
      <c r="DO245" s="761"/>
      <c r="DP245" s="553"/>
      <c r="DQ245" s="553"/>
      <c r="DR245" s="553"/>
      <c r="DS245" s="553"/>
      <c r="DT245" s="553"/>
      <c r="DU245" s="553"/>
      <c r="DV245" s="553"/>
      <c r="DW245" s="553"/>
      <c r="DX245" s="553"/>
      <c r="DY245" s="553"/>
    </row>
    <row r="246" spans="1:129" s="489" customFormat="1" ht="24" customHeight="1" x14ac:dyDescent="0.9">
      <c r="A246" s="752"/>
      <c r="B246" s="588"/>
      <c r="C246" s="588"/>
      <c r="D246" s="588"/>
      <c r="E246" s="588"/>
      <c r="F246" s="588"/>
      <c r="G246" s="588"/>
      <c r="H246" s="588"/>
      <c r="I246" s="588"/>
      <c r="J246" s="588"/>
      <c r="K246" s="588"/>
      <c r="L246" s="753"/>
      <c r="M246" s="753"/>
      <c r="N246" s="588"/>
      <c r="O246" s="626"/>
      <c r="P246" s="588"/>
      <c r="Q246" s="626"/>
      <c r="R246" s="588"/>
      <c r="S246" s="588"/>
      <c r="T246" s="588"/>
      <c r="U246" s="588"/>
      <c r="V246" s="588"/>
      <c r="W246" s="588"/>
      <c r="X246" s="588"/>
      <c r="Y246" s="588"/>
      <c r="Z246" s="588"/>
      <c r="AA246" s="588"/>
      <c r="AB246" s="588"/>
      <c r="AC246" s="588"/>
      <c r="AD246" s="588"/>
      <c r="AE246" s="626"/>
      <c r="AF246" s="626"/>
      <c r="AG246" s="626"/>
      <c r="AH246" s="626"/>
      <c r="AI246" s="626"/>
      <c r="AJ246" s="626"/>
      <c r="AK246" s="626"/>
      <c r="AL246" s="626"/>
      <c r="AM246" s="626"/>
      <c r="AN246" s="626"/>
      <c r="AO246" s="626"/>
      <c r="AP246" s="626"/>
      <c r="AQ246" s="626"/>
      <c r="AR246" s="626"/>
      <c r="AS246" s="626"/>
      <c r="AT246" s="626"/>
      <c r="AU246" s="626"/>
      <c r="AV246" s="626"/>
      <c r="AW246" s="626"/>
      <c r="AX246" s="626"/>
      <c r="AY246" s="626"/>
      <c r="AZ246" s="626"/>
      <c r="BA246" s="626"/>
      <c r="BB246" s="588"/>
      <c r="BC246" s="626"/>
      <c r="BD246" s="626"/>
      <c r="BE246" s="626"/>
      <c r="BF246" s="626"/>
      <c r="BG246" s="626"/>
      <c r="BH246" s="626"/>
      <c r="BI246" s="588"/>
      <c r="BJ246" s="626"/>
      <c r="BK246" s="626"/>
      <c r="BL246" s="626"/>
      <c r="BM246" s="626"/>
      <c r="BN246" s="626"/>
      <c r="BO246" s="626"/>
      <c r="BP246" s="588"/>
      <c r="BQ246" s="846"/>
      <c r="BR246" s="850"/>
      <c r="BS246" s="588"/>
      <c r="BT246" s="754"/>
      <c r="BU246" s="588"/>
      <c r="BV246" s="588"/>
      <c r="BW246" s="588"/>
      <c r="BX246" s="588"/>
      <c r="BY246" s="588"/>
      <c r="BZ246" s="588"/>
      <c r="CA246" s="588"/>
      <c r="CB246" s="588"/>
      <c r="CC246" s="865"/>
      <c r="CD246" s="588"/>
      <c r="CE246" s="588"/>
      <c r="CF246" s="588"/>
      <c r="CG246" s="588"/>
      <c r="CH246" s="588"/>
      <c r="CI246" s="588"/>
      <c r="CJ246" s="588"/>
      <c r="CK246" s="588"/>
      <c r="CL246" s="588"/>
      <c r="CM246" s="588"/>
      <c r="CN246" s="588"/>
      <c r="CO246" s="588"/>
      <c r="CP246" s="816"/>
      <c r="CQ246" s="805"/>
      <c r="CR246" s="805"/>
      <c r="CS246" s="830"/>
      <c r="CT246" s="588"/>
      <c r="CU246" s="626"/>
      <c r="CV246" s="626"/>
      <c r="CW246" s="626"/>
      <c r="CX246" s="626"/>
      <c r="CY246" s="626"/>
      <c r="CZ246" s="626"/>
      <c r="DA246" s="626"/>
      <c r="DB246" s="626"/>
      <c r="DC246" s="626"/>
      <c r="DD246" s="626"/>
      <c r="DE246" s="626"/>
      <c r="DF246" s="626"/>
      <c r="DG246" s="626"/>
      <c r="DH246" s="626"/>
      <c r="DI246" s="626"/>
      <c r="DJ246" s="626"/>
      <c r="DK246" s="626"/>
      <c r="DL246" s="626"/>
      <c r="DM246" s="761"/>
      <c r="DN246" s="761"/>
      <c r="DO246" s="761"/>
      <c r="DP246" s="553"/>
      <c r="DQ246" s="553"/>
      <c r="DR246" s="553"/>
      <c r="DS246" s="553"/>
      <c r="DT246" s="553"/>
      <c r="DU246" s="553"/>
      <c r="DV246" s="553"/>
      <c r="DW246" s="553"/>
      <c r="DX246" s="553"/>
      <c r="DY246" s="553"/>
    </row>
    <row r="247" spans="1:129" s="489" customFormat="1" ht="24" customHeight="1" x14ac:dyDescent="0.9">
      <c r="A247" s="752"/>
      <c r="B247" s="588"/>
      <c r="C247" s="588"/>
      <c r="D247" s="588"/>
      <c r="E247" s="588"/>
      <c r="F247" s="588"/>
      <c r="G247" s="588"/>
      <c r="H247" s="588"/>
      <c r="I247" s="588"/>
      <c r="J247" s="588"/>
      <c r="K247" s="588"/>
      <c r="L247" s="753"/>
      <c r="M247" s="753"/>
      <c r="N247" s="588"/>
      <c r="O247" s="626"/>
      <c r="P247" s="588"/>
      <c r="Q247" s="626"/>
      <c r="R247" s="588"/>
      <c r="S247" s="588"/>
      <c r="T247" s="588"/>
      <c r="U247" s="588"/>
      <c r="V247" s="588"/>
      <c r="W247" s="588"/>
      <c r="X247" s="588"/>
      <c r="Y247" s="588"/>
      <c r="Z247" s="588"/>
      <c r="AA247" s="588"/>
      <c r="AB247" s="588"/>
      <c r="AC247" s="588"/>
      <c r="AD247" s="588"/>
      <c r="AE247" s="626"/>
      <c r="AF247" s="626"/>
      <c r="AG247" s="626"/>
      <c r="AH247" s="626"/>
      <c r="AI247" s="626"/>
      <c r="AJ247" s="626"/>
      <c r="AK247" s="626"/>
      <c r="AL247" s="626"/>
      <c r="AM247" s="626"/>
      <c r="AN247" s="626"/>
      <c r="AO247" s="626"/>
      <c r="AP247" s="626"/>
      <c r="AQ247" s="626"/>
      <c r="AR247" s="626"/>
      <c r="AS247" s="626"/>
      <c r="AT247" s="626"/>
      <c r="AU247" s="626"/>
      <c r="AV247" s="626"/>
      <c r="AW247" s="626"/>
      <c r="AX247" s="626"/>
      <c r="AY247" s="626"/>
      <c r="AZ247" s="626"/>
      <c r="BA247" s="626"/>
      <c r="BB247" s="588"/>
      <c r="BC247" s="626"/>
      <c r="BD247" s="626"/>
      <c r="BE247" s="626"/>
      <c r="BF247" s="626"/>
      <c r="BG247" s="626"/>
      <c r="BH247" s="626"/>
      <c r="BI247" s="588"/>
      <c r="BJ247" s="626"/>
      <c r="BK247" s="626"/>
      <c r="BL247" s="626"/>
      <c r="BM247" s="626"/>
      <c r="BN247" s="626"/>
      <c r="BO247" s="626"/>
      <c r="BP247" s="588"/>
      <c r="BQ247" s="846"/>
      <c r="BR247" s="850"/>
      <c r="BS247" s="588"/>
      <c r="BT247" s="754"/>
      <c r="BU247" s="588"/>
      <c r="BV247" s="588"/>
      <c r="BW247" s="588"/>
      <c r="BX247" s="588"/>
      <c r="BY247" s="588"/>
      <c r="BZ247" s="588"/>
      <c r="CA247" s="588"/>
      <c r="CB247" s="588"/>
      <c r="CC247" s="865"/>
      <c r="CD247" s="588"/>
      <c r="CE247" s="588"/>
      <c r="CF247" s="588"/>
      <c r="CG247" s="588"/>
      <c r="CH247" s="588"/>
      <c r="CI247" s="588"/>
      <c r="CJ247" s="588"/>
      <c r="CK247" s="588"/>
      <c r="CL247" s="588"/>
      <c r="CM247" s="588"/>
      <c r="CN247" s="588"/>
      <c r="CO247" s="588"/>
      <c r="CP247" s="816"/>
      <c r="CQ247" s="805"/>
      <c r="CR247" s="805"/>
      <c r="CS247" s="830"/>
      <c r="CT247" s="588"/>
      <c r="CU247" s="626"/>
      <c r="CV247" s="626"/>
      <c r="CW247" s="626"/>
      <c r="CX247" s="626"/>
      <c r="CY247" s="626"/>
      <c r="CZ247" s="626"/>
      <c r="DA247" s="626"/>
      <c r="DB247" s="626"/>
      <c r="DC247" s="626"/>
      <c r="DD247" s="626"/>
      <c r="DE247" s="626"/>
      <c r="DF247" s="626"/>
      <c r="DG247" s="626"/>
      <c r="DH247" s="626"/>
      <c r="DI247" s="626"/>
      <c r="DJ247" s="626"/>
      <c r="DK247" s="626"/>
      <c r="DL247" s="626"/>
      <c r="DM247" s="761"/>
      <c r="DN247" s="761"/>
      <c r="DO247" s="761"/>
      <c r="DP247" s="553"/>
      <c r="DQ247" s="553"/>
      <c r="DR247" s="553"/>
      <c r="DS247" s="553"/>
      <c r="DT247" s="553"/>
      <c r="DU247" s="553"/>
      <c r="DV247" s="553"/>
      <c r="DW247" s="553"/>
      <c r="DX247" s="553"/>
      <c r="DY247" s="553"/>
    </row>
    <row r="248" spans="1:129" s="489" customFormat="1" ht="24" customHeight="1" x14ac:dyDescent="0.9">
      <c r="A248" s="752"/>
      <c r="B248" s="588"/>
      <c r="C248" s="588"/>
      <c r="D248" s="588"/>
      <c r="E248" s="588"/>
      <c r="F248" s="588"/>
      <c r="G248" s="588"/>
      <c r="H248" s="588"/>
      <c r="I248" s="588"/>
      <c r="J248" s="588"/>
      <c r="K248" s="588"/>
      <c r="L248" s="753"/>
      <c r="M248" s="753"/>
      <c r="N248" s="588"/>
      <c r="O248" s="626"/>
      <c r="P248" s="588"/>
      <c r="Q248" s="626"/>
      <c r="R248" s="588"/>
      <c r="S248" s="588"/>
      <c r="T248" s="588"/>
      <c r="U248" s="588"/>
      <c r="V248" s="588"/>
      <c r="W248" s="588"/>
      <c r="X248" s="588"/>
      <c r="Y248" s="588"/>
      <c r="Z248" s="588"/>
      <c r="AA248" s="588"/>
      <c r="AB248" s="588"/>
      <c r="AC248" s="588"/>
      <c r="AD248" s="588"/>
      <c r="AE248" s="626"/>
      <c r="AF248" s="626"/>
      <c r="AG248" s="626"/>
      <c r="AH248" s="626"/>
      <c r="AI248" s="626"/>
      <c r="AJ248" s="626"/>
      <c r="AK248" s="626"/>
      <c r="AL248" s="626"/>
      <c r="AM248" s="626"/>
      <c r="AN248" s="626"/>
      <c r="AO248" s="626"/>
      <c r="AP248" s="626"/>
      <c r="AQ248" s="626"/>
      <c r="AR248" s="626"/>
      <c r="AS248" s="626"/>
      <c r="AT248" s="626"/>
      <c r="AU248" s="626"/>
      <c r="AV248" s="626"/>
      <c r="AW248" s="626"/>
      <c r="AX248" s="626"/>
      <c r="AY248" s="626"/>
      <c r="AZ248" s="626"/>
      <c r="BA248" s="626"/>
      <c r="BB248" s="588"/>
      <c r="BC248" s="626"/>
      <c r="BD248" s="626"/>
      <c r="BE248" s="626"/>
      <c r="BF248" s="626"/>
      <c r="BG248" s="626"/>
      <c r="BH248" s="626"/>
      <c r="BI248" s="588"/>
      <c r="BJ248" s="626"/>
      <c r="BK248" s="626"/>
      <c r="BL248" s="626"/>
      <c r="BM248" s="626"/>
      <c r="BN248" s="626"/>
      <c r="BO248" s="626"/>
      <c r="BP248" s="588"/>
      <c r="BQ248" s="846"/>
      <c r="BR248" s="850"/>
      <c r="BS248" s="588"/>
      <c r="BT248" s="754"/>
      <c r="BU248" s="588"/>
      <c r="BV248" s="588"/>
      <c r="BW248" s="588"/>
      <c r="BX248" s="588"/>
      <c r="BY248" s="588"/>
      <c r="BZ248" s="588"/>
      <c r="CA248" s="588"/>
      <c r="CB248" s="588"/>
      <c r="CC248" s="865"/>
      <c r="CD248" s="588"/>
      <c r="CE248" s="588"/>
      <c r="CF248" s="588"/>
      <c r="CG248" s="588"/>
      <c r="CH248" s="588"/>
      <c r="CI248" s="588"/>
      <c r="CJ248" s="588"/>
      <c r="CK248" s="588"/>
      <c r="CL248" s="588"/>
      <c r="CM248" s="588"/>
      <c r="CN248" s="588"/>
      <c r="CO248" s="588"/>
      <c r="CP248" s="816"/>
      <c r="CQ248" s="805"/>
      <c r="CR248" s="805"/>
      <c r="CS248" s="830"/>
      <c r="CT248" s="588"/>
      <c r="CU248" s="626"/>
      <c r="CV248" s="626"/>
      <c r="CW248" s="626"/>
      <c r="CX248" s="626"/>
      <c r="CY248" s="626"/>
      <c r="CZ248" s="626"/>
      <c r="DA248" s="626"/>
      <c r="DB248" s="626"/>
      <c r="DC248" s="626"/>
      <c r="DD248" s="626"/>
      <c r="DE248" s="626"/>
      <c r="DF248" s="626"/>
      <c r="DG248" s="626"/>
      <c r="DH248" s="626"/>
      <c r="DI248" s="626"/>
      <c r="DJ248" s="626"/>
      <c r="DK248" s="626"/>
      <c r="DL248" s="626"/>
      <c r="DM248" s="761"/>
      <c r="DN248" s="761"/>
      <c r="DO248" s="761"/>
      <c r="DP248" s="553"/>
      <c r="DQ248" s="553"/>
      <c r="DR248" s="553"/>
      <c r="DS248" s="553"/>
      <c r="DT248" s="553"/>
      <c r="DU248" s="553"/>
      <c r="DV248" s="553"/>
      <c r="DW248" s="553"/>
      <c r="DX248" s="553"/>
      <c r="DY248" s="553"/>
    </row>
    <row r="249" spans="1:129" s="489" customFormat="1" ht="24" customHeight="1" x14ac:dyDescent="0.9">
      <c r="A249" s="752"/>
      <c r="B249" s="588"/>
      <c r="C249" s="588"/>
      <c r="D249" s="588"/>
      <c r="E249" s="588"/>
      <c r="F249" s="588"/>
      <c r="G249" s="588"/>
      <c r="H249" s="588"/>
      <c r="I249" s="588"/>
      <c r="J249" s="588"/>
      <c r="K249" s="588"/>
      <c r="L249" s="753"/>
      <c r="M249" s="753"/>
      <c r="N249" s="588"/>
      <c r="O249" s="626"/>
      <c r="P249" s="588"/>
      <c r="Q249" s="626"/>
      <c r="R249" s="588"/>
      <c r="S249" s="588"/>
      <c r="T249" s="588"/>
      <c r="U249" s="588"/>
      <c r="V249" s="588"/>
      <c r="W249" s="588"/>
      <c r="X249" s="588"/>
      <c r="Y249" s="588"/>
      <c r="Z249" s="588"/>
      <c r="AA249" s="588"/>
      <c r="AB249" s="588"/>
      <c r="AC249" s="588"/>
      <c r="AD249" s="588"/>
      <c r="AE249" s="626"/>
      <c r="AF249" s="626"/>
      <c r="AG249" s="626"/>
      <c r="AH249" s="626"/>
      <c r="AI249" s="626"/>
      <c r="AJ249" s="626"/>
      <c r="AK249" s="626"/>
      <c r="AL249" s="626"/>
      <c r="AM249" s="626"/>
      <c r="AN249" s="626"/>
      <c r="AO249" s="626"/>
      <c r="AP249" s="626"/>
      <c r="AQ249" s="626"/>
      <c r="AR249" s="626"/>
      <c r="AS249" s="626"/>
      <c r="AT249" s="626"/>
      <c r="AU249" s="626"/>
      <c r="AV249" s="626"/>
      <c r="AW249" s="626"/>
      <c r="AX249" s="626"/>
      <c r="AY249" s="626"/>
      <c r="AZ249" s="626"/>
      <c r="BA249" s="626"/>
      <c r="BB249" s="588"/>
      <c r="BC249" s="626"/>
      <c r="BD249" s="626"/>
      <c r="BE249" s="626"/>
      <c r="BF249" s="626"/>
      <c r="BG249" s="626"/>
      <c r="BH249" s="626"/>
      <c r="BI249" s="588"/>
      <c r="BJ249" s="626"/>
      <c r="BK249" s="626"/>
      <c r="BL249" s="626"/>
      <c r="BM249" s="626"/>
      <c r="BN249" s="626"/>
      <c r="BO249" s="626"/>
      <c r="BP249" s="588"/>
      <c r="BQ249" s="846"/>
      <c r="BR249" s="850"/>
      <c r="BS249" s="588"/>
      <c r="BT249" s="754"/>
      <c r="BU249" s="588"/>
      <c r="BV249" s="588"/>
      <c r="BW249" s="588"/>
      <c r="BX249" s="588"/>
      <c r="BY249" s="588"/>
      <c r="BZ249" s="588"/>
      <c r="CA249" s="588"/>
      <c r="CB249" s="588"/>
      <c r="CC249" s="865"/>
      <c r="CD249" s="588"/>
      <c r="CE249" s="588"/>
      <c r="CF249" s="588"/>
      <c r="CG249" s="588"/>
      <c r="CH249" s="588"/>
      <c r="CI249" s="588"/>
      <c r="CJ249" s="588"/>
      <c r="CK249" s="588"/>
      <c r="CL249" s="588"/>
      <c r="CM249" s="588"/>
      <c r="CN249" s="588"/>
      <c r="CO249" s="588"/>
      <c r="CP249" s="816"/>
      <c r="CQ249" s="805"/>
      <c r="CR249" s="805"/>
      <c r="CS249" s="830"/>
      <c r="CT249" s="588"/>
      <c r="CU249" s="626"/>
      <c r="CV249" s="626"/>
      <c r="CW249" s="626"/>
      <c r="CX249" s="626"/>
      <c r="CY249" s="626"/>
      <c r="CZ249" s="626"/>
      <c r="DA249" s="626"/>
      <c r="DB249" s="626"/>
      <c r="DC249" s="626"/>
      <c r="DD249" s="626"/>
      <c r="DE249" s="626"/>
      <c r="DF249" s="626"/>
      <c r="DG249" s="626"/>
      <c r="DH249" s="626"/>
      <c r="DI249" s="626"/>
      <c r="DJ249" s="626"/>
      <c r="DK249" s="626"/>
      <c r="DL249" s="626"/>
      <c r="DM249" s="761"/>
      <c r="DN249" s="761"/>
      <c r="DO249" s="761"/>
      <c r="DP249" s="553"/>
      <c r="DQ249" s="553"/>
      <c r="DR249" s="553"/>
      <c r="DS249" s="553"/>
      <c r="DT249" s="553"/>
      <c r="DU249" s="553"/>
      <c r="DV249" s="553"/>
      <c r="DW249" s="553"/>
      <c r="DX249" s="553"/>
      <c r="DY249" s="553"/>
    </row>
    <row r="250" spans="1:129" s="489" customFormat="1" ht="24" customHeight="1" x14ac:dyDescent="0.9">
      <c r="A250" s="752"/>
      <c r="B250" s="588"/>
      <c r="C250" s="588"/>
      <c r="D250" s="588"/>
      <c r="E250" s="588"/>
      <c r="F250" s="588"/>
      <c r="G250" s="588"/>
      <c r="H250" s="588"/>
      <c r="I250" s="588"/>
      <c r="J250" s="588"/>
      <c r="K250" s="588"/>
      <c r="L250" s="753"/>
      <c r="M250" s="753"/>
      <c r="N250" s="588"/>
      <c r="O250" s="626"/>
      <c r="P250" s="588"/>
      <c r="Q250" s="626"/>
      <c r="R250" s="588"/>
      <c r="S250" s="588"/>
      <c r="T250" s="588"/>
      <c r="U250" s="588"/>
      <c r="V250" s="588"/>
      <c r="W250" s="588"/>
      <c r="X250" s="588"/>
      <c r="Y250" s="588"/>
      <c r="Z250" s="588"/>
      <c r="AA250" s="588"/>
      <c r="AB250" s="588"/>
      <c r="AC250" s="588"/>
      <c r="AD250" s="588"/>
      <c r="AE250" s="626"/>
      <c r="AF250" s="626"/>
      <c r="AG250" s="626"/>
      <c r="AH250" s="626"/>
      <c r="AI250" s="626"/>
      <c r="AJ250" s="626"/>
      <c r="AK250" s="626"/>
      <c r="AL250" s="626"/>
      <c r="AM250" s="626"/>
      <c r="AN250" s="626"/>
      <c r="AO250" s="626"/>
      <c r="AP250" s="626"/>
      <c r="AQ250" s="626"/>
      <c r="AR250" s="626"/>
      <c r="AS250" s="626"/>
      <c r="AT250" s="626"/>
      <c r="AU250" s="626"/>
      <c r="AV250" s="626"/>
      <c r="AW250" s="626"/>
      <c r="AX250" s="626"/>
      <c r="AY250" s="626"/>
      <c r="AZ250" s="626"/>
      <c r="BA250" s="626"/>
      <c r="BB250" s="588"/>
      <c r="BC250" s="626"/>
      <c r="BD250" s="626"/>
      <c r="BE250" s="626"/>
      <c r="BF250" s="626"/>
      <c r="BG250" s="626"/>
      <c r="BH250" s="626"/>
      <c r="BI250" s="588"/>
      <c r="BJ250" s="626"/>
      <c r="BK250" s="626"/>
      <c r="BL250" s="626"/>
      <c r="BM250" s="626"/>
      <c r="BN250" s="626"/>
      <c r="BO250" s="626"/>
      <c r="BP250" s="588"/>
      <c r="BQ250" s="846"/>
      <c r="BR250" s="850"/>
      <c r="BS250" s="588"/>
      <c r="BT250" s="754"/>
      <c r="BU250" s="588"/>
      <c r="BV250" s="588"/>
      <c r="BW250" s="588"/>
      <c r="BX250" s="588"/>
      <c r="BY250" s="588"/>
      <c r="BZ250" s="588"/>
      <c r="CA250" s="588"/>
      <c r="CB250" s="588"/>
      <c r="CC250" s="865"/>
      <c r="CD250" s="588"/>
      <c r="CE250" s="588"/>
      <c r="CF250" s="588"/>
      <c r="CG250" s="588"/>
      <c r="CH250" s="588"/>
      <c r="CI250" s="588"/>
      <c r="CJ250" s="588"/>
      <c r="CK250" s="588"/>
      <c r="CL250" s="588"/>
      <c r="CM250" s="588"/>
      <c r="CN250" s="588"/>
      <c r="CO250" s="588"/>
      <c r="CP250" s="816"/>
      <c r="CQ250" s="805"/>
      <c r="CR250" s="805"/>
      <c r="CS250" s="830"/>
      <c r="CT250" s="588"/>
      <c r="CU250" s="626"/>
      <c r="CV250" s="626"/>
      <c r="CW250" s="626"/>
      <c r="CX250" s="626"/>
      <c r="CY250" s="626"/>
      <c r="CZ250" s="626"/>
      <c r="DA250" s="626"/>
      <c r="DB250" s="626"/>
      <c r="DC250" s="626"/>
      <c r="DD250" s="626"/>
      <c r="DE250" s="626"/>
      <c r="DF250" s="626"/>
      <c r="DG250" s="626"/>
      <c r="DH250" s="626"/>
      <c r="DI250" s="626"/>
      <c r="DJ250" s="626"/>
      <c r="DK250" s="626"/>
      <c r="DL250" s="626"/>
      <c r="DM250" s="761"/>
      <c r="DN250" s="761"/>
      <c r="DO250" s="761"/>
      <c r="DP250" s="553"/>
      <c r="DQ250" s="553"/>
      <c r="DR250" s="553"/>
      <c r="DS250" s="553"/>
      <c r="DT250" s="553"/>
      <c r="DU250" s="553"/>
      <c r="DV250" s="553"/>
      <c r="DW250" s="553"/>
      <c r="DX250" s="553"/>
      <c r="DY250" s="553"/>
    </row>
    <row r="251" spans="1:129" s="489" customFormat="1" ht="24" customHeight="1" x14ac:dyDescent="0.9">
      <c r="A251" s="752"/>
      <c r="B251" s="588"/>
      <c r="C251" s="588"/>
      <c r="D251" s="588"/>
      <c r="E251" s="588"/>
      <c r="F251" s="588"/>
      <c r="G251" s="588"/>
      <c r="H251" s="588"/>
      <c r="I251" s="588"/>
      <c r="J251" s="588"/>
      <c r="K251" s="588"/>
      <c r="L251" s="753"/>
      <c r="M251" s="753"/>
      <c r="N251" s="588"/>
      <c r="O251" s="626"/>
      <c r="P251" s="588"/>
      <c r="Q251" s="626"/>
      <c r="R251" s="588"/>
      <c r="S251" s="588"/>
      <c r="T251" s="588"/>
      <c r="U251" s="588"/>
      <c r="V251" s="588"/>
      <c r="W251" s="588"/>
      <c r="X251" s="588"/>
      <c r="Y251" s="588"/>
      <c r="Z251" s="588"/>
      <c r="AA251" s="588"/>
      <c r="AB251" s="588"/>
      <c r="AC251" s="588"/>
      <c r="AD251" s="588"/>
      <c r="AE251" s="626"/>
      <c r="AF251" s="626"/>
      <c r="AG251" s="626"/>
      <c r="AH251" s="626"/>
      <c r="AI251" s="626"/>
      <c r="AJ251" s="626"/>
      <c r="AK251" s="626"/>
      <c r="AL251" s="626"/>
      <c r="AM251" s="626"/>
      <c r="AN251" s="626"/>
      <c r="AO251" s="626"/>
      <c r="AP251" s="626"/>
      <c r="AQ251" s="626"/>
      <c r="AR251" s="626"/>
      <c r="AS251" s="626"/>
      <c r="AT251" s="626"/>
      <c r="AU251" s="626"/>
      <c r="AV251" s="626"/>
      <c r="AW251" s="626"/>
      <c r="AX251" s="626"/>
      <c r="AY251" s="626"/>
      <c r="AZ251" s="626"/>
      <c r="BA251" s="626"/>
      <c r="BB251" s="588"/>
      <c r="BC251" s="626"/>
      <c r="BD251" s="626"/>
      <c r="BE251" s="626"/>
      <c r="BF251" s="626"/>
      <c r="BG251" s="626"/>
      <c r="BH251" s="626"/>
      <c r="BI251" s="588"/>
      <c r="BJ251" s="626"/>
      <c r="BK251" s="626"/>
      <c r="BL251" s="626"/>
      <c r="BM251" s="626"/>
      <c r="BN251" s="626"/>
      <c r="BO251" s="626"/>
      <c r="BP251" s="588"/>
      <c r="BQ251" s="846"/>
      <c r="BR251" s="850"/>
      <c r="BS251" s="588"/>
      <c r="BT251" s="754"/>
      <c r="BU251" s="588"/>
      <c r="BV251" s="588"/>
      <c r="BW251" s="588"/>
      <c r="BX251" s="588"/>
      <c r="BY251" s="588"/>
      <c r="BZ251" s="588"/>
      <c r="CA251" s="588"/>
      <c r="CB251" s="588"/>
      <c r="CC251" s="865"/>
      <c r="CD251" s="588"/>
      <c r="CE251" s="588"/>
      <c r="CF251" s="588"/>
      <c r="CG251" s="588"/>
      <c r="CH251" s="588"/>
      <c r="CI251" s="588"/>
      <c r="CJ251" s="588"/>
      <c r="CK251" s="588"/>
      <c r="CL251" s="588"/>
      <c r="CM251" s="588"/>
      <c r="CN251" s="588"/>
      <c r="CO251" s="588"/>
      <c r="CP251" s="816"/>
      <c r="CQ251" s="805"/>
      <c r="CR251" s="805"/>
      <c r="CS251" s="830"/>
      <c r="CT251" s="588"/>
      <c r="CU251" s="626"/>
      <c r="CV251" s="626"/>
      <c r="CW251" s="626"/>
      <c r="CX251" s="626"/>
      <c r="CY251" s="626"/>
      <c r="CZ251" s="626"/>
      <c r="DA251" s="626"/>
      <c r="DB251" s="626"/>
      <c r="DC251" s="626"/>
      <c r="DD251" s="626"/>
      <c r="DE251" s="626"/>
      <c r="DF251" s="626"/>
      <c r="DG251" s="626"/>
      <c r="DH251" s="626"/>
      <c r="DI251" s="626"/>
      <c r="DJ251" s="626"/>
      <c r="DK251" s="626"/>
      <c r="DL251" s="626"/>
      <c r="DM251" s="761"/>
      <c r="DN251" s="761"/>
      <c r="DO251" s="761"/>
      <c r="DP251" s="553"/>
      <c r="DQ251" s="553"/>
      <c r="DR251" s="553"/>
      <c r="DS251" s="553"/>
      <c r="DT251" s="553"/>
      <c r="DU251" s="553"/>
      <c r="DV251" s="553"/>
      <c r="DW251" s="553"/>
      <c r="DX251" s="553"/>
      <c r="DY251" s="553"/>
    </row>
    <row r="252" spans="1:129" s="489" customFormat="1" ht="24" customHeight="1" x14ac:dyDescent="0.9">
      <c r="A252" s="752"/>
      <c r="B252" s="588"/>
      <c r="C252" s="588"/>
      <c r="D252" s="588"/>
      <c r="E252" s="588"/>
      <c r="F252" s="588"/>
      <c r="G252" s="588"/>
      <c r="H252" s="588"/>
      <c r="I252" s="588"/>
      <c r="J252" s="588"/>
      <c r="K252" s="588"/>
      <c r="L252" s="753"/>
      <c r="M252" s="753"/>
      <c r="N252" s="588"/>
      <c r="O252" s="626"/>
      <c r="P252" s="588"/>
      <c r="Q252" s="626"/>
      <c r="R252" s="588"/>
      <c r="S252" s="588"/>
      <c r="T252" s="588"/>
      <c r="U252" s="588"/>
      <c r="V252" s="588"/>
      <c r="W252" s="588"/>
      <c r="X252" s="588"/>
      <c r="Y252" s="588"/>
      <c r="Z252" s="588"/>
      <c r="AA252" s="588"/>
      <c r="AB252" s="588"/>
      <c r="AC252" s="588"/>
      <c r="AD252" s="588"/>
      <c r="AE252" s="626"/>
      <c r="AF252" s="626"/>
      <c r="AG252" s="626"/>
      <c r="AH252" s="626"/>
      <c r="AI252" s="626"/>
      <c r="AJ252" s="626"/>
      <c r="AK252" s="626"/>
      <c r="AL252" s="626"/>
      <c r="AM252" s="626"/>
      <c r="AN252" s="626"/>
      <c r="AO252" s="626"/>
      <c r="AP252" s="626"/>
      <c r="AQ252" s="626"/>
      <c r="AR252" s="626"/>
      <c r="AS252" s="626"/>
      <c r="AT252" s="626"/>
      <c r="AU252" s="626"/>
      <c r="AV252" s="626"/>
      <c r="AW252" s="626"/>
      <c r="AX252" s="626"/>
      <c r="AY252" s="626"/>
      <c r="AZ252" s="626"/>
      <c r="BA252" s="626"/>
      <c r="BB252" s="588"/>
      <c r="BC252" s="626"/>
      <c r="BD252" s="626"/>
      <c r="BE252" s="626"/>
      <c r="BF252" s="626"/>
      <c r="BG252" s="626"/>
      <c r="BH252" s="626"/>
      <c r="BI252" s="588"/>
      <c r="BJ252" s="626"/>
      <c r="BK252" s="626"/>
      <c r="BL252" s="626"/>
      <c r="BM252" s="626"/>
      <c r="BN252" s="626"/>
      <c r="BO252" s="626"/>
      <c r="BP252" s="588"/>
      <c r="BQ252" s="846"/>
      <c r="BR252" s="850"/>
      <c r="BS252" s="588"/>
      <c r="BT252" s="754"/>
      <c r="BU252" s="588"/>
      <c r="BV252" s="588"/>
      <c r="BW252" s="588"/>
      <c r="BX252" s="588"/>
      <c r="BY252" s="588"/>
      <c r="BZ252" s="588"/>
      <c r="CA252" s="588"/>
      <c r="CB252" s="588"/>
      <c r="CC252" s="865"/>
      <c r="CD252" s="588"/>
      <c r="CE252" s="588"/>
      <c r="CF252" s="588"/>
      <c r="CG252" s="588"/>
      <c r="CH252" s="588"/>
      <c r="CI252" s="588"/>
      <c r="CJ252" s="588"/>
      <c r="CK252" s="588"/>
      <c r="CL252" s="588"/>
      <c r="CM252" s="588"/>
      <c r="CN252" s="588"/>
      <c r="CO252" s="588"/>
      <c r="CP252" s="816"/>
      <c r="CQ252" s="805"/>
      <c r="CR252" s="805"/>
      <c r="CS252" s="830"/>
      <c r="CT252" s="588"/>
      <c r="CU252" s="626"/>
      <c r="CV252" s="626"/>
      <c r="CW252" s="626"/>
      <c r="CX252" s="626"/>
      <c r="CY252" s="626"/>
      <c r="CZ252" s="626"/>
      <c r="DA252" s="626"/>
      <c r="DB252" s="626"/>
      <c r="DC252" s="626"/>
      <c r="DD252" s="626"/>
      <c r="DE252" s="626"/>
      <c r="DF252" s="626"/>
      <c r="DG252" s="626"/>
      <c r="DH252" s="626"/>
      <c r="DI252" s="626"/>
      <c r="DJ252" s="626"/>
      <c r="DK252" s="626"/>
      <c r="DL252" s="626"/>
      <c r="DM252" s="761"/>
      <c r="DN252" s="761"/>
      <c r="DO252" s="761"/>
      <c r="DP252" s="553"/>
      <c r="DQ252" s="553"/>
      <c r="DR252" s="553"/>
      <c r="DS252" s="553"/>
      <c r="DT252" s="553"/>
      <c r="DU252" s="553"/>
      <c r="DV252" s="553"/>
      <c r="DW252" s="553"/>
      <c r="DX252" s="553"/>
      <c r="DY252" s="553"/>
    </row>
    <row r="253" spans="1:129" s="489" customFormat="1" ht="24" customHeight="1" x14ac:dyDescent="0.9">
      <c r="A253" s="752"/>
      <c r="B253" s="588"/>
      <c r="C253" s="588"/>
      <c r="D253" s="588"/>
      <c r="E253" s="588"/>
      <c r="F253" s="588"/>
      <c r="G253" s="588"/>
      <c r="H253" s="588"/>
      <c r="I253" s="588"/>
      <c r="J253" s="588"/>
      <c r="K253" s="588"/>
      <c r="L253" s="753"/>
      <c r="M253" s="753"/>
      <c r="N253" s="588"/>
      <c r="O253" s="626"/>
      <c r="P253" s="588"/>
      <c r="Q253" s="626"/>
      <c r="R253" s="588"/>
      <c r="S253" s="588"/>
      <c r="T253" s="588"/>
      <c r="U253" s="588"/>
      <c r="V253" s="588"/>
      <c r="W253" s="588"/>
      <c r="X253" s="588"/>
      <c r="Y253" s="588"/>
      <c r="Z253" s="588"/>
      <c r="AA253" s="588"/>
      <c r="AB253" s="588"/>
      <c r="AC253" s="588"/>
      <c r="AD253" s="588"/>
      <c r="AE253" s="626"/>
      <c r="AF253" s="626"/>
      <c r="AG253" s="626"/>
      <c r="AH253" s="626"/>
      <c r="AI253" s="626"/>
      <c r="AJ253" s="626"/>
      <c r="AK253" s="626"/>
      <c r="AL253" s="626"/>
      <c r="AM253" s="626"/>
      <c r="AN253" s="626"/>
      <c r="AO253" s="626"/>
      <c r="AP253" s="626"/>
      <c r="AQ253" s="626"/>
      <c r="AR253" s="626"/>
      <c r="AS253" s="626"/>
      <c r="AT253" s="626"/>
      <c r="AU253" s="626"/>
      <c r="AV253" s="626"/>
      <c r="AW253" s="626"/>
      <c r="AX253" s="626"/>
      <c r="AY253" s="626"/>
      <c r="AZ253" s="626"/>
      <c r="BA253" s="626"/>
      <c r="BB253" s="588"/>
      <c r="BC253" s="626"/>
      <c r="BD253" s="626"/>
      <c r="BE253" s="626"/>
      <c r="BF253" s="626"/>
      <c r="BG253" s="626"/>
      <c r="BH253" s="626"/>
      <c r="BI253" s="588"/>
      <c r="BJ253" s="626"/>
      <c r="BK253" s="626"/>
      <c r="BL253" s="626"/>
      <c r="BM253" s="626"/>
      <c r="BN253" s="626"/>
      <c r="BO253" s="626"/>
      <c r="BP253" s="588"/>
      <c r="BQ253" s="846"/>
      <c r="BR253" s="850"/>
      <c r="BS253" s="588"/>
      <c r="BT253" s="754"/>
      <c r="BU253" s="588"/>
      <c r="BV253" s="588"/>
      <c r="BW253" s="588"/>
      <c r="BX253" s="588"/>
      <c r="BY253" s="588"/>
      <c r="BZ253" s="588"/>
      <c r="CA253" s="588"/>
      <c r="CB253" s="588"/>
      <c r="CC253" s="865"/>
      <c r="CD253" s="588"/>
      <c r="CE253" s="588"/>
      <c r="CF253" s="588"/>
      <c r="CG253" s="588"/>
      <c r="CH253" s="588"/>
      <c r="CI253" s="588"/>
      <c r="CJ253" s="588"/>
      <c r="CK253" s="588"/>
      <c r="CL253" s="588"/>
      <c r="CM253" s="588"/>
      <c r="CN253" s="588"/>
      <c r="CO253" s="588"/>
      <c r="CP253" s="816"/>
      <c r="CQ253" s="805"/>
      <c r="CR253" s="805"/>
      <c r="CS253" s="830"/>
      <c r="CT253" s="588"/>
      <c r="CU253" s="626"/>
      <c r="CV253" s="626"/>
      <c r="CW253" s="626"/>
      <c r="CX253" s="626"/>
      <c r="CY253" s="626"/>
      <c r="CZ253" s="626"/>
      <c r="DA253" s="626"/>
      <c r="DB253" s="626"/>
      <c r="DC253" s="626"/>
      <c r="DD253" s="626"/>
      <c r="DE253" s="626"/>
      <c r="DF253" s="626"/>
      <c r="DG253" s="626"/>
      <c r="DH253" s="626"/>
      <c r="DI253" s="626"/>
      <c r="DJ253" s="626"/>
      <c r="DK253" s="626"/>
      <c r="DL253" s="626"/>
      <c r="DM253" s="761"/>
      <c r="DN253" s="761"/>
      <c r="DO253" s="761"/>
      <c r="DP253" s="553"/>
      <c r="DQ253" s="553"/>
      <c r="DR253" s="553"/>
      <c r="DS253" s="553"/>
      <c r="DT253" s="553"/>
      <c r="DU253" s="553"/>
      <c r="DV253" s="553"/>
      <c r="DW253" s="553"/>
      <c r="DX253" s="553"/>
      <c r="DY253" s="553"/>
    </row>
    <row r="254" spans="1:129" s="489" customFormat="1" ht="24" customHeight="1" x14ac:dyDescent="0.9">
      <c r="A254" s="752"/>
      <c r="B254" s="588"/>
      <c r="C254" s="588"/>
      <c r="D254" s="588"/>
      <c r="E254" s="588"/>
      <c r="F254" s="588"/>
      <c r="G254" s="588"/>
      <c r="H254" s="588"/>
      <c r="I254" s="588"/>
      <c r="J254" s="588"/>
      <c r="K254" s="588"/>
      <c r="L254" s="753"/>
      <c r="M254" s="753"/>
      <c r="N254" s="588"/>
      <c r="O254" s="626"/>
      <c r="P254" s="588"/>
      <c r="Q254" s="626"/>
      <c r="R254" s="588"/>
      <c r="S254" s="588"/>
      <c r="T254" s="588"/>
      <c r="U254" s="588"/>
      <c r="V254" s="588"/>
      <c r="W254" s="588"/>
      <c r="X254" s="588"/>
      <c r="Y254" s="588"/>
      <c r="Z254" s="588"/>
      <c r="AA254" s="588"/>
      <c r="AB254" s="588"/>
      <c r="AC254" s="588"/>
      <c r="AD254" s="588"/>
      <c r="AE254" s="626"/>
      <c r="AF254" s="626"/>
      <c r="AG254" s="626"/>
      <c r="AH254" s="626"/>
      <c r="AI254" s="626"/>
      <c r="AJ254" s="626"/>
      <c r="AK254" s="626"/>
      <c r="AL254" s="626"/>
      <c r="AM254" s="626"/>
      <c r="AN254" s="626"/>
      <c r="AO254" s="626"/>
      <c r="AP254" s="626"/>
      <c r="AQ254" s="626"/>
      <c r="AR254" s="626"/>
      <c r="AS254" s="626"/>
      <c r="AT254" s="626"/>
      <c r="AU254" s="626"/>
      <c r="AV254" s="626"/>
      <c r="AW254" s="626"/>
      <c r="AX254" s="626"/>
      <c r="AY254" s="626"/>
      <c r="AZ254" s="626"/>
      <c r="BA254" s="626"/>
      <c r="BB254" s="588"/>
      <c r="BC254" s="626"/>
      <c r="BD254" s="626"/>
      <c r="BE254" s="626"/>
      <c r="BF254" s="626"/>
      <c r="BG254" s="626"/>
      <c r="BH254" s="626"/>
      <c r="BI254" s="588"/>
      <c r="BJ254" s="626"/>
      <c r="BK254" s="626"/>
      <c r="BL254" s="626"/>
      <c r="BM254" s="626"/>
      <c r="BN254" s="626"/>
      <c r="BO254" s="626"/>
      <c r="BP254" s="588"/>
      <c r="BQ254" s="846"/>
      <c r="BR254" s="850"/>
      <c r="BS254" s="588"/>
      <c r="BT254" s="754"/>
      <c r="BU254" s="588"/>
      <c r="BV254" s="588"/>
      <c r="BW254" s="588"/>
      <c r="BX254" s="588"/>
      <c r="BY254" s="588"/>
      <c r="BZ254" s="588"/>
      <c r="CA254" s="588"/>
      <c r="CB254" s="588"/>
      <c r="CC254" s="865"/>
      <c r="CD254" s="588"/>
      <c r="CE254" s="588"/>
      <c r="CF254" s="588"/>
      <c r="CG254" s="588"/>
      <c r="CH254" s="588"/>
      <c r="CI254" s="588"/>
      <c r="CJ254" s="588"/>
      <c r="CK254" s="588"/>
      <c r="CL254" s="588"/>
      <c r="CM254" s="588"/>
      <c r="CN254" s="588"/>
      <c r="CO254" s="588"/>
      <c r="CP254" s="816"/>
      <c r="CQ254" s="805"/>
      <c r="CR254" s="805"/>
      <c r="CS254" s="830"/>
      <c r="CT254" s="588"/>
      <c r="CU254" s="626"/>
      <c r="CV254" s="626"/>
      <c r="CW254" s="626"/>
      <c r="CX254" s="626"/>
      <c r="CY254" s="626"/>
      <c r="CZ254" s="626"/>
      <c r="DA254" s="626"/>
      <c r="DB254" s="626"/>
      <c r="DC254" s="626"/>
      <c r="DD254" s="626"/>
      <c r="DE254" s="626"/>
      <c r="DF254" s="626"/>
      <c r="DG254" s="626"/>
      <c r="DH254" s="626"/>
      <c r="DI254" s="626"/>
      <c r="DJ254" s="626"/>
      <c r="DK254" s="626"/>
      <c r="DL254" s="626"/>
      <c r="DM254" s="761"/>
      <c r="DN254" s="761"/>
      <c r="DO254" s="761"/>
      <c r="DP254" s="553"/>
      <c r="DQ254" s="553"/>
      <c r="DR254" s="553"/>
      <c r="DS254" s="553"/>
      <c r="DT254" s="553"/>
      <c r="DU254" s="553"/>
      <c r="DV254" s="553"/>
      <c r="DW254" s="553"/>
      <c r="DX254" s="553"/>
      <c r="DY254" s="553"/>
    </row>
    <row r="255" spans="1:129" s="489" customFormat="1" ht="24" customHeight="1" x14ac:dyDescent="0.9">
      <c r="A255" s="752"/>
      <c r="B255" s="588"/>
      <c r="C255" s="588"/>
      <c r="D255" s="588"/>
      <c r="E255" s="588"/>
      <c r="F255" s="588"/>
      <c r="G255" s="588"/>
      <c r="H255" s="588"/>
      <c r="I255" s="588"/>
      <c r="J255" s="588"/>
      <c r="K255" s="588"/>
      <c r="L255" s="753"/>
      <c r="M255" s="753"/>
      <c r="N255" s="588"/>
      <c r="O255" s="626"/>
      <c r="P255" s="588"/>
      <c r="Q255" s="626"/>
      <c r="R255" s="588"/>
      <c r="S255" s="588"/>
      <c r="T255" s="588"/>
      <c r="U255" s="588"/>
      <c r="V255" s="588"/>
      <c r="W255" s="588"/>
      <c r="X255" s="588"/>
      <c r="Y255" s="588"/>
      <c r="Z255" s="588"/>
      <c r="AA255" s="588"/>
      <c r="AB255" s="588"/>
      <c r="AC255" s="588"/>
      <c r="AD255" s="588"/>
      <c r="AE255" s="626"/>
      <c r="AF255" s="626"/>
      <c r="AG255" s="626"/>
      <c r="AH255" s="626"/>
      <c r="AI255" s="626"/>
      <c r="AJ255" s="626"/>
      <c r="AK255" s="626"/>
      <c r="AL255" s="626"/>
      <c r="AM255" s="626"/>
      <c r="AN255" s="626"/>
      <c r="AO255" s="626"/>
      <c r="AP255" s="626"/>
      <c r="AQ255" s="626"/>
      <c r="AR255" s="626"/>
      <c r="AS255" s="626"/>
      <c r="AT255" s="626"/>
      <c r="AU255" s="626"/>
      <c r="AV255" s="626"/>
      <c r="AW255" s="626"/>
      <c r="AX255" s="626"/>
      <c r="AY255" s="626"/>
      <c r="AZ255" s="626"/>
      <c r="BA255" s="626"/>
      <c r="BB255" s="588"/>
      <c r="BC255" s="626"/>
      <c r="BD255" s="626"/>
      <c r="BE255" s="626"/>
      <c r="BF255" s="626"/>
      <c r="BG255" s="626"/>
      <c r="BH255" s="626"/>
      <c r="BI255" s="588"/>
      <c r="BJ255" s="626"/>
      <c r="BK255" s="626"/>
      <c r="BL255" s="626"/>
      <c r="BM255" s="626"/>
      <c r="BN255" s="626"/>
      <c r="BO255" s="626"/>
      <c r="BP255" s="588"/>
      <c r="BQ255" s="846"/>
      <c r="BR255" s="850"/>
      <c r="BS255" s="588"/>
      <c r="BT255" s="754"/>
      <c r="BU255" s="588"/>
      <c r="BV255" s="588"/>
      <c r="BW255" s="588"/>
      <c r="BX255" s="588"/>
      <c r="BY255" s="588"/>
      <c r="BZ255" s="588"/>
      <c r="CA255" s="588"/>
      <c r="CB255" s="588"/>
      <c r="CC255" s="865"/>
      <c r="CD255" s="588"/>
      <c r="CE255" s="588"/>
      <c r="CF255" s="588"/>
      <c r="CG255" s="588"/>
      <c r="CH255" s="588"/>
      <c r="CI255" s="588"/>
      <c r="CJ255" s="588"/>
      <c r="CK255" s="588"/>
      <c r="CL255" s="588"/>
      <c r="CM255" s="588"/>
      <c r="CN255" s="588"/>
      <c r="CO255" s="588"/>
      <c r="CP255" s="816"/>
      <c r="CQ255" s="805"/>
      <c r="CR255" s="805"/>
      <c r="CS255" s="830"/>
      <c r="CT255" s="588"/>
      <c r="CU255" s="626"/>
      <c r="CV255" s="626"/>
      <c r="CW255" s="626"/>
      <c r="CX255" s="626"/>
      <c r="CY255" s="626"/>
      <c r="CZ255" s="626"/>
      <c r="DA255" s="626"/>
      <c r="DB255" s="626"/>
      <c r="DC255" s="626"/>
      <c r="DD255" s="626"/>
      <c r="DE255" s="626"/>
      <c r="DF255" s="626"/>
      <c r="DG255" s="626"/>
      <c r="DH255" s="626"/>
      <c r="DI255" s="626"/>
      <c r="DJ255" s="626"/>
      <c r="DK255" s="626"/>
      <c r="DL255" s="626"/>
      <c r="DM255" s="761"/>
      <c r="DN255" s="761"/>
      <c r="DO255" s="761"/>
      <c r="DP255" s="553"/>
      <c r="DQ255" s="553"/>
      <c r="DR255" s="553"/>
      <c r="DS255" s="553"/>
      <c r="DT255" s="553"/>
      <c r="DU255" s="553"/>
      <c r="DV255" s="553"/>
      <c r="DW255" s="553"/>
      <c r="DX255" s="553"/>
      <c r="DY255" s="553"/>
    </row>
    <row r="256" spans="1:129" s="489" customFormat="1" ht="24" customHeight="1" x14ac:dyDescent="0.9">
      <c r="A256" s="752"/>
      <c r="B256" s="588"/>
      <c r="C256" s="588"/>
      <c r="D256" s="588"/>
      <c r="E256" s="588"/>
      <c r="F256" s="588"/>
      <c r="G256" s="588"/>
      <c r="H256" s="588"/>
      <c r="I256" s="588"/>
      <c r="J256" s="588"/>
      <c r="K256" s="588"/>
      <c r="L256" s="753"/>
      <c r="M256" s="753"/>
      <c r="N256" s="588"/>
      <c r="O256" s="626"/>
      <c r="P256" s="588"/>
      <c r="Q256" s="626"/>
      <c r="R256" s="588"/>
      <c r="S256" s="588"/>
      <c r="T256" s="588"/>
      <c r="U256" s="588"/>
      <c r="V256" s="588"/>
      <c r="W256" s="588"/>
      <c r="X256" s="588"/>
      <c r="Y256" s="588"/>
      <c r="Z256" s="588"/>
      <c r="AA256" s="588"/>
      <c r="AB256" s="588"/>
      <c r="AC256" s="588"/>
      <c r="AD256" s="588"/>
      <c r="AE256" s="626"/>
      <c r="AF256" s="626"/>
      <c r="AG256" s="626"/>
      <c r="AH256" s="626"/>
      <c r="AI256" s="626"/>
      <c r="AJ256" s="626"/>
      <c r="AK256" s="626"/>
      <c r="AL256" s="626"/>
      <c r="AM256" s="626"/>
      <c r="AN256" s="626"/>
      <c r="AO256" s="626"/>
      <c r="AP256" s="626"/>
      <c r="AQ256" s="626"/>
      <c r="AR256" s="626"/>
      <c r="AS256" s="626"/>
      <c r="AT256" s="626"/>
      <c r="AU256" s="626"/>
      <c r="AV256" s="626"/>
      <c r="AW256" s="626"/>
      <c r="AX256" s="626"/>
      <c r="AY256" s="626"/>
      <c r="AZ256" s="626"/>
      <c r="BA256" s="626"/>
      <c r="BB256" s="588"/>
      <c r="BC256" s="626"/>
      <c r="BD256" s="626"/>
      <c r="BE256" s="626"/>
      <c r="BF256" s="626"/>
      <c r="BG256" s="626"/>
      <c r="BH256" s="626"/>
      <c r="BI256" s="588"/>
      <c r="BJ256" s="626"/>
      <c r="BK256" s="626"/>
      <c r="BL256" s="626"/>
      <c r="BM256" s="626"/>
      <c r="BN256" s="626"/>
      <c r="BO256" s="626"/>
      <c r="BP256" s="588"/>
      <c r="BQ256" s="846"/>
      <c r="BR256" s="850"/>
      <c r="BS256" s="588"/>
      <c r="BT256" s="754"/>
      <c r="BU256" s="588"/>
      <c r="BV256" s="588"/>
      <c r="BW256" s="588"/>
      <c r="BX256" s="588"/>
      <c r="BY256" s="588"/>
      <c r="BZ256" s="588"/>
      <c r="CA256" s="588"/>
      <c r="CB256" s="588"/>
      <c r="CC256" s="865"/>
      <c r="CD256" s="588"/>
      <c r="CE256" s="588"/>
      <c r="CF256" s="588"/>
      <c r="CG256" s="588"/>
      <c r="CH256" s="588"/>
      <c r="CI256" s="588"/>
      <c r="CJ256" s="588"/>
      <c r="CK256" s="588"/>
      <c r="CL256" s="588"/>
      <c r="CM256" s="588"/>
      <c r="CN256" s="588"/>
      <c r="CO256" s="588"/>
      <c r="CP256" s="816"/>
      <c r="CQ256" s="805"/>
      <c r="CR256" s="805"/>
      <c r="CS256" s="830"/>
      <c r="CT256" s="588"/>
      <c r="CU256" s="626"/>
      <c r="CV256" s="626"/>
      <c r="CW256" s="626"/>
      <c r="CX256" s="626"/>
      <c r="CY256" s="626"/>
      <c r="CZ256" s="626"/>
      <c r="DA256" s="626"/>
      <c r="DB256" s="626"/>
      <c r="DC256" s="626"/>
      <c r="DD256" s="626"/>
      <c r="DE256" s="626"/>
      <c r="DF256" s="626"/>
      <c r="DG256" s="626"/>
      <c r="DH256" s="626"/>
      <c r="DI256" s="626"/>
      <c r="DJ256" s="626"/>
      <c r="DK256" s="626"/>
      <c r="DL256" s="626"/>
      <c r="DM256" s="761"/>
      <c r="DN256" s="761"/>
      <c r="DO256" s="761"/>
      <c r="DP256" s="553"/>
      <c r="DQ256" s="553"/>
      <c r="DR256" s="553"/>
      <c r="DS256" s="553"/>
      <c r="DT256" s="553"/>
      <c r="DU256" s="553"/>
      <c r="DV256" s="553"/>
      <c r="DW256" s="553"/>
      <c r="DX256" s="553"/>
      <c r="DY256" s="553"/>
    </row>
    <row r="257" spans="1:129" s="489" customFormat="1" ht="24" customHeight="1" x14ac:dyDescent="0.9">
      <c r="A257" s="752"/>
      <c r="B257" s="588"/>
      <c r="C257" s="588"/>
      <c r="D257" s="588"/>
      <c r="E257" s="588"/>
      <c r="F257" s="588"/>
      <c r="G257" s="588"/>
      <c r="H257" s="588"/>
      <c r="I257" s="588"/>
      <c r="J257" s="588"/>
      <c r="K257" s="588"/>
      <c r="L257" s="753"/>
      <c r="M257" s="753"/>
      <c r="N257" s="588"/>
      <c r="O257" s="626"/>
      <c r="P257" s="588"/>
      <c r="Q257" s="626"/>
      <c r="R257" s="588"/>
      <c r="S257" s="588"/>
      <c r="T257" s="588"/>
      <c r="U257" s="588"/>
      <c r="V257" s="588"/>
      <c r="W257" s="588"/>
      <c r="X257" s="588"/>
      <c r="Y257" s="588"/>
      <c r="Z257" s="588"/>
      <c r="AA257" s="588"/>
      <c r="AB257" s="588"/>
      <c r="AC257" s="588"/>
      <c r="AD257" s="588"/>
      <c r="AE257" s="626"/>
      <c r="AF257" s="626"/>
      <c r="AG257" s="626"/>
      <c r="AH257" s="626"/>
      <c r="AI257" s="626"/>
      <c r="AJ257" s="626"/>
      <c r="AK257" s="626"/>
      <c r="AL257" s="626"/>
      <c r="AM257" s="626"/>
      <c r="AN257" s="626"/>
      <c r="AO257" s="626"/>
      <c r="AP257" s="626"/>
      <c r="AQ257" s="626"/>
      <c r="AR257" s="626"/>
      <c r="AS257" s="626"/>
      <c r="AT257" s="626"/>
      <c r="AU257" s="626"/>
      <c r="AV257" s="626"/>
      <c r="AW257" s="626"/>
      <c r="AX257" s="626"/>
      <c r="AY257" s="626"/>
      <c r="AZ257" s="626"/>
      <c r="BA257" s="626"/>
      <c r="BB257" s="588"/>
      <c r="BC257" s="626"/>
      <c r="BD257" s="626"/>
      <c r="BE257" s="626"/>
      <c r="BF257" s="626"/>
      <c r="BG257" s="626"/>
      <c r="BH257" s="626"/>
      <c r="BI257" s="588"/>
      <c r="BJ257" s="626"/>
      <c r="BK257" s="626"/>
      <c r="BL257" s="626"/>
      <c r="BM257" s="626"/>
      <c r="BN257" s="626"/>
      <c r="BO257" s="626"/>
      <c r="BP257" s="588"/>
      <c r="BQ257" s="846"/>
      <c r="BR257" s="850"/>
      <c r="BS257" s="588"/>
      <c r="BT257" s="754"/>
      <c r="BU257" s="588"/>
      <c r="BV257" s="588"/>
      <c r="BW257" s="588"/>
      <c r="BX257" s="588"/>
      <c r="BY257" s="588"/>
      <c r="BZ257" s="588"/>
      <c r="CA257" s="588"/>
      <c r="CB257" s="588"/>
      <c r="CC257" s="865"/>
      <c r="CD257" s="588"/>
      <c r="CE257" s="588"/>
      <c r="CF257" s="588"/>
      <c r="CG257" s="588"/>
      <c r="CH257" s="588"/>
      <c r="CI257" s="588"/>
      <c r="CJ257" s="588"/>
      <c r="CK257" s="588"/>
      <c r="CL257" s="588"/>
      <c r="CM257" s="588"/>
      <c r="CN257" s="588"/>
      <c r="CO257" s="588"/>
      <c r="CP257" s="816"/>
      <c r="CQ257" s="805"/>
      <c r="CR257" s="805"/>
      <c r="CS257" s="830"/>
      <c r="CT257" s="588"/>
      <c r="CU257" s="626"/>
      <c r="CV257" s="626"/>
      <c r="CW257" s="626"/>
      <c r="CX257" s="626"/>
      <c r="CY257" s="626"/>
      <c r="CZ257" s="626"/>
      <c r="DA257" s="626"/>
      <c r="DB257" s="626"/>
      <c r="DC257" s="626"/>
      <c r="DD257" s="626"/>
      <c r="DE257" s="626"/>
      <c r="DF257" s="626"/>
      <c r="DG257" s="626"/>
      <c r="DH257" s="626"/>
      <c r="DI257" s="626"/>
      <c r="DJ257" s="626"/>
      <c r="DK257" s="626"/>
      <c r="DL257" s="626"/>
      <c r="DM257" s="761"/>
      <c r="DN257" s="761"/>
      <c r="DO257" s="761"/>
      <c r="DP257" s="553"/>
      <c r="DQ257" s="553"/>
      <c r="DR257" s="553"/>
      <c r="DS257" s="553"/>
      <c r="DT257" s="553"/>
      <c r="DU257" s="553"/>
      <c r="DV257" s="553"/>
      <c r="DW257" s="553"/>
      <c r="DX257" s="553"/>
      <c r="DY257" s="553"/>
    </row>
    <row r="258" spans="1:129" s="489" customFormat="1" ht="24" customHeight="1" x14ac:dyDescent="0.9">
      <c r="A258" s="752"/>
      <c r="B258" s="588"/>
      <c r="C258" s="588"/>
      <c r="D258" s="588"/>
      <c r="E258" s="588"/>
      <c r="F258" s="588"/>
      <c r="G258" s="588"/>
      <c r="H258" s="588"/>
      <c r="I258" s="588"/>
      <c r="J258" s="588"/>
      <c r="K258" s="588"/>
      <c r="L258" s="753"/>
      <c r="M258" s="753"/>
      <c r="N258" s="588"/>
      <c r="O258" s="626"/>
      <c r="P258" s="588"/>
      <c r="Q258" s="626"/>
      <c r="R258" s="588"/>
      <c r="S258" s="588"/>
      <c r="T258" s="588"/>
      <c r="U258" s="588"/>
      <c r="V258" s="588"/>
      <c r="W258" s="588"/>
      <c r="X258" s="588"/>
      <c r="Y258" s="588"/>
      <c r="Z258" s="588"/>
      <c r="AA258" s="588"/>
      <c r="AB258" s="588"/>
      <c r="AC258" s="588"/>
      <c r="AD258" s="588"/>
      <c r="AE258" s="626"/>
      <c r="AF258" s="626"/>
      <c r="AG258" s="626"/>
      <c r="AH258" s="626"/>
      <c r="AI258" s="626"/>
      <c r="AJ258" s="626"/>
      <c r="AK258" s="626"/>
      <c r="AL258" s="626"/>
      <c r="AM258" s="626"/>
      <c r="AN258" s="626"/>
      <c r="AO258" s="626"/>
      <c r="AP258" s="626"/>
      <c r="AQ258" s="626"/>
      <c r="AR258" s="626"/>
      <c r="AS258" s="626"/>
      <c r="AT258" s="626"/>
      <c r="AU258" s="626"/>
      <c r="AV258" s="626"/>
      <c r="AW258" s="626"/>
      <c r="AX258" s="626"/>
      <c r="AY258" s="626"/>
      <c r="AZ258" s="626"/>
      <c r="BA258" s="626"/>
      <c r="BB258" s="588"/>
      <c r="BC258" s="626"/>
      <c r="BD258" s="626"/>
      <c r="BE258" s="626"/>
      <c r="BF258" s="626"/>
      <c r="BG258" s="626"/>
      <c r="BH258" s="626"/>
      <c r="BI258" s="588"/>
      <c r="BJ258" s="626"/>
      <c r="BK258" s="626"/>
      <c r="BL258" s="626"/>
      <c r="BM258" s="626"/>
      <c r="BN258" s="626"/>
      <c r="BO258" s="626"/>
      <c r="BP258" s="588"/>
      <c r="BQ258" s="846"/>
      <c r="BR258" s="850"/>
      <c r="BS258" s="588"/>
      <c r="BT258" s="754"/>
      <c r="BU258" s="588"/>
      <c r="BV258" s="588"/>
      <c r="BW258" s="588"/>
      <c r="BX258" s="588"/>
      <c r="BY258" s="588"/>
      <c r="BZ258" s="588"/>
      <c r="CA258" s="588"/>
      <c r="CB258" s="588"/>
      <c r="CC258" s="865"/>
      <c r="CD258" s="588"/>
      <c r="CE258" s="588"/>
      <c r="CF258" s="588"/>
      <c r="CG258" s="588"/>
      <c r="CH258" s="588"/>
      <c r="CI258" s="588"/>
      <c r="CJ258" s="588"/>
      <c r="CK258" s="588"/>
      <c r="CL258" s="588"/>
      <c r="CM258" s="588"/>
      <c r="CN258" s="588"/>
      <c r="CO258" s="588"/>
      <c r="CP258" s="816"/>
      <c r="CQ258" s="805"/>
      <c r="CR258" s="805"/>
      <c r="CS258" s="830"/>
      <c r="CT258" s="588"/>
      <c r="CU258" s="626"/>
      <c r="CV258" s="626"/>
      <c r="CW258" s="626"/>
      <c r="CX258" s="626"/>
      <c r="CY258" s="626"/>
      <c r="CZ258" s="626"/>
      <c r="DA258" s="626"/>
      <c r="DB258" s="626"/>
      <c r="DC258" s="626"/>
      <c r="DD258" s="626"/>
      <c r="DE258" s="626"/>
      <c r="DF258" s="626"/>
      <c r="DG258" s="626"/>
      <c r="DH258" s="626"/>
      <c r="DI258" s="626"/>
      <c r="DJ258" s="626"/>
      <c r="DK258" s="626"/>
      <c r="DL258" s="626"/>
      <c r="DM258" s="761"/>
      <c r="DN258" s="761"/>
      <c r="DO258" s="761"/>
      <c r="DP258" s="553"/>
      <c r="DQ258" s="553"/>
      <c r="DR258" s="553"/>
      <c r="DS258" s="553"/>
      <c r="DT258" s="553"/>
      <c r="DU258" s="553"/>
      <c r="DV258" s="553"/>
      <c r="DW258" s="553"/>
      <c r="DX258" s="553"/>
      <c r="DY258" s="553"/>
    </row>
    <row r="259" spans="1:129" s="489" customFormat="1" ht="24" customHeight="1" x14ac:dyDescent="0.9">
      <c r="A259" s="752"/>
      <c r="B259" s="588"/>
      <c r="C259" s="588"/>
      <c r="D259" s="588"/>
      <c r="E259" s="588"/>
      <c r="F259" s="588"/>
      <c r="G259" s="588"/>
      <c r="H259" s="588"/>
      <c r="I259" s="588"/>
      <c r="J259" s="588"/>
      <c r="K259" s="588"/>
      <c r="L259" s="753"/>
      <c r="M259" s="753"/>
      <c r="N259" s="588"/>
      <c r="O259" s="626"/>
      <c r="P259" s="588"/>
      <c r="Q259" s="626"/>
      <c r="R259" s="588"/>
      <c r="S259" s="588"/>
      <c r="T259" s="588"/>
      <c r="U259" s="588"/>
      <c r="V259" s="588"/>
      <c r="W259" s="588"/>
      <c r="X259" s="588"/>
      <c r="Y259" s="588"/>
      <c r="Z259" s="588"/>
      <c r="AA259" s="588"/>
      <c r="AB259" s="588"/>
      <c r="AC259" s="588"/>
      <c r="AD259" s="588"/>
      <c r="AE259" s="626"/>
      <c r="AF259" s="626"/>
      <c r="AG259" s="626"/>
      <c r="AH259" s="626"/>
      <c r="AI259" s="626"/>
      <c r="AJ259" s="626"/>
      <c r="AK259" s="626"/>
      <c r="AL259" s="626"/>
      <c r="AM259" s="626"/>
      <c r="AN259" s="626"/>
      <c r="AO259" s="626"/>
      <c r="AP259" s="626"/>
      <c r="AQ259" s="626"/>
      <c r="AR259" s="626"/>
      <c r="AS259" s="626"/>
      <c r="AT259" s="626"/>
      <c r="AU259" s="626"/>
      <c r="AV259" s="626"/>
      <c r="AW259" s="626"/>
      <c r="AX259" s="626"/>
      <c r="AY259" s="626"/>
      <c r="AZ259" s="626"/>
      <c r="BA259" s="626"/>
      <c r="BB259" s="588"/>
      <c r="BC259" s="626"/>
      <c r="BD259" s="626"/>
      <c r="BE259" s="626"/>
      <c r="BF259" s="626"/>
      <c r="BG259" s="626"/>
      <c r="BH259" s="626"/>
      <c r="BI259" s="588"/>
      <c r="BJ259" s="626"/>
      <c r="BK259" s="626"/>
      <c r="BL259" s="626"/>
      <c r="BM259" s="626"/>
      <c r="BN259" s="626"/>
      <c r="BO259" s="626"/>
      <c r="BP259" s="588"/>
      <c r="BQ259" s="846"/>
      <c r="BR259" s="850"/>
      <c r="BS259" s="588"/>
      <c r="BT259" s="754"/>
      <c r="BU259" s="588"/>
      <c r="BV259" s="588"/>
      <c r="BW259" s="588"/>
      <c r="BX259" s="588"/>
      <c r="BY259" s="588"/>
      <c r="BZ259" s="588"/>
      <c r="CA259" s="588"/>
      <c r="CB259" s="588"/>
      <c r="CC259" s="865"/>
      <c r="CD259" s="588"/>
      <c r="CE259" s="588"/>
      <c r="CF259" s="588"/>
      <c r="CG259" s="588"/>
      <c r="CH259" s="588"/>
      <c r="CI259" s="588"/>
      <c r="CJ259" s="588"/>
      <c r="CK259" s="588"/>
      <c r="CL259" s="588"/>
      <c r="CM259" s="588"/>
      <c r="CN259" s="588"/>
      <c r="CO259" s="588"/>
      <c r="CP259" s="816"/>
      <c r="CQ259" s="805"/>
      <c r="CR259" s="805"/>
      <c r="CS259" s="830"/>
      <c r="CT259" s="588"/>
      <c r="CU259" s="626"/>
      <c r="CV259" s="626"/>
      <c r="CW259" s="626"/>
      <c r="CX259" s="626"/>
      <c r="CY259" s="626"/>
      <c r="CZ259" s="626"/>
      <c r="DA259" s="626"/>
      <c r="DB259" s="626"/>
      <c r="DC259" s="626"/>
      <c r="DD259" s="626"/>
      <c r="DE259" s="626"/>
      <c r="DF259" s="626"/>
      <c r="DG259" s="626"/>
      <c r="DH259" s="626"/>
      <c r="DI259" s="626"/>
      <c r="DJ259" s="626"/>
      <c r="DK259" s="626"/>
      <c r="DL259" s="626"/>
      <c r="DM259" s="761"/>
      <c r="DN259" s="761"/>
      <c r="DO259" s="761"/>
      <c r="DP259" s="553"/>
      <c r="DQ259" s="553"/>
      <c r="DR259" s="553"/>
      <c r="DS259" s="553"/>
      <c r="DT259" s="553"/>
      <c r="DU259" s="553"/>
      <c r="DV259" s="553"/>
      <c r="DW259" s="553"/>
      <c r="DX259" s="553"/>
      <c r="DY259" s="553"/>
    </row>
    <row r="260" spans="1:129" s="489" customFormat="1" ht="24" customHeight="1" x14ac:dyDescent="0.9">
      <c r="A260" s="752"/>
      <c r="B260" s="588"/>
      <c r="C260" s="588"/>
      <c r="D260" s="588"/>
      <c r="E260" s="588"/>
      <c r="F260" s="588"/>
      <c r="G260" s="588"/>
      <c r="H260" s="588"/>
      <c r="I260" s="588"/>
      <c r="J260" s="588"/>
      <c r="K260" s="588"/>
      <c r="L260" s="753"/>
      <c r="M260" s="753"/>
      <c r="N260" s="588"/>
      <c r="O260" s="626"/>
      <c r="P260" s="588"/>
      <c r="Q260" s="626"/>
      <c r="R260" s="588"/>
      <c r="S260" s="588"/>
      <c r="T260" s="588"/>
      <c r="U260" s="588"/>
      <c r="V260" s="588"/>
      <c r="W260" s="588"/>
      <c r="X260" s="588"/>
      <c r="Y260" s="588"/>
      <c r="Z260" s="588"/>
      <c r="AA260" s="588"/>
      <c r="AB260" s="588"/>
      <c r="AC260" s="588"/>
      <c r="AD260" s="588"/>
      <c r="AE260" s="626"/>
      <c r="AF260" s="626"/>
      <c r="AG260" s="626"/>
      <c r="AH260" s="626"/>
      <c r="AI260" s="626"/>
      <c r="AJ260" s="626"/>
      <c r="AK260" s="626"/>
      <c r="AL260" s="626"/>
      <c r="AM260" s="626"/>
      <c r="AN260" s="626"/>
      <c r="AO260" s="626"/>
      <c r="AP260" s="626"/>
      <c r="AQ260" s="626"/>
      <c r="AR260" s="626"/>
      <c r="AS260" s="626"/>
      <c r="AT260" s="626"/>
      <c r="AU260" s="626"/>
      <c r="AV260" s="626"/>
      <c r="AW260" s="626"/>
      <c r="AX260" s="626"/>
      <c r="AY260" s="626"/>
      <c r="AZ260" s="626"/>
      <c r="BA260" s="626"/>
      <c r="BB260" s="588"/>
      <c r="BC260" s="626"/>
      <c r="BD260" s="626"/>
      <c r="BE260" s="626"/>
      <c r="BF260" s="626"/>
      <c r="BG260" s="626"/>
      <c r="BH260" s="626"/>
      <c r="BI260" s="588"/>
      <c r="BJ260" s="626"/>
      <c r="BK260" s="626"/>
      <c r="BL260" s="626"/>
      <c r="BM260" s="626"/>
      <c r="BN260" s="626"/>
      <c r="BO260" s="626"/>
      <c r="BP260" s="588"/>
      <c r="BQ260" s="846"/>
      <c r="BR260" s="850"/>
      <c r="BS260" s="588"/>
      <c r="BT260" s="754"/>
      <c r="BU260" s="588"/>
      <c r="BV260" s="588"/>
      <c r="BW260" s="588"/>
      <c r="BX260" s="588"/>
      <c r="BY260" s="588"/>
      <c r="BZ260" s="588"/>
      <c r="CA260" s="588"/>
      <c r="CB260" s="588"/>
      <c r="CC260" s="865"/>
      <c r="CD260" s="588"/>
      <c r="CE260" s="588"/>
      <c r="CF260" s="588"/>
      <c r="CG260" s="588"/>
      <c r="CH260" s="588"/>
      <c r="CI260" s="588"/>
      <c r="CJ260" s="588"/>
      <c r="CK260" s="588"/>
      <c r="CL260" s="588"/>
      <c r="CM260" s="588"/>
      <c r="CN260" s="588"/>
      <c r="CO260" s="588"/>
      <c r="CP260" s="816"/>
      <c r="CQ260" s="805"/>
      <c r="CR260" s="805"/>
      <c r="CS260" s="830"/>
      <c r="CT260" s="588"/>
      <c r="CU260" s="626"/>
      <c r="CV260" s="626"/>
      <c r="CW260" s="626"/>
      <c r="CX260" s="626"/>
      <c r="CY260" s="626"/>
      <c r="CZ260" s="626"/>
      <c r="DA260" s="626"/>
      <c r="DB260" s="626"/>
      <c r="DC260" s="626"/>
      <c r="DD260" s="626"/>
      <c r="DE260" s="626"/>
      <c r="DF260" s="626"/>
      <c r="DG260" s="626"/>
      <c r="DH260" s="626"/>
      <c r="DI260" s="626"/>
      <c r="DJ260" s="626"/>
      <c r="DK260" s="626"/>
      <c r="DL260" s="626"/>
      <c r="DM260" s="761"/>
      <c r="DN260" s="761"/>
      <c r="DO260" s="761"/>
      <c r="DP260" s="553"/>
      <c r="DQ260" s="553"/>
      <c r="DR260" s="553"/>
      <c r="DS260" s="553"/>
      <c r="DT260" s="553"/>
      <c r="DU260" s="553"/>
      <c r="DV260" s="553"/>
      <c r="DW260" s="553"/>
      <c r="DX260" s="553"/>
      <c r="DY260" s="553"/>
    </row>
    <row r="261" spans="1:129" s="489" customFormat="1" ht="24" customHeight="1" x14ac:dyDescent="0.9">
      <c r="A261" s="752"/>
      <c r="B261" s="588"/>
      <c r="C261" s="588"/>
      <c r="D261" s="588"/>
      <c r="E261" s="588"/>
      <c r="F261" s="588"/>
      <c r="G261" s="588"/>
      <c r="H261" s="588"/>
      <c r="I261" s="588"/>
      <c r="J261" s="588"/>
      <c r="K261" s="588"/>
      <c r="L261" s="753"/>
      <c r="M261" s="753"/>
      <c r="N261" s="588"/>
      <c r="O261" s="626"/>
      <c r="P261" s="588"/>
      <c r="Q261" s="626"/>
      <c r="R261" s="588"/>
      <c r="S261" s="588"/>
      <c r="T261" s="588"/>
      <c r="U261" s="588"/>
      <c r="V261" s="588"/>
      <c r="W261" s="588"/>
      <c r="X261" s="588"/>
      <c r="Y261" s="588"/>
      <c r="Z261" s="588"/>
      <c r="AA261" s="588"/>
      <c r="AB261" s="588"/>
      <c r="AC261" s="588"/>
      <c r="AD261" s="588"/>
      <c r="AE261" s="626"/>
      <c r="AF261" s="626"/>
      <c r="AG261" s="626"/>
      <c r="AH261" s="626"/>
      <c r="AI261" s="626"/>
      <c r="AJ261" s="626"/>
      <c r="AK261" s="626"/>
      <c r="AL261" s="626"/>
      <c r="AM261" s="626"/>
      <c r="AN261" s="626"/>
      <c r="AO261" s="626"/>
      <c r="AP261" s="626"/>
      <c r="AQ261" s="626"/>
      <c r="AR261" s="626"/>
      <c r="AS261" s="626"/>
      <c r="AT261" s="626"/>
      <c r="AU261" s="626"/>
      <c r="AV261" s="626"/>
      <c r="AW261" s="626"/>
      <c r="AX261" s="626"/>
      <c r="AY261" s="626"/>
      <c r="AZ261" s="626"/>
      <c r="BA261" s="626"/>
      <c r="BB261" s="588"/>
      <c r="BC261" s="626"/>
      <c r="BD261" s="626"/>
      <c r="BE261" s="626"/>
      <c r="BF261" s="626"/>
      <c r="BG261" s="626"/>
      <c r="BH261" s="626"/>
      <c r="BI261" s="588"/>
      <c r="BJ261" s="626"/>
      <c r="BK261" s="626"/>
      <c r="BL261" s="626"/>
      <c r="BM261" s="626"/>
      <c r="BN261" s="626"/>
      <c r="BO261" s="626"/>
      <c r="BP261" s="588"/>
      <c r="BQ261" s="846"/>
      <c r="BR261" s="850"/>
      <c r="BS261" s="588"/>
      <c r="BT261" s="754"/>
      <c r="BU261" s="588"/>
      <c r="BV261" s="588"/>
      <c r="BW261" s="588"/>
      <c r="BX261" s="588"/>
      <c r="BY261" s="588"/>
      <c r="BZ261" s="588"/>
      <c r="CA261" s="588"/>
      <c r="CB261" s="588"/>
      <c r="CC261" s="865"/>
      <c r="CD261" s="588"/>
      <c r="CE261" s="588"/>
      <c r="CF261" s="588"/>
      <c r="CG261" s="588"/>
      <c r="CH261" s="588"/>
      <c r="CI261" s="588"/>
      <c r="CJ261" s="588"/>
      <c r="CK261" s="588"/>
      <c r="CL261" s="588"/>
      <c r="CM261" s="588"/>
      <c r="CN261" s="588"/>
      <c r="CO261" s="588"/>
      <c r="CP261" s="816"/>
      <c r="CQ261" s="805"/>
      <c r="CR261" s="805"/>
      <c r="CS261" s="830"/>
      <c r="CT261" s="588"/>
      <c r="CU261" s="626"/>
      <c r="CV261" s="626"/>
      <c r="CW261" s="626"/>
      <c r="CX261" s="626"/>
      <c r="CY261" s="626"/>
      <c r="CZ261" s="626"/>
      <c r="DA261" s="626"/>
      <c r="DB261" s="626"/>
      <c r="DC261" s="626"/>
      <c r="DD261" s="626"/>
      <c r="DE261" s="626"/>
      <c r="DF261" s="626"/>
      <c r="DG261" s="626"/>
      <c r="DH261" s="626"/>
      <c r="DI261" s="626"/>
      <c r="DJ261" s="626"/>
      <c r="DK261" s="626"/>
      <c r="DL261" s="626"/>
      <c r="DM261" s="761"/>
      <c r="DN261" s="761"/>
      <c r="DO261" s="761"/>
      <c r="DP261" s="553"/>
      <c r="DQ261" s="553"/>
      <c r="DR261" s="553"/>
      <c r="DS261" s="553"/>
      <c r="DT261" s="553"/>
      <c r="DU261" s="553"/>
      <c r="DV261" s="553"/>
      <c r="DW261" s="553"/>
      <c r="DX261" s="553"/>
      <c r="DY261" s="553"/>
    </row>
    <row r="262" spans="1:129" s="489" customFormat="1" ht="24" customHeight="1" x14ac:dyDescent="0.9">
      <c r="A262" s="752"/>
      <c r="B262" s="588"/>
      <c r="C262" s="588"/>
      <c r="D262" s="588"/>
      <c r="E262" s="588"/>
      <c r="F262" s="588"/>
      <c r="G262" s="588"/>
      <c r="H262" s="588"/>
      <c r="I262" s="588"/>
      <c r="J262" s="588"/>
      <c r="K262" s="588"/>
      <c r="L262" s="753"/>
      <c r="M262" s="753"/>
      <c r="N262" s="588"/>
      <c r="O262" s="626"/>
      <c r="P262" s="588"/>
      <c r="Q262" s="626"/>
      <c r="R262" s="588"/>
      <c r="S262" s="588"/>
      <c r="T262" s="588"/>
      <c r="U262" s="588"/>
      <c r="V262" s="588"/>
      <c r="W262" s="588"/>
      <c r="X262" s="588"/>
      <c r="Y262" s="588"/>
      <c r="Z262" s="588"/>
      <c r="AA262" s="588"/>
      <c r="AB262" s="588"/>
      <c r="AC262" s="588"/>
      <c r="AD262" s="588"/>
      <c r="AE262" s="626"/>
      <c r="AF262" s="626"/>
      <c r="AG262" s="626"/>
      <c r="AH262" s="626"/>
      <c r="AI262" s="626"/>
      <c r="AJ262" s="626"/>
      <c r="AK262" s="626"/>
      <c r="AL262" s="626"/>
      <c r="AM262" s="626"/>
      <c r="AN262" s="626"/>
      <c r="AO262" s="626"/>
      <c r="AP262" s="626"/>
      <c r="AQ262" s="626"/>
      <c r="AR262" s="626"/>
      <c r="AS262" s="626"/>
      <c r="AT262" s="626"/>
      <c r="AU262" s="626"/>
      <c r="AV262" s="626"/>
      <c r="AW262" s="626"/>
      <c r="AX262" s="626"/>
      <c r="AY262" s="626"/>
      <c r="AZ262" s="626"/>
      <c r="BA262" s="626"/>
      <c r="BB262" s="588"/>
      <c r="BC262" s="626"/>
      <c r="BD262" s="626"/>
      <c r="BE262" s="626"/>
      <c r="BF262" s="626"/>
      <c r="BG262" s="626"/>
      <c r="BH262" s="626"/>
      <c r="BI262" s="588"/>
      <c r="BJ262" s="626"/>
      <c r="BK262" s="626"/>
      <c r="BL262" s="626"/>
      <c r="BM262" s="626"/>
      <c r="BN262" s="626"/>
      <c r="BO262" s="626"/>
      <c r="BP262" s="588"/>
      <c r="BQ262" s="846"/>
      <c r="BR262" s="850"/>
      <c r="BS262" s="588"/>
      <c r="BT262" s="754"/>
      <c r="BU262" s="588"/>
      <c r="BV262" s="588"/>
      <c r="BW262" s="588"/>
      <c r="BX262" s="588"/>
      <c r="BY262" s="588"/>
      <c r="BZ262" s="588"/>
      <c r="CA262" s="588"/>
      <c r="CB262" s="588"/>
      <c r="CC262" s="865"/>
      <c r="CD262" s="588"/>
      <c r="CE262" s="588"/>
      <c r="CF262" s="588"/>
      <c r="CG262" s="588"/>
      <c r="CH262" s="588"/>
      <c r="CI262" s="588"/>
      <c r="CJ262" s="588"/>
      <c r="CK262" s="588"/>
      <c r="CL262" s="588"/>
      <c r="CM262" s="588"/>
      <c r="CN262" s="588"/>
      <c r="CO262" s="588"/>
      <c r="CP262" s="816"/>
      <c r="CQ262" s="805"/>
      <c r="CR262" s="805"/>
      <c r="CS262" s="830"/>
      <c r="CT262" s="588"/>
      <c r="CU262" s="626"/>
      <c r="CV262" s="626"/>
      <c r="CW262" s="626"/>
      <c r="CX262" s="626"/>
      <c r="CY262" s="626"/>
      <c r="CZ262" s="626"/>
      <c r="DA262" s="626"/>
      <c r="DB262" s="626"/>
      <c r="DC262" s="626"/>
      <c r="DD262" s="626"/>
      <c r="DE262" s="626"/>
      <c r="DF262" s="626"/>
      <c r="DG262" s="626"/>
      <c r="DH262" s="626"/>
      <c r="DI262" s="626"/>
      <c r="DJ262" s="626"/>
      <c r="DK262" s="626"/>
      <c r="DL262" s="626"/>
      <c r="DM262" s="761"/>
      <c r="DN262" s="761"/>
      <c r="DO262" s="761"/>
      <c r="DP262" s="553"/>
      <c r="DQ262" s="553"/>
      <c r="DR262" s="553"/>
      <c r="DS262" s="553"/>
      <c r="DT262" s="553"/>
      <c r="DU262" s="553"/>
      <c r="DV262" s="553"/>
      <c r="DW262" s="553"/>
      <c r="DX262" s="553"/>
      <c r="DY262" s="553"/>
    </row>
    <row r="263" spans="1:129" s="489" customFormat="1" ht="24" customHeight="1" x14ac:dyDescent="0.9">
      <c r="A263" s="752"/>
      <c r="B263" s="588"/>
      <c r="C263" s="588"/>
      <c r="D263" s="588"/>
      <c r="E263" s="588"/>
      <c r="F263" s="588"/>
      <c r="G263" s="588"/>
      <c r="H263" s="588"/>
      <c r="I263" s="588"/>
      <c r="J263" s="588"/>
      <c r="K263" s="588"/>
      <c r="L263" s="753"/>
      <c r="M263" s="753"/>
      <c r="N263" s="588"/>
      <c r="O263" s="626"/>
      <c r="P263" s="588"/>
      <c r="Q263" s="626"/>
      <c r="R263" s="588"/>
      <c r="S263" s="588"/>
      <c r="T263" s="588"/>
      <c r="U263" s="588"/>
      <c r="V263" s="588"/>
      <c r="W263" s="588"/>
      <c r="X263" s="588"/>
      <c r="Y263" s="588"/>
      <c r="Z263" s="588"/>
      <c r="AA263" s="588"/>
      <c r="AB263" s="588"/>
      <c r="AC263" s="588"/>
      <c r="AD263" s="588"/>
      <c r="AE263" s="626"/>
      <c r="AF263" s="626"/>
      <c r="AG263" s="626"/>
      <c r="AH263" s="626"/>
      <c r="AI263" s="626"/>
      <c r="AJ263" s="626"/>
      <c r="AK263" s="626"/>
      <c r="AL263" s="626"/>
      <c r="AM263" s="626"/>
      <c r="AN263" s="626"/>
      <c r="AO263" s="626"/>
      <c r="AP263" s="626"/>
      <c r="AQ263" s="626"/>
      <c r="AR263" s="626"/>
      <c r="AS263" s="626"/>
      <c r="AT263" s="626"/>
      <c r="AU263" s="626"/>
      <c r="AV263" s="626"/>
      <c r="AW263" s="626"/>
      <c r="AX263" s="626"/>
      <c r="AY263" s="626"/>
      <c r="AZ263" s="626"/>
      <c r="BA263" s="626"/>
      <c r="BB263" s="588"/>
      <c r="BC263" s="626"/>
      <c r="BD263" s="626"/>
      <c r="BE263" s="626"/>
      <c r="BF263" s="626"/>
      <c r="BG263" s="626"/>
      <c r="BH263" s="626"/>
      <c r="BI263" s="588"/>
      <c r="BJ263" s="626"/>
      <c r="BK263" s="626"/>
      <c r="BL263" s="626"/>
      <c r="BM263" s="626"/>
      <c r="BN263" s="626"/>
      <c r="BO263" s="626"/>
      <c r="BP263" s="588"/>
      <c r="BQ263" s="846"/>
      <c r="BR263" s="850"/>
      <c r="BS263" s="588"/>
      <c r="BT263" s="754"/>
      <c r="BU263" s="588"/>
      <c r="BV263" s="588"/>
      <c r="BW263" s="588"/>
      <c r="BX263" s="588"/>
      <c r="BY263" s="588"/>
      <c r="BZ263" s="588"/>
      <c r="CA263" s="588"/>
      <c r="CB263" s="588"/>
      <c r="CC263" s="865"/>
      <c r="CD263" s="588"/>
      <c r="CE263" s="588"/>
      <c r="CF263" s="588"/>
      <c r="CG263" s="588"/>
      <c r="CH263" s="588"/>
      <c r="CI263" s="588"/>
      <c r="CJ263" s="588"/>
      <c r="CK263" s="588"/>
      <c r="CL263" s="588"/>
      <c r="CM263" s="588"/>
      <c r="CN263" s="588"/>
      <c r="CO263" s="588"/>
      <c r="CP263" s="816"/>
      <c r="CQ263" s="805"/>
      <c r="CR263" s="805"/>
      <c r="CS263" s="830"/>
      <c r="CT263" s="588"/>
      <c r="CU263" s="626"/>
      <c r="CV263" s="626"/>
      <c r="CW263" s="626"/>
      <c r="CX263" s="626"/>
      <c r="CY263" s="626"/>
      <c r="CZ263" s="626"/>
      <c r="DA263" s="626"/>
      <c r="DB263" s="626"/>
      <c r="DC263" s="626"/>
      <c r="DD263" s="626"/>
      <c r="DE263" s="626"/>
      <c r="DF263" s="626"/>
      <c r="DG263" s="626"/>
      <c r="DH263" s="626"/>
      <c r="DI263" s="626"/>
      <c r="DJ263" s="626"/>
      <c r="DK263" s="626"/>
      <c r="DL263" s="626"/>
      <c r="DM263" s="761"/>
      <c r="DN263" s="761"/>
      <c r="DO263" s="761"/>
      <c r="DP263" s="553"/>
      <c r="DQ263" s="553"/>
      <c r="DR263" s="553"/>
      <c r="DS263" s="553"/>
      <c r="DT263" s="553"/>
      <c r="DU263" s="553"/>
      <c r="DV263" s="553"/>
      <c r="DW263" s="553"/>
      <c r="DX263" s="553"/>
      <c r="DY263" s="553"/>
    </row>
    <row r="264" spans="1:129" s="489" customFormat="1" ht="24" customHeight="1" x14ac:dyDescent="0.9">
      <c r="A264" s="752"/>
      <c r="B264" s="588"/>
      <c r="C264" s="588"/>
      <c r="D264" s="588"/>
      <c r="E264" s="588"/>
      <c r="F264" s="588"/>
      <c r="G264" s="588"/>
      <c r="H264" s="588"/>
      <c r="I264" s="588"/>
      <c r="J264" s="588"/>
      <c r="K264" s="588"/>
      <c r="L264" s="753"/>
      <c r="M264" s="753"/>
      <c r="N264" s="588"/>
      <c r="O264" s="626"/>
      <c r="P264" s="588"/>
      <c r="Q264" s="626"/>
      <c r="R264" s="588"/>
      <c r="S264" s="588"/>
      <c r="T264" s="588"/>
      <c r="U264" s="588"/>
      <c r="V264" s="588"/>
      <c r="W264" s="588"/>
      <c r="X264" s="588"/>
      <c r="Y264" s="588"/>
      <c r="Z264" s="588"/>
      <c r="AA264" s="588"/>
      <c r="AB264" s="588"/>
      <c r="AC264" s="588"/>
      <c r="AD264" s="588"/>
      <c r="AE264" s="626"/>
      <c r="AF264" s="626"/>
      <c r="AG264" s="626"/>
      <c r="AH264" s="626"/>
      <c r="AI264" s="626"/>
      <c r="AJ264" s="626"/>
      <c r="AK264" s="626"/>
      <c r="AL264" s="626"/>
      <c r="AM264" s="626"/>
      <c r="AN264" s="626"/>
      <c r="AO264" s="626"/>
      <c r="AP264" s="626"/>
      <c r="AQ264" s="626"/>
      <c r="AR264" s="626"/>
      <c r="AS264" s="626"/>
      <c r="AT264" s="626"/>
      <c r="AU264" s="626"/>
      <c r="AV264" s="626"/>
      <c r="AW264" s="626"/>
      <c r="AX264" s="626"/>
      <c r="AY264" s="626"/>
      <c r="AZ264" s="626"/>
      <c r="BA264" s="626"/>
      <c r="BB264" s="588"/>
      <c r="BC264" s="626"/>
      <c r="BD264" s="626"/>
      <c r="BE264" s="626"/>
      <c r="BF264" s="626"/>
      <c r="BG264" s="626"/>
      <c r="BH264" s="626"/>
      <c r="BI264" s="588"/>
      <c r="BJ264" s="626"/>
      <c r="BK264" s="626"/>
      <c r="BL264" s="626"/>
      <c r="BM264" s="626"/>
      <c r="BN264" s="626"/>
      <c r="BO264" s="626"/>
      <c r="BP264" s="588"/>
      <c r="BQ264" s="846"/>
      <c r="BR264" s="850"/>
      <c r="BS264" s="588"/>
      <c r="BT264" s="754"/>
      <c r="BU264" s="588"/>
      <c r="BV264" s="588"/>
      <c r="BW264" s="588"/>
      <c r="BX264" s="588"/>
      <c r="BY264" s="588"/>
      <c r="BZ264" s="588"/>
      <c r="CA264" s="588"/>
      <c r="CB264" s="588"/>
      <c r="CC264" s="865"/>
      <c r="CD264" s="588"/>
      <c r="CE264" s="588"/>
      <c r="CF264" s="588"/>
      <c r="CG264" s="588"/>
      <c r="CH264" s="588"/>
      <c r="CI264" s="588"/>
      <c r="CJ264" s="588"/>
      <c r="CK264" s="588"/>
      <c r="CL264" s="588"/>
      <c r="CM264" s="588"/>
      <c r="CN264" s="588"/>
      <c r="CO264" s="588"/>
      <c r="CP264" s="816"/>
      <c r="CQ264" s="805"/>
      <c r="CR264" s="805"/>
      <c r="CS264" s="830"/>
      <c r="CT264" s="588"/>
      <c r="CU264" s="626"/>
      <c r="CV264" s="626"/>
      <c r="CW264" s="626"/>
      <c r="CX264" s="626"/>
      <c r="CY264" s="626"/>
      <c r="CZ264" s="626"/>
      <c r="DA264" s="626"/>
      <c r="DB264" s="626"/>
      <c r="DC264" s="626"/>
      <c r="DD264" s="626"/>
      <c r="DE264" s="626"/>
      <c r="DF264" s="626"/>
      <c r="DG264" s="626"/>
      <c r="DH264" s="626"/>
      <c r="DI264" s="626"/>
      <c r="DJ264" s="626"/>
      <c r="DK264" s="626"/>
      <c r="DL264" s="626"/>
      <c r="DM264" s="761"/>
      <c r="DN264" s="761"/>
      <c r="DO264" s="761"/>
      <c r="DP264" s="553"/>
      <c r="DQ264" s="553"/>
      <c r="DR264" s="553"/>
      <c r="DS264" s="553"/>
      <c r="DT264" s="553"/>
      <c r="DU264" s="553"/>
      <c r="DV264" s="553"/>
      <c r="DW264" s="553"/>
      <c r="DX264" s="553"/>
      <c r="DY264" s="553"/>
    </row>
    <row r="265" spans="1:129" s="489" customFormat="1" ht="24" customHeight="1" x14ac:dyDescent="0.9">
      <c r="A265" s="752"/>
      <c r="B265" s="588"/>
      <c r="C265" s="588"/>
      <c r="D265" s="588"/>
      <c r="E265" s="588"/>
      <c r="F265" s="588"/>
      <c r="G265" s="588"/>
      <c r="H265" s="588"/>
      <c r="I265" s="588"/>
      <c r="J265" s="588"/>
      <c r="K265" s="588"/>
      <c r="L265" s="753"/>
      <c r="M265" s="753"/>
      <c r="N265" s="588"/>
      <c r="O265" s="626"/>
      <c r="P265" s="588"/>
      <c r="Q265" s="626"/>
      <c r="R265" s="588"/>
      <c r="S265" s="588"/>
      <c r="T265" s="588"/>
      <c r="U265" s="588"/>
      <c r="V265" s="588"/>
      <c r="W265" s="588"/>
      <c r="X265" s="588"/>
      <c r="Y265" s="588"/>
      <c r="Z265" s="588"/>
      <c r="AA265" s="588"/>
      <c r="AB265" s="588"/>
      <c r="AC265" s="588"/>
      <c r="AD265" s="588"/>
      <c r="AE265" s="626"/>
      <c r="AF265" s="626"/>
      <c r="AG265" s="626"/>
      <c r="AH265" s="626"/>
      <c r="AI265" s="626"/>
      <c r="AJ265" s="626"/>
      <c r="AK265" s="626"/>
      <c r="AL265" s="626"/>
      <c r="AM265" s="626"/>
      <c r="AN265" s="626"/>
      <c r="AO265" s="626"/>
      <c r="AP265" s="626"/>
      <c r="AQ265" s="626"/>
      <c r="AR265" s="626"/>
      <c r="AS265" s="626"/>
      <c r="AT265" s="626"/>
      <c r="AU265" s="626"/>
      <c r="AV265" s="626"/>
      <c r="AW265" s="626"/>
      <c r="AX265" s="626"/>
      <c r="AY265" s="626"/>
      <c r="AZ265" s="626"/>
      <c r="BA265" s="626"/>
      <c r="BB265" s="588"/>
      <c r="BC265" s="626"/>
      <c r="BD265" s="626"/>
      <c r="BE265" s="626"/>
      <c r="BF265" s="626"/>
      <c r="BG265" s="626"/>
      <c r="BH265" s="626"/>
      <c r="BI265" s="588"/>
      <c r="BJ265" s="626"/>
      <c r="BK265" s="626"/>
      <c r="BL265" s="626"/>
      <c r="BM265" s="626"/>
      <c r="BN265" s="626"/>
      <c r="BO265" s="626"/>
      <c r="BP265" s="588"/>
      <c r="BQ265" s="846"/>
      <c r="BR265" s="850"/>
      <c r="BS265" s="588"/>
      <c r="BT265" s="754"/>
      <c r="BU265" s="588"/>
      <c r="BV265" s="588"/>
      <c r="BW265" s="588"/>
      <c r="BX265" s="588"/>
      <c r="BY265" s="588"/>
      <c r="BZ265" s="588"/>
      <c r="CA265" s="588"/>
      <c r="CB265" s="588"/>
      <c r="CC265" s="865"/>
      <c r="CD265" s="588"/>
      <c r="CE265" s="588"/>
      <c r="CF265" s="588"/>
      <c r="CG265" s="588"/>
      <c r="CH265" s="588"/>
      <c r="CI265" s="588"/>
      <c r="CJ265" s="588"/>
      <c r="CK265" s="588"/>
      <c r="CL265" s="588"/>
      <c r="CM265" s="588"/>
      <c r="CN265" s="588"/>
      <c r="CO265" s="588"/>
      <c r="CP265" s="816"/>
      <c r="CQ265" s="805"/>
      <c r="CR265" s="805"/>
      <c r="CS265" s="830"/>
      <c r="CT265" s="588"/>
      <c r="CU265" s="626"/>
      <c r="CV265" s="626"/>
      <c r="CW265" s="626"/>
      <c r="CX265" s="626"/>
      <c r="CY265" s="626"/>
      <c r="CZ265" s="626"/>
      <c r="DA265" s="626"/>
      <c r="DB265" s="626"/>
      <c r="DC265" s="626"/>
      <c r="DD265" s="626"/>
      <c r="DE265" s="626"/>
      <c r="DF265" s="626"/>
      <c r="DG265" s="626"/>
      <c r="DH265" s="626"/>
      <c r="DI265" s="626"/>
      <c r="DJ265" s="626"/>
      <c r="DK265" s="626"/>
      <c r="DL265" s="626"/>
      <c r="DM265" s="761"/>
      <c r="DN265" s="761"/>
      <c r="DO265" s="761"/>
      <c r="DP265" s="553"/>
      <c r="DQ265" s="553"/>
      <c r="DR265" s="553"/>
      <c r="DS265" s="553"/>
      <c r="DT265" s="553"/>
      <c r="DU265" s="553"/>
      <c r="DV265" s="553"/>
      <c r="DW265" s="553"/>
      <c r="DX265" s="553"/>
      <c r="DY265" s="553"/>
    </row>
    <row r="266" spans="1:129" s="489" customFormat="1" ht="24" customHeight="1" x14ac:dyDescent="0.9">
      <c r="A266" s="752"/>
      <c r="B266" s="588"/>
      <c r="C266" s="588"/>
      <c r="D266" s="588"/>
      <c r="E266" s="588"/>
      <c r="F266" s="588"/>
      <c r="G266" s="588"/>
      <c r="H266" s="588"/>
      <c r="I266" s="588"/>
      <c r="J266" s="588"/>
      <c r="K266" s="588"/>
      <c r="L266" s="753"/>
      <c r="M266" s="753"/>
      <c r="N266" s="588"/>
      <c r="O266" s="626"/>
      <c r="P266" s="588"/>
      <c r="Q266" s="626"/>
      <c r="R266" s="588"/>
      <c r="S266" s="588"/>
      <c r="T266" s="588"/>
      <c r="U266" s="588"/>
      <c r="V266" s="588"/>
      <c r="W266" s="588"/>
      <c r="X266" s="588"/>
      <c r="Y266" s="588"/>
      <c r="Z266" s="588"/>
      <c r="AA266" s="588"/>
      <c r="AB266" s="588"/>
      <c r="AC266" s="588"/>
      <c r="AD266" s="588"/>
      <c r="AE266" s="626"/>
      <c r="AF266" s="626"/>
      <c r="AG266" s="626"/>
      <c r="AH266" s="626"/>
      <c r="AI266" s="626"/>
      <c r="AJ266" s="626"/>
      <c r="AK266" s="626"/>
      <c r="AL266" s="626"/>
      <c r="AM266" s="626"/>
      <c r="AN266" s="626"/>
      <c r="AO266" s="626"/>
      <c r="AP266" s="626"/>
      <c r="AQ266" s="626"/>
      <c r="AR266" s="626"/>
      <c r="AS266" s="626"/>
      <c r="AT266" s="626"/>
      <c r="AU266" s="626"/>
      <c r="AV266" s="626"/>
      <c r="AW266" s="626"/>
      <c r="AX266" s="626"/>
      <c r="AY266" s="626"/>
      <c r="AZ266" s="626"/>
      <c r="BA266" s="626"/>
      <c r="BB266" s="588"/>
      <c r="BC266" s="626"/>
      <c r="BD266" s="626"/>
      <c r="BE266" s="626"/>
      <c r="BF266" s="626"/>
      <c r="BG266" s="626"/>
      <c r="BH266" s="626"/>
      <c r="BI266" s="588"/>
      <c r="BJ266" s="626"/>
      <c r="BK266" s="626"/>
      <c r="BL266" s="626"/>
      <c r="BM266" s="626"/>
      <c r="BN266" s="626"/>
      <c r="BO266" s="626"/>
      <c r="BP266" s="588"/>
      <c r="BQ266" s="846"/>
      <c r="BR266" s="850"/>
      <c r="BS266" s="588"/>
      <c r="BT266" s="754"/>
      <c r="BU266" s="588"/>
      <c r="BV266" s="588"/>
      <c r="BW266" s="588"/>
      <c r="BX266" s="588"/>
      <c r="BY266" s="588"/>
      <c r="BZ266" s="588"/>
      <c r="CA266" s="588"/>
      <c r="CB266" s="588"/>
      <c r="CC266" s="865"/>
      <c r="CD266" s="588"/>
      <c r="CE266" s="588"/>
      <c r="CF266" s="588"/>
      <c r="CG266" s="588"/>
      <c r="CH266" s="588"/>
      <c r="CI266" s="588"/>
      <c r="CJ266" s="588"/>
      <c r="CK266" s="588"/>
      <c r="CL266" s="588"/>
      <c r="CM266" s="588"/>
      <c r="CN266" s="588"/>
      <c r="CO266" s="588"/>
      <c r="CP266" s="816"/>
      <c r="CQ266" s="805"/>
      <c r="CR266" s="805"/>
      <c r="CS266" s="830"/>
      <c r="CT266" s="588"/>
      <c r="CU266" s="626"/>
      <c r="CV266" s="626"/>
      <c r="CW266" s="626"/>
      <c r="CX266" s="626"/>
      <c r="CY266" s="626"/>
      <c r="CZ266" s="626"/>
      <c r="DA266" s="626"/>
      <c r="DB266" s="626"/>
      <c r="DC266" s="626"/>
      <c r="DD266" s="626"/>
      <c r="DE266" s="626"/>
      <c r="DF266" s="626"/>
      <c r="DG266" s="626"/>
      <c r="DH266" s="626"/>
      <c r="DI266" s="626"/>
      <c r="DJ266" s="626"/>
      <c r="DK266" s="626"/>
      <c r="DL266" s="626"/>
      <c r="DM266" s="761"/>
      <c r="DN266" s="761"/>
      <c r="DO266" s="761"/>
      <c r="DP266" s="553"/>
      <c r="DQ266" s="553"/>
      <c r="DR266" s="553"/>
      <c r="DS266" s="553"/>
      <c r="DT266" s="553"/>
      <c r="DU266" s="553"/>
      <c r="DV266" s="553"/>
      <c r="DW266" s="553"/>
      <c r="DX266" s="553"/>
      <c r="DY266" s="553"/>
    </row>
    <row r="267" spans="1:129" s="489" customFormat="1" ht="24" customHeight="1" x14ac:dyDescent="0.9">
      <c r="A267" s="752"/>
      <c r="B267" s="588"/>
      <c r="C267" s="588"/>
      <c r="D267" s="588"/>
      <c r="E267" s="588"/>
      <c r="F267" s="588"/>
      <c r="G267" s="588"/>
      <c r="H267" s="588"/>
      <c r="I267" s="588"/>
      <c r="J267" s="588"/>
      <c r="K267" s="588"/>
      <c r="L267" s="753"/>
      <c r="M267" s="753"/>
      <c r="N267" s="588"/>
      <c r="O267" s="626"/>
      <c r="P267" s="588"/>
      <c r="Q267" s="626"/>
      <c r="R267" s="588"/>
      <c r="S267" s="588"/>
      <c r="T267" s="588"/>
      <c r="U267" s="588"/>
      <c r="V267" s="588"/>
      <c r="W267" s="588"/>
      <c r="X267" s="588"/>
      <c r="Y267" s="588"/>
      <c r="Z267" s="588"/>
      <c r="AA267" s="588"/>
      <c r="AB267" s="588"/>
      <c r="AC267" s="588"/>
      <c r="AD267" s="588"/>
      <c r="AE267" s="626"/>
      <c r="AF267" s="626"/>
      <c r="AG267" s="626"/>
      <c r="AH267" s="626"/>
      <c r="AI267" s="626"/>
      <c r="AJ267" s="626"/>
      <c r="AK267" s="626"/>
      <c r="AL267" s="626"/>
      <c r="AM267" s="626"/>
      <c r="AN267" s="626"/>
      <c r="AO267" s="626"/>
      <c r="AP267" s="626"/>
      <c r="AQ267" s="626"/>
      <c r="AR267" s="626"/>
      <c r="AS267" s="626"/>
      <c r="AT267" s="626"/>
      <c r="AU267" s="626"/>
      <c r="AV267" s="626"/>
      <c r="AW267" s="626"/>
      <c r="AX267" s="626"/>
      <c r="AY267" s="626"/>
      <c r="AZ267" s="626"/>
      <c r="BA267" s="626"/>
      <c r="BB267" s="588"/>
      <c r="BC267" s="626"/>
      <c r="BD267" s="626"/>
      <c r="BE267" s="626"/>
      <c r="BF267" s="626"/>
      <c r="BG267" s="626"/>
      <c r="BH267" s="626"/>
      <c r="BI267" s="588"/>
      <c r="BJ267" s="626"/>
      <c r="BK267" s="626"/>
      <c r="BL267" s="626"/>
      <c r="BM267" s="626"/>
      <c r="BN267" s="626"/>
      <c r="BO267" s="626"/>
      <c r="BP267" s="588"/>
      <c r="BQ267" s="846"/>
      <c r="BR267" s="850"/>
      <c r="BS267" s="588"/>
      <c r="BT267" s="754"/>
      <c r="BU267" s="588"/>
      <c r="BV267" s="588"/>
      <c r="BW267" s="588"/>
      <c r="BX267" s="588"/>
      <c r="BY267" s="588"/>
      <c r="BZ267" s="588"/>
      <c r="CA267" s="588"/>
      <c r="CB267" s="588"/>
      <c r="CC267" s="865"/>
      <c r="CD267" s="588"/>
      <c r="CE267" s="588"/>
      <c r="CF267" s="588"/>
      <c r="CG267" s="588"/>
      <c r="CH267" s="588"/>
      <c r="CI267" s="588"/>
      <c r="CJ267" s="588"/>
      <c r="CK267" s="588"/>
      <c r="CL267" s="588"/>
      <c r="CM267" s="588"/>
      <c r="CN267" s="588"/>
      <c r="CO267" s="588"/>
      <c r="CP267" s="816"/>
      <c r="CQ267" s="805"/>
      <c r="CR267" s="805"/>
      <c r="CS267" s="830"/>
      <c r="CT267" s="588"/>
      <c r="CU267" s="626"/>
      <c r="CV267" s="626"/>
      <c r="CW267" s="626"/>
      <c r="CX267" s="626"/>
      <c r="CY267" s="626"/>
      <c r="CZ267" s="626"/>
      <c r="DA267" s="626"/>
      <c r="DB267" s="626"/>
      <c r="DC267" s="626"/>
      <c r="DD267" s="626"/>
      <c r="DE267" s="626"/>
      <c r="DF267" s="626"/>
      <c r="DG267" s="626"/>
      <c r="DH267" s="626"/>
      <c r="DI267" s="626"/>
      <c r="DJ267" s="626"/>
      <c r="DK267" s="626"/>
      <c r="DL267" s="626"/>
      <c r="DM267" s="761"/>
      <c r="DN267" s="761"/>
      <c r="DO267" s="761"/>
      <c r="DP267" s="553"/>
      <c r="DQ267" s="553"/>
      <c r="DR267" s="553"/>
      <c r="DS267" s="553"/>
      <c r="DT267" s="553"/>
      <c r="DU267" s="553"/>
      <c r="DV267" s="553"/>
      <c r="DW267" s="553"/>
      <c r="DX267" s="553"/>
      <c r="DY267" s="553"/>
    </row>
    <row r="268" spans="1:129" s="489" customFormat="1" ht="24" customHeight="1" x14ac:dyDescent="0.9">
      <c r="A268" s="752"/>
      <c r="B268" s="588"/>
      <c r="C268" s="588"/>
      <c r="D268" s="588"/>
      <c r="E268" s="588"/>
      <c r="F268" s="588"/>
      <c r="G268" s="588"/>
      <c r="H268" s="588"/>
      <c r="I268" s="588"/>
      <c r="J268" s="588"/>
      <c r="K268" s="588"/>
      <c r="L268" s="753"/>
      <c r="M268" s="753"/>
      <c r="N268" s="588"/>
      <c r="O268" s="626"/>
      <c r="P268" s="588"/>
      <c r="Q268" s="626"/>
      <c r="R268" s="588"/>
      <c r="S268" s="588"/>
      <c r="T268" s="588"/>
      <c r="U268" s="588"/>
      <c r="V268" s="588"/>
      <c r="W268" s="588"/>
      <c r="X268" s="588"/>
      <c r="Y268" s="588"/>
      <c r="Z268" s="588"/>
      <c r="AA268" s="588"/>
      <c r="AB268" s="588"/>
      <c r="AC268" s="588"/>
      <c r="AD268" s="588"/>
      <c r="AE268" s="626"/>
      <c r="AF268" s="626"/>
      <c r="AG268" s="626"/>
      <c r="AH268" s="626"/>
      <c r="AI268" s="626"/>
      <c r="AJ268" s="626"/>
      <c r="AK268" s="626"/>
      <c r="AL268" s="626"/>
      <c r="AM268" s="626"/>
      <c r="AN268" s="626"/>
      <c r="AO268" s="626"/>
      <c r="AP268" s="626"/>
      <c r="AQ268" s="626"/>
      <c r="AR268" s="626"/>
      <c r="AS268" s="626"/>
      <c r="AT268" s="626"/>
      <c r="AU268" s="626"/>
      <c r="AV268" s="626"/>
      <c r="AW268" s="626"/>
      <c r="AX268" s="626"/>
      <c r="AY268" s="626"/>
      <c r="AZ268" s="626"/>
      <c r="BA268" s="626"/>
      <c r="BB268" s="588"/>
      <c r="BC268" s="626"/>
      <c r="BD268" s="626"/>
      <c r="BE268" s="626"/>
      <c r="BF268" s="626"/>
      <c r="BG268" s="626"/>
      <c r="BH268" s="626"/>
      <c r="BI268" s="588"/>
      <c r="BJ268" s="626"/>
      <c r="BK268" s="626"/>
      <c r="BL268" s="626"/>
      <c r="BM268" s="626"/>
      <c r="BN268" s="626"/>
      <c r="BO268" s="626"/>
      <c r="BP268" s="588"/>
      <c r="BQ268" s="846"/>
      <c r="BR268" s="850"/>
      <c r="BS268" s="588"/>
      <c r="BT268" s="754"/>
      <c r="BU268" s="588"/>
      <c r="BV268" s="588"/>
      <c r="BW268" s="588"/>
      <c r="BX268" s="588"/>
      <c r="BY268" s="588"/>
      <c r="BZ268" s="588"/>
      <c r="CA268" s="588"/>
      <c r="CB268" s="588"/>
      <c r="CC268" s="865"/>
      <c r="CD268" s="588"/>
      <c r="CE268" s="588"/>
      <c r="CF268" s="588"/>
      <c r="CG268" s="588"/>
      <c r="CH268" s="588"/>
      <c r="CI268" s="588"/>
      <c r="CJ268" s="588"/>
      <c r="CK268" s="588"/>
      <c r="CL268" s="588"/>
      <c r="CM268" s="588"/>
      <c r="CN268" s="588"/>
      <c r="CO268" s="588"/>
      <c r="CP268" s="816"/>
      <c r="CQ268" s="805"/>
      <c r="CR268" s="805"/>
      <c r="CS268" s="830"/>
      <c r="CT268" s="588"/>
      <c r="CU268" s="626"/>
      <c r="CV268" s="626"/>
      <c r="CW268" s="626"/>
      <c r="CX268" s="626"/>
      <c r="CY268" s="626"/>
      <c r="CZ268" s="626"/>
      <c r="DA268" s="626"/>
      <c r="DB268" s="626"/>
      <c r="DC268" s="626"/>
      <c r="DD268" s="626"/>
      <c r="DE268" s="626"/>
      <c r="DF268" s="626"/>
      <c r="DG268" s="626"/>
      <c r="DH268" s="626"/>
      <c r="DI268" s="626"/>
      <c r="DJ268" s="626"/>
      <c r="DK268" s="626"/>
      <c r="DL268" s="626"/>
      <c r="DM268" s="761"/>
      <c r="DN268" s="761"/>
      <c r="DO268" s="761"/>
      <c r="DP268" s="553"/>
      <c r="DQ268" s="553"/>
      <c r="DR268" s="553"/>
      <c r="DS268" s="553"/>
      <c r="DT268" s="553"/>
      <c r="DU268" s="553"/>
      <c r="DV268" s="553"/>
      <c r="DW268" s="553"/>
      <c r="DX268" s="553"/>
      <c r="DY268" s="553"/>
    </row>
    <row r="269" spans="1:129" s="489" customFormat="1" ht="24" customHeight="1" x14ac:dyDescent="0.9">
      <c r="A269" s="752"/>
      <c r="B269" s="588"/>
      <c r="C269" s="588"/>
      <c r="D269" s="588"/>
      <c r="E269" s="588"/>
      <c r="F269" s="588"/>
      <c r="G269" s="588"/>
      <c r="H269" s="588"/>
      <c r="I269" s="588"/>
      <c r="J269" s="588"/>
      <c r="K269" s="588"/>
      <c r="L269" s="753"/>
      <c r="M269" s="753"/>
      <c r="N269" s="588"/>
      <c r="O269" s="626"/>
      <c r="P269" s="588"/>
      <c r="Q269" s="626"/>
      <c r="R269" s="588"/>
      <c r="S269" s="588"/>
      <c r="T269" s="588"/>
      <c r="U269" s="588"/>
      <c r="V269" s="588"/>
      <c r="W269" s="588"/>
      <c r="X269" s="588"/>
      <c r="Y269" s="588"/>
      <c r="Z269" s="588"/>
      <c r="AA269" s="588"/>
      <c r="AB269" s="588"/>
      <c r="AC269" s="588"/>
      <c r="AD269" s="588"/>
      <c r="AE269" s="626"/>
      <c r="AF269" s="626"/>
      <c r="AG269" s="626"/>
      <c r="AH269" s="626"/>
      <c r="AI269" s="626"/>
      <c r="AJ269" s="626"/>
      <c r="AK269" s="626"/>
      <c r="AL269" s="626"/>
      <c r="AM269" s="626"/>
      <c r="AN269" s="626"/>
      <c r="AO269" s="626"/>
      <c r="AP269" s="626"/>
      <c r="AQ269" s="626"/>
      <c r="AR269" s="626"/>
      <c r="AS269" s="626"/>
      <c r="AT269" s="626"/>
      <c r="AU269" s="626"/>
      <c r="AV269" s="626"/>
      <c r="AW269" s="626"/>
      <c r="AX269" s="626"/>
      <c r="AY269" s="626"/>
      <c r="AZ269" s="626"/>
      <c r="BA269" s="626"/>
      <c r="BB269" s="588"/>
      <c r="BC269" s="626"/>
      <c r="BD269" s="626"/>
      <c r="BE269" s="626"/>
      <c r="BF269" s="626"/>
      <c r="BG269" s="626"/>
      <c r="BH269" s="626"/>
      <c r="BI269" s="588"/>
      <c r="BJ269" s="626"/>
      <c r="BK269" s="626"/>
      <c r="BL269" s="626"/>
      <c r="BM269" s="626"/>
      <c r="BN269" s="626"/>
      <c r="BO269" s="626"/>
      <c r="BP269" s="588"/>
      <c r="BQ269" s="846"/>
      <c r="BR269" s="850"/>
      <c r="BS269" s="588"/>
      <c r="BT269" s="754"/>
      <c r="BU269" s="588"/>
      <c r="BV269" s="588"/>
      <c r="BW269" s="588"/>
      <c r="BX269" s="588"/>
      <c r="BY269" s="588"/>
      <c r="BZ269" s="588"/>
      <c r="CA269" s="588"/>
      <c r="CB269" s="588"/>
      <c r="CC269" s="865"/>
      <c r="CD269" s="588"/>
      <c r="CE269" s="588"/>
      <c r="CF269" s="588"/>
      <c r="CG269" s="588"/>
      <c r="CH269" s="588"/>
      <c r="CI269" s="588"/>
      <c r="CJ269" s="588"/>
      <c r="CK269" s="588"/>
      <c r="CL269" s="588"/>
      <c r="CM269" s="588"/>
      <c r="CN269" s="588"/>
      <c r="CO269" s="588"/>
      <c r="CP269" s="816"/>
      <c r="CQ269" s="805"/>
      <c r="CR269" s="805"/>
      <c r="CS269" s="830"/>
      <c r="CT269" s="588"/>
      <c r="CU269" s="626"/>
      <c r="CV269" s="626"/>
      <c r="CW269" s="626"/>
      <c r="CX269" s="626"/>
      <c r="CY269" s="626"/>
      <c r="CZ269" s="626"/>
      <c r="DA269" s="626"/>
      <c r="DB269" s="626"/>
      <c r="DC269" s="626"/>
      <c r="DD269" s="626"/>
      <c r="DE269" s="626"/>
      <c r="DF269" s="626"/>
      <c r="DG269" s="626"/>
      <c r="DH269" s="626"/>
      <c r="DI269" s="626"/>
      <c r="DJ269" s="626"/>
      <c r="DK269" s="626"/>
      <c r="DL269" s="626"/>
      <c r="DM269" s="761"/>
      <c r="DN269" s="761"/>
      <c r="DO269" s="761"/>
      <c r="DP269" s="553"/>
      <c r="DQ269" s="553"/>
      <c r="DR269" s="553"/>
      <c r="DS269" s="553"/>
      <c r="DT269" s="553"/>
      <c r="DU269" s="553"/>
      <c r="DV269" s="553"/>
      <c r="DW269" s="553"/>
      <c r="DX269" s="553"/>
      <c r="DY269" s="553"/>
    </row>
    <row r="270" spans="1:129" s="489" customFormat="1" ht="24" customHeight="1" x14ac:dyDescent="0.9">
      <c r="A270" s="752"/>
      <c r="B270" s="588"/>
      <c r="C270" s="588"/>
      <c r="D270" s="588"/>
      <c r="E270" s="588"/>
      <c r="F270" s="588"/>
      <c r="G270" s="588"/>
      <c r="H270" s="588"/>
      <c r="I270" s="588"/>
      <c r="J270" s="588"/>
      <c r="K270" s="588"/>
      <c r="L270" s="753"/>
      <c r="M270" s="753"/>
      <c r="N270" s="588"/>
      <c r="O270" s="626"/>
      <c r="P270" s="588"/>
      <c r="Q270" s="626"/>
      <c r="R270" s="588"/>
      <c r="S270" s="588"/>
      <c r="T270" s="588"/>
      <c r="U270" s="588"/>
      <c r="V270" s="588"/>
      <c r="W270" s="588"/>
      <c r="X270" s="588"/>
      <c r="Y270" s="588"/>
      <c r="Z270" s="588"/>
      <c r="AA270" s="588"/>
      <c r="AB270" s="588"/>
      <c r="AC270" s="588"/>
      <c r="AD270" s="588"/>
      <c r="AE270" s="626"/>
      <c r="AF270" s="626"/>
      <c r="AG270" s="626"/>
      <c r="AH270" s="626"/>
      <c r="AI270" s="626"/>
      <c r="AJ270" s="626"/>
      <c r="AK270" s="626"/>
      <c r="AL270" s="626"/>
      <c r="AM270" s="626"/>
      <c r="AN270" s="626"/>
      <c r="AO270" s="626"/>
      <c r="AP270" s="626"/>
      <c r="AQ270" s="626"/>
      <c r="AR270" s="626"/>
      <c r="AS270" s="626"/>
      <c r="AT270" s="626"/>
      <c r="AU270" s="626"/>
      <c r="AV270" s="626"/>
      <c r="AW270" s="626"/>
      <c r="AX270" s="626"/>
      <c r="AY270" s="626"/>
      <c r="AZ270" s="626"/>
      <c r="BA270" s="626"/>
      <c r="BB270" s="588"/>
      <c r="BC270" s="626"/>
      <c r="BD270" s="626"/>
      <c r="BE270" s="626"/>
      <c r="BF270" s="626"/>
      <c r="BG270" s="626"/>
      <c r="BH270" s="626"/>
      <c r="BI270" s="588"/>
      <c r="BJ270" s="626"/>
      <c r="BK270" s="626"/>
      <c r="BL270" s="626"/>
      <c r="BM270" s="626"/>
      <c r="BN270" s="626"/>
      <c r="BO270" s="626"/>
      <c r="BP270" s="588"/>
      <c r="BQ270" s="846"/>
      <c r="BR270" s="850"/>
      <c r="BS270" s="588"/>
      <c r="BT270" s="754"/>
      <c r="BU270" s="588"/>
      <c r="BV270" s="588"/>
      <c r="BW270" s="588"/>
      <c r="BX270" s="588"/>
      <c r="BY270" s="588"/>
      <c r="BZ270" s="588"/>
      <c r="CA270" s="588"/>
      <c r="CB270" s="588"/>
      <c r="CC270" s="865"/>
      <c r="CD270" s="588"/>
      <c r="CE270" s="588"/>
      <c r="CF270" s="588"/>
      <c r="CG270" s="588"/>
      <c r="CH270" s="588"/>
      <c r="CI270" s="588"/>
      <c r="CJ270" s="588"/>
      <c r="CK270" s="588"/>
      <c r="CL270" s="588"/>
      <c r="CM270" s="588"/>
      <c r="CN270" s="588"/>
      <c r="CO270" s="588"/>
      <c r="CP270" s="816"/>
      <c r="CQ270" s="805"/>
      <c r="CR270" s="805"/>
      <c r="CS270" s="830"/>
      <c r="CT270" s="588"/>
      <c r="CU270" s="626"/>
      <c r="CV270" s="626"/>
      <c r="CW270" s="626"/>
      <c r="CX270" s="626"/>
      <c r="CY270" s="626"/>
      <c r="CZ270" s="626"/>
      <c r="DA270" s="626"/>
      <c r="DB270" s="626"/>
      <c r="DC270" s="626"/>
      <c r="DD270" s="626"/>
      <c r="DE270" s="626"/>
      <c r="DF270" s="626"/>
      <c r="DG270" s="626"/>
      <c r="DH270" s="626"/>
      <c r="DI270" s="626"/>
      <c r="DJ270" s="626"/>
      <c r="DK270" s="626"/>
      <c r="DL270" s="626"/>
      <c r="DM270" s="761"/>
      <c r="DN270" s="761"/>
      <c r="DO270" s="761"/>
      <c r="DP270" s="553"/>
      <c r="DQ270" s="553"/>
      <c r="DR270" s="553"/>
      <c r="DS270" s="553"/>
      <c r="DT270" s="553"/>
      <c r="DU270" s="553"/>
      <c r="DV270" s="553"/>
      <c r="DW270" s="553"/>
      <c r="DX270" s="553"/>
      <c r="DY270" s="553"/>
    </row>
    <row r="271" spans="1:129" s="489" customFormat="1" ht="24" customHeight="1" x14ac:dyDescent="0.9">
      <c r="A271" s="752"/>
      <c r="B271" s="588"/>
      <c r="C271" s="588"/>
      <c r="D271" s="588"/>
      <c r="E271" s="588"/>
      <c r="F271" s="588"/>
      <c r="G271" s="588"/>
      <c r="H271" s="588"/>
      <c r="I271" s="588"/>
      <c r="J271" s="588"/>
      <c r="K271" s="588"/>
      <c r="L271" s="753"/>
      <c r="M271" s="753"/>
      <c r="N271" s="588"/>
      <c r="O271" s="626"/>
      <c r="P271" s="588"/>
      <c r="Q271" s="626"/>
      <c r="R271" s="588"/>
      <c r="S271" s="588"/>
      <c r="T271" s="588"/>
      <c r="U271" s="588"/>
      <c r="V271" s="588"/>
      <c r="W271" s="588"/>
      <c r="X271" s="588"/>
      <c r="Y271" s="588"/>
      <c r="Z271" s="588"/>
      <c r="AA271" s="588"/>
      <c r="AB271" s="588"/>
      <c r="AC271" s="588"/>
      <c r="AD271" s="588"/>
      <c r="AE271" s="626"/>
      <c r="AF271" s="626"/>
      <c r="AG271" s="626"/>
      <c r="AH271" s="626"/>
      <c r="AI271" s="626"/>
      <c r="AJ271" s="626"/>
      <c r="AK271" s="626"/>
      <c r="AL271" s="626"/>
      <c r="AM271" s="626"/>
      <c r="AN271" s="626"/>
      <c r="AO271" s="626"/>
      <c r="AP271" s="626"/>
      <c r="AQ271" s="626"/>
      <c r="AR271" s="626"/>
      <c r="AS271" s="626"/>
      <c r="AT271" s="626"/>
      <c r="AU271" s="626"/>
      <c r="AV271" s="626"/>
      <c r="AW271" s="626"/>
      <c r="AX271" s="626"/>
      <c r="AY271" s="626"/>
      <c r="AZ271" s="626"/>
      <c r="BA271" s="626"/>
      <c r="BB271" s="588"/>
      <c r="BC271" s="626"/>
      <c r="BD271" s="626"/>
      <c r="BE271" s="626"/>
      <c r="BF271" s="626"/>
      <c r="BG271" s="626"/>
      <c r="BH271" s="626"/>
      <c r="BI271" s="588"/>
      <c r="BJ271" s="626"/>
      <c r="BK271" s="626"/>
      <c r="BL271" s="626"/>
      <c r="BM271" s="626"/>
      <c r="BN271" s="626"/>
      <c r="BO271" s="626"/>
      <c r="BP271" s="588"/>
      <c r="BQ271" s="846"/>
      <c r="BR271" s="850"/>
      <c r="BS271" s="588"/>
      <c r="BT271" s="754"/>
      <c r="BU271" s="588"/>
      <c r="BV271" s="588"/>
      <c r="BW271" s="588"/>
      <c r="BX271" s="588"/>
      <c r="BY271" s="588"/>
      <c r="BZ271" s="588"/>
      <c r="CA271" s="588"/>
      <c r="CB271" s="588"/>
      <c r="CC271" s="865"/>
      <c r="CD271" s="588"/>
      <c r="CE271" s="588"/>
      <c r="CF271" s="588"/>
      <c r="CG271" s="588"/>
      <c r="CH271" s="588"/>
      <c r="CI271" s="588"/>
      <c r="CJ271" s="588"/>
      <c r="CK271" s="588"/>
      <c r="CL271" s="588"/>
      <c r="CM271" s="588"/>
      <c r="CN271" s="588"/>
      <c r="CO271" s="588"/>
      <c r="CP271" s="816"/>
      <c r="CQ271" s="805"/>
      <c r="CR271" s="805"/>
      <c r="CS271" s="830"/>
      <c r="CT271" s="588"/>
      <c r="CU271" s="626"/>
      <c r="CV271" s="626"/>
      <c r="CW271" s="626"/>
      <c r="CX271" s="626"/>
      <c r="CY271" s="626"/>
      <c r="CZ271" s="626"/>
      <c r="DA271" s="626"/>
      <c r="DB271" s="626"/>
      <c r="DC271" s="626"/>
      <c r="DD271" s="626"/>
      <c r="DE271" s="626"/>
      <c r="DF271" s="626"/>
      <c r="DG271" s="626"/>
      <c r="DH271" s="626"/>
      <c r="DI271" s="626"/>
      <c r="DJ271" s="626"/>
      <c r="DK271" s="626"/>
      <c r="DL271" s="626"/>
      <c r="DM271" s="761"/>
      <c r="DN271" s="761"/>
      <c r="DO271" s="761"/>
      <c r="DP271" s="553"/>
      <c r="DQ271" s="553"/>
      <c r="DR271" s="553"/>
      <c r="DS271" s="553"/>
      <c r="DT271" s="553"/>
      <c r="DU271" s="553"/>
      <c r="DV271" s="553"/>
      <c r="DW271" s="553"/>
      <c r="DX271" s="553"/>
      <c r="DY271" s="553"/>
    </row>
    <row r="272" spans="1:129" s="489" customFormat="1" ht="24" customHeight="1" x14ac:dyDescent="0.9">
      <c r="A272" s="752"/>
      <c r="B272" s="588"/>
      <c r="C272" s="588"/>
      <c r="D272" s="588"/>
      <c r="E272" s="588"/>
      <c r="F272" s="588"/>
      <c r="G272" s="588"/>
      <c r="H272" s="588"/>
      <c r="I272" s="588"/>
      <c r="J272" s="588"/>
      <c r="K272" s="588"/>
      <c r="L272" s="753"/>
      <c r="M272" s="753"/>
      <c r="N272" s="588"/>
      <c r="O272" s="626"/>
      <c r="P272" s="588"/>
      <c r="Q272" s="626"/>
      <c r="R272" s="588"/>
      <c r="S272" s="588"/>
      <c r="T272" s="588"/>
      <c r="U272" s="588"/>
      <c r="V272" s="588"/>
      <c r="W272" s="588"/>
      <c r="X272" s="588"/>
      <c r="Y272" s="588"/>
      <c r="Z272" s="588"/>
      <c r="AA272" s="588"/>
      <c r="AB272" s="588"/>
      <c r="AC272" s="588"/>
      <c r="AD272" s="588"/>
      <c r="AE272" s="626"/>
      <c r="AF272" s="626"/>
      <c r="AG272" s="626"/>
      <c r="AH272" s="626"/>
      <c r="AI272" s="626"/>
      <c r="AJ272" s="626"/>
      <c r="AK272" s="626"/>
      <c r="AL272" s="626"/>
      <c r="AM272" s="626"/>
      <c r="AN272" s="626"/>
      <c r="AO272" s="626"/>
      <c r="AP272" s="626"/>
      <c r="AQ272" s="626"/>
      <c r="AR272" s="626"/>
      <c r="AS272" s="626"/>
      <c r="AT272" s="626"/>
      <c r="AU272" s="626"/>
      <c r="AV272" s="626"/>
      <c r="AW272" s="626"/>
      <c r="AX272" s="626"/>
      <c r="AY272" s="626"/>
      <c r="AZ272" s="626"/>
      <c r="BA272" s="626"/>
      <c r="BB272" s="588"/>
      <c r="BC272" s="626"/>
      <c r="BD272" s="626"/>
      <c r="BE272" s="626"/>
      <c r="BF272" s="626"/>
      <c r="BG272" s="626"/>
      <c r="BH272" s="626"/>
      <c r="BI272" s="588"/>
      <c r="BJ272" s="626"/>
      <c r="BK272" s="626"/>
      <c r="BL272" s="626"/>
      <c r="BM272" s="626"/>
      <c r="BN272" s="626"/>
      <c r="BO272" s="626"/>
      <c r="BP272" s="588"/>
      <c r="BQ272" s="846"/>
      <c r="BR272" s="850"/>
      <c r="BS272" s="588"/>
      <c r="BT272" s="754"/>
      <c r="BU272" s="588"/>
      <c r="BV272" s="588"/>
      <c r="BW272" s="588"/>
      <c r="BX272" s="588"/>
      <c r="BY272" s="588"/>
      <c r="BZ272" s="588"/>
      <c r="CA272" s="588"/>
      <c r="CB272" s="588"/>
      <c r="CC272" s="865"/>
      <c r="CD272" s="588"/>
      <c r="CE272" s="588"/>
      <c r="CF272" s="588"/>
      <c r="CG272" s="588"/>
      <c r="CH272" s="588"/>
      <c r="CI272" s="588"/>
      <c r="CJ272" s="588"/>
      <c r="CK272" s="588"/>
      <c r="CL272" s="588"/>
      <c r="CM272" s="588"/>
      <c r="CN272" s="588"/>
      <c r="CO272" s="588"/>
      <c r="CP272" s="816"/>
      <c r="CQ272" s="805"/>
      <c r="CR272" s="805"/>
      <c r="CS272" s="830"/>
      <c r="CT272" s="588"/>
      <c r="CU272" s="626"/>
      <c r="CV272" s="626"/>
      <c r="CW272" s="626"/>
      <c r="CX272" s="626"/>
      <c r="CY272" s="626"/>
      <c r="CZ272" s="626"/>
      <c r="DA272" s="626"/>
      <c r="DB272" s="626"/>
      <c r="DC272" s="626"/>
      <c r="DD272" s="626"/>
      <c r="DE272" s="626"/>
      <c r="DF272" s="626"/>
      <c r="DG272" s="626"/>
      <c r="DH272" s="626"/>
      <c r="DI272" s="626"/>
      <c r="DJ272" s="626"/>
      <c r="DK272" s="626"/>
      <c r="DL272" s="626"/>
      <c r="DM272" s="761"/>
      <c r="DN272" s="761"/>
      <c r="DO272" s="761"/>
      <c r="DP272" s="553"/>
      <c r="DQ272" s="553"/>
      <c r="DR272" s="553"/>
      <c r="DS272" s="553"/>
      <c r="DT272" s="553"/>
      <c r="DU272" s="553"/>
      <c r="DV272" s="553"/>
      <c r="DW272" s="553"/>
      <c r="DX272" s="553"/>
      <c r="DY272" s="553"/>
    </row>
    <row r="273" spans="1:129" s="489" customFormat="1" ht="24" customHeight="1" x14ac:dyDescent="0.9">
      <c r="A273" s="752"/>
      <c r="B273" s="588"/>
      <c r="C273" s="588"/>
      <c r="D273" s="588"/>
      <c r="E273" s="588"/>
      <c r="F273" s="588"/>
      <c r="G273" s="588"/>
      <c r="H273" s="588"/>
      <c r="I273" s="588"/>
      <c r="J273" s="588"/>
      <c r="K273" s="588"/>
      <c r="L273" s="753"/>
      <c r="M273" s="753"/>
      <c r="N273" s="588"/>
      <c r="O273" s="626"/>
      <c r="P273" s="588"/>
      <c r="Q273" s="626"/>
      <c r="R273" s="588"/>
      <c r="S273" s="588"/>
      <c r="T273" s="588"/>
      <c r="U273" s="588"/>
      <c r="V273" s="588"/>
      <c r="W273" s="588"/>
      <c r="X273" s="588"/>
      <c r="Y273" s="588"/>
      <c r="Z273" s="588"/>
      <c r="AA273" s="588"/>
      <c r="AB273" s="588"/>
      <c r="AC273" s="588"/>
      <c r="AD273" s="588"/>
      <c r="AE273" s="626"/>
      <c r="AF273" s="626"/>
      <c r="AG273" s="626"/>
      <c r="AH273" s="626"/>
      <c r="AI273" s="626"/>
      <c r="AJ273" s="626"/>
      <c r="AK273" s="626"/>
      <c r="AL273" s="626"/>
      <c r="AM273" s="626"/>
      <c r="AN273" s="626"/>
      <c r="AO273" s="626"/>
      <c r="AP273" s="626"/>
      <c r="AQ273" s="626"/>
      <c r="AR273" s="626"/>
      <c r="AS273" s="626"/>
      <c r="AT273" s="626"/>
      <c r="AU273" s="626"/>
      <c r="AV273" s="626"/>
      <c r="AW273" s="626"/>
      <c r="AX273" s="626"/>
      <c r="AY273" s="626"/>
      <c r="AZ273" s="626"/>
      <c r="BA273" s="626"/>
      <c r="BB273" s="588"/>
      <c r="BC273" s="626"/>
      <c r="BD273" s="626"/>
      <c r="BE273" s="626"/>
      <c r="BF273" s="626"/>
      <c r="BG273" s="626"/>
      <c r="BH273" s="626"/>
      <c r="BI273" s="588"/>
      <c r="BJ273" s="626"/>
      <c r="BK273" s="626"/>
      <c r="BL273" s="626"/>
      <c r="BM273" s="626"/>
      <c r="BN273" s="626"/>
      <c r="BO273" s="626"/>
      <c r="BP273" s="588"/>
      <c r="BQ273" s="846"/>
      <c r="BR273" s="850"/>
      <c r="BS273" s="588"/>
      <c r="BT273" s="754"/>
      <c r="BU273" s="588"/>
      <c r="BV273" s="588"/>
      <c r="BW273" s="588"/>
      <c r="BX273" s="588"/>
      <c r="BY273" s="588"/>
      <c r="BZ273" s="588"/>
      <c r="CA273" s="588"/>
      <c r="CB273" s="588"/>
      <c r="CC273" s="865"/>
      <c r="CD273" s="588"/>
      <c r="CE273" s="588"/>
      <c r="CF273" s="588"/>
      <c r="CG273" s="588"/>
      <c r="CH273" s="588"/>
      <c r="CI273" s="588"/>
      <c r="CJ273" s="588"/>
      <c r="CK273" s="588"/>
      <c r="CL273" s="588"/>
      <c r="CM273" s="588"/>
      <c r="CN273" s="588"/>
      <c r="CO273" s="588"/>
      <c r="CP273" s="816"/>
      <c r="CQ273" s="805"/>
      <c r="CR273" s="805"/>
      <c r="CS273" s="830"/>
      <c r="CT273" s="588"/>
      <c r="CU273" s="626"/>
      <c r="CV273" s="626"/>
      <c r="CW273" s="626"/>
      <c r="CX273" s="626"/>
      <c r="CY273" s="626"/>
      <c r="CZ273" s="626"/>
      <c r="DA273" s="626"/>
      <c r="DB273" s="626"/>
      <c r="DC273" s="626"/>
      <c r="DD273" s="626"/>
      <c r="DE273" s="626"/>
      <c r="DF273" s="626"/>
      <c r="DG273" s="626"/>
      <c r="DH273" s="626"/>
      <c r="DI273" s="626"/>
      <c r="DJ273" s="626"/>
      <c r="DK273" s="626"/>
      <c r="DL273" s="626"/>
      <c r="DM273" s="761"/>
      <c r="DN273" s="761"/>
      <c r="DO273" s="761"/>
      <c r="DP273" s="553"/>
      <c r="DQ273" s="553"/>
      <c r="DR273" s="553"/>
      <c r="DS273" s="553"/>
      <c r="DT273" s="553"/>
      <c r="DU273" s="553"/>
      <c r="DV273" s="553"/>
      <c r="DW273" s="553"/>
      <c r="DX273" s="553"/>
      <c r="DY273" s="553"/>
    </row>
    <row r="274" spans="1:129" s="489" customFormat="1" ht="24" customHeight="1" x14ac:dyDescent="0.9">
      <c r="A274" s="752"/>
      <c r="B274" s="588"/>
      <c r="C274" s="588"/>
      <c r="D274" s="588"/>
      <c r="E274" s="588"/>
      <c r="F274" s="588"/>
      <c r="G274" s="588"/>
      <c r="H274" s="588"/>
      <c r="I274" s="588"/>
      <c r="J274" s="588"/>
      <c r="K274" s="588"/>
      <c r="L274" s="753"/>
      <c r="M274" s="753"/>
      <c r="N274" s="588"/>
      <c r="O274" s="626"/>
      <c r="P274" s="588"/>
      <c r="Q274" s="626"/>
      <c r="R274" s="588"/>
      <c r="S274" s="588"/>
      <c r="T274" s="588"/>
      <c r="U274" s="588"/>
      <c r="V274" s="588"/>
      <c r="W274" s="588"/>
      <c r="X274" s="588"/>
      <c r="Y274" s="588"/>
      <c r="Z274" s="588"/>
      <c r="AA274" s="588"/>
      <c r="AB274" s="588"/>
      <c r="AC274" s="588"/>
      <c r="AD274" s="588"/>
      <c r="AE274" s="626"/>
      <c r="AF274" s="626"/>
      <c r="AG274" s="626"/>
      <c r="AH274" s="626"/>
      <c r="AI274" s="626"/>
      <c r="AJ274" s="626"/>
      <c r="AK274" s="626"/>
      <c r="AL274" s="626"/>
      <c r="AM274" s="626"/>
      <c r="AN274" s="626"/>
      <c r="AO274" s="626"/>
      <c r="AP274" s="626"/>
      <c r="AQ274" s="626"/>
      <c r="AR274" s="626"/>
      <c r="AS274" s="626"/>
      <c r="AT274" s="626"/>
      <c r="AU274" s="626"/>
      <c r="AV274" s="626"/>
      <c r="AW274" s="626"/>
      <c r="AX274" s="626"/>
      <c r="AY274" s="626"/>
      <c r="AZ274" s="626"/>
      <c r="BA274" s="626"/>
      <c r="BB274" s="588"/>
      <c r="BC274" s="626"/>
      <c r="BD274" s="626"/>
      <c r="BE274" s="626"/>
      <c r="BF274" s="626"/>
      <c r="BG274" s="626"/>
      <c r="BH274" s="626"/>
      <c r="BI274" s="588"/>
      <c r="BJ274" s="626"/>
      <c r="BK274" s="626"/>
      <c r="BL274" s="626"/>
      <c r="BM274" s="626"/>
      <c r="BN274" s="626"/>
      <c r="BO274" s="626"/>
      <c r="BP274" s="588"/>
      <c r="BQ274" s="846"/>
      <c r="BR274" s="850"/>
      <c r="BS274" s="588"/>
      <c r="BT274" s="754"/>
      <c r="BU274" s="588"/>
      <c r="BV274" s="588"/>
      <c r="BW274" s="588"/>
      <c r="BX274" s="588"/>
      <c r="BY274" s="588"/>
      <c r="BZ274" s="588"/>
      <c r="CA274" s="588"/>
      <c r="CB274" s="588"/>
      <c r="CC274" s="865"/>
      <c r="CD274" s="588"/>
      <c r="CE274" s="588"/>
      <c r="CF274" s="588"/>
      <c r="CG274" s="588"/>
      <c r="CH274" s="588"/>
      <c r="CI274" s="588"/>
      <c r="CJ274" s="588"/>
      <c r="CK274" s="588"/>
      <c r="CL274" s="588"/>
      <c r="CM274" s="588"/>
      <c r="CN274" s="588"/>
      <c r="CO274" s="588"/>
      <c r="CP274" s="816"/>
      <c r="CQ274" s="805"/>
      <c r="CR274" s="805"/>
      <c r="CS274" s="830"/>
      <c r="CT274" s="588"/>
      <c r="CU274" s="626"/>
      <c r="CV274" s="626"/>
      <c r="CW274" s="626"/>
      <c r="CX274" s="626"/>
      <c r="CY274" s="626"/>
      <c r="CZ274" s="626"/>
      <c r="DA274" s="626"/>
      <c r="DB274" s="626"/>
      <c r="DC274" s="626"/>
      <c r="DD274" s="626"/>
      <c r="DE274" s="626"/>
      <c r="DF274" s="626"/>
      <c r="DG274" s="626"/>
      <c r="DH274" s="626"/>
      <c r="DI274" s="626"/>
      <c r="DJ274" s="626"/>
      <c r="DK274" s="626"/>
      <c r="DL274" s="626"/>
      <c r="DM274" s="761"/>
      <c r="DN274" s="761"/>
      <c r="DO274" s="761"/>
      <c r="DP274" s="553"/>
      <c r="DQ274" s="553"/>
      <c r="DR274" s="553"/>
      <c r="DS274" s="553"/>
      <c r="DT274" s="553"/>
      <c r="DU274" s="553"/>
      <c r="DV274" s="553"/>
      <c r="DW274" s="553"/>
      <c r="DX274" s="553"/>
      <c r="DY274" s="553"/>
    </row>
    <row r="275" spans="1:129" s="489" customFormat="1" ht="24" customHeight="1" x14ac:dyDescent="0.9">
      <c r="A275" s="752"/>
      <c r="B275" s="588"/>
      <c r="C275" s="588"/>
      <c r="D275" s="588"/>
      <c r="E275" s="588"/>
      <c r="F275" s="588"/>
      <c r="G275" s="588"/>
      <c r="H275" s="588"/>
      <c r="I275" s="588"/>
      <c r="J275" s="588"/>
      <c r="K275" s="588"/>
      <c r="L275" s="753"/>
      <c r="M275" s="753"/>
      <c r="N275" s="588"/>
      <c r="O275" s="626"/>
      <c r="P275" s="588"/>
      <c r="Q275" s="626"/>
      <c r="R275" s="588"/>
      <c r="S275" s="588"/>
      <c r="T275" s="588"/>
      <c r="U275" s="588"/>
      <c r="V275" s="588"/>
      <c r="W275" s="588"/>
      <c r="X275" s="588"/>
      <c r="Y275" s="588"/>
      <c r="Z275" s="588"/>
      <c r="AA275" s="588"/>
      <c r="AB275" s="588"/>
      <c r="AC275" s="588"/>
      <c r="AD275" s="588"/>
      <c r="AE275" s="626"/>
      <c r="AF275" s="626"/>
      <c r="AG275" s="626"/>
      <c r="AH275" s="626"/>
      <c r="AI275" s="626"/>
      <c r="AJ275" s="626"/>
      <c r="AK275" s="626"/>
      <c r="AL275" s="626"/>
      <c r="AM275" s="626"/>
      <c r="AN275" s="626"/>
      <c r="AO275" s="626"/>
      <c r="AP275" s="626"/>
      <c r="AQ275" s="626"/>
      <c r="AR275" s="626"/>
      <c r="AS275" s="626"/>
      <c r="AT275" s="626"/>
      <c r="AU275" s="626"/>
      <c r="AV275" s="626"/>
      <c r="AW275" s="626"/>
      <c r="AX275" s="626"/>
      <c r="AY275" s="626"/>
      <c r="AZ275" s="626"/>
      <c r="BA275" s="626"/>
      <c r="BB275" s="588"/>
      <c r="BC275" s="626"/>
      <c r="BD275" s="626"/>
      <c r="BE275" s="626"/>
      <c r="BF275" s="626"/>
      <c r="BG275" s="626"/>
      <c r="BH275" s="626"/>
      <c r="BI275" s="588"/>
      <c r="BJ275" s="626"/>
      <c r="BK275" s="626"/>
      <c r="BL275" s="626"/>
      <c r="BM275" s="626"/>
      <c r="BN275" s="626"/>
      <c r="BO275" s="626"/>
      <c r="BP275" s="588"/>
      <c r="BQ275" s="846"/>
      <c r="BR275" s="850"/>
      <c r="BS275" s="588"/>
      <c r="BT275" s="754"/>
      <c r="BU275" s="588"/>
      <c r="BV275" s="588"/>
      <c r="BW275" s="588"/>
      <c r="BX275" s="588"/>
      <c r="BY275" s="588"/>
      <c r="BZ275" s="588"/>
      <c r="CA275" s="588"/>
      <c r="CB275" s="588"/>
      <c r="CC275" s="865"/>
      <c r="CD275" s="588"/>
      <c r="CE275" s="588"/>
      <c r="CF275" s="588"/>
      <c r="CG275" s="588"/>
      <c r="CH275" s="588"/>
      <c r="CI275" s="588"/>
      <c r="CJ275" s="588"/>
      <c r="CK275" s="588"/>
      <c r="CL275" s="588"/>
      <c r="CM275" s="588"/>
      <c r="CN275" s="588"/>
      <c r="CO275" s="588"/>
      <c r="CP275" s="816"/>
      <c r="CQ275" s="805"/>
      <c r="CR275" s="805"/>
      <c r="CS275" s="830"/>
      <c r="CT275" s="588"/>
      <c r="CU275" s="626"/>
      <c r="CV275" s="626"/>
      <c r="CW275" s="626"/>
      <c r="CX275" s="626"/>
      <c r="CY275" s="626"/>
      <c r="CZ275" s="626"/>
      <c r="DA275" s="626"/>
      <c r="DB275" s="626"/>
      <c r="DC275" s="626"/>
      <c r="DD275" s="626"/>
      <c r="DE275" s="626"/>
      <c r="DF275" s="626"/>
      <c r="DG275" s="626"/>
      <c r="DH275" s="626"/>
      <c r="DI275" s="626"/>
      <c r="DJ275" s="626"/>
      <c r="DK275" s="626"/>
      <c r="DL275" s="626"/>
      <c r="DM275" s="761"/>
      <c r="DN275" s="761"/>
      <c r="DO275" s="761"/>
      <c r="DP275" s="553"/>
      <c r="DQ275" s="553"/>
      <c r="DR275" s="553"/>
      <c r="DS275" s="553"/>
      <c r="DT275" s="553"/>
      <c r="DU275" s="553"/>
      <c r="DV275" s="553"/>
      <c r="DW275" s="553"/>
      <c r="DX275" s="553"/>
      <c r="DY275" s="553"/>
    </row>
    <row r="276" spans="1:129" s="489" customFormat="1" ht="24" customHeight="1" x14ac:dyDescent="0.9">
      <c r="A276" s="752"/>
      <c r="B276" s="588"/>
      <c r="C276" s="588"/>
      <c r="D276" s="588"/>
      <c r="E276" s="588"/>
      <c r="F276" s="588"/>
      <c r="G276" s="588"/>
      <c r="H276" s="588"/>
      <c r="I276" s="588"/>
      <c r="J276" s="588"/>
      <c r="K276" s="588"/>
      <c r="L276" s="753"/>
      <c r="M276" s="753"/>
      <c r="N276" s="588"/>
      <c r="O276" s="626"/>
      <c r="P276" s="588"/>
      <c r="Q276" s="626"/>
      <c r="R276" s="588"/>
      <c r="S276" s="588"/>
      <c r="T276" s="588"/>
      <c r="U276" s="588"/>
      <c r="V276" s="588"/>
      <c r="W276" s="588"/>
      <c r="X276" s="588"/>
      <c r="Y276" s="588"/>
      <c r="Z276" s="588"/>
      <c r="AA276" s="588"/>
      <c r="AB276" s="588"/>
      <c r="AC276" s="588"/>
      <c r="AD276" s="588"/>
      <c r="AE276" s="626"/>
      <c r="AF276" s="626"/>
      <c r="AG276" s="626"/>
      <c r="AH276" s="626"/>
      <c r="AI276" s="626"/>
      <c r="AJ276" s="626"/>
      <c r="AK276" s="626"/>
      <c r="AL276" s="626"/>
      <c r="AM276" s="626"/>
      <c r="AN276" s="626"/>
      <c r="AO276" s="626"/>
      <c r="AP276" s="626"/>
      <c r="AQ276" s="626"/>
      <c r="AR276" s="626"/>
      <c r="AS276" s="626"/>
      <c r="AT276" s="626"/>
      <c r="AU276" s="626"/>
      <c r="AV276" s="626"/>
      <c r="AW276" s="626"/>
      <c r="AX276" s="626"/>
      <c r="AY276" s="626"/>
      <c r="AZ276" s="626"/>
      <c r="BA276" s="626"/>
      <c r="BB276" s="588"/>
      <c r="BC276" s="626"/>
      <c r="BD276" s="626"/>
      <c r="BE276" s="626"/>
      <c r="BF276" s="626"/>
      <c r="BG276" s="626"/>
      <c r="BH276" s="626"/>
      <c r="BI276" s="588"/>
      <c r="BJ276" s="626"/>
      <c r="BK276" s="626"/>
      <c r="BL276" s="626"/>
      <c r="BM276" s="626"/>
      <c r="BN276" s="626"/>
      <c r="BO276" s="626"/>
      <c r="BP276" s="588"/>
      <c r="BQ276" s="846"/>
      <c r="BR276" s="850"/>
      <c r="BS276" s="588"/>
      <c r="BT276" s="754"/>
      <c r="BU276" s="588"/>
      <c r="BV276" s="588"/>
      <c r="BW276" s="588"/>
      <c r="BX276" s="588"/>
      <c r="BY276" s="588"/>
      <c r="BZ276" s="588"/>
      <c r="CA276" s="588"/>
      <c r="CB276" s="588"/>
      <c r="CC276" s="865"/>
      <c r="CD276" s="588"/>
      <c r="CE276" s="588"/>
      <c r="CF276" s="588"/>
      <c r="CG276" s="588"/>
      <c r="CH276" s="588"/>
      <c r="CI276" s="588"/>
      <c r="CJ276" s="588"/>
      <c r="CK276" s="588"/>
      <c r="CL276" s="588"/>
      <c r="CM276" s="588"/>
      <c r="CN276" s="588"/>
      <c r="CO276" s="588"/>
      <c r="CP276" s="816"/>
      <c r="CQ276" s="805"/>
      <c r="CR276" s="805"/>
      <c r="CS276" s="830"/>
      <c r="CT276" s="588"/>
      <c r="CU276" s="626"/>
      <c r="CV276" s="626"/>
      <c r="CW276" s="626"/>
      <c r="CX276" s="626"/>
      <c r="CY276" s="626"/>
      <c r="CZ276" s="626"/>
      <c r="DA276" s="626"/>
      <c r="DB276" s="626"/>
      <c r="DC276" s="626"/>
      <c r="DD276" s="626"/>
      <c r="DE276" s="626"/>
      <c r="DF276" s="626"/>
      <c r="DG276" s="626"/>
      <c r="DH276" s="626"/>
      <c r="DI276" s="626"/>
      <c r="DJ276" s="626"/>
      <c r="DK276" s="626"/>
      <c r="DL276" s="626"/>
      <c r="DM276" s="761"/>
      <c r="DN276" s="761"/>
      <c r="DO276" s="761"/>
      <c r="DP276" s="553"/>
      <c r="DQ276" s="553"/>
      <c r="DR276" s="553"/>
      <c r="DS276" s="553"/>
      <c r="DT276" s="553"/>
      <c r="DU276" s="553"/>
      <c r="DV276" s="553"/>
      <c r="DW276" s="553"/>
      <c r="DX276" s="553"/>
      <c r="DY276" s="553"/>
    </row>
    <row r="277" spans="1:129" s="489" customFormat="1" ht="24" customHeight="1" x14ac:dyDescent="0.9">
      <c r="A277" s="752"/>
      <c r="B277" s="588"/>
      <c r="C277" s="588"/>
      <c r="D277" s="588"/>
      <c r="E277" s="588"/>
      <c r="F277" s="588"/>
      <c r="G277" s="588"/>
      <c r="H277" s="588"/>
      <c r="I277" s="588"/>
      <c r="J277" s="588"/>
      <c r="K277" s="588"/>
      <c r="L277" s="753"/>
      <c r="M277" s="753"/>
      <c r="N277" s="588"/>
      <c r="O277" s="626"/>
      <c r="P277" s="588"/>
      <c r="Q277" s="626"/>
      <c r="R277" s="588"/>
      <c r="S277" s="588"/>
      <c r="T277" s="588"/>
      <c r="U277" s="588"/>
      <c r="V277" s="588"/>
      <c r="W277" s="588"/>
      <c r="X277" s="588"/>
      <c r="Y277" s="588"/>
      <c r="Z277" s="588"/>
      <c r="AA277" s="588"/>
      <c r="AB277" s="588"/>
      <c r="AC277" s="588"/>
      <c r="AD277" s="588"/>
      <c r="AE277" s="626"/>
      <c r="AF277" s="626"/>
      <c r="AG277" s="626"/>
      <c r="AH277" s="626"/>
      <c r="AI277" s="626"/>
      <c r="AJ277" s="626"/>
      <c r="AK277" s="626"/>
      <c r="AL277" s="626"/>
      <c r="AM277" s="626"/>
      <c r="AN277" s="626"/>
      <c r="AO277" s="626"/>
      <c r="AP277" s="626"/>
      <c r="AQ277" s="626"/>
      <c r="AR277" s="626"/>
      <c r="AS277" s="626"/>
      <c r="AT277" s="626"/>
      <c r="AU277" s="626"/>
      <c r="AV277" s="626"/>
      <c r="AW277" s="626"/>
      <c r="AX277" s="626"/>
      <c r="AY277" s="626"/>
      <c r="AZ277" s="626"/>
      <c r="BA277" s="626"/>
      <c r="BB277" s="588"/>
      <c r="BC277" s="626"/>
      <c r="BD277" s="626"/>
      <c r="BE277" s="626"/>
      <c r="BF277" s="626"/>
      <c r="BG277" s="626"/>
      <c r="BH277" s="626"/>
      <c r="BI277" s="588"/>
      <c r="BJ277" s="626"/>
      <c r="BK277" s="626"/>
      <c r="BL277" s="626"/>
      <c r="BM277" s="626"/>
      <c r="BN277" s="626"/>
      <c r="BO277" s="626"/>
      <c r="BP277" s="588"/>
      <c r="BQ277" s="846"/>
      <c r="BR277" s="850"/>
      <c r="BS277" s="588"/>
      <c r="BT277" s="754"/>
      <c r="BU277" s="588"/>
      <c r="BV277" s="588"/>
      <c r="BW277" s="588"/>
      <c r="BX277" s="588"/>
      <c r="BY277" s="588"/>
      <c r="BZ277" s="588"/>
      <c r="CA277" s="588"/>
      <c r="CB277" s="588"/>
      <c r="CC277" s="865"/>
      <c r="CD277" s="588"/>
      <c r="CE277" s="588"/>
      <c r="CF277" s="588"/>
      <c r="CG277" s="588"/>
      <c r="CH277" s="588"/>
      <c r="CI277" s="588"/>
      <c r="CJ277" s="588"/>
      <c r="CK277" s="588"/>
      <c r="CL277" s="588"/>
      <c r="CM277" s="588"/>
      <c r="CN277" s="588"/>
      <c r="CO277" s="588"/>
      <c r="CP277" s="816"/>
      <c r="CQ277" s="805"/>
      <c r="CR277" s="805"/>
      <c r="CS277" s="830"/>
      <c r="CT277" s="588"/>
      <c r="CU277" s="626"/>
      <c r="CV277" s="626"/>
      <c r="CW277" s="626"/>
      <c r="CX277" s="626"/>
      <c r="CY277" s="626"/>
      <c r="CZ277" s="626"/>
      <c r="DA277" s="626"/>
      <c r="DB277" s="626"/>
      <c r="DC277" s="626"/>
      <c r="DD277" s="626"/>
      <c r="DE277" s="626"/>
      <c r="DF277" s="626"/>
      <c r="DG277" s="626"/>
      <c r="DH277" s="626"/>
      <c r="DI277" s="626"/>
      <c r="DJ277" s="626"/>
      <c r="DK277" s="626"/>
      <c r="DL277" s="626"/>
      <c r="DM277" s="761"/>
      <c r="DN277" s="761"/>
      <c r="DO277" s="761"/>
      <c r="DP277" s="553"/>
      <c r="DQ277" s="553"/>
      <c r="DR277" s="553"/>
      <c r="DS277" s="553"/>
      <c r="DT277" s="553"/>
      <c r="DU277" s="553"/>
      <c r="DV277" s="553"/>
      <c r="DW277" s="553"/>
      <c r="DX277" s="553"/>
      <c r="DY277" s="553"/>
    </row>
    <row r="278" spans="1:129" s="489" customFormat="1" ht="24" customHeight="1" x14ac:dyDescent="0.9">
      <c r="A278" s="752"/>
      <c r="B278" s="588"/>
      <c r="C278" s="588"/>
      <c r="D278" s="588"/>
      <c r="E278" s="588"/>
      <c r="F278" s="588"/>
      <c r="G278" s="588"/>
      <c r="H278" s="588"/>
      <c r="I278" s="588"/>
      <c r="J278" s="588"/>
      <c r="K278" s="588"/>
      <c r="L278" s="753"/>
      <c r="M278" s="753"/>
      <c r="N278" s="588"/>
      <c r="O278" s="626"/>
      <c r="P278" s="588"/>
      <c r="Q278" s="626"/>
      <c r="R278" s="588"/>
      <c r="S278" s="588"/>
      <c r="T278" s="588"/>
      <c r="U278" s="588"/>
      <c r="V278" s="588"/>
      <c r="W278" s="588"/>
      <c r="X278" s="588"/>
      <c r="Y278" s="588"/>
      <c r="Z278" s="588"/>
      <c r="AA278" s="588"/>
      <c r="AB278" s="588"/>
      <c r="AC278" s="588"/>
      <c r="AD278" s="588"/>
      <c r="AE278" s="626"/>
      <c r="AF278" s="626"/>
      <c r="AG278" s="626"/>
      <c r="AH278" s="626"/>
      <c r="AI278" s="626"/>
      <c r="AJ278" s="626"/>
      <c r="AK278" s="626"/>
      <c r="AL278" s="626"/>
      <c r="AM278" s="626"/>
      <c r="AN278" s="626"/>
      <c r="AO278" s="626"/>
      <c r="AP278" s="626"/>
      <c r="AQ278" s="626"/>
      <c r="AR278" s="626"/>
      <c r="AS278" s="626"/>
      <c r="AT278" s="626"/>
      <c r="AU278" s="626"/>
      <c r="AV278" s="626"/>
      <c r="AW278" s="626"/>
      <c r="AX278" s="626"/>
      <c r="AY278" s="626"/>
      <c r="AZ278" s="626"/>
      <c r="BA278" s="626"/>
      <c r="BB278" s="588"/>
      <c r="BC278" s="626"/>
      <c r="BD278" s="626"/>
      <c r="BE278" s="626"/>
      <c r="BF278" s="626"/>
      <c r="BG278" s="626"/>
      <c r="BH278" s="626"/>
      <c r="BI278" s="588"/>
      <c r="BJ278" s="626"/>
      <c r="BK278" s="626"/>
      <c r="BL278" s="626"/>
      <c r="BM278" s="626"/>
      <c r="BN278" s="626"/>
      <c r="BO278" s="626"/>
      <c r="BP278" s="588"/>
      <c r="BQ278" s="846"/>
      <c r="BR278" s="850"/>
      <c r="BS278" s="588"/>
      <c r="BT278" s="754"/>
      <c r="BU278" s="588"/>
      <c r="BV278" s="588"/>
      <c r="BW278" s="588"/>
      <c r="BX278" s="588"/>
      <c r="BY278" s="588"/>
      <c r="BZ278" s="588"/>
      <c r="CA278" s="588"/>
      <c r="CB278" s="588"/>
      <c r="CC278" s="865"/>
      <c r="CD278" s="588"/>
      <c r="CE278" s="588"/>
      <c r="CF278" s="588"/>
      <c r="CG278" s="588"/>
      <c r="CH278" s="588"/>
      <c r="CI278" s="588"/>
      <c r="CJ278" s="588"/>
      <c r="CK278" s="588"/>
      <c r="CL278" s="588"/>
      <c r="CM278" s="588"/>
      <c r="CN278" s="588"/>
      <c r="CO278" s="588"/>
      <c r="CP278" s="816"/>
      <c r="CQ278" s="805"/>
      <c r="CR278" s="805"/>
      <c r="CS278" s="830"/>
      <c r="CT278" s="588"/>
      <c r="CU278" s="626"/>
      <c r="CV278" s="626"/>
      <c r="CW278" s="626"/>
      <c r="CX278" s="626"/>
      <c r="CY278" s="626"/>
      <c r="CZ278" s="626"/>
      <c r="DA278" s="626"/>
      <c r="DB278" s="626"/>
      <c r="DC278" s="626"/>
      <c r="DD278" s="626"/>
      <c r="DE278" s="626"/>
      <c r="DF278" s="626"/>
      <c r="DG278" s="626"/>
      <c r="DH278" s="626"/>
      <c r="DI278" s="626"/>
      <c r="DJ278" s="626"/>
      <c r="DK278" s="626"/>
      <c r="DL278" s="626"/>
      <c r="DM278" s="761"/>
      <c r="DN278" s="761"/>
      <c r="DO278" s="761"/>
      <c r="DP278" s="553"/>
      <c r="DQ278" s="553"/>
      <c r="DR278" s="553"/>
      <c r="DS278" s="553"/>
      <c r="DT278" s="553"/>
      <c r="DU278" s="553"/>
      <c r="DV278" s="553"/>
      <c r="DW278" s="553"/>
      <c r="DX278" s="553"/>
      <c r="DY278" s="553"/>
    </row>
    <row r="279" spans="1:129" s="489" customFormat="1" ht="24" customHeight="1" x14ac:dyDescent="0.9">
      <c r="A279" s="752"/>
      <c r="B279" s="588"/>
      <c r="C279" s="588"/>
      <c r="D279" s="588"/>
      <c r="E279" s="588"/>
      <c r="F279" s="588"/>
      <c r="G279" s="588"/>
      <c r="H279" s="588"/>
      <c r="I279" s="588"/>
      <c r="J279" s="588"/>
      <c r="K279" s="588"/>
      <c r="L279" s="753"/>
      <c r="M279" s="753"/>
      <c r="N279" s="588"/>
      <c r="O279" s="626"/>
      <c r="P279" s="588"/>
      <c r="Q279" s="626"/>
      <c r="R279" s="588"/>
      <c r="S279" s="588"/>
      <c r="T279" s="588"/>
      <c r="U279" s="588"/>
      <c r="V279" s="588"/>
      <c r="W279" s="588"/>
      <c r="X279" s="588"/>
      <c r="Y279" s="588"/>
      <c r="Z279" s="588"/>
      <c r="AA279" s="588"/>
      <c r="AB279" s="588"/>
      <c r="AC279" s="588"/>
      <c r="AD279" s="588"/>
      <c r="AE279" s="626"/>
      <c r="AF279" s="626"/>
      <c r="AG279" s="626"/>
      <c r="AH279" s="626"/>
      <c r="AI279" s="626"/>
      <c r="AJ279" s="626"/>
      <c r="AK279" s="626"/>
      <c r="AL279" s="626"/>
      <c r="AM279" s="626"/>
      <c r="AN279" s="626"/>
      <c r="AO279" s="626"/>
      <c r="AP279" s="626"/>
      <c r="AQ279" s="626"/>
      <c r="AR279" s="626"/>
      <c r="AS279" s="626"/>
      <c r="AT279" s="626"/>
      <c r="AU279" s="626"/>
      <c r="AV279" s="626"/>
      <c r="AW279" s="626"/>
      <c r="AX279" s="626"/>
      <c r="AY279" s="626"/>
      <c r="AZ279" s="626"/>
      <c r="BA279" s="626"/>
      <c r="BB279" s="588"/>
      <c r="BC279" s="626"/>
      <c r="BD279" s="626"/>
      <c r="BE279" s="626"/>
      <c r="BF279" s="626"/>
      <c r="BG279" s="626"/>
      <c r="BH279" s="626"/>
      <c r="BI279" s="588"/>
      <c r="BJ279" s="626"/>
      <c r="BK279" s="626"/>
      <c r="BL279" s="626"/>
      <c r="BM279" s="626"/>
      <c r="BN279" s="626"/>
      <c r="BO279" s="626"/>
      <c r="BP279" s="588"/>
      <c r="BQ279" s="846"/>
      <c r="BR279" s="850"/>
      <c r="BS279" s="588"/>
      <c r="BT279" s="754"/>
      <c r="BU279" s="588"/>
      <c r="BV279" s="588"/>
      <c r="BW279" s="588"/>
      <c r="BX279" s="588"/>
      <c r="BY279" s="588"/>
      <c r="BZ279" s="588"/>
      <c r="CA279" s="588"/>
      <c r="CB279" s="588"/>
      <c r="CC279" s="865"/>
      <c r="CD279" s="588"/>
      <c r="CE279" s="588"/>
      <c r="CF279" s="588"/>
      <c r="CG279" s="588"/>
      <c r="CH279" s="588"/>
      <c r="CI279" s="588"/>
      <c r="CJ279" s="588"/>
      <c r="CK279" s="588"/>
      <c r="CL279" s="588"/>
      <c r="CM279" s="588"/>
      <c r="CN279" s="588"/>
      <c r="CO279" s="588"/>
      <c r="CP279" s="816"/>
      <c r="CQ279" s="805"/>
      <c r="CR279" s="805"/>
      <c r="CS279" s="830"/>
      <c r="CT279" s="588"/>
      <c r="CU279" s="626"/>
      <c r="CV279" s="626"/>
      <c r="CW279" s="626"/>
      <c r="CX279" s="626"/>
      <c r="CY279" s="626"/>
      <c r="CZ279" s="626"/>
      <c r="DA279" s="626"/>
      <c r="DB279" s="626"/>
      <c r="DC279" s="626"/>
      <c r="DD279" s="626"/>
      <c r="DE279" s="626"/>
      <c r="DF279" s="626"/>
      <c r="DG279" s="626"/>
      <c r="DH279" s="626"/>
      <c r="DI279" s="626"/>
      <c r="DJ279" s="626"/>
      <c r="DK279" s="626"/>
      <c r="DL279" s="626"/>
      <c r="DM279" s="761"/>
      <c r="DN279" s="761"/>
      <c r="DO279" s="761"/>
      <c r="DP279" s="553"/>
      <c r="DQ279" s="553"/>
      <c r="DR279" s="553"/>
      <c r="DS279" s="553"/>
      <c r="DT279" s="553"/>
      <c r="DU279" s="553"/>
      <c r="DV279" s="553"/>
      <c r="DW279" s="553"/>
      <c r="DX279" s="553"/>
      <c r="DY279" s="553"/>
    </row>
    <row r="280" spans="1:129" s="489" customFormat="1" ht="24" customHeight="1" x14ac:dyDescent="0.9">
      <c r="A280" s="752"/>
      <c r="B280" s="588"/>
      <c r="C280" s="588"/>
      <c r="D280" s="588"/>
      <c r="E280" s="588"/>
      <c r="F280" s="588"/>
      <c r="G280" s="588"/>
      <c r="H280" s="588"/>
      <c r="I280" s="588"/>
      <c r="J280" s="588"/>
      <c r="K280" s="588"/>
      <c r="L280" s="753"/>
      <c r="M280" s="753"/>
      <c r="N280" s="588"/>
      <c r="O280" s="626"/>
      <c r="P280" s="588"/>
      <c r="Q280" s="626"/>
      <c r="R280" s="588"/>
      <c r="S280" s="588"/>
      <c r="T280" s="588"/>
      <c r="U280" s="588"/>
      <c r="V280" s="588"/>
      <c r="W280" s="588"/>
      <c r="X280" s="588"/>
      <c r="Y280" s="588"/>
      <c r="Z280" s="588"/>
      <c r="AA280" s="588"/>
      <c r="AB280" s="588"/>
      <c r="AC280" s="588"/>
      <c r="AD280" s="588"/>
      <c r="AE280" s="626"/>
      <c r="AF280" s="626"/>
      <c r="AG280" s="626"/>
      <c r="AH280" s="626"/>
      <c r="AI280" s="626"/>
      <c r="AJ280" s="626"/>
      <c r="AK280" s="626"/>
      <c r="AL280" s="626"/>
      <c r="AM280" s="626"/>
      <c r="AN280" s="626"/>
      <c r="AO280" s="626"/>
      <c r="AP280" s="626"/>
      <c r="AQ280" s="626"/>
      <c r="AR280" s="626"/>
      <c r="AS280" s="626"/>
      <c r="AT280" s="626"/>
      <c r="AU280" s="626"/>
      <c r="AV280" s="626"/>
      <c r="AW280" s="626"/>
      <c r="AX280" s="626"/>
      <c r="AY280" s="626"/>
      <c r="AZ280" s="626"/>
      <c r="BA280" s="626"/>
      <c r="BB280" s="588"/>
      <c r="BC280" s="626"/>
      <c r="BD280" s="626"/>
      <c r="BE280" s="626"/>
      <c r="BF280" s="626"/>
      <c r="BG280" s="626"/>
      <c r="BH280" s="626"/>
      <c r="BI280" s="588"/>
      <c r="BJ280" s="626"/>
      <c r="BK280" s="626"/>
      <c r="BL280" s="626"/>
      <c r="BM280" s="626"/>
      <c r="BN280" s="626"/>
      <c r="BO280" s="626"/>
      <c r="BP280" s="588"/>
      <c r="BQ280" s="846"/>
      <c r="BR280" s="850"/>
      <c r="BS280" s="588"/>
      <c r="BT280" s="754"/>
      <c r="BU280" s="588"/>
      <c r="BV280" s="588"/>
      <c r="BW280" s="588"/>
      <c r="BX280" s="588"/>
      <c r="BY280" s="588"/>
      <c r="BZ280" s="588"/>
      <c r="CA280" s="588"/>
      <c r="CB280" s="588"/>
      <c r="CC280" s="865"/>
      <c r="CD280" s="588"/>
      <c r="CE280" s="588"/>
      <c r="CF280" s="588"/>
      <c r="CG280" s="588"/>
      <c r="CH280" s="588"/>
      <c r="CI280" s="588"/>
      <c r="CJ280" s="588"/>
      <c r="CK280" s="588"/>
      <c r="CL280" s="588"/>
      <c r="CM280" s="588"/>
      <c r="CN280" s="588"/>
      <c r="CO280" s="588"/>
      <c r="CP280" s="816"/>
      <c r="CQ280" s="805"/>
      <c r="CR280" s="805"/>
      <c r="CS280" s="830"/>
      <c r="CT280" s="588"/>
      <c r="CU280" s="626"/>
      <c r="CV280" s="626"/>
      <c r="CW280" s="626"/>
      <c r="CX280" s="626"/>
      <c r="CY280" s="626"/>
      <c r="CZ280" s="626"/>
      <c r="DA280" s="626"/>
      <c r="DB280" s="626"/>
      <c r="DC280" s="626"/>
      <c r="DD280" s="626"/>
      <c r="DE280" s="626"/>
      <c r="DF280" s="626"/>
      <c r="DG280" s="626"/>
      <c r="DH280" s="626"/>
      <c r="DI280" s="626"/>
      <c r="DJ280" s="626"/>
      <c r="DK280" s="626"/>
      <c r="DL280" s="626"/>
      <c r="DM280" s="761"/>
      <c r="DN280" s="761"/>
      <c r="DO280" s="761"/>
      <c r="DP280" s="553"/>
      <c r="DQ280" s="553"/>
      <c r="DR280" s="553"/>
      <c r="DS280" s="553"/>
      <c r="DT280" s="553"/>
      <c r="DU280" s="553"/>
      <c r="DV280" s="553"/>
      <c r="DW280" s="553"/>
      <c r="DX280" s="553"/>
      <c r="DY280" s="553"/>
    </row>
  </sheetData>
  <sortState xmlns:xlrd2="http://schemas.microsoft.com/office/spreadsheetml/2017/richdata2" ref="A3:DY43">
    <sortCondition ref="C3:C43"/>
    <sortCondition ref="D3:D43"/>
    <sortCondition ref="H3:H43"/>
  </sortState>
  <mergeCells count="27">
    <mergeCell ref="CP1:CS1"/>
    <mergeCell ref="CE2:CM2"/>
    <mergeCell ref="BS1:BV1"/>
    <mergeCell ref="BS2:BT2"/>
    <mergeCell ref="BU2:BV2"/>
    <mergeCell ref="F1:I1"/>
    <mergeCell ref="N1:Q1"/>
    <mergeCell ref="AD1:AE1"/>
    <mergeCell ref="T1:W1"/>
    <mergeCell ref="X1:Y1"/>
    <mergeCell ref="Z1:AA1"/>
    <mergeCell ref="AB1:AC1"/>
    <mergeCell ref="AF1:AG1"/>
    <mergeCell ref="AT1:BA1"/>
    <mergeCell ref="AH1:AI1"/>
    <mergeCell ref="BC1:BH1"/>
    <mergeCell ref="BJ1:BO1"/>
    <mergeCell ref="AN1:AO1"/>
    <mergeCell ref="AR1:AS1"/>
    <mergeCell ref="BP1:BR1"/>
    <mergeCell ref="BJ2:BL2"/>
    <mergeCell ref="BM2:BO2"/>
    <mergeCell ref="AJ1:AK1"/>
    <mergeCell ref="AL1:AM1"/>
    <mergeCell ref="BF2:BH2"/>
    <mergeCell ref="BC2:BE2"/>
    <mergeCell ref="AP1:AQ1"/>
  </mergeCells>
  <pageMargins left="0.25" right="0.25" top="0.75" bottom="0.75" header="0.3" footer="0.3"/>
  <pageSetup scale="10" orientation="portrait" r:id="rId1"/>
  <headerFooter>
    <oddHeader xml:space="preserve">&amp;C2011 Bowl Season
Bettors Guide
</oddHeader>
    <oddFooter>&amp;Cwww.bigbookofguesses.com</oddFooter>
  </headerFooter>
  <rowBreaks count="1" manualBreakCount="1">
    <brk id="22" max="115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5">
    <pageSetUpPr fitToPage="1"/>
  </sheetPr>
  <dimension ref="A1:KV1047392"/>
  <sheetViews>
    <sheetView zoomScale="70" zoomScaleNormal="70" workbookViewId="0">
      <pane xSplit="1" ySplit="3" topLeftCell="L4" activePane="bottomRight" state="frozen"/>
      <selection pane="topRight" activeCell="B1" sqref="B1"/>
      <selection pane="bottomLeft" activeCell="A4" sqref="A4"/>
      <selection pane="bottomRight" activeCell="U17" sqref="U17"/>
    </sheetView>
  </sheetViews>
  <sheetFormatPr defaultColWidth="8.86328125" defaultRowHeight="15.75" customHeight="1" x14ac:dyDescent="0.8"/>
  <cols>
    <col min="1" max="1" width="5.58984375" style="325" customWidth="1"/>
    <col min="2" max="2" width="6.453125" style="333" customWidth="1"/>
    <col min="3" max="3" width="8" style="338" customWidth="1"/>
    <col min="4" max="4" width="11.6796875" style="327" customWidth="1"/>
    <col min="5" max="5" width="9.1328125" style="325" customWidth="1"/>
    <col min="6" max="6" width="27.58984375" style="57" customWidth="1"/>
    <col min="7" max="7" width="8.6796875" style="46" customWidth="1"/>
    <col min="8" max="8" width="27.58984375" style="57" customWidth="1"/>
    <col min="9" max="9" width="8.6796875" style="46" customWidth="1"/>
    <col min="10" max="10" width="27.6796875" style="331" customWidth="1"/>
    <col min="11" max="11" width="27.6796875" style="330" customWidth="1"/>
    <col min="12" max="12" width="8" style="334" customWidth="1"/>
    <col min="13" max="13" width="8" style="346" customWidth="1"/>
    <col min="14" max="14" width="27.6796875" style="493" customWidth="1"/>
    <col min="15" max="15" width="5.6796875" style="493" customWidth="1"/>
    <col min="16" max="16" width="27.6796875" style="493" customWidth="1"/>
    <col min="17" max="17" width="5.6796875" style="46" customWidth="1"/>
    <col min="18" max="19" width="27.6796875" style="330" customWidth="1"/>
    <col min="20" max="20" width="27.6796875" style="57" customWidth="1"/>
    <col min="21" max="21" width="8.76953125" style="325" customWidth="1"/>
    <col min="22" max="16384" width="8.86328125" style="345"/>
  </cols>
  <sheetData>
    <row r="1" spans="1:21" s="324" customFormat="1" ht="24.95" customHeight="1" x14ac:dyDescent="0.8">
      <c r="A1" s="319"/>
      <c r="B1" s="319"/>
      <c r="C1" s="320"/>
      <c r="D1" s="321"/>
      <c r="E1" s="319"/>
      <c r="F1" s="174"/>
      <c r="G1" s="174"/>
      <c r="H1" s="651"/>
      <c r="I1" s="174"/>
      <c r="J1" s="319"/>
      <c r="K1" s="319"/>
      <c r="L1" s="323"/>
      <c r="M1" s="367"/>
      <c r="N1" s="956"/>
      <c r="O1" s="957"/>
      <c r="P1" s="957"/>
      <c r="Q1" s="958"/>
      <c r="R1" s="322"/>
      <c r="S1" s="322"/>
      <c r="T1" s="493"/>
      <c r="U1" s="319"/>
    </row>
    <row r="2" spans="1:21" s="661" customFormat="1" ht="16.899999999999999" customHeight="1" x14ac:dyDescent="0.8">
      <c r="A2" s="655"/>
      <c r="B2" s="655"/>
      <c r="C2" s="656"/>
      <c r="D2" s="407"/>
      <c r="E2" s="657"/>
      <c r="F2" s="955" t="s">
        <v>2</v>
      </c>
      <c r="G2" s="953"/>
      <c r="H2" s="953"/>
      <c r="I2" s="954"/>
      <c r="J2" s="496"/>
      <c r="K2" s="658"/>
      <c r="L2" s="659"/>
      <c r="M2" s="660"/>
      <c r="N2" s="955" t="s">
        <v>3</v>
      </c>
      <c r="O2" s="953"/>
      <c r="P2" s="953"/>
      <c r="Q2" s="954"/>
      <c r="R2" s="955" t="s">
        <v>4</v>
      </c>
      <c r="S2" s="954"/>
      <c r="T2" s="724"/>
      <c r="U2" s="657"/>
    </row>
    <row r="3" spans="1:21" s="661" customFormat="1" ht="24.95" customHeight="1" x14ac:dyDescent="0.8">
      <c r="A3" s="640" t="s">
        <v>10</v>
      </c>
      <c r="B3" s="662" t="s">
        <v>11</v>
      </c>
      <c r="C3" s="663" t="s">
        <v>12</v>
      </c>
      <c r="D3" s="495" t="s">
        <v>13</v>
      </c>
      <c r="E3" s="640" t="s">
        <v>14</v>
      </c>
      <c r="F3" s="497" t="s">
        <v>6</v>
      </c>
      <c r="G3" s="640" t="s">
        <v>15</v>
      </c>
      <c r="H3" s="497" t="s">
        <v>8</v>
      </c>
      <c r="I3" s="640" t="s">
        <v>15</v>
      </c>
      <c r="J3" s="497" t="s">
        <v>16</v>
      </c>
      <c r="K3" s="664" t="s">
        <v>17</v>
      </c>
      <c r="L3" s="126" t="s">
        <v>18</v>
      </c>
      <c r="M3" s="208" t="s">
        <v>19</v>
      </c>
      <c r="N3" s="493" t="s">
        <v>438</v>
      </c>
      <c r="O3" s="493"/>
      <c r="P3" s="493" t="s">
        <v>439</v>
      </c>
      <c r="Q3" s="59"/>
      <c r="R3" s="664" t="s">
        <v>436</v>
      </c>
      <c r="S3" s="664" t="s">
        <v>437</v>
      </c>
      <c r="T3" s="497" t="s">
        <v>22</v>
      </c>
      <c r="U3" s="640" t="s">
        <v>23</v>
      </c>
    </row>
    <row r="4" spans="1:21" s="335" customFormat="1" ht="15.75" customHeight="1" x14ac:dyDescent="0.8">
      <c r="A4" s="325">
        <v>1</v>
      </c>
      <c r="B4" s="46" t="s">
        <v>52</v>
      </c>
      <c r="C4" s="326">
        <v>44812</v>
      </c>
      <c r="D4" s="327">
        <f>20.25/24</f>
        <v>0.84375</v>
      </c>
      <c r="E4" s="46" t="s">
        <v>179</v>
      </c>
      <c r="F4" s="114" t="s">
        <v>67</v>
      </c>
      <c r="G4" s="46" t="s">
        <v>331</v>
      </c>
      <c r="H4" s="114" t="s">
        <v>349</v>
      </c>
      <c r="I4" s="46" t="s">
        <v>340</v>
      </c>
      <c r="J4" s="359" t="str">
        <f>F4</f>
        <v>Buffalo</v>
      </c>
      <c r="K4" s="481" t="str">
        <f t="shared" ref="K4:K35" si="0">IF(+J4=H4,F4,H4)</f>
        <v>LA Rams</v>
      </c>
      <c r="L4" s="336">
        <v>2</v>
      </c>
      <c r="M4" s="339">
        <v>52</v>
      </c>
      <c r="N4" s="360" t="str">
        <f>F4</f>
        <v>Buffalo</v>
      </c>
      <c r="O4" s="114">
        <v>31</v>
      </c>
      <c r="P4" s="328" t="str">
        <f t="shared" ref="P4:P35" si="1">IF(N4=F4,H4,F4)</f>
        <v>LA Rams</v>
      </c>
      <c r="Q4" s="114">
        <v>10</v>
      </c>
      <c r="R4" s="364" t="str">
        <f t="shared" ref="R4:R35" si="2">IF(+N4=K4,+N4,IF(+O4-Q4&lt;L4,+K4,+J4))</f>
        <v>Buffalo</v>
      </c>
      <c r="S4" s="364" t="str">
        <f t="shared" ref="S4:S35" si="3">IF(+R4=J4,+K4,+J4)</f>
        <v>LA Rams</v>
      </c>
      <c r="T4" s="114" t="str">
        <f>K4</f>
        <v>LA Rams</v>
      </c>
      <c r="U4" s="349" t="str">
        <f t="shared" ref="U4:U35" si="4">IF($N4=$J4,IF($O4-$Q4=$L4,"T",IF($R4=T4,"W","L")),IF($R4=T4,"W","L"))</f>
        <v>L</v>
      </c>
    </row>
    <row r="5" spans="1:21" s="335" customFormat="1" ht="15.75" customHeight="1" x14ac:dyDescent="0.8">
      <c r="A5" s="325">
        <v>1</v>
      </c>
      <c r="B5" s="46" t="s">
        <v>220</v>
      </c>
      <c r="C5" s="326">
        <v>44815</v>
      </c>
      <c r="D5" s="327">
        <f>13/24</f>
        <v>0.54166666666666663</v>
      </c>
      <c r="E5" s="78" t="s">
        <v>118</v>
      </c>
      <c r="F5" s="114" t="s">
        <v>356</v>
      </c>
      <c r="G5" s="46" t="s">
        <v>334</v>
      </c>
      <c r="H5" s="114" t="s">
        <v>333</v>
      </c>
      <c r="I5" s="46" t="s">
        <v>334</v>
      </c>
      <c r="J5" s="329" t="str">
        <f>F5</f>
        <v>New Orleans</v>
      </c>
      <c r="K5" s="379" t="str">
        <f t="shared" si="0"/>
        <v>Atlanta</v>
      </c>
      <c r="L5" s="336">
        <v>5.5</v>
      </c>
      <c r="M5" s="339">
        <v>42.5</v>
      </c>
      <c r="N5" s="360" t="str">
        <f>F5</f>
        <v>New Orleans</v>
      </c>
      <c r="O5" s="114">
        <v>27</v>
      </c>
      <c r="P5" s="328" t="str">
        <f t="shared" si="1"/>
        <v>Atlanta</v>
      </c>
      <c r="Q5" s="114">
        <v>26</v>
      </c>
      <c r="R5" s="364" t="str">
        <f t="shared" si="2"/>
        <v>Atlanta</v>
      </c>
      <c r="S5" s="364" t="str">
        <f t="shared" si="3"/>
        <v>New Orleans</v>
      </c>
      <c r="T5" s="114" t="str">
        <f>J5</f>
        <v>New Orleans</v>
      </c>
      <c r="U5" s="349" t="str">
        <f t="shared" si="4"/>
        <v>L</v>
      </c>
    </row>
    <row r="6" spans="1:21" s="335" customFormat="1" ht="15.75" customHeight="1" x14ac:dyDescent="0.8">
      <c r="A6" s="325">
        <v>1</v>
      </c>
      <c r="B6" s="46" t="s">
        <v>220</v>
      </c>
      <c r="C6" s="326">
        <v>44815</v>
      </c>
      <c r="D6" s="327">
        <f t="shared" ref="D6:D13" si="5">13/24</f>
        <v>0.54166666666666663</v>
      </c>
      <c r="E6" s="78" t="s">
        <v>118</v>
      </c>
      <c r="F6" s="114" t="s">
        <v>353</v>
      </c>
      <c r="G6" s="46" t="s">
        <v>340</v>
      </c>
      <c r="H6" s="114" t="s">
        <v>335</v>
      </c>
      <c r="I6" s="46" t="s">
        <v>336</v>
      </c>
      <c r="J6" s="329" t="str">
        <f>F6</f>
        <v>San Francisco</v>
      </c>
      <c r="K6" s="379" t="str">
        <f t="shared" si="0"/>
        <v>Chicago</v>
      </c>
      <c r="L6" s="336">
        <v>7</v>
      </c>
      <c r="M6" s="339">
        <v>41</v>
      </c>
      <c r="N6" s="360" t="str">
        <f>H6</f>
        <v>Chicago</v>
      </c>
      <c r="O6" s="114">
        <v>19</v>
      </c>
      <c r="P6" s="328" t="str">
        <f t="shared" si="1"/>
        <v>San Francisco</v>
      </c>
      <c r="Q6" s="114">
        <v>10</v>
      </c>
      <c r="R6" s="364" t="str">
        <f t="shared" si="2"/>
        <v>Chicago</v>
      </c>
      <c r="S6" s="364" t="str">
        <f t="shared" si="3"/>
        <v>San Francisco</v>
      </c>
      <c r="T6" s="114" t="str">
        <f>K6</f>
        <v>Chicago</v>
      </c>
      <c r="U6" s="349" t="str">
        <f t="shared" si="4"/>
        <v>W</v>
      </c>
    </row>
    <row r="7" spans="1:21" s="335" customFormat="1" ht="15.75" customHeight="1" x14ac:dyDescent="0.8">
      <c r="A7" s="325">
        <v>1</v>
      </c>
      <c r="B7" s="46" t="s">
        <v>220</v>
      </c>
      <c r="C7" s="326">
        <v>44815</v>
      </c>
      <c r="D7" s="327">
        <f t="shared" si="5"/>
        <v>0.54166666666666663</v>
      </c>
      <c r="E7" s="78" t="s">
        <v>303</v>
      </c>
      <c r="F7" s="114" t="s">
        <v>128</v>
      </c>
      <c r="G7" s="46" t="s">
        <v>338</v>
      </c>
      <c r="H7" s="114" t="s">
        <v>55</v>
      </c>
      <c r="I7" s="46" t="s">
        <v>338</v>
      </c>
      <c r="J7" s="329" t="str">
        <f>H7</f>
        <v>Cincinnati</v>
      </c>
      <c r="K7" s="379" t="str">
        <f t="shared" si="0"/>
        <v>Pittsburgh</v>
      </c>
      <c r="L7" s="336">
        <v>6.5</v>
      </c>
      <c r="M7" s="339">
        <v>44</v>
      </c>
      <c r="N7" s="360" t="str">
        <f>F7</f>
        <v>Pittsburgh</v>
      </c>
      <c r="O7" s="114">
        <v>23</v>
      </c>
      <c r="P7" s="328" t="str">
        <f t="shared" si="1"/>
        <v>Cincinnati</v>
      </c>
      <c r="Q7" s="114">
        <v>20</v>
      </c>
      <c r="R7" s="364" t="str">
        <f t="shared" si="2"/>
        <v>Pittsburgh</v>
      </c>
      <c r="S7" s="364" t="str">
        <f t="shared" si="3"/>
        <v>Cincinnati</v>
      </c>
      <c r="T7" s="114" t="str">
        <f>K7</f>
        <v>Pittsburgh</v>
      </c>
      <c r="U7" s="349" t="str">
        <f t="shared" si="4"/>
        <v>W</v>
      </c>
    </row>
    <row r="8" spans="1:21" s="335" customFormat="1" ht="15.75" customHeight="1" x14ac:dyDescent="0.8">
      <c r="A8" s="325">
        <v>1</v>
      </c>
      <c r="B8" s="46" t="s">
        <v>220</v>
      </c>
      <c r="C8" s="326">
        <v>44815</v>
      </c>
      <c r="D8" s="327">
        <f t="shared" si="5"/>
        <v>0.54166666666666663</v>
      </c>
      <c r="E8" s="78" t="s">
        <v>118</v>
      </c>
      <c r="F8" s="114" t="s">
        <v>346</v>
      </c>
      <c r="G8" s="46" t="s">
        <v>347</v>
      </c>
      <c r="H8" s="114" t="s">
        <v>341</v>
      </c>
      <c r="I8" s="46" t="s">
        <v>336</v>
      </c>
      <c r="J8" s="329" t="str">
        <f>F8</f>
        <v>Philadelphia</v>
      </c>
      <c r="K8" s="379" t="str">
        <f t="shared" si="0"/>
        <v>Detroit</v>
      </c>
      <c r="L8" s="336">
        <v>4</v>
      </c>
      <c r="M8" s="339">
        <v>49</v>
      </c>
      <c r="N8" s="360" t="str">
        <f>F8</f>
        <v>Philadelphia</v>
      </c>
      <c r="O8" s="114">
        <v>38</v>
      </c>
      <c r="P8" s="328" t="str">
        <f t="shared" si="1"/>
        <v>Detroit</v>
      </c>
      <c r="Q8" s="114">
        <v>35</v>
      </c>
      <c r="R8" s="364" t="str">
        <f t="shared" si="2"/>
        <v>Detroit</v>
      </c>
      <c r="S8" s="364" t="str">
        <f t="shared" si="3"/>
        <v>Philadelphia</v>
      </c>
      <c r="T8" s="114" t="str">
        <f>K8</f>
        <v>Detroit</v>
      </c>
      <c r="U8" s="349" t="str">
        <f t="shared" si="4"/>
        <v>W</v>
      </c>
    </row>
    <row r="9" spans="1:21" s="335" customFormat="1" ht="15.75" customHeight="1" x14ac:dyDescent="0.8">
      <c r="A9" s="325">
        <v>1</v>
      </c>
      <c r="B9" s="46" t="s">
        <v>220</v>
      </c>
      <c r="C9" s="326">
        <v>44815</v>
      </c>
      <c r="D9" s="327">
        <f t="shared" si="5"/>
        <v>0.54166666666666663</v>
      </c>
      <c r="E9" s="78" t="s">
        <v>303</v>
      </c>
      <c r="F9" s="114" t="s">
        <v>330</v>
      </c>
      <c r="G9" s="46" t="s">
        <v>331</v>
      </c>
      <c r="H9" s="114" t="s">
        <v>345</v>
      </c>
      <c r="I9" s="46" t="s">
        <v>331</v>
      </c>
      <c r="J9" s="329" t="str">
        <f>H9</f>
        <v>Miami</v>
      </c>
      <c r="K9" s="379" t="str">
        <f t="shared" si="0"/>
        <v>New England</v>
      </c>
      <c r="L9" s="336">
        <v>3.5</v>
      </c>
      <c r="M9" s="339">
        <v>46.5</v>
      </c>
      <c r="N9" s="360" t="str">
        <f>H9</f>
        <v>Miami</v>
      </c>
      <c r="O9" s="114">
        <v>20</v>
      </c>
      <c r="P9" s="328" t="str">
        <f t="shared" si="1"/>
        <v>New England</v>
      </c>
      <c r="Q9" s="114">
        <v>7</v>
      </c>
      <c r="R9" s="364" t="str">
        <f t="shared" si="2"/>
        <v>Miami</v>
      </c>
      <c r="S9" s="364" t="str">
        <f t="shared" si="3"/>
        <v>New England</v>
      </c>
      <c r="T9" s="114" t="str">
        <f>K9</f>
        <v>New England</v>
      </c>
      <c r="U9" s="349" t="str">
        <f t="shared" si="4"/>
        <v>L</v>
      </c>
    </row>
    <row r="10" spans="1:21" s="335" customFormat="1" ht="15.75" customHeight="1" x14ac:dyDescent="0.8">
      <c r="A10" s="325">
        <v>1</v>
      </c>
      <c r="B10" s="46" t="s">
        <v>220</v>
      </c>
      <c r="C10" s="326">
        <v>44815</v>
      </c>
      <c r="D10" s="327">
        <f t="shared" si="5"/>
        <v>0.54166666666666663</v>
      </c>
      <c r="E10" s="78" t="s">
        <v>303</v>
      </c>
      <c r="F10" s="114" t="s">
        <v>337</v>
      </c>
      <c r="G10" s="46" t="s">
        <v>338</v>
      </c>
      <c r="H10" s="114" t="s">
        <v>332</v>
      </c>
      <c r="I10" s="46" t="s">
        <v>331</v>
      </c>
      <c r="J10" s="329" t="str">
        <f>F10</f>
        <v>Baltimore</v>
      </c>
      <c r="K10" s="379" t="str">
        <f t="shared" si="0"/>
        <v>NY Jets</v>
      </c>
      <c r="L10" s="336">
        <v>7</v>
      </c>
      <c r="M10" s="339">
        <v>44.5</v>
      </c>
      <c r="N10" s="360" t="str">
        <f>F10</f>
        <v>Baltimore</v>
      </c>
      <c r="O10" s="114">
        <v>24</v>
      </c>
      <c r="P10" s="328" t="str">
        <f t="shared" si="1"/>
        <v>NY Jets</v>
      </c>
      <c r="Q10" s="114">
        <v>9</v>
      </c>
      <c r="R10" s="364" t="str">
        <f t="shared" si="2"/>
        <v>Baltimore</v>
      </c>
      <c r="S10" s="364" t="str">
        <f t="shared" si="3"/>
        <v>NY Jets</v>
      </c>
      <c r="T10" s="114" t="str">
        <f>J10</f>
        <v>Baltimore</v>
      </c>
      <c r="U10" s="349" t="str">
        <f t="shared" si="4"/>
        <v>W</v>
      </c>
    </row>
    <row r="11" spans="1:21" s="335" customFormat="1" ht="15.75" customHeight="1" x14ac:dyDescent="0.8">
      <c r="A11" s="325">
        <v>1</v>
      </c>
      <c r="B11" s="46" t="s">
        <v>220</v>
      </c>
      <c r="C11" s="326">
        <v>44815</v>
      </c>
      <c r="D11" s="327">
        <f t="shared" si="5"/>
        <v>0.54166666666666663</v>
      </c>
      <c r="E11" s="78" t="s">
        <v>303</v>
      </c>
      <c r="F11" s="114" t="s">
        <v>342</v>
      </c>
      <c r="G11" s="46" t="s">
        <v>343</v>
      </c>
      <c r="H11" s="114" t="s">
        <v>91</v>
      </c>
      <c r="I11" s="46" t="s">
        <v>347</v>
      </c>
      <c r="J11" s="329" t="str">
        <f>H11</f>
        <v>Washington</v>
      </c>
      <c r="K11" s="379" t="str">
        <f t="shared" si="0"/>
        <v>Jacksonville</v>
      </c>
      <c r="L11" s="336">
        <v>2.5</v>
      </c>
      <c r="M11" s="339">
        <v>44</v>
      </c>
      <c r="N11" s="360" t="str">
        <f>H11</f>
        <v>Washington</v>
      </c>
      <c r="O11" s="114">
        <v>28</v>
      </c>
      <c r="P11" s="328" t="str">
        <f t="shared" si="1"/>
        <v>Jacksonville</v>
      </c>
      <c r="Q11" s="114">
        <v>22</v>
      </c>
      <c r="R11" s="364" t="str">
        <f t="shared" si="2"/>
        <v>Washington</v>
      </c>
      <c r="S11" s="364" t="str">
        <f t="shared" si="3"/>
        <v>Jacksonville</v>
      </c>
      <c r="T11" s="114" t="str">
        <f>K11</f>
        <v>Jacksonville</v>
      </c>
      <c r="U11" s="349" t="str">
        <f t="shared" si="4"/>
        <v>L</v>
      </c>
    </row>
    <row r="12" spans="1:21" s="335" customFormat="1" ht="15.75" customHeight="1" x14ac:dyDescent="0.8">
      <c r="A12" s="325">
        <v>1</v>
      </c>
      <c r="B12" s="46" t="s">
        <v>220</v>
      </c>
      <c r="C12" s="326">
        <v>44815</v>
      </c>
      <c r="D12" s="327">
        <f t="shared" si="5"/>
        <v>0.54166666666666663</v>
      </c>
      <c r="E12" s="78" t="s">
        <v>303</v>
      </c>
      <c r="F12" s="114" t="s">
        <v>339</v>
      </c>
      <c r="G12" s="46" t="s">
        <v>338</v>
      </c>
      <c r="H12" s="114" t="s">
        <v>352</v>
      </c>
      <c r="I12" s="46" t="s">
        <v>334</v>
      </c>
      <c r="J12" s="329" t="str">
        <f>H12</f>
        <v>Carolina</v>
      </c>
      <c r="K12" s="379" t="str">
        <f t="shared" si="0"/>
        <v>Cleveland</v>
      </c>
      <c r="L12" s="336">
        <v>1.5</v>
      </c>
      <c r="M12" s="339">
        <v>42</v>
      </c>
      <c r="N12" s="360" t="str">
        <f>F12</f>
        <v>Cleveland</v>
      </c>
      <c r="O12" s="114">
        <v>26</v>
      </c>
      <c r="P12" s="328" t="str">
        <f t="shared" si="1"/>
        <v>Carolina</v>
      </c>
      <c r="Q12" s="114">
        <v>24</v>
      </c>
      <c r="R12" s="364" t="str">
        <f t="shared" si="2"/>
        <v>Cleveland</v>
      </c>
      <c r="S12" s="364" t="str">
        <f t="shared" si="3"/>
        <v>Carolina</v>
      </c>
      <c r="T12" s="114" t="str">
        <f>K12</f>
        <v>Cleveland</v>
      </c>
      <c r="U12" s="349" t="str">
        <f t="shared" si="4"/>
        <v>W</v>
      </c>
    </row>
    <row r="13" spans="1:21" s="335" customFormat="1" ht="15.75" customHeight="1" x14ac:dyDescent="0.8">
      <c r="A13" s="325">
        <v>1</v>
      </c>
      <c r="B13" s="46" t="s">
        <v>220</v>
      </c>
      <c r="C13" s="326">
        <v>44815</v>
      </c>
      <c r="D13" s="327">
        <f t="shared" si="5"/>
        <v>0.54166666666666663</v>
      </c>
      <c r="E13" s="78" t="s">
        <v>303</v>
      </c>
      <c r="F13" s="114" t="s">
        <v>348</v>
      </c>
      <c r="G13" s="46" t="s">
        <v>343</v>
      </c>
      <c r="H13" s="114" t="s">
        <v>174</v>
      </c>
      <c r="I13" s="46" t="s">
        <v>343</v>
      </c>
      <c r="J13" s="329" t="str">
        <f>F13</f>
        <v>Indianapolis</v>
      </c>
      <c r="K13" s="379" t="str">
        <f t="shared" si="0"/>
        <v>Houston</v>
      </c>
      <c r="L13" s="336">
        <v>7</v>
      </c>
      <c r="M13" s="339">
        <v>46</v>
      </c>
      <c r="N13" s="360" t="str">
        <f>F13</f>
        <v>Indianapolis</v>
      </c>
      <c r="O13" s="114">
        <v>20</v>
      </c>
      <c r="P13" s="328" t="str">
        <f t="shared" si="1"/>
        <v>Houston</v>
      </c>
      <c r="Q13" s="114">
        <v>20</v>
      </c>
      <c r="R13" s="364" t="str">
        <f t="shared" si="2"/>
        <v>Houston</v>
      </c>
      <c r="S13" s="364" t="str">
        <f t="shared" si="3"/>
        <v>Indianapolis</v>
      </c>
      <c r="T13" s="114" t="str">
        <f>K13</f>
        <v>Houston</v>
      </c>
      <c r="U13" s="349" t="str">
        <f t="shared" si="4"/>
        <v>W</v>
      </c>
    </row>
    <row r="14" spans="1:21" s="335" customFormat="1" ht="15.75" customHeight="1" x14ac:dyDescent="0.8">
      <c r="A14" s="325">
        <v>1</v>
      </c>
      <c r="B14" s="46" t="s">
        <v>220</v>
      </c>
      <c r="C14" s="326">
        <v>44815</v>
      </c>
      <c r="D14" s="327">
        <f>16/24</f>
        <v>0.66666666666666663</v>
      </c>
      <c r="E14" s="78" t="s">
        <v>118</v>
      </c>
      <c r="F14" s="114" t="s">
        <v>354</v>
      </c>
      <c r="G14" s="46" t="s">
        <v>347</v>
      </c>
      <c r="H14" s="114" t="s">
        <v>226</v>
      </c>
      <c r="I14" s="46" t="s">
        <v>343</v>
      </c>
      <c r="J14" s="329" t="str">
        <f>H14</f>
        <v>Tennessee</v>
      </c>
      <c r="K14" s="379" t="str">
        <f t="shared" si="0"/>
        <v>NY Giants</v>
      </c>
      <c r="L14" s="336">
        <v>5.5</v>
      </c>
      <c r="M14" s="339">
        <v>43.5</v>
      </c>
      <c r="N14" s="360" t="str">
        <f>F14</f>
        <v>NY Giants</v>
      </c>
      <c r="O14" s="114">
        <v>21</v>
      </c>
      <c r="P14" s="328" t="str">
        <f t="shared" si="1"/>
        <v>Tennessee</v>
      </c>
      <c r="Q14" s="114">
        <v>20</v>
      </c>
      <c r="R14" s="364" t="str">
        <f t="shared" si="2"/>
        <v>NY Giants</v>
      </c>
      <c r="S14" s="364" t="str">
        <f t="shared" si="3"/>
        <v>Tennessee</v>
      </c>
      <c r="T14" s="114" t="str">
        <f>K14</f>
        <v>NY Giants</v>
      </c>
      <c r="U14" s="349" t="str">
        <f t="shared" si="4"/>
        <v>W</v>
      </c>
    </row>
    <row r="15" spans="1:21" s="335" customFormat="1" ht="15.75" customHeight="1" x14ac:dyDescent="0.8">
      <c r="A15" s="325">
        <v>1</v>
      </c>
      <c r="B15" s="46" t="s">
        <v>220</v>
      </c>
      <c r="C15" s="326">
        <v>44815</v>
      </c>
      <c r="D15" s="327">
        <f>16/24</f>
        <v>0.66666666666666663</v>
      </c>
      <c r="E15" s="78" t="s">
        <v>118</v>
      </c>
      <c r="F15" s="114" t="s">
        <v>351</v>
      </c>
      <c r="G15" s="46" t="s">
        <v>336</v>
      </c>
      <c r="H15" s="114" t="s">
        <v>69</v>
      </c>
      <c r="I15" s="46" t="s">
        <v>336</v>
      </c>
      <c r="J15" s="329" t="str">
        <f>F15</f>
        <v>Green Bay</v>
      </c>
      <c r="K15" s="379" t="str">
        <f t="shared" si="0"/>
        <v>Minnesota</v>
      </c>
      <c r="L15" s="336">
        <v>1.5</v>
      </c>
      <c r="M15" s="339">
        <v>47</v>
      </c>
      <c r="N15" s="360" t="str">
        <f>H15</f>
        <v>Minnesota</v>
      </c>
      <c r="O15" s="114">
        <v>23</v>
      </c>
      <c r="P15" s="328" t="str">
        <f t="shared" si="1"/>
        <v>Green Bay</v>
      </c>
      <c r="Q15" s="114">
        <v>7</v>
      </c>
      <c r="R15" s="364" t="str">
        <f t="shared" si="2"/>
        <v>Minnesota</v>
      </c>
      <c r="S15" s="364" t="str">
        <f t="shared" si="3"/>
        <v>Green Bay</v>
      </c>
      <c r="T15" s="114" t="str">
        <f>J15</f>
        <v>Green Bay</v>
      </c>
      <c r="U15" s="349" t="str">
        <f t="shared" si="4"/>
        <v>L</v>
      </c>
    </row>
    <row r="16" spans="1:21" s="335" customFormat="1" ht="15.75" customHeight="1" x14ac:dyDescent="0.8">
      <c r="A16" s="325">
        <v>1</v>
      </c>
      <c r="B16" s="46" t="s">
        <v>220</v>
      </c>
      <c r="C16" s="326">
        <v>44815</v>
      </c>
      <c r="D16" s="327">
        <f>16/24</f>
        <v>0.66666666666666663</v>
      </c>
      <c r="E16" s="78" t="s">
        <v>303</v>
      </c>
      <c r="F16" s="114" t="s">
        <v>328</v>
      </c>
      <c r="G16" s="46" t="s">
        <v>329</v>
      </c>
      <c r="H16" s="114" t="s">
        <v>198</v>
      </c>
      <c r="I16" s="46" t="s">
        <v>340</v>
      </c>
      <c r="J16" s="329" t="str">
        <f>F16</f>
        <v>Kansas City</v>
      </c>
      <c r="K16" s="379" t="str">
        <f t="shared" si="0"/>
        <v>Arizona</v>
      </c>
      <c r="L16" s="336">
        <v>6</v>
      </c>
      <c r="M16" s="339">
        <v>54</v>
      </c>
      <c r="N16" s="360" t="str">
        <f>F16</f>
        <v>Kansas City</v>
      </c>
      <c r="O16" s="114">
        <v>44</v>
      </c>
      <c r="P16" s="328" t="str">
        <f t="shared" si="1"/>
        <v>Arizona</v>
      </c>
      <c r="Q16" s="114">
        <v>21</v>
      </c>
      <c r="R16" s="364" t="str">
        <f t="shared" si="2"/>
        <v>Kansas City</v>
      </c>
      <c r="S16" s="364" t="str">
        <f t="shared" si="3"/>
        <v>Arizona</v>
      </c>
      <c r="T16" s="114" t="str">
        <f>J16</f>
        <v>Kansas City</v>
      </c>
      <c r="U16" s="349" t="str">
        <f t="shared" si="4"/>
        <v>W</v>
      </c>
    </row>
    <row r="17" spans="1:21" s="335" customFormat="1" ht="15.75" customHeight="1" x14ac:dyDescent="0.8">
      <c r="A17" s="325">
        <v>1</v>
      </c>
      <c r="B17" s="46" t="s">
        <v>220</v>
      </c>
      <c r="C17" s="326">
        <v>44815</v>
      </c>
      <c r="D17" s="327">
        <f>16/24</f>
        <v>0.66666666666666663</v>
      </c>
      <c r="E17" s="78" t="s">
        <v>303</v>
      </c>
      <c r="F17" s="114" t="s">
        <v>295</v>
      </c>
      <c r="G17" s="46" t="s">
        <v>329</v>
      </c>
      <c r="H17" s="114" t="s">
        <v>357</v>
      </c>
      <c r="I17" s="46" t="s">
        <v>329</v>
      </c>
      <c r="J17" s="329" t="str">
        <f>H17</f>
        <v>LA Chargers</v>
      </c>
      <c r="K17" s="379" t="str">
        <f t="shared" si="0"/>
        <v>Las Vegas</v>
      </c>
      <c r="L17" s="336">
        <v>3.5</v>
      </c>
      <c r="M17" s="339">
        <v>52.5</v>
      </c>
      <c r="N17" s="360" t="str">
        <f>H17</f>
        <v>LA Chargers</v>
      </c>
      <c r="O17" s="114">
        <v>24</v>
      </c>
      <c r="P17" s="328" t="str">
        <f t="shared" si="1"/>
        <v>Las Vegas</v>
      </c>
      <c r="Q17" s="114">
        <v>19</v>
      </c>
      <c r="R17" s="364" t="str">
        <f t="shared" si="2"/>
        <v>LA Chargers</v>
      </c>
      <c r="S17" s="364" t="str">
        <f t="shared" si="3"/>
        <v>Las Vegas</v>
      </c>
      <c r="T17" s="114" t="str">
        <f>K17</f>
        <v>Las Vegas</v>
      </c>
      <c r="U17" s="349" t="str">
        <f t="shared" si="4"/>
        <v>L</v>
      </c>
    </row>
    <row r="18" spans="1:21" s="335" customFormat="1" ht="15.75" customHeight="1" x14ac:dyDescent="0.8">
      <c r="A18" s="325">
        <v>1</v>
      </c>
      <c r="B18" s="46" t="s">
        <v>220</v>
      </c>
      <c r="C18" s="326">
        <v>44815</v>
      </c>
      <c r="D18" s="327">
        <f>20.25/24</f>
        <v>0.84375</v>
      </c>
      <c r="E18" s="78" t="s">
        <v>179</v>
      </c>
      <c r="F18" s="114" t="s">
        <v>344</v>
      </c>
      <c r="G18" s="46" t="s">
        <v>334</v>
      </c>
      <c r="H18" s="114" t="s">
        <v>355</v>
      </c>
      <c r="I18" s="46" t="s">
        <v>347</v>
      </c>
      <c r="J18" s="329" t="str">
        <f>F18</f>
        <v>Tampa Bay</v>
      </c>
      <c r="K18" s="379" t="str">
        <f t="shared" si="0"/>
        <v>Dallas</v>
      </c>
      <c r="L18" s="336">
        <v>2.5</v>
      </c>
      <c r="M18" s="339">
        <v>51</v>
      </c>
      <c r="N18" s="360" t="str">
        <f>F18</f>
        <v>Tampa Bay</v>
      </c>
      <c r="O18" s="114">
        <v>19</v>
      </c>
      <c r="P18" s="328" t="str">
        <f t="shared" si="1"/>
        <v>Dallas</v>
      </c>
      <c r="Q18" s="114">
        <v>3</v>
      </c>
      <c r="R18" s="364" t="str">
        <f t="shared" si="2"/>
        <v>Tampa Bay</v>
      </c>
      <c r="S18" s="364" t="str">
        <f t="shared" si="3"/>
        <v>Dallas</v>
      </c>
      <c r="T18" s="114" t="str">
        <f>J18</f>
        <v>Tampa Bay</v>
      </c>
      <c r="U18" s="349" t="str">
        <f t="shared" si="4"/>
        <v>W</v>
      </c>
    </row>
    <row r="19" spans="1:21" s="335" customFormat="1" ht="15.75" customHeight="1" x14ac:dyDescent="0.8">
      <c r="A19" s="325">
        <v>1</v>
      </c>
      <c r="B19" s="46" t="s">
        <v>225</v>
      </c>
      <c r="C19" s="326">
        <v>44816</v>
      </c>
      <c r="D19" s="327">
        <f>20.25/24</f>
        <v>0.84375</v>
      </c>
      <c r="E19" s="46" t="s">
        <v>135</v>
      </c>
      <c r="F19" s="114" t="s">
        <v>358</v>
      </c>
      <c r="G19" s="46" t="s">
        <v>329</v>
      </c>
      <c r="H19" s="114" t="s">
        <v>350</v>
      </c>
      <c r="I19" s="46" t="s">
        <v>340</v>
      </c>
      <c r="J19" s="329" t="str">
        <f>F19</f>
        <v>Denver</v>
      </c>
      <c r="K19" s="379" t="str">
        <f t="shared" si="0"/>
        <v>Seattle</v>
      </c>
      <c r="L19" s="336">
        <v>6.5</v>
      </c>
      <c r="M19" s="339">
        <v>45</v>
      </c>
      <c r="N19" s="360" t="str">
        <f>H19</f>
        <v>Seattle</v>
      </c>
      <c r="O19" s="114">
        <v>17</v>
      </c>
      <c r="P19" s="328" t="str">
        <f t="shared" si="1"/>
        <v>Denver</v>
      </c>
      <c r="Q19" s="114">
        <v>16</v>
      </c>
      <c r="R19" s="364" t="str">
        <f t="shared" si="2"/>
        <v>Seattle</v>
      </c>
      <c r="S19" s="364" t="str">
        <f t="shared" si="3"/>
        <v>Denver</v>
      </c>
      <c r="T19" s="114" t="str">
        <f>J19</f>
        <v>Denver</v>
      </c>
      <c r="U19" s="349" t="str">
        <f t="shared" si="4"/>
        <v>L</v>
      </c>
    </row>
    <row r="20" spans="1:21" s="335" customFormat="1" ht="15.75" customHeight="1" x14ac:dyDescent="0.8">
      <c r="A20" s="325">
        <v>1</v>
      </c>
      <c r="B20" s="46"/>
      <c r="C20" s="326"/>
      <c r="D20" s="327"/>
      <c r="E20" s="46"/>
      <c r="F20" s="114"/>
      <c r="G20" s="46"/>
      <c r="H20" s="114"/>
      <c r="I20" s="46"/>
      <c r="J20" s="329"/>
      <c r="K20" s="379"/>
      <c r="L20" s="336"/>
      <c r="M20" s="339"/>
      <c r="N20" s="360"/>
      <c r="O20" s="114"/>
      <c r="P20" s="328"/>
      <c r="Q20" s="114"/>
      <c r="R20" s="364"/>
      <c r="S20" s="364"/>
      <c r="T20" s="114"/>
      <c r="U20" s="349"/>
    </row>
    <row r="21" spans="1:21" s="335" customFormat="1" ht="15.75" customHeight="1" x14ac:dyDescent="0.8">
      <c r="A21" s="46">
        <v>2</v>
      </c>
      <c r="B21" s="46" t="s">
        <v>52</v>
      </c>
      <c r="C21" s="326">
        <f>+C4+7</f>
        <v>44819</v>
      </c>
      <c r="D21" s="327">
        <f>20.25/24</f>
        <v>0.84375</v>
      </c>
      <c r="E21" s="46" t="s">
        <v>179</v>
      </c>
      <c r="F21" s="114" t="s">
        <v>357</v>
      </c>
      <c r="G21" s="46" t="s">
        <v>329</v>
      </c>
      <c r="H21" s="114" t="s">
        <v>328</v>
      </c>
      <c r="I21" s="46" t="s">
        <v>329</v>
      </c>
      <c r="J21" s="329" t="str">
        <f>H21</f>
        <v>Kansas City</v>
      </c>
      <c r="K21" s="379" t="str">
        <f t="shared" si="0"/>
        <v>LA Chargers</v>
      </c>
      <c r="L21" s="336">
        <v>4.5</v>
      </c>
      <c r="M21" s="339">
        <v>54.5</v>
      </c>
      <c r="N21" s="360" t="str">
        <f>J21</f>
        <v>Kansas City</v>
      </c>
      <c r="O21" s="114">
        <v>27</v>
      </c>
      <c r="P21" s="328" t="str">
        <f t="shared" si="1"/>
        <v>LA Chargers</v>
      </c>
      <c r="Q21" s="114">
        <v>24</v>
      </c>
      <c r="R21" s="364" t="str">
        <f t="shared" si="2"/>
        <v>LA Chargers</v>
      </c>
      <c r="S21" s="364" t="str">
        <f t="shared" si="3"/>
        <v>Kansas City</v>
      </c>
      <c r="T21" s="114" t="str">
        <f>K21</f>
        <v>LA Chargers</v>
      </c>
      <c r="U21" s="349" t="str">
        <f t="shared" si="4"/>
        <v>W</v>
      </c>
    </row>
    <row r="22" spans="1:21" s="335" customFormat="1" ht="15.75" customHeight="1" x14ac:dyDescent="0.8">
      <c r="A22" s="46">
        <v>2</v>
      </c>
      <c r="B22" s="46" t="s">
        <v>220</v>
      </c>
      <c r="C22" s="326">
        <f t="shared" ref="C22:C36" si="6">+C5+7</f>
        <v>44822</v>
      </c>
      <c r="D22" s="327">
        <f>13/24</f>
        <v>0.54166666666666663</v>
      </c>
      <c r="E22" s="78" t="s">
        <v>303</v>
      </c>
      <c r="F22" s="114" t="s">
        <v>332</v>
      </c>
      <c r="G22" s="46" t="s">
        <v>331</v>
      </c>
      <c r="H22" s="114" t="s">
        <v>339</v>
      </c>
      <c r="I22" s="46" t="s">
        <v>338</v>
      </c>
      <c r="J22" s="329" t="str">
        <f>H22</f>
        <v>Cleveland</v>
      </c>
      <c r="K22" s="379" t="str">
        <f t="shared" si="0"/>
        <v>NY Jets</v>
      </c>
      <c r="L22" s="336">
        <v>6</v>
      </c>
      <c r="M22" s="339">
        <v>40</v>
      </c>
      <c r="N22" s="360" t="str">
        <f>K22</f>
        <v>NY Jets</v>
      </c>
      <c r="O22" s="114">
        <v>31</v>
      </c>
      <c r="P22" s="328" t="str">
        <f t="shared" si="1"/>
        <v>Cleveland</v>
      </c>
      <c r="Q22" s="114">
        <v>30</v>
      </c>
      <c r="R22" s="364" t="str">
        <f t="shared" si="2"/>
        <v>NY Jets</v>
      </c>
      <c r="S22" s="364" t="str">
        <f t="shared" si="3"/>
        <v>Cleveland</v>
      </c>
      <c r="T22" s="114" t="str">
        <f>K22</f>
        <v>NY Jets</v>
      </c>
      <c r="U22" s="349" t="str">
        <f t="shared" si="4"/>
        <v>W</v>
      </c>
    </row>
    <row r="23" spans="1:21" s="335" customFormat="1" ht="15.75" customHeight="1" x14ac:dyDescent="0.8">
      <c r="A23" s="46">
        <v>2</v>
      </c>
      <c r="B23" s="46" t="s">
        <v>220</v>
      </c>
      <c r="C23" s="326">
        <f t="shared" si="6"/>
        <v>44822</v>
      </c>
      <c r="D23" s="327">
        <f t="shared" ref="D23:D28" si="7">13/24</f>
        <v>0.54166666666666663</v>
      </c>
      <c r="E23" s="78" t="s">
        <v>118</v>
      </c>
      <c r="F23" s="114" t="s">
        <v>91</v>
      </c>
      <c r="G23" s="46" t="s">
        <v>347</v>
      </c>
      <c r="H23" s="114" t="s">
        <v>341</v>
      </c>
      <c r="I23" s="46" t="s">
        <v>336</v>
      </c>
      <c r="J23" s="329" t="str">
        <f>H23</f>
        <v>Detroit</v>
      </c>
      <c r="K23" s="379" t="str">
        <f t="shared" si="0"/>
        <v>Washington</v>
      </c>
      <c r="L23" s="336">
        <v>2.5</v>
      </c>
      <c r="M23" s="339">
        <v>49.5</v>
      </c>
      <c r="N23" s="360" t="str">
        <f>J23</f>
        <v>Detroit</v>
      </c>
      <c r="O23" s="114">
        <v>36</v>
      </c>
      <c r="P23" s="328" t="str">
        <f t="shared" si="1"/>
        <v>Washington</v>
      </c>
      <c r="Q23" s="114">
        <v>27</v>
      </c>
      <c r="R23" s="364" t="str">
        <f t="shared" si="2"/>
        <v>Detroit</v>
      </c>
      <c r="S23" s="364" t="str">
        <f t="shared" si="3"/>
        <v>Washington</v>
      </c>
      <c r="T23" s="114" t="str">
        <f>K23</f>
        <v>Washington</v>
      </c>
      <c r="U23" s="349" t="str">
        <f t="shared" si="4"/>
        <v>L</v>
      </c>
    </row>
    <row r="24" spans="1:21" s="335" customFormat="1" ht="15.75" customHeight="1" x14ac:dyDescent="0.8">
      <c r="A24" s="46">
        <v>2</v>
      </c>
      <c r="B24" s="46" t="s">
        <v>220</v>
      </c>
      <c r="C24" s="326">
        <f t="shared" si="6"/>
        <v>44822</v>
      </c>
      <c r="D24" s="327">
        <f t="shared" si="7"/>
        <v>0.54166666666666663</v>
      </c>
      <c r="E24" s="78" t="s">
        <v>118</v>
      </c>
      <c r="F24" s="114" t="s">
        <v>344</v>
      </c>
      <c r="G24" s="46" t="s">
        <v>334</v>
      </c>
      <c r="H24" s="114" t="s">
        <v>356</v>
      </c>
      <c r="I24" s="46" t="s">
        <v>334</v>
      </c>
      <c r="J24" s="329" t="str">
        <f>F24</f>
        <v>Tampa Bay</v>
      </c>
      <c r="K24" s="379" t="str">
        <f t="shared" si="0"/>
        <v>New Orleans</v>
      </c>
      <c r="L24" s="336">
        <v>2.5</v>
      </c>
      <c r="M24" s="339">
        <v>44</v>
      </c>
      <c r="N24" s="360" t="str">
        <f>K24</f>
        <v>New Orleans</v>
      </c>
      <c r="O24" s="114">
        <v>20</v>
      </c>
      <c r="P24" s="328" t="str">
        <f t="shared" si="1"/>
        <v>Tampa Bay</v>
      </c>
      <c r="Q24" s="114">
        <v>10</v>
      </c>
      <c r="R24" s="364" t="str">
        <f t="shared" si="2"/>
        <v>New Orleans</v>
      </c>
      <c r="S24" s="364" t="str">
        <f t="shared" si="3"/>
        <v>Tampa Bay</v>
      </c>
      <c r="T24" s="114" t="str">
        <f>K24</f>
        <v>New Orleans</v>
      </c>
      <c r="U24" s="349" t="str">
        <f t="shared" si="4"/>
        <v>W</v>
      </c>
    </row>
    <row r="25" spans="1:21" s="335" customFormat="1" ht="15.75" customHeight="1" x14ac:dyDescent="0.8">
      <c r="A25" s="46">
        <v>2</v>
      </c>
      <c r="B25" s="46" t="s">
        <v>220</v>
      </c>
      <c r="C25" s="326">
        <f t="shared" si="6"/>
        <v>44822</v>
      </c>
      <c r="D25" s="327">
        <f t="shared" si="7"/>
        <v>0.54166666666666663</v>
      </c>
      <c r="E25" s="78" t="s">
        <v>118</v>
      </c>
      <c r="F25" s="114" t="s">
        <v>352</v>
      </c>
      <c r="G25" s="46" t="s">
        <v>334</v>
      </c>
      <c r="H25" s="114" t="s">
        <v>354</v>
      </c>
      <c r="I25" s="46" t="s">
        <v>347</v>
      </c>
      <c r="J25" s="329" t="str">
        <f>H25</f>
        <v>NY Giants</v>
      </c>
      <c r="K25" s="379" t="str">
        <f t="shared" si="0"/>
        <v>Carolina</v>
      </c>
      <c r="L25" s="336">
        <v>2.5</v>
      </c>
      <c r="M25" s="339">
        <v>43</v>
      </c>
      <c r="N25" s="360" t="str">
        <f>J25</f>
        <v>NY Giants</v>
      </c>
      <c r="O25" s="114">
        <v>19</v>
      </c>
      <c r="P25" s="328" t="str">
        <f t="shared" si="1"/>
        <v>Carolina</v>
      </c>
      <c r="Q25" s="114">
        <v>16</v>
      </c>
      <c r="R25" s="364" t="str">
        <f t="shared" si="2"/>
        <v>NY Giants</v>
      </c>
      <c r="S25" s="364" t="str">
        <f t="shared" si="3"/>
        <v>Carolina</v>
      </c>
      <c r="T25" s="114" t="str">
        <f>K25</f>
        <v>Carolina</v>
      </c>
      <c r="U25" s="349" t="str">
        <f t="shared" si="4"/>
        <v>L</v>
      </c>
    </row>
    <row r="26" spans="1:21" s="335" customFormat="1" ht="15.75" customHeight="1" x14ac:dyDescent="0.8">
      <c r="A26" s="46">
        <v>2</v>
      </c>
      <c r="B26" s="46" t="s">
        <v>220</v>
      </c>
      <c r="C26" s="326">
        <f t="shared" si="6"/>
        <v>44822</v>
      </c>
      <c r="D26" s="327">
        <f t="shared" si="7"/>
        <v>0.54166666666666663</v>
      </c>
      <c r="E26" s="78" t="s">
        <v>303</v>
      </c>
      <c r="F26" s="114" t="s">
        <v>330</v>
      </c>
      <c r="G26" s="46" t="s">
        <v>331</v>
      </c>
      <c r="H26" s="114" t="s">
        <v>128</v>
      </c>
      <c r="I26" s="46" t="s">
        <v>338</v>
      </c>
      <c r="J26" s="329" t="str">
        <f>F26</f>
        <v>New England</v>
      </c>
      <c r="K26" s="379" t="str">
        <f t="shared" si="0"/>
        <v>Pittsburgh</v>
      </c>
      <c r="L26" s="336">
        <v>1</v>
      </c>
      <c r="M26" s="339">
        <v>40</v>
      </c>
      <c r="N26" s="360" t="str">
        <f>J26</f>
        <v>New England</v>
      </c>
      <c r="O26" s="114">
        <v>17</v>
      </c>
      <c r="P26" s="328" t="str">
        <f t="shared" si="1"/>
        <v>Pittsburgh</v>
      </c>
      <c r="Q26" s="114">
        <v>14</v>
      </c>
      <c r="R26" s="364" t="str">
        <f t="shared" si="2"/>
        <v>New England</v>
      </c>
      <c r="S26" s="364" t="str">
        <f t="shared" si="3"/>
        <v>Pittsburgh</v>
      </c>
      <c r="T26" s="114" t="str">
        <f>J26</f>
        <v>New England</v>
      </c>
      <c r="U26" s="349" t="str">
        <f t="shared" si="4"/>
        <v>W</v>
      </c>
    </row>
    <row r="27" spans="1:21" s="335" customFormat="1" ht="15.75" customHeight="1" x14ac:dyDescent="0.8">
      <c r="A27" s="46">
        <v>2</v>
      </c>
      <c r="B27" s="46" t="s">
        <v>220</v>
      </c>
      <c r="C27" s="326">
        <f t="shared" si="6"/>
        <v>44822</v>
      </c>
      <c r="D27" s="327">
        <f t="shared" si="7"/>
        <v>0.54166666666666663</v>
      </c>
      <c r="E27" s="78" t="s">
        <v>303</v>
      </c>
      <c r="F27" s="127" t="s">
        <v>348</v>
      </c>
      <c r="G27" s="46" t="s">
        <v>343</v>
      </c>
      <c r="H27" s="127" t="s">
        <v>342</v>
      </c>
      <c r="I27" s="46" t="s">
        <v>343</v>
      </c>
      <c r="J27" s="329" t="str">
        <f>F27</f>
        <v>Indianapolis</v>
      </c>
      <c r="K27" s="379" t="str">
        <f t="shared" si="0"/>
        <v>Jacksonville</v>
      </c>
      <c r="L27" s="336">
        <v>4</v>
      </c>
      <c r="M27" s="339">
        <v>46.5</v>
      </c>
      <c r="N27" s="360" t="str">
        <f>K27</f>
        <v>Jacksonville</v>
      </c>
      <c r="O27" s="114">
        <v>24</v>
      </c>
      <c r="P27" s="328" t="str">
        <f t="shared" si="1"/>
        <v>Indianapolis</v>
      </c>
      <c r="Q27" s="114">
        <v>0</v>
      </c>
      <c r="R27" s="364" t="str">
        <f t="shared" si="2"/>
        <v>Jacksonville</v>
      </c>
      <c r="S27" s="364" t="str">
        <f t="shared" si="3"/>
        <v>Indianapolis</v>
      </c>
      <c r="T27" s="127" t="str">
        <f>K27</f>
        <v>Jacksonville</v>
      </c>
      <c r="U27" s="349" t="str">
        <f t="shared" si="4"/>
        <v>W</v>
      </c>
    </row>
    <row r="28" spans="1:21" s="335" customFormat="1" ht="15.75" customHeight="1" x14ac:dyDescent="0.8">
      <c r="A28" s="46">
        <v>2</v>
      </c>
      <c r="B28" s="46" t="s">
        <v>220</v>
      </c>
      <c r="C28" s="326">
        <f t="shared" si="6"/>
        <v>44822</v>
      </c>
      <c r="D28" s="327">
        <f t="shared" si="7"/>
        <v>0.54166666666666663</v>
      </c>
      <c r="E28" s="78" t="s">
        <v>303</v>
      </c>
      <c r="F28" s="114" t="s">
        <v>345</v>
      </c>
      <c r="G28" s="46" t="s">
        <v>331</v>
      </c>
      <c r="H28" s="114" t="s">
        <v>337</v>
      </c>
      <c r="I28" s="46" t="s">
        <v>338</v>
      </c>
      <c r="J28" s="329" t="str">
        <f>H28</f>
        <v>Baltimore</v>
      </c>
      <c r="K28" s="379" t="str">
        <f t="shared" si="0"/>
        <v>Miami</v>
      </c>
      <c r="L28" s="336">
        <v>3.5</v>
      </c>
      <c r="M28" s="339">
        <v>44.5</v>
      </c>
      <c r="N28" s="360" t="str">
        <f>K28</f>
        <v>Miami</v>
      </c>
      <c r="O28" s="114">
        <v>42</v>
      </c>
      <c r="P28" s="328" t="str">
        <f t="shared" si="1"/>
        <v>Baltimore</v>
      </c>
      <c r="Q28" s="114">
        <v>38</v>
      </c>
      <c r="R28" s="364" t="str">
        <f t="shared" si="2"/>
        <v>Miami</v>
      </c>
      <c r="S28" s="364" t="str">
        <f t="shared" si="3"/>
        <v>Baltimore</v>
      </c>
      <c r="T28" s="114" t="str">
        <f>K28</f>
        <v>Miami</v>
      </c>
      <c r="U28" s="349" t="str">
        <f t="shared" si="4"/>
        <v>W</v>
      </c>
    </row>
    <row r="29" spans="1:21" s="335" customFormat="1" ht="15.75" customHeight="1" x14ac:dyDescent="0.8">
      <c r="A29" s="46">
        <v>2</v>
      </c>
      <c r="B29" s="46" t="s">
        <v>220</v>
      </c>
      <c r="C29" s="326">
        <f t="shared" si="6"/>
        <v>44822</v>
      </c>
      <c r="D29" s="327">
        <f>16/24</f>
        <v>0.66666666666666663</v>
      </c>
      <c r="E29" s="78" t="s">
        <v>118</v>
      </c>
      <c r="F29" s="114" t="s">
        <v>333</v>
      </c>
      <c r="G29" s="46" t="s">
        <v>334</v>
      </c>
      <c r="H29" s="114" t="s">
        <v>349</v>
      </c>
      <c r="I29" s="46" t="s">
        <v>340</v>
      </c>
      <c r="J29" s="329" t="str">
        <f>H29</f>
        <v>LA Rams</v>
      </c>
      <c r="K29" s="379" t="str">
        <f t="shared" si="0"/>
        <v>Atlanta</v>
      </c>
      <c r="L29" s="336">
        <v>10.5</v>
      </c>
      <c r="M29" s="339">
        <v>47</v>
      </c>
      <c r="N29" s="360" t="str">
        <f>J29</f>
        <v>LA Rams</v>
      </c>
      <c r="O29" s="114">
        <v>31</v>
      </c>
      <c r="P29" s="328" t="str">
        <f t="shared" si="1"/>
        <v>Atlanta</v>
      </c>
      <c r="Q29" s="114">
        <v>27</v>
      </c>
      <c r="R29" s="364" t="str">
        <f t="shared" si="2"/>
        <v>Atlanta</v>
      </c>
      <c r="S29" s="364" t="str">
        <f t="shared" si="3"/>
        <v>LA Rams</v>
      </c>
      <c r="T29" s="114" t="str">
        <f>J29</f>
        <v>LA Rams</v>
      </c>
      <c r="U29" s="349" t="str">
        <f t="shared" si="4"/>
        <v>L</v>
      </c>
    </row>
    <row r="30" spans="1:21" s="335" customFormat="1" ht="15.75" customHeight="1" x14ac:dyDescent="0.8">
      <c r="A30" s="46">
        <v>2</v>
      </c>
      <c r="B30" s="46" t="s">
        <v>220</v>
      </c>
      <c r="C30" s="326">
        <f t="shared" si="6"/>
        <v>44822</v>
      </c>
      <c r="D30" s="327">
        <f>16/24</f>
        <v>0.66666666666666663</v>
      </c>
      <c r="E30" s="78" t="s">
        <v>118</v>
      </c>
      <c r="F30" s="114" t="s">
        <v>350</v>
      </c>
      <c r="G30" s="46" t="s">
        <v>340</v>
      </c>
      <c r="H30" s="114" t="s">
        <v>353</v>
      </c>
      <c r="I30" s="46" t="s">
        <v>340</v>
      </c>
      <c r="J30" s="329" t="str">
        <f>H30</f>
        <v>San Francisco</v>
      </c>
      <c r="K30" s="379" t="str">
        <f t="shared" si="0"/>
        <v>Seattle</v>
      </c>
      <c r="L30" s="336">
        <v>10</v>
      </c>
      <c r="M30" s="339">
        <v>42.5</v>
      </c>
      <c r="N30" s="360" t="str">
        <f>J30</f>
        <v>San Francisco</v>
      </c>
      <c r="O30" s="114">
        <v>27</v>
      </c>
      <c r="P30" s="328" t="str">
        <f t="shared" si="1"/>
        <v>Seattle</v>
      </c>
      <c r="Q30" s="114">
        <v>7</v>
      </c>
      <c r="R30" s="364" t="str">
        <f t="shared" si="2"/>
        <v>San Francisco</v>
      </c>
      <c r="S30" s="364" t="str">
        <f t="shared" si="3"/>
        <v>Seattle</v>
      </c>
      <c r="T30" s="114" t="str">
        <f>J30</f>
        <v>San Francisco</v>
      </c>
      <c r="U30" s="349" t="str">
        <f t="shared" si="4"/>
        <v>W</v>
      </c>
    </row>
    <row r="31" spans="1:21" s="335" customFormat="1" ht="15.75" customHeight="1" x14ac:dyDescent="0.8">
      <c r="A31" s="46">
        <v>2</v>
      </c>
      <c r="B31" s="46" t="s">
        <v>220</v>
      </c>
      <c r="C31" s="326">
        <f t="shared" si="6"/>
        <v>44822</v>
      </c>
      <c r="D31" s="327">
        <f>16/24</f>
        <v>0.66666666666666663</v>
      </c>
      <c r="E31" s="78" t="s">
        <v>303</v>
      </c>
      <c r="F31" s="114" t="s">
        <v>55</v>
      </c>
      <c r="G31" s="46" t="s">
        <v>338</v>
      </c>
      <c r="H31" s="114" t="s">
        <v>355</v>
      </c>
      <c r="I31" s="46" t="s">
        <v>347</v>
      </c>
      <c r="J31" s="329" t="str">
        <f>F31</f>
        <v>Cincinnati</v>
      </c>
      <c r="K31" s="379" t="str">
        <f t="shared" si="0"/>
        <v>Dallas</v>
      </c>
      <c r="L31" s="336">
        <v>8</v>
      </c>
      <c r="M31" s="339">
        <v>42.5</v>
      </c>
      <c r="N31" s="360" t="str">
        <f>K31</f>
        <v>Dallas</v>
      </c>
      <c r="O31" s="114">
        <v>20</v>
      </c>
      <c r="P31" s="328" t="str">
        <f t="shared" si="1"/>
        <v>Cincinnati</v>
      </c>
      <c r="Q31" s="114">
        <v>17</v>
      </c>
      <c r="R31" s="364" t="str">
        <f t="shared" si="2"/>
        <v>Dallas</v>
      </c>
      <c r="S31" s="364" t="str">
        <f t="shared" si="3"/>
        <v>Cincinnati</v>
      </c>
      <c r="T31" s="114" t="str">
        <f>J31</f>
        <v>Cincinnati</v>
      </c>
      <c r="U31" s="349" t="str">
        <f t="shared" si="4"/>
        <v>L</v>
      </c>
    </row>
    <row r="32" spans="1:21" s="335" customFormat="1" ht="15.75" customHeight="1" x14ac:dyDescent="0.8">
      <c r="A32" s="46">
        <v>2</v>
      </c>
      <c r="B32" s="46" t="s">
        <v>220</v>
      </c>
      <c r="C32" s="326">
        <f t="shared" si="6"/>
        <v>44822</v>
      </c>
      <c r="D32" s="327">
        <f>16/24</f>
        <v>0.66666666666666663</v>
      </c>
      <c r="E32" s="78" t="s">
        <v>303</v>
      </c>
      <c r="F32" s="114" t="s">
        <v>174</v>
      </c>
      <c r="G32" s="46" t="s">
        <v>343</v>
      </c>
      <c r="H32" s="114" t="s">
        <v>358</v>
      </c>
      <c r="I32" s="46" t="s">
        <v>329</v>
      </c>
      <c r="J32" s="329" t="str">
        <f>H32</f>
        <v>Denver</v>
      </c>
      <c r="K32" s="379" t="str">
        <f t="shared" si="0"/>
        <v>Houston</v>
      </c>
      <c r="L32" s="336">
        <v>10</v>
      </c>
      <c r="M32" s="339">
        <v>46.5</v>
      </c>
      <c r="N32" s="360" t="str">
        <f>J32</f>
        <v>Denver</v>
      </c>
      <c r="O32" s="114">
        <v>16</v>
      </c>
      <c r="P32" s="328" t="str">
        <f t="shared" si="1"/>
        <v>Houston</v>
      </c>
      <c r="Q32" s="114">
        <v>9</v>
      </c>
      <c r="R32" s="364" t="str">
        <f t="shared" si="2"/>
        <v>Houston</v>
      </c>
      <c r="S32" s="364" t="str">
        <f t="shared" si="3"/>
        <v>Denver</v>
      </c>
      <c r="T32" s="114" t="str">
        <f>J32</f>
        <v>Denver</v>
      </c>
      <c r="U32" s="349" t="str">
        <f t="shared" si="4"/>
        <v>L</v>
      </c>
    </row>
    <row r="33" spans="1:21" s="335" customFormat="1" ht="15.75" customHeight="1" x14ac:dyDescent="0.8">
      <c r="A33" s="46">
        <v>2</v>
      </c>
      <c r="B33" s="46" t="s">
        <v>220</v>
      </c>
      <c r="C33" s="326">
        <f t="shared" si="6"/>
        <v>44822</v>
      </c>
      <c r="D33" s="327">
        <f>16/24</f>
        <v>0.66666666666666663</v>
      </c>
      <c r="E33" s="78" t="s">
        <v>118</v>
      </c>
      <c r="F33" s="114" t="s">
        <v>198</v>
      </c>
      <c r="G33" s="46" t="s">
        <v>340</v>
      </c>
      <c r="H33" s="114" t="s">
        <v>295</v>
      </c>
      <c r="I33" s="46" t="s">
        <v>329</v>
      </c>
      <c r="J33" s="329" t="str">
        <f>H33</f>
        <v>Las Vegas</v>
      </c>
      <c r="K33" s="379" t="str">
        <f t="shared" si="0"/>
        <v>Arizona</v>
      </c>
      <c r="L33" s="336">
        <v>6</v>
      </c>
      <c r="M33" s="339">
        <v>51.5</v>
      </c>
      <c r="N33" s="360" t="str">
        <f>K33</f>
        <v>Arizona</v>
      </c>
      <c r="O33" s="114">
        <v>29</v>
      </c>
      <c r="P33" s="328" t="str">
        <f t="shared" si="1"/>
        <v>Las Vegas</v>
      </c>
      <c r="Q33" s="114">
        <v>23</v>
      </c>
      <c r="R33" s="364" t="str">
        <f t="shared" si="2"/>
        <v>Arizona</v>
      </c>
      <c r="S33" s="364" t="str">
        <f t="shared" si="3"/>
        <v>Las Vegas</v>
      </c>
      <c r="T33" s="114" t="str">
        <f>K33</f>
        <v>Arizona</v>
      </c>
      <c r="U33" s="349" t="str">
        <f t="shared" si="4"/>
        <v>W</v>
      </c>
    </row>
    <row r="34" spans="1:21" s="335" customFormat="1" ht="15.75" customHeight="1" x14ac:dyDescent="0.8">
      <c r="A34" s="46">
        <v>2</v>
      </c>
      <c r="B34" s="46" t="s">
        <v>220</v>
      </c>
      <c r="C34" s="326">
        <f t="shared" si="6"/>
        <v>44822</v>
      </c>
      <c r="D34" s="327">
        <f>20.25/24</f>
        <v>0.84375</v>
      </c>
      <c r="E34" s="78" t="s">
        <v>118</v>
      </c>
      <c r="F34" s="114" t="s">
        <v>335</v>
      </c>
      <c r="G34" s="46" t="s">
        <v>336</v>
      </c>
      <c r="H34" s="114" t="s">
        <v>351</v>
      </c>
      <c r="I34" s="46" t="s">
        <v>336</v>
      </c>
      <c r="J34" s="329" t="str">
        <f>H34</f>
        <v>Green Bay</v>
      </c>
      <c r="K34" s="379" t="str">
        <f t="shared" si="0"/>
        <v>Chicago</v>
      </c>
      <c r="L34" s="336">
        <v>10</v>
      </c>
      <c r="M34" s="339">
        <v>42.5</v>
      </c>
      <c r="N34" s="360" t="str">
        <f>J34</f>
        <v>Green Bay</v>
      </c>
      <c r="O34" s="114">
        <v>27</v>
      </c>
      <c r="P34" s="328" t="str">
        <f t="shared" si="1"/>
        <v>Chicago</v>
      </c>
      <c r="Q34" s="114">
        <v>10</v>
      </c>
      <c r="R34" s="364" t="str">
        <f t="shared" si="2"/>
        <v>Green Bay</v>
      </c>
      <c r="S34" s="364" t="str">
        <f t="shared" si="3"/>
        <v>Chicago</v>
      </c>
      <c r="T34" s="114" t="str">
        <f>J34</f>
        <v>Green Bay</v>
      </c>
      <c r="U34" s="349" t="str">
        <f t="shared" si="4"/>
        <v>W</v>
      </c>
    </row>
    <row r="35" spans="1:21" s="335" customFormat="1" ht="15.75" customHeight="1" x14ac:dyDescent="0.8">
      <c r="A35" s="46">
        <v>2</v>
      </c>
      <c r="B35" s="46" t="s">
        <v>225</v>
      </c>
      <c r="C35" s="326">
        <f>+C34+1</f>
        <v>44823</v>
      </c>
      <c r="D35" s="327">
        <f>19.5/24</f>
        <v>0.8125</v>
      </c>
      <c r="E35" s="78" t="s">
        <v>35</v>
      </c>
      <c r="F35" s="114" t="s">
        <v>226</v>
      </c>
      <c r="G35" s="46" t="s">
        <v>343</v>
      </c>
      <c r="H35" s="114" t="s">
        <v>67</v>
      </c>
      <c r="I35" s="46" t="s">
        <v>331</v>
      </c>
      <c r="J35" s="329" t="str">
        <f>H35</f>
        <v>Buffalo</v>
      </c>
      <c r="K35" s="379" t="str">
        <f t="shared" si="0"/>
        <v>Tennessee</v>
      </c>
      <c r="L35" s="336">
        <v>10</v>
      </c>
      <c r="M35" s="339">
        <v>49.5</v>
      </c>
      <c r="N35" s="360" t="str">
        <f>J35</f>
        <v>Buffalo</v>
      </c>
      <c r="O35" s="114">
        <v>41</v>
      </c>
      <c r="P35" s="328" t="str">
        <f t="shared" si="1"/>
        <v>Tennessee</v>
      </c>
      <c r="Q35" s="114">
        <v>7</v>
      </c>
      <c r="R35" s="364" t="str">
        <f t="shared" si="2"/>
        <v>Buffalo</v>
      </c>
      <c r="S35" s="364" t="str">
        <f t="shared" si="3"/>
        <v>Tennessee</v>
      </c>
      <c r="T35" s="114" t="str">
        <f>K35</f>
        <v>Tennessee</v>
      </c>
      <c r="U35" s="349" t="str">
        <f t="shared" si="4"/>
        <v>L</v>
      </c>
    </row>
    <row r="36" spans="1:21" s="335" customFormat="1" ht="15.75" customHeight="1" x14ac:dyDescent="0.8">
      <c r="A36" s="46">
        <v>2</v>
      </c>
      <c r="B36" s="46" t="s">
        <v>225</v>
      </c>
      <c r="C36" s="326">
        <f t="shared" si="6"/>
        <v>44823</v>
      </c>
      <c r="D36" s="327">
        <f>20.25/24</f>
        <v>0.84375</v>
      </c>
      <c r="E36" s="46" t="s">
        <v>135</v>
      </c>
      <c r="F36" s="114" t="s">
        <v>69</v>
      </c>
      <c r="G36" s="46" t="s">
        <v>336</v>
      </c>
      <c r="H36" s="114" t="s">
        <v>346</v>
      </c>
      <c r="I36" s="46" t="s">
        <v>347</v>
      </c>
      <c r="J36" s="329" t="str">
        <f>H36</f>
        <v>Philadelphia</v>
      </c>
      <c r="K36" s="379" t="str">
        <f t="shared" ref="K36:K69" si="8">IF(+J36=H36,F36,H36)</f>
        <v>Minnesota</v>
      </c>
      <c r="L36" s="336">
        <v>2.5</v>
      </c>
      <c r="M36" s="339">
        <v>50.5</v>
      </c>
      <c r="N36" s="360" t="str">
        <f>J36</f>
        <v>Philadelphia</v>
      </c>
      <c r="O36" s="114">
        <v>24</v>
      </c>
      <c r="P36" s="328" t="str">
        <f t="shared" ref="P36:P70" si="9">IF(N36=F36,H36,F36)</f>
        <v>Minnesota</v>
      </c>
      <c r="Q36" s="114">
        <v>7</v>
      </c>
      <c r="R36" s="364" t="str">
        <f t="shared" ref="R36:R70" si="10">IF(+N36=K36,+N36,IF(+O36-Q36&lt;L36,+K36,+J36))</f>
        <v>Philadelphia</v>
      </c>
      <c r="S36" s="364" t="str">
        <f t="shared" ref="S36:S70" si="11">IF(+R36=J36,+K36,+J36)</f>
        <v>Minnesota</v>
      </c>
      <c r="T36" s="114" t="str">
        <f>J36</f>
        <v>Philadelphia</v>
      </c>
      <c r="U36" s="349" t="str">
        <f t="shared" ref="U36:U70" si="12">IF($N36=$J36,IF($O36-$Q36=$L36,"T",IF($R36=T36,"W","L")),IF($R36=T36,"W","L"))</f>
        <v>W</v>
      </c>
    </row>
    <row r="37" spans="1:21" s="335" customFormat="1" ht="15.75" customHeight="1" x14ac:dyDescent="0.8">
      <c r="A37" s="46">
        <v>2</v>
      </c>
      <c r="B37" s="46"/>
      <c r="C37" s="326"/>
      <c r="D37" s="327"/>
      <c r="E37" s="46"/>
      <c r="F37" s="114"/>
      <c r="G37" s="46"/>
      <c r="H37" s="114"/>
      <c r="I37" s="46"/>
      <c r="J37" s="329"/>
      <c r="K37" s="379"/>
      <c r="L37" s="336"/>
      <c r="M37" s="339"/>
      <c r="N37" s="360"/>
      <c r="O37" s="114"/>
      <c r="P37" s="328"/>
      <c r="Q37" s="114"/>
      <c r="R37" s="364"/>
      <c r="S37" s="364"/>
      <c r="T37" s="114"/>
      <c r="U37" s="349"/>
    </row>
    <row r="38" spans="1:21" s="335" customFormat="1" ht="15.75" customHeight="1" x14ac:dyDescent="0.8">
      <c r="A38" s="325">
        <v>3</v>
      </c>
      <c r="B38" s="46" t="s">
        <v>52</v>
      </c>
      <c r="C38" s="326">
        <f>C4+14</f>
        <v>44826</v>
      </c>
      <c r="D38" s="327">
        <f>20.25/24</f>
        <v>0.84375</v>
      </c>
      <c r="E38" s="46" t="s">
        <v>179</v>
      </c>
      <c r="F38" s="114" t="s">
        <v>128</v>
      </c>
      <c r="G38" s="46" t="s">
        <v>338</v>
      </c>
      <c r="H38" s="114" t="s">
        <v>339</v>
      </c>
      <c r="I38" s="46" t="s">
        <v>338</v>
      </c>
      <c r="J38" s="329" t="str">
        <f>H38</f>
        <v>Cleveland</v>
      </c>
      <c r="K38" s="379" t="str">
        <f t="shared" si="8"/>
        <v>Pittsburgh</v>
      </c>
      <c r="L38" s="336">
        <v>4.5</v>
      </c>
      <c r="M38" s="339">
        <v>38.5</v>
      </c>
      <c r="N38" s="360" t="str">
        <f>J38</f>
        <v>Cleveland</v>
      </c>
      <c r="O38" s="114">
        <v>29</v>
      </c>
      <c r="P38" s="328" t="str">
        <f t="shared" si="9"/>
        <v>Pittsburgh</v>
      </c>
      <c r="Q38" s="114">
        <v>17</v>
      </c>
      <c r="R38" s="364" t="str">
        <f t="shared" si="10"/>
        <v>Cleveland</v>
      </c>
      <c r="S38" s="364" t="str">
        <f t="shared" si="11"/>
        <v>Pittsburgh</v>
      </c>
      <c r="T38" s="114" t="str">
        <f>J38</f>
        <v>Cleveland</v>
      </c>
      <c r="U38" s="349" t="str">
        <f t="shared" si="12"/>
        <v>W</v>
      </c>
    </row>
    <row r="39" spans="1:21" s="335" customFormat="1" ht="15.75" customHeight="1" x14ac:dyDescent="0.8">
      <c r="A39" s="325">
        <v>3</v>
      </c>
      <c r="B39" s="46" t="s">
        <v>220</v>
      </c>
      <c r="C39" s="326">
        <f t="shared" ref="C39:C52" si="13">C4+14</f>
        <v>44826</v>
      </c>
      <c r="D39" s="327">
        <f t="shared" ref="D39:D47" si="14">13/24</f>
        <v>0.54166666666666663</v>
      </c>
      <c r="E39" s="78" t="s">
        <v>303</v>
      </c>
      <c r="F39" s="114" t="s">
        <v>174</v>
      </c>
      <c r="G39" s="46" t="s">
        <v>343</v>
      </c>
      <c r="H39" s="114" t="s">
        <v>335</v>
      </c>
      <c r="I39" s="46" t="s">
        <v>336</v>
      </c>
      <c r="J39" s="329" t="str">
        <f>H39</f>
        <v>Chicago</v>
      </c>
      <c r="K39" s="379" t="str">
        <f>IF(+J39=H39,F39,H39)</f>
        <v>Houston</v>
      </c>
      <c r="L39" s="336">
        <v>3</v>
      </c>
      <c r="M39" s="339">
        <v>40.5</v>
      </c>
      <c r="N39" s="360" t="str">
        <f>J39</f>
        <v>Chicago</v>
      </c>
      <c r="O39" s="114">
        <v>23</v>
      </c>
      <c r="P39" s="328" t="str">
        <f t="shared" si="9"/>
        <v>Houston</v>
      </c>
      <c r="Q39" s="114">
        <v>20</v>
      </c>
      <c r="R39" s="494" t="str">
        <f>IF(+N39=K39,+N39,IF(+O39-Q39&lt;L39,+K39,+J39))</f>
        <v>Chicago</v>
      </c>
      <c r="S39" s="494" t="str">
        <f>IF(+R39=J39,+K39,+J39)</f>
        <v>Houston</v>
      </c>
      <c r="T39" s="114" t="str">
        <f>J39</f>
        <v>Chicago</v>
      </c>
      <c r="U39" s="349" t="str">
        <f t="shared" si="12"/>
        <v>T</v>
      </c>
    </row>
    <row r="40" spans="1:21" s="335" customFormat="1" ht="15.75" customHeight="1" x14ac:dyDescent="0.8">
      <c r="A40" s="325">
        <v>3</v>
      </c>
      <c r="B40" s="46" t="s">
        <v>220</v>
      </c>
      <c r="C40" s="326">
        <f t="shared" si="13"/>
        <v>44829</v>
      </c>
      <c r="D40" s="327">
        <f>13/24</f>
        <v>0.54166666666666663</v>
      </c>
      <c r="E40" s="78" t="s">
        <v>303</v>
      </c>
      <c r="F40" s="114" t="s">
        <v>295</v>
      </c>
      <c r="G40" s="46" t="s">
        <v>329</v>
      </c>
      <c r="H40" s="114" t="s">
        <v>226</v>
      </c>
      <c r="I40" s="46" t="s">
        <v>343</v>
      </c>
      <c r="J40" s="329" t="str">
        <f>F40</f>
        <v>Las Vegas</v>
      </c>
      <c r="K40" s="379" t="str">
        <f t="shared" si="8"/>
        <v>Tennessee</v>
      </c>
      <c r="L40" s="336">
        <v>2</v>
      </c>
      <c r="M40" s="339">
        <v>45.5</v>
      </c>
      <c r="N40" s="360" t="str">
        <f>K40</f>
        <v>Tennessee</v>
      </c>
      <c r="O40" s="114">
        <v>24</v>
      </c>
      <c r="P40" s="328" t="str">
        <f t="shared" si="9"/>
        <v>Las Vegas</v>
      </c>
      <c r="Q40" s="114">
        <v>22</v>
      </c>
      <c r="R40" s="364" t="str">
        <f t="shared" si="10"/>
        <v>Tennessee</v>
      </c>
      <c r="S40" s="364" t="str">
        <f t="shared" si="11"/>
        <v>Las Vegas</v>
      </c>
      <c r="T40" s="114" t="str">
        <f>J40</f>
        <v>Las Vegas</v>
      </c>
      <c r="U40" s="349" t="str">
        <f t="shared" si="12"/>
        <v>L</v>
      </c>
    </row>
    <row r="41" spans="1:21" s="335" customFormat="1" ht="15.75" customHeight="1" x14ac:dyDescent="0.8">
      <c r="A41" s="325">
        <v>3</v>
      </c>
      <c r="B41" s="46" t="s">
        <v>220</v>
      </c>
      <c r="C41" s="326">
        <f t="shared" si="13"/>
        <v>44829</v>
      </c>
      <c r="D41" s="327">
        <f t="shared" si="14"/>
        <v>0.54166666666666663</v>
      </c>
      <c r="E41" s="78" t="s">
        <v>303</v>
      </c>
      <c r="F41" s="114" t="s">
        <v>328</v>
      </c>
      <c r="G41" s="46" t="s">
        <v>329</v>
      </c>
      <c r="H41" s="114" t="s">
        <v>348</v>
      </c>
      <c r="I41" s="46" t="s">
        <v>343</v>
      </c>
      <c r="J41" s="329" t="str">
        <f>F41</f>
        <v>Kansas City</v>
      </c>
      <c r="K41" s="379" t="str">
        <f t="shared" si="8"/>
        <v>Indianapolis</v>
      </c>
      <c r="L41" s="336">
        <v>6.5</v>
      </c>
      <c r="M41" s="339">
        <v>49.5</v>
      </c>
      <c r="N41" s="360" t="str">
        <f>K41</f>
        <v>Indianapolis</v>
      </c>
      <c r="O41" s="114">
        <v>20</v>
      </c>
      <c r="P41" s="328" t="str">
        <f t="shared" si="9"/>
        <v>Kansas City</v>
      </c>
      <c r="Q41" s="114">
        <v>17</v>
      </c>
      <c r="R41" s="364" t="str">
        <f t="shared" si="10"/>
        <v>Indianapolis</v>
      </c>
      <c r="S41" s="364" t="str">
        <f t="shared" si="11"/>
        <v>Kansas City</v>
      </c>
      <c r="T41" s="114" t="str">
        <f>K41</f>
        <v>Indianapolis</v>
      </c>
      <c r="U41" s="349" t="str">
        <f t="shared" si="12"/>
        <v>W</v>
      </c>
    </row>
    <row r="42" spans="1:21" s="335" customFormat="1" ht="15.75" customHeight="1" x14ac:dyDescent="0.8">
      <c r="A42" s="325">
        <v>3</v>
      </c>
      <c r="B42" s="46" t="s">
        <v>220</v>
      </c>
      <c r="C42" s="326">
        <f t="shared" si="13"/>
        <v>44829</v>
      </c>
      <c r="D42" s="327">
        <f t="shared" si="14"/>
        <v>0.54166666666666663</v>
      </c>
      <c r="E42" s="78" t="s">
        <v>303</v>
      </c>
      <c r="F42" s="114" t="s">
        <v>67</v>
      </c>
      <c r="G42" s="46" t="s">
        <v>331</v>
      </c>
      <c r="H42" s="114" t="s">
        <v>345</v>
      </c>
      <c r="I42" s="46" t="s">
        <v>331</v>
      </c>
      <c r="J42" s="329" t="str">
        <f>F42</f>
        <v>Buffalo</v>
      </c>
      <c r="K42" s="379" t="str">
        <f t="shared" si="8"/>
        <v>Miami</v>
      </c>
      <c r="L42" s="336">
        <v>5.5</v>
      </c>
      <c r="M42" s="339">
        <v>53</v>
      </c>
      <c r="N42" s="360" t="str">
        <f>K42</f>
        <v>Miami</v>
      </c>
      <c r="O42" s="114">
        <v>21</v>
      </c>
      <c r="P42" s="328" t="str">
        <f t="shared" si="9"/>
        <v>Buffalo</v>
      </c>
      <c r="Q42" s="114">
        <v>19</v>
      </c>
      <c r="R42" s="364" t="str">
        <f t="shared" si="10"/>
        <v>Miami</v>
      </c>
      <c r="S42" s="364" t="str">
        <f t="shared" si="11"/>
        <v>Buffalo</v>
      </c>
      <c r="T42" s="114" t="str">
        <f>J42</f>
        <v>Buffalo</v>
      </c>
      <c r="U42" s="349" t="str">
        <f t="shared" si="12"/>
        <v>L</v>
      </c>
    </row>
    <row r="43" spans="1:21" s="335" customFormat="1" ht="15.75" customHeight="1" x14ac:dyDescent="0.8">
      <c r="A43" s="325">
        <v>3</v>
      </c>
      <c r="B43" s="46" t="s">
        <v>220</v>
      </c>
      <c r="C43" s="326">
        <f t="shared" si="13"/>
        <v>44829</v>
      </c>
      <c r="D43" s="327">
        <f t="shared" si="14"/>
        <v>0.54166666666666663</v>
      </c>
      <c r="E43" s="78" t="s">
        <v>118</v>
      </c>
      <c r="F43" s="114" t="s">
        <v>341</v>
      </c>
      <c r="G43" s="46" t="s">
        <v>336</v>
      </c>
      <c r="H43" s="114" t="s">
        <v>69</v>
      </c>
      <c r="I43" s="46" t="s">
        <v>336</v>
      </c>
      <c r="J43" s="329" t="str">
        <f>H43</f>
        <v>Minnesota</v>
      </c>
      <c r="K43" s="379" t="str">
        <f t="shared" si="8"/>
        <v>Detroit</v>
      </c>
      <c r="L43" s="336">
        <v>6</v>
      </c>
      <c r="M43" s="339">
        <v>53</v>
      </c>
      <c r="N43" s="360" t="str">
        <f>J43</f>
        <v>Minnesota</v>
      </c>
      <c r="O43" s="114">
        <v>28</v>
      </c>
      <c r="P43" s="328" t="str">
        <f t="shared" si="9"/>
        <v>Detroit</v>
      </c>
      <c r="Q43" s="114">
        <v>24</v>
      </c>
      <c r="R43" s="364" t="str">
        <f t="shared" si="10"/>
        <v>Detroit</v>
      </c>
      <c r="S43" s="364" t="str">
        <f t="shared" si="11"/>
        <v>Minnesota</v>
      </c>
      <c r="T43" s="114" t="str">
        <f>K43</f>
        <v>Detroit</v>
      </c>
      <c r="U43" s="349" t="str">
        <f t="shared" si="12"/>
        <v>W</v>
      </c>
    </row>
    <row r="44" spans="1:21" s="335" customFormat="1" ht="15.75" customHeight="1" x14ac:dyDescent="0.8">
      <c r="A44" s="325">
        <v>3</v>
      </c>
      <c r="B44" s="46" t="s">
        <v>220</v>
      </c>
      <c r="C44" s="326">
        <f t="shared" si="13"/>
        <v>44829</v>
      </c>
      <c r="D44" s="327">
        <f t="shared" si="14"/>
        <v>0.54166666666666663</v>
      </c>
      <c r="E44" s="78" t="s">
        <v>303</v>
      </c>
      <c r="F44" s="114" t="s">
        <v>337</v>
      </c>
      <c r="G44" s="46" t="s">
        <v>338</v>
      </c>
      <c r="H44" s="114" t="s">
        <v>330</v>
      </c>
      <c r="I44" s="46" t="s">
        <v>331</v>
      </c>
      <c r="J44" s="329" t="str">
        <f>F44</f>
        <v>Baltimore</v>
      </c>
      <c r="K44" s="379" t="str">
        <f t="shared" si="8"/>
        <v>New England</v>
      </c>
      <c r="L44" s="336">
        <v>3</v>
      </c>
      <c r="M44" s="339">
        <v>43.5</v>
      </c>
      <c r="N44" s="360" t="str">
        <f>J44</f>
        <v>Baltimore</v>
      </c>
      <c r="O44" s="114">
        <v>37</v>
      </c>
      <c r="P44" s="328" t="str">
        <f t="shared" si="9"/>
        <v>New England</v>
      </c>
      <c r="Q44" s="114">
        <v>26</v>
      </c>
      <c r="R44" s="364" t="str">
        <f t="shared" si="10"/>
        <v>Baltimore</v>
      </c>
      <c r="S44" s="364" t="str">
        <f t="shared" si="11"/>
        <v>New England</v>
      </c>
      <c r="T44" s="114" t="str">
        <f>J44</f>
        <v>Baltimore</v>
      </c>
      <c r="U44" s="349" t="str">
        <f t="shared" si="12"/>
        <v>W</v>
      </c>
    </row>
    <row r="45" spans="1:21" s="335" customFormat="1" ht="15.75" customHeight="1" x14ac:dyDescent="0.8">
      <c r="A45" s="325">
        <v>3</v>
      </c>
      <c r="B45" s="46" t="s">
        <v>220</v>
      </c>
      <c r="C45" s="326">
        <f t="shared" si="13"/>
        <v>44829</v>
      </c>
      <c r="D45" s="327">
        <f t="shared" si="14"/>
        <v>0.54166666666666663</v>
      </c>
      <c r="E45" s="78" t="s">
        <v>303</v>
      </c>
      <c r="F45" s="114" t="s">
        <v>55</v>
      </c>
      <c r="G45" s="46" t="s">
        <v>338</v>
      </c>
      <c r="H45" s="114" t="s">
        <v>332</v>
      </c>
      <c r="I45" s="46" t="s">
        <v>331</v>
      </c>
      <c r="J45" s="329" t="str">
        <f>F45</f>
        <v>Cincinnati</v>
      </c>
      <c r="K45" s="379" t="str">
        <f t="shared" si="8"/>
        <v>NY Jets</v>
      </c>
      <c r="L45" s="336">
        <v>5</v>
      </c>
      <c r="M45" s="339">
        <v>44.5</v>
      </c>
      <c r="N45" s="360" t="str">
        <f>J45</f>
        <v>Cincinnati</v>
      </c>
      <c r="O45" s="114">
        <v>27</v>
      </c>
      <c r="P45" s="328" t="str">
        <f t="shared" si="9"/>
        <v>NY Jets</v>
      </c>
      <c r="Q45" s="114">
        <v>12</v>
      </c>
      <c r="R45" s="364" t="str">
        <f t="shared" si="10"/>
        <v>Cincinnati</v>
      </c>
      <c r="S45" s="364" t="str">
        <f t="shared" si="11"/>
        <v>NY Jets</v>
      </c>
      <c r="T45" s="114" t="str">
        <f>J45</f>
        <v>Cincinnati</v>
      </c>
      <c r="U45" s="349" t="str">
        <f t="shared" si="12"/>
        <v>W</v>
      </c>
    </row>
    <row r="46" spans="1:21" s="335" customFormat="1" ht="15.75" customHeight="1" x14ac:dyDescent="0.8">
      <c r="A46" s="325">
        <v>3</v>
      </c>
      <c r="B46" s="46" t="s">
        <v>220</v>
      </c>
      <c r="C46" s="326">
        <f t="shared" si="13"/>
        <v>44829</v>
      </c>
      <c r="D46" s="327">
        <f t="shared" si="14"/>
        <v>0.54166666666666663</v>
      </c>
      <c r="E46" s="78" t="s">
        <v>118</v>
      </c>
      <c r="F46" s="114" t="s">
        <v>346</v>
      </c>
      <c r="G46" s="46" t="s">
        <v>347</v>
      </c>
      <c r="H46" s="114" t="s">
        <v>91</v>
      </c>
      <c r="I46" s="46" t="s">
        <v>347</v>
      </c>
      <c r="J46" s="329" t="str">
        <f>F46</f>
        <v>Philadelphia</v>
      </c>
      <c r="K46" s="379" t="str">
        <f t="shared" si="8"/>
        <v>Washington</v>
      </c>
      <c r="L46" s="336">
        <v>6.5</v>
      </c>
      <c r="M46" s="339">
        <v>47</v>
      </c>
      <c r="N46" s="360" t="str">
        <f>J46</f>
        <v>Philadelphia</v>
      </c>
      <c r="O46" s="114">
        <v>24</v>
      </c>
      <c r="P46" s="328" t="str">
        <f t="shared" si="9"/>
        <v>Washington</v>
      </c>
      <c r="Q46" s="114">
        <v>8</v>
      </c>
      <c r="R46" s="364" t="str">
        <f t="shared" si="10"/>
        <v>Philadelphia</v>
      </c>
      <c r="S46" s="364" t="str">
        <f t="shared" si="11"/>
        <v>Washington</v>
      </c>
      <c r="T46" s="114" t="str">
        <f>K46</f>
        <v>Washington</v>
      </c>
      <c r="U46" s="349" t="str">
        <f t="shared" si="12"/>
        <v>L</v>
      </c>
    </row>
    <row r="47" spans="1:21" s="335" customFormat="1" ht="15.75" customHeight="1" x14ac:dyDescent="0.8">
      <c r="A47" s="325">
        <v>3</v>
      </c>
      <c r="B47" s="46" t="s">
        <v>220</v>
      </c>
      <c r="C47" s="326">
        <f t="shared" si="13"/>
        <v>44829</v>
      </c>
      <c r="D47" s="327">
        <f t="shared" si="14"/>
        <v>0.54166666666666663</v>
      </c>
      <c r="E47" s="78" t="s">
        <v>118</v>
      </c>
      <c r="F47" s="114" t="s">
        <v>356</v>
      </c>
      <c r="G47" s="46" t="s">
        <v>334</v>
      </c>
      <c r="H47" s="114" t="s">
        <v>352</v>
      </c>
      <c r="I47" s="46" t="s">
        <v>334</v>
      </c>
      <c r="J47" s="329" t="str">
        <f>F47</f>
        <v>New Orleans</v>
      </c>
      <c r="K47" s="379" t="str">
        <f t="shared" si="8"/>
        <v>Carolina</v>
      </c>
      <c r="L47" s="336">
        <v>2.5</v>
      </c>
      <c r="M47" s="339">
        <v>40.5</v>
      </c>
      <c r="N47" s="360" t="str">
        <f>K47</f>
        <v>Carolina</v>
      </c>
      <c r="O47" s="114">
        <v>22</v>
      </c>
      <c r="P47" s="328" t="str">
        <f t="shared" si="9"/>
        <v>New Orleans</v>
      </c>
      <c r="Q47" s="114">
        <v>14</v>
      </c>
      <c r="R47" s="364" t="str">
        <f t="shared" si="10"/>
        <v>Carolina</v>
      </c>
      <c r="S47" s="364" t="str">
        <f t="shared" si="11"/>
        <v>New Orleans</v>
      </c>
      <c r="T47" s="114" t="str">
        <f>K47</f>
        <v>Carolina</v>
      </c>
      <c r="U47" s="349" t="str">
        <f t="shared" si="12"/>
        <v>W</v>
      </c>
    </row>
    <row r="48" spans="1:21" s="335" customFormat="1" ht="15.75" customHeight="1" x14ac:dyDescent="0.8">
      <c r="A48" s="325">
        <v>3</v>
      </c>
      <c r="B48" s="46" t="s">
        <v>220</v>
      </c>
      <c r="C48" s="326">
        <f t="shared" si="13"/>
        <v>44829</v>
      </c>
      <c r="D48" s="327">
        <f>16/24</f>
        <v>0.66666666666666663</v>
      </c>
      <c r="E48" s="78" t="s">
        <v>303</v>
      </c>
      <c r="F48" s="114" t="s">
        <v>342</v>
      </c>
      <c r="G48" s="46" t="s">
        <v>343</v>
      </c>
      <c r="H48" s="114" t="s">
        <v>357</v>
      </c>
      <c r="I48" s="46" t="s">
        <v>329</v>
      </c>
      <c r="J48" s="329" t="str">
        <f>H48</f>
        <v>LA Chargers</v>
      </c>
      <c r="K48" s="379" t="str">
        <f t="shared" si="8"/>
        <v>Jacksonville</v>
      </c>
      <c r="L48" s="336">
        <v>7</v>
      </c>
      <c r="M48" s="339">
        <v>48</v>
      </c>
      <c r="N48" s="360" t="str">
        <f>J48</f>
        <v>LA Chargers</v>
      </c>
      <c r="O48" s="114">
        <v>38</v>
      </c>
      <c r="P48" s="328" t="str">
        <f t="shared" si="9"/>
        <v>Jacksonville</v>
      </c>
      <c r="Q48" s="114">
        <v>10</v>
      </c>
      <c r="R48" s="364" t="str">
        <f t="shared" si="10"/>
        <v>LA Chargers</v>
      </c>
      <c r="S48" s="364" t="str">
        <f t="shared" si="11"/>
        <v>Jacksonville</v>
      </c>
      <c r="T48" s="114" t="str">
        <f>K48</f>
        <v>Jacksonville</v>
      </c>
      <c r="U48" s="349" t="str">
        <f t="shared" si="12"/>
        <v>L</v>
      </c>
    </row>
    <row r="49" spans="1:21" s="335" customFormat="1" ht="15.75" customHeight="1" x14ac:dyDescent="0.8">
      <c r="A49" s="325">
        <v>3</v>
      </c>
      <c r="B49" s="46" t="s">
        <v>220</v>
      </c>
      <c r="C49" s="326">
        <f t="shared" si="13"/>
        <v>44829</v>
      </c>
      <c r="D49" s="327">
        <f>16/24</f>
        <v>0.66666666666666663</v>
      </c>
      <c r="E49" s="78" t="s">
        <v>118</v>
      </c>
      <c r="F49" s="114" t="s">
        <v>349</v>
      </c>
      <c r="G49" s="46" t="s">
        <v>340</v>
      </c>
      <c r="H49" s="114" t="s">
        <v>198</v>
      </c>
      <c r="I49" s="46" t="s">
        <v>340</v>
      </c>
      <c r="J49" s="329" t="str">
        <f>F49</f>
        <v>LA Rams</v>
      </c>
      <c r="K49" s="379" t="str">
        <f t="shared" si="8"/>
        <v>Arizona</v>
      </c>
      <c r="L49" s="336">
        <v>3.5</v>
      </c>
      <c r="M49" s="339">
        <v>48.5</v>
      </c>
      <c r="N49" s="360" t="str">
        <f>J49</f>
        <v>LA Rams</v>
      </c>
      <c r="O49" s="114">
        <v>20</v>
      </c>
      <c r="P49" s="328" t="str">
        <f t="shared" si="9"/>
        <v>Arizona</v>
      </c>
      <c r="Q49" s="114">
        <v>12</v>
      </c>
      <c r="R49" s="364" t="str">
        <f t="shared" si="10"/>
        <v>LA Rams</v>
      </c>
      <c r="S49" s="364" t="str">
        <f t="shared" si="11"/>
        <v>Arizona</v>
      </c>
      <c r="T49" s="114" t="str">
        <f>J49</f>
        <v>LA Rams</v>
      </c>
      <c r="U49" s="349" t="str">
        <f t="shared" si="12"/>
        <v>W</v>
      </c>
    </row>
    <row r="50" spans="1:21" s="335" customFormat="1" ht="15.75" customHeight="1" x14ac:dyDescent="0.8">
      <c r="A50" s="325">
        <v>3</v>
      </c>
      <c r="B50" s="46" t="s">
        <v>220</v>
      </c>
      <c r="C50" s="326">
        <f t="shared" si="13"/>
        <v>44829</v>
      </c>
      <c r="D50" s="327">
        <f>16/24</f>
        <v>0.66666666666666663</v>
      </c>
      <c r="E50" s="78" t="s">
        <v>118</v>
      </c>
      <c r="F50" s="114" t="s">
        <v>333</v>
      </c>
      <c r="G50" s="46" t="s">
        <v>334</v>
      </c>
      <c r="H50" s="114" t="s">
        <v>350</v>
      </c>
      <c r="I50" s="46" t="s">
        <v>340</v>
      </c>
      <c r="J50" s="329" t="str">
        <f>H50</f>
        <v>Seattle</v>
      </c>
      <c r="K50" s="379" t="str">
        <f>IF(+J50=H50,F50,H50)</f>
        <v>Atlanta</v>
      </c>
      <c r="L50" s="336">
        <v>2</v>
      </c>
      <c r="M50" s="339">
        <v>42</v>
      </c>
      <c r="N50" s="360" t="str">
        <f>K50</f>
        <v>Atlanta</v>
      </c>
      <c r="O50" s="114">
        <v>27</v>
      </c>
      <c r="P50" s="328" t="str">
        <f>IF(N50=F50,H50,F50)</f>
        <v>Seattle</v>
      </c>
      <c r="Q50" s="114">
        <v>23</v>
      </c>
      <c r="R50" s="364" t="str">
        <f>IF(+N50=K50,+N50,IF(+O50-Q50&lt;L50,+K50,+J50))</f>
        <v>Atlanta</v>
      </c>
      <c r="S50" s="364" t="str">
        <f>IF(+R50=J50,+K50,+J50)</f>
        <v>Seattle</v>
      </c>
      <c r="T50" s="114" t="str">
        <f>K50</f>
        <v>Atlanta</v>
      </c>
      <c r="U50" s="349" t="str">
        <f>IF($N50=$J50,IF($O50-$Q50=$L50,"T",IF($R50=T50,"W","L")),IF($R50=T50,"W","L"))</f>
        <v>W</v>
      </c>
    </row>
    <row r="51" spans="1:21" s="335" customFormat="1" ht="15.75" customHeight="1" x14ac:dyDescent="0.8">
      <c r="A51" s="325">
        <v>3</v>
      </c>
      <c r="B51" s="46" t="s">
        <v>220</v>
      </c>
      <c r="C51" s="326">
        <f t="shared" si="13"/>
        <v>44829</v>
      </c>
      <c r="D51" s="327">
        <f>16/24</f>
        <v>0.66666666666666663</v>
      </c>
      <c r="E51" s="78" t="s">
        <v>118</v>
      </c>
      <c r="F51" s="114" t="s">
        <v>351</v>
      </c>
      <c r="G51" s="46" t="s">
        <v>336</v>
      </c>
      <c r="H51" s="114" t="s">
        <v>344</v>
      </c>
      <c r="I51" s="46" t="s">
        <v>334</v>
      </c>
      <c r="J51" s="329" t="str">
        <f>H51</f>
        <v>Tampa Bay</v>
      </c>
      <c r="K51" s="379" t="str">
        <f t="shared" si="8"/>
        <v>Green Bay</v>
      </c>
      <c r="L51" s="336">
        <v>2</v>
      </c>
      <c r="M51" s="339">
        <v>42</v>
      </c>
      <c r="N51" s="360" t="str">
        <f>K51</f>
        <v>Green Bay</v>
      </c>
      <c r="O51" s="114">
        <v>14</v>
      </c>
      <c r="P51" s="328" t="str">
        <f t="shared" si="9"/>
        <v>Tampa Bay</v>
      </c>
      <c r="Q51" s="114">
        <v>12</v>
      </c>
      <c r="R51" s="364" t="str">
        <f t="shared" si="10"/>
        <v>Green Bay</v>
      </c>
      <c r="S51" s="364" t="str">
        <f t="shared" si="11"/>
        <v>Tampa Bay</v>
      </c>
      <c r="T51" s="114" t="str">
        <f>K51</f>
        <v>Green Bay</v>
      </c>
      <c r="U51" s="349" t="str">
        <f t="shared" si="12"/>
        <v>W</v>
      </c>
    </row>
    <row r="52" spans="1:21" s="335" customFormat="1" ht="15.75" customHeight="1" x14ac:dyDescent="0.8">
      <c r="A52" s="325">
        <v>3</v>
      </c>
      <c r="B52" s="46" t="s">
        <v>220</v>
      </c>
      <c r="C52" s="326">
        <f t="shared" si="13"/>
        <v>44829</v>
      </c>
      <c r="D52" s="327">
        <f>20.25/24</f>
        <v>0.84375</v>
      </c>
      <c r="E52" s="78" t="s">
        <v>179</v>
      </c>
      <c r="F52" s="114" t="s">
        <v>353</v>
      </c>
      <c r="G52" s="46" t="s">
        <v>340</v>
      </c>
      <c r="H52" s="114" t="s">
        <v>358</v>
      </c>
      <c r="I52" s="46" t="s">
        <v>329</v>
      </c>
      <c r="J52" s="329" t="str">
        <f>F52</f>
        <v>San Francisco</v>
      </c>
      <c r="K52" s="379" t="str">
        <f t="shared" si="8"/>
        <v>Denver</v>
      </c>
      <c r="L52" s="336">
        <v>1.5</v>
      </c>
      <c r="M52" s="339">
        <v>45</v>
      </c>
      <c r="N52" s="360" t="str">
        <f>K52</f>
        <v>Denver</v>
      </c>
      <c r="O52" s="114">
        <v>11</v>
      </c>
      <c r="P52" s="328" t="str">
        <f t="shared" si="9"/>
        <v>San Francisco</v>
      </c>
      <c r="Q52" s="114">
        <v>10</v>
      </c>
      <c r="R52" s="364" t="str">
        <f t="shared" si="10"/>
        <v>Denver</v>
      </c>
      <c r="S52" s="364" t="str">
        <f t="shared" si="11"/>
        <v>San Francisco</v>
      </c>
      <c r="T52" s="114" t="str">
        <f>K52</f>
        <v>Denver</v>
      </c>
      <c r="U52" s="349" t="str">
        <f t="shared" si="12"/>
        <v>W</v>
      </c>
    </row>
    <row r="53" spans="1:21" s="335" customFormat="1" ht="15.75" customHeight="1" x14ac:dyDescent="0.8">
      <c r="A53" s="325">
        <v>3</v>
      </c>
      <c r="B53" s="46" t="s">
        <v>225</v>
      </c>
      <c r="C53" s="326">
        <f>+C52+1</f>
        <v>44830</v>
      </c>
      <c r="D53" s="327">
        <f>20.25/24</f>
        <v>0.84375</v>
      </c>
      <c r="E53" s="46" t="s">
        <v>135</v>
      </c>
      <c r="F53" s="114" t="s">
        <v>355</v>
      </c>
      <c r="G53" s="46" t="s">
        <v>347</v>
      </c>
      <c r="H53" s="114" t="s">
        <v>354</v>
      </c>
      <c r="I53" s="46" t="s">
        <v>347</v>
      </c>
      <c r="J53" s="329" t="str">
        <f>H53</f>
        <v>NY Giants</v>
      </c>
      <c r="K53" s="379" t="str">
        <f t="shared" si="8"/>
        <v>Dallas</v>
      </c>
      <c r="L53" s="336">
        <v>2.5</v>
      </c>
      <c r="M53" s="339">
        <v>39</v>
      </c>
      <c r="N53" s="360" t="str">
        <f>K53</f>
        <v>Dallas</v>
      </c>
      <c r="O53" s="114">
        <v>23</v>
      </c>
      <c r="P53" s="328" t="str">
        <f t="shared" si="9"/>
        <v>NY Giants</v>
      </c>
      <c r="Q53" s="114">
        <v>16</v>
      </c>
      <c r="R53" s="364" t="str">
        <f t="shared" si="10"/>
        <v>Dallas</v>
      </c>
      <c r="S53" s="364" t="str">
        <f t="shared" si="11"/>
        <v>NY Giants</v>
      </c>
      <c r="T53" s="114" t="str">
        <f>J53</f>
        <v>NY Giants</v>
      </c>
      <c r="U53" s="349" t="str">
        <f t="shared" si="12"/>
        <v>L</v>
      </c>
    </row>
    <row r="54" spans="1:21" s="335" customFormat="1" ht="15.75" customHeight="1" x14ac:dyDescent="0.8">
      <c r="A54" s="325">
        <v>3</v>
      </c>
      <c r="B54" s="46"/>
      <c r="C54" s="326"/>
      <c r="D54" s="327"/>
      <c r="E54" s="46"/>
      <c r="F54" s="114"/>
      <c r="G54" s="46"/>
      <c r="H54" s="114"/>
      <c r="I54" s="46"/>
      <c r="J54" s="329"/>
      <c r="K54" s="379"/>
      <c r="L54" s="336"/>
      <c r="M54" s="339"/>
      <c r="N54" s="360"/>
      <c r="O54" s="114"/>
      <c r="P54" s="328"/>
      <c r="Q54" s="114"/>
      <c r="R54" s="364"/>
      <c r="S54" s="364"/>
      <c r="T54" s="114"/>
      <c r="U54" s="349"/>
    </row>
    <row r="55" spans="1:21" s="335" customFormat="1" ht="15.75" customHeight="1" x14ac:dyDescent="0.8">
      <c r="A55" s="325">
        <v>4</v>
      </c>
      <c r="B55" s="46" t="s">
        <v>52</v>
      </c>
      <c r="C55" s="326">
        <f>C21+14</f>
        <v>44833</v>
      </c>
      <c r="D55" s="327">
        <f>20.25/24</f>
        <v>0.84375</v>
      </c>
      <c r="E55" s="46" t="s">
        <v>179</v>
      </c>
      <c r="F55" s="114" t="s">
        <v>345</v>
      </c>
      <c r="G55" s="46" t="s">
        <v>331</v>
      </c>
      <c r="H55" s="114" t="s">
        <v>55</v>
      </c>
      <c r="I55" s="46" t="s">
        <v>338</v>
      </c>
      <c r="J55" s="329" t="str">
        <f>H55</f>
        <v>Cincinnati</v>
      </c>
      <c r="K55" s="379" t="str">
        <f t="shared" si="8"/>
        <v>Miami</v>
      </c>
      <c r="L55" s="336">
        <v>4</v>
      </c>
      <c r="M55" s="339">
        <v>47</v>
      </c>
      <c r="N55" s="360" t="str">
        <f>J55</f>
        <v>Cincinnati</v>
      </c>
      <c r="O55" s="114">
        <v>27</v>
      </c>
      <c r="P55" s="328" t="str">
        <f t="shared" si="9"/>
        <v>Miami</v>
      </c>
      <c r="Q55" s="114">
        <v>15</v>
      </c>
      <c r="R55" s="364" t="str">
        <f t="shared" si="10"/>
        <v>Cincinnati</v>
      </c>
      <c r="S55" s="364" t="str">
        <f t="shared" si="11"/>
        <v>Miami</v>
      </c>
      <c r="T55" s="114" t="str">
        <f>J55</f>
        <v>Cincinnati</v>
      </c>
      <c r="U55" s="349" t="str">
        <f t="shared" si="12"/>
        <v>W</v>
      </c>
    </row>
    <row r="56" spans="1:21" s="335" customFormat="1" ht="15.75" customHeight="1" x14ac:dyDescent="0.8">
      <c r="A56" s="325">
        <v>4</v>
      </c>
      <c r="B56" s="46" t="s">
        <v>220</v>
      </c>
      <c r="C56" s="326">
        <f>+C39+7</f>
        <v>44833</v>
      </c>
      <c r="D56" s="327">
        <f t="shared" ref="D56:D82" si="15">13/24</f>
        <v>0.54166666666666663</v>
      </c>
      <c r="E56" s="78" t="s">
        <v>118</v>
      </c>
      <c r="F56" s="114" t="s">
        <v>69</v>
      </c>
      <c r="G56" s="46" t="s">
        <v>336</v>
      </c>
      <c r="H56" s="114" t="s">
        <v>356</v>
      </c>
      <c r="I56" s="46" t="s">
        <v>334</v>
      </c>
      <c r="J56" s="329" t="str">
        <f>F56</f>
        <v>Minnesota</v>
      </c>
      <c r="K56" s="379" t="str">
        <f t="shared" si="8"/>
        <v>New Orleans</v>
      </c>
      <c r="L56" s="336">
        <v>3</v>
      </c>
      <c r="M56" s="339">
        <v>43.5</v>
      </c>
      <c r="N56" s="360" t="str">
        <f>J56</f>
        <v>Minnesota</v>
      </c>
      <c r="O56" s="114">
        <v>28</v>
      </c>
      <c r="P56" s="328" t="str">
        <f t="shared" si="9"/>
        <v>New Orleans</v>
      </c>
      <c r="Q56" s="114">
        <v>25</v>
      </c>
      <c r="R56" s="364" t="str">
        <f t="shared" si="10"/>
        <v>Minnesota</v>
      </c>
      <c r="S56" s="364" t="str">
        <f t="shared" si="11"/>
        <v>New Orleans</v>
      </c>
      <c r="T56" s="114" t="str">
        <f>K56</f>
        <v>New Orleans</v>
      </c>
      <c r="U56" s="349" t="str">
        <f t="shared" si="12"/>
        <v>T</v>
      </c>
    </row>
    <row r="57" spans="1:21" s="335" customFormat="1" ht="15.75" customHeight="1" x14ac:dyDescent="0.8">
      <c r="A57" s="325">
        <v>4</v>
      </c>
      <c r="B57" s="46" t="s">
        <v>220</v>
      </c>
      <c r="C57" s="326">
        <f t="shared" ref="C57:C102" si="16">+C40+7</f>
        <v>44836</v>
      </c>
      <c r="D57" s="327">
        <f>13/24</f>
        <v>0.54166666666666663</v>
      </c>
      <c r="E57" s="78" t="s">
        <v>303</v>
      </c>
      <c r="F57" s="114" t="s">
        <v>339</v>
      </c>
      <c r="G57" s="46" t="s">
        <v>338</v>
      </c>
      <c r="H57" s="114" t="s">
        <v>333</v>
      </c>
      <c r="I57" s="46" t="s">
        <v>334</v>
      </c>
      <c r="J57" s="329" t="str">
        <f>F57</f>
        <v>Cleveland</v>
      </c>
      <c r="K57" s="379" t="str">
        <f t="shared" si="8"/>
        <v>Atlanta</v>
      </c>
      <c r="L57" s="336">
        <v>1.5</v>
      </c>
      <c r="M57" s="339">
        <v>49.5</v>
      </c>
      <c r="N57" s="360" t="str">
        <f>K57</f>
        <v>Atlanta</v>
      </c>
      <c r="O57" s="114">
        <v>23</v>
      </c>
      <c r="P57" s="328" t="str">
        <f t="shared" si="9"/>
        <v>Cleveland</v>
      </c>
      <c r="Q57" s="114">
        <v>20</v>
      </c>
      <c r="R57" s="364" t="str">
        <f t="shared" si="10"/>
        <v>Atlanta</v>
      </c>
      <c r="S57" s="364" t="str">
        <f t="shared" si="11"/>
        <v>Cleveland</v>
      </c>
      <c r="T57" s="114" t="str">
        <f>K57</f>
        <v>Atlanta</v>
      </c>
      <c r="U57" s="349" t="str">
        <f t="shared" si="12"/>
        <v>W</v>
      </c>
    </row>
    <row r="58" spans="1:21" s="335" customFormat="1" ht="15.75" customHeight="1" x14ac:dyDescent="0.8">
      <c r="A58" s="325">
        <v>4</v>
      </c>
      <c r="B58" s="46" t="s">
        <v>220</v>
      </c>
      <c r="C58" s="326">
        <f t="shared" si="16"/>
        <v>44836</v>
      </c>
      <c r="D58" s="327">
        <f t="shared" si="15"/>
        <v>0.54166666666666663</v>
      </c>
      <c r="E58" s="78" t="s">
        <v>118</v>
      </c>
      <c r="F58" s="114" t="s">
        <v>91</v>
      </c>
      <c r="G58" s="46" t="s">
        <v>347</v>
      </c>
      <c r="H58" s="114" t="s">
        <v>355</v>
      </c>
      <c r="I58" s="46" t="s">
        <v>347</v>
      </c>
      <c r="J58" s="329" t="str">
        <f t="shared" ref="J58:J63" si="17">H58</f>
        <v>Dallas</v>
      </c>
      <c r="K58" s="379" t="str">
        <f t="shared" si="8"/>
        <v>Washington</v>
      </c>
      <c r="L58" s="336">
        <v>3</v>
      </c>
      <c r="M58" s="339">
        <v>42.5</v>
      </c>
      <c r="N58" s="360" t="str">
        <f>J58</f>
        <v>Dallas</v>
      </c>
      <c r="O58" s="114">
        <v>25</v>
      </c>
      <c r="P58" s="328" t="str">
        <f t="shared" si="9"/>
        <v>Washington</v>
      </c>
      <c r="Q58" s="114">
        <v>10</v>
      </c>
      <c r="R58" s="364" t="str">
        <f t="shared" si="10"/>
        <v>Dallas</v>
      </c>
      <c r="S58" s="364" t="str">
        <f t="shared" si="11"/>
        <v>Washington</v>
      </c>
      <c r="T58" s="114" t="str">
        <f>J58</f>
        <v>Dallas</v>
      </c>
      <c r="U58" s="349" t="str">
        <f t="shared" si="12"/>
        <v>W</v>
      </c>
    </row>
    <row r="59" spans="1:21" s="335" customFormat="1" ht="15.75" customHeight="1" x14ac:dyDescent="0.8">
      <c r="A59" s="325">
        <v>4</v>
      </c>
      <c r="B59" s="46" t="s">
        <v>220</v>
      </c>
      <c r="C59" s="326">
        <f t="shared" si="16"/>
        <v>44836</v>
      </c>
      <c r="D59" s="327">
        <f t="shared" si="15"/>
        <v>0.54166666666666663</v>
      </c>
      <c r="E59" s="78" t="s">
        <v>118</v>
      </c>
      <c r="F59" s="114" t="s">
        <v>350</v>
      </c>
      <c r="G59" s="46" t="s">
        <v>340</v>
      </c>
      <c r="H59" s="114" t="s">
        <v>341</v>
      </c>
      <c r="I59" s="46" t="s">
        <v>336</v>
      </c>
      <c r="J59" s="329" t="str">
        <f t="shared" si="17"/>
        <v>Detroit</v>
      </c>
      <c r="K59" s="379" t="str">
        <f t="shared" si="8"/>
        <v>Seattle</v>
      </c>
      <c r="L59" s="336">
        <v>4.5</v>
      </c>
      <c r="M59" s="339">
        <v>50</v>
      </c>
      <c r="N59" s="360" t="str">
        <f>K59</f>
        <v>Seattle</v>
      </c>
      <c r="O59" s="114">
        <v>48</v>
      </c>
      <c r="P59" s="328" t="str">
        <f t="shared" si="9"/>
        <v>Detroit</v>
      </c>
      <c r="Q59" s="114">
        <v>45</v>
      </c>
      <c r="R59" s="364" t="str">
        <f t="shared" si="10"/>
        <v>Seattle</v>
      </c>
      <c r="S59" s="364" t="str">
        <f t="shared" si="11"/>
        <v>Detroit</v>
      </c>
      <c r="T59" s="114" t="str">
        <f>J59</f>
        <v>Detroit</v>
      </c>
      <c r="U59" s="349" t="str">
        <f t="shared" si="12"/>
        <v>L</v>
      </c>
    </row>
    <row r="60" spans="1:21" s="335" customFormat="1" ht="15.75" customHeight="1" x14ac:dyDescent="0.8">
      <c r="A60" s="325">
        <v>4</v>
      </c>
      <c r="B60" s="46" t="s">
        <v>220</v>
      </c>
      <c r="C60" s="326">
        <f t="shared" si="16"/>
        <v>44836</v>
      </c>
      <c r="D60" s="327">
        <f t="shared" si="15"/>
        <v>0.54166666666666663</v>
      </c>
      <c r="E60" s="78" t="s">
        <v>303</v>
      </c>
      <c r="F60" s="114" t="s">
        <v>226</v>
      </c>
      <c r="G60" s="46" t="s">
        <v>343</v>
      </c>
      <c r="H60" s="114" t="s">
        <v>348</v>
      </c>
      <c r="I60" s="46" t="s">
        <v>343</v>
      </c>
      <c r="J60" s="329" t="str">
        <f t="shared" si="17"/>
        <v>Indianapolis</v>
      </c>
      <c r="K60" s="379" t="str">
        <f t="shared" si="8"/>
        <v>Tennessee</v>
      </c>
      <c r="L60" s="336">
        <v>3.5</v>
      </c>
      <c r="M60" s="339">
        <v>42.5</v>
      </c>
      <c r="N60" s="360" t="str">
        <f>K60</f>
        <v>Tennessee</v>
      </c>
      <c r="O60" s="114">
        <v>24</v>
      </c>
      <c r="P60" s="328" t="str">
        <f t="shared" si="9"/>
        <v>Indianapolis</v>
      </c>
      <c r="Q60" s="114">
        <v>17</v>
      </c>
      <c r="R60" s="364" t="str">
        <f t="shared" si="10"/>
        <v>Tennessee</v>
      </c>
      <c r="S60" s="364" t="str">
        <f t="shared" si="11"/>
        <v>Indianapolis</v>
      </c>
      <c r="T60" s="114" t="str">
        <f>K60</f>
        <v>Tennessee</v>
      </c>
      <c r="U60" s="349" t="str">
        <f t="shared" si="12"/>
        <v>W</v>
      </c>
    </row>
    <row r="61" spans="1:21" s="335" customFormat="1" ht="15.75" customHeight="1" x14ac:dyDescent="0.8">
      <c r="A61" s="325">
        <v>4</v>
      </c>
      <c r="B61" s="46" t="s">
        <v>220</v>
      </c>
      <c r="C61" s="326">
        <f t="shared" si="16"/>
        <v>44836</v>
      </c>
      <c r="D61" s="327">
        <f t="shared" si="15"/>
        <v>0.54166666666666663</v>
      </c>
      <c r="E61" s="78" t="s">
        <v>118</v>
      </c>
      <c r="F61" s="114" t="s">
        <v>335</v>
      </c>
      <c r="G61" s="46" t="s">
        <v>336</v>
      </c>
      <c r="H61" s="114" t="s">
        <v>354</v>
      </c>
      <c r="I61" s="46" t="s">
        <v>347</v>
      </c>
      <c r="J61" s="329" t="str">
        <f t="shared" si="17"/>
        <v>NY Giants</v>
      </c>
      <c r="K61" s="379" t="str">
        <f t="shared" si="8"/>
        <v>Chicago</v>
      </c>
      <c r="L61" s="336">
        <v>3</v>
      </c>
      <c r="M61" s="339">
        <v>39</v>
      </c>
      <c r="N61" s="360" t="str">
        <f>J61</f>
        <v>NY Giants</v>
      </c>
      <c r="O61" s="114">
        <v>20</v>
      </c>
      <c r="P61" s="328" t="str">
        <f t="shared" si="9"/>
        <v>Chicago</v>
      </c>
      <c r="Q61" s="114">
        <v>12</v>
      </c>
      <c r="R61" s="364" t="str">
        <f t="shared" si="10"/>
        <v>NY Giants</v>
      </c>
      <c r="S61" s="364" t="str">
        <f t="shared" si="11"/>
        <v>Chicago</v>
      </c>
      <c r="T61" s="114" t="str">
        <f>J61</f>
        <v>NY Giants</v>
      </c>
      <c r="U61" s="349" t="str">
        <f t="shared" si="12"/>
        <v>W</v>
      </c>
    </row>
    <row r="62" spans="1:21" s="335" customFormat="1" ht="15.75" customHeight="1" x14ac:dyDescent="0.8">
      <c r="A62" s="325">
        <v>4</v>
      </c>
      <c r="B62" s="46" t="s">
        <v>220</v>
      </c>
      <c r="C62" s="326">
        <f t="shared" si="16"/>
        <v>44836</v>
      </c>
      <c r="D62" s="327">
        <f t="shared" si="15"/>
        <v>0.54166666666666663</v>
      </c>
      <c r="E62" s="78" t="s">
        <v>303</v>
      </c>
      <c r="F62" s="114" t="s">
        <v>342</v>
      </c>
      <c r="G62" s="46" t="s">
        <v>343</v>
      </c>
      <c r="H62" s="114" t="s">
        <v>346</v>
      </c>
      <c r="I62" s="46" t="s">
        <v>347</v>
      </c>
      <c r="J62" s="329" t="str">
        <f t="shared" si="17"/>
        <v>Philadelphia</v>
      </c>
      <c r="K62" s="379" t="str">
        <f t="shared" si="8"/>
        <v>Jacksonville</v>
      </c>
      <c r="L62" s="336">
        <v>6.5</v>
      </c>
      <c r="M62" s="339">
        <v>48</v>
      </c>
      <c r="N62" s="360" t="str">
        <f>J62</f>
        <v>Philadelphia</v>
      </c>
      <c r="O62" s="114">
        <v>29</v>
      </c>
      <c r="P62" s="328" t="str">
        <f t="shared" si="9"/>
        <v>Jacksonville</v>
      </c>
      <c r="Q62" s="114">
        <v>21</v>
      </c>
      <c r="R62" s="364" t="str">
        <f t="shared" si="10"/>
        <v>Philadelphia</v>
      </c>
      <c r="S62" s="364" t="str">
        <f t="shared" si="11"/>
        <v>Jacksonville</v>
      </c>
      <c r="T62" s="114" t="str">
        <f>J62</f>
        <v>Philadelphia</v>
      </c>
      <c r="U62" s="349" t="str">
        <f t="shared" si="12"/>
        <v>W</v>
      </c>
    </row>
    <row r="63" spans="1:21" s="335" customFormat="1" ht="15.75" customHeight="1" x14ac:dyDescent="0.8">
      <c r="A63" s="325">
        <v>4</v>
      </c>
      <c r="B63" s="46" t="s">
        <v>220</v>
      </c>
      <c r="C63" s="326">
        <f t="shared" si="16"/>
        <v>44836</v>
      </c>
      <c r="D63" s="327">
        <f t="shared" si="15"/>
        <v>0.54166666666666663</v>
      </c>
      <c r="E63" s="78" t="s">
        <v>303</v>
      </c>
      <c r="F63" s="114" t="s">
        <v>332</v>
      </c>
      <c r="G63" s="46" t="s">
        <v>331</v>
      </c>
      <c r="H63" s="114" t="s">
        <v>128</v>
      </c>
      <c r="I63" s="46" t="s">
        <v>338</v>
      </c>
      <c r="J63" s="329" t="str">
        <f t="shared" si="17"/>
        <v>Pittsburgh</v>
      </c>
      <c r="K63" s="379" t="str">
        <f t="shared" si="8"/>
        <v>NY Jets</v>
      </c>
      <c r="L63" s="336">
        <v>3</v>
      </c>
      <c r="M63" s="339">
        <v>40.5</v>
      </c>
      <c r="N63" s="360" t="str">
        <f>K63</f>
        <v>NY Jets</v>
      </c>
      <c r="O63" s="114">
        <v>24</v>
      </c>
      <c r="P63" s="328" t="str">
        <f t="shared" si="9"/>
        <v>Pittsburgh</v>
      </c>
      <c r="Q63" s="114">
        <v>20</v>
      </c>
      <c r="R63" s="364" t="str">
        <f t="shared" si="10"/>
        <v>NY Jets</v>
      </c>
      <c r="S63" s="364" t="str">
        <f t="shared" si="11"/>
        <v>Pittsburgh</v>
      </c>
      <c r="T63" s="114" t="str">
        <f>K63</f>
        <v>NY Jets</v>
      </c>
      <c r="U63" s="349" t="str">
        <f t="shared" si="12"/>
        <v>W</v>
      </c>
    </row>
    <row r="64" spans="1:21" s="335" customFormat="1" ht="15.75" customHeight="1" x14ac:dyDescent="0.8">
      <c r="A64" s="325">
        <v>4</v>
      </c>
      <c r="B64" s="46" t="s">
        <v>220</v>
      </c>
      <c r="C64" s="326">
        <f t="shared" si="16"/>
        <v>44836</v>
      </c>
      <c r="D64" s="327">
        <f t="shared" si="15"/>
        <v>0.54166666666666663</v>
      </c>
      <c r="E64" s="78" t="s">
        <v>303</v>
      </c>
      <c r="F64" s="114" t="s">
        <v>67</v>
      </c>
      <c r="G64" s="46" t="s">
        <v>331</v>
      </c>
      <c r="H64" s="114" t="s">
        <v>337</v>
      </c>
      <c r="I64" s="46" t="s">
        <v>338</v>
      </c>
      <c r="J64" s="329" t="str">
        <f>F64</f>
        <v>Buffalo</v>
      </c>
      <c r="K64" s="379" t="str">
        <f>IF(+J64=H64,F64,H64)</f>
        <v>Baltimore</v>
      </c>
      <c r="L64" s="336">
        <v>3.5</v>
      </c>
      <c r="M64" s="339">
        <v>51.5</v>
      </c>
      <c r="N64" s="360" t="str">
        <f>J64</f>
        <v>Buffalo</v>
      </c>
      <c r="O64" s="114">
        <v>23</v>
      </c>
      <c r="P64" s="328" t="str">
        <f>IF(N64=F64,H64,F64)</f>
        <v>Baltimore</v>
      </c>
      <c r="Q64" s="114">
        <v>20</v>
      </c>
      <c r="R64" s="494" t="str">
        <f>IF(+N64=K64,+N64,IF(+O64-Q64&lt;L64,+K64,+J64))</f>
        <v>Baltimore</v>
      </c>
      <c r="S64" s="494" t="str">
        <f>IF(+R64=J64,+K64,+J64)</f>
        <v>Buffalo</v>
      </c>
      <c r="T64" s="114" t="str">
        <f>J64</f>
        <v>Buffalo</v>
      </c>
      <c r="U64" s="349" t="str">
        <f>IF($N64=$J64,IF($O64-$Q64=$L64,"T",IF($R64=T64,"W","L")),IF($R64=T64,"W","L"))</f>
        <v>L</v>
      </c>
    </row>
    <row r="65" spans="1:21" s="335" customFormat="1" ht="15.75" customHeight="1" x14ac:dyDescent="0.8">
      <c r="A65" s="325">
        <v>4</v>
      </c>
      <c r="B65" s="46" t="s">
        <v>220</v>
      </c>
      <c r="C65" s="326">
        <f t="shared" si="16"/>
        <v>44836</v>
      </c>
      <c r="D65" s="327">
        <f t="shared" si="15"/>
        <v>0.54166666666666663</v>
      </c>
      <c r="E65" s="78" t="s">
        <v>303</v>
      </c>
      <c r="F65" s="114" t="s">
        <v>357</v>
      </c>
      <c r="G65" s="46" t="s">
        <v>329</v>
      </c>
      <c r="H65" s="114" t="s">
        <v>174</v>
      </c>
      <c r="I65" s="46" t="s">
        <v>343</v>
      </c>
      <c r="J65" s="329" t="str">
        <f>F65</f>
        <v>LA Chargers</v>
      </c>
      <c r="K65" s="379" t="str">
        <f t="shared" si="8"/>
        <v>Houston</v>
      </c>
      <c r="L65" s="336">
        <v>4.5</v>
      </c>
      <c r="M65" s="339">
        <v>44.5</v>
      </c>
      <c r="N65" s="360" t="str">
        <f>J65</f>
        <v>LA Chargers</v>
      </c>
      <c r="O65" s="114">
        <v>34</v>
      </c>
      <c r="P65" s="328" t="str">
        <f t="shared" si="9"/>
        <v>Houston</v>
      </c>
      <c r="Q65" s="114">
        <v>24</v>
      </c>
      <c r="R65" s="364" t="str">
        <f t="shared" si="10"/>
        <v>LA Chargers</v>
      </c>
      <c r="S65" s="364" t="str">
        <f t="shared" si="11"/>
        <v>Houston</v>
      </c>
      <c r="T65" s="114" t="str">
        <f>J65</f>
        <v>LA Chargers</v>
      </c>
      <c r="U65" s="349" t="str">
        <f t="shared" si="12"/>
        <v>W</v>
      </c>
    </row>
    <row r="66" spans="1:21" s="335" customFormat="1" ht="15.75" customHeight="1" x14ac:dyDescent="0.8">
      <c r="A66" s="325">
        <v>4</v>
      </c>
      <c r="B66" s="46" t="s">
        <v>220</v>
      </c>
      <c r="C66" s="326">
        <f t="shared" si="16"/>
        <v>44836</v>
      </c>
      <c r="D66" s="327">
        <f>16/24</f>
        <v>0.66666666666666663</v>
      </c>
      <c r="E66" s="78" t="s">
        <v>118</v>
      </c>
      <c r="F66" s="114" t="s">
        <v>198</v>
      </c>
      <c r="G66" s="46" t="s">
        <v>340</v>
      </c>
      <c r="H66" s="114" t="s">
        <v>352</v>
      </c>
      <c r="I66" s="46" t="s">
        <v>334</v>
      </c>
      <c r="J66" s="329" t="str">
        <f>H66</f>
        <v>Carolina</v>
      </c>
      <c r="K66" s="379" t="str">
        <f t="shared" si="8"/>
        <v>Arizona</v>
      </c>
      <c r="L66" s="336">
        <v>2.5</v>
      </c>
      <c r="M66" s="339">
        <v>43.5</v>
      </c>
      <c r="N66" s="360" t="str">
        <f>K66</f>
        <v>Arizona</v>
      </c>
      <c r="O66" s="114">
        <v>26</v>
      </c>
      <c r="P66" s="328" t="str">
        <f t="shared" si="9"/>
        <v>Carolina</v>
      </c>
      <c r="Q66" s="114">
        <v>16</v>
      </c>
      <c r="R66" s="364" t="str">
        <f t="shared" si="10"/>
        <v>Arizona</v>
      </c>
      <c r="S66" s="364" t="str">
        <f t="shared" si="11"/>
        <v>Carolina</v>
      </c>
      <c r="T66" s="114" t="str">
        <f>K66</f>
        <v>Arizona</v>
      </c>
      <c r="U66" s="349" t="str">
        <f t="shared" si="12"/>
        <v>W</v>
      </c>
    </row>
    <row r="67" spans="1:21" s="335" customFormat="1" ht="15.75" customHeight="1" x14ac:dyDescent="0.8">
      <c r="A67" s="325">
        <v>4</v>
      </c>
      <c r="B67" s="46" t="s">
        <v>220</v>
      </c>
      <c r="C67" s="326">
        <f t="shared" si="16"/>
        <v>44836</v>
      </c>
      <c r="D67" s="327">
        <f>16/24</f>
        <v>0.66666666666666663</v>
      </c>
      <c r="E67" s="78" t="s">
        <v>303</v>
      </c>
      <c r="F67" s="114" t="s">
        <v>330</v>
      </c>
      <c r="G67" s="46" t="s">
        <v>331</v>
      </c>
      <c r="H67" s="114" t="s">
        <v>351</v>
      </c>
      <c r="I67" s="46" t="s">
        <v>336</v>
      </c>
      <c r="J67" s="329" t="str">
        <f>H67</f>
        <v>Green Bay</v>
      </c>
      <c r="K67" s="379" t="str">
        <f t="shared" si="8"/>
        <v>New England</v>
      </c>
      <c r="L67" s="336">
        <v>10.5</v>
      </c>
      <c r="M67" s="339">
        <v>40.5</v>
      </c>
      <c r="N67" s="360" t="str">
        <f>J67</f>
        <v>Green Bay</v>
      </c>
      <c r="O67" s="114">
        <v>27</v>
      </c>
      <c r="P67" s="328" t="str">
        <f t="shared" si="9"/>
        <v>New England</v>
      </c>
      <c r="Q67" s="114">
        <v>24</v>
      </c>
      <c r="R67" s="364" t="str">
        <f t="shared" si="10"/>
        <v>New England</v>
      </c>
      <c r="S67" s="364" t="str">
        <f t="shared" si="11"/>
        <v>Green Bay</v>
      </c>
      <c r="T67" s="114" t="str">
        <f>K67</f>
        <v>New England</v>
      </c>
      <c r="U67" s="349" t="str">
        <f t="shared" si="12"/>
        <v>W</v>
      </c>
    </row>
    <row r="68" spans="1:21" s="335" customFormat="1" ht="15.75" customHeight="1" x14ac:dyDescent="0.8">
      <c r="A68" s="325">
        <v>4</v>
      </c>
      <c r="B68" s="46" t="s">
        <v>220</v>
      </c>
      <c r="C68" s="326">
        <f t="shared" si="16"/>
        <v>44836</v>
      </c>
      <c r="D68" s="327">
        <f>16/24</f>
        <v>0.66666666666666663</v>
      </c>
      <c r="E68" s="78" t="s">
        <v>303</v>
      </c>
      <c r="F68" s="114" t="s">
        <v>358</v>
      </c>
      <c r="G68" s="46" t="s">
        <v>329</v>
      </c>
      <c r="H68" s="114" t="s">
        <v>295</v>
      </c>
      <c r="I68" s="46" t="s">
        <v>329</v>
      </c>
      <c r="J68" s="329" t="str">
        <f>H68</f>
        <v>Las Vegas</v>
      </c>
      <c r="K68" s="379" t="str">
        <f t="shared" si="8"/>
        <v>Denver</v>
      </c>
      <c r="L68" s="336">
        <v>2.5</v>
      </c>
      <c r="M68" s="339">
        <v>46</v>
      </c>
      <c r="N68" s="360" t="str">
        <f>J68</f>
        <v>Las Vegas</v>
      </c>
      <c r="O68" s="114">
        <v>32</v>
      </c>
      <c r="P68" s="328" t="str">
        <f t="shared" si="9"/>
        <v>Denver</v>
      </c>
      <c r="Q68" s="114">
        <v>23</v>
      </c>
      <c r="R68" s="364" t="str">
        <f t="shared" si="10"/>
        <v>Las Vegas</v>
      </c>
      <c r="S68" s="364" t="str">
        <f t="shared" si="11"/>
        <v>Denver</v>
      </c>
      <c r="T68" s="114" t="str">
        <f>K68</f>
        <v>Denver</v>
      </c>
      <c r="U68" s="349" t="str">
        <f t="shared" si="12"/>
        <v>L</v>
      </c>
    </row>
    <row r="69" spans="1:21" s="335" customFormat="1" ht="15.75" customHeight="1" x14ac:dyDescent="0.8">
      <c r="A69" s="325">
        <v>4</v>
      </c>
      <c r="B69" s="46" t="s">
        <v>220</v>
      </c>
      <c r="C69" s="326">
        <f t="shared" si="16"/>
        <v>44836</v>
      </c>
      <c r="D69" s="327">
        <f>20.25/24</f>
        <v>0.84375</v>
      </c>
      <c r="E69" s="78" t="s">
        <v>179</v>
      </c>
      <c r="F69" s="114" t="s">
        <v>328</v>
      </c>
      <c r="G69" s="46" t="s">
        <v>329</v>
      </c>
      <c r="H69" s="114" t="s">
        <v>344</v>
      </c>
      <c r="I69" s="46" t="s">
        <v>334</v>
      </c>
      <c r="J69" s="329" t="str">
        <f>F69</f>
        <v>Kansas City</v>
      </c>
      <c r="K69" s="379" t="str">
        <f t="shared" si="8"/>
        <v>Tampa Bay</v>
      </c>
      <c r="L69" s="336">
        <v>2</v>
      </c>
      <c r="M69" s="339">
        <v>45</v>
      </c>
      <c r="N69" s="360" t="str">
        <f>J69</f>
        <v>Kansas City</v>
      </c>
      <c r="O69" s="114">
        <v>41</v>
      </c>
      <c r="P69" s="328" t="str">
        <f t="shared" si="9"/>
        <v>Tampa Bay</v>
      </c>
      <c r="Q69" s="114">
        <v>31</v>
      </c>
      <c r="R69" s="364" t="str">
        <f t="shared" si="10"/>
        <v>Kansas City</v>
      </c>
      <c r="S69" s="364" t="str">
        <f t="shared" si="11"/>
        <v>Tampa Bay</v>
      </c>
      <c r="T69" s="114" t="str">
        <f>J69</f>
        <v>Kansas City</v>
      </c>
      <c r="U69" s="349" t="str">
        <f t="shared" si="12"/>
        <v>W</v>
      </c>
    </row>
    <row r="70" spans="1:21" s="335" customFormat="1" ht="15.75" customHeight="1" x14ac:dyDescent="0.8">
      <c r="A70" s="325">
        <v>4</v>
      </c>
      <c r="B70" s="46" t="s">
        <v>225</v>
      </c>
      <c r="C70" s="326">
        <f t="shared" si="16"/>
        <v>44837</v>
      </c>
      <c r="D70" s="327">
        <f>20.25/24</f>
        <v>0.84375</v>
      </c>
      <c r="E70" s="46" t="s">
        <v>135</v>
      </c>
      <c r="F70" s="114" t="s">
        <v>349</v>
      </c>
      <c r="G70" s="46" t="s">
        <v>340</v>
      </c>
      <c r="H70" s="114" t="s">
        <v>353</v>
      </c>
      <c r="I70" s="46" t="s">
        <v>340</v>
      </c>
      <c r="J70" s="329" t="str">
        <f>H70</f>
        <v>San Francisco</v>
      </c>
      <c r="K70" s="379" t="str">
        <f t="shared" ref="K70:K102" si="18">IF(+J70=H70,F70,H70)</f>
        <v>LA Rams</v>
      </c>
      <c r="L70" s="336">
        <v>2</v>
      </c>
      <c r="M70" s="339">
        <v>41.5</v>
      </c>
      <c r="N70" s="360" t="str">
        <f>J70</f>
        <v>San Francisco</v>
      </c>
      <c r="O70" s="114">
        <v>24</v>
      </c>
      <c r="P70" s="328" t="str">
        <f t="shared" si="9"/>
        <v>LA Rams</v>
      </c>
      <c r="Q70" s="114">
        <v>9</v>
      </c>
      <c r="R70" s="364" t="str">
        <f t="shared" si="10"/>
        <v>San Francisco</v>
      </c>
      <c r="S70" s="364" t="str">
        <f t="shared" si="11"/>
        <v>LA Rams</v>
      </c>
      <c r="T70" s="114" t="str">
        <f>J70</f>
        <v>San Francisco</v>
      </c>
      <c r="U70" s="349" t="str">
        <f t="shared" si="12"/>
        <v>W</v>
      </c>
    </row>
    <row r="71" spans="1:21" s="335" customFormat="1" ht="15.75" customHeight="1" x14ac:dyDescent="0.8">
      <c r="A71" s="325">
        <v>4</v>
      </c>
      <c r="B71" s="46"/>
      <c r="C71" s="326"/>
      <c r="D71" s="327"/>
      <c r="E71" s="46"/>
      <c r="F71" s="114"/>
      <c r="G71" s="46"/>
      <c r="H71" s="114"/>
      <c r="I71" s="46"/>
      <c r="J71" s="329"/>
      <c r="K71" s="379"/>
      <c r="L71" s="336"/>
      <c r="M71" s="339"/>
      <c r="N71" s="360"/>
      <c r="O71" s="114"/>
      <c r="P71" s="328"/>
      <c r="Q71" s="114"/>
      <c r="R71" s="364"/>
      <c r="S71" s="364"/>
      <c r="T71" s="114"/>
      <c r="U71" s="349"/>
    </row>
    <row r="72" spans="1:21" s="335" customFormat="1" ht="15.75" customHeight="1" x14ac:dyDescent="0.8">
      <c r="A72" s="325">
        <v>5</v>
      </c>
      <c r="B72" s="46" t="s">
        <v>52</v>
      </c>
      <c r="C72" s="326">
        <f t="shared" si="16"/>
        <v>44840</v>
      </c>
      <c r="D72" s="327">
        <f>20.25/24</f>
        <v>0.84375</v>
      </c>
      <c r="E72" s="46" t="s">
        <v>179</v>
      </c>
      <c r="F72" s="114" t="s">
        <v>348</v>
      </c>
      <c r="G72" s="46" t="s">
        <v>343</v>
      </c>
      <c r="H72" s="114" t="s">
        <v>358</v>
      </c>
      <c r="I72" s="46" t="s">
        <v>329</v>
      </c>
      <c r="J72" s="329" t="str">
        <f>H72</f>
        <v>Denver</v>
      </c>
      <c r="K72" s="379" t="str">
        <f t="shared" si="18"/>
        <v>Indianapolis</v>
      </c>
      <c r="L72" s="336">
        <v>3.5</v>
      </c>
      <c r="M72" s="339">
        <v>42.5</v>
      </c>
      <c r="N72" s="360" t="str">
        <f>K72</f>
        <v>Indianapolis</v>
      </c>
      <c r="O72" s="114">
        <v>12</v>
      </c>
      <c r="P72" s="328" t="str">
        <f t="shared" ref="P72:P102" si="19">IF(N72=F72,H72,F72)</f>
        <v>Denver</v>
      </c>
      <c r="Q72" s="114">
        <v>9</v>
      </c>
      <c r="R72" s="364" t="str">
        <f t="shared" ref="R72:R102" si="20">IF(+N72=K72,+N72,IF(+O72-Q72&lt;L72,+K72,+J72))</f>
        <v>Indianapolis</v>
      </c>
      <c r="S72" s="364" t="str">
        <f t="shared" ref="S72:S101" si="21">IF(+R72=J72,+K72,+J72)</f>
        <v>Denver</v>
      </c>
      <c r="T72" s="114" t="str">
        <f>K72</f>
        <v>Indianapolis</v>
      </c>
      <c r="U72" s="349" t="str">
        <f t="shared" ref="U72:U102" si="22">IF($N72=$J72,IF($O72-$Q72=$L72,"T",IF($R72=T72,"W","L")),IF($R72=T72,"W","L"))</f>
        <v>W</v>
      </c>
    </row>
    <row r="73" spans="1:21" s="335" customFormat="1" ht="15.75" customHeight="1" x14ac:dyDescent="0.8">
      <c r="A73" s="325">
        <v>5</v>
      </c>
      <c r="B73" s="46" t="s">
        <v>220</v>
      </c>
      <c r="C73" s="326">
        <f t="shared" si="16"/>
        <v>44840</v>
      </c>
      <c r="D73" s="327">
        <f t="shared" si="15"/>
        <v>0.54166666666666663</v>
      </c>
      <c r="E73" s="78" t="s">
        <v>118</v>
      </c>
      <c r="F73" s="114" t="s">
        <v>354</v>
      </c>
      <c r="G73" s="46" t="s">
        <v>347</v>
      </c>
      <c r="H73" s="114" t="s">
        <v>351</v>
      </c>
      <c r="I73" s="46" t="s">
        <v>336</v>
      </c>
      <c r="J73" s="329" t="str">
        <f>H73</f>
        <v>Green Bay</v>
      </c>
      <c r="K73" s="379" t="str">
        <f t="shared" si="18"/>
        <v>NY Giants</v>
      </c>
      <c r="L73" s="336">
        <v>8.5</v>
      </c>
      <c r="M73" s="339">
        <v>41</v>
      </c>
      <c r="N73" s="360" t="str">
        <f>K73</f>
        <v>NY Giants</v>
      </c>
      <c r="O73" s="114">
        <v>27</v>
      </c>
      <c r="P73" s="328" t="str">
        <f t="shared" si="19"/>
        <v>Green Bay</v>
      </c>
      <c r="Q73" s="114">
        <v>22</v>
      </c>
      <c r="R73" s="364" t="str">
        <f t="shared" si="20"/>
        <v>NY Giants</v>
      </c>
      <c r="S73" s="364" t="str">
        <f t="shared" si="21"/>
        <v>Green Bay</v>
      </c>
      <c r="T73" s="114" t="str">
        <f>J73</f>
        <v>Green Bay</v>
      </c>
      <c r="U73" s="349" t="str">
        <f t="shared" si="22"/>
        <v>L</v>
      </c>
    </row>
    <row r="74" spans="1:21" s="335" customFormat="1" ht="15.75" customHeight="1" x14ac:dyDescent="0.8">
      <c r="A74" s="325">
        <v>5</v>
      </c>
      <c r="B74" s="46" t="s">
        <v>220</v>
      </c>
      <c r="C74" s="326">
        <f t="shared" si="16"/>
        <v>44843</v>
      </c>
      <c r="D74" s="327">
        <f>13/24</f>
        <v>0.54166666666666663</v>
      </c>
      <c r="E74" s="78" t="s">
        <v>303</v>
      </c>
      <c r="F74" s="114" t="s">
        <v>128</v>
      </c>
      <c r="G74" s="46" t="s">
        <v>338</v>
      </c>
      <c r="H74" s="114" t="s">
        <v>67</v>
      </c>
      <c r="I74" s="46" t="s">
        <v>331</v>
      </c>
      <c r="J74" s="329" t="str">
        <f>H74</f>
        <v>Buffalo</v>
      </c>
      <c r="K74" s="379" t="str">
        <f t="shared" si="18"/>
        <v>Pittsburgh</v>
      </c>
      <c r="L74" s="336">
        <v>14</v>
      </c>
      <c r="M74" s="339">
        <v>47</v>
      </c>
      <c r="N74" s="360" t="str">
        <f>J74</f>
        <v>Buffalo</v>
      </c>
      <c r="O74" s="114">
        <v>38</v>
      </c>
      <c r="P74" s="328" t="str">
        <f t="shared" si="19"/>
        <v>Pittsburgh</v>
      </c>
      <c r="Q74" s="114">
        <v>3</v>
      </c>
      <c r="R74" s="364" t="str">
        <f t="shared" si="20"/>
        <v>Buffalo</v>
      </c>
      <c r="S74" s="364" t="str">
        <f t="shared" si="21"/>
        <v>Pittsburgh</v>
      </c>
      <c r="T74" s="114" t="str">
        <f>K74</f>
        <v>Pittsburgh</v>
      </c>
      <c r="U74" s="349" t="str">
        <f t="shared" si="22"/>
        <v>L</v>
      </c>
    </row>
    <row r="75" spans="1:21" s="335" customFormat="1" ht="15.75" customHeight="1" x14ac:dyDescent="0.8">
      <c r="A75" s="325">
        <v>5</v>
      </c>
      <c r="B75" s="46" t="s">
        <v>220</v>
      </c>
      <c r="C75" s="326">
        <f t="shared" si="16"/>
        <v>44843</v>
      </c>
      <c r="D75" s="327">
        <f t="shared" si="15"/>
        <v>0.54166666666666663</v>
      </c>
      <c r="E75" s="78" t="s">
        <v>303</v>
      </c>
      <c r="F75" s="114" t="s">
        <v>357</v>
      </c>
      <c r="G75" s="46" t="s">
        <v>329</v>
      </c>
      <c r="H75" s="114" t="s">
        <v>339</v>
      </c>
      <c r="I75" s="46" t="s">
        <v>338</v>
      </c>
      <c r="J75" s="329" t="str">
        <f>F75</f>
        <v>LA Chargers</v>
      </c>
      <c r="K75" s="379" t="str">
        <f t="shared" si="18"/>
        <v>Cleveland</v>
      </c>
      <c r="L75" s="336">
        <v>3</v>
      </c>
      <c r="M75" s="339">
        <v>47.5</v>
      </c>
      <c r="N75" s="360" t="str">
        <f>J75</f>
        <v>LA Chargers</v>
      </c>
      <c r="O75" s="114">
        <v>30</v>
      </c>
      <c r="P75" s="328" t="str">
        <f t="shared" si="19"/>
        <v>Cleveland</v>
      </c>
      <c r="Q75" s="114">
        <v>28</v>
      </c>
      <c r="R75" s="364" t="str">
        <f t="shared" si="20"/>
        <v>Cleveland</v>
      </c>
      <c r="S75" s="364" t="str">
        <f t="shared" si="21"/>
        <v>LA Chargers</v>
      </c>
      <c r="T75" s="114" t="str">
        <f>K75</f>
        <v>Cleveland</v>
      </c>
      <c r="U75" s="349" t="str">
        <f t="shared" si="22"/>
        <v>W</v>
      </c>
    </row>
    <row r="76" spans="1:21" s="335" customFormat="1" ht="15.75" customHeight="1" x14ac:dyDescent="0.8">
      <c r="A76" s="325">
        <v>5</v>
      </c>
      <c r="B76" s="46" t="s">
        <v>220</v>
      </c>
      <c r="C76" s="326">
        <f t="shared" si="16"/>
        <v>44843</v>
      </c>
      <c r="D76" s="327">
        <f t="shared" si="15"/>
        <v>0.54166666666666663</v>
      </c>
      <c r="E76" s="78" t="s">
        <v>118</v>
      </c>
      <c r="F76" s="114" t="s">
        <v>335</v>
      </c>
      <c r="G76" s="46" t="s">
        <v>336</v>
      </c>
      <c r="H76" s="114" t="s">
        <v>69</v>
      </c>
      <c r="I76" s="46" t="s">
        <v>336</v>
      </c>
      <c r="J76" s="329" t="str">
        <f>H76</f>
        <v>Minnesota</v>
      </c>
      <c r="K76" s="379" t="str">
        <f t="shared" si="18"/>
        <v>Chicago</v>
      </c>
      <c r="L76" s="336">
        <v>7</v>
      </c>
      <c r="M76" s="339">
        <v>44</v>
      </c>
      <c r="N76" s="360" t="str">
        <f>J76</f>
        <v>Minnesota</v>
      </c>
      <c r="O76" s="114">
        <v>29</v>
      </c>
      <c r="P76" s="328" t="str">
        <f t="shared" si="19"/>
        <v>Chicago</v>
      </c>
      <c r="Q76" s="114">
        <v>22</v>
      </c>
      <c r="R76" s="364" t="str">
        <f t="shared" si="20"/>
        <v>Minnesota</v>
      </c>
      <c r="S76" s="364" t="str">
        <f t="shared" si="21"/>
        <v>Chicago</v>
      </c>
      <c r="T76" s="114" t="str">
        <f>J76</f>
        <v>Minnesota</v>
      </c>
      <c r="U76" s="349" t="str">
        <f t="shared" si="22"/>
        <v>T</v>
      </c>
    </row>
    <row r="77" spans="1:21" s="335" customFormat="1" ht="15.75" customHeight="1" x14ac:dyDescent="0.8">
      <c r="A77" s="325">
        <v>5</v>
      </c>
      <c r="B77" s="46" t="s">
        <v>220</v>
      </c>
      <c r="C77" s="326">
        <f t="shared" si="16"/>
        <v>44843</v>
      </c>
      <c r="D77" s="327">
        <f t="shared" si="15"/>
        <v>0.54166666666666663</v>
      </c>
      <c r="E77" s="78" t="s">
        <v>118</v>
      </c>
      <c r="F77" s="114" t="s">
        <v>341</v>
      </c>
      <c r="G77" s="46" t="s">
        <v>336</v>
      </c>
      <c r="H77" s="114" t="s">
        <v>330</v>
      </c>
      <c r="I77" s="46" t="s">
        <v>331</v>
      </c>
      <c r="J77" s="329" t="str">
        <f>H77</f>
        <v>New England</v>
      </c>
      <c r="K77" s="379" t="str">
        <f t="shared" si="18"/>
        <v>Detroit</v>
      </c>
      <c r="L77" s="336">
        <v>3</v>
      </c>
      <c r="M77" s="339">
        <v>46.5</v>
      </c>
      <c r="N77" s="360" t="str">
        <f>J77</f>
        <v>New England</v>
      </c>
      <c r="O77" s="114">
        <v>29</v>
      </c>
      <c r="P77" s="328" t="str">
        <f t="shared" si="19"/>
        <v>Detroit</v>
      </c>
      <c r="Q77" s="114">
        <v>0</v>
      </c>
      <c r="R77" s="364" t="str">
        <f t="shared" si="20"/>
        <v>New England</v>
      </c>
      <c r="S77" s="364" t="str">
        <f t="shared" si="21"/>
        <v>Detroit</v>
      </c>
      <c r="T77" s="114" t="str">
        <f>K77</f>
        <v>Detroit</v>
      </c>
      <c r="U77" s="349" t="str">
        <f t="shared" si="22"/>
        <v>L</v>
      </c>
    </row>
    <row r="78" spans="1:21" s="335" customFormat="1" ht="15.75" customHeight="1" x14ac:dyDescent="0.8">
      <c r="A78" s="325">
        <v>5</v>
      </c>
      <c r="B78" s="46" t="s">
        <v>220</v>
      </c>
      <c r="C78" s="326">
        <f t="shared" si="16"/>
        <v>44843</v>
      </c>
      <c r="D78" s="327">
        <f t="shared" si="15"/>
        <v>0.54166666666666663</v>
      </c>
      <c r="E78" s="78" t="s">
        <v>118</v>
      </c>
      <c r="F78" s="114" t="s">
        <v>350</v>
      </c>
      <c r="G78" s="46" t="s">
        <v>340</v>
      </c>
      <c r="H78" s="114" t="s">
        <v>356</v>
      </c>
      <c r="I78" s="46" t="s">
        <v>334</v>
      </c>
      <c r="J78" s="329" t="str">
        <f>H78</f>
        <v>New Orleans</v>
      </c>
      <c r="K78" s="379" t="str">
        <f t="shared" si="18"/>
        <v>Seattle</v>
      </c>
      <c r="L78" s="336">
        <v>5.5</v>
      </c>
      <c r="M78" s="339">
        <v>46</v>
      </c>
      <c r="N78" s="360" t="str">
        <f>J78</f>
        <v>New Orleans</v>
      </c>
      <c r="O78" s="114">
        <v>39</v>
      </c>
      <c r="P78" s="328" t="str">
        <f t="shared" si="19"/>
        <v>Seattle</v>
      </c>
      <c r="Q78" s="114">
        <v>32</v>
      </c>
      <c r="R78" s="364" t="str">
        <f t="shared" si="20"/>
        <v>New Orleans</v>
      </c>
      <c r="S78" s="364" t="str">
        <f t="shared" si="21"/>
        <v>Seattle</v>
      </c>
      <c r="T78" s="114" t="str">
        <f>J78</f>
        <v>New Orleans</v>
      </c>
      <c r="U78" s="349" t="str">
        <f t="shared" si="22"/>
        <v>W</v>
      </c>
    </row>
    <row r="79" spans="1:21" s="335" customFormat="1" ht="15.75" customHeight="1" x14ac:dyDescent="0.8">
      <c r="A79" s="325">
        <v>5</v>
      </c>
      <c r="B79" s="46" t="s">
        <v>220</v>
      </c>
      <c r="C79" s="326">
        <f t="shared" si="16"/>
        <v>44843</v>
      </c>
      <c r="D79" s="327">
        <f t="shared" si="15"/>
        <v>0.54166666666666663</v>
      </c>
      <c r="E79" s="78" t="s">
        <v>303</v>
      </c>
      <c r="F79" s="114" t="s">
        <v>345</v>
      </c>
      <c r="G79" s="46" t="s">
        <v>331</v>
      </c>
      <c r="H79" s="114" t="s">
        <v>332</v>
      </c>
      <c r="I79" s="46" t="s">
        <v>331</v>
      </c>
      <c r="J79" s="329" t="str">
        <f>F79</f>
        <v>Miami</v>
      </c>
      <c r="K79" s="379" t="str">
        <f t="shared" si="18"/>
        <v>NY Jets</v>
      </c>
      <c r="L79" s="336">
        <v>3</v>
      </c>
      <c r="M79" s="339">
        <v>44</v>
      </c>
      <c r="N79" s="360" t="str">
        <f>K79</f>
        <v>NY Jets</v>
      </c>
      <c r="O79" s="114">
        <v>40</v>
      </c>
      <c r="P79" s="328" t="str">
        <f t="shared" si="19"/>
        <v>Miami</v>
      </c>
      <c r="Q79" s="114">
        <v>17</v>
      </c>
      <c r="R79" s="364" t="str">
        <f t="shared" si="20"/>
        <v>NY Jets</v>
      </c>
      <c r="S79" s="364" t="str">
        <f t="shared" si="21"/>
        <v>Miami</v>
      </c>
      <c r="T79" s="114" t="str">
        <f>J79</f>
        <v>Miami</v>
      </c>
      <c r="U79" s="349" t="str">
        <f t="shared" si="22"/>
        <v>L</v>
      </c>
    </row>
    <row r="80" spans="1:21" s="335" customFormat="1" ht="15.75" customHeight="1" x14ac:dyDescent="0.8">
      <c r="A80" s="325">
        <v>5</v>
      </c>
      <c r="B80" s="46" t="s">
        <v>220</v>
      </c>
      <c r="C80" s="326">
        <f t="shared" si="16"/>
        <v>44843</v>
      </c>
      <c r="D80" s="327">
        <f t="shared" si="15"/>
        <v>0.54166666666666663</v>
      </c>
      <c r="E80" s="78" t="s">
        <v>118</v>
      </c>
      <c r="F80" s="114" t="s">
        <v>333</v>
      </c>
      <c r="G80" s="46" t="s">
        <v>334</v>
      </c>
      <c r="H80" s="114" t="s">
        <v>344</v>
      </c>
      <c r="I80" s="46" t="s">
        <v>334</v>
      </c>
      <c r="J80" s="329" t="str">
        <f>H80</f>
        <v>Tampa Bay</v>
      </c>
      <c r="K80" s="379" t="str">
        <f t="shared" si="18"/>
        <v>Atlanta</v>
      </c>
      <c r="L80" s="336">
        <v>9</v>
      </c>
      <c r="M80" s="339">
        <v>48</v>
      </c>
      <c r="N80" s="360" t="str">
        <f>J80</f>
        <v>Tampa Bay</v>
      </c>
      <c r="O80" s="114">
        <v>21</v>
      </c>
      <c r="P80" s="328" t="str">
        <f t="shared" si="19"/>
        <v>Atlanta</v>
      </c>
      <c r="Q80" s="114">
        <v>15</v>
      </c>
      <c r="R80" s="364" t="str">
        <f t="shared" si="20"/>
        <v>Atlanta</v>
      </c>
      <c r="S80" s="364" t="str">
        <f t="shared" si="21"/>
        <v>Tampa Bay</v>
      </c>
      <c r="T80" s="114" t="str">
        <f>K80</f>
        <v>Atlanta</v>
      </c>
      <c r="U80" s="349" t="str">
        <f t="shared" si="22"/>
        <v>W</v>
      </c>
    </row>
    <row r="81" spans="1:21" s="335" customFormat="1" ht="15.75" customHeight="1" x14ac:dyDescent="0.8">
      <c r="A81" s="325">
        <v>5</v>
      </c>
      <c r="B81" s="46" t="s">
        <v>220</v>
      </c>
      <c r="C81" s="326">
        <f t="shared" si="16"/>
        <v>44843</v>
      </c>
      <c r="D81" s="327">
        <f t="shared" si="15"/>
        <v>0.54166666666666663</v>
      </c>
      <c r="E81" s="78" t="s">
        <v>303</v>
      </c>
      <c r="F81" s="114" t="s">
        <v>226</v>
      </c>
      <c r="G81" s="46" t="s">
        <v>343</v>
      </c>
      <c r="H81" s="114" t="s">
        <v>91</v>
      </c>
      <c r="I81" s="46" t="s">
        <v>347</v>
      </c>
      <c r="J81" s="329" t="str">
        <f>F81</f>
        <v>Tennessee</v>
      </c>
      <c r="K81" s="379" t="str">
        <f t="shared" si="18"/>
        <v>Washington</v>
      </c>
      <c r="L81" s="336">
        <v>2.5</v>
      </c>
      <c r="M81" s="339">
        <v>42.5</v>
      </c>
      <c r="N81" s="360" t="str">
        <f>J81</f>
        <v>Tennessee</v>
      </c>
      <c r="O81" s="114">
        <v>21</v>
      </c>
      <c r="P81" s="328" t="str">
        <f t="shared" si="19"/>
        <v>Washington</v>
      </c>
      <c r="Q81" s="114">
        <v>17</v>
      </c>
      <c r="R81" s="364" t="str">
        <f t="shared" si="20"/>
        <v>Tennessee</v>
      </c>
      <c r="S81" s="364" t="str">
        <f t="shared" si="21"/>
        <v>Washington</v>
      </c>
      <c r="T81" s="114" t="str">
        <f>J81</f>
        <v>Tennessee</v>
      </c>
      <c r="U81" s="349" t="str">
        <f t="shared" si="22"/>
        <v>W</v>
      </c>
    </row>
    <row r="82" spans="1:21" s="335" customFormat="1" ht="15.75" customHeight="1" x14ac:dyDescent="0.8">
      <c r="A82" s="325">
        <v>5</v>
      </c>
      <c r="B82" s="46" t="s">
        <v>220</v>
      </c>
      <c r="C82" s="326">
        <f t="shared" si="16"/>
        <v>44843</v>
      </c>
      <c r="D82" s="327">
        <f t="shared" si="15"/>
        <v>0.54166666666666663</v>
      </c>
      <c r="E82" s="78" t="s">
        <v>303</v>
      </c>
      <c r="F82" s="114" t="s">
        <v>174</v>
      </c>
      <c r="G82" s="46" t="s">
        <v>343</v>
      </c>
      <c r="H82" s="114" t="s">
        <v>342</v>
      </c>
      <c r="I82" s="46" t="s">
        <v>343</v>
      </c>
      <c r="J82" s="329" t="str">
        <f>H82</f>
        <v>Jacksonville</v>
      </c>
      <c r="K82" s="379" t="str">
        <f t="shared" si="18"/>
        <v>Houston</v>
      </c>
      <c r="L82" s="336">
        <v>7</v>
      </c>
      <c r="M82" s="339">
        <v>44</v>
      </c>
      <c r="N82" s="360" t="str">
        <f>K82</f>
        <v>Houston</v>
      </c>
      <c r="O82" s="114">
        <v>13</v>
      </c>
      <c r="P82" s="328" t="str">
        <f t="shared" si="19"/>
        <v>Jacksonville</v>
      </c>
      <c r="Q82" s="114">
        <v>6</v>
      </c>
      <c r="R82" s="364" t="str">
        <f t="shared" si="20"/>
        <v>Houston</v>
      </c>
      <c r="S82" s="364" t="str">
        <f t="shared" si="21"/>
        <v>Jacksonville</v>
      </c>
      <c r="T82" s="114" t="str">
        <f>J82</f>
        <v>Jacksonville</v>
      </c>
      <c r="U82" s="349" t="str">
        <f t="shared" si="22"/>
        <v>L</v>
      </c>
    </row>
    <row r="83" spans="1:21" s="335" customFormat="1" ht="15.75" customHeight="1" x14ac:dyDescent="0.8">
      <c r="A83" s="325">
        <v>5</v>
      </c>
      <c r="B83" s="46" t="s">
        <v>220</v>
      </c>
      <c r="C83" s="326">
        <f t="shared" si="16"/>
        <v>44843</v>
      </c>
      <c r="D83" s="327">
        <f>16/24</f>
        <v>0.66666666666666663</v>
      </c>
      <c r="E83" s="78" t="s">
        <v>118</v>
      </c>
      <c r="F83" s="114" t="s">
        <v>353</v>
      </c>
      <c r="G83" s="46" t="s">
        <v>340</v>
      </c>
      <c r="H83" s="114" t="s">
        <v>352</v>
      </c>
      <c r="I83" s="46" t="s">
        <v>334</v>
      </c>
      <c r="J83" s="329" t="str">
        <f>F83</f>
        <v>San Francisco</v>
      </c>
      <c r="K83" s="379" t="str">
        <f t="shared" si="18"/>
        <v>Carolina</v>
      </c>
      <c r="L83" s="336">
        <v>6.5</v>
      </c>
      <c r="M83" s="339">
        <v>38.5</v>
      </c>
      <c r="N83" s="360" t="str">
        <f>J83</f>
        <v>San Francisco</v>
      </c>
      <c r="O83" s="114">
        <v>37</v>
      </c>
      <c r="P83" s="328" t="str">
        <f t="shared" si="19"/>
        <v>Carolina</v>
      </c>
      <c r="Q83" s="114">
        <v>15</v>
      </c>
      <c r="R83" s="364" t="str">
        <f t="shared" si="20"/>
        <v>San Francisco</v>
      </c>
      <c r="S83" s="364" t="str">
        <f t="shared" si="21"/>
        <v>Carolina</v>
      </c>
      <c r="T83" s="114" t="str">
        <f>J83</f>
        <v>San Francisco</v>
      </c>
      <c r="U83" s="349" t="str">
        <f t="shared" si="22"/>
        <v>W</v>
      </c>
    </row>
    <row r="84" spans="1:21" s="335" customFormat="1" ht="15.75" customHeight="1" x14ac:dyDescent="0.8">
      <c r="A84" s="325">
        <v>5</v>
      </c>
      <c r="B84" s="46" t="s">
        <v>220</v>
      </c>
      <c r="C84" s="326">
        <f t="shared" si="16"/>
        <v>44843</v>
      </c>
      <c r="D84" s="327">
        <f>16/24</f>
        <v>0.66666666666666663</v>
      </c>
      <c r="E84" s="78" t="s">
        <v>118</v>
      </c>
      <c r="F84" s="114" t="s">
        <v>355</v>
      </c>
      <c r="G84" s="46" t="s">
        <v>347</v>
      </c>
      <c r="H84" s="114" t="s">
        <v>349</v>
      </c>
      <c r="I84" s="46" t="s">
        <v>340</v>
      </c>
      <c r="J84" s="329" t="str">
        <f>H84</f>
        <v>LA Rams</v>
      </c>
      <c r="K84" s="379" t="str">
        <f t="shared" si="18"/>
        <v>Dallas</v>
      </c>
      <c r="L84" s="336">
        <v>4.5</v>
      </c>
      <c r="M84" s="339">
        <v>43</v>
      </c>
      <c r="N84" s="360" t="str">
        <f>K84</f>
        <v>Dallas</v>
      </c>
      <c r="O84" s="114">
        <v>22</v>
      </c>
      <c r="P84" s="328" t="str">
        <f t="shared" si="19"/>
        <v>LA Rams</v>
      </c>
      <c r="Q84" s="114">
        <v>10</v>
      </c>
      <c r="R84" s="364" t="str">
        <f t="shared" si="20"/>
        <v>Dallas</v>
      </c>
      <c r="S84" s="364" t="str">
        <f t="shared" si="21"/>
        <v>LA Rams</v>
      </c>
      <c r="T84" s="114" t="str">
        <f>K84</f>
        <v>Dallas</v>
      </c>
      <c r="U84" s="349" t="str">
        <f t="shared" si="22"/>
        <v>W</v>
      </c>
    </row>
    <row r="85" spans="1:21" s="335" customFormat="1" ht="15.75" customHeight="1" x14ac:dyDescent="0.8">
      <c r="A85" s="325">
        <v>5</v>
      </c>
      <c r="B85" s="46" t="s">
        <v>220</v>
      </c>
      <c r="C85" s="326">
        <f t="shared" si="16"/>
        <v>44843</v>
      </c>
      <c r="D85" s="327">
        <f>16/24</f>
        <v>0.66666666666666663</v>
      </c>
      <c r="E85" s="78" t="s">
        <v>118</v>
      </c>
      <c r="F85" s="114" t="s">
        <v>346</v>
      </c>
      <c r="G85" s="46" t="s">
        <v>347</v>
      </c>
      <c r="H85" s="114" t="s">
        <v>198</v>
      </c>
      <c r="I85" s="46" t="s">
        <v>340</v>
      </c>
      <c r="J85" s="329" t="str">
        <f>F85</f>
        <v>Philadelphia</v>
      </c>
      <c r="K85" s="379" t="str">
        <f t="shared" si="18"/>
        <v>Arizona</v>
      </c>
      <c r="L85" s="336">
        <v>5.5</v>
      </c>
      <c r="M85" s="339">
        <v>49</v>
      </c>
      <c r="N85" s="360" t="str">
        <f>J85</f>
        <v>Philadelphia</v>
      </c>
      <c r="O85" s="114">
        <v>20</v>
      </c>
      <c r="P85" s="328" t="str">
        <f t="shared" si="19"/>
        <v>Arizona</v>
      </c>
      <c r="Q85" s="114">
        <v>17</v>
      </c>
      <c r="R85" s="364" t="str">
        <f t="shared" si="20"/>
        <v>Arizona</v>
      </c>
      <c r="S85" s="364" t="str">
        <f t="shared" si="21"/>
        <v>Philadelphia</v>
      </c>
      <c r="T85" s="114" t="str">
        <f>K85</f>
        <v>Arizona</v>
      </c>
      <c r="U85" s="349" t="str">
        <f t="shared" si="22"/>
        <v>W</v>
      </c>
    </row>
    <row r="86" spans="1:21" s="335" customFormat="1" ht="15.75" customHeight="1" x14ac:dyDescent="0.8">
      <c r="A86" s="325">
        <v>5</v>
      </c>
      <c r="B86" s="46" t="s">
        <v>220</v>
      </c>
      <c r="C86" s="326">
        <f t="shared" si="16"/>
        <v>44843</v>
      </c>
      <c r="D86" s="327">
        <f>20.25/24</f>
        <v>0.84375</v>
      </c>
      <c r="E86" s="78" t="s">
        <v>179</v>
      </c>
      <c r="F86" s="114" t="s">
        <v>55</v>
      </c>
      <c r="G86" s="46" t="s">
        <v>338</v>
      </c>
      <c r="H86" s="114" t="s">
        <v>337</v>
      </c>
      <c r="I86" s="46" t="s">
        <v>338</v>
      </c>
      <c r="J86" s="329" t="str">
        <f>H86</f>
        <v>Baltimore</v>
      </c>
      <c r="K86" s="379" t="str">
        <f t="shared" si="18"/>
        <v>Cincinnati</v>
      </c>
      <c r="L86" s="336">
        <v>3</v>
      </c>
      <c r="M86" s="339">
        <v>48.5</v>
      </c>
      <c r="N86" s="360" t="str">
        <f>J86</f>
        <v>Baltimore</v>
      </c>
      <c r="O86" s="114">
        <v>19</v>
      </c>
      <c r="P86" s="328" t="str">
        <f t="shared" si="19"/>
        <v>Cincinnati</v>
      </c>
      <c r="Q86" s="114">
        <v>17</v>
      </c>
      <c r="R86" s="364" t="str">
        <f t="shared" si="20"/>
        <v>Cincinnati</v>
      </c>
      <c r="S86" s="364" t="str">
        <f t="shared" si="21"/>
        <v>Baltimore</v>
      </c>
      <c r="T86" s="114" t="str">
        <f>K86</f>
        <v>Cincinnati</v>
      </c>
      <c r="U86" s="349" t="str">
        <f t="shared" si="22"/>
        <v>W</v>
      </c>
    </row>
    <row r="87" spans="1:21" s="335" customFormat="1" ht="15.75" customHeight="1" x14ac:dyDescent="0.8">
      <c r="A87" s="325">
        <v>5</v>
      </c>
      <c r="B87" s="46" t="s">
        <v>225</v>
      </c>
      <c r="C87" s="326">
        <f t="shared" si="16"/>
        <v>44844</v>
      </c>
      <c r="D87" s="327">
        <f>20.25/24</f>
        <v>0.84375</v>
      </c>
      <c r="E87" s="46" t="s">
        <v>135</v>
      </c>
      <c r="F87" s="114" t="s">
        <v>295</v>
      </c>
      <c r="G87" s="46" t="s">
        <v>329</v>
      </c>
      <c r="H87" s="114" t="s">
        <v>328</v>
      </c>
      <c r="I87" s="46" t="s">
        <v>329</v>
      </c>
      <c r="J87" s="329" t="str">
        <f>H87</f>
        <v>Kansas City</v>
      </c>
      <c r="K87" s="379" t="str">
        <f t="shared" si="18"/>
        <v>Las Vegas</v>
      </c>
      <c r="L87" s="336">
        <v>7</v>
      </c>
      <c r="M87" s="339">
        <v>51</v>
      </c>
      <c r="N87" s="360" t="str">
        <f>J87</f>
        <v>Kansas City</v>
      </c>
      <c r="O87" s="114">
        <v>30</v>
      </c>
      <c r="P87" s="328" t="str">
        <f t="shared" si="19"/>
        <v>Las Vegas</v>
      </c>
      <c r="Q87" s="114">
        <v>29</v>
      </c>
      <c r="R87" s="364" t="str">
        <f t="shared" si="20"/>
        <v>Las Vegas</v>
      </c>
      <c r="S87" s="364" t="str">
        <f t="shared" si="21"/>
        <v>Kansas City</v>
      </c>
      <c r="T87" s="114" t="str">
        <f>K87</f>
        <v>Las Vegas</v>
      </c>
      <c r="U87" s="349" t="str">
        <f t="shared" si="22"/>
        <v>W</v>
      </c>
    </row>
    <row r="88" spans="1:21" s="335" customFormat="1" ht="15.75" customHeight="1" x14ac:dyDescent="0.8">
      <c r="A88" s="325">
        <v>5</v>
      </c>
      <c r="B88" s="46"/>
      <c r="C88" s="326"/>
      <c r="D88" s="327"/>
      <c r="E88" s="46"/>
      <c r="F88" s="114"/>
      <c r="G88" s="46"/>
      <c r="H88" s="114"/>
      <c r="I88" s="46"/>
      <c r="J88" s="329"/>
      <c r="K88" s="379"/>
      <c r="L88" s="336"/>
      <c r="M88" s="339"/>
      <c r="N88" s="360"/>
      <c r="O88" s="114"/>
      <c r="P88" s="328"/>
      <c r="Q88" s="114"/>
      <c r="R88" s="364"/>
      <c r="S88" s="364"/>
      <c r="T88" s="114"/>
      <c r="U88" s="349"/>
    </row>
    <row r="89" spans="1:21" s="335" customFormat="1" ht="15.75" customHeight="1" x14ac:dyDescent="0.8">
      <c r="A89" s="325">
        <v>6</v>
      </c>
      <c r="B89" s="46" t="s">
        <v>52</v>
      </c>
      <c r="C89" s="326">
        <f t="shared" si="16"/>
        <v>44847</v>
      </c>
      <c r="D89" s="327">
        <f>20.25/24</f>
        <v>0.84375</v>
      </c>
      <c r="E89" s="46" t="s">
        <v>179</v>
      </c>
      <c r="F89" s="114" t="s">
        <v>91</v>
      </c>
      <c r="G89" s="46" t="s">
        <v>347</v>
      </c>
      <c r="H89" s="114" t="s">
        <v>335</v>
      </c>
      <c r="I89" s="46" t="s">
        <v>336</v>
      </c>
      <c r="J89" s="329" t="str">
        <f>F89</f>
        <v>Washington</v>
      </c>
      <c r="K89" s="379" t="str">
        <f t="shared" si="18"/>
        <v>Chicago</v>
      </c>
      <c r="L89" s="336">
        <v>1</v>
      </c>
      <c r="M89" s="339">
        <v>38</v>
      </c>
      <c r="N89" s="360" t="str">
        <f>J89</f>
        <v>Washington</v>
      </c>
      <c r="O89" s="114">
        <v>12</v>
      </c>
      <c r="P89" s="328" t="str">
        <f t="shared" si="19"/>
        <v>Chicago</v>
      </c>
      <c r="Q89" s="114">
        <v>7</v>
      </c>
      <c r="R89" s="364" t="str">
        <f t="shared" si="20"/>
        <v>Washington</v>
      </c>
      <c r="S89" s="364" t="str">
        <f t="shared" si="21"/>
        <v>Chicago</v>
      </c>
      <c r="T89" s="114" t="str">
        <f>J89</f>
        <v>Washington</v>
      </c>
      <c r="U89" s="349" t="str">
        <f t="shared" si="22"/>
        <v>W</v>
      </c>
    </row>
    <row r="90" spans="1:21" s="335" customFormat="1" ht="15.75" customHeight="1" x14ac:dyDescent="0.8">
      <c r="A90" s="325">
        <v>6</v>
      </c>
      <c r="B90" s="46" t="s">
        <v>220</v>
      </c>
      <c r="C90" s="326">
        <f t="shared" si="16"/>
        <v>44847</v>
      </c>
      <c r="D90" s="327">
        <f t="shared" ref="D90:D97" si="23">13/24</f>
        <v>0.54166666666666663</v>
      </c>
      <c r="E90" s="78" t="s">
        <v>118</v>
      </c>
      <c r="F90" s="114" t="s">
        <v>353</v>
      </c>
      <c r="G90" s="46" t="s">
        <v>340</v>
      </c>
      <c r="H90" s="114" t="s">
        <v>333</v>
      </c>
      <c r="I90" s="46" t="s">
        <v>334</v>
      </c>
      <c r="J90" s="329" t="str">
        <f>F90</f>
        <v>San Francisco</v>
      </c>
      <c r="K90" s="379" t="str">
        <f t="shared" si="18"/>
        <v>Atlanta</v>
      </c>
      <c r="L90" s="336">
        <v>5.5</v>
      </c>
      <c r="M90" s="86">
        <v>45</v>
      </c>
      <c r="N90" s="360" t="str">
        <f>K90</f>
        <v>Atlanta</v>
      </c>
      <c r="O90" s="114">
        <v>28</v>
      </c>
      <c r="P90" s="328" t="str">
        <f t="shared" si="19"/>
        <v>San Francisco</v>
      </c>
      <c r="Q90" s="114">
        <v>14</v>
      </c>
      <c r="R90" s="364" t="str">
        <f t="shared" si="20"/>
        <v>Atlanta</v>
      </c>
      <c r="S90" s="364" t="str">
        <f t="shared" si="21"/>
        <v>San Francisco</v>
      </c>
      <c r="T90" s="114" t="str">
        <f>J90</f>
        <v>San Francisco</v>
      </c>
      <c r="U90" s="349" t="str">
        <f t="shared" si="22"/>
        <v>L</v>
      </c>
    </row>
    <row r="91" spans="1:21" s="335" customFormat="1" ht="15.75" customHeight="1" x14ac:dyDescent="0.8">
      <c r="A91" s="325">
        <v>6</v>
      </c>
      <c r="B91" s="46" t="s">
        <v>220</v>
      </c>
      <c r="C91" s="326">
        <f t="shared" si="16"/>
        <v>44850</v>
      </c>
      <c r="D91" s="327">
        <f>13/24</f>
        <v>0.54166666666666663</v>
      </c>
      <c r="E91" s="78" t="s">
        <v>303</v>
      </c>
      <c r="F91" s="114" t="s">
        <v>330</v>
      </c>
      <c r="G91" s="46" t="s">
        <v>331</v>
      </c>
      <c r="H91" s="114" t="s">
        <v>339</v>
      </c>
      <c r="I91" s="46" t="s">
        <v>338</v>
      </c>
      <c r="J91" s="329" t="str">
        <f>H91</f>
        <v>Cleveland</v>
      </c>
      <c r="K91" s="379" t="str">
        <f t="shared" si="18"/>
        <v>New England</v>
      </c>
      <c r="L91" s="336">
        <v>2.5</v>
      </c>
      <c r="M91" s="339">
        <v>43.5</v>
      </c>
      <c r="N91" s="360" t="str">
        <f>K91</f>
        <v>New England</v>
      </c>
      <c r="O91" s="114">
        <v>38</v>
      </c>
      <c r="P91" s="328" t="str">
        <f t="shared" si="19"/>
        <v>Cleveland</v>
      </c>
      <c r="Q91" s="114">
        <v>15</v>
      </c>
      <c r="R91" s="364" t="str">
        <f t="shared" si="20"/>
        <v>New England</v>
      </c>
      <c r="S91" s="364" t="str">
        <f t="shared" si="21"/>
        <v>Cleveland</v>
      </c>
      <c r="T91" s="114" t="str">
        <f>J91</f>
        <v>Cleveland</v>
      </c>
      <c r="U91" s="349" t="str">
        <f t="shared" si="22"/>
        <v>L</v>
      </c>
    </row>
    <row r="92" spans="1:21" s="335" customFormat="1" ht="15.75" customHeight="1" x14ac:dyDescent="0.8">
      <c r="A92" s="325">
        <v>6</v>
      </c>
      <c r="B92" s="46" t="s">
        <v>220</v>
      </c>
      <c r="C92" s="326">
        <f t="shared" si="16"/>
        <v>44850</v>
      </c>
      <c r="D92" s="327">
        <f t="shared" si="23"/>
        <v>0.54166666666666663</v>
      </c>
      <c r="E92" s="78" t="s">
        <v>303</v>
      </c>
      <c r="F92" s="114" t="s">
        <v>332</v>
      </c>
      <c r="G92" s="46" t="s">
        <v>331</v>
      </c>
      <c r="H92" s="114" t="s">
        <v>351</v>
      </c>
      <c r="I92" s="46" t="s">
        <v>336</v>
      </c>
      <c r="J92" s="329" t="str">
        <f>H92</f>
        <v>Green Bay</v>
      </c>
      <c r="K92" s="379" t="str">
        <f t="shared" si="18"/>
        <v>NY Jets</v>
      </c>
      <c r="L92" s="336">
        <v>7.4</v>
      </c>
      <c r="M92" s="339">
        <v>45</v>
      </c>
      <c r="N92" s="360" t="str">
        <f>K92</f>
        <v>NY Jets</v>
      </c>
      <c r="O92" s="114">
        <v>27</v>
      </c>
      <c r="P92" s="328" t="str">
        <f t="shared" si="19"/>
        <v>Green Bay</v>
      </c>
      <c r="Q92" s="114">
        <v>20</v>
      </c>
      <c r="R92" s="364" t="str">
        <f t="shared" si="20"/>
        <v>NY Jets</v>
      </c>
      <c r="S92" s="364" t="str">
        <f t="shared" si="21"/>
        <v>Green Bay</v>
      </c>
      <c r="T92" s="114" t="str">
        <f>J92</f>
        <v>Green Bay</v>
      </c>
      <c r="U92" s="349" t="str">
        <f t="shared" si="22"/>
        <v>L</v>
      </c>
    </row>
    <row r="93" spans="1:21" s="335" customFormat="1" ht="15.75" customHeight="1" x14ac:dyDescent="0.8">
      <c r="A93" s="325">
        <v>6</v>
      </c>
      <c r="B93" s="46" t="s">
        <v>220</v>
      </c>
      <c r="C93" s="326">
        <f t="shared" si="16"/>
        <v>44850</v>
      </c>
      <c r="D93" s="327">
        <f t="shared" si="23"/>
        <v>0.54166666666666663</v>
      </c>
      <c r="E93" s="78" t="s">
        <v>303</v>
      </c>
      <c r="F93" s="114" t="s">
        <v>342</v>
      </c>
      <c r="G93" s="46" t="s">
        <v>343</v>
      </c>
      <c r="H93" s="114" t="s">
        <v>348</v>
      </c>
      <c r="I93" s="46" t="s">
        <v>343</v>
      </c>
      <c r="J93" s="329" t="str">
        <f>H93</f>
        <v>Indianapolis</v>
      </c>
      <c r="K93" s="379" t="str">
        <f t="shared" si="18"/>
        <v>Jacksonville</v>
      </c>
      <c r="L93" s="336">
        <v>2</v>
      </c>
      <c r="M93" s="339">
        <v>42</v>
      </c>
      <c r="N93" s="360" t="str">
        <f>J93</f>
        <v>Indianapolis</v>
      </c>
      <c r="O93" s="114">
        <v>34</v>
      </c>
      <c r="P93" s="328" t="str">
        <f t="shared" si="19"/>
        <v>Jacksonville</v>
      </c>
      <c r="Q93" s="114">
        <v>27</v>
      </c>
      <c r="R93" s="364" t="str">
        <f t="shared" si="20"/>
        <v>Indianapolis</v>
      </c>
      <c r="S93" s="364" t="str">
        <f t="shared" si="21"/>
        <v>Jacksonville</v>
      </c>
      <c r="T93" s="114" t="str">
        <f t="shared" ref="T93:T98" si="24">K93</f>
        <v>Jacksonville</v>
      </c>
      <c r="U93" s="349" t="str">
        <f t="shared" si="22"/>
        <v>L</v>
      </c>
    </row>
    <row r="94" spans="1:21" s="335" customFormat="1" ht="15.75" customHeight="1" x14ac:dyDescent="0.8">
      <c r="A94" s="325">
        <v>6</v>
      </c>
      <c r="B94" s="46" t="s">
        <v>220</v>
      </c>
      <c r="C94" s="326">
        <f t="shared" si="16"/>
        <v>44850</v>
      </c>
      <c r="D94" s="327">
        <f t="shared" si="23"/>
        <v>0.54166666666666663</v>
      </c>
      <c r="E94" s="78" t="s">
        <v>118</v>
      </c>
      <c r="F94" s="114" t="s">
        <v>69</v>
      </c>
      <c r="G94" s="46" t="s">
        <v>336</v>
      </c>
      <c r="H94" s="114" t="s">
        <v>345</v>
      </c>
      <c r="I94" s="46" t="s">
        <v>331</v>
      </c>
      <c r="J94" s="329" t="str">
        <f>F94</f>
        <v>Minnesota</v>
      </c>
      <c r="K94" s="379" t="str">
        <f t="shared" si="18"/>
        <v>Miami</v>
      </c>
      <c r="L94" s="336">
        <v>3</v>
      </c>
      <c r="M94" s="339">
        <v>45.5</v>
      </c>
      <c r="N94" s="360" t="str">
        <f>J94</f>
        <v>Minnesota</v>
      </c>
      <c r="O94" s="114">
        <v>24</v>
      </c>
      <c r="P94" s="328" t="str">
        <f t="shared" si="19"/>
        <v>Miami</v>
      </c>
      <c r="Q94" s="114">
        <v>16</v>
      </c>
      <c r="R94" s="364" t="str">
        <f t="shared" si="20"/>
        <v>Minnesota</v>
      </c>
      <c r="S94" s="364" t="str">
        <f t="shared" si="21"/>
        <v>Miami</v>
      </c>
      <c r="T94" s="114" t="str">
        <f t="shared" si="24"/>
        <v>Miami</v>
      </c>
      <c r="U94" s="349" t="str">
        <f t="shared" si="22"/>
        <v>L</v>
      </c>
    </row>
    <row r="95" spans="1:21" s="335" customFormat="1" ht="15.75" customHeight="1" x14ac:dyDescent="0.8">
      <c r="A95" s="325">
        <v>6</v>
      </c>
      <c r="B95" s="46" t="s">
        <v>220</v>
      </c>
      <c r="C95" s="326">
        <f t="shared" si="16"/>
        <v>44850</v>
      </c>
      <c r="D95" s="327">
        <f t="shared" si="23"/>
        <v>0.54166666666666663</v>
      </c>
      <c r="E95" s="78" t="s">
        <v>303</v>
      </c>
      <c r="F95" s="114" t="s">
        <v>55</v>
      </c>
      <c r="G95" s="46" t="s">
        <v>338</v>
      </c>
      <c r="H95" s="114" t="s">
        <v>356</v>
      </c>
      <c r="I95" s="46" t="s">
        <v>334</v>
      </c>
      <c r="J95" s="329" t="str">
        <f>F95</f>
        <v>Cincinnati</v>
      </c>
      <c r="K95" s="379" t="str">
        <f t="shared" si="18"/>
        <v>New Orleans</v>
      </c>
      <c r="L95" s="336">
        <v>2</v>
      </c>
      <c r="M95" s="339">
        <v>43</v>
      </c>
      <c r="N95" s="360" t="str">
        <f>J95</f>
        <v>Cincinnati</v>
      </c>
      <c r="O95" s="114">
        <v>30</v>
      </c>
      <c r="P95" s="328" t="str">
        <f t="shared" si="19"/>
        <v>New Orleans</v>
      </c>
      <c r="Q95" s="114">
        <v>26</v>
      </c>
      <c r="R95" s="364" t="str">
        <f t="shared" si="20"/>
        <v>Cincinnati</v>
      </c>
      <c r="S95" s="364" t="str">
        <f t="shared" si="21"/>
        <v>New Orleans</v>
      </c>
      <c r="T95" s="114" t="str">
        <f t="shared" si="24"/>
        <v>New Orleans</v>
      </c>
      <c r="U95" s="349" t="str">
        <f t="shared" si="22"/>
        <v>L</v>
      </c>
    </row>
    <row r="96" spans="1:21" s="335" customFormat="1" ht="15.75" customHeight="1" x14ac:dyDescent="0.8">
      <c r="A96" s="325">
        <v>6</v>
      </c>
      <c r="B96" s="46" t="s">
        <v>220</v>
      </c>
      <c r="C96" s="326">
        <f t="shared" si="16"/>
        <v>44850</v>
      </c>
      <c r="D96" s="327">
        <f t="shared" si="23"/>
        <v>0.54166666666666663</v>
      </c>
      <c r="E96" s="78" t="s">
        <v>303</v>
      </c>
      <c r="F96" s="114" t="s">
        <v>337</v>
      </c>
      <c r="G96" s="46" t="s">
        <v>338</v>
      </c>
      <c r="H96" s="114" t="s">
        <v>354</v>
      </c>
      <c r="I96" s="46" t="s">
        <v>347</v>
      </c>
      <c r="J96" s="329" t="str">
        <f>F96</f>
        <v>Baltimore</v>
      </c>
      <c r="K96" s="379" t="str">
        <f t="shared" si="18"/>
        <v>NY Giants</v>
      </c>
      <c r="L96" s="336">
        <v>6</v>
      </c>
      <c r="M96" s="339">
        <v>45</v>
      </c>
      <c r="N96" s="360" t="str">
        <f>K96</f>
        <v>NY Giants</v>
      </c>
      <c r="O96" s="114">
        <v>24</v>
      </c>
      <c r="P96" s="328" t="str">
        <f t="shared" si="19"/>
        <v>Baltimore</v>
      </c>
      <c r="Q96" s="114">
        <v>20</v>
      </c>
      <c r="R96" s="364" t="str">
        <f t="shared" si="20"/>
        <v>NY Giants</v>
      </c>
      <c r="S96" s="364" t="str">
        <f t="shared" si="21"/>
        <v>Baltimore</v>
      </c>
      <c r="T96" s="114" t="str">
        <f t="shared" si="24"/>
        <v>NY Giants</v>
      </c>
      <c r="U96" s="349" t="str">
        <f t="shared" si="22"/>
        <v>W</v>
      </c>
    </row>
    <row r="97" spans="1:21" s="335" customFormat="1" ht="15.75" customHeight="1" x14ac:dyDescent="0.8">
      <c r="A97" s="325">
        <v>6</v>
      </c>
      <c r="B97" s="46" t="s">
        <v>220</v>
      </c>
      <c r="C97" s="326">
        <f t="shared" si="16"/>
        <v>44850</v>
      </c>
      <c r="D97" s="327">
        <f t="shared" si="23"/>
        <v>0.54166666666666663</v>
      </c>
      <c r="E97" s="78" t="s">
        <v>118</v>
      </c>
      <c r="F97" s="114" t="s">
        <v>344</v>
      </c>
      <c r="G97" s="46" t="s">
        <v>334</v>
      </c>
      <c r="H97" s="114" t="s">
        <v>128</v>
      </c>
      <c r="I97" s="46" t="s">
        <v>338</v>
      </c>
      <c r="J97" s="329" t="str">
        <f>F97</f>
        <v>Tampa Bay</v>
      </c>
      <c r="K97" s="379" t="str">
        <f t="shared" si="18"/>
        <v>Pittsburgh</v>
      </c>
      <c r="L97" s="336">
        <v>8</v>
      </c>
      <c r="M97" s="339">
        <v>44</v>
      </c>
      <c r="N97" s="360" t="str">
        <f>K97</f>
        <v>Pittsburgh</v>
      </c>
      <c r="O97" s="114">
        <v>20</v>
      </c>
      <c r="P97" s="328" t="str">
        <f t="shared" si="19"/>
        <v>Tampa Bay</v>
      </c>
      <c r="Q97" s="114">
        <v>18</v>
      </c>
      <c r="R97" s="364" t="str">
        <f t="shared" si="20"/>
        <v>Pittsburgh</v>
      </c>
      <c r="S97" s="364" t="str">
        <f t="shared" si="21"/>
        <v>Tampa Bay</v>
      </c>
      <c r="T97" s="114" t="str">
        <f t="shared" si="24"/>
        <v>Pittsburgh</v>
      </c>
      <c r="U97" s="349" t="str">
        <f t="shared" si="22"/>
        <v>W</v>
      </c>
    </row>
    <row r="98" spans="1:21" s="335" customFormat="1" ht="15.75" customHeight="1" x14ac:dyDescent="0.8">
      <c r="A98" s="325">
        <v>6</v>
      </c>
      <c r="B98" s="46" t="s">
        <v>220</v>
      </c>
      <c r="C98" s="326">
        <f t="shared" si="16"/>
        <v>44850</v>
      </c>
      <c r="D98" s="327">
        <f>16/24</f>
        <v>0.66666666666666663</v>
      </c>
      <c r="E98" s="78" t="s">
        <v>118</v>
      </c>
      <c r="F98" s="114" t="s">
        <v>352</v>
      </c>
      <c r="G98" s="46" t="s">
        <v>334</v>
      </c>
      <c r="H98" s="114" t="s">
        <v>349</v>
      </c>
      <c r="I98" s="46" t="s">
        <v>340</v>
      </c>
      <c r="J98" s="329" t="str">
        <f>H98</f>
        <v>LA Rams</v>
      </c>
      <c r="K98" s="379" t="str">
        <f t="shared" si="18"/>
        <v>Carolina</v>
      </c>
      <c r="L98" s="336">
        <v>9.5</v>
      </c>
      <c r="M98" s="339">
        <v>41</v>
      </c>
      <c r="N98" s="360" t="str">
        <f>J98</f>
        <v>LA Rams</v>
      </c>
      <c r="O98" s="114">
        <v>24</v>
      </c>
      <c r="P98" s="328" t="str">
        <f t="shared" si="19"/>
        <v>Carolina</v>
      </c>
      <c r="Q98" s="114">
        <v>10</v>
      </c>
      <c r="R98" s="364" t="str">
        <f t="shared" si="20"/>
        <v>LA Rams</v>
      </c>
      <c r="S98" s="364" t="str">
        <f t="shared" si="21"/>
        <v>Carolina</v>
      </c>
      <c r="T98" s="114" t="str">
        <f t="shared" si="24"/>
        <v>Carolina</v>
      </c>
      <c r="U98" s="349" t="str">
        <f t="shared" si="22"/>
        <v>L</v>
      </c>
    </row>
    <row r="99" spans="1:21" s="335" customFormat="1" ht="15.75" customHeight="1" x14ac:dyDescent="0.8">
      <c r="A99" s="325">
        <v>6</v>
      </c>
      <c r="B99" s="46" t="s">
        <v>220</v>
      </c>
      <c r="C99" s="326">
        <f t="shared" si="16"/>
        <v>44850</v>
      </c>
      <c r="D99" s="327">
        <f>16/24</f>
        <v>0.66666666666666663</v>
      </c>
      <c r="E99" s="78" t="s">
        <v>118</v>
      </c>
      <c r="F99" s="114" t="s">
        <v>198</v>
      </c>
      <c r="G99" s="46" t="s">
        <v>340</v>
      </c>
      <c r="H99" s="114" t="s">
        <v>350</v>
      </c>
      <c r="I99" s="46" t="s">
        <v>340</v>
      </c>
      <c r="J99" s="329" t="str">
        <f>F99</f>
        <v>Arizona</v>
      </c>
      <c r="K99" s="379" t="str">
        <f t="shared" si="18"/>
        <v>Seattle</v>
      </c>
      <c r="L99" s="336">
        <v>2.5</v>
      </c>
      <c r="M99" s="339">
        <v>50.5</v>
      </c>
      <c r="N99" s="360" t="str">
        <f>K99</f>
        <v>Seattle</v>
      </c>
      <c r="O99" s="114">
        <v>19</v>
      </c>
      <c r="P99" s="328" t="str">
        <f t="shared" si="19"/>
        <v>Arizona</v>
      </c>
      <c r="Q99" s="114">
        <v>9</v>
      </c>
      <c r="R99" s="364" t="str">
        <f t="shared" si="20"/>
        <v>Seattle</v>
      </c>
      <c r="S99" s="364" t="str">
        <f t="shared" si="21"/>
        <v>Arizona</v>
      </c>
      <c r="T99" s="114" t="str">
        <f>J99</f>
        <v>Arizona</v>
      </c>
      <c r="U99" s="349" t="str">
        <f t="shared" si="22"/>
        <v>L</v>
      </c>
    </row>
    <row r="100" spans="1:21" s="335" customFormat="1" ht="15.75" customHeight="1" x14ac:dyDescent="0.8">
      <c r="A100" s="325">
        <v>6</v>
      </c>
      <c r="B100" s="46" t="s">
        <v>220</v>
      </c>
      <c r="C100" s="326">
        <f t="shared" si="16"/>
        <v>44850</v>
      </c>
      <c r="D100" s="327">
        <f>16/24</f>
        <v>0.66666666666666663</v>
      </c>
      <c r="E100" s="78" t="s">
        <v>303</v>
      </c>
      <c r="F100" s="114" t="s">
        <v>67</v>
      </c>
      <c r="G100" s="46" t="s">
        <v>331</v>
      </c>
      <c r="H100" s="114" t="s">
        <v>328</v>
      </c>
      <c r="I100" s="46" t="s">
        <v>329</v>
      </c>
      <c r="J100" s="329" t="str">
        <f>F100</f>
        <v>Buffalo</v>
      </c>
      <c r="K100" s="379" t="str">
        <f t="shared" si="18"/>
        <v>Kansas City</v>
      </c>
      <c r="L100" s="336">
        <v>2.5</v>
      </c>
      <c r="M100" s="339">
        <v>54</v>
      </c>
      <c r="N100" s="360" t="str">
        <f>J100</f>
        <v>Buffalo</v>
      </c>
      <c r="O100" s="114">
        <v>24</v>
      </c>
      <c r="P100" s="328" t="str">
        <f t="shared" si="19"/>
        <v>Kansas City</v>
      </c>
      <c r="Q100" s="114">
        <v>20</v>
      </c>
      <c r="R100" s="364" t="str">
        <f t="shared" si="20"/>
        <v>Buffalo</v>
      </c>
      <c r="S100" s="364" t="str">
        <f t="shared" si="21"/>
        <v>Kansas City</v>
      </c>
      <c r="T100" s="114" t="str">
        <f>J100</f>
        <v>Buffalo</v>
      </c>
      <c r="U100" s="349" t="str">
        <f t="shared" si="22"/>
        <v>W</v>
      </c>
    </row>
    <row r="101" spans="1:21" s="335" customFormat="1" ht="15.75" customHeight="1" x14ac:dyDescent="0.8">
      <c r="A101" s="325">
        <v>6</v>
      </c>
      <c r="B101" s="46" t="s">
        <v>220</v>
      </c>
      <c r="C101" s="326">
        <f t="shared" si="16"/>
        <v>44850</v>
      </c>
      <c r="D101" s="327">
        <f>20.25/24</f>
        <v>0.84375</v>
      </c>
      <c r="E101" s="78" t="s">
        <v>179</v>
      </c>
      <c r="F101" s="114" t="s">
        <v>355</v>
      </c>
      <c r="G101" s="46" t="s">
        <v>347</v>
      </c>
      <c r="H101" s="114" t="s">
        <v>346</v>
      </c>
      <c r="I101" s="46" t="s">
        <v>347</v>
      </c>
      <c r="J101" s="329" t="str">
        <f>H101</f>
        <v>Philadelphia</v>
      </c>
      <c r="K101" s="379" t="str">
        <f t="shared" si="18"/>
        <v>Dallas</v>
      </c>
      <c r="L101" s="336">
        <v>6.5</v>
      </c>
      <c r="M101" s="339">
        <v>42</v>
      </c>
      <c r="N101" s="360" t="str">
        <f>J101</f>
        <v>Philadelphia</v>
      </c>
      <c r="O101" s="114">
        <v>26</v>
      </c>
      <c r="P101" s="328" t="str">
        <f t="shared" si="19"/>
        <v>Dallas</v>
      </c>
      <c r="Q101" s="114">
        <v>17</v>
      </c>
      <c r="R101" s="364" t="str">
        <f t="shared" si="20"/>
        <v>Philadelphia</v>
      </c>
      <c r="S101" s="364" t="str">
        <f t="shared" si="21"/>
        <v>Dallas</v>
      </c>
      <c r="T101" s="114" t="str">
        <f>J101</f>
        <v>Philadelphia</v>
      </c>
      <c r="U101" s="349" t="str">
        <f t="shared" si="22"/>
        <v>W</v>
      </c>
    </row>
    <row r="102" spans="1:21" s="335" customFormat="1" ht="15.75" customHeight="1" x14ac:dyDescent="0.8">
      <c r="A102" s="325">
        <v>6</v>
      </c>
      <c r="B102" s="46" t="s">
        <v>225</v>
      </c>
      <c r="C102" s="326">
        <f t="shared" si="16"/>
        <v>44850</v>
      </c>
      <c r="D102" s="327">
        <f>20.25/24</f>
        <v>0.84375</v>
      </c>
      <c r="E102" s="46" t="s">
        <v>135</v>
      </c>
      <c r="F102" s="114" t="s">
        <v>358</v>
      </c>
      <c r="G102" s="46" t="s">
        <v>329</v>
      </c>
      <c r="H102" s="114" t="s">
        <v>357</v>
      </c>
      <c r="I102" s="46" t="s">
        <v>329</v>
      </c>
      <c r="J102" s="329" t="str">
        <f>H102</f>
        <v>LA Chargers</v>
      </c>
      <c r="K102" s="379" t="str">
        <f t="shared" si="18"/>
        <v>Denver</v>
      </c>
      <c r="L102" s="336">
        <v>5</v>
      </c>
      <c r="M102" s="339">
        <v>45.5</v>
      </c>
      <c r="N102" s="360" t="str">
        <f>J102</f>
        <v>LA Chargers</v>
      </c>
      <c r="O102" s="114">
        <v>19</v>
      </c>
      <c r="P102" s="328" t="str">
        <f t="shared" si="19"/>
        <v>Denver</v>
      </c>
      <c r="Q102" s="114">
        <v>16</v>
      </c>
      <c r="R102" s="364" t="str">
        <f t="shared" si="20"/>
        <v>Denver</v>
      </c>
      <c r="S102" s="494" t="str">
        <f>IF(+R102=J102,+K102,+J102)</f>
        <v>LA Chargers</v>
      </c>
      <c r="T102" s="114" t="str">
        <f>J102</f>
        <v>LA Chargers</v>
      </c>
      <c r="U102" s="349" t="str">
        <f t="shared" si="22"/>
        <v>L</v>
      </c>
    </row>
    <row r="103" spans="1:21" s="335" customFormat="1" ht="15.75" customHeight="1" x14ac:dyDescent="0.8">
      <c r="A103" s="325">
        <f>+A102</f>
        <v>6</v>
      </c>
      <c r="B103" s="46"/>
      <c r="C103" s="326"/>
      <c r="D103" s="327"/>
      <c r="E103" s="78"/>
      <c r="F103" s="114" t="s">
        <v>409</v>
      </c>
      <c r="G103" s="46"/>
      <c r="H103" s="114"/>
      <c r="I103" s="46"/>
      <c r="J103" s="329"/>
      <c r="K103" s="379"/>
      <c r="L103" s="336"/>
      <c r="M103" s="339"/>
      <c r="N103" s="360"/>
      <c r="O103" s="114"/>
      <c r="P103" s="328"/>
      <c r="Q103" s="114"/>
      <c r="R103" s="364"/>
      <c r="S103" s="364"/>
      <c r="T103" s="114"/>
      <c r="U103" s="349"/>
    </row>
    <row r="104" spans="1:21" s="335" customFormat="1" ht="15.75" customHeight="1" x14ac:dyDescent="0.8">
      <c r="A104" s="325">
        <v>6</v>
      </c>
      <c r="B104" s="46"/>
      <c r="C104" s="326"/>
      <c r="D104" s="327"/>
      <c r="E104" s="46"/>
      <c r="F104" s="114" t="s">
        <v>341</v>
      </c>
      <c r="G104" s="46" t="s">
        <v>336</v>
      </c>
      <c r="H104" s="114"/>
      <c r="I104" s="46"/>
      <c r="J104" s="329"/>
      <c r="K104" s="379"/>
      <c r="L104" s="336"/>
      <c r="M104" s="339"/>
      <c r="N104" s="360"/>
      <c r="O104" s="114"/>
      <c r="P104" s="328"/>
      <c r="Q104" s="114"/>
      <c r="R104" s="364"/>
      <c r="S104" s="364"/>
      <c r="T104" s="114"/>
      <c r="U104" s="349"/>
    </row>
    <row r="105" spans="1:21" s="335" customFormat="1" ht="15.75" customHeight="1" x14ac:dyDescent="0.8">
      <c r="A105" s="325">
        <v>6</v>
      </c>
      <c r="B105" s="46"/>
      <c r="C105" s="326"/>
      <c r="D105" s="327"/>
      <c r="E105" s="46"/>
      <c r="F105" s="114" t="s">
        <v>226</v>
      </c>
      <c r="G105" s="46" t="s">
        <v>343</v>
      </c>
      <c r="H105" s="114"/>
      <c r="I105" s="46"/>
      <c r="J105" s="329"/>
      <c r="K105" s="379"/>
      <c r="L105" s="336"/>
      <c r="M105" s="339"/>
      <c r="N105" s="360"/>
      <c r="O105" s="114"/>
      <c r="P105" s="328"/>
      <c r="Q105" s="114"/>
      <c r="R105" s="364"/>
      <c r="S105" s="364"/>
      <c r="T105" s="114"/>
      <c r="U105" s="349"/>
    </row>
    <row r="106" spans="1:21" s="335" customFormat="1" ht="15.75" customHeight="1" x14ac:dyDescent="0.8">
      <c r="A106" s="325">
        <v>6</v>
      </c>
      <c r="B106" s="46"/>
      <c r="C106" s="326"/>
      <c r="D106" s="327"/>
      <c r="E106" s="46"/>
      <c r="F106" s="114" t="s">
        <v>295</v>
      </c>
      <c r="G106" s="46" t="s">
        <v>329</v>
      </c>
      <c r="H106" s="114"/>
      <c r="I106" s="46"/>
      <c r="J106" s="329"/>
      <c r="K106" s="379"/>
      <c r="L106" s="336"/>
      <c r="M106" s="339"/>
      <c r="N106" s="360"/>
      <c r="O106" s="114"/>
      <c r="P106" s="328"/>
      <c r="Q106" s="114"/>
      <c r="R106" s="364"/>
      <c r="S106" s="364"/>
      <c r="T106" s="114"/>
      <c r="U106" s="349"/>
    </row>
    <row r="107" spans="1:21" s="335" customFormat="1" ht="15.75" customHeight="1" x14ac:dyDescent="0.8">
      <c r="A107" s="325">
        <v>6</v>
      </c>
      <c r="B107" s="46"/>
      <c r="C107" s="326"/>
      <c r="D107" s="327"/>
      <c r="E107" s="46"/>
      <c r="F107" s="114" t="s">
        <v>174</v>
      </c>
      <c r="G107" s="46" t="s">
        <v>343</v>
      </c>
      <c r="H107" s="114"/>
      <c r="I107" s="46"/>
      <c r="J107" s="329"/>
      <c r="K107" s="379"/>
      <c r="L107" s="336"/>
      <c r="M107" s="339"/>
      <c r="N107" s="360"/>
      <c r="O107" s="114"/>
      <c r="P107" s="328"/>
      <c r="Q107" s="114"/>
      <c r="R107" s="364"/>
      <c r="S107" s="364"/>
      <c r="T107" s="114"/>
      <c r="U107" s="349"/>
    </row>
    <row r="108" spans="1:21" s="335" customFormat="1" ht="15.75" customHeight="1" x14ac:dyDescent="0.8">
      <c r="A108" s="325">
        <v>6</v>
      </c>
      <c r="B108" s="46"/>
      <c r="C108" s="326"/>
      <c r="D108" s="327"/>
      <c r="E108" s="46"/>
      <c r="F108" s="114"/>
      <c r="G108" s="46"/>
      <c r="H108" s="114"/>
      <c r="I108" s="46"/>
      <c r="J108" s="329"/>
      <c r="K108" s="379"/>
      <c r="L108" s="336"/>
      <c r="M108" s="339"/>
      <c r="N108" s="360"/>
      <c r="O108" s="114"/>
      <c r="P108" s="328"/>
      <c r="Q108" s="114"/>
      <c r="R108" s="364"/>
      <c r="S108" s="364"/>
      <c r="T108" s="114"/>
      <c r="U108" s="349"/>
    </row>
    <row r="109" spans="1:21" s="335" customFormat="1" ht="15.75" customHeight="1" x14ac:dyDescent="0.8">
      <c r="A109" s="325">
        <v>7</v>
      </c>
      <c r="B109" s="46" t="s">
        <v>52</v>
      </c>
      <c r="C109" s="326">
        <f>+C89+7</f>
        <v>44854</v>
      </c>
      <c r="D109" s="327">
        <f>D89</f>
        <v>0.84375</v>
      </c>
      <c r="E109" s="46" t="s">
        <v>179</v>
      </c>
      <c r="F109" s="114" t="s">
        <v>356</v>
      </c>
      <c r="G109" s="46" t="s">
        <v>334</v>
      </c>
      <c r="H109" s="114" t="s">
        <v>198</v>
      </c>
      <c r="I109" s="46" t="s">
        <v>340</v>
      </c>
      <c r="J109" s="329" t="str">
        <f>H109</f>
        <v>Arizona</v>
      </c>
      <c r="K109" s="379" t="str">
        <f t="shared" ref="K109:K120" si="25">IF(+J109=H109,F109,H109)</f>
        <v>New Orleans</v>
      </c>
      <c r="L109" s="70">
        <v>2</v>
      </c>
      <c r="M109" s="339">
        <v>44</v>
      </c>
      <c r="N109" s="360" t="str">
        <f>J109</f>
        <v>Arizona</v>
      </c>
      <c r="O109" s="114">
        <v>42</v>
      </c>
      <c r="P109" s="328" t="str">
        <f t="shared" ref="P109:P121" si="26">IF(N109=F109,H109,F109)</f>
        <v>New Orleans</v>
      </c>
      <c r="Q109" s="114">
        <v>34</v>
      </c>
      <c r="R109" s="364" t="str">
        <f t="shared" ref="R109:R119" si="27">IF(+N109=K109,+N109,IF(+O109-Q109&lt;L109,+K109,+J109))</f>
        <v>Arizona</v>
      </c>
      <c r="S109" s="364" t="str">
        <f t="shared" ref="S109:S119" si="28">IF(+R109=J109,+K109,+J109)</f>
        <v>New Orleans</v>
      </c>
      <c r="T109" s="114" t="str">
        <f>J109</f>
        <v>Arizona</v>
      </c>
      <c r="U109" s="349" t="str">
        <f t="shared" ref="U109:U119" si="29">IF($N109=$J109,IF($O109-$Q109=$L109,"T",IF($R109=T109,"W","L")),IF($R109=T109,"W","L"))</f>
        <v>W</v>
      </c>
    </row>
    <row r="110" spans="1:21" s="335" customFormat="1" ht="15.75" customHeight="1" x14ac:dyDescent="0.8">
      <c r="A110" s="325">
        <v>7</v>
      </c>
      <c r="B110" s="46" t="s">
        <v>220</v>
      </c>
      <c r="C110" s="326">
        <f t="shared" ref="C110:C122" si="30">+C90+7</f>
        <v>44854</v>
      </c>
      <c r="D110" s="327">
        <f t="shared" ref="D110:D122" si="31">D90</f>
        <v>0.54166666666666663</v>
      </c>
      <c r="E110" s="78" t="s">
        <v>118</v>
      </c>
      <c r="F110" s="114" t="s">
        <v>333</v>
      </c>
      <c r="G110" s="46" t="s">
        <v>334</v>
      </c>
      <c r="H110" s="114" t="s">
        <v>55</v>
      </c>
      <c r="I110" s="46" t="s">
        <v>338</v>
      </c>
      <c r="J110" s="329" t="str">
        <f>H110</f>
        <v>Cincinnati</v>
      </c>
      <c r="K110" s="379" t="str">
        <f t="shared" si="25"/>
        <v>Atlanta</v>
      </c>
      <c r="L110" s="336">
        <v>6</v>
      </c>
      <c r="M110" s="339">
        <v>47.5</v>
      </c>
      <c r="N110" s="360" t="str">
        <f>J110</f>
        <v>Cincinnati</v>
      </c>
      <c r="O110" s="114">
        <v>35</v>
      </c>
      <c r="P110" s="328" t="str">
        <f t="shared" si="26"/>
        <v>Atlanta</v>
      </c>
      <c r="Q110" s="114">
        <v>17</v>
      </c>
      <c r="R110" s="364" t="str">
        <f t="shared" si="27"/>
        <v>Cincinnati</v>
      </c>
      <c r="S110" s="364" t="str">
        <f t="shared" si="28"/>
        <v>Atlanta</v>
      </c>
      <c r="T110" s="114" t="str">
        <f>J110</f>
        <v>Cincinnati</v>
      </c>
      <c r="U110" s="349" t="str">
        <f t="shared" si="29"/>
        <v>W</v>
      </c>
    </row>
    <row r="111" spans="1:21" s="335" customFormat="1" ht="15.75" customHeight="1" x14ac:dyDescent="0.8">
      <c r="A111" s="325">
        <v>7</v>
      </c>
      <c r="B111" s="46" t="s">
        <v>220</v>
      </c>
      <c r="C111" s="326">
        <f t="shared" si="30"/>
        <v>44857</v>
      </c>
      <c r="D111" s="327">
        <f t="shared" si="31"/>
        <v>0.54166666666666663</v>
      </c>
      <c r="E111" s="78" t="s">
        <v>118</v>
      </c>
      <c r="F111" s="114" t="s">
        <v>341</v>
      </c>
      <c r="G111" s="46" t="s">
        <v>336</v>
      </c>
      <c r="H111" s="114" t="s">
        <v>355</v>
      </c>
      <c r="I111" s="46" t="s">
        <v>347</v>
      </c>
      <c r="J111" s="329" t="str">
        <f>H111</f>
        <v>Dallas</v>
      </c>
      <c r="K111" s="379" t="str">
        <f t="shared" si="25"/>
        <v>Detroit</v>
      </c>
      <c r="L111" s="336">
        <v>7</v>
      </c>
      <c r="M111" s="339">
        <v>49</v>
      </c>
      <c r="N111" s="360" t="str">
        <f>J111</f>
        <v>Dallas</v>
      </c>
      <c r="O111" s="114">
        <v>24</v>
      </c>
      <c r="P111" s="328" t="str">
        <f t="shared" si="26"/>
        <v>Detroit</v>
      </c>
      <c r="Q111" s="114">
        <v>6</v>
      </c>
      <c r="R111" s="364" t="str">
        <f t="shared" si="27"/>
        <v>Dallas</v>
      </c>
      <c r="S111" s="364" t="str">
        <f t="shared" si="28"/>
        <v>Detroit</v>
      </c>
      <c r="T111" s="114" t="str">
        <f>K111</f>
        <v>Detroit</v>
      </c>
      <c r="U111" s="349" t="str">
        <f t="shared" si="29"/>
        <v>L</v>
      </c>
    </row>
    <row r="112" spans="1:21" s="335" customFormat="1" ht="15.75" customHeight="1" x14ac:dyDescent="0.8">
      <c r="A112" s="325">
        <v>7</v>
      </c>
      <c r="B112" s="46" t="s">
        <v>220</v>
      </c>
      <c r="C112" s="326">
        <f t="shared" si="30"/>
        <v>44857</v>
      </c>
      <c r="D112" s="327">
        <f t="shared" si="31"/>
        <v>0.54166666666666663</v>
      </c>
      <c r="E112" s="78" t="s">
        <v>303</v>
      </c>
      <c r="F112" s="114" t="s">
        <v>348</v>
      </c>
      <c r="G112" s="46" t="s">
        <v>343</v>
      </c>
      <c r="H112" s="114" t="s">
        <v>226</v>
      </c>
      <c r="I112" s="46" t="s">
        <v>343</v>
      </c>
      <c r="J112" s="329" t="str">
        <f>H112</f>
        <v>Tennessee</v>
      </c>
      <c r="K112" s="379" t="str">
        <f t="shared" si="25"/>
        <v>Indianapolis</v>
      </c>
      <c r="L112" s="336">
        <v>2.5</v>
      </c>
      <c r="M112" s="339">
        <v>42.5</v>
      </c>
      <c r="N112" s="360" t="str">
        <f>J112</f>
        <v>Tennessee</v>
      </c>
      <c r="O112" s="114">
        <v>19</v>
      </c>
      <c r="P112" s="328" t="str">
        <f t="shared" si="26"/>
        <v>Indianapolis</v>
      </c>
      <c r="Q112" s="114">
        <v>10</v>
      </c>
      <c r="R112" s="364" t="str">
        <f t="shared" si="27"/>
        <v>Tennessee</v>
      </c>
      <c r="S112" s="364" t="str">
        <f t="shared" si="28"/>
        <v>Indianapolis</v>
      </c>
      <c r="T112" s="114" t="str">
        <f>H112</f>
        <v>Tennessee</v>
      </c>
      <c r="U112" s="349" t="str">
        <f t="shared" si="29"/>
        <v>W</v>
      </c>
    </row>
    <row r="113" spans="1:21" s="335" customFormat="1" ht="15.75" customHeight="1" x14ac:dyDescent="0.8">
      <c r="A113" s="325">
        <v>7</v>
      </c>
      <c r="B113" s="46" t="s">
        <v>220</v>
      </c>
      <c r="C113" s="326">
        <f t="shared" si="30"/>
        <v>44857</v>
      </c>
      <c r="D113" s="327">
        <f t="shared" si="31"/>
        <v>0.54166666666666663</v>
      </c>
      <c r="E113" s="78" t="s">
        <v>118</v>
      </c>
      <c r="F113" s="114" t="s">
        <v>351</v>
      </c>
      <c r="G113" s="46" t="s">
        <v>336</v>
      </c>
      <c r="H113" s="114" t="s">
        <v>91</v>
      </c>
      <c r="I113" s="46" t="s">
        <v>347</v>
      </c>
      <c r="J113" s="329" t="str">
        <f>F113</f>
        <v>Green Bay</v>
      </c>
      <c r="K113" s="379" t="str">
        <f t="shared" si="25"/>
        <v>Washington</v>
      </c>
      <c r="L113" s="336">
        <v>5</v>
      </c>
      <c r="M113" s="339">
        <v>42</v>
      </c>
      <c r="N113" s="360" t="str">
        <f>K113</f>
        <v>Washington</v>
      </c>
      <c r="O113" s="114">
        <v>23</v>
      </c>
      <c r="P113" s="328" t="str">
        <f t="shared" si="26"/>
        <v>Green Bay</v>
      </c>
      <c r="Q113" s="114">
        <v>21</v>
      </c>
      <c r="R113" s="364" t="str">
        <f t="shared" si="27"/>
        <v>Washington</v>
      </c>
      <c r="S113" s="364" t="str">
        <f t="shared" si="28"/>
        <v>Green Bay</v>
      </c>
      <c r="T113" s="114" t="str">
        <f>J113</f>
        <v>Green Bay</v>
      </c>
      <c r="U113" s="349" t="str">
        <f t="shared" si="29"/>
        <v>L</v>
      </c>
    </row>
    <row r="114" spans="1:21" s="335" customFormat="1" ht="15.75" customHeight="1" x14ac:dyDescent="0.8">
      <c r="A114" s="325">
        <v>7</v>
      </c>
      <c r="B114" s="46" t="s">
        <v>220</v>
      </c>
      <c r="C114" s="326">
        <f t="shared" si="30"/>
        <v>44857</v>
      </c>
      <c r="D114" s="327">
        <f t="shared" si="31"/>
        <v>0.54166666666666663</v>
      </c>
      <c r="E114" s="78" t="s">
        <v>118</v>
      </c>
      <c r="F114" s="114" t="s">
        <v>344</v>
      </c>
      <c r="G114" s="46" t="s">
        <v>334</v>
      </c>
      <c r="H114" s="114" t="s">
        <v>352</v>
      </c>
      <c r="I114" s="46" t="s">
        <v>334</v>
      </c>
      <c r="J114" s="329" t="str">
        <f>F114</f>
        <v>Tampa Bay</v>
      </c>
      <c r="K114" s="379" t="str">
        <f t="shared" si="25"/>
        <v>Carolina</v>
      </c>
      <c r="L114" s="336">
        <v>11</v>
      </c>
      <c r="M114" s="339">
        <v>40</v>
      </c>
      <c r="N114" s="360" t="str">
        <f>K114</f>
        <v>Carolina</v>
      </c>
      <c r="O114" s="114">
        <v>21</v>
      </c>
      <c r="P114" s="328" t="str">
        <f t="shared" si="26"/>
        <v>Tampa Bay</v>
      </c>
      <c r="Q114" s="114">
        <v>3</v>
      </c>
      <c r="R114" s="364" t="str">
        <f t="shared" si="27"/>
        <v>Carolina</v>
      </c>
      <c r="S114" s="364" t="str">
        <f t="shared" si="28"/>
        <v>Tampa Bay</v>
      </c>
      <c r="T114" s="114" t="str">
        <f>J114</f>
        <v>Tampa Bay</v>
      </c>
      <c r="U114" s="349" t="str">
        <f t="shared" si="29"/>
        <v>L</v>
      </c>
    </row>
    <row r="115" spans="1:21" s="335" customFormat="1" ht="15.75" customHeight="1" x14ac:dyDescent="0.8">
      <c r="A115" s="325">
        <v>7</v>
      </c>
      <c r="B115" s="46" t="s">
        <v>220</v>
      </c>
      <c r="C115" s="326">
        <f t="shared" si="30"/>
        <v>44857</v>
      </c>
      <c r="D115" s="327">
        <f t="shared" si="31"/>
        <v>0.54166666666666663</v>
      </c>
      <c r="E115" s="78" t="s">
        <v>118</v>
      </c>
      <c r="F115" s="114" t="s">
        <v>354</v>
      </c>
      <c r="G115" s="46" t="s">
        <v>347</v>
      </c>
      <c r="H115" s="114" t="s">
        <v>342</v>
      </c>
      <c r="I115" s="46" t="s">
        <v>343</v>
      </c>
      <c r="J115" s="329" t="str">
        <f>H115</f>
        <v>Jacksonville</v>
      </c>
      <c r="K115" s="379" t="str">
        <f t="shared" si="25"/>
        <v>NY Giants</v>
      </c>
      <c r="L115" s="336">
        <v>3</v>
      </c>
      <c r="M115" s="339">
        <v>42</v>
      </c>
      <c r="N115" s="360" t="str">
        <f>K115</f>
        <v>NY Giants</v>
      </c>
      <c r="O115" s="114">
        <v>23</v>
      </c>
      <c r="P115" s="328" t="str">
        <f t="shared" si="26"/>
        <v>Jacksonville</v>
      </c>
      <c r="Q115" s="114">
        <v>17</v>
      </c>
      <c r="R115" s="364" t="str">
        <f t="shared" si="27"/>
        <v>NY Giants</v>
      </c>
      <c r="S115" s="364" t="str">
        <f t="shared" si="28"/>
        <v>Jacksonville</v>
      </c>
      <c r="T115" s="114" t="str">
        <f>J115</f>
        <v>Jacksonville</v>
      </c>
      <c r="U115" s="349" t="str">
        <f t="shared" si="29"/>
        <v>L</v>
      </c>
    </row>
    <row r="116" spans="1:21" s="335" customFormat="1" ht="15.75" customHeight="1" x14ac:dyDescent="0.8">
      <c r="A116" s="325">
        <v>7</v>
      </c>
      <c r="B116" s="46" t="s">
        <v>220</v>
      </c>
      <c r="C116" s="326">
        <f t="shared" si="30"/>
        <v>44857</v>
      </c>
      <c r="D116" s="327">
        <f t="shared" si="31"/>
        <v>0.54166666666666663</v>
      </c>
      <c r="E116" s="78" t="s">
        <v>303</v>
      </c>
      <c r="F116" s="114" t="s">
        <v>339</v>
      </c>
      <c r="G116" s="46" t="s">
        <v>338</v>
      </c>
      <c r="H116" s="114" t="s">
        <v>337</v>
      </c>
      <c r="I116" s="46" t="s">
        <v>338</v>
      </c>
      <c r="J116" s="329" t="str">
        <f>H116</f>
        <v>Baltimore</v>
      </c>
      <c r="K116" s="379" t="str">
        <f t="shared" si="25"/>
        <v>Cleveland</v>
      </c>
      <c r="L116" s="336">
        <v>6.5</v>
      </c>
      <c r="M116" s="339">
        <v>45.5</v>
      </c>
      <c r="N116" s="360" t="str">
        <f>J116</f>
        <v>Baltimore</v>
      </c>
      <c r="O116" s="114">
        <v>23</v>
      </c>
      <c r="P116" s="328" t="str">
        <f t="shared" si="26"/>
        <v>Cleveland</v>
      </c>
      <c r="Q116" s="114">
        <v>20</v>
      </c>
      <c r="R116" s="364" t="str">
        <f t="shared" si="27"/>
        <v>Cleveland</v>
      </c>
      <c r="S116" s="364" t="str">
        <f t="shared" si="28"/>
        <v>Baltimore</v>
      </c>
      <c r="T116" s="114" t="str">
        <f>K116</f>
        <v>Cleveland</v>
      </c>
      <c r="U116" s="349" t="str">
        <f t="shared" si="29"/>
        <v>W</v>
      </c>
    </row>
    <row r="117" spans="1:21" s="335" customFormat="1" ht="15.75" customHeight="1" x14ac:dyDescent="0.8">
      <c r="A117" s="325">
        <v>7</v>
      </c>
      <c r="B117" s="46" t="s">
        <v>220</v>
      </c>
      <c r="C117" s="326">
        <f t="shared" si="30"/>
        <v>44857</v>
      </c>
      <c r="D117" s="327">
        <f t="shared" si="31"/>
        <v>0.54166666666666663</v>
      </c>
      <c r="E117" s="78" t="s">
        <v>303</v>
      </c>
      <c r="F117" s="114" t="s">
        <v>332</v>
      </c>
      <c r="G117" s="46" t="s">
        <v>331</v>
      </c>
      <c r="H117" s="114" t="s">
        <v>358</v>
      </c>
      <c r="I117" s="46" t="s">
        <v>329</v>
      </c>
      <c r="J117" s="329" t="str">
        <f>H117</f>
        <v>Denver</v>
      </c>
      <c r="K117" s="379" t="str">
        <f t="shared" si="25"/>
        <v>NY Jets</v>
      </c>
      <c r="L117" s="336">
        <v>1</v>
      </c>
      <c r="M117" s="339">
        <v>38.5</v>
      </c>
      <c r="N117" s="360" t="str">
        <f>K117</f>
        <v>NY Jets</v>
      </c>
      <c r="O117" s="114">
        <v>16</v>
      </c>
      <c r="P117" s="328" t="str">
        <f t="shared" si="26"/>
        <v>Denver</v>
      </c>
      <c r="Q117" s="114">
        <v>9</v>
      </c>
      <c r="R117" s="364" t="str">
        <f t="shared" si="27"/>
        <v>NY Jets</v>
      </c>
      <c r="S117" s="364" t="str">
        <f t="shared" si="28"/>
        <v>Denver</v>
      </c>
      <c r="T117" s="114" t="str">
        <f>J117</f>
        <v>Denver</v>
      </c>
      <c r="U117" s="349" t="str">
        <f t="shared" si="29"/>
        <v>L</v>
      </c>
    </row>
    <row r="118" spans="1:21" s="335" customFormat="1" ht="15.75" customHeight="1" x14ac:dyDescent="0.8">
      <c r="A118" s="325">
        <v>7</v>
      </c>
      <c r="B118" s="46" t="s">
        <v>220</v>
      </c>
      <c r="C118" s="326">
        <f t="shared" si="30"/>
        <v>44857</v>
      </c>
      <c r="D118" s="327">
        <f t="shared" si="31"/>
        <v>0.66666666666666663</v>
      </c>
      <c r="E118" s="78" t="s">
        <v>303</v>
      </c>
      <c r="F118" s="114" t="s">
        <v>174</v>
      </c>
      <c r="G118" s="46" t="s">
        <v>343</v>
      </c>
      <c r="H118" s="114" t="s">
        <v>295</v>
      </c>
      <c r="I118" s="46" t="s">
        <v>329</v>
      </c>
      <c r="J118" s="329" t="str">
        <f>H118</f>
        <v>Las Vegas</v>
      </c>
      <c r="K118" s="379" t="str">
        <f t="shared" si="25"/>
        <v>Houston</v>
      </c>
      <c r="L118" s="336">
        <v>7</v>
      </c>
      <c r="M118" s="339">
        <v>45.5</v>
      </c>
      <c r="N118" s="360" t="str">
        <f>J118</f>
        <v>Las Vegas</v>
      </c>
      <c r="O118" s="484">
        <v>38</v>
      </c>
      <c r="P118" s="328" t="str">
        <f t="shared" si="26"/>
        <v>Houston</v>
      </c>
      <c r="Q118" s="484">
        <v>20</v>
      </c>
      <c r="R118" s="364" t="str">
        <f t="shared" si="27"/>
        <v>Las Vegas</v>
      </c>
      <c r="S118" s="364" t="str">
        <f t="shared" si="28"/>
        <v>Houston</v>
      </c>
      <c r="T118" s="114" t="str">
        <f>K118</f>
        <v>Houston</v>
      </c>
      <c r="U118" s="349" t="str">
        <f t="shared" si="29"/>
        <v>L</v>
      </c>
    </row>
    <row r="119" spans="1:21" s="335" customFormat="1" ht="15.75" customHeight="1" x14ac:dyDescent="0.8">
      <c r="A119" s="325">
        <v>7</v>
      </c>
      <c r="B119" s="46" t="s">
        <v>220</v>
      </c>
      <c r="C119" s="326">
        <f t="shared" si="30"/>
        <v>44857</v>
      </c>
      <c r="D119" s="327">
        <f t="shared" si="31"/>
        <v>0.66666666666666663</v>
      </c>
      <c r="E119" s="78" t="s">
        <v>118</v>
      </c>
      <c r="F119" s="114" t="s">
        <v>350</v>
      </c>
      <c r="G119" s="46" t="s">
        <v>340</v>
      </c>
      <c r="H119" s="114" t="s">
        <v>357</v>
      </c>
      <c r="I119" s="46" t="s">
        <v>329</v>
      </c>
      <c r="J119" s="329" t="str">
        <f>H119</f>
        <v>LA Chargers</v>
      </c>
      <c r="K119" s="379" t="str">
        <f t="shared" si="25"/>
        <v>Seattle</v>
      </c>
      <c r="L119" s="336">
        <v>6</v>
      </c>
      <c r="M119" s="339">
        <v>51</v>
      </c>
      <c r="N119" s="360" t="str">
        <f>K119</f>
        <v>Seattle</v>
      </c>
      <c r="O119" s="114">
        <v>37</v>
      </c>
      <c r="P119" s="328" t="str">
        <f t="shared" si="26"/>
        <v>LA Chargers</v>
      </c>
      <c r="Q119" s="114">
        <v>23</v>
      </c>
      <c r="R119" s="364" t="str">
        <f t="shared" si="27"/>
        <v>Seattle</v>
      </c>
      <c r="S119" s="364" t="str">
        <f t="shared" si="28"/>
        <v>LA Chargers</v>
      </c>
      <c r="T119" s="114" t="str">
        <f>K119</f>
        <v>Seattle</v>
      </c>
      <c r="U119" s="349" t="str">
        <f t="shared" si="29"/>
        <v>W</v>
      </c>
    </row>
    <row r="120" spans="1:21" s="335" customFormat="1" ht="15.75" customHeight="1" x14ac:dyDescent="0.8">
      <c r="A120" s="325">
        <v>7</v>
      </c>
      <c r="B120" s="46" t="s">
        <v>220</v>
      </c>
      <c r="C120" s="326">
        <f t="shared" si="30"/>
        <v>44857</v>
      </c>
      <c r="D120" s="327">
        <f t="shared" si="31"/>
        <v>0.66666666666666663</v>
      </c>
      <c r="E120" s="78" t="s">
        <v>303</v>
      </c>
      <c r="F120" s="114" t="s">
        <v>328</v>
      </c>
      <c r="G120" s="46" t="s">
        <v>329</v>
      </c>
      <c r="H120" s="114" t="s">
        <v>353</v>
      </c>
      <c r="I120" s="46" t="s">
        <v>340</v>
      </c>
      <c r="J120" s="329" t="str">
        <f>F120</f>
        <v>Kansas City</v>
      </c>
      <c r="K120" s="379" t="str">
        <f t="shared" si="25"/>
        <v>San Francisco</v>
      </c>
      <c r="L120" s="336">
        <v>3</v>
      </c>
      <c r="M120" s="339">
        <v>48.5</v>
      </c>
      <c r="N120" s="360" t="str">
        <f>J120</f>
        <v>Kansas City</v>
      </c>
      <c r="O120" s="114">
        <v>44</v>
      </c>
      <c r="P120" s="328" t="str">
        <f t="shared" si="26"/>
        <v>San Francisco</v>
      </c>
      <c r="Q120" s="114">
        <v>23</v>
      </c>
      <c r="R120" s="494" t="str">
        <f t="shared" ref="R120:R121" si="32">IF(+N120=K120,+N120,IF(+O120-Q120&lt;L120,+K120,+J120))</f>
        <v>Kansas City</v>
      </c>
      <c r="S120" s="494" t="str">
        <f t="shared" ref="S120:S121" si="33">IF(+R120=J120,+K120,+J120)</f>
        <v>San Francisco</v>
      </c>
      <c r="T120" s="114" t="str">
        <f>K120</f>
        <v>San Francisco</v>
      </c>
      <c r="U120" s="349" t="str">
        <f>IF($N120=$J120,IF($O120-$Q120=$L120,"T",IF($R120=T120,"W","L")),IF($R120=T120,"W","L"))</f>
        <v>L</v>
      </c>
    </row>
    <row r="121" spans="1:21" s="335" customFormat="1" ht="15.75" customHeight="1" x14ac:dyDescent="0.8">
      <c r="A121" s="325">
        <v>7</v>
      </c>
      <c r="B121" s="46" t="s">
        <v>220</v>
      </c>
      <c r="C121" s="326">
        <f t="shared" si="30"/>
        <v>44857</v>
      </c>
      <c r="D121" s="327">
        <f t="shared" si="31"/>
        <v>0.84375</v>
      </c>
      <c r="E121" s="78" t="s">
        <v>179</v>
      </c>
      <c r="F121" s="114" t="s">
        <v>128</v>
      </c>
      <c r="G121" s="46" t="s">
        <v>338</v>
      </c>
      <c r="H121" s="114" t="s">
        <v>345</v>
      </c>
      <c r="I121" s="46" t="s">
        <v>331</v>
      </c>
      <c r="J121" s="329" t="str">
        <f>H121</f>
        <v>Miami</v>
      </c>
      <c r="K121" s="379" t="str">
        <f>IF(+J121=H121,F121,H121)</f>
        <v>Pittsburgh</v>
      </c>
      <c r="L121" s="336">
        <v>7</v>
      </c>
      <c r="M121" s="339">
        <v>5</v>
      </c>
      <c r="N121" s="360" t="str">
        <f>J121</f>
        <v>Miami</v>
      </c>
      <c r="O121" s="114">
        <v>16</v>
      </c>
      <c r="P121" s="328" t="str">
        <f t="shared" si="26"/>
        <v>Pittsburgh</v>
      </c>
      <c r="Q121" s="114">
        <v>10</v>
      </c>
      <c r="R121" s="494" t="str">
        <f t="shared" si="32"/>
        <v>Pittsburgh</v>
      </c>
      <c r="S121" s="494" t="str">
        <f t="shared" si="33"/>
        <v>Miami</v>
      </c>
      <c r="T121" s="114" t="str">
        <f>K121</f>
        <v>Pittsburgh</v>
      </c>
      <c r="U121" s="349" t="str">
        <f>IF($N121=$J121,IF($O121-$Q121=$L121,"T",IF($R121=T121,"W","L")),IF($R121=T121,"W","L"))</f>
        <v>W</v>
      </c>
    </row>
    <row r="122" spans="1:21" s="335" customFormat="1" ht="15.75" customHeight="1" x14ac:dyDescent="0.8">
      <c r="A122" s="325">
        <v>7</v>
      </c>
      <c r="B122" s="46" t="s">
        <v>225</v>
      </c>
      <c r="C122" s="326">
        <f t="shared" si="30"/>
        <v>44857</v>
      </c>
      <c r="D122" s="327">
        <f t="shared" si="31"/>
        <v>0.84375</v>
      </c>
      <c r="E122" s="46" t="s">
        <v>135</v>
      </c>
      <c r="F122" s="114" t="s">
        <v>335</v>
      </c>
      <c r="G122" s="46" t="s">
        <v>336</v>
      </c>
      <c r="H122" s="114" t="s">
        <v>330</v>
      </c>
      <c r="I122" s="46" t="s">
        <v>331</v>
      </c>
      <c r="J122" s="329" t="str">
        <f>H122</f>
        <v>New England</v>
      </c>
      <c r="K122" s="379" t="str">
        <f>F122</f>
        <v>Chicago</v>
      </c>
      <c r="L122" s="336">
        <v>6.5</v>
      </c>
      <c r="M122" s="339">
        <v>38.5</v>
      </c>
      <c r="N122" s="360" t="str">
        <f>K122</f>
        <v>Chicago</v>
      </c>
      <c r="O122" s="114">
        <v>33</v>
      </c>
      <c r="P122" s="328" t="str">
        <f>J122</f>
        <v>New England</v>
      </c>
      <c r="Q122" s="114">
        <v>14</v>
      </c>
      <c r="R122" s="364" t="str">
        <f>N122</f>
        <v>Chicago</v>
      </c>
      <c r="S122" s="364" t="str">
        <f>P122</f>
        <v>New England</v>
      </c>
      <c r="T122" s="114" t="str">
        <f>P122</f>
        <v>New England</v>
      </c>
      <c r="U122" s="349" t="s">
        <v>32</v>
      </c>
    </row>
    <row r="123" spans="1:21" s="335" customFormat="1" ht="15.75" customHeight="1" x14ac:dyDescent="0.8">
      <c r="A123" s="325">
        <f>+A122</f>
        <v>7</v>
      </c>
      <c r="B123" s="46"/>
      <c r="C123" s="326"/>
      <c r="D123" s="327"/>
      <c r="E123" s="78"/>
      <c r="F123" s="114" t="s">
        <v>409</v>
      </c>
      <c r="G123" s="46"/>
      <c r="H123" s="114"/>
      <c r="I123" s="46"/>
      <c r="J123" s="329"/>
      <c r="K123" s="379"/>
      <c r="L123" s="336"/>
      <c r="M123" s="339"/>
      <c r="N123" s="360"/>
      <c r="O123" s="114"/>
      <c r="P123" s="328"/>
      <c r="Q123" s="114"/>
      <c r="R123" s="494"/>
      <c r="S123" s="494"/>
      <c r="T123" s="114"/>
      <c r="U123" s="349"/>
    </row>
    <row r="124" spans="1:21" s="335" customFormat="1" ht="15.75" customHeight="1" x14ac:dyDescent="0.8">
      <c r="A124" s="325">
        <v>7</v>
      </c>
      <c r="B124" s="46"/>
      <c r="C124" s="326"/>
      <c r="D124" s="327"/>
      <c r="E124" s="46"/>
      <c r="F124" s="114" t="s">
        <v>67</v>
      </c>
      <c r="G124" s="46" t="s">
        <v>331</v>
      </c>
      <c r="H124" s="114"/>
      <c r="I124" s="46"/>
      <c r="J124" s="329"/>
      <c r="K124" s="379"/>
      <c r="L124" s="336"/>
      <c r="M124" s="339"/>
      <c r="N124" s="360"/>
      <c r="O124" s="114"/>
      <c r="P124" s="328"/>
      <c r="Q124" s="114"/>
      <c r="R124" s="494"/>
      <c r="S124" s="494"/>
      <c r="T124" s="114"/>
      <c r="U124" s="349"/>
    </row>
    <row r="125" spans="1:21" s="335" customFormat="1" ht="15.75" customHeight="1" x14ac:dyDescent="0.8">
      <c r="A125" s="325">
        <v>7</v>
      </c>
      <c r="B125" s="46"/>
      <c r="C125" s="326"/>
      <c r="D125" s="327"/>
      <c r="E125" s="46"/>
      <c r="F125" s="114" t="s">
        <v>349</v>
      </c>
      <c r="G125" s="46" t="s">
        <v>340</v>
      </c>
      <c r="H125" s="114"/>
      <c r="I125" s="46"/>
      <c r="J125" s="329"/>
      <c r="K125" s="379"/>
      <c r="L125" s="336"/>
      <c r="M125" s="339"/>
      <c r="N125" s="360"/>
      <c r="O125" s="114"/>
      <c r="P125" s="328"/>
      <c r="Q125" s="114"/>
      <c r="R125" s="494"/>
      <c r="S125" s="494"/>
      <c r="T125" s="114"/>
      <c r="U125" s="349"/>
    </row>
    <row r="126" spans="1:21" s="335" customFormat="1" ht="15.75" customHeight="1" x14ac:dyDescent="0.8">
      <c r="A126" s="325">
        <v>7</v>
      </c>
      <c r="B126" s="46"/>
      <c r="C126" s="326"/>
      <c r="D126" s="327"/>
      <c r="E126" s="46"/>
      <c r="F126" s="114" t="s">
        <v>69</v>
      </c>
      <c r="G126" s="46" t="s">
        <v>336</v>
      </c>
      <c r="H126" s="114"/>
      <c r="I126" s="46"/>
      <c r="J126" s="329"/>
      <c r="K126" s="379"/>
      <c r="L126" s="336"/>
      <c r="M126" s="339"/>
      <c r="N126" s="360"/>
      <c r="O126" s="114"/>
      <c r="P126" s="328"/>
      <c r="Q126" s="114"/>
      <c r="R126" s="494"/>
      <c r="S126" s="494"/>
      <c r="T126" s="114"/>
      <c r="U126" s="349"/>
    </row>
    <row r="127" spans="1:21" s="335" customFormat="1" ht="15.75" customHeight="1" x14ac:dyDescent="0.8">
      <c r="A127" s="325">
        <v>7</v>
      </c>
      <c r="B127" s="46"/>
      <c r="C127" s="326"/>
      <c r="D127" s="327"/>
      <c r="E127" s="46"/>
      <c r="F127" s="114" t="s">
        <v>346</v>
      </c>
      <c r="G127" s="46" t="s">
        <v>347</v>
      </c>
      <c r="H127" s="114"/>
      <c r="I127" s="46"/>
      <c r="J127" s="329"/>
      <c r="K127" s="379"/>
      <c r="L127" s="336"/>
      <c r="M127" s="339"/>
      <c r="N127" s="360"/>
      <c r="O127" s="114"/>
      <c r="P127" s="328"/>
      <c r="Q127" s="114"/>
      <c r="R127" s="494"/>
      <c r="S127" s="494"/>
      <c r="T127" s="114"/>
      <c r="U127" s="349"/>
    </row>
    <row r="128" spans="1:21" s="335" customFormat="1" ht="15.75" customHeight="1" x14ac:dyDescent="0.8">
      <c r="A128" s="325">
        <v>7</v>
      </c>
      <c r="B128" s="46"/>
      <c r="C128" s="326"/>
      <c r="D128" s="327"/>
      <c r="E128" s="46"/>
      <c r="F128" s="114"/>
      <c r="G128" s="46"/>
      <c r="H128" s="114"/>
      <c r="I128" s="46"/>
      <c r="J128" s="329"/>
      <c r="K128" s="379">
        <f t="shared" ref="K128:K143" si="34">IF(+J128=H128,F128,H128)</f>
        <v>0</v>
      </c>
      <c r="L128" s="336"/>
      <c r="M128" s="339"/>
      <c r="N128" s="360"/>
      <c r="O128" s="114"/>
      <c r="P128" s="328">
        <f t="shared" ref="P128:P143" si="35">IF(N128=F128,H128,F128)</f>
        <v>0</v>
      </c>
      <c r="Q128" s="114"/>
      <c r="R128" s="364">
        <f t="shared" ref="R128:R142" si="36">IF(+N128=K128,+N128,IF(+O128-Q128&lt;L128,+K128,+J128))</f>
        <v>0</v>
      </c>
      <c r="S128" s="364">
        <f t="shared" ref="S128:S142" si="37">IF(+R128=J128,+K128,+J128)</f>
        <v>0</v>
      </c>
      <c r="T128" s="114"/>
      <c r="U128" s="349" t="str">
        <f t="shared" ref="U128:U142" si="38">IF($N128=$J128,IF($O128-$Q128=$L128,"T",IF($R128=T128,"W","L")),IF($R128=T128,"W","L"))</f>
        <v>T</v>
      </c>
    </row>
    <row r="129" spans="1:21" s="335" customFormat="1" ht="15.75" customHeight="1" x14ac:dyDescent="0.8">
      <c r="A129" s="325">
        <v>8</v>
      </c>
      <c r="B129" s="46" t="s">
        <v>52</v>
      </c>
      <c r="C129" s="326">
        <f>+C109+7</f>
        <v>44861</v>
      </c>
      <c r="D129" s="327">
        <f>D109</f>
        <v>0.84375</v>
      </c>
      <c r="E129" s="46" t="s">
        <v>179</v>
      </c>
      <c r="F129" s="114" t="s">
        <v>337</v>
      </c>
      <c r="G129" s="46" t="s">
        <v>338</v>
      </c>
      <c r="H129" s="114" t="s">
        <v>344</v>
      </c>
      <c r="I129" s="46" t="s">
        <v>334</v>
      </c>
      <c r="J129" s="329" t="str">
        <f>F129</f>
        <v>Baltimore</v>
      </c>
      <c r="K129" s="379" t="str">
        <f t="shared" si="34"/>
        <v>Tampa Bay</v>
      </c>
      <c r="L129" s="336">
        <v>1.5</v>
      </c>
      <c r="M129" s="491">
        <v>45</v>
      </c>
      <c r="N129" s="879" t="str">
        <f>J129</f>
        <v>Baltimore</v>
      </c>
      <c r="O129" s="114">
        <v>27</v>
      </c>
      <c r="P129" s="114" t="str">
        <f t="shared" si="35"/>
        <v>Tampa Bay</v>
      </c>
      <c r="Q129" s="114">
        <v>22</v>
      </c>
      <c r="R129" s="364" t="str">
        <f t="shared" si="36"/>
        <v>Baltimore</v>
      </c>
      <c r="S129" s="364" t="str">
        <f t="shared" si="37"/>
        <v>Tampa Bay</v>
      </c>
      <c r="T129" s="114" t="str">
        <f>J129</f>
        <v>Baltimore</v>
      </c>
      <c r="U129" s="349" t="str">
        <f t="shared" si="38"/>
        <v>W</v>
      </c>
    </row>
    <row r="130" spans="1:21" s="335" customFormat="1" ht="15.75" customHeight="1" x14ac:dyDescent="0.8">
      <c r="A130" s="325">
        <v>8</v>
      </c>
      <c r="B130" s="46" t="s">
        <v>220</v>
      </c>
      <c r="C130" s="326">
        <f t="shared" ref="C130:C142" si="39">+C110+7</f>
        <v>44861</v>
      </c>
      <c r="D130" s="327">
        <f>9.5/24</f>
        <v>0.39583333333333331</v>
      </c>
      <c r="E130" s="78" t="s">
        <v>303</v>
      </c>
      <c r="F130" s="114" t="s">
        <v>358</v>
      </c>
      <c r="G130" s="46" t="s">
        <v>329</v>
      </c>
      <c r="H130" s="114" t="s">
        <v>342</v>
      </c>
      <c r="I130" s="46" t="s">
        <v>343</v>
      </c>
      <c r="J130" s="329" t="str">
        <f>H130</f>
        <v>Jacksonville</v>
      </c>
      <c r="K130" s="379" t="str">
        <f t="shared" si="34"/>
        <v>Denver</v>
      </c>
      <c r="L130" s="336">
        <v>3</v>
      </c>
      <c r="M130" s="339">
        <v>39.5</v>
      </c>
      <c r="N130" s="879" t="str">
        <f>K130</f>
        <v>Denver</v>
      </c>
      <c r="O130" s="114">
        <v>21</v>
      </c>
      <c r="P130" s="114" t="str">
        <f t="shared" si="35"/>
        <v>Jacksonville</v>
      </c>
      <c r="Q130" s="114">
        <v>17</v>
      </c>
      <c r="R130" s="364" t="str">
        <f t="shared" si="36"/>
        <v>Denver</v>
      </c>
      <c r="S130" s="364" t="str">
        <f t="shared" si="37"/>
        <v>Jacksonville</v>
      </c>
      <c r="T130" s="114" t="str">
        <f t="shared" ref="T130:T143" si="40">J130</f>
        <v>Jacksonville</v>
      </c>
      <c r="U130" s="349" t="str">
        <f t="shared" si="38"/>
        <v>L</v>
      </c>
    </row>
    <row r="131" spans="1:21" s="335" customFormat="1" ht="15.75" customHeight="1" x14ac:dyDescent="0.8">
      <c r="A131" s="325">
        <v>8</v>
      </c>
      <c r="B131" s="46" t="s">
        <v>220</v>
      </c>
      <c r="C131" s="326">
        <f t="shared" si="39"/>
        <v>44864</v>
      </c>
      <c r="D131" s="327">
        <f t="shared" ref="D131:D142" si="41">D111</f>
        <v>0.54166666666666663</v>
      </c>
      <c r="E131" s="78" t="s">
        <v>118</v>
      </c>
      <c r="F131" s="114" t="s">
        <v>352</v>
      </c>
      <c r="G131" s="46" t="s">
        <v>334</v>
      </c>
      <c r="H131" s="114" t="s">
        <v>333</v>
      </c>
      <c r="I131" s="46" t="s">
        <v>334</v>
      </c>
      <c r="J131" s="329" t="str">
        <f>H131</f>
        <v>Atlanta</v>
      </c>
      <c r="K131" s="379" t="str">
        <f t="shared" si="34"/>
        <v>Carolina</v>
      </c>
      <c r="L131" s="336">
        <v>4.5</v>
      </c>
      <c r="M131" s="339">
        <v>42</v>
      </c>
      <c r="N131" s="879" t="str">
        <f>J131</f>
        <v>Atlanta</v>
      </c>
      <c r="O131" s="114">
        <v>37</v>
      </c>
      <c r="P131" s="114" t="str">
        <f t="shared" si="35"/>
        <v>Carolina</v>
      </c>
      <c r="Q131" s="114">
        <v>34</v>
      </c>
      <c r="R131" s="364" t="str">
        <f t="shared" si="36"/>
        <v>Carolina</v>
      </c>
      <c r="S131" s="364" t="str">
        <f t="shared" si="37"/>
        <v>Atlanta</v>
      </c>
      <c r="T131" s="114" t="str">
        <f t="shared" si="40"/>
        <v>Atlanta</v>
      </c>
      <c r="U131" s="349" t="str">
        <f t="shared" si="38"/>
        <v>L</v>
      </c>
    </row>
    <row r="132" spans="1:21" s="335" customFormat="1" ht="15.75" customHeight="1" x14ac:dyDescent="0.8">
      <c r="A132" s="325">
        <v>8</v>
      </c>
      <c r="B132" s="46" t="s">
        <v>220</v>
      </c>
      <c r="C132" s="326">
        <f t="shared" si="39"/>
        <v>44864</v>
      </c>
      <c r="D132" s="327">
        <f t="shared" si="41"/>
        <v>0.54166666666666663</v>
      </c>
      <c r="E132" s="78" t="s">
        <v>118</v>
      </c>
      <c r="F132" s="114" t="s">
        <v>335</v>
      </c>
      <c r="G132" s="46" t="s">
        <v>336</v>
      </c>
      <c r="H132" s="114" t="s">
        <v>355</v>
      </c>
      <c r="I132" s="46" t="s">
        <v>347</v>
      </c>
      <c r="J132" s="329" t="str">
        <f>H132</f>
        <v>Dallas</v>
      </c>
      <c r="K132" s="379" t="str">
        <f t="shared" si="34"/>
        <v>Chicago</v>
      </c>
      <c r="L132" s="336">
        <v>9.5</v>
      </c>
      <c r="M132" s="339">
        <v>43</v>
      </c>
      <c r="N132" s="879" t="str">
        <f>J132</f>
        <v>Dallas</v>
      </c>
      <c r="O132" s="114">
        <v>49</v>
      </c>
      <c r="P132" s="114" t="str">
        <f t="shared" si="35"/>
        <v>Chicago</v>
      </c>
      <c r="Q132" s="114">
        <v>29</v>
      </c>
      <c r="R132" s="364" t="str">
        <f t="shared" si="36"/>
        <v>Dallas</v>
      </c>
      <c r="S132" s="364" t="str">
        <f t="shared" si="37"/>
        <v>Chicago</v>
      </c>
      <c r="T132" s="114" t="str">
        <f t="shared" si="40"/>
        <v>Dallas</v>
      </c>
      <c r="U132" s="349" t="str">
        <f t="shared" si="38"/>
        <v>W</v>
      </c>
    </row>
    <row r="133" spans="1:21" s="335" customFormat="1" ht="15.75" customHeight="1" x14ac:dyDescent="0.8">
      <c r="A133" s="325">
        <v>8</v>
      </c>
      <c r="B133" s="46" t="s">
        <v>220</v>
      </c>
      <c r="C133" s="326">
        <f t="shared" si="39"/>
        <v>44864</v>
      </c>
      <c r="D133" s="327">
        <f t="shared" si="41"/>
        <v>0.54166666666666663</v>
      </c>
      <c r="E133" s="78" t="s">
        <v>303</v>
      </c>
      <c r="F133" s="114" t="s">
        <v>345</v>
      </c>
      <c r="G133" s="46" t="s">
        <v>331</v>
      </c>
      <c r="H133" s="114" t="s">
        <v>341</v>
      </c>
      <c r="I133" s="46" t="s">
        <v>336</v>
      </c>
      <c r="J133" s="329" t="str">
        <f>F133</f>
        <v>Miami</v>
      </c>
      <c r="K133" s="379" t="str">
        <f t="shared" si="34"/>
        <v>Detroit</v>
      </c>
      <c r="L133" s="336">
        <v>3</v>
      </c>
      <c r="M133" s="339">
        <v>50.5</v>
      </c>
      <c r="N133" s="879" t="str">
        <f>J133</f>
        <v>Miami</v>
      </c>
      <c r="O133" s="114">
        <v>31</v>
      </c>
      <c r="P133" s="114" t="str">
        <f t="shared" si="35"/>
        <v>Detroit</v>
      </c>
      <c r="Q133" s="114">
        <v>27</v>
      </c>
      <c r="R133" s="364" t="str">
        <f t="shared" si="36"/>
        <v>Miami</v>
      </c>
      <c r="S133" s="364" t="str">
        <f t="shared" si="37"/>
        <v>Detroit</v>
      </c>
      <c r="T133" s="114" t="str">
        <f t="shared" si="40"/>
        <v>Miami</v>
      </c>
      <c r="U133" s="349" t="str">
        <f t="shared" si="38"/>
        <v>W</v>
      </c>
    </row>
    <row r="134" spans="1:21" s="335" customFormat="1" ht="15.75" customHeight="1" x14ac:dyDescent="0.8">
      <c r="A134" s="325">
        <v>8</v>
      </c>
      <c r="B134" s="46" t="s">
        <v>220</v>
      </c>
      <c r="C134" s="326">
        <f t="shared" si="39"/>
        <v>44864</v>
      </c>
      <c r="D134" s="327">
        <f t="shared" si="41"/>
        <v>0.54166666666666663</v>
      </c>
      <c r="E134" s="78" t="s">
        <v>118</v>
      </c>
      <c r="F134" s="114" t="s">
        <v>198</v>
      </c>
      <c r="G134" s="46" t="s">
        <v>340</v>
      </c>
      <c r="H134" s="114" t="s">
        <v>69</v>
      </c>
      <c r="I134" s="46" t="s">
        <v>336</v>
      </c>
      <c r="J134" s="329" t="str">
        <f>H134</f>
        <v>Minnesota</v>
      </c>
      <c r="K134" s="379" t="str">
        <f t="shared" si="34"/>
        <v>Arizona</v>
      </c>
      <c r="L134" s="336">
        <v>3.5</v>
      </c>
      <c r="M134" s="339">
        <v>49</v>
      </c>
      <c r="N134" s="879" t="str">
        <f>J134</f>
        <v>Minnesota</v>
      </c>
      <c r="O134" s="114">
        <v>36</v>
      </c>
      <c r="P134" s="114" t="str">
        <f t="shared" si="35"/>
        <v>Arizona</v>
      </c>
      <c r="Q134" s="114">
        <v>24</v>
      </c>
      <c r="R134" s="364" t="str">
        <f t="shared" si="36"/>
        <v>Minnesota</v>
      </c>
      <c r="S134" s="364" t="str">
        <f t="shared" si="37"/>
        <v>Arizona</v>
      </c>
      <c r="T134" s="114" t="str">
        <f t="shared" si="40"/>
        <v>Minnesota</v>
      </c>
      <c r="U134" s="349" t="str">
        <f t="shared" si="38"/>
        <v>W</v>
      </c>
    </row>
    <row r="135" spans="1:21" s="335" customFormat="1" ht="15.75" customHeight="1" x14ac:dyDescent="0.8">
      <c r="A135" s="325">
        <v>8</v>
      </c>
      <c r="B135" s="46" t="s">
        <v>220</v>
      </c>
      <c r="C135" s="326">
        <f t="shared" si="39"/>
        <v>44864</v>
      </c>
      <c r="D135" s="327">
        <f t="shared" si="41"/>
        <v>0.54166666666666663</v>
      </c>
      <c r="E135" s="78" t="s">
        <v>303</v>
      </c>
      <c r="F135" s="114" t="s">
        <v>295</v>
      </c>
      <c r="G135" s="46" t="s">
        <v>329</v>
      </c>
      <c r="H135" s="114" t="s">
        <v>356</v>
      </c>
      <c r="I135" s="46" t="s">
        <v>334</v>
      </c>
      <c r="J135" s="329" t="str">
        <f>F135</f>
        <v>Las Vegas</v>
      </c>
      <c r="K135" s="379" t="str">
        <f t="shared" si="34"/>
        <v>New Orleans</v>
      </c>
      <c r="L135" s="336">
        <v>2</v>
      </c>
      <c r="M135" s="339">
        <v>48.5</v>
      </c>
      <c r="N135" s="879" t="str">
        <f>K135</f>
        <v>New Orleans</v>
      </c>
      <c r="O135" s="114">
        <v>24</v>
      </c>
      <c r="P135" s="114" t="str">
        <f t="shared" si="35"/>
        <v>Las Vegas</v>
      </c>
      <c r="Q135" s="114">
        <v>0</v>
      </c>
      <c r="R135" s="364" t="str">
        <f t="shared" si="36"/>
        <v>New Orleans</v>
      </c>
      <c r="S135" s="364" t="str">
        <f t="shared" si="37"/>
        <v>Las Vegas</v>
      </c>
      <c r="T135" s="114" t="str">
        <f t="shared" si="40"/>
        <v>Las Vegas</v>
      </c>
      <c r="U135" s="349" t="str">
        <f t="shared" si="38"/>
        <v>L</v>
      </c>
    </row>
    <row r="136" spans="1:21" s="335" customFormat="1" ht="15.75" customHeight="1" x14ac:dyDescent="0.8">
      <c r="A136" s="325">
        <v>8</v>
      </c>
      <c r="B136" s="46" t="s">
        <v>220</v>
      </c>
      <c r="C136" s="326">
        <f t="shared" si="39"/>
        <v>44864</v>
      </c>
      <c r="D136" s="327">
        <f t="shared" si="41"/>
        <v>0.54166666666666663</v>
      </c>
      <c r="E136" s="78" t="s">
        <v>303</v>
      </c>
      <c r="F136" s="114" t="s">
        <v>330</v>
      </c>
      <c r="G136" s="46" t="s">
        <v>331</v>
      </c>
      <c r="H136" s="114" t="s">
        <v>332</v>
      </c>
      <c r="I136" s="46" t="s">
        <v>331</v>
      </c>
      <c r="J136" s="329" t="str">
        <f>F136</f>
        <v>New England</v>
      </c>
      <c r="K136" s="379" t="str">
        <f t="shared" si="34"/>
        <v>NY Jets</v>
      </c>
      <c r="L136" s="336">
        <v>1.5</v>
      </c>
      <c r="M136" s="339">
        <v>41</v>
      </c>
      <c r="N136" s="879" t="str">
        <f>J136</f>
        <v>New England</v>
      </c>
      <c r="O136" s="114">
        <v>22</v>
      </c>
      <c r="P136" s="114" t="str">
        <f t="shared" si="35"/>
        <v>NY Jets</v>
      </c>
      <c r="Q136" s="114">
        <v>17</v>
      </c>
      <c r="R136" s="364" t="str">
        <f t="shared" si="36"/>
        <v>New England</v>
      </c>
      <c r="S136" s="364" t="str">
        <f t="shared" si="37"/>
        <v>NY Jets</v>
      </c>
      <c r="T136" s="114" t="str">
        <f t="shared" si="40"/>
        <v>New England</v>
      </c>
      <c r="U136" s="349" t="str">
        <f t="shared" si="38"/>
        <v>W</v>
      </c>
    </row>
    <row r="137" spans="1:21" s="335" customFormat="1" ht="15.75" customHeight="1" x14ac:dyDescent="0.8">
      <c r="A137" s="325">
        <v>8</v>
      </c>
      <c r="B137" s="46" t="s">
        <v>220</v>
      </c>
      <c r="C137" s="326">
        <f t="shared" si="39"/>
        <v>44864</v>
      </c>
      <c r="D137" s="327">
        <f t="shared" si="41"/>
        <v>0.54166666666666663</v>
      </c>
      <c r="E137" s="78" t="s">
        <v>303</v>
      </c>
      <c r="F137" s="114" t="s">
        <v>128</v>
      </c>
      <c r="G137" s="46" t="s">
        <v>338</v>
      </c>
      <c r="H137" s="114" t="s">
        <v>346</v>
      </c>
      <c r="I137" s="46" t="s">
        <v>347</v>
      </c>
      <c r="J137" s="329" t="str">
        <f>H137</f>
        <v>Philadelphia</v>
      </c>
      <c r="K137" s="379" t="str">
        <f t="shared" si="34"/>
        <v>Pittsburgh</v>
      </c>
      <c r="L137" s="336">
        <v>10.5</v>
      </c>
      <c r="M137" s="339">
        <v>43.5</v>
      </c>
      <c r="N137" s="879" t="str">
        <f>J137</f>
        <v>Philadelphia</v>
      </c>
      <c r="O137" s="114">
        <v>35</v>
      </c>
      <c r="P137" s="114" t="str">
        <f t="shared" si="35"/>
        <v>Pittsburgh</v>
      </c>
      <c r="Q137" s="114">
        <v>13</v>
      </c>
      <c r="R137" s="364" t="str">
        <f t="shared" si="36"/>
        <v>Philadelphia</v>
      </c>
      <c r="S137" s="364" t="str">
        <f t="shared" si="37"/>
        <v>Pittsburgh</v>
      </c>
      <c r="T137" s="114" t="str">
        <f t="shared" si="40"/>
        <v>Philadelphia</v>
      </c>
      <c r="U137" s="349" t="str">
        <f t="shared" si="38"/>
        <v>W</v>
      </c>
    </row>
    <row r="138" spans="1:21" s="335" customFormat="1" ht="15.75" customHeight="1" x14ac:dyDescent="0.8">
      <c r="A138" s="325">
        <v>8</v>
      </c>
      <c r="B138" s="46" t="s">
        <v>220</v>
      </c>
      <c r="C138" s="326">
        <f t="shared" si="39"/>
        <v>44864</v>
      </c>
      <c r="D138" s="327">
        <f t="shared" si="41"/>
        <v>0.66666666666666663</v>
      </c>
      <c r="E138" s="78" t="s">
        <v>303</v>
      </c>
      <c r="F138" s="114" t="s">
        <v>226</v>
      </c>
      <c r="G138" s="46" t="s">
        <v>343</v>
      </c>
      <c r="H138" s="114" t="s">
        <v>174</v>
      </c>
      <c r="I138" s="46" t="s">
        <v>343</v>
      </c>
      <c r="J138" s="329" t="str">
        <f>F138</f>
        <v>Tennessee</v>
      </c>
      <c r="K138" s="379" t="str">
        <f t="shared" si="34"/>
        <v>Houston</v>
      </c>
      <c r="L138" s="336">
        <v>2</v>
      </c>
      <c r="M138" s="339">
        <v>40.5</v>
      </c>
      <c r="N138" s="879" t="str">
        <f>J138</f>
        <v>Tennessee</v>
      </c>
      <c r="O138" s="114">
        <v>17</v>
      </c>
      <c r="P138" s="114" t="str">
        <f t="shared" si="35"/>
        <v>Houston</v>
      </c>
      <c r="Q138" s="114">
        <v>10</v>
      </c>
      <c r="R138" s="364" t="str">
        <f t="shared" si="36"/>
        <v>Tennessee</v>
      </c>
      <c r="S138" s="364" t="str">
        <f t="shared" si="37"/>
        <v>Houston</v>
      </c>
      <c r="T138" s="114" t="str">
        <f t="shared" si="40"/>
        <v>Tennessee</v>
      </c>
      <c r="U138" s="349" t="str">
        <f t="shared" si="38"/>
        <v>W</v>
      </c>
    </row>
    <row r="139" spans="1:21" s="335" customFormat="1" ht="15.75" customHeight="1" x14ac:dyDescent="0.8">
      <c r="A139" s="325">
        <v>8</v>
      </c>
      <c r="B139" s="46" t="s">
        <v>220</v>
      </c>
      <c r="C139" s="326">
        <f t="shared" si="39"/>
        <v>44864</v>
      </c>
      <c r="D139" s="327">
        <f t="shared" si="41"/>
        <v>0.66666666666666663</v>
      </c>
      <c r="E139" s="78" t="s">
        <v>118</v>
      </c>
      <c r="F139" s="114" t="s">
        <v>91</v>
      </c>
      <c r="G139" s="46" t="s">
        <v>347</v>
      </c>
      <c r="H139" s="114" t="s">
        <v>348</v>
      </c>
      <c r="I139" s="46" t="s">
        <v>343</v>
      </c>
      <c r="J139" s="329" t="str">
        <f>H139</f>
        <v>Indianapolis</v>
      </c>
      <c r="K139" s="379" t="str">
        <f t="shared" si="34"/>
        <v>Washington</v>
      </c>
      <c r="L139" s="336">
        <v>3</v>
      </c>
      <c r="M139" s="339">
        <v>40</v>
      </c>
      <c r="N139" s="879" t="str">
        <f>K139</f>
        <v>Washington</v>
      </c>
      <c r="O139" s="114">
        <v>17</v>
      </c>
      <c r="P139" s="114" t="str">
        <f t="shared" si="35"/>
        <v>Indianapolis</v>
      </c>
      <c r="Q139" s="114">
        <v>16</v>
      </c>
      <c r="R139" s="364" t="str">
        <f t="shared" si="36"/>
        <v>Washington</v>
      </c>
      <c r="S139" s="364" t="str">
        <f t="shared" si="37"/>
        <v>Indianapolis</v>
      </c>
      <c r="T139" s="114" t="str">
        <f t="shared" si="40"/>
        <v>Indianapolis</v>
      </c>
      <c r="U139" s="349" t="str">
        <f t="shared" si="38"/>
        <v>L</v>
      </c>
    </row>
    <row r="140" spans="1:21" s="335" customFormat="1" ht="15.75" customHeight="1" x14ac:dyDescent="0.8">
      <c r="A140" s="325">
        <v>8</v>
      </c>
      <c r="B140" s="46" t="s">
        <v>220</v>
      </c>
      <c r="C140" s="326">
        <f t="shared" si="39"/>
        <v>44864</v>
      </c>
      <c r="D140" s="327">
        <f t="shared" si="41"/>
        <v>0.66666666666666663</v>
      </c>
      <c r="E140" s="78" t="s">
        <v>118</v>
      </c>
      <c r="F140" s="114" t="s">
        <v>353</v>
      </c>
      <c r="G140" s="46" t="s">
        <v>340</v>
      </c>
      <c r="H140" s="114" t="s">
        <v>349</v>
      </c>
      <c r="I140" s="46" t="s">
        <v>340</v>
      </c>
      <c r="J140" s="329" t="str">
        <f>F140</f>
        <v>San Francisco</v>
      </c>
      <c r="K140" s="379" t="str">
        <f t="shared" si="34"/>
        <v>LA Rams</v>
      </c>
      <c r="L140" s="336">
        <v>1.5</v>
      </c>
      <c r="M140" s="339">
        <v>42</v>
      </c>
      <c r="N140" s="879" t="str">
        <f>J140</f>
        <v>San Francisco</v>
      </c>
      <c r="O140" s="114">
        <v>31</v>
      </c>
      <c r="P140" s="114" t="str">
        <f t="shared" si="35"/>
        <v>LA Rams</v>
      </c>
      <c r="Q140" s="114">
        <v>14</v>
      </c>
      <c r="R140" s="364" t="str">
        <f t="shared" si="36"/>
        <v>San Francisco</v>
      </c>
      <c r="S140" s="364" t="str">
        <f t="shared" si="37"/>
        <v>LA Rams</v>
      </c>
      <c r="T140" s="114" t="str">
        <f t="shared" si="40"/>
        <v>San Francisco</v>
      </c>
      <c r="U140" s="349" t="str">
        <f t="shared" si="38"/>
        <v>W</v>
      </c>
    </row>
    <row r="141" spans="1:21" s="335" customFormat="1" ht="15.75" customHeight="1" x14ac:dyDescent="0.8">
      <c r="A141" s="325">
        <v>8</v>
      </c>
      <c r="B141" s="46" t="s">
        <v>220</v>
      </c>
      <c r="C141" s="326">
        <f t="shared" si="39"/>
        <v>44864</v>
      </c>
      <c r="D141" s="327">
        <f>D140</f>
        <v>0.66666666666666663</v>
      </c>
      <c r="E141" s="78" t="s">
        <v>118</v>
      </c>
      <c r="F141" s="114" t="s">
        <v>354</v>
      </c>
      <c r="G141" s="46" t="s">
        <v>347</v>
      </c>
      <c r="H141" s="114" t="s">
        <v>350</v>
      </c>
      <c r="I141" s="46" t="s">
        <v>340</v>
      </c>
      <c r="J141" s="329" t="str">
        <f>H141</f>
        <v>Seattle</v>
      </c>
      <c r="K141" s="379" t="str">
        <f t="shared" si="34"/>
        <v>NY Giants</v>
      </c>
      <c r="L141" s="336">
        <v>3</v>
      </c>
      <c r="M141" s="339">
        <v>44.5</v>
      </c>
      <c r="N141" s="879" t="str">
        <f>J141</f>
        <v>Seattle</v>
      </c>
      <c r="O141" s="114">
        <v>27</v>
      </c>
      <c r="P141" s="114" t="str">
        <f t="shared" si="35"/>
        <v>NY Giants</v>
      </c>
      <c r="Q141" s="114">
        <v>13</v>
      </c>
      <c r="R141" s="364" t="str">
        <f t="shared" si="36"/>
        <v>Seattle</v>
      </c>
      <c r="S141" s="364" t="str">
        <f t="shared" si="37"/>
        <v>NY Giants</v>
      </c>
      <c r="T141" s="114" t="str">
        <f t="shared" si="40"/>
        <v>Seattle</v>
      </c>
      <c r="U141" s="349" t="str">
        <f t="shared" si="38"/>
        <v>W</v>
      </c>
    </row>
    <row r="142" spans="1:21" s="335" customFormat="1" ht="15.75" customHeight="1" x14ac:dyDescent="0.8">
      <c r="A142" s="325">
        <v>8</v>
      </c>
      <c r="B142" s="46" t="s">
        <v>220</v>
      </c>
      <c r="C142" s="326">
        <f t="shared" si="39"/>
        <v>44864</v>
      </c>
      <c r="D142" s="327">
        <f t="shared" si="41"/>
        <v>0.84375</v>
      </c>
      <c r="E142" s="78" t="s">
        <v>179</v>
      </c>
      <c r="F142" s="114" t="s">
        <v>351</v>
      </c>
      <c r="G142" s="46" t="s">
        <v>336</v>
      </c>
      <c r="H142" s="114" t="s">
        <v>67</v>
      </c>
      <c r="I142" s="46" t="s">
        <v>331</v>
      </c>
      <c r="J142" s="329" t="str">
        <f>H142</f>
        <v>Buffalo</v>
      </c>
      <c r="K142" s="379" t="str">
        <f t="shared" si="34"/>
        <v>Green Bay</v>
      </c>
      <c r="L142" s="336">
        <v>10.5</v>
      </c>
      <c r="M142" s="339">
        <v>47</v>
      </c>
      <c r="N142" s="879" t="str">
        <f>J142</f>
        <v>Buffalo</v>
      </c>
      <c r="O142" s="114">
        <v>27</v>
      </c>
      <c r="P142" s="114" t="str">
        <f t="shared" si="35"/>
        <v>Green Bay</v>
      </c>
      <c r="Q142" s="114">
        <v>17</v>
      </c>
      <c r="R142" s="364" t="str">
        <f t="shared" si="36"/>
        <v>Green Bay</v>
      </c>
      <c r="S142" s="364" t="str">
        <f t="shared" si="37"/>
        <v>Buffalo</v>
      </c>
      <c r="T142" s="114" t="str">
        <f t="shared" si="40"/>
        <v>Buffalo</v>
      </c>
      <c r="U142" s="349" t="str">
        <f t="shared" si="38"/>
        <v>L</v>
      </c>
    </row>
    <row r="143" spans="1:21" s="335" customFormat="1" ht="15.75" customHeight="1" x14ac:dyDescent="0.8">
      <c r="A143" s="325">
        <v>8</v>
      </c>
      <c r="B143" s="46" t="s">
        <v>225</v>
      </c>
      <c r="C143" s="326">
        <f>+C142+1</f>
        <v>44865</v>
      </c>
      <c r="D143" s="327">
        <f>+D142</f>
        <v>0.84375</v>
      </c>
      <c r="E143" s="46" t="s">
        <v>135</v>
      </c>
      <c r="F143" s="114" t="s">
        <v>55</v>
      </c>
      <c r="G143" s="46" t="s">
        <v>338</v>
      </c>
      <c r="H143" s="114" t="s">
        <v>339</v>
      </c>
      <c r="I143" s="46" t="s">
        <v>338</v>
      </c>
      <c r="J143" s="329" t="str">
        <f>F143</f>
        <v>Cincinnati</v>
      </c>
      <c r="K143" s="379" t="str">
        <f t="shared" si="34"/>
        <v>Cleveland</v>
      </c>
      <c r="L143" s="336">
        <v>3</v>
      </c>
      <c r="M143" s="339">
        <v>47.5</v>
      </c>
      <c r="N143" s="879" t="str">
        <f>K143</f>
        <v>Cleveland</v>
      </c>
      <c r="O143" s="114">
        <v>32</v>
      </c>
      <c r="P143" s="114" t="str">
        <f t="shared" si="35"/>
        <v>Cincinnati</v>
      </c>
      <c r="Q143" s="114">
        <v>13</v>
      </c>
      <c r="R143" s="364" t="str">
        <f t="shared" ref="R143:R157" si="42">IF(+N143=K143,+N143,IF(+O143-Q143&lt;L143,+K143,+J143))</f>
        <v>Cleveland</v>
      </c>
      <c r="S143" s="364" t="str">
        <f t="shared" ref="S143:S160" si="43">IF(+R143=J143,+K143,+J143)</f>
        <v>Cincinnati</v>
      </c>
      <c r="T143" s="114" t="str">
        <f t="shared" si="40"/>
        <v>Cincinnati</v>
      </c>
      <c r="U143" s="349" t="str">
        <f t="shared" ref="U143:U160" si="44">IF($N143=$J143,IF($O143-$Q143=$L143,"T",IF($R143=T143,"W","L")),IF($R143=T143,"W","L"))</f>
        <v>L</v>
      </c>
    </row>
    <row r="144" spans="1:21" s="335" customFormat="1" ht="15.75" customHeight="1" x14ac:dyDescent="0.8">
      <c r="A144" s="325">
        <f>+A143</f>
        <v>8</v>
      </c>
      <c r="B144" s="46"/>
      <c r="C144" s="326"/>
      <c r="D144" s="327"/>
      <c r="E144" s="78"/>
      <c r="F144" s="114" t="s">
        <v>409</v>
      </c>
      <c r="G144" s="46"/>
      <c r="H144" s="114"/>
      <c r="I144" s="46"/>
      <c r="J144" s="329"/>
      <c r="K144" s="379"/>
      <c r="L144" s="336"/>
      <c r="M144" s="339"/>
      <c r="N144" s="879"/>
      <c r="O144" s="114"/>
      <c r="P144" s="114"/>
      <c r="Q144" s="114"/>
      <c r="R144" s="494"/>
      <c r="S144" s="494"/>
      <c r="T144" s="114"/>
      <c r="U144" s="349"/>
    </row>
    <row r="145" spans="1:21" s="335" customFormat="1" ht="15.75" customHeight="1" x14ac:dyDescent="0.8">
      <c r="A145" s="325">
        <v>8</v>
      </c>
      <c r="B145" s="46"/>
      <c r="C145" s="326"/>
      <c r="D145" s="327"/>
      <c r="E145" s="46"/>
      <c r="F145" s="114" t="s">
        <v>328</v>
      </c>
      <c r="G145" s="46" t="s">
        <v>329</v>
      </c>
      <c r="H145" s="114"/>
      <c r="I145" s="46"/>
      <c r="J145" s="329"/>
      <c r="K145" s="379"/>
      <c r="L145" s="336"/>
      <c r="M145" s="339"/>
      <c r="N145" s="879"/>
      <c r="O145" s="114"/>
      <c r="P145" s="114"/>
      <c r="Q145" s="114"/>
      <c r="R145" s="494"/>
      <c r="S145" s="494"/>
      <c r="T145" s="114"/>
      <c r="U145" s="349"/>
    </row>
    <row r="146" spans="1:21" s="335" customFormat="1" ht="15.75" customHeight="1" x14ac:dyDescent="0.8">
      <c r="A146" s="325">
        <v>8</v>
      </c>
      <c r="B146" s="46"/>
      <c r="C146" s="326"/>
      <c r="D146" s="327"/>
      <c r="E146" s="46"/>
      <c r="F146" s="114" t="s">
        <v>357</v>
      </c>
      <c r="G146" s="46" t="s">
        <v>329</v>
      </c>
      <c r="H146" s="114"/>
      <c r="I146" s="46"/>
      <c r="J146" s="329"/>
      <c r="K146" s="379"/>
      <c r="L146" s="336"/>
      <c r="M146" s="339"/>
      <c r="N146" s="879"/>
      <c r="O146" s="114"/>
      <c r="P146" s="114"/>
      <c r="Q146" s="114"/>
      <c r="R146" s="494"/>
      <c r="S146" s="494"/>
      <c r="T146" s="114"/>
      <c r="U146" s="349"/>
    </row>
    <row r="147" spans="1:21" s="335" customFormat="1" ht="15.75" customHeight="1" x14ac:dyDescent="0.8">
      <c r="A147" s="325"/>
      <c r="B147" s="46"/>
      <c r="C147" s="326"/>
      <c r="D147" s="327"/>
      <c r="E147" s="46"/>
      <c r="F147" s="114"/>
      <c r="G147" s="46"/>
      <c r="H147" s="114"/>
      <c r="I147" s="46"/>
      <c r="J147" s="329"/>
      <c r="K147" s="379"/>
      <c r="L147" s="336"/>
      <c r="M147" s="339"/>
      <c r="N147" s="360"/>
      <c r="O147" s="114"/>
      <c r="P147" s="328"/>
      <c r="Q147" s="114"/>
      <c r="R147" s="364"/>
      <c r="S147" s="364"/>
      <c r="T147" s="114"/>
      <c r="U147" s="349"/>
    </row>
    <row r="148" spans="1:21" s="335" customFormat="1" ht="15.75" customHeight="1" x14ac:dyDescent="0.8">
      <c r="A148" s="325">
        <v>9</v>
      </c>
      <c r="B148" s="46" t="s">
        <v>52</v>
      </c>
      <c r="C148" s="326">
        <f>+C129+7</f>
        <v>44868</v>
      </c>
      <c r="D148" s="327">
        <f>D129</f>
        <v>0.84375</v>
      </c>
      <c r="E148" s="46" t="s">
        <v>179</v>
      </c>
      <c r="F148" s="114" t="s">
        <v>346</v>
      </c>
      <c r="G148" s="46" t="s">
        <v>347</v>
      </c>
      <c r="H148" s="114" t="s">
        <v>174</v>
      </c>
      <c r="I148" s="46" t="s">
        <v>343</v>
      </c>
      <c r="J148" s="329" t="str">
        <f>F148</f>
        <v>Philadelphia</v>
      </c>
      <c r="K148" s="379" t="str">
        <f t="shared" ref="K148:K160" si="45">IF(+J148=H148,F148,H148)</f>
        <v>Houston</v>
      </c>
      <c r="L148" s="336">
        <v>14</v>
      </c>
      <c r="M148" s="339">
        <v>45</v>
      </c>
      <c r="N148" s="879" t="str">
        <f>J148</f>
        <v>Philadelphia</v>
      </c>
      <c r="O148" s="114">
        <v>29</v>
      </c>
      <c r="P148" s="114" t="str">
        <f t="shared" ref="P148:P157" si="46">IF(N148=F148,H148,F148)</f>
        <v>Houston</v>
      </c>
      <c r="Q148" s="114">
        <v>17</v>
      </c>
      <c r="R148" s="364" t="str">
        <f t="shared" si="42"/>
        <v>Houston</v>
      </c>
      <c r="S148" s="364" t="str">
        <f t="shared" si="43"/>
        <v>Philadelphia</v>
      </c>
      <c r="T148" s="114" t="str">
        <f>J148</f>
        <v>Philadelphia</v>
      </c>
      <c r="U148" s="349" t="str">
        <f t="shared" si="44"/>
        <v>L</v>
      </c>
    </row>
    <row r="149" spans="1:21" s="335" customFormat="1" ht="15.75" customHeight="1" x14ac:dyDescent="0.8">
      <c r="A149" s="325">
        <v>9</v>
      </c>
      <c r="B149" s="46" t="s">
        <v>220</v>
      </c>
      <c r="C149" s="326">
        <f>+C148+3</f>
        <v>44871</v>
      </c>
      <c r="D149" s="327">
        <f>D130</f>
        <v>0.39583333333333331</v>
      </c>
      <c r="E149" s="78" t="s">
        <v>303</v>
      </c>
      <c r="F149" s="114" t="s">
        <v>357</v>
      </c>
      <c r="G149" s="46" t="s">
        <v>329</v>
      </c>
      <c r="H149" s="114" t="s">
        <v>333</v>
      </c>
      <c r="I149" s="46" t="s">
        <v>334</v>
      </c>
      <c r="J149" s="329" t="str">
        <f>F149</f>
        <v>LA Chargers</v>
      </c>
      <c r="K149" s="379" t="str">
        <f t="shared" si="45"/>
        <v>Atlanta</v>
      </c>
      <c r="L149" s="336">
        <v>3</v>
      </c>
      <c r="M149" s="339">
        <v>49.5</v>
      </c>
      <c r="N149" s="879" t="str">
        <f>J149</f>
        <v>LA Chargers</v>
      </c>
      <c r="O149" s="114">
        <v>20</v>
      </c>
      <c r="P149" s="114" t="str">
        <f t="shared" si="46"/>
        <v>Atlanta</v>
      </c>
      <c r="Q149" s="114">
        <v>17</v>
      </c>
      <c r="R149" s="364" t="str">
        <f t="shared" si="42"/>
        <v>LA Chargers</v>
      </c>
      <c r="S149" s="364" t="str">
        <f t="shared" si="43"/>
        <v>Atlanta</v>
      </c>
      <c r="T149" s="114" t="str">
        <f t="shared" ref="T149:T156" si="47">K149</f>
        <v>Atlanta</v>
      </c>
      <c r="U149" s="349" t="str">
        <f t="shared" si="44"/>
        <v>T</v>
      </c>
    </row>
    <row r="150" spans="1:21" s="335" customFormat="1" ht="15.75" customHeight="1" x14ac:dyDescent="0.8">
      <c r="A150" s="325">
        <v>9</v>
      </c>
      <c r="B150" s="46" t="s">
        <v>220</v>
      </c>
      <c r="C150" s="326">
        <f>+C149</f>
        <v>44871</v>
      </c>
      <c r="D150" s="327">
        <f t="shared" ref="D150:D155" si="48">D130</f>
        <v>0.39583333333333331</v>
      </c>
      <c r="E150" s="78" t="s">
        <v>118</v>
      </c>
      <c r="F150" s="114" t="s">
        <v>352</v>
      </c>
      <c r="G150" s="46" t="s">
        <v>334</v>
      </c>
      <c r="H150" s="114" t="s">
        <v>55</v>
      </c>
      <c r="I150" s="46" t="s">
        <v>338</v>
      </c>
      <c r="J150" s="329" t="str">
        <f>H150</f>
        <v>Cincinnati</v>
      </c>
      <c r="K150" s="379" t="str">
        <f t="shared" si="45"/>
        <v>Carolina</v>
      </c>
      <c r="L150" s="336">
        <v>7.5</v>
      </c>
      <c r="M150" s="339">
        <v>42.5</v>
      </c>
      <c r="N150" s="879" t="str">
        <f>J150</f>
        <v>Cincinnati</v>
      </c>
      <c r="O150" s="114">
        <v>42</v>
      </c>
      <c r="P150" s="114" t="str">
        <f t="shared" si="46"/>
        <v>Carolina</v>
      </c>
      <c r="Q150" s="114">
        <v>21</v>
      </c>
      <c r="R150" s="364" t="str">
        <f t="shared" si="42"/>
        <v>Cincinnati</v>
      </c>
      <c r="S150" s="364" t="str">
        <f t="shared" si="43"/>
        <v>Carolina</v>
      </c>
      <c r="T150" s="114" t="str">
        <f t="shared" si="47"/>
        <v>Carolina</v>
      </c>
      <c r="U150" s="349" t="str">
        <f t="shared" si="44"/>
        <v>L</v>
      </c>
    </row>
    <row r="151" spans="1:21" s="335" customFormat="1" ht="15.75" customHeight="1" x14ac:dyDescent="0.8">
      <c r="A151" s="325">
        <v>9</v>
      </c>
      <c r="B151" s="46" t="s">
        <v>220</v>
      </c>
      <c r="C151" s="326">
        <f t="shared" ref="C151:C159" si="49">+C150</f>
        <v>44871</v>
      </c>
      <c r="D151" s="327">
        <f t="shared" si="48"/>
        <v>0.54166666666666663</v>
      </c>
      <c r="E151" s="78" t="s">
        <v>118</v>
      </c>
      <c r="F151" s="114" t="s">
        <v>351</v>
      </c>
      <c r="G151" s="46" t="s">
        <v>336</v>
      </c>
      <c r="H151" s="114" t="s">
        <v>341</v>
      </c>
      <c r="I151" s="46" t="s">
        <v>336</v>
      </c>
      <c r="J151" s="329" t="str">
        <f>F151</f>
        <v>Green Bay</v>
      </c>
      <c r="K151" s="379" t="str">
        <f t="shared" si="45"/>
        <v>Detroit</v>
      </c>
      <c r="L151" s="336">
        <v>3.5</v>
      </c>
      <c r="M151" s="339">
        <v>50</v>
      </c>
      <c r="N151" s="879" t="str">
        <f>K151</f>
        <v>Detroit</v>
      </c>
      <c r="O151" s="114">
        <v>15</v>
      </c>
      <c r="P151" s="114" t="str">
        <f t="shared" si="46"/>
        <v>Green Bay</v>
      </c>
      <c r="Q151" s="114">
        <v>9</v>
      </c>
      <c r="R151" s="364" t="str">
        <f t="shared" si="42"/>
        <v>Detroit</v>
      </c>
      <c r="S151" s="364" t="str">
        <f t="shared" si="43"/>
        <v>Green Bay</v>
      </c>
      <c r="T151" s="114" t="str">
        <f t="shared" si="47"/>
        <v>Detroit</v>
      </c>
      <c r="U151" s="349" t="str">
        <f t="shared" si="44"/>
        <v>W</v>
      </c>
    </row>
    <row r="152" spans="1:21" s="335" customFormat="1" ht="15.75" customHeight="1" x14ac:dyDescent="0.8">
      <c r="A152" s="325">
        <v>9</v>
      </c>
      <c r="B152" s="46" t="s">
        <v>220</v>
      </c>
      <c r="C152" s="326">
        <f t="shared" si="49"/>
        <v>44871</v>
      </c>
      <c r="D152" s="327">
        <f t="shared" si="48"/>
        <v>0.54166666666666663</v>
      </c>
      <c r="E152" s="78" t="s">
        <v>303</v>
      </c>
      <c r="F152" s="114" t="s">
        <v>348</v>
      </c>
      <c r="G152" s="46" t="s">
        <v>343</v>
      </c>
      <c r="H152" s="114" t="s">
        <v>330</v>
      </c>
      <c r="I152" s="46" t="s">
        <v>331</v>
      </c>
      <c r="J152" s="329" t="str">
        <f>H152</f>
        <v>New England</v>
      </c>
      <c r="K152" s="379" t="str">
        <f t="shared" si="45"/>
        <v>Indianapolis</v>
      </c>
      <c r="L152" s="336">
        <v>5.5</v>
      </c>
      <c r="M152" s="339">
        <v>39</v>
      </c>
      <c r="N152" s="879" t="str">
        <f>J152</f>
        <v>New England</v>
      </c>
      <c r="O152" s="114">
        <v>26</v>
      </c>
      <c r="P152" s="114" t="str">
        <f t="shared" si="46"/>
        <v>Indianapolis</v>
      </c>
      <c r="Q152" s="114">
        <v>3</v>
      </c>
      <c r="R152" s="364" t="str">
        <f t="shared" si="42"/>
        <v>New England</v>
      </c>
      <c r="S152" s="364" t="str">
        <f t="shared" si="43"/>
        <v>Indianapolis</v>
      </c>
      <c r="T152" s="114" t="str">
        <f t="shared" si="47"/>
        <v>Indianapolis</v>
      </c>
      <c r="U152" s="349" t="str">
        <f t="shared" si="44"/>
        <v>L</v>
      </c>
    </row>
    <row r="153" spans="1:21" s="335" customFormat="1" ht="15.75" customHeight="1" x14ac:dyDescent="0.8">
      <c r="A153" s="325">
        <v>9</v>
      </c>
      <c r="B153" s="46" t="s">
        <v>220</v>
      </c>
      <c r="C153" s="326">
        <f t="shared" si="49"/>
        <v>44871</v>
      </c>
      <c r="D153" s="327">
        <f t="shared" si="48"/>
        <v>0.54166666666666663</v>
      </c>
      <c r="E153" s="78" t="s">
        <v>303</v>
      </c>
      <c r="F153" s="114" t="s">
        <v>67</v>
      </c>
      <c r="G153" s="46" t="s">
        <v>331</v>
      </c>
      <c r="H153" s="114" t="s">
        <v>332</v>
      </c>
      <c r="I153" s="46" t="s">
        <v>331</v>
      </c>
      <c r="J153" s="329" t="str">
        <f>F153</f>
        <v>Buffalo</v>
      </c>
      <c r="K153" s="379" t="str">
        <f t="shared" si="45"/>
        <v>NY Jets</v>
      </c>
      <c r="L153" s="336">
        <v>13</v>
      </c>
      <c r="M153" s="339">
        <v>47</v>
      </c>
      <c r="N153" s="879" t="str">
        <f>K153</f>
        <v>NY Jets</v>
      </c>
      <c r="O153" s="114">
        <v>20</v>
      </c>
      <c r="P153" s="114" t="str">
        <f t="shared" si="46"/>
        <v>Buffalo</v>
      </c>
      <c r="Q153" s="114">
        <v>17</v>
      </c>
      <c r="R153" s="364" t="str">
        <f t="shared" si="42"/>
        <v>NY Jets</v>
      </c>
      <c r="S153" s="364" t="str">
        <f t="shared" si="43"/>
        <v>Buffalo</v>
      </c>
      <c r="T153" s="114" t="str">
        <f t="shared" si="47"/>
        <v>NY Jets</v>
      </c>
      <c r="U153" s="349" t="str">
        <f t="shared" si="44"/>
        <v>W</v>
      </c>
    </row>
    <row r="154" spans="1:21" s="335" customFormat="1" ht="15.75" customHeight="1" x14ac:dyDescent="0.8">
      <c r="A154" s="325">
        <v>9</v>
      </c>
      <c r="B154" s="46" t="s">
        <v>220</v>
      </c>
      <c r="C154" s="326">
        <f t="shared" si="49"/>
        <v>44871</v>
      </c>
      <c r="D154" s="327">
        <f t="shared" si="48"/>
        <v>0.54166666666666663</v>
      </c>
      <c r="E154" s="78" t="s">
        <v>118</v>
      </c>
      <c r="F154" s="114" t="s">
        <v>69</v>
      </c>
      <c r="G154" s="46" t="s">
        <v>336</v>
      </c>
      <c r="H154" s="114" t="s">
        <v>91</v>
      </c>
      <c r="I154" s="46" t="s">
        <v>347</v>
      </c>
      <c r="J154" s="329" t="str">
        <f>F154</f>
        <v>Minnesota</v>
      </c>
      <c r="K154" s="379" t="str">
        <f t="shared" si="45"/>
        <v>Washington</v>
      </c>
      <c r="L154" s="336">
        <v>3.5</v>
      </c>
      <c r="M154" s="339">
        <v>43.5</v>
      </c>
      <c r="N154" s="879" t="str">
        <f>J154</f>
        <v>Minnesota</v>
      </c>
      <c r="O154" s="114">
        <v>20</v>
      </c>
      <c r="P154" s="114" t="str">
        <f t="shared" si="46"/>
        <v>Washington</v>
      </c>
      <c r="Q154" s="114">
        <v>17</v>
      </c>
      <c r="R154" s="364" t="str">
        <f t="shared" si="42"/>
        <v>Washington</v>
      </c>
      <c r="S154" s="364" t="str">
        <f t="shared" si="43"/>
        <v>Minnesota</v>
      </c>
      <c r="T154" s="114" t="str">
        <f t="shared" si="47"/>
        <v>Washington</v>
      </c>
      <c r="U154" s="349" t="str">
        <f t="shared" si="44"/>
        <v>W</v>
      </c>
    </row>
    <row r="155" spans="1:21" s="335" customFormat="1" ht="15.75" customHeight="1" x14ac:dyDescent="0.8">
      <c r="A155" s="325">
        <v>9</v>
      </c>
      <c r="B155" s="46" t="s">
        <v>220</v>
      </c>
      <c r="C155" s="326">
        <f t="shared" si="49"/>
        <v>44871</v>
      </c>
      <c r="D155" s="327">
        <f t="shared" si="48"/>
        <v>0.54166666666666663</v>
      </c>
      <c r="E155" s="78" t="s">
        <v>118</v>
      </c>
      <c r="F155" s="114" t="s">
        <v>345</v>
      </c>
      <c r="G155" s="46" t="s">
        <v>331</v>
      </c>
      <c r="H155" s="114" t="s">
        <v>335</v>
      </c>
      <c r="I155" s="46" t="s">
        <v>336</v>
      </c>
      <c r="J155" s="329" t="str">
        <f>F155</f>
        <v>Miami</v>
      </c>
      <c r="K155" s="379" t="str">
        <f t="shared" ref="K155" si="50">IF(+J155=H155,F155,H155)</f>
        <v>Chicago</v>
      </c>
      <c r="L155" s="336">
        <v>5</v>
      </c>
      <c r="M155" s="339">
        <v>44.5</v>
      </c>
      <c r="N155" s="879" t="str">
        <f>J155</f>
        <v>Miami</v>
      </c>
      <c r="O155" s="114">
        <v>35</v>
      </c>
      <c r="P155" s="114" t="str">
        <f t="shared" ref="P155" si="51">IF(N155=F155,H155,F155)</f>
        <v>Chicago</v>
      </c>
      <c r="Q155" s="114">
        <v>32</v>
      </c>
      <c r="R155" s="494" t="str">
        <f t="shared" ref="R155" si="52">IF(+N155=K155,+N155,IF(+O155-Q155&lt;L155,+K155,+J155))</f>
        <v>Chicago</v>
      </c>
      <c r="S155" s="494" t="str">
        <f t="shared" ref="S155" si="53">IF(+R155=J155,+K155,+J155)</f>
        <v>Miami</v>
      </c>
      <c r="T155" s="114" t="str">
        <f t="shared" si="47"/>
        <v>Chicago</v>
      </c>
      <c r="U155" s="349" t="str">
        <f t="shared" ref="U155" si="54">IF($N155=$J155,IF($O155-$Q155=$L155,"T",IF($R155=T155,"W","L")),IF($R155=T155,"W","L"))</f>
        <v>W</v>
      </c>
    </row>
    <row r="156" spans="1:21" s="335" customFormat="1" ht="15.75" customHeight="1" x14ac:dyDescent="0.8">
      <c r="A156" s="325">
        <v>9</v>
      </c>
      <c r="B156" s="46" t="s">
        <v>220</v>
      </c>
      <c r="C156" s="326">
        <f>+C154</f>
        <v>44871</v>
      </c>
      <c r="D156" s="327">
        <f>D135</f>
        <v>0.54166666666666663</v>
      </c>
      <c r="E156" s="78" t="s">
        <v>303</v>
      </c>
      <c r="F156" s="114" t="s">
        <v>295</v>
      </c>
      <c r="G156" s="46" t="s">
        <v>329</v>
      </c>
      <c r="H156" s="114" t="s">
        <v>342</v>
      </c>
      <c r="I156" s="46" t="s">
        <v>343</v>
      </c>
      <c r="J156" s="329" t="str">
        <f>F156</f>
        <v>Las Vegas</v>
      </c>
      <c r="K156" s="379" t="str">
        <f t="shared" si="45"/>
        <v>Jacksonville</v>
      </c>
      <c r="L156" s="336">
        <v>2</v>
      </c>
      <c r="M156" s="339">
        <v>48</v>
      </c>
      <c r="N156" s="879" t="str">
        <f>K156</f>
        <v>Jacksonville</v>
      </c>
      <c r="O156" s="114">
        <v>27</v>
      </c>
      <c r="P156" s="114" t="str">
        <f t="shared" si="46"/>
        <v>Las Vegas</v>
      </c>
      <c r="Q156" s="114">
        <v>20</v>
      </c>
      <c r="R156" s="364" t="str">
        <f t="shared" si="42"/>
        <v>Jacksonville</v>
      </c>
      <c r="S156" s="364" t="str">
        <f t="shared" si="43"/>
        <v>Las Vegas</v>
      </c>
      <c r="T156" s="114" t="str">
        <f t="shared" si="47"/>
        <v>Jacksonville</v>
      </c>
      <c r="U156" s="349" t="str">
        <f t="shared" si="44"/>
        <v>W</v>
      </c>
    </row>
    <row r="157" spans="1:21" s="335" customFormat="1" ht="15.75" customHeight="1" x14ac:dyDescent="0.8">
      <c r="A157" s="325">
        <v>9</v>
      </c>
      <c r="B157" s="46" t="s">
        <v>220</v>
      </c>
      <c r="C157" s="326">
        <f t="shared" si="49"/>
        <v>44871</v>
      </c>
      <c r="D157" s="327">
        <f>D136</f>
        <v>0.54166666666666663</v>
      </c>
      <c r="E157" s="78" t="s">
        <v>118</v>
      </c>
      <c r="F157" s="114" t="s">
        <v>350</v>
      </c>
      <c r="G157" s="46" t="s">
        <v>340</v>
      </c>
      <c r="H157" s="114" t="s">
        <v>198</v>
      </c>
      <c r="I157" s="46" t="s">
        <v>340</v>
      </c>
      <c r="J157" s="329" t="str">
        <f>H157</f>
        <v>Arizona</v>
      </c>
      <c r="K157" s="379" t="str">
        <f t="shared" si="45"/>
        <v>Seattle</v>
      </c>
      <c r="L157" s="336">
        <v>2</v>
      </c>
      <c r="M157" s="339">
        <v>50.5</v>
      </c>
      <c r="N157" s="879" t="str">
        <f>K157</f>
        <v>Seattle</v>
      </c>
      <c r="O157" s="114">
        <v>31</v>
      </c>
      <c r="P157" s="114" t="str">
        <f t="shared" si="46"/>
        <v>Arizona</v>
      </c>
      <c r="Q157" s="114">
        <v>21</v>
      </c>
      <c r="R157" s="364" t="str">
        <f t="shared" si="42"/>
        <v>Seattle</v>
      </c>
      <c r="S157" s="364" t="str">
        <f t="shared" si="43"/>
        <v>Arizona</v>
      </c>
      <c r="T157" s="114" t="str">
        <f>J157</f>
        <v>Arizona</v>
      </c>
      <c r="U157" s="349" t="str">
        <f t="shared" si="44"/>
        <v>L</v>
      </c>
    </row>
    <row r="158" spans="1:21" s="335" customFormat="1" ht="15.75" customHeight="1" x14ac:dyDescent="0.8">
      <c r="A158" s="325">
        <v>9</v>
      </c>
      <c r="B158" s="46" t="s">
        <v>220</v>
      </c>
      <c r="C158" s="326">
        <f t="shared" si="49"/>
        <v>44871</v>
      </c>
      <c r="D158" s="327">
        <f>16/24</f>
        <v>0.66666666666666663</v>
      </c>
      <c r="E158" s="78" t="s">
        <v>118</v>
      </c>
      <c r="F158" s="114" t="s">
        <v>349</v>
      </c>
      <c r="G158" s="46" t="s">
        <v>340</v>
      </c>
      <c r="H158" s="114" t="s">
        <v>344</v>
      </c>
      <c r="I158" s="46" t="s">
        <v>334</v>
      </c>
      <c r="J158" s="329" t="str">
        <f>H158</f>
        <v>Tampa Bay</v>
      </c>
      <c r="K158" s="379" t="str">
        <f t="shared" si="45"/>
        <v>LA Rams</v>
      </c>
      <c r="L158" s="336">
        <v>2.5</v>
      </c>
      <c r="M158" s="339">
        <v>42.5</v>
      </c>
      <c r="N158" s="879" t="str">
        <f>J158</f>
        <v>Tampa Bay</v>
      </c>
      <c r="O158" s="114">
        <v>16</v>
      </c>
      <c r="P158" s="114" t="str">
        <f>IF(N158=F158,H158,F158)</f>
        <v>LA Rams</v>
      </c>
      <c r="Q158" s="114">
        <v>13</v>
      </c>
      <c r="R158" s="494" t="str">
        <f>IF(+N158=K158,+N158,IF(+O158-Q158&lt;L158,+K158,+J158))</f>
        <v>Tampa Bay</v>
      </c>
      <c r="S158" s="494" t="str">
        <f t="shared" si="43"/>
        <v>LA Rams</v>
      </c>
      <c r="T158" s="114" t="str">
        <f>K158</f>
        <v>LA Rams</v>
      </c>
      <c r="U158" s="349" t="str">
        <f t="shared" si="44"/>
        <v>L</v>
      </c>
    </row>
    <row r="159" spans="1:21" s="335" customFormat="1" ht="15.75" customHeight="1" x14ac:dyDescent="0.8">
      <c r="A159" s="325">
        <v>9</v>
      </c>
      <c r="B159" s="46" t="s">
        <v>220</v>
      </c>
      <c r="C159" s="326">
        <f t="shared" si="49"/>
        <v>44871</v>
      </c>
      <c r="D159" s="327">
        <f>20.25/24</f>
        <v>0.84375</v>
      </c>
      <c r="E159" s="46" t="s">
        <v>179</v>
      </c>
      <c r="F159" s="114" t="s">
        <v>226</v>
      </c>
      <c r="G159" s="46" t="s">
        <v>340</v>
      </c>
      <c r="H159" s="114" t="s">
        <v>328</v>
      </c>
      <c r="I159" s="46" t="s">
        <v>329</v>
      </c>
      <c r="J159" s="329" t="str">
        <f>H159</f>
        <v>Kansas City</v>
      </c>
      <c r="K159" s="379" t="str">
        <f t="shared" si="45"/>
        <v>Tennessee</v>
      </c>
      <c r="L159" s="336">
        <v>12.5</v>
      </c>
      <c r="M159" s="339">
        <v>46</v>
      </c>
      <c r="N159" s="879" t="str">
        <f>J159</f>
        <v>Kansas City</v>
      </c>
      <c r="O159" s="114">
        <v>20</v>
      </c>
      <c r="P159" s="114" t="str">
        <f>IF(N159=F159,H159,F159)</f>
        <v>Tennessee</v>
      </c>
      <c r="Q159" s="114">
        <v>13</v>
      </c>
      <c r="R159" s="494" t="str">
        <f>IF(+N159=K159,+N159,IF(+O159-Q159&lt;L159,+K159,+J159))</f>
        <v>Tennessee</v>
      </c>
      <c r="S159" s="494" t="str">
        <f t="shared" si="43"/>
        <v>Kansas City</v>
      </c>
      <c r="T159" s="114" t="str">
        <f>K159</f>
        <v>Tennessee</v>
      </c>
      <c r="U159" s="349" t="str">
        <f t="shared" si="44"/>
        <v>W</v>
      </c>
    </row>
    <row r="160" spans="1:21" s="335" customFormat="1" ht="15.75" customHeight="1" x14ac:dyDescent="0.8">
      <c r="A160" s="325">
        <v>9</v>
      </c>
      <c r="B160" s="46" t="s">
        <v>225</v>
      </c>
      <c r="C160" s="326">
        <f>+C159+1</f>
        <v>44872</v>
      </c>
      <c r="D160" s="327">
        <f>+D159</f>
        <v>0.84375</v>
      </c>
      <c r="E160" s="46" t="s">
        <v>135</v>
      </c>
      <c r="F160" s="114" t="s">
        <v>337</v>
      </c>
      <c r="G160" s="46" t="s">
        <v>340</v>
      </c>
      <c r="H160" s="114" t="s">
        <v>356</v>
      </c>
      <c r="I160" s="46" t="s">
        <v>334</v>
      </c>
      <c r="J160" s="329" t="str">
        <f>F160</f>
        <v>Baltimore</v>
      </c>
      <c r="K160" s="379" t="str">
        <f t="shared" si="45"/>
        <v>New Orleans</v>
      </c>
      <c r="L160" s="336">
        <v>1.5</v>
      </c>
      <c r="M160" s="339">
        <v>48</v>
      </c>
      <c r="N160" s="879" t="str">
        <f>F160</f>
        <v>Baltimore</v>
      </c>
      <c r="O160" s="114">
        <v>27</v>
      </c>
      <c r="P160" s="114" t="str">
        <f>IF(N160=F160,H160,F160)</f>
        <v>New Orleans</v>
      </c>
      <c r="Q160" s="114">
        <v>13</v>
      </c>
      <c r="R160" s="364" t="str">
        <f>IF(+N160=K160,+N160,IF(+O160-Q160&lt;L160,+K160,+J160))</f>
        <v>Baltimore</v>
      </c>
      <c r="S160" s="364" t="str">
        <f t="shared" si="43"/>
        <v>New Orleans</v>
      </c>
      <c r="T160" s="114" t="str">
        <f>K160</f>
        <v>New Orleans</v>
      </c>
      <c r="U160" s="349" t="str">
        <f t="shared" si="44"/>
        <v>L</v>
      </c>
    </row>
    <row r="161" spans="1:21" s="335" customFormat="1" ht="15.75" customHeight="1" x14ac:dyDescent="0.8">
      <c r="A161" s="325">
        <f>+A160</f>
        <v>9</v>
      </c>
      <c r="B161" s="46"/>
      <c r="C161" s="326"/>
      <c r="D161" s="327"/>
      <c r="E161" s="78"/>
      <c r="F161" s="114" t="s">
        <v>409</v>
      </c>
      <c r="G161" s="46"/>
      <c r="H161" s="114"/>
      <c r="I161" s="46"/>
      <c r="J161" s="329"/>
      <c r="K161" s="379"/>
      <c r="L161" s="336"/>
      <c r="M161" s="339"/>
      <c r="N161" s="879"/>
      <c r="O161" s="114"/>
      <c r="P161" s="114"/>
      <c r="Q161" s="114"/>
      <c r="R161" s="494"/>
      <c r="S161" s="494"/>
      <c r="T161" s="114"/>
      <c r="U161" s="349"/>
    </row>
    <row r="162" spans="1:21" s="335" customFormat="1" ht="15.75" customHeight="1" x14ac:dyDescent="0.8">
      <c r="A162" s="325">
        <v>9</v>
      </c>
      <c r="B162" s="46"/>
      <c r="C162" s="326"/>
      <c r="D162" s="327"/>
      <c r="E162" s="46"/>
      <c r="F162" s="114" t="s">
        <v>339</v>
      </c>
      <c r="G162" s="46" t="s">
        <v>338</v>
      </c>
      <c r="H162" s="114"/>
      <c r="I162" s="46"/>
      <c r="J162" s="329"/>
      <c r="K162" s="379"/>
      <c r="L162" s="336"/>
      <c r="M162" s="339"/>
      <c r="N162" s="879"/>
      <c r="O162" s="114"/>
      <c r="P162" s="114"/>
      <c r="Q162" s="114"/>
      <c r="R162" s="494"/>
      <c r="S162" s="494"/>
      <c r="T162" s="114"/>
      <c r="U162" s="349"/>
    </row>
    <row r="163" spans="1:21" s="335" customFormat="1" ht="15.75" customHeight="1" x14ac:dyDescent="0.8">
      <c r="A163" s="325">
        <v>9</v>
      </c>
      <c r="B163" s="46"/>
      <c r="C163" s="326"/>
      <c r="D163" s="327"/>
      <c r="E163" s="46"/>
      <c r="F163" s="114" t="s">
        <v>355</v>
      </c>
      <c r="G163" s="46" t="s">
        <v>347</v>
      </c>
      <c r="H163" s="114"/>
      <c r="I163" s="46"/>
      <c r="J163" s="329"/>
      <c r="K163" s="379"/>
      <c r="L163" s="336"/>
      <c r="M163" s="339"/>
      <c r="N163" s="879"/>
      <c r="O163" s="114"/>
      <c r="P163" s="114"/>
      <c r="Q163" s="114"/>
      <c r="R163" s="494"/>
      <c r="S163" s="494"/>
      <c r="T163" s="114"/>
      <c r="U163" s="349"/>
    </row>
    <row r="164" spans="1:21" s="335" customFormat="1" ht="15.75" customHeight="1" x14ac:dyDescent="0.8">
      <c r="A164" s="325">
        <v>9</v>
      </c>
      <c r="B164" s="46"/>
      <c r="C164" s="326"/>
      <c r="D164" s="327"/>
      <c r="E164" s="46"/>
      <c r="F164" s="114" t="s">
        <v>358</v>
      </c>
      <c r="G164" s="46" t="s">
        <v>329</v>
      </c>
      <c r="H164" s="114"/>
      <c r="I164" s="46"/>
      <c r="J164" s="329"/>
      <c r="K164" s="379"/>
      <c r="L164" s="336"/>
      <c r="M164" s="339"/>
      <c r="N164" s="879"/>
      <c r="O164" s="114"/>
      <c r="P164" s="114"/>
      <c r="Q164" s="114"/>
      <c r="R164" s="494"/>
      <c r="S164" s="494"/>
      <c r="T164" s="114"/>
      <c r="U164" s="349"/>
    </row>
    <row r="165" spans="1:21" s="335" customFormat="1" ht="15.75" customHeight="1" x14ac:dyDescent="0.8">
      <c r="A165" s="325">
        <v>9</v>
      </c>
      <c r="B165" s="46"/>
      <c r="C165" s="326"/>
      <c r="D165" s="327"/>
      <c r="E165" s="46"/>
      <c r="F165" s="114" t="s">
        <v>354</v>
      </c>
      <c r="G165" s="46" t="s">
        <v>347</v>
      </c>
      <c r="H165" s="114"/>
      <c r="I165" s="46"/>
      <c r="J165" s="329"/>
      <c r="K165" s="379"/>
      <c r="L165" s="336"/>
      <c r="M165" s="339"/>
      <c r="N165" s="879"/>
      <c r="O165" s="114"/>
      <c r="P165" s="114"/>
      <c r="Q165" s="114"/>
      <c r="R165" s="494"/>
      <c r="S165" s="494"/>
      <c r="T165" s="114"/>
      <c r="U165" s="349"/>
    </row>
    <row r="166" spans="1:21" s="335" customFormat="1" ht="15.75" customHeight="1" x14ac:dyDescent="0.8">
      <c r="A166" s="325">
        <v>9</v>
      </c>
      <c r="B166" s="46"/>
      <c r="C166" s="326"/>
      <c r="D166" s="327"/>
      <c r="E166" s="46"/>
      <c r="F166" s="114" t="s">
        <v>128</v>
      </c>
      <c r="G166" s="46" t="s">
        <v>338</v>
      </c>
      <c r="H166" s="114"/>
      <c r="I166" s="46"/>
      <c r="J166" s="329"/>
      <c r="K166" s="379"/>
      <c r="L166" s="336"/>
      <c r="M166" s="339"/>
      <c r="N166" s="879"/>
      <c r="O166" s="114"/>
      <c r="P166" s="114"/>
      <c r="Q166" s="114"/>
      <c r="R166" s="494"/>
      <c r="S166" s="494"/>
      <c r="T166" s="114"/>
      <c r="U166" s="349"/>
    </row>
    <row r="167" spans="1:21" s="335" customFormat="1" ht="15.75" customHeight="1" x14ac:dyDescent="0.8">
      <c r="A167" s="325">
        <v>9</v>
      </c>
      <c r="B167" s="46"/>
      <c r="C167" s="326"/>
      <c r="D167" s="327"/>
      <c r="E167" s="46"/>
      <c r="F167" s="114" t="s">
        <v>353</v>
      </c>
      <c r="G167" s="46" t="s">
        <v>340</v>
      </c>
      <c r="H167" s="114"/>
      <c r="I167" s="46"/>
      <c r="J167" s="329"/>
      <c r="K167" s="379"/>
      <c r="L167" s="336"/>
      <c r="M167" s="339"/>
      <c r="N167" s="879"/>
      <c r="O167" s="114"/>
      <c r="P167" s="114"/>
      <c r="Q167" s="114"/>
      <c r="R167" s="494"/>
      <c r="S167" s="494"/>
      <c r="T167" s="114"/>
      <c r="U167" s="349"/>
    </row>
    <row r="168" spans="1:21" s="335" customFormat="1" ht="15.75" customHeight="1" x14ac:dyDescent="0.8">
      <c r="A168" s="325">
        <v>9</v>
      </c>
      <c r="B168" s="46"/>
      <c r="C168" s="326"/>
      <c r="D168" s="327"/>
      <c r="E168" s="46"/>
      <c r="F168" s="114"/>
      <c r="G168" s="46"/>
      <c r="H168" s="114"/>
      <c r="I168" s="46"/>
      <c r="J168" s="329"/>
      <c r="K168" s="379"/>
      <c r="L168" s="336"/>
      <c r="M168" s="339"/>
      <c r="N168" s="360"/>
      <c r="O168" s="114"/>
      <c r="P168" s="328"/>
      <c r="Q168" s="114"/>
      <c r="R168" s="364"/>
      <c r="S168" s="364"/>
      <c r="T168" s="114"/>
      <c r="U168" s="349"/>
    </row>
    <row r="169" spans="1:21" s="335" customFormat="1" ht="15.75" customHeight="1" x14ac:dyDescent="0.8">
      <c r="A169" s="325">
        <v>10</v>
      </c>
      <c r="B169" s="46" t="s">
        <v>52</v>
      </c>
      <c r="C169" s="326">
        <f t="shared" ref="C169:C175" si="55">+C148+7</f>
        <v>44875</v>
      </c>
      <c r="D169" s="327">
        <f>D149</f>
        <v>0.39583333333333331</v>
      </c>
      <c r="E169" s="46" t="s">
        <v>179</v>
      </c>
      <c r="F169" s="114" t="s">
        <v>333</v>
      </c>
      <c r="G169" s="46" t="s">
        <v>334</v>
      </c>
      <c r="H169" s="114" t="s">
        <v>352</v>
      </c>
      <c r="I169" s="46" t="s">
        <v>334</v>
      </c>
      <c r="J169" s="329" t="str">
        <f>F169</f>
        <v>Atlanta</v>
      </c>
      <c r="K169" s="379" t="str">
        <f t="shared" ref="K169:K182" si="56">IF(+J169=H169,F169,H169)</f>
        <v>Carolina</v>
      </c>
      <c r="L169" s="336">
        <v>3</v>
      </c>
      <c r="M169" s="339">
        <v>44</v>
      </c>
      <c r="N169" s="879" t="str">
        <f>K169</f>
        <v>Carolina</v>
      </c>
      <c r="O169" s="114">
        <v>25</v>
      </c>
      <c r="P169" s="114" t="str">
        <f t="shared" ref="P169:P182" si="57">IF(N169=F169,H169,F169)</f>
        <v>Atlanta</v>
      </c>
      <c r="Q169" s="114">
        <v>15</v>
      </c>
      <c r="R169" s="364" t="str">
        <f t="shared" ref="R169:R181" si="58">IF(+N169=K169,+N169,IF(+O169-Q169&lt;L169,+K169,+J169))</f>
        <v>Carolina</v>
      </c>
      <c r="S169" s="364" t="str">
        <f t="shared" ref="S169:S181" si="59">IF(+R169=J169,+K169,+J169)</f>
        <v>Atlanta</v>
      </c>
      <c r="T169" s="114" t="str">
        <f>K169</f>
        <v>Carolina</v>
      </c>
      <c r="U169" s="349" t="str">
        <f t="shared" ref="U169:U177" si="60">IF($N169=$J169,IF($O169-$Q169=$L169,"T",IF($R169=T169,"W","L")),IF($R169=T169,"W","L"))</f>
        <v>W</v>
      </c>
    </row>
    <row r="170" spans="1:21" s="335" customFormat="1" ht="15.75" customHeight="1" x14ac:dyDescent="0.8">
      <c r="A170" s="325">
        <v>10</v>
      </c>
      <c r="B170" s="46" t="s">
        <v>220</v>
      </c>
      <c r="C170" s="326">
        <f t="shared" si="55"/>
        <v>44878</v>
      </c>
      <c r="D170" s="327">
        <f>9.5/24</f>
        <v>0.39583333333333331</v>
      </c>
      <c r="E170" s="78" t="s">
        <v>359</v>
      </c>
      <c r="F170" s="114" t="s">
        <v>350</v>
      </c>
      <c r="G170" s="46" t="s">
        <v>340</v>
      </c>
      <c r="H170" s="114" t="s">
        <v>344</v>
      </c>
      <c r="I170" s="46" t="s">
        <v>334</v>
      </c>
      <c r="J170" s="329" t="str">
        <f t="shared" ref="J170:J176" si="61">H170</f>
        <v>Tampa Bay</v>
      </c>
      <c r="K170" s="379" t="str">
        <f t="shared" si="56"/>
        <v>Seattle</v>
      </c>
      <c r="L170" s="336">
        <v>2.5</v>
      </c>
      <c r="M170" s="339">
        <v>44.5</v>
      </c>
      <c r="N170" s="879" t="str">
        <f>J170</f>
        <v>Tampa Bay</v>
      </c>
      <c r="O170" s="114">
        <v>21</v>
      </c>
      <c r="P170" s="114" t="str">
        <f t="shared" si="57"/>
        <v>Seattle</v>
      </c>
      <c r="Q170" s="114">
        <v>16</v>
      </c>
      <c r="R170" s="364" t="str">
        <f t="shared" si="58"/>
        <v>Tampa Bay</v>
      </c>
      <c r="S170" s="364" t="str">
        <f t="shared" si="59"/>
        <v>Seattle</v>
      </c>
      <c r="T170" s="114" t="str">
        <f>K170</f>
        <v>Seattle</v>
      </c>
      <c r="U170" s="349" t="str">
        <f t="shared" si="60"/>
        <v>L</v>
      </c>
    </row>
    <row r="171" spans="1:21" s="335" customFormat="1" ht="15.75" customHeight="1" x14ac:dyDescent="0.8">
      <c r="A171" s="325">
        <v>10</v>
      </c>
      <c r="B171" s="46" t="s">
        <v>220</v>
      </c>
      <c r="C171" s="326">
        <f t="shared" si="55"/>
        <v>44878</v>
      </c>
      <c r="D171" s="327">
        <f>D150</f>
        <v>0.39583333333333331</v>
      </c>
      <c r="E171" s="78" t="s">
        <v>118</v>
      </c>
      <c r="F171" s="114" t="s">
        <v>69</v>
      </c>
      <c r="G171" s="46" t="s">
        <v>336</v>
      </c>
      <c r="H171" s="114" t="s">
        <v>67</v>
      </c>
      <c r="I171" s="46" t="s">
        <v>331</v>
      </c>
      <c r="J171" s="329" t="str">
        <f t="shared" si="61"/>
        <v>Buffalo</v>
      </c>
      <c r="K171" s="379" t="str">
        <f t="shared" si="56"/>
        <v>Minnesota</v>
      </c>
      <c r="L171" s="336">
        <v>5</v>
      </c>
      <c r="M171" s="339">
        <v>45.5</v>
      </c>
      <c r="N171" s="879" t="str">
        <f>K171</f>
        <v>Minnesota</v>
      </c>
      <c r="O171" s="114">
        <v>33</v>
      </c>
      <c r="P171" s="114" t="str">
        <f t="shared" si="57"/>
        <v>Buffalo</v>
      </c>
      <c r="Q171" s="114">
        <v>30</v>
      </c>
      <c r="R171" s="364" t="str">
        <f t="shared" si="58"/>
        <v>Minnesota</v>
      </c>
      <c r="S171" s="364" t="str">
        <f t="shared" si="59"/>
        <v>Buffalo</v>
      </c>
      <c r="T171" s="114" t="str">
        <f>K171</f>
        <v>Minnesota</v>
      </c>
      <c r="U171" s="349" t="str">
        <f t="shared" si="60"/>
        <v>W</v>
      </c>
    </row>
    <row r="172" spans="1:21" s="335" customFormat="1" ht="15.75" customHeight="1" x14ac:dyDescent="0.8">
      <c r="A172" s="325">
        <v>10</v>
      </c>
      <c r="B172" s="46" t="s">
        <v>220</v>
      </c>
      <c r="C172" s="326">
        <f t="shared" si="55"/>
        <v>44878</v>
      </c>
      <c r="D172" s="327">
        <f>D151</f>
        <v>0.54166666666666663</v>
      </c>
      <c r="E172" s="78" t="s">
        <v>118</v>
      </c>
      <c r="F172" s="114" t="s">
        <v>341</v>
      </c>
      <c r="G172" s="46" t="s">
        <v>336</v>
      </c>
      <c r="H172" s="114" t="s">
        <v>335</v>
      </c>
      <c r="I172" s="46" t="s">
        <v>336</v>
      </c>
      <c r="J172" s="329" t="str">
        <f t="shared" si="61"/>
        <v>Chicago</v>
      </c>
      <c r="K172" s="379" t="str">
        <f t="shared" si="56"/>
        <v>Detroit</v>
      </c>
      <c r="L172" s="336">
        <v>2.5</v>
      </c>
      <c r="M172" s="339">
        <v>48.5</v>
      </c>
      <c r="N172" s="879" t="str">
        <f>K172</f>
        <v>Detroit</v>
      </c>
      <c r="O172" s="114">
        <v>31</v>
      </c>
      <c r="P172" s="114" t="str">
        <f t="shared" si="57"/>
        <v>Chicago</v>
      </c>
      <c r="Q172" s="114">
        <v>30</v>
      </c>
      <c r="R172" s="364" t="str">
        <f t="shared" si="58"/>
        <v>Detroit</v>
      </c>
      <c r="S172" s="364" t="str">
        <f t="shared" si="59"/>
        <v>Chicago</v>
      </c>
      <c r="T172" s="114" t="str">
        <f>K172</f>
        <v>Detroit</v>
      </c>
      <c r="U172" s="349" t="str">
        <f t="shared" si="60"/>
        <v>W</v>
      </c>
    </row>
    <row r="173" spans="1:21" s="335" customFormat="1" ht="15.75" customHeight="1" x14ac:dyDescent="0.8">
      <c r="A173" s="325">
        <v>10</v>
      </c>
      <c r="B173" s="46" t="s">
        <v>220</v>
      </c>
      <c r="C173" s="326">
        <f t="shared" si="55"/>
        <v>44878</v>
      </c>
      <c r="D173" s="327">
        <f>D152</f>
        <v>0.54166666666666663</v>
      </c>
      <c r="E173" s="78" t="s">
        <v>303</v>
      </c>
      <c r="F173" s="114" t="s">
        <v>358</v>
      </c>
      <c r="G173" s="46" t="s">
        <v>329</v>
      </c>
      <c r="H173" s="114" t="s">
        <v>226</v>
      </c>
      <c r="I173" s="46" t="s">
        <v>343</v>
      </c>
      <c r="J173" s="329" t="str">
        <f t="shared" si="61"/>
        <v>Tennessee</v>
      </c>
      <c r="K173" s="379" t="str">
        <f t="shared" si="56"/>
        <v>Denver</v>
      </c>
      <c r="L173" s="336">
        <v>3</v>
      </c>
      <c r="M173" s="339">
        <v>38.5</v>
      </c>
      <c r="N173" s="879" t="str">
        <f>J173</f>
        <v>Tennessee</v>
      </c>
      <c r="O173" s="114">
        <v>17</v>
      </c>
      <c r="P173" s="114" t="str">
        <f t="shared" si="57"/>
        <v>Denver</v>
      </c>
      <c r="Q173" s="114">
        <v>10</v>
      </c>
      <c r="R173" s="364" t="str">
        <f t="shared" si="58"/>
        <v>Tennessee</v>
      </c>
      <c r="S173" s="364" t="str">
        <f t="shared" si="59"/>
        <v>Denver</v>
      </c>
      <c r="T173" s="114" t="str">
        <f>J173</f>
        <v>Tennessee</v>
      </c>
      <c r="U173" s="349" t="str">
        <f t="shared" si="60"/>
        <v>W</v>
      </c>
    </row>
    <row r="174" spans="1:21" s="335" customFormat="1" ht="15.75" customHeight="1" x14ac:dyDescent="0.8">
      <c r="A174" s="325">
        <v>10</v>
      </c>
      <c r="B174" s="46" t="s">
        <v>220</v>
      </c>
      <c r="C174" s="326">
        <f t="shared" si="55"/>
        <v>44878</v>
      </c>
      <c r="D174" s="327">
        <f>D153</f>
        <v>0.54166666666666663</v>
      </c>
      <c r="E174" s="78" t="s">
        <v>303</v>
      </c>
      <c r="F174" s="114" t="s">
        <v>342</v>
      </c>
      <c r="G174" s="46" t="s">
        <v>343</v>
      </c>
      <c r="H174" s="114" t="s">
        <v>328</v>
      </c>
      <c r="I174" s="46" t="s">
        <v>329</v>
      </c>
      <c r="J174" s="329" t="str">
        <f t="shared" si="61"/>
        <v>Kansas City</v>
      </c>
      <c r="K174" s="379" t="str">
        <f t="shared" si="56"/>
        <v>Jacksonville</v>
      </c>
      <c r="L174" s="336">
        <v>9.5</v>
      </c>
      <c r="M174" s="339">
        <v>50.5</v>
      </c>
      <c r="N174" s="879" t="str">
        <f>J174</f>
        <v>Kansas City</v>
      </c>
      <c r="O174" s="114">
        <v>27</v>
      </c>
      <c r="P174" s="114" t="str">
        <f t="shared" si="57"/>
        <v>Jacksonville</v>
      </c>
      <c r="Q174" s="114">
        <v>17</v>
      </c>
      <c r="R174" s="364" t="str">
        <f t="shared" si="58"/>
        <v>Kansas City</v>
      </c>
      <c r="S174" s="364" t="str">
        <f t="shared" si="59"/>
        <v>Jacksonville</v>
      </c>
      <c r="T174" s="114" t="str">
        <f>K174</f>
        <v>Jacksonville</v>
      </c>
      <c r="U174" s="349" t="str">
        <f t="shared" si="60"/>
        <v>L</v>
      </c>
    </row>
    <row r="175" spans="1:21" s="335" customFormat="1" ht="15.75" customHeight="1" x14ac:dyDescent="0.8">
      <c r="A175" s="325">
        <v>10</v>
      </c>
      <c r="B175" s="46" t="s">
        <v>220</v>
      </c>
      <c r="C175" s="326">
        <f t="shared" si="55"/>
        <v>44878</v>
      </c>
      <c r="D175" s="327">
        <f>D154</f>
        <v>0.54166666666666663</v>
      </c>
      <c r="E175" s="78" t="s">
        <v>303</v>
      </c>
      <c r="F175" s="114" t="s">
        <v>339</v>
      </c>
      <c r="G175" s="46" t="s">
        <v>338</v>
      </c>
      <c r="H175" s="114" t="s">
        <v>345</v>
      </c>
      <c r="I175" s="46" t="s">
        <v>331</v>
      </c>
      <c r="J175" s="329" t="str">
        <f t="shared" si="61"/>
        <v>Miami</v>
      </c>
      <c r="K175" s="379" t="str">
        <f t="shared" si="56"/>
        <v>Cleveland</v>
      </c>
      <c r="L175" s="336">
        <v>3.5</v>
      </c>
      <c r="M175" s="339">
        <v>48.5</v>
      </c>
      <c r="N175" s="879" t="str">
        <f>J175</f>
        <v>Miami</v>
      </c>
      <c r="O175" s="114">
        <v>39</v>
      </c>
      <c r="P175" s="114" t="str">
        <f t="shared" si="57"/>
        <v>Cleveland</v>
      </c>
      <c r="Q175" s="114">
        <v>17</v>
      </c>
      <c r="R175" s="364" t="str">
        <f t="shared" si="58"/>
        <v>Miami</v>
      </c>
      <c r="S175" s="364" t="str">
        <f t="shared" si="59"/>
        <v>Cleveland</v>
      </c>
      <c r="T175" s="114" t="str">
        <f>J175</f>
        <v>Miami</v>
      </c>
      <c r="U175" s="349" t="str">
        <f t="shared" si="60"/>
        <v>W</v>
      </c>
    </row>
    <row r="176" spans="1:21" s="335" customFormat="1" ht="15.75" customHeight="1" x14ac:dyDescent="0.8">
      <c r="A176" s="325">
        <v>10</v>
      </c>
      <c r="B176" s="46" t="s">
        <v>220</v>
      </c>
      <c r="C176" s="326">
        <f t="shared" ref="C176:C179" si="62">+C156+7</f>
        <v>44878</v>
      </c>
      <c r="D176" s="327">
        <f t="shared" ref="D176:D177" si="63">D156</f>
        <v>0.54166666666666663</v>
      </c>
      <c r="E176" s="78" t="s">
        <v>303</v>
      </c>
      <c r="F176" s="114" t="s">
        <v>174</v>
      </c>
      <c r="G176" s="46" t="s">
        <v>343</v>
      </c>
      <c r="H176" s="114" t="s">
        <v>354</v>
      </c>
      <c r="I176" s="46" t="s">
        <v>347</v>
      </c>
      <c r="J176" s="329" t="str">
        <f t="shared" si="61"/>
        <v>NY Giants</v>
      </c>
      <c r="K176" s="379" t="str">
        <f t="shared" si="56"/>
        <v>Houston</v>
      </c>
      <c r="L176" s="336">
        <v>6.5</v>
      </c>
      <c r="M176" s="339">
        <v>41</v>
      </c>
      <c r="N176" s="879" t="str">
        <f>J176</f>
        <v>NY Giants</v>
      </c>
      <c r="O176" s="114">
        <v>24</v>
      </c>
      <c r="P176" s="114" t="str">
        <f t="shared" si="57"/>
        <v>Houston</v>
      </c>
      <c r="Q176" s="114">
        <v>16</v>
      </c>
      <c r="R176" s="364" t="str">
        <f t="shared" si="58"/>
        <v>NY Giants</v>
      </c>
      <c r="S176" s="364" t="str">
        <f t="shared" si="59"/>
        <v>Houston</v>
      </c>
      <c r="T176" s="114" t="str">
        <f>J176</f>
        <v>NY Giants</v>
      </c>
      <c r="U176" s="349" t="str">
        <f t="shared" si="60"/>
        <v>W</v>
      </c>
    </row>
    <row r="177" spans="1:21" s="335" customFormat="1" ht="15.75" customHeight="1" x14ac:dyDescent="0.8">
      <c r="A177" s="325">
        <v>10</v>
      </c>
      <c r="B177" s="46" t="s">
        <v>220</v>
      </c>
      <c r="C177" s="326">
        <f t="shared" si="62"/>
        <v>44878</v>
      </c>
      <c r="D177" s="327">
        <f t="shared" si="63"/>
        <v>0.54166666666666663</v>
      </c>
      <c r="E177" s="78" t="s">
        <v>118</v>
      </c>
      <c r="F177" s="114" t="s">
        <v>356</v>
      </c>
      <c r="G177" s="46" t="s">
        <v>334</v>
      </c>
      <c r="H177" s="114" t="s">
        <v>128</v>
      </c>
      <c r="I177" s="46" t="s">
        <v>338</v>
      </c>
      <c r="J177" s="329" t="str">
        <f>F177</f>
        <v>New Orleans</v>
      </c>
      <c r="K177" s="379" t="str">
        <f t="shared" si="56"/>
        <v>Pittsburgh</v>
      </c>
      <c r="L177" s="336">
        <v>2.5</v>
      </c>
      <c r="M177" s="339">
        <v>40</v>
      </c>
      <c r="N177" s="879" t="str">
        <f>K177</f>
        <v>Pittsburgh</v>
      </c>
      <c r="O177" s="114">
        <v>20</v>
      </c>
      <c r="P177" s="114" t="str">
        <f t="shared" si="57"/>
        <v>New Orleans</v>
      </c>
      <c r="Q177" s="114">
        <v>10</v>
      </c>
      <c r="R177" s="364" t="str">
        <f t="shared" si="58"/>
        <v>Pittsburgh</v>
      </c>
      <c r="S177" s="364" t="str">
        <f t="shared" si="59"/>
        <v>New Orleans</v>
      </c>
      <c r="T177" s="114" t="str">
        <f>K177</f>
        <v>Pittsburgh</v>
      </c>
      <c r="U177" s="349" t="str">
        <f t="shared" si="60"/>
        <v>W</v>
      </c>
    </row>
    <row r="178" spans="1:21" s="335" customFormat="1" ht="15.75" customHeight="1" x14ac:dyDescent="0.8">
      <c r="A178" s="325">
        <v>10</v>
      </c>
      <c r="B178" s="46" t="s">
        <v>220</v>
      </c>
      <c r="C178" s="326">
        <f t="shared" si="62"/>
        <v>44878</v>
      </c>
      <c r="D178" s="327">
        <f>16/24</f>
        <v>0.66666666666666663</v>
      </c>
      <c r="E178" s="78" t="s">
        <v>303</v>
      </c>
      <c r="F178" s="114" t="s">
        <v>348</v>
      </c>
      <c r="G178" s="46" t="s">
        <v>343</v>
      </c>
      <c r="H178" s="114" t="s">
        <v>295</v>
      </c>
      <c r="I178" s="46" t="s">
        <v>329</v>
      </c>
      <c r="J178" s="329" t="str">
        <f>H178</f>
        <v>Las Vegas</v>
      </c>
      <c r="K178" s="379" t="str">
        <f t="shared" si="56"/>
        <v>Indianapolis</v>
      </c>
      <c r="L178" s="336">
        <v>6</v>
      </c>
      <c r="M178" s="339">
        <v>42.5</v>
      </c>
      <c r="N178" s="879" t="str">
        <f>K178</f>
        <v>Indianapolis</v>
      </c>
      <c r="O178" s="114">
        <v>25</v>
      </c>
      <c r="P178" s="114" t="str">
        <f t="shared" si="57"/>
        <v>Las Vegas</v>
      </c>
      <c r="Q178" s="114">
        <v>20</v>
      </c>
      <c r="R178" s="364" t="str">
        <f t="shared" si="58"/>
        <v>Indianapolis</v>
      </c>
      <c r="S178" s="364" t="str">
        <f t="shared" si="59"/>
        <v>Las Vegas</v>
      </c>
      <c r="T178" s="114" t="str">
        <f>K178</f>
        <v>Indianapolis</v>
      </c>
      <c r="U178" s="349" t="str">
        <f t="shared" ref="U178:U182" si="64">IF($N178=$J178,IF($O178-$Q178=$L178,"T",IF($R178=T178,"W","L")),IF($R178=T178,"W","L"))</f>
        <v>W</v>
      </c>
    </row>
    <row r="179" spans="1:21" s="335" customFormat="1" ht="15.75" customHeight="1" x14ac:dyDescent="0.8">
      <c r="A179" s="325">
        <v>10</v>
      </c>
      <c r="B179" s="46" t="s">
        <v>220</v>
      </c>
      <c r="C179" s="326">
        <f t="shared" si="62"/>
        <v>44878</v>
      </c>
      <c r="D179" s="327">
        <f>16/24</f>
        <v>0.66666666666666663</v>
      </c>
      <c r="E179" s="46" t="s">
        <v>179</v>
      </c>
      <c r="F179" s="114" t="s">
        <v>355</v>
      </c>
      <c r="G179" s="46" t="s">
        <v>347</v>
      </c>
      <c r="H179" s="114" t="s">
        <v>351</v>
      </c>
      <c r="I179" s="46" t="s">
        <v>336</v>
      </c>
      <c r="J179" s="329" t="str">
        <f>F179</f>
        <v>Dallas</v>
      </c>
      <c r="K179" s="379" t="str">
        <f t="shared" si="56"/>
        <v>Green Bay</v>
      </c>
      <c r="L179" s="336">
        <v>5</v>
      </c>
      <c r="M179" s="339">
        <v>43</v>
      </c>
      <c r="N179" s="879" t="str">
        <f>K179</f>
        <v>Green Bay</v>
      </c>
      <c r="O179" s="114">
        <v>31</v>
      </c>
      <c r="P179" s="114" t="str">
        <f t="shared" si="57"/>
        <v>Dallas</v>
      </c>
      <c r="Q179" s="114">
        <v>28</v>
      </c>
      <c r="R179" s="364" t="str">
        <f t="shared" si="58"/>
        <v>Green Bay</v>
      </c>
      <c r="S179" s="364" t="str">
        <f t="shared" si="59"/>
        <v>Dallas</v>
      </c>
      <c r="T179" s="114" t="str">
        <f>J179</f>
        <v>Dallas</v>
      </c>
      <c r="U179" s="349" t="str">
        <f t="shared" si="64"/>
        <v>L</v>
      </c>
    </row>
    <row r="180" spans="1:21" s="335" customFormat="1" ht="15.75" customHeight="1" x14ac:dyDescent="0.8">
      <c r="A180" s="325">
        <v>10</v>
      </c>
      <c r="B180" s="46" t="s">
        <v>220</v>
      </c>
      <c r="C180" s="326">
        <f>+C179+1</f>
        <v>44879</v>
      </c>
      <c r="D180" s="327">
        <f>16/24</f>
        <v>0.66666666666666663</v>
      </c>
      <c r="E180" s="46" t="s">
        <v>135</v>
      </c>
      <c r="F180" s="114" t="s">
        <v>198</v>
      </c>
      <c r="G180" s="46" t="s">
        <v>340</v>
      </c>
      <c r="H180" s="114" t="s">
        <v>349</v>
      </c>
      <c r="I180" s="46" t="s">
        <v>340</v>
      </c>
      <c r="J180" s="329" t="str">
        <f>H180</f>
        <v>LA Rams</v>
      </c>
      <c r="K180" s="379" t="str">
        <f t="shared" si="56"/>
        <v>Arizona</v>
      </c>
      <c r="L180" s="336">
        <v>3</v>
      </c>
      <c r="M180" s="339">
        <v>43</v>
      </c>
      <c r="N180" s="879" t="str">
        <f>K180</f>
        <v>Arizona</v>
      </c>
      <c r="O180" s="114">
        <v>27</v>
      </c>
      <c r="P180" s="114" t="str">
        <f t="shared" si="57"/>
        <v>LA Rams</v>
      </c>
      <c r="Q180" s="114">
        <v>17</v>
      </c>
      <c r="R180" s="364" t="str">
        <f t="shared" si="58"/>
        <v>Arizona</v>
      </c>
      <c r="S180" s="364" t="str">
        <f t="shared" si="59"/>
        <v>LA Rams</v>
      </c>
      <c r="T180" s="114" t="str">
        <f>K180</f>
        <v>Arizona</v>
      </c>
      <c r="U180" s="349" t="str">
        <f t="shared" si="64"/>
        <v>W</v>
      </c>
    </row>
    <row r="181" spans="1:21" s="335" customFormat="1" ht="15.75" customHeight="1" x14ac:dyDescent="0.8">
      <c r="A181" s="325">
        <v>10</v>
      </c>
      <c r="B181" s="46" t="s">
        <v>220</v>
      </c>
      <c r="C181" s="326">
        <f>+C180</f>
        <v>44879</v>
      </c>
      <c r="D181" s="327">
        <f>20.25/24</f>
        <v>0.84375</v>
      </c>
      <c r="E181" s="46" t="s">
        <v>179</v>
      </c>
      <c r="F181" s="114" t="s">
        <v>357</v>
      </c>
      <c r="G181" s="46" t="s">
        <v>329</v>
      </c>
      <c r="H181" s="114" t="s">
        <v>353</v>
      </c>
      <c r="I181" s="46" t="s">
        <v>340</v>
      </c>
      <c r="J181" s="329" t="str">
        <f>H181</f>
        <v>San Francisco</v>
      </c>
      <c r="K181" s="379" t="str">
        <f t="shared" si="56"/>
        <v>LA Chargers</v>
      </c>
      <c r="L181" s="336">
        <v>7</v>
      </c>
      <c r="M181" s="339">
        <v>45.5</v>
      </c>
      <c r="N181" s="879" t="str">
        <f>J181</f>
        <v>San Francisco</v>
      </c>
      <c r="O181" s="114">
        <v>22</v>
      </c>
      <c r="P181" s="114" t="str">
        <f t="shared" si="57"/>
        <v>LA Chargers</v>
      </c>
      <c r="Q181" s="114">
        <v>16</v>
      </c>
      <c r="R181" s="364" t="str">
        <f t="shared" si="58"/>
        <v>LA Chargers</v>
      </c>
      <c r="S181" s="364" t="str">
        <f t="shared" si="59"/>
        <v>San Francisco</v>
      </c>
      <c r="T181" s="114" t="str">
        <f>J181</f>
        <v>San Francisco</v>
      </c>
      <c r="U181" s="349" t="str">
        <f t="shared" si="64"/>
        <v>L</v>
      </c>
    </row>
    <row r="182" spans="1:21" s="335" customFormat="1" ht="15.75" customHeight="1" x14ac:dyDescent="0.8">
      <c r="A182" s="325">
        <v>10</v>
      </c>
      <c r="B182" s="46" t="s">
        <v>225</v>
      </c>
      <c r="C182" s="326">
        <f>+C181+1</f>
        <v>44880</v>
      </c>
      <c r="D182" s="327">
        <f>+D181</f>
        <v>0.84375</v>
      </c>
      <c r="E182" s="46" t="s">
        <v>135</v>
      </c>
      <c r="F182" s="114" t="s">
        <v>91</v>
      </c>
      <c r="G182" s="46" t="s">
        <v>347</v>
      </c>
      <c r="H182" s="114" t="s">
        <v>346</v>
      </c>
      <c r="I182" s="46" t="s">
        <v>347</v>
      </c>
      <c r="J182" s="329" t="str">
        <f>H182</f>
        <v>Philadelphia</v>
      </c>
      <c r="K182" s="379" t="str">
        <f t="shared" si="56"/>
        <v>Washington</v>
      </c>
      <c r="L182" s="336">
        <v>11</v>
      </c>
      <c r="M182" s="339">
        <v>44</v>
      </c>
      <c r="N182" s="879" t="str">
        <f>K182</f>
        <v>Washington</v>
      </c>
      <c r="O182" s="114">
        <v>32</v>
      </c>
      <c r="P182" s="114" t="str">
        <f t="shared" si="57"/>
        <v>Philadelphia</v>
      </c>
      <c r="Q182" s="114">
        <v>21</v>
      </c>
      <c r="R182" s="364" t="str">
        <f t="shared" ref="R182:R199" si="65">IF(+N182=K182,+N182,IF(+O182-Q182&lt;L182,+K182,+J182))</f>
        <v>Washington</v>
      </c>
      <c r="S182" s="364" t="str">
        <f t="shared" ref="S182:S199" si="66">IF(+R182=J182,+K182,+J182)</f>
        <v>Philadelphia</v>
      </c>
      <c r="T182" s="114" t="str">
        <f>J182</f>
        <v>Philadelphia</v>
      </c>
      <c r="U182" s="349" t="str">
        <f t="shared" si="64"/>
        <v>L</v>
      </c>
    </row>
    <row r="183" spans="1:21" s="335" customFormat="1" ht="15.75" customHeight="1" x14ac:dyDescent="0.8">
      <c r="A183" s="325">
        <f>+A182</f>
        <v>10</v>
      </c>
      <c r="B183" s="46"/>
      <c r="C183" s="326"/>
      <c r="D183" s="327"/>
      <c r="E183" s="78"/>
      <c r="F183" s="114" t="s">
        <v>409</v>
      </c>
      <c r="G183" s="46"/>
      <c r="H183" s="114"/>
      <c r="I183" s="46"/>
      <c r="J183" s="329"/>
      <c r="K183" s="379"/>
      <c r="L183" s="336"/>
      <c r="M183" s="339"/>
      <c r="N183" s="879"/>
      <c r="O183" s="114"/>
      <c r="P183" s="114"/>
      <c r="Q183" s="114"/>
      <c r="R183" s="494"/>
      <c r="S183" s="494"/>
      <c r="T183" s="114"/>
      <c r="U183" s="349"/>
    </row>
    <row r="184" spans="1:21" s="335" customFormat="1" ht="15.75" customHeight="1" x14ac:dyDescent="0.8">
      <c r="A184" s="325">
        <v>10</v>
      </c>
      <c r="B184" s="46"/>
      <c r="C184" s="326"/>
      <c r="D184" s="327"/>
      <c r="E184" s="46"/>
      <c r="F184" s="114" t="s">
        <v>55</v>
      </c>
      <c r="G184" s="46" t="s">
        <v>338</v>
      </c>
      <c r="H184" s="114"/>
      <c r="I184" s="46"/>
      <c r="J184" s="329"/>
      <c r="K184" s="379"/>
      <c r="L184" s="336"/>
      <c r="M184" s="339"/>
      <c r="N184" s="879"/>
      <c r="O184" s="114"/>
      <c r="P184" s="114"/>
      <c r="Q184" s="114"/>
      <c r="R184" s="494"/>
      <c r="S184" s="494"/>
      <c r="T184" s="114"/>
      <c r="U184" s="349"/>
    </row>
    <row r="185" spans="1:21" s="335" customFormat="1" ht="15.75" customHeight="1" x14ac:dyDescent="0.8">
      <c r="A185" s="325">
        <v>10</v>
      </c>
      <c r="B185" s="46"/>
      <c r="C185" s="326"/>
      <c r="D185" s="327"/>
      <c r="E185" s="46"/>
      <c r="F185" s="114" t="s">
        <v>330</v>
      </c>
      <c r="G185" s="46" t="s">
        <v>331</v>
      </c>
      <c r="H185" s="114"/>
      <c r="I185" s="46"/>
      <c r="J185" s="329"/>
      <c r="K185" s="379"/>
      <c r="L185" s="336"/>
      <c r="M185" s="339"/>
      <c r="N185" s="879"/>
      <c r="O185" s="114"/>
      <c r="P185" s="114"/>
      <c r="Q185" s="114"/>
      <c r="R185" s="494"/>
      <c r="S185" s="494"/>
      <c r="T185" s="114"/>
      <c r="U185" s="349"/>
    </row>
    <row r="186" spans="1:21" s="335" customFormat="1" ht="15.75" customHeight="1" x14ac:dyDescent="0.8">
      <c r="A186" s="325">
        <v>10</v>
      </c>
      <c r="B186" s="46"/>
      <c r="C186" s="326"/>
      <c r="D186" s="327"/>
      <c r="E186" s="46"/>
      <c r="F186" s="114" t="s">
        <v>332</v>
      </c>
      <c r="G186" s="46" t="s">
        <v>331</v>
      </c>
      <c r="H186" s="114"/>
      <c r="I186" s="46"/>
      <c r="J186" s="329"/>
      <c r="K186" s="379"/>
      <c r="L186" s="336"/>
      <c r="M186" s="339"/>
      <c r="N186" s="879"/>
      <c r="O186" s="114"/>
      <c r="P186" s="114"/>
      <c r="Q186" s="114"/>
      <c r="R186" s="494"/>
      <c r="S186" s="494"/>
      <c r="T186" s="114"/>
      <c r="U186" s="349"/>
    </row>
    <row r="187" spans="1:21" s="335" customFormat="1" ht="15.75" customHeight="1" x14ac:dyDescent="0.8">
      <c r="A187" s="325">
        <v>10</v>
      </c>
      <c r="B187" s="46"/>
      <c r="C187" s="326"/>
      <c r="D187" s="327"/>
      <c r="E187" s="46"/>
      <c r="F187" s="114" t="s">
        <v>337</v>
      </c>
      <c r="G187" s="46" t="s">
        <v>338</v>
      </c>
      <c r="H187" s="114"/>
      <c r="I187" s="46"/>
      <c r="J187" s="329"/>
      <c r="K187" s="379"/>
      <c r="L187" s="336"/>
      <c r="M187" s="339"/>
      <c r="N187" s="879"/>
      <c r="O187" s="114"/>
      <c r="P187" s="114"/>
      <c r="Q187" s="114"/>
      <c r="R187" s="494"/>
      <c r="S187" s="494"/>
      <c r="T187" s="114"/>
      <c r="U187" s="349"/>
    </row>
    <row r="188" spans="1:21" s="335" customFormat="1" ht="15.75" customHeight="1" x14ac:dyDescent="0.8">
      <c r="A188" s="325">
        <v>10</v>
      </c>
      <c r="B188" s="46"/>
      <c r="C188" s="326"/>
      <c r="D188" s="327"/>
      <c r="E188" s="46"/>
      <c r="F188" s="114"/>
      <c r="G188" s="46" t="e">
        <v>#N/A</v>
      </c>
      <c r="H188" s="114"/>
      <c r="I188" s="46"/>
      <c r="J188" s="329"/>
      <c r="K188" s="379"/>
      <c r="L188" s="336"/>
      <c r="M188" s="339"/>
      <c r="N188" s="360"/>
      <c r="O188" s="114"/>
      <c r="P188" s="328"/>
      <c r="Q188" s="114"/>
      <c r="R188" s="494"/>
      <c r="S188" s="494"/>
      <c r="T188" s="114"/>
      <c r="U188" s="349"/>
    </row>
    <row r="189" spans="1:21" s="335" customFormat="1" ht="15.75" customHeight="1" x14ac:dyDescent="0.8">
      <c r="A189" s="46">
        <v>11</v>
      </c>
      <c r="B189" s="46" t="s">
        <v>52</v>
      </c>
      <c r="C189" s="326">
        <f>+C169+7</f>
        <v>44882</v>
      </c>
      <c r="D189" s="327">
        <f>D170</f>
        <v>0.39583333333333331</v>
      </c>
      <c r="E189" s="46" t="s">
        <v>179</v>
      </c>
      <c r="F189" s="114" t="s">
        <v>226</v>
      </c>
      <c r="G189" s="46" t="s">
        <v>343</v>
      </c>
      <c r="H189" s="114" t="s">
        <v>351</v>
      </c>
      <c r="I189" s="46" t="s">
        <v>336</v>
      </c>
      <c r="J189" s="329" t="str">
        <f>H189</f>
        <v>Green Bay</v>
      </c>
      <c r="K189" s="379" t="str">
        <f t="shared" ref="K189:K202" si="67">IF(+J189=H189,F189,H189)</f>
        <v>Tennessee</v>
      </c>
      <c r="L189" s="336">
        <v>3</v>
      </c>
      <c r="M189" s="339">
        <v>41</v>
      </c>
      <c r="N189" s="879" t="str">
        <f>K189</f>
        <v>Tennessee</v>
      </c>
      <c r="O189" s="114">
        <v>27</v>
      </c>
      <c r="P189" s="114" t="str">
        <f t="shared" ref="P189:P199" si="68">IF(N189=F189,H189,F189)</f>
        <v>Green Bay</v>
      </c>
      <c r="Q189" s="114">
        <v>17</v>
      </c>
      <c r="R189" s="364" t="str">
        <f t="shared" si="65"/>
        <v>Tennessee</v>
      </c>
      <c r="S189" s="364" t="str">
        <f t="shared" si="66"/>
        <v>Green Bay</v>
      </c>
      <c r="T189" s="114" t="str">
        <f>K189</f>
        <v>Tennessee</v>
      </c>
      <c r="U189" s="349" t="str">
        <f t="shared" ref="U189:U191" si="69">IF($N189=$J189,IF($O189-$Q189=$L189,"T",IF($R189=T189,"W","L")),IF($R189=T189,"W","L"))</f>
        <v>W</v>
      </c>
    </row>
    <row r="190" spans="1:21" s="335" customFormat="1" ht="15.75" customHeight="1" x14ac:dyDescent="0.8">
      <c r="A190" s="46">
        <v>11</v>
      </c>
      <c r="B190" s="46" t="s">
        <v>220</v>
      </c>
      <c r="C190" s="326">
        <f t="shared" ref="C190:C199" si="70">+C170+7</f>
        <v>44885</v>
      </c>
      <c r="D190" s="327">
        <f>9.5/24</f>
        <v>0.39583333333333331</v>
      </c>
      <c r="E190" s="78" t="s">
        <v>359</v>
      </c>
      <c r="F190" s="114" t="s">
        <v>335</v>
      </c>
      <c r="G190" s="46" t="s">
        <v>336</v>
      </c>
      <c r="H190" s="114" t="s">
        <v>333</v>
      </c>
      <c r="I190" s="46" t="s">
        <v>334</v>
      </c>
      <c r="J190" s="329" t="str">
        <f>H190</f>
        <v>Atlanta</v>
      </c>
      <c r="K190" s="379" t="str">
        <f t="shared" si="67"/>
        <v>Chicago</v>
      </c>
      <c r="L190" s="336">
        <v>3</v>
      </c>
      <c r="M190" s="339">
        <v>50</v>
      </c>
      <c r="N190" s="879" t="str">
        <f>J190</f>
        <v>Atlanta</v>
      </c>
      <c r="O190" s="114">
        <v>27</v>
      </c>
      <c r="P190" s="114" t="str">
        <f t="shared" si="68"/>
        <v>Chicago</v>
      </c>
      <c r="Q190" s="114">
        <v>24</v>
      </c>
      <c r="R190" s="364" t="str">
        <f t="shared" si="65"/>
        <v>Atlanta</v>
      </c>
      <c r="S190" s="364" t="str">
        <f t="shared" si="66"/>
        <v>Chicago</v>
      </c>
      <c r="T190" s="114" t="str">
        <f>K190</f>
        <v>Chicago</v>
      </c>
      <c r="U190" s="349" t="str">
        <f t="shared" ref="U190" si="71">IF($N190=$J190,IF($O190-$Q190=$L190,"T",IF($R190=T190,"W","L")),IF($R190=T190,"W","L"))</f>
        <v>T</v>
      </c>
    </row>
    <row r="191" spans="1:21" s="335" customFormat="1" ht="15.75" customHeight="1" x14ac:dyDescent="0.8">
      <c r="A191" s="46">
        <v>11</v>
      </c>
      <c r="B191" s="46" t="s">
        <v>220</v>
      </c>
      <c r="C191" s="326">
        <f t="shared" si="70"/>
        <v>44885</v>
      </c>
      <c r="D191" s="327">
        <f t="shared" ref="D191:D197" si="72">D171</f>
        <v>0.39583333333333331</v>
      </c>
      <c r="E191" s="78" t="s">
        <v>303</v>
      </c>
      <c r="F191" s="114" t="s">
        <v>339</v>
      </c>
      <c r="G191" s="46" t="s">
        <v>338</v>
      </c>
      <c r="H191" s="114" t="s">
        <v>67</v>
      </c>
      <c r="I191" s="46" t="s">
        <v>331</v>
      </c>
      <c r="J191" s="329" t="str">
        <f>H191</f>
        <v>Buffalo</v>
      </c>
      <c r="K191" s="379" t="str">
        <f t="shared" si="67"/>
        <v>Cleveland</v>
      </c>
      <c r="L191" s="336">
        <v>8</v>
      </c>
      <c r="M191" s="339">
        <v>43</v>
      </c>
      <c r="N191" s="879" t="str">
        <f>J191</f>
        <v>Buffalo</v>
      </c>
      <c r="O191" s="114">
        <v>31</v>
      </c>
      <c r="P191" s="114" t="str">
        <f t="shared" si="68"/>
        <v>Cleveland</v>
      </c>
      <c r="Q191" s="114">
        <v>23</v>
      </c>
      <c r="R191" s="364" t="str">
        <f t="shared" si="65"/>
        <v>Buffalo</v>
      </c>
      <c r="S191" s="364" t="str">
        <f t="shared" si="66"/>
        <v>Cleveland</v>
      </c>
      <c r="T191" s="114" t="str">
        <f>J191</f>
        <v>Buffalo</v>
      </c>
      <c r="U191" s="349" t="str">
        <f t="shared" si="69"/>
        <v>T</v>
      </c>
    </row>
    <row r="192" spans="1:21" s="335" customFormat="1" ht="15.75" customHeight="1" x14ac:dyDescent="0.8">
      <c r="A192" s="46">
        <v>11</v>
      </c>
      <c r="B192" s="46" t="s">
        <v>220</v>
      </c>
      <c r="C192" s="326">
        <f t="shared" si="70"/>
        <v>44885</v>
      </c>
      <c r="D192" s="327">
        <f t="shared" si="72"/>
        <v>0.54166666666666663</v>
      </c>
      <c r="E192" s="78" t="s">
        <v>118</v>
      </c>
      <c r="F192" s="114" t="s">
        <v>346</v>
      </c>
      <c r="G192" s="46" t="s">
        <v>347</v>
      </c>
      <c r="H192" s="114" t="s">
        <v>348</v>
      </c>
      <c r="I192" s="46" t="s">
        <v>343</v>
      </c>
      <c r="J192" s="329" t="str">
        <f>F192</f>
        <v>Philadelphia</v>
      </c>
      <c r="K192" s="379" t="str">
        <f t="shared" si="67"/>
        <v>Indianapolis</v>
      </c>
      <c r="L192" s="336">
        <v>6.5</v>
      </c>
      <c r="M192" s="339">
        <v>45</v>
      </c>
      <c r="N192" s="879" t="str">
        <f>J192</f>
        <v>Philadelphia</v>
      </c>
      <c r="O192" s="114">
        <v>17</v>
      </c>
      <c r="P192" s="114" t="str">
        <f t="shared" si="68"/>
        <v>Indianapolis</v>
      </c>
      <c r="Q192" s="114">
        <v>16</v>
      </c>
      <c r="R192" s="364" t="str">
        <f t="shared" si="65"/>
        <v>Indianapolis</v>
      </c>
      <c r="S192" s="364" t="str">
        <f t="shared" si="66"/>
        <v>Philadelphia</v>
      </c>
      <c r="T192" s="114" t="str">
        <f>J192</f>
        <v>Philadelphia</v>
      </c>
      <c r="U192" s="349" t="str">
        <f t="shared" ref="U192:U202" si="73">IF($N192=$J192,IF($O192-$Q192=$L192,"T",IF($R192=T192,"W","L")),IF($R192=T192,"W","L"))</f>
        <v>L</v>
      </c>
    </row>
    <row r="193" spans="1:21" s="335" customFormat="1" ht="15.75" customHeight="1" x14ac:dyDescent="0.8">
      <c r="A193" s="46">
        <v>11</v>
      </c>
      <c r="B193" s="46" t="s">
        <v>220</v>
      </c>
      <c r="C193" s="326">
        <f t="shared" si="70"/>
        <v>44885</v>
      </c>
      <c r="D193" s="327">
        <f t="shared" si="72"/>
        <v>0.54166666666666663</v>
      </c>
      <c r="E193" s="78" t="s">
        <v>303</v>
      </c>
      <c r="F193" s="114" t="s">
        <v>332</v>
      </c>
      <c r="G193" s="46" t="s">
        <v>331</v>
      </c>
      <c r="H193" s="114" t="s">
        <v>330</v>
      </c>
      <c r="I193" s="46" t="s">
        <v>331</v>
      </c>
      <c r="J193" s="329" t="str">
        <f>H193</f>
        <v>New England</v>
      </c>
      <c r="K193" s="379" t="str">
        <f t="shared" si="67"/>
        <v>NY Jets</v>
      </c>
      <c r="L193" s="336">
        <v>3</v>
      </c>
      <c r="M193" s="339">
        <v>38.5</v>
      </c>
      <c r="N193" s="879" t="str">
        <f>J193</f>
        <v>New England</v>
      </c>
      <c r="O193" s="114">
        <v>10</v>
      </c>
      <c r="P193" s="114" t="str">
        <f t="shared" si="68"/>
        <v>NY Jets</v>
      </c>
      <c r="Q193" s="114">
        <v>3</v>
      </c>
      <c r="R193" s="364" t="str">
        <f t="shared" si="65"/>
        <v>New England</v>
      </c>
      <c r="S193" s="364" t="str">
        <f t="shared" si="66"/>
        <v>NY Jets</v>
      </c>
      <c r="T193" s="114" t="str">
        <f>J193</f>
        <v>New England</v>
      </c>
      <c r="U193" s="349" t="str">
        <f t="shared" si="73"/>
        <v>W</v>
      </c>
    </row>
    <row r="194" spans="1:21" s="335" customFormat="1" ht="15.75" customHeight="1" x14ac:dyDescent="0.8">
      <c r="A194" s="46">
        <v>11</v>
      </c>
      <c r="B194" s="46" t="s">
        <v>220</v>
      </c>
      <c r="C194" s="326">
        <f t="shared" si="70"/>
        <v>44885</v>
      </c>
      <c r="D194" s="327">
        <f t="shared" si="72"/>
        <v>0.54166666666666663</v>
      </c>
      <c r="E194" s="78" t="s">
        <v>118</v>
      </c>
      <c r="F194" s="114" t="s">
        <v>349</v>
      </c>
      <c r="G194" s="46" t="s">
        <v>340</v>
      </c>
      <c r="H194" s="114" t="s">
        <v>356</v>
      </c>
      <c r="I194" s="46" t="s">
        <v>334</v>
      </c>
      <c r="J194" s="329" t="str">
        <f>H194</f>
        <v>New Orleans</v>
      </c>
      <c r="K194" s="379" t="str">
        <f t="shared" si="67"/>
        <v>LA Rams</v>
      </c>
      <c r="L194" s="336">
        <v>4</v>
      </c>
      <c r="M194" s="339">
        <v>38.5</v>
      </c>
      <c r="N194" s="879" t="str">
        <f>J194</f>
        <v>New Orleans</v>
      </c>
      <c r="O194" s="114">
        <v>27</v>
      </c>
      <c r="P194" s="114" t="str">
        <f t="shared" si="68"/>
        <v>LA Rams</v>
      </c>
      <c r="Q194" s="114">
        <v>20</v>
      </c>
      <c r="R194" s="364" t="str">
        <f t="shared" si="65"/>
        <v>New Orleans</v>
      </c>
      <c r="S194" s="364" t="str">
        <f t="shared" si="66"/>
        <v>LA Rams</v>
      </c>
      <c r="T194" s="114" t="str">
        <f>K194</f>
        <v>LA Rams</v>
      </c>
      <c r="U194" s="349" t="str">
        <f t="shared" si="73"/>
        <v>L</v>
      </c>
    </row>
    <row r="195" spans="1:21" s="335" customFormat="1" ht="15.75" customHeight="1" x14ac:dyDescent="0.8">
      <c r="A195" s="46">
        <v>11</v>
      </c>
      <c r="B195" s="46" t="s">
        <v>220</v>
      </c>
      <c r="C195" s="326">
        <f t="shared" si="70"/>
        <v>44885</v>
      </c>
      <c r="D195" s="327">
        <f t="shared" si="72"/>
        <v>0.54166666666666663</v>
      </c>
      <c r="E195" s="78" t="s">
        <v>118</v>
      </c>
      <c r="F195" s="114" t="s">
        <v>341</v>
      </c>
      <c r="G195" s="46" t="s">
        <v>336</v>
      </c>
      <c r="H195" s="114" t="s">
        <v>354</v>
      </c>
      <c r="I195" s="46" t="s">
        <v>347</v>
      </c>
      <c r="J195" s="329" t="str">
        <f>H195</f>
        <v>NY Giants</v>
      </c>
      <c r="K195" s="379" t="str">
        <f t="shared" si="67"/>
        <v>Detroit</v>
      </c>
      <c r="L195" s="336">
        <v>3</v>
      </c>
      <c r="M195" s="339">
        <v>46.5</v>
      </c>
      <c r="N195" s="879" t="str">
        <f>K195</f>
        <v>Detroit</v>
      </c>
      <c r="O195" s="114">
        <v>31</v>
      </c>
      <c r="P195" s="114" t="str">
        <f t="shared" si="68"/>
        <v>NY Giants</v>
      </c>
      <c r="Q195" s="114">
        <v>18</v>
      </c>
      <c r="R195" s="364" t="str">
        <f t="shared" si="65"/>
        <v>Detroit</v>
      </c>
      <c r="S195" s="364" t="str">
        <f t="shared" si="66"/>
        <v>NY Giants</v>
      </c>
      <c r="T195" s="114" t="str">
        <f>K195</f>
        <v>Detroit</v>
      </c>
      <c r="U195" s="349" t="str">
        <f t="shared" si="73"/>
        <v>W</v>
      </c>
    </row>
    <row r="196" spans="1:21" s="335" customFormat="1" ht="15.75" customHeight="1" x14ac:dyDescent="0.8">
      <c r="A196" s="46">
        <v>11</v>
      </c>
      <c r="B196" s="46" t="s">
        <v>220</v>
      </c>
      <c r="C196" s="326">
        <f t="shared" si="70"/>
        <v>44885</v>
      </c>
      <c r="D196" s="327">
        <f t="shared" si="72"/>
        <v>0.54166666666666663</v>
      </c>
      <c r="E196" s="78" t="s">
        <v>118</v>
      </c>
      <c r="F196" s="114" t="s">
        <v>352</v>
      </c>
      <c r="G196" s="46" t="s">
        <v>334</v>
      </c>
      <c r="H196" s="114" t="s">
        <v>337</v>
      </c>
      <c r="I196" s="46" t="s">
        <v>338</v>
      </c>
      <c r="J196" s="329" t="str">
        <f>H196</f>
        <v>Baltimore</v>
      </c>
      <c r="K196" s="379" t="str">
        <f t="shared" si="67"/>
        <v>Carolina</v>
      </c>
      <c r="L196" s="70">
        <v>12</v>
      </c>
      <c r="M196" s="339">
        <v>43.5</v>
      </c>
      <c r="N196" s="879" t="str">
        <f>J196</f>
        <v>Baltimore</v>
      </c>
      <c r="O196" s="114">
        <v>13</v>
      </c>
      <c r="P196" s="114" t="str">
        <f t="shared" si="68"/>
        <v>Carolina</v>
      </c>
      <c r="Q196" s="114">
        <v>3</v>
      </c>
      <c r="R196" s="364" t="str">
        <f t="shared" si="65"/>
        <v>Carolina</v>
      </c>
      <c r="S196" s="364" t="str">
        <f t="shared" si="66"/>
        <v>Baltimore</v>
      </c>
      <c r="T196" s="114" t="str">
        <f>J196</f>
        <v>Baltimore</v>
      </c>
      <c r="U196" s="349" t="str">
        <f t="shared" si="73"/>
        <v>L</v>
      </c>
    </row>
    <row r="197" spans="1:21" s="335" customFormat="1" ht="15.75" customHeight="1" x14ac:dyDescent="0.8">
      <c r="A197" s="46">
        <v>11</v>
      </c>
      <c r="B197" s="46" t="s">
        <v>220</v>
      </c>
      <c r="C197" s="326">
        <f t="shared" si="70"/>
        <v>44885</v>
      </c>
      <c r="D197" s="327">
        <f t="shared" si="72"/>
        <v>0.54166666666666663</v>
      </c>
      <c r="E197" s="78" t="s">
        <v>118</v>
      </c>
      <c r="F197" s="114" t="s">
        <v>91</v>
      </c>
      <c r="G197" s="46" t="s">
        <v>347</v>
      </c>
      <c r="H197" s="114" t="s">
        <v>174</v>
      </c>
      <c r="I197" s="46" t="s">
        <v>343</v>
      </c>
      <c r="J197" s="329" t="str">
        <f>F197</f>
        <v>Washington</v>
      </c>
      <c r="K197" s="379" t="str">
        <f t="shared" si="67"/>
        <v>Houston</v>
      </c>
      <c r="L197" s="336">
        <v>3.5</v>
      </c>
      <c r="M197" s="339">
        <v>40.5</v>
      </c>
      <c r="N197" s="879" t="str">
        <f>J197</f>
        <v>Washington</v>
      </c>
      <c r="O197" s="114">
        <v>23</v>
      </c>
      <c r="P197" s="114" t="str">
        <f t="shared" si="68"/>
        <v>Houston</v>
      </c>
      <c r="Q197" s="114">
        <v>10</v>
      </c>
      <c r="R197" s="364" t="str">
        <f t="shared" si="65"/>
        <v>Washington</v>
      </c>
      <c r="S197" s="364" t="str">
        <f t="shared" si="66"/>
        <v>Houston</v>
      </c>
      <c r="T197" s="114" t="str">
        <f>J197</f>
        <v>Washington</v>
      </c>
      <c r="U197" s="349" t="str">
        <f t="shared" si="73"/>
        <v>W</v>
      </c>
    </row>
    <row r="198" spans="1:21" s="335" customFormat="1" ht="15.75" customHeight="1" x14ac:dyDescent="0.8">
      <c r="A198" s="46">
        <v>11</v>
      </c>
      <c r="B198" s="46" t="s">
        <v>220</v>
      </c>
      <c r="C198" s="326">
        <f t="shared" si="70"/>
        <v>44885</v>
      </c>
      <c r="D198" s="327">
        <f>16/24</f>
        <v>0.66666666666666663</v>
      </c>
      <c r="E198" s="78" t="s">
        <v>303</v>
      </c>
      <c r="F198" s="114" t="s">
        <v>295</v>
      </c>
      <c r="G198" s="46" t="s">
        <v>329</v>
      </c>
      <c r="H198" s="114" t="s">
        <v>358</v>
      </c>
      <c r="I198" s="46" t="s">
        <v>329</v>
      </c>
      <c r="J198" s="329" t="str">
        <f>H198</f>
        <v>Denver</v>
      </c>
      <c r="K198" s="379" t="str">
        <f t="shared" si="67"/>
        <v>Las Vegas</v>
      </c>
      <c r="L198" s="336">
        <v>2.5</v>
      </c>
      <c r="M198" s="339">
        <v>41.5</v>
      </c>
      <c r="N198" s="879" t="str">
        <f>K198</f>
        <v>Las Vegas</v>
      </c>
      <c r="O198" s="114">
        <v>22</v>
      </c>
      <c r="P198" s="114" t="str">
        <f t="shared" si="68"/>
        <v>Denver</v>
      </c>
      <c r="Q198" s="114">
        <v>16</v>
      </c>
      <c r="R198" s="364" t="str">
        <f t="shared" si="65"/>
        <v>Las Vegas</v>
      </c>
      <c r="S198" s="364" t="str">
        <f t="shared" si="66"/>
        <v>Denver</v>
      </c>
      <c r="T198" s="114" t="str">
        <f>J198</f>
        <v>Denver</v>
      </c>
      <c r="U198" s="349" t="str">
        <f t="shared" si="73"/>
        <v>L</v>
      </c>
    </row>
    <row r="199" spans="1:21" s="335" customFormat="1" ht="15.75" customHeight="1" x14ac:dyDescent="0.8">
      <c r="A199" s="46">
        <v>11</v>
      </c>
      <c r="B199" s="46" t="s">
        <v>220</v>
      </c>
      <c r="C199" s="326">
        <f t="shared" si="70"/>
        <v>44885</v>
      </c>
      <c r="D199" s="327">
        <f>16/24</f>
        <v>0.66666666666666663</v>
      </c>
      <c r="E199" s="46" t="s">
        <v>179</v>
      </c>
      <c r="F199" s="114" t="s">
        <v>355</v>
      </c>
      <c r="G199" s="46" t="s">
        <v>347</v>
      </c>
      <c r="H199" s="114" t="s">
        <v>69</v>
      </c>
      <c r="I199" s="46" t="s">
        <v>336</v>
      </c>
      <c r="J199" s="329" t="str">
        <f>F199</f>
        <v>Dallas</v>
      </c>
      <c r="K199" s="379" t="str">
        <f t="shared" si="67"/>
        <v>Minnesota</v>
      </c>
      <c r="L199" s="336">
        <v>1</v>
      </c>
      <c r="M199" s="339">
        <v>47.6</v>
      </c>
      <c r="N199" s="879" t="str">
        <f>J199</f>
        <v>Dallas</v>
      </c>
      <c r="O199" s="114">
        <v>40</v>
      </c>
      <c r="P199" s="114" t="str">
        <f t="shared" si="68"/>
        <v>Minnesota</v>
      </c>
      <c r="Q199" s="114">
        <v>3</v>
      </c>
      <c r="R199" s="364" t="str">
        <f t="shared" si="65"/>
        <v>Dallas</v>
      </c>
      <c r="S199" s="364" t="str">
        <f t="shared" si="66"/>
        <v>Minnesota</v>
      </c>
      <c r="T199" s="114" t="str">
        <f>J199</f>
        <v>Dallas</v>
      </c>
      <c r="U199" s="349" t="str">
        <f t="shared" si="73"/>
        <v>W</v>
      </c>
    </row>
    <row r="200" spans="1:21" s="335" customFormat="1" ht="15.75" customHeight="1" x14ac:dyDescent="0.8">
      <c r="A200" s="46">
        <v>11</v>
      </c>
      <c r="B200" s="46" t="s">
        <v>220</v>
      </c>
      <c r="C200" s="326">
        <f>+C199+1</f>
        <v>44886</v>
      </c>
      <c r="D200" s="327">
        <f>16/24</f>
        <v>0.66666666666666663</v>
      </c>
      <c r="E200" s="46" t="s">
        <v>135</v>
      </c>
      <c r="F200" s="114" t="s">
        <v>328</v>
      </c>
      <c r="G200" s="46" t="s">
        <v>329</v>
      </c>
      <c r="H200" s="114" t="s">
        <v>357</v>
      </c>
      <c r="I200" s="46" t="s">
        <v>329</v>
      </c>
      <c r="J200" s="329" t="str">
        <f>F200</f>
        <v>Kansas City</v>
      </c>
      <c r="K200" s="379" t="str">
        <f t="shared" si="67"/>
        <v>LA Chargers</v>
      </c>
      <c r="L200" s="336">
        <v>6.5</v>
      </c>
      <c r="M200" s="339">
        <v>50</v>
      </c>
      <c r="N200" s="879" t="str">
        <f>J200</f>
        <v>Kansas City</v>
      </c>
      <c r="O200" s="114">
        <v>30</v>
      </c>
      <c r="P200" s="114" t="str">
        <f t="shared" ref="P200:P220" si="74">IF(N200=F200,H200,F200)</f>
        <v>LA Chargers</v>
      </c>
      <c r="Q200" s="114">
        <v>27</v>
      </c>
      <c r="R200" s="364" t="str">
        <f t="shared" ref="R200:R220" si="75">IF(+N200=K200,+N200,IF(+O200-Q200&lt;L200,+K200,+J200))</f>
        <v>LA Chargers</v>
      </c>
      <c r="S200" s="364" t="str">
        <f t="shared" ref="S200:S220" si="76">IF(+R200=J200,+K200,+J200)</f>
        <v>Kansas City</v>
      </c>
      <c r="T200" s="114" t="str">
        <f>J200</f>
        <v>Kansas City</v>
      </c>
      <c r="U200" s="349" t="str">
        <f t="shared" si="73"/>
        <v>L</v>
      </c>
    </row>
    <row r="201" spans="1:21" s="335" customFormat="1" ht="15.75" customHeight="1" x14ac:dyDescent="0.8">
      <c r="A201" s="46">
        <v>11</v>
      </c>
      <c r="B201" s="46" t="s">
        <v>220</v>
      </c>
      <c r="C201" s="326">
        <f>+C200</f>
        <v>44886</v>
      </c>
      <c r="D201" s="327">
        <f>20.25/24</f>
        <v>0.84375</v>
      </c>
      <c r="E201" s="46" t="s">
        <v>179</v>
      </c>
      <c r="F201" s="114" t="s">
        <v>55</v>
      </c>
      <c r="G201" s="46" t="s">
        <v>338</v>
      </c>
      <c r="H201" s="114" t="s">
        <v>128</v>
      </c>
      <c r="I201" s="46" t="s">
        <v>338</v>
      </c>
      <c r="J201" s="329" t="str">
        <f>F201</f>
        <v>Cincinnati</v>
      </c>
      <c r="K201" s="379" t="str">
        <f t="shared" si="67"/>
        <v>Pittsburgh</v>
      </c>
      <c r="L201" s="336">
        <v>5</v>
      </c>
      <c r="M201" s="339">
        <v>41</v>
      </c>
      <c r="N201" s="879" t="str">
        <f>J201</f>
        <v>Cincinnati</v>
      </c>
      <c r="O201" s="114">
        <v>37</v>
      </c>
      <c r="P201" s="114" t="str">
        <f t="shared" si="74"/>
        <v>Pittsburgh</v>
      </c>
      <c r="Q201" s="114">
        <v>30</v>
      </c>
      <c r="R201" s="364" t="str">
        <f t="shared" si="75"/>
        <v>Cincinnati</v>
      </c>
      <c r="S201" s="364" t="str">
        <f t="shared" si="76"/>
        <v>Pittsburgh</v>
      </c>
      <c r="T201" s="114" t="str">
        <f>K201</f>
        <v>Pittsburgh</v>
      </c>
      <c r="U201" s="349" t="str">
        <f t="shared" si="73"/>
        <v>L</v>
      </c>
    </row>
    <row r="202" spans="1:21" s="335" customFormat="1" ht="15.75" customHeight="1" x14ac:dyDescent="0.8">
      <c r="A202" s="46">
        <v>11</v>
      </c>
      <c r="B202" s="46" t="s">
        <v>225</v>
      </c>
      <c r="C202" s="326">
        <f>+C201+1</f>
        <v>44887</v>
      </c>
      <c r="D202" s="327">
        <f>+D201</f>
        <v>0.84375</v>
      </c>
      <c r="E202" s="46" t="s">
        <v>135</v>
      </c>
      <c r="F202" s="114" t="s">
        <v>353</v>
      </c>
      <c r="G202" s="46" t="s">
        <v>340</v>
      </c>
      <c r="H202" s="114" t="s">
        <v>198</v>
      </c>
      <c r="I202" s="46" t="s">
        <v>340</v>
      </c>
      <c r="J202" s="329" t="str">
        <f>F202</f>
        <v>San Francisco</v>
      </c>
      <c r="K202" s="379" t="str">
        <f t="shared" si="67"/>
        <v>Arizona</v>
      </c>
      <c r="L202" s="336">
        <v>8</v>
      </c>
      <c r="M202" s="339">
        <v>43.5</v>
      </c>
      <c r="N202" s="879" t="str">
        <f>J202</f>
        <v>San Francisco</v>
      </c>
      <c r="O202" s="114">
        <v>38</v>
      </c>
      <c r="P202" s="114" t="str">
        <f t="shared" si="74"/>
        <v>Arizona</v>
      </c>
      <c r="Q202" s="114">
        <v>10</v>
      </c>
      <c r="R202" s="364" t="str">
        <f t="shared" si="75"/>
        <v>San Francisco</v>
      </c>
      <c r="S202" s="364" t="str">
        <f t="shared" si="76"/>
        <v>Arizona</v>
      </c>
      <c r="T202" s="114" t="str">
        <f>J202</f>
        <v>San Francisco</v>
      </c>
      <c r="U202" s="349" t="str">
        <f t="shared" si="73"/>
        <v>W</v>
      </c>
    </row>
    <row r="203" spans="1:21" s="335" customFormat="1" ht="15.75" customHeight="1" x14ac:dyDescent="0.8">
      <c r="A203" s="325">
        <f>+A202</f>
        <v>11</v>
      </c>
      <c r="B203" s="46"/>
      <c r="C203" s="326"/>
      <c r="D203" s="327"/>
      <c r="E203" s="78"/>
      <c r="F203" s="114" t="s">
        <v>409</v>
      </c>
      <c r="G203" s="46"/>
      <c r="H203" s="114"/>
      <c r="I203" s="46"/>
      <c r="J203" s="329"/>
      <c r="K203" s="379"/>
      <c r="L203" s="336"/>
      <c r="M203" s="339"/>
      <c r="N203" s="879"/>
      <c r="O203" s="114"/>
      <c r="P203" s="114"/>
      <c r="Q203" s="114"/>
      <c r="R203" s="494"/>
      <c r="S203" s="494"/>
      <c r="T203" s="114"/>
      <c r="U203" s="349"/>
    </row>
    <row r="204" spans="1:21" s="335" customFormat="1" ht="15.75" customHeight="1" x14ac:dyDescent="0.8">
      <c r="A204" s="325">
        <v>11</v>
      </c>
      <c r="B204" s="46"/>
      <c r="C204" s="326"/>
      <c r="D204" s="327"/>
      <c r="E204" s="46"/>
      <c r="F204" s="114" t="s">
        <v>345</v>
      </c>
      <c r="G204" s="46" t="s">
        <v>331</v>
      </c>
      <c r="H204" s="114"/>
      <c r="I204" s="46"/>
      <c r="J204" s="329"/>
      <c r="K204" s="379"/>
      <c r="L204" s="336"/>
      <c r="M204" s="339"/>
      <c r="N204" s="879"/>
      <c r="O204" s="114"/>
      <c r="P204" s="114"/>
      <c r="Q204" s="114"/>
      <c r="R204" s="494"/>
      <c r="S204" s="494"/>
      <c r="T204" s="114"/>
      <c r="U204" s="349"/>
    </row>
    <row r="205" spans="1:21" s="335" customFormat="1" ht="15.75" customHeight="1" x14ac:dyDescent="0.8">
      <c r="A205" s="325">
        <v>11</v>
      </c>
      <c r="B205" s="46"/>
      <c r="C205" s="326"/>
      <c r="D205" s="327"/>
      <c r="E205" s="46"/>
      <c r="F205" s="114" t="s">
        <v>350</v>
      </c>
      <c r="G205" s="46" t="s">
        <v>340</v>
      </c>
      <c r="H205" s="114"/>
      <c r="I205" s="46"/>
      <c r="J205" s="329"/>
      <c r="K205" s="379"/>
      <c r="L205" s="336"/>
      <c r="M205" s="339"/>
      <c r="N205" s="879"/>
      <c r="O205" s="114"/>
      <c r="P205" s="114"/>
      <c r="Q205" s="114"/>
      <c r="R205" s="494"/>
      <c r="S205" s="494"/>
      <c r="T205" s="114"/>
      <c r="U205" s="349"/>
    </row>
    <row r="206" spans="1:21" s="335" customFormat="1" ht="15.75" customHeight="1" x14ac:dyDescent="0.8">
      <c r="A206" s="325">
        <v>11</v>
      </c>
      <c r="B206" s="46"/>
      <c r="C206" s="326"/>
      <c r="D206" s="327"/>
      <c r="E206" s="46"/>
      <c r="F206" s="114" t="s">
        <v>344</v>
      </c>
      <c r="G206" s="46" t="s">
        <v>334</v>
      </c>
      <c r="H206" s="114"/>
      <c r="I206" s="46"/>
      <c r="J206" s="329"/>
      <c r="K206" s="379"/>
      <c r="L206" s="336"/>
      <c r="M206" s="339"/>
      <c r="N206" s="879"/>
      <c r="O206" s="114"/>
      <c r="P206" s="114"/>
      <c r="Q206" s="114"/>
      <c r="R206" s="494"/>
      <c r="S206" s="494"/>
      <c r="T206" s="114"/>
      <c r="U206" s="349"/>
    </row>
    <row r="207" spans="1:21" s="335" customFormat="1" ht="15.75" customHeight="1" x14ac:dyDescent="0.8">
      <c r="A207" s="325">
        <v>11</v>
      </c>
      <c r="B207" s="46"/>
      <c r="C207" s="326"/>
      <c r="D207" s="327"/>
      <c r="E207" s="46"/>
      <c r="F207" s="114" t="s">
        <v>342</v>
      </c>
      <c r="G207" s="46" t="s">
        <v>343</v>
      </c>
      <c r="H207" s="114"/>
      <c r="I207" s="46"/>
      <c r="J207" s="329"/>
      <c r="K207" s="379"/>
      <c r="L207" s="336"/>
      <c r="M207" s="339"/>
      <c r="N207" s="879"/>
      <c r="O207" s="114"/>
      <c r="P207" s="114"/>
      <c r="Q207" s="114"/>
      <c r="R207" s="494"/>
      <c r="S207" s="494"/>
      <c r="T207" s="114"/>
      <c r="U207" s="349"/>
    </row>
    <row r="208" spans="1:21" s="335" customFormat="1" ht="15.75" customHeight="1" x14ac:dyDescent="0.8">
      <c r="A208" s="325">
        <v>11</v>
      </c>
      <c r="B208" s="46"/>
      <c r="C208" s="326"/>
      <c r="D208" s="327"/>
      <c r="E208" s="46"/>
      <c r="F208" s="114"/>
      <c r="G208" s="46"/>
      <c r="H208" s="114"/>
      <c r="I208" s="46"/>
      <c r="J208" s="329"/>
      <c r="K208" s="379"/>
      <c r="L208" s="336"/>
      <c r="M208" s="339"/>
      <c r="N208" s="360"/>
      <c r="O208" s="114"/>
      <c r="P208" s="328"/>
      <c r="Q208" s="114"/>
      <c r="R208" s="494"/>
      <c r="S208" s="494"/>
      <c r="T208" s="114"/>
      <c r="U208" s="349"/>
    </row>
    <row r="209" spans="1:21" s="335" customFormat="1" ht="15.75" customHeight="1" x14ac:dyDescent="0.8">
      <c r="A209" s="325">
        <f>+A207+1</f>
        <v>12</v>
      </c>
      <c r="B209" s="46" t="s">
        <v>52</v>
      </c>
      <c r="C209" s="326">
        <f>+C189+7</f>
        <v>44889</v>
      </c>
      <c r="D209" s="327">
        <f>12.5/24</f>
        <v>0.52083333333333337</v>
      </c>
      <c r="E209" s="46" t="s">
        <v>303</v>
      </c>
      <c r="F209" s="114" t="s">
        <v>67</v>
      </c>
      <c r="G209" s="46" t="s">
        <v>331</v>
      </c>
      <c r="H209" s="114" t="s">
        <v>341</v>
      </c>
      <c r="I209" s="46" t="s">
        <v>336</v>
      </c>
      <c r="J209" s="329" t="str">
        <f>F209</f>
        <v>Buffalo</v>
      </c>
      <c r="K209" s="379" t="str">
        <f t="shared" ref="K209:K220" si="77">IF(+J209=H209,F209,H209)</f>
        <v>Detroit</v>
      </c>
      <c r="L209" s="336">
        <v>9.5</v>
      </c>
      <c r="M209" s="339">
        <v>54</v>
      </c>
      <c r="N209" s="879" t="str">
        <f>J209</f>
        <v>Buffalo</v>
      </c>
      <c r="O209" s="114">
        <v>28</v>
      </c>
      <c r="P209" s="114" t="str">
        <f t="shared" si="74"/>
        <v>Detroit</v>
      </c>
      <c r="Q209" s="114">
        <v>25</v>
      </c>
      <c r="R209" s="494" t="str">
        <f t="shared" si="75"/>
        <v>Detroit</v>
      </c>
      <c r="S209" s="494" t="str">
        <f t="shared" si="76"/>
        <v>Buffalo</v>
      </c>
      <c r="T209" s="114" t="str">
        <f>K209</f>
        <v>Detroit</v>
      </c>
      <c r="U209" s="349" t="str">
        <f t="shared" ref="U209:U220" si="78">IF($N209=$J209,IF($O209-$Q209=$L209,"T",IF($R209=T209,"W","L")),IF($R209=T209,"W","L"))</f>
        <v>W</v>
      </c>
    </row>
    <row r="210" spans="1:21" s="335" customFormat="1" ht="15.75" customHeight="1" x14ac:dyDescent="0.8">
      <c r="A210" s="325">
        <f>+A209</f>
        <v>12</v>
      </c>
      <c r="B210" s="46" t="str">
        <f>+B209</f>
        <v>Thurs</v>
      </c>
      <c r="C210" s="326">
        <f>+C209</f>
        <v>44889</v>
      </c>
      <c r="D210" s="327">
        <f>16.5/24</f>
        <v>0.6875</v>
      </c>
      <c r="E210" s="78" t="s">
        <v>118</v>
      </c>
      <c r="F210" s="114" t="s">
        <v>354</v>
      </c>
      <c r="G210" s="46" t="s">
        <v>347</v>
      </c>
      <c r="H210" s="114" t="s">
        <v>355</v>
      </c>
      <c r="I210" s="46" t="s">
        <v>347</v>
      </c>
      <c r="J210" s="329" t="str">
        <f>H210</f>
        <v>Dallas</v>
      </c>
      <c r="K210" s="379" t="str">
        <f t="shared" si="77"/>
        <v>NY Giants</v>
      </c>
      <c r="L210" s="336">
        <v>10</v>
      </c>
      <c r="M210" s="339">
        <v>45.5</v>
      </c>
      <c r="N210" s="879" t="str">
        <f>J210</f>
        <v>Dallas</v>
      </c>
      <c r="O210" s="114">
        <v>28</v>
      </c>
      <c r="P210" s="114" t="str">
        <f t="shared" si="74"/>
        <v>NY Giants</v>
      </c>
      <c r="Q210" s="114">
        <v>20</v>
      </c>
      <c r="R210" s="494" t="str">
        <f t="shared" si="75"/>
        <v>NY Giants</v>
      </c>
      <c r="S210" s="494" t="str">
        <f t="shared" si="76"/>
        <v>Dallas</v>
      </c>
      <c r="T210" s="114" t="str">
        <f>K210</f>
        <v>NY Giants</v>
      </c>
      <c r="U210" s="349" t="str">
        <f t="shared" si="78"/>
        <v>W</v>
      </c>
    </row>
    <row r="211" spans="1:21" s="335" customFormat="1" ht="15.75" customHeight="1" x14ac:dyDescent="0.8">
      <c r="A211" s="325">
        <f t="shared" ref="A211:A224" si="79">+A210</f>
        <v>12</v>
      </c>
      <c r="B211" s="46" t="str">
        <f>+B210</f>
        <v>Thurs</v>
      </c>
      <c r="C211" s="326">
        <f>+C210</f>
        <v>44889</v>
      </c>
      <c r="D211" s="327">
        <f>20.25/24</f>
        <v>0.84375</v>
      </c>
      <c r="E211" s="78" t="s">
        <v>179</v>
      </c>
      <c r="F211" s="114" t="s">
        <v>330</v>
      </c>
      <c r="G211" s="46" t="s">
        <v>331</v>
      </c>
      <c r="H211" s="114" t="s">
        <v>69</v>
      </c>
      <c r="I211" s="46" t="s">
        <v>336</v>
      </c>
      <c r="J211" s="329" t="str">
        <f>H211</f>
        <v>Minnesota</v>
      </c>
      <c r="K211" s="379" t="str">
        <f t="shared" si="77"/>
        <v>New England</v>
      </c>
      <c r="L211" s="336">
        <v>2.5</v>
      </c>
      <c r="M211" s="339">
        <v>52.5</v>
      </c>
      <c r="N211" s="879" t="str">
        <f>J211</f>
        <v>Minnesota</v>
      </c>
      <c r="O211" s="114">
        <v>33</v>
      </c>
      <c r="P211" s="114" t="str">
        <f t="shared" si="74"/>
        <v>New England</v>
      </c>
      <c r="Q211" s="114">
        <v>26</v>
      </c>
      <c r="R211" s="494" t="str">
        <f t="shared" si="75"/>
        <v>Minnesota</v>
      </c>
      <c r="S211" s="494" t="str">
        <f t="shared" si="76"/>
        <v>New England</v>
      </c>
      <c r="T211" s="114" t="str">
        <f>J211</f>
        <v>Minnesota</v>
      </c>
      <c r="U211" s="349" t="str">
        <f t="shared" si="78"/>
        <v>W</v>
      </c>
    </row>
    <row r="212" spans="1:21" s="335" customFormat="1" ht="15.75" customHeight="1" x14ac:dyDescent="0.8">
      <c r="A212" s="325">
        <f t="shared" si="79"/>
        <v>12</v>
      </c>
      <c r="B212" s="46" t="s">
        <v>220</v>
      </c>
      <c r="C212" s="326">
        <f>+C211+3</f>
        <v>44892</v>
      </c>
      <c r="D212" s="327">
        <f t="shared" ref="D212:D218" si="80">13/24</f>
        <v>0.54166666666666663</v>
      </c>
      <c r="E212" s="78" t="s">
        <v>118</v>
      </c>
      <c r="F212" s="114" t="s">
        <v>344</v>
      </c>
      <c r="G212" s="46" t="s">
        <v>334</v>
      </c>
      <c r="H212" s="114" t="s">
        <v>339</v>
      </c>
      <c r="I212" s="46" t="s">
        <v>338</v>
      </c>
      <c r="J212" s="329" t="str">
        <f>F212</f>
        <v>Tampa Bay</v>
      </c>
      <c r="K212" s="379" t="str">
        <f t="shared" si="77"/>
        <v>Cleveland</v>
      </c>
      <c r="L212" s="336">
        <v>3.5</v>
      </c>
      <c r="M212" s="339">
        <v>43</v>
      </c>
      <c r="N212" s="879" t="str">
        <f>K212</f>
        <v>Cleveland</v>
      </c>
      <c r="O212" s="114">
        <v>23</v>
      </c>
      <c r="P212" s="114" t="str">
        <f t="shared" si="74"/>
        <v>Tampa Bay</v>
      </c>
      <c r="Q212" s="114">
        <v>17</v>
      </c>
      <c r="R212" s="494" t="str">
        <f t="shared" si="75"/>
        <v>Cleveland</v>
      </c>
      <c r="S212" s="494" t="str">
        <f t="shared" si="76"/>
        <v>Tampa Bay</v>
      </c>
      <c r="T212" s="114" t="str">
        <f>K212</f>
        <v>Cleveland</v>
      </c>
      <c r="U212" s="349" t="str">
        <f t="shared" si="78"/>
        <v>W</v>
      </c>
    </row>
    <row r="213" spans="1:21" s="335" customFormat="1" ht="15.75" customHeight="1" x14ac:dyDescent="0.8">
      <c r="A213" s="325">
        <f t="shared" si="79"/>
        <v>12</v>
      </c>
      <c r="B213" s="46" t="s">
        <v>220</v>
      </c>
      <c r="C213" s="326">
        <f t="shared" ref="C213:C223" si="81">+C212</f>
        <v>44892</v>
      </c>
      <c r="D213" s="327">
        <f t="shared" si="80"/>
        <v>0.54166666666666663</v>
      </c>
      <c r="E213" s="78" t="s">
        <v>303</v>
      </c>
      <c r="F213" s="114" t="s">
        <v>55</v>
      </c>
      <c r="G213" s="46" t="s">
        <v>338</v>
      </c>
      <c r="H213" s="114" t="s">
        <v>226</v>
      </c>
      <c r="I213" s="46" t="s">
        <v>343</v>
      </c>
      <c r="J213" s="329" t="str">
        <f>F213</f>
        <v>Cincinnati</v>
      </c>
      <c r="K213" s="379" t="str">
        <f t="shared" si="77"/>
        <v>Tennessee</v>
      </c>
      <c r="L213" s="336">
        <v>1.5</v>
      </c>
      <c r="M213" s="339">
        <v>42.5</v>
      </c>
      <c r="N213" s="879" t="str">
        <f>J213</f>
        <v>Cincinnati</v>
      </c>
      <c r="O213" s="114">
        <v>20</v>
      </c>
      <c r="P213" s="114" t="str">
        <f t="shared" si="74"/>
        <v>Tennessee</v>
      </c>
      <c r="Q213" s="114">
        <v>16</v>
      </c>
      <c r="R213" s="494" t="str">
        <f t="shared" si="75"/>
        <v>Cincinnati</v>
      </c>
      <c r="S213" s="494" t="str">
        <f t="shared" si="76"/>
        <v>Tennessee</v>
      </c>
      <c r="T213" s="114" t="str">
        <f>J213</f>
        <v>Cincinnati</v>
      </c>
      <c r="U213" s="349" t="str">
        <f t="shared" si="78"/>
        <v>W</v>
      </c>
    </row>
    <row r="214" spans="1:21" s="335" customFormat="1" ht="15.75" customHeight="1" x14ac:dyDescent="0.8">
      <c r="A214" s="325">
        <f t="shared" si="79"/>
        <v>12</v>
      </c>
      <c r="B214" s="46" t="s">
        <v>220</v>
      </c>
      <c r="C214" s="326">
        <f t="shared" si="81"/>
        <v>44892</v>
      </c>
      <c r="D214" s="327">
        <f t="shared" si="80"/>
        <v>0.54166666666666663</v>
      </c>
      <c r="E214" s="78" t="s">
        <v>303</v>
      </c>
      <c r="F214" s="114" t="s">
        <v>174</v>
      </c>
      <c r="G214" s="46" t="s">
        <v>343</v>
      </c>
      <c r="H214" s="114" t="s">
        <v>345</v>
      </c>
      <c r="I214" s="46" t="s">
        <v>331</v>
      </c>
      <c r="J214" s="329" t="str">
        <f>H214</f>
        <v>Miami</v>
      </c>
      <c r="K214" s="379" t="str">
        <f t="shared" si="77"/>
        <v>Houston</v>
      </c>
      <c r="L214" s="336">
        <v>13.5</v>
      </c>
      <c r="M214" s="339">
        <v>47</v>
      </c>
      <c r="N214" s="879" t="str">
        <f>J214</f>
        <v>Miami</v>
      </c>
      <c r="O214" s="114">
        <v>30</v>
      </c>
      <c r="P214" s="114" t="str">
        <f t="shared" si="74"/>
        <v>Houston</v>
      </c>
      <c r="Q214" s="114">
        <v>15</v>
      </c>
      <c r="R214" s="494" t="str">
        <f t="shared" si="75"/>
        <v>Miami</v>
      </c>
      <c r="S214" s="494" t="str">
        <f t="shared" si="76"/>
        <v>Houston</v>
      </c>
      <c r="T214" s="114" t="str">
        <f>J214</f>
        <v>Miami</v>
      </c>
      <c r="U214" s="349" t="str">
        <f t="shared" si="78"/>
        <v>W</v>
      </c>
    </row>
    <row r="215" spans="1:21" s="335" customFormat="1" ht="15.75" customHeight="1" x14ac:dyDescent="0.8">
      <c r="A215" s="325">
        <f t="shared" si="79"/>
        <v>12</v>
      </c>
      <c r="B215" s="46" t="s">
        <v>220</v>
      </c>
      <c r="C215" s="326">
        <f t="shared" si="81"/>
        <v>44892</v>
      </c>
      <c r="D215" s="327">
        <f t="shared" si="80"/>
        <v>0.54166666666666663</v>
      </c>
      <c r="E215" s="78" t="s">
        <v>118</v>
      </c>
      <c r="F215" s="114" t="s">
        <v>335</v>
      </c>
      <c r="G215" s="46" t="s">
        <v>336</v>
      </c>
      <c r="H215" s="114" t="s">
        <v>332</v>
      </c>
      <c r="I215" s="46" t="s">
        <v>331</v>
      </c>
      <c r="J215" s="329" t="str">
        <f>H215</f>
        <v>NY Jets</v>
      </c>
      <c r="K215" s="379" t="str">
        <f t="shared" si="77"/>
        <v>Chicago</v>
      </c>
      <c r="L215" s="336">
        <v>5</v>
      </c>
      <c r="M215" s="339">
        <v>40.5</v>
      </c>
      <c r="N215" s="879" t="str">
        <f>J215</f>
        <v>NY Jets</v>
      </c>
      <c r="O215" s="114">
        <v>31</v>
      </c>
      <c r="P215" s="114" t="str">
        <f t="shared" si="74"/>
        <v>Chicago</v>
      </c>
      <c r="Q215" s="114">
        <v>10</v>
      </c>
      <c r="R215" s="494" t="str">
        <f t="shared" si="75"/>
        <v>NY Jets</v>
      </c>
      <c r="S215" s="494" t="str">
        <f t="shared" si="76"/>
        <v>Chicago</v>
      </c>
      <c r="T215" s="114" t="str">
        <f>K215</f>
        <v>Chicago</v>
      </c>
      <c r="U215" s="349" t="str">
        <f t="shared" si="78"/>
        <v>L</v>
      </c>
    </row>
    <row r="216" spans="1:21" s="335" customFormat="1" ht="15.75" customHeight="1" x14ac:dyDescent="0.8">
      <c r="A216" s="325">
        <f t="shared" si="79"/>
        <v>12</v>
      </c>
      <c r="B216" s="46" t="s">
        <v>220</v>
      </c>
      <c r="C216" s="326">
        <f t="shared" si="81"/>
        <v>44892</v>
      </c>
      <c r="D216" s="327">
        <f t="shared" si="80"/>
        <v>0.54166666666666663</v>
      </c>
      <c r="E216" s="78" t="s">
        <v>118</v>
      </c>
      <c r="F216" s="114" t="s">
        <v>333</v>
      </c>
      <c r="G216" s="46" t="s">
        <v>334</v>
      </c>
      <c r="H216" s="114" t="s">
        <v>91</v>
      </c>
      <c r="I216" s="46" t="s">
        <v>347</v>
      </c>
      <c r="J216" s="329" t="str">
        <f>H216</f>
        <v>Washington</v>
      </c>
      <c r="K216" s="379" t="str">
        <f t="shared" si="77"/>
        <v>Atlanta</v>
      </c>
      <c r="L216" s="336">
        <v>4.5</v>
      </c>
      <c r="M216" s="339">
        <v>41.5</v>
      </c>
      <c r="N216" s="879" t="str">
        <f>J216</f>
        <v>Washington</v>
      </c>
      <c r="O216" s="114">
        <v>19</v>
      </c>
      <c r="P216" s="114" t="str">
        <f t="shared" si="74"/>
        <v>Atlanta</v>
      </c>
      <c r="Q216" s="114">
        <v>13</v>
      </c>
      <c r="R216" s="494" t="str">
        <f t="shared" si="75"/>
        <v>Washington</v>
      </c>
      <c r="S216" s="494" t="str">
        <f t="shared" si="76"/>
        <v>Atlanta</v>
      </c>
      <c r="T216" s="114" t="str">
        <f>J216</f>
        <v>Washington</v>
      </c>
      <c r="U216" s="349" t="str">
        <f t="shared" si="78"/>
        <v>W</v>
      </c>
    </row>
    <row r="217" spans="1:21" s="335" customFormat="1" ht="15.75" customHeight="1" x14ac:dyDescent="0.8">
      <c r="A217" s="325">
        <f t="shared" si="79"/>
        <v>12</v>
      </c>
      <c r="B217" s="46" t="s">
        <v>220</v>
      </c>
      <c r="C217" s="326">
        <f t="shared" si="81"/>
        <v>44892</v>
      </c>
      <c r="D217" s="327">
        <f t="shared" si="80"/>
        <v>0.54166666666666663</v>
      </c>
      <c r="E217" s="78" t="s">
        <v>303</v>
      </c>
      <c r="F217" s="114" t="s">
        <v>358</v>
      </c>
      <c r="G217" s="46" t="s">
        <v>329</v>
      </c>
      <c r="H217" s="114" t="s">
        <v>352</v>
      </c>
      <c r="I217" s="46" t="s">
        <v>334</v>
      </c>
      <c r="J217" s="329" t="str">
        <f>F217</f>
        <v>Denver</v>
      </c>
      <c r="K217" s="379" t="str">
        <f t="shared" si="77"/>
        <v>Carolina</v>
      </c>
      <c r="L217" s="336">
        <v>2</v>
      </c>
      <c r="M217" s="339">
        <v>36</v>
      </c>
      <c r="N217" s="879" t="str">
        <f>K217</f>
        <v>Carolina</v>
      </c>
      <c r="O217" s="114">
        <v>23</v>
      </c>
      <c r="P217" s="114" t="str">
        <f t="shared" si="74"/>
        <v>Denver</v>
      </c>
      <c r="Q217" s="114">
        <v>20</v>
      </c>
      <c r="R217" s="494" t="str">
        <f t="shared" si="75"/>
        <v>Carolina</v>
      </c>
      <c r="S217" s="494" t="str">
        <f t="shared" si="76"/>
        <v>Denver</v>
      </c>
      <c r="T217" s="114" t="str">
        <f>K217</f>
        <v>Carolina</v>
      </c>
      <c r="U217" s="349" t="str">
        <f t="shared" si="78"/>
        <v>W</v>
      </c>
    </row>
    <row r="218" spans="1:21" s="335" customFormat="1" ht="15.75" customHeight="1" x14ac:dyDescent="0.8">
      <c r="A218" s="325">
        <f t="shared" si="79"/>
        <v>12</v>
      </c>
      <c r="B218" s="46" t="s">
        <v>220</v>
      </c>
      <c r="C218" s="326">
        <f t="shared" si="81"/>
        <v>44892</v>
      </c>
      <c r="D218" s="327">
        <f t="shared" si="80"/>
        <v>0.54166666666666663</v>
      </c>
      <c r="E218" s="78" t="s">
        <v>303</v>
      </c>
      <c r="F218" s="114" t="s">
        <v>337</v>
      </c>
      <c r="G218" s="46" t="s">
        <v>338</v>
      </c>
      <c r="H218" s="114" t="s">
        <v>342</v>
      </c>
      <c r="I218" s="46" t="s">
        <v>343</v>
      </c>
      <c r="J218" s="329" t="str">
        <f>F218</f>
        <v>Baltimore</v>
      </c>
      <c r="K218" s="379" t="str">
        <f t="shared" si="77"/>
        <v>Jacksonville</v>
      </c>
      <c r="L218" s="336">
        <v>3.5</v>
      </c>
      <c r="M218" s="339">
        <v>43.5</v>
      </c>
      <c r="N218" s="879" t="str">
        <f>K218</f>
        <v>Jacksonville</v>
      </c>
      <c r="O218" s="114">
        <v>28</v>
      </c>
      <c r="P218" s="114" t="str">
        <f t="shared" si="74"/>
        <v>Baltimore</v>
      </c>
      <c r="Q218" s="114">
        <v>27</v>
      </c>
      <c r="R218" s="494" t="str">
        <f t="shared" si="75"/>
        <v>Jacksonville</v>
      </c>
      <c r="S218" s="494" t="str">
        <f t="shared" si="76"/>
        <v>Baltimore</v>
      </c>
      <c r="T218" s="114" t="str">
        <f>J218</f>
        <v>Baltimore</v>
      </c>
      <c r="U218" s="349" t="str">
        <f t="shared" si="78"/>
        <v>L</v>
      </c>
    </row>
    <row r="219" spans="1:21" s="335" customFormat="1" ht="15.75" customHeight="1" x14ac:dyDescent="0.8">
      <c r="A219" s="325">
        <f t="shared" si="79"/>
        <v>12</v>
      </c>
      <c r="B219" s="46" t="s">
        <v>220</v>
      </c>
      <c r="C219" s="326">
        <f t="shared" si="81"/>
        <v>44892</v>
      </c>
      <c r="D219" s="327">
        <f>16/24</f>
        <v>0.66666666666666663</v>
      </c>
      <c r="E219" s="78" t="s">
        <v>118</v>
      </c>
      <c r="F219" s="114" t="s">
        <v>349</v>
      </c>
      <c r="G219" s="46" t="s">
        <v>340</v>
      </c>
      <c r="H219" s="114" t="s">
        <v>328</v>
      </c>
      <c r="I219" s="46" t="s">
        <v>340</v>
      </c>
      <c r="J219" s="329" t="str">
        <f>H219</f>
        <v>Kansas City</v>
      </c>
      <c r="K219" s="379" t="str">
        <f t="shared" si="77"/>
        <v>LA Rams</v>
      </c>
      <c r="L219" s="336">
        <v>14.5</v>
      </c>
      <c r="M219" s="339">
        <v>44</v>
      </c>
      <c r="N219" s="879" t="str">
        <f>J219</f>
        <v>Kansas City</v>
      </c>
      <c r="O219" s="114">
        <v>26</v>
      </c>
      <c r="P219" s="114" t="str">
        <f t="shared" si="74"/>
        <v>LA Rams</v>
      </c>
      <c r="Q219" s="114">
        <v>10</v>
      </c>
      <c r="R219" s="494" t="str">
        <f t="shared" si="75"/>
        <v>Kansas City</v>
      </c>
      <c r="S219" s="494" t="str">
        <f t="shared" si="76"/>
        <v>LA Rams</v>
      </c>
      <c r="T219" s="114" t="str">
        <f>J219</f>
        <v>Kansas City</v>
      </c>
      <c r="U219" s="349" t="str">
        <f t="shared" si="78"/>
        <v>W</v>
      </c>
    </row>
    <row r="220" spans="1:21" s="335" customFormat="1" ht="15.75" customHeight="1" x14ac:dyDescent="0.8">
      <c r="A220" s="325">
        <f t="shared" si="79"/>
        <v>12</v>
      </c>
      <c r="B220" s="46" t="s">
        <v>220</v>
      </c>
      <c r="C220" s="326">
        <f t="shared" si="81"/>
        <v>44892</v>
      </c>
      <c r="D220" s="327">
        <f>16/24</f>
        <v>0.66666666666666663</v>
      </c>
      <c r="E220" s="78" t="s">
        <v>303</v>
      </c>
      <c r="F220" s="114" t="s">
        <v>295</v>
      </c>
      <c r="G220" s="46" t="s">
        <v>329</v>
      </c>
      <c r="H220" s="114" t="s">
        <v>350</v>
      </c>
      <c r="I220" s="46" t="s">
        <v>340</v>
      </c>
      <c r="J220" s="329" t="str">
        <f>H220</f>
        <v>Seattle</v>
      </c>
      <c r="K220" s="379" t="str">
        <f t="shared" si="77"/>
        <v>Las Vegas</v>
      </c>
      <c r="L220" s="336">
        <v>3.5</v>
      </c>
      <c r="M220" s="339">
        <v>47.5</v>
      </c>
      <c r="N220" s="879" t="str">
        <f>K220</f>
        <v>Las Vegas</v>
      </c>
      <c r="O220" s="114">
        <v>40</v>
      </c>
      <c r="P220" s="114" t="str">
        <f t="shared" si="74"/>
        <v>Seattle</v>
      </c>
      <c r="Q220" s="114">
        <v>34</v>
      </c>
      <c r="R220" s="494" t="str">
        <f t="shared" si="75"/>
        <v>Las Vegas</v>
      </c>
      <c r="S220" s="494" t="str">
        <f t="shared" si="76"/>
        <v>Seattle</v>
      </c>
      <c r="T220" s="114" t="str">
        <f>J220</f>
        <v>Seattle</v>
      </c>
      <c r="U220" s="349" t="str">
        <f t="shared" si="78"/>
        <v>L</v>
      </c>
    </row>
    <row r="221" spans="1:21" s="335" customFormat="1" ht="15.75" customHeight="1" x14ac:dyDescent="0.8">
      <c r="A221" s="325">
        <f t="shared" si="79"/>
        <v>12</v>
      </c>
      <c r="B221" s="46" t="s">
        <v>220</v>
      </c>
      <c r="C221" s="326">
        <f t="shared" si="81"/>
        <v>44892</v>
      </c>
      <c r="D221" s="327">
        <f>16/24</f>
        <v>0.66666666666666663</v>
      </c>
      <c r="E221" s="78" t="s">
        <v>118</v>
      </c>
      <c r="F221" s="114" t="s">
        <v>357</v>
      </c>
      <c r="G221" s="46" t="s">
        <v>340</v>
      </c>
      <c r="H221" s="114" t="s">
        <v>198</v>
      </c>
      <c r="I221" s="46" t="s">
        <v>329</v>
      </c>
      <c r="J221" s="329" t="str">
        <f>F221</f>
        <v>LA Chargers</v>
      </c>
      <c r="K221" s="379" t="str">
        <f>IF(+J221=H221,F221,H221)</f>
        <v>Arizona</v>
      </c>
      <c r="L221" s="336">
        <v>4.5</v>
      </c>
      <c r="M221" s="339">
        <v>47.5</v>
      </c>
      <c r="N221" s="879" t="str">
        <f>J221</f>
        <v>LA Chargers</v>
      </c>
      <c r="O221" s="114">
        <v>25</v>
      </c>
      <c r="P221" s="114" t="str">
        <f>IF(N221=F221,H221,F221)</f>
        <v>Arizona</v>
      </c>
      <c r="Q221" s="114">
        <v>24</v>
      </c>
      <c r="R221" s="494" t="str">
        <f>IF(+N221=K221,+N221,IF(+O221-Q221&lt;L221,+K221,+J221))</f>
        <v>Arizona</v>
      </c>
      <c r="S221" s="494" t="str">
        <f>IF(+R221=J221,+K221,+J221)</f>
        <v>LA Chargers</v>
      </c>
      <c r="T221" s="114" t="str">
        <f>K221</f>
        <v>Arizona</v>
      </c>
      <c r="U221" s="349" t="str">
        <f>IF($N221=$J221,IF($O221-$Q221=$L221,"T",IF($R221=T221,"W","L")),IF($R221=T221,"W","L"))</f>
        <v>W</v>
      </c>
    </row>
    <row r="222" spans="1:21" s="335" customFormat="1" ht="15.75" customHeight="1" x14ac:dyDescent="0.8">
      <c r="A222" s="325">
        <f t="shared" si="79"/>
        <v>12</v>
      </c>
      <c r="B222" s="46" t="s">
        <v>220</v>
      </c>
      <c r="C222" s="326">
        <f t="shared" si="81"/>
        <v>44892</v>
      </c>
      <c r="D222" s="327">
        <f>16/24</f>
        <v>0.66666666666666663</v>
      </c>
      <c r="E222" s="78" t="s">
        <v>118</v>
      </c>
      <c r="F222" s="114" t="s">
        <v>356</v>
      </c>
      <c r="G222" s="46" t="s">
        <v>334</v>
      </c>
      <c r="H222" s="114" t="s">
        <v>353</v>
      </c>
      <c r="I222" s="46" t="s">
        <v>340</v>
      </c>
      <c r="J222" s="329" t="str">
        <f>H222</f>
        <v>San Francisco</v>
      </c>
      <c r="K222" s="379" t="str">
        <f>IF(+J222=H222,F222,H222)</f>
        <v>New Orleans</v>
      </c>
      <c r="L222" s="336">
        <v>9.5</v>
      </c>
      <c r="M222" s="339">
        <v>43</v>
      </c>
      <c r="N222" s="879" t="str">
        <f>J222</f>
        <v>San Francisco</v>
      </c>
      <c r="O222" s="114">
        <v>13</v>
      </c>
      <c r="P222" s="114" t="str">
        <f>IF(N222=F222,H222,F222)</f>
        <v>New Orleans</v>
      </c>
      <c r="Q222" s="114">
        <v>0</v>
      </c>
      <c r="R222" s="494" t="str">
        <f>IF(+N222=K222,+N222,IF(+O222-Q222&lt;L222,+K222,+J222))</f>
        <v>San Francisco</v>
      </c>
      <c r="S222" s="494" t="str">
        <f>IF(+R222=J222,+K222,+J222)</f>
        <v>New Orleans</v>
      </c>
      <c r="T222" s="114" t="str">
        <f>K222</f>
        <v>New Orleans</v>
      </c>
      <c r="U222" s="349" t="str">
        <f>IF($N222=$J222,IF($O222-$Q222=$L222,"T",IF($R222=T222,"W","L")),IF($R222=T222,"W","L"))</f>
        <v>L</v>
      </c>
    </row>
    <row r="223" spans="1:21" s="335" customFormat="1" ht="15.75" customHeight="1" x14ac:dyDescent="0.8">
      <c r="A223" s="325">
        <f t="shared" si="79"/>
        <v>12</v>
      </c>
      <c r="B223" s="46" t="s">
        <v>220</v>
      </c>
      <c r="C223" s="326">
        <f t="shared" si="81"/>
        <v>44892</v>
      </c>
      <c r="D223" s="327">
        <f>20.25/24</f>
        <v>0.84375</v>
      </c>
      <c r="E223" s="78" t="s">
        <v>179</v>
      </c>
      <c r="F223" s="114" t="s">
        <v>351</v>
      </c>
      <c r="G223" s="46" t="s">
        <v>336</v>
      </c>
      <c r="H223" s="114" t="s">
        <v>346</v>
      </c>
      <c r="I223" s="46" t="s">
        <v>347</v>
      </c>
      <c r="J223" s="329" t="str">
        <f>H223</f>
        <v>Philadelphia</v>
      </c>
      <c r="K223" s="379" t="str">
        <f>IF(+J223=H223,F223,H223)</f>
        <v>Green Bay</v>
      </c>
      <c r="L223" s="336">
        <v>7</v>
      </c>
      <c r="M223" s="339">
        <v>46</v>
      </c>
      <c r="N223" s="879" t="str">
        <f>J223</f>
        <v>Philadelphia</v>
      </c>
      <c r="O223" s="114">
        <v>40</v>
      </c>
      <c r="P223" s="114" t="str">
        <f>IF(N223=F223,H223,F223)</f>
        <v>Green Bay</v>
      </c>
      <c r="Q223" s="114">
        <v>33</v>
      </c>
      <c r="R223" s="494" t="str">
        <f>IF(+N223=K223,+N223,IF(+O223-Q223&lt;L223,+K223,+J223))</f>
        <v>Philadelphia</v>
      </c>
      <c r="S223" s="494" t="str">
        <f>IF(+R223=J223,+K223,+J223)</f>
        <v>Green Bay</v>
      </c>
      <c r="T223" s="114" t="str">
        <f>J223</f>
        <v>Philadelphia</v>
      </c>
      <c r="U223" s="349" t="str">
        <f>IF($N223=$J223,IF($O223-$Q223=$L223,"T",IF($R223=T223,"W","L")),IF($R223=T223,"W","L"))</f>
        <v>T</v>
      </c>
    </row>
    <row r="224" spans="1:21" s="335" customFormat="1" ht="15.75" customHeight="1" x14ac:dyDescent="0.8">
      <c r="A224" s="325">
        <f t="shared" si="79"/>
        <v>12</v>
      </c>
      <c r="B224" s="46" t="s">
        <v>225</v>
      </c>
      <c r="C224" s="326">
        <f>+C223+1</f>
        <v>44893</v>
      </c>
      <c r="D224" s="327">
        <f>20.25/24</f>
        <v>0.84375</v>
      </c>
      <c r="E224" s="46" t="s">
        <v>135</v>
      </c>
      <c r="F224" s="114" t="s">
        <v>128</v>
      </c>
      <c r="G224" s="46" t="s">
        <v>338</v>
      </c>
      <c r="H224" s="114" t="s">
        <v>348</v>
      </c>
      <c r="I224" s="46" t="s">
        <v>343</v>
      </c>
      <c r="J224" s="329" t="str">
        <f>H224</f>
        <v>Indianapolis</v>
      </c>
      <c r="K224" s="379" t="str">
        <f>IF(+J224=H224,F224,H224)</f>
        <v>Pittsburgh</v>
      </c>
      <c r="L224" s="336">
        <v>2.5</v>
      </c>
      <c r="M224" s="339">
        <v>39</v>
      </c>
      <c r="N224" s="879" t="str">
        <f>K224</f>
        <v>Pittsburgh</v>
      </c>
      <c r="O224" s="114">
        <v>24</v>
      </c>
      <c r="P224" s="114" t="str">
        <f>IF(N224=F224,H224,F224)</f>
        <v>Indianapolis</v>
      </c>
      <c r="Q224" s="114">
        <v>17</v>
      </c>
      <c r="R224" s="494" t="str">
        <f>IF(+N224=K224,+N224,IF(+O224-Q224&lt;L224,+K224,+J224))</f>
        <v>Pittsburgh</v>
      </c>
      <c r="S224" s="494" t="str">
        <f>IF(+R224=J224,+K224,+J224)</f>
        <v>Indianapolis</v>
      </c>
      <c r="T224" s="114" t="str">
        <f>K224</f>
        <v>Pittsburgh</v>
      </c>
      <c r="U224" s="349" t="str">
        <f>IF($N224=$J224,IF($O224-$Q224=$L224,"T",IF($R224=T224,"W","L")),IF($R224=T224,"W","L"))</f>
        <v>W</v>
      </c>
    </row>
    <row r="225" spans="1:21" s="335" customFormat="1" ht="15.75" customHeight="1" x14ac:dyDescent="0.8">
      <c r="A225" s="325">
        <v>12</v>
      </c>
      <c r="B225" s="46"/>
      <c r="C225" s="326"/>
      <c r="D225" s="327"/>
      <c r="E225" s="46"/>
      <c r="F225" s="114"/>
      <c r="G225" s="46"/>
      <c r="H225" s="114"/>
      <c r="I225" s="46"/>
      <c r="J225" s="329"/>
      <c r="K225" s="379"/>
      <c r="L225" s="336"/>
      <c r="M225" s="339"/>
      <c r="N225" s="360"/>
      <c r="O225" s="114"/>
      <c r="P225" s="328"/>
      <c r="Q225" s="114"/>
      <c r="R225" s="364"/>
      <c r="S225" s="364"/>
      <c r="T225" s="114"/>
      <c r="U225" s="349"/>
    </row>
    <row r="226" spans="1:21" s="335" customFormat="1" ht="15.75" customHeight="1" x14ac:dyDescent="0.8">
      <c r="A226" s="325">
        <f>+A224+1</f>
        <v>13</v>
      </c>
      <c r="B226" s="46" t="s">
        <v>52</v>
      </c>
      <c r="C226" s="326">
        <f>+C209+7</f>
        <v>44896</v>
      </c>
      <c r="D226" s="327">
        <f>20.25/24</f>
        <v>0.84375</v>
      </c>
      <c r="E226" s="46" t="s">
        <v>179</v>
      </c>
      <c r="F226" s="114" t="s">
        <v>67</v>
      </c>
      <c r="G226" s="46" t="s">
        <v>331</v>
      </c>
      <c r="H226" s="114" t="s">
        <v>330</v>
      </c>
      <c r="I226" s="46" t="s">
        <v>331</v>
      </c>
      <c r="J226" s="329" t="str">
        <f>F226</f>
        <v>Buffalo</v>
      </c>
      <c r="K226" s="379" t="str">
        <f t="shared" ref="K226:K237" si="82">IF(+J226=H226,F226,H226)</f>
        <v>New England</v>
      </c>
      <c r="L226" s="336">
        <v>4</v>
      </c>
      <c r="M226" s="339">
        <v>43.5</v>
      </c>
      <c r="N226" s="879" t="str">
        <f>J226</f>
        <v>Buffalo</v>
      </c>
      <c r="O226" s="114">
        <v>24</v>
      </c>
      <c r="P226" s="114" t="str">
        <f t="shared" ref="P226:P237" si="83">IF(N226=F226,H226,F226)</f>
        <v>New England</v>
      </c>
      <c r="Q226" s="114">
        <v>10</v>
      </c>
      <c r="R226" s="494" t="str">
        <f t="shared" ref="R226:R237" si="84">IF(+N226=K226,+N226,IF(+O226-Q226&lt;L226,+K226,+J226))</f>
        <v>Buffalo</v>
      </c>
      <c r="S226" s="494" t="str">
        <f t="shared" ref="S226:S237" si="85">IF(+R226=J226,+K226,+J226)</f>
        <v>New England</v>
      </c>
      <c r="T226" s="114" t="str">
        <f>J226</f>
        <v>Buffalo</v>
      </c>
      <c r="U226" s="349" t="str">
        <f t="shared" ref="U226:U237" si="86">IF($N226=$J226,IF($O226-$Q226=$L226,"T",IF($R226=T226,"W","L")),IF($R226=T226,"W","L"))</f>
        <v>W</v>
      </c>
    </row>
    <row r="227" spans="1:21" s="335" customFormat="1" ht="15.75" customHeight="1" x14ac:dyDescent="0.8">
      <c r="A227" s="325">
        <f>+A226</f>
        <v>13</v>
      </c>
      <c r="B227" s="46" t="s">
        <v>220</v>
      </c>
      <c r="C227" s="326">
        <f>+C226+3</f>
        <v>44899</v>
      </c>
      <c r="D227" s="327">
        <f t="shared" ref="D227:D234" si="87">13/24</f>
        <v>0.54166666666666663</v>
      </c>
      <c r="E227" s="78" t="s">
        <v>303</v>
      </c>
      <c r="F227" s="114" t="s">
        <v>128</v>
      </c>
      <c r="G227" s="46" t="s">
        <v>338</v>
      </c>
      <c r="H227" s="114" t="s">
        <v>333</v>
      </c>
      <c r="I227" s="46" t="s">
        <v>334</v>
      </c>
      <c r="J227" s="329" t="str">
        <f>H227</f>
        <v>Atlanta</v>
      </c>
      <c r="K227" s="379" t="str">
        <f t="shared" si="82"/>
        <v>Pittsburgh</v>
      </c>
      <c r="L227" s="336">
        <v>1</v>
      </c>
      <c r="M227" s="339">
        <v>42</v>
      </c>
      <c r="N227" s="879" t="str">
        <f>K227</f>
        <v>Pittsburgh</v>
      </c>
      <c r="O227" s="114">
        <v>19</v>
      </c>
      <c r="P227" s="114" t="str">
        <f t="shared" si="83"/>
        <v>Atlanta</v>
      </c>
      <c r="Q227" s="114">
        <v>16</v>
      </c>
      <c r="R227" s="494" t="str">
        <f t="shared" si="84"/>
        <v>Pittsburgh</v>
      </c>
      <c r="S227" s="494" t="str">
        <f t="shared" si="85"/>
        <v>Atlanta</v>
      </c>
      <c r="T227" s="114" t="str">
        <f>K227</f>
        <v>Pittsburgh</v>
      </c>
      <c r="U227" s="349" t="str">
        <f t="shared" si="86"/>
        <v>W</v>
      </c>
    </row>
    <row r="228" spans="1:21" s="335" customFormat="1" ht="15.75" customHeight="1" x14ac:dyDescent="0.8">
      <c r="A228" s="325">
        <f t="shared" ref="A228:A238" si="88">+A227</f>
        <v>13</v>
      </c>
      <c r="B228" s="46" t="s">
        <v>220</v>
      </c>
      <c r="C228" s="326">
        <f>+C227</f>
        <v>44899</v>
      </c>
      <c r="D228" s="327">
        <f>13/24</f>
        <v>0.54166666666666663</v>
      </c>
      <c r="E228" s="78" t="s">
        <v>118</v>
      </c>
      <c r="F228" s="114" t="s">
        <v>351</v>
      </c>
      <c r="G228" s="46" t="s">
        <v>336</v>
      </c>
      <c r="H228" s="114" t="s">
        <v>335</v>
      </c>
      <c r="I228" s="46" t="s">
        <v>336</v>
      </c>
      <c r="J228" s="329" t="str">
        <f>F228</f>
        <v>Green Bay</v>
      </c>
      <c r="K228" s="379" t="str">
        <f t="shared" si="82"/>
        <v>Chicago</v>
      </c>
      <c r="L228" s="336">
        <v>4.5</v>
      </c>
      <c r="M228" s="339">
        <v>43.5</v>
      </c>
      <c r="N228" s="879" t="str">
        <f>J228</f>
        <v>Green Bay</v>
      </c>
      <c r="O228" s="114">
        <v>28</v>
      </c>
      <c r="P228" s="114" t="str">
        <f t="shared" si="83"/>
        <v>Chicago</v>
      </c>
      <c r="Q228" s="114">
        <v>19</v>
      </c>
      <c r="R228" s="494" t="str">
        <f t="shared" si="84"/>
        <v>Green Bay</v>
      </c>
      <c r="S228" s="494" t="str">
        <f t="shared" si="85"/>
        <v>Chicago</v>
      </c>
      <c r="T228" s="114" t="str">
        <f>K228</f>
        <v>Chicago</v>
      </c>
      <c r="U228" s="349" t="str">
        <f t="shared" si="86"/>
        <v>L</v>
      </c>
    </row>
    <row r="229" spans="1:21" s="335" customFormat="1" ht="15.75" customHeight="1" x14ac:dyDescent="0.8">
      <c r="A229" s="325">
        <f t="shared" si="88"/>
        <v>13</v>
      </c>
      <c r="B229" s="46" t="s">
        <v>220</v>
      </c>
      <c r="C229" s="326">
        <f t="shared" ref="C229:C239" si="89">+C228</f>
        <v>44899</v>
      </c>
      <c r="D229" s="327">
        <f t="shared" si="87"/>
        <v>0.54166666666666663</v>
      </c>
      <c r="E229" s="78" t="s">
        <v>303</v>
      </c>
      <c r="F229" s="114" t="s">
        <v>342</v>
      </c>
      <c r="G229" s="46" t="s">
        <v>343</v>
      </c>
      <c r="H229" s="114" t="s">
        <v>341</v>
      </c>
      <c r="I229" s="46" t="s">
        <v>336</v>
      </c>
      <c r="J229" s="329" t="str">
        <f>F229</f>
        <v>Jacksonville</v>
      </c>
      <c r="K229" s="379" t="str">
        <f t="shared" si="82"/>
        <v>Detroit</v>
      </c>
      <c r="L229" s="336">
        <v>1</v>
      </c>
      <c r="M229" s="339">
        <v>51.5</v>
      </c>
      <c r="N229" s="879" t="str">
        <f>K229</f>
        <v>Detroit</v>
      </c>
      <c r="O229" s="114">
        <v>40</v>
      </c>
      <c r="P229" s="114" t="str">
        <f t="shared" si="83"/>
        <v>Jacksonville</v>
      </c>
      <c r="Q229" s="114">
        <v>14</v>
      </c>
      <c r="R229" s="494" t="str">
        <f t="shared" si="84"/>
        <v>Detroit</v>
      </c>
      <c r="S229" s="494" t="str">
        <f t="shared" si="85"/>
        <v>Jacksonville</v>
      </c>
      <c r="T229" s="114" t="str">
        <f>K229</f>
        <v>Detroit</v>
      </c>
      <c r="U229" s="349" t="str">
        <f t="shared" si="86"/>
        <v>W</v>
      </c>
    </row>
    <row r="230" spans="1:21" s="335" customFormat="1" ht="15.75" customHeight="1" x14ac:dyDescent="0.8">
      <c r="A230" s="325">
        <f t="shared" si="88"/>
        <v>13</v>
      </c>
      <c r="B230" s="46" t="s">
        <v>220</v>
      </c>
      <c r="C230" s="326">
        <f t="shared" si="89"/>
        <v>44899</v>
      </c>
      <c r="D230" s="327">
        <f t="shared" si="87"/>
        <v>0.54166666666666663</v>
      </c>
      <c r="E230" s="78" t="s">
        <v>303</v>
      </c>
      <c r="F230" s="114" t="s">
        <v>332</v>
      </c>
      <c r="G230" s="46" t="s">
        <v>331</v>
      </c>
      <c r="H230" s="114" t="s">
        <v>69</v>
      </c>
      <c r="I230" s="46" t="s">
        <v>336</v>
      </c>
      <c r="J230" s="329" t="str">
        <f>H230</f>
        <v>Minnesota</v>
      </c>
      <c r="K230" s="379" t="str">
        <f t="shared" si="82"/>
        <v>NY Jets</v>
      </c>
      <c r="L230" s="336">
        <v>3</v>
      </c>
      <c r="M230" s="339">
        <v>45</v>
      </c>
      <c r="N230" s="879" t="str">
        <f>J230</f>
        <v>Minnesota</v>
      </c>
      <c r="O230" s="114">
        <v>27</v>
      </c>
      <c r="P230" s="114" t="str">
        <f t="shared" si="83"/>
        <v>NY Jets</v>
      </c>
      <c r="Q230" s="114">
        <v>22</v>
      </c>
      <c r="R230" s="494" t="str">
        <f t="shared" si="84"/>
        <v>Minnesota</v>
      </c>
      <c r="S230" s="494" t="str">
        <f t="shared" si="85"/>
        <v>NY Jets</v>
      </c>
      <c r="T230" s="114" t="str">
        <f>K230</f>
        <v>NY Jets</v>
      </c>
      <c r="U230" s="349" t="str">
        <f t="shared" si="86"/>
        <v>L</v>
      </c>
    </row>
    <row r="231" spans="1:21" s="335" customFormat="1" ht="15.75" customHeight="1" x14ac:dyDescent="0.8">
      <c r="A231" s="325">
        <f t="shared" si="88"/>
        <v>13</v>
      </c>
      <c r="B231" s="46" t="s">
        <v>220</v>
      </c>
      <c r="C231" s="326">
        <f t="shared" si="89"/>
        <v>44899</v>
      </c>
      <c r="D231" s="327">
        <f t="shared" si="87"/>
        <v>0.54166666666666663</v>
      </c>
      <c r="E231" s="78" t="s">
        <v>118</v>
      </c>
      <c r="F231" s="114" t="s">
        <v>91</v>
      </c>
      <c r="G231" s="46" t="s">
        <v>347</v>
      </c>
      <c r="H231" s="114" t="s">
        <v>354</v>
      </c>
      <c r="I231" s="46" t="s">
        <v>347</v>
      </c>
      <c r="J231" s="329" t="str">
        <f>F231</f>
        <v>Washington</v>
      </c>
      <c r="K231" s="379" t="str">
        <f t="shared" si="82"/>
        <v>NY Giants</v>
      </c>
      <c r="L231" s="336">
        <v>2.5</v>
      </c>
      <c r="M231" s="339">
        <v>40.5</v>
      </c>
      <c r="N231" s="879" t="str">
        <f>K231</f>
        <v>NY Giants</v>
      </c>
      <c r="O231" s="114">
        <v>20</v>
      </c>
      <c r="P231" s="114" t="str">
        <f t="shared" si="83"/>
        <v>Washington</v>
      </c>
      <c r="Q231" s="114">
        <v>20</v>
      </c>
      <c r="R231" s="494" t="str">
        <f t="shared" si="84"/>
        <v>NY Giants</v>
      </c>
      <c r="S231" s="494" t="str">
        <f t="shared" si="85"/>
        <v>Washington</v>
      </c>
      <c r="T231" s="114" t="str">
        <f>J231</f>
        <v>Washington</v>
      </c>
      <c r="U231" s="349" t="str">
        <f t="shared" si="86"/>
        <v>L</v>
      </c>
    </row>
    <row r="232" spans="1:21" s="335" customFormat="1" ht="15.75" customHeight="1" x14ac:dyDescent="0.8">
      <c r="A232" s="325">
        <f t="shared" si="88"/>
        <v>13</v>
      </c>
      <c r="B232" s="46" t="s">
        <v>220</v>
      </c>
      <c r="C232" s="326">
        <f t="shared" si="89"/>
        <v>44899</v>
      </c>
      <c r="D232" s="327">
        <f t="shared" si="87"/>
        <v>0.54166666666666663</v>
      </c>
      <c r="E232" s="78" t="s">
        <v>303</v>
      </c>
      <c r="F232" s="114" t="s">
        <v>226</v>
      </c>
      <c r="G232" s="46" t="s">
        <v>343</v>
      </c>
      <c r="H232" s="114" t="s">
        <v>346</v>
      </c>
      <c r="I232" s="46" t="s">
        <v>347</v>
      </c>
      <c r="J232" s="329" t="str">
        <f>H232</f>
        <v>Philadelphia</v>
      </c>
      <c r="K232" s="379" t="str">
        <f t="shared" si="82"/>
        <v>Tennessee</v>
      </c>
      <c r="L232" s="336">
        <v>5.5</v>
      </c>
      <c r="M232" s="339">
        <v>44.5</v>
      </c>
      <c r="N232" s="879" t="str">
        <f>J232</f>
        <v>Philadelphia</v>
      </c>
      <c r="O232" s="114">
        <v>35</v>
      </c>
      <c r="P232" s="114" t="str">
        <f t="shared" si="83"/>
        <v>Tennessee</v>
      </c>
      <c r="Q232" s="114">
        <v>10</v>
      </c>
      <c r="R232" s="494" t="str">
        <f t="shared" si="84"/>
        <v>Philadelphia</v>
      </c>
      <c r="S232" s="494" t="str">
        <f t="shared" si="85"/>
        <v>Tennessee</v>
      </c>
      <c r="T232" s="114" t="str">
        <f>K232</f>
        <v>Tennessee</v>
      </c>
      <c r="U232" s="349" t="str">
        <f t="shared" si="86"/>
        <v>L</v>
      </c>
    </row>
    <row r="233" spans="1:21" s="335" customFormat="1" ht="15.75" customHeight="1" x14ac:dyDescent="0.8">
      <c r="A233" s="325">
        <f t="shared" si="88"/>
        <v>13</v>
      </c>
      <c r="B233" s="46" t="s">
        <v>220</v>
      </c>
      <c r="C233" s="326">
        <f t="shared" si="89"/>
        <v>44899</v>
      </c>
      <c r="D233" s="327">
        <f t="shared" si="87"/>
        <v>0.54166666666666663</v>
      </c>
      <c r="E233" s="78" t="s">
        <v>303</v>
      </c>
      <c r="F233" s="114" t="s">
        <v>358</v>
      </c>
      <c r="G233" s="46" t="s">
        <v>329</v>
      </c>
      <c r="H233" s="114" t="s">
        <v>337</v>
      </c>
      <c r="I233" s="46" t="s">
        <v>338</v>
      </c>
      <c r="J233" s="329" t="str">
        <f>H233</f>
        <v>Baltimore</v>
      </c>
      <c r="K233" s="379" t="str">
        <f t="shared" si="82"/>
        <v>Denver</v>
      </c>
      <c r="L233" s="336">
        <v>8.5</v>
      </c>
      <c r="M233" s="339">
        <v>38.5</v>
      </c>
      <c r="N233" s="879" t="str">
        <f>J233</f>
        <v>Baltimore</v>
      </c>
      <c r="O233" s="114">
        <v>10</v>
      </c>
      <c r="P233" s="114" t="str">
        <f t="shared" si="83"/>
        <v>Denver</v>
      </c>
      <c r="Q233" s="114">
        <v>9</v>
      </c>
      <c r="R233" s="494" t="str">
        <f t="shared" si="84"/>
        <v>Denver</v>
      </c>
      <c r="S233" s="494" t="str">
        <f t="shared" si="85"/>
        <v>Baltimore</v>
      </c>
      <c r="T233" s="114" t="str">
        <f>K233</f>
        <v>Denver</v>
      </c>
      <c r="U233" s="349" t="str">
        <f t="shared" si="86"/>
        <v>W</v>
      </c>
    </row>
    <row r="234" spans="1:21" s="335" customFormat="1" ht="15.75" customHeight="1" x14ac:dyDescent="0.8">
      <c r="A234" s="325">
        <f t="shared" si="88"/>
        <v>13</v>
      </c>
      <c r="B234" s="46" t="s">
        <v>220</v>
      </c>
      <c r="C234" s="326">
        <f t="shared" si="89"/>
        <v>44899</v>
      </c>
      <c r="D234" s="327">
        <f t="shared" si="87"/>
        <v>0.54166666666666663</v>
      </c>
      <c r="E234" s="78" t="s">
        <v>303</v>
      </c>
      <c r="F234" s="114" t="s">
        <v>339</v>
      </c>
      <c r="G234" s="46" t="s">
        <v>338</v>
      </c>
      <c r="H234" s="114" t="s">
        <v>174</v>
      </c>
      <c r="I234" s="46" t="s">
        <v>343</v>
      </c>
      <c r="J234" s="329" t="str">
        <f>F234</f>
        <v>Cleveland</v>
      </c>
      <c r="K234" s="379" t="str">
        <f t="shared" si="82"/>
        <v>Houston</v>
      </c>
      <c r="L234" s="336">
        <v>7</v>
      </c>
      <c r="M234" s="339">
        <v>47</v>
      </c>
      <c r="N234" s="879" t="str">
        <f>J234</f>
        <v>Cleveland</v>
      </c>
      <c r="O234" s="114">
        <v>27</v>
      </c>
      <c r="P234" s="114" t="str">
        <f t="shared" si="83"/>
        <v>Houston</v>
      </c>
      <c r="Q234" s="114">
        <v>14</v>
      </c>
      <c r="R234" s="494" t="str">
        <f t="shared" si="84"/>
        <v>Cleveland</v>
      </c>
      <c r="S234" s="494" t="str">
        <f t="shared" si="85"/>
        <v>Houston</v>
      </c>
      <c r="T234" s="114" t="str">
        <f>J234</f>
        <v>Cleveland</v>
      </c>
      <c r="U234" s="349" t="str">
        <f t="shared" si="86"/>
        <v>W</v>
      </c>
    </row>
    <row r="235" spans="1:21" s="335" customFormat="1" ht="15.75" customHeight="1" x14ac:dyDescent="0.8">
      <c r="A235" s="325">
        <f t="shared" si="88"/>
        <v>13</v>
      </c>
      <c r="B235" s="46" t="s">
        <v>220</v>
      </c>
      <c r="C235" s="326">
        <f t="shared" si="89"/>
        <v>44899</v>
      </c>
      <c r="D235" s="327">
        <f>16/24</f>
        <v>0.66666666666666663</v>
      </c>
      <c r="E235" s="78" t="s">
        <v>118</v>
      </c>
      <c r="F235" s="114" t="s">
        <v>350</v>
      </c>
      <c r="G235" s="46" t="s">
        <v>340</v>
      </c>
      <c r="H235" s="114" t="s">
        <v>349</v>
      </c>
      <c r="I235" s="46" t="s">
        <v>340</v>
      </c>
      <c r="J235" s="329" t="str">
        <f>F235</f>
        <v>Seattle</v>
      </c>
      <c r="K235" s="379" t="str">
        <f t="shared" si="82"/>
        <v>LA Rams</v>
      </c>
      <c r="L235" s="336">
        <v>7.5</v>
      </c>
      <c r="M235" s="339">
        <v>41</v>
      </c>
      <c r="N235" s="879" t="str">
        <f>J235</f>
        <v>Seattle</v>
      </c>
      <c r="O235" s="114">
        <v>27</v>
      </c>
      <c r="P235" s="114" t="str">
        <f t="shared" si="83"/>
        <v>LA Rams</v>
      </c>
      <c r="Q235" s="114">
        <v>23</v>
      </c>
      <c r="R235" s="494" t="str">
        <f t="shared" si="84"/>
        <v>LA Rams</v>
      </c>
      <c r="S235" s="494" t="str">
        <f t="shared" si="85"/>
        <v>Seattle</v>
      </c>
      <c r="T235" s="114" t="str">
        <f>J235</f>
        <v>Seattle</v>
      </c>
      <c r="U235" s="349" t="str">
        <f t="shared" si="86"/>
        <v>L</v>
      </c>
    </row>
    <row r="236" spans="1:21" s="335" customFormat="1" ht="15.75" customHeight="1" x14ac:dyDescent="0.8">
      <c r="A236" s="325">
        <f t="shared" si="88"/>
        <v>13</v>
      </c>
      <c r="B236" s="46" t="s">
        <v>220</v>
      </c>
      <c r="C236" s="326">
        <f t="shared" si="89"/>
        <v>44899</v>
      </c>
      <c r="D236" s="327">
        <f>16/24</f>
        <v>0.66666666666666663</v>
      </c>
      <c r="E236" s="78" t="s">
        <v>303</v>
      </c>
      <c r="F236" s="114" t="s">
        <v>345</v>
      </c>
      <c r="G236" s="46" t="s">
        <v>331</v>
      </c>
      <c r="H236" s="114" t="s">
        <v>353</v>
      </c>
      <c r="I236" s="46" t="s">
        <v>340</v>
      </c>
      <c r="J236" s="329" t="str">
        <f>H236</f>
        <v>San Francisco</v>
      </c>
      <c r="K236" s="379" t="str">
        <f t="shared" si="82"/>
        <v>Miami</v>
      </c>
      <c r="L236" s="336">
        <v>4</v>
      </c>
      <c r="M236" s="339">
        <v>46.5</v>
      </c>
      <c r="N236" s="879" t="str">
        <f>J236</f>
        <v>San Francisco</v>
      </c>
      <c r="O236" s="114">
        <v>33</v>
      </c>
      <c r="P236" s="114" t="str">
        <f t="shared" si="83"/>
        <v>Miami</v>
      </c>
      <c r="Q236" s="114">
        <v>17</v>
      </c>
      <c r="R236" s="494" t="str">
        <f t="shared" si="84"/>
        <v>San Francisco</v>
      </c>
      <c r="S236" s="494" t="str">
        <f t="shared" si="85"/>
        <v>Miami</v>
      </c>
      <c r="T236" s="114" t="str">
        <f>K236</f>
        <v>Miami</v>
      </c>
      <c r="U236" s="349" t="str">
        <f t="shared" si="86"/>
        <v>L</v>
      </c>
    </row>
    <row r="237" spans="1:21" s="335" customFormat="1" ht="15.75" customHeight="1" x14ac:dyDescent="0.8">
      <c r="A237" s="325">
        <f t="shared" si="88"/>
        <v>13</v>
      </c>
      <c r="B237" s="46" t="s">
        <v>220</v>
      </c>
      <c r="C237" s="326">
        <f t="shared" si="89"/>
        <v>44899</v>
      </c>
      <c r="D237" s="327">
        <f>16/24</f>
        <v>0.66666666666666663</v>
      </c>
      <c r="E237" s="78" t="s">
        <v>303</v>
      </c>
      <c r="F237" s="114" t="s">
        <v>328</v>
      </c>
      <c r="G237" s="46" t="s">
        <v>329</v>
      </c>
      <c r="H237" s="114" t="s">
        <v>55</v>
      </c>
      <c r="I237" s="46" t="s">
        <v>338</v>
      </c>
      <c r="J237" s="329" t="str">
        <f>F237</f>
        <v>Kansas City</v>
      </c>
      <c r="K237" s="379" t="str">
        <f t="shared" si="82"/>
        <v>Cincinnati</v>
      </c>
      <c r="L237" s="336">
        <v>1.5</v>
      </c>
      <c r="M237" s="339">
        <v>52</v>
      </c>
      <c r="N237" s="879" t="str">
        <f>K237</f>
        <v>Cincinnati</v>
      </c>
      <c r="O237" s="114">
        <v>27</v>
      </c>
      <c r="P237" s="114" t="str">
        <f t="shared" si="83"/>
        <v>Kansas City</v>
      </c>
      <c r="Q237" s="114">
        <v>24</v>
      </c>
      <c r="R237" s="494" t="str">
        <f t="shared" si="84"/>
        <v>Cincinnati</v>
      </c>
      <c r="S237" s="494" t="str">
        <f t="shared" si="85"/>
        <v>Kansas City</v>
      </c>
      <c r="T237" s="114" t="str">
        <f>K237</f>
        <v>Cincinnati</v>
      </c>
      <c r="U237" s="349" t="str">
        <f t="shared" si="86"/>
        <v>W</v>
      </c>
    </row>
    <row r="238" spans="1:21" s="335" customFormat="1" ht="15.75" customHeight="1" x14ac:dyDescent="0.8">
      <c r="A238" s="325">
        <f t="shared" si="88"/>
        <v>13</v>
      </c>
      <c r="B238" s="46" t="s">
        <v>220</v>
      </c>
      <c r="C238" s="326">
        <f t="shared" si="89"/>
        <v>44899</v>
      </c>
      <c r="D238" s="327">
        <f>16/24</f>
        <v>0.66666666666666663</v>
      </c>
      <c r="E238" s="78" t="s">
        <v>179</v>
      </c>
      <c r="F238" s="114" t="s">
        <v>357</v>
      </c>
      <c r="G238" s="46" t="s">
        <v>329</v>
      </c>
      <c r="H238" s="114" t="s">
        <v>295</v>
      </c>
      <c r="I238" s="46" t="s">
        <v>329</v>
      </c>
      <c r="J238" s="329" t="str">
        <f>F238</f>
        <v>LA Chargers</v>
      </c>
      <c r="K238" s="379" t="str">
        <f>IF(+J238=H238,F238,H238)</f>
        <v>Las Vegas</v>
      </c>
      <c r="L238" s="336">
        <v>1.5</v>
      </c>
      <c r="M238" s="339">
        <v>50.5</v>
      </c>
      <c r="N238" s="879" t="str">
        <f>K238</f>
        <v>Las Vegas</v>
      </c>
      <c r="O238" s="114">
        <v>27</v>
      </c>
      <c r="P238" s="114" t="str">
        <f>IF(N238=F238,H238,F238)</f>
        <v>LA Chargers</v>
      </c>
      <c r="Q238" s="114">
        <v>20</v>
      </c>
      <c r="R238" s="494" t="str">
        <f>IF(+N238=K238,+N238,IF(+O238-Q238&lt;L238,+K238,+J238))</f>
        <v>Las Vegas</v>
      </c>
      <c r="S238" s="494" t="str">
        <f>IF(+R238=J238,+K238,+J238)</f>
        <v>LA Chargers</v>
      </c>
      <c r="T238" s="114" t="str">
        <f>K238</f>
        <v>Las Vegas</v>
      </c>
      <c r="U238" s="349" t="str">
        <f>IF($N238=$J238,IF($O238-$Q238=$L238,"T",IF($R238=T238,"W","L")),IF($R238=T238,"W","L"))</f>
        <v>W</v>
      </c>
    </row>
    <row r="239" spans="1:21" s="335" customFormat="1" ht="15.75" customHeight="1" x14ac:dyDescent="0.8">
      <c r="A239" s="325">
        <f>+A238</f>
        <v>13</v>
      </c>
      <c r="B239" s="46" t="s">
        <v>220</v>
      </c>
      <c r="C239" s="326">
        <f t="shared" si="89"/>
        <v>44899</v>
      </c>
      <c r="D239" s="327">
        <f>20.25/24</f>
        <v>0.84375</v>
      </c>
      <c r="E239" s="46" t="s">
        <v>135</v>
      </c>
      <c r="F239" s="114" t="s">
        <v>348</v>
      </c>
      <c r="G239" s="46" t="s">
        <v>343</v>
      </c>
      <c r="H239" s="114" t="s">
        <v>355</v>
      </c>
      <c r="I239" s="46" t="s">
        <v>347</v>
      </c>
      <c r="J239" s="329" t="str">
        <f>H239</f>
        <v>Dallas</v>
      </c>
      <c r="K239" s="379" t="str">
        <f>IF(+J239=H239,F239,H239)</f>
        <v>Indianapolis</v>
      </c>
      <c r="L239" s="336">
        <v>11</v>
      </c>
      <c r="M239" s="491">
        <v>43.5</v>
      </c>
      <c r="N239" s="879" t="str">
        <f>J239</f>
        <v>Dallas</v>
      </c>
      <c r="O239" s="114">
        <v>54</v>
      </c>
      <c r="P239" s="114" t="str">
        <f>IF(N239=F239,H239,F239)</f>
        <v>Indianapolis</v>
      </c>
      <c r="Q239" s="114">
        <v>19</v>
      </c>
      <c r="R239" s="494" t="str">
        <f>IF(+N239=K239,+N239,IF(+O239-Q239&lt;L239,+K239,+J239))</f>
        <v>Dallas</v>
      </c>
      <c r="S239" s="494" t="str">
        <f>IF(+R239=J239,+K239,+J239)</f>
        <v>Indianapolis</v>
      </c>
      <c r="T239" s="114" t="str">
        <f>K239</f>
        <v>Indianapolis</v>
      </c>
      <c r="U239" s="349" t="str">
        <f>IF($N239=$J239,IF($O239-$Q239=$L239,"T",IF($R239=T239,"W","L")),IF($R239=T239,"W","L"))</f>
        <v>L</v>
      </c>
    </row>
    <row r="240" spans="1:21" s="335" customFormat="1" ht="15.75" customHeight="1" x14ac:dyDescent="0.8">
      <c r="A240" s="325">
        <f>+A239</f>
        <v>13</v>
      </c>
      <c r="B240" s="46" t="s">
        <v>225</v>
      </c>
      <c r="C240" s="326">
        <f>+C239+1</f>
        <v>44900</v>
      </c>
      <c r="D240" s="327">
        <f>20.25/24</f>
        <v>0.84375</v>
      </c>
      <c r="E240" s="46" t="s">
        <v>135</v>
      </c>
      <c r="F240" s="114" t="s">
        <v>356</v>
      </c>
      <c r="G240" s="46" t="s">
        <v>343</v>
      </c>
      <c r="H240" s="114" t="s">
        <v>344</v>
      </c>
      <c r="I240" s="46" t="s">
        <v>347</v>
      </c>
      <c r="J240" s="329" t="str">
        <f>H240</f>
        <v>Tampa Bay</v>
      </c>
      <c r="K240" s="379" t="str">
        <f>IF(+J240=H240,F240,H240)</f>
        <v>New Orleans</v>
      </c>
      <c r="L240" s="336">
        <v>4</v>
      </c>
      <c r="M240" s="339">
        <v>40.5</v>
      </c>
      <c r="N240" s="879" t="str">
        <f>J240</f>
        <v>Tampa Bay</v>
      </c>
      <c r="O240" s="114">
        <v>17</v>
      </c>
      <c r="P240" s="114" t="str">
        <f>IF(N240=F240,H240,F240)</f>
        <v>New Orleans</v>
      </c>
      <c r="Q240" s="114">
        <v>16</v>
      </c>
      <c r="R240" s="494" t="str">
        <f>IF(+N240=K240,+N240,IF(+O240-Q240&lt;L240,+K240,+J240))</f>
        <v>New Orleans</v>
      </c>
      <c r="S240" s="494" t="str">
        <f>IF(+R240=J240,+K240,+J240)</f>
        <v>Tampa Bay</v>
      </c>
      <c r="T240" s="114" t="str">
        <f>K240</f>
        <v>New Orleans</v>
      </c>
      <c r="U240" s="349" t="str">
        <f>IF($N240=$J240,IF($O240-$Q240=$L240,"T",IF($R240=T240,"W","L")),IF($R240=T240,"W","L"))</f>
        <v>W</v>
      </c>
    </row>
    <row r="241" spans="1:21" s="335" customFormat="1" ht="15.75" customHeight="1" x14ac:dyDescent="0.8">
      <c r="A241" s="325">
        <v>13</v>
      </c>
      <c r="B241" s="46"/>
      <c r="C241" s="326"/>
      <c r="D241" s="327"/>
      <c r="E241" s="78"/>
      <c r="F241" s="114" t="s">
        <v>409</v>
      </c>
      <c r="G241" s="46"/>
      <c r="H241" s="114"/>
      <c r="I241" s="46"/>
      <c r="J241" s="329"/>
      <c r="K241" s="379"/>
      <c r="L241" s="336"/>
      <c r="M241" s="339"/>
      <c r="N241" s="879"/>
      <c r="O241" s="114"/>
      <c r="P241" s="114"/>
      <c r="Q241" s="114"/>
      <c r="R241" s="494"/>
      <c r="S241" s="494"/>
      <c r="T241" s="114"/>
      <c r="U241" s="349"/>
    </row>
    <row r="242" spans="1:21" s="335" customFormat="1" ht="15.75" customHeight="1" x14ac:dyDescent="0.8">
      <c r="A242" s="325">
        <v>13</v>
      </c>
      <c r="B242" s="46"/>
      <c r="C242" s="326"/>
      <c r="D242" s="327"/>
      <c r="E242" s="46"/>
      <c r="F242" s="114" t="s">
        <v>198</v>
      </c>
      <c r="G242" s="46" t="s">
        <v>340</v>
      </c>
      <c r="H242" s="114"/>
      <c r="I242" s="46"/>
      <c r="J242" s="329"/>
      <c r="K242" s="379"/>
      <c r="L242" s="336"/>
      <c r="M242" s="339"/>
      <c r="N242" s="879"/>
      <c r="O242" s="114"/>
      <c r="P242" s="114"/>
      <c r="Q242" s="114"/>
      <c r="R242" s="494"/>
      <c r="S242" s="494"/>
      <c r="T242" s="114"/>
      <c r="U242" s="349"/>
    </row>
    <row r="243" spans="1:21" s="335" customFormat="1" ht="15.75" customHeight="1" x14ac:dyDescent="0.8">
      <c r="A243" s="325">
        <v>13</v>
      </c>
      <c r="B243" s="46"/>
      <c r="C243" s="326"/>
      <c r="D243" s="327"/>
      <c r="E243" s="46"/>
      <c r="F243" s="114" t="s">
        <v>352</v>
      </c>
      <c r="G243" s="46" t="s">
        <v>334</v>
      </c>
      <c r="H243" s="114"/>
      <c r="I243" s="46"/>
      <c r="J243" s="329"/>
      <c r="K243" s="379"/>
      <c r="L243" s="336"/>
      <c r="M243" s="339"/>
      <c r="N243" s="879"/>
      <c r="O243" s="114"/>
      <c r="P243" s="114"/>
      <c r="Q243" s="114"/>
      <c r="R243" s="494"/>
      <c r="S243" s="494"/>
      <c r="T243" s="114"/>
      <c r="U243" s="349"/>
    </row>
    <row r="244" spans="1:21" s="335" customFormat="1" ht="15.75" customHeight="1" x14ac:dyDescent="0.8">
      <c r="A244" s="325">
        <v>13</v>
      </c>
      <c r="B244" s="46"/>
      <c r="C244" s="326"/>
      <c r="D244" s="327"/>
      <c r="E244" s="46"/>
      <c r="F244" s="114"/>
      <c r="G244" s="46"/>
      <c r="H244" s="114"/>
      <c r="I244" s="46"/>
      <c r="J244" s="329"/>
      <c r="K244" s="379"/>
      <c r="L244" s="336"/>
      <c r="M244" s="339"/>
      <c r="N244" s="360"/>
      <c r="O244" s="114"/>
      <c r="P244" s="328"/>
      <c r="Q244" s="114"/>
      <c r="R244" s="494"/>
      <c r="S244" s="494"/>
      <c r="T244" s="114"/>
      <c r="U244" s="349"/>
    </row>
    <row r="245" spans="1:21" s="335" customFormat="1" ht="15.75" customHeight="1" x14ac:dyDescent="0.8">
      <c r="A245" s="325">
        <f>+A242+1</f>
        <v>14</v>
      </c>
      <c r="B245" s="46" t="s">
        <v>52</v>
      </c>
      <c r="C245" s="326">
        <f>+C226+7</f>
        <v>44903</v>
      </c>
      <c r="D245" s="327">
        <f>20.25/24</f>
        <v>0.84375</v>
      </c>
      <c r="E245" s="46" t="s">
        <v>179</v>
      </c>
      <c r="F245" s="114" t="s">
        <v>295</v>
      </c>
      <c r="G245" s="46" t="s">
        <v>329</v>
      </c>
      <c r="H245" s="114" t="s">
        <v>349</v>
      </c>
      <c r="I245" s="46" t="s">
        <v>340</v>
      </c>
      <c r="J245" s="329" t="str">
        <f>F245</f>
        <v>Las Vegas</v>
      </c>
      <c r="K245" s="379" t="str">
        <f t="shared" ref="K245:K256" si="90">IF(+J245=H245,F245,H245)</f>
        <v>LA Rams</v>
      </c>
      <c r="L245" s="336">
        <v>13.5</v>
      </c>
      <c r="M245" s="339">
        <v>46.5</v>
      </c>
      <c r="N245" s="879" t="str">
        <f>H245</f>
        <v>LA Rams</v>
      </c>
      <c r="O245" s="114">
        <v>17</v>
      </c>
      <c r="P245" s="114" t="str">
        <f t="shared" ref="P245:P256" si="91">IF(N245=F245,H245,F245)</f>
        <v>Las Vegas</v>
      </c>
      <c r="Q245" s="114">
        <v>15</v>
      </c>
      <c r="R245" s="494" t="str">
        <f t="shared" ref="R245:R256" si="92">IF(+N245=K245,+N245,IF(+O245-Q245&lt;L245,+K245,+J245))</f>
        <v>LA Rams</v>
      </c>
      <c r="S245" s="494" t="str">
        <f t="shared" ref="S245:S256" si="93">IF(+R245=J245,+K245,+J245)</f>
        <v>Las Vegas</v>
      </c>
      <c r="T245" s="114"/>
      <c r="U245" s="349" t="str">
        <f t="shared" ref="U245:U257" si="94">IF($N245=$J245,IF($O245-$Q245=$L245,"T",IF($R245=T245,"W","L")),IF($R245=T245,"W","L"))</f>
        <v>L</v>
      </c>
    </row>
    <row r="246" spans="1:21" s="335" customFormat="1" ht="15.75" customHeight="1" x14ac:dyDescent="0.8">
      <c r="A246" s="325">
        <f>+A245</f>
        <v>14</v>
      </c>
      <c r="B246" s="46" t="s">
        <v>220</v>
      </c>
      <c r="C246" s="326">
        <f>+C245+3</f>
        <v>44906</v>
      </c>
      <c r="D246" s="327">
        <f t="shared" ref="D246:D254" si="95">13/24</f>
        <v>0.54166666666666663</v>
      </c>
      <c r="E246" s="78" t="s">
        <v>303</v>
      </c>
      <c r="F246" s="114" t="s">
        <v>332</v>
      </c>
      <c r="G246" s="46" t="s">
        <v>331</v>
      </c>
      <c r="H246" s="114" t="s">
        <v>67</v>
      </c>
      <c r="I246" s="46" t="s">
        <v>331</v>
      </c>
      <c r="J246" s="329" t="str">
        <f>H246</f>
        <v>Buffalo</v>
      </c>
      <c r="K246" s="379" t="str">
        <f t="shared" si="90"/>
        <v>NY Jets</v>
      </c>
      <c r="L246" s="336">
        <v>9.5</v>
      </c>
      <c r="M246" s="339">
        <v>43.5</v>
      </c>
      <c r="N246" s="879" t="str">
        <f t="shared" ref="N246:N254" si="96">H246</f>
        <v>Buffalo</v>
      </c>
      <c r="O246" s="114">
        <v>20</v>
      </c>
      <c r="P246" s="114" t="str">
        <f t="shared" si="91"/>
        <v>NY Jets</v>
      </c>
      <c r="Q246" s="114">
        <v>12</v>
      </c>
      <c r="R246" s="494" t="str">
        <f t="shared" si="92"/>
        <v>NY Jets</v>
      </c>
      <c r="S246" s="494" t="str">
        <f t="shared" si="93"/>
        <v>Buffalo</v>
      </c>
      <c r="T246" s="114"/>
      <c r="U246" s="349" t="str">
        <f t="shared" si="94"/>
        <v>L</v>
      </c>
    </row>
    <row r="247" spans="1:21" s="335" customFormat="1" ht="15.75" customHeight="1" x14ac:dyDescent="0.8">
      <c r="A247" s="325">
        <f t="shared" ref="A247:A264" si="97">+A246</f>
        <v>14</v>
      </c>
      <c r="B247" s="46" t="s">
        <v>220</v>
      </c>
      <c r="C247" s="326">
        <f>+C246</f>
        <v>44906</v>
      </c>
      <c r="D247" s="327">
        <f>13/24</f>
        <v>0.54166666666666663</v>
      </c>
      <c r="E247" s="78" t="s">
        <v>303</v>
      </c>
      <c r="F247" s="114" t="s">
        <v>339</v>
      </c>
      <c r="G247" s="46" t="s">
        <v>338</v>
      </c>
      <c r="H247" s="114" t="s">
        <v>55</v>
      </c>
      <c r="I247" s="46" t="s">
        <v>338</v>
      </c>
      <c r="J247" s="329" t="str">
        <f>H247</f>
        <v>Cincinnati</v>
      </c>
      <c r="K247" s="379" t="str">
        <f t="shared" si="90"/>
        <v>Cleveland</v>
      </c>
      <c r="L247" s="336">
        <v>4.5</v>
      </c>
      <c r="M247" s="339">
        <v>47.5</v>
      </c>
      <c r="N247" s="879" t="str">
        <f t="shared" si="96"/>
        <v>Cincinnati</v>
      </c>
      <c r="O247" s="114">
        <v>23</v>
      </c>
      <c r="P247" s="114" t="str">
        <f t="shared" si="91"/>
        <v>Cleveland</v>
      </c>
      <c r="Q247" s="114">
        <v>10</v>
      </c>
      <c r="R247" s="494" t="str">
        <f t="shared" si="92"/>
        <v>Cincinnati</v>
      </c>
      <c r="S247" s="494" t="str">
        <f t="shared" si="93"/>
        <v>Cleveland</v>
      </c>
      <c r="T247" s="114"/>
      <c r="U247" s="349" t="str">
        <f t="shared" si="94"/>
        <v>L</v>
      </c>
    </row>
    <row r="248" spans="1:21" s="335" customFormat="1" ht="15.75" customHeight="1" x14ac:dyDescent="0.8">
      <c r="A248" s="325">
        <f t="shared" si="97"/>
        <v>14</v>
      </c>
      <c r="B248" s="46" t="s">
        <v>220</v>
      </c>
      <c r="C248" s="326">
        <f t="shared" ref="C248:C257" si="98">+C247</f>
        <v>44906</v>
      </c>
      <c r="D248" s="327">
        <f t="shared" si="95"/>
        <v>0.54166666666666663</v>
      </c>
      <c r="E248" s="78" t="s">
        <v>303</v>
      </c>
      <c r="F248" s="114" t="s">
        <v>174</v>
      </c>
      <c r="G248" s="46" t="s">
        <v>343</v>
      </c>
      <c r="H248" s="114" t="s">
        <v>355</v>
      </c>
      <c r="I248" s="46" t="s">
        <v>347</v>
      </c>
      <c r="J248" s="329" t="str">
        <f>H248</f>
        <v>Dallas</v>
      </c>
      <c r="K248" s="379" t="str">
        <f t="shared" si="90"/>
        <v>Houston</v>
      </c>
      <c r="L248" s="336">
        <v>14.5</v>
      </c>
      <c r="M248" s="339">
        <v>52.5</v>
      </c>
      <c r="N248" s="879" t="str">
        <f t="shared" si="96"/>
        <v>Dallas</v>
      </c>
      <c r="O248" s="114">
        <v>27</v>
      </c>
      <c r="P248" s="114" t="str">
        <f t="shared" si="91"/>
        <v>Houston</v>
      </c>
      <c r="Q248" s="114">
        <v>23</v>
      </c>
      <c r="R248" s="494" t="str">
        <f t="shared" si="92"/>
        <v>Houston</v>
      </c>
      <c r="S248" s="494" t="str">
        <f t="shared" si="93"/>
        <v>Dallas</v>
      </c>
      <c r="T248" s="114"/>
      <c r="U248" s="349" t="str">
        <f t="shared" si="94"/>
        <v>L</v>
      </c>
    </row>
    <row r="249" spans="1:21" s="335" customFormat="1" ht="15.75" customHeight="1" x14ac:dyDescent="0.8">
      <c r="A249" s="325">
        <f t="shared" si="97"/>
        <v>14</v>
      </c>
      <c r="B249" s="46" t="s">
        <v>220</v>
      </c>
      <c r="C249" s="326">
        <f t="shared" si="98"/>
        <v>44906</v>
      </c>
      <c r="D249" s="327">
        <f t="shared" si="95"/>
        <v>0.54166666666666663</v>
      </c>
      <c r="E249" s="78" t="s">
        <v>118</v>
      </c>
      <c r="F249" s="114" t="s">
        <v>69</v>
      </c>
      <c r="G249" s="46" t="s">
        <v>336</v>
      </c>
      <c r="H249" s="114" t="s">
        <v>341</v>
      </c>
      <c r="I249" s="46" t="s">
        <v>336</v>
      </c>
      <c r="J249" s="329" t="str">
        <f>H249</f>
        <v>Detroit</v>
      </c>
      <c r="K249" s="379" t="str">
        <f t="shared" si="90"/>
        <v>Minnesota</v>
      </c>
      <c r="L249" s="336">
        <v>1.5</v>
      </c>
      <c r="M249" s="339">
        <v>51.5</v>
      </c>
      <c r="N249" s="879" t="str">
        <f t="shared" si="96"/>
        <v>Detroit</v>
      </c>
      <c r="O249" s="114">
        <v>34</v>
      </c>
      <c r="P249" s="114" t="str">
        <f t="shared" si="91"/>
        <v>Minnesota</v>
      </c>
      <c r="Q249" s="114">
        <v>23</v>
      </c>
      <c r="R249" s="494" t="str">
        <f t="shared" si="92"/>
        <v>Detroit</v>
      </c>
      <c r="S249" s="494" t="str">
        <f t="shared" si="93"/>
        <v>Minnesota</v>
      </c>
      <c r="T249" s="114"/>
      <c r="U249" s="349" t="str">
        <f t="shared" si="94"/>
        <v>L</v>
      </c>
    </row>
    <row r="250" spans="1:21" s="335" customFormat="1" ht="15.75" customHeight="1" x14ac:dyDescent="0.8">
      <c r="A250" s="325">
        <f t="shared" si="97"/>
        <v>14</v>
      </c>
      <c r="B250" s="46" t="s">
        <v>220</v>
      </c>
      <c r="C250" s="326">
        <f t="shared" si="98"/>
        <v>44906</v>
      </c>
      <c r="D250" s="327">
        <f t="shared" si="95"/>
        <v>0.54166666666666663</v>
      </c>
      <c r="E250" s="78" t="s">
        <v>303</v>
      </c>
      <c r="F250" s="114" t="s">
        <v>342</v>
      </c>
      <c r="G250" s="46" t="s">
        <v>343</v>
      </c>
      <c r="H250" s="114" t="s">
        <v>226</v>
      </c>
      <c r="I250" s="46" t="s">
        <v>343</v>
      </c>
      <c r="J250" s="329" t="str">
        <f>H250</f>
        <v>Tennessee</v>
      </c>
      <c r="K250" s="379" t="str">
        <f t="shared" si="90"/>
        <v>Jacksonville</v>
      </c>
      <c r="L250" s="336">
        <v>3.5</v>
      </c>
      <c r="M250" s="339">
        <v>41.5</v>
      </c>
      <c r="N250" s="879" t="str">
        <f>F250</f>
        <v>Jacksonville</v>
      </c>
      <c r="O250" s="114">
        <v>36</v>
      </c>
      <c r="P250" s="114" t="str">
        <f t="shared" si="91"/>
        <v>Tennessee</v>
      </c>
      <c r="Q250" s="114">
        <v>22</v>
      </c>
      <c r="R250" s="494" t="str">
        <f t="shared" si="92"/>
        <v>Jacksonville</v>
      </c>
      <c r="S250" s="494" t="str">
        <f t="shared" si="93"/>
        <v>Tennessee</v>
      </c>
      <c r="T250" s="114"/>
      <c r="U250" s="349" t="str">
        <f t="shared" si="94"/>
        <v>L</v>
      </c>
    </row>
    <row r="251" spans="1:21" s="335" customFormat="1" ht="15.75" customHeight="1" x14ac:dyDescent="0.8">
      <c r="A251" s="325">
        <f t="shared" si="97"/>
        <v>14</v>
      </c>
      <c r="B251" s="46" t="s">
        <v>220</v>
      </c>
      <c r="C251" s="326">
        <f t="shared" si="98"/>
        <v>44906</v>
      </c>
      <c r="D251" s="327">
        <f t="shared" si="95"/>
        <v>0.54166666666666663</v>
      </c>
      <c r="E251" s="78" t="s">
        <v>118</v>
      </c>
      <c r="F251" s="114" t="s">
        <v>346</v>
      </c>
      <c r="G251" s="46" t="s">
        <v>347</v>
      </c>
      <c r="H251" s="114" t="s">
        <v>354</v>
      </c>
      <c r="I251" s="46" t="s">
        <v>347</v>
      </c>
      <c r="J251" s="329" t="str">
        <f>F251</f>
        <v>Philadelphia</v>
      </c>
      <c r="K251" s="379" t="str">
        <f t="shared" si="90"/>
        <v>NY Giants</v>
      </c>
      <c r="L251" s="336">
        <v>10.5</v>
      </c>
      <c r="M251" s="339">
        <v>41.5</v>
      </c>
      <c r="N251" s="879" t="str">
        <f>F251</f>
        <v>Philadelphia</v>
      </c>
      <c r="O251" s="114">
        <v>48</v>
      </c>
      <c r="P251" s="114" t="str">
        <f t="shared" si="91"/>
        <v>NY Giants</v>
      </c>
      <c r="Q251" s="114">
        <v>22</v>
      </c>
      <c r="R251" s="494" t="str">
        <f t="shared" si="92"/>
        <v>Philadelphia</v>
      </c>
      <c r="S251" s="494" t="str">
        <f t="shared" si="93"/>
        <v>NY Giants</v>
      </c>
      <c r="T251" s="114"/>
      <c r="U251" s="349" t="str">
        <f t="shared" si="94"/>
        <v>L</v>
      </c>
    </row>
    <row r="252" spans="1:21" s="335" customFormat="1" ht="15.75" customHeight="1" x14ac:dyDescent="0.8">
      <c r="A252" s="325">
        <f t="shared" si="97"/>
        <v>14</v>
      </c>
      <c r="B252" s="46" t="s">
        <v>220</v>
      </c>
      <c r="C252" s="326">
        <f t="shared" si="98"/>
        <v>44906</v>
      </c>
      <c r="D252" s="327">
        <f t="shared" si="95"/>
        <v>0.54166666666666663</v>
      </c>
      <c r="E252" s="78" t="s">
        <v>303</v>
      </c>
      <c r="F252" s="114" t="s">
        <v>337</v>
      </c>
      <c r="G252" s="46" t="s">
        <v>338</v>
      </c>
      <c r="H252" s="114" t="s">
        <v>128</v>
      </c>
      <c r="I252" s="46" t="s">
        <v>338</v>
      </c>
      <c r="J252" s="329" t="str">
        <f>H252</f>
        <v>Pittsburgh</v>
      </c>
      <c r="K252" s="379" t="str">
        <f t="shared" si="90"/>
        <v>Baltimore</v>
      </c>
      <c r="L252" s="336">
        <v>2.5</v>
      </c>
      <c r="M252" s="339">
        <v>36.5</v>
      </c>
      <c r="N252" s="879" t="str">
        <f>F252</f>
        <v>Baltimore</v>
      </c>
      <c r="O252" s="114">
        <v>16</v>
      </c>
      <c r="P252" s="114" t="str">
        <f t="shared" si="91"/>
        <v>Pittsburgh</v>
      </c>
      <c r="Q252" s="114">
        <v>14</v>
      </c>
      <c r="R252" s="494" t="str">
        <f t="shared" si="92"/>
        <v>Baltimore</v>
      </c>
      <c r="S252" s="494" t="str">
        <f t="shared" si="93"/>
        <v>Pittsburgh</v>
      </c>
      <c r="T252" s="114"/>
      <c r="U252" s="349" t="str">
        <f t="shared" si="94"/>
        <v>L</v>
      </c>
    </row>
    <row r="253" spans="1:21" s="335" customFormat="1" ht="15.75" customHeight="1" x14ac:dyDescent="0.8">
      <c r="A253" s="325">
        <f t="shared" si="97"/>
        <v>14</v>
      </c>
      <c r="B253" s="46" t="s">
        <v>220</v>
      </c>
      <c r="C253" s="326">
        <f t="shared" si="98"/>
        <v>44906</v>
      </c>
      <c r="D253" s="327">
        <f t="shared" si="95"/>
        <v>0.54166666666666663</v>
      </c>
      <c r="E253" s="78" t="s">
        <v>303</v>
      </c>
      <c r="F253" s="114" t="s">
        <v>345</v>
      </c>
      <c r="G253" s="46" t="s">
        <v>331</v>
      </c>
      <c r="H253" s="114" t="s">
        <v>357</v>
      </c>
      <c r="I253" s="46" t="s">
        <v>329</v>
      </c>
      <c r="J253" s="329" t="str">
        <f>F253</f>
        <v>Miami</v>
      </c>
      <c r="K253" s="379" t="str">
        <f t="shared" si="90"/>
        <v>LA Chargers</v>
      </c>
      <c r="L253" s="336">
        <v>2.5</v>
      </c>
      <c r="M253" s="339">
        <v>54.5</v>
      </c>
      <c r="N253" s="879" t="str">
        <f t="shared" si="96"/>
        <v>LA Chargers</v>
      </c>
      <c r="O253" s="114">
        <v>23</v>
      </c>
      <c r="P253" s="114" t="str">
        <f t="shared" si="91"/>
        <v>Miami</v>
      </c>
      <c r="Q253" s="114">
        <v>17</v>
      </c>
      <c r="R253" s="494" t="str">
        <f t="shared" si="92"/>
        <v>LA Chargers</v>
      </c>
      <c r="S253" s="494" t="str">
        <f t="shared" si="93"/>
        <v>Miami</v>
      </c>
      <c r="T253" s="114"/>
      <c r="U253" s="349" t="str">
        <f t="shared" si="94"/>
        <v>L</v>
      </c>
    </row>
    <row r="254" spans="1:21" s="335" customFormat="1" ht="15.75" customHeight="1" x14ac:dyDescent="0.8">
      <c r="A254" s="325">
        <f t="shared" si="97"/>
        <v>14</v>
      </c>
      <c r="B254" s="46" t="s">
        <v>220</v>
      </c>
      <c r="C254" s="326">
        <f t="shared" si="98"/>
        <v>44906</v>
      </c>
      <c r="D254" s="327">
        <f t="shared" si="95"/>
        <v>0.54166666666666663</v>
      </c>
      <c r="E254" s="78" t="s">
        <v>118</v>
      </c>
      <c r="F254" s="114" t="s">
        <v>344</v>
      </c>
      <c r="G254" s="46" t="s">
        <v>334</v>
      </c>
      <c r="H254" s="114" t="s">
        <v>353</v>
      </c>
      <c r="I254" s="46" t="s">
        <v>340</v>
      </c>
      <c r="J254" s="329" t="str">
        <f>H254</f>
        <v>San Francisco</v>
      </c>
      <c r="K254" s="379" t="str">
        <f t="shared" si="90"/>
        <v>Tampa Bay</v>
      </c>
      <c r="L254" s="336">
        <v>6.5</v>
      </c>
      <c r="M254" s="339">
        <v>43.5</v>
      </c>
      <c r="N254" s="879" t="str">
        <f t="shared" si="96"/>
        <v>San Francisco</v>
      </c>
      <c r="O254" s="114">
        <v>35</v>
      </c>
      <c r="P254" s="114" t="str">
        <f t="shared" si="91"/>
        <v>Tampa Bay</v>
      </c>
      <c r="Q254" s="114">
        <v>7</v>
      </c>
      <c r="R254" s="494" t="str">
        <f t="shared" si="92"/>
        <v>San Francisco</v>
      </c>
      <c r="S254" s="494" t="str">
        <f t="shared" si="93"/>
        <v>Tampa Bay</v>
      </c>
      <c r="T254" s="114"/>
      <c r="U254" s="349" t="str">
        <f t="shared" si="94"/>
        <v>L</v>
      </c>
    </row>
    <row r="255" spans="1:21" s="335" customFormat="1" ht="15.75" customHeight="1" x14ac:dyDescent="0.8">
      <c r="A255" s="325">
        <f t="shared" si="97"/>
        <v>14</v>
      </c>
      <c r="B255" s="46" t="s">
        <v>220</v>
      </c>
      <c r="C255" s="326">
        <f t="shared" si="98"/>
        <v>44906</v>
      </c>
      <c r="D255" s="327">
        <f>16/24</f>
        <v>0.66666666666666663</v>
      </c>
      <c r="E255" s="78" t="s">
        <v>118</v>
      </c>
      <c r="F255" s="114" t="s">
        <v>352</v>
      </c>
      <c r="G255" s="46" t="s">
        <v>334</v>
      </c>
      <c r="H255" s="114" t="s">
        <v>350</v>
      </c>
      <c r="I255" s="46" t="s">
        <v>340</v>
      </c>
      <c r="J255" s="329" t="str">
        <f>H255</f>
        <v>Seattle</v>
      </c>
      <c r="K255" s="379" t="str">
        <f t="shared" si="90"/>
        <v>Carolina</v>
      </c>
      <c r="L255" s="336">
        <v>2.5</v>
      </c>
      <c r="M255" s="339">
        <v>41.5</v>
      </c>
      <c r="N255" s="879" t="str">
        <f>F255</f>
        <v>Carolina</v>
      </c>
      <c r="O255" s="114">
        <v>30</v>
      </c>
      <c r="P255" s="114" t="str">
        <f t="shared" si="91"/>
        <v>Seattle</v>
      </c>
      <c r="Q255" s="114">
        <v>24</v>
      </c>
      <c r="R255" s="494" t="str">
        <f t="shared" si="92"/>
        <v>Carolina</v>
      </c>
      <c r="S255" s="494" t="str">
        <f t="shared" si="93"/>
        <v>Seattle</v>
      </c>
      <c r="T255" s="114"/>
      <c r="U255" s="349" t="str">
        <f t="shared" si="94"/>
        <v>L</v>
      </c>
    </row>
    <row r="256" spans="1:21" s="335" customFormat="1" ht="15.75" customHeight="1" x14ac:dyDescent="0.8">
      <c r="A256" s="325">
        <f t="shared" si="97"/>
        <v>14</v>
      </c>
      <c r="B256" s="46" t="s">
        <v>220</v>
      </c>
      <c r="C256" s="326">
        <f t="shared" si="98"/>
        <v>44906</v>
      </c>
      <c r="D256" s="327">
        <f>16/24</f>
        <v>0.66666666666666663</v>
      </c>
      <c r="E256" s="78" t="s">
        <v>303</v>
      </c>
      <c r="F256" s="114" t="s">
        <v>328</v>
      </c>
      <c r="G256" s="46" t="s">
        <v>329</v>
      </c>
      <c r="H256" s="114" t="s">
        <v>358</v>
      </c>
      <c r="I256" s="46" t="s">
        <v>329</v>
      </c>
      <c r="J256" s="329" t="str">
        <f>F256</f>
        <v>Kansas City</v>
      </c>
      <c r="K256" s="379" t="str">
        <f t="shared" si="90"/>
        <v>Denver</v>
      </c>
      <c r="L256" s="336">
        <v>7.5</v>
      </c>
      <c r="M256" s="339">
        <v>42.5</v>
      </c>
      <c r="N256" s="879" t="str">
        <f>F256</f>
        <v>Kansas City</v>
      </c>
      <c r="O256" s="114">
        <v>34</v>
      </c>
      <c r="P256" s="114" t="str">
        <f t="shared" si="91"/>
        <v>Denver</v>
      </c>
      <c r="Q256" s="114">
        <v>28</v>
      </c>
      <c r="R256" s="494" t="str">
        <f t="shared" si="92"/>
        <v>Denver</v>
      </c>
      <c r="S256" s="494" t="str">
        <f t="shared" si="93"/>
        <v>Kansas City</v>
      </c>
      <c r="T256" s="114"/>
      <c r="U256" s="349" t="str">
        <f t="shared" si="94"/>
        <v>L</v>
      </c>
    </row>
    <row r="257" spans="1:21" s="335" customFormat="1" ht="15.75" customHeight="1" x14ac:dyDescent="0.8">
      <c r="A257" s="325">
        <f t="shared" si="97"/>
        <v>14</v>
      </c>
      <c r="B257" s="46" t="s">
        <v>220</v>
      </c>
      <c r="C257" s="326">
        <f t="shared" si="98"/>
        <v>44906</v>
      </c>
      <c r="D257" s="327">
        <f>16/24</f>
        <v>0.66666666666666663</v>
      </c>
      <c r="E257" s="78" t="s">
        <v>303</v>
      </c>
      <c r="F257" s="114" t="s">
        <v>330</v>
      </c>
      <c r="G257" s="46" t="s">
        <v>331</v>
      </c>
      <c r="H257" s="114" t="s">
        <v>198</v>
      </c>
      <c r="I257" s="46" t="s">
        <v>340</v>
      </c>
      <c r="J257" s="329" t="str">
        <f>F257</f>
        <v>New England</v>
      </c>
      <c r="K257" s="379" t="str">
        <f>IF(+J257=H257,F257,H257)</f>
        <v>Arizona</v>
      </c>
      <c r="L257" s="336">
        <v>3.5</v>
      </c>
      <c r="M257" s="339">
        <v>39.5</v>
      </c>
      <c r="N257" s="879" t="str">
        <f>F257</f>
        <v>New England</v>
      </c>
      <c r="O257" s="114">
        <v>27</v>
      </c>
      <c r="P257" s="114" t="str">
        <f>IF(N257=F257,H257,F257)</f>
        <v>Arizona</v>
      </c>
      <c r="Q257" s="114">
        <v>13</v>
      </c>
      <c r="R257" s="494" t="str">
        <f>IF(+N257=K257,+N257,IF(+O257-Q257&lt;L257,+K257,+J257))</f>
        <v>New England</v>
      </c>
      <c r="S257" s="494" t="str">
        <f>IF(+R257=J257,+K257,+J257)</f>
        <v>Arizona</v>
      </c>
      <c r="T257" s="114"/>
      <c r="U257" s="349" t="str">
        <f t="shared" si="94"/>
        <v>L</v>
      </c>
    </row>
    <row r="258" spans="1:21" s="335" customFormat="1" ht="15.75" customHeight="1" x14ac:dyDescent="0.8">
      <c r="A258" s="325">
        <f t="shared" si="97"/>
        <v>14</v>
      </c>
      <c r="B258" s="46"/>
      <c r="C258" s="326"/>
      <c r="D258" s="327"/>
      <c r="E258" s="78"/>
      <c r="F258" s="114" t="s">
        <v>409</v>
      </c>
      <c r="G258" s="46"/>
      <c r="H258" s="114"/>
      <c r="I258" s="46"/>
      <c r="J258" s="329"/>
      <c r="K258" s="379"/>
      <c r="L258" s="336"/>
      <c r="M258" s="339"/>
      <c r="N258" s="879"/>
      <c r="O258" s="114"/>
      <c r="P258" s="114"/>
      <c r="Q258" s="114"/>
      <c r="R258" s="494"/>
      <c r="S258" s="494"/>
      <c r="T258" s="114"/>
      <c r="U258" s="349"/>
    </row>
    <row r="259" spans="1:21" s="335" customFormat="1" ht="15.75" customHeight="1" x14ac:dyDescent="0.8">
      <c r="A259" s="325">
        <f t="shared" si="97"/>
        <v>14</v>
      </c>
      <c r="B259" s="46"/>
      <c r="C259" s="326"/>
      <c r="D259" s="327"/>
      <c r="E259" s="46"/>
      <c r="F259" s="114" t="s">
        <v>333</v>
      </c>
      <c r="G259" s="46" t="s">
        <v>334</v>
      </c>
      <c r="H259" s="114"/>
      <c r="I259" s="46"/>
      <c r="J259" s="329"/>
      <c r="K259" s="379"/>
      <c r="L259" s="336"/>
      <c r="M259" s="339"/>
      <c r="N259" s="879"/>
      <c r="O259" s="114"/>
      <c r="P259" s="114"/>
      <c r="Q259" s="114"/>
      <c r="R259" s="494"/>
      <c r="S259" s="494"/>
      <c r="T259" s="114"/>
      <c r="U259" s="349"/>
    </row>
    <row r="260" spans="1:21" s="335" customFormat="1" ht="15.75" customHeight="1" x14ac:dyDescent="0.8">
      <c r="A260" s="325">
        <f t="shared" si="97"/>
        <v>14</v>
      </c>
      <c r="B260" s="46"/>
      <c r="C260" s="326"/>
      <c r="D260" s="327"/>
      <c r="E260" s="46"/>
      <c r="F260" s="114" t="s">
        <v>335</v>
      </c>
      <c r="G260" s="46" t="s">
        <v>336</v>
      </c>
      <c r="H260" s="114"/>
      <c r="I260" s="46"/>
      <c r="J260" s="329"/>
      <c r="K260" s="379"/>
      <c r="L260" s="336"/>
      <c r="M260" s="339"/>
      <c r="N260" s="879"/>
      <c r="O260" s="114"/>
      <c r="P260" s="114"/>
      <c r="Q260" s="114"/>
      <c r="R260" s="494"/>
      <c r="S260" s="494"/>
      <c r="T260" s="114"/>
      <c r="U260" s="349"/>
    </row>
    <row r="261" spans="1:21" s="335" customFormat="1" ht="15.75" customHeight="1" x14ac:dyDescent="0.8">
      <c r="A261" s="325">
        <f t="shared" si="97"/>
        <v>14</v>
      </c>
      <c r="B261" s="46"/>
      <c r="C261" s="326"/>
      <c r="D261" s="327"/>
      <c r="E261" s="46"/>
      <c r="F261" s="114" t="s">
        <v>351</v>
      </c>
      <c r="G261" s="46" t="s">
        <v>336</v>
      </c>
      <c r="H261" s="114"/>
      <c r="I261" s="46"/>
      <c r="J261" s="329"/>
      <c r="K261" s="379"/>
      <c r="L261" s="336"/>
      <c r="M261" s="339"/>
      <c r="N261" s="879"/>
      <c r="O261" s="114"/>
      <c r="P261" s="114"/>
      <c r="Q261" s="114"/>
      <c r="R261" s="494"/>
      <c r="S261" s="494"/>
      <c r="T261" s="114"/>
      <c r="U261" s="349"/>
    </row>
    <row r="262" spans="1:21" s="335" customFormat="1" ht="15.75" customHeight="1" x14ac:dyDescent="0.8">
      <c r="A262" s="325">
        <f t="shared" si="97"/>
        <v>14</v>
      </c>
      <c r="B262" s="46"/>
      <c r="C262" s="326"/>
      <c r="D262" s="327"/>
      <c r="E262" s="46"/>
      <c r="F262" s="114" t="s">
        <v>348</v>
      </c>
      <c r="G262" s="46" t="s">
        <v>343</v>
      </c>
      <c r="H262" s="114"/>
      <c r="I262" s="46"/>
      <c r="J262" s="329"/>
      <c r="K262" s="379"/>
      <c r="L262" s="336"/>
      <c r="M262" s="339"/>
      <c r="N262" s="879"/>
      <c r="O262" s="114"/>
      <c r="P262" s="114"/>
      <c r="Q262" s="114"/>
      <c r="R262" s="494"/>
      <c r="S262" s="494"/>
      <c r="T262" s="114"/>
      <c r="U262" s="349"/>
    </row>
    <row r="263" spans="1:21" s="335" customFormat="1" ht="15.75" customHeight="1" x14ac:dyDescent="0.8">
      <c r="A263" s="325">
        <f t="shared" si="97"/>
        <v>14</v>
      </c>
      <c r="B263" s="46"/>
      <c r="C263" s="326"/>
      <c r="D263" s="327"/>
      <c r="E263" s="46"/>
      <c r="F263" s="114" t="s">
        <v>356</v>
      </c>
      <c r="G263" s="46" t="s">
        <v>334</v>
      </c>
      <c r="H263" s="114"/>
      <c r="I263" s="46"/>
      <c r="J263" s="329"/>
      <c r="K263" s="379"/>
      <c r="L263" s="336"/>
      <c r="M263" s="339"/>
      <c r="N263" s="879"/>
      <c r="O263" s="114"/>
      <c r="P263" s="114"/>
      <c r="Q263" s="114"/>
      <c r="R263" s="494"/>
      <c r="S263" s="494"/>
      <c r="T263" s="114"/>
      <c r="U263" s="349"/>
    </row>
    <row r="264" spans="1:21" s="335" customFormat="1" ht="15.75" customHeight="1" x14ac:dyDescent="0.8">
      <c r="A264" s="325">
        <f t="shared" si="97"/>
        <v>14</v>
      </c>
      <c r="B264" s="46"/>
      <c r="C264" s="326"/>
      <c r="D264" s="327"/>
      <c r="E264" s="46"/>
      <c r="F264" s="114" t="s">
        <v>91</v>
      </c>
      <c r="G264" s="46" t="s">
        <v>347</v>
      </c>
      <c r="H264" s="114"/>
      <c r="I264" s="46"/>
      <c r="J264" s="329"/>
      <c r="K264" s="379"/>
      <c r="L264" s="336"/>
      <c r="M264" s="339"/>
      <c r="N264" s="879"/>
      <c r="O264" s="114"/>
      <c r="P264" s="114"/>
      <c r="Q264" s="114"/>
      <c r="R264" s="494"/>
      <c r="S264" s="494"/>
      <c r="T264" s="114"/>
      <c r="U264" s="349"/>
    </row>
    <row r="265" spans="1:21" s="335" customFormat="1" ht="15.75" customHeight="1" x14ac:dyDescent="0.8">
      <c r="A265" s="325">
        <v>14</v>
      </c>
      <c r="B265" s="325"/>
      <c r="C265" s="326"/>
      <c r="D265" s="327"/>
      <c r="E265" s="46"/>
      <c r="F265" s="114"/>
      <c r="G265" s="46"/>
      <c r="H265" s="114"/>
      <c r="I265" s="46"/>
      <c r="J265" s="329"/>
      <c r="K265" s="379"/>
      <c r="L265" s="336"/>
      <c r="M265" s="339"/>
      <c r="N265" s="360"/>
      <c r="O265" s="114"/>
      <c r="P265" s="328"/>
      <c r="Q265" s="114"/>
      <c r="R265" s="364"/>
      <c r="S265" s="364"/>
      <c r="T265" s="114"/>
      <c r="U265" s="349"/>
    </row>
    <row r="266" spans="1:21" s="335" customFormat="1" ht="15.75" customHeight="1" x14ac:dyDescent="0.8">
      <c r="A266" s="325">
        <f>+A260+1</f>
        <v>15</v>
      </c>
      <c r="B266" s="46" t="s">
        <v>52</v>
      </c>
      <c r="C266" s="326">
        <f>+C245+7</f>
        <v>44910</v>
      </c>
      <c r="D266" s="327">
        <f>20.25/24</f>
        <v>0.84375</v>
      </c>
      <c r="E266" s="46" t="s">
        <v>179</v>
      </c>
      <c r="F266" s="114" t="s">
        <v>353</v>
      </c>
      <c r="G266" s="46" t="s">
        <v>340</v>
      </c>
      <c r="H266" s="114" t="s">
        <v>350</v>
      </c>
      <c r="I266" s="46" t="s">
        <v>340</v>
      </c>
      <c r="J266" s="329" t="str">
        <f>F266</f>
        <v>San Francisco</v>
      </c>
      <c r="K266" s="379" t="str">
        <f t="shared" ref="K266:K294" si="99">IF(+J266=H266,F266,H266)</f>
        <v>Seattle</v>
      </c>
      <c r="L266" s="336">
        <v>2.5</v>
      </c>
      <c r="M266" s="339">
        <v>39.5</v>
      </c>
      <c r="N266" s="879" t="str">
        <f>F266</f>
        <v>San Francisco</v>
      </c>
      <c r="O266" s="114">
        <v>21</v>
      </c>
      <c r="P266" s="114" t="str">
        <f t="shared" ref="P266:P294" si="100">IF(N266=F266,H266,F266)</f>
        <v>Seattle</v>
      </c>
      <c r="Q266" s="114">
        <v>13</v>
      </c>
      <c r="R266" s="494" t="str">
        <f t="shared" ref="R266:R294" si="101">IF(+N266=K266,+N266,IF(+O266-Q266&lt;L266,+K266,+J266))</f>
        <v>San Francisco</v>
      </c>
      <c r="S266" s="494" t="str">
        <f t="shared" ref="S266:S294" si="102">IF(+R266=J266,+K266,+J266)</f>
        <v>Seattle</v>
      </c>
      <c r="T266" s="114"/>
      <c r="U266" s="349" t="str">
        <f t="shared" ref="U266:U281" si="103">IF($N266=$J266,IF($O266-$Q266=$L266,"T",IF($R266=T266,"W","L")),IF($R266=T266,"W","L"))</f>
        <v>L</v>
      </c>
    </row>
    <row r="267" spans="1:21" s="335" customFormat="1" ht="15.75" customHeight="1" x14ac:dyDescent="0.8">
      <c r="A267" s="325">
        <f>+A266</f>
        <v>15</v>
      </c>
      <c r="B267" s="46" t="s">
        <v>220</v>
      </c>
      <c r="C267" s="326">
        <f>+C266+3</f>
        <v>44913</v>
      </c>
      <c r="D267" s="327">
        <f t="shared" ref="D267:D275" si="104">13/24</f>
        <v>0.54166666666666663</v>
      </c>
      <c r="E267" s="78" t="s">
        <v>303</v>
      </c>
      <c r="F267" s="114" t="s">
        <v>345</v>
      </c>
      <c r="G267" s="46" t="s">
        <v>331</v>
      </c>
      <c r="H267" s="114" t="s">
        <v>67</v>
      </c>
      <c r="I267" s="46" t="s">
        <v>331</v>
      </c>
      <c r="J267" s="329" t="str">
        <f>H267</f>
        <v>Buffalo</v>
      </c>
      <c r="K267" s="379" t="str">
        <f t="shared" si="99"/>
        <v>Miami</v>
      </c>
      <c r="L267" s="336">
        <v>6.5</v>
      </c>
      <c r="M267" s="339">
        <v>44.5</v>
      </c>
      <c r="N267" s="879" t="str">
        <f t="shared" ref="N267:N275" si="105">H267</f>
        <v>Buffalo</v>
      </c>
      <c r="O267" s="114">
        <v>32</v>
      </c>
      <c r="P267" s="114" t="str">
        <f t="shared" si="100"/>
        <v>Miami</v>
      </c>
      <c r="Q267" s="114">
        <v>29</v>
      </c>
      <c r="R267" s="494" t="str">
        <f t="shared" si="101"/>
        <v>Miami</v>
      </c>
      <c r="S267" s="494" t="str">
        <f t="shared" si="102"/>
        <v>Buffalo</v>
      </c>
      <c r="T267" s="114"/>
      <c r="U267" s="349" t="str">
        <f t="shared" si="103"/>
        <v>L</v>
      </c>
    </row>
    <row r="268" spans="1:21" s="335" customFormat="1" ht="15.75" customHeight="1" x14ac:dyDescent="0.8">
      <c r="A268" s="325">
        <f t="shared" ref="A268:A281" si="106">+A267</f>
        <v>15</v>
      </c>
      <c r="B268" s="46" t="s">
        <v>220</v>
      </c>
      <c r="C268" s="326">
        <f>+C267</f>
        <v>44913</v>
      </c>
      <c r="D268" s="327">
        <f>13/24</f>
        <v>0.54166666666666663</v>
      </c>
      <c r="E268" s="78" t="s">
        <v>303</v>
      </c>
      <c r="F268" s="114" t="s">
        <v>337</v>
      </c>
      <c r="G268" s="46" t="s">
        <v>338</v>
      </c>
      <c r="H268" s="114" t="s">
        <v>339</v>
      </c>
      <c r="I268" s="46" t="s">
        <v>338</v>
      </c>
      <c r="J268" s="329" t="str">
        <f>H268</f>
        <v>Cleveland</v>
      </c>
      <c r="K268" s="379" t="str">
        <f t="shared" si="99"/>
        <v>Baltimore</v>
      </c>
      <c r="L268" s="336">
        <v>2.5</v>
      </c>
      <c r="M268" s="339">
        <v>39</v>
      </c>
      <c r="N268" s="879" t="str">
        <f t="shared" si="105"/>
        <v>Cleveland</v>
      </c>
      <c r="O268" s="114">
        <v>13</v>
      </c>
      <c r="P268" s="114" t="str">
        <f t="shared" si="100"/>
        <v>Baltimore</v>
      </c>
      <c r="Q268" s="114">
        <v>3</v>
      </c>
      <c r="R268" s="494" t="str">
        <f t="shared" si="101"/>
        <v>Cleveland</v>
      </c>
      <c r="S268" s="494" t="str">
        <f t="shared" si="102"/>
        <v>Baltimore</v>
      </c>
      <c r="T268" s="114"/>
      <c r="U268" s="349" t="str">
        <f t="shared" si="103"/>
        <v>L</v>
      </c>
    </row>
    <row r="269" spans="1:21" s="335" customFormat="1" ht="15.75" customHeight="1" x14ac:dyDescent="0.8">
      <c r="A269" s="325">
        <f t="shared" si="106"/>
        <v>15</v>
      </c>
      <c r="B269" s="46" t="s">
        <v>220</v>
      </c>
      <c r="C269" s="326">
        <f t="shared" ref="C269:C280" si="107">+C268</f>
        <v>44913</v>
      </c>
      <c r="D269" s="327">
        <f t="shared" si="104"/>
        <v>0.54166666666666663</v>
      </c>
      <c r="E269" s="78" t="s">
        <v>303</v>
      </c>
      <c r="F269" s="114" t="s">
        <v>348</v>
      </c>
      <c r="G269" s="46" t="s">
        <v>343</v>
      </c>
      <c r="H269" s="114" t="s">
        <v>69</v>
      </c>
      <c r="I269" s="46" t="s">
        <v>336</v>
      </c>
      <c r="J269" s="329" t="str">
        <f>H269</f>
        <v>Minnesota</v>
      </c>
      <c r="K269" s="379" t="str">
        <f t="shared" si="99"/>
        <v>Indianapolis</v>
      </c>
      <c r="L269" s="336">
        <v>3.5</v>
      </c>
      <c r="M269" s="339">
        <v>46.5</v>
      </c>
      <c r="N269" s="879" t="str">
        <f t="shared" si="105"/>
        <v>Minnesota</v>
      </c>
      <c r="O269" s="114">
        <v>39</v>
      </c>
      <c r="P269" s="114" t="str">
        <f t="shared" si="100"/>
        <v>Indianapolis</v>
      </c>
      <c r="Q269" s="114">
        <v>36</v>
      </c>
      <c r="R269" s="494" t="str">
        <f t="shared" si="101"/>
        <v>Indianapolis</v>
      </c>
      <c r="S269" s="494" t="str">
        <f t="shared" si="102"/>
        <v>Minnesota</v>
      </c>
      <c r="T269" s="114"/>
      <c r="U269" s="349" t="str">
        <f t="shared" si="103"/>
        <v>L</v>
      </c>
    </row>
    <row r="270" spans="1:21" s="335" customFormat="1" ht="15.75" customHeight="1" x14ac:dyDescent="0.8">
      <c r="A270" s="325">
        <f t="shared" si="106"/>
        <v>15</v>
      </c>
      <c r="B270" s="46" t="s">
        <v>220</v>
      </c>
      <c r="C270" s="326">
        <f t="shared" si="107"/>
        <v>44913</v>
      </c>
      <c r="D270" s="327">
        <f t="shared" si="104"/>
        <v>0.54166666666666663</v>
      </c>
      <c r="E270" s="78" t="s">
        <v>118</v>
      </c>
      <c r="F270" s="114" t="s">
        <v>333</v>
      </c>
      <c r="G270" s="46" t="s">
        <v>334</v>
      </c>
      <c r="H270" s="114" t="s">
        <v>356</v>
      </c>
      <c r="I270" s="46" t="s">
        <v>334</v>
      </c>
      <c r="J270" s="329" t="str">
        <f>H270</f>
        <v>New Orleans</v>
      </c>
      <c r="K270" s="379" t="str">
        <f t="shared" si="99"/>
        <v>Atlanta</v>
      </c>
      <c r="L270" s="336">
        <v>5.5</v>
      </c>
      <c r="M270" s="339">
        <v>43.5</v>
      </c>
      <c r="N270" s="879" t="str">
        <f t="shared" si="105"/>
        <v>New Orleans</v>
      </c>
      <c r="O270" s="114">
        <v>21</v>
      </c>
      <c r="P270" s="114" t="str">
        <f t="shared" si="100"/>
        <v>Atlanta</v>
      </c>
      <c r="Q270" s="114">
        <v>18</v>
      </c>
      <c r="R270" s="494" t="str">
        <f t="shared" si="101"/>
        <v>Atlanta</v>
      </c>
      <c r="S270" s="494" t="str">
        <f t="shared" si="102"/>
        <v>New Orleans</v>
      </c>
      <c r="T270" s="114"/>
      <c r="U270" s="349" t="str">
        <f t="shared" si="103"/>
        <v>L</v>
      </c>
    </row>
    <row r="271" spans="1:21" s="335" customFormat="1" ht="15.75" customHeight="1" x14ac:dyDescent="0.8">
      <c r="A271" s="325">
        <f t="shared" si="106"/>
        <v>15</v>
      </c>
      <c r="B271" s="46" t="s">
        <v>220</v>
      </c>
      <c r="C271" s="326">
        <f t="shared" si="107"/>
        <v>44913</v>
      </c>
      <c r="D271" s="327">
        <f t="shared" si="104"/>
        <v>0.54166666666666663</v>
      </c>
      <c r="E271" s="78" t="s">
        <v>118</v>
      </c>
      <c r="F271" s="114" t="s">
        <v>354</v>
      </c>
      <c r="G271" s="46" t="s">
        <v>347</v>
      </c>
      <c r="H271" s="114" t="s">
        <v>91</v>
      </c>
      <c r="I271" s="46" t="s">
        <v>347</v>
      </c>
      <c r="J271" s="329" t="str">
        <f>H271</f>
        <v>Washington</v>
      </c>
      <c r="K271" s="379" t="str">
        <f t="shared" si="99"/>
        <v>NY Giants</v>
      </c>
      <c r="L271" s="336">
        <v>3.5</v>
      </c>
      <c r="M271" s="339">
        <v>40</v>
      </c>
      <c r="N271" s="879" t="str">
        <f>F271</f>
        <v>NY Giants</v>
      </c>
      <c r="O271" s="114">
        <v>20</v>
      </c>
      <c r="P271" s="114" t="str">
        <f t="shared" si="100"/>
        <v>Washington</v>
      </c>
      <c r="Q271" s="114">
        <v>12</v>
      </c>
      <c r="R271" s="494" t="str">
        <f t="shared" si="101"/>
        <v>NY Giants</v>
      </c>
      <c r="S271" s="494" t="str">
        <f t="shared" si="102"/>
        <v>Washington</v>
      </c>
      <c r="T271" s="114"/>
      <c r="U271" s="349" t="str">
        <f t="shared" si="103"/>
        <v>L</v>
      </c>
    </row>
    <row r="272" spans="1:21" s="335" customFormat="1" ht="15.75" customHeight="1" x14ac:dyDescent="0.8">
      <c r="A272" s="325">
        <f t="shared" si="106"/>
        <v>15</v>
      </c>
      <c r="B272" s="46" t="s">
        <v>220</v>
      </c>
      <c r="C272" s="326">
        <f t="shared" si="107"/>
        <v>44913</v>
      </c>
      <c r="D272" s="327">
        <f t="shared" si="104"/>
        <v>0.54166666666666663</v>
      </c>
      <c r="E272" s="78" t="s">
        <v>118</v>
      </c>
      <c r="F272" s="114" t="s">
        <v>346</v>
      </c>
      <c r="G272" s="46" t="s">
        <v>347</v>
      </c>
      <c r="H272" s="114" t="s">
        <v>335</v>
      </c>
      <c r="I272" s="46" t="s">
        <v>336</v>
      </c>
      <c r="J272" s="329" t="str">
        <f>F272</f>
        <v>Philadelphia</v>
      </c>
      <c r="K272" s="379" t="str">
        <f t="shared" si="99"/>
        <v>Chicago</v>
      </c>
      <c r="L272" s="336">
        <v>8.5</v>
      </c>
      <c r="M272" s="339">
        <v>47.5</v>
      </c>
      <c r="N272" s="879" t="str">
        <f>F272</f>
        <v>Philadelphia</v>
      </c>
      <c r="O272" s="114">
        <v>25</v>
      </c>
      <c r="P272" s="114" t="str">
        <f t="shared" si="100"/>
        <v>Chicago</v>
      </c>
      <c r="Q272" s="114">
        <v>20</v>
      </c>
      <c r="R272" s="494" t="str">
        <f t="shared" si="101"/>
        <v>Chicago</v>
      </c>
      <c r="S272" s="494" t="str">
        <f t="shared" si="102"/>
        <v>Philadelphia</v>
      </c>
      <c r="T272" s="114"/>
      <c r="U272" s="349" t="str">
        <f t="shared" si="103"/>
        <v>L</v>
      </c>
    </row>
    <row r="273" spans="1:21" s="335" customFormat="1" ht="15.75" customHeight="1" x14ac:dyDescent="0.8">
      <c r="A273" s="325">
        <f t="shared" si="106"/>
        <v>15</v>
      </c>
      <c r="B273" s="46" t="s">
        <v>220</v>
      </c>
      <c r="C273" s="326">
        <f t="shared" si="107"/>
        <v>44913</v>
      </c>
      <c r="D273" s="327">
        <f t="shared" si="104"/>
        <v>0.54166666666666663</v>
      </c>
      <c r="E273" s="78" t="s">
        <v>118</v>
      </c>
      <c r="F273" s="114" t="s">
        <v>341</v>
      </c>
      <c r="G273" s="46" t="s">
        <v>336</v>
      </c>
      <c r="H273" s="114" t="s">
        <v>332</v>
      </c>
      <c r="I273" s="46" t="s">
        <v>331</v>
      </c>
      <c r="J273" s="329" t="str">
        <f>H273</f>
        <v>NY Jets</v>
      </c>
      <c r="K273" s="379" t="str">
        <f t="shared" si="99"/>
        <v>Detroit</v>
      </c>
      <c r="L273" s="336">
        <v>1.5</v>
      </c>
      <c r="M273" s="339">
        <v>43.5</v>
      </c>
      <c r="N273" s="879" t="str">
        <f>F273</f>
        <v>Detroit</v>
      </c>
      <c r="O273" s="114">
        <v>20</v>
      </c>
      <c r="P273" s="114" t="str">
        <f t="shared" si="100"/>
        <v>NY Jets</v>
      </c>
      <c r="Q273" s="114">
        <v>17</v>
      </c>
      <c r="R273" s="494" t="str">
        <f t="shared" si="101"/>
        <v>Detroit</v>
      </c>
      <c r="S273" s="494" t="str">
        <f t="shared" si="102"/>
        <v>NY Jets</v>
      </c>
      <c r="T273" s="114"/>
      <c r="U273" s="349" t="str">
        <f t="shared" si="103"/>
        <v>L</v>
      </c>
    </row>
    <row r="274" spans="1:21" s="335" customFormat="1" ht="15.75" customHeight="1" x14ac:dyDescent="0.8">
      <c r="A274" s="325">
        <f t="shared" si="106"/>
        <v>15</v>
      </c>
      <c r="B274" s="46" t="s">
        <v>220</v>
      </c>
      <c r="C274" s="326">
        <f t="shared" si="107"/>
        <v>44913</v>
      </c>
      <c r="D274" s="327">
        <f t="shared" si="104"/>
        <v>0.54166666666666663</v>
      </c>
      <c r="E274" s="78" t="s">
        <v>303</v>
      </c>
      <c r="F274" s="114" t="s">
        <v>128</v>
      </c>
      <c r="G274" s="46" t="s">
        <v>338</v>
      </c>
      <c r="H274" s="114" t="s">
        <v>352</v>
      </c>
      <c r="I274" s="46" t="s">
        <v>334</v>
      </c>
      <c r="J274" s="329" t="str">
        <f>H274</f>
        <v>Carolina</v>
      </c>
      <c r="K274" s="379" t="str">
        <f t="shared" si="99"/>
        <v>Pittsburgh</v>
      </c>
      <c r="L274" s="336">
        <v>2.5</v>
      </c>
      <c r="M274" s="339">
        <v>37.4</v>
      </c>
      <c r="N274" s="879" t="str">
        <f>F274</f>
        <v>Pittsburgh</v>
      </c>
      <c r="O274" s="114">
        <v>24</v>
      </c>
      <c r="P274" s="114" t="str">
        <f t="shared" si="100"/>
        <v>Carolina</v>
      </c>
      <c r="Q274" s="114">
        <v>16</v>
      </c>
      <c r="R274" s="494" t="str">
        <f t="shared" si="101"/>
        <v>Pittsburgh</v>
      </c>
      <c r="S274" s="494" t="str">
        <f t="shared" si="102"/>
        <v>Carolina</v>
      </c>
      <c r="T274" s="114"/>
      <c r="U274" s="349" t="str">
        <f t="shared" si="103"/>
        <v>L</v>
      </c>
    </row>
    <row r="275" spans="1:21" s="335" customFormat="1" ht="15.75" customHeight="1" x14ac:dyDescent="0.8">
      <c r="A275" s="325">
        <f t="shared" si="106"/>
        <v>15</v>
      </c>
      <c r="B275" s="46" t="s">
        <v>220</v>
      </c>
      <c r="C275" s="326">
        <f t="shared" si="107"/>
        <v>44913</v>
      </c>
      <c r="D275" s="327">
        <f t="shared" si="104"/>
        <v>0.54166666666666663</v>
      </c>
      <c r="E275" s="78" t="s">
        <v>118</v>
      </c>
      <c r="F275" s="114" t="s">
        <v>355</v>
      </c>
      <c r="G275" s="46" t="s">
        <v>347</v>
      </c>
      <c r="H275" s="114" t="s">
        <v>342</v>
      </c>
      <c r="I275" s="46" t="s">
        <v>343</v>
      </c>
      <c r="J275" s="329" t="str">
        <f>F275</f>
        <v>Dallas</v>
      </c>
      <c r="K275" s="379" t="str">
        <f t="shared" si="99"/>
        <v>Jacksonville</v>
      </c>
      <c r="L275" s="336">
        <v>3.5</v>
      </c>
      <c r="M275" s="339">
        <v>47.5</v>
      </c>
      <c r="N275" s="879" t="str">
        <f t="shared" si="105"/>
        <v>Jacksonville</v>
      </c>
      <c r="O275" s="114">
        <v>40</v>
      </c>
      <c r="P275" s="114" t="str">
        <f t="shared" si="100"/>
        <v>Dallas</v>
      </c>
      <c r="Q275" s="114">
        <v>34</v>
      </c>
      <c r="R275" s="494" t="str">
        <f t="shared" si="101"/>
        <v>Jacksonville</v>
      </c>
      <c r="S275" s="494" t="str">
        <f t="shared" si="102"/>
        <v>Dallas</v>
      </c>
      <c r="T275" s="114"/>
      <c r="U275" s="349" t="str">
        <f t="shared" si="103"/>
        <v>L</v>
      </c>
    </row>
    <row r="276" spans="1:21" s="335" customFormat="1" ht="15.75" customHeight="1" x14ac:dyDescent="0.8">
      <c r="A276" s="325">
        <f t="shared" si="106"/>
        <v>15</v>
      </c>
      <c r="B276" s="46" t="s">
        <v>220</v>
      </c>
      <c r="C276" s="326">
        <f t="shared" si="107"/>
        <v>44913</v>
      </c>
      <c r="D276" s="327">
        <f>16/24</f>
        <v>0.66666666666666663</v>
      </c>
      <c r="E276" s="78" t="s">
        <v>303</v>
      </c>
      <c r="F276" s="114" t="s">
        <v>328</v>
      </c>
      <c r="G276" s="46" t="s">
        <v>329</v>
      </c>
      <c r="H276" s="114" t="s">
        <v>174</v>
      </c>
      <c r="I276" s="46" t="s">
        <v>343</v>
      </c>
      <c r="J276" s="329" t="str">
        <f>F276</f>
        <v>Kansas City</v>
      </c>
      <c r="K276" s="379" t="str">
        <f t="shared" si="99"/>
        <v>Houston</v>
      </c>
      <c r="L276" s="336">
        <v>14.5</v>
      </c>
      <c r="M276" s="339">
        <v>48.5</v>
      </c>
      <c r="N276" s="879" t="str">
        <f>F276</f>
        <v>Kansas City</v>
      </c>
      <c r="O276" s="114">
        <v>30</v>
      </c>
      <c r="P276" s="114" t="str">
        <f t="shared" si="100"/>
        <v>Houston</v>
      </c>
      <c r="Q276" s="114">
        <v>24</v>
      </c>
      <c r="R276" s="494" t="str">
        <f t="shared" si="101"/>
        <v>Houston</v>
      </c>
      <c r="S276" s="494" t="str">
        <f t="shared" si="102"/>
        <v>Kansas City</v>
      </c>
      <c r="T276" s="114"/>
      <c r="U276" s="349" t="str">
        <f t="shared" si="103"/>
        <v>L</v>
      </c>
    </row>
    <row r="277" spans="1:21" s="335" customFormat="1" ht="15.75" customHeight="1" x14ac:dyDescent="0.8">
      <c r="A277" s="325">
        <f t="shared" si="106"/>
        <v>15</v>
      </c>
      <c r="B277" s="46" t="s">
        <v>220</v>
      </c>
      <c r="C277" s="326">
        <f t="shared" si="107"/>
        <v>44913</v>
      </c>
      <c r="D277" s="327">
        <f>16/24</f>
        <v>0.66666666666666663</v>
      </c>
      <c r="E277" s="78" t="s">
        <v>118</v>
      </c>
      <c r="F277" s="114" t="s">
        <v>198</v>
      </c>
      <c r="G277" s="46" t="s">
        <v>340</v>
      </c>
      <c r="H277" s="114" t="s">
        <v>358</v>
      </c>
      <c r="I277" s="46" t="s">
        <v>329</v>
      </c>
      <c r="J277" s="329" t="str">
        <f>H277</f>
        <v>Denver</v>
      </c>
      <c r="K277" s="379" t="str">
        <f t="shared" si="99"/>
        <v>Arizona</v>
      </c>
      <c r="L277" s="336">
        <v>1.5</v>
      </c>
      <c r="M277" s="339">
        <v>37.5</v>
      </c>
      <c r="N277" s="879" t="str">
        <f>H277</f>
        <v>Denver</v>
      </c>
      <c r="O277" s="114">
        <v>24</v>
      </c>
      <c r="P277" s="114" t="str">
        <f t="shared" si="100"/>
        <v>Arizona</v>
      </c>
      <c r="Q277" s="114">
        <v>15</v>
      </c>
      <c r="R277" s="494" t="str">
        <f t="shared" si="101"/>
        <v>Denver</v>
      </c>
      <c r="S277" s="494" t="str">
        <f t="shared" si="102"/>
        <v>Arizona</v>
      </c>
      <c r="T277" s="114"/>
      <c r="U277" s="349" t="str">
        <f t="shared" si="103"/>
        <v>L</v>
      </c>
    </row>
    <row r="278" spans="1:21" s="335" customFormat="1" ht="15.75" customHeight="1" x14ac:dyDescent="0.8">
      <c r="A278" s="325">
        <f t="shared" si="106"/>
        <v>15</v>
      </c>
      <c r="B278" s="46" t="s">
        <v>220</v>
      </c>
      <c r="C278" s="326">
        <f t="shared" si="107"/>
        <v>44913</v>
      </c>
      <c r="D278" s="327">
        <f>16/24</f>
        <v>0.66666666666666663</v>
      </c>
      <c r="E278" s="78" t="s">
        <v>303</v>
      </c>
      <c r="F278" s="114" t="s">
        <v>226</v>
      </c>
      <c r="G278" s="46" t="s">
        <v>343</v>
      </c>
      <c r="H278" s="114" t="s">
        <v>357</v>
      </c>
      <c r="I278" s="46" t="s">
        <v>329</v>
      </c>
      <c r="J278" s="329" t="str">
        <f>H278</f>
        <v>LA Chargers</v>
      </c>
      <c r="K278" s="379" t="str">
        <f>IF(+J278=H278,F278,H278)</f>
        <v>Tennessee</v>
      </c>
      <c r="L278" s="336">
        <v>3</v>
      </c>
      <c r="M278" s="339">
        <v>46.5</v>
      </c>
      <c r="N278" s="879" t="str">
        <f>H278</f>
        <v>LA Chargers</v>
      </c>
      <c r="O278" s="114">
        <v>17</v>
      </c>
      <c r="P278" s="114" t="str">
        <f>IF(N278=F278,H278,F278)</f>
        <v>Tennessee</v>
      </c>
      <c r="Q278" s="114">
        <v>14</v>
      </c>
      <c r="R278" s="494" t="str">
        <f>IF(+N278=K278,+N278,IF(+O278-Q278&lt;L278,+K278,+J278))</f>
        <v>LA Chargers</v>
      </c>
      <c r="S278" s="494" t="str">
        <f>IF(+R278=J278,+K278,+J278)</f>
        <v>Tennessee</v>
      </c>
      <c r="T278" s="114"/>
      <c r="U278" s="349" t="str">
        <f t="shared" si="103"/>
        <v>T</v>
      </c>
    </row>
    <row r="279" spans="1:21" s="335" customFormat="1" ht="15.75" customHeight="1" x14ac:dyDescent="0.8">
      <c r="A279" s="325">
        <f t="shared" si="106"/>
        <v>15</v>
      </c>
      <c r="B279" s="46" t="s">
        <v>220</v>
      </c>
      <c r="C279" s="326">
        <f t="shared" si="107"/>
        <v>44913</v>
      </c>
      <c r="D279" s="327">
        <f>16/24</f>
        <v>0.66666666666666663</v>
      </c>
      <c r="E279" s="78" t="s">
        <v>303</v>
      </c>
      <c r="F279" s="114" t="s">
        <v>55</v>
      </c>
      <c r="G279" s="46" t="s">
        <v>338</v>
      </c>
      <c r="H279" s="114" t="s">
        <v>344</v>
      </c>
      <c r="I279" s="46" t="s">
        <v>334</v>
      </c>
      <c r="J279" s="329" t="str">
        <f>F279</f>
        <v>Cincinnati</v>
      </c>
      <c r="K279" s="379" t="str">
        <f>IF(+J279=H279,F279,H279)</f>
        <v>Tampa Bay</v>
      </c>
      <c r="L279" s="336">
        <v>3.5</v>
      </c>
      <c r="M279" s="339">
        <v>46.5</v>
      </c>
      <c r="N279" s="879" t="str">
        <f t="shared" ref="N279" si="108">F279</f>
        <v>Cincinnati</v>
      </c>
      <c r="O279" s="114">
        <v>34</v>
      </c>
      <c r="P279" s="114" t="str">
        <f>IF(N279=F279,H279,F279)</f>
        <v>Tampa Bay</v>
      </c>
      <c r="Q279" s="114">
        <v>23</v>
      </c>
      <c r="R279" s="494" t="str">
        <f>IF(+N279=K279,+N279,IF(+O279-Q279&lt;L279,+K279,+J279))</f>
        <v>Cincinnati</v>
      </c>
      <c r="S279" s="494" t="str">
        <f>IF(+R279=J279,+K279,+J279)</f>
        <v>Tampa Bay</v>
      </c>
      <c r="T279" s="114"/>
      <c r="U279" s="349" t="str">
        <f t="shared" si="103"/>
        <v>L</v>
      </c>
    </row>
    <row r="280" spans="1:21" s="335" customFormat="1" ht="15.75" customHeight="1" x14ac:dyDescent="0.8">
      <c r="A280" s="325">
        <f t="shared" si="106"/>
        <v>15</v>
      </c>
      <c r="B280" s="46" t="s">
        <v>220</v>
      </c>
      <c r="C280" s="326">
        <f t="shared" si="107"/>
        <v>44913</v>
      </c>
      <c r="D280" s="327">
        <f>20.25/24</f>
        <v>0.84375</v>
      </c>
      <c r="E280" s="78" t="s">
        <v>179</v>
      </c>
      <c r="F280" s="114" t="s">
        <v>330</v>
      </c>
      <c r="G280" s="46" t="s">
        <v>331</v>
      </c>
      <c r="H280" s="114" t="s">
        <v>295</v>
      </c>
      <c r="I280" s="46" t="s">
        <v>329</v>
      </c>
      <c r="J280" s="329" t="str">
        <f>H280</f>
        <v>Las Vegas</v>
      </c>
      <c r="K280" s="379" t="str">
        <f>IF(+J280=H280,F280,H280)</f>
        <v>New England</v>
      </c>
      <c r="L280" s="336">
        <v>2.5</v>
      </c>
      <c r="M280" s="339">
        <v>45.5</v>
      </c>
      <c r="N280" s="879" t="str">
        <f>H280</f>
        <v>Las Vegas</v>
      </c>
      <c r="O280" s="114">
        <v>30</v>
      </c>
      <c r="P280" s="114" t="str">
        <f>IF(N280=F280,H280,F280)</f>
        <v>New England</v>
      </c>
      <c r="Q280" s="114">
        <v>24</v>
      </c>
      <c r="R280" s="494" t="str">
        <f>IF(+N280=K280,+N280,IF(+O280-Q280&lt;L280,+K280,+J280))</f>
        <v>Las Vegas</v>
      </c>
      <c r="S280" s="494" t="str">
        <f>IF(+R280=J280,+K280,+J280)</f>
        <v>New England</v>
      </c>
      <c r="T280" s="114"/>
      <c r="U280" s="349" t="str">
        <f t="shared" si="103"/>
        <v>L</v>
      </c>
    </row>
    <row r="281" spans="1:21" s="335" customFormat="1" ht="15.75" customHeight="1" x14ac:dyDescent="0.8">
      <c r="A281" s="325">
        <f t="shared" si="106"/>
        <v>15</v>
      </c>
      <c r="B281" s="46" t="s">
        <v>225</v>
      </c>
      <c r="C281" s="326">
        <f>+C280+1</f>
        <v>44914</v>
      </c>
      <c r="D281" s="327">
        <f>20.25/24</f>
        <v>0.84375</v>
      </c>
      <c r="E281" s="46" t="s">
        <v>135</v>
      </c>
      <c r="F281" s="114" t="s">
        <v>349</v>
      </c>
      <c r="G281" s="46" t="s">
        <v>340</v>
      </c>
      <c r="H281" s="114" t="s">
        <v>351</v>
      </c>
      <c r="I281" s="46" t="s">
        <v>336</v>
      </c>
      <c r="J281" s="329" t="str">
        <f>H281</f>
        <v>Green Bay</v>
      </c>
      <c r="K281" s="379" t="str">
        <f>IF(+J281=H281,F281,H281)</f>
        <v>LA Rams</v>
      </c>
      <c r="L281" s="336">
        <v>7.5</v>
      </c>
      <c r="M281" s="339">
        <v>39.5</v>
      </c>
      <c r="N281" s="879" t="str">
        <f>H281</f>
        <v>Green Bay</v>
      </c>
      <c r="O281" s="114">
        <v>24</v>
      </c>
      <c r="P281" s="114" t="str">
        <f>IF(N281=F281,H281,F281)</f>
        <v>LA Rams</v>
      </c>
      <c r="Q281" s="114">
        <v>12</v>
      </c>
      <c r="R281" s="494" t="str">
        <f>IF(+N281=K281,+N281,IF(+O281-Q281&lt;L281,+K281,+J281))</f>
        <v>Green Bay</v>
      </c>
      <c r="S281" s="494" t="str">
        <f>IF(+R281=J281,+K281,+J281)</f>
        <v>LA Rams</v>
      </c>
      <c r="T281" s="114"/>
      <c r="U281" s="349" t="str">
        <f t="shared" si="103"/>
        <v>L</v>
      </c>
    </row>
    <row r="282" spans="1:21" s="335" customFormat="1" ht="15.75" customHeight="1" x14ac:dyDescent="0.8">
      <c r="A282" s="325">
        <v>15</v>
      </c>
      <c r="B282" s="46"/>
      <c r="C282" s="326"/>
      <c r="D282" s="327"/>
      <c r="E282" s="46"/>
      <c r="F282" s="114"/>
      <c r="G282" s="46"/>
      <c r="H282" s="114"/>
      <c r="I282" s="46"/>
      <c r="J282" s="329"/>
      <c r="K282" s="379"/>
      <c r="L282" s="336"/>
      <c r="M282" s="339"/>
      <c r="N282" s="360"/>
      <c r="O282" s="114"/>
      <c r="P282" s="328"/>
      <c r="Q282" s="114"/>
      <c r="R282" s="364"/>
      <c r="S282" s="364"/>
      <c r="T282" s="114"/>
      <c r="U282" s="349"/>
    </row>
    <row r="283" spans="1:21" s="335" customFormat="1" ht="15.75" customHeight="1" x14ac:dyDescent="0.8">
      <c r="A283" s="325">
        <f>+A281+1</f>
        <v>16</v>
      </c>
      <c r="B283" s="46" t="s">
        <v>52</v>
      </c>
      <c r="C283" s="326">
        <f>+C266+7</f>
        <v>44917</v>
      </c>
      <c r="D283" s="327">
        <f>20.25/24</f>
        <v>0.84375</v>
      </c>
      <c r="E283" s="46" t="s">
        <v>179</v>
      </c>
      <c r="F283" s="114" t="s">
        <v>342</v>
      </c>
      <c r="G283" s="46" t="s">
        <v>343</v>
      </c>
      <c r="H283" s="114" t="s">
        <v>332</v>
      </c>
      <c r="I283" s="46" t="s">
        <v>331</v>
      </c>
      <c r="J283" s="329" t="str">
        <f>H283</f>
        <v>NY Jets</v>
      </c>
      <c r="K283" s="379" t="str">
        <f t="shared" si="99"/>
        <v>Jacksonville</v>
      </c>
      <c r="L283" s="336">
        <v>2.5</v>
      </c>
      <c r="M283" s="339">
        <v>36.5</v>
      </c>
      <c r="N283" s="879" t="str">
        <f t="shared" ref="N283:N298" si="109">F283</f>
        <v>Jacksonville</v>
      </c>
      <c r="O283" s="114">
        <v>19</v>
      </c>
      <c r="P283" s="114" t="str">
        <f t="shared" si="100"/>
        <v>NY Jets</v>
      </c>
      <c r="Q283" s="114">
        <v>3</v>
      </c>
      <c r="R283" s="494" t="str">
        <f t="shared" si="101"/>
        <v>Jacksonville</v>
      </c>
      <c r="S283" s="494" t="str">
        <f t="shared" si="102"/>
        <v>NY Jets</v>
      </c>
      <c r="T283" s="114"/>
      <c r="U283" s="349" t="str">
        <f t="shared" ref="U283:U298" si="110">IF($N283=$J283,IF($O283-$Q283=$L283,"T",IF($R283=T283,"W","L")),IF($R283=T283,"W","L"))</f>
        <v>L</v>
      </c>
    </row>
    <row r="284" spans="1:21" s="335" customFormat="1" ht="15.75" customHeight="1" x14ac:dyDescent="0.8">
      <c r="A284" s="325">
        <f>+A283</f>
        <v>16</v>
      </c>
      <c r="B284" s="46" t="s">
        <v>34</v>
      </c>
      <c r="C284" s="326">
        <f>+C283+2</f>
        <v>44919</v>
      </c>
      <c r="D284" s="327">
        <f t="shared" ref="D284:D291" si="111">13/24</f>
        <v>0.54166666666666663</v>
      </c>
      <c r="E284" s="78" t="s">
        <v>303</v>
      </c>
      <c r="F284" s="114" t="s">
        <v>67</v>
      </c>
      <c r="G284" s="46" t="s">
        <v>331</v>
      </c>
      <c r="H284" s="114" t="s">
        <v>335</v>
      </c>
      <c r="I284" s="46" t="s">
        <v>336</v>
      </c>
      <c r="J284" s="329" t="str">
        <f>F284</f>
        <v>Buffalo</v>
      </c>
      <c r="K284" s="379" t="str">
        <f t="shared" si="99"/>
        <v>Chicago</v>
      </c>
      <c r="L284" s="336">
        <v>8.5</v>
      </c>
      <c r="M284" s="339">
        <v>40.5</v>
      </c>
      <c r="N284" s="879" t="str">
        <f t="shared" si="109"/>
        <v>Buffalo</v>
      </c>
      <c r="O284" s="114">
        <v>35</v>
      </c>
      <c r="P284" s="114" t="str">
        <f t="shared" si="100"/>
        <v>Chicago</v>
      </c>
      <c r="Q284" s="114">
        <v>13</v>
      </c>
      <c r="R284" s="494" t="str">
        <f t="shared" si="101"/>
        <v>Buffalo</v>
      </c>
      <c r="S284" s="494" t="str">
        <f t="shared" si="102"/>
        <v>Chicago</v>
      </c>
      <c r="T284" s="114"/>
      <c r="U284" s="349" t="str">
        <f t="shared" si="110"/>
        <v>L</v>
      </c>
    </row>
    <row r="285" spans="1:21" s="335" customFormat="1" ht="15.75" customHeight="1" x14ac:dyDescent="0.8">
      <c r="A285" s="325">
        <f t="shared" ref="A285:A298" si="112">+A284</f>
        <v>16</v>
      </c>
      <c r="B285" s="46" t="s">
        <v>34</v>
      </c>
      <c r="C285" s="326">
        <f>+C284</f>
        <v>44919</v>
      </c>
      <c r="D285" s="327">
        <f>13/24</f>
        <v>0.54166666666666663</v>
      </c>
      <c r="E285" s="78" t="s">
        <v>118</v>
      </c>
      <c r="F285" s="114" t="s">
        <v>356</v>
      </c>
      <c r="G285" s="46" t="s">
        <v>334</v>
      </c>
      <c r="H285" s="114" t="s">
        <v>339</v>
      </c>
      <c r="I285" s="46" t="s">
        <v>338</v>
      </c>
      <c r="J285" s="329" t="str">
        <f>H285</f>
        <v>Cleveland</v>
      </c>
      <c r="K285" s="379" t="str">
        <f t="shared" si="99"/>
        <v>New Orleans</v>
      </c>
      <c r="L285" s="336">
        <v>3.5</v>
      </c>
      <c r="M285" s="339">
        <v>32.5</v>
      </c>
      <c r="N285" s="879" t="str">
        <f t="shared" si="109"/>
        <v>New Orleans</v>
      </c>
      <c r="O285" s="114">
        <v>17</v>
      </c>
      <c r="P285" s="114" t="str">
        <f t="shared" si="100"/>
        <v>Cleveland</v>
      </c>
      <c r="Q285" s="114">
        <v>10</v>
      </c>
      <c r="R285" s="494" t="str">
        <f t="shared" si="101"/>
        <v>New Orleans</v>
      </c>
      <c r="S285" s="494" t="str">
        <f t="shared" si="102"/>
        <v>Cleveland</v>
      </c>
      <c r="T285" s="114"/>
      <c r="U285" s="349" t="str">
        <f t="shared" si="110"/>
        <v>L</v>
      </c>
    </row>
    <row r="286" spans="1:21" s="335" customFormat="1" ht="15.75" customHeight="1" x14ac:dyDescent="0.8">
      <c r="A286" s="325">
        <f t="shared" si="112"/>
        <v>16</v>
      </c>
      <c r="B286" s="46" t="s">
        <v>34</v>
      </c>
      <c r="C286" s="326">
        <f t="shared" ref="C286:C297" si="113">+C285</f>
        <v>44919</v>
      </c>
      <c r="D286" s="327">
        <f t="shared" si="111"/>
        <v>0.54166666666666663</v>
      </c>
      <c r="E286" s="78" t="s">
        <v>303</v>
      </c>
      <c r="F286" s="114" t="s">
        <v>174</v>
      </c>
      <c r="G286" s="46" t="s">
        <v>343</v>
      </c>
      <c r="H286" s="114" t="s">
        <v>226</v>
      </c>
      <c r="I286" s="46" t="s">
        <v>343</v>
      </c>
      <c r="J286" s="329" t="str">
        <f>H286</f>
        <v>Tennessee</v>
      </c>
      <c r="K286" s="379" t="str">
        <f t="shared" si="99"/>
        <v>Houston</v>
      </c>
      <c r="L286" s="336">
        <v>3.5</v>
      </c>
      <c r="M286" s="339">
        <v>34.5</v>
      </c>
      <c r="N286" s="879" t="str">
        <f t="shared" si="109"/>
        <v>Houston</v>
      </c>
      <c r="O286" s="114">
        <v>19</v>
      </c>
      <c r="P286" s="114" t="str">
        <f t="shared" si="100"/>
        <v>Tennessee</v>
      </c>
      <c r="Q286" s="114">
        <v>14</v>
      </c>
      <c r="R286" s="494" t="str">
        <f t="shared" si="101"/>
        <v>Houston</v>
      </c>
      <c r="S286" s="494" t="str">
        <f t="shared" si="102"/>
        <v>Tennessee</v>
      </c>
      <c r="T286" s="114"/>
      <c r="U286" s="349" t="str">
        <f t="shared" si="110"/>
        <v>L</v>
      </c>
    </row>
    <row r="287" spans="1:21" s="335" customFormat="1" ht="15.75" customHeight="1" x14ac:dyDescent="0.8">
      <c r="A287" s="325">
        <f t="shared" si="112"/>
        <v>16</v>
      </c>
      <c r="B287" s="46" t="s">
        <v>34</v>
      </c>
      <c r="C287" s="326">
        <f t="shared" si="113"/>
        <v>44919</v>
      </c>
      <c r="D287" s="327">
        <f t="shared" si="111"/>
        <v>0.54166666666666663</v>
      </c>
      <c r="E287" s="78" t="s">
        <v>118</v>
      </c>
      <c r="F287" s="114" t="s">
        <v>350</v>
      </c>
      <c r="G287" s="46" t="s">
        <v>340</v>
      </c>
      <c r="H287" s="114" t="s">
        <v>328</v>
      </c>
      <c r="I287" s="46" t="s">
        <v>329</v>
      </c>
      <c r="J287" s="329" t="str">
        <f>H287</f>
        <v>Kansas City</v>
      </c>
      <c r="K287" s="379" t="str">
        <f t="shared" si="99"/>
        <v>Seattle</v>
      </c>
      <c r="L287" s="336">
        <v>10.5</v>
      </c>
      <c r="M287" s="339">
        <v>50.5</v>
      </c>
      <c r="N287" s="879" t="str">
        <f>J287</f>
        <v>Kansas City</v>
      </c>
      <c r="O287" s="114">
        <v>24</v>
      </c>
      <c r="P287" s="114" t="str">
        <f t="shared" si="100"/>
        <v>Seattle</v>
      </c>
      <c r="Q287" s="114">
        <v>10</v>
      </c>
      <c r="R287" s="494" t="str">
        <f t="shared" si="101"/>
        <v>Kansas City</v>
      </c>
      <c r="S287" s="494" t="str">
        <f t="shared" si="102"/>
        <v>Seattle</v>
      </c>
      <c r="T287" s="114"/>
      <c r="U287" s="349" t="str">
        <f t="shared" si="110"/>
        <v>L</v>
      </c>
    </row>
    <row r="288" spans="1:21" s="335" customFormat="1" ht="15.75" customHeight="1" x14ac:dyDescent="0.8">
      <c r="A288" s="325">
        <f t="shared" si="112"/>
        <v>16</v>
      </c>
      <c r="B288" s="46" t="s">
        <v>34</v>
      </c>
      <c r="C288" s="326">
        <f t="shared" si="113"/>
        <v>44919</v>
      </c>
      <c r="D288" s="327">
        <f t="shared" si="111"/>
        <v>0.54166666666666663</v>
      </c>
      <c r="E288" s="78" t="s">
        <v>118</v>
      </c>
      <c r="F288" s="114" t="s">
        <v>354</v>
      </c>
      <c r="G288" s="46" t="s">
        <v>347</v>
      </c>
      <c r="H288" s="114" t="s">
        <v>69</v>
      </c>
      <c r="I288" s="46" t="s">
        <v>336</v>
      </c>
      <c r="J288" s="329" t="str">
        <f>H288</f>
        <v>Minnesota</v>
      </c>
      <c r="K288" s="379" t="str">
        <f t="shared" si="99"/>
        <v>NY Giants</v>
      </c>
      <c r="L288" s="336">
        <v>4.5</v>
      </c>
      <c r="M288" s="339">
        <v>48</v>
      </c>
      <c r="N288" s="879" t="str">
        <f>J288</f>
        <v>Minnesota</v>
      </c>
      <c r="O288" s="114">
        <v>27</v>
      </c>
      <c r="P288" s="114" t="str">
        <f t="shared" si="100"/>
        <v>NY Giants</v>
      </c>
      <c r="Q288" s="114">
        <v>24</v>
      </c>
      <c r="R288" s="494" t="str">
        <f t="shared" si="101"/>
        <v>NY Giants</v>
      </c>
      <c r="S288" s="494" t="str">
        <f t="shared" si="102"/>
        <v>Minnesota</v>
      </c>
      <c r="T288" s="114"/>
      <c r="U288" s="349" t="str">
        <f t="shared" si="110"/>
        <v>L</v>
      </c>
    </row>
    <row r="289" spans="1:21" s="335" customFormat="1" ht="15.75" customHeight="1" x14ac:dyDescent="0.8">
      <c r="A289" s="325">
        <f t="shared" si="112"/>
        <v>16</v>
      </c>
      <c r="B289" s="46" t="s">
        <v>34</v>
      </c>
      <c r="C289" s="326">
        <f t="shared" si="113"/>
        <v>44919</v>
      </c>
      <c r="D289" s="327">
        <f t="shared" si="111"/>
        <v>0.54166666666666663</v>
      </c>
      <c r="E289" s="78" t="s">
        <v>303</v>
      </c>
      <c r="F289" s="114" t="s">
        <v>55</v>
      </c>
      <c r="G289" s="46" t="s">
        <v>338</v>
      </c>
      <c r="H289" s="114" t="s">
        <v>330</v>
      </c>
      <c r="I289" s="46" t="s">
        <v>331</v>
      </c>
      <c r="J289" s="329" t="str">
        <f>F289</f>
        <v>Cincinnati</v>
      </c>
      <c r="K289" s="379" t="str">
        <f t="shared" si="99"/>
        <v>New England</v>
      </c>
      <c r="L289" s="336">
        <v>3</v>
      </c>
      <c r="M289" s="339">
        <v>41.5</v>
      </c>
      <c r="N289" s="879" t="str">
        <f t="shared" si="109"/>
        <v>Cincinnati</v>
      </c>
      <c r="O289" s="114">
        <v>22</v>
      </c>
      <c r="P289" s="114" t="str">
        <f t="shared" si="100"/>
        <v>New England</v>
      </c>
      <c r="Q289" s="114">
        <v>18</v>
      </c>
      <c r="R289" s="494" t="str">
        <f t="shared" si="101"/>
        <v>Cincinnati</v>
      </c>
      <c r="S289" s="494" t="str">
        <f t="shared" si="102"/>
        <v>New England</v>
      </c>
      <c r="T289" s="114"/>
      <c r="U289" s="349" t="str">
        <f t="shared" si="110"/>
        <v>L</v>
      </c>
    </row>
    <row r="290" spans="1:21" s="335" customFormat="1" ht="15.75" customHeight="1" x14ac:dyDescent="0.8">
      <c r="A290" s="325">
        <f t="shared" si="112"/>
        <v>16</v>
      </c>
      <c r="B290" s="46" t="s">
        <v>34</v>
      </c>
      <c r="C290" s="326">
        <f t="shared" si="113"/>
        <v>44919</v>
      </c>
      <c r="D290" s="327">
        <f t="shared" si="111"/>
        <v>0.54166666666666663</v>
      </c>
      <c r="E290" s="78" t="s">
        <v>118</v>
      </c>
      <c r="F290" s="114" t="s">
        <v>341</v>
      </c>
      <c r="G290" s="46" t="s">
        <v>336</v>
      </c>
      <c r="H290" s="114" t="s">
        <v>352</v>
      </c>
      <c r="I290" s="46" t="s">
        <v>334</v>
      </c>
      <c r="J290" s="329" t="str">
        <f>F290</f>
        <v>Detroit</v>
      </c>
      <c r="K290" s="379" t="str">
        <f t="shared" si="99"/>
        <v>Carolina</v>
      </c>
      <c r="L290" s="336">
        <v>2.5</v>
      </c>
      <c r="M290" s="339">
        <v>43.5</v>
      </c>
      <c r="N290" s="879" t="str">
        <f>K290</f>
        <v>Carolina</v>
      </c>
      <c r="O290" s="114">
        <v>37</v>
      </c>
      <c r="P290" s="114" t="str">
        <f t="shared" si="100"/>
        <v>Detroit</v>
      </c>
      <c r="Q290" s="114">
        <v>23</v>
      </c>
      <c r="R290" s="494" t="str">
        <f t="shared" si="101"/>
        <v>Carolina</v>
      </c>
      <c r="S290" s="494" t="str">
        <f t="shared" si="102"/>
        <v>Detroit</v>
      </c>
      <c r="T290" s="114"/>
      <c r="U290" s="349" t="str">
        <f t="shared" si="110"/>
        <v>L</v>
      </c>
    </row>
    <row r="291" spans="1:21" s="335" customFormat="1" ht="15.75" customHeight="1" x14ac:dyDescent="0.8">
      <c r="A291" s="325">
        <f t="shared" si="112"/>
        <v>16</v>
      </c>
      <c r="B291" s="46" t="s">
        <v>34</v>
      </c>
      <c r="C291" s="326">
        <f t="shared" si="113"/>
        <v>44919</v>
      </c>
      <c r="D291" s="327">
        <f t="shared" si="111"/>
        <v>0.54166666666666663</v>
      </c>
      <c r="E291" s="78" t="s">
        <v>118</v>
      </c>
      <c r="F291" s="114" t="s">
        <v>333</v>
      </c>
      <c r="G291" s="46" t="s">
        <v>334</v>
      </c>
      <c r="H291" s="114" t="s">
        <v>337</v>
      </c>
      <c r="I291" s="46" t="s">
        <v>338</v>
      </c>
      <c r="J291" s="329" t="str">
        <f>H291</f>
        <v>Baltimore</v>
      </c>
      <c r="K291" s="379" t="str">
        <f t="shared" si="99"/>
        <v>Atlanta</v>
      </c>
      <c r="L291" s="336">
        <v>6.5</v>
      </c>
      <c r="M291" s="339">
        <v>35.5</v>
      </c>
      <c r="N291" s="879" t="str">
        <f>J291</f>
        <v>Baltimore</v>
      </c>
      <c r="O291" s="114">
        <v>17</v>
      </c>
      <c r="P291" s="114" t="str">
        <f t="shared" si="100"/>
        <v>Atlanta</v>
      </c>
      <c r="Q291" s="114">
        <v>9</v>
      </c>
      <c r="R291" s="494" t="str">
        <f t="shared" si="101"/>
        <v>Baltimore</v>
      </c>
      <c r="S291" s="494" t="str">
        <f t="shared" si="102"/>
        <v>Atlanta</v>
      </c>
      <c r="T291" s="114"/>
      <c r="U291" s="349" t="str">
        <f t="shared" si="110"/>
        <v>L</v>
      </c>
    </row>
    <row r="292" spans="1:21" s="335" customFormat="1" ht="15.75" customHeight="1" x14ac:dyDescent="0.8">
      <c r="A292" s="325">
        <f t="shared" si="112"/>
        <v>16</v>
      </c>
      <c r="B292" s="46" t="s">
        <v>34</v>
      </c>
      <c r="C292" s="326">
        <f t="shared" si="113"/>
        <v>44919</v>
      </c>
      <c r="D292" s="327">
        <f>16/24</f>
        <v>0.66666666666666663</v>
      </c>
      <c r="E292" s="78" t="s">
        <v>118</v>
      </c>
      <c r="F292" s="114" t="s">
        <v>91</v>
      </c>
      <c r="G292" s="46" t="s">
        <v>347</v>
      </c>
      <c r="H292" s="114" t="s">
        <v>353</v>
      </c>
      <c r="I292" s="46" t="s">
        <v>340</v>
      </c>
      <c r="J292" s="329" t="str">
        <f>H292</f>
        <v>San Francisco</v>
      </c>
      <c r="K292" s="379" t="str">
        <f t="shared" si="99"/>
        <v>Washington</v>
      </c>
      <c r="L292" s="336">
        <v>6.5</v>
      </c>
      <c r="M292" s="339">
        <v>37.5</v>
      </c>
      <c r="N292" s="879" t="str">
        <f>J292</f>
        <v>San Francisco</v>
      </c>
      <c r="O292" s="114">
        <v>37</v>
      </c>
      <c r="P292" s="114" t="str">
        <f t="shared" si="100"/>
        <v>Washington</v>
      </c>
      <c r="Q292" s="114">
        <v>20</v>
      </c>
      <c r="R292" s="494" t="str">
        <f t="shared" si="101"/>
        <v>San Francisco</v>
      </c>
      <c r="S292" s="494" t="str">
        <f t="shared" si="102"/>
        <v>Washington</v>
      </c>
      <c r="T292" s="114"/>
      <c r="U292" s="349" t="str">
        <f t="shared" si="110"/>
        <v>L</v>
      </c>
    </row>
    <row r="293" spans="1:21" s="335" customFormat="1" ht="15.75" customHeight="1" x14ac:dyDescent="0.8">
      <c r="A293" s="325">
        <f t="shared" si="112"/>
        <v>16</v>
      </c>
      <c r="B293" s="46" t="s">
        <v>34</v>
      </c>
      <c r="C293" s="326">
        <f t="shared" si="113"/>
        <v>44919</v>
      </c>
      <c r="D293" s="327">
        <f>16/24</f>
        <v>0.66666666666666663</v>
      </c>
      <c r="E293" s="78" t="s">
        <v>118</v>
      </c>
      <c r="F293" s="114" t="s">
        <v>346</v>
      </c>
      <c r="G293" s="46" t="s">
        <v>347</v>
      </c>
      <c r="H293" s="114" t="s">
        <v>355</v>
      </c>
      <c r="I293" s="46" t="s">
        <v>347</v>
      </c>
      <c r="J293" s="329" t="str">
        <f>H293</f>
        <v>Dallas</v>
      </c>
      <c r="K293" s="379" t="str">
        <f t="shared" si="99"/>
        <v>Philadelphia</v>
      </c>
      <c r="L293" s="336">
        <v>3.5</v>
      </c>
      <c r="M293" s="339">
        <v>48.5</v>
      </c>
      <c r="N293" s="879" t="str">
        <f>J293</f>
        <v>Dallas</v>
      </c>
      <c r="O293" s="114">
        <v>40</v>
      </c>
      <c r="P293" s="114" t="str">
        <f t="shared" si="100"/>
        <v>Philadelphia</v>
      </c>
      <c r="Q293" s="114">
        <v>34</v>
      </c>
      <c r="R293" s="494" t="str">
        <f t="shared" si="101"/>
        <v>Dallas</v>
      </c>
      <c r="S293" s="494" t="str">
        <f t="shared" si="102"/>
        <v>Philadelphia</v>
      </c>
      <c r="T293" s="114"/>
      <c r="U293" s="349" t="str">
        <f t="shared" si="110"/>
        <v>L</v>
      </c>
    </row>
    <row r="294" spans="1:21" s="335" customFormat="1" ht="15.75" customHeight="1" x14ac:dyDescent="0.8">
      <c r="A294" s="325">
        <f t="shared" si="112"/>
        <v>16</v>
      </c>
      <c r="B294" s="46" t="s">
        <v>34</v>
      </c>
      <c r="C294" s="326">
        <f t="shared" si="113"/>
        <v>44919</v>
      </c>
      <c r="D294" s="327">
        <f>20.25/24</f>
        <v>0.84375</v>
      </c>
      <c r="E294" s="78" t="s">
        <v>303</v>
      </c>
      <c r="F294" s="114" t="s">
        <v>295</v>
      </c>
      <c r="G294" s="46" t="s">
        <v>329</v>
      </c>
      <c r="H294" s="114" t="s">
        <v>128</v>
      </c>
      <c r="I294" s="46" t="s">
        <v>338</v>
      </c>
      <c r="J294" s="329" t="str">
        <f>H294</f>
        <v>Pittsburgh</v>
      </c>
      <c r="K294" s="379" t="str">
        <f t="shared" si="99"/>
        <v>Las Vegas</v>
      </c>
      <c r="L294" s="336">
        <v>2.5</v>
      </c>
      <c r="M294" s="339">
        <v>38</v>
      </c>
      <c r="N294" s="879" t="str">
        <f>J294</f>
        <v>Pittsburgh</v>
      </c>
      <c r="O294" s="114">
        <v>13</v>
      </c>
      <c r="P294" s="114" t="str">
        <f t="shared" si="100"/>
        <v>Las Vegas</v>
      </c>
      <c r="Q294" s="114">
        <v>10</v>
      </c>
      <c r="R294" s="494" t="str">
        <f t="shared" si="101"/>
        <v>Pittsburgh</v>
      </c>
      <c r="S294" s="494" t="str">
        <f t="shared" si="102"/>
        <v>Las Vegas</v>
      </c>
      <c r="T294" s="114"/>
      <c r="U294" s="349" t="str">
        <f t="shared" si="110"/>
        <v>L</v>
      </c>
    </row>
    <row r="295" spans="1:21" s="335" customFormat="1" ht="15.75" customHeight="1" x14ac:dyDescent="0.8">
      <c r="A295" s="325">
        <f t="shared" si="112"/>
        <v>16</v>
      </c>
      <c r="B295" s="46" t="s">
        <v>220</v>
      </c>
      <c r="C295" s="326">
        <f>+C294+1</f>
        <v>44920</v>
      </c>
      <c r="D295" s="327">
        <f>13/24</f>
        <v>0.54166666666666663</v>
      </c>
      <c r="E295" s="78" t="s">
        <v>118</v>
      </c>
      <c r="F295" s="114" t="s">
        <v>351</v>
      </c>
      <c r="G295" s="46" t="s">
        <v>336</v>
      </c>
      <c r="H295" s="114" t="s">
        <v>345</v>
      </c>
      <c r="I295" s="46" t="s">
        <v>331</v>
      </c>
      <c r="J295" s="329" t="str">
        <f>H295</f>
        <v>Miami</v>
      </c>
      <c r="K295" s="379" t="str">
        <f>IF(+J295=H295,F295,H295)</f>
        <v>Green Bay</v>
      </c>
      <c r="L295" s="336">
        <v>3.5</v>
      </c>
      <c r="M295" s="339">
        <v>49.5</v>
      </c>
      <c r="N295" s="879" t="str">
        <f t="shared" si="109"/>
        <v>Green Bay</v>
      </c>
      <c r="O295" s="114">
        <v>26</v>
      </c>
      <c r="P295" s="114" t="str">
        <f>IF(N295=F295,H295,F295)</f>
        <v>Miami</v>
      </c>
      <c r="Q295" s="114">
        <v>20</v>
      </c>
      <c r="R295" s="494" t="str">
        <f>IF(+N295=K295,+N295,IF(+O295-Q295&lt;L295,+K295,+J295))</f>
        <v>Green Bay</v>
      </c>
      <c r="S295" s="494" t="str">
        <f>IF(+R295=J295,+K295,+J295)</f>
        <v>Miami</v>
      </c>
      <c r="T295" s="114"/>
      <c r="U295" s="349" t="str">
        <f t="shared" si="110"/>
        <v>L</v>
      </c>
    </row>
    <row r="296" spans="1:21" s="335" customFormat="1" ht="15.75" customHeight="1" x14ac:dyDescent="0.8">
      <c r="A296" s="325">
        <f t="shared" si="112"/>
        <v>16</v>
      </c>
      <c r="B296" s="46" t="s">
        <v>220</v>
      </c>
      <c r="C296" s="326">
        <f>+C295</f>
        <v>44920</v>
      </c>
      <c r="D296" s="327">
        <f>16/24</f>
        <v>0.66666666666666663</v>
      </c>
      <c r="E296" s="78" t="s">
        <v>303</v>
      </c>
      <c r="F296" s="114" t="s">
        <v>358</v>
      </c>
      <c r="G296" s="46" t="s">
        <v>329</v>
      </c>
      <c r="H296" s="114" t="s">
        <v>349</v>
      </c>
      <c r="I296" s="46" t="s">
        <v>340</v>
      </c>
      <c r="J296" s="329" t="str">
        <f>F296</f>
        <v>Denver</v>
      </c>
      <c r="K296" s="379" t="str">
        <f>IF(+J296=H296,F296,H296)</f>
        <v>LA Rams</v>
      </c>
      <c r="L296" s="336">
        <v>3.5</v>
      </c>
      <c r="M296" s="339">
        <v>36.5</v>
      </c>
      <c r="N296" s="879" t="str">
        <f>K296</f>
        <v>LA Rams</v>
      </c>
      <c r="O296" s="114">
        <v>51</v>
      </c>
      <c r="P296" s="114" t="str">
        <f>IF(N296=F296,H296,F296)</f>
        <v>Denver</v>
      </c>
      <c r="Q296" s="114">
        <v>14</v>
      </c>
      <c r="R296" s="494" t="str">
        <f>IF(+N296=K296,+N296,IF(+O296-Q296&lt;L296,+K296,+J296))</f>
        <v>LA Rams</v>
      </c>
      <c r="S296" s="494" t="str">
        <f>IF(+R296=J296,+K296,+J296)</f>
        <v>Denver</v>
      </c>
      <c r="T296" s="114"/>
      <c r="U296" s="349" t="str">
        <f t="shared" si="110"/>
        <v>L</v>
      </c>
    </row>
    <row r="297" spans="1:21" s="335" customFormat="1" ht="15.75" customHeight="1" x14ac:dyDescent="0.8">
      <c r="A297" s="325">
        <f t="shared" si="112"/>
        <v>16</v>
      </c>
      <c r="B297" s="46" t="s">
        <v>220</v>
      </c>
      <c r="C297" s="326">
        <f t="shared" si="113"/>
        <v>44920</v>
      </c>
      <c r="D297" s="327">
        <f>20.25/24</f>
        <v>0.84375</v>
      </c>
      <c r="E297" s="78" t="s">
        <v>179</v>
      </c>
      <c r="F297" s="114" t="s">
        <v>344</v>
      </c>
      <c r="G297" s="46" t="s">
        <v>334</v>
      </c>
      <c r="H297" s="114" t="s">
        <v>198</v>
      </c>
      <c r="I297" s="46" t="s">
        <v>340</v>
      </c>
      <c r="J297" s="329" t="str">
        <f>F297</f>
        <v>Tampa Bay</v>
      </c>
      <c r="K297" s="379" t="str">
        <f>IF(+J297=H297,F297,H297)</f>
        <v>Arizona</v>
      </c>
      <c r="L297" s="336">
        <v>7.5</v>
      </c>
      <c r="M297" s="339">
        <v>41.5</v>
      </c>
      <c r="N297" s="879" t="str">
        <f t="shared" si="109"/>
        <v>Tampa Bay</v>
      </c>
      <c r="O297" s="114">
        <v>19</v>
      </c>
      <c r="P297" s="114" t="str">
        <f>IF(N297=F297,H297,F297)</f>
        <v>Arizona</v>
      </c>
      <c r="Q297" s="114">
        <v>16</v>
      </c>
      <c r="R297" s="494" t="str">
        <f>IF(+N297=K297,+N297,IF(+O297-Q297&lt;L297,+K297,+J297))</f>
        <v>Arizona</v>
      </c>
      <c r="S297" s="494" t="str">
        <f>IF(+R297=J297,+K297,+J297)</f>
        <v>Tampa Bay</v>
      </c>
      <c r="T297" s="114"/>
      <c r="U297" s="349" t="str">
        <f t="shared" si="110"/>
        <v>L</v>
      </c>
    </row>
    <row r="298" spans="1:21" s="335" customFormat="1" ht="15.75" customHeight="1" x14ac:dyDescent="0.8">
      <c r="A298" s="325">
        <f t="shared" si="112"/>
        <v>16</v>
      </c>
      <c r="B298" s="46" t="s">
        <v>225</v>
      </c>
      <c r="C298" s="326">
        <f>+C297+1</f>
        <v>44921</v>
      </c>
      <c r="D298" s="327">
        <f>20.25/24</f>
        <v>0.84375</v>
      </c>
      <c r="E298" s="46" t="s">
        <v>135</v>
      </c>
      <c r="F298" s="114" t="s">
        <v>357</v>
      </c>
      <c r="G298" s="46" t="s">
        <v>329</v>
      </c>
      <c r="H298" s="114" t="s">
        <v>348</v>
      </c>
      <c r="I298" s="46" t="s">
        <v>343</v>
      </c>
      <c r="J298" s="329" t="str">
        <f>F298</f>
        <v>LA Chargers</v>
      </c>
      <c r="K298" s="379" t="str">
        <f>IF(+J298=H298,F298,H298)</f>
        <v>Indianapolis</v>
      </c>
      <c r="L298" s="336">
        <v>3.5</v>
      </c>
      <c r="M298" s="339">
        <v>44.5</v>
      </c>
      <c r="N298" s="879" t="str">
        <f t="shared" si="109"/>
        <v>LA Chargers</v>
      </c>
      <c r="O298" s="114">
        <v>20</v>
      </c>
      <c r="P298" s="114" t="str">
        <f>IF(N298=F298,H298,F298)</f>
        <v>Indianapolis</v>
      </c>
      <c r="Q298" s="114">
        <v>3</v>
      </c>
      <c r="R298" s="494" t="str">
        <f>IF(+N298=K298,+N298,IF(+O298-Q298&lt;L298,+K298,+J298))</f>
        <v>LA Chargers</v>
      </c>
      <c r="S298" s="494" t="str">
        <f>IF(+R298=J298,+K298,+J298)</f>
        <v>Indianapolis</v>
      </c>
      <c r="T298" s="114"/>
      <c r="U298" s="349" t="str">
        <f t="shared" si="110"/>
        <v>L</v>
      </c>
    </row>
    <row r="299" spans="1:21" s="335" customFormat="1" ht="15.75" customHeight="1" x14ac:dyDescent="0.8">
      <c r="A299" s="325">
        <v>16</v>
      </c>
      <c r="B299" s="46"/>
      <c r="C299" s="326"/>
      <c r="D299" s="327"/>
      <c r="E299" s="46"/>
      <c r="F299" s="114"/>
      <c r="G299" s="46"/>
      <c r="H299" s="114"/>
      <c r="I299" s="46"/>
      <c r="J299" s="329"/>
      <c r="K299" s="379"/>
      <c r="L299" s="336"/>
      <c r="M299" s="339"/>
      <c r="N299" s="360"/>
      <c r="O299" s="114"/>
      <c r="P299" s="328"/>
      <c r="Q299" s="114"/>
      <c r="R299" s="364"/>
      <c r="S299" s="364"/>
      <c r="T299" s="114"/>
      <c r="U299" s="349"/>
    </row>
    <row r="300" spans="1:21" s="335" customFormat="1" ht="15.75" customHeight="1" x14ac:dyDescent="0.8">
      <c r="A300" s="325">
        <f>+A298+1</f>
        <v>17</v>
      </c>
      <c r="B300" s="46" t="s">
        <v>52</v>
      </c>
      <c r="C300" s="326">
        <f>+C283+7</f>
        <v>44924</v>
      </c>
      <c r="D300" s="327">
        <f>20.25/24</f>
        <v>0.84375</v>
      </c>
      <c r="E300" s="46" t="s">
        <v>179</v>
      </c>
      <c r="F300" s="114" t="s">
        <v>355</v>
      </c>
      <c r="G300" s="46" t="s">
        <v>347</v>
      </c>
      <c r="H300" s="114" t="s">
        <v>226</v>
      </c>
      <c r="I300" s="46" t="s">
        <v>343</v>
      </c>
      <c r="J300" s="329" t="str">
        <f>F300</f>
        <v>Dallas</v>
      </c>
      <c r="K300" s="379" t="str">
        <f t="shared" ref="K300:K311" si="114">IF(+J300=H300,F300,H300)</f>
        <v>Tennessee</v>
      </c>
      <c r="L300" s="336">
        <v>11.5</v>
      </c>
      <c r="M300" s="339">
        <v>39.5</v>
      </c>
      <c r="N300" s="360" t="str">
        <f t="shared" ref="N300:N305" si="115">J300</f>
        <v>Dallas</v>
      </c>
      <c r="O300" s="114">
        <v>27</v>
      </c>
      <c r="P300" s="328" t="str">
        <f t="shared" ref="P300:P311" si="116">IF(N300=F300,H300,F300)</f>
        <v>Tennessee</v>
      </c>
      <c r="Q300" s="114">
        <v>13</v>
      </c>
      <c r="R300" s="494" t="str">
        <f t="shared" ref="R300:R311" si="117">IF(+N300=K300,+N300,IF(+O300-Q300&lt;L300,+K300,+J300))</f>
        <v>Dallas</v>
      </c>
      <c r="S300" s="494" t="str">
        <f t="shared" ref="S300:S311" si="118">IF(+R300=J300,+K300,+J300)</f>
        <v>Tennessee</v>
      </c>
      <c r="T300" s="114"/>
      <c r="U300" s="349" t="str">
        <f t="shared" ref="U300:U314" si="119">IF($N300=$J300,IF($O300-$Q300=$L300,"T",IF($R300=T300,"W","L")),IF($R300=T300,"W","L"))</f>
        <v>L</v>
      </c>
    </row>
    <row r="301" spans="1:21" s="335" customFormat="1" ht="15.75" customHeight="1" x14ac:dyDescent="0.8">
      <c r="A301" s="325">
        <f>+A300</f>
        <v>17</v>
      </c>
      <c r="B301" s="46" t="s">
        <v>220</v>
      </c>
      <c r="C301" s="326">
        <f>+C300+3</f>
        <v>44927</v>
      </c>
      <c r="D301" s="327">
        <f t="shared" ref="D301:D309" si="120">13/24</f>
        <v>0.54166666666666663</v>
      </c>
      <c r="E301" s="78" t="s">
        <v>118</v>
      </c>
      <c r="F301" s="114" t="s">
        <v>198</v>
      </c>
      <c r="G301" s="46" t="s">
        <v>340</v>
      </c>
      <c r="H301" s="114" t="s">
        <v>333</v>
      </c>
      <c r="I301" s="46" t="s">
        <v>334</v>
      </c>
      <c r="J301" s="329" t="str">
        <f t="shared" ref="J301:J309" si="121">H301</f>
        <v>Atlanta</v>
      </c>
      <c r="K301" s="379" t="str">
        <f t="shared" si="114"/>
        <v>Arizona</v>
      </c>
      <c r="L301" s="336">
        <v>6.5</v>
      </c>
      <c r="M301" s="339">
        <v>40.5</v>
      </c>
      <c r="N301" s="360" t="str">
        <f t="shared" si="115"/>
        <v>Atlanta</v>
      </c>
      <c r="O301" s="114">
        <v>20</v>
      </c>
      <c r="P301" s="328" t="str">
        <f t="shared" si="116"/>
        <v>Arizona</v>
      </c>
      <c r="Q301" s="114">
        <v>19</v>
      </c>
      <c r="R301" s="494" t="str">
        <f t="shared" si="117"/>
        <v>Arizona</v>
      </c>
      <c r="S301" s="494" t="str">
        <f t="shared" si="118"/>
        <v>Atlanta</v>
      </c>
      <c r="T301" s="114"/>
      <c r="U301" s="349" t="str">
        <f t="shared" si="119"/>
        <v>L</v>
      </c>
    </row>
    <row r="302" spans="1:21" s="335" customFormat="1" ht="15.75" customHeight="1" x14ac:dyDescent="0.8">
      <c r="A302" s="325">
        <f t="shared" ref="A302:A314" si="122">+A301</f>
        <v>17</v>
      </c>
      <c r="B302" s="46" t="s">
        <v>220</v>
      </c>
      <c r="C302" s="326">
        <f>+C301</f>
        <v>44927</v>
      </c>
      <c r="D302" s="327">
        <f>13/24</f>
        <v>0.54166666666666663</v>
      </c>
      <c r="E302" s="78" t="s">
        <v>118</v>
      </c>
      <c r="F302" s="114" t="s">
        <v>335</v>
      </c>
      <c r="G302" s="46" t="s">
        <v>336</v>
      </c>
      <c r="H302" s="114" t="s">
        <v>341</v>
      </c>
      <c r="I302" s="46" t="s">
        <v>336</v>
      </c>
      <c r="J302" s="329" t="str">
        <f t="shared" si="121"/>
        <v>Detroit</v>
      </c>
      <c r="K302" s="379" t="str">
        <f t="shared" si="114"/>
        <v>Chicago</v>
      </c>
      <c r="L302" s="336">
        <v>4.5</v>
      </c>
      <c r="M302" s="339">
        <v>52.5</v>
      </c>
      <c r="N302" s="360" t="str">
        <f t="shared" si="115"/>
        <v>Detroit</v>
      </c>
      <c r="O302" s="114">
        <v>41</v>
      </c>
      <c r="P302" s="328" t="str">
        <f t="shared" si="116"/>
        <v>Chicago</v>
      </c>
      <c r="Q302" s="114">
        <v>10</v>
      </c>
      <c r="R302" s="494" t="str">
        <f t="shared" si="117"/>
        <v>Detroit</v>
      </c>
      <c r="S302" s="494" t="str">
        <f t="shared" si="118"/>
        <v>Chicago</v>
      </c>
      <c r="T302" s="114"/>
      <c r="U302" s="349" t="str">
        <f t="shared" si="119"/>
        <v>L</v>
      </c>
    </row>
    <row r="303" spans="1:21" s="335" customFormat="1" ht="15.75" customHeight="1" x14ac:dyDescent="0.8">
      <c r="A303" s="325">
        <f t="shared" si="122"/>
        <v>17</v>
      </c>
      <c r="B303" s="46" t="s">
        <v>220</v>
      </c>
      <c r="C303" s="326">
        <f t="shared" ref="C303:C314" si="123">+C302</f>
        <v>44927</v>
      </c>
      <c r="D303" s="327">
        <f t="shared" si="120"/>
        <v>0.54166666666666663</v>
      </c>
      <c r="E303" s="78" t="s">
        <v>303</v>
      </c>
      <c r="F303" s="114" t="s">
        <v>358</v>
      </c>
      <c r="G303" s="46" t="s">
        <v>329</v>
      </c>
      <c r="H303" s="114" t="s">
        <v>328</v>
      </c>
      <c r="I303" s="46" t="s">
        <v>329</v>
      </c>
      <c r="J303" s="329" t="str">
        <f t="shared" si="121"/>
        <v>Kansas City</v>
      </c>
      <c r="K303" s="379" t="str">
        <f t="shared" si="114"/>
        <v>Denver</v>
      </c>
      <c r="L303" s="336">
        <v>12.5</v>
      </c>
      <c r="M303" s="339">
        <v>46.5</v>
      </c>
      <c r="N303" s="360" t="str">
        <f t="shared" si="115"/>
        <v>Kansas City</v>
      </c>
      <c r="O303" s="114">
        <v>27</v>
      </c>
      <c r="P303" s="328" t="str">
        <f t="shared" si="116"/>
        <v>Denver</v>
      </c>
      <c r="Q303" s="114">
        <v>24</v>
      </c>
      <c r="R303" s="494" t="str">
        <f t="shared" si="117"/>
        <v>Denver</v>
      </c>
      <c r="S303" s="494" t="str">
        <f t="shared" si="118"/>
        <v>Kansas City</v>
      </c>
      <c r="T303" s="114"/>
      <c r="U303" s="349" t="str">
        <f t="shared" si="119"/>
        <v>L</v>
      </c>
    </row>
    <row r="304" spans="1:21" s="335" customFormat="1" ht="15.75" customHeight="1" x14ac:dyDescent="0.8">
      <c r="A304" s="325">
        <f t="shared" si="122"/>
        <v>17</v>
      </c>
      <c r="B304" s="46" t="s">
        <v>220</v>
      </c>
      <c r="C304" s="326">
        <f t="shared" si="123"/>
        <v>44927</v>
      </c>
      <c r="D304" s="327">
        <f t="shared" si="120"/>
        <v>0.54166666666666663</v>
      </c>
      <c r="E304" s="78" t="s">
        <v>303</v>
      </c>
      <c r="F304" s="114" t="s">
        <v>345</v>
      </c>
      <c r="G304" s="46" t="s">
        <v>331</v>
      </c>
      <c r="H304" s="114" t="s">
        <v>330</v>
      </c>
      <c r="I304" s="46" t="s">
        <v>331</v>
      </c>
      <c r="J304" s="329" t="str">
        <f t="shared" si="121"/>
        <v>New England</v>
      </c>
      <c r="K304" s="379" t="str">
        <f t="shared" si="114"/>
        <v>Miami</v>
      </c>
      <c r="L304" s="336">
        <v>3</v>
      </c>
      <c r="M304" s="339">
        <v>41.5</v>
      </c>
      <c r="N304" s="360" t="str">
        <f t="shared" si="115"/>
        <v>New England</v>
      </c>
      <c r="O304" s="114">
        <v>23</v>
      </c>
      <c r="P304" s="328" t="str">
        <f t="shared" si="116"/>
        <v>Miami</v>
      </c>
      <c r="Q304" s="114">
        <v>21</v>
      </c>
      <c r="R304" s="494" t="str">
        <f t="shared" si="117"/>
        <v>Miami</v>
      </c>
      <c r="S304" s="494" t="str">
        <f t="shared" si="118"/>
        <v>New England</v>
      </c>
      <c r="T304" s="114"/>
      <c r="U304" s="349" t="str">
        <f t="shared" si="119"/>
        <v>L</v>
      </c>
    </row>
    <row r="305" spans="1:21" s="335" customFormat="1" ht="15.75" customHeight="1" x14ac:dyDescent="0.8">
      <c r="A305" s="325">
        <f t="shared" si="122"/>
        <v>17</v>
      </c>
      <c r="B305" s="46" t="s">
        <v>220</v>
      </c>
      <c r="C305" s="326">
        <f t="shared" si="123"/>
        <v>44927</v>
      </c>
      <c r="D305" s="327">
        <f t="shared" si="120"/>
        <v>0.54166666666666663</v>
      </c>
      <c r="E305" s="78" t="s">
        <v>303</v>
      </c>
      <c r="F305" s="114" t="s">
        <v>348</v>
      </c>
      <c r="G305" s="46" t="s">
        <v>343</v>
      </c>
      <c r="H305" s="114" t="s">
        <v>354</v>
      </c>
      <c r="I305" s="46" t="s">
        <v>347</v>
      </c>
      <c r="J305" s="329" t="str">
        <f t="shared" si="121"/>
        <v>NY Giants</v>
      </c>
      <c r="K305" s="379" t="str">
        <f t="shared" si="114"/>
        <v>Indianapolis</v>
      </c>
      <c r="L305" s="336">
        <v>5.5</v>
      </c>
      <c r="M305" s="339">
        <v>38.5</v>
      </c>
      <c r="N305" s="360" t="str">
        <f t="shared" si="115"/>
        <v>NY Giants</v>
      </c>
      <c r="O305" s="114">
        <v>38</v>
      </c>
      <c r="P305" s="328" t="str">
        <f t="shared" si="116"/>
        <v>Indianapolis</v>
      </c>
      <c r="Q305" s="114">
        <v>10</v>
      </c>
      <c r="R305" s="494" t="str">
        <f t="shared" si="117"/>
        <v>NY Giants</v>
      </c>
      <c r="S305" s="494" t="str">
        <f t="shared" si="118"/>
        <v>Indianapolis</v>
      </c>
      <c r="T305" s="114"/>
      <c r="U305" s="349" t="str">
        <f t="shared" si="119"/>
        <v>L</v>
      </c>
    </row>
    <row r="306" spans="1:21" s="335" customFormat="1" ht="15.75" customHeight="1" x14ac:dyDescent="0.8">
      <c r="A306" s="325">
        <f t="shared" si="122"/>
        <v>17</v>
      </c>
      <c r="B306" s="46" t="s">
        <v>220</v>
      </c>
      <c r="C306" s="326">
        <f t="shared" si="123"/>
        <v>44927</v>
      </c>
      <c r="D306" s="327">
        <f t="shared" si="120"/>
        <v>0.54166666666666663</v>
      </c>
      <c r="E306" s="78" t="s">
        <v>118</v>
      </c>
      <c r="F306" s="114" t="s">
        <v>356</v>
      </c>
      <c r="G306" s="46" t="s">
        <v>334</v>
      </c>
      <c r="H306" s="114" t="s">
        <v>346</v>
      </c>
      <c r="I306" s="46" t="s">
        <v>347</v>
      </c>
      <c r="J306" s="329" t="str">
        <f t="shared" si="121"/>
        <v>Philadelphia</v>
      </c>
      <c r="K306" s="379" t="str">
        <f t="shared" si="114"/>
        <v>New Orleans</v>
      </c>
      <c r="L306" s="336">
        <v>4.5</v>
      </c>
      <c r="M306" s="339">
        <v>41.5</v>
      </c>
      <c r="N306" s="360" t="str">
        <f>K306</f>
        <v>New Orleans</v>
      </c>
      <c r="O306" s="114">
        <v>20</v>
      </c>
      <c r="P306" s="328" t="str">
        <f t="shared" si="116"/>
        <v>Philadelphia</v>
      </c>
      <c r="Q306" s="114">
        <v>10</v>
      </c>
      <c r="R306" s="494" t="str">
        <f t="shared" si="117"/>
        <v>New Orleans</v>
      </c>
      <c r="S306" s="494" t="str">
        <f t="shared" si="118"/>
        <v>Philadelphia</v>
      </c>
      <c r="T306" s="114"/>
      <c r="U306" s="349" t="str">
        <f t="shared" si="119"/>
        <v>L</v>
      </c>
    </row>
    <row r="307" spans="1:21" s="335" customFormat="1" ht="15.75" customHeight="1" x14ac:dyDescent="0.8">
      <c r="A307" s="325">
        <f t="shared" si="122"/>
        <v>17</v>
      </c>
      <c r="B307" s="46" t="s">
        <v>220</v>
      </c>
      <c r="C307" s="326">
        <f t="shared" si="123"/>
        <v>44927</v>
      </c>
      <c r="D307" s="327">
        <f t="shared" si="120"/>
        <v>0.54166666666666663</v>
      </c>
      <c r="E307" s="78" t="s">
        <v>118</v>
      </c>
      <c r="F307" s="114" t="s">
        <v>352</v>
      </c>
      <c r="G307" s="46" t="s">
        <v>334</v>
      </c>
      <c r="H307" s="114" t="s">
        <v>344</v>
      </c>
      <c r="I307" s="46" t="s">
        <v>334</v>
      </c>
      <c r="J307" s="329" t="str">
        <f t="shared" si="121"/>
        <v>Tampa Bay</v>
      </c>
      <c r="K307" s="379" t="str">
        <f t="shared" si="114"/>
        <v>Carolina</v>
      </c>
      <c r="L307" s="336">
        <v>3.5</v>
      </c>
      <c r="M307" s="339">
        <v>40.5</v>
      </c>
      <c r="N307" s="360" t="str">
        <f>J307</f>
        <v>Tampa Bay</v>
      </c>
      <c r="O307" s="114">
        <v>30</v>
      </c>
      <c r="P307" s="328" t="str">
        <f t="shared" si="116"/>
        <v>Carolina</v>
      </c>
      <c r="Q307" s="114">
        <v>24</v>
      </c>
      <c r="R307" s="494" t="str">
        <f t="shared" si="117"/>
        <v>Tampa Bay</v>
      </c>
      <c r="S307" s="494" t="str">
        <f t="shared" si="118"/>
        <v>Carolina</v>
      </c>
      <c r="T307" s="114"/>
      <c r="U307" s="349" t="str">
        <f t="shared" si="119"/>
        <v>L</v>
      </c>
    </row>
    <row r="308" spans="1:21" s="335" customFormat="1" ht="15.75" customHeight="1" x14ac:dyDescent="0.8">
      <c r="A308" s="325">
        <f t="shared" si="122"/>
        <v>17</v>
      </c>
      <c r="B308" s="46" t="s">
        <v>220</v>
      </c>
      <c r="C308" s="326">
        <f t="shared" si="123"/>
        <v>44927</v>
      </c>
      <c r="D308" s="327">
        <f t="shared" si="120"/>
        <v>0.54166666666666663</v>
      </c>
      <c r="E308" s="78" t="s">
        <v>303</v>
      </c>
      <c r="F308" s="114" t="s">
        <v>339</v>
      </c>
      <c r="G308" s="46" t="s">
        <v>338</v>
      </c>
      <c r="H308" s="114" t="s">
        <v>91</v>
      </c>
      <c r="I308" s="46" t="s">
        <v>347</v>
      </c>
      <c r="J308" s="329" t="str">
        <f t="shared" si="121"/>
        <v>Washington</v>
      </c>
      <c r="K308" s="379" t="str">
        <f t="shared" si="114"/>
        <v>Cleveland</v>
      </c>
      <c r="L308" s="336">
        <v>1.5</v>
      </c>
      <c r="M308" s="339">
        <v>41.5</v>
      </c>
      <c r="N308" s="360" t="str">
        <f>K308</f>
        <v>Cleveland</v>
      </c>
      <c r="O308" s="114">
        <v>24</v>
      </c>
      <c r="P308" s="328" t="str">
        <f t="shared" si="116"/>
        <v>Washington</v>
      </c>
      <c r="Q308" s="114">
        <v>10</v>
      </c>
      <c r="R308" s="494" t="str">
        <f t="shared" si="117"/>
        <v>Cleveland</v>
      </c>
      <c r="S308" s="494" t="str">
        <f t="shared" si="118"/>
        <v>Washington</v>
      </c>
      <c r="T308" s="114"/>
      <c r="U308" s="349" t="str">
        <f t="shared" si="119"/>
        <v>L</v>
      </c>
    </row>
    <row r="309" spans="1:21" s="335" customFormat="1" ht="15.75" customHeight="1" x14ac:dyDescent="0.8">
      <c r="A309" s="325">
        <f t="shared" si="122"/>
        <v>17</v>
      </c>
      <c r="B309" s="46" t="s">
        <v>220</v>
      </c>
      <c r="C309" s="326">
        <f t="shared" si="123"/>
        <v>44927</v>
      </c>
      <c r="D309" s="327">
        <f t="shared" si="120"/>
        <v>0.54166666666666663</v>
      </c>
      <c r="E309" s="78" t="s">
        <v>303</v>
      </c>
      <c r="F309" s="114" t="s">
        <v>128</v>
      </c>
      <c r="G309" s="46" t="s">
        <v>338</v>
      </c>
      <c r="H309" s="114" t="s">
        <v>337</v>
      </c>
      <c r="I309" s="46" t="s">
        <v>338</v>
      </c>
      <c r="J309" s="329" t="str">
        <f t="shared" si="121"/>
        <v>Baltimore</v>
      </c>
      <c r="K309" s="379" t="str">
        <f t="shared" si="114"/>
        <v>Pittsburgh</v>
      </c>
      <c r="L309" s="336">
        <v>1</v>
      </c>
      <c r="M309" s="339">
        <v>35.5</v>
      </c>
      <c r="N309" s="360" t="str">
        <f>K309</f>
        <v>Pittsburgh</v>
      </c>
      <c r="O309" s="114">
        <v>16</v>
      </c>
      <c r="P309" s="328" t="str">
        <f t="shared" si="116"/>
        <v>Baltimore</v>
      </c>
      <c r="Q309" s="114">
        <v>13</v>
      </c>
      <c r="R309" s="494" t="str">
        <f t="shared" si="117"/>
        <v>Pittsburgh</v>
      </c>
      <c r="S309" s="494" t="str">
        <f t="shared" si="118"/>
        <v>Baltimore</v>
      </c>
      <c r="T309" s="114"/>
      <c r="U309" s="349" t="str">
        <f t="shared" si="119"/>
        <v>L</v>
      </c>
    </row>
    <row r="310" spans="1:21" s="335" customFormat="1" ht="15.75" customHeight="1" x14ac:dyDescent="0.8">
      <c r="A310" s="325">
        <f t="shared" si="122"/>
        <v>17</v>
      </c>
      <c r="B310" s="46" t="s">
        <v>220</v>
      </c>
      <c r="C310" s="326">
        <f t="shared" si="123"/>
        <v>44927</v>
      </c>
      <c r="D310" s="327">
        <f>16/24</f>
        <v>0.66666666666666663</v>
      </c>
      <c r="E310" s="78" t="s">
        <v>303</v>
      </c>
      <c r="F310" s="114" t="s">
        <v>342</v>
      </c>
      <c r="G310" s="46" t="s">
        <v>343</v>
      </c>
      <c r="H310" s="114" t="s">
        <v>174</v>
      </c>
      <c r="I310" s="46" t="s">
        <v>343</v>
      </c>
      <c r="J310" s="329" t="str">
        <f>F310</f>
        <v>Jacksonville</v>
      </c>
      <c r="K310" s="379" t="str">
        <f t="shared" si="114"/>
        <v>Houston</v>
      </c>
      <c r="L310" s="336">
        <v>3.5</v>
      </c>
      <c r="M310" s="339">
        <v>43.5</v>
      </c>
      <c r="N310" s="360" t="str">
        <f>J310</f>
        <v>Jacksonville</v>
      </c>
      <c r="O310" s="114">
        <v>31</v>
      </c>
      <c r="P310" s="328" t="str">
        <f t="shared" si="116"/>
        <v>Houston</v>
      </c>
      <c r="Q310" s="114">
        <v>3</v>
      </c>
      <c r="R310" s="494" t="str">
        <f t="shared" si="117"/>
        <v>Jacksonville</v>
      </c>
      <c r="S310" s="494" t="str">
        <f t="shared" si="118"/>
        <v>Houston</v>
      </c>
      <c r="T310" s="114"/>
      <c r="U310" s="349" t="str">
        <f t="shared" si="119"/>
        <v>L</v>
      </c>
    </row>
    <row r="311" spans="1:21" s="335" customFormat="1" ht="15.75" customHeight="1" x14ac:dyDescent="0.8">
      <c r="A311" s="325">
        <f t="shared" si="122"/>
        <v>17</v>
      </c>
      <c r="B311" s="46" t="s">
        <v>220</v>
      </c>
      <c r="C311" s="326">
        <f t="shared" si="123"/>
        <v>44927</v>
      </c>
      <c r="D311" s="327">
        <f>16/24</f>
        <v>0.66666666666666663</v>
      </c>
      <c r="E311" s="78" t="s">
        <v>118</v>
      </c>
      <c r="F311" s="114" t="s">
        <v>353</v>
      </c>
      <c r="G311" s="46" t="s">
        <v>340</v>
      </c>
      <c r="H311" s="114" t="s">
        <v>295</v>
      </c>
      <c r="I311" s="46" t="s">
        <v>329</v>
      </c>
      <c r="J311" s="329" t="str">
        <f>F311</f>
        <v>San Francisco</v>
      </c>
      <c r="K311" s="379" t="str">
        <f t="shared" si="114"/>
        <v>Las Vegas</v>
      </c>
      <c r="L311" s="336">
        <v>9.5</v>
      </c>
      <c r="M311" s="339">
        <v>41.5</v>
      </c>
      <c r="N311" s="360" t="str">
        <f>J311</f>
        <v>San Francisco</v>
      </c>
      <c r="O311" s="114">
        <v>37</v>
      </c>
      <c r="P311" s="328" t="str">
        <f t="shared" si="116"/>
        <v>Las Vegas</v>
      </c>
      <c r="Q311" s="114">
        <v>34</v>
      </c>
      <c r="R311" s="494" t="str">
        <f t="shared" si="117"/>
        <v>Las Vegas</v>
      </c>
      <c r="S311" s="494" t="str">
        <f t="shared" si="118"/>
        <v>San Francisco</v>
      </c>
      <c r="T311" s="114"/>
      <c r="U311" s="349" t="str">
        <f t="shared" si="119"/>
        <v>L</v>
      </c>
    </row>
    <row r="312" spans="1:21" s="335" customFormat="1" ht="15.75" customHeight="1" x14ac:dyDescent="0.8">
      <c r="A312" s="325">
        <f t="shared" si="122"/>
        <v>17</v>
      </c>
      <c r="B312" s="46" t="s">
        <v>220</v>
      </c>
      <c r="C312" s="326">
        <f t="shared" si="123"/>
        <v>44927</v>
      </c>
      <c r="D312" s="327">
        <f>16/24</f>
        <v>0.66666666666666663</v>
      </c>
      <c r="E312" s="78" t="s">
        <v>303</v>
      </c>
      <c r="F312" s="114" t="s">
        <v>332</v>
      </c>
      <c r="G312" s="46" t="s">
        <v>331</v>
      </c>
      <c r="H312" s="114" t="s">
        <v>350</v>
      </c>
      <c r="I312" s="46" t="s">
        <v>340</v>
      </c>
      <c r="J312" s="329" t="str">
        <f>F312</f>
        <v>NY Jets</v>
      </c>
      <c r="K312" s="379" t="str">
        <f>IF(+J312=H312,F312,H312)</f>
        <v>Seattle</v>
      </c>
      <c r="L312" s="336">
        <v>2.5</v>
      </c>
      <c r="M312" s="339">
        <v>43.5</v>
      </c>
      <c r="N312" s="360" t="str">
        <f>K312</f>
        <v>Seattle</v>
      </c>
      <c r="O312" s="114">
        <v>23</v>
      </c>
      <c r="P312" s="328" t="str">
        <f>IF(N312=F312,H312,F312)</f>
        <v>NY Jets</v>
      </c>
      <c r="Q312" s="114">
        <v>6</v>
      </c>
      <c r="R312" s="494" t="str">
        <f>IF(+N312=K312,+N312,IF(+O312-Q312&lt;L312,+K312,+J312))</f>
        <v>Seattle</v>
      </c>
      <c r="S312" s="494" t="str">
        <f>IF(+R312=J312,+K312,+J312)</f>
        <v>NY Jets</v>
      </c>
      <c r="T312" s="114"/>
      <c r="U312" s="349" t="str">
        <f t="shared" si="119"/>
        <v>L</v>
      </c>
    </row>
    <row r="313" spans="1:21" s="335" customFormat="1" ht="15.75" customHeight="1" x14ac:dyDescent="0.8">
      <c r="A313" s="325">
        <f t="shared" si="122"/>
        <v>17</v>
      </c>
      <c r="B313" s="46" t="s">
        <v>220</v>
      </c>
      <c r="C313" s="326">
        <f t="shared" si="123"/>
        <v>44927</v>
      </c>
      <c r="D313" s="327">
        <f>16/24</f>
        <v>0.66666666666666663</v>
      </c>
      <c r="E313" s="78" t="s">
        <v>118</v>
      </c>
      <c r="F313" s="114" t="s">
        <v>69</v>
      </c>
      <c r="G313" s="46" t="s">
        <v>336</v>
      </c>
      <c r="H313" s="114" t="s">
        <v>351</v>
      </c>
      <c r="I313" s="46" t="s">
        <v>336</v>
      </c>
      <c r="J313" s="329" t="str">
        <f>H313</f>
        <v>Green Bay</v>
      </c>
      <c r="K313" s="379" t="str">
        <f>IF(+J313=H313,F313,H313)</f>
        <v>Minnesota</v>
      </c>
      <c r="L313" s="336">
        <v>3.5</v>
      </c>
      <c r="M313" s="339">
        <v>48.5</v>
      </c>
      <c r="N313" s="360" t="str">
        <f>J313</f>
        <v>Green Bay</v>
      </c>
      <c r="O313" s="114">
        <v>41</v>
      </c>
      <c r="P313" s="328" t="str">
        <f>IF(N313=F313,H313,F313)</f>
        <v>Minnesota</v>
      </c>
      <c r="Q313" s="114">
        <v>17</v>
      </c>
      <c r="R313" s="494" t="str">
        <f>IF(+N313=K313,+N313,IF(+O313-Q313&lt;L313,+K313,+J313))</f>
        <v>Green Bay</v>
      </c>
      <c r="S313" s="494" t="str">
        <f>IF(+R313=J313,+K313,+J313)</f>
        <v>Minnesota</v>
      </c>
      <c r="T313" s="114"/>
      <c r="U313" s="349" t="str">
        <f t="shared" si="119"/>
        <v>L</v>
      </c>
    </row>
    <row r="314" spans="1:21" s="335" customFormat="1" ht="15.75" customHeight="1" x14ac:dyDescent="0.8">
      <c r="A314" s="325">
        <f t="shared" si="122"/>
        <v>17</v>
      </c>
      <c r="B314" s="46" t="s">
        <v>220</v>
      </c>
      <c r="C314" s="326">
        <f t="shared" si="123"/>
        <v>44927</v>
      </c>
      <c r="D314" s="327">
        <f>20.25/24</f>
        <v>0.84375</v>
      </c>
      <c r="E314" s="78" t="s">
        <v>179</v>
      </c>
      <c r="F314" s="114" t="s">
        <v>349</v>
      </c>
      <c r="G314" s="46" t="s">
        <v>340</v>
      </c>
      <c r="H314" s="114" t="s">
        <v>357</v>
      </c>
      <c r="I314" s="46" t="s">
        <v>329</v>
      </c>
      <c r="J314" s="329" t="str">
        <f>H314</f>
        <v>LA Chargers</v>
      </c>
      <c r="K314" s="379" t="str">
        <f>IF(+J314=H314,F314,H314)</f>
        <v>LA Rams</v>
      </c>
      <c r="L314" s="336">
        <v>6.5</v>
      </c>
      <c r="M314" s="339">
        <v>41.5</v>
      </c>
      <c r="N314" s="360" t="str">
        <f>J314</f>
        <v>LA Chargers</v>
      </c>
      <c r="O314" s="114">
        <v>31</v>
      </c>
      <c r="P314" s="328" t="str">
        <f>IF(N314=F314,H314,F314)</f>
        <v>LA Rams</v>
      </c>
      <c r="Q314" s="114">
        <v>10</v>
      </c>
      <c r="R314" s="494" t="str">
        <f>IF(+N314=K314,+N314,IF(+O314-Q314&lt;L314,+K314,+J314))</f>
        <v>LA Chargers</v>
      </c>
      <c r="S314" s="494" t="str">
        <f>IF(+R314=J314,+K314,+J314)</f>
        <v>LA Rams</v>
      </c>
      <c r="T314" s="114"/>
      <c r="U314" s="349" t="str">
        <f t="shared" si="119"/>
        <v>L</v>
      </c>
    </row>
    <row r="315" spans="1:21" s="335" customFormat="1" ht="15.75" customHeight="1" x14ac:dyDescent="0.8">
      <c r="A315" s="325">
        <v>17</v>
      </c>
      <c r="B315" s="46"/>
      <c r="C315" s="326"/>
      <c r="D315" s="327"/>
      <c r="E315" s="46"/>
      <c r="F315" s="114"/>
      <c r="G315" s="46"/>
      <c r="H315" s="114"/>
      <c r="I315" s="46"/>
      <c r="J315" s="329"/>
      <c r="K315" s="379"/>
      <c r="L315" s="336"/>
      <c r="M315" s="339"/>
      <c r="N315" s="360"/>
      <c r="O315" s="114"/>
      <c r="P315" s="328"/>
      <c r="Q315" s="114"/>
      <c r="R315" s="364"/>
      <c r="S315" s="364"/>
      <c r="T315" s="114"/>
      <c r="U315" s="349"/>
    </row>
    <row r="316" spans="1:21" s="335" customFormat="1" ht="15.75" customHeight="1" x14ac:dyDescent="0.8">
      <c r="A316" s="325">
        <v>18</v>
      </c>
      <c r="B316" s="46" t="s">
        <v>34</v>
      </c>
      <c r="C316" s="326">
        <v>44933</v>
      </c>
      <c r="D316" s="327">
        <f>16.5/24</f>
        <v>0.6875</v>
      </c>
      <c r="E316" s="78" t="s">
        <v>303</v>
      </c>
      <c r="F316" s="483" t="s">
        <v>328</v>
      </c>
      <c r="G316" s="46" t="s">
        <v>329</v>
      </c>
      <c r="H316" s="114" t="s">
        <v>295</v>
      </c>
      <c r="I316" s="46" t="s">
        <v>329</v>
      </c>
      <c r="J316" s="329" t="str">
        <f>F316</f>
        <v>Kansas City</v>
      </c>
      <c r="K316" s="379" t="str">
        <f t="shared" ref="K316:K331" si="124">IF(+J316=H316,F316,H316)</f>
        <v>Las Vegas</v>
      </c>
      <c r="L316" s="336">
        <v>9.5</v>
      </c>
      <c r="M316" s="339">
        <v>52.5</v>
      </c>
      <c r="N316" s="360" t="str">
        <f t="shared" ref="N316:N321" si="125">J316</f>
        <v>Kansas City</v>
      </c>
      <c r="O316" s="114">
        <v>31</v>
      </c>
      <c r="P316" s="328" t="str">
        <f t="shared" ref="P316:P331" si="126">IF(N316=F316,H316,F316)</f>
        <v>Las Vegas</v>
      </c>
      <c r="Q316" s="114">
        <v>13</v>
      </c>
      <c r="R316" s="494" t="str">
        <f t="shared" ref="R316:R331" si="127">IF(+N316=K316,+N316,IF(+O316-Q316&lt;L316,+K316,+J316))</f>
        <v>Kansas City</v>
      </c>
      <c r="S316" s="494" t="str">
        <f t="shared" ref="S316:S331" si="128">IF(+R316=J316,+K316,+J316)</f>
        <v>Las Vegas</v>
      </c>
      <c r="T316" s="883" t="str">
        <f>K316</f>
        <v>Las Vegas</v>
      </c>
      <c r="U316" s="349" t="str">
        <f t="shared" ref="U316:U331" si="129">IF($N316=$J316,IF($O316-$Q316=$L316,"T",IF($R316=T316,"W","L")),IF($R316=T316,"W","L"))</f>
        <v>L</v>
      </c>
    </row>
    <row r="317" spans="1:21" s="335" customFormat="1" ht="15.75" customHeight="1" x14ac:dyDescent="0.8">
      <c r="A317" s="325">
        <v>18</v>
      </c>
      <c r="B317" s="46" t="s">
        <v>34</v>
      </c>
      <c r="C317" s="326">
        <v>44933</v>
      </c>
      <c r="D317" s="327">
        <f>20.25/24</f>
        <v>0.84375</v>
      </c>
      <c r="E317" s="78" t="s">
        <v>303</v>
      </c>
      <c r="F317" s="114" t="s">
        <v>226</v>
      </c>
      <c r="G317" s="46" t="s">
        <v>343</v>
      </c>
      <c r="H317" s="114" t="s">
        <v>342</v>
      </c>
      <c r="I317" s="46" t="s">
        <v>343</v>
      </c>
      <c r="J317" s="329" t="str">
        <f>H317</f>
        <v>Jacksonville</v>
      </c>
      <c r="K317" s="379" t="str">
        <f t="shared" si="124"/>
        <v>Tennessee</v>
      </c>
      <c r="L317" s="336">
        <v>6</v>
      </c>
      <c r="M317" s="339">
        <v>40</v>
      </c>
      <c r="N317" s="360" t="str">
        <f t="shared" si="125"/>
        <v>Jacksonville</v>
      </c>
      <c r="O317" s="114">
        <v>20</v>
      </c>
      <c r="P317" s="328" t="str">
        <f t="shared" si="126"/>
        <v>Tennessee</v>
      </c>
      <c r="Q317" s="114">
        <v>16</v>
      </c>
      <c r="R317" s="494" t="str">
        <f t="shared" si="127"/>
        <v>Tennessee</v>
      </c>
      <c r="S317" s="494" t="str">
        <f t="shared" si="128"/>
        <v>Jacksonville</v>
      </c>
      <c r="T317" s="114" t="str">
        <f>K317</f>
        <v>Tennessee</v>
      </c>
      <c r="U317" s="349" t="str">
        <f t="shared" si="129"/>
        <v>W</v>
      </c>
    </row>
    <row r="318" spans="1:21" s="335" customFormat="1" ht="15.75" customHeight="1" x14ac:dyDescent="0.8">
      <c r="A318" s="325">
        <v>18</v>
      </c>
      <c r="B318" s="46" t="s">
        <v>220</v>
      </c>
      <c r="C318" s="326">
        <v>44934</v>
      </c>
      <c r="D318" s="327">
        <f t="shared" ref="D318:D325" si="130">13/24</f>
        <v>0.54166666666666663</v>
      </c>
      <c r="E318" s="78" t="s">
        <v>118</v>
      </c>
      <c r="F318" s="114" t="s">
        <v>344</v>
      </c>
      <c r="G318" s="46" t="s">
        <v>334</v>
      </c>
      <c r="H318" s="114" t="s">
        <v>333</v>
      </c>
      <c r="I318" s="46" t="s">
        <v>334</v>
      </c>
      <c r="J318" s="329" t="str">
        <f>H318</f>
        <v>Atlanta</v>
      </c>
      <c r="K318" s="379" t="str">
        <f t="shared" si="124"/>
        <v>Tampa Bay</v>
      </c>
      <c r="L318" s="336">
        <v>4</v>
      </c>
      <c r="M318" s="339">
        <v>40.5</v>
      </c>
      <c r="N318" s="360" t="str">
        <f t="shared" si="125"/>
        <v>Atlanta</v>
      </c>
      <c r="O318" s="114">
        <v>30</v>
      </c>
      <c r="P318" s="328" t="str">
        <f t="shared" si="126"/>
        <v>Tampa Bay</v>
      </c>
      <c r="Q318" s="114">
        <v>17</v>
      </c>
      <c r="R318" s="494" t="str">
        <f t="shared" si="127"/>
        <v>Atlanta</v>
      </c>
      <c r="S318" s="494" t="str">
        <f t="shared" si="128"/>
        <v>Tampa Bay</v>
      </c>
      <c r="T318" s="114" t="str">
        <f>J318</f>
        <v>Atlanta</v>
      </c>
      <c r="U318" s="349" t="str">
        <f t="shared" si="129"/>
        <v>W</v>
      </c>
    </row>
    <row r="319" spans="1:21" s="335" customFormat="1" ht="15.75" customHeight="1" x14ac:dyDescent="0.8">
      <c r="A319" s="325">
        <v>18</v>
      </c>
      <c r="B319" s="46" t="s">
        <v>220</v>
      </c>
      <c r="C319" s="326">
        <v>44934</v>
      </c>
      <c r="D319" s="327">
        <f t="shared" si="130"/>
        <v>0.54166666666666663</v>
      </c>
      <c r="E319" s="78" t="s">
        <v>303</v>
      </c>
      <c r="F319" s="114" t="s">
        <v>330</v>
      </c>
      <c r="G319" s="46" t="s">
        <v>331</v>
      </c>
      <c r="H319" s="114" t="s">
        <v>67</v>
      </c>
      <c r="I319" s="46" t="s">
        <v>331</v>
      </c>
      <c r="J319" s="329" t="str">
        <f>H319</f>
        <v>Buffalo</v>
      </c>
      <c r="K319" s="379" t="str">
        <f t="shared" si="124"/>
        <v>New England</v>
      </c>
      <c r="L319" s="336">
        <v>7.5</v>
      </c>
      <c r="M319" s="339">
        <v>42.5</v>
      </c>
      <c r="N319" s="360" t="str">
        <f t="shared" si="125"/>
        <v>Buffalo</v>
      </c>
      <c r="O319" s="114">
        <v>35</v>
      </c>
      <c r="P319" s="328" t="str">
        <f t="shared" si="126"/>
        <v>New England</v>
      </c>
      <c r="Q319" s="114">
        <v>23</v>
      </c>
      <c r="R319" s="494" t="str">
        <f t="shared" si="127"/>
        <v>Buffalo</v>
      </c>
      <c r="S319" s="494" t="str">
        <f t="shared" si="128"/>
        <v>New England</v>
      </c>
      <c r="T319" s="114" t="str">
        <f>J319</f>
        <v>Buffalo</v>
      </c>
      <c r="U319" s="349" t="str">
        <f t="shared" si="129"/>
        <v>W</v>
      </c>
    </row>
    <row r="320" spans="1:21" s="335" customFormat="1" ht="15.75" customHeight="1" x14ac:dyDescent="0.8">
      <c r="A320" s="325">
        <v>18</v>
      </c>
      <c r="B320" s="46" t="s">
        <v>220</v>
      </c>
      <c r="C320" s="326">
        <v>44934</v>
      </c>
      <c r="D320" s="327">
        <f t="shared" si="130"/>
        <v>0.54166666666666663</v>
      </c>
      <c r="E320" s="78" t="s">
        <v>118</v>
      </c>
      <c r="F320" s="114" t="s">
        <v>69</v>
      </c>
      <c r="G320" s="46" t="s">
        <v>336</v>
      </c>
      <c r="H320" s="114" t="s">
        <v>335</v>
      </c>
      <c r="I320" s="46" t="s">
        <v>336</v>
      </c>
      <c r="J320" s="329" t="str">
        <f>F320</f>
        <v>Minnesota</v>
      </c>
      <c r="K320" s="379" t="str">
        <f t="shared" si="124"/>
        <v>Chicago</v>
      </c>
      <c r="L320" s="336">
        <v>7.5</v>
      </c>
      <c r="M320" s="339">
        <v>43</v>
      </c>
      <c r="N320" s="360" t="str">
        <f t="shared" si="125"/>
        <v>Minnesota</v>
      </c>
      <c r="O320" s="114">
        <v>29</v>
      </c>
      <c r="P320" s="328" t="str">
        <f t="shared" si="126"/>
        <v>Chicago</v>
      </c>
      <c r="Q320" s="114">
        <v>13</v>
      </c>
      <c r="R320" s="494" t="str">
        <f t="shared" si="127"/>
        <v>Minnesota</v>
      </c>
      <c r="S320" s="494" t="str">
        <f t="shared" si="128"/>
        <v>Chicago</v>
      </c>
      <c r="T320" s="114" t="str">
        <f>J320</f>
        <v>Minnesota</v>
      </c>
      <c r="U320" s="349" t="str">
        <f t="shared" si="129"/>
        <v>W</v>
      </c>
    </row>
    <row r="321" spans="1:21" s="335" customFormat="1" ht="15.75" customHeight="1" x14ac:dyDescent="0.8">
      <c r="A321" s="325">
        <v>18</v>
      </c>
      <c r="B321" s="46" t="s">
        <v>220</v>
      </c>
      <c r="C321" s="326">
        <v>44934</v>
      </c>
      <c r="D321" s="327">
        <f t="shared" si="130"/>
        <v>0.54166666666666663</v>
      </c>
      <c r="E321" s="78" t="s">
        <v>303</v>
      </c>
      <c r="F321" s="114" t="s">
        <v>337</v>
      </c>
      <c r="G321" s="46" t="s">
        <v>338</v>
      </c>
      <c r="H321" s="114" t="s">
        <v>55</v>
      </c>
      <c r="I321" s="46" t="s">
        <v>338</v>
      </c>
      <c r="J321" s="329" t="str">
        <f>H321</f>
        <v>Cincinnati</v>
      </c>
      <c r="K321" s="379" t="str">
        <f t="shared" si="124"/>
        <v>Baltimore</v>
      </c>
      <c r="L321" s="336">
        <v>7</v>
      </c>
      <c r="M321" s="339">
        <v>42</v>
      </c>
      <c r="N321" s="360" t="str">
        <f t="shared" si="125"/>
        <v>Cincinnati</v>
      </c>
      <c r="O321" s="114">
        <v>27</v>
      </c>
      <c r="P321" s="328" t="str">
        <f t="shared" si="126"/>
        <v>Baltimore</v>
      </c>
      <c r="Q321" s="114">
        <v>16</v>
      </c>
      <c r="R321" s="494" t="str">
        <f t="shared" si="127"/>
        <v>Cincinnati</v>
      </c>
      <c r="S321" s="494" t="str">
        <f t="shared" si="128"/>
        <v>Baltimore</v>
      </c>
      <c r="T321" s="114" t="str">
        <f>J321</f>
        <v>Cincinnati</v>
      </c>
      <c r="U321" s="349" t="str">
        <f t="shared" si="129"/>
        <v>W</v>
      </c>
    </row>
    <row r="322" spans="1:21" s="335" customFormat="1" ht="15.75" customHeight="1" x14ac:dyDescent="0.8">
      <c r="A322" s="325">
        <v>18</v>
      </c>
      <c r="B322" s="46" t="s">
        <v>220</v>
      </c>
      <c r="C322" s="326">
        <v>44934</v>
      </c>
      <c r="D322" s="327">
        <f t="shared" si="130"/>
        <v>0.54166666666666663</v>
      </c>
      <c r="E322" s="78" t="s">
        <v>303</v>
      </c>
      <c r="F322" s="114" t="s">
        <v>174</v>
      </c>
      <c r="G322" s="46" t="s">
        <v>343</v>
      </c>
      <c r="H322" s="114" t="s">
        <v>348</v>
      </c>
      <c r="I322" s="46" t="s">
        <v>343</v>
      </c>
      <c r="J322" s="329" t="str">
        <f>H322</f>
        <v>Indianapolis</v>
      </c>
      <c r="K322" s="379" t="str">
        <f t="shared" si="124"/>
        <v>Houston</v>
      </c>
      <c r="L322" s="336">
        <v>2.5</v>
      </c>
      <c r="M322" s="339">
        <v>38</v>
      </c>
      <c r="N322" s="360" t="str">
        <f>K322</f>
        <v>Houston</v>
      </c>
      <c r="O322" s="114">
        <v>32</v>
      </c>
      <c r="P322" s="328" t="str">
        <f t="shared" si="126"/>
        <v>Indianapolis</v>
      </c>
      <c r="Q322" s="114">
        <v>31</v>
      </c>
      <c r="R322" s="494" t="str">
        <f t="shared" si="127"/>
        <v>Houston</v>
      </c>
      <c r="S322" s="494" t="str">
        <f t="shared" si="128"/>
        <v>Indianapolis</v>
      </c>
      <c r="T322" s="114" t="str">
        <f>K322</f>
        <v>Houston</v>
      </c>
      <c r="U322" s="349" t="str">
        <f t="shared" si="129"/>
        <v>W</v>
      </c>
    </row>
    <row r="323" spans="1:21" s="335" customFormat="1" ht="15.75" customHeight="1" x14ac:dyDescent="0.8">
      <c r="A323" s="325">
        <v>18</v>
      </c>
      <c r="B323" s="46" t="s">
        <v>220</v>
      </c>
      <c r="C323" s="326">
        <v>44934</v>
      </c>
      <c r="D323" s="327">
        <f t="shared" si="130"/>
        <v>0.54166666666666663</v>
      </c>
      <c r="E323" s="78" t="s">
        <v>303</v>
      </c>
      <c r="F323" s="114" t="s">
        <v>332</v>
      </c>
      <c r="G323" s="46" t="s">
        <v>331</v>
      </c>
      <c r="H323" s="114" t="s">
        <v>345</v>
      </c>
      <c r="I323" s="46" t="s">
        <v>331</v>
      </c>
      <c r="J323" s="329" t="str">
        <f>F323</f>
        <v>NY Jets</v>
      </c>
      <c r="K323" s="379" t="str">
        <f t="shared" si="124"/>
        <v>Miami</v>
      </c>
      <c r="L323" s="336">
        <v>1</v>
      </c>
      <c r="M323" s="339">
        <v>38.5</v>
      </c>
      <c r="N323" s="360" t="str">
        <f>K323</f>
        <v>Miami</v>
      </c>
      <c r="O323" s="114">
        <v>11</v>
      </c>
      <c r="P323" s="328" t="str">
        <f t="shared" si="126"/>
        <v>NY Jets</v>
      </c>
      <c r="Q323" s="114">
        <v>6</v>
      </c>
      <c r="R323" s="494" t="str">
        <f t="shared" si="127"/>
        <v>Miami</v>
      </c>
      <c r="S323" s="494" t="str">
        <f t="shared" si="128"/>
        <v>NY Jets</v>
      </c>
      <c r="T323" s="114" t="str">
        <f>J323</f>
        <v>NY Jets</v>
      </c>
      <c r="U323" s="349" t="str">
        <f t="shared" si="129"/>
        <v>L</v>
      </c>
    </row>
    <row r="324" spans="1:21" s="335" customFormat="1" ht="15.75" customHeight="1" x14ac:dyDescent="0.8">
      <c r="A324" s="325">
        <v>18</v>
      </c>
      <c r="B324" s="46" t="s">
        <v>220</v>
      </c>
      <c r="C324" s="326">
        <v>44934</v>
      </c>
      <c r="D324" s="327">
        <f t="shared" si="130"/>
        <v>0.54166666666666663</v>
      </c>
      <c r="E324" s="78" t="s">
        <v>118</v>
      </c>
      <c r="F324" s="114" t="s">
        <v>352</v>
      </c>
      <c r="G324" s="46" t="s">
        <v>334</v>
      </c>
      <c r="H324" s="114" t="s">
        <v>356</v>
      </c>
      <c r="I324" s="46" t="s">
        <v>334</v>
      </c>
      <c r="J324" s="329" t="str">
        <f t="shared" ref="J324:J329" si="131">H324</f>
        <v>New Orleans</v>
      </c>
      <c r="K324" s="379" t="str">
        <f t="shared" si="124"/>
        <v>Carolina</v>
      </c>
      <c r="L324" s="336">
        <v>3.5</v>
      </c>
      <c r="M324" s="339">
        <v>41.5</v>
      </c>
      <c r="N324" s="360" t="str">
        <f>K324</f>
        <v>Carolina</v>
      </c>
      <c r="O324" s="114">
        <v>10</v>
      </c>
      <c r="P324" s="328" t="str">
        <f t="shared" si="126"/>
        <v>New Orleans</v>
      </c>
      <c r="Q324" s="114">
        <v>7</v>
      </c>
      <c r="R324" s="494" t="str">
        <f t="shared" si="127"/>
        <v>Carolina</v>
      </c>
      <c r="S324" s="494" t="str">
        <f t="shared" si="128"/>
        <v>New Orleans</v>
      </c>
      <c r="T324" s="114" t="str">
        <f t="shared" ref="T324:T331" si="132">K324</f>
        <v>Carolina</v>
      </c>
      <c r="U324" s="349" t="str">
        <f t="shared" si="129"/>
        <v>W</v>
      </c>
    </row>
    <row r="325" spans="1:21" s="335" customFormat="1" ht="15.75" customHeight="1" x14ac:dyDescent="0.8">
      <c r="A325" s="325">
        <v>18</v>
      </c>
      <c r="B325" s="46" t="s">
        <v>220</v>
      </c>
      <c r="C325" s="326">
        <v>44934</v>
      </c>
      <c r="D325" s="327">
        <f t="shared" si="130"/>
        <v>0.54166666666666663</v>
      </c>
      <c r="E325" s="78" t="s">
        <v>303</v>
      </c>
      <c r="F325" s="114" t="s">
        <v>339</v>
      </c>
      <c r="G325" s="46" t="s">
        <v>338</v>
      </c>
      <c r="H325" s="114" t="s">
        <v>128</v>
      </c>
      <c r="I325" s="46" t="s">
        <v>338</v>
      </c>
      <c r="J325" s="329" t="str">
        <f t="shared" si="131"/>
        <v>Pittsburgh</v>
      </c>
      <c r="K325" s="379" t="str">
        <f t="shared" si="124"/>
        <v>Cleveland</v>
      </c>
      <c r="L325" s="336">
        <v>3</v>
      </c>
      <c r="M325" s="339">
        <v>40.5</v>
      </c>
      <c r="N325" s="360" t="str">
        <f>J325</f>
        <v>Pittsburgh</v>
      </c>
      <c r="O325" s="114">
        <v>28</v>
      </c>
      <c r="P325" s="328" t="str">
        <f t="shared" si="126"/>
        <v>Cleveland</v>
      </c>
      <c r="Q325" s="114">
        <v>14</v>
      </c>
      <c r="R325" s="494" t="str">
        <f t="shared" si="127"/>
        <v>Pittsburgh</v>
      </c>
      <c r="S325" s="494" t="str">
        <f t="shared" si="128"/>
        <v>Cleveland</v>
      </c>
      <c r="T325" s="114" t="str">
        <f t="shared" si="132"/>
        <v>Cleveland</v>
      </c>
      <c r="U325" s="349" t="str">
        <f t="shared" si="129"/>
        <v>L</v>
      </c>
    </row>
    <row r="326" spans="1:21" s="335" customFormat="1" ht="15.75" customHeight="1" x14ac:dyDescent="0.8">
      <c r="A326" s="325">
        <v>18</v>
      </c>
      <c r="B326" s="46" t="s">
        <v>220</v>
      </c>
      <c r="C326" s="326">
        <v>44934</v>
      </c>
      <c r="D326" s="327">
        <f>16.25/24</f>
        <v>0.67708333333333337</v>
      </c>
      <c r="E326" s="78" t="s">
        <v>303</v>
      </c>
      <c r="F326" s="114" t="s">
        <v>357</v>
      </c>
      <c r="G326" s="46" t="s">
        <v>329</v>
      </c>
      <c r="H326" s="114" t="s">
        <v>358</v>
      </c>
      <c r="I326" s="46" t="s">
        <v>329</v>
      </c>
      <c r="J326" s="329" t="str">
        <f t="shared" si="131"/>
        <v>Denver</v>
      </c>
      <c r="K326" s="379" t="str">
        <f t="shared" si="124"/>
        <v>LA Chargers</v>
      </c>
      <c r="L326" s="336">
        <v>1.5</v>
      </c>
      <c r="M326" s="339">
        <v>39.5</v>
      </c>
      <c r="N326" s="360" t="str">
        <f>J326</f>
        <v>Denver</v>
      </c>
      <c r="O326" s="114">
        <v>31</v>
      </c>
      <c r="P326" s="328" t="str">
        <f t="shared" si="126"/>
        <v>LA Chargers</v>
      </c>
      <c r="Q326" s="114">
        <v>28</v>
      </c>
      <c r="R326" s="494" t="str">
        <f t="shared" si="127"/>
        <v>Denver</v>
      </c>
      <c r="S326" s="494" t="str">
        <f t="shared" si="128"/>
        <v>LA Chargers</v>
      </c>
      <c r="T326" s="114" t="str">
        <f t="shared" si="132"/>
        <v>LA Chargers</v>
      </c>
      <c r="U326" s="349" t="str">
        <f t="shared" si="129"/>
        <v>L</v>
      </c>
    </row>
    <row r="327" spans="1:21" s="335" customFormat="1" ht="15.75" customHeight="1" x14ac:dyDescent="0.8">
      <c r="A327" s="325">
        <v>18</v>
      </c>
      <c r="B327" s="46" t="s">
        <v>220</v>
      </c>
      <c r="C327" s="326">
        <v>44934</v>
      </c>
      <c r="D327" s="327">
        <f>16.25/24</f>
        <v>0.67708333333333337</v>
      </c>
      <c r="E327" s="78" t="s">
        <v>118</v>
      </c>
      <c r="F327" s="114" t="s">
        <v>354</v>
      </c>
      <c r="G327" s="46" t="s">
        <v>347</v>
      </c>
      <c r="H327" s="114" t="s">
        <v>346</v>
      </c>
      <c r="I327" s="46" t="s">
        <v>347</v>
      </c>
      <c r="J327" s="329" t="str">
        <f t="shared" si="131"/>
        <v>Philadelphia</v>
      </c>
      <c r="K327" s="379" t="str">
        <f t="shared" si="124"/>
        <v>NY Giants</v>
      </c>
      <c r="L327" s="336">
        <v>14</v>
      </c>
      <c r="M327" s="339">
        <v>32</v>
      </c>
      <c r="N327" s="360" t="str">
        <f>J327</f>
        <v>Philadelphia</v>
      </c>
      <c r="O327" s="114">
        <v>22</v>
      </c>
      <c r="P327" s="328" t="str">
        <f t="shared" si="126"/>
        <v>NY Giants</v>
      </c>
      <c r="Q327" s="114">
        <v>16</v>
      </c>
      <c r="R327" s="494" t="str">
        <f t="shared" si="127"/>
        <v>NY Giants</v>
      </c>
      <c r="S327" s="494" t="str">
        <f t="shared" si="128"/>
        <v>Philadelphia</v>
      </c>
      <c r="T327" s="114" t="str">
        <f t="shared" si="132"/>
        <v>NY Giants</v>
      </c>
      <c r="U327" s="349" t="str">
        <f t="shared" si="129"/>
        <v>W</v>
      </c>
    </row>
    <row r="328" spans="1:21" s="335" customFormat="1" ht="15.75" customHeight="1" x14ac:dyDescent="0.8">
      <c r="A328" s="325">
        <v>18</v>
      </c>
      <c r="B328" s="46" t="s">
        <v>220</v>
      </c>
      <c r="C328" s="326">
        <v>44934</v>
      </c>
      <c r="D328" s="327">
        <f>16.25/24</f>
        <v>0.67708333333333337</v>
      </c>
      <c r="E328" s="78" t="s">
        <v>118</v>
      </c>
      <c r="F328" s="114" t="s">
        <v>198</v>
      </c>
      <c r="G328" s="46" t="s">
        <v>340</v>
      </c>
      <c r="H328" s="114" t="s">
        <v>353</v>
      </c>
      <c r="I328" s="46" t="s">
        <v>340</v>
      </c>
      <c r="J328" s="329" t="str">
        <f t="shared" si="131"/>
        <v>San Francisco</v>
      </c>
      <c r="K328" s="379" t="str">
        <f t="shared" si="124"/>
        <v>Arizona</v>
      </c>
      <c r="L328" s="336">
        <v>14</v>
      </c>
      <c r="M328" s="339">
        <v>40.5</v>
      </c>
      <c r="N328" s="360" t="str">
        <f>J328</f>
        <v>San Francisco</v>
      </c>
      <c r="O328" s="114">
        <v>38</v>
      </c>
      <c r="P328" s="328" t="str">
        <f t="shared" si="126"/>
        <v>Arizona</v>
      </c>
      <c r="Q328" s="114">
        <v>13</v>
      </c>
      <c r="R328" s="494" t="str">
        <f t="shared" si="127"/>
        <v>San Francisco</v>
      </c>
      <c r="S328" s="494" t="str">
        <f t="shared" si="128"/>
        <v>Arizona</v>
      </c>
      <c r="T328" s="114" t="str">
        <f t="shared" si="132"/>
        <v>Arizona</v>
      </c>
      <c r="U328" s="349" t="str">
        <f t="shared" si="129"/>
        <v>L</v>
      </c>
    </row>
    <row r="329" spans="1:21" s="335" customFormat="1" ht="15.75" customHeight="1" x14ac:dyDescent="0.8">
      <c r="A329" s="325">
        <v>18</v>
      </c>
      <c r="B329" s="46" t="s">
        <v>220</v>
      </c>
      <c r="C329" s="326">
        <v>44934</v>
      </c>
      <c r="D329" s="327">
        <f>16.25/24</f>
        <v>0.67708333333333337</v>
      </c>
      <c r="E329" s="78" t="s">
        <v>118</v>
      </c>
      <c r="F329" s="114" t="s">
        <v>349</v>
      </c>
      <c r="G329" s="46" t="s">
        <v>340</v>
      </c>
      <c r="H329" s="114" t="s">
        <v>350</v>
      </c>
      <c r="I329" s="46" t="s">
        <v>340</v>
      </c>
      <c r="J329" s="329" t="str">
        <f t="shared" si="131"/>
        <v>Seattle</v>
      </c>
      <c r="K329" s="379" t="str">
        <f t="shared" si="124"/>
        <v>LA Rams</v>
      </c>
      <c r="L329" s="336">
        <v>6.5</v>
      </c>
      <c r="M329" s="339">
        <v>41.5</v>
      </c>
      <c r="N329" s="360" t="str">
        <f>J329</f>
        <v>Seattle</v>
      </c>
      <c r="O329" s="114">
        <v>19</v>
      </c>
      <c r="P329" s="328" t="str">
        <f t="shared" si="126"/>
        <v>LA Rams</v>
      </c>
      <c r="Q329" s="114">
        <v>16</v>
      </c>
      <c r="R329" s="494" t="str">
        <f t="shared" si="127"/>
        <v>LA Rams</v>
      </c>
      <c r="S329" s="494" t="str">
        <f t="shared" si="128"/>
        <v>Seattle</v>
      </c>
      <c r="T329" s="114" t="str">
        <f t="shared" si="132"/>
        <v>LA Rams</v>
      </c>
      <c r="U329" s="349" t="str">
        <f t="shared" si="129"/>
        <v>W</v>
      </c>
    </row>
    <row r="330" spans="1:21" s="335" customFormat="1" ht="15.75" customHeight="1" x14ac:dyDescent="0.8">
      <c r="A330" s="325">
        <v>18</v>
      </c>
      <c r="B330" s="46" t="s">
        <v>220</v>
      </c>
      <c r="C330" s="326">
        <v>44934</v>
      </c>
      <c r="D330" s="327">
        <f>16.25/24</f>
        <v>0.67708333333333337</v>
      </c>
      <c r="E330" s="78" t="s">
        <v>118</v>
      </c>
      <c r="F330" s="114" t="s">
        <v>355</v>
      </c>
      <c r="G330" s="46" t="s">
        <v>347</v>
      </c>
      <c r="H330" s="114" t="s">
        <v>91</v>
      </c>
      <c r="I330" s="46" t="s">
        <v>347</v>
      </c>
      <c r="J330" s="329" t="str">
        <f>F330</f>
        <v>Dallas</v>
      </c>
      <c r="K330" s="379" t="str">
        <f t="shared" si="124"/>
        <v>Washington</v>
      </c>
      <c r="L330" s="336">
        <v>7.5</v>
      </c>
      <c r="M330" s="339">
        <v>41</v>
      </c>
      <c r="N330" s="360" t="str">
        <f>K330</f>
        <v>Washington</v>
      </c>
      <c r="O330" s="114">
        <v>26</v>
      </c>
      <c r="P330" s="328" t="str">
        <f t="shared" si="126"/>
        <v>Dallas</v>
      </c>
      <c r="Q330" s="114">
        <v>6</v>
      </c>
      <c r="R330" s="494" t="str">
        <f t="shared" si="127"/>
        <v>Washington</v>
      </c>
      <c r="S330" s="494" t="str">
        <f t="shared" si="128"/>
        <v>Dallas</v>
      </c>
      <c r="T330" s="114" t="str">
        <f t="shared" si="132"/>
        <v>Washington</v>
      </c>
      <c r="U330" s="349" t="str">
        <f t="shared" si="129"/>
        <v>W</v>
      </c>
    </row>
    <row r="331" spans="1:21" s="335" customFormat="1" ht="15.75" customHeight="1" x14ac:dyDescent="0.8">
      <c r="A331" s="325">
        <v>18</v>
      </c>
      <c r="B331" s="46" t="s">
        <v>220</v>
      </c>
      <c r="C331" s="326">
        <v>44934</v>
      </c>
      <c r="D331" s="327">
        <f>20.25/24</f>
        <v>0.84375</v>
      </c>
      <c r="E331" s="78" t="s">
        <v>118</v>
      </c>
      <c r="F331" s="114" t="s">
        <v>341</v>
      </c>
      <c r="G331" s="46" t="s">
        <v>336</v>
      </c>
      <c r="H331" s="114" t="s">
        <v>351</v>
      </c>
      <c r="I331" s="46" t="s">
        <v>336</v>
      </c>
      <c r="J331" s="329" t="str">
        <f>H331</f>
        <v>Green Bay</v>
      </c>
      <c r="K331" s="379" t="str">
        <f t="shared" si="124"/>
        <v>Detroit</v>
      </c>
      <c r="L331" s="336">
        <v>4.5</v>
      </c>
      <c r="M331" s="339">
        <v>49</v>
      </c>
      <c r="N331" s="360" t="str">
        <f>K331</f>
        <v>Detroit</v>
      </c>
      <c r="O331" s="114">
        <v>20</v>
      </c>
      <c r="P331" s="328" t="str">
        <f t="shared" si="126"/>
        <v>Green Bay</v>
      </c>
      <c r="Q331" s="114">
        <v>16</v>
      </c>
      <c r="R331" s="494" t="str">
        <f t="shared" si="127"/>
        <v>Detroit</v>
      </c>
      <c r="S331" s="494" t="str">
        <f t="shared" si="128"/>
        <v>Green Bay</v>
      </c>
      <c r="T331" s="114" t="str">
        <f t="shared" si="132"/>
        <v>Detroit</v>
      </c>
      <c r="U331" s="349" t="str">
        <f t="shared" si="129"/>
        <v>W</v>
      </c>
    </row>
    <row r="332" spans="1:21" s="335" customFormat="1" ht="15.75" customHeight="1" x14ac:dyDescent="0.8">
      <c r="A332" s="325"/>
      <c r="B332" s="325"/>
      <c r="C332" s="326"/>
      <c r="D332" s="327"/>
      <c r="E332" s="46"/>
      <c r="F332" s="114"/>
      <c r="G332" s="46"/>
      <c r="H332" s="114"/>
      <c r="I332" s="46"/>
      <c r="J332" s="329"/>
      <c r="K332" s="379"/>
      <c r="L332" s="336"/>
      <c r="M332" s="339"/>
      <c r="N332" s="360"/>
      <c r="O332" s="114"/>
      <c r="P332" s="328"/>
      <c r="Q332" s="114"/>
      <c r="R332" s="364"/>
      <c r="S332" s="364"/>
      <c r="T332" s="114"/>
      <c r="U332" s="349"/>
    </row>
    <row r="333" spans="1:21" s="335" customFormat="1" ht="15.75" customHeight="1" x14ac:dyDescent="0.8">
      <c r="A333" s="325"/>
      <c r="B333" s="325"/>
      <c r="C333" s="326"/>
      <c r="D333" s="327"/>
      <c r="E333" s="46"/>
      <c r="F333" s="114"/>
      <c r="G333" s="46"/>
      <c r="H333" s="114"/>
      <c r="I333" s="46"/>
      <c r="J333" s="329"/>
      <c r="K333" s="379"/>
      <c r="L333" s="336"/>
      <c r="M333" s="339"/>
      <c r="N333" s="360"/>
      <c r="O333" s="114"/>
      <c r="P333" s="328"/>
      <c r="Q333" s="114"/>
      <c r="R333" s="364"/>
      <c r="S333" s="364"/>
      <c r="T333" s="114"/>
      <c r="U333" s="349"/>
    </row>
    <row r="334" spans="1:21" s="335" customFormat="1" ht="15.75" customHeight="1" x14ac:dyDescent="0.8">
      <c r="A334" s="325"/>
      <c r="B334" s="325"/>
      <c r="C334" s="326"/>
      <c r="D334" s="327"/>
      <c r="E334" s="46"/>
      <c r="F334" s="114"/>
      <c r="G334" s="46"/>
      <c r="H334" s="114"/>
      <c r="I334" s="46"/>
      <c r="J334" s="329"/>
      <c r="K334" s="379"/>
      <c r="L334" s="336"/>
      <c r="M334" s="339"/>
      <c r="N334" s="360"/>
      <c r="O334" s="114"/>
      <c r="P334" s="328"/>
      <c r="Q334" s="114"/>
      <c r="R334" s="364"/>
      <c r="S334" s="364"/>
      <c r="T334" s="114"/>
      <c r="U334" s="349"/>
    </row>
    <row r="335" spans="1:21" s="335" customFormat="1" ht="15.75" customHeight="1" x14ac:dyDescent="0.8">
      <c r="A335" s="325"/>
      <c r="B335" s="325"/>
      <c r="C335" s="326"/>
      <c r="D335" s="327"/>
      <c r="E335" s="46"/>
      <c r="F335" s="114"/>
      <c r="G335" s="46"/>
      <c r="H335" s="114"/>
      <c r="I335" s="46"/>
      <c r="J335" s="329"/>
      <c r="K335" s="379"/>
      <c r="L335" s="336"/>
      <c r="M335" s="339"/>
      <c r="N335" s="360"/>
      <c r="O335" s="114"/>
      <c r="P335" s="328"/>
      <c r="Q335" s="114"/>
      <c r="R335" s="364"/>
      <c r="S335" s="364"/>
      <c r="T335" s="114"/>
      <c r="U335" s="349"/>
    </row>
    <row r="336" spans="1:21" s="335" customFormat="1" ht="15.75" customHeight="1" x14ac:dyDescent="0.8">
      <c r="A336" s="325"/>
      <c r="B336" s="325"/>
      <c r="C336" s="326"/>
      <c r="D336" s="327"/>
      <c r="E336" s="46"/>
      <c r="F336" s="114"/>
      <c r="G336" s="46"/>
      <c r="H336" s="114"/>
      <c r="I336" s="46"/>
      <c r="J336" s="329"/>
      <c r="K336" s="379"/>
      <c r="L336" s="336"/>
      <c r="M336" s="339"/>
      <c r="N336" s="360"/>
      <c r="O336" s="114"/>
      <c r="P336" s="328"/>
      <c r="Q336" s="114"/>
      <c r="R336" s="364"/>
      <c r="S336" s="364"/>
      <c r="T336" s="114"/>
      <c r="U336" s="349"/>
    </row>
    <row r="337" spans="1:21" s="335" customFormat="1" ht="15.75" customHeight="1" x14ac:dyDescent="0.8">
      <c r="A337" s="325"/>
      <c r="B337" s="325"/>
      <c r="C337" s="326"/>
      <c r="D337" s="327"/>
      <c r="E337" s="46"/>
      <c r="F337" s="114"/>
      <c r="G337" s="46"/>
      <c r="H337" s="114"/>
      <c r="I337" s="46"/>
      <c r="J337" s="329"/>
      <c r="K337" s="379"/>
      <c r="L337" s="336"/>
      <c r="M337" s="339"/>
      <c r="N337" s="360"/>
      <c r="O337" s="114"/>
      <c r="P337" s="328"/>
      <c r="Q337" s="114"/>
      <c r="R337" s="364"/>
      <c r="S337" s="364"/>
      <c r="T337" s="114"/>
      <c r="U337" s="349"/>
    </row>
    <row r="338" spans="1:21" s="335" customFormat="1" ht="15.75" customHeight="1" x14ac:dyDescent="0.8">
      <c r="A338" s="325"/>
      <c r="B338" s="325"/>
      <c r="C338" s="326"/>
      <c r="D338" s="327"/>
      <c r="E338" s="46"/>
      <c r="F338" s="114"/>
      <c r="G338" s="46"/>
      <c r="H338" s="114"/>
      <c r="I338" s="46"/>
      <c r="J338" s="329"/>
      <c r="K338" s="379"/>
      <c r="L338" s="336"/>
      <c r="M338" s="339"/>
      <c r="N338" s="360"/>
      <c r="O338" s="114"/>
      <c r="P338" s="328"/>
      <c r="Q338" s="114"/>
      <c r="R338" s="364"/>
      <c r="S338" s="364"/>
      <c r="T338" s="114"/>
      <c r="U338" s="349"/>
    </row>
    <row r="339" spans="1:21" s="335" customFormat="1" ht="15.75" customHeight="1" x14ac:dyDescent="0.8">
      <c r="A339" s="325"/>
      <c r="B339" s="325"/>
      <c r="C339" s="326"/>
      <c r="D339" s="327"/>
      <c r="E339" s="46"/>
      <c r="F339" s="114"/>
      <c r="G339" s="46"/>
      <c r="H339" s="114"/>
      <c r="I339" s="46"/>
      <c r="J339" s="329"/>
      <c r="K339" s="379"/>
      <c r="L339" s="336"/>
      <c r="M339" s="339"/>
      <c r="N339" s="360"/>
      <c r="O339" s="114"/>
      <c r="P339" s="328"/>
      <c r="Q339" s="114"/>
      <c r="R339" s="364"/>
      <c r="S339" s="364"/>
      <c r="T339" s="114"/>
      <c r="U339" s="349"/>
    </row>
    <row r="340" spans="1:21" s="335" customFormat="1" ht="15.75" customHeight="1" x14ac:dyDescent="0.8">
      <c r="A340" s="325"/>
      <c r="B340" s="325"/>
      <c r="C340" s="326"/>
      <c r="D340" s="327"/>
      <c r="E340" s="46"/>
      <c r="F340" s="114"/>
      <c r="G340" s="46"/>
      <c r="H340" s="114"/>
      <c r="I340" s="46"/>
      <c r="J340" s="329"/>
      <c r="K340" s="379"/>
      <c r="L340" s="336"/>
      <c r="M340" s="339"/>
      <c r="N340" s="360"/>
      <c r="O340" s="114"/>
      <c r="P340" s="328"/>
      <c r="Q340" s="114"/>
      <c r="R340" s="364"/>
      <c r="S340" s="364"/>
      <c r="T340" s="114"/>
      <c r="U340" s="349"/>
    </row>
    <row r="341" spans="1:21" s="335" customFormat="1" ht="15.75" customHeight="1" x14ac:dyDescent="0.8">
      <c r="A341" s="325"/>
      <c r="B341" s="325"/>
      <c r="C341" s="326"/>
      <c r="D341" s="327"/>
      <c r="E341" s="46"/>
      <c r="F341" s="114"/>
      <c r="G341" s="46"/>
      <c r="H341" s="114"/>
      <c r="I341" s="46"/>
      <c r="J341" s="329"/>
      <c r="K341" s="379"/>
      <c r="L341" s="336"/>
      <c r="M341" s="339"/>
      <c r="N341" s="360"/>
      <c r="O341" s="330"/>
      <c r="P341" s="328"/>
      <c r="Q341" s="325"/>
      <c r="R341" s="364"/>
      <c r="S341" s="364"/>
      <c r="T341" s="332"/>
      <c r="U341" s="349"/>
    </row>
    <row r="342" spans="1:21" s="335" customFormat="1" ht="15.75" customHeight="1" x14ac:dyDescent="0.8">
      <c r="A342" s="325"/>
      <c r="B342" s="325"/>
      <c r="C342" s="326"/>
      <c r="D342" s="327"/>
      <c r="E342" s="46"/>
      <c r="F342" s="114"/>
      <c r="G342" s="46"/>
      <c r="H342" s="114"/>
      <c r="I342" s="46"/>
      <c r="J342" s="329"/>
      <c r="K342" s="379"/>
      <c r="L342" s="336"/>
      <c r="M342" s="339"/>
      <c r="N342" s="360"/>
      <c r="O342" s="330"/>
      <c r="P342" s="328"/>
      <c r="Q342" s="325"/>
      <c r="R342" s="364"/>
      <c r="S342" s="364"/>
      <c r="T342" s="332"/>
      <c r="U342" s="349"/>
    </row>
    <row r="343" spans="1:21" s="335" customFormat="1" ht="15.75" customHeight="1" x14ac:dyDescent="0.8">
      <c r="A343" s="325"/>
      <c r="B343" s="325"/>
      <c r="C343" s="326"/>
      <c r="D343" s="327"/>
      <c r="E343" s="46"/>
      <c r="F343" s="114"/>
      <c r="G343" s="46"/>
      <c r="H343" s="114"/>
      <c r="I343" s="46"/>
      <c r="J343" s="329"/>
      <c r="K343" s="379"/>
      <c r="L343" s="336"/>
      <c r="M343" s="339"/>
      <c r="N343" s="360"/>
      <c r="O343" s="330"/>
      <c r="P343" s="328"/>
      <c r="Q343" s="325"/>
      <c r="R343" s="364"/>
      <c r="S343" s="364"/>
      <c r="T343" s="332"/>
      <c r="U343" s="349"/>
    </row>
    <row r="344" spans="1:21" s="335" customFormat="1" ht="15.75" customHeight="1" x14ac:dyDescent="0.8">
      <c r="A344" s="325"/>
      <c r="B344" s="325"/>
      <c r="C344" s="326"/>
      <c r="D344" s="327"/>
      <c r="E344" s="46"/>
      <c r="F344" s="114"/>
      <c r="G344" s="46"/>
      <c r="H344" s="114"/>
      <c r="I344" s="46"/>
      <c r="J344" s="329"/>
      <c r="K344" s="379"/>
      <c r="L344" s="336"/>
      <c r="M344" s="339"/>
      <c r="N344" s="360"/>
      <c r="O344" s="330"/>
      <c r="P344" s="328"/>
      <c r="Q344" s="325"/>
      <c r="R344" s="364"/>
      <c r="S344" s="364"/>
      <c r="T344" s="332"/>
      <c r="U344" s="349"/>
    </row>
    <row r="345" spans="1:21" s="335" customFormat="1" ht="15.75" customHeight="1" x14ac:dyDescent="0.8">
      <c r="A345" s="325"/>
      <c r="B345" s="325"/>
      <c r="C345" s="326"/>
      <c r="D345" s="327"/>
      <c r="E345" s="46"/>
      <c r="F345" s="114"/>
      <c r="G345" s="46"/>
      <c r="H345" s="114"/>
      <c r="I345" s="46"/>
      <c r="J345" s="329"/>
      <c r="K345" s="379"/>
      <c r="L345" s="336"/>
      <c r="M345" s="339"/>
      <c r="N345" s="360"/>
      <c r="O345" s="330"/>
      <c r="P345" s="328"/>
      <c r="Q345" s="325"/>
      <c r="R345" s="364"/>
      <c r="S345" s="364"/>
      <c r="T345" s="332"/>
      <c r="U345" s="349"/>
    </row>
    <row r="346" spans="1:21" s="335" customFormat="1" ht="15.75" customHeight="1" x14ac:dyDescent="0.8">
      <c r="A346" s="325"/>
      <c r="B346" s="325"/>
      <c r="C346" s="326"/>
      <c r="D346" s="327"/>
      <c r="E346" s="46"/>
      <c r="F346" s="114"/>
      <c r="G346" s="46"/>
      <c r="H346" s="114"/>
      <c r="I346" s="46"/>
      <c r="J346" s="329"/>
      <c r="K346" s="379"/>
      <c r="L346" s="336"/>
      <c r="M346" s="339"/>
      <c r="N346" s="360"/>
      <c r="O346" s="330"/>
      <c r="P346" s="328"/>
      <c r="Q346" s="325"/>
      <c r="R346" s="364"/>
      <c r="S346" s="364"/>
      <c r="T346" s="332"/>
      <c r="U346" s="349"/>
    </row>
    <row r="347" spans="1:21" s="335" customFormat="1" ht="15.75" customHeight="1" x14ac:dyDescent="0.8">
      <c r="A347" s="325"/>
      <c r="B347" s="325"/>
      <c r="C347" s="326"/>
      <c r="D347" s="327"/>
      <c r="E347" s="46"/>
      <c r="F347" s="114"/>
      <c r="G347" s="46"/>
      <c r="H347" s="114"/>
      <c r="I347" s="46"/>
      <c r="J347" s="329"/>
      <c r="K347" s="379"/>
      <c r="L347" s="336"/>
      <c r="M347" s="339"/>
      <c r="N347" s="360"/>
      <c r="O347" s="330"/>
      <c r="P347" s="328"/>
      <c r="Q347" s="325"/>
      <c r="R347" s="364"/>
      <c r="S347" s="364"/>
      <c r="T347" s="332"/>
      <c r="U347" s="349"/>
    </row>
    <row r="348" spans="1:21" s="335" customFormat="1" ht="15.75" customHeight="1" x14ac:dyDescent="0.8">
      <c r="A348" s="325"/>
      <c r="B348" s="325"/>
      <c r="C348" s="326"/>
      <c r="D348" s="327"/>
      <c r="E348" s="46"/>
      <c r="F348" s="114"/>
      <c r="G348" s="46"/>
      <c r="H348" s="114"/>
      <c r="I348" s="46"/>
      <c r="J348" s="329"/>
      <c r="K348" s="379"/>
      <c r="L348" s="336"/>
      <c r="M348" s="339"/>
      <c r="N348" s="360"/>
      <c r="O348" s="330"/>
      <c r="P348" s="328"/>
      <c r="Q348" s="325"/>
      <c r="R348" s="364"/>
      <c r="S348" s="364"/>
      <c r="T348" s="332"/>
      <c r="U348" s="349"/>
    </row>
    <row r="349" spans="1:21" s="335" customFormat="1" ht="15.75" customHeight="1" x14ac:dyDescent="0.8">
      <c r="A349" s="325"/>
      <c r="B349" s="325"/>
      <c r="C349" s="326"/>
      <c r="D349" s="327"/>
      <c r="E349" s="46"/>
      <c r="F349" s="114"/>
      <c r="G349" s="46"/>
      <c r="H349" s="114"/>
      <c r="I349" s="46"/>
      <c r="J349" s="329"/>
      <c r="K349" s="379"/>
      <c r="L349" s="336"/>
      <c r="M349" s="339"/>
      <c r="N349" s="360"/>
      <c r="O349" s="330"/>
      <c r="P349" s="328"/>
      <c r="Q349" s="325"/>
      <c r="R349" s="364"/>
      <c r="S349" s="364"/>
      <c r="T349" s="332"/>
      <c r="U349" s="349"/>
    </row>
    <row r="350" spans="1:21" s="335" customFormat="1" ht="15.75" customHeight="1" x14ac:dyDescent="0.8">
      <c r="A350" s="325"/>
      <c r="B350" s="325"/>
      <c r="C350" s="326"/>
      <c r="D350" s="327"/>
      <c r="E350" s="46"/>
      <c r="F350" s="114"/>
      <c r="G350" s="46"/>
      <c r="H350" s="114"/>
      <c r="I350" s="46"/>
      <c r="J350" s="329"/>
      <c r="K350" s="379"/>
      <c r="L350" s="336"/>
      <c r="M350" s="339"/>
      <c r="N350" s="360"/>
      <c r="O350" s="330"/>
      <c r="P350" s="328"/>
      <c r="Q350" s="325"/>
      <c r="R350" s="364"/>
      <c r="S350" s="364"/>
      <c r="T350" s="332"/>
      <c r="U350" s="349"/>
    </row>
    <row r="351" spans="1:21" s="335" customFormat="1" ht="15.75" customHeight="1" x14ac:dyDescent="0.8">
      <c r="A351" s="325"/>
      <c r="B351" s="325"/>
      <c r="C351" s="326"/>
      <c r="D351" s="327"/>
      <c r="E351" s="46"/>
      <c r="F351" s="114"/>
      <c r="G351" s="46"/>
      <c r="H351" s="114"/>
      <c r="I351" s="46"/>
      <c r="J351" s="329"/>
      <c r="K351" s="379"/>
      <c r="L351" s="336"/>
      <c r="M351" s="339"/>
      <c r="N351" s="360"/>
      <c r="O351" s="330"/>
      <c r="P351" s="328"/>
      <c r="Q351" s="325"/>
      <c r="R351" s="364"/>
      <c r="S351" s="364"/>
      <c r="T351" s="332"/>
      <c r="U351" s="349"/>
    </row>
    <row r="352" spans="1:21" s="335" customFormat="1" ht="15.75" customHeight="1" x14ac:dyDescent="0.8">
      <c r="A352" s="325"/>
      <c r="B352" s="46"/>
      <c r="C352" s="326"/>
      <c r="D352" s="327"/>
      <c r="E352" s="46"/>
      <c r="F352" s="114"/>
      <c r="G352" s="46"/>
      <c r="H352" s="114"/>
      <c r="I352" s="46"/>
      <c r="J352" s="329"/>
      <c r="K352" s="379"/>
      <c r="L352" s="336"/>
      <c r="M352" s="339"/>
      <c r="N352" s="360"/>
      <c r="O352" s="330"/>
      <c r="P352" s="328"/>
      <c r="Q352" s="325"/>
      <c r="R352" s="364"/>
      <c r="S352" s="364"/>
      <c r="T352" s="332"/>
      <c r="U352" s="349"/>
    </row>
    <row r="353" spans="1:308" s="335" customFormat="1" ht="15.75" customHeight="1" x14ac:dyDescent="0.8">
      <c r="A353" s="46"/>
      <c r="B353" s="348"/>
      <c r="C353" s="338"/>
      <c r="D353" s="327"/>
      <c r="E353" s="325"/>
      <c r="F353" s="114"/>
      <c r="G353" s="46"/>
      <c r="H353" s="114"/>
      <c r="I353" s="46"/>
      <c r="J353" s="329"/>
      <c r="K353" s="325"/>
      <c r="L353" s="336"/>
      <c r="M353" s="339"/>
      <c r="N353" s="360"/>
      <c r="O353" s="330"/>
      <c r="P353" s="328"/>
      <c r="Q353" s="325"/>
      <c r="R353" s="330"/>
      <c r="S353" s="340"/>
      <c r="T353" s="332"/>
      <c r="U353" s="337"/>
    </row>
    <row r="354" spans="1:308" s="368" customFormat="1" ht="15.75" customHeight="1" x14ac:dyDescent="0.8">
      <c r="A354" s="325" t="s">
        <v>384</v>
      </c>
      <c r="B354" s="485"/>
      <c r="C354" s="369"/>
      <c r="F354" s="350"/>
      <c r="G354" s="46" t="e">
        <v>#N/A</v>
      </c>
      <c r="H354" s="652"/>
      <c r="I354" s="652">
        <v>1</v>
      </c>
      <c r="J354" s="366"/>
      <c r="K354" s="366">
        <f t="shared" ref="K354:U354" si="133">+J354+1</f>
        <v>1</v>
      </c>
      <c r="L354" s="366">
        <f t="shared" si="133"/>
        <v>2</v>
      </c>
      <c r="M354" s="366">
        <f t="shared" si="133"/>
        <v>3</v>
      </c>
      <c r="N354" s="366">
        <v>4</v>
      </c>
      <c r="O354" s="366">
        <f t="shared" si="133"/>
        <v>5</v>
      </c>
      <c r="P354" s="366">
        <f t="shared" si="133"/>
        <v>6</v>
      </c>
      <c r="Q354" s="366">
        <f t="shared" si="133"/>
        <v>7</v>
      </c>
      <c r="R354" s="366">
        <f t="shared" si="133"/>
        <v>8</v>
      </c>
      <c r="S354" s="366">
        <f t="shared" si="133"/>
        <v>9</v>
      </c>
      <c r="T354" s="366">
        <f t="shared" si="133"/>
        <v>10</v>
      </c>
      <c r="U354" s="366">
        <f t="shared" si="133"/>
        <v>11</v>
      </c>
    </row>
    <row r="355" spans="1:308" s="344" customFormat="1" ht="15.75" customHeight="1" x14ac:dyDescent="0.8">
      <c r="A355" s="325" t="s">
        <v>384</v>
      </c>
      <c r="B355" s="486">
        <v>11</v>
      </c>
      <c r="C355" s="370"/>
      <c r="F355" s="46" t="s">
        <v>67</v>
      </c>
      <c r="G355" s="46" t="s">
        <v>331</v>
      </c>
      <c r="H355" s="67" t="s">
        <v>303</v>
      </c>
      <c r="I355" s="653">
        <v>11.1</v>
      </c>
      <c r="J355" s="469"/>
      <c r="K355" s="470"/>
      <c r="L355" s="469"/>
      <c r="M355" s="470"/>
      <c r="N355" s="469"/>
      <c r="O355" s="475"/>
      <c r="P355" s="471"/>
      <c r="Q355" s="476"/>
      <c r="R355" s="471"/>
      <c r="S355" s="471"/>
      <c r="T355" s="471"/>
      <c r="U355" s="471"/>
      <c r="V355" s="468"/>
      <c r="W355" s="468"/>
      <c r="X355" s="468"/>
      <c r="Y355" s="468"/>
      <c r="Z355" s="468"/>
      <c r="AA355" s="468"/>
      <c r="AB355" s="468"/>
      <c r="AC355" s="468"/>
      <c r="AD355" s="468"/>
      <c r="AE355" s="468"/>
      <c r="AF355" s="468"/>
      <c r="AG355" s="468"/>
      <c r="AH355" s="468"/>
      <c r="AI355" s="468"/>
      <c r="AJ355" s="468"/>
      <c r="AK355" s="468"/>
      <c r="AL355" s="468"/>
      <c r="AM355" s="468"/>
      <c r="AN355" s="468"/>
      <c r="AO355" s="468"/>
      <c r="AP355" s="468"/>
      <c r="AQ355" s="468"/>
      <c r="AR355" s="468"/>
      <c r="AS355" s="468"/>
      <c r="AT355" s="468"/>
      <c r="AU355" s="468"/>
      <c r="AV355" s="468"/>
      <c r="AW355" s="468"/>
      <c r="AX355" s="468"/>
      <c r="AY355" s="468"/>
      <c r="AZ355" s="468"/>
      <c r="BA355" s="468"/>
      <c r="BB355" s="468"/>
      <c r="BC355" s="468"/>
      <c r="BD355" s="468"/>
      <c r="BE355" s="468"/>
      <c r="BF355" s="468"/>
      <c r="BG355" s="468"/>
      <c r="BH355" s="468"/>
      <c r="BI355" s="468"/>
      <c r="BJ355" s="468"/>
      <c r="BK355" s="468"/>
      <c r="BL355" s="468"/>
      <c r="BM355" s="468"/>
      <c r="BN355" s="468"/>
      <c r="BO355" s="468"/>
      <c r="BP355" s="468"/>
      <c r="BQ355" s="468"/>
      <c r="BR355" s="468"/>
      <c r="BS355" s="468"/>
      <c r="BT355" s="468"/>
      <c r="BU355" s="468"/>
      <c r="BV355" s="468"/>
      <c r="BW355" s="468"/>
      <c r="BX355" s="468"/>
      <c r="BY355" s="468"/>
      <c r="BZ355" s="468"/>
      <c r="CA355" s="468"/>
      <c r="CB355" s="468"/>
      <c r="CC355" s="468"/>
      <c r="CD355" s="468"/>
      <c r="CE355" s="468"/>
      <c r="CF355" s="468"/>
      <c r="CG355" s="468"/>
      <c r="CH355" s="468"/>
      <c r="CI355" s="468"/>
      <c r="CJ355" s="468"/>
      <c r="CK355" s="468"/>
      <c r="CL355" s="468"/>
      <c r="CM355" s="468"/>
      <c r="CN355" s="468"/>
      <c r="CO355" s="468"/>
      <c r="CP355" s="468"/>
      <c r="CQ355" s="468"/>
      <c r="CR355" s="468"/>
      <c r="CS355" s="468"/>
      <c r="CT355" s="468"/>
      <c r="CU355" s="468"/>
      <c r="CV355" s="468"/>
      <c r="CW355" s="468"/>
      <c r="CX355" s="468"/>
      <c r="CY355" s="468"/>
      <c r="CZ355" s="468"/>
      <c r="DA355" s="468"/>
      <c r="DB355" s="468"/>
      <c r="DC355" s="468"/>
      <c r="DD355" s="468"/>
      <c r="DE355" s="468"/>
      <c r="DF355" s="468"/>
      <c r="DG355" s="468"/>
      <c r="DH355" s="468"/>
      <c r="DI355" s="468"/>
      <c r="DJ355" s="468"/>
      <c r="DK355" s="468"/>
      <c r="DL355" s="468"/>
      <c r="DM355" s="468"/>
      <c r="DN355" s="468"/>
      <c r="DO355" s="468"/>
      <c r="DP355" s="468"/>
      <c r="DQ355" s="468"/>
      <c r="DR355" s="468"/>
      <c r="DS355" s="468"/>
      <c r="DT355" s="468"/>
      <c r="DU355" s="468"/>
      <c r="DV355" s="468"/>
      <c r="DW355" s="468"/>
      <c r="DX355" s="468"/>
      <c r="DY355" s="468"/>
      <c r="DZ355" s="468"/>
      <c r="EA355" s="468"/>
      <c r="EB355" s="468"/>
      <c r="EC355" s="468"/>
      <c r="ED355" s="468"/>
      <c r="EE355" s="468"/>
      <c r="EF355" s="468"/>
      <c r="EG355" s="468"/>
      <c r="EH355" s="468"/>
      <c r="EI355" s="468"/>
      <c r="EJ355" s="468"/>
      <c r="EK355" s="468"/>
      <c r="EL355" s="468"/>
      <c r="EM355" s="468"/>
      <c r="EN355" s="468"/>
      <c r="EO355" s="468"/>
      <c r="EP355" s="468"/>
      <c r="EQ355" s="468"/>
      <c r="ER355" s="468"/>
      <c r="ES355" s="468"/>
      <c r="ET355" s="468"/>
      <c r="EU355" s="468"/>
      <c r="EV355" s="468"/>
      <c r="EW355" s="468"/>
      <c r="EX355" s="468"/>
      <c r="EY355" s="468"/>
      <c r="EZ355" s="468"/>
      <c r="FA355" s="468"/>
      <c r="FB355" s="468"/>
      <c r="FC355" s="468"/>
      <c r="FD355" s="468"/>
      <c r="FE355" s="468"/>
      <c r="FF355" s="468"/>
      <c r="FG355" s="468"/>
      <c r="FH355" s="468"/>
      <c r="FI355" s="468"/>
      <c r="FJ355" s="468"/>
      <c r="FK355" s="468"/>
      <c r="FL355" s="468"/>
      <c r="FM355" s="468"/>
      <c r="FN355" s="468"/>
      <c r="FO355" s="468"/>
      <c r="FP355" s="468"/>
      <c r="FQ355" s="468"/>
      <c r="FR355" s="468"/>
      <c r="FS355" s="468"/>
      <c r="FT355" s="468"/>
      <c r="FU355" s="468"/>
      <c r="FV355" s="468"/>
      <c r="FW355" s="468"/>
      <c r="FX355" s="468"/>
      <c r="FY355" s="468"/>
      <c r="FZ355" s="468"/>
      <c r="GA355" s="468"/>
      <c r="GB355" s="468"/>
      <c r="GC355" s="468"/>
      <c r="GD355" s="468"/>
      <c r="GE355" s="468"/>
      <c r="GF355" s="468"/>
      <c r="GG355" s="468"/>
      <c r="GH355" s="468"/>
      <c r="GI355" s="468"/>
      <c r="GJ355" s="468"/>
      <c r="GK355" s="468"/>
      <c r="GL355" s="468"/>
      <c r="GM355" s="468"/>
      <c r="GN355" s="468"/>
      <c r="GO355" s="468"/>
      <c r="GP355" s="468"/>
      <c r="GQ355" s="468"/>
      <c r="GR355" s="468"/>
      <c r="GS355" s="468"/>
      <c r="GT355" s="468"/>
      <c r="GU355" s="468"/>
      <c r="GV355" s="468"/>
      <c r="GW355" s="468"/>
      <c r="GX355" s="468"/>
      <c r="GY355" s="468"/>
      <c r="GZ355" s="468"/>
      <c r="HA355" s="468"/>
      <c r="HB355" s="468"/>
      <c r="HC355" s="468"/>
      <c r="HD355" s="468"/>
      <c r="HE355" s="468"/>
      <c r="HF355" s="468"/>
      <c r="HG355" s="468"/>
      <c r="HH355" s="468"/>
      <c r="HI355" s="468"/>
      <c r="HJ355" s="468"/>
      <c r="HK355" s="468"/>
      <c r="HL355" s="468"/>
      <c r="HM355" s="468"/>
      <c r="HN355" s="468"/>
      <c r="HO355" s="468"/>
      <c r="HP355" s="468"/>
      <c r="HQ355" s="468"/>
      <c r="HR355" s="468"/>
      <c r="HS355" s="468"/>
      <c r="HT355" s="468"/>
      <c r="HU355" s="468"/>
      <c r="HV355" s="468"/>
      <c r="HW355" s="468"/>
      <c r="HX355" s="468"/>
      <c r="HY355" s="468"/>
      <c r="HZ355" s="468"/>
      <c r="IA355" s="468"/>
      <c r="IB355" s="468"/>
      <c r="IC355" s="468"/>
      <c r="ID355" s="468"/>
      <c r="IE355" s="468"/>
      <c r="IF355" s="468"/>
      <c r="IG355" s="468"/>
      <c r="IH355" s="468"/>
      <c r="II355" s="468"/>
      <c r="IJ355" s="468"/>
      <c r="IK355" s="468"/>
      <c r="IL355" s="468"/>
      <c r="IM355" s="468"/>
      <c r="IN355" s="468"/>
      <c r="IO355" s="468"/>
      <c r="IP355" s="468"/>
      <c r="IQ355" s="468"/>
      <c r="IR355" s="468"/>
      <c r="IS355" s="468"/>
      <c r="IT355" s="468"/>
      <c r="IU355" s="468"/>
      <c r="IV355" s="468"/>
      <c r="IW355" s="468"/>
      <c r="IX355" s="468"/>
      <c r="IY355" s="468"/>
      <c r="IZ355" s="468"/>
      <c r="JA355" s="468"/>
      <c r="JB355" s="468"/>
      <c r="JC355" s="468"/>
      <c r="JD355" s="468"/>
      <c r="JE355" s="468"/>
      <c r="JF355" s="468"/>
      <c r="JG355" s="468"/>
    </row>
    <row r="356" spans="1:308" s="344" customFormat="1" ht="15.75" customHeight="1" x14ac:dyDescent="0.8">
      <c r="A356" s="325" t="s">
        <v>384</v>
      </c>
      <c r="B356" s="486">
        <v>9</v>
      </c>
      <c r="C356" s="370"/>
      <c r="F356" s="46" t="s">
        <v>345</v>
      </c>
      <c r="G356" s="46" t="s">
        <v>331</v>
      </c>
      <c r="H356" s="67" t="s">
        <v>303</v>
      </c>
      <c r="I356" s="653">
        <v>0.3</v>
      </c>
      <c r="J356" s="469"/>
      <c r="K356" s="470"/>
      <c r="L356" s="469"/>
      <c r="M356" s="470"/>
      <c r="N356" s="469"/>
      <c r="O356" s="475"/>
      <c r="P356" s="471"/>
      <c r="Q356" s="476"/>
      <c r="R356" s="471"/>
      <c r="S356" s="471"/>
      <c r="T356" s="471"/>
      <c r="U356" s="471"/>
      <c r="V356" s="468"/>
      <c r="W356" s="468"/>
      <c r="X356" s="468"/>
      <c r="Y356" s="468"/>
      <c r="Z356" s="468"/>
      <c r="AA356" s="468"/>
      <c r="AB356" s="468"/>
      <c r="AC356" s="468"/>
      <c r="AD356" s="468"/>
      <c r="AE356" s="468"/>
      <c r="AF356" s="468"/>
      <c r="AG356" s="468"/>
      <c r="AH356" s="468"/>
      <c r="AI356" s="468"/>
      <c r="AJ356" s="468"/>
      <c r="AK356" s="468"/>
      <c r="AL356" s="468"/>
      <c r="AM356" s="468"/>
      <c r="AN356" s="468"/>
      <c r="AO356" s="468"/>
      <c r="AP356" s="468"/>
      <c r="AQ356" s="468"/>
      <c r="AR356" s="468"/>
      <c r="AS356" s="468"/>
      <c r="AT356" s="468"/>
      <c r="AU356" s="468"/>
      <c r="AV356" s="468"/>
      <c r="AW356" s="468"/>
      <c r="AX356" s="468"/>
      <c r="AY356" s="468"/>
      <c r="AZ356" s="468"/>
      <c r="BA356" s="468"/>
      <c r="BB356" s="468"/>
      <c r="BC356" s="468"/>
      <c r="BD356" s="468"/>
      <c r="BE356" s="468"/>
      <c r="BF356" s="468"/>
      <c r="BG356" s="468"/>
      <c r="BH356" s="468"/>
      <c r="BI356" s="468"/>
      <c r="BJ356" s="468"/>
      <c r="BK356" s="468"/>
      <c r="BL356" s="468"/>
      <c r="BM356" s="468"/>
      <c r="BN356" s="468"/>
      <c r="BO356" s="468"/>
      <c r="BP356" s="468"/>
      <c r="BQ356" s="468"/>
      <c r="BR356" s="468"/>
      <c r="BS356" s="468"/>
      <c r="BT356" s="468"/>
      <c r="BU356" s="468"/>
      <c r="BV356" s="468"/>
      <c r="BW356" s="468"/>
      <c r="BX356" s="468"/>
      <c r="BY356" s="468"/>
      <c r="BZ356" s="468"/>
      <c r="CA356" s="468"/>
      <c r="CB356" s="468"/>
      <c r="CC356" s="468"/>
      <c r="CD356" s="468"/>
      <c r="CE356" s="468"/>
      <c r="CF356" s="468"/>
      <c r="CG356" s="468"/>
      <c r="CH356" s="468"/>
      <c r="CI356" s="468"/>
      <c r="CJ356" s="468"/>
      <c r="CK356" s="468"/>
      <c r="CL356" s="468"/>
      <c r="CM356" s="468"/>
      <c r="CN356" s="468"/>
      <c r="CO356" s="468"/>
      <c r="CP356" s="468"/>
      <c r="CQ356" s="468"/>
      <c r="CR356" s="468"/>
      <c r="CS356" s="468"/>
      <c r="CT356" s="468"/>
      <c r="CU356" s="468"/>
      <c r="CV356" s="468"/>
      <c r="CW356" s="468"/>
      <c r="CX356" s="468"/>
      <c r="CY356" s="468"/>
      <c r="CZ356" s="468"/>
      <c r="DA356" s="468"/>
      <c r="DB356" s="468"/>
      <c r="DC356" s="468"/>
      <c r="DD356" s="468"/>
      <c r="DE356" s="468"/>
      <c r="DF356" s="468"/>
      <c r="DG356" s="468"/>
      <c r="DH356" s="468"/>
      <c r="DI356" s="468"/>
      <c r="DJ356" s="468"/>
      <c r="DK356" s="468"/>
      <c r="DL356" s="468"/>
      <c r="DM356" s="468"/>
      <c r="DN356" s="468"/>
      <c r="DO356" s="468"/>
      <c r="DP356" s="468"/>
      <c r="DQ356" s="468"/>
      <c r="DR356" s="468"/>
      <c r="DS356" s="468"/>
      <c r="DT356" s="468"/>
      <c r="DU356" s="468"/>
      <c r="DV356" s="468"/>
      <c r="DW356" s="468"/>
      <c r="DX356" s="468"/>
      <c r="DY356" s="468"/>
      <c r="DZ356" s="468"/>
      <c r="EA356" s="468"/>
      <c r="EB356" s="468"/>
      <c r="EC356" s="468"/>
      <c r="ED356" s="468"/>
      <c r="EE356" s="468"/>
      <c r="EF356" s="468"/>
      <c r="EG356" s="468"/>
      <c r="EH356" s="468"/>
      <c r="EI356" s="468"/>
      <c r="EJ356" s="468"/>
      <c r="EK356" s="468"/>
      <c r="EL356" s="468"/>
      <c r="EM356" s="468"/>
      <c r="EN356" s="468"/>
      <c r="EO356" s="468"/>
      <c r="EP356" s="468"/>
      <c r="EQ356" s="468"/>
      <c r="ER356" s="468"/>
      <c r="ES356" s="468"/>
      <c r="ET356" s="468"/>
      <c r="EU356" s="468"/>
      <c r="EV356" s="468"/>
      <c r="EW356" s="468"/>
      <c r="EX356" s="468"/>
      <c r="EY356" s="468"/>
      <c r="EZ356" s="468"/>
      <c r="FA356" s="468"/>
      <c r="FB356" s="468"/>
      <c r="FC356" s="468"/>
      <c r="FD356" s="468"/>
      <c r="FE356" s="468"/>
      <c r="FF356" s="468"/>
      <c r="FG356" s="468"/>
      <c r="FH356" s="468"/>
      <c r="FI356" s="468"/>
      <c r="FJ356" s="468"/>
      <c r="FK356" s="468"/>
      <c r="FL356" s="468"/>
      <c r="FM356" s="468"/>
      <c r="FN356" s="468"/>
      <c r="FO356" s="468"/>
      <c r="FP356" s="468"/>
      <c r="FQ356" s="468"/>
      <c r="FR356" s="468"/>
      <c r="FS356" s="468"/>
      <c r="FT356" s="468"/>
      <c r="FU356" s="468"/>
      <c r="FV356" s="468"/>
      <c r="FW356" s="468"/>
      <c r="FX356" s="468"/>
      <c r="FY356" s="468"/>
      <c r="FZ356" s="468"/>
      <c r="GA356" s="468"/>
      <c r="GB356" s="468"/>
      <c r="GC356" s="468"/>
      <c r="GD356" s="468"/>
      <c r="GE356" s="468"/>
      <c r="GF356" s="468"/>
      <c r="GG356" s="468"/>
      <c r="GH356" s="468"/>
      <c r="GI356" s="468"/>
      <c r="GJ356" s="468"/>
      <c r="GK356" s="468"/>
      <c r="GL356" s="468"/>
      <c r="GM356" s="468"/>
      <c r="GN356" s="468"/>
      <c r="GO356" s="468"/>
      <c r="GP356" s="468"/>
      <c r="GQ356" s="468"/>
      <c r="GR356" s="468"/>
      <c r="GS356" s="468"/>
      <c r="GT356" s="468"/>
      <c r="GU356" s="468"/>
      <c r="GV356" s="468"/>
      <c r="GW356" s="468"/>
      <c r="GX356" s="468"/>
      <c r="GY356" s="468"/>
      <c r="GZ356" s="468"/>
      <c r="HA356" s="468"/>
      <c r="HB356" s="468"/>
      <c r="HC356" s="468"/>
      <c r="HD356" s="468"/>
      <c r="HE356" s="468"/>
      <c r="HF356" s="468"/>
      <c r="HG356" s="468"/>
      <c r="HH356" s="468"/>
      <c r="HI356" s="468"/>
      <c r="HJ356" s="468"/>
      <c r="HK356" s="468"/>
      <c r="HL356" s="468"/>
      <c r="HM356" s="468"/>
      <c r="HN356" s="468"/>
      <c r="HO356" s="468"/>
      <c r="HP356" s="468"/>
      <c r="HQ356" s="468"/>
      <c r="HR356" s="468"/>
      <c r="HS356" s="468"/>
      <c r="HT356" s="468"/>
      <c r="HU356" s="468"/>
      <c r="HV356" s="468"/>
      <c r="HW356" s="468"/>
      <c r="HX356" s="468"/>
      <c r="HY356" s="468"/>
      <c r="HZ356" s="468"/>
      <c r="IA356" s="468"/>
      <c r="IB356" s="468"/>
      <c r="IC356" s="468"/>
      <c r="ID356" s="468"/>
      <c r="IE356" s="468"/>
      <c r="IF356" s="468"/>
      <c r="IG356" s="468"/>
      <c r="IH356" s="468"/>
      <c r="II356" s="468"/>
      <c r="IJ356" s="468"/>
      <c r="IK356" s="468"/>
      <c r="IL356" s="468"/>
      <c r="IM356" s="468"/>
      <c r="IN356" s="468"/>
      <c r="IO356" s="468"/>
      <c r="IP356" s="468"/>
      <c r="IQ356" s="468"/>
      <c r="IR356" s="468"/>
      <c r="IS356" s="468"/>
      <c r="IT356" s="468"/>
      <c r="IU356" s="468"/>
      <c r="IV356" s="468"/>
      <c r="IW356" s="468"/>
      <c r="IX356" s="468"/>
      <c r="IY356" s="468"/>
      <c r="IZ356" s="468"/>
      <c r="JA356" s="468"/>
      <c r="JB356" s="468"/>
      <c r="JC356" s="468"/>
      <c r="JD356" s="468"/>
      <c r="JE356" s="468"/>
      <c r="JF356" s="468"/>
      <c r="JG356" s="468"/>
      <c r="JH356" s="468"/>
      <c r="JI356" s="468"/>
      <c r="JJ356" s="468"/>
      <c r="JK356" s="468"/>
      <c r="JL356" s="468"/>
      <c r="JM356" s="468"/>
      <c r="JN356" s="468"/>
      <c r="JO356" s="468"/>
      <c r="JP356" s="468"/>
      <c r="JQ356" s="468"/>
      <c r="JR356" s="468"/>
      <c r="JS356" s="468"/>
      <c r="JT356" s="468"/>
      <c r="JU356" s="468"/>
      <c r="JV356" s="468"/>
      <c r="JW356" s="468"/>
      <c r="JX356" s="468"/>
      <c r="JY356" s="468"/>
      <c r="JZ356" s="468"/>
      <c r="KA356" s="468"/>
      <c r="KB356" s="468"/>
      <c r="KC356" s="468"/>
      <c r="KD356" s="468"/>
      <c r="KE356" s="468"/>
      <c r="KF356" s="468"/>
      <c r="KG356" s="468"/>
      <c r="KH356" s="468"/>
      <c r="KI356" s="468"/>
      <c r="KJ356" s="468"/>
      <c r="KK356" s="468"/>
      <c r="KL356" s="468"/>
      <c r="KM356" s="468"/>
      <c r="KN356" s="468"/>
      <c r="KO356" s="468"/>
      <c r="KP356" s="468"/>
      <c r="KQ356" s="468"/>
      <c r="KR356" s="468"/>
      <c r="KS356" s="468"/>
      <c r="KT356" s="468"/>
      <c r="KU356" s="468"/>
      <c r="KV356" s="468"/>
    </row>
    <row r="357" spans="1:308" s="344" customFormat="1" ht="15.75" customHeight="1" x14ac:dyDescent="0.8">
      <c r="A357" s="325" t="s">
        <v>384</v>
      </c>
      <c r="B357" s="486">
        <v>9</v>
      </c>
      <c r="C357" s="336"/>
      <c r="F357" s="46" t="s">
        <v>330</v>
      </c>
      <c r="G357" s="46" t="s">
        <v>331</v>
      </c>
      <c r="H357" s="67" t="s">
        <v>303</v>
      </c>
      <c r="I357" s="653">
        <v>0.4</v>
      </c>
      <c r="J357" s="469"/>
      <c r="K357" s="470"/>
      <c r="L357" s="469"/>
      <c r="M357" s="470"/>
      <c r="N357" s="469"/>
      <c r="O357" s="475"/>
      <c r="P357" s="471"/>
      <c r="Q357" s="476"/>
      <c r="R357" s="471"/>
      <c r="S357" s="471"/>
      <c r="T357" s="471"/>
      <c r="U357" s="471"/>
      <c r="V357" s="468"/>
      <c r="W357" s="468"/>
      <c r="X357" s="468"/>
      <c r="Y357" s="468"/>
      <c r="Z357" s="468"/>
      <c r="AA357" s="468"/>
      <c r="AB357" s="468"/>
      <c r="AC357" s="468"/>
      <c r="AD357" s="468"/>
      <c r="AE357" s="468"/>
      <c r="AF357" s="468"/>
      <c r="AG357" s="468"/>
      <c r="AH357" s="468"/>
      <c r="AI357" s="468"/>
      <c r="AJ357" s="468"/>
      <c r="AK357" s="468"/>
      <c r="AL357" s="468"/>
      <c r="AM357" s="468"/>
      <c r="AN357" s="468"/>
      <c r="AO357" s="468"/>
      <c r="AP357" s="468"/>
      <c r="AQ357" s="468"/>
      <c r="AR357" s="468"/>
      <c r="AS357" s="468"/>
      <c r="AT357" s="468"/>
      <c r="AU357" s="468"/>
      <c r="AV357" s="468"/>
      <c r="AW357" s="468"/>
      <c r="AX357" s="468"/>
      <c r="AY357" s="468"/>
      <c r="AZ357" s="468"/>
      <c r="BA357" s="468"/>
      <c r="BB357" s="468"/>
      <c r="BC357" s="468"/>
      <c r="BD357" s="468"/>
      <c r="BE357" s="468"/>
      <c r="BF357" s="468"/>
      <c r="BG357" s="468"/>
      <c r="BH357" s="468"/>
      <c r="BI357" s="468"/>
      <c r="BJ357" s="468"/>
      <c r="BK357" s="468"/>
      <c r="BL357" s="468"/>
      <c r="BM357" s="468"/>
      <c r="BN357" s="468"/>
      <c r="BO357" s="468"/>
      <c r="BP357" s="468"/>
      <c r="BQ357" s="468"/>
      <c r="BR357" s="468"/>
      <c r="BS357" s="468"/>
      <c r="BT357" s="468"/>
      <c r="BU357" s="468"/>
      <c r="BV357" s="468"/>
      <c r="BW357" s="468"/>
      <c r="BX357" s="468"/>
      <c r="BY357" s="468"/>
      <c r="BZ357" s="468"/>
      <c r="CA357" s="468"/>
      <c r="CB357" s="468"/>
      <c r="CC357" s="468"/>
      <c r="CD357" s="468"/>
      <c r="CE357" s="468"/>
      <c r="CF357" s="468"/>
      <c r="CG357" s="468"/>
      <c r="CH357" s="468"/>
      <c r="CI357" s="468"/>
      <c r="CJ357" s="468"/>
      <c r="CK357" s="468"/>
      <c r="CL357" s="468"/>
      <c r="CM357" s="468"/>
      <c r="CN357" s="468"/>
      <c r="CO357" s="468"/>
      <c r="CP357" s="468"/>
      <c r="CQ357" s="468"/>
      <c r="CR357" s="468"/>
      <c r="CS357" s="468"/>
      <c r="CT357" s="468"/>
      <c r="CU357" s="468"/>
      <c r="CV357" s="468"/>
      <c r="CW357" s="468"/>
      <c r="CX357" s="468"/>
      <c r="CY357" s="468"/>
      <c r="CZ357" s="468"/>
      <c r="DA357" s="468"/>
      <c r="DB357" s="468"/>
      <c r="DC357" s="468"/>
      <c r="DD357" s="468"/>
      <c r="DE357" s="468"/>
      <c r="DF357" s="468"/>
      <c r="DG357" s="468"/>
      <c r="DH357" s="468"/>
      <c r="DI357" s="468"/>
      <c r="DJ357" s="468"/>
      <c r="DK357" s="468"/>
      <c r="DL357" s="468"/>
      <c r="DM357" s="468"/>
      <c r="DN357" s="468"/>
      <c r="DO357" s="468"/>
      <c r="DP357" s="468"/>
      <c r="DQ357" s="468"/>
      <c r="DR357" s="468"/>
      <c r="DS357" s="468"/>
      <c r="DT357" s="468"/>
      <c r="DU357" s="468"/>
      <c r="DV357" s="468"/>
      <c r="DW357" s="468"/>
      <c r="DX357" s="468"/>
      <c r="DY357" s="468"/>
      <c r="DZ357" s="468"/>
      <c r="EA357" s="468"/>
      <c r="EB357" s="468"/>
      <c r="EC357" s="468"/>
      <c r="ED357" s="468"/>
      <c r="EE357" s="468"/>
      <c r="EF357" s="468"/>
      <c r="EG357" s="468"/>
      <c r="EH357" s="468"/>
      <c r="EI357" s="468"/>
      <c r="EJ357" s="468"/>
      <c r="EK357" s="468"/>
      <c r="EL357" s="468"/>
      <c r="EM357" s="468"/>
      <c r="EN357" s="468"/>
      <c r="EO357" s="468"/>
      <c r="EP357" s="468"/>
      <c r="EQ357" s="468"/>
      <c r="ER357" s="468"/>
      <c r="ES357" s="468"/>
      <c r="ET357" s="468"/>
      <c r="EU357" s="468"/>
      <c r="EV357" s="468"/>
      <c r="EW357" s="468"/>
      <c r="EX357" s="468"/>
      <c r="EY357" s="468"/>
      <c r="EZ357" s="468"/>
      <c r="FA357" s="468"/>
      <c r="FB357" s="468"/>
      <c r="FC357" s="468"/>
      <c r="FD357" s="468"/>
      <c r="FE357" s="468"/>
      <c r="FF357" s="468"/>
      <c r="FG357" s="468"/>
      <c r="FH357" s="468"/>
      <c r="FI357" s="468"/>
      <c r="FJ357" s="468"/>
      <c r="FK357" s="468"/>
      <c r="FL357" s="468"/>
      <c r="FM357" s="468"/>
      <c r="FN357" s="468"/>
      <c r="FO357" s="468"/>
      <c r="FP357" s="468"/>
      <c r="FQ357" s="468"/>
      <c r="FR357" s="468"/>
      <c r="FS357" s="468"/>
      <c r="FT357" s="468"/>
      <c r="FU357" s="468"/>
      <c r="FV357" s="468"/>
      <c r="FW357" s="468"/>
      <c r="FX357" s="468"/>
      <c r="FY357" s="468"/>
      <c r="FZ357" s="468"/>
      <c r="GA357" s="468"/>
      <c r="GB357" s="468"/>
      <c r="GC357" s="468"/>
      <c r="GD357" s="468"/>
      <c r="GE357" s="468"/>
      <c r="GF357" s="468"/>
      <c r="GG357" s="468"/>
      <c r="GH357" s="468"/>
      <c r="GI357" s="468"/>
      <c r="GJ357" s="468"/>
      <c r="GK357" s="468"/>
      <c r="GL357" s="468"/>
      <c r="GM357" s="468"/>
      <c r="GN357" s="468"/>
      <c r="GO357" s="468"/>
      <c r="GP357" s="468"/>
      <c r="GQ357" s="468"/>
      <c r="GR357" s="468"/>
      <c r="GS357" s="468"/>
      <c r="GT357" s="468"/>
      <c r="GU357" s="468"/>
      <c r="GV357" s="468"/>
      <c r="GW357" s="468"/>
      <c r="GX357" s="468"/>
      <c r="GY357" s="468"/>
      <c r="GZ357" s="468"/>
      <c r="HA357" s="468"/>
      <c r="HB357" s="468"/>
      <c r="HC357" s="468"/>
      <c r="HD357" s="468"/>
      <c r="HE357" s="468"/>
      <c r="HF357" s="468"/>
      <c r="HG357" s="468"/>
      <c r="HH357" s="468"/>
      <c r="HI357" s="468"/>
      <c r="HJ357" s="468"/>
      <c r="HK357" s="468"/>
      <c r="HL357" s="468"/>
      <c r="HM357" s="468"/>
      <c r="HN357" s="468"/>
      <c r="HO357" s="468"/>
      <c r="HP357" s="468"/>
      <c r="HQ357" s="468"/>
      <c r="HR357" s="468"/>
      <c r="HS357" s="468"/>
      <c r="HT357" s="468"/>
      <c r="HU357" s="468"/>
      <c r="HV357" s="468"/>
      <c r="HW357" s="468"/>
      <c r="HX357" s="468"/>
      <c r="HY357" s="468"/>
      <c r="HZ357" s="468"/>
      <c r="IA357" s="468"/>
      <c r="IB357" s="468"/>
      <c r="IC357" s="468"/>
      <c r="ID357" s="468"/>
      <c r="IE357" s="468"/>
      <c r="IF357" s="468"/>
      <c r="IG357" s="468"/>
      <c r="IH357" s="468"/>
      <c r="II357" s="468"/>
      <c r="IJ357" s="468"/>
      <c r="IK357" s="468"/>
      <c r="IL357" s="468"/>
      <c r="IM357" s="468"/>
      <c r="IN357" s="468"/>
      <c r="IO357" s="468"/>
      <c r="IP357" s="468"/>
      <c r="IQ357" s="468"/>
      <c r="IR357" s="468"/>
      <c r="IS357" s="468"/>
      <c r="IT357" s="468"/>
      <c r="IU357" s="468"/>
      <c r="IV357" s="468"/>
      <c r="IW357" s="468"/>
      <c r="IX357" s="468"/>
      <c r="IY357" s="468"/>
      <c r="IZ357" s="468"/>
      <c r="JA357" s="468"/>
      <c r="JB357" s="468"/>
      <c r="JC357" s="468"/>
      <c r="JD357" s="468"/>
      <c r="JE357" s="468"/>
      <c r="JF357" s="468"/>
      <c r="JG357" s="468"/>
      <c r="JH357" s="468"/>
      <c r="JI357" s="468"/>
      <c r="JJ357" s="468"/>
      <c r="JK357" s="468"/>
      <c r="JL357" s="468"/>
      <c r="JM357" s="468"/>
      <c r="JN357" s="468"/>
      <c r="JO357" s="468"/>
      <c r="JP357" s="468"/>
      <c r="JQ357" s="468"/>
      <c r="JR357" s="468"/>
      <c r="JS357" s="468"/>
      <c r="JT357" s="468"/>
      <c r="JU357" s="468"/>
      <c r="JV357" s="468"/>
      <c r="JW357" s="468"/>
      <c r="JX357" s="468"/>
      <c r="JY357" s="468"/>
      <c r="JZ357" s="468"/>
      <c r="KA357" s="468"/>
      <c r="KB357" s="468"/>
      <c r="KC357" s="468"/>
      <c r="KD357" s="468"/>
      <c r="KE357" s="468"/>
      <c r="KF357" s="468"/>
      <c r="KG357" s="468"/>
      <c r="KH357" s="468"/>
      <c r="KI357" s="468"/>
      <c r="KJ357" s="468"/>
      <c r="KK357" s="468"/>
      <c r="KL357" s="468"/>
      <c r="KM357" s="468"/>
      <c r="KN357" s="468"/>
      <c r="KO357" s="468"/>
      <c r="KP357" s="468"/>
      <c r="KQ357" s="468"/>
      <c r="KR357" s="468"/>
      <c r="KS357" s="468"/>
      <c r="KT357" s="468"/>
      <c r="KU357" s="468"/>
      <c r="KV357" s="468"/>
    </row>
    <row r="358" spans="1:308" s="344" customFormat="1" ht="15.75" customHeight="1" x14ac:dyDescent="0.8">
      <c r="A358" s="325" t="s">
        <v>384</v>
      </c>
      <c r="B358" s="486">
        <v>6.5</v>
      </c>
      <c r="C358" s="336"/>
      <c r="F358" s="46" t="s">
        <v>332</v>
      </c>
      <c r="G358" s="46" t="s">
        <v>331</v>
      </c>
      <c r="H358" s="67" t="s">
        <v>303</v>
      </c>
      <c r="I358" s="653">
        <v>-0.1</v>
      </c>
      <c r="J358" s="469"/>
      <c r="K358" s="470"/>
      <c r="L358" s="469"/>
      <c r="M358" s="470"/>
      <c r="N358" s="469"/>
      <c r="O358" s="475"/>
      <c r="P358" s="471"/>
      <c r="Q358" s="476"/>
      <c r="R358" s="471"/>
      <c r="S358" s="471"/>
      <c r="T358" s="471"/>
      <c r="U358" s="471"/>
      <c r="V358" s="468"/>
      <c r="W358" s="468"/>
      <c r="X358" s="468"/>
      <c r="Y358" s="468"/>
      <c r="Z358" s="468"/>
      <c r="AA358" s="468"/>
      <c r="AB358" s="468"/>
      <c r="AC358" s="468"/>
      <c r="AD358" s="468"/>
      <c r="AE358" s="468"/>
      <c r="AF358" s="468"/>
      <c r="AG358" s="468"/>
      <c r="AH358" s="468"/>
      <c r="AI358" s="468"/>
      <c r="AJ358" s="468"/>
      <c r="AK358" s="468"/>
      <c r="AL358" s="468"/>
      <c r="AM358" s="468"/>
      <c r="AN358" s="468"/>
      <c r="AO358" s="468"/>
      <c r="AP358" s="468"/>
      <c r="AQ358" s="468"/>
      <c r="AR358" s="468"/>
      <c r="AS358" s="468"/>
      <c r="AT358" s="468"/>
      <c r="AU358" s="468"/>
      <c r="AV358" s="468"/>
      <c r="AW358" s="468"/>
      <c r="AX358" s="468"/>
      <c r="AY358" s="468"/>
      <c r="AZ358" s="468"/>
      <c r="BA358" s="468"/>
      <c r="BB358" s="468"/>
      <c r="BC358" s="468"/>
      <c r="BD358" s="468"/>
      <c r="BE358" s="468"/>
      <c r="BF358" s="468"/>
      <c r="BG358" s="468"/>
      <c r="BH358" s="468"/>
      <c r="BI358" s="468"/>
      <c r="BJ358" s="468"/>
      <c r="BK358" s="468"/>
      <c r="BL358" s="468"/>
      <c r="BM358" s="468"/>
      <c r="BN358" s="468"/>
      <c r="BO358" s="468"/>
      <c r="BP358" s="468"/>
      <c r="BQ358" s="468"/>
      <c r="BR358" s="468"/>
      <c r="BS358" s="468"/>
      <c r="BT358" s="468"/>
      <c r="BU358" s="468"/>
      <c r="BV358" s="468"/>
      <c r="BW358" s="468"/>
      <c r="BX358" s="468"/>
      <c r="BY358" s="468"/>
      <c r="BZ358" s="468"/>
      <c r="CA358" s="468"/>
      <c r="CB358" s="468"/>
      <c r="CC358" s="468"/>
      <c r="CD358" s="468"/>
      <c r="CE358" s="468"/>
      <c r="CF358" s="468"/>
      <c r="CG358" s="468"/>
      <c r="CH358" s="468"/>
      <c r="CI358" s="468"/>
      <c r="CJ358" s="468"/>
      <c r="CK358" s="468"/>
      <c r="CL358" s="468"/>
      <c r="CM358" s="468"/>
      <c r="CN358" s="468"/>
      <c r="CO358" s="468"/>
      <c r="CP358" s="468"/>
      <c r="CQ358" s="468"/>
      <c r="CR358" s="468"/>
      <c r="CS358" s="468"/>
      <c r="CT358" s="468"/>
      <c r="CU358" s="468"/>
      <c r="CV358" s="468"/>
      <c r="CW358" s="468"/>
      <c r="CX358" s="468"/>
      <c r="CY358" s="468"/>
      <c r="CZ358" s="468"/>
      <c r="DA358" s="468"/>
      <c r="DB358" s="468"/>
      <c r="DC358" s="468"/>
      <c r="DD358" s="468"/>
      <c r="DE358" s="468"/>
      <c r="DF358" s="468"/>
      <c r="DG358" s="468"/>
      <c r="DH358" s="468"/>
      <c r="DI358" s="468"/>
      <c r="DJ358" s="468"/>
      <c r="DK358" s="468"/>
      <c r="DL358" s="468"/>
      <c r="DM358" s="468"/>
      <c r="DN358" s="468"/>
      <c r="DO358" s="468"/>
      <c r="DP358" s="468"/>
      <c r="DQ358" s="468"/>
      <c r="DR358" s="468"/>
      <c r="DS358" s="468"/>
      <c r="DT358" s="468"/>
      <c r="DU358" s="468"/>
      <c r="DV358" s="468"/>
      <c r="DW358" s="468"/>
      <c r="DX358" s="468"/>
      <c r="DY358" s="468"/>
      <c r="DZ358" s="468"/>
      <c r="EA358" s="468"/>
      <c r="EB358" s="468"/>
      <c r="EC358" s="468"/>
      <c r="ED358" s="468"/>
      <c r="EE358" s="468"/>
      <c r="EF358" s="468"/>
      <c r="EG358" s="468"/>
      <c r="EH358" s="468"/>
      <c r="EI358" s="468"/>
      <c r="EJ358" s="468"/>
      <c r="EK358" s="468"/>
      <c r="EL358" s="468"/>
      <c r="EM358" s="468"/>
      <c r="EN358" s="468"/>
      <c r="EO358" s="468"/>
      <c r="EP358" s="468"/>
      <c r="EQ358" s="468"/>
      <c r="ER358" s="468"/>
      <c r="ES358" s="468"/>
      <c r="ET358" s="468"/>
      <c r="EU358" s="468"/>
      <c r="EV358" s="468"/>
      <c r="EW358" s="468"/>
      <c r="EX358" s="468"/>
      <c r="EY358" s="468"/>
      <c r="EZ358" s="468"/>
      <c r="FA358" s="468"/>
      <c r="FB358" s="468"/>
      <c r="FC358" s="468"/>
      <c r="FD358" s="468"/>
      <c r="FE358" s="468"/>
      <c r="FF358" s="468"/>
      <c r="FG358" s="468"/>
      <c r="FH358" s="468"/>
      <c r="FI358" s="468"/>
      <c r="FJ358" s="468"/>
      <c r="FK358" s="468"/>
      <c r="FL358" s="468"/>
      <c r="FM358" s="468"/>
      <c r="FN358" s="468"/>
      <c r="FO358" s="468"/>
      <c r="FP358" s="468"/>
      <c r="FQ358" s="468"/>
      <c r="FR358" s="468"/>
      <c r="FS358" s="468"/>
      <c r="FT358" s="468"/>
      <c r="FU358" s="468"/>
      <c r="FV358" s="468"/>
      <c r="FW358" s="468"/>
      <c r="FX358" s="468"/>
      <c r="FY358" s="468"/>
      <c r="FZ358" s="468"/>
      <c r="GA358" s="468"/>
      <c r="GB358" s="468"/>
      <c r="GC358" s="468"/>
      <c r="GD358" s="468"/>
      <c r="GE358" s="468"/>
      <c r="GF358" s="468"/>
      <c r="GG358" s="468"/>
      <c r="GH358" s="468"/>
      <c r="GI358" s="468"/>
      <c r="GJ358" s="468"/>
      <c r="GK358" s="468"/>
      <c r="GL358" s="468"/>
      <c r="GM358" s="468"/>
      <c r="GN358" s="468"/>
      <c r="GO358" s="468"/>
      <c r="GP358" s="468"/>
      <c r="GQ358" s="468"/>
      <c r="GR358" s="468"/>
      <c r="GS358" s="468"/>
      <c r="GT358" s="468"/>
      <c r="GU358" s="468"/>
      <c r="GV358" s="468"/>
      <c r="GW358" s="468"/>
      <c r="GX358" s="468"/>
      <c r="GY358" s="468"/>
      <c r="GZ358" s="468"/>
      <c r="HA358" s="468"/>
      <c r="HB358" s="468"/>
      <c r="HC358" s="468"/>
      <c r="HD358" s="468"/>
      <c r="HE358" s="468"/>
      <c r="HF358" s="468"/>
      <c r="HG358" s="468"/>
      <c r="HH358" s="468"/>
      <c r="HI358" s="468"/>
      <c r="HJ358" s="468"/>
      <c r="HK358" s="468"/>
      <c r="HL358" s="468"/>
      <c r="HM358" s="468"/>
      <c r="HN358" s="468"/>
      <c r="HO358" s="468"/>
      <c r="HP358" s="468"/>
      <c r="HQ358" s="468"/>
      <c r="HR358" s="468"/>
      <c r="HS358" s="468"/>
      <c r="HT358" s="468"/>
      <c r="HU358" s="468"/>
      <c r="HV358" s="468"/>
      <c r="HW358" s="468"/>
      <c r="HX358" s="468"/>
      <c r="HY358" s="468"/>
      <c r="HZ358" s="468"/>
      <c r="IA358" s="468"/>
      <c r="IB358" s="468"/>
      <c r="IC358" s="468"/>
      <c r="ID358" s="468"/>
      <c r="IE358" s="468"/>
      <c r="IF358" s="468"/>
      <c r="IG358" s="468"/>
      <c r="IH358" s="468"/>
      <c r="II358" s="468"/>
      <c r="IJ358" s="468"/>
      <c r="IK358" s="468"/>
      <c r="IL358" s="468"/>
      <c r="IM358" s="468"/>
      <c r="IN358" s="468"/>
      <c r="IO358" s="468"/>
      <c r="IP358" s="468"/>
      <c r="IQ358" s="468"/>
      <c r="IR358" s="468"/>
      <c r="IS358" s="468"/>
      <c r="IT358" s="468"/>
      <c r="IU358" s="468"/>
      <c r="IV358" s="468"/>
      <c r="IW358" s="468"/>
      <c r="IX358" s="468"/>
      <c r="IY358" s="468"/>
      <c r="IZ358" s="468"/>
      <c r="JA358" s="468"/>
      <c r="JB358" s="468"/>
      <c r="JC358" s="468"/>
      <c r="JD358" s="468"/>
      <c r="JE358" s="468"/>
      <c r="JF358" s="468"/>
      <c r="JG358" s="468"/>
      <c r="JH358" s="468"/>
      <c r="JI358" s="468"/>
      <c r="JJ358" s="468"/>
      <c r="JK358" s="468"/>
      <c r="JL358" s="468"/>
      <c r="JM358" s="468"/>
      <c r="JN358" s="468"/>
      <c r="JO358" s="468"/>
      <c r="JP358" s="468"/>
      <c r="JQ358" s="468"/>
      <c r="JR358" s="468"/>
      <c r="JS358" s="468"/>
      <c r="JT358" s="468"/>
      <c r="JU358" s="468"/>
      <c r="JV358" s="468"/>
      <c r="JW358" s="468"/>
      <c r="JX358" s="468"/>
      <c r="JY358" s="468"/>
      <c r="JZ358" s="468"/>
      <c r="KA358" s="468"/>
      <c r="KB358" s="468"/>
      <c r="KC358" s="468"/>
      <c r="KD358" s="468"/>
      <c r="KE358" s="468"/>
      <c r="KF358" s="468"/>
      <c r="KG358" s="468"/>
      <c r="KH358" s="468"/>
      <c r="KI358" s="468"/>
      <c r="KJ358" s="468"/>
      <c r="KK358" s="468"/>
      <c r="KL358" s="468"/>
      <c r="KM358" s="468"/>
      <c r="KN358" s="468"/>
      <c r="KO358" s="468"/>
      <c r="KP358" s="468"/>
      <c r="KQ358" s="468"/>
      <c r="KR358" s="468"/>
      <c r="KS358" s="468"/>
      <c r="KT358" s="468"/>
      <c r="KU358" s="468"/>
      <c r="KV358" s="468"/>
    </row>
    <row r="359" spans="1:308" s="344" customFormat="1" ht="15.75" customHeight="1" x14ac:dyDescent="0.8">
      <c r="A359" s="325" t="s">
        <v>384</v>
      </c>
      <c r="B359" s="486">
        <v>10.5</v>
      </c>
      <c r="C359" s="336"/>
      <c r="F359" s="127" t="s">
        <v>337</v>
      </c>
      <c r="G359" s="46" t="s">
        <v>338</v>
      </c>
      <c r="H359" s="67" t="s">
        <v>303</v>
      </c>
      <c r="I359" s="653">
        <v>3.4</v>
      </c>
      <c r="J359" s="469"/>
      <c r="K359" s="470"/>
      <c r="L359" s="469"/>
      <c r="M359" s="470"/>
      <c r="N359" s="469"/>
      <c r="O359" s="475"/>
      <c r="P359" s="471"/>
      <c r="Q359" s="476"/>
      <c r="R359" s="471"/>
      <c r="S359" s="471"/>
      <c r="T359" s="471"/>
      <c r="U359" s="471"/>
      <c r="V359" s="468"/>
      <c r="W359" s="468"/>
      <c r="X359" s="468"/>
      <c r="Y359" s="468"/>
      <c r="Z359" s="468"/>
      <c r="AA359" s="468"/>
      <c r="AB359" s="468"/>
      <c r="AC359" s="468"/>
      <c r="AD359" s="468"/>
      <c r="AE359" s="468"/>
      <c r="AF359" s="468"/>
      <c r="AG359" s="468"/>
      <c r="AH359" s="468"/>
      <c r="AI359" s="468"/>
      <c r="AJ359" s="468"/>
      <c r="AK359" s="468"/>
      <c r="AL359" s="468"/>
      <c r="AM359" s="468"/>
      <c r="AN359" s="468"/>
      <c r="AO359" s="468"/>
      <c r="AP359" s="468"/>
      <c r="AQ359" s="468"/>
      <c r="AR359" s="468"/>
      <c r="AS359" s="468"/>
      <c r="AT359" s="468"/>
      <c r="AU359" s="468"/>
      <c r="AV359" s="468"/>
      <c r="AW359" s="468"/>
      <c r="AX359" s="468"/>
      <c r="AY359" s="468"/>
      <c r="AZ359" s="468"/>
      <c r="BA359" s="468"/>
      <c r="BB359" s="468"/>
      <c r="BC359" s="468"/>
      <c r="BD359" s="468"/>
      <c r="BE359" s="468"/>
      <c r="BF359" s="468"/>
      <c r="BG359" s="468"/>
      <c r="BH359" s="468"/>
      <c r="BI359" s="468"/>
      <c r="BJ359" s="468"/>
      <c r="BK359" s="468"/>
      <c r="BL359" s="468"/>
      <c r="BM359" s="468"/>
      <c r="BN359" s="468"/>
      <c r="BO359" s="468"/>
      <c r="BP359" s="468"/>
      <c r="BQ359" s="468"/>
      <c r="BR359" s="468"/>
      <c r="BS359" s="468"/>
      <c r="BT359" s="468"/>
      <c r="BU359" s="468"/>
      <c r="BV359" s="468"/>
      <c r="BW359" s="468"/>
      <c r="BX359" s="468"/>
      <c r="BY359" s="468"/>
      <c r="BZ359" s="468"/>
      <c r="CA359" s="468"/>
      <c r="CB359" s="468"/>
      <c r="CC359" s="468"/>
      <c r="CD359" s="468"/>
      <c r="CE359" s="468"/>
      <c r="CF359" s="468"/>
      <c r="CG359" s="468"/>
      <c r="CH359" s="468"/>
      <c r="CI359" s="468"/>
      <c r="CJ359" s="468"/>
      <c r="CK359" s="468"/>
      <c r="CL359" s="468"/>
      <c r="CM359" s="468"/>
      <c r="CN359" s="468"/>
      <c r="CO359" s="468"/>
      <c r="CP359" s="468"/>
      <c r="CQ359" s="468"/>
      <c r="CR359" s="468"/>
      <c r="CS359" s="468"/>
      <c r="CT359" s="468"/>
      <c r="CU359" s="468"/>
      <c r="CV359" s="468"/>
      <c r="CW359" s="468"/>
      <c r="CX359" s="468"/>
      <c r="CY359" s="468"/>
      <c r="CZ359" s="468"/>
      <c r="DA359" s="468"/>
      <c r="DB359" s="468"/>
      <c r="DC359" s="468"/>
      <c r="DD359" s="468"/>
      <c r="DE359" s="468"/>
      <c r="DF359" s="468"/>
      <c r="DG359" s="468"/>
      <c r="DH359" s="468"/>
      <c r="DI359" s="468"/>
      <c r="DJ359" s="468"/>
      <c r="DK359" s="468"/>
      <c r="DL359" s="468"/>
      <c r="DM359" s="468"/>
      <c r="DN359" s="468"/>
      <c r="DO359" s="468"/>
      <c r="DP359" s="468"/>
      <c r="DQ359" s="468"/>
      <c r="DR359" s="468"/>
      <c r="DS359" s="468"/>
      <c r="DT359" s="468"/>
      <c r="DU359" s="468"/>
      <c r="DV359" s="468"/>
      <c r="DW359" s="468"/>
      <c r="DX359" s="468"/>
      <c r="DY359" s="468"/>
      <c r="DZ359" s="468"/>
      <c r="EA359" s="468"/>
      <c r="EB359" s="468"/>
      <c r="EC359" s="468"/>
      <c r="ED359" s="468"/>
      <c r="EE359" s="468"/>
      <c r="EF359" s="468"/>
      <c r="EG359" s="468"/>
      <c r="EH359" s="468"/>
      <c r="EI359" s="468"/>
      <c r="EJ359" s="468"/>
      <c r="EK359" s="468"/>
      <c r="EL359" s="468"/>
      <c r="EM359" s="468"/>
      <c r="EN359" s="468"/>
      <c r="EO359" s="468"/>
      <c r="EP359" s="468"/>
      <c r="EQ359" s="468"/>
      <c r="ER359" s="468"/>
      <c r="ES359" s="468"/>
      <c r="ET359" s="468"/>
      <c r="EU359" s="468"/>
      <c r="EV359" s="468"/>
      <c r="EW359" s="468"/>
      <c r="EX359" s="468"/>
      <c r="EY359" s="468"/>
      <c r="EZ359" s="468"/>
      <c r="FA359" s="468"/>
      <c r="FB359" s="468"/>
      <c r="FC359" s="468"/>
      <c r="FD359" s="468"/>
      <c r="FE359" s="468"/>
      <c r="FF359" s="468"/>
      <c r="FG359" s="468"/>
      <c r="FH359" s="468"/>
      <c r="FI359" s="468"/>
      <c r="FJ359" s="468"/>
      <c r="FK359" s="468"/>
      <c r="FL359" s="468"/>
      <c r="FM359" s="468"/>
      <c r="FN359" s="468"/>
      <c r="FO359" s="468"/>
      <c r="FP359" s="468"/>
      <c r="FQ359" s="468"/>
      <c r="FR359" s="468"/>
      <c r="FS359" s="468"/>
      <c r="FT359" s="468"/>
      <c r="FU359" s="468"/>
      <c r="FV359" s="468"/>
      <c r="FW359" s="468"/>
      <c r="FX359" s="468"/>
      <c r="FY359" s="468"/>
      <c r="FZ359" s="468"/>
      <c r="GA359" s="468"/>
      <c r="GB359" s="468"/>
      <c r="GC359" s="468"/>
      <c r="GD359" s="468"/>
      <c r="GE359" s="468"/>
      <c r="GF359" s="468"/>
      <c r="GG359" s="468"/>
      <c r="GH359" s="468"/>
      <c r="GI359" s="468"/>
      <c r="GJ359" s="468"/>
      <c r="GK359" s="468"/>
      <c r="GL359" s="468"/>
      <c r="GM359" s="468"/>
      <c r="GN359" s="468"/>
      <c r="GO359" s="468"/>
      <c r="GP359" s="468"/>
      <c r="GQ359" s="468"/>
      <c r="GR359" s="468"/>
      <c r="GS359" s="468"/>
      <c r="GT359" s="468"/>
      <c r="GU359" s="468"/>
      <c r="GV359" s="468"/>
      <c r="GW359" s="468"/>
      <c r="GX359" s="468"/>
      <c r="GY359" s="468"/>
      <c r="GZ359" s="468"/>
      <c r="HA359" s="468"/>
      <c r="HB359" s="468"/>
      <c r="HC359" s="468"/>
      <c r="HD359" s="468"/>
      <c r="HE359" s="468"/>
      <c r="HF359" s="468"/>
      <c r="HG359" s="468"/>
      <c r="HH359" s="468"/>
      <c r="HI359" s="468"/>
      <c r="HJ359" s="468"/>
      <c r="HK359" s="468"/>
      <c r="HL359" s="468"/>
      <c r="HM359" s="468"/>
      <c r="HN359" s="468"/>
      <c r="HO359" s="468"/>
      <c r="HP359" s="468"/>
      <c r="HQ359" s="468"/>
      <c r="HR359" s="468"/>
      <c r="HS359" s="468"/>
      <c r="HT359" s="468"/>
      <c r="HU359" s="468"/>
      <c r="HV359" s="468"/>
      <c r="HW359" s="468"/>
      <c r="HX359" s="468"/>
      <c r="HY359" s="468"/>
      <c r="HZ359" s="468"/>
      <c r="IA359" s="468"/>
      <c r="IB359" s="468"/>
      <c r="IC359" s="468"/>
      <c r="ID359" s="468"/>
      <c r="IE359" s="468"/>
      <c r="IF359" s="468"/>
      <c r="IG359" s="468"/>
      <c r="IH359" s="468"/>
      <c r="II359" s="468"/>
      <c r="IJ359" s="468"/>
      <c r="IK359" s="468"/>
      <c r="IL359" s="468"/>
      <c r="IM359" s="468"/>
      <c r="IN359" s="468"/>
      <c r="IO359" s="468"/>
      <c r="IP359" s="468"/>
      <c r="IQ359" s="468"/>
      <c r="IR359" s="468"/>
      <c r="IS359" s="468"/>
      <c r="IT359" s="468"/>
      <c r="IU359" s="468"/>
      <c r="IV359" s="468"/>
      <c r="IW359" s="468"/>
      <c r="IX359" s="468"/>
      <c r="IY359" s="468"/>
      <c r="IZ359" s="468"/>
      <c r="JA359" s="468"/>
      <c r="JB359" s="468"/>
      <c r="JC359" s="468"/>
      <c r="JD359" s="468"/>
      <c r="JE359" s="468"/>
      <c r="JF359" s="468"/>
      <c r="JG359" s="468"/>
      <c r="JH359" s="468"/>
      <c r="JI359" s="468"/>
      <c r="JJ359" s="468"/>
      <c r="JK359" s="468"/>
      <c r="JL359" s="468"/>
      <c r="JM359" s="468"/>
      <c r="JN359" s="468"/>
      <c r="JO359" s="468"/>
      <c r="JP359" s="468"/>
      <c r="JQ359" s="468"/>
      <c r="JR359" s="468"/>
      <c r="JS359" s="468"/>
      <c r="JT359" s="468"/>
      <c r="JU359" s="468"/>
      <c r="JV359" s="468"/>
      <c r="JW359" s="468"/>
      <c r="JX359" s="468"/>
      <c r="JY359" s="468"/>
      <c r="JZ359" s="468"/>
      <c r="KA359" s="468"/>
      <c r="KB359" s="468"/>
      <c r="KC359" s="468"/>
      <c r="KD359" s="468"/>
      <c r="KE359" s="468"/>
      <c r="KF359" s="468"/>
      <c r="KG359" s="468"/>
      <c r="KH359" s="468"/>
      <c r="KI359" s="468"/>
      <c r="KJ359" s="468"/>
      <c r="KK359" s="468"/>
      <c r="KL359" s="468"/>
      <c r="KM359" s="468"/>
      <c r="KN359" s="468"/>
      <c r="KO359" s="468"/>
      <c r="KP359" s="468"/>
      <c r="KQ359" s="468"/>
      <c r="KR359" s="468"/>
      <c r="KS359" s="468"/>
      <c r="KT359" s="468"/>
      <c r="KU359" s="468"/>
      <c r="KV359" s="468"/>
    </row>
    <row r="360" spans="1:308" s="344" customFormat="1" ht="15.75" customHeight="1" x14ac:dyDescent="0.8">
      <c r="A360" s="325" t="s">
        <v>384</v>
      </c>
      <c r="B360" s="486">
        <v>6.5</v>
      </c>
      <c r="C360" s="336"/>
      <c r="F360" s="361" t="s">
        <v>55</v>
      </c>
      <c r="G360" s="46" t="s">
        <v>338</v>
      </c>
      <c r="H360" s="67" t="s">
        <v>303</v>
      </c>
      <c r="I360" s="653">
        <v>4.8</v>
      </c>
      <c r="J360" s="469"/>
      <c r="K360" s="470"/>
      <c r="L360" s="469"/>
      <c r="M360" s="470"/>
      <c r="N360" s="469"/>
      <c r="O360" s="475"/>
      <c r="P360" s="471"/>
      <c r="Q360" s="476"/>
      <c r="R360" s="471"/>
      <c r="S360" s="471"/>
      <c r="T360" s="471"/>
      <c r="U360" s="471"/>
      <c r="V360" s="468"/>
      <c r="W360" s="468"/>
      <c r="X360" s="468"/>
      <c r="Y360" s="468"/>
      <c r="Z360" s="468"/>
      <c r="AA360" s="468"/>
      <c r="AB360" s="468"/>
      <c r="AC360" s="468"/>
      <c r="AD360" s="468"/>
      <c r="AE360" s="468"/>
      <c r="AF360" s="468"/>
      <c r="AG360" s="468"/>
      <c r="AH360" s="468"/>
      <c r="AI360" s="468"/>
      <c r="AJ360" s="468"/>
      <c r="AK360" s="468"/>
      <c r="AL360" s="468"/>
      <c r="AM360" s="468"/>
      <c r="AN360" s="468"/>
      <c r="AO360" s="468"/>
      <c r="AP360" s="468"/>
      <c r="AQ360" s="468"/>
      <c r="AR360" s="468"/>
      <c r="AS360" s="468"/>
      <c r="AT360" s="468"/>
      <c r="AU360" s="468"/>
      <c r="AV360" s="468"/>
      <c r="AW360" s="468"/>
      <c r="AX360" s="468"/>
      <c r="AY360" s="468"/>
      <c r="AZ360" s="468"/>
      <c r="BA360" s="468"/>
      <c r="BB360" s="468"/>
      <c r="BC360" s="468"/>
      <c r="BD360" s="468"/>
      <c r="BE360" s="468"/>
      <c r="BF360" s="468"/>
      <c r="BG360" s="468"/>
      <c r="BH360" s="468"/>
      <c r="BI360" s="468"/>
      <c r="BJ360" s="468"/>
      <c r="BK360" s="468"/>
      <c r="BL360" s="468"/>
      <c r="BM360" s="468"/>
      <c r="BN360" s="468"/>
      <c r="BO360" s="468"/>
      <c r="BP360" s="468"/>
      <c r="BQ360" s="468"/>
      <c r="BR360" s="468"/>
      <c r="BS360" s="468"/>
      <c r="BT360" s="468"/>
      <c r="BU360" s="468"/>
      <c r="BV360" s="468"/>
      <c r="BW360" s="468"/>
      <c r="BX360" s="468"/>
      <c r="BY360" s="468"/>
      <c r="BZ360" s="468"/>
      <c r="CA360" s="468"/>
      <c r="CB360" s="468"/>
      <c r="CC360" s="468"/>
      <c r="CD360" s="468"/>
      <c r="CE360" s="468"/>
      <c r="CF360" s="468"/>
      <c r="CG360" s="468"/>
      <c r="CH360" s="468"/>
      <c r="CI360" s="468"/>
      <c r="CJ360" s="468"/>
      <c r="CK360" s="468"/>
      <c r="CL360" s="468"/>
      <c r="CM360" s="468"/>
      <c r="CN360" s="468"/>
      <c r="CO360" s="468"/>
      <c r="CP360" s="468"/>
      <c r="CQ360" s="468"/>
      <c r="CR360" s="468"/>
      <c r="CS360" s="468"/>
      <c r="CT360" s="468"/>
      <c r="CU360" s="468"/>
      <c r="CV360" s="468"/>
      <c r="CW360" s="468"/>
      <c r="CX360" s="468"/>
      <c r="CY360" s="468"/>
      <c r="CZ360" s="468"/>
      <c r="DA360" s="468"/>
      <c r="DB360" s="468"/>
      <c r="DC360" s="468"/>
      <c r="DD360" s="468"/>
      <c r="DE360" s="468"/>
      <c r="DF360" s="468"/>
      <c r="DG360" s="468"/>
      <c r="DH360" s="468"/>
      <c r="DI360" s="468"/>
      <c r="DJ360" s="468"/>
      <c r="DK360" s="468"/>
      <c r="DL360" s="468"/>
      <c r="DM360" s="468"/>
      <c r="DN360" s="468"/>
      <c r="DO360" s="468"/>
      <c r="DP360" s="468"/>
      <c r="DQ360" s="468"/>
      <c r="DR360" s="468"/>
      <c r="DS360" s="468"/>
      <c r="DT360" s="468"/>
      <c r="DU360" s="468"/>
      <c r="DV360" s="468"/>
      <c r="DW360" s="468"/>
      <c r="DX360" s="468"/>
      <c r="DY360" s="468"/>
      <c r="DZ360" s="468"/>
      <c r="EA360" s="468"/>
      <c r="EB360" s="468"/>
      <c r="EC360" s="468"/>
      <c r="ED360" s="468"/>
      <c r="EE360" s="468"/>
      <c r="EF360" s="468"/>
      <c r="EG360" s="468"/>
      <c r="EH360" s="468"/>
      <c r="EI360" s="468"/>
      <c r="EJ360" s="468"/>
      <c r="EK360" s="468"/>
      <c r="EL360" s="468"/>
      <c r="EM360" s="468"/>
      <c r="EN360" s="468"/>
      <c r="EO360" s="468"/>
      <c r="EP360" s="468"/>
      <c r="EQ360" s="468"/>
      <c r="ER360" s="468"/>
      <c r="ES360" s="468"/>
      <c r="ET360" s="468"/>
      <c r="EU360" s="468"/>
      <c r="EV360" s="468"/>
      <c r="EW360" s="468"/>
      <c r="EX360" s="468"/>
      <c r="EY360" s="468"/>
      <c r="EZ360" s="468"/>
      <c r="FA360" s="468"/>
      <c r="FB360" s="468"/>
      <c r="FC360" s="468"/>
      <c r="FD360" s="468"/>
      <c r="FE360" s="468"/>
      <c r="FF360" s="468"/>
      <c r="FG360" s="468"/>
      <c r="FH360" s="468"/>
      <c r="FI360" s="468"/>
      <c r="FJ360" s="468"/>
      <c r="FK360" s="468"/>
      <c r="FL360" s="468"/>
      <c r="FM360" s="468"/>
      <c r="FN360" s="468"/>
      <c r="FO360" s="468"/>
      <c r="FP360" s="468"/>
      <c r="FQ360" s="468"/>
      <c r="FR360" s="468"/>
      <c r="FS360" s="468"/>
      <c r="FT360" s="468"/>
      <c r="FU360" s="468"/>
      <c r="FV360" s="468"/>
      <c r="FW360" s="468"/>
      <c r="FX360" s="468"/>
      <c r="FY360" s="468"/>
      <c r="FZ360" s="468"/>
      <c r="GA360" s="468"/>
      <c r="GB360" s="468"/>
      <c r="GC360" s="468"/>
      <c r="GD360" s="468"/>
      <c r="GE360" s="468"/>
      <c r="GF360" s="468"/>
      <c r="GG360" s="468"/>
      <c r="GH360" s="468"/>
      <c r="GI360" s="468"/>
      <c r="GJ360" s="468"/>
      <c r="GK360" s="468"/>
      <c r="GL360" s="468"/>
      <c r="GM360" s="468"/>
      <c r="GN360" s="468"/>
      <c r="GO360" s="468"/>
      <c r="GP360" s="468"/>
      <c r="GQ360" s="468"/>
      <c r="GR360" s="468"/>
      <c r="GS360" s="468"/>
      <c r="GT360" s="468"/>
      <c r="GU360" s="468"/>
      <c r="GV360" s="468"/>
      <c r="GW360" s="468"/>
      <c r="GX360" s="468"/>
      <c r="GY360" s="468"/>
      <c r="GZ360" s="468"/>
      <c r="HA360" s="468"/>
      <c r="HB360" s="468"/>
      <c r="HC360" s="468"/>
      <c r="HD360" s="468"/>
      <c r="HE360" s="468"/>
      <c r="HF360" s="468"/>
      <c r="HG360" s="468"/>
      <c r="HH360" s="468"/>
      <c r="HI360" s="468"/>
      <c r="HJ360" s="468"/>
      <c r="HK360" s="468"/>
      <c r="HL360" s="468"/>
      <c r="HM360" s="468"/>
      <c r="HN360" s="468"/>
      <c r="HO360" s="468"/>
      <c r="HP360" s="468"/>
      <c r="HQ360" s="468"/>
      <c r="HR360" s="468"/>
      <c r="HS360" s="468"/>
      <c r="HT360" s="468"/>
      <c r="HU360" s="468"/>
      <c r="HV360" s="468"/>
      <c r="HW360" s="468"/>
      <c r="HX360" s="468"/>
      <c r="HY360" s="468"/>
      <c r="HZ360" s="468"/>
      <c r="IA360" s="468"/>
      <c r="IB360" s="468"/>
      <c r="IC360" s="468"/>
      <c r="ID360" s="468"/>
      <c r="IE360" s="468"/>
      <c r="IF360" s="468"/>
      <c r="IG360" s="468"/>
      <c r="IH360" s="468"/>
      <c r="II360" s="468"/>
      <c r="IJ360" s="468"/>
      <c r="IK360" s="468"/>
      <c r="IL360" s="468"/>
      <c r="IM360" s="468"/>
      <c r="IN360" s="468"/>
      <c r="IO360" s="468"/>
      <c r="IP360" s="468"/>
      <c r="IQ360" s="468"/>
      <c r="IR360" s="468"/>
      <c r="IS360" s="468"/>
      <c r="IT360" s="468"/>
      <c r="IU360" s="468"/>
      <c r="IV360" s="468"/>
      <c r="IW360" s="468"/>
      <c r="IX360" s="468"/>
      <c r="IY360" s="468"/>
      <c r="IZ360" s="468"/>
      <c r="JA360" s="468"/>
      <c r="JB360" s="468"/>
      <c r="JC360" s="468"/>
      <c r="JD360" s="468"/>
      <c r="JE360" s="468"/>
      <c r="JF360" s="468"/>
      <c r="JG360" s="468"/>
      <c r="JH360" s="468"/>
      <c r="JI360" s="468"/>
      <c r="JJ360" s="468"/>
      <c r="JK360" s="468"/>
      <c r="JL360" s="468"/>
      <c r="JM360" s="468"/>
      <c r="JN360" s="468"/>
      <c r="JO360" s="468"/>
      <c r="JP360" s="468"/>
      <c r="JQ360" s="468"/>
      <c r="JR360" s="468"/>
      <c r="JS360" s="468"/>
      <c r="JT360" s="468"/>
      <c r="JU360" s="468"/>
      <c r="JV360" s="468"/>
      <c r="JW360" s="468"/>
      <c r="JX360" s="468"/>
      <c r="JY360" s="468"/>
      <c r="JZ360" s="468"/>
      <c r="KA360" s="468"/>
      <c r="KB360" s="468"/>
      <c r="KC360" s="468"/>
      <c r="KD360" s="468"/>
      <c r="KE360" s="468"/>
      <c r="KF360" s="468"/>
      <c r="KG360" s="468"/>
      <c r="KH360" s="468"/>
      <c r="KI360" s="468"/>
      <c r="KJ360" s="468"/>
      <c r="KK360" s="468"/>
      <c r="KL360" s="468"/>
      <c r="KM360" s="468"/>
      <c r="KN360" s="468"/>
      <c r="KO360" s="468"/>
      <c r="KP360" s="468"/>
      <c r="KQ360" s="468"/>
      <c r="KR360" s="468"/>
      <c r="KS360" s="468"/>
      <c r="KT360" s="468"/>
      <c r="KU360" s="468"/>
      <c r="KV360" s="468"/>
    </row>
    <row r="361" spans="1:308" s="344" customFormat="1" ht="15.75" customHeight="1" x14ac:dyDescent="0.8">
      <c r="A361" s="325" t="s">
        <v>384</v>
      </c>
      <c r="B361" s="486">
        <v>10.5</v>
      </c>
      <c r="C361" s="336"/>
      <c r="F361" s="127" t="s">
        <v>339</v>
      </c>
      <c r="G361" s="46" t="s">
        <v>338</v>
      </c>
      <c r="H361" s="67" t="s">
        <v>303</v>
      </c>
      <c r="I361" s="653">
        <v>0.8</v>
      </c>
      <c r="J361" s="469"/>
      <c r="K361" s="470"/>
      <c r="L361" s="469"/>
      <c r="M361" s="470"/>
      <c r="N361" s="469"/>
      <c r="O361" s="475"/>
      <c r="P361" s="471"/>
      <c r="Q361" s="476"/>
      <c r="R361" s="471"/>
      <c r="S361" s="471"/>
      <c r="T361" s="471"/>
      <c r="U361" s="471"/>
      <c r="V361" s="468"/>
      <c r="W361" s="468"/>
      <c r="X361" s="468"/>
      <c r="Y361" s="468"/>
      <c r="Z361" s="468"/>
      <c r="AA361" s="468"/>
      <c r="AB361" s="468"/>
      <c r="AC361" s="468"/>
      <c r="AD361" s="468"/>
      <c r="AE361" s="468"/>
      <c r="AF361" s="468"/>
      <c r="AG361" s="468"/>
      <c r="AH361" s="468"/>
      <c r="AI361" s="468"/>
      <c r="AJ361" s="468"/>
      <c r="AK361" s="468"/>
      <c r="AL361" s="468"/>
      <c r="AM361" s="468"/>
      <c r="AN361" s="468"/>
      <c r="AO361" s="468"/>
      <c r="AP361" s="468"/>
      <c r="AQ361" s="468"/>
      <c r="AR361" s="468"/>
      <c r="AS361" s="468"/>
      <c r="AT361" s="468"/>
      <c r="AU361" s="468"/>
      <c r="AV361" s="468"/>
      <c r="AW361" s="468"/>
      <c r="AX361" s="468"/>
      <c r="AY361" s="468"/>
      <c r="AZ361" s="468"/>
      <c r="BA361" s="468"/>
      <c r="BB361" s="468"/>
      <c r="BC361" s="468"/>
      <c r="BD361" s="468"/>
      <c r="BE361" s="468"/>
      <c r="BF361" s="468"/>
      <c r="BG361" s="468"/>
      <c r="BH361" s="468"/>
      <c r="BI361" s="468"/>
      <c r="BJ361" s="468"/>
      <c r="BK361" s="468"/>
      <c r="BL361" s="468"/>
      <c r="BM361" s="468"/>
      <c r="BN361" s="468"/>
      <c r="BO361" s="468"/>
      <c r="BP361" s="468"/>
      <c r="BQ361" s="468"/>
      <c r="BR361" s="468"/>
      <c r="BS361" s="468"/>
      <c r="BT361" s="468"/>
      <c r="BU361" s="468"/>
      <c r="BV361" s="468"/>
      <c r="BW361" s="468"/>
      <c r="BX361" s="468"/>
      <c r="BY361" s="468"/>
      <c r="BZ361" s="468"/>
      <c r="CA361" s="468"/>
      <c r="CB361" s="468"/>
      <c r="CC361" s="468"/>
      <c r="CD361" s="468"/>
      <c r="CE361" s="468"/>
      <c r="CF361" s="468"/>
      <c r="CG361" s="468"/>
      <c r="CH361" s="468"/>
      <c r="CI361" s="468"/>
      <c r="CJ361" s="468"/>
      <c r="CK361" s="468"/>
      <c r="CL361" s="468"/>
      <c r="CM361" s="468"/>
      <c r="CN361" s="468"/>
      <c r="CO361" s="468"/>
      <c r="CP361" s="468"/>
      <c r="CQ361" s="468"/>
      <c r="CR361" s="468"/>
      <c r="CS361" s="468"/>
      <c r="CT361" s="468"/>
      <c r="CU361" s="468"/>
      <c r="CV361" s="468"/>
      <c r="CW361" s="468"/>
      <c r="CX361" s="468"/>
      <c r="CY361" s="468"/>
      <c r="CZ361" s="468"/>
      <c r="DA361" s="468"/>
      <c r="DB361" s="468"/>
      <c r="DC361" s="468"/>
      <c r="DD361" s="468"/>
      <c r="DE361" s="468"/>
      <c r="DF361" s="468"/>
      <c r="DG361" s="468"/>
      <c r="DH361" s="468"/>
      <c r="DI361" s="468"/>
      <c r="DJ361" s="468"/>
      <c r="DK361" s="468"/>
      <c r="DL361" s="468"/>
      <c r="DM361" s="468"/>
      <c r="DN361" s="468"/>
      <c r="DO361" s="468"/>
      <c r="DP361" s="468"/>
      <c r="DQ361" s="468"/>
      <c r="DR361" s="468"/>
      <c r="DS361" s="468"/>
      <c r="DT361" s="468"/>
      <c r="DU361" s="468"/>
      <c r="DV361" s="468"/>
      <c r="DW361" s="468"/>
      <c r="DX361" s="468"/>
      <c r="DY361" s="468"/>
      <c r="DZ361" s="468"/>
      <c r="EA361" s="468"/>
      <c r="EB361" s="468"/>
      <c r="EC361" s="468"/>
      <c r="ED361" s="468"/>
      <c r="EE361" s="468"/>
      <c r="EF361" s="468"/>
      <c r="EG361" s="468"/>
      <c r="EH361" s="468"/>
      <c r="EI361" s="468"/>
      <c r="EJ361" s="468"/>
      <c r="EK361" s="468"/>
      <c r="EL361" s="468"/>
      <c r="EM361" s="468"/>
      <c r="EN361" s="468"/>
      <c r="EO361" s="468"/>
      <c r="EP361" s="468"/>
      <c r="EQ361" s="468"/>
      <c r="ER361" s="468"/>
      <c r="ES361" s="468"/>
      <c r="ET361" s="468"/>
      <c r="EU361" s="468"/>
      <c r="EV361" s="468"/>
      <c r="EW361" s="468"/>
      <c r="EX361" s="468"/>
      <c r="EY361" s="468"/>
      <c r="EZ361" s="468"/>
      <c r="FA361" s="468"/>
      <c r="FB361" s="468"/>
      <c r="FC361" s="468"/>
      <c r="FD361" s="468"/>
      <c r="FE361" s="468"/>
      <c r="FF361" s="468"/>
      <c r="FG361" s="468"/>
      <c r="FH361" s="468"/>
      <c r="FI361" s="468"/>
      <c r="FJ361" s="468"/>
      <c r="FK361" s="468"/>
      <c r="FL361" s="468"/>
      <c r="FM361" s="468"/>
      <c r="FN361" s="468"/>
      <c r="FO361" s="468"/>
      <c r="FP361" s="468"/>
      <c r="FQ361" s="468"/>
      <c r="FR361" s="468"/>
      <c r="FS361" s="468"/>
      <c r="FT361" s="468"/>
      <c r="FU361" s="468"/>
      <c r="FV361" s="468"/>
      <c r="FW361" s="468"/>
      <c r="FX361" s="468"/>
      <c r="FY361" s="468"/>
      <c r="FZ361" s="468"/>
      <c r="GA361" s="468"/>
      <c r="GB361" s="468"/>
      <c r="GC361" s="468"/>
      <c r="GD361" s="468"/>
      <c r="GE361" s="468"/>
      <c r="GF361" s="468"/>
      <c r="GG361" s="468"/>
      <c r="GH361" s="468"/>
      <c r="GI361" s="468"/>
      <c r="GJ361" s="468"/>
      <c r="GK361" s="468"/>
      <c r="GL361" s="468"/>
      <c r="GM361" s="468"/>
      <c r="GN361" s="468"/>
      <c r="GO361" s="468"/>
      <c r="GP361" s="468"/>
      <c r="GQ361" s="468"/>
      <c r="GR361" s="468"/>
      <c r="GS361" s="468"/>
      <c r="GT361" s="468"/>
      <c r="GU361" s="468"/>
      <c r="GV361" s="468"/>
      <c r="GW361" s="468"/>
      <c r="GX361" s="468"/>
      <c r="GY361" s="468"/>
      <c r="GZ361" s="468"/>
      <c r="HA361" s="468"/>
      <c r="HB361" s="468"/>
      <c r="HC361" s="468"/>
      <c r="HD361" s="468"/>
      <c r="HE361" s="468"/>
      <c r="HF361" s="468"/>
      <c r="HG361" s="468"/>
      <c r="HH361" s="468"/>
      <c r="HI361" s="468"/>
      <c r="HJ361" s="468"/>
      <c r="HK361" s="468"/>
      <c r="HL361" s="468"/>
      <c r="HM361" s="468"/>
      <c r="HN361" s="468"/>
      <c r="HO361" s="468"/>
      <c r="HP361" s="468"/>
      <c r="HQ361" s="468"/>
      <c r="HR361" s="468"/>
      <c r="HS361" s="468"/>
      <c r="HT361" s="468"/>
      <c r="HU361" s="468"/>
      <c r="HV361" s="468"/>
      <c r="HW361" s="468"/>
      <c r="HX361" s="468"/>
      <c r="HY361" s="468"/>
      <c r="HZ361" s="468"/>
      <c r="IA361" s="468"/>
      <c r="IB361" s="468"/>
      <c r="IC361" s="468"/>
      <c r="ID361" s="468"/>
      <c r="IE361" s="468"/>
      <c r="IF361" s="468"/>
      <c r="IG361" s="468"/>
      <c r="IH361" s="468"/>
      <c r="II361" s="468"/>
      <c r="IJ361" s="468"/>
      <c r="IK361" s="468"/>
      <c r="IL361" s="468"/>
      <c r="IM361" s="468"/>
      <c r="IN361" s="468"/>
      <c r="IO361" s="468"/>
      <c r="IP361" s="468"/>
      <c r="IQ361" s="468"/>
      <c r="IR361" s="468"/>
      <c r="IS361" s="468"/>
      <c r="IT361" s="468"/>
      <c r="IU361" s="468"/>
      <c r="IV361" s="468"/>
      <c r="IW361" s="468"/>
      <c r="IX361" s="468"/>
      <c r="IY361" s="468"/>
      <c r="IZ361" s="468"/>
      <c r="JA361" s="468"/>
      <c r="JB361" s="468"/>
      <c r="JC361" s="468"/>
      <c r="JD361" s="468"/>
      <c r="JE361" s="468"/>
      <c r="JF361" s="468"/>
      <c r="JG361" s="468"/>
      <c r="JH361" s="468"/>
      <c r="JI361" s="468"/>
      <c r="JJ361" s="468"/>
      <c r="JK361" s="468"/>
      <c r="JL361" s="468"/>
      <c r="JM361" s="468"/>
      <c r="JN361" s="468"/>
      <c r="JO361" s="468"/>
      <c r="JP361" s="468"/>
      <c r="JQ361" s="468"/>
      <c r="JR361" s="468"/>
      <c r="JS361" s="468"/>
      <c r="JT361" s="468"/>
      <c r="JU361" s="468"/>
      <c r="JV361" s="468"/>
      <c r="JW361" s="468"/>
      <c r="JX361" s="468"/>
      <c r="JY361" s="468"/>
      <c r="JZ361" s="468"/>
      <c r="KA361" s="468"/>
      <c r="KB361" s="468"/>
      <c r="KC361" s="468"/>
      <c r="KD361" s="468"/>
      <c r="KE361" s="468"/>
      <c r="KF361" s="468"/>
      <c r="KG361" s="468"/>
      <c r="KH361" s="468"/>
      <c r="KI361" s="468"/>
      <c r="KJ361" s="468"/>
      <c r="KK361" s="468"/>
      <c r="KL361" s="468"/>
      <c r="KM361" s="468"/>
      <c r="KN361" s="468"/>
      <c r="KO361" s="468"/>
      <c r="KP361" s="468"/>
      <c r="KQ361" s="468"/>
      <c r="KR361" s="468"/>
      <c r="KS361" s="468"/>
      <c r="KT361" s="468"/>
      <c r="KU361" s="468"/>
      <c r="KV361" s="468"/>
    </row>
    <row r="362" spans="1:308" s="344" customFormat="1" ht="15.75" customHeight="1" x14ac:dyDescent="0.8">
      <c r="A362" s="344" t="s">
        <v>384</v>
      </c>
      <c r="B362" s="486">
        <v>8.5</v>
      </c>
      <c r="C362" s="336"/>
      <c r="F362" s="361" t="s">
        <v>128</v>
      </c>
      <c r="G362" s="46" t="s">
        <v>338</v>
      </c>
      <c r="H362" s="67" t="s">
        <v>303</v>
      </c>
      <c r="I362" s="653">
        <v>-4.8</v>
      </c>
      <c r="J362" s="469"/>
      <c r="K362" s="470"/>
      <c r="L362" s="469"/>
      <c r="M362" s="470"/>
      <c r="N362" s="469"/>
      <c r="O362" s="475"/>
      <c r="P362" s="471"/>
      <c r="Q362" s="476"/>
      <c r="R362" s="471"/>
      <c r="S362" s="471"/>
      <c r="T362" s="471"/>
      <c r="U362" s="471"/>
      <c r="V362" s="468"/>
      <c r="W362" s="468"/>
      <c r="X362" s="468"/>
      <c r="Y362" s="468"/>
      <c r="Z362" s="468"/>
      <c r="AA362" s="468"/>
      <c r="AB362" s="468"/>
      <c r="AC362" s="468"/>
      <c r="AD362" s="468"/>
      <c r="AE362" s="468"/>
      <c r="AF362" s="468"/>
      <c r="AG362" s="468"/>
      <c r="AH362" s="468"/>
      <c r="AI362" s="468"/>
      <c r="AJ362" s="468"/>
      <c r="AK362" s="468"/>
      <c r="AL362" s="468"/>
      <c r="AM362" s="468"/>
      <c r="AN362" s="468"/>
      <c r="AO362" s="468"/>
      <c r="AP362" s="468"/>
      <c r="AQ362" s="468"/>
      <c r="AR362" s="468"/>
      <c r="AS362" s="468"/>
      <c r="AT362" s="468"/>
      <c r="AU362" s="468"/>
      <c r="AV362" s="468"/>
      <c r="AW362" s="468"/>
      <c r="AX362" s="468"/>
      <c r="AY362" s="468"/>
      <c r="AZ362" s="468"/>
      <c r="BA362" s="468"/>
      <c r="BB362" s="468"/>
      <c r="BC362" s="468"/>
      <c r="BD362" s="468"/>
      <c r="BE362" s="468"/>
      <c r="BF362" s="468"/>
      <c r="BG362" s="468"/>
      <c r="BH362" s="468"/>
      <c r="BI362" s="468"/>
      <c r="BJ362" s="468"/>
      <c r="BK362" s="468"/>
      <c r="BL362" s="468"/>
      <c r="BM362" s="468"/>
      <c r="BN362" s="468"/>
      <c r="BO362" s="468"/>
      <c r="BP362" s="468"/>
      <c r="BQ362" s="468"/>
      <c r="BR362" s="468"/>
      <c r="BS362" s="468"/>
      <c r="BT362" s="468"/>
      <c r="BU362" s="468"/>
      <c r="BV362" s="468"/>
      <c r="BW362" s="468"/>
      <c r="BX362" s="468"/>
      <c r="BY362" s="468"/>
      <c r="BZ362" s="468"/>
      <c r="CA362" s="468"/>
      <c r="CB362" s="468"/>
      <c r="CC362" s="468"/>
      <c r="CD362" s="468"/>
      <c r="CE362" s="468"/>
      <c r="CF362" s="468"/>
      <c r="CG362" s="468"/>
      <c r="CH362" s="468"/>
      <c r="CI362" s="468"/>
      <c r="CJ362" s="468"/>
      <c r="CK362" s="468"/>
      <c r="CL362" s="468"/>
      <c r="CM362" s="468"/>
      <c r="CN362" s="468"/>
      <c r="CO362" s="468"/>
      <c r="CP362" s="468"/>
      <c r="CQ362" s="468"/>
      <c r="CR362" s="468"/>
      <c r="CS362" s="468"/>
      <c r="CT362" s="468"/>
      <c r="CU362" s="468"/>
      <c r="CV362" s="468"/>
      <c r="CW362" s="468"/>
      <c r="CX362" s="468"/>
      <c r="CY362" s="468"/>
      <c r="CZ362" s="468"/>
      <c r="DA362" s="468"/>
      <c r="DB362" s="468"/>
      <c r="DC362" s="468"/>
      <c r="DD362" s="468"/>
      <c r="DE362" s="468"/>
      <c r="DF362" s="468"/>
      <c r="DG362" s="468"/>
      <c r="DH362" s="468"/>
      <c r="DI362" s="468"/>
      <c r="DJ362" s="468"/>
      <c r="DK362" s="468"/>
      <c r="DL362" s="468"/>
      <c r="DM362" s="468"/>
      <c r="DN362" s="468"/>
      <c r="DO362" s="468"/>
      <c r="DP362" s="468"/>
      <c r="DQ362" s="468"/>
      <c r="DR362" s="468"/>
      <c r="DS362" s="468"/>
      <c r="DT362" s="468"/>
      <c r="DU362" s="468"/>
      <c r="DV362" s="468"/>
      <c r="DW362" s="468"/>
      <c r="DX362" s="468"/>
      <c r="DY362" s="468"/>
      <c r="DZ362" s="468"/>
      <c r="EA362" s="468"/>
      <c r="EB362" s="468"/>
      <c r="EC362" s="468"/>
      <c r="ED362" s="468"/>
      <c r="EE362" s="468"/>
      <c r="EF362" s="468"/>
      <c r="EG362" s="468"/>
      <c r="EH362" s="468"/>
      <c r="EI362" s="468"/>
      <c r="EJ362" s="468"/>
      <c r="EK362" s="468"/>
      <c r="EL362" s="468"/>
      <c r="EM362" s="468"/>
      <c r="EN362" s="468"/>
      <c r="EO362" s="468"/>
      <c r="EP362" s="468"/>
      <c r="EQ362" s="468"/>
      <c r="ER362" s="468"/>
      <c r="ES362" s="468"/>
      <c r="ET362" s="468"/>
      <c r="EU362" s="468"/>
      <c r="EV362" s="468"/>
      <c r="EW362" s="468"/>
      <c r="EX362" s="468"/>
      <c r="EY362" s="468"/>
      <c r="EZ362" s="468"/>
      <c r="FA362" s="468"/>
      <c r="FB362" s="468"/>
      <c r="FC362" s="468"/>
      <c r="FD362" s="468"/>
      <c r="FE362" s="468"/>
      <c r="FF362" s="468"/>
      <c r="FG362" s="468"/>
      <c r="FH362" s="468"/>
      <c r="FI362" s="468"/>
      <c r="FJ362" s="468"/>
      <c r="FK362" s="468"/>
      <c r="FL362" s="468"/>
      <c r="FM362" s="468"/>
      <c r="FN362" s="468"/>
      <c r="FO362" s="468"/>
      <c r="FP362" s="468"/>
      <c r="FQ362" s="468"/>
      <c r="FR362" s="468"/>
      <c r="FS362" s="468"/>
      <c r="FT362" s="468"/>
      <c r="FU362" s="468"/>
      <c r="FV362" s="468"/>
      <c r="FW362" s="468"/>
      <c r="FX362" s="468"/>
      <c r="FY362" s="468"/>
      <c r="FZ362" s="468"/>
      <c r="GA362" s="468"/>
      <c r="GB362" s="468"/>
      <c r="GC362" s="468"/>
      <c r="GD362" s="468"/>
      <c r="GE362" s="468"/>
      <c r="GF362" s="468"/>
      <c r="GG362" s="468"/>
      <c r="GH362" s="468"/>
      <c r="GI362" s="468"/>
      <c r="GJ362" s="468"/>
      <c r="GK362" s="468"/>
      <c r="GL362" s="468"/>
      <c r="GM362" s="468"/>
      <c r="GN362" s="468"/>
      <c r="GO362" s="468"/>
      <c r="GP362" s="468"/>
      <c r="GQ362" s="468"/>
      <c r="GR362" s="468"/>
      <c r="GS362" s="468"/>
      <c r="GT362" s="468"/>
      <c r="GU362" s="468"/>
      <c r="GV362" s="468"/>
      <c r="GW362" s="468"/>
      <c r="GX362" s="468"/>
      <c r="GY362" s="468"/>
      <c r="GZ362" s="468"/>
      <c r="HA362" s="468"/>
      <c r="HB362" s="468"/>
      <c r="HC362" s="468"/>
      <c r="HD362" s="468"/>
      <c r="HE362" s="468"/>
      <c r="HF362" s="468"/>
      <c r="HG362" s="468"/>
      <c r="HH362" s="468"/>
      <c r="HI362" s="468"/>
      <c r="HJ362" s="468"/>
      <c r="HK362" s="468"/>
      <c r="HL362" s="468"/>
      <c r="HM362" s="468"/>
      <c r="HN362" s="468"/>
      <c r="HO362" s="468"/>
      <c r="HP362" s="468"/>
      <c r="HQ362" s="468"/>
      <c r="HR362" s="468"/>
      <c r="HS362" s="468"/>
      <c r="HT362" s="468"/>
      <c r="HU362" s="468"/>
      <c r="HV362" s="468"/>
      <c r="HW362" s="468"/>
      <c r="HX362" s="468"/>
      <c r="HY362" s="468"/>
      <c r="HZ362" s="468"/>
      <c r="IA362" s="468"/>
      <c r="IB362" s="468"/>
      <c r="IC362" s="468"/>
      <c r="ID362" s="468"/>
      <c r="IE362" s="468"/>
      <c r="IF362" s="468"/>
      <c r="IG362" s="468"/>
      <c r="IH362" s="468"/>
      <c r="II362" s="468"/>
      <c r="IJ362" s="468"/>
      <c r="IK362" s="468"/>
      <c r="IL362" s="468"/>
      <c r="IM362" s="468"/>
      <c r="IN362" s="468"/>
      <c r="IO362" s="468"/>
      <c r="IP362" s="468"/>
      <c r="IQ362" s="468"/>
      <c r="IR362" s="468"/>
      <c r="IS362" s="468"/>
      <c r="IT362" s="468"/>
      <c r="IU362" s="468"/>
      <c r="IV362" s="468"/>
      <c r="IW362" s="468"/>
      <c r="IX362" s="468"/>
      <c r="IY362" s="468"/>
      <c r="IZ362" s="468"/>
      <c r="JA362" s="468"/>
      <c r="JB362" s="468"/>
      <c r="JC362" s="468"/>
      <c r="JD362" s="468"/>
      <c r="JE362" s="468"/>
      <c r="JF362" s="468"/>
      <c r="JG362" s="468"/>
      <c r="JH362" s="468"/>
      <c r="JI362" s="468"/>
      <c r="JJ362" s="468"/>
      <c r="JK362" s="468"/>
      <c r="JL362" s="468"/>
      <c r="JM362" s="468"/>
      <c r="JN362" s="468"/>
      <c r="JO362" s="468"/>
      <c r="JP362" s="468"/>
      <c r="JQ362" s="468"/>
      <c r="JR362" s="468"/>
      <c r="JS362" s="468"/>
      <c r="JT362" s="468"/>
      <c r="JU362" s="468"/>
      <c r="JV362" s="468"/>
      <c r="JW362" s="468"/>
      <c r="JX362" s="468"/>
      <c r="JY362" s="468"/>
      <c r="JZ362" s="468"/>
      <c r="KA362" s="468"/>
      <c r="KB362" s="468"/>
      <c r="KC362" s="468"/>
      <c r="KD362" s="468"/>
      <c r="KE362" s="468"/>
      <c r="KF362" s="468"/>
      <c r="KG362" s="468"/>
      <c r="KH362" s="468"/>
      <c r="KI362" s="468"/>
      <c r="KJ362" s="468"/>
      <c r="KK362" s="468"/>
      <c r="KL362" s="468"/>
      <c r="KM362" s="468"/>
      <c r="KN362" s="468"/>
      <c r="KO362" s="468"/>
      <c r="KP362" s="468"/>
      <c r="KQ362" s="468"/>
      <c r="KR362" s="468"/>
      <c r="KS362" s="468"/>
      <c r="KT362" s="468"/>
      <c r="KU362" s="468"/>
      <c r="KV362" s="468"/>
    </row>
    <row r="363" spans="1:308" s="344" customFormat="1" ht="15.75" customHeight="1" x14ac:dyDescent="0.8">
      <c r="A363" s="344" t="s">
        <v>384</v>
      </c>
      <c r="B363" s="486">
        <v>4.5</v>
      </c>
      <c r="C363" s="336"/>
      <c r="F363" s="127" t="s">
        <v>174</v>
      </c>
      <c r="G363" s="46" t="s">
        <v>343</v>
      </c>
      <c r="H363" s="67" t="s">
        <v>303</v>
      </c>
      <c r="I363" s="653">
        <v>-4.8</v>
      </c>
      <c r="J363" s="469"/>
      <c r="K363" s="470"/>
      <c r="L363" s="469"/>
      <c r="M363" s="470"/>
      <c r="N363" s="469"/>
      <c r="O363" s="475"/>
      <c r="P363" s="471"/>
      <c r="Q363" s="476"/>
      <c r="R363" s="471"/>
      <c r="S363" s="471"/>
      <c r="T363" s="471"/>
      <c r="U363" s="471"/>
      <c r="V363" s="468"/>
      <c r="W363" s="468"/>
      <c r="X363" s="468"/>
      <c r="Y363" s="468"/>
      <c r="Z363" s="468"/>
      <c r="AA363" s="468"/>
      <c r="AB363" s="468"/>
      <c r="AC363" s="468"/>
      <c r="AD363" s="468"/>
      <c r="AE363" s="468"/>
      <c r="AF363" s="468"/>
      <c r="AG363" s="468"/>
      <c r="AH363" s="468"/>
      <c r="AI363" s="468"/>
      <c r="AJ363" s="468"/>
      <c r="AK363" s="468"/>
      <c r="AL363" s="468"/>
      <c r="AM363" s="468"/>
      <c r="AN363" s="468"/>
      <c r="AO363" s="468"/>
      <c r="AP363" s="468"/>
      <c r="AQ363" s="468"/>
      <c r="AR363" s="468"/>
      <c r="AS363" s="468"/>
      <c r="AT363" s="468"/>
      <c r="AU363" s="468"/>
      <c r="AV363" s="468"/>
      <c r="AW363" s="468"/>
      <c r="AX363" s="468"/>
      <c r="AY363" s="468"/>
      <c r="AZ363" s="468"/>
      <c r="BA363" s="468"/>
      <c r="BB363" s="468"/>
      <c r="BC363" s="468"/>
      <c r="BD363" s="468"/>
      <c r="BE363" s="468"/>
      <c r="BF363" s="468"/>
      <c r="BG363" s="468"/>
      <c r="BH363" s="468"/>
      <c r="BI363" s="468"/>
      <c r="BJ363" s="468"/>
      <c r="BK363" s="468"/>
      <c r="BL363" s="468"/>
      <c r="BM363" s="468"/>
      <c r="BN363" s="468"/>
      <c r="BO363" s="468"/>
      <c r="BP363" s="468"/>
      <c r="BQ363" s="468"/>
      <c r="BR363" s="468"/>
      <c r="BS363" s="468"/>
      <c r="BT363" s="468"/>
      <c r="BU363" s="468"/>
      <c r="BV363" s="468"/>
      <c r="BW363" s="468"/>
      <c r="BX363" s="468"/>
      <c r="BY363" s="468"/>
      <c r="BZ363" s="468"/>
      <c r="CA363" s="468"/>
      <c r="CB363" s="468"/>
      <c r="CC363" s="468"/>
      <c r="CD363" s="468"/>
      <c r="CE363" s="468"/>
      <c r="CF363" s="468"/>
      <c r="CG363" s="468"/>
      <c r="CH363" s="468"/>
      <c r="CI363" s="468"/>
      <c r="CJ363" s="468"/>
      <c r="CK363" s="468"/>
      <c r="CL363" s="468"/>
      <c r="CM363" s="468"/>
      <c r="CN363" s="468"/>
      <c r="CO363" s="468"/>
      <c r="CP363" s="468"/>
      <c r="CQ363" s="468"/>
      <c r="CR363" s="468"/>
      <c r="CS363" s="468"/>
      <c r="CT363" s="468"/>
      <c r="CU363" s="468"/>
      <c r="CV363" s="468"/>
      <c r="CW363" s="468"/>
      <c r="CX363" s="468"/>
      <c r="CY363" s="468"/>
      <c r="CZ363" s="468"/>
      <c r="DA363" s="468"/>
      <c r="DB363" s="468"/>
      <c r="DC363" s="468"/>
      <c r="DD363" s="468"/>
      <c r="DE363" s="468"/>
      <c r="DF363" s="468"/>
      <c r="DG363" s="468"/>
      <c r="DH363" s="468"/>
      <c r="DI363" s="468"/>
      <c r="DJ363" s="468"/>
      <c r="DK363" s="468"/>
      <c r="DL363" s="468"/>
      <c r="DM363" s="468"/>
      <c r="DN363" s="468"/>
      <c r="DO363" s="468"/>
      <c r="DP363" s="468"/>
      <c r="DQ363" s="468"/>
      <c r="DR363" s="468"/>
      <c r="DS363" s="468"/>
      <c r="DT363" s="468"/>
      <c r="DU363" s="468"/>
      <c r="DV363" s="468"/>
      <c r="DW363" s="468"/>
      <c r="DX363" s="468"/>
      <c r="DY363" s="468"/>
      <c r="DZ363" s="468"/>
      <c r="EA363" s="468"/>
      <c r="EB363" s="468"/>
      <c r="EC363" s="468"/>
      <c r="ED363" s="468"/>
      <c r="EE363" s="468"/>
      <c r="EF363" s="468"/>
      <c r="EG363" s="468"/>
      <c r="EH363" s="468"/>
      <c r="EI363" s="468"/>
      <c r="EJ363" s="468"/>
      <c r="EK363" s="468"/>
      <c r="EL363" s="468"/>
      <c r="EM363" s="468"/>
      <c r="EN363" s="468"/>
      <c r="EO363" s="468"/>
      <c r="EP363" s="468"/>
      <c r="EQ363" s="468"/>
      <c r="ER363" s="468"/>
      <c r="ES363" s="468"/>
      <c r="ET363" s="468"/>
      <c r="EU363" s="468"/>
      <c r="EV363" s="468"/>
      <c r="EW363" s="468"/>
      <c r="EX363" s="468"/>
      <c r="EY363" s="468"/>
      <c r="EZ363" s="468"/>
      <c r="FA363" s="468"/>
      <c r="FB363" s="468"/>
      <c r="FC363" s="468"/>
      <c r="FD363" s="468"/>
      <c r="FE363" s="468"/>
      <c r="FF363" s="468"/>
      <c r="FG363" s="468"/>
      <c r="FH363" s="468"/>
      <c r="FI363" s="468"/>
      <c r="FJ363" s="468"/>
      <c r="FK363" s="468"/>
      <c r="FL363" s="468"/>
      <c r="FM363" s="468"/>
      <c r="FN363" s="468"/>
      <c r="FO363" s="468"/>
      <c r="FP363" s="468"/>
      <c r="FQ363" s="468"/>
      <c r="FR363" s="468"/>
      <c r="FS363" s="468"/>
      <c r="FT363" s="468"/>
      <c r="FU363" s="468"/>
      <c r="FV363" s="468"/>
      <c r="FW363" s="468"/>
      <c r="FX363" s="468"/>
      <c r="FY363" s="468"/>
      <c r="FZ363" s="468"/>
      <c r="GA363" s="468"/>
      <c r="GB363" s="468"/>
      <c r="GC363" s="468"/>
      <c r="GD363" s="468"/>
      <c r="GE363" s="468"/>
      <c r="GF363" s="468"/>
      <c r="GG363" s="468"/>
      <c r="GH363" s="468"/>
      <c r="GI363" s="468"/>
      <c r="GJ363" s="468"/>
      <c r="GK363" s="468"/>
      <c r="GL363" s="468"/>
      <c r="GM363" s="468"/>
      <c r="GN363" s="468"/>
      <c r="GO363" s="468"/>
      <c r="GP363" s="468"/>
      <c r="GQ363" s="468"/>
      <c r="GR363" s="468"/>
      <c r="GS363" s="468"/>
      <c r="GT363" s="468"/>
      <c r="GU363" s="468"/>
      <c r="GV363" s="468"/>
      <c r="GW363" s="468"/>
      <c r="GX363" s="468"/>
      <c r="GY363" s="468"/>
      <c r="GZ363" s="468"/>
      <c r="HA363" s="468"/>
      <c r="HB363" s="468"/>
      <c r="HC363" s="468"/>
      <c r="HD363" s="468"/>
      <c r="HE363" s="468"/>
      <c r="HF363" s="468"/>
      <c r="HG363" s="468"/>
      <c r="HH363" s="468"/>
      <c r="HI363" s="468"/>
      <c r="HJ363" s="468"/>
      <c r="HK363" s="468"/>
      <c r="HL363" s="468"/>
      <c r="HM363" s="468"/>
      <c r="HN363" s="468"/>
      <c r="HO363" s="468"/>
      <c r="HP363" s="468"/>
      <c r="HQ363" s="468"/>
      <c r="HR363" s="468"/>
      <c r="HS363" s="468"/>
      <c r="HT363" s="468"/>
      <c r="HU363" s="468"/>
      <c r="HV363" s="468"/>
      <c r="HW363" s="468"/>
      <c r="HX363" s="468"/>
      <c r="HY363" s="468"/>
      <c r="HZ363" s="468"/>
      <c r="IA363" s="468"/>
      <c r="IB363" s="468"/>
      <c r="IC363" s="468"/>
      <c r="ID363" s="468"/>
      <c r="IE363" s="468"/>
      <c r="IF363" s="468"/>
      <c r="IG363" s="468"/>
      <c r="IH363" s="468"/>
      <c r="II363" s="468"/>
      <c r="IJ363" s="468"/>
      <c r="IK363" s="468"/>
      <c r="IL363" s="468"/>
      <c r="IM363" s="468"/>
      <c r="IN363" s="468"/>
      <c r="IO363" s="468"/>
      <c r="IP363" s="468"/>
      <c r="IQ363" s="468"/>
      <c r="IR363" s="468"/>
      <c r="IS363" s="468"/>
      <c r="IT363" s="468"/>
      <c r="IU363" s="468"/>
      <c r="IV363" s="468"/>
      <c r="IW363" s="468"/>
      <c r="IX363" s="468"/>
      <c r="IY363" s="468"/>
      <c r="IZ363" s="468"/>
      <c r="JA363" s="468"/>
      <c r="JB363" s="468"/>
      <c r="JC363" s="468"/>
      <c r="JD363" s="468"/>
      <c r="JE363" s="468"/>
      <c r="JF363" s="468"/>
      <c r="JG363" s="468"/>
      <c r="JH363" s="468"/>
      <c r="JI363" s="468"/>
      <c r="JJ363" s="468"/>
      <c r="JK363" s="468"/>
      <c r="JL363" s="468"/>
      <c r="JM363" s="468"/>
      <c r="JN363" s="468"/>
      <c r="JO363" s="468"/>
      <c r="JP363" s="468"/>
      <c r="JQ363" s="468"/>
      <c r="JR363" s="468"/>
      <c r="JS363" s="468"/>
      <c r="JT363" s="468"/>
      <c r="JU363" s="468"/>
      <c r="JV363" s="468"/>
      <c r="JW363" s="468"/>
      <c r="JX363" s="468"/>
      <c r="JY363" s="468"/>
      <c r="JZ363" s="468"/>
      <c r="KA363" s="468"/>
      <c r="KB363" s="468"/>
      <c r="KC363" s="468"/>
      <c r="KD363" s="468"/>
      <c r="KE363" s="468"/>
      <c r="KF363" s="468"/>
      <c r="KG363" s="468"/>
      <c r="KH363" s="468"/>
      <c r="KI363" s="468"/>
      <c r="KJ363" s="468"/>
      <c r="KK363" s="468"/>
      <c r="KL363" s="468"/>
      <c r="KM363" s="468"/>
      <c r="KN363" s="468"/>
      <c r="KO363" s="468"/>
      <c r="KP363" s="468"/>
      <c r="KQ363" s="468"/>
      <c r="KR363" s="468"/>
      <c r="KS363" s="468"/>
      <c r="KT363" s="468"/>
      <c r="KU363" s="468"/>
      <c r="KV363" s="468"/>
    </row>
    <row r="364" spans="1:308" s="344" customFormat="1" ht="15.75" customHeight="1" x14ac:dyDescent="0.8">
      <c r="A364" s="344" t="s">
        <v>384</v>
      </c>
      <c r="B364" s="486">
        <v>10</v>
      </c>
      <c r="C364" s="336"/>
      <c r="F364" s="361" t="s">
        <v>348</v>
      </c>
      <c r="G364" s="46" t="s">
        <v>343</v>
      </c>
      <c r="H364" s="67" t="s">
        <v>303</v>
      </c>
      <c r="I364" s="653">
        <v>-0.9</v>
      </c>
      <c r="J364" s="469"/>
      <c r="K364" s="470"/>
      <c r="L364" s="469"/>
      <c r="M364" s="470"/>
      <c r="N364" s="469"/>
      <c r="O364" s="475"/>
      <c r="P364" s="471"/>
      <c r="Q364" s="476"/>
      <c r="R364" s="471"/>
      <c r="S364" s="471"/>
      <c r="T364" s="471"/>
      <c r="U364" s="471"/>
      <c r="V364" s="468"/>
      <c r="W364" s="468"/>
      <c r="X364" s="468"/>
      <c r="Y364" s="468"/>
      <c r="Z364" s="468"/>
      <c r="AA364" s="468"/>
      <c r="AB364" s="468"/>
      <c r="AC364" s="468"/>
      <c r="AD364" s="468"/>
      <c r="AE364" s="468"/>
      <c r="AF364" s="468"/>
      <c r="AG364" s="468"/>
      <c r="AH364" s="468"/>
      <c r="AI364" s="468"/>
      <c r="AJ364" s="468"/>
      <c r="AK364" s="468"/>
      <c r="AL364" s="468"/>
      <c r="AM364" s="468"/>
      <c r="AN364" s="468"/>
      <c r="AO364" s="468"/>
      <c r="AP364" s="468"/>
      <c r="AQ364" s="468"/>
      <c r="AR364" s="468"/>
      <c r="AS364" s="468"/>
      <c r="AT364" s="468"/>
      <c r="AU364" s="468"/>
      <c r="AV364" s="468"/>
      <c r="AW364" s="468"/>
      <c r="AX364" s="468"/>
      <c r="AY364" s="468"/>
      <c r="AZ364" s="468"/>
      <c r="BA364" s="468"/>
      <c r="BB364" s="468"/>
      <c r="BC364" s="468"/>
      <c r="BD364" s="468"/>
      <c r="BE364" s="468"/>
      <c r="BF364" s="468"/>
      <c r="BG364" s="468"/>
      <c r="BH364" s="468"/>
      <c r="BI364" s="468"/>
      <c r="BJ364" s="468"/>
      <c r="BK364" s="468"/>
      <c r="BL364" s="468"/>
      <c r="BM364" s="468"/>
      <c r="BN364" s="468"/>
      <c r="BO364" s="468"/>
      <c r="BP364" s="468"/>
      <c r="BQ364" s="468"/>
      <c r="BR364" s="468"/>
      <c r="BS364" s="468"/>
      <c r="BT364" s="468"/>
      <c r="BU364" s="468"/>
      <c r="BV364" s="468"/>
      <c r="BW364" s="468"/>
      <c r="BX364" s="468"/>
      <c r="BY364" s="468"/>
      <c r="BZ364" s="468"/>
      <c r="CA364" s="468"/>
      <c r="CB364" s="468"/>
      <c r="CC364" s="468"/>
      <c r="CD364" s="468"/>
      <c r="CE364" s="468"/>
      <c r="CF364" s="468"/>
      <c r="CG364" s="468"/>
      <c r="CH364" s="468"/>
      <c r="CI364" s="468"/>
      <c r="CJ364" s="468"/>
      <c r="CK364" s="468"/>
      <c r="CL364" s="468"/>
      <c r="CM364" s="468"/>
      <c r="CN364" s="468"/>
      <c r="CO364" s="468"/>
      <c r="CP364" s="468"/>
      <c r="CQ364" s="468"/>
      <c r="CR364" s="468"/>
      <c r="CS364" s="468"/>
      <c r="CT364" s="468"/>
      <c r="CU364" s="468"/>
      <c r="CV364" s="468"/>
      <c r="CW364" s="468"/>
      <c r="CX364" s="468"/>
      <c r="CY364" s="468"/>
      <c r="CZ364" s="468"/>
      <c r="DA364" s="468"/>
      <c r="DB364" s="468"/>
      <c r="DC364" s="468"/>
      <c r="DD364" s="468"/>
      <c r="DE364" s="468"/>
      <c r="DF364" s="468"/>
      <c r="DG364" s="468"/>
      <c r="DH364" s="468"/>
      <c r="DI364" s="468"/>
      <c r="DJ364" s="468"/>
      <c r="DK364" s="468"/>
      <c r="DL364" s="468"/>
      <c r="DM364" s="468"/>
      <c r="DN364" s="468"/>
      <c r="DO364" s="468"/>
      <c r="DP364" s="468"/>
      <c r="DQ364" s="468"/>
      <c r="DR364" s="468"/>
      <c r="DS364" s="468"/>
      <c r="DT364" s="468"/>
      <c r="DU364" s="468"/>
      <c r="DV364" s="468"/>
      <c r="DW364" s="468"/>
      <c r="DX364" s="468"/>
      <c r="DY364" s="468"/>
      <c r="DZ364" s="468"/>
      <c r="EA364" s="468"/>
      <c r="EB364" s="468"/>
      <c r="EC364" s="468"/>
      <c r="ED364" s="468"/>
      <c r="EE364" s="468"/>
      <c r="EF364" s="468"/>
      <c r="EG364" s="468"/>
      <c r="EH364" s="468"/>
      <c r="EI364" s="468"/>
      <c r="EJ364" s="468"/>
      <c r="EK364" s="468"/>
      <c r="EL364" s="468"/>
      <c r="EM364" s="468"/>
      <c r="EN364" s="468"/>
      <c r="EO364" s="468"/>
      <c r="EP364" s="468"/>
      <c r="EQ364" s="468"/>
      <c r="ER364" s="468"/>
      <c r="ES364" s="468"/>
      <c r="ET364" s="468"/>
      <c r="EU364" s="468"/>
      <c r="EV364" s="468"/>
      <c r="EW364" s="468"/>
      <c r="EX364" s="468"/>
      <c r="EY364" s="468"/>
      <c r="EZ364" s="468"/>
      <c r="FA364" s="468"/>
      <c r="FB364" s="468"/>
      <c r="FC364" s="468"/>
      <c r="FD364" s="468"/>
      <c r="FE364" s="468"/>
      <c r="FF364" s="468"/>
      <c r="FG364" s="468"/>
      <c r="FH364" s="468"/>
      <c r="FI364" s="468"/>
      <c r="FJ364" s="468"/>
      <c r="FK364" s="468"/>
      <c r="FL364" s="468"/>
      <c r="FM364" s="468"/>
      <c r="FN364" s="468"/>
      <c r="FO364" s="468"/>
      <c r="FP364" s="468"/>
      <c r="FQ364" s="468"/>
      <c r="FR364" s="468"/>
      <c r="FS364" s="468"/>
      <c r="FT364" s="468"/>
      <c r="FU364" s="468"/>
      <c r="FV364" s="468"/>
      <c r="FW364" s="468"/>
      <c r="FX364" s="468"/>
      <c r="FY364" s="468"/>
      <c r="FZ364" s="468"/>
      <c r="GA364" s="468"/>
      <c r="GB364" s="468"/>
      <c r="GC364" s="468"/>
      <c r="GD364" s="468"/>
      <c r="GE364" s="468"/>
      <c r="GF364" s="468"/>
      <c r="GG364" s="468"/>
      <c r="GH364" s="468"/>
      <c r="GI364" s="468"/>
      <c r="GJ364" s="468"/>
      <c r="GK364" s="468"/>
      <c r="GL364" s="468"/>
      <c r="GM364" s="468"/>
      <c r="GN364" s="468"/>
      <c r="GO364" s="468"/>
      <c r="GP364" s="468"/>
      <c r="GQ364" s="468"/>
      <c r="GR364" s="468"/>
      <c r="GS364" s="468"/>
      <c r="GT364" s="468"/>
      <c r="GU364" s="468"/>
      <c r="GV364" s="468"/>
      <c r="GW364" s="468"/>
      <c r="GX364" s="468"/>
      <c r="GY364" s="468"/>
      <c r="GZ364" s="468"/>
      <c r="HA364" s="468"/>
      <c r="HB364" s="468"/>
      <c r="HC364" s="468"/>
      <c r="HD364" s="468"/>
      <c r="HE364" s="468"/>
      <c r="HF364" s="468"/>
      <c r="HG364" s="468"/>
      <c r="HH364" s="468"/>
      <c r="HI364" s="468"/>
      <c r="HJ364" s="468"/>
      <c r="HK364" s="468"/>
      <c r="HL364" s="468"/>
      <c r="HM364" s="468"/>
      <c r="HN364" s="468"/>
      <c r="HO364" s="468"/>
      <c r="HP364" s="468"/>
      <c r="HQ364" s="468"/>
      <c r="HR364" s="468"/>
      <c r="HS364" s="468"/>
      <c r="HT364" s="468"/>
      <c r="HU364" s="468"/>
      <c r="HV364" s="468"/>
      <c r="HW364" s="468"/>
      <c r="HX364" s="468"/>
      <c r="HY364" s="468"/>
      <c r="HZ364" s="468"/>
      <c r="IA364" s="468"/>
      <c r="IB364" s="468"/>
      <c r="IC364" s="468"/>
      <c r="ID364" s="468"/>
      <c r="IE364" s="468"/>
      <c r="IF364" s="468"/>
      <c r="IG364" s="468"/>
      <c r="IH364" s="468"/>
      <c r="II364" s="468"/>
      <c r="IJ364" s="468"/>
      <c r="IK364" s="468"/>
      <c r="IL364" s="468"/>
      <c r="IM364" s="468"/>
      <c r="IN364" s="468"/>
      <c r="IO364" s="468"/>
      <c r="IP364" s="468"/>
      <c r="IQ364" s="468"/>
      <c r="IR364" s="468"/>
      <c r="IS364" s="468"/>
      <c r="IT364" s="468"/>
      <c r="IU364" s="468"/>
      <c r="IV364" s="468"/>
      <c r="IW364" s="468"/>
      <c r="IX364" s="468"/>
      <c r="IY364" s="468"/>
      <c r="IZ364" s="468"/>
      <c r="JA364" s="468"/>
      <c r="JB364" s="468"/>
      <c r="JC364" s="468"/>
      <c r="JD364" s="468"/>
      <c r="JE364" s="468"/>
      <c r="JF364" s="468"/>
      <c r="JG364" s="468"/>
      <c r="JH364" s="468"/>
      <c r="JI364" s="468"/>
      <c r="JJ364" s="468"/>
      <c r="JK364" s="468"/>
      <c r="JL364" s="468"/>
      <c r="JM364" s="468"/>
      <c r="JN364" s="468"/>
      <c r="JO364" s="468"/>
      <c r="JP364" s="468"/>
      <c r="JQ364" s="468"/>
      <c r="JR364" s="468"/>
      <c r="JS364" s="468"/>
      <c r="JT364" s="468"/>
      <c r="JU364" s="468"/>
      <c r="JV364" s="468"/>
      <c r="JW364" s="468"/>
      <c r="JX364" s="468"/>
      <c r="JY364" s="468"/>
      <c r="JZ364" s="468"/>
      <c r="KA364" s="468"/>
      <c r="KB364" s="468"/>
      <c r="KC364" s="468"/>
      <c r="KD364" s="468"/>
      <c r="KE364" s="468"/>
      <c r="KF364" s="468"/>
      <c r="KG364" s="468"/>
      <c r="KH364" s="468"/>
      <c r="KI364" s="468"/>
      <c r="KJ364" s="468"/>
      <c r="KK364" s="468"/>
      <c r="KL364" s="468"/>
      <c r="KM364" s="468"/>
      <c r="KN364" s="468"/>
      <c r="KO364" s="468"/>
      <c r="KP364" s="468"/>
      <c r="KQ364" s="468"/>
      <c r="KR364" s="468"/>
      <c r="KS364" s="468"/>
      <c r="KT364" s="468"/>
      <c r="KU364" s="468"/>
      <c r="KV364" s="468"/>
    </row>
    <row r="365" spans="1:308" s="344" customFormat="1" ht="15.75" customHeight="1" x14ac:dyDescent="0.8">
      <c r="A365" s="344" t="s">
        <v>384</v>
      </c>
      <c r="B365" s="486">
        <v>6.5</v>
      </c>
      <c r="C365" s="336"/>
      <c r="F365" s="361" t="s">
        <v>342</v>
      </c>
      <c r="G365" s="46" t="s">
        <v>343</v>
      </c>
      <c r="H365" s="67" t="s">
        <v>303</v>
      </c>
      <c r="I365" s="653">
        <v>1</v>
      </c>
      <c r="J365" s="469"/>
      <c r="K365" s="470"/>
      <c r="L365" s="469"/>
      <c r="M365" s="470"/>
      <c r="N365" s="469"/>
      <c r="O365" s="475"/>
      <c r="P365" s="471"/>
      <c r="Q365" s="476"/>
      <c r="R365" s="471"/>
      <c r="S365" s="471"/>
      <c r="T365" s="471"/>
      <c r="U365" s="471"/>
      <c r="V365" s="468"/>
      <c r="W365" s="468"/>
      <c r="X365" s="468"/>
      <c r="Y365" s="468"/>
      <c r="Z365" s="468"/>
      <c r="AA365" s="468"/>
      <c r="AB365" s="468"/>
      <c r="AC365" s="468"/>
      <c r="AD365" s="468"/>
      <c r="AE365" s="468"/>
      <c r="AF365" s="468"/>
      <c r="AG365" s="468"/>
      <c r="AH365" s="468"/>
      <c r="AI365" s="468"/>
      <c r="AJ365" s="468"/>
      <c r="AK365" s="468"/>
      <c r="AL365" s="468"/>
      <c r="AM365" s="468"/>
      <c r="AN365" s="468"/>
      <c r="AO365" s="468"/>
      <c r="AP365" s="468"/>
      <c r="AQ365" s="468"/>
      <c r="AR365" s="468"/>
      <c r="AS365" s="468"/>
      <c r="AT365" s="468"/>
      <c r="AU365" s="468"/>
      <c r="AV365" s="468"/>
      <c r="AW365" s="468"/>
      <c r="AX365" s="468"/>
      <c r="AY365" s="468"/>
      <c r="AZ365" s="468"/>
      <c r="BA365" s="468"/>
      <c r="BB365" s="468"/>
      <c r="BC365" s="468"/>
      <c r="BD365" s="468"/>
      <c r="BE365" s="468"/>
      <c r="BF365" s="468"/>
      <c r="BG365" s="468"/>
      <c r="BH365" s="468"/>
      <c r="BI365" s="468"/>
      <c r="BJ365" s="468"/>
      <c r="BK365" s="468"/>
      <c r="BL365" s="468"/>
      <c r="BM365" s="468"/>
      <c r="BN365" s="468"/>
      <c r="BO365" s="468"/>
      <c r="BP365" s="468"/>
      <c r="BQ365" s="468"/>
      <c r="BR365" s="468"/>
      <c r="BS365" s="468"/>
      <c r="BT365" s="468"/>
      <c r="BU365" s="468"/>
      <c r="BV365" s="468"/>
      <c r="BW365" s="468"/>
      <c r="BX365" s="468"/>
      <c r="BY365" s="468"/>
      <c r="BZ365" s="468"/>
      <c r="CA365" s="468"/>
      <c r="CB365" s="468"/>
      <c r="CC365" s="468"/>
      <c r="CD365" s="468"/>
      <c r="CE365" s="468"/>
      <c r="CF365" s="468"/>
      <c r="CG365" s="468"/>
      <c r="CH365" s="468"/>
      <c r="CI365" s="468"/>
      <c r="CJ365" s="468"/>
      <c r="CK365" s="468"/>
      <c r="CL365" s="468"/>
      <c r="CM365" s="468"/>
      <c r="CN365" s="468"/>
      <c r="CO365" s="468"/>
      <c r="CP365" s="468"/>
      <c r="CQ365" s="468"/>
      <c r="CR365" s="468"/>
      <c r="CS365" s="468"/>
      <c r="CT365" s="468"/>
      <c r="CU365" s="468"/>
      <c r="CV365" s="468"/>
      <c r="CW365" s="468"/>
      <c r="CX365" s="468"/>
      <c r="CY365" s="468"/>
      <c r="CZ365" s="468"/>
      <c r="DA365" s="468"/>
      <c r="DB365" s="468"/>
      <c r="DC365" s="468"/>
      <c r="DD365" s="468"/>
      <c r="DE365" s="468"/>
      <c r="DF365" s="468"/>
      <c r="DG365" s="468"/>
      <c r="DH365" s="468"/>
      <c r="DI365" s="468"/>
      <c r="DJ365" s="468"/>
      <c r="DK365" s="468"/>
      <c r="DL365" s="468"/>
      <c r="DM365" s="468"/>
      <c r="DN365" s="468"/>
      <c r="DO365" s="468"/>
      <c r="DP365" s="468"/>
      <c r="DQ365" s="468"/>
      <c r="DR365" s="468"/>
      <c r="DS365" s="468"/>
      <c r="DT365" s="468"/>
      <c r="DU365" s="468"/>
      <c r="DV365" s="468"/>
      <c r="DW365" s="468"/>
      <c r="DX365" s="468"/>
      <c r="DY365" s="468"/>
      <c r="DZ365" s="468"/>
      <c r="EA365" s="468"/>
      <c r="EB365" s="468"/>
      <c r="EC365" s="468"/>
      <c r="ED365" s="468"/>
      <c r="EE365" s="468"/>
      <c r="EF365" s="468"/>
      <c r="EG365" s="468"/>
      <c r="EH365" s="468"/>
      <c r="EI365" s="468"/>
      <c r="EJ365" s="468"/>
      <c r="EK365" s="468"/>
      <c r="EL365" s="468"/>
      <c r="EM365" s="468"/>
      <c r="EN365" s="468"/>
      <c r="EO365" s="468"/>
      <c r="EP365" s="468"/>
      <c r="EQ365" s="468"/>
      <c r="ER365" s="468"/>
      <c r="ES365" s="468"/>
      <c r="ET365" s="468"/>
      <c r="EU365" s="468"/>
      <c r="EV365" s="468"/>
      <c r="EW365" s="468"/>
      <c r="EX365" s="468"/>
      <c r="EY365" s="468"/>
      <c r="EZ365" s="468"/>
      <c r="FA365" s="468"/>
      <c r="FB365" s="468"/>
      <c r="FC365" s="468"/>
      <c r="FD365" s="468"/>
      <c r="FE365" s="468"/>
      <c r="FF365" s="468"/>
      <c r="FG365" s="468"/>
      <c r="FH365" s="468"/>
      <c r="FI365" s="468"/>
      <c r="FJ365" s="468"/>
      <c r="FK365" s="468"/>
      <c r="FL365" s="468"/>
      <c r="FM365" s="468"/>
      <c r="FN365" s="468"/>
      <c r="FO365" s="468"/>
      <c r="FP365" s="468"/>
      <c r="FQ365" s="468"/>
      <c r="FR365" s="468"/>
      <c r="FS365" s="468"/>
      <c r="FT365" s="468"/>
      <c r="FU365" s="468"/>
      <c r="FV365" s="468"/>
      <c r="FW365" s="468"/>
      <c r="FX365" s="468"/>
      <c r="FY365" s="468"/>
      <c r="FZ365" s="468"/>
      <c r="GA365" s="468"/>
      <c r="GB365" s="468"/>
      <c r="GC365" s="468"/>
      <c r="GD365" s="468"/>
      <c r="GE365" s="468"/>
      <c r="GF365" s="468"/>
      <c r="GG365" s="468"/>
      <c r="GH365" s="468"/>
      <c r="GI365" s="468"/>
      <c r="GJ365" s="468"/>
      <c r="GK365" s="468"/>
      <c r="GL365" s="468"/>
      <c r="GM365" s="468"/>
      <c r="GN365" s="468"/>
      <c r="GO365" s="468"/>
      <c r="GP365" s="468"/>
      <c r="GQ365" s="468"/>
      <c r="GR365" s="468"/>
      <c r="GS365" s="468"/>
      <c r="GT365" s="468"/>
      <c r="GU365" s="468"/>
      <c r="GV365" s="468"/>
      <c r="GW365" s="468"/>
      <c r="GX365" s="468"/>
      <c r="GY365" s="468"/>
      <c r="GZ365" s="468"/>
      <c r="HA365" s="468"/>
      <c r="HB365" s="468"/>
      <c r="HC365" s="468"/>
      <c r="HD365" s="468"/>
      <c r="HE365" s="468"/>
      <c r="HF365" s="468"/>
      <c r="HG365" s="468"/>
      <c r="HH365" s="468"/>
      <c r="HI365" s="468"/>
      <c r="HJ365" s="468"/>
      <c r="HK365" s="468"/>
      <c r="HL365" s="468"/>
      <c r="HM365" s="468"/>
      <c r="HN365" s="468"/>
      <c r="HO365" s="468"/>
      <c r="HP365" s="468"/>
      <c r="HQ365" s="468"/>
      <c r="HR365" s="468"/>
      <c r="HS365" s="468"/>
      <c r="HT365" s="468"/>
      <c r="HU365" s="468"/>
      <c r="HV365" s="468"/>
      <c r="HW365" s="468"/>
      <c r="HX365" s="468"/>
      <c r="HY365" s="468"/>
      <c r="HZ365" s="468"/>
      <c r="IA365" s="468"/>
      <c r="IB365" s="468"/>
      <c r="IC365" s="468"/>
      <c r="ID365" s="468"/>
      <c r="IE365" s="468"/>
      <c r="IF365" s="468"/>
      <c r="IG365" s="468"/>
      <c r="IH365" s="468"/>
      <c r="II365" s="468"/>
      <c r="IJ365" s="468"/>
      <c r="IK365" s="468"/>
      <c r="IL365" s="468"/>
      <c r="IM365" s="468"/>
      <c r="IN365" s="468"/>
      <c r="IO365" s="468"/>
      <c r="IP365" s="468"/>
      <c r="IQ365" s="468"/>
      <c r="IR365" s="468"/>
      <c r="IS365" s="468"/>
      <c r="IT365" s="468"/>
      <c r="IU365" s="468"/>
      <c r="IV365" s="468"/>
      <c r="IW365" s="468"/>
      <c r="IX365" s="468"/>
      <c r="IY365" s="468"/>
      <c r="IZ365" s="468"/>
      <c r="JA365" s="468"/>
      <c r="JB365" s="468"/>
      <c r="JC365" s="468"/>
      <c r="JD365" s="468"/>
      <c r="JE365" s="468"/>
      <c r="JF365" s="468"/>
      <c r="JG365" s="468"/>
      <c r="JH365" s="468"/>
      <c r="JI365" s="468"/>
      <c r="JJ365" s="468"/>
      <c r="JK365" s="468"/>
      <c r="JL365" s="468"/>
      <c r="JM365" s="468"/>
      <c r="JN365" s="468"/>
      <c r="JO365" s="468"/>
      <c r="JP365" s="468"/>
      <c r="JQ365" s="468"/>
      <c r="JR365" s="468"/>
      <c r="JS365" s="468"/>
      <c r="JT365" s="468"/>
      <c r="JU365" s="468"/>
      <c r="JV365" s="468"/>
      <c r="JW365" s="468"/>
      <c r="JX365" s="468"/>
      <c r="JY365" s="468"/>
      <c r="JZ365" s="468"/>
      <c r="KA365" s="468"/>
      <c r="KB365" s="468"/>
      <c r="KC365" s="468"/>
      <c r="KD365" s="468"/>
      <c r="KE365" s="468"/>
      <c r="KF365" s="468"/>
      <c r="KG365" s="468"/>
      <c r="KH365" s="468"/>
      <c r="KI365" s="468"/>
      <c r="KJ365" s="468"/>
      <c r="KK365" s="468"/>
      <c r="KL365" s="468"/>
      <c r="KM365" s="468"/>
      <c r="KN365" s="468"/>
      <c r="KO365" s="468"/>
      <c r="KP365" s="468"/>
      <c r="KQ365" s="468"/>
      <c r="KR365" s="468"/>
      <c r="KS365" s="468"/>
      <c r="KT365" s="468"/>
      <c r="KU365" s="468"/>
      <c r="KV365" s="468"/>
    </row>
    <row r="366" spans="1:308" s="344" customFormat="1" ht="15.75" customHeight="1" x14ac:dyDescent="0.8">
      <c r="A366" s="344" t="s">
        <v>384</v>
      </c>
      <c r="B366" s="486">
        <v>9.5</v>
      </c>
      <c r="C366" s="336"/>
      <c r="F366" s="127" t="s">
        <v>226</v>
      </c>
      <c r="G366" s="46" t="s">
        <v>343</v>
      </c>
      <c r="H366" s="67" t="s">
        <v>303</v>
      </c>
      <c r="I366" s="653">
        <v>-2.1</v>
      </c>
      <c r="J366" s="469"/>
      <c r="K366" s="470"/>
      <c r="L366" s="469"/>
      <c r="M366" s="470"/>
      <c r="N366" s="469"/>
      <c r="O366" s="475"/>
      <c r="P366" s="471"/>
      <c r="Q366" s="476"/>
      <c r="R366" s="471"/>
      <c r="S366" s="471"/>
      <c r="T366" s="471"/>
      <c r="U366" s="471"/>
      <c r="V366" s="468"/>
      <c r="W366" s="468"/>
      <c r="X366" s="468"/>
      <c r="Y366" s="468"/>
      <c r="Z366" s="468"/>
      <c r="AA366" s="468"/>
      <c r="AB366" s="468"/>
      <c r="AC366" s="468"/>
      <c r="AD366" s="468"/>
      <c r="AE366" s="468"/>
      <c r="AF366" s="468"/>
      <c r="AG366" s="468"/>
      <c r="AH366" s="468"/>
      <c r="AI366" s="468"/>
      <c r="AJ366" s="468"/>
      <c r="AK366" s="468"/>
      <c r="AL366" s="468"/>
      <c r="AM366" s="468"/>
      <c r="AN366" s="468"/>
      <c r="AO366" s="468"/>
      <c r="AP366" s="468"/>
      <c r="AQ366" s="468"/>
      <c r="AR366" s="468"/>
      <c r="AS366" s="468"/>
      <c r="AT366" s="468"/>
      <c r="AU366" s="468"/>
      <c r="AV366" s="468"/>
      <c r="AW366" s="468"/>
      <c r="AX366" s="468"/>
      <c r="AY366" s="468"/>
      <c r="AZ366" s="468"/>
      <c r="BA366" s="468"/>
      <c r="BB366" s="468"/>
      <c r="BC366" s="468"/>
      <c r="BD366" s="468"/>
      <c r="BE366" s="468"/>
      <c r="BF366" s="468"/>
      <c r="BG366" s="468"/>
      <c r="BH366" s="468"/>
      <c r="BI366" s="468"/>
      <c r="BJ366" s="468"/>
      <c r="BK366" s="468"/>
      <c r="BL366" s="468"/>
      <c r="BM366" s="468"/>
      <c r="BN366" s="468"/>
      <c r="BO366" s="468"/>
      <c r="BP366" s="468"/>
      <c r="BQ366" s="468"/>
      <c r="BR366" s="468"/>
      <c r="BS366" s="468"/>
      <c r="BT366" s="468"/>
      <c r="BU366" s="468"/>
      <c r="BV366" s="468"/>
      <c r="BW366" s="468"/>
      <c r="BX366" s="468"/>
      <c r="BY366" s="468"/>
      <c r="BZ366" s="468"/>
      <c r="CA366" s="468"/>
      <c r="CB366" s="468"/>
      <c r="CC366" s="468"/>
      <c r="CD366" s="468"/>
      <c r="CE366" s="468"/>
      <c r="CF366" s="468"/>
      <c r="CG366" s="468"/>
      <c r="CH366" s="468"/>
      <c r="CI366" s="468"/>
      <c r="CJ366" s="468"/>
      <c r="CK366" s="468"/>
      <c r="CL366" s="468"/>
      <c r="CM366" s="468"/>
      <c r="CN366" s="468"/>
      <c r="CO366" s="468"/>
      <c r="CP366" s="468"/>
      <c r="CQ366" s="468"/>
      <c r="CR366" s="468"/>
      <c r="CS366" s="468"/>
      <c r="CT366" s="468"/>
      <c r="CU366" s="468"/>
      <c r="CV366" s="468"/>
      <c r="CW366" s="468"/>
      <c r="CX366" s="468"/>
      <c r="CY366" s="468"/>
      <c r="CZ366" s="468"/>
      <c r="DA366" s="468"/>
      <c r="DB366" s="468"/>
      <c r="DC366" s="468"/>
      <c r="DD366" s="468"/>
      <c r="DE366" s="468"/>
      <c r="DF366" s="468"/>
      <c r="DG366" s="468"/>
      <c r="DH366" s="468"/>
      <c r="DI366" s="468"/>
      <c r="DJ366" s="468"/>
      <c r="DK366" s="468"/>
      <c r="DL366" s="468"/>
      <c r="DM366" s="468"/>
      <c r="DN366" s="468"/>
      <c r="DO366" s="468"/>
      <c r="DP366" s="468"/>
      <c r="DQ366" s="468"/>
      <c r="DR366" s="468"/>
      <c r="DS366" s="468"/>
      <c r="DT366" s="468"/>
      <c r="DU366" s="468"/>
      <c r="DV366" s="468"/>
      <c r="DW366" s="468"/>
      <c r="DX366" s="468"/>
      <c r="DY366" s="468"/>
      <c r="DZ366" s="468"/>
      <c r="EA366" s="468"/>
      <c r="EB366" s="468"/>
      <c r="EC366" s="468"/>
      <c r="ED366" s="468"/>
      <c r="EE366" s="468"/>
      <c r="EF366" s="468"/>
      <c r="EG366" s="468"/>
      <c r="EH366" s="468"/>
      <c r="EI366" s="468"/>
      <c r="EJ366" s="468"/>
      <c r="EK366" s="468"/>
      <c r="EL366" s="468"/>
      <c r="EM366" s="468"/>
      <c r="EN366" s="468"/>
      <c r="EO366" s="468"/>
      <c r="EP366" s="468"/>
      <c r="EQ366" s="468"/>
      <c r="ER366" s="468"/>
      <c r="ES366" s="468"/>
      <c r="ET366" s="468"/>
      <c r="EU366" s="468"/>
      <c r="EV366" s="468"/>
      <c r="EW366" s="468"/>
      <c r="EX366" s="468"/>
      <c r="EY366" s="468"/>
      <c r="EZ366" s="468"/>
      <c r="FA366" s="468"/>
      <c r="FB366" s="468"/>
      <c r="FC366" s="468"/>
      <c r="FD366" s="468"/>
      <c r="FE366" s="468"/>
      <c r="FF366" s="468"/>
      <c r="FG366" s="468"/>
      <c r="FH366" s="468"/>
      <c r="FI366" s="468"/>
      <c r="FJ366" s="468"/>
      <c r="FK366" s="468"/>
      <c r="FL366" s="468"/>
      <c r="FM366" s="468"/>
      <c r="FN366" s="468"/>
      <c r="FO366" s="468"/>
      <c r="FP366" s="468"/>
      <c r="FQ366" s="468"/>
      <c r="FR366" s="468"/>
      <c r="FS366" s="468"/>
      <c r="FT366" s="468"/>
      <c r="FU366" s="468"/>
      <c r="FV366" s="468"/>
      <c r="FW366" s="468"/>
      <c r="FX366" s="468"/>
      <c r="FY366" s="468"/>
      <c r="FZ366" s="468"/>
      <c r="GA366" s="468"/>
      <c r="GB366" s="468"/>
      <c r="GC366" s="468"/>
      <c r="GD366" s="468"/>
      <c r="GE366" s="468"/>
      <c r="GF366" s="468"/>
      <c r="GG366" s="468"/>
      <c r="GH366" s="468"/>
      <c r="GI366" s="468"/>
      <c r="GJ366" s="468"/>
      <c r="GK366" s="468"/>
      <c r="GL366" s="468"/>
      <c r="GM366" s="468"/>
      <c r="GN366" s="468"/>
      <c r="GO366" s="468"/>
      <c r="GP366" s="468"/>
      <c r="GQ366" s="468"/>
      <c r="GR366" s="468"/>
      <c r="GS366" s="468"/>
      <c r="GT366" s="468"/>
      <c r="GU366" s="468"/>
      <c r="GV366" s="468"/>
      <c r="GW366" s="468"/>
      <c r="GX366" s="468"/>
      <c r="GY366" s="468"/>
      <c r="GZ366" s="468"/>
      <c r="HA366" s="468"/>
      <c r="HB366" s="468"/>
      <c r="HC366" s="468"/>
      <c r="HD366" s="468"/>
      <c r="HE366" s="468"/>
      <c r="HF366" s="468"/>
      <c r="HG366" s="468"/>
      <c r="HH366" s="468"/>
      <c r="HI366" s="468"/>
      <c r="HJ366" s="468"/>
      <c r="HK366" s="468"/>
      <c r="HL366" s="468"/>
      <c r="HM366" s="468"/>
      <c r="HN366" s="468"/>
      <c r="HO366" s="468"/>
      <c r="HP366" s="468"/>
      <c r="HQ366" s="468"/>
      <c r="HR366" s="468"/>
      <c r="HS366" s="468"/>
      <c r="HT366" s="468"/>
      <c r="HU366" s="468"/>
      <c r="HV366" s="468"/>
      <c r="HW366" s="468"/>
      <c r="HX366" s="468"/>
      <c r="HY366" s="468"/>
      <c r="HZ366" s="468"/>
      <c r="IA366" s="468"/>
      <c r="IB366" s="468"/>
      <c r="IC366" s="468"/>
      <c r="ID366" s="468"/>
      <c r="IE366" s="468"/>
      <c r="IF366" s="468"/>
      <c r="IG366" s="468"/>
      <c r="IH366" s="468"/>
      <c r="II366" s="468"/>
      <c r="IJ366" s="468"/>
      <c r="IK366" s="468"/>
      <c r="IL366" s="468"/>
      <c r="IM366" s="468"/>
      <c r="IN366" s="468"/>
      <c r="IO366" s="468"/>
      <c r="IP366" s="468"/>
      <c r="IQ366" s="468"/>
      <c r="IR366" s="468"/>
      <c r="IS366" s="468"/>
      <c r="IT366" s="468"/>
      <c r="IU366" s="468"/>
      <c r="IV366" s="468"/>
      <c r="IW366" s="468"/>
      <c r="IX366" s="468"/>
      <c r="IY366" s="468"/>
      <c r="IZ366" s="468"/>
      <c r="JA366" s="468"/>
      <c r="JB366" s="468"/>
      <c r="JC366" s="468"/>
      <c r="JD366" s="468"/>
      <c r="JE366" s="468"/>
      <c r="JF366" s="468"/>
      <c r="JG366" s="468"/>
      <c r="JH366" s="468"/>
      <c r="JI366" s="468"/>
      <c r="JJ366" s="468"/>
      <c r="JK366" s="468"/>
      <c r="JL366" s="468"/>
      <c r="JM366" s="468"/>
      <c r="JN366" s="468"/>
      <c r="JO366" s="468"/>
      <c r="JP366" s="468"/>
      <c r="JQ366" s="468"/>
      <c r="JR366" s="468"/>
      <c r="JS366" s="468"/>
      <c r="JT366" s="468"/>
      <c r="JU366" s="468"/>
      <c r="JV366" s="468"/>
      <c r="JW366" s="468"/>
      <c r="JX366" s="468"/>
      <c r="JY366" s="468"/>
      <c r="JZ366" s="468"/>
      <c r="KA366" s="468"/>
      <c r="KB366" s="468"/>
      <c r="KC366" s="468"/>
      <c r="KD366" s="468"/>
      <c r="KE366" s="468"/>
      <c r="KF366" s="468"/>
      <c r="KG366" s="468"/>
      <c r="KH366" s="468"/>
      <c r="KI366" s="468"/>
      <c r="KJ366" s="468"/>
      <c r="KK366" s="468"/>
      <c r="KL366" s="468"/>
      <c r="KM366" s="468"/>
      <c r="KN366" s="468"/>
      <c r="KO366" s="468"/>
      <c r="KP366" s="468"/>
      <c r="KQ366" s="468"/>
      <c r="KR366" s="468"/>
      <c r="KS366" s="468"/>
      <c r="KT366" s="468"/>
      <c r="KU366" s="468"/>
      <c r="KV366" s="468"/>
    </row>
    <row r="367" spans="1:308" s="344" customFormat="1" ht="15.75" customHeight="1" x14ac:dyDescent="0.8">
      <c r="A367" s="344" t="s">
        <v>384</v>
      </c>
      <c r="B367" s="486">
        <v>8.5</v>
      </c>
      <c r="C367" s="336"/>
      <c r="F367" s="127" t="s">
        <v>358</v>
      </c>
      <c r="G367" s="46" t="s">
        <v>329</v>
      </c>
      <c r="H367" s="67" t="s">
        <v>303</v>
      </c>
      <c r="I367" s="653">
        <v>-10.199999999999999</v>
      </c>
      <c r="J367" s="469"/>
      <c r="K367" s="470"/>
      <c r="L367" s="469"/>
      <c r="M367" s="470"/>
      <c r="N367" s="469"/>
      <c r="O367" s="475"/>
      <c r="P367" s="471"/>
      <c r="Q367" s="476"/>
      <c r="R367" s="471"/>
      <c r="S367" s="471"/>
      <c r="T367" s="471"/>
      <c r="U367" s="471"/>
      <c r="V367" s="468"/>
      <c r="W367" s="468"/>
      <c r="X367" s="468"/>
      <c r="Y367" s="468"/>
      <c r="Z367" s="468"/>
      <c r="AA367" s="468"/>
      <c r="AB367" s="468"/>
      <c r="AC367" s="468"/>
      <c r="AD367" s="468"/>
      <c r="AE367" s="468"/>
      <c r="AF367" s="468"/>
      <c r="AG367" s="468"/>
      <c r="AH367" s="468"/>
      <c r="AI367" s="468"/>
      <c r="AJ367" s="468"/>
      <c r="AK367" s="468"/>
      <c r="AL367" s="468"/>
      <c r="AM367" s="468"/>
      <c r="AN367" s="468"/>
      <c r="AO367" s="468"/>
      <c r="AP367" s="468"/>
      <c r="AQ367" s="468"/>
      <c r="AR367" s="468"/>
      <c r="AS367" s="468"/>
      <c r="AT367" s="468"/>
      <c r="AU367" s="468"/>
      <c r="AV367" s="468"/>
      <c r="AW367" s="468"/>
      <c r="AX367" s="468"/>
      <c r="AY367" s="468"/>
      <c r="AZ367" s="468"/>
      <c r="BA367" s="468"/>
      <c r="BB367" s="468"/>
      <c r="BC367" s="468"/>
      <c r="BD367" s="468"/>
      <c r="BE367" s="468"/>
      <c r="BF367" s="468"/>
      <c r="BG367" s="468"/>
      <c r="BH367" s="468"/>
      <c r="BI367" s="468"/>
      <c r="BJ367" s="468"/>
      <c r="BK367" s="468"/>
      <c r="BL367" s="468"/>
      <c r="BM367" s="468"/>
      <c r="BN367" s="468"/>
      <c r="BO367" s="468"/>
      <c r="BP367" s="468"/>
      <c r="BQ367" s="468"/>
      <c r="BR367" s="468"/>
      <c r="BS367" s="468"/>
      <c r="BT367" s="468"/>
      <c r="BU367" s="468"/>
      <c r="BV367" s="468"/>
      <c r="BW367" s="468"/>
      <c r="BX367" s="468"/>
      <c r="BY367" s="468"/>
      <c r="BZ367" s="468"/>
      <c r="CA367" s="468"/>
      <c r="CB367" s="468"/>
      <c r="CC367" s="468"/>
      <c r="CD367" s="468"/>
      <c r="CE367" s="468"/>
      <c r="CF367" s="468"/>
      <c r="CG367" s="468"/>
      <c r="CH367" s="468"/>
      <c r="CI367" s="468"/>
      <c r="CJ367" s="468"/>
      <c r="CK367" s="468"/>
      <c r="CL367" s="468"/>
      <c r="CM367" s="468"/>
      <c r="CN367" s="468"/>
      <c r="CO367" s="468"/>
      <c r="CP367" s="468"/>
      <c r="CQ367" s="468"/>
      <c r="CR367" s="468"/>
      <c r="CS367" s="468"/>
      <c r="CT367" s="468"/>
      <c r="CU367" s="468"/>
      <c r="CV367" s="468"/>
      <c r="CW367" s="468"/>
      <c r="CX367" s="468"/>
      <c r="CY367" s="468"/>
      <c r="CZ367" s="468"/>
      <c r="DA367" s="468"/>
      <c r="DB367" s="468"/>
      <c r="DC367" s="468"/>
      <c r="DD367" s="468"/>
      <c r="DE367" s="468"/>
      <c r="DF367" s="468"/>
      <c r="DG367" s="468"/>
      <c r="DH367" s="468"/>
      <c r="DI367" s="468"/>
      <c r="DJ367" s="468"/>
      <c r="DK367" s="468"/>
      <c r="DL367" s="468"/>
      <c r="DM367" s="468"/>
      <c r="DN367" s="468"/>
      <c r="DO367" s="468"/>
      <c r="DP367" s="468"/>
      <c r="DQ367" s="468"/>
      <c r="DR367" s="468"/>
      <c r="DS367" s="468"/>
      <c r="DT367" s="468"/>
      <c r="DU367" s="468"/>
      <c r="DV367" s="468"/>
      <c r="DW367" s="468"/>
      <c r="DX367" s="468"/>
      <c r="DY367" s="468"/>
      <c r="DZ367" s="468"/>
      <c r="EA367" s="468"/>
      <c r="EB367" s="468"/>
      <c r="EC367" s="468"/>
      <c r="ED367" s="468"/>
      <c r="EE367" s="468"/>
      <c r="EF367" s="468"/>
      <c r="EG367" s="468"/>
      <c r="EH367" s="468"/>
      <c r="EI367" s="468"/>
      <c r="EJ367" s="468"/>
      <c r="EK367" s="468"/>
      <c r="EL367" s="468"/>
      <c r="EM367" s="468"/>
      <c r="EN367" s="468"/>
      <c r="EO367" s="468"/>
      <c r="EP367" s="468"/>
      <c r="EQ367" s="468"/>
      <c r="ER367" s="468"/>
      <c r="ES367" s="468"/>
      <c r="ET367" s="468"/>
      <c r="EU367" s="468"/>
      <c r="EV367" s="468"/>
      <c r="EW367" s="468"/>
      <c r="EX367" s="468"/>
      <c r="EY367" s="468"/>
      <c r="EZ367" s="468"/>
      <c r="FA367" s="468"/>
      <c r="FB367" s="468"/>
      <c r="FC367" s="468"/>
      <c r="FD367" s="468"/>
      <c r="FE367" s="468"/>
      <c r="FF367" s="468"/>
      <c r="FG367" s="468"/>
      <c r="FH367" s="468"/>
      <c r="FI367" s="468"/>
      <c r="FJ367" s="468"/>
      <c r="FK367" s="468"/>
      <c r="FL367" s="468"/>
      <c r="FM367" s="468"/>
      <c r="FN367" s="468"/>
      <c r="FO367" s="468"/>
      <c r="FP367" s="468"/>
      <c r="FQ367" s="468"/>
      <c r="FR367" s="468"/>
      <c r="FS367" s="468"/>
      <c r="FT367" s="468"/>
      <c r="FU367" s="468"/>
      <c r="FV367" s="468"/>
      <c r="FW367" s="468"/>
      <c r="FX367" s="468"/>
      <c r="FY367" s="468"/>
      <c r="FZ367" s="468"/>
      <c r="GA367" s="468"/>
      <c r="GB367" s="468"/>
      <c r="GC367" s="468"/>
      <c r="GD367" s="468"/>
      <c r="GE367" s="468"/>
      <c r="GF367" s="468"/>
      <c r="GG367" s="468"/>
      <c r="GH367" s="468"/>
      <c r="GI367" s="468"/>
      <c r="GJ367" s="468"/>
      <c r="GK367" s="468"/>
      <c r="GL367" s="468"/>
      <c r="GM367" s="468"/>
      <c r="GN367" s="468"/>
      <c r="GO367" s="468"/>
      <c r="GP367" s="468"/>
      <c r="GQ367" s="468"/>
      <c r="GR367" s="468"/>
      <c r="GS367" s="468"/>
      <c r="GT367" s="468"/>
      <c r="GU367" s="468"/>
      <c r="GV367" s="468"/>
      <c r="GW367" s="468"/>
      <c r="GX367" s="468"/>
      <c r="GY367" s="468"/>
      <c r="GZ367" s="468"/>
      <c r="HA367" s="468"/>
      <c r="HB367" s="468"/>
      <c r="HC367" s="468"/>
      <c r="HD367" s="468"/>
      <c r="HE367" s="468"/>
      <c r="HF367" s="468"/>
      <c r="HG367" s="468"/>
      <c r="HH367" s="468"/>
      <c r="HI367" s="468"/>
      <c r="HJ367" s="468"/>
      <c r="HK367" s="468"/>
      <c r="HL367" s="468"/>
      <c r="HM367" s="468"/>
      <c r="HN367" s="468"/>
      <c r="HO367" s="468"/>
      <c r="HP367" s="468"/>
      <c r="HQ367" s="468"/>
      <c r="HR367" s="468"/>
      <c r="HS367" s="468"/>
      <c r="HT367" s="468"/>
      <c r="HU367" s="468"/>
      <c r="HV367" s="468"/>
      <c r="HW367" s="468"/>
      <c r="HX367" s="468"/>
      <c r="HY367" s="468"/>
      <c r="HZ367" s="468"/>
      <c r="IA367" s="468"/>
      <c r="IB367" s="468"/>
      <c r="IC367" s="468"/>
      <c r="ID367" s="468"/>
      <c r="IE367" s="468"/>
      <c r="IF367" s="468"/>
      <c r="IG367" s="468"/>
      <c r="IH367" s="468"/>
      <c r="II367" s="468"/>
      <c r="IJ367" s="468"/>
      <c r="IK367" s="468"/>
      <c r="IL367" s="468"/>
      <c r="IM367" s="468"/>
      <c r="IN367" s="468"/>
      <c r="IO367" s="468"/>
      <c r="IP367" s="468"/>
      <c r="IQ367" s="468"/>
      <c r="IR367" s="468"/>
      <c r="IS367" s="468"/>
      <c r="IT367" s="468"/>
      <c r="IU367" s="468"/>
      <c r="IV367" s="468"/>
      <c r="IW367" s="468"/>
      <c r="IX367" s="468"/>
      <c r="IY367" s="468"/>
      <c r="IZ367" s="468"/>
      <c r="JA367" s="468"/>
      <c r="JB367" s="468"/>
      <c r="JC367" s="468"/>
      <c r="JD367" s="468"/>
      <c r="JE367" s="468"/>
      <c r="JF367" s="468"/>
      <c r="JG367" s="468"/>
      <c r="JH367" s="468"/>
      <c r="JI367" s="468"/>
      <c r="JJ367" s="468"/>
      <c r="JK367" s="468"/>
      <c r="JL367" s="468"/>
      <c r="JM367" s="468"/>
      <c r="JN367" s="468"/>
      <c r="JO367" s="468"/>
      <c r="JP367" s="468"/>
      <c r="JQ367" s="468"/>
      <c r="JR367" s="468"/>
      <c r="JS367" s="468"/>
      <c r="JT367" s="468"/>
      <c r="JU367" s="468"/>
      <c r="JV367" s="468"/>
      <c r="JW367" s="468"/>
      <c r="JX367" s="468"/>
      <c r="JY367" s="468"/>
      <c r="JZ367" s="468"/>
      <c r="KA367" s="468"/>
      <c r="KB367" s="468"/>
      <c r="KC367" s="468"/>
      <c r="KD367" s="468"/>
      <c r="KE367" s="468"/>
      <c r="KF367" s="468"/>
      <c r="KG367" s="468"/>
      <c r="KH367" s="468"/>
      <c r="KI367" s="468"/>
      <c r="KJ367" s="468"/>
      <c r="KK367" s="468"/>
      <c r="KL367" s="468"/>
      <c r="KM367" s="468"/>
      <c r="KN367" s="468"/>
      <c r="KO367" s="468"/>
      <c r="KP367" s="468"/>
      <c r="KQ367" s="468"/>
      <c r="KR367" s="468"/>
      <c r="KS367" s="468"/>
      <c r="KT367" s="468"/>
      <c r="KU367" s="468"/>
      <c r="KV367" s="468"/>
    </row>
    <row r="368" spans="1:308" s="344" customFormat="1" ht="15.75" customHeight="1" x14ac:dyDescent="0.8">
      <c r="A368" s="344" t="s">
        <v>384</v>
      </c>
      <c r="B368" s="486">
        <v>12.5</v>
      </c>
      <c r="C368" s="336"/>
      <c r="F368" s="127" t="s">
        <v>328</v>
      </c>
      <c r="G368" s="46" t="s">
        <v>329</v>
      </c>
      <c r="H368" s="67" t="s">
        <v>303</v>
      </c>
      <c r="I368" s="653">
        <v>9</v>
      </c>
      <c r="J368" s="469"/>
      <c r="K368" s="470"/>
      <c r="L368" s="469"/>
      <c r="M368" s="470"/>
      <c r="N368" s="469"/>
      <c r="O368" s="475"/>
      <c r="P368" s="471"/>
      <c r="Q368" s="476"/>
      <c r="R368" s="471"/>
      <c r="S368" s="471"/>
      <c r="T368" s="471"/>
      <c r="U368" s="471"/>
      <c r="V368" s="468"/>
      <c r="W368" s="468"/>
      <c r="X368" s="468"/>
      <c r="Y368" s="468"/>
      <c r="Z368" s="468"/>
      <c r="AA368" s="468"/>
      <c r="AB368" s="468"/>
      <c r="AC368" s="468"/>
      <c r="AD368" s="468"/>
      <c r="AE368" s="468"/>
      <c r="AF368" s="468"/>
      <c r="AG368" s="468"/>
      <c r="AH368" s="468"/>
      <c r="AI368" s="468"/>
      <c r="AJ368" s="468"/>
      <c r="AK368" s="468"/>
      <c r="AL368" s="468"/>
      <c r="AM368" s="468"/>
      <c r="AN368" s="468"/>
      <c r="AO368" s="468"/>
      <c r="AP368" s="468"/>
      <c r="AQ368" s="468"/>
      <c r="AR368" s="468"/>
      <c r="AS368" s="468"/>
      <c r="AT368" s="468"/>
      <c r="AU368" s="468"/>
      <c r="AV368" s="468"/>
      <c r="AW368" s="468"/>
      <c r="AX368" s="468"/>
      <c r="AY368" s="468"/>
      <c r="AZ368" s="468"/>
      <c r="BA368" s="468"/>
      <c r="BB368" s="468"/>
      <c r="BC368" s="468"/>
      <c r="BD368" s="468"/>
      <c r="BE368" s="468"/>
      <c r="BF368" s="468"/>
      <c r="BG368" s="468"/>
      <c r="BH368" s="468"/>
      <c r="BI368" s="468"/>
      <c r="BJ368" s="468"/>
      <c r="BK368" s="468"/>
      <c r="BL368" s="468"/>
      <c r="BM368" s="468"/>
      <c r="BN368" s="468"/>
      <c r="BO368" s="468"/>
      <c r="BP368" s="468"/>
      <c r="BQ368" s="468"/>
      <c r="BR368" s="468"/>
      <c r="BS368" s="468"/>
      <c r="BT368" s="468"/>
      <c r="BU368" s="468"/>
      <c r="BV368" s="468"/>
      <c r="BW368" s="468"/>
      <c r="BX368" s="468"/>
      <c r="BY368" s="468"/>
      <c r="BZ368" s="468"/>
      <c r="CA368" s="468"/>
      <c r="CB368" s="468"/>
      <c r="CC368" s="468"/>
      <c r="CD368" s="468"/>
      <c r="CE368" s="468"/>
      <c r="CF368" s="468"/>
      <c r="CG368" s="468"/>
      <c r="CH368" s="468"/>
      <c r="CI368" s="468"/>
      <c r="CJ368" s="468"/>
      <c r="CK368" s="468"/>
      <c r="CL368" s="468"/>
      <c r="CM368" s="468"/>
      <c r="CN368" s="468"/>
      <c r="CO368" s="468"/>
      <c r="CP368" s="468"/>
      <c r="CQ368" s="468"/>
      <c r="CR368" s="468"/>
      <c r="CS368" s="468"/>
      <c r="CT368" s="468"/>
      <c r="CU368" s="468"/>
      <c r="CV368" s="468"/>
      <c r="CW368" s="468"/>
      <c r="CX368" s="468"/>
      <c r="CY368" s="468"/>
      <c r="CZ368" s="468"/>
      <c r="DA368" s="468"/>
      <c r="DB368" s="468"/>
      <c r="DC368" s="468"/>
      <c r="DD368" s="468"/>
      <c r="DE368" s="468"/>
      <c r="DF368" s="468"/>
      <c r="DG368" s="468"/>
      <c r="DH368" s="468"/>
      <c r="DI368" s="468"/>
      <c r="DJ368" s="468"/>
      <c r="DK368" s="468"/>
      <c r="DL368" s="468"/>
      <c r="DM368" s="468"/>
      <c r="DN368" s="468"/>
      <c r="DO368" s="468"/>
      <c r="DP368" s="468"/>
      <c r="DQ368" s="468"/>
      <c r="DR368" s="468"/>
      <c r="DS368" s="468"/>
      <c r="DT368" s="468"/>
      <c r="DU368" s="468"/>
      <c r="DV368" s="468"/>
      <c r="DW368" s="468"/>
      <c r="DX368" s="468"/>
      <c r="DY368" s="468"/>
      <c r="DZ368" s="468"/>
      <c r="EA368" s="468"/>
      <c r="EB368" s="468"/>
      <c r="EC368" s="468"/>
      <c r="ED368" s="468"/>
      <c r="EE368" s="468"/>
      <c r="EF368" s="468"/>
      <c r="EG368" s="468"/>
      <c r="EH368" s="468"/>
      <c r="EI368" s="468"/>
      <c r="EJ368" s="468"/>
      <c r="EK368" s="468"/>
      <c r="EL368" s="468"/>
      <c r="EM368" s="468"/>
      <c r="EN368" s="468"/>
      <c r="EO368" s="468"/>
      <c r="EP368" s="468"/>
      <c r="EQ368" s="468"/>
      <c r="ER368" s="468"/>
      <c r="ES368" s="468"/>
      <c r="ET368" s="468"/>
      <c r="EU368" s="468"/>
      <c r="EV368" s="468"/>
      <c r="EW368" s="468"/>
      <c r="EX368" s="468"/>
      <c r="EY368" s="468"/>
      <c r="EZ368" s="468"/>
      <c r="FA368" s="468"/>
      <c r="FB368" s="468"/>
      <c r="FC368" s="468"/>
      <c r="FD368" s="468"/>
      <c r="FE368" s="468"/>
      <c r="FF368" s="468"/>
      <c r="FG368" s="468"/>
      <c r="FH368" s="468"/>
      <c r="FI368" s="468"/>
      <c r="FJ368" s="468"/>
      <c r="FK368" s="468"/>
      <c r="FL368" s="468"/>
      <c r="FM368" s="468"/>
      <c r="FN368" s="468"/>
      <c r="FO368" s="468"/>
      <c r="FP368" s="468"/>
      <c r="FQ368" s="468"/>
      <c r="FR368" s="468"/>
      <c r="FS368" s="468"/>
      <c r="FT368" s="468"/>
      <c r="FU368" s="468"/>
      <c r="FV368" s="468"/>
      <c r="FW368" s="468"/>
      <c r="FX368" s="468"/>
      <c r="FY368" s="468"/>
      <c r="FZ368" s="468"/>
      <c r="GA368" s="468"/>
      <c r="GB368" s="468"/>
      <c r="GC368" s="468"/>
      <c r="GD368" s="468"/>
      <c r="GE368" s="468"/>
      <c r="GF368" s="468"/>
      <c r="GG368" s="468"/>
      <c r="GH368" s="468"/>
      <c r="GI368" s="468"/>
      <c r="GJ368" s="468"/>
      <c r="GK368" s="468"/>
      <c r="GL368" s="468"/>
      <c r="GM368" s="468"/>
      <c r="GN368" s="468"/>
      <c r="GO368" s="468"/>
      <c r="GP368" s="468"/>
      <c r="GQ368" s="468"/>
      <c r="GR368" s="468"/>
      <c r="GS368" s="468"/>
      <c r="GT368" s="468"/>
      <c r="GU368" s="468"/>
      <c r="GV368" s="468"/>
      <c r="GW368" s="468"/>
      <c r="GX368" s="468"/>
      <c r="GY368" s="468"/>
      <c r="GZ368" s="468"/>
      <c r="HA368" s="468"/>
      <c r="HB368" s="468"/>
      <c r="HC368" s="468"/>
      <c r="HD368" s="468"/>
      <c r="HE368" s="468"/>
      <c r="HF368" s="468"/>
      <c r="HG368" s="468"/>
      <c r="HH368" s="468"/>
      <c r="HI368" s="468"/>
      <c r="HJ368" s="468"/>
      <c r="HK368" s="468"/>
      <c r="HL368" s="468"/>
      <c r="HM368" s="468"/>
      <c r="HN368" s="468"/>
      <c r="HO368" s="468"/>
      <c r="HP368" s="468"/>
      <c r="HQ368" s="468"/>
      <c r="HR368" s="468"/>
      <c r="HS368" s="468"/>
      <c r="HT368" s="468"/>
      <c r="HU368" s="468"/>
      <c r="HV368" s="468"/>
      <c r="HW368" s="468"/>
      <c r="HX368" s="468"/>
      <c r="HY368" s="468"/>
      <c r="HZ368" s="468"/>
      <c r="IA368" s="468"/>
      <c r="IB368" s="468"/>
      <c r="IC368" s="468"/>
      <c r="ID368" s="468"/>
      <c r="IE368" s="468"/>
      <c r="IF368" s="468"/>
      <c r="IG368" s="468"/>
      <c r="IH368" s="468"/>
      <c r="II368" s="468"/>
      <c r="IJ368" s="468"/>
      <c r="IK368" s="468"/>
      <c r="IL368" s="468"/>
      <c r="IM368" s="468"/>
      <c r="IN368" s="468"/>
      <c r="IO368" s="468"/>
      <c r="IP368" s="468"/>
      <c r="IQ368" s="468"/>
      <c r="IR368" s="468"/>
      <c r="IS368" s="468"/>
      <c r="IT368" s="468"/>
      <c r="IU368" s="468"/>
      <c r="IV368" s="468"/>
      <c r="IW368" s="468"/>
      <c r="IX368" s="468"/>
      <c r="IY368" s="468"/>
      <c r="IZ368" s="468"/>
      <c r="JA368" s="468"/>
      <c r="JB368" s="468"/>
      <c r="JC368" s="468"/>
      <c r="JD368" s="468"/>
      <c r="JE368" s="468"/>
      <c r="JF368" s="468"/>
      <c r="JG368" s="468"/>
      <c r="JH368" s="468"/>
      <c r="JI368" s="468"/>
      <c r="JJ368" s="468"/>
      <c r="JK368" s="468"/>
      <c r="JL368" s="468"/>
      <c r="JM368" s="468"/>
      <c r="JN368" s="468"/>
      <c r="JO368" s="468"/>
      <c r="JP368" s="468"/>
      <c r="JQ368" s="468"/>
      <c r="JR368" s="468"/>
      <c r="JS368" s="468"/>
      <c r="JT368" s="468"/>
      <c r="JU368" s="468"/>
      <c r="JV368" s="468"/>
      <c r="JW368" s="468"/>
      <c r="JX368" s="468"/>
      <c r="JY368" s="468"/>
      <c r="JZ368" s="468"/>
      <c r="KA368" s="468"/>
      <c r="KB368" s="468"/>
      <c r="KC368" s="468"/>
      <c r="KD368" s="468"/>
      <c r="KE368" s="468"/>
      <c r="KF368" s="468"/>
      <c r="KG368" s="468"/>
      <c r="KH368" s="468"/>
      <c r="KI368" s="468"/>
      <c r="KJ368" s="468"/>
      <c r="KK368" s="468"/>
      <c r="KL368" s="468"/>
      <c r="KM368" s="468"/>
      <c r="KN368" s="468"/>
      <c r="KO368" s="468"/>
      <c r="KP368" s="468"/>
      <c r="KQ368" s="468"/>
      <c r="KR368" s="468"/>
      <c r="KS368" s="468"/>
      <c r="KT368" s="468"/>
      <c r="KU368" s="468"/>
      <c r="KV368" s="468"/>
    </row>
    <row r="369" spans="1:308" s="344" customFormat="1" ht="15.4" customHeight="1" x14ac:dyDescent="0.8">
      <c r="A369" s="344" t="s">
        <v>384</v>
      </c>
      <c r="B369" s="486">
        <v>9</v>
      </c>
      <c r="C369" s="336"/>
      <c r="F369" s="361" t="s">
        <v>357</v>
      </c>
      <c r="G369" s="46" t="s">
        <v>329</v>
      </c>
      <c r="H369" s="67" t="s">
        <v>303</v>
      </c>
      <c r="I369" s="653">
        <v>1.5</v>
      </c>
      <c r="J369" s="469"/>
      <c r="K369" s="470"/>
      <c r="L369" s="469"/>
      <c r="M369" s="470"/>
      <c r="N369" s="469"/>
      <c r="O369" s="475"/>
      <c r="P369" s="471"/>
      <c r="Q369" s="476"/>
      <c r="R369" s="471"/>
      <c r="S369" s="471"/>
      <c r="T369" s="471"/>
      <c r="U369" s="471"/>
      <c r="V369" s="468"/>
      <c r="W369" s="468"/>
      <c r="X369" s="468"/>
      <c r="Y369" s="468"/>
      <c r="Z369" s="468"/>
      <c r="AA369" s="468"/>
      <c r="AB369" s="468"/>
      <c r="AC369" s="468"/>
      <c r="AD369" s="468"/>
      <c r="AE369" s="468"/>
      <c r="AF369" s="468"/>
      <c r="AG369" s="468"/>
      <c r="AH369" s="468"/>
      <c r="AI369" s="468"/>
      <c r="AJ369" s="468"/>
      <c r="AK369" s="468"/>
      <c r="AL369" s="468"/>
      <c r="AM369" s="468"/>
      <c r="AN369" s="468"/>
      <c r="AO369" s="468"/>
      <c r="AP369" s="468"/>
      <c r="AQ369" s="468"/>
      <c r="AR369" s="468"/>
      <c r="AS369" s="468"/>
      <c r="AT369" s="468"/>
      <c r="AU369" s="468"/>
      <c r="AV369" s="468"/>
      <c r="AW369" s="468"/>
      <c r="AX369" s="468"/>
      <c r="AY369" s="468"/>
      <c r="AZ369" s="468"/>
      <c r="BA369" s="468"/>
      <c r="BB369" s="468"/>
      <c r="BC369" s="468"/>
      <c r="BD369" s="468"/>
      <c r="BE369" s="468"/>
      <c r="BF369" s="468"/>
      <c r="BG369" s="468"/>
      <c r="BH369" s="468"/>
      <c r="BI369" s="468"/>
      <c r="BJ369" s="468"/>
      <c r="BK369" s="468"/>
      <c r="BL369" s="468"/>
      <c r="BM369" s="468"/>
      <c r="BN369" s="468"/>
      <c r="BO369" s="468"/>
      <c r="BP369" s="468"/>
      <c r="BQ369" s="468"/>
      <c r="BR369" s="468"/>
      <c r="BS369" s="468"/>
      <c r="BT369" s="468"/>
      <c r="BU369" s="468"/>
      <c r="BV369" s="468"/>
      <c r="BW369" s="468"/>
      <c r="BX369" s="468"/>
      <c r="BY369" s="468"/>
      <c r="BZ369" s="468"/>
      <c r="CA369" s="468"/>
      <c r="CB369" s="468"/>
      <c r="CC369" s="468"/>
      <c r="CD369" s="468"/>
      <c r="CE369" s="468"/>
      <c r="CF369" s="468"/>
      <c r="CG369" s="468"/>
      <c r="CH369" s="468"/>
      <c r="CI369" s="468"/>
      <c r="CJ369" s="468"/>
      <c r="CK369" s="468"/>
      <c r="CL369" s="468"/>
      <c r="CM369" s="468"/>
      <c r="CN369" s="468"/>
      <c r="CO369" s="468"/>
      <c r="CP369" s="468"/>
      <c r="CQ369" s="468"/>
      <c r="CR369" s="468"/>
      <c r="CS369" s="468"/>
      <c r="CT369" s="468"/>
      <c r="CU369" s="468"/>
      <c r="CV369" s="468"/>
      <c r="CW369" s="468"/>
      <c r="CX369" s="468"/>
      <c r="CY369" s="468"/>
      <c r="CZ369" s="468"/>
      <c r="DA369" s="468"/>
      <c r="DB369" s="468"/>
      <c r="DC369" s="468"/>
      <c r="DD369" s="468"/>
      <c r="DE369" s="468"/>
      <c r="DF369" s="468"/>
      <c r="DG369" s="468"/>
      <c r="DH369" s="468"/>
      <c r="DI369" s="468"/>
      <c r="DJ369" s="468"/>
      <c r="DK369" s="468"/>
      <c r="DL369" s="468"/>
      <c r="DM369" s="468"/>
      <c r="DN369" s="468"/>
      <c r="DO369" s="468"/>
      <c r="DP369" s="468"/>
      <c r="DQ369" s="468"/>
      <c r="DR369" s="468"/>
      <c r="DS369" s="468"/>
      <c r="DT369" s="468"/>
      <c r="DU369" s="468"/>
      <c r="DV369" s="468"/>
      <c r="DW369" s="468"/>
      <c r="DX369" s="468"/>
      <c r="DY369" s="468"/>
      <c r="DZ369" s="468"/>
      <c r="EA369" s="468"/>
      <c r="EB369" s="468"/>
      <c r="EC369" s="468"/>
      <c r="ED369" s="468"/>
      <c r="EE369" s="468"/>
      <c r="EF369" s="468"/>
      <c r="EG369" s="468"/>
      <c r="EH369" s="468"/>
      <c r="EI369" s="468"/>
      <c r="EJ369" s="468"/>
      <c r="EK369" s="468"/>
      <c r="EL369" s="468"/>
      <c r="EM369" s="468"/>
      <c r="EN369" s="468"/>
      <c r="EO369" s="468"/>
      <c r="EP369" s="468"/>
      <c r="EQ369" s="468"/>
      <c r="ER369" s="468"/>
      <c r="ES369" s="468"/>
      <c r="ET369" s="468"/>
      <c r="EU369" s="468"/>
      <c r="EV369" s="468"/>
      <c r="EW369" s="468"/>
      <c r="EX369" s="468"/>
      <c r="EY369" s="468"/>
      <c r="EZ369" s="468"/>
      <c r="FA369" s="468"/>
      <c r="FB369" s="468"/>
      <c r="FC369" s="468"/>
      <c r="FD369" s="468"/>
      <c r="FE369" s="468"/>
      <c r="FF369" s="468"/>
      <c r="FG369" s="468"/>
      <c r="FH369" s="468"/>
      <c r="FI369" s="468"/>
      <c r="FJ369" s="468"/>
      <c r="FK369" s="468"/>
      <c r="FL369" s="468"/>
      <c r="FM369" s="468"/>
      <c r="FN369" s="468"/>
      <c r="FO369" s="468"/>
      <c r="FP369" s="468"/>
      <c r="FQ369" s="468"/>
      <c r="FR369" s="468"/>
      <c r="FS369" s="468"/>
      <c r="FT369" s="468"/>
      <c r="FU369" s="468"/>
      <c r="FV369" s="468"/>
      <c r="FW369" s="468"/>
      <c r="FX369" s="468"/>
      <c r="FY369" s="468"/>
      <c r="FZ369" s="468"/>
      <c r="GA369" s="468"/>
      <c r="GB369" s="468"/>
      <c r="GC369" s="468"/>
      <c r="GD369" s="468"/>
      <c r="GE369" s="468"/>
      <c r="GF369" s="468"/>
      <c r="GG369" s="468"/>
      <c r="GH369" s="468"/>
      <c r="GI369" s="468"/>
      <c r="GJ369" s="468"/>
      <c r="GK369" s="468"/>
      <c r="GL369" s="468"/>
      <c r="GM369" s="468"/>
      <c r="GN369" s="468"/>
      <c r="GO369" s="468"/>
      <c r="GP369" s="468"/>
      <c r="GQ369" s="468"/>
      <c r="GR369" s="468"/>
      <c r="GS369" s="468"/>
      <c r="GT369" s="468"/>
      <c r="GU369" s="468"/>
      <c r="GV369" s="468"/>
      <c r="GW369" s="468"/>
      <c r="GX369" s="468"/>
      <c r="GY369" s="468"/>
      <c r="GZ369" s="468"/>
      <c r="HA369" s="468"/>
      <c r="HB369" s="468"/>
      <c r="HC369" s="468"/>
      <c r="HD369" s="468"/>
      <c r="HE369" s="468"/>
      <c r="HF369" s="468"/>
      <c r="HG369" s="468"/>
      <c r="HH369" s="468"/>
      <c r="HI369" s="468"/>
      <c r="HJ369" s="468"/>
      <c r="HK369" s="468"/>
      <c r="HL369" s="468"/>
      <c r="HM369" s="468"/>
      <c r="HN369" s="468"/>
      <c r="HO369" s="468"/>
      <c r="HP369" s="468"/>
      <c r="HQ369" s="468"/>
      <c r="HR369" s="468"/>
      <c r="HS369" s="468"/>
      <c r="HT369" s="468"/>
      <c r="HU369" s="468"/>
      <c r="HV369" s="468"/>
      <c r="HW369" s="468"/>
      <c r="HX369" s="468"/>
      <c r="HY369" s="468"/>
      <c r="HZ369" s="468"/>
      <c r="IA369" s="468"/>
      <c r="IB369" s="468"/>
      <c r="IC369" s="468"/>
      <c r="ID369" s="468"/>
      <c r="IE369" s="468"/>
      <c r="IF369" s="468"/>
      <c r="IG369" s="468"/>
      <c r="IH369" s="468"/>
      <c r="II369" s="468"/>
      <c r="IJ369" s="468"/>
      <c r="IK369" s="468"/>
      <c r="IL369" s="468"/>
      <c r="IM369" s="468"/>
      <c r="IN369" s="468"/>
      <c r="IO369" s="468"/>
      <c r="IP369" s="468"/>
      <c r="IQ369" s="468"/>
      <c r="IR369" s="468"/>
      <c r="IS369" s="468"/>
      <c r="IT369" s="468"/>
      <c r="IU369" s="468"/>
      <c r="IV369" s="468"/>
      <c r="IW369" s="468"/>
      <c r="IX369" s="468"/>
      <c r="IY369" s="468"/>
      <c r="IZ369" s="468"/>
      <c r="JA369" s="468"/>
      <c r="JB369" s="468"/>
      <c r="JC369" s="468"/>
      <c r="JD369" s="468"/>
      <c r="JE369" s="468"/>
      <c r="JF369" s="468"/>
      <c r="JG369" s="468"/>
      <c r="JH369" s="468"/>
      <c r="JI369" s="468"/>
      <c r="JJ369" s="468"/>
      <c r="JK369" s="468"/>
      <c r="JL369" s="468"/>
      <c r="JM369" s="468"/>
      <c r="JN369" s="468"/>
      <c r="JO369" s="468"/>
      <c r="JP369" s="468"/>
      <c r="JQ369" s="468"/>
      <c r="JR369" s="468"/>
      <c r="JS369" s="468"/>
      <c r="JT369" s="468"/>
      <c r="JU369" s="468"/>
      <c r="JV369" s="468"/>
      <c r="JW369" s="468"/>
      <c r="JX369" s="468"/>
      <c r="JY369" s="468"/>
      <c r="JZ369" s="468"/>
      <c r="KA369" s="468"/>
      <c r="KB369" s="468"/>
      <c r="KC369" s="468"/>
      <c r="KD369" s="468"/>
      <c r="KE369" s="468"/>
      <c r="KF369" s="468"/>
      <c r="KG369" s="468"/>
      <c r="KH369" s="468"/>
      <c r="KI369" s="468"/>
      <c r="KJ369" s="468"/>
      <c r="KK369" s="468"/>
      <c r="KL369" s="468"/>
      <c r="KM369" s="468"/>
      <c r="KN369" s="468"/>
      <c r="KO369" s="468"/>
      <c r="KP369" s="468"/>
      <c r="KQ369" s="468"/>
      <c r="KR369" s="468"/>
      <c r="KS369" s="468"/>
      <c r="KT369" s="468"/>
      <c r="KU369" s="468"/>
      <c r="KV369" s="468"/>
    </row>
    <row r="370" spans="1:308" s="344" customFormat="1" ht="15.75" customHeight="1" x14ac:dyDescent="0.8">
      <c r="A370" s="344" t="s">
        <v>384</v>
      </c>
      <c r="B370" s="486">
        <v>7</v>
      </c>
      <c r="C370" s="336"/>
      <c r="F370" s="127" t="s">
        <v>295</v>
      </c>
      <c r="G370" s="46" t="s">
        <v>329</v>
      </c>
      <c r="H370" s="67" t="s">
        <v>303</v>
      </c>
      <c r="I370" s="653">
        <v>2.7</v>
      </c>
      <c r="J370" s="469"/>
      <c r="K370" s="470"/>
      <c r="L370" s="469"/>
      <c r="M370" s="470"/>
      <c r="N370" s="469"/>
      <c r="O370" s="475"/>
      <c r="P370" s="471"/>
      <c r="Q370" s="476"/>
      <c r="R370" s="471"/>
      <c r="S370" s="471"/>
      <c r="T370" s="471"/>
      <c r="U370" s="471"/>
      <c r="V370" s="468"/>
      <c r="W370" s="468"/>
      <c r="X370" s="468"/>
      <c r="Y370" s="468"/>
      <c r="Z370" s="468"/>
      <c r="AA370" s="468"/>
      <c r="AB370" s="468"/>
      <c r="AC370" s="468"/>
      <c r="AD370" s="468"/>
      <c r="AE370" s="468"/>
      <c r="AF370" s="468"/>
      <c r="AG370" s="468"/>
      <c r="AH370" s="468"/>
      <c r="AI370" s="468"/>
      <c r="AJ370" s="468"/>
      <c r="AK370" s="468"/>
      <c r="AL370" s="468"/>
      <c r="AM370" s="468"/>
      <c r="AN370" s="468"/>
      <c r="AO370" s="468"/>
      <c r="AP370" s="468"/>
      <c r="AQ370" s="468"/>
      <c r="AR370" s="468"/>
      <c r="AS370" s="468"/>
      <c r="AT370" s="468"/>
      <c r="AU370" s="468"/>
      <c r="AV370" s="468"/>
      <c r="AW370" s="468"/>
      <c r="AX370" s="468"/>
      <c r="AY370" s="468"/>
      <c r="AZ370" s="468"/>
      <c r="BA370" s="468"/>
      <c r="BB370" s="468"/>
      <c r="BC370" s="468"/>
      <c r="BD370" s="468"/>
      <c r="BE370" s="468"/>
      <c r="BF370" s="468"/>
      <c r="BG370" s="468"/>
      <c r="BH370" s="468"/>
      <c r="BI370" s="468"/>
      <c r="BJ370" s="468"/>
      <c r="BK370" s="468"/>
      <c r="BL370" s="468"/>
      <c r="BM370" s="468"/>
      <c r="BN370" s="468"/>
      <c r="BO370" s="468"/>
      <c r="BP370" s="468"/>
      <c r="BQ370" s="468"/>
      <c r="BR370" s="468"/>
      <c r="BS370" s="468"/>
      <c r="BT370" s="468"/>
      <c r="BU370" s="468"/>
      <c r="BV370" s="468"/>
      <c r="BW370" s="468"/>
      <c r="BX370" s="468"/>
      <c r="BY370" s="468"/>
      <c r="BZ370" s="468"/>
      <c r="CA370" s="468"/>
      <c r="CB370" s="468"/>
      <c r="CC370" s="468"/>
      <c r="CD370" s="468"/>
      <c r="CE370" s="468"/>
      <c r="CF370" s="468"/>
      <c r="CG370" s="468"/>
      <c r="CH370" s="468"/>
      <c r="CI370" s="468"/>
      <c r="CJ370" s="468"/>
      <c r="CK370" s="468"/>
      <c r="CL370" s="468"/>
      <c r="CM370" s="468"/>
      <c r="CN370" s="468"/>
      <c r="CO370" s="468"/>
      <c r="CP370" s="468"/>
      <c r="CQ370" s="468"/>
      <c r="CR370" s="468"/>
      <c r="CS370" s="468"/>
      <c r="CT370" s="468"/>
      <c r="CU370" s="468"/>
      <c r="CV370" s="468"/>
      <c r="CW370" s="468"/>
      <c r="CX370" s="468"/>
      <c r="CY370" s="468"/>
      <c r="CZ370" s="468"/>
      <c r="DA370" s="468"/>
      <c r="DB370" s="468"/>
      <c r="DC370" s="468"/>
      <c r="DD370" s="468"/>
      <c r="DE370" s="468"/>
      <c r="DF370" s="468"/>
      <c r="DG370" s="468"/>
      <c r="DH370" s="468"/>
      <c r="DI370" s="468"/>
      <c r="DJ370" s="468"/>
      <c r="DK370" s="468"/>
      <c r="DL370" s="468"/>
      <c r="DM370" s="468"/>
      <c r="DN370" s="468"/>
      <c r="DO370" s="468"/>
      <c r="DP370" s="468"/>
      <c r="DQ370" s="468"/>
      <c r="DR370" s="468"/>
      <c r="DS370" s="468"/>
      <c r="DT370" s="468"/>
      <c r="DU370" s="468"/>
      <c r="DV370" s="468"/>
      <c r="DW370" s="468"/>
      <c r="DX370" s="468"/>
      <c r="DY370" s="468"/>
      <c r="DZ370" s="468"/>
      <c r="EA370" s="468"/>
      <c r="EB370" s="468"/>
      <c r="EC370" s="468"/>
      <c r="ED370" s="468"/>
      <c r="EE370" s="468"/>
      <c r="EF370" s="468"/>
      <c r="EG370" s="468"/>
      <c r="EH370" s="468"/>
      <c r="EI370" s="468"/>
      <c r="EJ370" s="468"/>
      <c r="EK370" s="468"/>
      <c r="EL370" s="468"/>
      <c r="EM370" s="468"/>
      <c r="EN370" s="468"/>
      <c r="EO370" s="468"/>
      <c r="EP370" s="468"/>
      <c r="EQ370" s="468"/>
      <c r="ER370" s="468"/>
      <c r="ES370" s="468"/>
      <c r="ET370" s="468"/>
      <c r="EU370" s="468"/>
      <c r="EV370" s="468"/>
      <c r="EW370" s="468"/>
      <c r="EX370" s="468"/>
      <c r="EY370" s="468"/>
      <c r="EZ370" s="468"/>
      <c r="FA370" s="468"/>
      <c r="FB370" s="468"/>
      <c r="FC370" s="468"/>
      <c r="FD370" s="468"/>
      <c r="FE370" s="468"/>
      <c r="FF370" s="468"/>
      <c r="FG370" s="468"/>
      <c r="FH370" s="468"/>
      <c r="FI370" s="468"/>
      <c r="FJ370" s="468"/>
      <c r="FK370" s="468"/>
      <c r="FL370" s="468"/>
      <c r="FM370" s="468"/>
      <c r="FN370" s="468"/>
      <c r="FO370" s="468"/>
      <c r="FP370" s="468"/>
      <c r="FQ370" s="468"/>
      <c r="FR370" s="468"/>
      <c r="FS370" s="468"/>
      <c r="FT370" s="468"/>
      <c r="FU370" s="468"/>
      <c r="FV370" s="468"/>
      <c r="FW370" s="468"/>
      <c r="FX370" s="468"/>
      <c r="FY370" s="468"/>
      <c r="FZ370" s="468"/>
      <c r="GA370" s="468"/>
      <c r="GB370" s="468"/>
      <c r="GC370" s="468"/>
      <c r="GD370" s="468"/>
      <c r="GE370" s="468"/>
      <c r="GF370" s="468"/>
      <c r="GG370" s="468"/>
      <c r="GH370" s="468"/>
      <c r="GI370" s="468"/>
      <c r="GJ370" s="468"/>
      <c r="GK370" s="468"/>
      <c r="GL370" s="468"/>
      <c r="GM370" s="468"/>
      <c r="GN370" s="468"/>
      <c r="GO370" s="468"/>
      <c r="GP370" s="468"/>
      <c r="GQ370" s="468"/>
      <c r="GR370" s="468"/>
      <c r="GS370" s="468"/>
      <c r="GT370" s="468"/>
      <c r="GU370" s="468"/>
      <c r="GV370" s="468"/>
      <c r="GW370" s="468"/>
      <c r="GX370" s="468"/>
      <c r="GY370" s="468"/>
      <c r="GZ370" s="468"/>
      <c r="HA370" s="468"/>
      <c r="HB370" s="468"/>
      <c r="HC370" s="468"/>
      <c r="HD370" s="468"/>
      <c r="HE370" s="468"/>
      <c r="HF370" s="468"/>
      <c r="HG370" s="468"/>
      <c r="HH370" s="468"/>
      <c r="HI370" s="468"/>
      <c r="HJ370" s="468"/>
      <c r="HK370" s="468"/>
      <c r="HL370" s="468"/>
      <c r="HM370" s="468"/>
      <c r="HN370" s="468"/>
      <c r="HO370" s="468"/>
      <c r="HP370" s="468"/>
      <c r="HQ370" s="468"/>
      <c r="HR370" s="468"/>
      <c r="HS370" s="468"/>
      <c r="HT370" s="468"/>
      <c r="HU370" s="468"/>
      <c r="HV370" s="468"/>
      <c r="HW370" s="468"/>
      <c r="HX370" s="468"/>
      <c r="HY370" s="468"/>
      <c r="HZ370" s="468"/>
      <c r="IA370" s="468"/>
      <c r="IB370" s="468"/>
      <c r="IC370" s="468"/>
      <c r="ID370" s="468"/>
      <c r="IE370" s="468"/>
      <c r="IF370" s="468"/>
      <c r="IG370" s="468"/>
      <c r="IH370" s="468"/>
      <c r="II370" s="468"/>
      <c r="IJ370" s="468"/>
      <c r="IK370" s="468"/>
      <c r="IL370" s="468"/>
      <c r="IM370" s="468"/>
      <c r="IN370" s="468"/>
      <c r="IO370" s="468"/>
      <c r="IP370" s="468"/>
      <c r="IQ370" s="468"/>
      <c r="IR370" s="468"/>
      <c r="IS370" s="468"/>
      <c r="IT370" s="468"/>
      <c r="IU370" s="468"/>
      <c r="IV370" s="468"/>
      <c r="IW370" s="468"/>
      <c r="IX370" s="468"/>
      <c r="IY370" s="468"/>
      <c r="IZ370" s="468"/>
      <c r="JA370" s="468"/>
      <c r="JB370" s="468"/>
      <c r="JC370" s="468"/>
      <c r="JD370" s="468"/>
      <c r="JE370" s="468"/>
      <c r="JF370" s="468"/>
      <c r="JG370" s="468"/>
      <c r="JH370" s="468"/>
      <c r="JI370" s="468"/>
      <c r="JJ370" s="468"/>
      <c r="JK370" s="468"/>
      <c r="JL370" s="468"/>
      <c r="JM370" s="468"/>
      <c r="JN370" s="468"/>
      <c r="JO370" s="468"/>
      <c r="JP370" s="468"/>
      <c r="JQ370" s="468"/>
      <c r="JR370" s="468"/>
      <c r="JS370" s="468"/>
      <c r="JT370" s="468"/>
      <c r="JU370" s="468"/>
      <c r="JV370" s="468"/>
      <c r="JW370" s="468"/>
      <c r="JX370" s="468"/>
      <c r="JY370" s="468"/>
      <c r="JZ370" s="468"/>
      <c r="KA370" s="468"/>
      <c r="KB370" s="468"/>
      <c r="KC370" s="468"/>
      <c r="KD370" s="468"/>
      <c r="KE370" s="468"/>
      <c r="KF370" s="468"/>
      <c r="KG370" s="468"/>
      <c r="KH370" s="468"/>
      <c r="KI370" s="468"/>
      <c r="KJ370" s="468"/>
      <c r="KK370" s="468"/>
      <c r="KL370" s="468"/>
      <c r="KM370" s="468"/>
      <c r="KN370" s="468"/>
      <c r="KO370" s="468"/>
      <c r="KP370" s="468"/>
      <c r="KQ370" s="468"/>
      <c r="KR370" s="468"/>
      <c r="KS370" s="468"/>
      <c r="KT370" s="468"/>
      <c r="KU370" s="468"/>
      <c r="KV370" s="468"/>
    </row>
    <row r="371" spans="1:308" s="344" customFormat="1" ht="15.75" customHeight="1" x14ac:dyDescent="0.8">
      <c r="A371" s="344" t="s">
        <v>384</v>
      </c>
      <c r="B371" s="486">
        <v>9.5</v>
      </c>
      <c r="C371" s="336"/>
      <c r="F371" s="361" t="s">
        <v>355</v>
      </c>
      <c r="G371" s="46" t="s">
        <v>347</v>
      </c>
      <c r="H371" s="67" t="s">
        <v>118</v>
      </c>
      <c r="I371" s="653">
        <v>3.9</v>
      </c>
      <c r="J371" s="469"/>
      <c r="K371" s="470"/>
      <c r="L371" s="469"/>
      <c r="M371" s="470"/>
      <c r="N371" s="469"/>
      <c r="O371" s="475"/>
      <c r="P371" s="471"/>
      <c r="Q371" s="476"/>
      <c r="R371" s="471"/>
      <c r="S371" s="471"/>
      <c r="T371" s="471"/>
      <c r="U371" s="471"/>
      <c r="V371" s="468"/>
      <c r="W371" s="468"/>
      <c r="X371" s="468"/>
      <c r="Y371" s="468"/>
      <c r="Z371" s="468"/>
      <c r="AA371" s="468"/>
      <c r="AB371" s="468"/>
      <c r="AC371" s="468"/>
      <c r="AD371" s="468"/>
      <c r="AE371" s="468"/>
      <c r="AF371" s="468"/>
      <c r="AG371" s="468"/>
      <c r="AH371" s="468"/>
      <c r="AI371" s="468"/>
      <c r="AJ371" s="468"/>
      <c r="AK371" s="468"/>
      <c r="AL371" s="468"/>
      <c r="AM371" s="468"/>
      <c r="AN371" s="468"/>
      <c r="AO371" s="468"/>
      <c r="AP371" s="468"/>
      <c r="AQ371" s="468"/>
      <c r="AR371" s="468"/>
      <c r="AS371" s="468"/>
      <c r="AT371" s="468"/>
      <c r="AU371" s="468"/>
      <c r="AV371" s="468"/>
      <c r="AW371" s="468"/>
      <c r="AX371" s="468"/>
      <c r="AY371" s="468"/>
      <c r="AZ371" s="468"/>
      <c r="BA371" s="468"/>
      <c r="BB371" s="468"/>
      <c r="BC371" s="468"/>
      <c r="BD371" s="468"/>
      <c r="BE371" s="468"/>
      <c r="BF371" s="468"/>
      <c r="BG371" s="468"/>
      <c r="BH371" s="468"/>
      <c r="BI371" s="468"/>
      <c r="BJ371" s="468"/>
      <c r="BK371" s="468"/>
      <c r="BL371" s="468"/>
      <c r="BM371" s="468"/>
      <c r="BN371" s="468"/>
      <c r="BO371" s="468"/>
      <c r="BP371" s="468"/>
      <c r="BQ371" s="468"/>
      <c r="BR371" s="468"/>
      <c r="BS371" s="468"/>
      <c r="BT371" s="468"/>
      <c r="BU371" s="468"/>
      <c r="BV371" s="468"/>
      <c r="BW371" s="468"/>
      <c r="BX371" s="468"/>
      <c r="BY371" s="468"/>
      <c r="BZ371" s="468"/>
      <c r="CA371" s="468"/>
      <c r="CB371" s="468"/>
      <c r="CC371" s="468"/>
      <c r="CD371" s="468"/>
      <c r="CE371" s="468"/>
      <c r="CF371" s="468"/>
      <c r="CG371" s="468"/>
      <c r="CH371" s="468"/>
      <c r="CI371" s="468"/>
      <c r="CJ371" s="468"/>
      <c r="CK371" s="468"/>
      <c r="CL371" s="468"/>
      <c r="CM371" s="468"/>
      <c r="CN371" s="468"/>
      <c r="CO371" s="468"/>
      <c r="CP371" s="468"/>
      <c r="CQ371" s="468"/>
      <c r="CR371" s="468"/>
      <c r="CS371" s="468"/>
      <c r="CT371" s="468"/>
      <c r="CU371" s="468"/>
      <c r="CV371" s="468"/>
      <c r="CW371" s="468"/>
      <c r="CX371" s="468"/>
      <c r="CY371" s="468"/>
      <c r="CZ371" s="468"/>
      <c r="DA371" s="468"/>
      <c r="DB371" s="468"/>
      <c r="DC371" s="468"/>
      <c r="DD371" s="468"/>
      <c r="DE371" s="468"/>
      <c r="DF371" s="468"/>
      <c r="DG371" s="468"/>
      <c r="DH371" s="468"/>
      <c r="DI371" s="468"/>
      <c r="DJ371" s="468"/>
      <c r="DK371" s="468"/>
      <c r="DL371" s="468"/>
      <c r="DM371" s="468"/>
      <c r="DN371" s="468"/>
      <c r="DO371" s="468"/>
      <c r="DP371" s="468"/>
      <c r="DQ371" s="468"/>
      <c r="DR371" s="468"/>
      <c r="DS371" s="468"/>
      <c r="DT371" s="468"/>
      <c r="DU371" s="468"/>
      <c r="DV371" s="468"/>
      <c r="DW371" s="468"/>
      <c r="DX371" s="468"/>
      <c r="DY371" s="468"/>
      <c r="DZ371" s="468"/>
      <c r="EA371" s="468"/>
      <c r="EB371" s="468"/>
      <c r="EC371" s="468"/>
      <c r="ED371" s="468"/>
      <c r="EE371" s="468"/>
      <c r="EF371" s="468"/>
      <c r="EG371" s="468"/>
      <c r="EH371" s="468"/>
      <c r="EI371" s="468"/>
      <c r="EJ371" s="468"/>
      <c r="EK371" s="468"/>
      <c r="EL371" s="468"/>
      <c r="EM371" s="468"/>
      <c r="EN371" s="468"/>
      <c r="EO371" s="468"/>
      <c r="EP371" s="468"/>
      <c r="EQ371" s="468"/>
      <c r="ER371" s="468"/>
      <c r="ES371" s="468"/>
      <c r="ET371" s="468"/>
      <c r="EU371" s="468"/>
      <c r="EV371" s="468"/>
      <c r="EW371" s="468"/>
      <c r="EX371" s="468"/>
      <c r="EY371" s="468"/>
      <c r="EZ371" s="468"/>
      <c r="FA371" s="468"/>
      <c r="FB371" s="468"/>
      <c r="FC371" s="468"/>
      <c r="FD371" s="468"/>
      <c r="FE371" s="468"/>
      <c r="FF371" s="468"/>
      <c r="FG371" s="468"/>
      <c r="FH371" s="468"/>
      <c r="FI371" s="468"/>
      <c r="FJ371" s="468"/>
      <c r="FK371" s="468"/>
      <c r="FL371" s="468"/>
      <c r="FM371" s="468"/>
      <c r="FN371" s="468"/>
      <c r="FO371" s="468"/>
      <c r="FP371" s="468"/>
      <c r="FQ371" s="468"/>
      <c r="FR371" s="468"/>
      <c r="FS371" s="468"/>
      <c r="FT371" s="468"/>
      <c r="FU371" s="468"/>
      <c r="FV371" s="468"/>
      <c r="FW371" s="468"/>
      <c r="FX371" s="468"/>
      <c r="FY371" s="468"/>
      <c r="FZ371" s="468"/>
      <c r="GA371" s="468"/>
      <c r="GB371" s="468"/>
      <c r="GC371" s="468"/>
      <c r="GD371" s="468"/>
      <c r="GE371" s="468"/>
      <c r="GF371" s="468"/>
      <c r="GG371" s="468"/>
      <c r="GH371" s="468"/>
      <c r="GI371" s="468"/>
      <c r="GJ371" s="468"/>
      <c r="GK371" s="468"/>
      <c r="GL371" s="468"/>
      <c r="GM371" s="468"/>
      <c r="GN371" s="468"/>
      <c r="GO371" s="468"/>
      <c r="GP371" s="468"/>
      <c r="GQ371" s="468"/>
      <c r="GR371" s="468"/>
      <c r="GS371" s="468"/>
      <c r="GT371" s="468"/>
      <c r="GU371" s="468"/>
      <c r="GV371" s="468"/>
      <c r="GW371" s="468"/>
      <c r="GX371" s="468"/>
      <c r="GY371" s="468"/>
      <c r="GZ371" s="468"/>
      <c r="HA371" s="468"/>
      <c r="HB371" s="468"/>
      <c r="HC371" s="468"/>
      <c r="HD371" s="468"/>
      <c r="HE371" s="468"/>
      <c r="HF371" s="468"/>
      <c r="HG371" s="468"/>
      <c r="HH371" s="468"/>
      <c r="HI371" s="468"/>
      <c r="HJ371" s="468"/>
      <c r="HK371" s="468"/>
      <c r="HL371" s="468"/>
      <c r="HM371" s="468"/>
      <c r="HN371" s="468"/>
      <c r="HO371" s="468"/>
      <c r="HP371" s="468"/>
      <c r="HQ371" s="468"/>
      <c r="HR371" s="468"/>
      <c r="HS371" s="468"/>
      <c r="HT371" s="468"/>
      <c r="HU371" s="468"/>
      <c r="HV371" s="468"/>
      <c r="HW371" s="468"/>
      <c r="HX371" s="468"/>
      <c r="HY371" s="468"/>
      <c r="HZ371" s="468"/>
      <c r="IA371" s="468"/>
      <c r="IB371" s="468"/>
      <c r="IC371" s="468"/>
      <c r="ID371" s="468"/>
      <c r="IE371" s="468"/>
      <c r="IF371" s="468"/>
      <c r="IG371" s="468"/>
      <c r="IH371" s="468"/>
      <c r="II371" s="468"/>
      <c r="IJ371" s="468"/>
      <c r="IK371" s="468"/>
      <c r="IL371" s="468"/>
      <c r="IM371" s="468"/>
      <c r="IN371" s="468"/>
      <c r="IO371" s="468"/>
      <c r="IP371" s="468"/>
      <c r="IQ371" s="468"/>
      <c r="IR371" s="468"/>
      <c r="IS371" s="468"/>
      <c r="IT371" s="468"/>
      <c r="IU371" s="468"/>
      <c r="IV371" s="468"/>
      <c r="IW371" s="468"/>
      <c r="IX371" s="468"/>
      <c r="IY371" s="468"/>
      <c r="IZ371" s="468"/>
      <c r="JA371" s="468"/>
      <c r="JB371" s="468"/>
      <c r="JC371" s="468"/>
      <c r="JD371" s="468"/>
      <c r="JE371" s="468"/>
      <c r="JF371" s="468"/>
      <c r="JG371" s="468"/>
      <c r="JH371" s="468"/>
      <c r="JI371" s="468"/>
      <c r="JJ371" s="468"/>
      <c r="JK371" s="468"/>
      <c r="JL371" s="468"/>
      <c r="JM371" s="468"/>
      <c r="JN371" s="468"/>
      <c r="JO371" s="468"/>
      <c r="JP371" s="468"/>
      <c r="JQ371" s="468"/>
      <c r="JR371" s="468"/>
      <c r="JS371" s="468"/>
      <c r="JT371" s="468"/>
      <c r="JU371" s="468"/>
      <c r="JV371" s="468"/>
      <c r="JW371" s="468"/>
      <c r="JX371" s="468"/>
      <c r="JY371" s="468"/>
      <c r="JZ371" s="468"/>
      <c r="KA371" s="468"/>
      <c r="KB371" s="468"/>
      <c r="KC371" s="468"/>
      <c r="KD371" s="468"/>
      <c r="KE371" s="468"/>
      <c r="KF371" s="468"/>
      <c r="KG371" s="468"/>
      <c r="KH371" s="468"/>
      <c r="KI371" s="468"/>
      <c r="KJ371" s="468"/>
      <c r="KK371" s="468"/>
      <c r="KL371" s="468"/>
      <c r="KM371" s="468"/>
      <c r="KN371" s="468"/>
      <c r="KO371" s="468"/>
      <c r="KP371" s="468"/>
      <c r="KQ371" s="468"/>
      <c r="KR371" s="468"/>
      <c r="KS371" s="468"/>
      <c r="KT371" s="468"/>
      <c r="KU371" s="468"/>
      <c r="KV371" s="468"/>
    </row>
    <row r="372" spans="1:308" s="344" customFormat="1" ht="15.75" customHeight="1" x14ac:dyDescent="0.8">
      <c r="A372" s="344" t="s">
        <v>384</v>
      </c>
      <c r="B372" s="486">
        <v>7</v>
      </c>
      <c r="C372" s="336"/>
      <c r="F372" s="127" t="s">
        <v>354</v>
      </c>
      <c r="G372" s="46" t="s">
        <v>347</v>
      </c>
      <c r="H372" s="67" t="s">
        <v>118</v>
      </c>
      <c r="I372" s="653">
        <v>-2.2000000000000002</v>
      </c>
      <c r="J372" s="469"/>
      <c r="K372" s="470"/>
      <c r="L372" s="469"/>
      <c r="M372" s="470"/>
      <c r="N372" s="469"/>
      <c r="O372" s="475"/>
      <c r="P372" s="471"/>
      <c r="Q372" s="476"/>
      <c r="R372" s="471"/>
      <c r="S372" s="471"/>
      <c r="T372" s="471"/>
      <c r="U372" s="471"/>
      <c r="V372" s="468"/>
      <c r="W372" s="468"/>
      <c r="X372" s="468"/>
      <c r="Y372" s="468"/>
      <c r="Z372" s="468"/>
      <c r="AA372" s="468"/>
      <c r="AB372" s="468"/>
      <c r="AC372" s="468"/>
      <c r="AD372" s="468"/>
      <c r="AE372" s="468"/>
      <c r="AF372" s="468"/>
      <c r="AG372" s="468"/>
      <c r="AH372" s="468"/>
      <c r="AI372" s="468"/>
      <c r="AJ372" s="468"/>
      <c r="AK372" s="468"/>
      <c r="AL372" s="468"/>
      <c r="AM372" s="468"/>
      <c r="AN372" s="468"/>
      <c r="AO372" s="468"/>
      <c r="AP372" s="468"/>
      <c r="AQ372" s="468"/>
      <c r="AR372" s="468"/>
      <c r="AS372" s="468"/>
      <c r="AT372" s="468"/>
      <c r="AU372" s="468"/>
      <c r="AV372" s="468"/>
      <c r="AW372" s="468"/>
      <c r="AX372" s="468"/>
      <c r="AY372" s="468"/>
      <c r="AZ372" s="468"/>
      <c r="BA372" s="468"/>
      <c r="BB372" s="468"/>
      <c r="BC372" s="468"/>
      <c r="BD372" s="468"/>
      <c r="BE372" s="468"/>
      <c r="BF372" s="468"/>
      <c r="BG372" s="468"/>
      <c r="BH372" s="468"/>
      <c r="BI372" s="468"/>
      <c r="BJ372" s="468"/>
      <c r="BK372" s="468"/>
      <c r="BL372" s="468"/>
      <c r="BM372" s="468"/>
      <c r="BN372" s="468"/>
      <c r="BO372" s="468"/>
      <c r="BP372" s="468"/>
      <c r="BQ372" s="468"/>
      <c r="BR372" s="468"/>
      <c r="BS372" s="468"/>
      <c r="BT372" s="468"/>
      <c r="BU372" s="468"/>
      <c r="BV372" s="468"/>
      <c r="BW372" s="468"/>
      <c r="BX372" s="468"/>
      <c r="BY372" s="468"/>
      <c r="BZ372" s="468"/>
      <c r="CA372" s="468"/>
      <c r="CB372" s="468"/>
      <c r="CC372" s="468"/>
      <c r="CD372" s="468"/>
      <c r="CE372" s="468"/>
      <c r="CF372" s="468"/>
      <c r="CG372" s="468"/>
      <c r="CH372" s="468"/>
      <c r="CI372" s="468"/>
      <c r="CJ372" s="468"/>
      <c r="CK372" s="468"/>
      <c r="CL372" s="468"/>
      <c r="CM372" s="468"/>
      <c r="CN372" s="468"/>
      <c r="CO372" s="468"/>
      <c r="CP372" s="468"/>
      <c r="CQ372" s="468"/>
      <c r="CR372" s="468"/>
      <c r="CS372" s="468"/>
      <c r="CT372" s="468"/>
      <c r="CU372" s="468"/>
      <c r="CV372" s="468"/>
      <c r="CW372" s="468"/>
      <c r="CX372" s="468"/>
      <c r="CY372" s="468"/>
      <c r="CZ372" s="468"/>
      <c r="DA372" s="468"/>
      <c r="DB372" s="468"/>
      <c r="DC372" s="468"/>
      <c r="DD372" s="468"/>
      <c r="DE372" s="468"/>
      <c r="DF372" s="468"/>
      <c r="DG372" s="468"/>
      <c r="DH372" s="468"/>
      <c r="DI372" s="468"/>
      <c r="DJ372" s="468"/>
      <c r="DK372" s="468"/>
      <c r="DL372" s="468"/>
      <c r="DM372" s="468"/>
      <c r="DN372" s="468"/>
      <c r="DO372" s="468"/>
      <c r="DP372" s="468"/>
      <c r="DQ372" s="468"/>
      <c r="DR372" s="468"/>
      <c r="DS372" s="468"/>
      <c r="DT372" s="468"/>
      <c r="DU372" s="468"/>
      <c r="DV372" s="468"/>
      <c r="DW372" s="468"/>
      <c r="DX372" s="468"/>
      <c r="DY372" s="468"/>
      <c r="DZ372" s="468"/>
      <c r="EA372" s="468"/>
      <c r="EB372" s="468"/>
      <c r="EC372" s="468"/>
      <c r="ED372" s="468"/>
      <c r="EE372" s="468"/>
      <c r="EF372" s="468"/>
      <c r="EG372" s="468"/>
      <c r="EH372" s="468"/>
      <c r="EI372" s="468"/>
      <c r="EJ372" s="468"/>
      <c r="EK372" s="468"/>
      <c r="EL372" s="468"/>
      <c r="EM372" s="468"/>
      <c r="EN372" s="468"/>
      <c r="EO372" s="468"/>
      <c r="EP372" s="468"/>
      <c r="EQ372" s="468"/>
      <c r="ER372" s="468"/>
      <c r="ES372" s="468"/>
      <c r="ET372" s="468"/>
      <c r="EU372" s="468"/>
      <c r="EV372" s="468"/>
      <c r="EW372" s="468"/>
      <c r="EX372" s="468"/>
      <c r="EY372" s="468"/>
      <c r="EZ372" s="468"/>
      <c r="FA372" s="468"/>
      <c r="FB372" s="468"/>
      <c r="FC372" s="468"/>
      <c r="FD372" s="468"/>
      <c r="FE372" s="468"/>
      <c r="FF372" s="468"/>
      <c r="FG372" s="468"/>
      <c r="FH372" s="468"/>
      <c r="FI372" s="468"/>
      <c r="FJ372" s="468"/>
      <c r="FK372" s="468"/>
      <c r="FL372" s="468"/>
      <c r="FM372" s="468"/>
      <c r="FN372" s="468"/>
      <c r="FO372" s="468"/>
      <c r="FP372" s="468"/>
      <c r="FQ372" s="468"/>
      <c r="FR372" s="468"/>
      <c r="FS372" s="468"/>
      <c r="FT372" s="468"/>
      <c r="FU372" s="468"/>
      <c r="FV372" s="468"/>
      <c r="FW372" s="468"/>
      <c r="FX372" s="468"/>
      <c r="FY372" s="468"/>
      <c r="FZ372" s="468"/>
      <c r="GA372" s="468"/>
      <c r="GB372" s="468"/>
      <c r="GC372" s="468"/>
      <c r="GD372" s="468"/>
      <c r="GE372" s="468"/>
      <c r="GF372" s="468"/>
      <c r="GG372" s="468"/>
      <c r="GH372" s="468"/>
      <c r="GI372" s="468"/>
      <c r="GJ372" s="468"/>
      <c r="GK372" s="468"/>
      <c r="GL372" s="468"/>
      <c r="GM372" s="468"/>
      <c r="GN372" s="468"/>
      <c r="GO372" s="468"/>
      <c r="GP372" s="468"/>
      <c r="GQ372" s="468"/>
      <c r="GR372" s="468"/>
      <c r="GS372" s="468"/>
      <c r="GT372" s="468"/>
      <c r="GU372" s="468"/>
      <c r="GV372" s="468"/>
      <c r="GW372" s="468"/>
      <c r="GX372" s="468"/>
      <c r="GY372" s="468"/>
      <c r="GZ372" s="468"/>
      <c r="HA372" s="468"/>
      <c r="HB372" s="468"/>
      <c r="HC372" s="468"/>
      <c r="HD372" s="468"/>
      <c r="HE372" s="468"/>
      <c r="HF372" s="468"/>
      <c r="HG372" s="468"/>
      <c r="HH372" s="468"/>
      <c r="HI372" s="468"/>
      <c r="HJ372" s="468"/>
      <c r="HK372" s="468"/>
      <c r="HL372" s="468"/>
      <c r="HM372" s="468"/>
      <c r="HN372" s="468"/>
      <c r="HO372" s="468"/>
      <c r="HP372" s="468"/>
      <c r="HQ372" s="468"/>
      <c r="HR372" s="468"/>
      <c r="HS372" s="468"/>
      <c r="HT372" s="468"/>
      <c r="HU372" s="468"/>
      <c r="HV372" s="468"/>
      <c r="HW372" s="468"/>
      <c r="HX372" s="468"/>
      <c r="HY372" s="468"/>
      <c r="HZ372" s="468"/>
      <c r="IA372" s="468"/>
      <c r="IB372" s="468"/>
      <c r="IC372" s="468"/>
      <c r="ID372" s="468"/>
      <c r="IE372" s="468"/>
      <c r="IF372" s="468"/>
      <c r="IG372" s="468"/>
      <c r="IH372" s="468"/>
      <c r="II372" s="468"/>
      <c r="IJ372" s="468"/>
      <c r="IK372" s="468"/>
      <c r="IL372" s="468"/>
      <c r="IM372" s="468"/>
      <c r="IN372" s="468"/>
      <c r="IO372" s="468"/>
      <c r="IP372" s="468"/>
      <c r="IQ372" s="468"/>
      <c r="IR372" s="468"/>
      <c r="IS372" s="468"/>
      <c r="IT372" s="468"/>
      <c r="IU372" s="468"/>
      <c r="IV372" s="468"/>
      <c r="IW372" s="468"/>
      <c r="IX372" s="468"/>
      <c r="IY372" s="468"/>
      <c r="IZ372" s="468"/>
      <c r="JA372" s="468"/>
      <c r="JB372" s="468"/>
      <c r="JC372" s="468"/>
      <c r="JD372" s="468"/>
      <c r="JE372" s="468"/>
      <c r="JF372" s="468"/>
      <c r="JG372" s="468"/>
      <c r="JH372" s="468"/>
      <c r="JI372" s="468"/>
      <c r="JJ372" s="468"/>
      <c r="JK372" s="468"/>
      <c r="JL372" s="468"/>
      <c r="JM372" s="468"/>
      <c r="JN372" s="468"/>
      <c r="JO372" s="468"/>
      <c r="JP372" s="468"/>
      <c r="JQ372" s="468"/>
      <c r="JR372" s="468"/>
      <c r="JS372" s="468"/>
      <c r="JT372" s="468"/>
      <c r="JU372" s="468"/>
      <c r="JV372" s="468"/>
      <c r="JW372" s="468"/>
      <c r="JX372" s="468"/>
      <c r="JY372" s="468"/>
      <c r="JZ372" s="468"/>
      <c r="KA372" s="468"/>
      <c r="KB372" s="468"/>
      <c r="KC372" s="468"/>
      <c r="KD372" s="468"/>
      <c r="KE372" s="468"/>
      <c r="KF372" s="468"/>
      <c r="KG372" s="468"/>
      <c r="KH372" s="468"/>
      <c r="KI372" s="468"/>
      <c r="KJ372" s="468"/>
      <c r="KK372" s="468"/>
      <c r="KL372" s="468"/>
      <c r="KM372" s="468"/>
      <c r="KN372" s="468"/>
      <c r="KO372" s="468"/>
      <c r="KP372" s="468"/>
      <c r="KQ372" s="468"/>
      <c r="KR372" s="468"/>
      <c r="KS372" s="468"/>
      <c r="KT372" s="468"/>
      <c r="KU372" s="468"/>
      <c r="KV372" s="468"/>
    </row>
    <row r="373" spans="1:308" s="344" customFormat="1" ht="15.75" customHeight="1" x14ac:dyDescent="0.8">
      <c r="A373" s="344" t="s">
        <v>384</v>
      </c>
      <c r="B373" s="486">
        <v>6.5</v>
      </c>
      <c r="C373" s="336"/>
      <c r="F373" s="361" t="s">
        <v>346</v>
      </c>
      <c r="G373" s="46" t="s">
        <v>347</v>
      </c>
      <c r="H373" s="67" t="s">
        <v>118</v>
      </c>
      <c r="I373" s="653">
        <v>6</v>
      </c>
      <c r="J373" s="469"/>
      <c r="K373" s="470"/>
      <c r="L373" s="469"/>
      <c r="M373" s="470"/>
      <c r="N373" s="469"/>
      <c r="O373" s="475"/>
      <c r="P373" s="471"/>
      <c r="Q373" s="476"/>
      <c r="R373" s="471"/>
      <c r="S373" s="471"/>
      <c r="T373" s="471"/>
      <c r="U373" s="471"/>
      <c r="V373" s="468"/>
      <c r="W373" s="468"/>
      <c r="X373" s="468"/>
      <c r="Y373" s="468"/>
      <c r="Z373" s="468"/>
      <c r="AA373" s="468"/>
      <c r="AB373" s="468"/>
      <c r="AC373" s="468"/>
      <c r="AD373" s="468"/>
      <c r="AE373" s="468"/>
      <c r="AF373" s="468"/>
      <c r="AG373" s="468"/>
      <c r="AH373" s="468"/>
      <c r="AI373" s="468"/>
      <c r="AJ373" s="468"/>
      <c r="AK373" s="468"/>
      <c r="AL373" s="468"/>
      <c r="AM373" s="468"/>
      <c r="AN373" s="468"/>
      <c r="AO373" s="468"/>
      <c r="AP373" s="468"/>
      <c r="AQ373" s="468"/>
      <c r="AR373" s="468"/>
      <c r="AS373" s="468"/>
      <c r="AT373" s="468"/>
      <c r="AU373" s="468"/>
      <c r="AV373" s="468"/>
      <c r="AW373" s="468"/>
      <c r="AX373" s="468"/>
      <c r="AY373" s="468"/>
      <c r="AZ373" s="468"/>
      <c r="BA373" s="468"/>
      <c r="BB373" s="468"/>
      <c r="BC373" s="468"/>
      <c r="BD373" s="468"/>
      <c r="BE373" s="468"/>
      <c r="BF373" s="468"/>
      <c r="BG373" s="468"/>
      <c r="BH373" s="468"/>
      <c r="BI373" s="468"/>
      <c r="BJ373" s="468"/>
      <c r="BK373" s="468"/>
      <c r="BL373" s="468"/>
      <c r="BM373" s="468"/>
      <c r="BN373" s="468"/>
      <c r="BO373" s="468"/>
      <c r="BP373" s="468"/>
      <c r="BQ373" s="468"/>
      <c r="BR373" s="468"/>
      <c r="BS373" s="468"/>
      <c r="BT373" s="468"/>
      <c r="BU373" s="468"/>
      <c r="BV373" s="468"/>
      <c r="BW373" s="468"/>
      <c r="BX373" s="468"/>
      <c r="BY373" s="468"/>
      <c r="BZ373" s="468"/>
      <c r="CA373" s="468"/>
      <c r="CB373" s="468"/>
      <c r="CC373" s="468"/>
      <c r="CD373" s="468"/>
      <c r="CE373" s="468"/>
      <c r="CF373" s="468"/>
      <c r="CG373" s="468"/>
      <c r="CH373" s="468"/>
      <c r="CI373" s="468"/>
      <c r="CJ373" s="468"/>
      <c r="CK373" s="468"/>
      <c r="CL373" s="468"/>
      <c r="CM373" s="468"/>
      <c r="CN373" s="468"/>
      <c r="CO373" s="468"/>
      <c r="CP373" s="468"/>
      <c r="CQ373" s="468"/>
      <c r="CR373" s="468"/>
      <c r="CS373" s="468"/>
      <c r="CT373" s="468"/>
      <c r="CU373" s="468"/>
      <c r="CV373" s="468"/>
      <c r="CW373" s="468"/>
      <c r="CX373" s="468"/>
      <c r="CY373" s="468"/>
      <c r="CZ373" s="468"/>
      <c r="DA373" s="468"/>
      <c r="DB373" s="468"/>
      <c r="DC373" s="468"/>
      <c r="DD373" s="468"/>
      <c r="DE373" s="468"/>
      <c r="DF373" s="468"/>
      <c r="DG373" s="468"/>
      <c r="DH373" s="468"/>
      <c r="DI373" s="468"/>
      <c r="DJ373" s="468"/>
      <c r="DK373" s="468"/>
      <c r="DL373" s="468"/>
      <c r="DM373" s="468"/>
      <c r="DN373" s="468"/>
      <c r="DO373" s="468"/>
      <c r="DP373" s="468"/>
      <c r="DQ373" s="468"/>
      <c r="DR373" s="468"/>
      <c r="DS373" s="468"/>
      <c r="DT373" s="468"/>
      <c r="DU373" s="468"/>
      <c r="DV373" s="468"/>
      <c r="DW373" s="468"/>
      <c r="DX373" s="468"/>
      <c r="DY373" s="468"/>
      <c r="DZ373" s="468"/>
      <c r="EA373" s="468"/>
      <c r="EB373" s="468"/>
      <c r="EC373" s="468"/>
      <c r="ED373" s="468"/>
      <c r="EE373" s="468"/>
      <c r="EF373" s="468"/>
      <c r="EG373" s="468"/>
      <c r="EH373" s="468"/>
      <c r="EI373" s="468"/>
      <c r="EJ373" s="468"/>
      <c r="EK373" s="468"/>
      <c r="EL373" s="468"/>
      <c r="EM373" s="468"/>
      <c r="EN373" s="468"/>
      <c r="EO373" s="468"/>
      <c r="EP373" s="468"/>
      <c r="EQ373" s="468"/>
      <c r="ER373" s="468"/>
      <c r="ES373" s="468"/>
      <c r="ET373" s="468"/>
      <c r="EU373" s="468"/>
      <c r="EV373" s="468"/>
      <c r="EW373" s="468"/>
      <c r="EX373" s="468"/>
      <c r="EY373" s="468"/>
      <c r="EZ373" s="468"/>
      <c r="FA373" s="468"/>
      <c r="FB373" s="468"/>
      <c r="FC373" s="468"/>
      <c r="FD373" s="468"/>
      <c r="FE373" s="468"/>
      <c r="FF373" s="468"/>
      <c r="FG373" s="468"/>
      <c r="FH373" s="468"/>
      <c r="FI373" s="468"/>
      <c r="FJ373" s="468"/>
      <c r="FK373" s="468"/>
      <c r="FL373" s="468"/>
      <c r="FM373" s="468"/>
      <c r="FN373" s="468"/>
      <c r="FO373" s="468"/>
      <c r="FP373" s="468"/>
      <c r="FQ373" s="468"/>
      <c r="FR373" s="468"/>
      <c r="FS373" s="468"/>
      <c r="FT373" s="468"/>
      <c r="FU373" s="468"/>
      <c r="FV373" s="468"/>
      <c r="FW373" s="468"/>
      <c r="FX373" s="468"/>
      <c r="FY373" s="468"/>
      <c r="FZ373" s="468"/>
      <c r="GA373" s="468"/>
      <c r="GB373" s="468"/>
      <c r="GC373" s="468"/>
      <c r="GD373" s="468"/>
      <c r="GE373" s="468"/>
      <c r="GF373" s="468"/>
      <c r="GG373" s="468"/>
      <c r="GH373" s="468"/>
      <c r="GI373" s="468"/>
      <c r="GJ373" s="468"/>
      <c r="GK373" s="468"/>
      <c r="GL373" s="468"/>
      <c r="GM373" s="468"/>
      <c r="GN373" s="468"/>
      <c r="GO373" s="468"/>
      <c r="GP373" s="468"/>
      <c r="GQ373" s="468"/>
      <c r="GR373" s="468"/>
      <c r="GS373" s="468"/>
      <c r="GT373" s="468"/>
      <c r="GU373" s="468"/>
      <c r="GV373" s="468"/>
      <c r="GW373" s="468"/>
      <c r="GX373" s="468"/>
      <c r="GY373" s="468"/>
      <c r="GZ373" s="468"/>
      <c r="HA373" s="468"/>
      <c r="HB373" s="468"/>
      <c r="HC373" s="468"/>
      <c r="HD373" s="468"/>
      <c r="HE373" s="468"/>
      <c r="HF373" s="468"/>
      <c r="HG373" s="468"/>
      <c r="HH373" s="468"/>
      <c r="HI373" s="468"/>
      <c r="HJ373" s="468"/>
      <c r="HK373" s="468"/>
      <c r="HL373" s="468"/>
      <c r="HM373" s="468"/>
      <c r="HN373" s="468"/>
      <c r="HO373" s="468"/>
      <c r="HP373" s="468"/>
      <c r="HQ373" s="468"/>
      <c r="HR373" s="468"/>
      <c r="HS373" s="468"/>
      <c r="HT373" s="468"/>
      <c r="HU373" s="468"/>
      <c r="HV373" s="468"/>
      <c r="HW373" s="468"/>
      <c r="HX373" s="468"/>
      <c r="HY373" s="468"/>
      <c r="HZ373" s="468"/>
      <c r="IA373" s="468"/>
      <c r="IB373" s="468"/>
      <c r="IC373" s="468"/>
      <c r="ID373" s="468"/>
      <c r="IE373" s="468"/>
      <c r="IF373" s="468"/>
      <c r="IG373" s="468"/>
      <c r="IH373" s="468"/>
      <c r="II373" s="468"/>
      <c r="IJ373" s="468"/>
      <c r="IK373" s="468"/>
      <c r="IL373" s="468"/>
      <c r="IM373" s="468"/>
      <c r="IN373" s="468"/>
      <c r="IO373" s="468"/>
      <c r="IP373" s="468"/>
      <c r="IQ373" s="468"/>
      <c r="IR373" s="468"/>
      <c r="IS373" s="468"/>
      <c r="IT373" s="468"/>
      <c r="IU373" s="468"/>
      <c r="IV373" s="468"/>
      <c r="IW373" s="468"/>
      <c r="IX373" s="468"/>
      <c r="IY373" s="468"/>
      <c r="IZ373" s="468"/>
      <c r="JA373" s="468"/>
      <c r="JB373" s="468"/>
      <c r="JC373" s="468"/>
      <c r="JD373" s="468"/>
      <c r="JE373" s="468"/>
      <c r="JF373" s="468"/>
      <c r="JG373" s="468"/>
      <c r="JH373" s="468"/>
      <c r="JI373" s="468"/>
      <c r="JJ373" s="468"/>
      <c r="JK373" s="468"/>
      <c r="JL373" s="468"/>
      <c r="JM373" s="468"/>
      <c r="JN373" s="468"/>
      <c r="JO373" s="468"/>
      <c r="JP373" s="468"/>
      <c r="JQ373" s="468"/>
      <c r="JR373" s="468"/>
      <c r="JS373" s="468"/>
      <c r="JT373" s="468"/>
      <c r="JU373" s="468"/>
      <c r="JV373" s="468"/>
      <c r="JW373" s="468"/>
      <c r="JX373" s="468"/>
      <c r="JY373" s="468"/>
      <c r="JZ373" s="468"/>
      <c r="KA373" s="468"/>
      <c r="KB373" s="468"/>
      <c r="KC373" s="468"/>
      <c r="KD373" s="468"/>
      <c r="KE373" s="468"/>
      <c r="KF373" s="468"/>
      <c r="KG373" s="468"/>
      <c r="KH373" s="468"/>
      <c r="KI373" s="468"/>
      <c r="KJ373" s="468"/>
      <c r="KK373" s="468"/>
      <c r="KL373" s="468"/>
      <c r="KM373" s="468"/>
      <c r="KN373" s="468"/>
      <c r="KO373" s="468"/>
      <c r="KP373" s="468"/>
      <c r="KQ373" s="468"/>
      <c r="KR373" s="468"/>
      <c r="KS373" s="468"/>
      <c r="KT373" s="468"/>
      <c r="KU373" s="468"/>
      <c r="KV373" s="468"/>
    </row>
    <row r="374" spans="1:308" s="344" customFormat="1" ht="15.75" customHeight="1" x14ac:dyDescent="0.8">
      <c r="A374" s="344" t="s">
        <v>384</v>
      </c>
      <c r="B374" s="486">
        <v>8</v>
      </c>
      <c r="C374" s="336"/>
      <c r="F374" s="361" t="s">
        <v>91</v>
      </c>
      <c r="G374" s="46" t="s">
        <v>347</v>
      </c>
      <c r="H374" s="67" t="s">
        <v>118</v>
      </c>
      <c r="I374" s="653">
        <v>-3.6</v>
      </c>
      <c r="J374" s="469"/>
      <c r="K374" s="470"/>
      <c r="L374" s="469"/>
      <c r="M374" s="470"/>
      <c r="N374" s="469"/>
      <c r="O374" s="475"/>
      <c r="P374" s="471"/>
      <c r="Q374" s="476"/>
      <c r="R374" s="471"/>
      <c r="S374" s="471"/>
      <c r="T374" s="471"/>
      <c r="U374" s="471"/>
      <c r="V374" s="468"/>
      <c r="W374" s="468"/>
      <c r="X374" s="468"/>
      <c r="Y374" s="468"/>
      <c r="Z374" s="468"/>
      <c r="AA374" s="468"/>
      <c r="AB374" s="468"/>
      <c r="AC374" s="468"/>
      <c r="AD374" s="468"/>
      <c r="AE374" s="468"/>
      <c r="AF374" s="468"/>
      <c r="AG374" s="468"/>
      <c r="AH374" s="468"/>
      <c r="AI374" s="468"/>
      <c r="AJ374" s="468"/>
      <c r="AK374" s="468"/>
      <c r="AL374" s="468"/>
      <c r="AM374" s="468"/>
      <c r="AN374" s="468"/>
      <c r="AO374" s="468"/>
      <c r="AP374" s="468"/>
      <c r="AQ374" s="468"/>
      <c r="AR374" s="468"/>
      <c r="AS374" s="468"/>
      <c r="AT374" s="468"/>
      <c r="AU374" s="468"/>
      <c r="AV374" s="468"/>
      <c r="AW374" s="468"/>
      <c r="AX374" s="468"/>
      <c r="AY374" s="468"/>
      <c r="AZ374" s="468"/>
      <c r="BA374" s="468"/>
      <c r="BB374" s="468"/>
      <c r="BC374" s="468"/>
      <c r="BD374" s="468"/>
      <c r="BE374" s="468"/>
      <c r="BF374" s="468"/>
      <c r="BG374" s="468"/>
      <c r="BH374" s="468"/>
      <c r="BI374" s="468"/>
      <c r="BJ374" s="468"/>
      <c r="BK374" s="468"/>
      <c r="BL374" s="468"/>
      <c r="BM374" s="468"/>
      <c r="BN374" s="468"/>
      <c r="BO374" s="468"/>
      <c r="BP374" s="468"/>
      <c r="BQ374" s="468"/>
      <c r="BR374" s="468"/>
      <c r="BS374" s="468"/>
      <c r="BT374" s="468"/>
      <c r="BU374" s="468"/>
      <c r="BV374" s="468"/>
      <c r="BW374" s="468"/>
      <c r="BX374" s="468"/>
      <c r="BY374" s="468"/>
      <c r="BZ374" s="468"/>
      <c r="CA374" s="468"/>
      <c r="CB374" s="468"/>
      <c r="CC374" s="468"/>
      <c r="CD374" s="468"/>
      <c r="CE374" s="468"/>
      <c r="CF374" s="468"/>
      <c r="CG374" s="468"/>
      <c r="CH374" s="468"/>
      <c r="CI374" s="468"/>
      <c r="CJ374" s="468"/>
      <c r="CK374" s="468"/>
      <c r="CL374" s="468"/>
      <c r="CM374" s="468"/>
      <c r="CN374" s="468"/>
      <c r="CO374" s="468"/>
      <c r="CP374" s="468"/>
      <c r="CQ374" s="468"/>
      <c r="CR374" s="468"/>
      <c r="CS374" s="468"/>
      <c r="CT374" s="468"/>
      <c r="CU374" s="468"/>
      <c r="CV374" s="468"/>
      <c r="CW374" s="468"/>
      <c r="CX374" s="468"/>
      <c r="CY374" s="468"/>
      <c r="CZ374" s="468"/>
      <c r="DA374" s="468"/>
      <c r="DB374" s="468"/>
      <c r="DC374" s="468"/>
      <c r="DD374" s="468"/>
      <c r="DE374" s="468"/>
      <c r="DF374" s="468"/>
      <c r="DG374" s="468"/>
      <c r="DH374" s="468"/>
      <c r="DI374" s="468"/>
      <c r="DJ374" s="468"/>
      <c r="DK374" s="468"/>
      <c r="DL374" s="468"/>
      <c r="DM374" s="468"/>
      <c r="DN374" s="468"/>
      <c r="DO374" s="468"/>
      <c r="DP374" s="468"/>
      <c r="DQ374" s="468"/>
      <c r="DR374" s="468"/>
      <c r="DS374" s="468"/>
      <c r="DT374" s="468"/>
      <c r="DU374" s="468"/>
      <c r="DV374" s="468"/>
      <c r="DW374" s="468"/>
      <c r="DX374" s="468"/>
      <c r="DY374" s="468"/>
      <c r="DZ374" s="468"/>
      <c r="EA374" s="468"/>
      <c r="EB374" s="468"/>
      <c r="EC374" s="468"/>
      <c r="ED374" s="468"/>
      <c r="EE374" s="468"/>
      <c r="EF374" s="468"/>
      <c r="EG374" s="468"/>
      <c r="EH374" s="468"/>
      <c r="EI374" s="468"/>
      <c r="EJ374" s="468"/>
      <c r="EK374" s="468"/>
      <c r="EL374" s="468"/>
      <c r="EM374" s="468"/>
      <c r="EN374" s="468"/>
      <c r="EO374" s="468"/>
      <c r="EP374" s="468"/>
      <c r="EQ374" s="468"/>
      <c r="ER374" s="468"/>
      <c r="ES374" s="468"/>
      <c r="ET374" s="468"/>
      <c r="EU374" s="468"/>
      <c r="EV374" s="468"/>
      <c r="EW374" s="468"/>
      <c r="EX374" s="468"/>
      <c r="EY374" s="468"/>
      <c r="EZ374" s="468"/>
      <c r="FA374" s="468"/>
      <c r="FB374" s="468"/>
      <c r="FC374" s="468"/>
      <c r="FD374" s="468"/>
      <c r="FE374" s="468"/>
      <c r="FF374" s="468"/>
      <c r="FG374" s="468"/>
      <c r="FH374" s="468"/>
      <c r="FI374" s="468"/>
      <c r="FJ374" s="468"/>
      <c r="FK374" s="468"/>
      <c r="FL374" s="468"/>
      <c r="FM374" s="468"/>
      <c r="FN374" s="468"/>
      <c r="FO374" s="468"/>
      <c r="FP374" s="468"/>
      <c r="FQ374" s="468"/>
      <c r="FR374" s="468"/>
      <c r="FS374" s="468"/>
      <c r="FT374" s="468"/>
      <c r="FU374" s="468"/>
      <c r="FV374" s="468"/>
      <c r="FW374" s="468"/>
      <c r="FX374" s="468"/>
      <c r="FY374" s="468"/>
      <c r="FZ374" s="468"/>
      <c r="GA374" s="468"/>
      <c r="GB374" s="468"/>
      <c r="GC374" s="468"/>
      <c r="GD374" s="468"/>
      <c r="GE374" s="468"/>
      <c r="GF374" s="468"/>
      <c r="GG374" s="468"/>
      <c r="GH374" s="468"/>
      <c r="GI374" s="468"/>
      <c r="GJ374" s="468"/>
      <c r="GK374" s="468"/>
      <c r="GL374" s="468"/>
      <c r="GM374" s="468"/>
      <c r="GN374" s="468"/>
      <c r="GO374" s="468"/>
      <c r="GP374" s="468"/>
      <c r="GQ374" s="468"/>
      <c r="GR374" s="468"/>
      <c r="GS374" s="468"/>
      <c r="GT374" s="468"/>
      <c r="GU374" s="468"/>
      <c r="GV374" s="468"/>
      <c r="GW374" s="468"/>
      <c r="GX374" s="468"/>
      <c r="GY374" s="468"/>
      <c r="GZ374" s="468"/>
      <c r="HA374" s="468"/>
      <c r="HB374" s="468"/>
      <c r="HC374" s="468"/>
      <c r="HD374" s="468"/>
      <c r="HE374" s="468"/>
      <c r="HF374" s="468"/>
      <c r="HG374" s="468"/>
      <c r="HH374" s="468"/>
      <c r="HI374" s="468"/>
      <c r="HJ374" s="468"/>
      <c r="HK374" s="468"/>
      <c r="HL374" s="468"/>
      <c r="HM374" s="468"/>
      <c r="HN374" s="468"/>
      <c r="HO374" s="468"/>
      <c r="HP374" s="468"/>
      <c r="HQ374" s="468"/>
      <c r="HR374" s="468"/>
      <c r="HS374" s="468"/>
      <c r="HT374" s="468"/>
      <c r="HU374" s="468"/>
      <c r="HV374" s="468"/>
      <c r="HW374" s="468"/>
      <c r="HX374" s="468"/>
      <c r="HY374" s="468"/>
      <c r="HZ374" s="468"/>
      <c r="IA374" s="468"/>
      <c r="IB374" s="468"/>
      <c r="IC374" s="468"/>
      <c r="ID374" s="468"/>
      <c r="IE374" s="468"/>
      <c r="IF374" s="468"/>
      <c r="IG374" s="468"/>
      <c r="IH374" s="468"/>
      <c r="II374" s="468"/>
      <c r="IJ374" s="468"/>
      <c r="IK374" s="468"/>
      <c r="IL374" s="468"/>
      <c r="IM374" s="468"/>
      <c r="IN374" s="468"/>
      <c r="IO374" s="468"/>
      <c r="IP374" s="468"/>
      <c r="IQ374" s="468"/>
      <c r="IR374" s="468"/>
      <c r="IS374" s="468"/>
      <c r="IT374" s="468"/>
      <c r="IU374" s="468"/>
      <c r="IV374" s="468"/>
      <c r="IW374" s="468"/>
      <c r="IX374" s="468"/>
      <c r="IY374" s="468"/>
      <c r="IZ374" s="468"/>
      <c r="JA374" s="468"/>
      <c r="JB374" s="468"/>
      <c r="JC374" s="468"/>
      <c r="JD374" s="468"/>
      <c r="JE374" s="468"/>
      <c r="JF374" s="468"/>
      <c r="JG374" s="468"/>
      <c r="JH374" s="468"/>
      <c r="JI374" s="468"/>
      <c r="JJ374" s="468"/>
      <c r="JK374" s="468"/>
      <c r="JL374" s="468"/>
      <c r="JM374" s="468"/>
      <c r="JN374" s="468"/>
      <c r="JO374" s="468"/>
      <c r="JP374" s="468"/>
      <c r="JQ374" s="468"/>
      <c r="JR374" s="468"/>
      <c r="JS374" s="468"/>
      <c r="JT374" s="468"/>
      <c r="JU374" s="468"/>
      <c r="JV374" s="468"/>
      <c r="JW374" s="468"/>
      <c r="JX374" s="468"/>
      <c r="JY374" s="468"/>
      <c r="JZ374" s="468"/>
      <c r="KA374" s="468"/>
      <c r="KB374" s="468"/>
      <c r="KC374" s="468"/>
      <c r="KD374" s="468"/>
      <c r="KE374" s="468"/>
      <c r="KF374" s="468"/>
      <c r="KG374" s="468"/>
      <c r="KH374" s="468"/>
      <c r="KI374" s="468"/>
      <c r="KJ374" s="468"/>
      <c r="KK374" s="468"/>
      <c r="KL374" s="468"/>
      <c r="KM374" s="468"/>
      <c r="KN374" s="468"/>
      <c r="KO374" s="468"/>
      <c r="KP374" s="468"/>
      <c r="KQ374" s="468"/>
      <c r="KR374" s="468"/>
      <c r="KS374" s="468"/>
      <c r="KT374" s="468"/>
      <c r="KU374" s="468"/>
      <c r="KV374" s="468"/>
    </row>
    <row r="375" spans="1:308" s="344" customFormat="1" ht="15.75" customHeight="1" x14ac:dyDescent="0.8">
      <c r="A375" s="370" t="s">
        <v>384</v>
      </c>
      <c r="B375" s="486">
        <v>7.5</v>
      </c>
      <c r="C375" s="336"/>
      <c r="F375" s="127" t="s">
        <v>335</v>
      </c>
      <c r="G375" s="46" t="s">
        <v>336</v>
      </c>
      <c r="H375" s="67" t="s">
        <v>118</v>
      </c>
      <c r="I375" s="653">
        <v>-7.2</v>
      </c>
      <c r="J375" s="469"/>
      <c r="K375" s="470"/>
      <c r="L375" s="469"/>
      <c r="M375" s="470"/>
      <c r="N375" s="469"/>
      <c r="O375" s="475"/>
      <c r="P375" s="471"/>
      <c r="Q375" s="476"/>
      <c r="R375" s="471"/>
      <c r="S375" s="471"/>
      <c r="T375" s="471"/>
      <c r="U375" s="471"/>
      <c r="V375" s="468"/>
      <c r="W375" s="468"/>
      <c r="X375" s="468"/>
      <c r="Y375" s="468"/>
      <c r="Z375" s="468"/>
      <c r="AA375" s="468"/>
      <c r="AB375" s="468"/>
      <c r="AC375" s="468"/>
      <c r="AD375" s="468"/>
      <c r="AE375" s="468"/>
      <c r="AF375" s="468"/>
      <c r="AG375" s="468"/>
      <c r="AH375" s="468"/>
      <c r="AI375" s="468"/>
      <c r="AJ375" s="468"/>
      <c r="AK375" s="468"/>
      <c r="AL375" s="468"/>
      <c r="AM375" s="468"/>
      <c r="AN375" s="468"/>
      <c r="AO375" s="468"/>
      <c r="AP375" s="468"/>
      <c r="AQ375" s="468"/>
      <c r="AR375" s="468"/>
      <c r="AS375" s="468"/>
      <c r="AT375" s="468"/>
      <c r="AU375" s="468"/>
      <c r="AV375" s="468"/>
      <c r="AW375" s="468"/>
      <c r="AX375" s="468"/>
      <c r="AY375" s="468"/>
      <c r="AZ375" s="468"/>
      <c r="BA375" s="468"/>
      <c r="BB375" s="468"/>
      <c r="BC375" s="468"/>
      <c r="BD375" s="468"/>
      <c r="BE375" s="468"/>
      <c r="BF375" s="468"/>
      <c r="BG375" s="468"/>
      <c r="BH375" s="468"/>
      <c r="BI375" s="468"/>
      <c r="BJ375" s="468"/>
      <c r="BK375" s="468"/>
      <c r="BL375" s="468"/>
      <c r="BM375" s="468"/>
      <c r="BN375" s="468"/>
      <c r="BO375" s="468"/>
      <c r="BP375" s="468"/>
      <c r="BQ375" s="468"/>
      <c r="BR375" s="468"/>
      <c r="BS375" s="468"/>
      <c r="BT375" s="468"/>
      <c r="BU375" s="468"/>
      <c r="BV375" s="468"/>
      <c r="BW375" s="468"/>
      <c r="BX375" s="468"/>
      <c r="BY375" s="468"/>
      <c r="BZ375" s="468"/>
      <c r="CA375" s="468"/>
      <c r="CB375" s="468"/>
      <c r="CC375" s="468"/>
      <c r="CD375" s="468"/>
      <c r="CE375" s="468"/>
      <c r="CF375" s="468"/>
      <c r="CG375" s="468"/>
      <c r="CH375" s="468"/>
      <c r="CI375" s="468"/>
      <c r="CJ375" s="468"/>
      <c r="CK375" s="468"/>
      <c r="CL375" s="468"/>
      <c r="CM375" s="468"/>
      <c r="CN375" s="468"/>
      <c r="CO375" s="468"/>
      <c r="CP375" s="468"/>
      <c r="CQ375" s="468"/>
      <c r="CR375" s="468"/>
      <c r="CS375" s="468"/>
      <c r="CT375" s="468"/>
      <c r="CU375" s="468"/>
      <c r="CV375" s="468"/>
      <c r="CW375" s="468"/>
      <c r="CX375" s="468"/>
      <c r="CY375" s="468"/>
      <c r="CZ375" s="468"/>
      <c r="DA375" s="468"/>
      <c r="DB375" s="468"/>
      <c r="DC375" s="468"/>
      <c r="DD375" s="468"/>
      <c r="DE375" s="468"/>
      <c r="DF375" s="468"/>
      <c r="DG375" s="468"/>
      <c r="DH375" s="468"/>
      <c r="DI375" s="468"/>
      <c r="DJ375" s="468"/>
      <c r="DK375" s="468"/>
      <c r="DL375" s="468"/>
      <c r="DM375" s="468"/>
      <c r="DN375" s="468"/>
      <c r="DO375" s="468"/>
      <c r="DP375" s="468"/>
      <c r="DQ375" s="468"/>
      <c r="DR375" s="468"/>
      <c r="DS375" s="468"/>
      <c r="DT375" s="468"/>
      <c r="DU375" s="468"/>
      <c r="DV375" s="468"/>
      <c r="DW375" s="468"/>
      <c r="DX375" s="468"/>
      <c r="DY375" s="468"/>
      <c r="DZ375" s="468"/>
      <c r="EA375" s="468"/>
      <c r="EB375" s="468"/>
      <c r="EC375" s="468"/>
      <c r="ED375" s="468"/>
      <c r="EE375" s="468"/>
      <c r="EF375" s="468"/>
      <c r="EG375" s="468"/>
      <c r="EH375" s="468"/>
      <c r="EI375" s="468"/>
      <c r="EJ375" s="468"/>
      <c r="EK375" s="468"/>
      <c r="EL375" s="468"/>
      <c r="EM375" s="468"/>
      <c r="EN375" s="468"/>
      <c r="EO375" s="468"/>
      <c r="EP375" s="468"/>
      <c r="EQ375" s="468"/>
      <c r="ER375" s="468"/>
      <c r="ES375" s="468"/>
      <c r="ET375" s="468"/>
      <c r="EU375" s="468"/>
      <c r="EV375" s="468"/>
      <c r="EW375" s="468"/>
      <c r="EX375" s="468"/>
      <c r="EY375" s="468"/>
      <c r="EZ375" s="468"/>
      <c r="FA375" s="468"/>
      <c r="FB375" s="468"/>
      <c r="FC375" s="468"/>
      <c r="FD375" s="468"/>
      <c r="FE375" s="468"/>
      <c r="FF375" s="468"/>
      <c r="FG375" s="468"/>
      <c r="FH375" s="468"/>
      <c r="FI375" s="468"/>
      <c r="FJ375" s="468"/>
      <c r="FK375" s="468"/>
      <c r="FL375" s="468"/>
      <c r="FM375" s="468"/>
      <c r="FN375" s="468"/>
      <c r="FO375" s="468"/>
      <c r="FP375" s="468"/>
      <c r="FQ375" s="468"/>
      <c r="FR375" s="468"/>
      <c r="FS375" s="468"/>
      <c r="FT375" s="468"/>
      <c r="FU375" s="468"/>
      <c r="FV375" s="468"/>
      <c r="FW375" s="468"/>
      <c r="FX375" s="468"/>
      <c r="FY375" s="468"/>
      <c r="FZ375" s="468"/>
      <c r="GA375" s="468"/>
      <c r="GB375" s="468"/>
      <c r="GC375" s="468"/>
      <c r="GD375" s="468"/>
      <c r="GE375" s="468"/>
      <c r="GF375" s="468"/>
      <c r="GG375" s="468"/>
      <c r="GH375" s="468"/>
      <c r="GI375" s="468"/>
      <c r="GJ375" s="468"/>
      <c r="GK375" s="468"/>
      <c r="GL375" s="468"/>
      <c r="GM375" s="468"/>
      <c r="GN375" s="468"/>
      <c r="GO375" s="468"/>
      <c r="GP375" s="468"/>
      <c r="GQ375" s="468"/>
      <c r="GR375" s="468"/>
      <c r="GS375" s="468"/>
      <c r="GT375" s="468"/>
      <c r="GU375" s="468"/>
      <c r="GV375" s="468"/>
      <c r="GW375" s="468"/>
      <c r="GX375" s="468"/>
      <c r="GY375" s="468"/>
      <c r="GZ375" s="468"/>
      <c r="HA375" s="468"/>
      <c r="HB375" s="468"/>
      <c r="HC375" s="468"/>
      <c r="HD375" s="468"/>
      <c r="HE375" s="468"/>
      <c r="HF375" s="468"/>
      <c r="HG375" s="468"/>
      <c r="HH375" s="468"/>
      <c r="HI375" s="468"/>
      <c r="HJ375" s="468"/>
      <c r="HK375" s="468"/>
      <c r="HL375" s="468"/>
      <c r="HM375" s="468"/>
      <c r="HN375" s="468"/>
      <c r="HO375" s="468"/>
      <c r="HP375" s="468"/>
      <c r="HQ375" s="468"/>
      <c r="HR375" s="468"/>
      <c r="HS375" s="468"/>
      <c r="HT375" s="468"/>
      <c r="HU375" s="468"/>
      <c r="HV375" s="468"/>
      <c r="HW375" s="468"/>
      <c r="HX375" s="468"/>
      <c r="HY375" s="468"/>
      <c r="HZ375" s="468"/>
      <c r="IA375" s="468"/>
      <c r="IB375" s="468"/>
      <c r="IC375" s="468"/>
      <c r="ID375" s="468"/>
      <c r="IE375" s="468"/>
      <c r="IF375" s="468"/>
      <c r="IG375" s="468"/>
      <c r="IH375" s="468"/>
      <c r="II375" s="468"/>
      <c r="IJ375" s="468"/>
      <c r="IK375" s="468"/>
      <c r="IL375" s="468"/>
      <c r="IM375" s="468"/>
      <c r="IN375" s="468"/>
      <c r="IO375" s="468"/>
      <c r="IP375" s="468"/>
      <c r="IQ375" s="468"/>
      <c r="IR375" s="468"/>
      <c r="IS375" s="468"/>
      <c r="IT375" s="468"/>
      <c r="IU375" s="468"/>
      <c r="IV375" s="468"/>
      <c r="IW375" s="468"/>
      <c r="IX375" s="468"/>
      <c r="IY375" s="468"/>
      <c r="IZ375" s="468"/>
      <c r="JA375" s="468"/>
      <c r="JB375" s="468"/>
      <c r="JC375" s="468"/>
      <c r="JD375" s="468"/>
      <c r="JE375" s="468"/>
      <c r="JF375" s="468"/>
      <c r="JG375" s="468"/>
      <c r="JH375" s="468"/>
      <c r="JI375" s="468"/>
      <c r="JJ375" s="468"/>
      <c r="JK375" s="468"/>
      <c r="JL375" s="468"/>
      <c r="JM375" s="468"/>
      <c r="JN375" s="468"/>
      <c r="JO375" s="468"/>
      <c r="JP375" s="468"/>
      <c r="JQ375" s="468"/>
      <c r="JR375" s="468"/>
      <c r="JS375" s="468"/>
      <c r="JT375" s="468"/>
      <c r="JU375" s="468"/>
      <c r="JV375" s="468"/>
      <c r="JW375" s="468"/>
      <c r="JX375" s="468"/>
      <c r="JY375" s="468"/>
      <c r="JZ375" s="468"/>
      <c r="KA375" s="468"/>
      <c r="KB375" s="468"/>
      <c r="KC375" s="468"/>
      <c r="KD375" s="468"/>
      <c r="KE375" s="468"/>
      <c r="KF375" s="468"/>
      <c r="KG375" s="468"/>
      <c r="KH375" s="468"/>
      <c r="KI375" s="468"/>
      <c r="KJ375" s="468"/>
      <c r="KK375" s="468"/>
      <c r="KL375" s="468"/>
      <c r="KM375" s="468"/>
      <c r="KN375" s="468"/>
      <c r="KO375" s="468"/>
      <c r="KP375" s="468"/>
      <c r="KQ375" s="468"/>
      <c r="KR375" s="468"/>
      <c r="KS375" s="468"/>
      <c r="KT375" s="468"/>
      <c r="KU375" s="468"/>
      <c r="KV375" s="468"/>
    </row>
    <row r="376" spans="1:308" s="344" customFormat="1" ht="15.75" customHeight="1" x14ac:dyDescent="0.8">
      <c r="A376" s="344" t="s">
        <v>384</v>
      </c>
      <c r="B376" s="486">
        <v>5</v>
      </c>
      <c r="C376" s="336"/>
      <c r="F376" s="127" t="s">
        <v>341</v>
      </c>
      <c r="G376" s="46" t="s">
        <v>336</v>
      </c>
      <c r="H376" s="67" t="s">
        <v>118</v>
      </c>
      <c r="I376" s="653">
        <v>-5.3</v>
      </c>
      <c r="J376" s="469"/>
      <c r="K376" s="470"/>
      <c r="L376" s="469"/>
      <c r="M376" s="470"/>
      <c r="N376" s="469"/>
      <c r="O376" s="475"/>
      <c r="P376" s="471"/>
      <c r="Q376" s="476"/>
      <c r="R376" s="471"/>
      <c r="S376" s="471"/>
      <c r="T376" s="471"/>
      <c r="U376" s="471"/>
      <c r="V376" s="468"/>
      <c r="W376" s="468"/>
      <c r="X376" s="468"/>
      <c r="Y376" s="468"/>
      <c r="Z376" s="468"/>
      <c r="AA376" s="468"/>
      <c r="AB376" s="468"/>
      <c r="AC376" s="468"/>
      <c r="AD376" s="468"/>
      <c r="AE376" s="468"/>
      <c r="AF376" s="468"/>
      <c r="AG376" s="468"/>
      <c r="AH376" s="468"/>
      <c r="AI376" s="468"/>
      <c r="AJ376" s="468"/>
      <c r="AK376" s="468"/>
      <c r="AL376" s="468"/>
      <c r="AM376" s="468"/>
      <c r="AN376" s="468"/>
      <c r="AO376" s="468"/>
      <c r="AP376" s="468"/>
      <c r="AQ376" s="468"/>
      <c r="AR376" s="468"/>
      <c r="AS376" s="468"/>
      <c r="AT376" s="468"/>
      <c r="AU376" s="468"/>
      <c r="AV376" s="468"/>
      <c r="AW376" s="468"/>
      <c r="AX376" s="468"/>
      <c r="AY376" s="468"/>
      <c r="AZ376" s="468"/>
      <c r="BA376" s="468"/>
      <c r="BB376" s="468"/>
      <c r="BC376" s="468"/>
      <c r="BD376" s="468"/>
      <c r="BE376" s="468"/>
      <c r="BF376" s="468"/>
      <c r="BG376" s="468"/>
      <c r="BH376" s="468"/>
      <c r="BI376" s="468"/>
      <c r="BJ376" s="468"/>
      <c r="BK376" s="468"/>
      <c r="BL376" s="468"/>
      <c r="BM376" s="468"/>
      <c r="BN376" s="468"/>
      <c r="BO376" s="468"/>
      <c r="BP376" s="468"/>
      <c r="BQ376" s="468"/>
      <c r="BR376" s="468"/>
      <c r="BS376" s="468"/>
      <c r="BT376" s="468"/>
      <c r="BU376" s="468"/>
      <c r="BV376" s="468"/>
      <c r="BW376" s="468"/>
      <c r="BX376" s="468"/>
      <c r="BY376" s="468"/>
      <c r="BZ376" s="468"/>
      <c r="CA376" s="468"/>
      <c r="CB376" s="468"/>
      <c r="CC376" s="468"/>
      <c r="CD376" s="468"/>
      <c r="CE376" s="468"/>
      <c r="CF376" s="468"/>
      <c r="CG376" s="468"/>
      <c r="CH376" s="468"/>
      <c r="CI376" s="468"/>
      <c r="CJ376" s="468"/>
      <c r="CK376" s="468"/>
      <c r="CL376" s="468"/>
      <c r="CM376" s="468"/>
      <c r="CN376" s="468"/>
      <c r="CO376" s="468"/>
      <c r="CP376" s="468"/>
      <c r="CQ376" s="468"/>
      <c r="CR376" s="468"/>
      <c r="CS376" s="468"/>
      <c r="CT376" s="468"/>
      <c r="CU376" s="468"/>
      <c r="CV376" s="468"/>
      <c r="CW376" s="468"/>
      <c r="CX376" s="468"/>
      <c r="CY376" s="468"/>
      <c r="CZ376" s="468"/>
      <c r="DA376" s="468"/>
      <c r="DB376" s="468"/>
      <c r="DC376" s="468"/>
      <c r="DD376" s="468"/>
      <c r="DE376" s="468"/>
      <c r="DF376" s="468"/>
      <c r="DG376" s="468"/>
      <c r="DH376" s="468"/>
      <c r="DI376" s="468"/>
      <c r="DJ376" s="468"/>
      <c r="DK376" s="468"/>
      <c r="DL376" s="468"/>
      <c r="DM376" s="468"/>
      <c r="DN376" s="468"/>
      <c r="DO376" s="468"/>
      <c r="DP376" s="468"/>
      <c r="DQ376" s="468"/>
      <c r="DR376" s="468"/>
      <c r="DS376" s="468"/>
      <c r="DT376" s="468"/>
      <c r="DU376" s="468"/>
      <c r="DV376" s="468"/>
      <c r="DW376" s="468"/>
      <c r="DX376" s="468"/>
      <c r="DY376" s="468"/>
      <c r="DZ376" s="468"/>
      <c r="EA376" s="468"/>
      <c r="EB376" s="468"/>
      <c r="EC376" s="468"/>
      <c r="ED376" s="468"/>
      <c r="EE376" s="468"/>
      <c r="EF376" s="468"/>
      <c r="EG376" s="468"/>
      <c r="EH376" s="468"/>
      <c r="EI376" s="468"/>
      <c r="EJ376" s="468"/>
      <c r="EK376" s="468"/>
      <c r="EL376" s="468"/>
      <c r="EM376" s="468"/>
      <c r="EN376" s="468"/>
      <c r="EO376" s="468"/>
      <c r="EP376" s="468"/>
      <c r="EQ376" s="468"/>
      <c r="ER376" s="468"/>
      <c r="ES376" s="468"/>
      <c r="ET376" s="468"/>
      <c r="EU376" s="468"/>
      <c r="EV376" s="468"/>
      <c r="EW376" s="468"/>
      <c r="EX376" s="468"/>
      <c r="EY376" s="468"/>
      <c r="EZ376" s="468"/>
      <c r="FA376" s="468"/>
      <c r="FB376" s="468"/>
      <c r="FC376" s="468"/>
      <c r="FD376" s="468"/>
      <c r="FE376" s="468"/>
      <c r="FF376" s="468"/>
      <c r="FG376" s="468"/>
      <c r="FH376" s="468"/>
      <c r="FI376" s="468"/>
      <c r="FJ376" s="468"/>
      <c r="FK376" s="468"/>
      <c r="FL376" s="468"/>
      <c r="FM376" s="468"/>
      <c r="FN376" s="468"/>
      <c r="FO376" s="468"/>
      <c r="FP376" s="468"/>
      <c r="FQ376" s="468"/>
      <c r="FR376" s="468"/>
      <c r="FS376" s="468"/>
      <c r="FT376" s="468"/>
      <c r="FU376" s="468"/>
      <c r="FV376" s="468"/>
      <c r="FW376" s="468"/>
      <c r="FX376" s="468"/>
      <c r="FY376" s="468"/>
      <c r="FZ376" s="468"/>
      <c r="GA376" s="468"/>
      <c r="GB376" s="468"/>
      <c r="GC376" s="468"/>
      <c r="GD376" s="468"/>
      <c r="GE376" s="468"/>
      <c r="GF376" s="468"/>
      <c r="GG376" s="468"/>
      <c r="GH376" s="468"/>
      <c r="GI376" s="468"/>
      <c r="GJ376" s="468"/>
      <c r="GK376" s="468"/>
      <c r="GL376" s="468"/>
      <c r="GM376" s="468"/>
      <c r="GN376" s="468"/>
      <c r="GO376" s="468"/>
      <c r="GP376" s="468"/>
      <c r="GQ376" s="468"/>
      <c r="GR376" s="468"/>
      <c r="GS376" s="468"/>
      <c r="GT376" s="468"/>
      <c r="GU376" s="468"/>
      <c r="GV376" s="468"/>
      <c r="GW376" s="468"/>
      <c r="GX376" s="468"/>
      <c r="GY376" s="468"/>
      <c r="GZ376" s="468"/>
      <c r="HA376" s="468"/>
      <c r="HB376" s="468"/>
      <c r="HC376" s="468"/>
      <c r="HD376" s="468"/>
      <c r="HE376" s="468"/>
      <c r="HF376" s="468"/>
      <c r="HG376" s="468"/>
      <c r="HH376" s="468"/>
      <c r="HI376" s="468"/>
      <c r="HJ376" s="468"/>
      <c r="HK376" s="468"/>
      <c r="HL376" s="468"/>
      <c r="HM376" s="468"/>
      <c r="HN376" s="468"/>
      <c r="HO376" s="468"/>
      <c r="HP376" s="468"/>
      <c r="HQ376" s="468"/>
      <c r="HR376" s="468"/>
      <c r="HS376" s="468"/>
      <c r="HT376" s="468"/>
      <c r="HU376" s="468"/>
      <c r="HV376" s="468"/>
      <c r="HW376" s="468"/>
      <c r="HX376" s="468"/>
      <c r="HY376" s="468"/>
      <c r="HZ376" s="468"/>
      <c r="IA376" s="468"/>
      <c r="IB376" s="468"/>
      <c r="IC376" s="468"/>
      <c r="ID376" s="468"/>
      <c r="IE376" s="468"/>
      <c r="IF376" s="468"/>
      <c r="IG376" s="468"/>
      <c r="IH376" s="468"/>
      <c r="II376" s="468"/>
      <c r="IJ376" s="468"/>
      <c r="IK376" s="468"/>
      <c r="IL376" s="468"/>
      <c r="IM376" s="468"/>
      <c r="IN376" s="468"/>
      <c r="IO376" s="468"/>
      <c r="IP376" s="468"/>
      <c r="IQ376" s="468"/>
      <c r="IR376" s="468"/>
      <c r="IS376" s="468"/>
      <c r="IT376" s="468"/>
      <c r="IU376" s="468"/>
      <c r="IV376" s="468"/>
      <c r="IW376" s="468"/>
      <c r="IX376" s="468"/>
      <c r="IY376" s="468"/>
      <c r="IZ376" s="468"/>
      <c r="JA376" s="468"/>
      <c r="JB376" s="468"/>
      <c r="JC376" s="468"/>
      <c r="JD376" s="468"/>
      <c r="JE376" s="468"/>
      <c r="JF376" s="468"/>
      <c r="JG376" s="468"/>
      <c r="JH376" s="468"/>
      <c r="JI376" s="468"/>
      <c r="JJ376" s="468"/>
      <c r="JK376" s="468"/>
      <c r="JL376" s="468"/>
      <c r="JM376" s="468"/>
      <c r="JN376" s="468"/>
      <c r="JO376" s="468"/>
      <c r="JP376" s="468"/>
      <c r="JQ376" s="468"/>
      <c r="JR376" s="468"/>
      <c r="JS376" s="468"/>
      <c r="JT376" s="468"/>
      <c r="JU376" s="468"/>
      <c r="JV376" s="468"/>
      <c r="JW376" s="468"/>
      <c r="JX376" s="468"/>
      <c r="JY376" s="468"/>
      <c r="JZ376" s="468"/>
      <c r="KA376" s="468"/>
      <c r="KB376" s="468"/>
      <c r="KC376" s="468"/>
      <c r="KD376" s="468"/>
      <c r="KE376" s="468"/>
      <c r="KF376" s="468"/>
      <c r="KG376" s="468"/>
      <c r="KH376" s="468"/>
      <c r="KI376" s="468"/>
      <c r="KJ376" s="468"/>
      <c r="KK376" s="468"/>
      <c r="KL376" s="468"/>
      <c r="KM376" s="468"/>
      <c r="KN376" s="468"/>
      <c r="KO376" s="468"/>
      <c r="KP376" s="468"/>
      <c r="KQ376" s="468"/>
      <c r="KR376" s="468"/>
      <c r="KS376" s="468"/>
      <c r="KT376" s="468"/>
      <c r="KU376" s="468"/>
      <c r="KV376" s="468"/>
    </row>
    <row r="377" spans="1:308" s="344" customFormat="1" ht="15.75" customHeight="1" x14ac:dyDescent="0.8">
      <c r="A377" s="344" t="s">
        <v>384</v>
      </c>
      <c r="B377" s="486">
        <v>10.5</v>
      </c>
      <c r="C377" s="336"/>
      <c r="F377" s="127" t="s">
        <v>351</v>
      </c>
      <c r="G377" s="46" t="s">
        <v>336</v>
      </c>
      <c r="H377" s="67" t="s">
        <v>118</v>
      </c>
      <c r="I377" s="653">
        <v>4.0999999999999996</v>
      </c>
      <c r="J377" s="469"/>
      <c r="K377" s="470"/>
      <c r="L377" s="469"/>
      <c r="M377" s="470"/>
      <c r="N377" s="469"/>
      <c r="O377" s="475"/>
      <c r="P377" s="471"/>
      <c r="Q377" s="476"/>
      <c r="R377" s="471"/>
      <c r="S377" s="471"/>
      <c r="T377" s="471"/>
      <c r="U377" s="471"/>
      <c r="V377" s="468"/>
      <c r="W377" s="468"/>
      <c r="X377" s="468"/>
      <c r="Y377" s="468"/>
      <c r="Z377" s="468"/>
      <c r="AA377" s="468"/>
      <c r="AB377" s="468"/>
      <c r="AC377" s="468"/>
      <c r="AD377" s="468"/>
      <c r="AE377" s="468"/>
      <c r="AF377" s="468"/>
      <c r="AG377" s="468"/>
      <c r="AH377" s="468"/>
      <c r="AI377" s="468"/>
      <c r="AJ377" s="468"/>
      <c r="AK377" s="468"/>
      <c r="AL377" s="468"/>
      <c r="AM377" s="468"/>
      <c r="AN377" s="468"/>
      <c r="AO377" s="468"/>
      <c r="AP377" s="468"/>
      <c r="AQ377" s="468"/>
      <c r="AR377" s="468"/>
      <c r="AS377" s="468"/>
      <c r="AT377" s="468"/>
      <c r="AU377" s="468"/>
      <c r="AV377" s="468"/>
      <c r="AW377" s="468"/>
      <c r="AX377" s="468"/>
      <c r="AY377" s="468"/>
      <c r="AZ377" s="468"/>
      <c r="BA377" s="468"/>
      <c r="BB377" s="468"/>
      <c r="BC377" s="468"/>
      <c r="BD377" s="468"/>
      <c r="BE377" s="468"/>
      <c r="BF377" s="468"/>
      <c r="BG377" s="468"/>
      <c r="BH377" s="468"/>
      <c r="BI377" s="468"/>
      <c r="BJ377" s="468"/>
      <c r="BK377" s="468"/>
      <c r="BL377" s="468"/>
      <c r="BM377" s="468"/>
      <c r="BN377" s="468"/>
      <c r="BO377" s="468"/>
      <c r="BP377" s="468"/>
      <c r="BQ377" s="468"/>
      <c r="BR377" s="468"/>
      <c r="BS377" s="468"/>
      <c r="BT377" s="468"/>
      <c r="BU377" s="468"/>
      <c r="BV377" s="468"/>
      <c r="BW377" s="468"/>
      <c r="BX377" s="468"/>
      <c r="BY377" s="468"/>
      <c r="BZ377" s="468"/>
      <c r="CA377" s="468"/>
      <c r="CB377" s="468"/>
      <c r="CC377" s="468"/>
      <c r="CD377" s="468"/>
      <c r="CE377" s="468"/>
      <c r="CF377" s="468"/>
      <c r="CG377" s="468"/>
      <c r="CH377" s="468"/>
      <c r="CI377" s="468"/>
      <c r="CJ377" s="468"/>
      <c r="CK377" s="468"/>
      <c r="CL377" s="468"/>
      <c r="CM377" s="468"/>
      <c r="CN377" s="468"/>
      <c r="CO377" s="468"/>
      <c r="CP377" s="468"/>
      <c r="CQ377" s="468"/>
      <c r="CR377" s="468"/>
      <c r="CS377" s="468"/>
      <c r="CT377" s="468"/>
      <c r="CU377" s="468"/>
      <c r="CV377" s="468"/>
      <c r="CW377" s="468"/>
      <c r="CX377" s="468"/>
      <c r="CY377" s="468"/>
      <c r="CZ377" s="468"/>
      <c r="DA377" s="468"/>
      <c r="DB377" s="468"/>
      <c r="DC377" s="468"/>
      <c r="DD377" s="468"/>
      <c r="DE377" s="468"/>
      <c r="DF377" s="468"/>
      <c r="DG377" s="468"/>
      <c r="DH377" s="468"/>
      <c r="DI377" s="468"/>
      <c r="DJ377" s="468"/>
      <c r="DK377" s="468"/>
      <c r="DL377" s="468"/>
      <c r="DM377" s="468"/>
      <c r="DN377" s="468"/>
      <c r="DO377" s="468"/>
      <c r="DP377" s="468"/>
      <c r="DQ377" s="468"/>
      <c r="DR377" s="468"/>
      <c r="DS377" s="468"/>
      <c r="DT377" s="468"/>
      <c r="DU377" s="468"/>
      <c r="DV377" s="468"/>
      <c r="DW377" s="468"/>
      <c r="DX377" s="468"/>
      <c r="DY377" s="468"/>
      <c r="DZ377" s="468"/>
      <c r="EA377" s="468"/>
      <c r="EB377" s="468"/>
      <c r="EC377" s="468"/>
      <c r="ED377" s="468"/>
      <c r="EE377" s="468"/>
      <c r="EF377" s="468"/>
      <c r="EG377" s="468"/>
      <c r="EH377" s="468"/>
      <c r="EI377" s="468"/>
      <c r="EJ377" s="468"/>
      <c r="EK377" s="468"/>
      <c r="EL377" s="468"/>
      <c r="EM377" s="468"/>
      <c r="EN377" s="468"/>
      <c r="EO377" s="468"/>
      <c r="EP377" s="468"/>
      <c r="EQ377" s="468"/>
      <c r="ER377" s="468"/>
      <c r="ES377" s="468"/>
      <c r="ET377" s="468"/>
      <c r="EU377" s="468"/>
      <c r="EV377" s="468"/>
      <c r="EW377" s="468"/>
      <c r="EX377" s="468"/>
      <c r="EY377" s="468"/>
      <c r="EZ377" s="468"/>
      <c r="FA377" s="468"/>
      <c r="FB377" s="468"/>
      <c r="FC377" s="468"/>
      <c r="FD377" s="468"/>
      <c r="FE377" s="468"/>
      <c r="FF377" s="468"/>
      <c r="FG377" s="468"/>
      <c r="FH377" s="468"/>
      <c r="FI377" s="468"/>
      <c r="FJ377" s="468"/>
      <c r="FK377" s="468"/>
      <c r="FL377" s="468"/>
      <c r="FM377" s="468"/>
      <c r="FN377" s="468"/>
      <c r="FO377" s="468"/>
      <c r="FP377" s="468"/>
      <c r="FQ377" s="468"/>
      <c r="FR377" s="468"/>
      <c r="FS377" s="468"/>
      <c r="FT377" s="468"/>
      <c r="FU377" s="468"/>
      <c r="FV377" s="468"/>
      <c r="FW377" s="468"/>
      <c r="FX377" s="468"/>
      <c r="FY377" s="468"/>
      <c r="FZ377" s="468"/>
      <c r="GA377" s="468"/>
      <c r="GB377" s="468"/>
      <c r="GC377" s="468"/>
      <c r="GD377" s="468"/>
      <c r="GE377" s="468"/>
      <c r="GF377" s="468"/>
      <c r="GG377" s="468"/>
      <c r="GH377" s="468"/>
      <c r="GI377" s="468"/>
      <c r="GJ377" s="468"/>
      <c r="GK377" s="468"/>
      <c r="GL377" s="468"/>
      <c r="GM377" s="468"/>
      <c r="GN377" s="468"/>
      <c r="GO377" s="468"/>
      <c r="GP377" s="468"/>
      <c r="GQ377" s="468"/>
      <c r="GR377" s="468"/>
      <c r="GS377" s="468"/>
      <c r="GT377" s="468"/>
      <c r="GU377" s="468"/>
      <c r="GV377" s="468"/>
      <c r="GW377" s="468"/>
      <c r="GX377" s="468"/>
      <c r="GY377" s="468"/>
      <c r="GZ377" s="468"/>
      <c r="HA377" s="468"/>
      <c r="HB377" s="468"/>
      <c r="HC377" s="468"/>
      <c r="HD377" s="468"/>
      <c r="HE377" s="468"/>
      <c r="HF377" s="468"/>
      <c r="HG377" s="468"/>
      <c r="HH377" s="468"/>
      <c r="HI377" s="468"/>
      <c r="HJ377" s="468"/>
      <c r="HK377" s="468"/>
      <c r="HL377" s="468"/>
      <c r="HM377" s="468"/>
      <c r="HN377" s="468"/>
      <c r="HO377" s="468"/>
      <c r="HP377" s="468"/>
      <c r="HQ377" s="468"/>
      <c r="HR377" s="468"/>
      <c r="HS377" s="468"/>
      <c r="HT377" s="468"/>
      <c r="HU377" s="468"/>
      <c r="HV377" s="468"/>
      <c r="HW377" s="468"/>
      <c r="HX377" s="468"/>
      <c r="HY377" s="468"/>
      <c r="HZ377" s="468"/>
      <c r="IA377" s="468"/>
      <c r="IB377" s="468"/>
      <c r="IC377" s="468"/>
      <c r="ID377" s="468"/>
      <c r="IE377" s="468"/>
      <c r="IF377" s="468"/>
      <c r="IG377" s="468"/>
      <c r="IH377" s="468"/>
      <c r="II377" s="468"/>
      <c r="IJ377" s="468"/>
      <c r="IK377" s="468"/>
      <c r="IL377" s="468"/>
      <c r="IM377" s="468"/>
      <c r="IN377" s="468"/>
      <c r="IO377" s="468"/>
      <c r="IP377" s="468"/>
      <c r="IQ377" s="468"/>
      <c r="IR377" s="468"/>
      <c r="IS377" s="468"/>
      <c r="IT377" s="468"/>
      <c r="IU377" s="468"/>
      <c r="IV377" s="468"/>
      <c r="IW377" s="468"/>
      <c r="IX377" s="468"/>
      <c r="IY377" s="468"/>
      <c r="IZ377" s="468"/>
      <c r="JA377" s="468"/>
      <c r="JB377" s="468"/>
      <c r="JC377" s="468"/>
      <c r="JD377" s="468"/>
      <c r="JE377" s="468"/>
      <c r="JF377" s="468"/>
      <c r="JG377" s="468"/>
      <c r="JH377" s="468"/>
      <c r="JI377" s="468"/>
      <c r="JJ377" s="468"/>
      <c r="JK377" s="468"/>
      <c r="JL377" s="468"/>
      <c r="JM377" s="468"/>
      <c r="JN377" s="468"/>
      <c r="JO377" s="468"/>
      <c r="JP377" s="468"/>
      <c r="JQ377" s="468"/>
      <c r="JR377" s="468"/>
      <c r="JS377" s="468"/>
      <c r="JT377" s="468"/>
      <c r="JU377" s="468"/>
      <c r="JV377" s="468"/>
      <c r="JW377" s="468"/>
      <c r="JX377" s="468"/>
      <c r="JY377" s="468"/>
      <c r="JZ377" s="468"/>
      <c r="KA377" s="468"/>
      <c r="KB377" s="468"/>
      <c r="KC377" s="468"/>
      <c r="KD377" s="468"/>
      <c r="KE377" s="468"/>
      <c r="KF377" s="468"/>
      <c r="KG377" s="468"/>
      <c r="KH377" s="468"/>
      <c r="KI377" s="468"/>
      <c r="KJ377" s="468"/>
      <c r="KK377" s="468"/>
      <c r="KL377" s="468"/>
      <c r="KM377" s="468"/>
      <c r="KN377" s="468"/>
      <c r="KO377" s="468"/>
      <c r="KP377" s="468"/>
      <c r="KQ377" s="468"/>
      <c r="KR377" s="468"/>
      <c r="KS377" s="468"/>
      <c r="KT377" s="468"/>
      <c r="KU377" s="468"/>
      <c r="KV377" s="468"/>
    </row>
    <row r="378" spans="1:308" s="344" customFormat="1" ht="15.75" customHeight="1" x14ac:dyDescent="0.8">
      <c r="A378" s="344" t="s">
        <v>384</v>
      </c>
      <c r="B378" s="486">
        <v>9</v>
      </c>
      <c r="C378" s="336"/>
      <c r="F378" s="127" t="s">
        <v>69</v>
      </c>
      <c r="G378" s="46" t="s">
        <v>336</v>
      </c>
      <c r="H378" s="67" t="s">
        <v>118</v>
      </c>
      <c r="I378" s="653">
        <v>0.7</v>
      </c>
      <c r="J378" s="469"/>
      <c r="K378" s="470"/>
      <c r="L378" s="469"/>
      <c r="M378" s="470"/>
      <c r="N378" s="469"/>
      <c r="O378" s="475"/>
      <c r="P378" s="471"/>
      <c r="Q378" s="476"/>
      <c r="R378" s="471"/>
      <c r="S378" s="471"/>
      <c r="T378" s="471"/>
      <c r="U378" s="471"/>
      <c r="V378" s="468"/>
      <c r="W378" s="468"/>
      <c r="X378" s="468"/>
      <c r="Y378" s="468"/>
      <c r="Z378" s="468"/>
      <c r="AA378" s="468"/>
      <c r="AB378" s="468"/>
      <c r="AC378" s="468"/>
      <c r="AD378" s="468"/>
      <c r="AE378" s="468"/>
      <c r="AF378" s="468"/>
      <c r="AG378" s="468"/>
      <c r="AH378" s="468"/>
      <c r="AI378" s="468"/>
      <c r="AJ378" s="468"/>
      <c r="AK378" s="468"/>
      <c r="AL378" s="468"/>
      <c r="AM378" s="468"/>
      <c r="AN378" s="468"/>
      <c r="AO378" s="468"/>
      <c r="AP378" s="468"/>
      <c r="AQ378" s="468"/>
      <c r="AR378" s="468"/>
      <c r="AS378" s="468"/>
      <c r="AT378" s="468"/>
      <c r="AU378" s="468"/>
      <c r="AV378" s="468"/>
      <c r="AW378" s="468"/>
      <c r="AX378" s="468"/>
      <c r="AY378" s="468"/>
      <c r="AZ378" s="468"/>
      <c r="BA378" s="468"/>
      <c r="BB378" s="468"/>
      <c r="BC378" s="468"/>
      <c r="BD378" s="468"/>
      <c r="BE378" s="468"/>
      <c r="BF378" s="468"/>
      <c r="BG378" s="468"/>
      <c r="BH378" s="468"/>
      <c r="BI378" s="468"/>
      <c r="BJ378" s="468"/>
      <c r="BK378" s="468"/>
      <c r="BL378" s="468"/>
      <c r="BM378" s="468"/>
      <c r="BN378" s="468"/>
      <c r="BO378" s="468"/>
      <c r="BP378" s="468"/>
      <c r="BQ378" s="468"/>
      <c r="BR378" s="468"/>
      <c r="BS378" s="468"/>
      <c r="BT378" s="468"/>
      <c r="BU378" s="468"/>
      <c r="BV378" s="468"/>
      <c r="BW378" s="468"/>
      <c r="BX378" s="468"/>
      <c r="BY378" s="468"/>
      <c r="BZ378" s="468"/>
      <c r="CA378" s="468"/>
      <c r="CB378" s="468"/>
      <c r="CC378" s="468"/>
      <c r="CD378" s="468"/>
      <c r="CE378" s="468"/>
      <c r="CF378" s="468"/>
      <c r="CG378" s="468"/>
      <c r="CH378" s="468"/>
      <c r="CI378" s="468"/>
      <c r="CJ378" s="468"/>
      <c r="CK378" s="468"/>
      <c r="CL378" s="468"/>
      <c r="CM378" s="468"/>
      <c r="CN378" s="468"/>
      <c r="CO378" s="468"/>
      <c r="CP378" s="468"/>
      <c r="CQ378" s="468"/>
      <c r="CR378" s="468"/>
      <c r="CS378" s="468"/>
      <c r="CT378" s="468"/>
      <c r="CU378" s="468"/>
      <c r="CV378" s="468"/>
      <c r="CW378" s="468"/>
      <c r="CX378" s="468"/>
      <c r="CY378" s="468"/>
      <c r="CZ378" s="468"/>
      <c r="DA378" s="468"/>
      <c r="DB378" s="468"/>
      <c r="DC378" s="468"/>
      <c r="DD378" s="468"/>
      <c r="DE378" s="468"/>
      <c r="DF378" s="468"/>
      <c r="DG378" s="468"/>
      <c r="DH378" s="468"/>
      <c r="DI378" s="468"/>
      <c r="DJ378" s="468"/>
      <c r="DK378" s="468"/>
      <c r="DL378" s="468"/>
      <c r="DM378" s="468"/>
      <c r="DN378" s="468"/>
      <c r="DO378" s="468"/>
      <c r="DP378" s="468"/>
      <c r="DQ378" s="468"/>
      <c r="DR378" s="468"/>
      <c r="DS378" s="468"/>
      <c r="DT378" s="468"/>
      <c r="DU378" s="468"/>
      <c r="DV378" s="468"/>
      <c r="DW378" s="468"/>
      <c r="DX378" s="468"/>
      <c r="DY378" s="468"/>
      <c r="DZ378" s="468"/>
      <c r="EA378" s="468"/>
      <c r="EB378" s="468"/>
      <c r="EC378" s="468"/>
      <c r="ED378" s="468"/>
      <c r="EE378" s="468"/>
      <c r="EF378" s="468"/>
      <c r="EG378" s="468"/>
      <c r="EH378" s="468"/>
      <c r="EI378" s="468"/>
      <c r="EJ378" s="468"/>
      <c r="EK378" s="468"/>
      <c r="EL378" s="468"/>
      <c r="EM378" s="468"/>
      <c r="EN378" s="468"/>
      <c r="EO378" s="468"/>
      <c r="EP378" s="468"/>
      <c r="EQ378" s="468"/>
      <c r="ER378" s="468"/>
      <c r="ES378" s="468"/>
      <c r="ET378" s="468"/>
      <c r="EU378" s="468"/>
      <c r="EV378" s="468"/>
      <c r="EW378" s="468"/>
      <c r="EX378" s="468"/>
      <c r="EY378" s="468"/>
      <c r="EZ378" s="468"/>
      <c r="FA378" s="468"/>
      <c r="FB378" s="468"/>
      <c r="FC378" s="468"/>
      <c r="FD378" s="468"/>
      <c r="FE378" s="468"/>
      <c r="FF378" s="468"/>
      <c r="FG378" s="468"/>
      <c r="FH378" s="468"/>
      <c r="FI378" s="468"/>
      <c r="FJ378" s="468"/>
      <c r="FK378" s="468"/>
      <c r="FL378" s="468"/>
      <c r="FM378" s="468"/>
      <c r="FN378" s="468"/>
      <c r="FO378" s="468"/>
      <c r="FP378" s="468"/>
      <c r="FQ378" s="468"/>
      <c r="FR378" s="468"/>
      <c r="FS378" s="468"/>
      <c r="FT378" s="468"/>
      <c r="FU378" s="468"/>
      <c r="FV378" s="468"/>
      <c r="FW378" s="468"/>
      <c r="FX378" s="468"/>
      <c r="FY378" s="468"/>
      <c r="FZ378" s="468"/>
      <c r="GA378" s="468"/>
      <c r="GB378" s="468"/>
      <c r="GC378" s="468"/>
      <c r="GD378" s="468"/>
      <c r="GE378" s="468"/>
      <c r="GF378" s="468"/>
      <c r="GG378" s="468"/>
      <c r="GH378" s="468"/>
      <c r="GI378" s="468"/>
      <c r="GJ378" s="468"/>
      <c r="GK378" s="468"/>
      <c r="GL378" s="468"/>
      <c r="GM378" s="468"/>
      <c r="GN378" s="468"/>
      <c r="GO378" s="468"/>
      <c r="GP378" s="468"/>
      <c r="GQ378" s="468"/>
      <c r="GR378" s="468"/>
      <c r="GS378" s="468"/>
      <c r="GT378" s="468"/>
      <c r="GU378" s="468"/>
      <c r="GV378" s="468"/>
      <c r="GW378" s="468"/>
      <c r="GX378" s="468"/>
      <c r="GY378" s="468"/>
      <c r="GZ378" s="468"/>
      <c r="HA378" s="468"/>
      <c r="HB378" s="468"/>
      <c r="HC378" s="468"/>
      <c r="HD378" s="468"/>
      <c r="HE378" s="468"/>
      <c r="HF378" s="468"/>
      <c r="HG378" s="468"/>
      <c r="HH378" s="468"/>
      <c r="HI378" s="468"/>
      <c r="HJ378" s="468"/>
      <c r="HK378" s="468"/>
      <c r="HL378" s="468"/>
      <c r="HM378" s="468"/>
      <c r="HN378" s="468"/>
      <c r="HO378" s="468"/>
      <c r="HP378" s="468"/>
      <c r="HQ378" s="468"/>
      <c r="HR378" s="468"/>
      <c r="HS378" s="468"/>
      <c r="HT378" s="468"/>
      <c r="HU378" s="468"/>
      <c r="HV378" s="468"/>
      <c r="HW378" s="468"/>
      <c r="HX378" s="468"/>
      <c r="HY378" s="468"/>
      <c r="HZ378" s="468"/>
      <c r="IA378" s="468"/>
      <c r="IB378" s="468"/>
      <c r="IC378" s="468"/>
      <c r="ID378" s="468"/>
      <c r="IE378" s="468"/>
      <c r="IF378" s="468"/>
      <c r="IG378" s="468"/>
      <c r="IH378" s="468"/>
      <c r="II378" s="468"/>
      <c r="IJ378" s="468"/>
      <c r="IK378" s="468"/>
      <c r="IL378" s="468"/>
      <c r="IM378" s="468"/>
      <c r="IN378" s="468"/>
      <c r="IO378" s="468"/>
      <c r="IP378" s="468"/>
      <c r="IQ378" s="468"/>
      <c r="IR378" s="468"/>
      <c r="IS378" s="468"/>
      <c r="IT378" s="468"/>
      <c r="IU378" s="468"/>
      <c r="IV378" s="468"/>
      <c r="IW378" s="468"/>
      <c r="IX378" s="468"/>
      <c r="IY378" s="468"/>
      <c r="IZ378" s="468"/>
      <c r="JA378" s="468"/>
      <c r="JB378" s="468"/>
      <c r="JC378" s="468"/>
      <c r="JD378" s="468"/>
      <c r="JE378" s="468"/>
      <c r="JF378" s="468"/>
      <c r="JG378" s="468"/>
      <c r="JH378" s="468"/>
      <c r="JI378" s="468"/>
      <c r="JJ378" s="468"/>
      <c r="JK378" s="468"/>
      <c r="JL378" s="468"/>
      <c r="JM378" s="468"/>
      <c r="JN378" s="468"/>
      <c r="JO378" s="468"/>
      <c r="JP378" s="468"/>
      <c r="JQ378" s="468"/>
      <c r="JR378" s="468"/>
      <c r="JS378" s="468"/>
      <c r="JT378" s="468"/>
      <c r="JU378" s="468"/>
      <c r="JV378" s="468"/>
      <c r="JW378" s="468"/>
      <c r="JX378" s="468"/>
      <c r="JY378" s="468"/>
      <c r="JZ378" s="468"/>
      <c r="KA378" s="468"/>
      <c r="KB378" s="468"/>
      <c r="KC378" s="468"/>
      <c r="KD378" s="468"/>
      <c r="KE378" s="468"/>
      <c r="KF378" s="468"/>
      <c r="KG378" s="468"/>
      <c r="KH378" s="468"/>
      <c r="KI378" s="468"/>
      <c r="KJ378" s="468"/>
      <c r="KK378" s="468"/>
      <c r="KL378" s="468"/>
      <c r="KM378" s="468"/>
      <c r="KN378" s="468"/>
      <c r="KO378" s="468"/>
      <c r="KP378" s="468"/>
      <c r="KQ378" s="468"/>
      <c r="KR378" s="468"/>
      <c r="KS378" s="468"/>
      <c r="KT378" s="468"/>
      <c r="KU378" s="468"/>
      <c r="KV378" s="468"/>
    </row>
    <row r="379" spans="1:308" s="344" customFormat="1" ht="15.75" customHeight="1" x14ac:dyDescent="0.8">
      <c r="A379" s="370" t="s">
        <v>384</v>
      </c>
      <c r="B379" s="486">
        <v>7.5</v>
      </c>
      <c r="C379" s="336"/>
      <c r="F379" s="361" t="s">
        <v>333</v>
      </c>
      <c r="G379" s="46" t="s">
        <v>334</v>
      </c>
      <c r="H379" s="67" t="s">
        <v>118</v>
      </c>
      <c r="I379" s="653">
        <v>-1.3</v>
      </c>
      <c r="J379" s="469"/>
      <c r="K379" s="470"/>
      <c r="L379" s="469"/>
      <c r="M379" s="470"/>
      <c r="N379" s="469"/>
      <c r="O379" s="475"/>
      <c r="P379" s="471"/>
      <c r="Q379" s="476"/>
      <c r="R379" s="471"/>
      <c r="S379" s="471"/>
      <c r="T379" s="471"/>
      <c r="U379" s="471"/>
      <c r="V379" s="468"/>
      <c r="W379" s="468"/>
      <c r="X379" s="468"/>
      <c r="Y379" s="468"/>
      <c r="Z379" s="468"/>
      <c r="AA379" s="468"/>
      <c r="AB379" s="468"/>
      <c r="AC379" s="468"/>
      <c r="AD379" s="468"/>
      <c r="AE379" s="468"/>
      <c r="AF379" s="468"/>
      <c r="AG379" s="468"/>
      <c r="AH379" s="468"/>
      <c r="AI379" s="468"/>
      <c r="AJ379" s="468"/>
      <c r="AK379" s="468"/>
      <c r="AL379" s="468"/>
      <c r="AM379" s="468"/>
      <c r="AN379" s="468"/>
      <c r="AO379" s="468"/>
      <c r="AP379" s="468"/>
      <c r="AQ379" s="468"/>
      <c r="AR379" s="468"/>
      <c r="AS379" s="468"/>
      <c r="AT379" s="468"/>
      <c r="AU379" s="468"/>
      <c r="AV379" s="468"/>
      <c r="AW379" s="468"/>
      <c r="AX379" s="468"/>
      <c r="AY379" s="468"/>
      <c r="AZ379" s="468"/>
      <c r="BA379" s="468"/>
      <c r="BB379" s="468"/>
      <c r="BC379" s="468"/>
      <c r="BD379" s="468"/>
      <c r="BE379" s="468"/>
      <c r="BF379" s="468"/>
      <c r="BG379" s="468"/>
      <c r="BH379" s="468"/>
      <c r="BI379" s="468"/>
      <c r="BJ379" s="468"/>
      <c r="BK379" s="468"/>
      <c r="BL379" s="468"/>
      <c r="BM379" s="468"/>
      <c r="BN379" s="468"/>
      <c r="BO379" s="468"/>
      <c r="BP379" s="468"/>
      <c r="BQ379" s="468"/>
      <c r="BR379" s="468"/>
      <c r="BS379" s="468"/>
      <c r="BT379" s="468"/>
      <c r="BU379" s="468"/>
      <c r="BV379" s="468"/>
      <c r="BW379" s="468"/>
      <c r="BX379" s="468"/>
      <c r="BY379" s="468"/>
      <c r="BZ379" s="468"/>
      <c r="CA379" s="468"/>
      <c r="CB379" s="468"/>
      <c r="CC379" s="468"/>
      <c r="CD379" s="468"/>
      <c r="CE379" s="468"/>
      <c r="CF379" s="468"/>
      <c r="CG379" s="468"/>
      <c r="CH379" s="468"/>
      <c r="CI379" s="468"/>
      <c r="CJ379" s="468"/>
      <c r="CK379" s="468"/>
      <c r="CL379" s="468"/>
      <c r="CM379" s="468"/>
      <c r="CN379" s="468"/>
      <c r="CO379" s="468"/>
      <c r="CP379" s="468"/>
      <c r="CQ379" s="468"/>
      <c r="CR379" s="468"/>
      <c r="CS379" s="468"/>
      <c r="CT379" s="468"/>
      <c r="CU379" s="468"/>
      <c r="CV379" s="468"/>
      <c r="CW379" s="468"/>
      <c r="CX379" s="468"/>
      <c r="CY379" s="468"/>
      <c r="CZ379" s="468"/>
      <c r="DA379" s="468"/>
      <c r="DB379" s="468"/>
      <c r="DC379" s="468"/>
      <c r="DD379" s="468"/>
      <c r="DE379" s="468"/>
      <c r="DF379" s="468"/>
      <c r="DG379" s="468"/>
      <c r="DH379" s="468"/>
      <c r="DI379" s="468"/>
      <c r="DJ379" s="468"/>
      <c r="DK379" s="468"/>
      <c r="DL379" s="468"/>
      <c r="DM379" s="468"/>
      <c r="DN379" s="468"/>
      <c r="DO379" s="468"/>
      <c r="DP379" s="468"/>
      <c r="DQ379" s="468"/>
      <c r="DR379" s="468"/>
      <c r="DS379" s="468"/>
      <c r="DT379" s="468"/>
      <c r="DU379" s="468"/>
      <c r="DV379" s="468"/>
      <c r="DW379" s="468"/>
      <c r="DX379" s="468"/>
      <c r="DY379" s="468"/>
      <c r="DZ379" s="468"/>
      <c r="EA379" s="468"/>
      <c r="EB379" s="468"/>
      <c r="EC379" s="468"/>
      <c r="ED379" s="468"/>
      <c r="EE379" s="468"/>
      <c r="EF379" s="468"/>
      <c r="EG379" s="468"/>
      <c r="EH379" s="468"/>
      <c r="EI379" s="468"/>
      <c r="EJ379" s="468"/>
      <c r="EK379" s="468"/>
      <c r="EL379" s="468"/>
      <c r="EM379" s="468"/>
      <c r="EN379" s="468"/>
      <c r="EO379" s="468"/>
      <c r="EP379" s="468"/>
      <c r="EQ379" s="468"/>
      <c r="ER379" s="468"/>
      <c r="ES379" s="468"/>
      <c r="ET379" s="468"/>
      <c r="EU379" s="468"/>
      <c r="EV379" s="468"/>
      <c r="EW379" s="468"/>
      <c r="EX379" s="468"/>
      <c r="EY379" s="468"/>
      <c r="EZ379" s="468"/>
      <c r="FA379" s="468"/>
      <c r="FB379" s="468"/>
      <c r="FC379" s="468"/>
      <c r="FD379" s="468"/>
      <c r="FE379" s="468"/>
      <c r="FF379" s="468"/>
      <c r="FG379" s="468"/>
      <c r="FH379" s="468"/>
      <c r="FI379" s="468"/>
      <c r="FJ379" s="468"/>
      <c r="FK379" s="468"/>
      <c r="FL379" s="468"/>
      <c r="FM379" s="468"/>
      <c r="FN379" s="468"/>
      <c r="FO379" s="468"/>
      <c r="FP379" s="468"/>
      <c r="FQ379" s="468"/>
      <c r="FR379" s="468"/>
      <c r="FS379" s="468"/>
      <c r="FT379" s="468"/>
      <c r="FU379" s="468"/>
      <c r="FV379" s="468"/>
      <c r="FW379" s="468"/>
      <c r="FX379" s="468"/>
      <c r="FY379" s="468"/>
      <c r="FZ379" s="468"/>
      <c r="GA379" s="468"/>
      <c r="GB379" s="468"/>
      <c r="GC379" s="468"/>
      <c r="GD379" s="468"/>
      <c r="GE379" s="468"/>
      <c r="GF379" s="468"/>
      <c r="GG379" s="468"/>
      <c r="GH379" s="468"/>
      <c r="GI379" s="468"/>
      <c r="GJ379" s="468"/>
      <c r="GK379" s="468"/>
      <c r="GL379" s="468"/>
      <c r="GM379" s="468"/>
      <c r="GN379" s="468"/>
      <c r="GO379" s="468"/>
      <c r="GP379" s="468"/>
      <c r="GQ379" s="468"/>
      <c r="GR379" s="468"/>
      <c r="GS379" s="468"/>
      <c r="GT379" s="468"/>
      <c r="GU379" s="468"/>
      <c r="GV379" s="468"/>
      <c r="GW379" s="468"/>
      <c r="GX379" s="468"/>
      <c r="GY379" s="468"/>
      <c r="GZ379" s="468"/>
      <c r="HA379" s="468"/>
      <c r="HB379" s="468"/>
      <c r="HC379" s="468"/>
      <c r="HD379" s="468"/>
      <c r="HE379" s="468"/>
      <c r="HF379" s="468"/>
      <c r="HG379" s="468"/>
      <c r="HH379" s="468"/>
      <c r="HI379" s="468"/>
      <c r="HJ379" s="468"/>
      <c r="HK379" s="468"/>
      <c r="HL379" s="468"/>
      <c r="HM379" s="468"/>
      <c r="HN379" s="468"/>
      <c r="HO379" s="468"/>
      <c r="HP379" s="468"/>
      <c r="HQ379" s="468"/>
      <c r="HR379" s="468"/>
      <c r="HS379" s="468"/>
      <c r="HT379" s="468"/>
      <c r="HU379" s="468"/>
      <c r="HV379" s="468"/>
      <c r="HW379" s="468"/>
      <c r="HX379" s="468"/>
      <c r="HY379" s="468"/>
      <c r="HZ379" s="468"/>
      <c r="IA379" s="468"/>
      <c r="IB379" s="468"/>
      <c r="IC379" s="468"/>
      <c r="ID379" s="468"/>
      <c r="IE379" s="468"/>
      <c r="IF379" s="468"/>
      <c r="IG379" s="468"/>
      <c r="IH379" s="468"/>
      <c r="II379" s="468"/>
      <c r="IJ379" s="468"/>
      <c r="IK379" s="468"/>
      <c r="IL379" s="468"/>
      <c r="IM379" s="468"/>
      <c r="IN379" s="468"/>
      <c r="IO379" s="468"/>
      <c r="IP379" s="468"/>
      <c r="IQ379" s="468"/>
      <c r="IR379" s="468"/>
      <c r="IS379" s="468"/>
      <c r="IT379" s="468"/>
      <c r="IU379" s="468"/>
      <c r="IV379" s="468"/>
      <c r="IW379" s="468"/>
      <c r="IX379" s="468"/>
      <c r="IY379" s="468"/>
      <c r="IZ379" s="468"/>
      <c r="JA379" s="468"/>
      <c r="JB379" s="468"/>
      <c r="JC379" s="468"/>
      <c r="JD379" s="468"/>
      <c r="JE379" s="468"/>
      <c r="JF379" s="468"/>
      <c r="JG379" s="468"/>
      <c r="JH379" s="468"/>
      <c r="JI379" s="468"/>
      <c r="JJ379" s="468"/>
      <c r="JK379" s="468"/>
      <c r="JL379" s="468"/>
      <c r="JM379" s="468"/>
      <c r="JN379" s="468"/>
      <c r="JO379" s="468"/>
      <c r="JP379" s="468"/>
      <c r="JQ379" s="468"/>
      <c r="JR379" s="468"/>
      <c r="JS379" s="468"/>
      <c r="JT379" s="468"/>
      <c r="JU379" s="468"/>
      <c r="JV379" s="468"/>
      <c r="JW379" s="468"/>
      <c r="JX379" s="468"/>
      <c r="JY379" s="468"/>
      <c r="JZ379" s="468"/>
      <c r="KA379" s="468"/>
      <c r="KB379" s="468"/>
      <c r="KC379" s="468"/>
      <c r="KD379" s="468"/>
      <c r="KE379" s="468"/>
      <c r="KF379" s="468"/>
      <c r="KG379" s="468"/>
      <c r="KH379" s="468"/>
      <c r="KI379" s="468"/>
      <c r="KJ379" s="468"/>
      <c r="KK379" s="468"/>
      <c r="KL379" s="468"/>
      <c r="KM379" s="468"/>
      <c r="KN379" s="468"/>
      <c r="KO379" s="468"/>
      <c r="KP379" s="468"/>
      <c r="KQ379" s="468"/>
      <c r="KR379" s="468"/>
      <c r="KS379" s="468"/>
      <c r="KT379" s="468"/>
      <c r="KU379" s="468"/>
      <c r="KV379" s="468"/>
    </row>
    <row r="380" spans="1:308" s="344" customFormat="1" ht="15.75" customHeight="1" x14ac:dyDescent="0.8">
      <c r="A380" s="370" t="s">
        <v>384</v>
      </c>
      <c r="B380" s="486">
        <v>7.5</v>
      </c>
      <c r="C380" s="336"/>
      <c r="F380" s="361" t="s">
        <v>352</v>
      </c>
      <c r="G380" s="46" t="s">
        <v>334</v>
      </c>
      <c r="H380" s="67" t="s">
        <v>118</v>
      </c>
      <c r="I380" s="653">
        <v>-8.8000000000000007</v>
      </c>
      <c r="J380" s="469"/>
      <c r="K380" s="470"/>
      <c r="L380" s="469"/>
      <c r="M380" s="470"/>
      <c r="N380" s="469"/>
      <c r="O380" s="475"/>
      <c r="P380" s="471"/>
      <c r="Q380" s="476"/>
      <c r="R380" s="471"/>
      <c r="S380" s="471"/>
      <c r="T380" s="471"/>
      <c r="U380" s="471"/>
      <c r="V380" s="468"/>
      <c r="W380" s="468"/>
      <c r="X380" s="468"/>
      <c r="Y380" s="468"/>
      <c r="Z380" s="468"/>
      <c r="AA380" s="468"/>
      <c r="AB380" s="468"/>
      <c r="AC380" s="468"/>
      <c r="AD380" s="468"/>
      <c r="AE380" s="468"/>
      <c r="AF380" s="468"/>
      <c r="AG380" s="468"/>
      <c r="AH380" s="468"/>
      <c r="AI380" s="468"/>
      <c r="AJ380" s="468"/>
      <c r="AK380" s="468"/>
      <c r="AL380" s="468"/>
      <c r="AM380" s="468"/>
      <c r="AN380" s="468"/>
      <c r="AO380" s="468"/>
      <c r="AP380" s="468"/>
      <c r="AQ380" s="468"/>
      <c r="AR380" s="468"/>
      <c r="AS380" s="468"/>
      <c r="AT380" s="468"/>
      <c r="AU380" s="468"/>
      <c r="AV380" s="468"/>
      <c r="AW380" s="468"/>
      <c r="AX380" s="468"/>
      <c r="AY380" s="468"/>
      <c r="AZ380" s="468"/>
      <c r="BA380" s="468"/>
      <c r="BB380" s="468"/>
      <c r="BC380" s="468"/>
      <c r="BD380" s="468"/>
      <c r="BE380" s="468"/>
      <c r="BF380" s="468"/>
      <c r="BG380" s="468"/>
      <c r="BH380" s="468"/>
      <c r="BI380" s="468"/>
      <c r="BJ380" s="468"/>
      <c r="BK380" s="468"/>
      <c r="BL380" s="468"/>
      <c r="BM380" s="468"/>
      <c r="BN380" s="468"/>
      <c r="BO380" s="468"/>
      <c r="BP380" s="468"/>
      <c r="BQ380" s="468"/>
      <c r="BR380" s="468"/>
      <c r="BS380" s="468"/>
      <c r="BT380" s="468"/>
      <c r="BU380" s="468"/>
      <c r="BV380" s="468"/>
      <c r="BW380" s="468"/>
      <c r="BX380" s="468"/>
      <c r="BY380" s="468"/>
      <c r="BZ380" s="468"/>
      <c r="CA380" s="468"/>
      <c r="CB380" s="468"/>
      <c r="CC380" s="468"/>
      <c r="CD380" s="468"/>
      <c r="CE380" s="468"/>
      <c r="CF380" s="468"/>
      <c r="CG380" s="468"/>
      <c r="CH380" s="468"/>
      <c r="CI380" s="468"/>
      <c r="CJ380" s="468"/>
      <c r="CK380" s="468"/>
      <c r="CL380" s="468"/>
      <c r="CM380" s="468"/>
      <c r="CN380" s="468"/>
      <c r="CO380" s="468"/>
      <c r="CP380" s="468"/>
      <c r="CQ380" s="468"/>
      <c r="CR380" s="468"/>
      <c r="CS380" s="468"/>
      <c r="CT380" s="468"/>
      <c r="CU380" s="468"/>
      <c r="CV380" s="468"/>
      <c r="CW380" s="468"/>
      <c r="CX380" s="468"/>
      <c r="CY380" s="468"/>
      <c r="CZ380" s="468"/>
      <c r="DA380" s="468"/>
      <c r="DB380" s="468"/>
      <c r="DC380" s="468"/>
      <c r="DD380" s="468"/>
      <c r="DE380" s="468"/>
      <c r="DF380" s="468"/>
      <c r="DG380" s="468"/>
      <c r="DH380" s="468"/>
      <c r="DI380" s="468"/>
      <c r="DJ380" s="468"/>
      <c r="DK380" s="468"/>
      <c r="DL380" s="468"/>
      <c r="DM380" s="468"/>
      <c r="DN380" s="468"/>
      <c r="DO380" s="468"/>
      <c r="DP380" s="468"/>
      <c r="DQ380" s="468"/>
      <c r="DR380" s="468"/>
      <c r="DS380" s="468"/>
      <c r="DT380" s="468"/>
      <c r="DU380" s="468"/>
      <c r="DV380" s="468"/>
      <c r="DW380" s="468"/>
      <c r="DX380" s="468"/>
      <c r="DY380" s="468"/>
      <c r="DZ380" s="468"/>
      <c r="EA380" s="468"/>
      <c r="EB380" s="468"/>
      <c r="EC380" s="468"/>
      <c r="ED380" s="468"/>
      <c r="EE380" s="468"/>
      <c r="EF380" s="468"/>
      <c r="EG380" s="468"/>
      <c r="EH380" s="468"/>
      <c r="EI380" s="468"/>
      <c r="EJ380" s="468"/>
      <c r="EK380" s="468"/>
      <c r="EL380" s="468"/>
      <c r="EM380" s="468"/>
      <c r="EN380" s="468"/>
      <c r="EO380" s="468"/>
      <c r="EP380" s="468"/>
      <c r="EQ380" s="468"/>
      <c r="ER380" s="468"/>
      <c r="ES380" s="468"/>
      <c r="ET380" s="468"/>
      <c r="EU380" s="468"/>
      <c r="EV380" s="468"/>
      <c r="EW380" s="468"/>
      <c r="EX380" s="468"/>
      <c r="EY380" s="468"/>
      <c r="EZ380" s="468"/>
      <c r="FA380" s="468"/>
      <c r="FB380" s="468"/>
      <c r="FC380" s="468"/>
      <c r="FD380" s="468"/>
      <c r="FE380" s="468"/>
      <c r="FF380" s="468"/>
      <c r="FG380" s="468"/>
      <c r="FH380" s="468"/>
      <c r="FI380" s="468"/>
      <c r="FJ380" s="468"/>
      <c r="FK380" s="468"/>
      <c r="FL380" s="468"/>
      <c r="FM380" s="468"/>
      <c r="FN380" s="468"/>
      <c r="FO380" s="468"/>
      <c r="FP380" s="468"/>
      <c r="FQ380" s="468"/>
      <c r="FR380" s="468"/>
      <c r="FS380" s="468"/>
      <c r="FT380" s="468"/>
      <c r="FU380" s="468"/>
      <c r="FV380" s="468"/>
      <c r="FW380" s="468"/>
      <c r="FX380" s="468"/>
      <c r="FY380" s="468"/>
      <c r="FZ380" s="468"/>
      <c r="GA380" s="468"/>
      <c r="GB380" s="468"/>
      <c r="GC380" s="468"/>
      <c r="GD380" s="468"/>
      <c r="GE380" s="468"/>
      <c r="GF380" s="468"/>
      <c r="GG380" s="468"/>
      <c r="GH380" s="468"/>
      <c r="GI380" s="468"/>
      <c r="GJ380" s="468"/>
      <c r="GK380" s="468"/>
      <c r="GL380" s="468"/>
      <c r="GM380" s="468"/>
      <c r="GN380" s="468"/>
      <c r="GO380" s="468"/>
      <c r="GP380" s="468"/>
      <c r="GQ380" s="468"/>
      <c r="GR380" s="468"/>
      <c r="GS380" s="468"/>
      <c r="GT380" s="468"/>
      <c r="GU380" s="468"/>
      <c r="GV380" s="468"/>
      <c r="GW380" s="468"/>
      <c r="GX380" s="468"/>
      <c r="GY380" s="468"/>
      <c r="GZ380" s="468"/>
      <c r="HA380" s="468"/>
      <c r="HB380" s="468"/>
      <c r="HC380" s="468"/>
      <c r="HD380" s="468"/>
      <c r="HE380" s="468"/>
      <c r="HF380" s="468"/>
      <c r="HG380" s="468"/>
      <c r="HH380" s="468"/>
      <c r="HI380" s="468"/>
      <c r="HJ380" s="468"/>
      <c r="HK380" s="468"/>
      <c r="HL380" s="468"/>
      <c r="HM380" s="468"/>
      <c r="HN380" s="468"/>
      <c r="HO380" s="468"/>
      <c r="HP380" s="468"/>
      <c r="HQ380" s="468"/>
      <c r="HR380" s="468"/>
      <c r="HS380" s="468"/>
      <c r="HT380" s="468"/>
      <c r="HU380" s="468"/>
      <c r="HV380" s="468"/>
      <c r="HW380" s="468"/>
      <c r="HX380" s="468"/>
      <c r="HY380" s="468"/>
      <c r="HZ380" s="468"/>
      <c r="IA380" s="468"/>
      <c r="IB380" s="468"/>
      <c r="IC380" s="468"/>
      <c r="ID380" s="468"/>
      <c r="IE380" s="468"/>
      <c r="IF380" s="468"/>
      <c r="IG380" s="468"/>
      <c r="IH380" s="468"/>
      <c r="II380" s="468"/>
      <c r="IJ380" s="468"/>
      <c r="IK380" s="468"/>
      <c r="IL380" s="468"/>
      <c r="IM380" s="468"/>
      <c r="IN380" s="468"/>
      <c r="IO380" s="468"/>
      <c r="IP380" s="468"/>
      <c r="IQ380" s="468"/>
      <c r="IR380" s="468"/>
      <c r="IS380" s="468"/>
      <c r="IT380" s="468"/>
      <c r="IU380" s="468"/>
      <c r="IV380" s="468"/>
      <c r="IW380" s="468"/>
      <c r="IX380" s="468"/>
      <c r="IY380" s="468"/>
      <c r="IZ380" s="468"/>
      <c r="JA380" s="468"/>
      <c r="JB380" s="468"/>
      <c r="JC380" s="468"/>
      <c r="JD380" s="468"/>
      <c r="JE380" s="468"/>
      <c r="JF380" s="468"/>
      <c r="JG380" s="468"/>
      <c r="JH380" s="468"/>
      <c r="JI380" s="468"/>
      <c r="JJ380" s="468"/>
      <c r="JK380" s="468"/>
      <c r="JL380" s="468"/>
      <c r="JM380" s="468"/>
      <c r="JN380" s="468"/>
      <c r="JO380" s="468"/>
      <c r="JP380" s="468"/>
      <c r="JQ380" s="468"/>
      <c r="JR380" s="468"/>
      <c r="JS380" s="468"/>
      <c r="JT380" s="468"/>
      <c r="JU380" s="468"/>
      <c r="JV380" s="468"/>
      <c r="JW380" s="468"/>
      <c r="JX380" s="468"/>
      <c r="JY380" s="468"/>
      <c r="JZ380" s="468"/>
      <c r="KA380" s="468"/>
      <c r="KB380" s="468"/>
      <c r="KC380" s="468"/>
      <c r="KD380" s="468"/>
      <c r="KE380" s="468"/>
      <c r="KF380" s="468"/>
      <c r="KG380" s="468"/>
      <c r="KH380" s="468"/>
      <c r="KI380" s="468"/>
      <c r="KJ380" s="468"/>
      <c r="KK380" s="468"/>
      <c r="KL380" s="468"/>
      <c r="KM380" s="468"/>
      <c r="KN380" s="468"/>
      <c r="KO380" s="468"/>
      <c r="KP380" s="468"/>
      <c r="KQ380" s="468"/>
      <c r="KR380" s="468"/>
      <c r="KS380" s="468"/>
      <c r="KT380" s="468"/>
      <c r="KU380" s="468"/>
      <c r="KV380" s="468"/>
    </row>
    <row r="381" spans="1:308" s="344" customFormat="1" ht="15.75" customHeight="1" x14ac:dyDescent="0.8">
      <c r="A381" s="344" t="s">
        <v>384</v>
      </c>
      <c r="B381" s="486">
        <v>9</v>
      </c>
      <c r="C381" s="336"/>
      <c r="F381" s="127" t="s">
        <v>356</v>
      </c>
      <c r="G381" s="46" t="s">
        <v>334</v>
      </c>
      <c r="H381" s="67" t="s">
        <v>118</v>
      </c>
      <c r="I381" s="653">
        <v>-1.3</v>
      </c>
      <c r="J381" s="469"/>
      <c r="K381" s="470"/>
      <c r="L381" s="469"/>
      <c r="M381" s="470"/>
      <c r="N381" s="469"/>
      <c r="O381" s="475"/>
      <c r="P381" s="471"/>
      <c r="Q381" s="476"/>
      <c r="R381" s="471"/>
      <c r="S381" s="471"/>
      <c r="T381" s="471"/>
      <c r="U381" s="471"/>
      <c r="V381" s="468"/>
      <c r="W381" s="468"/>
      <c r="X381" s="468"/>
      <c r="Y381" s="468"/>
      <c r="Z381" s="468"/>
      <c r="AA381" s="468"/>
      <c r="AB381" s="468"/>
      <c r="AC381" s="468"/>
      <c r="AD381" s="468"/>
      <c r="AE381" s="468"/>
      <c r="AF381" s="468"/>
      <c r="AG381" s="468"/>
      <c r="AH381" s="468"/>
      <c r="AI381" s="468"/>
      <c r="AJ381" s="468"/>
      <c r="AK381" s="468"/>
      <c r="AL381" s="468"/>
      <c r="AM381" s="468"/>
      <c r="AN381" s="468"/>
      <c r="AO381" s="468"/>
      <c r="AP381" s="468"/>
      <c r="AQ381" s="468"/>
      <c r="AR381" s="468"/>
      <c r="AS381" s="468"/>
      <c r="AT381" s="468"/>
      <c r="AU381" s="468"/>
      <c r="AV381" s="468"/>
      <c r="AW381" s="468"/>
      <c r="AX381" s="468"/>
      <c r="AY381" s="468"/>
      <c r="AZ381" s="468"/>
      <c r="BA381" s="468"/>
      <c r="BB381" s="468"/>
      <c r="BC381" s="468"/>
      <c r="BD381" s="468"/>
      <c r="BE381" s="468"/>
      <c r="BF381" s="468"/>
      <c r="BG381" s="468"/>
      <c r="BH381" s="468"/>
      <c r="BI381" s="468"/>
      <c r="BJ381" s="468"/>
      <c r="BK381" s="468"/>
      <c r="BL381" s="468"/>
      <c r="BM381" s="468"/>
      <c r="BN381" s="468"/>
      <c r="BO381" s="468"/>
      <c r="BP381" s="468"/>
      <c r="BQ381" s="468"/>
      <c r="BR381" s="468"/>
      <c r="BS381" s="468"/>
      <c r="BT381" s="468"/>
      <c r="BU381" s="468"/>
      <c r="BV381" s="468"/>
      <c r="BW381" s="468"/>
      <c r="BX381" s="468"/>
      <c r="BY381" s="468"/>
      <c r="BZ381" s="468"/>
      <c r="CA381" s="468"/>
      <c r="CB381" s="468"/>
      <c r="CC381" s="468"/>
      <c r="CD381" s="468"/>
      <c r="CE381" s="468"/>
      <c r="CF381" s="468"/>
      <c r="CG381" s="468"/>
      <c r="CH381" s="468"/>
      <c r="CI381" s="468"/>
      <c r="CJ381" s="468"/>
      <c r="CK381" s="468"/>
      <c r="CL381" s="468"/>
      <c r="CM381" s="468"/>
      <c r="CN381" s="468"/>
      <c r="CO381" s="468"/>
      <c r="CP381" s="468"/>
      <c r="CQ381" s="468"/>
      <c r="CR381" s="468"/>
      <c r="CS381" s="468"/>
      <c r="CT381" s="468"/>
      <c r="CU381" s="468"/>
      <c r="CV381" s="468"/>
      <c r="CW381" s="468"/>
      <c r="CX381" s="468"/>
      <c r="CY381" s="468"/>
      <c r="CZ381" s="468"/>
      <c r="DA381" s="468"/>
      <c r="DB381" s="468"/>
      <c r="DC381" s="468"/>
      <c r="DD381" s="468"/>
      <c r="DE381" s="468"/>
      <c r="DF381" s="468"/>
      <c r="DG381" s="468"/>
      <c r="DH381" s="468"/>
      <c r="DI381" s="468"/>
      <c r="DJ381" s="468"/>
      <c r="DK381" s="468"/>
      <c r="DL381" s="468"/>
      <c r="DM381" s="468"/>
      <c r="DN381" s="468"/>
      <c r="DO381" s="468"/>
      <c r="DP381" s="468"/>
      <c r="DQ381" s="468"/>
      <c r="DR381" s="468"/>
      <c r="DS381" s="468"/>
      <c r="DT381" s="468"/>
      <c r="DU381" s="468"/>
      <c r="DV381" s="468"/>
      <c r="DW381" s="468"/>
      <c r="DX381" s="468"/>
      <c r="DY381" s="468"/>
      <c r="DZ381" s="468"/>
      <c r="EA381" s="468"/>
      <c r="EB381" s="468"/>
      <c r="EC381" s="468"/>
      <c r="ED381" s="468"/>
      <c r="EE381" s="468"/>
      <c r="EF381" s="468"/>
      <c r="EG381" s="468"/>
      <c r="EH381" s="468"/>
      <c r="EI381" s="468"/>
      <c r="EJ381" s="468"/>
      <c r="EK381" s="468"/>
      <c r="EL381" s="468"/>
      <c r="EM381" s="468"/>
      <c r="EN381" s="468"/>
      <c r="EO381" s="468"/>
      <c r="EP381" s="468"/>
      <c r="EQ381" s="468"/>
      <c r="ER381" s="468"/>
      <c r="ES381" s="468"/>
      <c r="ET381" s="468"/>
      <c r="EU381" s="468"/>
      <c r="EV381" s="468"/>
      <c r="EW381" s="468"/>
      <c r="EX381" s="468"/>
      <c r="EY381" s="468"/>
      <c r="EZ381" s="468"/>
      <c r="FA381" s="468"/>
      <c r="FB381" s="468"/>
      <c r="FC381" s="468"/>
      <c r="FD381" s="468"/>
      <c r="FE381" s="468"/>
      <c r="FF381" s="468"/>
      <c r="FG381" s="468"/>
      <c r="FH381" s="468"/>
      <c r="FI381" s="468"/>
      <c r="FJ381" s="468"/>
      <c r="FK381" s="468"/>
      <c r="FL381" s="468"/>
      <c r="FM381" s="468"/>
      <c r="FN381" s="468"/>
      <c r="FO381" s="468"/>
      <c r="FP381" s="468"/>
      <c r="FQ381" s="468"/>
      <c r="FR381" s="468"/>
      <c r="FS381" s="468"/>
      <c r="FT381" s="468"/>
      <c r="FU381" s="468"/>
      <c r="FV381" s="468"/>
      <c r="FW381" s="468"/>
      <c r="FX381" s="468"/>
      <c r="FY381" s="468"/>
      <c r="FZ381" s="468"/>
      <c r="GA381" s="468"/>
      <c r="GB381" s="468"/>
      <c r="GC381" s="468"/>
      <c r="GD381" s="468"/>
      <c r="GE381" s="468"/>
      <c r="GF381" s="468"/>
      <c r="GG381" s="468"/>
      <c r="GH381" s="468"/>
      <c r="GI381" s="468"/>
      <c r="GJ381" s="468"/>
      <c r="GK381" s="468"/>
      <c r="GL381" s="468"/>
      <c r="GM381" s="468"/>
      <c r="GN381" s="468"/>
      <c r="GO381" s="468"/>
      <c r="GP381" s="468"/>
      <c r="GQ381" s="468"/>
      <c r="GR381" s="468"/>
      <c r="GS381" s="468"/>
      <c r="GT381" s="468"/>
      <c r="GU381" s="468"/>
      <c r="GV381" s="468"/>
      <c r="GW381" s="468"/>
      <c r="GX381" s="468"/>
      <c r="GY381" s="468"/>
      <c r="GZ381" s="468"/>
      <c r="HA381" s="468"/>
      <c r="HB381" s="468"/>
      <c r="HC381" s="468"/>
      <c r="HD381" s="468"/>
      <c r="HE381" s="468"/>
      <c r="HF381" s="468"/>
      <c r="HG381" s="468"/>
      <c r="HH381" s="468"/>
      <c r="HI381" s="468"/>
      <c r="HJ381" s="468"/>
      <c r="HK381" s="468"/>
      <c r="HL381" s="468"/>
      <c r="HM381" s="468"/>
      <c r="HN381" s="468"/>
      <c r="HO381" s="468"/>
      <c r="HP381" s="468"/>
      <c r="HQ381" s="468"/>
      <c r="HR381" s="468"/>
      <c r="HS381" s="468"/>
      <c r="HT381" s="468"/>
      <c r="HU381" s="468"/>
      <c r="HV381" s="468"/>
      <c r="HW381" s="468"/>
      <c r="HX381" s="468"/>
      <c r="HY381" s="468"/>
      <c r="HZ381" s="468"/>
      <c r="IA381" s="468"/>
      <c r="IB381" s="468"/>
      <c r="IC381" s="468"/>
      <c r="ID381" s="468"/>
      <c r="IE381" s="468"/>
      <c r="IF381" s="468"/>
      <c r="IG381" s="468"/>
      <c r="IH381" s="468"/>
      <c r="II381" s="468"/>
      <c r="IJ381" s="468"/>
      <c r="IK381" s="468"/>
      <c r="IL381" s="468"/>
      <c r="IM381" s="468"/>
      <c r="IN381" s="468"/>
      <c r="IO381" s="468"/>
      <c r="IP381" s="468"/>
      <c r="IQ381" s="468"/>
      <c r="IR381" s="468"/>
      <c r="IS381" s="468"/>
      <c r="IT381" s="468"/>
      <c r="IU381" s="468"/>
      <c r="IV381" s="468"/>
      <c r="IW381" s="468"/>
      <c r="IX381" s="468"/>
      <c r="IY381" s="468"/>
      <c r="IZ381" s="468"/>
      <c r="JA381" s="468"/>
      <c r="JB381" s="468"/>
      <c r="JC381" s="468"/>
      <c r="JD381" s="468"/>
      <c r="JE381" s="468"/>
      <c r="JF381" s="468"/>
      <c r="JG381" s="468"/>
      <c r="JH381" s="468"/>
      <c r="JI381" s="468"/>
      <c r="JJ381" s="468"/>
      <c r="JK381" s="468"/>
      <c r="JL381" s="468"/>
      <c r="JM381" s="468"/>
      <c r="JN381" s="468"/>
      <c r="JO381" s="468"/>
      <c r="JP381" s="468"/>
      <c r="JQ381" s="468"/>
      <c r="JR381" s="468"/>
      <c r="JS381" s="468"/>
      <c r="JT381" s="468"/>
      <c r="JU381" s="468"/>
      <c r="JV381" s="468"/>
      <c r="JW381" s="468"/>
      <c r="JX381" s="468"/>
      <c r="JY381" s="468"/>
      <c r="JZ381" s="468"/>
      <c r="KA381" s="468"/>
      <c r="KB381" s="468"/>
      <c r="KC381" s="468"/>
      <c r="KD381" s="468"/>
      <c r="KE381" s="468"/>
      <c r="KF381" s="468"/>
      <c r="KG381" s="468"/>
      <c r="KH381" s="468"/>
      <c r="KI381" s="468"/>
      <c r="KJ381" s="468"/>
      <c r="KK381" s="468"/>
      <c r="KL381" s="468"/>
      <c r="KM381" s="468"/>
      <c r="KN381" s="468"/>
      <c r="KO381" s="468"/>
      <c r="KP381" s="468"/>
      <c r="KQ381" s="468"/>
      <c r="KR381" s="468"/>
      <c r="KS381" s="468"/>
      <c r="KT381" s="468"/>
      <c r="KU381" s="468"/>
      <c r="KV381" s="468"/>
    </row>
    <row r="382" spans="1:308" s="344" customFormat="1" ht="15.75" customHeight="1" x14ac:dyDescent="0.8">
      <c r="A382" s="344" t="s">
        <v>384</v>
      </c>
      <c r="B382" s="486">
        <v>11.5</v>
      </c>
      <c r="C382" s="336"/>
      <c r="F382" s="127" t="s">
        <v>344</v>
      </c>
      <c r="G382" s="46" t="s">
        <v>334</v>
      </c>
      <c r="H382" s="67" t="s">
        <v>118</v>
      </c>
      <c r="I382" s="653">
        <v>6.8</v>
      </c>
      <c r="J382" s="469"/>
      <c r="K382" s="470"/>
      <c r="L382" s="469"/>
      <c r="M382" s="470"/>
      <c r="N382" s="469"/>
      <c r="O382" s="475"/>
      <c r="P382" s="471"/>
      <c r="Q382" s="476"/>
      <c r="R382" s="471"/>
      <c r="S382" s="471"/>
      <c r="T382" s="471"/>
      <c r="U382" s="471"/>
      <c r="V382" s="468"/>
      <c r="W382" s="468"/>
      <c r="X382" s="468"/>
      <c r="Y382" s="468"/>
      <c r="Z382" s="468"/>
      <c r="AA382" s="468"/>
      <c r="AB382" s="468"/>
      <c r="AC382" s="468"/>
      <c r="AD382" s="468"/>
      <c r="AE382" s="468"/>
      <c r="AF382" s="468"/>
      <c r="AG382" s="468"/>
      <c r="AH382" s="468"/>
      <c r="AI382" s="468"/>
      <c r="AJ382" s="468"/>
      <c r="AK382" s="468"/>
      <c r="AL382" s="468"/>
      <c r="AM382" s="468"/>
      <c r="AN382" s="468"/>
      <c r="AO382" s="468"/>
      <c r="AP382" s="468"/>
      <c r="AQ382" s="468"/>
      <c r="AR382" s="468"/>
      <c r="AS382" s="468"/>
      <c r="AT382" s="468"/>
      <c r="AU382" s="468"/>
      <c r="AV382" s="468"/>
      <c r="AW382" s="468"/>
      <c r="AX382" s="468"/>
      <c r="AY382" s="468"/>
      <c r="AZ382" s="468"/>
      <c r="BA382" s="468"/>
      <c r="BB382" s="468"/>
      <c r="BC382" s="468"/>
      <c r="BD382" s="468"/>
      <c r="BE382" s="468"/>
      <c r="BF382" s="468"/>
      <c r="BG382" s="468"/>
      <c r="BH382" s="468"/>
      <c r="BI382" s="468"/>
      <c r="BJ382" s="468"/>
      <c r="BK382" s="468"/>
      <c r="BL382" s="468"/>
      <c r="BM382" s="468"/>
      <c r="BN382" s="468"/>
      <c r="BO382" s="468"/>
      <c r="BP382" s="468"/>
      <c r="BQ382" s="468"/>
      <c r="BR382" s="468"/>
      <c r="BS382" s="468"/>
      <c r="BT382" s="468"/>
      <c r="BU382" s="468"/>
      <c r="BV382" s="468"/>
      <c r="BW382" s="468"/>
      <c r="BX382" s="468"/>
      <c r="BY382" s="468"/>
      <c r="BZ382" s="468"/>
      <c r="CA382" s="468"/>
      <c r="CB382" s="468"/>
      <c r="CC382" s="468"/>
      <c r="CD382" s="468"/>
      <c r="CE382" s="468"/>
      <c r="CF382" s="468"/>
      <c r="CG382" s="468"/>
      <c r="CH382" s="468"/>
      <c r="CI382" s="468"/>
      <c r="CJ382" s="468"/>
      <c r="CK382" s="468"/>
      <c r="CL382" s="468"/>
      <c r="CM382" s="468"/>
      <c r="CN382" s="468"/>
      <c r="CO382" s="468"/>
      <c r="CP382" s="468"/>
      <c r="CQ382" s="468"/>
      <c r="CR382" s="468"/>
      <c r="CS382" s="468"/>
      <c r="CT382" s="468"/>
      <c r="CU382" s="468"/>
      <c r="CV382" s="468"/>
      <c r="CW382" s="468"/>
      <c r="CX382" s="468"/>
      <c r="CY382" s="468"/>
      <c r="CZ382" s="468"/>
      <c r="DA382" s="468"/>
      <c r="DB382" s="468"/>
      <c r="DC382" s="468"/>
      <c r="DD382" s="468"/>
      <c r="DE382" s="468"/>
      <c r="DF382" s="468"/>
      <c r="DG382" s="468"/>
      <c r="DH382" s="468"/>
      <c r="DI382" s="468"/>
      <c r="DJ382" s="468"/>
      <c r="DK382" s="468"/>
      <c r="DL382" s="468"/>
      <c r="DM382" s="468"/>
      <c r="DN382" s="468"/>
      <c r="DO382" s="468"/>
      <c r="DP382" s="468"/>
      <c r="DQ382" s="468"/>
      <c r="DR382" s="468"/>
      <c r="DS382" s="468"/>
      <c r="DT382" s="468"/>
      <c r="DU382" s="468"/>
      <c r="DV382" s="468"/>
      <c r="DW382" s="468"/>
      <c r="DX382" s="468"/>
      <c r="DY382" s="468"/>
      <c r="DZ382" s="468"/>
      <c r="EA382" s="468"/>
      <c r="EB382" s="468"/>
      <c r="EC382" s="468"/>
      <c r="ED382" s="468"/>
      <c r="EE382" s="468"/>
      <c r="EF382" s="468"/>
      <c r="EG382" s="468"/>
      <c r="EH382" s="468"/>
      <c r="EI382" s="468"/>
      <c r="EJ382" s="468"/>
      <c r="EK382" s="468"/>
      <c r="EL382" s="468"/>
      <c r="EM382" s="468"/>
      <c r="EN382" s="468"/>
      <c r="EO382" s="468"/>
      <c r="EP382" s="468"/>
      <c r="EQ382" s="468"/>
      <c r="ER382" s="468"/>
      <c r="ES382" s="468"/>
      <c r="ET382" s="468"/>
      <c r="EU382" s="468"/>
      <c r="EV382" s="468"/>
      <c r="EW382" s="468"/>
      <c r="EX382" s="468"/>
      <c r="EY382" s="468"/>
      <c r="EZ382" s="468"/>
      <c r="FA382" s="468"/>
      <c r="FB382" s="468"/>
      <c r="FC382" s="468"/>
      <c r="FD382" s="468"/>
      <c r="FE382" s="468"/>
      <c r="FF382" s="468"/>
      <c r="FG382" s="468"/>
      <c r="FH382" s="468"/>
      <c r="FI382" s="468"/>
      <c r="FJ382" s="468"/>
      <c r="FK382" s="468"/>
      <c r="FL382" s="468"/>
      <c r="FM382" s="468"/>
      <c r="FN382" s="468"/>
      <c r="FO382" s="468"/>
      <c r="FP382" s="468"/>
      <c r="FQ382" s="468"/>
      <c r="FR382" s="468"/>
      <c r="FS382" s="468"/>
      <c r="FT382" s="468"/>
      <c r="FU382" s="468"/>
      <c r="FV382" s="468"/>
      <c r="FW382" s="468"/>
      <c r="FX382" s="468"/>
      <c r="FY382" s="468"/>
      <c r="FZ382" s="468"/>
      <c r="GA382" s="468"/>
      <c r="GB382" s="468"/>
      <c r="GC382" s="468"/>
      <c r="GD382" s="468"/>
      <c r="GE382" s="468"/>
      <c r="GF382" s="468"/>
      <c r="GG382" s="468"/>
      <c r="GH382" s="468"/>
      <c r="GI382" s="468"/>
      <c r="GJ382" s="468"/>
      <c r="GK382" s="468"/>
      <c r="GL382" s="468"/>
      <c r="GM382" s="468"/>
      <c r="GN382" s="468"/>
      <c r="GO382" s="468"/>
      <c r="GP382" s="468"/>
      <c r="GQ382" s="468"/>
      <c r="GR382" s="468"/>
      <c r="GS382" s="468"/>
      <c r="GT382" s="468"/>
      <c r="GU382" s="468"/>
      <c r="GV382" s="468"/>
      <c r="GW382" s="468"/>
      <c r="GX382" s="468"/>
      <c r="GY382" s="468"/>
      <c r="GZ382" s="468"/>
      <c r="HA382" s="468"/>
      <c r="HB382" s="468"/>
      <c r="HC382" s="468"/>
      <c r="HD382" s="468"/>
      <c r="HE382" s="468"/>
      <c r="HF382" s="468"/>
      <c r="HG382" s="468"/>
      <c r="HH382" s="468"/>
      <c r="HI382" s="468"/>
      <c r="HJ382" s="468"/>
      <c r="HK382" s="468"/>
      <c r="HL382" s="468"/>
      <c r="HM382" s="468"/>
      <c r="HN382" s="468"/>
      <c r="HO382" s="468"/>
      <c r="HP382" s="468"/>
      <c r="HQ382" s="468"/>
      <c r="HR382" s="468"/>
      <c r="HS382" s="468"/>
      <c r="HT382" s="468"/>
      <c r="HU382" s="468"/>
      <c r="HV382" s="468"/>
      <c r="HW382" s="468"/>
      <c r="HX382" s="468"/>
      <c r="HY382" s="468"/>
      <c r="HZ382" s="468"/>
      <c r="IA382" s="468"/>
      <c r="IB382" s="468"/>
      <c r="IC382" s="468"/>
      <c r="ID382" s="468"/>
      <c r="IE382" s="468"/>
      <c r="IF382" s="468"/>
      <c r="IG382" s="468"/>
      <c r="IH382" s="468"/>
      <c r="II382" s="468"/>
      <c r="IJ382" s="468"/>
      <c r="IK382" s="468"/>
      <c r="IL382" s="468"/>
      <c r="IM382" s="468"/>
      <c r="IN382" s="468"/>
      <c r="IO382" s="468"/>
      <c r="IP382" s="468"/>
      <c r="IQ382" s="468"/>
      <c r="IR382" s="468"/>
      <c r="IS382" s="468"/>
      <c r="IT382" s="468"/>
      <c r="IU382" s="468"/>
      <c r="IV382" s="468"/>
      <c r="IW382" s="468"/>
      <c r="IX382" s="468"/>
      <c r="IY382" s="468"/>
      <c r="IZ382" s="468"/>
      <c r="JA382" s="468"/>
      <c r="JB382" s="468"/>
      <c r="JC382" s="468"/>
      <c r="JD382" s="468"/>
      <c r="JE382" s="468"/>
      <c r="JF382" s="468"/>
      <c r="JG382" s="468"/>
      <c r="JH382" s="468"/>
      <c r="JI382" s="468"/>
      <c r="JJ382" s="468"/>
      <c r="JK382" s="468"/>
      <c r="JL382" s="468"/>
      <c r="JM382" s="468"/>
      <c r="JN382" s="468"/>
      <c r="JO382" s="468"/>
      <c r="JP382" s="468"/>
      <c r="JQ382" s="468"/>
      <c r="JR382" s="468"/>
      <c r="JS382" s="468"/>
      <c r="JT382" s="468"/>
      <c r="JU382" s="468"/>
      <c r="JV382" s="468"/>
      <c r="JW382" s="468"/>
      <c r="JX382" s="468"/>
      <c r="JY382" s="468"/>
      <c r="JZ382" s="468"/>
      <c r="KA382" s="468"/>
      <c r="KB382" s="468"/>
      <c r="KC382" s="468"/>
      <c r="KD382" s="468"/>
      <c r="KE382" s="468"/>
      <c r="KF382" s="468"/>
      <c r="KG382" s="468"/>
      <c r="KH382" s="468"/>
      <c r="KI382" s="468"/>
      <c r="KJ382" s="468"/>
      <c r="KK382" s="468"/>
      <c r="KL382" s="468"/>
      <c r="KM382" s="468"/>
      <c r="KN382" s="468"/>
      <c r="KO382" s="468"/>
      <c r="KP382" s="468"/>
      <c r="KQ382" s="468"/>
      <c r="KR382" s="468"/>
      <c r="KS382" s="468"/>
      <c r="KT382" s="468"/>
      <c r="KU382" s="468"/>
      <c r="KV382" s="468"/>
    </row>
    <row r="383" spans="1:308" s="344" customFormat="1" ht="15.75" customHeight="1" x14ac:dyDescent="0.8">
      <c r="A383" s="370" t="s">
        <v>384</v>
      </c>
      <c r="B383" s="486">
        <v>8</v>
      </c>
      <c r="C383" s="336"/>
      <c r="F383" s="127" t="s">
        <v>198</v>
      </c>
      <c r="G383" s="46" t="s">
        <v>340</v>
      </c>
      <c r="H383" s="67" t="s">
        <v>118</v>
      </c>
      <c r="I383" s="653">
        <v>-0.5</v>
      </c>
      <c r="J383" s="469"/>
      <c r="K383" s="470"/>
      <c r="L383" s="469"/>
      <c r="M383" s="470"/>
      <c r="N383" s="469"/>
      <c r="O383" s="475"/>
      <c r="P383" s="471"/>
      <c r="Q383" s="476"/>
      <c r="R383" s="471"/>
      <c r="S383" s="471"/>
      <c r="T383" s="471"/>
      <c r="U383" s="471"/>
      <c r="V383" s="468"/>
      <c r="W383" s="468"/>
      <c r="X383" s="468"/>
      <c r="Y383" s="468"/>
      <c r="Z383" s="468"/>
      <c r="AA383" s="468"/>
      <c r="AB383" s="468"/>
      <c r="AC383" s="468"/>
      <c r="AD383" s="468"/>
      <c r="AE383" s="468"/>
      <c r="AF383" s="468"/>
      <c r="AG383" s="468"/>
      <c r="AH383" s="468"/>
      <c r="AI383" s="468"/>
      <c r="AJ383" s="468"/>
      <c r="AK383" s="468"/>
      <c r="AL383" s="468"/>
      <c r="AM383" s="468"/>
      <c r="AN383" s="468"/>
      <c r="AO383" s="468"/>
      <c r="AP383" s="468"/>
      <c r="AQ383" s="468"/>
      <c r="AR383" s="468"/>
      <c r="AS383" s="468"/>
      <c r="AT383" s="468"/>
      <c r="AU383" s="468"/>
      <c r="AV383" s="468"/>
      <c r="AW383" s="468"/>
      <c r="AX383" s="468"/>
      <c r="AY383" s="468"/>
      <c r="AZ383" s="468"/>
      <c r="BA383" s="468"/>
      <c r="BB383" s="468"/>
      <c r="BC383" s="468"/>
      <c r="BD383" s="468"/>
      <c r="BE383" s="468"/>
      <c r="BF383" s="468"/>
      <c r="BG383" s="468"/>
      <c r="BH383" s="468"/>
      <c r="BI383" s="468"/>
      <c r="BJ383" s="468"/>
      <c r="BK383" s="468"/>
      <c r="BL383" s="468"/>
      <c r="BM383" s="468"/>
      <c r="BN383" s="468"/>
      <c r="BO383" s="468"/>
      <c r="BP383" s="468"/>
      <c r="BQ383" s="468"/>
      <c r="BR383" s="468"/>
      <c r="BS383" s="468"/>
      <c r="BT383" s="468"/>
      <c r="BU383" s="468"/>
      <c r="BV383" s="468"/>
      <c r="BW383" s="468"/>
      <c r="BX383" s="468"/>
      <c r="BY383" s="468"/>
      <c r="BZ383" s="468"/>
      <c r="CA383" s="468"/>
      <c r="CB383" s="468"/>
      <c r="CC383" s="468"/>
      <c r="CD383" s="468"/>
      <c r="CE383" s="468"/>
      <c r="CF383" s="468"/>
      <c r="CG383" s="468"/>
      <c r="CH383" s="468"/>
      <c r="CI383" s="468"/>
      <c r="CJ383" s="468"/>
      <c r="CK383" s="468"/>
      <c r="CL383" s="468"/>
      <c r="CM383" s="468"/>
      <c r="CN383" s="468"/>
      <c r="CO383" s="468"/>
      <c r="CP383" s="468"/>
      <c r="CQ383" s="468"/>
      <c r="CR383" s="468"/>
      <c r="CS383" s="468"/>
      <c r="CT383" s="468"/>
      <c r="CU383" s="468"/>
      <c r="CV383" s="468"/>
      <c r="CW383" s="468"/>
      <c r="CX383" s="468"/>
      <c r="CY383" s="468"/>
      <c r="CZ383" s="468"/>
      <c r="DA383" s="468"/>
      <c r="DB383" s="468"/>
      <c r="DC383" s="468"/>
      <c r="DD383" s="468"/>
      <c r="DE383" s="468"/>
      <c r="DF383" s="468"/>
      <c r="DG383" s="468"/>
      <c r="DH383" s="468"/>
      <c r="DI383" s="468"/>
      <c r="DJ383" s="468"/>
      <c r="DK383" s="468"/>
      <c r="DL383" s="468"/>
      <c r="DM383" s="468"/>
      <c r="DN383" s="468"/>
      <c r="DO383" s="468"/>
      <c r="DP383" s="468"/>
      <c r="DQ383" s="468"/>
      <c r="DR383" s="468"/>
      <c r="DS383" s="468"/>
      <c r="DT383" s="468"/>
      <c r="DU383" s="468"/>
      <c r="DV383" s="468"/>
      <c r="DW383" s="468"/>
      <c r="DX383" s="468"/>
      <c r="DY383" s="468"/>
      <c r="DZ383" s="468"/>
      <c r="EA383" s="468"/>
      <c r="EB383" s="468"/>
      <c r="EC383" s="468"/>
      <c r="ED383" s="468"/>
      <c r="EE383" s="468"/>
      <c r="EF383" s="468"/>
      <c r="EG383" s="468"/>
      <c r="EH383" s="468"/>
      <c r="EI383" s="468"/>
      <c r="EJ383" s="468"/>
      <c r="EK383" s="468"/>
      <c r="EL383" s="468"/>
      <c r="EM383" s="468"/>
      <c r="EN383" s="468"/>
      <c r="EO383" s="468"/>
      <c r="EP383" s="468"/>
      <c r="EQ383" s="468"/>
      <c r="ER383" s="468"/>
      <c r="ES383" s="468"/>
      <c r="ET383" s="468"/>
      <c r="EU383" s="468"/>
      <c r="EV383" s="468"/>
      <c r="EW383" s="468"/>
      <c r="EX383" s="468"/>
      <c r="EY383" s="468"/>
      <c r="EZ383" s="468"/>
      <c r="FA383" s="468"/>
      <c r="FB383" s="468"/>
      <c r="FC383" s="468"/>
      <c r="FD383" s="468"/>
      <c r="FE383" s="468"/>
      <c r="FF383" s="468"/>
      <c r="FG383" s="468"/>
      <c r="FH383" s="468"/>
      <c r="FI383" s="468"/>
      <c r="FJ383" s="468"/>
      <c r="FK383" s="468"/>
      <c r="FL383" s="468"/>
      <c r="FM383" s="468"/>
      <c r="FN383" s="468"/>
      <c r="FO383" s="468"/>
      <c r="FP383" s="468"/>
      <c r="FQ383" s="468"/>
      <c r="FR383" s="468"/>
      <c r="FS383" s="468"/>
      <c r="FT383" s="468"/>
      <c r="FU383" s="468"/>
      <c r="FV383" s="468"/>
      <c r="FW383" s="468"/>
      <c r="FX383" s="468"/>
      <c r="FY383" s="468"/>
      <c r="FZ383" s="468"/>
      <c r="GA383" s="468"/>
      <c r="GB383" s="468"/>
      <c r="GC383" s="468"/>
      <c r="GD383" s="468"/>
      <c r="GE383" s="468"/>
      <c r="GF383" s="468"/>
      <c r="GG383" s="468"/>
      <c r="GH383" s="468"/>
      <c r="GI383" s="468"/>
      <c r="GJ383" s="468"/>
      <c r="GK383" s="468"/>
      <c r="GL383" s="468"/>
      <c r="GM383" s="468"/>
      <c r="GN383" s="468"/>
      <c r="GO383" s="468"/>
      <c r="GP383" s="468"/>
      <c r="GQ383" s="468"/>
      <c r="GR383" s="468"/>
      <c r="GS383" s="468"/>
      <c r="GT383" s="468"/>
      <c r="GU383" s="468"/>
      <c r="GV383" s="468"/>
      <c r="GW383" s="468"/>
      <c r="GX383" s="468"/>
      <c r="GY383" s="468"/>
      <c r="GZ383" s="468"/>
      <c r="HA383" s="468"/>
      <c r="HB383" s="468"/>
      <c r="HC383" s="468"/>
      <c r="HD383" s="468"/>
      <c r="HE383" s="468"/>
      <c r="HF383" s="468"/>
      <c r="HG383" s="468"/>
      <c r="HH383" s="468"/>
      <c r="HI383" s="468"/>
      <c r="HJ383" s="468"/>
      <c r="HK383" s="468"/>
      <c r="HL383" s="468"/>
      <c r="HM383" s="468"/>
      <c r="HN383" s="468"/>
      <c r="HO383" s="468"/>
      <c r="HP383" s="468"/>
      <c r="HQ383" s="468"/>
      <c r="HR383" s="468"/>
      <c r="HS383" s="468"/>
      <c r="HT383" s="468"/>
      <c r="HU383" s="468"/>
      <c r="HV383" s="468"/>
      <c r="HW383" s="468"/>
      <c r="HX383" s="468"/>
      <c r="HY383" s="468"/>
      <c r="HZ383" s="468"/>
      <c r="IA383" s="468"/>
      <c r="IB383" s="468"/>
      <c r="IC383" s="468"/>
      <c r="ID383" s="468"/>
      <c r="IE383" s="468"/>
      <c r="IF383" s="468"/>
      <c r="IG383" s="468"/>
      <c r="IH383" s="468"/>
      <c r="II383" s="468"/>
      <c r="IJ383" s="468"/>
      <c r="IK383" s="468"/>
      <c r="IL383" s="468"/>
      <c r="IM383" s="468"/>
      <c r="IN383" s="468"/>
      <c r="IO383" s="468"/>
      <c r="IP383" s="468"/>
      <c r="IQ383" s="468"/>
      <c r="IR383" s="468"/>
      <c r="IS383" s="468"/>
      <c r="IT383" s="468"/>
      <c r="IU383" s="468"/>
      <c r="IV383" s="468"/>
      <c r="IW383" s="468"/>
      <c r="IX383" s="468"/>
      <c r="IY383" s="468"/>
      <c r="IZ383" s="468"/>
      <c r="JA383" s="468"/>
      <c r="JB383" s="468"/>
      <c r="JC383" s="468"/>
      <c r="JD383" s="468"/>
      <c r="JE383" s="468"/>
      <c r="JF383" s="468"/>
      <c r="JG383" s="468"/>
      <c r="JH383" s="468"/>
      <c r="JI383" s="468"/>
      <c r="JJ383" s="468"/>
      <c r="JK383" s="468"/>
      <c r="JL383" s="468"/>
      <c r="JM383" s="468"/>
      <c r="JN383" s="468"/>
      <c r="JO383" s="468"/>
      <c r="JP383" s="468"/>
      <c r="JQ383" s="468"/>
      <c r="JR383" s="468"/>
      <c r="JS383" s="468"/>
      <c r="JT383" s="468"/>
      <c r="JU383" s="468"/>
      <c r="JV383" s="468"/>
      <c r="JW383" s="468"/>
      <c r="JX383" s="468"/>
      <c r="JY383" s="468"/>
      <c r="JZ383" s="468"/>
      <c r="KA383" s="468"/>
      <c r="KB383" s="468"/>
      <c r="KC383" s="468"/>
      <c r="KD383" s="468"/>
      <c r="KE383" s="468"/>
      <c r="KF383" s="468"/>
      <c r="KG383" s="468"/>
      <c r="KH383" s="468"/>
      <c r="KI383" s="468"/>
      <c r="KJ383" s="468"/>
      <c r="KK383" s="468"/>
      <c r="KL383" s="468"/>
      <c r="KM383" s="468"/>
      <c r="KN383" s="468"/>
      <c r="KO383" s="468"/>
      <c r="KP383" s="468"/>
      <c r="KQ383" s="468"/>
      <c r="KR383" s="468"/>
      <c r="KS383" s="468"/>
      <c r="KT383" s="468"/>
      <c r="KU383" s="468"/>
      <c r="KV383" s="468"/>
    </row>
    <row r="384" spans="1:308" s="344" customFormat="1" ht="15.75" customHeight="1" x14ac:dyDescent="0.8">
      <c r="A384" s="344" t="s">
        <v>384</v>
      </c>
      <c r="B384" s="486">
        <v>10.5</v>
      </c>
      <c r="C384" s="336"/>
      <c r="F384" s="361" t="s">
        <v>349</v>
      </c>
      <c r="G384" s="46" t="s">
        <v>340</v>
      </c>
      <c r="H384" s="67" t="s">
        <v>118</v>
      </c>
      <c r="I384" s="653">
        <v>-0.9</v>
      </c>
      <c r="J384" s="469"/>
      <c r="K384" s="470"/>
      <c r="L384" s="469"/>
      <c r="M384" s="470"/>
      <c r="N384" s="469"/>
      <c r="O384" s="475"/>
      <c r="P384" s="471"/>
      <c r="Q384" s="476"/>
      <c r="R384" s="471"/>
      <c r="S384" s="471"/>
      <c r="T384" s="471"/>
      <c r="U384" s="471"/>
      <c r="V384" s="468"/>
      <c r="W384" s="468"/>
      <c r="X384" s="468"/>
      <c r="Y384" s="468"/>
      <c r="Z384" s="468"/>
      <c r="AA384" s="468"/>
      <c r="AB384" s="468"/>
      <c r="AC384" s="468"/>
      <c r="AD384" s="468"/>
      <c r="AE384" s="468"/>
      <c r="AF384" s="468"/>
      <c r="AG384" s="468"/>
      <c r="AH384" s="468"/>
      <c r="AI384" s="468"/>
      <c r="AJ384" s="468"/>
      <c r="AK384" s="468"/>
      <c r="AL384" s="468"/>
      <c r="AM384" s="468"/>
      <c r="AN384" s="468"/>
      <c r="AO384" s="468"/>
      <c r="AP384" s="468"/>
      <c r="AQ384" s="468"/>
      <c r="AR384" s="468"/>
      <c r="AS384" s="468"/>
      <c r="AT384" s="468"/>
      <c r="AU384" s="468"/>
      <c r="AV384" s="468"/>
      <c r="AW384" s="468"/>
      <c r="AX384" s="468"/>
      <c r="AY384" s="468"/>
      <c r="AZ384" s="468"/>
      <c r="BA384" s="468"/>
      <c r="BB384" s="468"/>
      <c r="BC384" s="468"/>
      <c r="BD384" s="468"/>
      <c r="BE384" s="468"/>
      <c r="BF384" s="468"/>
      <c r="BG384" s="468"/>
      <c r="BH384" s="468"/>
      <c r="BI384" s="468"/>
      <c r="BJ384" s="468"/>
      <c r="BK384" s="468"/>
      <c r="BL384" s="468"/>
      <c r="BM384" s="468"/>
      <c r="BN384" s="468"/>
      <c r="BO384" s="468"/>
      <c r="BP384" s="468"/>
      <c r="BQ384" s="468"/>
      <c r="BR384" s="468"/>
      <c r="BS384" s="468"/>
      <c r="BT384" s="468"/>
      <c r="BU384" s="468"/>
      <c r="BV384" s="468"/>
      <c r="BW384" s="468"/>
      <c r="BX384" s="468"/>
      <c r="BY384" s="468"/>
      <c r="BZ384" s="468"/>
      <c r="CA384" s="468"/>
      <c r="CB384" s="468"/>
      <c r="CC384" s="468"/>
      <c r="CD384" s="468"/>
      <c r="CE384" s="468"/>
      <c r="CF384" s="468"/>
      <c r="CG384" s="468"/>
      <c r="CH384" s="468"/>
      <c r="CI384" s="468"/>
      <c r="CJ384" s="468"/>
      <c r="CK384" s="468"/>
      <c r="CL384" s="468"/>
      <c r="CM384" s="468"/>
      <c r="CN384" s="468"/>
      <c r="CO384" s="468"/>
      <c r="CP384" s="468"/>
      <c r="CQ384" s="468"/>
      <c r="CR384" s="468"/>
      <c r="CS384" s="468"/>
      <c r="CT384" s="468"/>
      <c r="CU384" s="468"/>
      <c r="CV384" s="468"/>
      <c r="CW384" s="468"/>
      <c r="CX384" s="468"/>
      <c r="CY384" s="468"/>
      <c r="CZ384" s="468"/>
      <c r="DA384" s="468"/>
      <c r="DB384" s="468"/>
      <c r="DC384" s="468"/>
      <c r="DD384" s="468"/>
      <c r="DE384" s="468"/>
      <c r="DF384" s="468"/>
      <c r="DG384" s="468"/>
      <c r="DH384" s="468"/>
      <c r="DI384" s="468"/>
      <c r="DJ384" s="468"/>
      <c r="DK384" s="468"/>
      <c r="DL384" s="468"/>
      <c r="DM384" s="468"/>
      <c r="DN384" s="468"/>
      <c r="DO384" s="468"/>
      <c r="DP384" s="468"/>
      <c r="DQ384" s="468"/>
      <c r="DR384" s="468"/>
      <c r="DS384" s="468"/>
      <c r="DT384" s="468"/>
      <c r="DU384" s="468"/>
      <c r="DV384" s="468"/>
      <c r="DW384" s="468"/>
      <c r="DX384" s="468"/>
      <c r="DY384" s="468"/>
      <c r="DZ384" s="468"/>
      <c r="EA384" s="468"/>
      <c r="EB384" s="468"/>
      <c r="EC384" s="468"/>
      <c r="ED384" s="468"/>
      <c r="EE384" s="468"/>
      <c r="EF384" s="468"/>
      <c r="EG384" s="468"/>
      <c r="EH384" s="468"/>
      <c r="EI384" s="468"/>
      <c r="EJ384" s="468"/>
      <c r="EK384" s="468"/>
      <c r="EL384" s="468"/>
      <c r="EM384" s="468"/>
      <c r="EN384" s="468"/>
      <c r="EO384" s="468"/>
      <c r="EP384" s="468"/>
      <c r="EQ384" s="468"/>
      <c r="ER384" s="468"/>
      <c r="ES384" s="468"/>
      <c r="ET384" s="468"/>
      <c r="EU384" s="468"/>
      <c r="EV384" s="468"/>
      <c r="EW384" s="468"/>
      <c r="EX384" s="468"/>
      <c r="EY384" s="468"/>
      <c r="EZ384" s="468"/>
      <c r="FA384" s="468"/>
      <c r="FB384" s="468"/>
      <c r="FC384" s="468"/>
      <c r="FD384" s="468"/>
      <c r="FE384" s="468"/>
      <c r="FF384" s="468"/>
      <c r="FG384" s="468"/>
      <c r="FH384" s="468"/>
      <c r="FI384" s="468"/>
      <c r="FJ384" s="468"/>
      <c r="FK384" s="468"/>
      <c r="FL384" s="468"/>
      <c r="FM384" s="468"/>
      <c r="FN384" s="468"/>
      <c r="FO384" s="468"/>
      <c r="FP384" s="468"/>
      <c r="FQ384" s="468"/>
      <c r="FR384" s="468"/>
      <c r="FS384" s="468"/>
      <c r="FT384" s="468"/>
      <c r="FU384" s="468"/>
      <c r="FV384" s="468"/>
      <c r="FW384" s="468"/>
      <c r="FX384" s="468"/>
      <c r="FY384" s="468"/>
      <c r="FZ384" s="468"/>
      <c r="GA384" s="468"/>
      <c r="GB384" s="468"/>
      <c r="GC384" s="468"/>
      <c r="GD384" s="468"/>
      <c r="GE384" s="468"/>
      <c r="GF384" s="468"/>
      <c r="GG384" s="468"/>
      <c r="GH384" s="468"/>
      <c r="GI384" s="468"/>
      <c r="GJ384" s="468"/>
      <c r="GK384" s="468"/>
      <c r="GL384" s="468"/>
      <c r="GM384" s="468"/>
      <c r="GN384" s="468"/>
      <c r="GO384" s="468"/>
      <c r="GP384" s="468"/>
      <c r="GQ384" s="468"/>
      <c r="GR384" s="468"/>
      <c r="GS384" s="468"/>
      <c r="GT384" s="468"/>
      <c r="GU384" s="468"/>
      <c r="GV384" s="468"/>
      <c r="GW384" s="468"/>
      <c r="GX384" s="468"/>
      <c r="GY384" s="468"/>
      <c r="GZ384" s="468"/>
      <c r="HA384" s="468"/>
      <c r="HB384" s="468"/>
      <c r="HC384" s="468"/>
      <c r="HD384" s="468"/>
      <c r="HE384" s="468"/>
      <c r="HF384" s="468"/>
      <c r="HG384" s="468"/>
      <c r="HH384" s="468"/>
      <c r="HI384" s="468"/>
      <c r="HJ384" s="468"/>
      <c r="HK384" s="468"/>
      <c r="HL384" s="468"/>
      <c r="HM384" s="468"/>
      <c r="HN384" s="468"/>
      <c r="HO384" s="468"/>
      <c r="HP384" s="468"/>
      <c r="HQ384" s="468"/>
      <c r="HR384" s="468"/>
      <c r="HS384" s="468"/>
      <c r="HT384" s="468"/>
      <c r="HU384" s="468"/>
      <c r="HV384" s="468"/>
      <c r="HW384" s="468"/>
      <c r="HX384" s="468"/>
      <c r="HY384" s="468"/>
      <c r="HZ384" s="468"/>
      <c r="IA384" s="468"/>
      <c r="IB384" s="468"/>
      <c r="IC384" s="468"/>
      <c r="ID384" s="468"/>
      <c r="IE384" s="468"/>
      <c r="IF384" s="468"/>
      <c r="IG384" s="468"/>
      <c r="IH384" s="468"/>
      <c r="II384" s="468"/>
      <c r="IJ384" s="468"/>
      <c r="IK384" s="468"/>
      <c r="IL384" s="468"/>
      <c r="IM384" s="468"/>
      <c r="IN384" s="468"/>
      <c r="IO384" s="468"/>
      <c r="IP384" s="468"/>
      <c r="IQ384" s="468"/>
      <c r="IR384" s="468"/>
      <c r="IS384" s="468"/>
      <c r="IT384" s="468"/>
      <c r="IU384" s="468"/>
      <c r="IV384" s="468"/>
      <c r="IW384" s="468"/>
      <c r="IX384" s="468"/>
      <c r="IY384" s="468"/>
      <c r="IZ384" s="468"/>
      <c r="JA384" s="468"/>
      <c r="JB384" s="468"/>
      <c r="JC384" s="468"/>
      <c r="JD384" s="468"/>
      <c r="JE384" s="468"/>
      <c r="JF384" s="468"/>
      <c r="JG384" s="468"/>
      <c r="JH384" s="468"/>
      <c r="JI384" s="468"/>
      <c r="JJ384" s="468"/>
      <c r="JK384" s="468"/>
      <c r="JL384" s="468"/>
      <c r="JM384" s="468"/>
      <c r="JN384" s="468"/>
      <c r="JO384" s="468"/>
      <c r="JP384" s="468"/>
      <c r="JQ384" s="468"/>
      <c r="JR384" s="468"/>
      <c r="JS384" s="468"/>
      <c r="JT384" s="468"/>
      <c r="JU384" s="468"/>
      <c r="JV384" s="468"/>
      <c r="JW384" s="468"/>
      <c r="JX384" s="468"/>
      <c r="JY384" s="468"/>
      <c r="JZ384" s="468"/>
      <c r="KA384" s="468"/>
      <c r="KB384" s="468"/>
      <c r="KC384" s="468"/>
      <c r="KD384" s="468"/>
      <c r="KE384" s="468"/>
      <c r="KF384" s="468"/>
      <c r="KG384" s="468"/>
      <c r="KH384" s="468"/>
      <c r="KI384" s="468"/>
      <c r="KJ384" s="468"/>
      <c r="KK384" s="468"/>
      <c r="KL384" s="468"/>
      <c r="KM384" s="468"/>
      <c r="KN384" s="468"/>
      <c r="KO384" s="468"/>
      <c r="KP384" s="468"/>
      <c r="KQ384" s="468"/>
      <c r="KR384" s="468"/>
      <c r="KS384" s="468"/>
      <c r="KT384" s="468"/>
      <c r="KU384" s="468"/>
      <c r="KV384" s="468"/>
    </row>
    <row r="385" spans="1:308" s="344" customFormat="1" ht="15.75" customHeight="1" x14ac:dyDescent="0.8">
      <c r="A385" s="344" t="s">
        <v>384</v>
      </c>
      <c r="B385" s="486">
        <v>10.5</v>
      </c>
      <c r="C385" s="336"/>
      <c r="F385" s="361" t="s">
        <v>353</v>
      </c>
      <c r="G385" s="46" t="s">
        <v>340</v>
      </c>
      <c r="H385" s="67" t="s">
        <v>118</v>
      </c>
      <c r="I385" s="653">
        <v>1.9</v>
      </c>
      <c r="J385" s="469"/>
      <c r="K385" s="470"/>
      <c r="L385" s="469"/>
      <c r="M385" s="470"/>
      <c r="N385" s="469"/>
      <c r="O385" s="475"/>
      <c r="P385" s="471"/>
      <c r="Q385" s="476"/>
      <c r="R385" s="471"/>
      <c r="S385" s="471"/>
      <c r="T385" s="471"/>
      <c r="U385" s="471"/>
      <c r="V385" s="468"/>
      <c r="W385" s="468"/>
      <c r="X385" s="468"/>
      <c r="Y385" s="468"/>
      <c r="Z385" s="468"/>
      <c r="AA385" s="468"/>
      <c r="AB385" s="468"/>
      <c r="AC385" s="468"/>
      <c r="AD385" s="468"/>
      <c r="AE385" s="468"/>
      <c r="AF385" s="468"/>
      <c r="AG385" s="468"/>
      <c r="AH385" s="468"/>
      <c r="AI385" s="468"/>
      <c r="AJ385" s="468"/>
      <c r="AK385" s="468"/>
      <c r="AL385" s="468"/>
      <c r="AM385" s="468"/>
      <c r="AN385" s="468"/>
      <c r="AO385" s="468"/>
      <c r="AP385" s="468"/>
      <c r="AQ385" s="468"/>
      <c r="AR385" s="468"/>
      <c r="AS385" s="468"/>
      <c r="AT385" s="468"/>
      <c r="AU385" s="468"/>
      <c r="AV385" s="468"/>
      <c r="AW385" s="468"/>
      <c r="AX385" s="468"/>
      <c r="AY385" s="468"/>
      <c r="AZ385" s="468"/>
      <c r="BA385" s="468"/>
      <c r="BB385" s="468"/>
      <c r="BC385" s="468"/>
      <c r="BD385" s="468"/>
      <c r="BE385" s="468"/>
      <c r="BF385" s="468"/>
      <c r="BG385" s="468"/>
      <c r="BH385" s="468"/>
      <c r="BI385" s="468"/>
      <c r="BJ385" s="468"/>
      <c r="BK385" s="468"/>
      <c r="BL385" s="468"/>
      <c r="BM385" s="468"/>
      <c r="BN385" s="468"/>
      <c r="BO385" s="468"/>
      <c r="BP385" s="468"/>
      <c r="BQ385" s="468"/>
      <c r="BR385" s="468"/>
      <c r="BS385" s="468"/>
      <c r="BT385" s="468"/>
      <c r="BU385" s="468"/>
      <c r="BV385" s="468"/>
      <c r="BW385" s="468"/>
      <c r="BX385" s="468"/>
      <c r="BY385" s="468"/>
      <c r="BZ385" s="468"/>
      <c r="CA385" s="468"/>
      <c r="CB385" s="468"/>
      <c r="CC385" s="468"/>
      <c r="CD385" s="468"/>
      <c r="CE385" s="468"/>
      <c r="CF385" s="468"/>
      <c r="CG385" s="468"/>
      <c r="CH385" s="468"/>
      <c r="CI385" s="468"/>
      <c r="CJ385" s="468"/>
      <c r="CK385" s="468"/>
      <c r="CL385" s="468"/>
      <c r="CM385" s="468"/>
      <c r="CN385" s="468"/>
      <c r="CO385" s="468"/>
      <c r="CP385" s="468"/>
      <c r="CQ385" s="468"/>
      <c r="CR385" s="468"/>
      <c r="CS385" s="468"/>
      <c r="CT385" s="468"/>
      <c r="CU385" s="468"/>
      <c r="CV385" s="468"/>
      <c r="CW385" s="468"/>
      <c r="CX385" s="468"/>
      <c r="CY385" s="468"/>
      <c r="CZ385" s="468"/>
      <c r="DA385" s="468"/>
      <c r="DB385" s="468"/>
      <c r="DC385" s="468"/>
      <c r="DD385" s="468"/>
      <c r="DE385" s="468"/>
      <c r="DF385" s="468"/>
      <c r="DG385" s="468"/>
      <c r="DH385" s="468"/>
      <c r="DI385" s="468"/>
      <c r="DJ385" s="468"/>
      <c r="DK385" s="468"/>
      <c r="DL385" s="468"/>
      <c r="DM385" s="468"/>
      <c r="DN385" s="468"/>
      <c r="DO385" s="468"/>
      <c r="DP385" s="468"/>
      <c r="DQ385" s="468"/>
      <c r="DR385" s="468"/>
      <c r="DS385" s="468"/>
      <c r="DT385" s="468"/>
      <c r="DU385" s="468"/>
      <c r="DV385" s="468"/>
      <c r="DW385" s="468"/>
      <c r="DX385" s="468"/>
      <c r="DY385" s="468"/>
      <c r="DZ385" s="468"/>
      <c r="EA385" s="468"/>
      <c r="EB385" s="468"/>
      <c r="EC385" s="468"/>
      <c r="ED385" s="468"/>
      <c r="EE385" s="468"/>
      <c r="EF385" s="468"/>
      <c r="EG385" s="468"/>
      <c r="EH385" s="468"/>
      <c r="EI385" s="468"/>
      <c r="EJ385" s="468"/>
      <c r="EK385" s="468"/>
      <c r="EL385" s="468"/>
      <c r="EM385" s="468"/>
      <c r="EN385" s="468"/>
      <c r="EO385" s="468"/>
      <c r="EP385" s="468"/>
      <c r="EQ385" s="468"/>
      <c r="ER385" s="468"/>
      <c r="ES385" s="468"/>
      <c r="ET385" s="468"/>
      <c r="EU385" s="468"/>
      <c r="EV385" s="468"/>
      <c r="EW385" s="468"/>
      <c r="EX385" s="468"/>
      <c r="EY385" s="468"/>
      <c r="EZ385" s="468"/>
      <c r="FA385" s="468"/>
      <c r="FB385" s="468"/>
      <c r="FC385" s="468"/>
      <c r="FD385" s="468"/>
      <c r="FE385" s="468"/>
      <c r="FF385" s="468"/>
      <c r="FG385" s="468"/>
      <c r="FH385" s="468"/>
      <c r="FI385" s="468"/>
      <c r="FJ385" s="468"/>
      <c r="FK385" s="468"/>
      <c r="FL385" s="468"/>
      <c r="FM385" s="468"/>
      <c r="FN385" s="468"/>
      <c r="FO385" s="468"/>
      <c r="FP385" s="468"/>
      <c r="FQ385" s="468"/>
      <c r="FR385" s="468"/>
      <c r="FS385" s="468"/>
      <c r="FT385" s="468"/>
      <c r="FU385" s="468"/>
      <c r="FV385" s="468"/>
      <c r="FW385" s="468"/>
      <c r="FX385" s="468"/>
      <c r="FY385" s="468"/>
      <c r="FZ385" s="468"/>
      <c r="GA385" s="468"/>
      <c r="GB385" s="468"/>
      <c r="GC385" s="468"/>
      <c r="GD385" s="468"/>
      <c r="GE385" s="468"/>
      <c r="GF385" s="468"/>
      <c r="GG385" s="468"/>
      <c r="GH385" s="468"/>
      <c r="GI385" s="468"/>
      <c r="GJ385" s="468"/>
      <c r="GK385" s="468"/>
      <c r="GL385" s="468"/>
      <c r="GM385" s="468"/>
      <c r="GN385" s="468"/>
      <c r="GO385" s="468"/>
      <c r="GP385" s="468"/>
      <c r="GQ385" s="468"/>
      <c r="GR385" s="468"/>
      <c r="GS385" s="468"/>
      <c r="GT385" s="468"/>
      <c r="GU385" s="468"/>
      <c r="GV385" s="468"/>
      <c r="GW385" s="468"/>
      <c r="GX385" s="468"/>
      <c r="GY385" s="468"/>
      <c r="GZ385" s="468"/>
      <c r="HA385" s="468"/>
      <c r="HB385" s="468"/>
      <c r="HC385" s="468"/>
      <c r="HD385" s="468"/>
      <c r="HE385" s="468"/>
      <c r="HF385" s="468"/>
      <c r="HG385" s="468"/>
      <c r="HH385" s="468"/>
      <c r="HI385" s="468"/>
      <c r="HJ385" s="468"/>
      <c r="HK385" s="468"/>
      <c r="HL385" s="468"/>
      <c r="HM385" s="468"/>
      <c r="HN385" s="468"/>
      <c r="HO385" s="468"/>
      <c r="HP385" s="468"/>
      <c r="HQ385" s="468"/>
      <c r="HR385" s="468"/>
      <c r="HS385" s="468"/>
      <c r="HT385" s="468"/>
      <c r="HU385" s="468"/>
      <c r="HV385" s="468"/>
      <c r="HW385" s="468"/>
      <c r="HX385" s="468"/>
      <c r="HY385" s="468"/>
      <c r="HZ385" s="468"/>
      <c r="IA385" s="468"/>
      <c r="IB385" s="468"/>
      <c r="IC385" s="468"/>
      <c r="ID385" s="468"/>
      <c r="IE385" s="468"/>
      <c r="IF385" s="468"/>
      <c r="IG385" s="468"/>
      <c r="IH385" s="468"/>
      <c r="II385" s="468"/>
      <c r="IJ385" s="468"/>
      <c r="IK385" s="468"/>
      <c r="IL385" s="468"/>
      <c r="IM385" s="468"/>
      <c r="IN385" s="468"/>
      <c r="IO385" s="468"/>
      <c r="IP385" s="468"/>
      <c r="IQ385" s="468"/>
      <c r="IR385" s="468"/>
      <c r="IS385" s="468"/>
      <c r="IT385" s="468"/>
      <c r="IU385" s="468"/>
      <c r="IV385" s="468"/>
      <c r="IW385" s="468"/>
      <c r="IX385" s="468"/>
      <c r="IY385" s="468"/>
      <c r="IZ385" s="468"/>
      <c r="JA385" s="468"/>
      <c r="JB385" s="468"/>
      <c r="JC385" s="468"/>
      <c r="JD385" s="468"/>
      <c r="JE385" s="468"/>
      <c r="JF385" s="468"/>
      <c r="JG385" s="468"/>
      <c r="JH385" s="468"/>
      <c r="JI385" s="468"/>
      <c r="JJ385" s="468"/>
      <c r="JK385" s="468"/>
      <c r="JL385" s="468"/>
      <c r="JM385" s="468"/>
      <c r="JN385" s="468"/>
      <c r="JO385" s="468"/>
      <c r="JP385" s="468"/>
      <c r="JQ385" s="468"/>
      <c r="JR385" s="468"/>
      <c r="JS385" s="468"/>
      <c r="JT385" s="468"/>
      <c r="JU385" s="468"/>
      <c r="JV385" s="468"/>
      <c r="JW385" s="468"/>
      <c r="JX385" s="468"/>
      <c r="JY385" s="468"/>
      <c r="JZ385" s="468"/>
      <c r="KA385" s="468"/>
      <c r="KB385" s="468"/>
      <c r="KC385" s="468"/>
      <c r="KD385" s="468"/>
      <c r="KE385" s="468"/>
      <c r="KF385" s="468"/>
      <c r="KG385" s="468"/>
      <c r="KH385" s="468"/>
      <c r="KI385" s="468"/>
      <c r="KJ385" s="468"/>
      <c r="KK385" s="468"/>
      <c r="KL385" s="468"/>
      <c r="KM385" s="468"/>
      <c r="KN385" s="468"/>
      <c r="KO385" s="468"/>
      <c r="KP385" s="468"/>
      <c r="KQ385" s="468"/>
      <c r="KR385" s="468"/>
      <c r="KS385" s="468"/>
      <c r="KT385" s="468"/>
      <c r="KU385" s="468"/>
      <c r="KV385" s="468"/>
    </row>
    <row r="386" spans="1:308" s="344" customFormat="1" ht="15.75" customHeight="1" x14ac:dyDescent="0.8">
      <c r="A386" s="344" t="s">
        <v>384</v>
      </c>
      <c r="B386" s="486">
        <v>9.5</v>
      </c>
      <c r="C386" s="336"/>
      <c r="F386" s="361" t="s">
        <v>350</v>
      </c>
      <c r="G386" s="46" t="s">
        <v>340</v>
      </c>
      <c r="H386" s="67" t="s">
        <v>118</v>
      </c>
      <c r="I386" s="653">
        <v>-4.2</v>
      </c>
      <c r="J386" s="469"/>
      <c r="K386" s="470"/>
      <c r="L386" s="469"/>
      <c r="M386" s="470"/>
      <c r="N386" s="469"/>
      <c r="O386" s="475"/>
      <c r="P386" s="471"/>
      <c r="Q386" s="476"/>
      <c r="R386" s="471"/>
      <c r="S386" s="471"/>
      <c r="T386" s="471"/>
      <c r="U386" s="471"/>
      <c r="V386" s="468"/>
      <c r="W386" s="468"/>
      <c r="X386" s="468"/>
      <c r="Y386" s="468"/>
      <c r="Z386" s="468"/>
      <c r="AA386" s="468"/>
      <c r="AB386" s="468"/>
      <c r="AC386" s="468"/>
      <c r="AD386" s="468"/>
      <c r="AE386" s="468"/>
      <c r="AF386" s="468"/>
      <c r="AG386" s="468"/>
      <c r="AH386" s="468"/>
      <c r="AI386" s="468"/>
      <c r="AJ386" s="468"/>
      <c r="AK386" s="468"/>
      <c r="AL386" s="468"/>
      <c r="AM386" s="468"/>
      <c r="AN386" s="468"/>
      <c r="AO386" s="468"/>
      <c r="AP386" s="468"/>
      <c r="AQ386" s="468"/>
      <c r="AR386" s="468"/>
      <c r="AS386" s="468"/>
      <c r="AT386" s="468"/>
      <c r="AU386" s="468"/>
      <c r="AV386" s="468"/>
      <c r="AW386" s="468"/>
      <c r="AX386" s="468"/>
      <c r="AY386" s="468"/>
      <c r="AZ386" s="468"/>
      <c r="BA386" s="468"/>
      <c r="BB386" s="468"/>
      <c r="BC386" s="468"/>
      <c r="BD386" s="468"/>
      <c r="BE386" s="468"/>
      <c r="BF386" s="468"/>
      <c r="BG386" s="468"/>
      <c r="BH386" s="468"/>
      <c r="BI386" s="468"/>
      <c r="BJ386" s="468"/>
      <c r="BK386" s="468"/>
      <c r="BL386" s="468"/>
      <c r="BM386" s="468"/>
      <c r="BN386" s="468"/>
      <c r="BO386" s="468"/>
      <c r="BP386" s="468"/>
      <c r="BQ386" s="468"/>
      <c r="BR386" s="468"/>
      <c r="BS386" s="468"/>
      <c r="BT386" s="468"/>
      <c r="BU386" s="468"/>
      <c r="BV386" s="468"/>
      <c r="BW386" s="468"/>
      <c r="BX386" s="468"/>
      <c r="BY386" s="468"/>
      <c r="BZ386" s="468"/>
      <c r="CA386" s="468"/>
      <c r="CB386" s="468"/>
      <c r="CC386" s="468"/>
      <c r="CD386" s="468"/>
      <c r="CE386" s="468"/>
      <c r="CF386" s="468"/>
      <c r="CG386" s="468"/>
      <c r="CH386" s="468"/>
      <c r="CI386" s="468"/>
      <c r="CJ386" s="468"/>
      <c r="CK386" s="468"/>
      <c r="CL386" s="468"/>
      <c r="CM386" s="468"/>
      <c r="CN386" s="468"/>
      <c r="CO386" s="468"/>
      <c r="CP386" s="468"/>
      <c r="CQ386" s="468"/>
      <c r="CR386" s="468"/>
      <c r="CS386" s="468"/>
      <c r="CT386" s="468"/>
      <c r="CU386" s="468"/>
      <c r="CV386" s="468"/>
      <c r="CW386" s="468"/>
      <c r="CX386" s="468"/>
      <c r="CY386" s="468"/>
      <c r="CZ386" s="468"/>
      <c r="DA386" s="468"/>
      <c r="DB386" s="468"/>
      <c r="DC386" s="468"/>
      <c r="DD386" s="468"/>
      <c r="DE386" s="468"/>
      <c r="DF386" s="468"/>
      <c r="DG386" s="468"/>
      <c r="DH386" s="468"/>
      <c r="DI386" s="468"/>
      <c r="DJ386" s="468"/>
      <c r="DK386" s="468"/>
      <c r="DL386" s="468"/>
      <c r="DM386" s="468"/>
      <c r="DN386" s="468"/>
      <c r="DO386" s="468"/>
      <c r="DP386" s="468"/>
      <c r="DQ386" s="468"/>
      <c r="DR386" s="468"/>
      <c r="DS386" s="468"/>
      <c r="DT386" s="468"/>
      <c r="DU386" s="468"/>
      <c r="DV386" s="468"/>
      <c r="DW386" s="468"/>
      <c r="DX386" s="468"/>
      <c r="DY386" s="468"/>
      <c r="DZ386" s="468"/>
      <c r="EA386" s="468"/>
      <c r="EB386" s="468"/>
      <c r="EC386" s="468"/>
      <c r="ED386" s="468"/>
      <c r="EE386" s="468"/>
      <c r="EF386" s="468"/>
      <c r="EG386" s="468"/>
      <c r="EH386" s="468"/>
      <c r="EI386" s="468"/>
      <c r="EJ386" s="468"/>
      <c r="EK386" s="468"/>
      <c r="EL386" s="468"/>
      <c r="EM386" s="468"/>
      <c r="EN386" s="468"/>
      <c r="EO386" s="468"/>
      <c r="EP386" s="468"/>
      <c r="EQ386" s="468"/>
      <c r="ER386" s="468"/>
      <c r="ES386" s="468"/>
      <c r="ET386" s="468"/>
      <c r="EU386" s="468"/>
      <c r="EV386" s="468"/>
      <c r="EW386" s="468"/>
      <c r="EX386" s="468"/>
      <c r="EY386" s="468"/>
      <c r="EZ386" s="468"/>
      <c r="FA386" s="468"/>
      <c r="FB386" s="468"/>
      <c r="FC386" s="468"/>
      <c r="FD386" s="468"/>
      <c r="FE386" s="468"/>
      <c r="FF386" s="468"/>
      <c r="FG386" s="468"/>
      <c r="FH386" s="468"/>
      <c r="FI386" s="468"/>
      <c r="FJ386" s="468"/>
      <c r="FK386" s="468"/>
      <c r="FL386" s="468"/>
      <c r="FM386" s="468"/>
      <c r="FN386" s="468"/>
      <c r="FO386" s="468"/>
      <c r="FP386" s="468"/>
      <c r="FQ386" s="468"/>
      <c r="FR386" s="468"/>
      <c r="FS386" s="468"/>
      <c r="FT386" s="468"/>
      <c r="FU386" s="468"/>
      <c r="FV386" s="468"/>
      <c r="FW386" s="468"/>
      <c r="FX386" s="468"/>
      <c r="FY386" s="468"/>
      <c r="FZ386" s="468"/>
      <c r="GA386" s="468"/>
      <c r="GB386" s="468"/>
      <c r="GC386" s="468"/>
      <c r="GD386" s="468"/>
      <c r="GE386" s="468"/>
      <c r="GF386" s="468"/>
      <c r="GG386" s="468"/>
      <c r="GH386" s="468"/>
      <c r="GI386" s="468"/>
      <c r="GJ386" s="468"/>
      <c r="GK386" s="468"/>
      <c r="GL386" s="468"/>
      <c r="GM386" s="468"/>
      <c r="GN386" s="468"/>
      <c r="GO386" s="468"/>
      <c r="GP386" s="468"/>
      <c r="GQ386" s="468"/>
      <c r="GR386" s="468"/>
      <c r="GS386" s="468"/>
      <c r="GT386" s="468"/>
      <c r="GU386" s="468"/>
      <c r="GV386" s="468"/>
      <c r="GW386" s="468"/>
      <c r="GX386" s="468"/>
      <c r="GY386" s="468"/>
      <c r="GZ386" s="468"/>
      <c r="HA386" s="468"/>
      <c r="HB386" s="468"/>
      <c r="HC386" s="468"/>
      <c r="HD386" s="468"/>
      <c r="HE386" s="468"/>
      <c r="HF386" s="468"/>
      <c r="HG386" s="468"/>
      <c r="HH386" s="468"/>
      <c r="HI386" s="468"/>
      <c r="HJ386" s="468"/>
      <c r="HK386" s="468"/>
      <c r="HL386" s="468"/>
      <c r="HM386" s="468"/>
      <c r="HN386" s="468"/>
      <c r="HO386" s="468"/>
      <c r="HP386" s="468"/>
      <c r="HQ386" s="468"/>
      <c r="HR386" s="468"/>
      <c r="HS386" s="468"/>
      <c r="HT386" s="468"/>
      <c r="HU386" s="468"/>
      <c r="HV386" s="468"/>
      <c r="HW386" s="468"/>
      <c r="HX386" s="468"/>
      <c r="HY386" s="468"/>
      <c r="HZ386" s="468"/>
      <c r="IA386" s="468"/>
      <c r="IB386" s="468"/>
      <c r="IC386" s="468"/>
      <c r="ID386" s="468"/>
      <c r="IE386" s="468"/>
      <c r="IF386" s="468"/>
      <c r="IG386" s="468"/>
      <c r="IH386" s="468"/>
      <c r="II386" s="468"/>
      <c r="IJ386" s="468"/>
      <c r="IK386" s="468"/>
      <c r="IL386" s="468"/>
      <c r="IM386" s="468"/>
      <c r="IN386" s="468"/>
      <c r="IO386" s="468"/>
      <c r="IP386" s="468"/>
      <c r="IQ386" s="468"/>
      <c r="IR386" s="468"/>
      <c r="IS386" s="468"/>
      <c r="IT386" s="468"/>
      <c r="IU386" s="468"/>
      <c r="IV386" s="468"/>
      <c r="IW386" s="468"/>
      <c r="IX386" s="468"/>
      <c r="IY386" s="468"/>
      <c r="IZ386" s="468"/>
      <c r="JA386" s="468"/>
      <c r="JB386" s="468"/>
      <c r="JC386" s="468"/>
      <c r="JD386" s="468"/>
      <c r="JE386" s="468"/>
      <c r="JF386" s="468"/>
      <c r="JG386" s="468"/>
      <c r="JH386" s="468"/>
      <c r="JI386" s="468"/>
      <c r="JJ386" s="468"/>
      <c r="JK386" s="468"/>
      <c r="JL386" s="468"/>
      <c r="JM386" s="468"/>
      <c r="JN386" s="468"/>
      <c r="JO386" s="468"/>
      <c r="JP386" s="468"/>
      <c r="JQ386" s="468"/>
      <c r="JR386" s="468"/>
      <c r="JS386" s="468"/>
      <c r="JT386" s="468"/>
      <c r="JU386" s="468"/>
      <c r="JV386" s="468"/>
      <c r="JW386" s="468"/>
      <c r="JX386" s="468"/>
      <c r="JY386" s="468"/>
      <c r="JZ386" s="468"/>
      <c r="KA386" s="468"/>
      <c r="KB386" s="468"/>
      <c r="KC386" s="468"/>
      <c r="KD386" s="468"/>
      <c r="KE386" s="468"/>
      <c r="KF386" s="468"/>
      <c r="KG386" s="468"/>
      <c r="KH386" s="468"/>
      <c r="KI386" s="468"/>
      <c r="KJ386" s="468"/>
      <c r="KK386" s="468"/>
      <c r="KL386" s="468"/>
      <c r="KM386" s="468"/>
      <c r="KN386" s="468"/>
      <c r="KO386" s="468"/>
      <c r="KP386" s="468"/>
      <c r="KQ386" s="468"/>
      <c r="KR386" s="468"/>
      <c r="KS386" s="468"/>
      <c r="KT386" s="468"/>
      <c r="KU386" s="468"/>
      <c r="KV386" s="468"/>
    </row>
    <row r="387" spans="1:308" s="344" customFormat="1" ht="15.75" customHeight="1" x14ac:dyDescent="0.8">
      <c r="B387" s="486"/>
      <c r="C387" s="336"/>
      <c r="F387" s="46"/>
      <c r="G387" s="46"/>
      <c r="H387" s="67"/>
      <c r="I387" s="653"/>
      <c r="J387" s="469"/>
      <c r="K387" s="470"/>
      <c r="L387" s="469"/>
      <c r="M387" s="470"/>
      <c r="N387" s="353"/>
      <c r="O387" s="494"/>
      <c r="P387" s="880"/>
      <c r="Q387" s="881"/>
      <c r="R387" s="471"/>
      <c r="S387" s="471"/>
      <c r="T387" s="494"/>
      <c r="U387" s="470"/>
      <c r="V387" s="468"/>
      <c r="W387" s="468"/>
      <c r="X387" s="468"/>
      <c r="Y387" s="468"/>
      <c r="Z387" s="468"/>
      <c r="AA387" s="468"/>
      <c r="AB387" s="468"/>
      <c r="AC387" s="468"/>
      <c r="AD387" s="468"/>
      <c r="AE387" s="468"/>
      <c r="AF387" s="468"/>
      <c r="AG387" s="468"/>
      <c r="AH387" s="468"/>
      <c r="AI387" s="468"/>
      <c r="AJ387" s="468"/>
      <c r="AK387" s="468"/>
      <c r="AL387" s="468"/>
      <c r="AM387" s="468"/>
      <c r="AN387" s="468"/>
      <c r="AO387" s="468"/>
      <c r="AP387" s="468"/>
      <c r="AQ387" s="468"/>
      <c r="AR387" s="468"/>
      <c r="AS387" s="468"/>
      <c r="AT387" s="468"/>
      <c r="AU387" s="468"/>
      <c r="AV387" s="468"/>
      <c r="AW387" s="468"/>
      <c r="AX387" s="468"/>
      <c r="AY387" s="468"/>
      <c r="AZ387" s="468"/>
      <c r="BA387" s="468"/>
      <c r="BB387" s="468"/>
      <c r="BC387" s="468"/>
      <c r="BD387" s="468"/>
      <c r="BE387" s="468"/>
      <c r="BF387" s="468"/>
      <c r="BG387" s="468"/>
      <c r="BH387" s="468"/>
      <c r="BI387" s="468"/>
      <c r="BJ387" s="468"/>
      <c r="BK387" s="468"/>
      <c r="BL387" s="468"/>
      <c r="BM387" s="468"/>
      <c r="BN387" s="468"/>
      <c r="BO387" s="468"/>
      <c r="BP387" s="468"/>
      <c r="BQ387" s="468"/>
      <c r="BR387" s="468"/>
      <c r="BS387" s="468"/>
      <c r="BT387" s="468"/>
      <c r="BU387" s="468"/>
      <c r="BV387" s="468"/>
      <c r="BW387" s="468"/>
      <c r="BX387" s="468"/>
      <c r="BY387" s="468"/>
      <c r="BZ387" s="468"/>
      <c r="CA387" s="468"/>
      <c r="CB387" s="468"/>
      <c r="CC387" s="468"/>
      <c r="CD387" s="468"/>
      <c r="CE387" s="468"/>
      <c r="CF387" s="468"/>
      <c r="CG387" s="468"/>
      <c r="CH387" s="468"/>
      <c r="CI387" s="468"/>
      <c r="CJ387" s="468"/>
      <c r="CK387" s="468"/>
      <c r="CL387" s="468"/>
      <c r="CM387" s="468"/>
      <c r="CN387" s="468"/>
      <c r="CO387" s="468"/>
      <c r="CP387" s="468"/>
      <c r="CQ387" s="468"/>
      <c r="CR387" s="468"/>
      <c r="CS387" s="468"/>
      <c r="CT387" s="468"/>
      <c r="CU387" s="468"/>
      <c r="CV387" s="468"/>
      <c r="CW387" s="468"/>
      <c r="CX387" s="468"/>
      <c r="CY387" s="468"/>
      <c r="CZ387" s="468"/>
      <c r="DA387" s="468"/>
      <c r="DB387" s="468"/>
      <c r="DC387" s="468"/>
      <c r="DD387" s="468"/>
      <c r="DE387" s="468"/>
      <c r="DF387" s="468"/>
      <c r="DG387" s="468"/>
      <c r="DH387" s="468"/>
      <c r="DI387" s="468"/>
      <c r="DJ387" s="468"/>
      <c r="DK387" s="468"/>
      <c r="DL387" s="468"/>
      <c r="DM387" s="468"/>
      <c r="DN387" s="468"/>
      <c r="DO387" s="468"/>
      <c r="DP387" s="468"/>
      <c r="DQ387" s="468"/>
      <c r="DR387" s="468"/>
      <c r="DS387" s="468"/>
      <c r="DT387" s="468"/>
      <c r="DU387" s="468"/>
      <c r="DV387" s="468"/>
      <c r="DW387" s="468"/>
      <c r="DX387" s="468"/>
      <c r="DY387" s="468"/>
      <c r="DZ387" s="468"/>
      <c r="EA387" s="468"/>
      <c r="EB387" s="468"/>
      <c r="EC387" s="468"/>
      <c r="ED387" s="468"/>
      <c r="EE387" s="468"/>
      <c r="EF387" s="468"/>
      <c r="EG387" s="468"/>
      <c r="EH387" s="468"/>
      <c r="EI387" s="468"/>
      <c r="EJ387" s="468"/>
      <c r="EK387" s="468"/>
      <c r="EL387" s="468"/>
      <c r="EM387" s="468"/>
      <c r="EN387" s="468"/>
      <c r="EO387" s="468"/>
      <c r="EP387" s="468"/>
      <c r="EQ387" s="468"/>
      <c r="ER387" s="468"/>
      <c r="ES387" s="468"/>
      <c r="ET387" s="468"/>
      <c r="EU387" s="468"/>
      <c r="EV387" s="468"/>
      <c r="EW387" s="468"/>
      <c r="EX387" s="468"/>
      <c r="EY387" s="468"/>
      <c r="EZ387" s="468"/>
      <c r="FA387" s="468"/>
      <c r="FB387" s="468"/>
      <c r="FC387" s="468"/>
      <c r="FD387" s="468"/>
      <c r="FE387" s="468"/>
      <c r="FF387" s="468"/>
      <c r="FG387" s="468"/>
      <c r="FH387" s="468"/>
      <c r="FI387" s="468"/>
      <c r="FJ387" s="468"/>
      <c r="FK387" s="468"/>
      <c r="FL387" s="468"/>
      <c r="FM387" s="468"/>
      <c r="FN387" s="468"/>
      <c r="FO387" s="468"/>
      <c r="FP387" s="468"/>
      <c r="FQ387" s="468"/>
      <c r="FR387" s="468"/>
      <c r="FS387" s="468"/>
      <c r="FT387" s="468"/>
      <c r="FU387" s="468"/>
      <c r="FV387" s="468"/>
      <c r="FW387" s="468"/>
      <c r="FX387" s="468"/>
      <c r="FY387" s="468"/>
      <c r="FZ387" s="468"/>
      <c r="GA387" s="468"/>
      <c r="GB387" s="468"/>
      <c r="GC387" s="468"/>
      <c r="GD387" s="468"/>
      <c r="GE387" s="468"/>
      <c r="GF387" s="468"/>
      <c r="GG387" s="468"/>
      <c r="GH387" s="468"/>
      <c r="GI387" s="468"/>
      <c r="GJ387" s="468"/>
      <c r="GK387" s="468"/>
      <c r="GL387" s="468"/>
      <c r="GM387" s="468"/>
      <c r="GN387" s="468"/>
      <c r="GO387" s="468"/>
      <c r="GP387" s="468"/>
      <c r="GQ387" s="468"/>
      <c r="GR387" s="468"/>
      <c r="GS387" s="468"/>
      <c r="GT387" s="468"/>
      <c r="GU387" s="468"/>
      <c r="GV387" s="468"/>
      <c r="GW387" s="468"/>
      <c r="GX387" s="468"/>
      <c r="GY387" s="468"/>
      <c r="GZ387" s="468"/>
      <c r="HA387" s="468"/>
      <c r="HB387" s="468"/>
      <c r="HC387" s="468"/>
      <c r="HD387" s="468"/>
      <c r="HE387" s="468"/>
      <c r="HF387" s="468"/>
      <c r="HG387" s="468"/>
      <c r="HH387" s="468"/>
      <c r="HI387" s="468"/>
      <c r="HJ387" s="468"/>
      <c r="HK387" s="468"/>
      <c r="HL387" s="468"/>
      <c r="HM387" s="468"/>
      <c r="HN387" s="468"/>
      <c r="HO387" s="468"/>
      <c r="HP387" s="468"/>
      <c r="HQ387" s="468"/>
      <c r="HR387" s="468"/>
      <c r="HS387" s="468"/>
      <c r="HT387" s="468"/>
      <c r="HU387" s="468"/>
      <c r="HV387" s="468"/>
      <c r="HW387" s="468"/>
      <c r="HX387" s="468"/>
      <c r="HY387" s="468"/>
      <c r="HZ387" s="468"/>
      <c r="IA387" s="468"/>
      <c r="IB387" s="468"/>
      <c r="IC387" s="468"/>
      <c r="ID387" s="468"/>
      <c r="IE387" s="468"/>
      <c r="IF387" s="468"/>
      <c r="IG387" s="468"/>
      <c r="IH387" s="468"/>
      <c r="II387" s="468"/>
      <c r="IJ387" s="468"/>
      <c r="IK387" s="468"/>
      <c r="IL387" s="468"/>
      <c r="IM387" s="468"/>
      <c r="IN387" s="468"/>
      <c r="IO387" s="468"/>
      <c r="IP387" s="468"/>
      <c r="IQ387" s="468"/>
      <c r="IR387" s="468"/>
      <c r="IS387" s="468"/>
      <c r="IT387" s="468"/>
      <c r="IU387" s="468"/>
      <c r="IV387" s="468"/>
      <c r="IW387" s="468"/>
      <c r="IX387" s="468"/>
      <c r="IY387" s="468"/>
      <c r="IZ387" s="468"/>
      <c r="JA387" s="468"/>
      <c r="JB387" s="468"/>
      <c r="JC387" s="468"/>
      <c r="JD387" s="468"/>
      <c r="JE387" s="468"/>
      <c r="JF387" s="468"/>
      <c r="JG387" s="468"/>
    </row>
    <row r="388" spans="1:308" s="344" customFormat="1" ht="15.75" customHeight="1" x14ac:dyDescent="0.8">
      <c r="B388" s="486"/>
      <c r="C388" s="341"/>
      <c r="F388" s="46"/>
      <c r="G388" s="46"/>
      <c r="H388" s="67"/>
      <c r="I388" s="653"/>
      <c r="J388" s="469"/>
      <c r="K388" s="470"/>
      <c r="L388" s="469"/>
      <c r="M388" s="470"/>
      <c r="N388" s="353"/>
      <c r="O388" s="494"/>
      <c r="P388" s="880"/>
      <c r="Q388" s="881"/>
      <c r="R388" s="471"/>
      <c r="S388" s="471"/>
      <c r="T388" s="494"/>
      <c r="U388" s="470"/>
      <c r="V388" s="468"/>
      <c r="W388" s="468"/>
      <c r="X388" s="468"/>
      <c r="Y388" s="468"/>
      <c r="Z388" s="468"/>
      <c r="AA388" s="468"/>
      <c r="AB388" s="468"/>
      <c r="AC388" s="468"/>
      <c r="AD388" s="468"/>
      <c r="AE388" s="468"/>
      <c r="AF388" s="468"/>
      <c r="AG388" s="468"/>
      <c r="AH388" s="468"/>
      <c r="AI388" s="468"/>
      <c r="AJ388" s="468"/>
      <c r="AK388" s="468"/>
      <c r="AL388" s="468"/>
      <c r="AM388" s="468"/>
      <c r="AN388" s="468"/>
      <c r="AO388" s="468"/>
      <c r="AP388" s="468"/>
      <c r="AQ388" s="468"/>
      <c r="AR388" s="468"/>
      <c r="AS388" s="468"/>
      <c r="AT388" s="468"/>
      <c r="AU388" s="468"/>
      <c r="AV388" s="468"/>
      <c r="AW388" s="468"/>
      <c r="AX388" s="468"/>
      <c r="AY388" s="468"/>
      <c r="AZ388" s="468"/>
      <c r="BA388" s="468"/>
      <c r="BB388" s="468"/>
      <c r="BC388" s="468"/>
      <c r="BD388" s="468"/>
      <c r="BE388" s="468"/>
      <c r="BF388" s="468"/>
      <c r="BG388" s="468"/>
      <c r="BH388" s="468"/>
      <c r="BI388" s="468"/>
      <c r="BJ388" s="468"/>
      <c r="BK388" s="468"/>
      <c r="BL388" s="468"/>
      <c r="BM388" s="468"/>
      <c r="BN388" s="468"/>
      <c r="BO388" s="468"/>
      <c r="BP388" s="468"/>
      <c r="BQ388" s="468"/>
      <c r="BR388" s="468"/>
      <c r="BS388" s="468"/>
      <c r="BT388" s="468"/>
      <c r="BU388" s="468"/>
      <c r="BV388" s="468"/>
      <c r="BW388" s="468"/>
      <c r="BX388" s="468"/>
      <c r="BY388" s="468"/>
      <c r="BZ388" s="468"/>
      <c r="CA388" s="468"/>
      <c r="CB388" s="468"/>
      <c r="CC388" s="468"/>
      <c r="CD388" s="468"/>
      <c r="CE388" s="468"/>
      <c r="CF388" s="468"/>
      <c r="CG388" s="468"/>
      <c r="CH388" s="468"/>
      <c r="CI388" s="468"/>
      <c r="CJ388" s="468"/>
      <c r="CK388" s="468"/>
      <c r="CL388" s="468"/>
      <c r="CM388" s="468"/>
      <c r="CN388" s="468"/>
      <c r="CO388" s="468"/>
      <c r="CP388" s="468"/>
      <c r="CQ388" s="468"/>
      <c r="CR388" s="468"/>
      <c r="CS388" s="468"/>
      <c r="CT388" s="468"/>
      <c r="CU388" s="468"/>
      <c r="CV388" s="468"/>
      <c r="CW388" s="468"/>
      <c r="CX388" s="468"/>
      <c r="CY388" s="468"/>
      <c r="CZ388" s="468"/>
      <c r="DA388" s="468"/>
      <c r="DB388" s="468"/>
      <c r="DC388" s="468"/>
      <c r="DD388" s="468"/>
      <c r="DE388" s="468"/>
      <c r="DF388" s="468"/>
      <c r="DG388" s="468"/>
      <c r="DH388" s="468"/>
      <c r="DI388" s="468"/>
      <c r="DJ388" s="468"/>
      <c r="DK388" s="468"/>
      <c r="DL388" s="468"/>
      <c r="DM388" s="468"/>
      <c r="DN388" s="468"/>
      <c r="DO388" s="468"/>
      <c r="DP388" s="468"/>
      <c r="DQ388" s="468"/>
      <c r="DR388" s="468"/>
      <c r="DS388" s="468"/>
      <c r="DT388" s="468"/>
      <c r="DU388" s="468"/>
      <c r="DV388" s="468"/>
      <c r="DW388" s="468"/>
      <c r="DX388" s="468"/>
      <c r="DY388" s="468"/>
      <c r="DZ388" s="468"/>
      <c r="EA388" s="468"/>
      <c r="EB388" s="468"/>
      <c r="EC388" s="468"/>
      <c r="ED388" s="468"/>
      <c r="EE388" s="468"/>
      <c r="EF388" s="468"/>
      <c r="EG388" s="468"/>
      <c r="EH388" s="468"/>
      <c r="EI388" s="468"/>
      <c r="EJ388" s="468"/>
      <c r="EK388" s="468"/>
      <c r="EL388" s="468"/>
      <c r="EM388" s="468"/>
      <c r="EN388" s="468"/>
      <c r="EO388" s="468"/>
      <c r="EP388" s="468"/>
      <c r="EQ388" s="468"/>
      <c r="ER388" s="468"/>
      <c r="ES388" s="468"/>
      <c r="ET388" s="468"/>
      <c r="EU388" s="468"/>
      <c r="EV388" s="468"/>
      <c r="EW388" s="468"/>
      <c r="EX388" s="468"/>
      <c r="EY388" s="468"/>
      <c r="EZ388" s="468"/>
      <c r="FA388" s="468"/>
      <c r="FB388" s="468"/>
      <c r="FC388" s="468"/>
      <c r="FD388" s="468"/>
      <c r="FE388" s="468"/>
      <c r="FF388" s="468"/>
      <c r="FG388" s="468"/>
      <c r="FH388" s="468"/>
      <c r="FI388" s="468"/>
      <c r="FJ388" s="468"/>
      <c r="FK388" s="468"/>
      <c r="FL388" s="468"/>
      <c r="FM388" s="468"/>
      <c r="FN388" s="468"/>
      <c r="FO388" s="468"/>
      <c r="FP388" s="468"/>
      <c r="FQ388" s="468"/>
      <c r="FR388" s="468"/>
      <c r="FS388" s="468"/>
      <c r="FT388" s="468"/>
      <c r="FU388" s="468"/>
      <c r="FV388" s="468"/>
      <c r="FW388" s="468"/>
      <c r="FX388" s="468"/>
      <c r="FY388" s="468"/>
      <c r="FZ388" s="468"/>
      <c r="GA388" s="468"/>
      <c r="GB388" s="468"/>
      <c r="GC388" s="468"/>
      <c r="GD388" s="468"/>
      <c r="GE388" s="468"/>
      <c r="GF388" s="468"/>
      <c r="GG388" s="468"/>
      <c r="GH388" s="468"/>
      <c r="GI388" s="468"/>
      <c r="GJ388" s="468"/>
      <c r="GK388" s="468"/>
      <c r="GL388" s="468"/>
      <c r="GM388" s="468"/>
      <c r="GN388" s="468"/>
      <c r="GO388" s="468"/>
      <c r="GP388" s="468"/>
      <c r="GQ388" s="468"/>
      <c r="GR388" s="468"/>
      <c r="GS388" s="468"/>
      <c r="GT388" s="468"/>
      <c r="GU388" s="468"/>
      <c r="GV388" s="468"/>
      <c r="GW388" s="468"/>
      <c r="GX388" s="468"/>
      <c r="GY388" s="468"/>
      <c r="GZ388" s="468"/>
      <c r="HA388" s="468"/>
      <c r="HB388" s="468"/>
      <c r="HC388" s="468"/>
      <c r="HD388" s="468"/>
      <c r="HE388" s="468"/>
      <c r="HF388" s="468"/>
      <c r="HG388" s="468"/>
      <c r="HH388" s="468"/>
      <c r="HI388" s="468"/>
      <c r="HJ388" s="468"/>
      <c r="HK388" s="468"/>
      <c r="HL388" s="468"/>
      <c r="HM388" s="468"/>
      <c r="HN388" s="468"/>
      <c r="HO388" s="468"/>
      <c r="HP388" s="468"/>
      <c r="HQ388" s="468"/>
      <c r="HR388" s="468"/>
      <c r="HS388" s="468"/>
      <c r="HT388" s="468"/>
      <c r="HU388" s="468"/>
      <c r="HV388" s="468"/>
      <c r="HW388" s="468"/>
      <c r="HX388" s="468"/>
      <c r="HY388" s="468"/>
      <c r="HZ388" s="468"/>
      <c r="IA388" s="468"/>
      <c r="IB388" s="468"/>
      <c r="IC388" s="468"/>
      <c r="ID388" s="468"/>
      <c r="IE388" s="468"/>
      <c r="IF388" s="468"/>
      <c r="IG388" s="468"/>
      <c r="IH388" s="468"/>
      <c r="II388" s="468"/>
      <c r="IJ388" s="468"/>
      <c r="IK388" s="468"/>
      <c r="IL388" s="468"/>
      <c r="IM388" s="468"/>
      <c r="IN388" s="468"/>
      <c r="IO388" s="468"/>
      <c r="IP388" s="468"/>
      <c r="IQ388" s="468"/>
      <c r="IR388" s="468"/>
      <c r="IS388" s="468"/>
      <c r="IT388" s="468"/>
      <c r="IU388" s="468"/>
      <c r="IV388" s="468"/>
      <c r="IW388" s="468"/>
      <c r="IX388" s="468"/>
      <c r="IY388" s="468"/>
      <c r="IZ388" s="468"/>
      <c r="JA388" s="468"/>
      <c r="JB388" s="468"/>
      <c r="JC388" s="468"/>
      <c r="JD388" s="468"/>
      <c r="JE388" s="468"/>
      <c r="JF388" s="468"/>
      <c r="JG388" s="468"/>
    </row>
    <row r="389" spans="1:308" s="344" customFormat="1" ht="15.75" customHeight="1" x14ac:dyDescent="0.8">
      <c r="A389" s="325"/>
      <c r="B389" s="486"/>
      <c r="C389" s="336"/>
      <c r="F389" s="46"/>
      <c r="G389" s="46"/>
      <c r="H389" s="70"/>
      <c r="I389" s="654"/>
      <c r="J389" s="331"/>
      <c r="K389" s="325"/>
      <c r="L389" s="336"/>
      <c r="M389" s="339"/>
      <c r="N389" s="157"/>
      <c r="O389" s="79"/>
      <c r="P389" s="882"/>
      <c r="Q389" s="159"/>
      <c r="R389" s="343"/>
      <c r="S389" s="343"/>
      <c r="T389" s="79"/>
      <c r="U389" s="342"/>
    </row>
    <row r="390" spans="1:308" s="344" customFormat="1" ht="15.75" customHeight="1" x14ac:dyDescent="0.8">
      <c r="A390" s="325"/>
      <c r="B390" s="486"/>
      <c r="C390" s="331"/>
      <c r="F390" s="46"/>
      <c r="G390" s="46"/>
      <c r="H390" s="70"/>
      <c r="I390" s="654"/>
      <c r="J390" s="331"/>
      <c r="K390" s="325"/>
      <c r="L390" s="336"/>
      <c r="M390" s="339"/>
      <c r="N390" s="157"/>
      <c r="O390" s="79"/>
      <c r="P390" s="882"/>
      <c r="Q390" s="159"/>
      <c r="R390" s="343"/>
      <c r="S390" s="343"/>
      <c r="T390" s="79"/>
      <c r="U390" s="342"/>
    </row>
    <row r="391" spans="1:308" s="344" customFormat="1" ht="15.75" customHeight="1" x14ac:dyDescent="0.8">
      <c r="A391" s="325"/>
      <c r="B391" s="486"/>
      <c r="F391" s="46"/>
      <c r="G391" s="46"/>
      <c r="H391" s="70"/>
      <c r="I391" s="654"/>
      <c r="J391" s="331"/>
      <c r="K391" s="325"/>
      <c r="L391" s="336"/>
      <c r="M391" s="339"/>
      <c r="N391" s="157"/>
      <c r="O391" s="79"/>
      <c r="P391" s="882"/>
      <c r="Q391" s="159"/>
      <c r="R391" s="343"/>
      <c r="S391" s="343"/>
      <c r="T391" s="79"/>
      <c r="U391" s="342"/>
    </row>
    <row r="1047392" spans="11:11" ht="15.75" customHeight="1" x14ac:dyDescent="0.8">
      <c r="K1047392" s="379">
        <f>IF(+J1047392=H1047392,F1047392,H1047392)</f>
        <v>0</v>
      </c>
    </row>
  </sheetData>
  <autoFilter ref="A3:U386" xr:uid="{85BEFEB1-BD73-4B61-A81D-BEB20A6643DB}"/>
  <sortState xmlns:xlrd2="http://schemas.microsoft.com/office/spreadsheetml/2017/richdata2" ref="A316:KV331">
    <sortCondition ref="C316:C331"/>
    <sortCondition ref="D316:D331"/>
    <sortCondition ref="H316:H331"/>
  </sortState>
  <mergeCells count="4">
    <mergeCell ref="F2:I2"/>
    <mergeCell ref="N2:Q2"/>
    <mergeCell ref="R2:S2"/>
    <mergeCell ref="N1:Q1"/>
  </mergeCells>
  <pageMargins left="0.75" right="0.25" top="0.75" bottom="0.75" header="0.3" footer="0.3"/>
  <pageSetup paperSize="5" scale="75" fitToHeight="0" orientation="landscape" r:id="rId1"/>
  <headerFooter alignWithMargins="0">
    <oddFooter xml:space="preserve">&amp;C&amp;24NFL
</oddFooter>
  </headerFooter>
  <rowBreaks count="3" manualBreakCount="3">
    <brk id="58" max="20" man="1"/>
    <brk id="94" max="20" man="1"/>
    <brk id="139" max="20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>
    <pageSetUpPr fitToPage="1"/>
  </sheetPr>
  <dimension ref="A1:BQ607"/>
  <sheetViews>
    <sheetView view="pageBreakPreview" topLeftCell="A386" zoomScale="75" zoomScaleNormal="75" zoomScaleSheetLayoutView="75" workbookViewId="0">
      <selection sqref="A1:A1048576"/>
    </sheetView>
  </sheetViews>
  <sheetFormatPr defaultColWidth="8.86328125" defaultRowHeight="16" x14ac:dyDescent="0.8"/>
  <cols>
    <col min="1" max="1" width="6.953125" style="46" customWidth="1"/>
    <col min="2" max="2" width="5.86328125" style="47" hidden="1" customWidth="1"/>
    <col min="3" max="3" width="8" style="48" hidden="1" customWidth="1"/>
    <col min="4" max="4" width="11.6796875" style="49" hidden="1" customWidth="1"/>
    <col min="5" max="5" width="9.1328125" style="46" hidden="1" customWidth="1"/>
    <col min="6" max="6" width="24.453125" style="57" customWidth="1"/>
    <col min="7" max="7" width="8.6796875" style="46" hidden="1" customWidth="1"/>
    <col min="8" max="8" width="24.453125" style="57" customWidth="1"/>
    <col min="9" max="9" width="8.6796875" style="46" hidden="1" customWidth="1"/>
    <col min="10" max="10" width="24.453125" style="353" customWidth="1"/>
    <col min="11" max="11" width="24.453125" style="364" customWidth="1"/>
    <col min="12" max="12" width="8" style="362" customWidth="1"/>
    <col min="13" max="13" width="8" style="386" customWidth="1"/>
    <col min="14" max="14" width="24.453125" style="395" customWidth="1"/>
    <col min="15" max="15" width="5.6796875" style="395" customWidth="1"/>
    <col min="16" max="16" width="24.453125" style="395" customWidth="1"/>
    <col min="17" max="17" width="5.6796875" style="396" customWidth="1"/>
    <col min="18" max="19" width="24.453125" style="395" customWidth="1"/>
    <col min="20" max="20" width="27.6796875" style="397" customWidth="1"/>
    <col min="21" max="21" width="8.76953125" style="396" customWidth="1"/>
    <col min="22" max="22" width="28.1328125" style="397" customWidth="1"/>
    <col min="23" max="23" width="8.76953125" style="396" customWidth="1"/>
    <col min="24" max="24" width="9.54296875" style="397" customWidth="1"/>
    <col min="25" max="25" width="9.54296875" style="396" customWidth="1"/>
    <col min="26" max="26" width="8" style="397" customWidth="1"/>
    <col min="27" max="27" width="8" style="396" customWidth="1"/>
    <col min="28" max="28" width="12.453125" style="87" customWidth="1"/>
    <col min="29" max="29" width="12.453125" style="120" customWidth="1"/>
    <col min="30" max="30" width="27.6796875" style="353" customWidth="1"/>
    <col min="31" max="31" width="6.6796875" style="379" customWidth="1"/>
    <col min="32" max="32" width="27.6796875" style="353" customWidth="1"/>
    <col min="33" max="33" width="6.6796875" style="379" customWidth="1"/>
    <col min="34" max="34" width="27.6796875" style="353" customWidth="1"/>
    <col min="35" max="35" width="6.6796875" style="379" customWidth="1"/>
    <col min="36" max="36" width="27.6796875" style="353" customWidth="1"/>
    <col min="37" max="37" width="6.6796875" style="379" customWidth="1"/>
    <col min="38" max="38" width="27.6796875" style="57" customWidth="1"/>
    <col min="39" max="39" width="5.6796875" style="58" customWidth="1"/>
    <col min="40" max="40" width="27.6796875" style="57" customWidth="1"/>
    <col min="41" max="41" width="5.6796875" style="59" customWidth="1"/>
    <col min="42" max="42" width="3" style="47" customWidth="1"/>
    <col min="43" max="43" width="28.31640625" style="47" customWidth="1"/>
    <col min="44" max="44" width="5.31640625" style="57" customWidth="1"/>
    <col min="45" max="46" width="5.31640625" style="64" customWidth="1"/>
    <col min="47" max="47" width="5.31640625" style="57" customWidth="1"/>
    <col min="48" max="48" width="5.31640625" style="64" customWidth="1"/>
    <col min="49" max="49" width="5.31640625" style="46" customWidth="1"/>
    <col min="50" max="50" width="2.6796875" style="64" customWidth="1"/>
    <col min="51" max="51" width="5.31640625" style="71" customWidth="1"/>
    <col min="52" max="52" width="5.31640625" style="58" customWidth="1"/>
    <col min="53" max="53" width="5.31640625" style="59" customWidth="1"/>
    <col min="54" max="54" width="2.6796875" style="59" customWidth="1"/>
    <col min="55" max="55" width="25" style="47" customWidth="1"/>
    <col min="56" max="56" width="5.31640625" style="57" customWidth="1"/>
    <col min="57" max="58" width="5.31640625" style="64" customWidth="1"/>
    <col min="59" max="59" width="5.31640625" style="57" customWidth="1"/>
    <col min="60" max="60" width="5.31640625" style="64" customWidth="1"/>
    <col min="61" max="61" width="5.31640625" style="46" customWidth="1"/>
    <col min="62" max="62" width="9.31640625" style="87" customWidth="1"/>
    <col min="63" max="63" width="9.453125" style="120" customWidth="1"/>
    <col min="64" max="65" width="8.86328125" style="9"/>
    <col min="66" max="66" width="8.86328125" style="246"/>
    <col min="67" max="16384" width="8.86328125" style="9"/>
  </cols>
  <sheetData>
    <row r="1" spans="1:69" s="21" customFormat="1" ht="16" customHeight="1" x14ac:dyDescent="0.8">
      <c r="A1" s="10"/>
      <c r="B1" s="10"/>
      <c r="C1" s="11"/>
      <c r="D1" s="12"/>
      <c r="E1" s="96"/>
      <c r="F1" s="981" t="s">
        <v>2</v>
      </c>
      <c r="G1" s="974"/>
      <c r="H1" s="974"/>
      <c r="I1" s="975"/>
      <c r="J1" s="373"/>
      <c r="K1" s="374"/>
      <c r="L1" s="380"/>
      <c r="M1" s="381"/>
      <c r="N1" s="969" t="s">
        <v>3</v>
      </c>
      <c r="O1" s="982"/>
      <c r="P1" s="982"/>
      <c r="Q1" s="970"/>
      <c r="R1" s="969" t="s">
        <v>4</v>
      </c>
      <c r="S1" s="970"/>
      <c r="T1" s="389"/>
      <c r="U1" s="390"/>
      <c r="V1" s="389"/>
      <c r="W1" s="390"/>
      <c r="X1" s="969" t="s">
        <v>5</v>
      </c>
      <c r="Y1" s="970"/>
      <c r="Z1" s="962"/>
      <c r="AA1" s="963"/>
      <c r="AB1" s="101"/>
      <c r="AC1" s="102"/>
      <c r="AD1" s="373"/>
      <c r="AE1" s="377"/>
      <c r="AF1" s="373"/>
      <c r="AG1" s="377"/>
      <c r="AH1" s="373"/>
      <c r="AI1" s="377"/>
      <c r="AJ1" s="373"/>
      <c r="AK1" s="377"/>
      <c r="AL1" s="17"/>
      <c r="AM1" s="18"/>
      <c r="AN1" s="18"/>
      <c r="AO1" s="19"/>
      <c r="AP1" s="964"/>
      <c r="AQ1" s="20"/>
      <c r="AR1" s="971" t="s">
        <v>6</v>
      </c>
      <c r="AS1" s="972"/>
      <c r="AT1" s="973"/>
      <c r="AU1" s="971" t="s">
        <v>7</v>
      </c>
      <c r="AV1" s="974"/>
      <c r="AW1" s="975"/>
      <c r="AX1" s="6"/>
      <c r="AY1" s="978" t="s">
        <v>322</v>
      </c>
      <c r="AZ1" s="979"/>
      <c r="BA1" s="980"/>
      <c r="BB1" s="8"/>
      <c r="BC1" s="20"/>
      <c r="BD1" s="971" t="s">
        <v>8</v>
      </c>
      <c r="BE1" s="972"/>
      <c r="BF1" s="973"/>
      <c r="BG1" s="971" t="s">
        <v>7</v>
      </c>
      <c r="BH1" s="974"/>
      <c r="BI1" s="975"/>
      <c r="BJ1" s="976" t="s">
        <v>9</v>
      </c>
      <c r="BK1" s="977"/>
      <c r="BL1" s="74"/>
      <c r="BM1" s="74"/>
      <c r="BN1" s="74"/>
      <c r="BO1" s="9"/>
    </row>
    <row r="2" spans="1:69" s="21" customFormat="1" ht="16" customHeight="1" x14ac:dyDescent="0.8">
      <c r="A2" s="22" t="s">
        <v>10</v>
      </c>
      <c r="B2" s="23" t="s">
        <v>11</v>
      </c>
      <c r="C2" s="24" t="s">
        <v>12</v>
      </c>
      <c r="D2" s="25" t="s">
        <v>13</v>
      </c>
      <c r="E2" s="22" t="s">
        <v>14</v>
      </c>
      <c r="F2" s="104" t="s">
        <v>6</v>
      </c>
      <c r="G2" s="22" t="s">
        <v>15</v>
      </c>
      <c r="H2" s="104" t="s">
        <v>8</v>
      </c>
      <c r="I2" s="22" t="s">
        <v>15</v>
      </c>
      <c r="J2" s="375" t="s">
        <v>16</v>
      </c>
      <c r="K2" s="376" t="s">
        <v>17</v>
      </c>
      <c r="L2" s="382" t="s">
        <v>18</v>
      </c>
      <c r="M2" s="383" t="s">
        <v>19</v>
      </c>
      <c r="N2" s="391" t="s">
        <v>20</v>
      </c>
      <c r="O2" s="391"/>
      <c r="P2" s="391" t="s">
        <v>21</v>
      </c>
      <c r="Q2" s="392"/>
      <c r="R2" s="391" t="s">
        <v>20</v>
      </c>
      <c r="S2" s="391" t="s">
        <v>21</v>
      </c>
      <c r="T2" s="393" t="s">
        <v>22</v>
      </c>
      <c r="U2" s="392" t="s">
        <v>23</v>
      </c>
      <c r="V2" s="393" t="s">
        <v>24</v>
      </c>
      <c r="W2" s="392" t="s">
        <v>23</v>
      </c>
      <c r="X2" s="393" t="s">
        <v>25</v>
      </c>
      <c r="Y2" s="392" t="s">
        <v>24</v>
      </c>
      <c r="Z2" s="393" t="s">
        <v>26</v>
      </c>
      <c r="AA2" s="392" t="s">
        <v>23</v>
      </c>
      <c r="AB2" s="80" t="s">
        <v>27</v>
      </c>
      <c r="AC2" s="110" t="s">
        <v>28</v>
      </c>
      <c r="AD2" s="375" t="s">
        <v>283</v>
      </c>
      <c r="AE2" s="378" t="s">
        <v>23</v>
      </c>
      <c r="AF2" s="375" t="s">
        <v>284</v>
      </c>
      <c r="AG2" s="378" t="s">
        <v>23</v>
      </c>
      <c r="AH2" s="375" t="s">
        <v>360</v>
      </c>
      <c r="AI2" s="378" t="s">
        <v>23</v>
      </c>
      <c r="AJ2" s="401" t="s">
        <v>361</v>
      </c>
      <c r="AK2" s="378"/>
      <c r="AL2" s="966" t="s">
        <v>29</v>
      </c>
      <c r="AM2" s="967"/>
      <c r="AN2" s="967"/>
      <c r="AO2" s="968"/>
      <c r="AP2" s="965"/>
      <c r="AQ2" s="32" t="s">
        <v>30</v>
      </c>
      <c r="AR2" s="33" t="s">
        <v>31</v>
      </c>
      <c r="AS2" s="34" t="s">
        <v>32</v>
      </c>
      <c r="AT2" s="35" t="s">
        <v>33</v>
      </c>
      <c r="AU2" s="33" t="s">
        <v>31</v>
      </c>
      <c r="AV2" s="34" t="s">
        <v>32</v>
      </c>
      <c r="AW2" s="35" t="s">
        <v>33</v>
      </c>
      <c r="AX2" s="36"/>
      <c r="AY2" s="33" t="s">
        <v>31</v>
      </c>
      <c r="AZ2" s="34" t="s">
        <v>32</v>
      </c>
      <c r="BA2" s="35" t="s">
        <v>33</v>
      </c>
      <c r="BB2" s="37"/>
      <c r="BC2" s="32" t="s">
        <v>8</v>
      </c>
      <c r="BD2" s="33" t="s">
        <v>31</v>
      </c>
      <c r="BE2" s="34" t="s">
        <v>32</v>
      </c>
      <c r="BF2" s="35" t="s">
        <v>33</v>
      </c>
      <c r="BG2" s="33" t="s">
        <v>31</v>
      </c>
      <c r="BH2" s="34" t="s">
        <v>32</v>
      </c>
      <c r="BI2" s="35" t="s">
        <v>33</v>
      </c>
      <c r="BJ2" s="112" t="s">
        <v>6</v>
      </c>
      <c r="BK2" s="113" t="s">
        <v>8</v>
      </c>
      <c r="BL2" s="74"/>
      <c r="BM2" s="74"/>
      <c r="BN2" s="74"/>
      <c r="BO2" s="9"/>
    </row>
    <row r="3" spans="1:69" x14ac:dyDescent="0.8">
      <c r="B3" s="46"/>
      <c r="C3" s="62"/>
      <c r="F3" s="959" t="str">
        <f>H4</f>
        <v>Arizona</v>
      </c>
      <c r="G3" s="960"/>
      <c r="H3" s="960"/>
      <c r="I3" s="961"/>
      <c r="L3" s="384"/>
      <c r="M3" s="385"/>
      <c r="N3" s="394"/>
      <c r="P3" s="394"/>
      <c r="R3" s="397"/>
      <c r="S3" s="396"/>
      <c r="T3" s="398"/>
      <c r="AY3" s="57"/>
      <c r="AZ3" s="64"/>
      <c r="BA3" s="46"/>
      <c r="BB3" s="46"/>
    </row>
    <row r="4" spans="1:69" x14ac:dyDescent="0.8">
      <c r="A4" s="46">
        <f>IF(+NFL!$F16="Arizona",+NFL!A16,IF(+NFL!$H16="Arizona",+NFL!A16,0))</f>
        <v>1</v>
      </c>
      <c r="B4" s="46" t="str">
        <f>IF(+NFL!$F16="Arizona",+NFL!B16,IF(+NFL!$H16="Arizona",+NFL!B16,0))</f>
        <v>Sun</v>
      </c>
      <c r="C4" s="62">
        <f>IF(+NFL!$F16="Arizona",+NFL!C16,IF(+NFL!$H16="Arizona",+NFL!C16,0))</f>
        <v>44815</v>
      </c>
      <c r="D4" s="490">
        <f>IF(+NFL!$F16="Arizona",+NFL!D16,IF(+NFL!$H16="Arizona",+NFL!D16,0))</f>
        <v>0.66666666666666663</v>
      </c>
      <c r="E4" s="46" t="str">
        <f>IF(+NFL!$F16="Arizona",+NFL!E16,IF(+NFL!$H16="Arizona",+NFL!E16,0))</f>
        <v>CBS</v>
      </c>
      <c r="F4" s="127" t="str">
        <f>IF(+NFL!$F16="Arizona",+NFL!F16,IF(+NFL!$H16="Arizona",+NFL!F16,0))</f>
        <v>Kansas City</v>
      </c>
      <c r="G4" s="46" t="str">
        <f>IF(+NFL!$F16="Arizona",+NFL!G16,IF(+NFL!$H16="Arizona",+NFL!G16,0))</f>
        <v>AFCW</v>
      </c>
      <c r="H4" s="127" t="str">
        <f>IF(+NFL!$F16="Arizona",+NFL!H16,IF(+NFL!$H16="Arizona",+NFL!H16,0))</f>
        <v>Arizona</v>
      </c>
      <c r="I4" s="46" t="str">
        <f>IF(+NFL!$F16="Arizona",+NFL!I16,IF(+NFL!$H16="Arizona",+NFL!I16,0))</f>
        <v>NFCW</v>
      </c>
      <c r="J4" s="353" t="str">
        <f>IF(+NFL!$F16="Arizona",+NFL!J16,IF(+NFL!$H16="Arizona",+NFL!J16,0))</f>
        <v>Kansas City</v>
      </c>
      <c r="K4" s="494" t="str">
        <f>IF(+NFL!$F16="Arizona",+NFL!K16,IF(+NFL!$H16="Arizona",+NFL!K16,0))</f>
        <v>Arizona</v>
      </c>
      <c r="L4" s="384">
        <f>IF(+NFL!$F16="Arizona",+NFL!L16,IF(+NFL!$H16="Arizona",+NFL!L16,0))</f>
        <v>6</v>
      </c>
      <c r="M4" s="385">
        <f>IF(+NFL!$F16="Arizona",+NFL!M16,IF(+NFL!$H16="Arizona",+NFL!M16,0))</f>
        <v>54</v>
      </c>
      <c r="N4" s="394" t="str">
        <f>IF(+NFL!$F16="Arizona",+NFL!N16,IF(+NFL!$H16="Arizona",+NFL!N16,0))</f>
        <v>Kansas City</v>
      </c>
      <c r="O4" s="395">
        <f>IF(+NFL!$F16="Arizona",+NFL!O16,IF(+NFL!$H16="Arizona",+NFL!O16,0))</f>
        <v>44</v>
      </c>
      <c r="P4" s="394" t="str">
        <f>IF(+NFL!$F16="Arizona",+NFL!P16,IF(+NFL!$H16="Arizona",+NFL!P16,0))</f>
        <v>Arizona</v>
      </c>
      <c r="Q4" s="396">
        <f>IF(+NFL!$F16="Arizona",+NFL!Q16,IF(+NFL!$H16="Arizona",+NFL!Q16,0))</f>
        <v>21</v>
      </c>
      <c r="R4" s="397" t="str">
        <f>IF(+NFL!$F16="Arizona",+NFL!R16,IF(+NFL!$H16="Arizona",+NFL!R16,0))</f>
        <v>Kansas City</v>
      </c>
      <c r="S4" s="396" t="str">
        <f>IF(+NFL!$F16="Arizona",+NFL!S16,IF(+NFL!$H16="Arizona",+NFL!S16,0))</f>
        <v>Arizona</v>
      </c>
      <c r="T4" s="397" t="str">
        <f>IF(+NFL!$F16="Arizona",+NFL!T16,IF(+NFL!$H16="Arizona",+NFL!T16,0))</f>
        <v>Kansas City</v>
      </c>
      <c r="U4" s="396" t="str">
        <f>IF(+NFL!$F16="Arizona",+NFL!U16,IF(+NFL!$H16="Arizona",+NFL!U16,0))</f>
        <v>W</v>
      </c>
      <c r="AP4" s="348"/>
      <c r="AQ4" s="48"/>
      <c r="AS4" s="493"/>
      <c r="AT4" s="493"/>
      <c r="AV4" s="493"/>
      <c r="AX4" s="493"/>
      <c r="AY4" s="57"/>
      <c r="AZ4" s="493"/>
      <c r="BA4" s="46"/>
      <c r="BB4" s="46"/>
      <c r="BC4" s="403"/>
      <c r="BE4" s="493"/>
      <c r="BF4" s="493"/>
      <c r="BH4" s="493"/>
    </row>
    <row r="5" spans="1:69" x14ac:dyDescent="0.8">
      <c r="A5" s="46">
        <f>IF(+NFL!$F33="Arizona",+NFL!A33,IF(+NFL!$H33="Arizona",+NFL!A33,0))</f>
        <v>2</v>
      </c>
      <c r="B5" s="46" t="str">
        <f>IF(+NFL!$F33="Arizona",+NFL!B33,IF(+NFL!$H33="Arizona",+NFL!B33,0))</f>
        <v>Sun</v>
      </c>
      <c r="C5" s="62">
        <f>IF(+NFL!$F33="Arizona",+NFL!C33,IF(+NFL!$H33="Arizona",+NFL!C33,0))</f>
        <v>44822</v>
      </c>
      <c r="D5" s="490">
        <f>IF(+NFL!$F33="Arizona",+NFL!D33,IF(+NFL!$H33="Arizona",+NFL!D33,0))</f>
        <v>0.66666666666666663</v>
      </c>
      <c r="E5" s="46" t="str">
        <f>IF(+NFL!$F33="Arizona",+NFL!E33,IF(+NFL!$H33="Arizona",+NFL!E33,0))</f>
        <v>Fox</v>
      </c>
      <c r="F5" s="127" t="str">
        <f>IF(+NFL!$F33="Arizona",+NFL!F33,IF(+NFL!$H33="Arizona",+NFL!F33,0))</f>
        <v>Arizona</v>
      </c>
      <c r="G5" s="46" t="str">
        <f>IF(+NFL!$F33="Arizona",+NFL!G33,IF(+NFL!$H33="Arizona",+NFL!G33,0))</f>
        <v>NFCW</v>
      </c>
      <c r="H5" s="127" t="str">
        <f>IF(+NFL!$F33="Arizona",+NFL!H33,IF(+NFL!$H33="Arizona",+NFL!H33,0))</f>
        <v>Las Vegas</v>
      </c>
      <c r="I5" s="46" t="str">
        <f>IF(+NFL!$F33="Arizona",+NFL!I33,IF(+NFL!$H33="Arizona",+NFL!I33,0))</f>
        <v>AFCW</v>
      </c>
      <c r="J5" s="353" t="str">
        <f>IF(+NFL!$F33="Arizona",+NFL!J33,IF(+NFL!$H33="Arizona",+NFL!J33,0))</f>
        <v>Las Vegas</v>
      </c>
      <c r="K5" s="494" t="str">
        <f>IF(+NFL!$F33="Arizona",+NFL!K33,IF(+NFL!$H33="Arizona",+NFL!K33,0))</f>
        <v>Arizona</v>
      </c>
      <c r="L5" s="384">
        <f>IF(+NFL!$F33="Arizona",+NFL!L33,IF(+NFL!$H33="Arizona",+NFL!L33,0))</f>
        <v>6</v>
      </c>
      <c r="M5" s="385">
        <f>IF(+NFL!$F33="Arizona",+NFL!M33,IF(+NFL!$H33="Arizona",+NFL!M33,0))</f>
        <v>51.5</v>
      </c>
      <c r="N5" s="394" t="str">
        <f>IF(+NFL!$F33="Arizona",+NFL!N33,IF(+NFL!$H33="Arizona",+NFL!N33,0))</f>
        <v>Arizona</v>
      </c>
      <c r="O5" s="395">
        <f>IF(+NFL!$F33="Arizona",+NFL!O33,IF(+NFL!$H33="Arizona",+NFL!O33,0))</f>
        <v>29</v>
      </c>
      <c r="P5" s="394" t="str">
        <f>IF(+NFL!$F33="Arizona",+NFL!P33,IF(+NFL!$H33="Arizona",+NFL!P33,0))</f>
        <v>Las Vegas</v>
      </c>
      <c r="Q5" s="396">
        <f>IF(+NFL!$F33="Arizona",+NFL!Q33,IF(+NFL!$H33="Arizona",+NFL!Q33,0))</f>
        <v>23</v>
      </c>
      <c r="R5" s="397" t="str">
        <f>IF(+NFL!$F33="Arizona",+NFL!R33,IF(+NFL!$H33="Arizona",+NFL!R33,0))</f>
        <v>Arizona</v>
      </c>
      <c r="S5" s="396" t="str">
        <f>IF(+NFL!$F33="Arizona",+NFL!S33,IF(+NFL!$H33="Arizona",+NFL!S33,0))</f>
        <v>Las Vegas</v>
      </c>
      <c r="T5" s="397" t="str">
        <f>IF(+NFL!$F33="Arizona",+NFL!T33,IF(+NFL!$H33="Arizona",+NFL!T33,0))</f>
        <v>Arizona</v>
      </c>
      <c r="U5" s="396" t="str">
        <f>IF(+NFL!$F33="Arizona",+NFL!U33,IF(+NFL!$H33="Arizona",+NFL!U33,0))</f>
        <v>W</v>
      </c>
      <c r="AP5" s="348"/>
      <c r="AQ5" s="48"/>
      <c r="AS5" s="493"/>
      <c r="AT5" s="493"/>
      <c r="AV5" s="493"/>
      <c r="AX5" s="493"/>
      <c r="AY5" s="57"/>
      <c r="AZ5" s="493"/>
      <c r="BA5" s="46"/>
      <c r="BB5" s="46"/>
      <c r="BC5" s="403"/>
      <c r="BE5" s="493"/>
      <c r="BF5" s="493"/>
      <c r="BH5" s="493"/>
    </row>
    <row r="6" spans="1:69" x14ac:dyDescent="0.8">
      <c r="A6" s="46">
        <f>IF(+NFL!$F49="Arizona",+NFL!A49,IF(+NFL!$H49="Arizona",+NFL!A49,0))</f>
        <v>3</v>
      </c>
      <c r="B6" s="46" t="str">
        <f>IF(+NFL!$F49="Arizona",+NFL!B49,IF(+NFL!$H49="Arizona",+NFL!B49,0))</f>
        <v>Sun</v>
      </c>
      <c r="C6" s="62">
        <f>IF(+NFL!$F49="Arizona",+NFL!C49,IF(+NFL!$H49="Arizona",+NFL!C49,0))</f>
        <v>44829</v>
      </c>
      <c r="D6" s="490">
        <f>IF(+NFL!$F49="Arizona",+NFL!D49,IF(+NFL!$H49="Arizona",+NFL!D49,0))</f>
        <v>0.66666666666666663</v>
      </c>
      <c r="E6" s="46" t="str">
        <f>IF(+NFL!$F49="Arizona",+NFL!E49,IF(+NFL!$H49="Arizona",+NFL!E49,0))</f>
        <v>Fox</v>
      </c>
      <c r="F6" s="127" t="str">
        <f>IF(+NFL!$F49="Arizona",+NFL!F49,IF(+NFL!$H49="Arizona",+NFL!F49,0))</f>
        <v>LA Rams</v>
      </c>
      <c r="G6" s="46" t="str">
        <f>IF(+NFL!$F49="Arizona",+NFL!G49,IF(+NFL!$H49="Arizona",+NFL!G49,0))</f>
        <v>NFCW</v>
      </c>
      <c r="H6" s="127" t="str">
        <f>IF(+NFL!$F49="Arizona",+NFL!H49,IF(+NFL!$H49="Arizona",+NFL!H49,0))</f>
        <v>Arizona</v>
      </c>
      <c r="I6" s="46" t="str">
        <f>IF(+NFL!$F49="Arizona",+NFL!I49,IF(+NFL!$H49="Arizona",+NFL!I49,0))</f>
        <v>NFCW</v>
      </c>
      <c r="J6" s="353" t="str">
        <f>IF(+NFL!$F49="Arizona",+NFL!J49,IF(+NFL!$H49="Arizona",+NFL!J49,0))</f>
        <v>LA Rams</v>
      </c>
      <c r="K6" s="494" t="str">
        <f>IF(+NFL!$F49="Arizona",+NFL!K49,IF(+NFL!$H49="Arizona",+NFL!K49,0))</f>
        <v>Arizona</v>
      </c>
      <c r="L6" s="384">
        <f>IF(+NFL!$F49="Arizona",+NFL!L49,IF(+NFL!$H49="Arizona",+NFL!L49,0))</f>
        <v>3.5</v>
      </c>
      <c r="M6" s="385">
        <f>IF(+NFL!$F49="Arizona",+NFL!M49,IF(+NFL!$H49="Arizona",+NFL!M49,0))</f>
        <v>48.5</v>
      </c>
      <c r="N6" s="394" t="str">
        <f>IF(+NFL!$F49="Arizona",+NFL!N49,IF(+NFL!$H49="Arizona",+NFL!N49,0))</f>
        <v>LA Rams</v>
      </c>
      <c r="O6" s="395">
        <f>IF(+NFL!$F49="Arizona",+NFL!O49,IF(+NFL!$H49="Arizona",+NFL!O49,0))</f>
        <v>20</v>
      </c>
      <c r="P6" s="394" t="str">
        <f>IF(+NFL!$F49="Arizona",+NFL!P49,IF(+NFL!$H49="Arizona",+NFL!P49,0))</f>
        <v>Arizona</v>
      </c>
      <c r="Q6" s="396">
        <f>IF(+NFL!$F49="Arizona",+NFL!Q49,IF(+NFL!$H49="Arizona",+NFL!Q49,0))</f>
        <v>12</v>
      </c>
      <c r="R6" s="397" t="str">
        <f>IF(+NFL!$F49="Arizona",+NFL!R49,IF(+NFL!$H49="Arizona",+NFL!R49,0))</f>
        <v>LA Rams</v>
      </c>
      <c r="S6" s="396" t="str">
        <f>IF(+NFL!$F49="Arizona",+NFL!S49,IF(+NFL!$H49="Arizona",+NFL!S49,0))</f>
        <v>Arizona</v>
      </c>
      <c r="T6" s="397" t="str">
        <f>IF(+NFL!$F49="Arizona",+NFL!T49,IF(+NFL!$H49="Arizona",+NFL!T49,0))</f>
        <v>LA Rams</v>
      </c>
      <c r="U6" s="396" t="str">
        <f>IF(+NFL!$F49="Arizona",+NFL!U49,IF(+NFL!$H49="Arizona",+NFL!U49,0))</f>
        <v>W</v>
      </c>
      <c r="AP6" s="348"/>
      <c r="AQ6" s="48"/>
      <c r="AY6" s="57"/>
      <c r="AZ6" s="64"/>
      <c r="BA6" s="46"/>
      <c r="BB6" s="46"/>
      <c r="BC6" s="403"/>
    </row>
    <row r="7" spans="1:69" x14ac:dyDescent="0.8">
      <c r="A7" s="46">
        <f>IF(+NFL!$F66="Arizona",+NFL!A66,IF(+NFL!$H66="Arizona",+NFL!A66,0))</f>
        <v>4</v>
      </c>
      <c r="B7" s="46" t="str">
        <f>IF(+NFL!$F66="Arizona",+NFL!B66,IF(+NFL!$H66="Arizona",+NFL!B66,0))</f>
        <v>Sun</v>
      </c>
      <c r="C7" s="62">
        <f>IF(+NFL!$F66="Arizona",+NFL!C66,IF(+NFL!$H66="Arizona",+NFL!C66,0))</f>
        <v>44836</v>
      </c>
      <c r="D7" s="490">
        <f>IF(+NFL!$F66="Arizona",+NFL!D66,IF(+NFL!$H66="Arizona",+NFL!D66,0))</f>
        <v>0.66666666666666663</v>
      </c>
      <c r="E7" s="46" t="str">
        <f>IF(+NFL!$F66="Arizona",+NFL!E66,IF(+NFL!$H66="Arizona",+NFL!E66,0))</f>
        <v>Fox</v>
      </c>
      <c r="F7" s="127" t="str">
        <f>IF(+NFL!$F66="Arizona",+NFL!F66,IF(+NFL!$H66="Arizona",+NFL!F66,0))</f>
        <v>Arizona</v>
      </c>
      <c r="G7" s="46" t="str">
        <f>IF(+NFL!$F66="Arizona",+NFL!G66,IF(+NFL!$H66="Arizona",+NFL!G66,0))</f>
        <v>NFCW</v>
      </c>
      <c r="H7" s="127" t="str">
        <f>IF(+NFL!$F66="Arizona",+NFL!H66,IF(+NFL!$H66="Arizona",+NFL!H66,0))</f>
        <v>Carolina</v>
      </c>
      <c r="I7" s="46" t="str">
        <f>IF(+NFL!$F66="Arizona",+NFL!I66,IF(+NFL!$H66="Arizona",+NFL!I66,0))</f>
        <v>NFCS</v>
      </c>
      <c r="J7" s="353" t="str">
        <f>IF(+NFL!$F66="Arizona",+NFL!J66,IF(+NFL!$H66="Arizona",+NFL!J66,0))</f>
        <v>Carolina</v>
      </c>
      <c r="K7" s="494" t="str">
        <f>IF(+NFL!$F66="Arizona",+NFL!K66,IF(+NFL!$H66="Arizona",+NFL!K66,0))</f>
        <v>Arizona</v>
      </c>
      <c r="L7" s="384">
        <f>IF(+NFL!$F66="Arizona",+NFL!L66,IF(+NFL!$H66="Arizona",+NFL!L66,0))</f>
        <v>2.5</v>
      </c>
      <c r="M7" s="385">
        <f>IF(+NFL!$F66="Arizona",+NFL!M66,IF(+NFL!$H66="Arizona",+NFL!M66,0))</f>
        <v>43.5</v>
      </c>
      <c r="N7" s="394" t="str">
        <f>IF(+NFL!$F66="Arizona",+NFL!N66,IF(+NFL!$H66="Arizona",+NFL!N66,0))</f>
        <v>Arizona</v>
      </c>
      <c r="O7" s="395">
        <f>IF(+NFL!$F66="Arizona",+NFL!O66,IF(+NFL!$H66="Arizona",+NFL!O66,0))</f>
        <v>26</v>
      </c>
      <c r="P7" s="394" t="str">
        <f>IF(+NFL!$F66="Arizona",+NFL!P66,IF(+NFL!$H66="Arizona",+NFL!P66,0))</f>
        <v>Carolina</v>
      </c>
      <c r="Q7" s="396">
        <f>IF(+NFL!$F66="Arizona",+NFL!Q66,IF(+NFL!$H66="Arizona",+NFL!Q66,0))</f>
        <v>16</v>
      </c>
      <c r="R7" s="397" t="str">
        <f>IF(+NFL!$F66="Arizona",+NFL!R66,IF(+NFL!$H66="Arizona",+NFL!R66,0))</f>
        <v>Arizona</v>
      </c>
      <c r="S7" s="396" t="str">
        <f>IF(+NFL!$F66="Arizona",+NFL!S66,IF(+NFL!$H66="Arizona",+NFL!S66,0))</f>
        <v>Carolina</v>
      </c>
      <c r="T7" s="397" t="str">
        <f>IF(+NFL!$F66="Arizona",+NFL!T66,IF(+NFL!$H66="Arizona",+NFL!T66,0))</f>
        <v>Arizona</v>
      </c>
      <c r="U7" s="396" t="str">
        <f>IF(+NFL!$F66="Arizona",+NFL!U66,IF(+NFL!$H66="Arizona",+NFL!U66,0))</f>
        <v>W</v>
      </c>
      <c r="V7" s="397">
        <f>IF(+NFL!$F36="Arizona",+NFL!#REF!,IF(+NFL!$H36="Arizona",+NFL!#REF!,0))</f>
        <v>0</v>
      </c>
      <c r="W7" s="396">
        <f>IF(+NFL!$F36="Arizona",+NFL!#REF!,IF(+NFL!$H36="Arizona",+NFL!#REF!,0))</f>
        <v>0</v>
      </c>
      <c r="X7" s="397">
        <f>IF(+NFL!$F36="Arizona",+NFL!#REF!,IF(+NFL!$H36="Arizona",+NFL!#REF!,0))</f>
        <v>0</v>
      </c>
      <c r="Y7" s="396">
        <f>IF(+NFL!$F36="Arizona",+NFL!#REF!,IF(+NFL!$H36="Arizona",+NFL!#REF!,0))</f>
        <v>0</v>
      </c>
      <c r="Z7" s="397">
        <f>IF(+NFL!$F36="Arizona",+NFL!#REF!,IF(+NFL!$H36="Arizona",+NFL!#REF!,0))</f>
        <v>0</v>
      </c>
      <c r="AA7" s="396">
        <f>IF(+NFL!$F36="Arizona",+NFL!#REF!,IF(+NFL!$H36="Arizona",+NFL!#REF!,0))</f>
        <v>0</v>
      </c>
      <c r="AB7" s="87">
        <f>IF(+NFL!$F36="Arizona",+NFL!#REF!,IF(+NFL!$H36="Arizona",+NFL!#REF!,0))</f>
        <v>0</v>
      </c>
      <c r="AC7" s="120">
        <f>IF(+NFL!$F36="Arizona",+NFL!#REF!,IF(+NFL!$H36="Arizona",+NFL!#REF!,0))</f>
        <v>0</v>
      </c>
      <c r="AD7" s="353">
        <f>IF(+NFL!$F36="Arizona",+NFL!#REF!,IF(+NFL!$H36="Arizona",+NFL!#REF!,0))</f>
        <v>0</v>
      </c>
      <c r="AE7" s="379">
        <f>IF(+NFL!$F36="Arizona",+NFL!#REF!,IF(+NFL!$H36="Arizona",+NFL!#REF!,0))</f>
        <v>0</v>
      </c>
      <c r="AF7" s="353">
        <f>IF(+NFL!$F36="Arizona",+NFL!#REF!,IF(+NFL!$H36="Arizona",+NFL!#REF!,0))</f>
        <v>0</v>
      </c>
      <c r="AG7" s="379">
        <f>IF(+NFL!$F36="Arizona",+NFL!#REF!,IF(+NFL!$H36="Arizona",+NFL!#REF!,0))</f>
        <v>0</v>
      </c>
      <c r="AH7" s="353">
        <f>IF(+NFL!$F36="Arizona",+NFL!#REF!,IF(+NFL!$H36="Arizona",+NFL!#REF!,0))</f>
        <v>0</v>
      </c>
      <c r="AI7" s="379">
        <f>IF(+NFL!$F36="Arizona",+NFL!#REF!,IF(+NFL!$H36="Arizona",+NFL!#REF!,0))</f>
        <v>0</v>
      </c>
      <c r="AJ7" s="353">
        <f>IF(+NFL!$F36="Arizona",+NFL!#REF!,IF(+NFL!$H36="Arizona",+NFL!#REF!,0))</f>
        <v>0</v>
      </c>
      <c r="AK7" s="379">
        <f>IF(+NFL!$F36="Arizona",+NFL!#REF!,IF(+NFL!$H36="Arizona",+NFL!#REF!,0))</f>
        <v>0</v>
      </c>
      <c r="AL7" s="57">
        <f>IF(+NFL!$F36="Arizona",+NFL!#REF!,IF(+NFL!$H36="Arizona",+NFL!#REF!,0))</f>
        <v>0</v>
      </c>
      <c r="AM7" s="58">
        <f>IF(+NFL!$F36="Arizona",+NFL!#REF!,IF(+NFL!$H36="Arizona",+NFL!#REF!,0))</f>
        <v>0</v>
      </c>
      <c r="AN7" s="57">
        <f>IF(+NFL!$F36="Arizona",+NFL!#REF!,IF(+NFL!$H36="Arizona",+NFL!#REF!,0))</f>
        <v>0</v>
      </c>
      <c r="AO7" s="59">
        <f>IF(+NFL!$F36="Arizona",+NFL!#REF!,IF(+NFL!$H36="Arizona",+NFL!#REF!,0))</f>
        <v>0</v>
      </c>
      <c r="AP7" s="348">
        <f>IF(+NFL!$F36="Arizona",+NFL!#REF!,IF(+NFL!$H36="Arizona",+NFL!#REF!,0))</f>
        <v>0</v>
      </c>
      <c r="AQ7" s="48">
        <f>IF(+NFL!$F36="Arizona",+NFL!#REF!,IF(+NFL!$H36="Arizona",+NFL!#REF!,0))</f>
        <v>0</v>
      </c>
      <c r="AR7" s="57">
        <f>IF(+NFL!$F36="Arizona",+NFL!#REF!,IF(+NFL!$H36="Arizona",+NFL!#REF!,0))</f>
        <v>0</v>
      </c>
      <c r="AS7" s="64">
        <f>IF(+NFL!$F36="Arizona",+NFL!#REF!,IF(+NFL!$H36="Arizona",+NFL!#REF!,0))</f>
        <v>0</v>
      </c>
      <c r="AT7" s="64">
        <f>IF(+NFL!$F36="Arizona",+NFL!#REF!,IF(+NFL!$H36="Arizona",+NFL!#REF!,0))</f>
        <v>0</v>
      </c>
      <c r="AU7" s="57">
        <f>IF(+NFL!$F36="Arizona",+NFL!#REF!,IF(+NFL!$H36="Arizona",+NFL!#REF!,0))</f>
        <v>0</v>
      </c>
      <c r="AV7" s="64">
        <f>IF(+NFL!$F36="Arizona",+NFL!#REF!,IF(+NFL!$H36="Arizona",+NFL!#REF!,0))</f>
        <v>0</v>
      </c>
      <c r="AW7" s="46">
        <f>IF(+NFL!$F36="Arizona",+NFL!#REF!,IF(+NFL!$H36="Arizona",+NFL!#REF!,0))</f>
        <v>0</v>
      </c>
      <c r="AX7" s="64">
        <f>IF(+NFL!$F36="Arizona",+NFL!#REF!,IF(+NFL!$H36="Arizona",+NFL!#REF!,0))</f>
        <v>0</v>
      </c>
      <c r="AY7" s="57">
        <f>IF(+NFL!$F36="Arizona",+NFL!#REF!,IF(+NFL!$H36="Arizona",+NFL!#REF!,0))</f>
        <v>0</v>
      </c>
      <c r="AZ7" s="64">
        <f>IF(+NFL!$F36="Arizona",+NFL!#REF!,IF(+NFL!$H36="Arizona",+NFL!#REF!,0))</f>
        <v>0</v>
      </c>
      <c r="BA7" s="46">
        <f>IF(+NFL!$F36="Arizona",+NFL!#REF!,IF(+NFL!$H36="Arizona",+NFL!#REF!,0))</f>
        <v>0</v>
      </c>
      <c r="BB7" s="46">
        <f>IF(+NFL!$F36="Arizona",+NFL!#REF!,IF(+NFL!$H36="Arizona",+NFL!#REF!,0))</f>
        <v>0</v>
      </c>
      <c r="BC7" s="403">
        <f>IF(+NFL!$F36="Arizona",+NFL!#REF!,IF(+NFL!$H36="Arizona",+NFL!#REF!,0))</f>
        <v>0</v>
      </c>
      <c r="BD7" s="57">
        <f>IF(+NFL!$F36="Arizona",+NFL!#REF!,IF(+NFL!$H36="Arizona",+NFL!#REF!,0))</f>
        <v>0</v>
      </c>
      <c r="BE7" s="64">
        <f>IF(+NFL!$F36="Arizona",+NFL!#REF!,IF(+NFL!$H36="Arizona",+NFL!#REF!,0))</f>
        <v>0</v>
      </c>
      <c r="BF7" s="64">
        <f>IF(+NFL!$F36="Arizona",+NFL!#REF!,IF(+NFL!$H36="Arizona",+NFL!#REF!,0))</f>
        <v>0</v>
      </c>
      <c r="BG7" s="57">
        <f>IF(+NFL!$F36="Arizona",+NFL!#REF!,IF(+NFL!$H36="Arizona",+NFL!#REF!,0))</f>
        <v>0</v>
      </c>
      <c r="BH7" s="64">
        <f>IF(+NFL!$F36="Arizona",+NFL!#REF!,IF(+NFL!$H36="Arizona",+NFL!#REF!,0))</f>
        <v>0</v>
      </c>
      <c r="BI7" s="46">
        <f>IF(+NFL!$F36="Arizona",+NFL!#REF!,IF(+NFL!$H36="Arizona",+NFL!#REF!,0))</f>
        <v>0</v>
      </c>
      <c r="BJ7" s="87">
        <f>IF(+NFL!$F36="Arizona",+NFL!#REF!,IF(+NFL!$H36="Arizona",+NFL!#REF!,0))</f>
        <v>0</v>
      </c>
      <c r="BK7" s="120">
        <f>IF(+NFL!$F36="Arizona",+NFL!#REF!,IF(+NFL!$H36="Arizona",+NFL!#REF!,0))</f>
        <v>0</v>
      </c>
    </row>
    <row r="8" spans="1:69" x14ac:dyDescent="0.8">
      <c r="A8" s="46">
        <f>IF(+NFL!$F85="Arizona",+NFL!A85,IF(+NFL!$H85="Arizona",+NFL!A85,0))</f>
        <v>5</v>
      </c>
      <c r="B8" s="46" t="str">
        <f>IF(+NFL!$F85="Arizona",+NFL!B85,IF(+NFL!$H85="Arizona",+NFL!B85,0))</f>
        <v>Sun</v>
      </c>
      <c r="C8" s="62">
        <f>IF(+NFL!$F85="Arizona",+NFL!C85,IF(+NFL!$H85="Arizona",+NFL!C85,0))</f>
        <v>44843</v>
      </c>
      <c r="D8" s="490">
        <f>IF(+NFL!$F85="Arizona",+NFL!D85,IF(+NFL!$H85="Arizona",+NFL!D85,0))</f>
        <v>0.66666666666666663</v>
      </c>
      <c r="E8" s="46" t="str">
        <f>IF(+NFL!$F85="Arizona",+NFL!E85,IF(+NFL!$H85="Arizona",+NFL!E85,0))</f>
        <v>Fox</v>
      </c>
      <c r="F8" s="127" t="str">
        <f>IF(+NFL!$F85="Arizona",+NFL!F85,IF(+NFL!$H85="Arizona",+NFL!F85,0))</f>
        <v>Philadelphia</v>
      </c>
      <c r="G8" s="46" t="str">
        <f>IF(+NFL!$F85="Arizona",+NFL!G85,IF(+NFL!$H85="Arizona",+NFL!G85,0))</f>
        <v>NFCE</v>
      </c>
      <c r="H8" s="127" t="str">
        <f>IF(+NFL!$F85="Arizona",+NFL!H85,IF(+NFL!$H85="Arizona",+NFL!H85,0))</f>
        <v>Arizona</v>
      </c>
      <c r="I8" s="46" t="str">
        <f>IF(+NFL!$F85="Arizona",+NFL!I85,IF(+NFL!$H85="Arizona",+NFL!I85,0))</f>
        <v>NFCW</v>
      </c>
      <c r="J8" s="353" t="str">
        <f>IF(+NFL!$F85="Arizona",+NFL!J85,IF(+NFL!$H85="Arizona",+NFL!J85,0))</f>
        <v>Philadelphia</v>
      </c>
      <c r="K8" s="494" t="str">
        <f>IF(+NFL!$F85="Arizona",+NFL!K85,IF(+NFL!$H85="Arizona",+NFL!K85,0))</f>
        <v>Arizona</v>
      </c>
      <c r="L8" s="384">
        <f>IF(+NFL!$F85="Arizona",+NFL!L85,IF(+NFL!$H85="Arizona",+NFL!L85,0))</f>
        <v>5.5</v>
      </c>
      <c r="M8" s="385">
        <f>IF(+NFL!$F85="Arizona",+NFL!M85,IF(+NFL!$H85="Arizona",+NFL!M85,0))</f>
        <v>49</v>
      </c>
      <c r="N8" s="394" t="str">
        <f>IF(+NFL!$F85="Arizona",+NFL!N85,IF(+NFL!$H85="Arizona",+NFL!N85,0))</f>
        <v>Philadelphia</v>
      </c>
      <c r="O8" s="395">
        <f>IF(+NFL!$F85="Arizona",+NFL!O85,IF(+NFL!$H85="Arizona",+NFL!O85,0))</f>
        <v>20</v>
      </c>
      <c r="P8" s="394" t="str">
        <f>IF(+NFL!$F85="Arizona",+NFL!P85,IF(+NFL!$H85="Arizona",+NFL!P85,0))</f>
        <v>Arizona</v>
      </c>
      <c r="Q8" s="396">
        <f>IF(+NFL!$F85="Arizona",+NFL!Q85,IF(+NFL!$H85="Arizona",+NFL!Q85,0))</f>
        <v>17</v>
      </c>
      <c r="R8" s="397" t="str">
        <f>IF(+NFL!$F85="Arizona",+NFL!R85,IF(+NFL!$H85="Arizona",+NFL!R85,0))</f>
        <v>Arizona</v>
      </c>
      <c r="S8" s="396" t="str">
        <f>IF(+NFL!$F85="Arizona",+NFL!S85,IF(+NFL!$H85="Arizona",+NFL!S85,0))</f>
        <v>Philadelphia</v>
      </c>
      <c r="T8" s="397" t="str">
        <f>IF(+NFL!$F85="Arizona",+NFL!T85,IF(+NFL!$H85="Arizona",+NFL!T85,0))</f>
        <v>Arizona</v>
      </c>
      <c r="U8" s="396" t="str">
        <f>IF(+NFL!$F85="Arizona",+NFL!U85,IF(+NFL!$H85="Arizona",+NFL!U85,0))</f>
        <v>W</v>
      </c>
      <c r="V8" s="397">
        <f>IF(+NFL!$F57="Arizona",+NFL!#REF!,IF(+NFL!$H57="Arizona",+NFL!#REF!,0))</f>
        <v>0</v>
      </c>
      <c r="W8" s="396">
        <f>IF(+NFL!$F57="Arizona",+NFL!#REF!,IF(+NFL!$H57="Arizona",+NFL!#REF!,0))</f>
        <v>0</v>
      </c>
      <c r="X8" s="397">
        <f>IF(+NFL!$F57="Arizona",+NFL!#REF!,IF(+NFL!$H57="Arizona",+NFL!#REF!,0))</f>
        <v>0</v>
      </c>
      <c r="Y8" s="396">
        <f>IF(+NFL!$F57="Arizona",+NFL!#REF!,IF(+NFL!$H57="Arizona",+NFL!#REF!,0))</f>
        <v>0</v>
      </c>
      <c r="Z8" s="397">
        <f>IF(+NFL!$F57="Arizona",+NFL!#REF!,IF(+NFL!$H57="Arizona",+NFL!#REF!,0))</f>
        <v>0</v>
      </c>
      <c r="AA8" s="396">
        <f>IF(+NFL!$F57="Arizona",+NFL!#REF!,IF(+NFL!$H57="Arizona",+NFL!#REF!,0))</f>
        <v>0</v>
      </c>
      <c r="AB8" s="87">
        <f>IF(+NFL!$F57="Arizona",+NFL!#REF!,IF(+NFL!$H57="Arizona",+NFL!#REF!,0))</f>
        <v>0</v>
      </c>
      <c r="AC8" s="120">
        <f>IF(+NFL!$F57="Arizona",+NFL!#REF!,IF(+NFL!$H57="Arizona",+NFL!#REF!,0))</f>
        <v>0</v>
      </c>
      <c r="AD8" s="353">
        <f>IF(+NFL!$F57="Arizona",+NFL!#REF!,IF(+NFL!$H57="Arizona",+NFL!#REF!,0))</f>
        <v>0</v>
      </c>
      <c r="AE8" s="379">
        <f>IF(+NFL!$F57="Arizona",+NFL!#REF!,IF(+NFL!$H57="Arizona",+NFL!#REF!,0))</f>
        <v>0</v>
      </c>
      <c r="AF8" s="353">
        <f>IF(+NFL!$F57="Arizona",+NFL!#REF!,IF(+NFL!$H57="Arizona",+NFL!#REF!,0))</f>
        <v>0</v>
      </c>
      <c r="AG8" s="379">
        <f>IF(+NFL!$F57="Arizona",+NFL!#REF!,IF(+NFL!$H57="Arizona",+NFL!#REF!,0))</f>
        <v>0</v>
      </c>
      <c r="AH8" s="353">
        <f>IF(+NFL!$F57="Arizona",+NFL!#REF!,IF(+NFL!$H57="Arizona",+NFL!#REF!,0))</f>
        <v>0</v>
      </c>
      <c r="AI8" s="379">
        <f>IF(+NFL!$F57="Arizona",+NFL!#REF!,IF(+NFL!$H57="Arizona",+NFL!#REF!,0))</f>
        <v>0</v>
      </c>
      <c r="AJ8" s="353">
        <f>IF(+NFL!$F57="Arizona",+NFL!#REF!,IF(+NFL!$H57="Arizona",+NFL!#REF!,0))</f>
        <v>0</v>
      </c>
      <c r="AK8" s="379">
        <f>IF(+NFL!$F57="Arizona",+NFL!#REF!,IF(+NFL!$H57="Arizona",+NFL!#REF!,0))</f>
        <v>0</v>
      </c>
      <c r="AL8" s="57">
        <f>IF(+NFL!$F57="Arizona",+NFL!#REF!,IF(+NFL!$H57="Arizona",+NFL!#REF!,0))</f>
        <v>0</v>
      </c>
      <c r="AM8" s="58">
        <f>IF(+NFL!$F57="Arizona",+NFL!#REF!,IF(+NFL!$H57="Arizona",+NFL!#REF!,0))</f>
        <v>0</v>
      </c>
      <c r="AN8" s="57">
        <f>IF(+NFL!$F57="Arizona",+NFL!#REF!,IF(+NFL!$H57="Arizona",+NFL!#REF!,0))</f>
        <v>0</v>
      </c>
      <c r="AO8" s="59">
        <f>IF(+NFL!$F57="Arizona",+NFL!#REF!,IF(+NFL!$H57="Arizona",+NFL!#REF!,0))</f>
        <v>0</v>
      </c>
      <c r="AP8" s="348">
        <f>IF(+NFL!$F57="Arizona",+NFL!#REF!,IF(+NFL!$H57="Arizona",+NFL!#REF!,0))</f>
        <v>0</v>
      </c>
      <c r="AQ8" s="48">
        <f>IF(+NFL!$F57="Arizona",+NFL!#REF!,IF(+NFL!$H57="Arizona",+NFL!#REF!,0))</f>
        <v>0</v>
      </c>
      <c r="AR8" s="57">
        <f>IF(+NFL!$F57="Arizona",+NFL!#REF!,IF(+NFL!$H57="Arizona",+NFL!#REF!,0))</f>
        <v>0</v>
      </c>
      <c r="AS8" s="64">
        <f>IF(+NFL!$F57="Arizona",+NFL!#REF!,IF(+NFL!$H57="Arizona",+NFL!#REF!,0))</f>
        <v>0</v>
      </c>
      <c r="AT8" s="64">
        <f>IF(+NFL!$F57="Arizona",+NFL!#REF!,IF(+NFL!$H57="Arizona",+NFL!#REF!,0))</f>
        <v>0</v>
      </c>
      <c r="AU8" s="57">
        <f>IF(+NFL!$F57="Arizona",+NFL!#REF!,IF(+NFL!$H57="Arizona",+NFL!#REF!,0))</f>
        <v>0</v>
      </c>
      <c r="AV8" s="64">
        <f>IF(+NFL!$F57="Arizona",+NFL!#REF!,IF(+NFL!$H57="Arizona",+NFL!#REF!,0))</f>
        <v>0</v>
      </c>
      <c r="AW8" s="46">
        <f>IF(+NFL!$F57="Arizona",+NFL!#REF!,IF(+NFL!$H57="Arizona",+NFL!#REF!,0))</f>
        <v>0</v>
      </c>
      <c r="AX8" s="64">
        <f>IF(+NFL!$F57="Arizona",+NFL!#REF!,IF(+NFL!$H57="Arizona",+NFL!#REF!,0))</f>
        <v>0</v>
      </c>
      <c r="AY8" s="57">
        <f>IF(+NFL!$F57="Arizona",+NFL!#REF!,IF(+NFL!$H57="Arizona",+NFL!#REF!,0))</f>
        <v>0</v>
      </c>
      <c r="AZ8" s="64">
        <f>IF(+NFL!$F57="Arizona",+NFL!#REF!,IF(+NFL!$H57="Arizona",+NFL!#REF!,0))</f>
        <v>0</v>
      </c>
      <c r="BA8" s="46">
        <f>IF(+NFL!$F57="Arizona",+NFL!#REF!,IF(+NFL!$H57="Arizona",+NFL!#REF!,0))</f>
        <v>0</v>
      </c>
      <c r="BB8" s="46">
        <f>IF(+NFL!$F57="Arizona",+NFL!#REF!,IF(+NFL!$H57="Arizona",+NFL!#REF!,0))</f>
        <v>0</v>
      </c>
      <c r="BC8" s="403">
        <f>IF(+NFL!$F57="Arizona",+NFL!#REF!,IF(+NFL!$H57="Arizona",+NFL!#REF!,0))</f>
        <v>0</v>
      </c>
      <c r="BD8" s="57">
        <f>IF(+NFL!$F57="Arizona",+NFL!#REF!,IF(+NFL!$H57="Arizona",+NFL!#REF!,0))</f>
        <v>0</v>
      </c>
      <c r="BE8" s="64">
        <f>IF(+NFL!$F57="Arizona",+NFL!#REF!,IF(+NFL!$H57="Arizona",+NFL!#REF!,0))</f>
        <v>0</v>
      </c>
      <c r="BF8" s="64">
        <f>IF(+NFL!$F57="Arizona",+NFL!#REF!,IF(+NFL!$H57="Arizona",+NFL!#REF!,0))</f>
        <v>0</v>
      </c>
      <c r="BG8" s="57">
        <f>IF(+NFL!$F57="Arizona",+NFL!#REF!,IF(+NFL!$H57="Arizona",+NFL!#REF!,0))</f>
        <v>0</v>
      </c>
      <c r="BH8" s="64">
        <f>IF(+NFL!$F57="Arizona",+NFL!#REF!,IF(+NFL!$H57="Arizona",+NFL!#REF!,0))</f>
        <v>0</v>
      </c>
      <c r="BI8" s="46">
        <f>IF(+NFL!$F57="Arizona",+NFL!#REF!,IF(+NFL!$H57="Arizona",+NFL!#REF!,0))</f>
        <v>0</v>
      </c>
      <c r="BJ8" s="87">
        <f>IF(+NFL!$F57="Arizona",+NFL!#REF!,IF(+NFL!$H57="Arizona",+NFL!#REF!,0))</f>
        <v>0</v>
      </c>
      <c r="BK8" s="120">
        <f>IF(+NFL!$F57="Arizona",+NFL!#REF!,IF(+NFL!$H57="Arizona",+NFL!#REF!,0))</f>
        <v>0</v>
      </c>
    </row>
    <row r="9" spans="1:69" x14ac:dyDescent="0.8">
      <c r="A9" s="46">
        <f>IF(+NFL!$F99="Arizona",+NFL!A99,IF(+NFL!$H99="Arizona",+NFL!A99,0))</f>
        <v>6</v>
      </c>
      <c r="B9" s="46" t="str">
        <f>IF(+NFL!$F99="Arizona",+NFL!B99,IF(+NFL!$H99="Arizona",+NFL!B99,0))</f>
        <v>Sun</v>
      </c>
      <c r="C9" s="62">
        <f>IF(+NFL!$F99="Arizona",+NFL!C99,IF(+NFL!$H99="Arizona",+NFL!C99,0))</f>
        <v>44850</v>
      </c>
      <c r="D9" s="490">
        <f>IF(+NFL!$F99="Arizona",+NFL!D99,IF(+NFL!$H99="Arizona",+NFL!D99,0))</f>
        <v>0.66666666666666663</v>
      </c>
      <c r="E9" s="46" t="str">
        <f>IF(+NFL!$F99="Arizona",+NFL!E99,IF(+NFL!$H99="Arizona",+NFL!E99,0))</f>
        <v>Fox</v>
      </c>
      <c r="F9" s="127" t="str">
        <f>IF(+NFL!$F99="Arizona",+NFL!F99,IF(+NFL!$H99="Arizona",+NFL!F99,0))</f>
        <v>Arizona</v>
      </c>
      <c r="G9" s="46" t="str">
        <f>IF(+NFL!$F99="Arizona",+NFL!G99,IF(+NFL!$H99="Arizona",+NFL!G99,0))</f>
        <v>NFCW</v>
      </c>
      <c r="H9" s="127" t="str">
        <f>IF(+NFL!$F99="Arizona",+NFL!H99,IF(+NFL!$H99="Arizona",+NFL!H99,0))</f>
        <v>Seattle</v>
      </c>
      <c r="I9" s="46" t="str">
        <f>IF(+NFL!$F99="Arizona",+NFL!I99,IF(+NFL!$H99="Arizona",+NFL!I99,0))</f>
        <v>NFCW</v>
      </c>
      <c r="J9" s="353" t="str">
        <f>IF(+NFL!$F99="Arizona",+NFL!J99,IF(+NFL!$H99="Arizona",+NFL!J99,0))</f>
        <v>Arizona</v>
      </c>
      <c r="K9" s="494" t="str">
        <f>IF(+NFL!$F99="Arizona",+NFL!K99,IF(+NFL!$H99="Arizona",+NFL!K99,0))</f>
        <v>Seattle</v>
      </c>
      <c r="L9" s="384">
        <f>IF(+NFL!$F99="Arizona",+NFL!L99,IF(+NFL!$H99="Arizona",+NFL!L99,0))</f>
        <v>2.5</v>
      </c>
      <c r="M9" s="385">
        <f>IF(+NFL!$F99="Arizona",+NFL!M99,IF(+NFL!$H99="Arizona",+NFL!M99,0))</f>
        <v>50.5</v>
      </c>
      <c r="N9" s="394" t="str">
        <f>IF(+NFL!$F99="Arizona",+NFL!N99,IF(+NFL!$H99="Arizona",+NFL!N99,0))</f>
        <v>Seattle</v>
      </c>
      <c r="O9" s="395">
        <f>IF(+NFL!$F99="Arizona",+NFL!O99,IF(+NFL!$H99="Arizona",+NFL!O99,0))</f>
        <v>19</v>
      </c>
      <c r="P9" s="394" t="str">
        <f>IF(+NFL!$F99="Arizona",+NFL!P99,IF(+NFL!$H99="Arizona",+NFL!P99,0))</f>
        <v>Arizona</v>
      </c>
      <c r="Q9" s="396">
        <f>IF(+NFL!$F99="Arizona",+NFL!Q99,IF(+NFL!$H99="Arizona",+NFL!Q99,0))</f>
        <v>9</v>
      </c>
      <c r="R9" s="397" t="str">
        <f>IF(+NFL!$F99="Arizona",+NFL!R99,IF(+NFL!$H99="Arizona",+NFL!R99,0))</f>
        <v>Seattle</v>
      </c>
      <c r="S9" s="396" t="str">
        <f>IF(+NFL!$F99="Arizona",+NFL!S99,IF(+NFL!$H99="Arizona",+NFL!S99,0))</f>
        <v>Arizona</v>
      </c>
      <c r="T9" s="397" t="str">
        <f>IF(+NFL!$F99="Arizona",+NFL!T99,IF(+NFL!$H99="Arizona",+NFL!T99,0))</f>
        <v>Arizona</v>
      </c>
      <c r="U9" s="396" t="str">
        <f>IF(+NFL!$F99="Arizona",+NFL!U99,IF(+NFL!$H99="Arizona",+NFL!U99,0))</f>
        <v>L</v>
      </c>
      <c r="V9" s="397">
        <f>IF(+NFL!$F79="Arizona",+NFL!#REF!,IF(+NFL!$H79="Arizona",+NFL!#REF!,0))</f>
        <v>0</v>
      </c>
      <c r="W9" s="396">
        <f>IF(+NFL!$F79="Arizona",+NFL!#REF!,IF(+NFL!$H79="Arizona",+NFL!#REF!,0))</f>
        <v>0</v>
      </c>
      <c r="X9" s="397">
        <f>IF(+NFL!$F79="Arizona",+NFL!#REF!,IF(+NFL!$H79="Arizona",+NFL!#REF!,0))</f>
        <v>0</v>
      </c>
      <c r="Y9" s="396">
        <f>IF(+NFL!$F79="Arizona",+NFL!#REF!,IF(+NFL!$H79="Arizona",+NFL!#REF!,0))</f>
        <v>0</v>
      </c>
      <c r="Z9" s="397">
        <f>IF(+NFL!$F79="Arizona",+NFL!#REF!,IF(+NFL!$H79="Arizona",+NFL!#REF!,0))</f>
        <v>0</v>
      </c>
      <c r="AA9" s="396">
        <f>IF(+NFL!$F79="Arizona",+NFL!#REF!,IF(+NFL!$H79="Arizona",+NFL!#REF!,0))</f>
        <v>0</v>
      </c>
      <c r="AB9" s="87">
        <f>IF(+NFL!$F79="Arizona",+NFL!#REF!,IF(+NFL!$H79="Arizona",+NFL!#REF!,0))</f>
        <v>0</v>
      </c>
      <c r="AC9" s="120">
        <f>IF(+NFL!$F79="Arizona",+NFL!#REF!,IF(+NFL!$H79="Arizona",+NFL!#REF!,0))</f>
        <v>0</v>
      </c>
      <c r="AD9" s="353">
        <f>IF(+NFL!$F79="Arizona",+NFL!#REF!,IF(+NFL!$H79="Arizona",+NFL!#REF!,0))</f>
        <v>0</v>
      </c>
      <c r="AE9" s="379">
        <f>IF(+NFL!$F79="Arizona",+NFL!#REF!,IF(+NFL!$H79="Arizona",+NFL!#REF!,0))</f>
        <v>0</v>
      </c>
      <c r="AF9" s="353">
        <f>IF(+NFL!$F79="Arizona",+NFL!#REF!,IF(+NFL!$H79="Arizona",+NFL!#REF!,0))</f>
        <v>0</v>
      </c>
      <c r="AG9" s="379">
        <f>IF(+NFL!$F79="Arizona",+NFL!#REF!,IF(+NFL!$H79="Arizona",+NFL!#REF!,0))</f>
        <v>0</v>
      </c>
      <c r="AH9" s="353">
        <f>IF(+NFL!$F79="Arizona",+NFL!#REF!,IF(+NFL!$H79="Arizona",+NFL!#REF!,0))</f>
        <v>0</v>
      </c>
      <c r="AI9" s="379">
        <f>IF(+NFL!$F79="Arizona",+NFL!#REF!,IF(+NFL!$H79="Arizona",+NFL!#REF!,0))</f>
        <v>0</v>
      </c>
      <c r="AJ9" s="353">
        <f>IF(+NFL!$F79="Arizona",+NFL!#REF!,IF(+NFL!$H79="Arizona",+NFL!#REF!,0))</f>
        <v>0</v>
      </c>
      <c r="AK9" s="379">
        <f>IF(+NFL!$F79="Arizona",+NFL!#REF!,IF(+NFL!$H79="Arizona",+NFL!#REF!,0))</f>
        <v>0</v>
      </c>
      <c r="AL9" s="57">
        <f>IF(+NFL!$F79="Arizona",+NFL!#REF!,IF(+NFL!$H79="Arizona",+NFL!#REF!,0))</f>
        <v>0</v>
      </c>
      <c r="AM9" s="58">
        <f>IF(+NFL!$F79="Arizona",+NFL!#REF!,IF(+NFL!$H79="Arizona",+NFL!#REF!,0))</f>
        <v>0</v>
      </c>
      <c r="AN9" s="57">
        <f>IF(+NFL!$F79="Arizona",+NFL!#REF!,IF(+NFL!$H79="Arizona",+NFL!#REF!,0))</f>
        <v>0</v>
      </c>
      <c r="AO9" s="59">
        <f>IF(+NFL!$F79="Arizona",+NFL!#REF!,IF(+NFL!$H79="Arizona",+NFL!#REF!,0))</f>
        <v>0</v>
      </c>
      <c r="AP9" s="348">
        <f>IF(+NFL!$F79="Arizona",+NFL!#REF!,IF(+NFL!$H79="Arizona",+NFL!#REF!,0))</f>
        <v>0</v>
      </c>
      <c r="AQ9" s="48">
        <f>IF(+NFL!$F79="Arizona",+NFL!#REF!,IF(+NFL!$H79="Arizona",+NFL!#REF!,0))</f>
        <v>0</v>
      </c>
      <c r="AR9" s="57">
        <f>IF(+NFL!$F79="Arizona",+NFL!#REF!,IF(+NFL!$H79="Arizona",+NFL!#REF!,0))</f>
        <v>0</v>
      </c>
      <c r="AS9" s="64">
        <f>IF(+NFL!$F79="Arizona",+NFL!#REF!,IF(+NFL!$H79="Arizona",+NFL!#REF!,0))</f>
        <v>0</v>
      </c>
      <c r="AT9" s="64">
        <f>IF(+NFL!$F79="Arizona",+NFL!#REF!,IF(+NFL!$H79="Arizona",+NFL!#REF!,0))</f>
        <v>0</v>
      </c>
      <c r="AU9" s="57">
        <f>IF(+NFL!$F79="Arizona",+NFL!#REF!,IF(+NFL!$H79="Arizona",+NFL!#REF!,0))</f>
        <v>0</v>
      </c>
      <c r="AV9" s="64">
        <f>IF(+NFL!$F79="Arizona",+NFL!#REF!,IF(+NFL!$H79="Arizona",+NFL!#REF!,0))</f>
        <v>0</v>
      </c>
      <c r="AW9" s="46">
        <f>IF(+NFL!$F79="Arizona",+NFL!#REF!,IF(+NFL!$H79="Arizona",+NFL!#REF!,0))</f>
        <v>0</v>
      </c>
      <c r="AX9" s="64">
        <f>IF(+NFL!$F79="Arizona",+NFL!#REF!,IF(+NFL!$H79="Arizona",+NFL!#REF!,0))</f>
        <v>0</v>
      </c>
      <c r="AY9" s="57">
        <f>IF(+NFL!$F79="Arizona",+NFL!#REF!,IF(+NFL!$H79="Arizona",+NFL!#REF!,0))</f>
        <v>0</v>
      </c>
      <c r="AZ9" s="64">
        <f>IF(+NFL!$F79="Arizona",+NFL!#REF!,IF(+NFL!$H79="Arizona",+NFL!#REF!,0))</f>
        <v>0</v>
      </c>
      <c r="BA9" s="46">
        <f>IF(+NFL!$F79="Arizona",+NFL!#REF!,IF(+NFL!$H79="Arizona",+NFL!#REF!,0))</f>
        <v>0</v>
      </c>
      <c r="BB9" s="46">
        <f>IF(+NFL!$F79="Arizona",+NFL!#REF!,IF(+NFL!$H79="Arizona",+NFL!#REF!,0))</f>
        <v>0</v>
      </c>
      <c r="BC9" s="403">
        <f>IF(+NFL!$F79="Arizona",+NFL!#REF!,IF(+NFL!$H79="Arizona",+NFL!#REF!,0))</f>
        <v>0</v>
      </c>
      <c r="BD9" s="57">
        <f>IF(+NFL!$F79="Arizona",+NFL!#REF!,IF(+NFL!$H79="Arizona",+NFL!#REF!,0))</f>
        <v>0</v>
      </c>
      <c r="BE9" s="64">
        <f>IF(+NFL!$F79="Arizona",+NFL!#REF!,IF(+NFL!$H79="Arizona",+NFL!#REF!,0))</f>
        <v>0</v>
      </c>
      <c r="BF9" s="64">
        <f>IF(+NFL!$F79="Arizona",+NFL!#REF!,IF(+NFL!$H79="Arizona",+NFL!#REF!,0))</f>
        <v>0</v>
      </c>
      <c r="BG9" s="57">
        <f>IF(+NFL!$F79="Arizona",+NFL!#REF!,IF(+NFL!$H79="Arizona",+NFL!#REF!,0))</f>
        <v>0</v>
      </c>
      <c r="BH9" s="64">
        <f>IF(+NFL!$F79="Arizona",+NFL!#REF!,IF(+NFL!$H79="Arizona",+NFL!#REF!,0))</f>
        <v>0</v>
      </c>
      <c r="BI9" s="46">
        <f>IF(+NFL!$F79="Arizona",+NFL!#REF!,IF(+NFL!$H79="Arizona",+NFL!#REF!,0))</f>
        <v>0</v>
      </c>
      <c r="BJ9" s="87">
        <f>IF(+NFL!$F79="Arizona",+NFL!#REF!,IF(+NFL!$H79="Arizona",+NFL!#REF!,0))</f>
        <v>0</v>
      </c>
      <c r="BK9" s="120">
        <f>IF(+NFL!$F79="Arizona",+NFL!#REF!,IF(+NFL!$H79="Arizona",+NFL!#REF!,0))</f>
        <v>0</v>
      </c>
    </row>
    <row r="10" spans="1:69" x14ac:dyDescent="0.8">
      <c r="A10" s="46">
        <f>IF(+NFL!$F109="Arizona",+NFL!A109,IF(+NFL!$H109="Arizona",+NFL!A109,0))</f>
        <v>7</v>
      </c>
      <c r="B10" s="46" t="str">
        <f>IF(+NFL!$F109="Arizona",+NFL!B109,IF(+NFL!$H109="Arizona",+NFL!B109,0))</f>
        <v>Thurs</v>
      </c>
      <c r="C10" s="62">
        <f>IF(+NFL!$F109="Arizona",+NFL!C109,IF(+NFL!$H109="Arizona",+NFL!C109,0))</f>
        <v>44854</v>
      </c>
      <c r="D10" s="490">
        <f>IF(+NFL!$F109="Arizona",+NFL!D109,IF(+NFL!$H109="Arizona",+NFL!D109,0))</f>
        <v>0.84375</v>
      </c>
      <c r="E10" s="46" t="str">
        <f>IF(+NFL!$F109="Arizona",+NFL!E109,IF(+NFL!$H109="Arizona",+NFL!E109,0))</f>
        <v>NBC</v>
      </c>
      <c r="F10" s="127" t="str">
        <f>IF(+NFL!$F109="Arizona",+NFL!F109,IF(+NFL!$H109="Arizona",+NFL!F109,0))</f>
        <v>New Orleans</v>
      </c>
      <c r="G10" s="46" t="str">
        <f>IF(+NFL!$F109="Arizona",+NFL!G109,IF(+NFL!$H109="Arizona",+NFL!G109,0))</f>
        <v>NFCS</v>
      </c>
      <c r="H10" s="127" t="str">
        <f>IF(+NFL!$F109="Arizona",+NFL!H109,IF(+NFL!$H109="Arizona",+NFL!H109,0))</f>
        <v>Arizona</v>
      </c>
      <c r="I10" s="46" t="str">
        <f>IF(+NFL!$F109="Arizona",+NFL!I109,IF(+NFL!$H109="Arizona",+NFL!I109,0))</f>
        <v>NFCW</v>
      </c>
      <c r="J10" s="353" t="str">
        <f>IF(+NFL!$F109="Arizona",+NFL!J109,IF(+NFL!$H109="Arizona",+NFL!J109,0))</f>
        <v>Arizona</v>
      </c>
      <c r="K10" s="494" t="str">
        <f>IF(+NFL!$F109="Arizona",+NFL!K109,IF(+NFL!$H109="Arizona",+NFL!K109,0))</f>
        <v>New Orleans</v>
      </c>
      <c r="L10" s="384">
        <f>IF(+NFL!$F109="Arizona",+NFL!L109,IF(+NFL!$H109="Arizona",+NFL!L109,0))</f>
        <v>2</v>
      </c>
      <c r="M10" s="385">
        <f>IF(+NFL!$F109="Arizona",+NFL!M109,IF(+NFL!$H109="Arizona",+NFL!M109,0))</f>
        <v>44</v>
      </c>
      <c r="N10" s="394" t="str">
        <f>IF(+NFL!$F109="Arizona",+NFL!N109,IF(+NFL!$H109="Arizona",+NFL!N109,0))</f>
        <v>Arizona</v>
      </c>
      <c r="O10" s="395">
        <f>IF(+NFL!$F109="Arizona",+NFL!O109,IF(+NFL!$H109="Arizona",+NFL!O109,0))</f>
        <v>42</v>
      </c>
      <c r="P10" s="394" t="str">
        <f>IF(+NFL!$F109="Arizona",+NFL!P109,IF(+NFL!$H109="Arizona",+NFL!P109,0))</f>
        <v>New Orleans</v>
      </c>
      <c r="Q10" s="396">
        <f>IF(+NFL!$F109="Arizona",+NFL!Q109,IF(+NFL!$H109="Arizona",+NFL!Q109,0))</f>
        <v>34</v>
      </c>
      <c r="R10" s="397" t="str">
        <f>IF(+NFL!$F109="Arizona",+NFL!R109,IF(+NFL!$H109="Arizona",+NFL!R109,0))</f>
        <v>Arizona</v>
      </c>
      <c r="S10" s="396" t="str">
        <f>IF(+NFL!$F109="Arizona",+NFL!S109,IF(+NFL!$H109="Arizona",+NFL!S109,0))</f>
        <v>New Orleans</v>
      </c>
      <c r="T10" s="397" t="str">
        <f>IF(+NFL!$F109="Arizona",+NFL!T109,IF(+NFL!$H109="Arizona",+NFL!T109,0))</f>
        <v>Arizona</v>
      </c>
      <c r="U10" s="396" t="str">
        <f>IF(+NFL!$F109="Arizona",+NFL!U109,IF(+NFL!$H109="Arizona",+NFL!U109,0))</f>
        <v>W</v>
      </c>
      <c r="V10" s="397">
        <f>IF(+NFL!$F90="Arizona",+NFL!#REF!,IF(+NFL!$H90="Arizona",+NFL!#REF!,0))</f>
        <v>0</v>
      </c>
      <c r="W10" s="396">
        <f>IF(+NFL!$F90="Arizona",+NFL!#REF!,IF(+NFL!$H90="Arizona",+NFL!#REF!,0))</f>
        <v>0</v>
      </c>
      <c r="X10" s="397">
        <f>IF(+NFL!$F90="Arizona",+NFL!#REF!,IF(+NFL!$H90="Arizona",+NFL!#REF!,0))</f>
        <v>0</v>
      </c>
      <c r="Y10" s="396">
        <f>IF(+NFL!$F90="Arizona",+NFL!#REF!,IF(+NFL!$H90="Arizona",+NFL!#REF!,0))</f>
        <v>0</v>
      </c>
      <c r="Z10" s="397">
        <f>IF(+NFL!$F90="Arizona",+NFL!#REF!,IF(+NFL!$H90="Arizona",+NFL!#REF!,0))</f>
        <v>0</v>
      </c>
      <c r="AA10" s="396">
        <f>IF(+NFL!$F90="Arizona",+NFL!#REF!,IF(+NFL!$H90="Arizona",+NFL!#REF!,0))</f>
        <v>0</v>
      </c>
      <c r="AB10" s="87">
        <f>IF(+NFL!$F90="Arizona",+NFL!#REF!,IF(+NFL!$H90="Arizona",+NFL!#REF!,0))</f>
        <v>0</v>
      </c>
      <c r="AC10" s="120">
        <f>IF(+NFL!$F90="Arizona",+NFL!#REF!,IF(+NFL!$H90="Arizona",+NFL!#REF!,0))</f>
        <v>0</v>
      </c>
      <c r="AD10" s="353">
        <f>IF(+NFL!$F90="Arizona",+NFL!#REF!,IF(+NFL!$H90="Arizona",+NFL!#REF!,0))</f>
        <v>0</v>
      </c>
      <c r="AE10" s="379">
        <f>IF(+NFL!$F90="Arizona",+NFL!#REF!,IF(+NFL!$H90="Arizona",+NFL!#REF!,0))</f>
        <v>0</v>
      </c>
      <c r="AF10" s="353">
        <f>IF(+NFL!$F90="Arizona",+NFL!#REF!,IF(+NFL!$H90="Arizona",+NFL!#REF!,0))</f>
        <v>0</v>
      </c>
      <c r="AG10" s="379">
        <f>IF(+NFL!$F90="Arizona",+NFL!#REF!,IF(+NFL!$H90="Arizona",+NFL!#REF!,0))</f>
        <v>0</v>
      </c>
      <c r="AH10" s="353">
        <f>IF(+NFL!$F90="Arizona",+NFL!#REF!,IF(+NFL!$H90="Arizona",+NFL!#REF!,0))</f>
        <v>0</v>
      </c>
      <c r="AI10" s="379">
        <f>IF(+NFL!$F90="Arizona",+NFL!#REF!,IF(+NFL!$H90="Arizona",+NFL!#REF!,0))</f>
        <v>0</v>
      </c>
      <c r="AJ10" s="353">
        <f>IF(+NFL!$F90="Arizona",+NFL!#REF!,IF(+NFL!$H90="Arizona",+NFL!#REF!,0))</f>
        <v>0</v>
      </c>
      <c r="AK10" s="379">
        <f>IF(+NFL!$F90="Arizona",+NFL!#REF!,IF(+NFL!$H90="Arizona",+NFL!#REF!,0))</f>
        <v>0</v>
      </c>
      <c r="AL10" s="57">
        <f>IF(+NFL!$F90="Arizona",+NFL!#REF!,IF(+NFL!$H90="Arizona",+NFL!#REF!,0))</f>
        <v>0</v>
      </c>
      <c r="AM10" s="58">
        <f>IF(+NFL!$F90="Arizona",+NFL!#REF!,IF(+NFL!$H90="Arizona",+NFL!#REF!,0))</f>
        <v>0</v>
      </c>
      <c r="AN10" s="57">
        <f>IF(+NFL!$F90="Arizona",+NFL!#REF!,IF(+NFL!$H90="Arizona",+NFL!#REF!,0))</f>
        <v>0</v>
      </c>
      <c r="AO10" s="59">
        <f>IF(+NFL!$F90="Arizona",+NFL!#REF!,IF(+NFL!$H90="Arizona",+NFL!#REF!,0))</f>
        <v>0</v>
      </c>
      <c r="AP10" s="348">
        <f>IF(+NFL!$F90="Arizona",+NFL!#REF!,IF(+NFL!$H90="Arizona",+NFL!#REF!,0))</f>
        <v>0</v>
      </c>
      <c r="AQ10" s="48">
        <f>IF(+NFL!$F90="Arizona",+NFL!#REF!,IF(+NFL!$H90="Arizona",+NFL!#REF!,0))</f>
        <v>0</v>
      </c>
      <c r="AR10" s="57">
        <f>IF(+NFL!$F90="Arizona",+NFL!#REF!,IF(+NFL!$H90="Arizona",+NFL!#REF!,0))</f>
        <v>0</v>
      </c>
      <c r="AS10" s="64">
        <f>IF(+NFL!$F90="Arizona",+NFL!#REF!,IF(+NFL!$H90="Arizona",+NFL!#REF!,0))</f>
        <v>0</v>
      </c>
      <c r="AT10" s="64">
        <f>IF(+NFL!$F90="Arizona",+NFL!#REF!,IF(+NFL!$H90="Arizona",+NFL!#REF!,0))</f>
        <v>0</v>
      </c>
      <c r="AU10" s="57">
        <f>IF(+NFL!$F90="Arizona",+NFL!#REF!,IF(+NFL!$H90="Arizona",+NFL!#REF!,0))</f>
        <v>0</v>
      </c>
      <c r="AV10" s="64">
        <f>IF(+NFL!$F90="Arizona",+NFL!#REF!,IF(+NFL!$H90="Arizona",+NFL!#REF!,0))</f>
        <v>0</v>
      </c>
      <c r="AW10" s="46">
        <f>IF(+NFL!$F90="Arizona",+NFL!#REF!,IF(+NFL!$H90="Arizona",+NFL!#REF!,0))</f>
        <v>0</v>
      </c>
      <c r="AX10" s="64">
        <f>IF(+NFL!$F90="Arizona",+NFL!#REF!,IF(+NFL!$H90="Arizona",+NFL!#REF!,0))</f>
        <v>0</v>
      </c>
      <c r="AY10" s="57">
        <f>IF(+NFL!$F90="Arizona",+NFL!#REF!,IF(+NFL!$H90="Arizona",+NFL!#REF!,0))</f>
        <v>0</v>
      </c>
      <c r="AZ10" s="64">
        <f>IF(+NFL!$F90="Arizona",+NFL!#REF!,IF(+NFL!$H90="Arizona",+NFL!#REF!,0))</f>
        <v>0</v>
      </c>
      <c r="BA10" s="46">
        <f>IF(+NFL!$F90="Arizona",+NFL!#REF!,IF(+NFL!$H90="Arizona",+NFL!#REF!,0))</f>
        <v>0</v>
      </c>
      <c r="BB10" s="46">
        <f>IF(+NFL!$F90="Arizona",+NFL!#REF!,IF(+NFL!$H90="Arizona",+NFL!#REF!,0))</f>
        <v>0</v>
      </c>
      <c r="BC10" s="403">
        <f>IF(+NFL!$F90="Arizona",+NFL!#REF!,IF(+NFL!$H90="Arizona",+NFL!#REF!,0))</f>
        <v>0</v>
      </c>
      <c r="BD10" s="57">
        <f>IF(+NFL!$F90="Arizona",+NFL!#REF!,IF(+NFL!$H90="Arizona",+NFL!#REF!,0))</f>
        <v>0</v>
      </c>
      <c r="BE10" s="64">
        <f>IF(+NFL!$F90="Arizona",+NFL!#REF!,IF(+NFL!$H90="Arizona",+NFL!#REF!,0))</f>
        <v>0</v>
      </c>
      <c r="BF10" s="64">
        <f>IF(+NFL!$F90="Arizona",+NFL!#REF!,IF(+NFL!$H90="Arizona",+NFL!#REF!,0))</f>
        <v>0</v>
      </c>
      <c r="BG10" s="57">
        <f>IF(+NFL!$F90="Arizona",+NFL!#REF!,IF(+NFL!$H90="Arizona",+NFL!#REF!,0))</f>
        <v>0</v>
      </c>
      <c r="BH10" s="64">
        <f>IF(+NFL!$F90="Arizona",+NFL!#REF!,IF(+NFL!$H90="Arizona",+NFL!#REF!,0))</f>
        <v>0</v>
      </c>
      <c r="BI10" s="46">
        <f>IF(+NFL!$F90="Arizona",+NFL!#REF!,IF(+NFL!$H90="Arizona",+NFL!#REF!,0))</f>
        <v>0</v>
      </c>
      <c r="BJ10" s="87">
        <f>IF(+NFL!$F90="Arizona",+NFL!#REF!,IF(+NFL!$H90="Arizona",+NFL!#REF!,0))</f>
        <v>0</v>
      </c>
      <c r="BK10" s="120">
        <f>IF(+NFL!$F90="Arizona",+NFL!#REF!,IF(+NFL!$H90="Arizona",+NFL!#REF!,0))</f>
        <v>0</v>
      </c>
    </row>
    <row r="11" spans="1:69" x14ac:dyDescent="0.8">
      <c r="A11" s="46">
        <f>IF(+NFL!$F134="Arizona",+NFL!A134,IF(+NFL!$H134="Arizona",+NFL!A134,0))</f>
        <v>8</v>
      </c>
      <c r="B11" s="46" t="str">
        <f>IF(+NFL!$F134="Arizona",+NFL!B134,IF(+NFL!$H134="Arizona",+NFL!B134,0))</f>
        <v>Sun</v>
      </c>
      <c r="C11" s="62">
        <f>IF(+NFL!$F134="Arizona",+NFL!C134,IF(+NFL!$H134="Arizona",+NFL!C134,0))</f>
        <v>44864</v>
      </c>
      <c r="D11" s="490">
        <f>IF(+NFL!$F134="Arizona",+NFL!D134,IF(+NFL!$H134="Arizona",+NFL!D134,0))</f>
        <v>0.54166666666666663</v>
      </c>
      <c r="E11" s="46" t="str">
        <f>IF(+NFL!$F134="Arizona",+NFL!E134,IF(+NFL!$H134="Arizona",+NFL!E134,0))</f>
        <v>Fox</v>
      </c>
      <c r="F11" s="127" t="str">
        <f>IF(+NFL!$F134="Arizona",+NFL!F134,IF(+NFL!$H134="Arizona",+NFL!F134,0))</f>
        <v>Arizona</v>
      </c>
      <c r="G11" s="46" t="str">
        <f>IF(+NFL!$F134="Arizona",+NFL!G134,IF(+NFL!$H134="Arizona",+NFL!G134,0))</f>
        <v>NFCW</v>
      </c>
      <c r="H11" s="127" t="str">
        <f>IF(+NFL!$F134="Arizona",+NFL!H134,IF(+NFL!$H134="Arizona",+NFL!H134,0))</f>
        <v>Minnesota</v>
      </c>
      <c r="I11" s="46" t="str">
        <f>IF(+NFL!$F134="Arizona",+NFL!I134,IF(+NFL!$H134="Arizona",+NFL!I134,0))</f>
        <v>NFCN</v>
      </c>
      <c r="J11" s="353" t="str">
        <f>IF(+NFL!$F134="Arizona",+NFL!J134,IF(+NFL!$H134="Arizona",+NFL!J134,0))</f>
        <v>Minnesota</v>
      </c>
      <c r="K11" s="494" t="str">
        <f>IF(+NFL!$F134="Arizona",+NFL!K134,IF(+NFL!$H134="Arizona",+NFL!K134,0))</f>
        <v>Arizona</v>
      </c>
      <c r="L11" s="384">
        <f>IF(+NFL!$F134="Arizona",+NFL!L134,IF(+NFL!$H134="Arizona",+NFL!L134,0))</f>
        <v>3.5</v>
      </c>
      <c r="M11" s="385">
        <f>IF(+NFL!$F134="Arizona",+NFL!M134,IF(+NFL!$H134="Arizona",+NFL!M134,0))</f>
        <v>49</v>
      </c>
      <c r="N11" s="394" t="str">
        <f>IF(+NFL!$F134="Arizona",+NFL!N134,IF(+NFL!$H134="Arizona",+NFL!N134,0))</f>
        <v>Minnesota</v>
      </c>
      <c r="O11" s="395">
        <f>IF(+NFL!$F134="Arizona",+NFL!O134,IF(+NFL!$H134="Arizona",+NFL!O134,0))</f>
        <v>36</v>
      </c>
      <c r="P11" s="394" t="str">
        <f>IF(+NFL!$F134="Arizona",+NFL!P134,IF(+NFL!$H134="Arizona",+NFL!P134,0))</f>
        <v>Arizona</v>
      </c>
      <c r="Q11" s="396">
        <f>IF(+NFL!$F134="Arizona",+NFL!Q134,IF(+NFL!$H134="Arizona",+NFL!Q134,0))</f>
        <v>24</v>
      </c>
      <c r="R11" s="397" t="str">
        <f>IF(+NFL!$F134="Arizona",+NFL!R134,IF(+NFL!$H134="Arizona",+NFL!R134,0))</f>
        <v>Minnesota</v>
      </c>
      <c r="S11" s="396" t="str">
        <f>IF(+NFL!$F134="Arizona",+NFL!S134,IF(+NFL!$H134="Arizona",+NFL!S134,0))</f>
        <v>Arizona</v>
      </c>
      <c r="T11" s="397" t="str">
        <f>IF(+NFL!$F134="Arizona",+NFL!T134,IF(+NFL!$H134="Arizona",+NFL!T134,0))</f>
        <v>Minnesota</v>
      </c>
      <c r="U11" s="396" t="str">
        <f>IF(+NFL!$F134="Arizona",+NFL!U134,IF(+NFL!$H134="Arizona",+NFL!U134,0))</f>
        <v>W</v>
      </c>
      <c r="V11" s="397">
        <f>IF(+NFL!$F116="Arizona",+NFL!#REF!,IF(+NFL!$H116="Arizona",+NFL!#REF!,0))</f>
        <v>0</v>
      </c>
      <c r="W11" s="396">
        <f>IF(+NFL!$F116="Arizona",+NFL!#REF!,IF(+NFL!$H116="Arizona",+NFL!#REF!,0))</f>
        <v>0</v>
      </c>
      <c r="X11" s="397">
        <f>IF(+NFL!$F116="Arizona",+NFL!#REF!,IF(+NFL!$H116="Arizona",+NFL!#REF!,0))</f>
        <v>0</v>
      </c>
      <c r="Y11" s="396">
        <f>IF(+NFL!$F116="Arizona",+NFL!#REF!,IF(+NFL!$H116="Arizona",+NFL!#REF!,0))</f>
        <v>0</v>
      </c>
      <c r="Z11" s="397">
        <f>IF(+NFL!$F116="Arizona",+NFL!#REF!,IF(+NFL!$H116="Arizona",+NFL!#REF!,0))</f>
        <v>0</v>
      </c>
      <c r="AA11" s="396">
        <f>IF(+NFL!$F116="Arizona",+NFL!#REF!,IF(+NFL!$H116="Arizona",+NFL!#REF!,0))</f>
        <v>0</v>
      </c>
      <c r="AB11" s="87">
        <f>IF(+NFL!$F116="Arizona",+NFL!#REF!,IF(+NFL!$H116="Arizona",+NFL!#REF!,0))</f>
        <v>0</v>
      </c>
      <c r="AC11" s="120">
        <f>IF(+NFL!$F116="Arizona",+NFL!#REF!,IF(+NFL!$H116="Arizona",+NFL!#REF!,0))</f>
        <v>0</v>
      </c>
      <c r="AD11" s="353">
        <f>IF(+NFL!$F116="Arizona",+NFL!#REF!,IF(+NFL!$H116="Arizona",+NFL!#REF!,0))</f>
        <v>0</v>
      </c>
      <c r="AE11" s="379">
        <f>IF(+NFL!$F116="Arizona",+NFL!#REF!,IF(+NFL!$H116="Arizona",+NFL!#REF!,0))</f>
        <v>0</v>
      </c>
      <c r="AF11" s="353">
        <f>IF(+NFL!$F116="Arizona",+NFL!#REF!,IF(+NFL!$H116="Arizona",+NFL!#REF!,0))</f>
        <v>0</v>
      </c>
      <c r="AG11" s="379">
        <f>IF(+NFL!$F116="Arizona",+NFL!#REF!,IF(+NFL!$H116="Arizona",+NFL!#REF!,0))</f>
        <v>0</v>
      </c>
      <c r="AH11" s="353">
        <f>IF(+NFL!$F116="Arizona",+NFL!#REF!,IF(+NFL!$H116="Arizona",+NFL!#REF!,0))</f>
        <v>0</v>
      </c>
      <c r="AI11" s="379">
        <f>IF(+NFL!$F116="Arizona",+NFL!#REF!,IF(+NFL!$H116="Arizona",+NFL!#REF!,0))</f>
        <v>0</v>
      </c>
      <c r="AJ11" s="353">
        <f>IF(+NFL!$F116="Arizona",+NFL!#REF!,IF(+NFL!$H116="Arizona",+NFL!#REF!,0))</f>
        <v>0</v>
      </c>
      <c r="AK11" s="379">
        <f>IF(+NFL!$F116="Arizona",+NFL!#REF!,IF(+NFL!$H116="Arizona",+NFL!#REF!,0))</f>
        <v>0</v>
      </c>
      <c r="AL11" s="57">
        <f>IF(+NFL!$F116="Arizona",+NFL!#REF!,IF(+NFL!$H116="Arizona",+NFL!#REF!,0))</f>
        <v>0</v>
      </c>
      <c r="AM11" s="58">
        <f>IF(+NFL!$F116="Arizona",+NFL!#REF!,IF(+NFL!$H116="Arizona",+NFL!#REF!,0))</f>
        <v>0</v>
      </c>
      <c r="AN11" s="57">
        <f>IF(+NFL!$F116="Arizona",+NFL!#REF!,IF(+NFL!$H116="Arizona",+NFL!#REF!,0))</f>
        <v>0</v>
      </c>
      <c r="AO11" s="59">
        <f>IF(+NFL!$F116="Arizona",+NFL!#REF!,IF(+NFL!$H116="Arizona",+NFL!#REF!,0))</f>
        <v>0</v>
      </c>
      <c r="AP11" s="348">
        <f>IF(+NFL!$F116="Arizona",+NFL!#REF!,IF(+NFL!$H116="Arizona",+NFL!#REF!,0))</f>
        <v>0</v>
      </c>
      <c r="AQ11" s="48">
        <f>IF(+NFL!$F116="Arizona",+NFL!#REF!,IF(+NFL!$H116="Arizona",+NFL!#REF!,0))</f>
        <v>0</v>
      </c>
      <c r="AR11" s="57">
        <f>IF(+NFL!$F116="Arizona",+NFL!#REF!,IF(+NFL!$H116="Arizona",+NFL!#REF!,0))</f>
        <v>0</v>
      </c>
      <c r="AS11" s="64">
        <f>IF(+NFL!$F116="Arizona",+NFL!#REF!,IF(+NFL!$H116="Arizona",+NFL!#REF!,0))</f>
        <v>0</v>
      </c>
      <c r="AT11" s="64">
        <f>IF(+NFL!$F116="Arizona",+NFL!#REF!,IF(+NFL!$H116="Arizona",+NFL!#REF!,0))</f>
        <v>0</v>
      </c>
      <c r="AU11" s="57">
        <f>IF(+NFL!$F116="Arizona",+NFL!#REF!,IF(+NFL!$H116="Arizona",+NFL!#REF!,0))</f>
        <v>0</v>
      </c>
      <c r="AV11" s="64">
        <f>IF(+NFL!$F116="Arizona",+NFL!#REF!,IF(+NFL!$H116="Arizona",+NFL!#REF!,0))</f>
        <v>0</v>
      </c>
      <c r="AW11" s="46">
        <f>IF(+NFL!$F116="Arizona",+NFL!#REF!,IF(+NFL!$H116="Arizona",+NFL!#REF!,0))</f>
        <v>0</v>
      </c>
      <c r="AX11" s="64">
        <f>IF(+NFL!$F116="Arizona",+NFL!#REF!,IF(+NFL!$H116="Arizona",+NFL!#REF!,0))</f>
        <v>0</v>
      </c>
      <c r="AY11" s="57">
        <f>IF(+NFL!$F116="Arizona",+NFL!#REF!,IF(+NFL!$H116="Arizona",+NFL!#REF!,0))</f>
        <v>0</v>
      </c>
      <c r="AZ11" s="64">
        <f>IF(+NFL!$F116="Arizona",+NFL!#REF!,IF(+NFL!$H116="Arizona",+NFL!#REF!,0))</f>
        <v>0</v>
      </c>
      <c r="BA11" s="46">
        <f>IF(+NFL!$F116="Arizona",+NFL!#REF!,IF(+NFL!$H116="Arizona",+NFL!#REF!,0))</f>
        <v>0</v>
      </c>
      <c r="BB11" s="46">
        <f>IF(+NFL!$F116="Arizona",+NFL!#REF!,IF(+NFL!$H116="Arizona",+NFL!#REF!,0))</f>
        <v>0</v>
      </c>
      <c r="BC11" s="403">
        <f>IF(+NFL!$F116="Arizona",+NFL!#REF!,IF(+NFL!$H116="Arizona",+NFL!#REF!,0))</f>
        <v>0</v>
      </c>
      <c r="BD11" s="57">
        <f>IF(+NFL!$F116="Arizona",+NFL!#REF!,IF(+NFL!$H116="Arizona",+NFL!#REF!,0))</f>
        <v>0</v>
      </c>
      <c r="BE11" s="64">
        <f>IF(+NFL!$F116="Arizona",+NFL!#REF!,IF(+NFL!$H116="Arizona",+NFL!#REF!,0))</f>
        <v>0</v>
      </c>
      <c r="BF11" s="64">
        <f>IF(+NFL!$F116="Arizona",+NFL!#REF!,IF(+NFL!$H116="Arizona",+NFL!#REF!,0))</f>
        <v>0</v>
      </c>
      <c r="BG11" s="57">
        <f>IF(+NFL!$F116="Arizona",+NFL!#REF!,IF(+NFL!$H116="Arizona",+NFL!#REF!,0))</f>
        <v>0</v>
      </c>
      <c r="BH11" s="64">
        <f>IF(+NFL!$F116="Arizona",+NFL!#REF!,IF(+NFL!$H116="Arizona",+NFL!#REF!,0))</f>
        <v>0</v>
      </c>
      <c r="BI11" s="46">
        <f>IF(+NFL!$F116="Arizona",+NFL!#REF!,IF(+NFL!$H116="Arizona",+NFL!#REF!,0))</f>
        <v>0</v>
      </c>
      <c r="BJ11" s="87">
        <f>IF(+NFL!$F116="Arizona",+NFL!#REF!,IF(+NFL!$H116="Arizona",+NFL!#REF!,0))</f>
        <v>0</v>
      </c>
      <c r="BK11" s="120">
        <f>IF(+NFL!$F116="Arizona",+NFL!#REF!,IF(+NFL!$H116="Arizona",+NFL!#REF!,0))</f>
        <v>0</v>
      </c>
    </row>
    <row r="12" spans="1:69" x14ac:dyDescent="0.8">
      <c r="A12" s="46">
        <f>IF(+NFL!$F157="Arizona",+NFL!A157,IF(+NFL!$H157="Arizona",+NFL!A157,0))</f>
        <v>9</v>
      </c>
      <c r="B12" s="46" t="str">
        <f>IF(+NFL!$F157="Arizona",+NFL!B157,IF(+NFL!$H157="Arizona",+NFL!B157,0))</f>
        <v>Sun</v>
      </c>
      <c r="C12" s="62">
        <f>IF(+NFL!$F157="Arizona",+NFL!C157,IF(+NFL!$H157="Arizona",+NFL!C157,0))</f>
        <v>44871</v>
      </c>
      <c r="D12" s="490">
        <f>IF(+NFL!$F157="Arizona",+NFL!D157,IF(+NFL!$H157="Arizona",+NFL!D157,0))</f>
        <v>0.54166666666666663</v>
      </c>
      <c r="E12" s="46" t="str">
        <f>IF(+NFL!$F157="Arizona",+NFL!E157,IF(+NFL!$H157="Arizona",+NFL!E157,0))</f>
        <v>Fox</v>
      </c>
      <c r="F12" s="127" t="str">
        <f>IF(+NFL!$F157="Arizona",+NFL!F157,IF(+NFL!$H157="Arizona",+NFL!F157,0))</f>
        <v>Seattle</v>
      </c>
      <c r="G12" s="46" t="str">
        <f>IF(+NFL!$F157="Arizona",+NFL!G157,IF(+NFL!$H157="Arizona",+NFL!G157,0))</f>
        <v>NFCW</v>
      </c>
      <c r="H12" s="127" t="str">
        <f>IF(+NFL!$F157="Arizona",+NFL!H157,IF(+NFL!$H157="Arizona",+NFL!H157,0))</f>
        <v>Arizona</v>
      </c>
      <c r="I12" s="46" t="str">
        <f>IF(+NFL!$F157="Arizona",+NFL!I157,IF(+NFL!$H157="Arizona",+NFL!I157,0))</f>
        <v>NFCW</v>
      </c>
      <c r="J12" s="353" t="str">
        <f>IF(+NFL!$F157="Arizona",+NFL!J157,IF(+NFL!$H157="Arizona",+NFL!J157,0))</f>
        <v>Arizona</v>
      </c>
      <c r="K12" s="494" t="str">
        <f>IF(+NFL!$F157="Arizona",+NFL!K157,IF(+NFL!$H157="Arizona",+NFL!K157,0))</f>
        <v>Seattle</v>
      </c>
      <c r="L12" s="384">
        <f>IF(+NFL!$F157="Arizona",+NFL!L157,IF(+NFL!$H157="Arizona",+NFL!L157,0))</f>
        <v>2</v>
      </c>
      <c r="M12" s="385">
        <f>IF(+NFL!$F157="Arizona",+NFL!M157,IF(+NFL!$H157="Arizona",+NFL!M157,0))</f>
        <v>50.5</v>
      </c>
      <c r="N12" s="394" t="str">
        <f>IF(+NFL!$F157="Arizona",+NFL!N157,IF(+NFL!$H157="Arizona",+NFL!N157,0))</f>
        <v>Seattle</v>
      </c>
      <c r="O12" s="395">
        <f>IF(+NFL!$F157="Arizona",+NFL!O157,IF(+NFL!$H157="Arizona",+NFL!O157,0))</f>
        <v>31</v>
      </c>
      <c r="P12" s="394" t="str">
        <f>IF(+NFL!$F157="Arizona",+NFL!P157,IF(+NFL!$H157="Arizona",+NFL!P157,0))</f>
        <v>Arizona</v>
      </c>
      <c r="Q12" s="396">
        <f>IF(+NFL!$F157="Arizona",+NFL!Q157,IF(+NFL!$H157="Arizona",+NFL!Q157,0))</f>
        <v>21</v>
      </c>
      <c r="R12" s="397" t="str">
        <f>IF(+NFL!$F157="Arizona",+NFL!R157,IF(+NFL!$H157="Arizona",+NFL!R157,0))</f>
        <v>Seattle</v>
      </c>
      <c r="S12" s="396" t="str">
        <f>IF(+NFL!$F157="Arizona",+NFL!S157,IF(+NFL!$H157="Arizona",+NFL!S157,0))</f>
        <v>Arizona</v>
      </c>
      <c r="T12" s="397" t="str">
        <f>IF(+NFL!$F157="Arizona",+NFL!T157,IF(+NFL!$H157="Arizona",+NFL!T157,0))</f>
        <v>Arizona</v>
      </c>
      <c r="U12" s="396" t="str">
        <f>IF(+NFL!$F157="Arizona",+NFL!U157,IF(+NFL!$H157="Arizona",+NFL!U157,0))</f>
        <v>L</v>
      </c>
      <c r="V12" s="397">
        <f>IF(+NFL!$F135="Arizona",+NFL!#REF!,IF(+NFL!$H135="Arizona",+NFL!#REF!,0))</f>
        <v>0</v>
      </c>
      <c r="W12" s="396">
        <f>IF(+NFL!$F135="Arizona",+NFL!#REF!,IF(+NFL!$H135="Arizona",+NFL!#REF!,0))</f>
        <v>0</v>
      </c>
      <c r="X12" s="397">
        <f>IF(+NFL!$F135="Arizona",+NFL!#REF!,IF(+NFL!$H135="Arizona",+NFL!#REF!,0))</f>
        <v>0</v>
      </c>
      <c r="Y12" s="396">
        <f>IF(+NFL!$F135="Arizona",+NFL!#REF!,IF(+NFL!$H135="Arizona",+NFL!#REF!,0))</f>
        <v>0</v>
      </c>
      <c r="Z12" s="397">
        <f>IF(+NFL!$F135="Arizona",+NFL!#REF!,IF(+NFL!$H135="Arizona",+NFL!#REF!,0))</f>
        <v>0</v>
      </c>
      <c r="AA12" s="396">
        <f>IF(+NFL!$F135="Arizona",+NFL!#REF!,IF(+NFL!$H135="Arizona",+NFL!#REF!,0))</f>
        <v>0</v>
      </c>
      <c r="AB12" s="87">
        <f>IF(+NFL!$F135="Arizona",+NFL!#REF!,IF(+NFL!$H135="Arizona",+NFL!#REF!,0))</f>
        <v>0</v>
      </c>
      <c r="AC12" s="120">
        <f>IF(+NFL!$F135="Arizona",+NFL!#REF!,IF(+NFL!$H135="Arizona",+NFL!#REF!,0))</f>
        <v>0</v>
      </c>
      <c r="AD12" s="353">
        <f>IF(+NFL!$F135="Arizona",+NFL!#REF!,IF(+NFL!$H135="Arizona",+NFL!#REF!,0))</f>
        <v>0</v>
      </c>
      <c r="AE12" s="379">
        <f>IF(+NFL!$F135="Arizona",+NFL!#REF!,IF(+NFL!$H135="Arizona",+NFL!#REF!,0))</f>
        <v>0</v>
      </c>
      <c r="AF12" s="353">
        <f>IF(+NFL!$F135="Arizona",+NFL!#REF!,IF(+NFL!$H135="Arizona",+NFL!#REF!,0))</f>
        <v>0</v>
      </c>
      <c r="AG12" s="379">
        <f>IF(+NFL!$F135="Arizona",+NFL!#REF!,IF(+NFL!$H135="Arizona",+NFL!#REF!,0))</f>
        <v>0</v>
      </c>
      <c r="AH12" s="353">
        <f>IF(+NFL!$F135="Arizona",+NFL!#REF!,IF(+NFL!$H135="Arizona",+NFL!#REF!,0))</f>
        <v>0</v>
      </c>
      <c r="AI12" s="379">
        <f>IF(+NFL!$F135="Arizona",+NFL!#REF!,IF(+NFL!$H135="Arizona",+NFL!#REF!,0))</f>
        <v>0</v>
      </c>
      <c r="AJ12" s="353">
        <f>IF(+NFL!$F135="Arizona",+NFL!#REF!,IF(+NFL!$H135="Arizona",+NFL!#REF!,0))</f>
        <v>0</v>
      </c>
      <c r="AK12" s="379">
        <f>IF(+NFL!$F135="Arizona",+NFL!#REF!,IF(+NFL!$H135="Arizona",+NFL!#REF!,0))</f>
        <v>0</v>
      </c>
      <c r="AL12" s="57">
        <f>IF(+NFL!$F135="Arizona",+NFL!#REF!,IF(+NFL!$H135="Arizona",+NFL!#REF!,0))</f>
        <v>0</v>
      </c>
      <c r="AM12" s="58">
        <f>IF(+NFL!$F135="Arizona",+NFL!#REF!,IF(+NFL!$H135="Arizona",+NFL!#REF!,0))</f>
        <v>0</v>
      </c>
      <c r="AN12" s="57">
        <f>IF(+NFL!$F135="Arizona",+NFL!#REF!,IF(+NFL!$H135="Arizona",+NFL!#REF!,0))</f>
        <v>0</v>
      </c>
      <c r="AO12" s="59">
        <f>IF(+NFL!$F135="Arizona",+NFL!#REF!,IF(+NFL!$H135="Arizona",+NFL!#REF!,0))</f>
        <v>0</v>
      </c>
      <c r="AP12" s="348">
        <f>IF(+NFL!$F135="Arizona",+NFL!#REF!,IF(+NFL!$H135="Arizona",+NFL!#REF!,0))</f>
        <v>0</v>
      </c>
      <c r="AQ12" s="48">
        <f>IF(+NFL!$F135="Arizona",+NFL!#REF!,IF(+NFL!$H135="Arizona",+NFL!#REF!,0))</f>
        <v>0</v>
      </c>
      <c r="AR12" s="57">
        <f>IF(+NFL!$F135="Arizona",+NFL!#REF!,IF(+NFL!$H135="Arizona",+NFL!#REF!,0))</f>
        <v>0</v>
      </c>
      <c r="AS12" s="64">
        <f>IF(+NFL!$F135="Arizona",+NFL!#REF!,IF(+NFL!$H135="Arizona",+NFL!#REF!,0))</f>
        <v>0</v>
      </c>
      <c r="AT12" s="64">
        <f>IF(+NFL!$F135="Arizona",+NFL!#REF!,IF(+NFL!$H135="Arizona",+NFL!#REF!,0))</f>
        <v>0</v>
      </c>
      <c r="AU12" s="57">
        <f>IF(+NFL!$F135="Arizona",+NFL!#REF!,IF(+NFL!$H135="Arizona",+NFL!#REF!,0))</f>
        <v>0</v>
      </c>
      <c r="AV12" s="64">
        <f>IF(+NFL!$F135="Arizona",+NFL!#REF!,IF(+NFL!$H135="Arizona",+NFL!#REF!,0))</f>
        <v>0</v>
      </c>
      <c r="AW12" s="46">
        <f>IF(+NFL!$F135="Arizona",+NFL!#REF!,IF(+NFL!$H135="Arizona",+NFL!#REF!,0))</f>
        <v>0</v>
      </c>
      <c r="AX12" s="64">
        <f>IF(+NFL!$F135="Arizona",+NFL!#REF!,IF(+NFL!$H135="Arizona",+NFL!#REF!,0))</f>
        <v>0</v>
      </c>
      <c r="AY12" s="57">
        <f>IF(+NFL!$F135="Arizona",+NFL!#REF!,IF(+NFL!$H135="Arizona",+NFL!#REF!,0))</f>
        <v>0</v>
      </c>
      <c r="AZ12" s="64">
        <f>IF(+NFL!$F135="Arizona",+NFL!#REF!,IF(+NFL!$H135="Arizona",+NFL!#REF!,0))</f>
        <v>0</v>
      </c>
      <c r="BA12" s="46">
        <f>IF(+NFL!$F135="Arizona",+NFL!#REF!,IF(+NFL!$H135="Arizona",+NFL!#REF!,0))</f>
        <v>0</v>
      </c>
      <c r="BB12" s="46">
        <f>IF(+NFL!$F135="Arizona",+NFL!#REF!,IF(+NFL!$H135="Arizona",+NFL!#REF!,0))</f>
        <v>0</v>
      </c>
      <c r="BC12" s="403">
        <f>IF(+NFL!$F135="Arizona",+NFL!#REF!,IF(+NFL!$H135="Arizona",+NFL!#REF!,0))</f>
        <v>0</v>
      </c>
      <c r="BD12" s="57">
        <f>IF(+NFL!$F135="Arizona",+NFL!#REF!,IF(+NFL!$H135="Arizona",+NFL!#REF!,0))</f>
        <v>0</v>
      </c>
      <c r="BE12" s="64">
        <f>IF(+NFL!$F135="Arizona",+NFL!#REF!,IF(+NFL!$H135="Arizona",+NFL!#REF!,0))</f>
        <v>0</v>
      </c>
      <c r="BF12" s="64">
        <f>IF(+NFL!$F135="Arizona",+NFL!#REF!,IF(+NFL!$H135="Arizona",+NFL!#REF!,0))</f>
        <v>0</v>
      </c>
      <c r="BG12" s="57">
        <f>IF(+NFL!$F135="Arizona",+NFL!#REF!,IF(+NFL!$H135="Arizona",+NFL!#REF!,0))</f>
        <v>0</v>
      </c>
      <c r="BH12" s="64">
        <f>IF(+NFL!$F135="Arizona",+NFL!#REF!,IF(+NFL!$H135="Arizona",+NFL!#REF!,0))</f>
        <v>0</v>
      </c>
      <c r="BI12" s="46">
        <f>IF(+NFL!$F135="Arizona",+NFL!#REF!,IF(+NFL!$H135="Arizona",+NFL!#REF!,0))</f>
        <v>0</v>
      </c>
      <c r="BJ12" s="87">
        <f>IF(+NFL!$F135="Arizona",+NFL!#REF!,IF(+NFL!$H135="Arizona",+NFL!#REF!,0))</f>
        <v>0</v>
      </c>
      <c r="BK12" s="120">
        <f>IF(+NFL!$F135="Arizona",+NFL!#REF!,IF(+NFL!$H135="Arizona",+NFL!#REF!,0))</f>
        <v>0</v>
      </c>
    </row>
    <row r="13" spans="1:69" x14ac:dyDescent="0.8">
      <c r="A13" s="46">
        <f>IF(+NFL!$F180="Arizona",+NFL!A180,IF(+NFL!$H180="Arizona",+NFL!A180,0))</f>
        <v>10</v>
      </c>
      <c r="B13" s="46" t="str">
        <f>IF(+NFL!$F180="Arizona",+NFL!B180,IF(+NFL!$H180="Arizona",+NFL!B180,0))</f>
        <v>Sun</v>
      </c>
      <c r="C13" s="62">
        <f>IF(+NFL!$F180="Arizona",+NFL!C180,IF(+NFL!$H180="Arizona",+NFL!C180,0))</f>
        <v>44879</v>
      </c>
      <c r="D13" s="490">
        <f>IF(+NFL!$F180="Arizona",+NFL!D180,IF(+NFL!$H180="Arizona",+NFL!D180,0))</f>
        <v>0.66666666666666663</v>
      </c>
      <c r="E13" s="46" t="str">
        <f>IF(+NFL!$F180="Arizona",+NFL!E180,IF(+NFL!$H180="Arizona",+NFL!E180,0))</f>
        <v>ABC</v>
      </c>
      <c r="F13" s="127" t="str">
        <f>IF(+NFL!$F180="Arizona",+NFL!F180,IF(+NFL!$H180="Arizona",+NFL!F180,0))</f>
        <v>Arizona</v>
      </c>
      <c r="G13" s="46" t="str">
        <f>IF(+NFL!$F180="Arizona",+NFL!G180,IF(+NFL!$H180="Arizona",+NFL!G180,0))</f>
        <v>NFCW</v>
      </c>
      <c r="H13" s="127" t="str">
        <f>IF(+NFL!$F180="Arizona",+NFL!H180,IF(+NFL!$H180="Arizona",+NFL!H180,0))</f>
        <v>LA Rams</v>
      </c>
      <c r="I13" s="46" t="str">
        <f>IF(+NFL!$F180="Arizona",+NFL!I180,IF(+NFL!$H180="Arizona",+NFL!I180,0))</f>
        <v>NFCW</v>
      </c>
      <c r="J13" s="353" t="str">
        <f>IF(+NFL!$F180="Arizona",+NFL!J180,IF(+NFL!$H180="Arizona",+NFL!J180,0))</f>
        <v>LA Rams</v>
      </c>
      <c r="K13" s="494" t="str">
        <f>IF(+NFL!$F180="Arizona",+NFL!K180,IF(+NFL!$H180="Arizona",+NFL!K180,0))</f>
        <v>Arizona</v>
      </c>
      <c r="L13" s="384">
        <f>IF(+NFL!$F180="Arizona",+NFL!L180,IF(+NFL!$H180="Arizona",+NFL!L180,0))</f>
        <v>3</v>
      </c>
      <c r="M13" s="385">
        <f>IF(+NFL!$F180="Arizona",+NFL!M180,IF(+NFL!$H180="Arizona",+NFL!M180,0))</f>
        <v>43</v>
      </c>
      <c r="N13" s="394" t="str">
        <f>IF(+NFL!$F180="Arizona",+NFL!N180,IF(+NFL!$H180="Arizona",+NFL!N180,0))</f>
        <v>Arizona</v>
      </c>
      <c r="O13" s="395">
        <f>IF(+NFL!$F180="Arizona",+NFL!O180,IF(+NFL!$H180="Arizona",+NFL!O180,0))</f>
        <v>27</v>
      </c>
      <c r="P13" s="394" t="str">
        <f>IF(+NFL!$F180="Arizona",+NFL!P180,IF(+NFL!$H180="Arizona",+NFL!P180,0))</f>
        <v>LA Rams</v>
      </c>
      <c r="Q13" s="396">
        <f>IF(+NFL!$F180="Arizona",+NFL!Q180,IF(+NFL!$H180="Arizona",+NFL!Q180,0))</f>
        <v>17</v>
      </c>
      <c r="R13" s="397" t="str">
        <f>IF(+NFL!$F180="Arizona",+NFL!R180,IF(+NFL!$H180="Arizona",+NFL!R180,0))</f>
        <v>Arizona</v>
      </c>
      <c r="S13" s="396" t="str">
        <f>IF(+NFL!$F180="Arizona",+NFL!S180,IF(+NFL!$H180="Arizona",+NFL!S180,0))</f>
        <v>LA Rams</v>
      </c>
      <c r="T13" s="397" t="str">
        <f>IF(+NFL!$F180="Arizona",+NFL!T180,IF(+NFL!$H180="Arizona",+NFL!T180,0))</f>
        <v>Arizona</v>
      </c>
      <c r="U13" s="396" t="str">
        <f>IF(+NFL!$F180="Arizona",+NFL!U180,IF(+NFL!$H180="Arizona",+NFL!U180,0))</f>
        <v>W</v>
      </c>
      <c r="V13" s="397" t="e">
        <f>IF(+NFL!$F157="Arizona",+NFL!#REF!,IF(+NFL!$H157="Arizona",+NFL!#REF!,0))</f>
        <v>#REF!</v>
      </c>
      <c r="W13" s="396" t="e">
        <f>IF(+NFL!$F157="Arizona",+NFL!#REF!,IF(+NFL!$H157="Arizona",+NFL!#REF!,0))</f>
        <v>#REF!</v>
      </c>
      <c r="X13" s="397" t="e">
        <f>IF(+NFL!$F157="Arizona",+NFL!#REF!,IF(+NFL!$H157="Arizona",+NFL!#REF!,0))</f>
        <v>#REF!</v>
      </c>
      <c r="Y13" s="396" t="e">
        <f>IF(+NFL!$F157="Arizona",+NFL!#REF!,IF(+NFL!$H157="Arizona",+NFL!#REF!,0))</f>
        <v>#REF!</v>
      </c>
      <c r="Z13" s="397" t="e">
        <f>IF(+NFL!$F157="Arizona",+NFL!#REF!,IF(+NFL!$H157="Arizona",+NFL!#REF!,0))</f>
        <v>#REF!</v>
      </c>
      <c r="AA13" s="396" t="e">
        <f>IF(+NFL!$F157="Arizona",+NFL!#REF!,IF(+NFL!$H157="Arizona",+NFL!#REF!,0))</f>
        <v>#REF!</v>
      </c>
      <c r="AB13" s="87" t="e">
        <f>IF(+NFL!$F157="Arizona",+NFL!#REF!,IF(+NFL!$H157="Arizona",+NFL!#REF!,0))</f>
        <v>#REF!</v>
      </c>
      <c r="AC13" s="120" t="e">
        <f>IF(+NFL!$F157="Arizona",+NFL!#REF!,IF(+NFL!$H157="Arizona",+NFL!#REF!,0))</f>
        <v>#REF!</v>
      </c>
      <c r="AD13" s="353" t="e">
        <f>IF(+NFL!$F157="Arizona",+NFL!#REF!,IF(+NFL!$H157="Arizona",+NFL!#REF!,0))</f>
        <v>#REF!</v>
      </c>
      <c r="AE13" s="379" t="e">
        <f>IF(+NFL!$F157="Arizona",+NFL!#REF!,IF(+NFL!$H157="Arizona",+NFL!#REF!,0))</f>
        <v>#REF!</v>
      </c>
      <c r="AF13" s="353" t="e">
        <f>IF(+NFL!$F157="Arizona",+NFL!#REF!,IF(+NFL!$H157="Arizona",+NFL!#REF!,0))</f>
        <v>#REF!</v>
      </c>
      <c r="AG13" s="379" t="e">
        <f>IF(+NFL!$F157="Arizona",+NFL!#REF!,IF(+NFL!$H157="Arizona",+NFL!#REF!,0))</f>
        <v>#REF!</v>
      </c>
      <c r="AH13" s="353" t="e">
        <f>IF(+NFL!$F157="Arizona",+NFL!#REF!,IF(+NFL!$H157="Arizona",+NFL!#REF!,0))</f>
        <v>#REF!</v>
      </c>
      <c r="AI13" s="379" t="e">
        <f>IF(+NFL!$F157="Arizona",+NFL!#REF!,IF(+NFL!$H157="Arizona",+NFL!#REF!,0))</f>
        <v>#REF!</v>
      </c>
      <c r="AJ13" s="353" t="e">
        <f>IF(+NFL!$F157="Arizona",+NFL!#REF!,IF(+NFL!$H157="Arizona",+NFL!#REF!,0))</f>
        <v>#REF!</v>
      </c>
      <c r="AK13" s="379" t="e">
        <f>IF(+NFL!$F157="Arizona",+NFL!#REF!,IF(+NFL!$H157="Arizona",+NFL!#REF!,0))</f>
        <v>#REF!</v>
      </c>
      <c r="AL13" s="57" t="e">
        <f>IF(+NFL!$F157="Arizona",+NFL!#REF!,IF(+NFL!$H157="Arizona",+NFL!#REF!,0))</f>
        <v>#REF!</v>
      </c>
      <c r="AM13" s="58" t="e">
        <f>IF(+NFL!$F157="Arizona",+NFL!#REF!,IF(+NFL!$H157="Arizona",+NFL!#REF!,0))</f>
        <v>#REF!</v>
      </c>
      <c r="AN13" s="57" t="e">
        <f>IF(+NFL!$F157="Arizona",+NFL!#REF!,IF(+NFL!$H157="Arizona",+NFL!#REF!,0))</f>
        <v>#REF!</v>
      </c>
      <c r="AO13" s="59" t="e">
        <f>IF(+NFL!$F157="Arizona",+NFL!#REF!,IF(+NFL!$H157="Arizona",+NFL!#REF!,0))</f>
        <v>#REF!</v>
      </c>
      <c r="AP13" s="348" t="e">
        <f>IF(+NFL!$F157="Arizona",+NFL!#REF!,IF(+NFL!$H157="Arizona",+NFL!#REF!,0))</f>
        <v>#REF!</v>
      </c>
      <c r="AQ13" s="48" t="e">
        <f>IF(+NFL!$F157="Arizona",+NFL!#REF!,IF(+NFL!$H157="Arizona",+NFL!#REF!,0))</f>
        <v>#REF!</v>
      </c>
      <c r="AR13" s="57" t="e">
        <f>IF(+NFL!$F157="Arizona",+NFL!#REF!,IF(+NFL!$H157="Arizona",+NFL!#REF!,0))</f>
        <v>#REF!</v>
      </c>
      <c r="AS13" s="64" t="e">
        <f>IF(+NFL!$F157="Arizona",+NFL!#REF!,IF(+NFL!$H157="Arizona",+NFL!#REF!,0))</f>
        <v>#REF!</v>
      </c>
      <c r="AT13" s="64" t="e">
        <f>IF(+NFL!$F157="Arizona",+NFL!#REF!,IF(+NFL!$H157="Arizona",+NFL!#REF!,0))</f>
        <v>#REF!</v>
      </c>
      <c r="AU13" s="57" t="e">
        <f>IF(+NFL!$F157="Arizona",+NFL!#REF!,IF(+NFL!$H157="Arizona",+NFL!#REF!,0))</f>
        <v>#REF!</v>
      </c>
      <c r="AV13" s="64" t="e">
        <f>IF(+NFL!$F157="Arizona",+NFL!#REF!,IF(+NFL!$H157="Arizona",+NFL!#REF!,0))</f>
        <v>#REF!</v>
      </c>
      <c r="AW13" s="46" t="e">
        <f>IF(+NFL!$F157="Arizona",+NFL!#REF!,IF(+NFL!$H157="Arizona",+NFL!#REF!,0))</f>
        <v>#REF!</v>
      </c>
      <c r="AX13" s="64" t="e">
        <f>IF(+NFL!$F157="Arizona",+NFL!#REF!,IF(+NFL!$H157="Arizona",+NFL!#REF!,0))</f>
        <v>#REF!</v>
      </c>
      <c r="AY13" s="57" t="e">
        <f>IF(+NFL!$F157="Arizona",+NFL!#REF!,IF(+NFL!$H157="Arizona",+NFL!#REF!,0))</f>
        <v>#REF!</v>
      </c>
      <c r="AZ13" s="64" t="e">
        <f>IF(+NFL!$F157="Arizona",+NFL!#REF!,IF(+NFL!$H157="Arizona",+NFL!#REF!,0))</f>
        <v>#REF!</v>
      </c>
      <c r="BA13" s="46" t="e">
        <f>IF(+NFL!$F157="Arizona",+NFL!#REF!,IF(+NFL!$H157="Arizona",+NFL!#REF!,0))</f>
        <v>#REF!</v>
      </c>
      <c r="BB13" s="46" t="e">
        <f>IF(+NFL!$F157="Arizona",+NFL!#REF!,IF(+NFL!$H157="Arizona",+NFL!#REF!,0))</f>
        <v>#REF!</v>
      </c>
      <c r="BC13" s="403" t="e">
        <f>IF(+NFL!$F157="Arizona",+NFL!#REF!,IF(+NFL!$H157="Arizona",+NFL!#REF!,0))</f>
        <v>#REF!</v>
      </c>
      <c r="BD13" s="57" t="e">
        <f>IF(+NFL!$F157="Arizona",+NFL!#REF!,IF(+NFL!$H157="Arizona",+NFL!#REF!,0))</f>
        <v>#REF!</v>
      </c>
      <c r="BE13" s="64" t="e">
        <f>IF(+NFL!$F157="Arizona",+NFL!#REF!,IF(+NFL!$H157="Arizona",+NFL!#REF!,0))</f>
        <v>#REF!</v>
      </c>
      <c r="BF13" s="64" t="e">
        <f>IF(+NFL!$F157="Arizona",+NFL!#REF!,IF(+NFL!$H157="Arizona",+NFL!#REF!,0))</f>
        <v>#REF!</v>
      </c>
      <c r="BG13" s="57" t="e">
        <f>IF(+NFL!$F157="Arizona",+NFL!#REF!,IF(+NFL!$H157="Arizona",+NFL!#REF!,0))</f>
        <v>#REF!</v>
      </c>
      <c r="BH13" s="64" t="e">
        <f>IF(+NFL!$F157="Arizona",+NFL!#REF!,IF(+NFL!$H157="Arizona",+NFL!#REF!,0))</f>
        <v>#REF!</v>
      </c>
      <c r="BI13" s="46" t="e">
        <f>IF(+NFL!$F157="Arizona",+NFL!#REF!,IF(+NFL!$H157="Arizona",+NFL!#REF!,0))</f>
        <v>#REF!</v>
      </c>
      <c r="BJ13" s="87" t="e">
        <f>IF(+NFL!$F157="Arizona",+NFL!#REF!,IF(+NFL!$H157="Arizona",+NFL!#REF!,0))</f>
        <v>#REF!</v>
      </c>
      <c r="BK13" s="120" t="e">
        <f>IF(+NFL!$F157="Arizona",+NFL!#REF!,IF(+NFL!$H157="Arizona",+NFL!#REF!,0))</f>
        <v>#REF!</v>
      </c>
    </row>
    <row r="14" spans="1:69" x14ac:dyDescent="0.8">
      <c r="A14" s="46">
        <f>IF(+NFL!$F202="Arizona",+NFL!A202,IF(+NFL!$H202="Arizona",+NFL!A202,0))</f>
        <v>11</v>
      </c>
      <c r="B14" s="46" t="str">
        <f>IF(+NFL!$F202="Arizona",+NFL!B202,IF(+NFL!$H202="Arizona",+NFL!B202,0))</f>
        <v>Mon</v>
      </c>
      <c r="C14" s="62">
        <f>IF(+NFL!$F202="Arizona",+NFL!C202,IF(+NFL!$H202="Arizona",+NFL!C202,0))</f>
        <v>44887</v>
      </c>
      <c r="D14" s="490">
        <f>IF(+NFL!$F202="Arizona",+NFL!D202,IF(+NFL!$H202="Arizona",+NFL!D202,0))</f>
        <v>0.84375</v>
      </c>
      <c r="E14" s="46" t="str">
        <f>IF(+NFL!$F202="Arizona",+NFL!E202,IF(+NFL!$H202="Arizona",+NFL!E202,0))</f>
        <v>ABC</v>
      </c>
      <c r="F14" s="127" t="str">
        <f>IF(+NFL!$F202="Arizona",+NFL!F202,IF(+NFL!$H202="Arizona",+NFL!F202,0))</f>
        <v>San Francisco</v>
      </c>
      <c r="G14" s="46" t="str">
        <f>IF(+NFL!$F202="Arizona",+NFL!G202,IF(+NFL!$H202="Arizona",+NFL!G202,0))</f>
        <v>NFCW</v>
      </c>
      <c r="H14" s="127" t="str">
        <f>IF(+NFL!$F202="Arizona",+NFL!H202,IF(+NFL!$H202="Arizona",+NFL!H202,0))</f>
        <v>Arizona</v>
      </c>
      <c r="I14" s="46" t="str">
        <f>IF(+NFL!$F202="Arizona",+NFL!I202,IF(+NFL!$H202="Arizona",+NFL!I202,0))</f>
        <v>NFCW</v>
      </c>
      <c r="J14" s="353" t="str">
        <f>IF(+NFL!$F202="Arizona",+NFL!J202,IF(+NFL!$H202="Arizona",+NFL!J202,0))</f>
        <v>San Francisco</v>
      </c>
      <c r="K14" s="494" t="str">
        <f>IF(+NFL!$F202="Arizona",+NFL!K202,IF(+NFL!$H202="Arizona",+NFL!K202,0))</f>
        <v>Arizona</v>
      </c>
      <c r="L14" s="384">
        <f>IF(+NFL!$F202="Arizona",+NFL!L202,IF(+NFL!$H202="Arizona",+NFL!L202,0))</f>
        <v>8</v>
      </c>
      <c r="M14" s="385">
        <f>IF(+NFL!$F202="Arizona",+NFL!M202,IF(+NFL!$H202="Arizona",+NFL!M202,0))</f>
        <v>43.5</v>
      </c>
      <c r="N14" s="394" t="str">
        <f>IF(+NFL!$F202="Arizona",+NFL!N202,IF(+NFL!$H202="Arizona",+NFL!N202,0))</f>
        <v>San Francisco</v>
      </c>
      <c r="O14" s="395">
        <f>IF(+NFL!$F202="Arizona",+NFL!O202,IF(+NFL!$H202="Arizona",+NFL!O202,0))</f>
        <v>38</v>
      </c>
      <c r="P14" s="394" t="str">
        <f>IF(+NFL!$F202="Arizona",+NFL!P202,IF(+NFL!$H202="Arizona",+NFL!P202,0))</f>
        <v>Arizona</v>
      </c>
      <c r="Q14" s="396">
        <f>IF(+NFL!$F202="Arizona",+NFL!Q202,IF(+NFL!$H202="Arizona",+NFL!Q202,0))</f>
        <v>10</v>
      </c>
      <c r="R14" s="397" t="str">
        <f>IF(+NFL!$F202="Arizona",+NFL!R202,IF(+NFL!$H202="Arizona",+NFL!R202,0))</f>
        <v>San Francisco</v>
      </c>
      <c r="S14" s="396" t="str">
        <f>IF(+NFL!$F202="Arizona",+NFL!S202,IF(+NFL!$H202="Arizona",+NFL!S202,0))</f>
        <v>Arizona</v>
      </c>
      <c r="T14" s="397" t="str">
        <f>IF(+NFL!$F202="Arizona",+NFL!T202,IF(+NFL!$H202="Arizona",+NFL!T202,0))</f>
        <v>San Francisco</v>
      </c>
      <c r="U14" s="396" t="str">
        <f>IF(+NFL!$F202="Arizona",+NFL!U202,IF(+NFL!$H202="Arizona",+NFL!U202,0))</f>
        <v>W</v>
      </c>
      <c r="V14" s="397">
        <f>IF(+NFL!$F173="Arizona",+NFL!#REF!,IF(+NFL!$H173="Arizona",+NFL!#REF!,0))</f>
        <v>0</v>
      </c>
      <c r="W14" s="396">
        <f>IF(+NFL!$F173="Arizona",+NFL!#REF!,IF(+NFL!$H173="Arizona",+NFL!#REF!,0))</f>
        <v>0</v>
      </c>
      <c r="X14" s="397">
        <f>IF(+NFL!$F173="Arizona",+NFL!#REF!,IF(+NFL!$H173="Arizona",+NFL!#REF!,0))</f>
        <v>0</v>
      </c>
      <c r="Y14" s="396">
        <f>IF(+NFL!$F173="Arizona",+NFL!#REF!,IF(+NFL!$H173="Arizona",+NFL!#REF!,0))</f>
        <v>0</v>
      </c>
      <c r="Z14" s="397">
        <f>IF(+NFL!$F173="Arizona",+NFL!#REF!,IF(+NFL!$H173="Arizona",+NFL!#REF!,0))</f>
        <v>0</v>
      </c>
      <c r="AA14" s="396">
        <f>IF(+NFL!$F173="Arizona",+NFL!#REF!,IF(+NFL!$H173="Arizona",+NFL!#REF!,0))</f>
        <v>0</v>
      </c>
      <c r="AB14" s="87">
        <f>IF(+NFL!$F173="Arizona",+NFL!#REF!,IF(+NFL!$H173="Arizona",+NFL!#REF!,0))</f>
        <v>0</v>
      </c>
      <c r="AC14" s="120">
        <f>IF(+NFL!$F173="Arizona",+NFL!#REF!,IF(+NFL!$H173="Arizona",+NFL!#REF!,0))</f>
        <v>0</v>
      </c>
      <c r="AD14" s="353">
        <f>IF(+NFL!$F173="Arizona",+NFL!#REF!,IF(+NFL!$H173="Arizona",+NFL!#REF!,0))</f>
        <v>0</v>
      </c>
      <c r="AE14" s="379">
        <f>IF(+NFL!$F173="Arizona",+NFL!#REF!,IF(+NFL!$H173="Arizona",+NFL!#REF!,0))</f>
        <v>0</v>
      </c>
      <c r="AF14" s="353">
        <f>IF(+NFL!$F173="Arizona",+NFL!#REF!,IF(+NFL!$H173="Arizona",+NFL!#REF!,0))</f>
        <v>0</v>
      </c>
      <c r="AG14" s="379">
        <f>IF(+NFL!$F173="Arizona",+NFL!#REF!,IF(+NFL!$H173="Arizona",+NFL!#REF!,0))</f>
        <v>0</v>
      </c>
      <c r="AH14" s="353">
        <f>IF(+NFL!$F173="Arizona",+NFL!#REF!,IF(+NFL!$H173="Arizona",+NFL!#REF!,0))</f>
        <v>0</v>
      </c>
      <c r="AI14" s="379">
        <f>IF(+NFL!$F173="Arizona",+NFL!#REF!,IF(+NFL!$H173="Arizona",+NFL!#REF!,0))</f>
        <v>0</v>
      </c>
      <c r="AJ14" s="353">
        <f>IF(+NFL!$F173="Arizona",+NFL!#REF!,IF(+NFL!$H173="Arizona",+NFL!#REF!,0))</f>
        <v>0</v>
      </c>
      <c r="AK14" s="379">
        <f>IF(+NFL!$F173="Arizona",+NFL!#REF!,IF(+NFL!$H173="Arizona",+NFL!#REF!,0))</f>
        <v>0</v>
      </c>
      <c r="AL14" s="57">
        <f>IF(+NFL!$F173="Arizona",+NFL!#REF!,IF(+NFL!$H173="Arizona",+NFL!#REF!,0))</f>
        <v>0</v>
      </c>
      <c r="AM14" s="58">
        <f>IF(+NFL!$F173="Arizona",+NFL!#REF!,IF(+NFL!$H173="Arizona",+NFL!#REF!,0))</f>
        <v>0</v>
      </c>
      <c r="AN14" s="57">
        <f>IF(+NFL!$F173="Arizona",+NFL!#REF!,IF(+NFL!$H173="Arizona",+NFL!#REF!,0))</f>
        <v>0</v>
      </c>
      <c r="AO14" s="59">
        <f>IF(+NFL!$F173="Arizona",+NFL!#REF!,IF(+NFL!$H173="Arizona",+NFL!#REF!,0))</f>
        <v>0</v>
      </c>
      <c r="AP14" s="348">
        <f>IF(+NFL!$F173="Arizona",+NFL!#REF!,IF(+NFL!$H173="Arizona",+NFL!#REF!,0))</f>
        <v>0</v>
      </c>
      <c r="AQ14" s="48">
        <f>IF(+NFL!$F173="Arizona",+NFL!#REF!,IF(+NFL!$H173="Arizona",+NFL!#REF!,0))</f>
        <v>0</v>
      </c>
      <c r="AR14" s="57">
        <f>IF(+NFL!$F173="Arizona",+NFL!#REF!,IF(+NFL!$H173="Arizona",+NFL!#REF!,0))</f>
        <v>0</v>
      </c>
      <c r="AS14" s="64">
        <f>IF(+NFL!$F173="Arizona",+NFL!#REF!,IF(+NFL!$H173="Arizona",+NFL!#REF!,0))</f>
        <v>0</v>
      </c>
      <c r="AT14" s="64">
        <f>IF(+NFL!$F173="Arizona",+NFL!#REF!,IF(+NFL!$H173="Arizona",+NFL!#REF!,0))</f>
        <v>0</v>
      </c>
      <c r="AU14" s="57">
        <f>IF(+NFL!$F173="Arizona",+NFL!#REF!,IF(+NFL!$H173="Arizona",+NFL!#REF!,0))</f>
        <v>0</v>
      </c>
      <c r="AV14" s="64">
        <f>IF(+NFL!$F173="Arizona",+NFL!#REF!,IF(+NFL!$H173="Arizona",+NFL!#REF!,0))</f>
        <v>0</v>
      </c>
      <c r="AW14" s="46">
        <f>IF(+NFL!$F173="Arizona",+NFL!#REF!,IF(+NFL!$H173="Arizona",+NFL!#REF!,0))</f>
        <v>0</v>
      </c>
      <c r="AX14" s="64">
        <f>IF(+NFL!$F173="Arizona",+NFL!#REF!,IF(+NFL!$H173="Arizona",+NFL!#REF!,0))</f>
        <v>0</v>
      </c>
      <c r="AY14" s="57">
        <f>IF(+NFL!$F173="Arizona",+NFL!#REF!,IF(+NFL!$H173="Arizona",+NFL!#REF!,0))</f>
        <v>0</v>
      </c>
      <c r="AZ14" s="64">
        <f>IF(+NFL!$F173="Arizona",+NFL!#REF!,IF(+NFL!$H173="Arizona",+NFL!#REF!,0))</f>
        <v>0</v>
      </c>
      <c r="BA14" s="46">
        <f>IF(+NFL!$F173="Arizona",+NFL!#REF!,IF(+NFL!$H173="Arizona",+NFL!#REF!,0))</f>
        <v>0</v>
      </c>
      <c r="BB14" s="46">
        <f>IF(+NFL!$F173="Arizona",+NFL!#REF!,IF(+NFL!$H173="Arizona",+NFL!#REF!,0))</f>
        <v>0</v>
      </c>
      <c r="BC14" s="403">
        <f>IF(+NFL!$F173="Arizona",+NFL!#REF!,IF(+NFL!$H173="Arizona",+NFL!#REF!,0))</f>
        <v>0</v>
      </c>
      <c r="BD14" s="57">
        <f>IF(+NFL!$F173="Arizona",+NFL!#REF!,IF(+NFL!$H173="Arizona",+NFL!#REF!,0))</f>
        <v>0</v>
      </c>
      <c r="BE14" s="64">
        <f>IF(+NFL!$F173="Arizona",+NFL!#REF!,IF(+NFL!$H173="Arizona",+NFL!#REF!,0))</f>
        <v>0</v>
      </c>
      <c r="BF14" s="64">
        <f>IF(+NFL!$F173="Arizona",+NFL!#REF!,IF(+NFL!$H173="Arizona",+NFL!#REF!,0))</f>
        <v>0</v>
      </c>
      <c r="BG14" s="57">
        <f>IF(+NFL!$F173="Arizona",+NFL!#REF!,IF(+NFL!$H173="Arizona",+NFL!#REF!,0))</f>
        <v>0</v>
      </c>
      <c r="BH14" s="64">
        <f>IF(+NFL!$F173="Arizona",+NFL!#REF!,IF(+NFL!$H173="Arizona",+NFL!#REF!,0))</f>
        <v>0</v>
      </c>
      <c r="BI14" s="46">
        <f>IF(+NFL!$F173="Arizona",+NFL!#REF!,IF(+NFL!$H173="Arizona",+NFL!#REF!,0))</f>
        <v>0</v>
      </c>
      <c r="BJ14" s="87">
        <f>IF(+NFL!$F173="Arizona",+NFL!#REF!,IF(+NFL!$H173="Arizona",+NFL!#REF!,0))</f>
        <v>0</v>
      </c>
      <c r="BK14" s="120">
        <f>IF(+NFL!$F173="Arizona",+NFL!#REF!,IF(+NFL!$H173="Arizona",+NFL!#REF!,0))</f>
        <v>0</v>
      </c>
    </row>
    <row r="15" spans="1:69" x14ac:dyDescent="0.8">
      <c r="A15" s="46">
        <f>IF(+NFL!$F221="Arizona",+NFL!A221,IF(+NFL!$H221="Arizona",+NFL!A221,0))</f>
        <v>12</v>
      </c>
      <c r="B15" s="46" t="str">
        <f>IF(+NFL!$F221="Arizona",+NFL!B221,IF(+NFL!$H221="Arizona",+NFL!B221,0))</f>
        <v>Sun</v>
      </c>
      <c r="C15" s="62">
        <f>IF(+NFL!$F221="Arizona",+NFL!C221,IF(+NFL!$H221="Arizona",+NFL!C221,0))</f>
        <v>44892</v>
      </c>
      <c r="D15" s="490">
        <f>IF(+NFL!$F221="Arizona",+NFL!D221,IF(+NFL!$H221="Arizona",+NFL!D221,0))</f>
        <v>0.66666666666666663</v>
      </c>
      <c r="E15" s="46" t="str">
        <f>IF(+NFL!$F221="Arizona",+NFL!E221,IF(+NFL!$H221="Arizona",+NFL!E221,0))</f>
        <v>Fox</v>
      </c>
      <c r="F15" s="127" t="str">
        <f>IF(+NFL!$F221="Arizona",+NFL!F221,IF(+NFL!$H221="Arizona",+NFL!F221,0))</f>
        <v>LA Chargers</v>
      </c>
      <c r="G15" s="46" t="str">
        <f>IF(+NFL!$F221="Arizona",+NFL!G221,IF(+NFL!$H221="Arizona",+NFL!G221,0))</f>
        <v>NFCW</v>
      </c>
      <c r="H15" s="127" t="str">
        <f>IF(+NFL!$F221="Arizona",+NFL!H221,IF(+NFL!$H221="Arizona",+NFL!H221,0))</f>
        <v>Arizona</v>
      </c>
      <c r="I15" s="46" t="str">
        <f>IF(+NFL!$F221="Arizona",+NFL!I221,IF(+NFL!$H221="Arizona",+NFL!I221,0))</f>
        <v>AFCW</v>
      </c>
      <c r="J15" s="353" t="str">
        <f>IF(+NFL!$F221="Arizona",+NFL!J221,IF(+NFL!$H221="Arizona",+NFL!J221,0))</f>
        <v>LA Chargers</v>
      </c>
      <c r="K15" s="494" t="str">
        <f>IF(+NFL!$F221="Arizona",+NFL!K221,IF(+NFL!$H221="Arizona",+NFL!K221,0))</f>
        <v>Arizona</v>
      </c>
      <c r="L15" s="384">
        <f>IF(+NFL!$F221="Arizona",+NFL!L221,IF(+NFL!$H221="Arizona",+NFL!L221,0))</f>
        <v>4.5</v>
      </c>
      <c r="M15" s="385">
        <f>IF(+NFL!$F221="Arizona",+NFL!M221,IF(+NFL!$H221="Arizona",+NFL!M221,0))</f>
        <v>47.5</v>
      </c>
      <c r="N15" s="394" t="str">
        <f>IF(+NFL!$F221="Arizona",+NFL!N221,IF(+NFL!$H221="Arizona",+NFL!N221,0))</f>
        <v>LA Chargers</v>
      </c>
      <c r="O15" s="395">
        <f>IF(+NFL!$F221="Arizona",+NFL!O221,IF(+NFL!$H221="Arizona",+NFL!O221,0))</f>
        <v>25</v>
      </c>
      <c r="P15" s="394" t="str">
        <f>IF(+NFL!$F221="Arizona",+NFL!P221,IF(+NFL!$H221="Arizona",+NFL!P221,0))</f>
        <v>Arizona</v>
      </c>
      <c r="Q15" s="396">
        <f>IF(+NFL!$F221="Arizona",+NFL!Q221,IF(+NFL!$H221="Arizona",+NFL!Q221,0))</f>
        <v>24</v>
      </c>
      <c r="R15" s="397" t="str">
        <f>IF(+NFL!$F221="Arizona",+NFL!R221,IF(+NFL!$H221="Arizona",+NFL!R221,0))</f>
        <v>Arizona</v>
      </c>
      <c r="S15" s="396" t="str">
        <f>IF(+NFL!$F221="Arizona",+NFL!S221,IF(+NFL!$H221="Arizona",+NFL!S221,0))</f>
        <v>LA Chargers</v>
      </c>
      <c r="T15" s="397" t="str">
        <f>IF(+NFL!$F221="Arizona",+NFL!T221,IF(+NFL!$H221="Arizona",+NFL!T221,0))</f>
        <v>Arizona</v>
      </c>
      <c r="U15" s="396" t="str">
        <f>IF(+NFL!$F221="Arizona",+NFL!U221,IF(+NFL!$H221="Arizona",+NFL!U221,0))</f>
        <v>W</v>
      </c>
      <c r="V15" s="397" t="e">
        <f>IF(+NFL!$F221="Arizona",+NFL!#REF!,IF(+NFL!$H221="Arizona",+NFL!#REF!,0))</f>
        <v>#REF!</v>
      </c>
      <c r="W15" s="396" t="e">
        <f>IF(+NFL!$F221="Arizona",+NFL!#REF!,IF(+NFL!$H221="Arizona",+NFL!#REF!,0))</f>
        <v>#REF!</v>
      </c>
      <c r="X15" s="397" t="e">
        <f>IF(+NFL!$F221="Arizona",+NFL!#REF!,IF(+NFL!$H221="Arizona",+NFL!#REF!,0))</f>
        <v>#REF!</v>
      </c>
      <c r="Y15" s="396" t="e">
        <f>IF(+NFL!$F221="Arizona",+NFL!#REF!,IF(+NFL!$H221="Arizona",+NFL!#REF!,0))</f>
        <v>#REF!</v>
      </c>
      <c r="Z15" s="397" t="e">
        <f>IF(+NFL!$F221="Arizona",+NFL!#REF!,IF(+NFL!$H221="Arizona",+NFL!#REF!,0))</f>
        <v>#REF!</v>
      </c>
      <c r="AA15" s="396" t="e">
        <f>IF(+NFL!$F221="Arizona",+NFL!#REF!,IF(+NFL!$H221="Arizona",+NFL!#REF!,0))</f>
        <v>#REF!</v>
      </c>
      <c r="AB15" s="87" t="e">
        <f>IF(+NFL!$F221="Arizona",+NFL!#REF!,IF(+NFL!$H221="Arizona",+NFL!#REF!,0))</f>
        <v>#REF!</v>
      </c>
      <c r="AC15" s="120" t="e">
        <f>IF(+NFL!$F221="Arizona",+NFL!#REF!,IF(+NFL!$H221="Arizona",+NFL!#REF!,0))</f>
        <v>#REF!</v>
      </c>
      <c r="AD15" s="353" t="e">
        <f>IF(+NFL!$F221="Arizona",+NFL!#REF!,IF(+NFL!$H221="Arizona",+NFL!#REF!,0))</f>
        <v>#REF!</v>
      </c>
      <c r="AE15" s="379" t="e">
        <f>IF(+NFL!$F221="Arizona",+NFL!#REF!,IF(+NFL!$H221="Arizona",+NFL!#REF!,0))</f>
        <v>#REF!</v>
      </c>
      <c r="AF15" s="353" t="e">
        <f>IF(+NFL!$F221="Arizona",+NFL!#REF!,IF(+NFL!$H221="Arizona",+NFL!#REF!,0))</f>
        <v>#REF!</v>
      </c>
      <c r="AG15" s="379" t="e">
        <f>IF(+NFL!$F221="Arizona",+NFL!#REF!,IF(+NFL!$H221="Arizona",+NFL!#REF!,0))</f>
        <v>#REF!</v>
      </c>
      <c r="AH15" s="353" t="e">
        <f>IF(+NFL!$F221="Arizona",+NFL!#REF!,IF(+NFL!$H221="Arizona",+NFL!#REF!,0))</f>
        <v>#REF!</v>
      </c>
      <c r="AI15" s="379" t="e">
        <f>IF(+NFL!$F221="Arizona",+NFL!#REF!,IF(+NFL!$H221="Arizona",+NFL!#REF!,0))</f>
        <v>#REF!</v>
      </c>
      <c r="AJ15" s="353" t="e">
        <f>IF(+NFL!$F221="Arizona",+NFL!#REF!,IF(+NFL!$H221="Arizona",+NFL!#REF!,0))</f>
        <v>#REF!</v>
      </c>
      <c r="AK15" s="379" t="e">
        <f>IF(+NFL!$F221="Arizona",+NFL!#REF!,IF(+NFL!$H221="Arizona",+NFL!#REF!,0))</f>
        <v>#REF!</v>
      </c>
      <c r="AL15" s="57" t="e">
        <f>IF(+NFL!$F221="Arizona",+NFL!#REF!,IF(+NFL!$H221="Arizona",+NFL!#REF!,0))</f>
        <v>#REF!</v>
      </c>
      <c r="AM15" s="58" t="e">
        <f>IF(+NFL!$F221="Arizona",+NFL!#REF!,IF(+NFL!$H221="Arizona",+NFL!#REF!,0))</f>
        <v>#REF!</v>
      </c>
      <c r="AN15" s="57" t="e">
        <f>IF(+NFL!$F221="Arizona",+NFL!#REF!,IF(+NFL!$H221="Arizona",+NFL!#REF!,0))</f>
        <v>#REF!</v>
      </c>
      <c r="AO15" s="59" t="e">
        <f>IF(+NFL!$F221="Arizona",+NFL!#REF!,IF(+NFL!$H221="Arizona",+NFL!#REF!,0))</f>
        <v>#REF!</v>
      </c>
      <c r="AP15" s="348" t="e">
        <f>IF(+NFL!$F221="Arizona",+NFL!#REF!,IF(+NFL!$H221="Arizona",+NFL!#REF!,0))</f>
        <v>#REF!</v>
      </c>
      <c r="AQ15" s="48" t="e">
        <f>IF(+NFL!$F221="Arizona",+NFL!#REF!,IF(+NFL!$H221="Arizona",+NFL!#REF!,0))</f>
        <v>#REF!</v>
      </c>
      <c r="AR15" s="57" t="e">
        <f>IF(+NFL!$F221="Arizona",+NFL!#REF!,IF(+NFL!$H221="Arizona",+NFL!#REF!,0))</f>
        <v>#REF!</v>
      </c>
      <c r="AS15" s="493" t="e">
        <f>IF(+NFL!$F221="Arizona",+NFL!#REF!,IF(+NFL!$H221="Arizona",+NFL!#REF!,0))</f>
        <v>#REF!</v>
      </c>
      <c r="AT15" s="493" t="e">
        <f>IF(+NFL!$F221="Arizona",+NFL!#REF!,IF(+NFL!$H221="Arizona",+NFL!#REF!,0))</f>
        <v>#REF!</v>
      </c>
      <c r="AU15" s="57" t="e">
        <f>IF(+NFL!$F221="Arizona",+NFL!#REF!,IF(+NFL!$H221="Arizona",+NFL!#REF!,0))</f>
        <v>#REF!</v>
      </c>
      <c r="AV15" s="493" t="e">
        <f>IF(+NFL!$F221="Arizona",+NFL!#REF!,IF(+NFL!$H221="Arizona",+NFL!#REF!,0))</f>
        <v>#REF!</v>
      </c>
      <c r="AW15" s="46" t="e">
        <f>IF(+NFL!$F221="Arizona",+NFL!#REF!,IF(+NFL!$H221="Arizona",+NFL!#REF!,0))</f>
        <v>#REF!</v>
      </c>
      <c r="AX15" s="493" t="e">
        <f>IF(+NFL!$F221="Arizona",+NFL!#REF!,IF(+NFL!$H221="Arizona",+NFL!#REF!,0))</f>
        <v>#REF!</v>
      </c>
      <c r="AY15" s="57" t="e">
        <f>IF(+NFL!$F221="Arizona",+NFL!#REF!,IF(+NFL!$H221="Arizona",+NFL!#REF!,0))</f>
        <v>#REF!</v>
      </c>
      <c r="AZ15" s="493" t="e">
        <f>IF(+NFL!$F221="Arizona",+NFL!#REF!,IF(+NFL!$H221="Arizona",+NFL!#REF!,0))</f>
        <v>#REF!</v>
      </c>
      <c r="BA15" s="46" t="e">
        <f>IF(+NFL!$F221="Arizona",+NFL!#REF!,IF(+NFL!$H221="Arizona",+NFL!#REF!,0))</f>
        <v>#REF!</v>
      </c>
      <c r="BB15" s="46" t="e">
        <f>IF(+NFL!$F221="Arizona",+NFL!#REF!,IF(+NFL!$H221="Arizona",+NFL!#REF!,0))</f>
        <v>#REF!</v>
      </c>
      <c r="BC15" s="403" t="e">
        <f>IF(+NFL!$F221="Arizona",+NFL!#REF!,IF(+NFL!$H221="Arizona",+NFL!#REF!,0))</f>
        <v>#REF!</v>
      </c>
      <c r="BD15" s="57" t="e">
        <f>IF(+NFL!$F221="Arizona",+NFL!#REF!,IF(+NFL!$H221="Arizona",+NFL!#REF!,0))</f>
        <v>#REF!</v>
      </c>
      <c r="BE15" s="493" t="e">
        <f>IF(+NFL!$F221="Arizona",+NFL!#REF!,IF(+NFL!$H221="Arizona",+NFL!#REF!,0))</f>
        <v>#REF!</v>
      </c>
      <c r="BF15" s="493" t="e">
        <f>IF(+NFL!$F221="Arizona",+NFL!#REF!,IF(+NFL!$H221="Arizona",+NFL!#REF!,0))</f>
        <v>#REF!</v>
      </c>
      <c r="BG15" s="57" t="e">
        <f>IF(+NFL!$F221="Arizona",+NFL!#REF!,IF(+NFL!$H221="Arizona",+NFL!#REF!,0))</f>
        <v>#REF!</v>
      </c>
      <c r="BH15" s="493" t="e">
        <f>IF(+NFL!$F221="Arizona",+NFL!#REF!,IF(+NFL!$H221="Arizona",+NFL!#REF!,0))</f>
        <v>#REF!</v>
      </c>
      <c r="BI15" s="46" t="e">
        <f>IF(+NFL!$F221="Arizona",+NFL!#REF!,IF(+NFL!$H221="Arizona",+NFL!#REF!,0))</f>
        <v>#REF!</v>
      </c>
      <c r="BJ15" s="87" t="e">
        <f>IF(+NFL!$F221="Arizona",+NFL!#REF!,IF(+NFL!$H221="Arizona",+NFL!#REF!,0))</f>
        <v>#REF!</v>
      </c>
      <c r="BK15" s="120" t="e">
        <f>IF(+NFL!$F221="Arizona",+NFL!#REF!,IF(+NFL!$H221="Arizona",+NFL!#REF!,0))</f>
        <v>#REF!</v>
      </c>
      <c r="BL15" s="9" t="e">
        <f>IF(+NFL!$F221="Arizona",+NFL!#REF!,IF(+NFL!$H221="Arizona",+NFL!#REF!,0))</f>
        <v>#REF!</v>
      </c>
      <c r="BM15" s="9" t="e">
        <f>IF(+NFL!$F221="Arizona",+NFL!#REF!,IF(+NFL!$H221="Arizona",+NFL!#REF!,0))</f>
        <v>#REF!</v>
      </c>
      <c r="BN15" s="246" t="e">
        <f>IF(+NFL!$F221="Arizona",+NFL!#REF!,IF(+NFL!$H221="Arizona",+NFL!#REF!,0))</f>
        <v>#REF!</v>
      </c>
      <c r="BO15" s="9" t="e">
        <f>IF(+NFL!$F221="Arizona",+NFL!#REF!,IF(+NFL!$H221="Arizona",+NFL!#REF!,0))</f>
        <v>#REF!</v>
      </c>
      <c r="BP15" s="9" t="e">
        <f>IF(+NFL!$F221="Arizona",+NFL!#REF!,IF(+NFL!$H221="Arizona",+NFL!#REF!,0))</f>
        <v>#REF!</v>
      </c>
      <c r="BQ15" s="9" t="e">
        <f>IF(+NFL!$F221="Arizona",+NFL!#REF!,IF(+NFL!$H221="Arizona",+NFL!#REF!,0))</f>
        <v>#REF!</v>
      </c>
    </row>
    <row r="16" spans="1:69" x14ac:dyDescent="0.8">
      <c r="A16" s="46">
        <f>IF(+NFL!$F242="Arizona",+NFL!A242,IF(+NFL!$H242="Arizona",+NFL!A242,0))</f>
        <v>13</v>
      </c>
      <c r="B16" s="46">
        <f>IF(+NFL!$F242="Arizona",+NFL!B242,IF(+NFL!$H242="Arizona",+NFL!B242,0))</f>
        <v>0</v>
      </c>
      <c r="C16" s="62">
        <f>IF(+NFL!$F242="Arizona",+NFL!C242,IF(+NFL!$H242="Arizona",+NFL!C242,0))</f>
        <v>0</v>
      </c>
      <c r="D16" s="490">
        <f>IF(+NFL!$F242="Arizona",+NFL!D242,IF(+NFL!$H242="Arizona",+NFL!D242,0))</f>
        <v>0</v>
      </c>
      <c r="E16" s="46">
        <f>IF(+NFL!$F242="Arizona",+NFL!E242,IF(+NFL!$H242="Arizona",+NFL!E242,0))</f>
        <v>0</v>
      </c>
      <c r="F16" s="127" t="str">
        <f>IF(+NFL!$F242="Arizona",+NFL!F242,IF(+NFL!$H242="Arizona",+NFL!F242,0))</f>
        <v>Arizona</v>
      </c>
      <c r="G16" s="46" t="str">
        <f>IF(+NFL!$F242="Arizona",+NFL!G242,IF(+NFL!$H242="Arizona",+NFL!G242,0))</f>
        <v>NFCW</v>
      </c>
      <c r="H16" s="127">
        <f>IF(+NFL!$F242="Arizona",+NFL!H242,IF(+NFL!$H242="Arizona",+NFL!H242,0))</f>
        <v>0</v>
      </c>
      <c r="I16" s="46">
        <f>IF(+NFL!$F242="Arizona",+NFL!I242,IF(+NFL!$H242="Arizona",+NFL!I242,0))</f>
        <v>0</v>
      </c>
      <c r="J16" s="353">
        <f>IF(+NFL!$F242="Arizona",+NFL!J242,IF(+NFL!$H242="Arizona",+NFL!J242,0))</f>
        <v>0</v>
      </c>
      <c r="K16" s="494">
        <f>IF(+NFL!$F242="Arizona",+NFL!K242,IF(+NFL!$H242="Arizona",+NFL!K242,0))</f>
        <v>0</v>
      </c>
      <c r="L16" s="384">
        <f>IF(+NFL!$F242="Arizona",+NFL!L242,IF(+NFL!$H242="Arizona",+NFL!L242,0))</f>
        <v>0</v>
      </c>
      <c r="M16" s="385">
        <f>IF(+NFL!$F242="Arizona",+NFL!M242,IF(+NFL!$H242="Arizona",+NFL!M242,0))</f>
        <v>0</v>
      </c>
      <c r="N16" s="394">
        <f>IF(+NFL!$F242="Arizona",+NFL!N242,IF(+NFL!$H242="Arizona",+NFL!N242,0))</f>
        <v>0</v>
      </c>
      <c r="O16" s="395">
        <f>IF(+NFL!$F242="Arizona",+NFL!O242,IF(+NFL!$H242="Arizona",+NFL!O242,0))</f>
        <v>0</v>
      </c>
      <c r="P16" s="394">
        <f>IF(+NFL!$F242="Arizona",+NFL!P242,IF(+NFL!$H242="Arizona",+NFL!P242,0))</f>
        <v>0</v>
      </c>
      <c r="Q16" s="396">
        <f>IF(+NFL!$F242="Arizona",+NFL!Q242,IF(+NFL!$H242="Arizona",+NFL!Q242,0))</f>
        <v>0</v>
      </c>
      <c r="R16" s="397">
        <f>IF(+NFL!$F242="Arizona",+NFL!R242,IF(+NFL!$H242="Arizona",+NFL!R242,0))</f>
        <v>0</v>
      </c>
      <c r="S16" s="396">
        <f>IF(+NFL!$F242="Arizona",+NFL!S242,IF(+NFL!$H242="Arizona",+NFL!S242,0))</f>
        <v>0</v>
      </c>
      <c r="T16" s="397">
        <f>IF(+NFL!$F242="Arizona",+NFL!T242,IF(+NFL!$H242="Arizona",+NFL!T242,0))</f>
        <v>0</v>
      </c>
      <c r="U16" s="396">
        <f>IF(+NFL!$F242="Arizona",+NFL!U242,IF(+NFL!$H242="Arizona",+NFL!U242,0))</f>
        <v>0</v>
      </c>
      <c r="AP16" s="348"/>
      <c r="AQ16" s="48"/>
      <c r="AS16" s="493"/>
      <c r="AT16" s="493"/>
      <c r="AV16" s="493"/>
      <c r="AX16" s="493"/>
      <c r="AY16" s="57"/>
      <c r="AZ16" s="493"/>
      <c r="BA16" s="46"/>
      <c r="BB16" s="46"/>
      <c r="BC16" s="403"/>
      <c r="BE16" s="493"/>
      <c r="BF16" s="493"/>
      <c r="BH16" s="493"/>
    </row>
    <row r="17" spans="1:63" x14ac:dyDescent="0.8">
      <c r="A17" s="46">
        <f>IF(+NFL!$F257="Arizona",+NFL!A257,IF(+NFL!$H257="Arizona",+NFL!A257,0))</f>
        <v>14</v>
      </c>
      <c r="B17" s="46" t="str">
        <f>IF(+NFL!$F257="Arizona",+NFL!B257,IF(+NFL!$H257="Arizona",+NFL!B257,0))</f>
        <v>Sun</v>
      </c>
      <c r="C17" s="62">
        <f>IF(+NFL!$F257="Arizona",+NFL!C257,IF(+NFL!$H257="Arizona",+NFL!C257,0))</f>
        <v>44906</v>
      </c>
      <c r="D17" s="490">
        <f>IF(+NFL!$F257="Arizona",+NFL!D257,IF(+NFL!$H257="Arizona",+NFL!D257,0))</f>
        <v>0.66666666666666663</v>
      </c>
      <c r="E17" s="46" t="str">
        <f>IF(+NFL!$F257="Arizona",+NFL!E257,IF(+NFL!$H257="Arizona",+NFL!E257,0))</f>
        <v>CBS</v>
      </c>
      <c r="F17" s="127" t="str">
        <f>IF(+NFL!$F257="Arizona",+NFL!F257,IF(+NFL!$H257="Arizona",+NFL!F257,0))</f>
        <v>New England</v>
      </c>
      <c r="G17" s="46" t="str">
        <f>IF(+NFL!$F257="Arizona",+NFL!G257,IF(+NFL!$H257="Arizona",+NFL!G257,0))</f>
        <v>AFCE</v>
      </c>
      <c r="H17" s="127" t="str">
        <f>IF(+NFL!$F257="Arizona",+NFL!H257,IF(+NFL!$H257="Arizona",+NFL!H257,0))</f>
        <v>Arizona</v>
      </c>
      <c r="I17" s="46" t="str">
        <f>IF(+NFL!$F257="Arizona",+NFL!I257,IF(+NFL!$H257="Arizona",+NFL!I257,0))</f>
        <v>NFCW</v>
      </c>
      <c r="J17" s="353" t="str">
        <f>IF(+NFL!$F257="Arizona",+NFL!J257,IF(+NFL!$H257="Arizona",+NFL!J257,0))</f>
        <v>New England</v>
      </c>
      <c r="K17" s="494" t="str">
        <f>IF(+NFL!$F257="Arizona",+NFL!K257,IF(+NFL!$H257="Arizona",+NFL!K257,0))</f>
        <v>Arizona</v>
      </c>
      <c r="L17" s="384">
        <f>IF(+NFL!$F257="Arizona",+NFL!L257,IF(+NFL!$H257="Arizona",+NFL!L257,0))</f>
        <v>3.5</v>
      </c>
      <c r="M17" s="385">
        <f>IF(+NFL!$F257="Arizona",+NFL!M257,IF(+NFL!$H257="Arizona",+NFL!M257,0))</f>
        <v>39.5</v>
      </c>
      <c r="N17" s="394" t="str">
        <f>IF(+NFL!$F257="Arizona",+NFL!N257,IF(+NFL!$H257="Arizona",+NFL!N257,0))</f>
        <v>New England</v>
      </c>
      <c r="O17" s="395">
        <f>IF(+NFL!$F257="Arizona",+NFL!O257,IF(+NFL!$H257="Arizona",+NFL!O257,0))</f>
        <v>27</v>
      </c>
      <c r="P17" s="394" t="str">
        <f>IF(+NFL!$F257="Arizona",+NFL!P257,IF(+NFL!$H257="Arizona",+NFL!P257,0))</f>
        <v>Arizona</v>
      </c>
      <c r="Q17" s="396">
        <f>IF(+NFL!$F257="Arizona",+NFL!Q257,IF(+NFL!$H257="Arizona",+NFL!Q257,0))</f>
        <v>13</v>
      </c>
      <c r="R17" s="397" t="str">
        <f>IF(+NFL!$F257="Arizona",+NFL!R257,IF(+NFL!$H257="Arizona",+NFL!R257,0))</f>
        <v>New England</v>
      </c>
      <c r="S17" s="396" t="str">
        <f>IF(+NFL!$F257="Arizona",+NFL!S257,IF(+NFL!$H257="Arizona",+NFL!S257,0))</f>
        <v>Arizona</v>
      </c>
      <c r="T17" s="397">
        <f>IF(+NFL!$F257="Arizona",+NFL!T257,IF(+NFL!$H257="Arizona",+NFL!T257,0))</f>
        <v>0</v>
      </c>
      <c r="U17" s="396" t="str">
        <f>IF(+NFL!$F257="Arizona",+NFL!U257,IF(+NFL!$H257="Arizona",+NFL!U257,0))</f>
        <v>L</v>
      </c>
      <c r="V17" s="397" t="e">
        <f>IF(+NFL!#REF!="Arizona",+NFL!#REF!,IF(+NFL!#REF!="Arizona",+NFL!#REF!,0))</f>
        <v>#REF!</v>
      </c>
      <c r="W17" s="396" t="e">
        <f>IF(+NFL!#REF!="Arizona",+NFL!#REF!,IF(+NFL!#REF!="Arizona",+NFL!#REF!,0))</f>
        <v>#REF!</v>
      </c>
      <c r="X17" s="397" t="e">
        <f>IF(+NFL!#REF!="Arizona",+NFL!#REF!,IF(+NFL!#REF!="Arizona",+NFL!#REF!,0))</f>
        <v>#REF!</v>
      </c>
      <c r="Y17" s="396" t="e">
        <f>IF(+NFL!#REF!="Arizona",+NFL!#REF!,IF(+NFL!#REF!="Arizona",+NFL!#REF!,0))</f>
        <v>#REF!</v>
      </c>
      <c r="Z17" s="397" t="e">
        <f>IF(+NFL!#REF!="Arizona",+NFL!#REF!,IF(+NFL!#REF!="Arizona",+NFL!#REF!,0))</f>
        <v>#REF!</v>
      </c>
      <c r="AA17" s="396" t="e">
        <f>IF(+NFL!#REF!="Arizona",+NFL!#REF!,IF(+NFL!#REF!="Arizona",+NFL!#REF!,0))</f>
        <v>#REF!</v>
      </c>
      <c r="AB17" s="87" t="e">
        <f>IF(+NFL!#REF!="Arizona",+NFL!#REF!,IF(+NFL!#REF!="Arizona",+NFL!#REF!,0))</f>
        <v>#REF!</v>
      </c>
      <c r="AC17" s="120" t="e">
        <f>IF(+NFL!#REF!="Arizona",+NFL!#REF!,IF(+NFL!#REF!="Arizona",+NFL!#REF!,0))</f>
        <v>#REF!</v>
      </c>
      <c r="AD17" s="353" t="e">
        <f>IF(+NFL!#REF!="Arizona",+NFL!#REF!,IF(+NFL!#REF!="Arizona",+NFL!#REF!,0))</f>
        <v>#REF!</v>
      </c>
      <c r="AE17" s="379" t="e">
        <f>IF(+NFL!#REF!="Arizona",+NFL!#REF!,IF(+NFL!#REF!="Arizona",+NFL!#REF!,0))</f>
        <v>#REF!</v>
      </c>
      <c r="AF17" s="353" t="e">
        <f>IF(+NFL!#REF!="Arizona",+NFL!#REF!,IF(+NFL!#REF!="Arizona",+NFL!#REF!,0))</f>
        <v>#REF!</v>
      </c>
      <c r="AG17" s="379" t="e">
        <f>IF(+NFL!#REF!="Arizona",+NFL!#REF!,IF(+NFL!#REF!="Arizona",+NFL!#REF!,0))</f>
        <v>#REF!</v>
      </c>
      <c r="AH17" s="353" t="e">
        <f>IF(+NFL!#REF!="Arizona",+NFL!#REF!,IF(+NFL!#REF!="Arizona",+NFL!#REF!,0))</f>
        <v>#REF!</v>
      </c>
      <c r="AI17" s="379" t="e">
        <f>IF(+NFL!#REF!="Arizona",+NFL!#REF!,IF(+NFL!#REF!="Arizona",+NFL!#REF!,0))</f>
        <v>#REF!</v>
      </c>
      <c r="AJ17" s="353" t="e">
        <f>IF(+NFL!#REF!="Arizona",+NFL!#REF!,IF(+NFL!#REF!="Arizona",+NFL!#REF!,0))</f>
        <v>#REF!</v>
      </c>
      <c r="AK17" s="379" t="e">
        <f>IF(+NFL!#REF!="Arizona",+NFL!#REF!,IF(+NFL!#REF!="Arizona",+NFL!#REF!,0))</f>
        <v>#REF!</v>
      </c>
      <c r="AL17" s="57" t="e">
        <f>IF(+NFL!#REF!="Arizona",+NFL!#REF!,IF(+NFL!#REF!="Arizona",+NFL!#REF!,0))</f>
        <v>#REF!</v>
      </c>
      <c r="AM17" s="58" t="e">
        <f>IF(+NFL!#REF!="Arizona",+NFL!#REF!,IF(+NFL!#REF!="Arizona",+NFL!#REF!,0))</f>
        <v>#REF!</v>
      </c>
      <c r="AN17" s="57" t="e">
        <f>IF(+NFL!#REF!="Arizona",+NFL!#REF!,IF(+NFL!#REF!="Arizona",+NFL!#REF!,0))</f>
        <v>#REF!</v>
      </c>
      <c r="AO17" s="59" t="e">
        <f>IF(+NFL!#REF!="Arizona",+NFL!#REF!,IF(+NFL!#REF!="Arizona",+NFL!#REF!,0))</f>
        <v>#REF!</v>
      </c>
      <c r="AP17" s="348" t="e">
        <f>IF(+NFL!#REF!="Arizona",+NFL!#REF!,IF(+NFL!#REF!="Arizona",+NFL!#REF!,0))</f>
        <v>#REF!</v>
      </c>
      <c r="AQ17" s="48" t="e">
        <f>IF(+NFL!#REF!="Arizona",+NFL!#REF!,IF(+NFL!#REF!="Arizona",+NFL!#REF!,0))</f>
        <v>#REF!</v>
      </c>
      <c r="AR17" s="57" t="e">
        <f>IF(+NFL!#REF!="Arizona",+NFL!#REF!,IF(+NFL!#REF!="Arizona",+NFL!#REF!,0))</f>
        <v>#REF!</v>
      </c>
      <c r="AS17" s="64" t="e">
        <f>IF(+NFL!#REF!="Arizona",+NFL!#REF!,IF(+NFL!#REF!="Arizona",+NFL!#REF!,0))</f>
        <v>#REF!</v>
      </c>
      <c r="AT17" s="64" t="e">
        <f>IF(+NFL!#REF!="Arizona",+NFL!#REF!,IF(+NFL!#REF!="Arizona",+NFL!#REF!,0))</f>
        <v>#REF!</v>
      </c>
      <c r="AU17" s="57" t="e">
        <f>IF(+NFL!#REF!="Arizona",+NFL!#REF!,IF(+NFL!#REF!="Arizona",+NFL!#REF!,0))</f>
        <v>#REF!</v>
      </c>
      <c r="AV17" s="64" t="e">
        <f>IF(+NFL!#REF!="Arizona",+NFL!#REF!,IF(+NFL!#REF!="Arizona",+NFL!#REF!,0))</f>
        <v>#REF!</v>
      </c>
      <c r="AW17" s="46" t="e">
        <f>IF(+NFL!#REF!="Arizona",+NFL!#REF!,IF(+NFL!#REF!="Arizona",+NFL!#REF!,0))</f>
        <v>#REF!</v>
      </c>
      <c r="AX17" s="64" t="e">
        <f>IF(+NFL!#REF!="Arizona",+NFL!#REF!,IF(+NFL!#REF!="Arizona",+NFL!#REF!,0))</f>
        <v>#REF!</v>
      </c>
      <c r="AY17" s="57" t="e">
        <f>IF(+NFL!#REF!="Arizona",+NFL!#REF!,IF(+NFL!#REF!="Arizona",+NFL!#REF!,0))</f>
        <v>#REF!</v>
      </c>
      <c r="AZ17" s="64" t="e">
        <f>IF(+NFL!#REF!="Arizona",+NFL!#REF!,IF(+NFL!#REF!="Arizona",+NFL!#REF!,0))</f>
        <v>#REF!</v>
      </c>
      <c r="BA17" s="46" t="e">
        <f>IF(+NFL!#REF!="Arizona",+NFL!#REF!,IF(+NFL!#REF!="Arizona",+NFL!#REF!,0))</f>
        <v>#REF!</v>
      </c>
      <c r="BB17" s="46" t="e">
        <f>IF(+NFL!#REF!="Arizona",+NFL!#REF!,IF(+NFL!#REF!="Arizona",+NFL!#REF!,0))</f>
        <v>#REF!</v>
      </c>
      <c r="BC17" s="403" t="e">
        <f>IF(+NFL!#REF!="Arizona",+NFL!#REF!,IF(+NFL!#REF!="Arizona",+NFL!#REF!,0))</f>
        <v>#REF!</v>
      </c>
      <c r="BD17" s="57" t="e">
        <f>IF(+NFL!#REF!="Arizona",+NFL!#REF!,IF(+NFL!#REF!="Arizona",+NFL!#REF!,0))</f>
        <v>#REF!</v>
      </c>
      <c r="BE17" s="64" t="e">
        <f>IF(+NFL!#REF!="Arizona",+NFL!#REF!,IF(+NFL!#REF!="Arizona",+NFL!#REF!,0))</f>
        <v>#REF!</v>
      </c>
      <c r="BF17" s="64" t="e">
        <f>IF(+NFL!#REF!="Arizona",+NFL!#REF!,IF(+NFL!#REF!="Arizona",+NFL!#REF!,0))</f>
        <v>#REF!</v>
      </c>
      <c r="BG17" s="57" t="e">
        <f>IF(+NFL!#REF!="Arizona",+NFL!#REF!,IF(+NFL!#REF!="Arizona",+NFL!#REF!,0))</f>
        <v>#REF!</v>
      </c>
      <c r="BH17" s="64" t="e">
        <f>IF(+NFL!#REF!="Arizona",+NFL!#REF!,IF(+NFL!#REF!="Arizona",+NFL!#REF!,0))</f>
        <v>#REF!</v>
      </c>
      <c r="BI17" s="46" t="e">
        <f>IF(+NFL!#REF!="Arizona",+NFL!#REF!,IF(+NFL!#REF!="Arizona",+NFL!#REF!,0))</f>
        <v>#REF!</v>
      </c>
      <c r="BJ17" s="87" t="e">
        <f>IF(+NFL!#REF!="Arizona",+NFL!#REF!,IF(+NFL!#REF!="Arizona",+NFL!#REF!,0))</f>
        <v>#REF!</v>
      </c>
      <c r="BK17" s="120" t="e">
        <f>IF(+NFL!#REF!="Arizona",+NFL!#REF!,IF(+NFL!#REF!="Arizona",+NFL!#REF!,0))</f>
        <v>#REF!</v>
      </c>
    </row>
    <row r="18" spans="1:63" x14ac:dyDescent="0.8">
      <c r="A18" s="46">
        <f>IF(+NFL!$F277="Arizona",+NFL!A277,IF(+NFL!$H277="Arizona",+NFL!A277,0))</f>
        <v>15</v>
      </c>
      <c r="B18" s="46" t="str">
        <f>IF(+NFL!$F277="Arizona",+NFL!B277,IF(+NFL!$H277="Arizona",+NFL!B277,0))</f>
        <v>Sun</v>
      </c>
      <c r="C18" s="62">
        <f>IF(+NFL!$F277="Arizona",+NFL!C277,IF(+NFL!$H277="Arizona",+NFL!C277,0))</f>
        <v>44913</v>
      </c>
      <c r="D18" s="490">
        <f>IF(+NFL!$F277="Arizona",+NFL!D277,IF(+NFL!$H277="Arizona",+NFL!D277,0))</f>
        <v>0.66666666666666663</v>
      </c>
      <c r="E18" s="46" t="str">
        <f>IF(+NFL!$F277="Arizona",+NFL!E277,IF(+NFL!$H277="Arizona",+NFL!E277,0))</f>
        <v>Fox</v>
      </c>
      <c r="F18" s="127" t="str">
        <f>IF(+NFL!$F277="Arizona",+NFL!F277,IF(+NFL!$H277="Arizona",+NFL!F277,0))</f>
        <v>Arizona</v>
      </c>
      <c r="G18" s="46" t="str">
        <f>IF(+NFL!$F277="Arizona",+NFL!G277,IF(+NFL!$H277="Arizona",+NFL!G277,0))</f>
        <v>NFCW</v>
      </c>
      <c r="H18" s="127" t="str">
        <f>IF(+NFL!$F277="Arizona",+NFL!H277,IF(+NFL!$H277="Arizona",+NFL!H277,0))</f>
        <v>Denver</v>
      </c>
      <c r="I18" s="46" t="str">
        <f>IF(+NFL!$F277="Arizona",+NFL!I277,IF(+NFL!$H277="Arizona",+NFL!I277,0))</f>
        <v>AFCW</v>
      </c>
      <c r="J18" s="353" t="str">
        <f>IF(+NFL!$F277="Arizona",+NFL!J277,IF(+NFL!$H277="Arizona",+NFL!J277,0))</f>
        <v>Denver</v>
      </c>
      <c r="K18" s="494" t="str">
        <f>IF(+NFL!$F277="Arizona",+NFL!K277,IF(+NFL!$H277="Arizona",+NFL!K277,0))</f>
        <v>Arizona</v>
      </c>
      <c r="L18" s="384">
        <f>IF(+NFL!$F277="Arizona",+NFL!L277,IF(+NFL!$H277="Arizona",+NFL!L277,0))</f>
        <v>1.5</v>
      </c>
      <c r="M18" s="385">
        <f>IF(+NFL!$F277="Arizona",+NFL!M277,IF(+NFL!$H277="Arizona",+NFL!M277,0))</f>
        <v>37.5</v>
      </c>
      <c r="N18" s="394" t="str">
        <f>IF(+NFL!$F277="Arizona",+NFL!N277,IF(+NFL!$H277="Arizona",+NFL!N277,0))</f>
        <v>Denver</v>
      </c>
      <c r="O18" s="395">
        <f>IF(+NFL!$F277="Arizona",+NFL!O277,IF(+NFL!$H277="Arizona",+NFL!O277,0))</f>
        <v>24</v>
      </c>
      <c r="P18" s="394" t="str">
        <f>IF(+NFL!$F277="Arizona",+NFL!P277,IF(+NFL!$H277="Arizona",+NFL!P277,0))</f>
        <v>Arizona</v>
      </c>
      <c r="Q18" s="396">
        <f>IF(+NFL!$F277="Arizona",+NFL!Q277,IF(+NFL!$H277="Arizona",+NFL!Q277,0))</f>
        <v>15</v>
      </c>
      <c r="R18" s="397" t="str">
        <f>IF(+NFL!$F277="Arizona",+NFL!R277,IF(+NFL!$H277="Arizona",+NFL!R277,0))</f>
        <v>Denver</v>
      </c>
      <c r="S18" s="396" t="str">
        <f>IF(+NFL!$F277="Arizona",+NFL!S277,IF(+NFL!$H277="Arizona",+NFL!S277,0))</f>
        <v>Arizona</v>
      </c>
      <c r="T18" s="397">
        <f>IF(+NFL!$F277="Arizona",+NFL!T277,IF(+NFL!$H277="Arizona",+NFL!T277,0))</f>
        <v>0</v>
      </c>
      <c r="U18" s="396" t="str">
        <f>IF(+NFL!$F277="Arizona",+NFL!U277,IF(+NFL!$H277="Arizona",+NFL!U277,0))</f>
        <v>L</v>
      </c>
      <c r="V18" s="397" t="e">
        <f>IF(+NFL!$F257="Arizona",+NFL!#REF!,IF(+NFL!$H257="Arizona",+NFL!#REF!,0))</f>
        <v>#REF!</v>
      </c>
      <c r="W18" s="396" t="e">
        <f>IF(+NFL!$F257="Arizona",+NFL!#REF!,IF(+NFL!$H257="Arizona",+NFL!#REF!,0))</f>
        <v>#REF!</v>
      </c>
      <c r="X18" s="397" t="e">
        <f>IF(+NFL!$F257="Arizona",+NFL!#REF!,IF(+NFL!$H257="Arizona",+NFL!#REF!,0))</f>
        <v>#REF!</v>
      </c>
      <c r="Y18" s="396" t="e">
        <f>IF(+NFL!$F257="Arizona",+NFL!#REF!,IF(+NFL!$H257="Arizona",+NFL!#REF!,0))</f>
        <v>#REF!</v>
      </c>
      <c r="Z18" s="397" t="e">
        <f>IF(+NFL!$F257="Arizona",+NFL!#REF!,IF(+NFL!$H257="Arizona",+NFL!#REF!,0))</f>
        <v>#REF!</v>
      </c>
      <c r="AA18" s="396" t="e">
        <f>IF(+NFL!$F257="Arizona",+NFL!#REF!,IF(+NFL!$H257="Arizona",+NFL!#REF!,0))</f>
        <v>#REF!</v>
      </c>
      <c r="AB18" s="87" t="e">
        <f>IF(+NFL!$F257="Arizona",+NFL!#REF!,IF(+NFL!$H257="Arizona",+NFL!#REF!,0))</f>
        <v>#REF!</v>
      </c>
      <c r="AC18" s="120" t="e">
        <f>IF(+NFL!$F257="Arizona",+NFL!#REF!,IF(+NFL!$H257="Arizona",+NFL!#REF!,0))</f>
        <v>#REF!</v>
      </c>
      <c r="AD18" s="353" t="e">
        <f>IF(+NFL!$F257="Arizona",+NFL!#REF!,IF(+NFL!$H257="Arizona",+NFL!#REF!,0))</f>
        <v>#REF!</v>
      </c>
      <c r="AE18" s="379" t="e">
        <f>IF(+NFL!$F257="Arizona",+NFL!#REF!,IF(+NFL!$H257="Arizona",+NFL!#REF!,0))</f>
        <v>#REF!</v>
      </c>
      <c r="AF18" s="353" t="e">
        <f>IF(+NFL!$F257="Arizona",+NFL!#REF!,IF(+NFL!$H257="Arizona",+NFL!#REF!,0))</f>
        <v>#REF!</v>
      </c>
      <c r="AG18" s="379" t="e">
        <f>IF(+NFL!$F257="Arizona",+NFL!#REF!,IF(+NFL!$H257="Arizona",+NFL!#REF!,0))</f>
        <v>#REF!</v>
      </c>
      <c r="AH18" s="353" t="e">
        <f>IF(+NFL!$F257="Arizona",+NFL!#REF!,IF(+NFL!$H257="Arizona",+NFL!#REF!,0))</f>
        <v>#REF!</v>
      </c>
      <c r="AI18" s="379" t="e">
        <f>IF(+NFL!$F257="Arizona",+NFL!#REF!,IF(+NFL!$H257="Arizona",+NFL!#REF!,0))</f>
        <v>#REF!</v>
      </c>
      <c r="AJ18" s="353" t="e">
        <f>IF(+NFL!$F257="Arizona",+NFL!#REF!,IF(+NFL!$H257="Arizona",+NFL!#REF!,0))</f>
        <v>#REF!</v>
      </c>
      <c r="AK18" s="379" t="e">
        <f>IF(+NFL!$F257="Arizona",+NFL!#REF!,IF(+NFL!$H257="Arizona",+NFL!#REF!,0))</f>
        <v>#REF!</v>
      </c>
      <c r="AL18" s="57" t="e">
        <f>IF(+NFL!$F257="Arizona",+NFL!#REF!,IF(+NFL!$H257="Arizona",+NFL!#REF!,0))</f>
        <v>#REF!</v>
      </c>
      <c r="AM18" s="58" t="e">
        <f>IF(+NFL!$F257="Arizona",+NFL!#REF!,IF(+NFL!$H257="Arizona",+NFL!#REF!,0))</f>
        <v>#REF!</v>
      </c>
      <c r="AN18" s="57" t="e">
        <f>IF(+NFL!$F257="Arizona",+NFL!#REF!,IF(+NFL!$H257="Arizona",+NFL!#REF!,0))</f>
        <v>#REF!</v>
      </c>
      <c r="AO18" s="59" t="e">
        <f>IF(+NFL!$F257="Arizona",+NFL!#REF!,IF(+NFL!$H257="Arizona",+NFL!#REF!,0))</f>
        <v>#REF!</v>
      </c>
      <c r="AP18" s="348" t="e">
        <f>IF(+NFL!$F257="Arizona",+NFL!#REF!,IF(+NFL!$H257="Arizona",+NFL!#REF!,0))</f>
        <v>#REF!</v>
      </c>
      <c r="AQ18" s="48" t="e">
        <f>IF(+NFL!$F257="Arizona",+NFL!#REF!,IF(+NFL!$H257="Arizona",+NFL!#REF!,0))</f>
        <v>#REF!</v>
      </c>
      <c r="AR18" s="57" t="e">
        <f>IF(+NFL!$F257="Arizona",+NFL!#REF!,IF(+NFL!$H257="Arizona",+NFL!#REF!,0))</f>
        <v>#REF!</v>
      </c>
      <c r="AS18" s="64" t="e">
        <f>IF(+NFL!$F257="Arizona",+NFL!#REF!,IF(+NFL!$H257="Arizona",+NFL!#REF!,0))</f>
        <v>#REF!</v>
      </c>
      <c r="AT18" s="64" t="e">
        <f>IF(+NFL!$F257="Arizona",+NFL!#REF!,IF(+NFL!$H257="Arizona",+NFL!#REF!,0))</f>
        <v>#REF!</v>
      </c>
      <c r="AU18" s="57" t="e">
        <f>IF(+NFL!$F257="Arizona",+NFL!#REF!,IF(+NFL!$H257="Arizona",+NFL!#REF!,0))</f>
        <v>#REF!</v>
      </c>
      <c r="AV18" s="64" t="e">
        <f>IF(+NFL!$F257="Arizona",+NFL!#REF!,IF(+NFL!$H257="Arizona",+NFL!#REF!,0))</f>
        <v>#REF!</v>
      </c>
      <c r="AW18" s="46" t="e">
        <f>IF(+NFL!$F257="Arizona",+NFL!#REF!,IF(+NFL!$H257="Arizona",+NFL!#REF!,0))</f>
        <v>#REF!</v>
      </c>
      <c r="AX18" s="64" t="e">
        <f>IF(+NFL!$F257="Arizona",+NFL!#REF!,IF(+NFL!$H257="Arizona",+NFL!#REF!,0))</f>
        <v>#REF!</v>
      </c>
      <c r="AY18" s="57" t="e">
        <f>IF(+NFL!$F257="Arizona",+NFL!#REF!,IF(+NFL!$H257="Arizona",+NFL!#REF!,0))</f>
        <v>#REF!</v>
      </c>
      <c r="AZ18" s="64" t="e">
        <f>IF(+NFL!$F257="Arizona",+NFL!#REF!,IF(+NFL!$H257="Arizona",+NFL!#REF!,0))</f>
        <v>#REF!</v>
      </c>
      <c r="BA18" s="46" t="e">
        <f>IF(+NFL!$F257="Arizona",+NFL!#REF!,IF(+NFL!$H257="Arizona",+NFL!#REF!,0))</f>
        <v>#REF!</v>
      </c>
      <c r="BB18" s="46" t="e">
        <f>IF(+NFL!$F257="Arizona",+NFL!#REF!,IF(+NFL!$H257="Arizona",+NFL!#REF!,0))</f>
        <v>#REF!</v>
      </c>
      <c r="BC18" s="403" t="e">
        <f>IF(+NFL!$F257="Arizona",+NFL!#REF!,IF(+NFL!$H257="Arizona",+NFL!#REF!,0))</f>
        <v>#REF!</v>
      </c>
      <c r="BD18" s="57" t="e">
        <f>IF(+NFL!$F257="Arizona",+NFL!#REF!,IF(+NFL!$H257="Arizona",+NFL!#REF!,0))</f>
        <v>#REF!</v>
      </c>
      <c r="BE18" s="64" t="e">
        <f>IF(+NFL!$F257="Arizona",+NFL!#REF!,IF(+NFL!$H257="Arizona",+NFL!#REF!,0))</f>
        <v>#REF!</v>
      </c>
      <c r="BF18" s="64" t="e">
        <f>IF(+NFL!$F257="Arizona",+NFL!#REF!,IF(+NFL!$H257="Arizona",+NFL!#REF!,0))</f>
        <v>#REF!</v>
      </c>
      <c r="BG18" s="57" t="e">
        <f>IF(+NFL!$F257="Arizona",+NFL!#REF!,IF(+NFL!$H257="Arizona",+NFL!#REF!,0))</f>
        <v>#REF!</v>
      </c>
      <c r="BH18" s="64" t="e">
        <f>IF(+NFL!$F257="Arizona",+NFL!#REF!,IF(+NFL!$H257="Arizona",+NFL!#REF!,0))</f>
        <v>#REF!</v>
      </c>
      <c r="BI18" s="46" t="e">
        <f>IF(+NFL!$F257="Arizona",+NFL!#REF!,IF(+NFL!$H257="Arizona",+NFL!#REF!,0))</f>
        <v>#REF!</v>
      </c>
      <c r="BJ18" s="87" t="e">
        <f>IF(+NFL!$F257="Arizona",+NFL!#REF!,IF(+NFL!$H257="Arizona",+NFL!#REF!,0))</f>
        <v>#REF!</v>
      </c>
      <c r="BK18" s="120" t="e">
        <f>IF(+NFL!$F257="Arizona",+NFL!#REF!,IF(+NFL!$H257="Arizona",+NFL!#REF!,0))</f>
        <v>#REF!</v>
      </c>
    </row>
    <row r="19" spans="1:63" x14ac:dyDescent="0.8">
      <c r="A19" s="46">
        <f>IF(+NFL!$F297="Arizona",+NFL!A297,IF(+NFL!$H297="Arizona",+NFL!A297,0))</f>
        <v>16</v>
      </c>
      <c r="B19" s="46" t="str">
        <f>IF(+NFL!$F297="Arizona",+NFL!B297,IF(+NFL!$H297="Arizona",+NFL!B297,0))</f>
        <v>Sun</v>
      </c>
      <c r="C19" s="62">
        <f>IF(+NFL!$F297="Arizona",+NFL!C297,IF(+NFL!$H297="Arizona",+NFL!C297,0))</f>
        <v>44920</v>
      </c>
      <c r="D19" s="490">
        <f>IF(+NFL!$F297="Arizona",+NFL!D297,IF(+NFL!$H297="Arizona",+NFL!D297,0))</f>
        <v>0.84375</v>
      </c>
      <c r="E19" s="46" t="str">
        <f>IF(+NFL!$F297="Arizona",+NFL!E297,IF(+NFL!$H297="Arizona",+NFL!E297,0))</f>
        <v>NBC</v>
      </c>
      <c r="F19" s="127" t="str">
        <f>IF(+NFL!$F297="Arizona",+NFL!F297,IF(+NFL!$H297="Arizona",+NFL!F297,0))</f>
        <v>Tampa Bay</v>
      </c>
      <c r="G19" s="46" t="str">
        <f>IF(+NFL!$F297="Arizona",+NFL!G297,IF(+NFL!$H297="Arizona",+NFL!G297,0))</f>
        <v>NFCS</v>
      </c>
      <c r="H19" s="127" t="str">
        <f>IF(+NFL!$F297="Arizona",+NFL!H297,IF(+NFL!$H297="Arizona",+NFL!H297,0))</f>
        <v>Arizona</v>
      </c>
      <c r="I19" s="46" t="str">
        <f>IF(+NFL!$F297="Arizona",+NFL!I297,IF(+NFL!$H297="Arizona",+NFL!I297,0))</f>
        <v>NFCW</v>
      </c>
      <c r="J19" s="353" t="str">
        <f>IF(+NFL!$F297="Arizona",+NFL!J297,IF(+NFL!$H297="Arizona",+NFL!J297,0))</f>
        <v>Tampa Bay</v>
      </c>
      <c r="K19" s="494" t="str">
        <f>IF(+NFL!$F297="Arizona",+NFL!K297,IF(+NFL!$H297="Arizona",+NFL!K297,0))</f>
        <v>Arizona</v>
      </c>
      <c r="L19" s="384">
        <f>IF(+NFL!$F297="Arizona",+NFL!L297,IF(+NFL!$H297="Arizona",+NFL!L297,0))</f>
        <v>7.5</v>
      </c>
      <c r="M19" s="385">
        <f>IF(+NFL!$F297="Arizona",+NFL!M297,IF(+NFL!$H297="Arizona",+NFL!M297,0))</f>
        <v>41.5</v>
      </c>
      <c r="N19" s="394" t="str">
        <f>IF(+NFL!$F297="Arizona",+NFL!N297,IF(+NFL!$H297="Arizona",+NFL!N297,0))</f>
        <v>Tampa Bay</v>
      </c>
      <c r="O19" s="395">
        <f>IF(+NFL!$F297="Arizona",+NFL!O297,IF(+NFL!$H297="Arizona",+NFL!O297,0))</f>
        <v>19</v>
      </c>
      <c r="P19" s="394" t="str">
        <f>IF(+NFL!$F297="Arizona",+NFL!P297,IF(+NFL!$H297="Arizona",+NFL!P297,0))</f>
        <v>Arizona</v>
      </c>
      <c r="Q19" s="396">
        <f>IF(+NFL!$F297="Arizona",+NFL!Q297,IF(+NFL!$H297="Arizona",+NFL!Q297,0))</f>
        <v>16</v>
      </c>
      <c r="R19" s="397" t="str">
        <f>IF(+NFL!$F297="Arizona",+NFL!R297,IF(+NFL!$H297="Arizona",+NFL!R297,0))</f>
        <v>Arizona</v>
      </c>
      <c r="S19" s="396" t="str">
        <f>IF(+NFL!$F297="Arizona",+NFL!S297,IF(+NFL!$H297="Arizona",+NFL!S297,0))</f>
        <v>Tampa Bay</v>
      </c>
      <c r="T19" s="397">
        <f>IF(+NFL!$F297="Arizona",+NFL!T297,IF(+NFL!$H297="Arizona",+NFL!T297,0))</f>
        <v>0</v>
      </c>
      <c r="U19" s="396" t="str">
        <f>IF(+NFL!$F297="Arizona",+NFL!U297,IF(+NFL!$H297="Arizona",+NFL!U297,0))</f>
        <v>L</v>
      </c>
      <c r="V19" s="397">
        <f>IF(+NFL!$F276="Arizona",+NFL!#REF!,IF(+NFL!$H276="Arizona",+NFL!#REF!,0))</f>
        <v>0</v>
      </c>
      <c r="W19" s="396">
        <f>IF(+NFL!$F276="Arizona",+NFL!#REF!,IF(+NFL!$H276="Arizona",+NFL!#REF!,0))</f>
        <v>0</v>
      </c>
      <c r="X19" s="397">
        <f>IF(+NFL!$F276="Arizona",+NFL!#REF!,IF(+NFL!$H276="Arizona",+NFL!#REF!,0))</f>
        <v>0</v>
      </c>
      <c r="Y19" s="396">
        <f>IF(+NFL!$F276="Arizona",+NFL!#REF!,IF(+NFL!$H276="Arizona",+NFL!#REF!,0))</f>
        <v>0</v>
      </c>
      <c r="Z19" s="397">
        <f>IF(+NFL!$F276="Arizona",+NFL!#REF!,IF(+NFL!$H276="Arizona",+NFL!#REF!,0))</f>
        <v>0</v>
      </c>
      <c r="AA19" s="396">
        <f>IF(+NFL!$F276="Arizona",+NFL!#REF!,IF(+NFL!$H276="Arizona",+NFL!#REF!,0))</f>
        <v>0</v>
      </c>
      <c r="AB19" s="87">
        <f>IF(+NFL!$F276="Arizona",+NFL!#REF!,IF(+NFL!$H276="Arizona",+NFL!#REF!,0))</f>
        <v>0</v>
      </c>
      <c r="AC19" s="120">
        <f>IF(+NFL!$F276="Arizona",+NFL!#REF!,IF(+NFL!$H276="Arizona",+NFL!#REF!,0))</f>
        <v>0</v>
      </c>
      <c r="AD19" s="353">
        <f>IF(+NFL!$F276="Arizona",+NFL!#REF!,IF(+NFL!$H276="Arizona",+NFL!#REF!,0))</f>
        <v>0</v>
      </c>
      <c r="AE19" s="379">
        <f>IF(+NFL!$F276="Arizona",+NFL!#REF!,IF(+NFL!$H276="Arizona",+NFL!#REF!,0))</f>
        <v>0</v>
      </c>
      <c r="AF19" s="353">
        <f>IF(+NFL!$F276="Arizona",+NFL!#REF!,IF(+NFL!$H276="Arizona",+NFL!#REF!,0))</f>
        <v>0</v>
      </c>
      <c r="AG19" s="379">
        <f>IF(+NFL!$F276="Arizona",+NFL!#REF!,IF(+NFL!$H276="Arizona",+NFL!#REF!,0))</f>
        <v>0</v>
      </c>
      <c r="AH19" s="353">
        <f>IF(+NFL!$F276="Arizona",+NFL!#REF!,IF(+NFL!$H276="Arizona",+NFL!#REF!,0))</f>
        <v>0</v>
      </c>
      <c r="AI19" s="379">
        <f>IF(+NFL!$F276="Arizona",+NFL!#REF!,IF(+NFL!$H276="Arizona",+NFL!#REF!,0))</f>
        <v>0</v>
      </c>
      <c r="AJ19" s="353">
        <f>IF(+NFL!$F276="Arizona",+NFL!#REF!,IF(+NFL!$H276="Arizona",+NFL!#REF!,0))</f>
        <v>0</v>
      </c>
      <c r="AK19" s="379">
        <f>IF(+NFL!$F276="Arizona",+NFL!#REF!,IF(+NFL!$H276="Arizona",+NFL!#REF!,0))</f>
        <v>0</v>
      </c>
      <c r="AL19" s="57">
        <f>IF(+NFL!$F276="Arizona",+NFL!#REF!,IF(+NFL!$H276="Arizona",+NFL!#REF!,0))</f>
        <v>0</v>
      </c>
      <c r="AM19" s="58">
        <f>IF(+NFL!$F276="Arizona",+NFL!#REF!,IF(+NFL!$H276="Arizona",+NFL!#REF!,0))</f>
        <v>0</v>
      </c>
      <c r="AN19" s="57">
        <f>IF(+NFL!$F276="Arizona",+NFL!#REF!,IF(+NFL!$H276="Arizona",+NFL!#REF!,0))</f>
        <v>0</v>
      </c>
      <c r="AO19" s="59">
        <f>IF(+NFL!$F276="Arizona",+NFL!#REF!,IF(+NFL!$H276="Arizona",+NFL!#REF!,0))</f>
        <v>0</v>
      </c>
      <c r="AP19" s="348">
        <f>IF(+NFL!$F276="Arizona",+NFL!#REF!,IF(+NFL!$H276="Arizona",+NFL!#REF!,0))</f>
        <v>0</v>
      </c>
      <c r="AQ19" s="48">
        <f>IF(+NFL!$F276="Arizona",+NFL!#REF!,IF(+NFL!$H276="Arizona",+NFL!#REF!,0))</f>
        <v>0</v>
      </c>
      <c r="AR19" s="57">
        <f>IF(+NFL!$F276="Arizona",+NFL!#REF!,IF(+NFL!$H276="Arizona",+NFL!#REF!,0))</f>
        <v>0</v>
      </c>
      <c r="AS19" s="64">
        <f>IF(+NFL!$F276="Arizona",+NFL!#REF!,IF(+NFL!$H276="Arizona",+NFL!#REF!,0))</f>
        <v>0</v>
      </c>
      <c r="AT19" s="64">
        <f>IF(+NFL!$F276="Arizona",+NFL!#REF!,IF(+NFL!$H276="Arizona",+NFL!#REF!,0))</f>
        <v>0</v>
      </c>
      <c r="AU19" s="57">
        <f>IF(+NFL!$F276="Arizona",+NFL!#REF!,IF(+NFL!$H276="Arizona",+NFL!#REF!,0))</f>
        <v>0</v>
      </c>
      <c r="AV19" s="64">
        <f>IF(+NFL!$F276="Arizona",+NFL!#REF!,IF(+NFL!$H276="Arizona",+NFL!#REF!,0))</f>
        <v>0</v>
      </c>
      <c r="AW19" s="46">
        <f>IF(+NFL!$F276="Arizona",+NFL!#REF!,IF(+NFL!$H276="Arizona",+NFL!#REF!,0))</f>
        <v>0</v>
      </c>
      <c r="AX19" s="64">
        <f>IF(+NFL!$F276="Arizona",+NFL!#REF!,IF(+NFL!$H276="Arizona",+NFL!#REF!,0))</f>
        <v>0</v>
      </c>
      <c r="AY19" s="57">
        <f>IF(+NFL!$F276="Arizona",+NFL!#REF!,IF(+NFL!$H276="Arizona",+NFL!#REF!,0))</f>
        <v>0</v>
      </c>
      <c r="AZ19" s="64">
        <f>IF(+NFL!$F276="Arizona",+NFL!#REF!,IF(+NFL!$H276="Arizona",+NFL!#REF!,0))</f>
        <v>0</v>
      </c>
      <c r="BA19" s="46">
        <f>IF(+NFL!$F276="Arizona",+NFL!#REF!,IF(+NFL!$H276="Arizona",+NFL!#REF!,0))</f>
        <v>0</v>
      </c>
      <c r="BB19" s="46">
        <f>IF(+NFL!$F276="Arizona",+NFL!#REF!,IF(+NFL!$H276="Arizona",+NFL!#REF!,0))</f>
        <v>0</v>
      </c>
      <c r="BC19" s="403">
        <f>IF(+NFL!$F276="Arizona",+NFL!#REF!,IF(+NFL!$H276="Arizona",+NFL!#REF!,0))</f>
        <v>0</v>
      </c>
      <c r="BD19" s="57">
        <f>IF(+NFL!$F276="Arizona",+NFL!#REF!,IF(+NFL!$H276="Arizona",+NFL!#REF!,0))</f>
        <v>0</v>
      </c>
      <c r="BE19" s="64">
        <f>IF(+NFL!$F276="Arizona",+NFL!#REF!,IF(+NFL!$H276="Arizona",+NFL!#REF!,0))</f>
        <v>0</v>
      </c>
      <c r="BF19" s="64">
        <f>IF(+NFL!$F276="Arizona",+NFL!#REF!,IF(+NFL!$H276="Arizona",+NFL!#REF!,0))</f>
        <v>0</v>
      </c>
      <c r="BG19" s="57">
        <f>IF(+NFL!$F276="Arizona",+NFL!#REF!,IF(+NFL!$H276="Arizona",+NFL!#REF!,0))</f>
        <v>0</v>
      </c>
      <c r="BH19" s="64">
        <f>IF(+NFL!$F276="Arizona",+NFL!#REF!,IF(+NFL!$H276="Arizona",+NFL!#REF!,0))</f>
        <v>0</v>
      </c>
      <c r="BI19" s="46">
        <f>IF(+NFL!$F276="Arizona",+NFL!#REF!,IF(+NFL!$H276="Arizona",+NFL!#REF!,0))</f>
        <v>0</v>
      </c>
      <c r="BJ19" s="87">
        <f>IF(+NFL!$F276="Arizona",+NFL!#REF!,IF(+NFL!$H276="Arizona",+NFL!#REF!,0))</f>
        <v>0</v>
      </c>
      <c r="BK19" s="120">
        <f>IF(+NFL!$F276="Arizona",+NFL!#REF!,IF(+NFL!$H276="Arizona",+NFL!#REF!,0))</f>
        <v>0</v>
      </c>
    </row>
    <row r="20" spans="1:63" x14ac:dyDescent="0.8">
      <c r="A20" s="46">
        <f>IF(+NFL!$F301="Arizona",+NFL!A301,IF(+NFL!$H301="Arizona",+NFL!A301,0))</f>
        <v>17</v>
      </c>
      <c r="B20" s="46" t="str">
        <f>IF(+NFL!$F301="Arizona",+NFL!B301,IF(+NFL!$H301="Arizona",+NFL!B301,0))</f>
        <v>Sun</v>
      </c>
      <c r="C20" s="62">
        <f>IF(+NFL!$F301="Arizona",+NFL!C301,IF(+NFL!$H301="Arizona",+NFL!C301,0))</f>
        <v>44927</v>
      </c>
      <c r="D20" s="490">
        <f>IF(+NFL!$F301="Arizona",+NFL!D301,IF(+NFL!$H301="Arizona",+NFL!D301,0))</f>
        <v>0.54166666666666663</v>
      </c>
      <c r="E20" s="46" t="str">
        <f>IF(+NFL!$F301="Arizona",+NFL!E301,IF(+NFL!$H301="Arizona",+NFL!E301,0))</f>
        <v>Fox</v>
      </c>
      <c r="F20" s="127" t="str">
        <f>IF(+NFL!$F301="Arizona",+NFL!F301,IF(+NFL!$H301="Arizona",+NFL!F301,0))</f>
        <v>Arizona</v>
      </c>
      <c r="G20" s="46" t="str">
        <f>IF(+NFL!$F301="Arizona",+NFL!G301,IF(+NFL!$H301="Arizona",+NFL!G301,0))</f>
        <v>NFCW</v>
      </c>
      <c r="H20" s="127" t="str">
        <f>IF(+NFL!$F301="Arizona",+NFL!H301,IF(+NFL!$H301="Arizona",+NFL!H301,0))</f>
        <v>Atlanta</v>
      </c>
      <c r="I20" s="46" t="str">
        <f>IF(+NFL!$F301="Arizona",+NFL!I301,IF(+NFL!$H301="Arizona",+NFL!I301,0))</f>
        <v>NFCS</v>
      </c>
      <c r="J20" s="353" t="str">
        <f>IF(+NFL!$F301="Arizona",+NFL!J301,IF(+NFL!$H301="Arizona",+NFL!J301,0))</f>
        <v>Atlanta</v>
      </c>
      <c r="K20" s="494" t="str">
        <f>IF(+NFL!$F301="Arizona",+NFL!K301,IF(+NFL!$H301="Arizona",+NFL!K301,0))</f>
        <v>Arizona</v>
      </c>
      <c r="L20" s="384">
        <f>IF(+NFL!$F301="Arizona",+NFL!L301,IF(+NFL!$H301="Arizona",+NFL!L301,0))</f>
        <v>6.5</v>
      </c>
      <c r="M20" s="385">
        <f>IF(+NFL!$F301="Arizona",+NFL!M301,IF(+NFL!$H301="Arizona",+NFL!M301,0))</f>
        <v>40.5</v>
      </c>
      <c r="N20" s="394" t="str">
        <f>IF(+NFL!$F301="Arizona",+NFL!N301,IF(+NFL!$H301="Arizona",+NFL!N301,0))</f>
        <v>Atlanta</v>
      </c>
      <c r="O20" s="395">
        <f>IF(+NFL!$F301="Arizona",+NFL!O301,IF(+NFL!$H301="Arizona",+NFL!O301,0))</f>
        <v>20</v>
      </c>
      <c r="P20" s="394" t="str">
        <f>IF(+NFL!$F301="Arizona",+NFL!P301,IF(+NFL!$H301="Arizona",+NFL!P301,0))</f>
        <v>Arizona</v>
      </c>
      <c r="Q20" s="396">
        <f>IF(+NFL!$F301="Arizona",+NFL!Q301,IF(+NFL!$H301="Arizona",+NFL!Q301,0))</f>
        <v>19</v>
      </c>
      <c r="R20" s="397" t="str">
        <f>IF(+NFL!$F301="Arizona",+NFL!R301,IF(+NFL!$H301="Arizona",+NFL!R301,0))</f>
        <v>Arizona</v>
      </c>
      <c r="S20" s="396" t="str">
        <f>IF(+NFL!$F301="Arizona",+NFL!S301,IF(+NFL!$H301="Arizona",+NFL!S301,0))</f>
        <v>Atlanta</v>
      </c>
      <c r="T20" s="397">
        <f>IF(+NFL!$F301="Arizona",+NFL!T301,IF(+NFL!$H301="Arizona",+NFL!T301,0))</f>
        <v>0</v>
      </c>
      <c r="U20" s="396" t="str">
        <f>IF(+NFL!$F301="Arizona",+NFL!U301,IF(+NFL!$H301="Arizona",+NFL!U301,0))</f>
        <v>L</v>
      </c>
      <c r="V20" s="397">
        <f>IF(+NFL!$F295="Arizona",+NFL!#REF!,IF(+NFL!$H295="Arizona",+NFL!#REF!,0))</f>
        <v>0</v>
      </c>
      <c r="W20" s="396">
        <f>IF(+NFL!$F295="Arizona",+NFL!#REF!,IF(+NFL!$H295="Arizona",+NFL!#REF!,0))</f>
        <v>0</v>
      </c>
      <c r="X20" s="397">
        <f>IF(+NFL!$F295="Arizona",+NFL!#REF!,IF(+NFL!$H295="Arizona",+NFL!#REF!,0))</f>
        <v>0</v>
      </c>
      <c r="Y20" s="396">
        <f>IF(+NFL!$F295="Arizona",+NFL!#REF!,IF(+NFL!$H295="Arizona",+NFL!#REF!,0))</f>
        <v>0</v>
      </c>
      <c r="Z20" s="397">
        <f>IF(+NFL!$F295="Arizona",+NFL!#REF!,IF(+NFL!$H295="Arizona",+NFL!#REF!,0))</f>
        <v>0</v>
      </c>
      <c r="AA20" s="396">
        <f>IF(+NFL!$F295="Arizona",+NFL!#REF!,IF(+NFL!$H295="Arizona",+NFL!#REF!,0))</f>
        <v>0</v>
      </c>
      <c r="AB20" s="87">
        <f>IF(+NFL!$F295="Arizona",+NFL!#REF!,IF(+NFL!$H295="Arizona",+NFL!#REF!,0))</f>
        <v>0</v>
      </c>
      <c r="AC20" s="120">
        <f>IF(+NFL!$F295="Arizona",+NFL!#REF!,IF(+NFL!$H295="Arizona",+NFL!#REF!,0))</f>
        <v>0</v>
      </c>
      <c r="AD20" s="353">
        <f>IF(+NFL!$F295="Arizona",+NFL!#REF!,IF(+NFL!$H295="Arizona",+NFL!#REF!,0))</f>
        <v>0</v>
      </c>
      <c r="AE20" s="379">
        <f>IF(+NFL!$F295="Arizona",+NFL!#REF!,IF(+NFL!$H295="Arizona",+NFL!#REF!,0))</f>
        <v>0</v>
      </c>
      <c r="AF20" s="353">
        <f>IF(+NFL!$F295="Arizona",+NFL!#REF!,IF(+NFL!$H295="Arizona",+NFL!#REF!,0))</f>
        <v>0</v>
      </c>
      <c r="AG20" s="379">
        <f>IF(+NFL!$F295="Arizona",+NFL!#REF!,IF(+NFL!$H295="Arizona",+NFL!#REF!,0))</f>
        <v>0</v>
      </c>
      <c r="AH20" s="353">
        <f>IF(+NFL!$F295="Arizona",+NFL!#REF!,IF(+NFL!$H295="Arizona",+NFL!#REF!,0))</f>
        <v>0</v>
      </c>
      <c r="AI20" s="379">
        <f>IF(+NFL!$F295="Arizona",+NFL!#REF!,IF(+NFL!$H295="Arizona",+NFL!#REF!,0))</f>
        <v>0</v>
      </c>
      <c r="AJ20" s="353">
        <f>IF(+NFL!$F295="Arizona",+NFL!#REF!,IF(+NFL!$H295="Arizona",+NFL!#REF!,0))</f>
        <v>0</v>
      </c>
      <c r="AK20" s="379">
        <f>IF(+NFL!$F295="Arizona",+NFL!#REF!,IF(+NFL!$H295="Arizona",+NFL!#REF!,0))</f>
        <v>0</v>
      </c>
      <c r="AL20" s="57">
        <f>IF(+NFL!$F295="Arizona",+NFL!#REF!,IF(+NFL!$H295="Arizona",+NFL!#REF!,0))</f>
        <v>0</v>
      </c>
      <c r="AM20" s="58">
        <f>IF(+NFL!$F295="Arizona",+NFL!#REF!,IF(+NFL!$H295="Arizona",+NFL!#REF!,0))</f>
        <v>0</v>
      </c>
      <c r="AN20" s="57">
        <f>IF(+NFL!$F295="Arizona",+NFL!#REF!,IF(+NFL!$H295="Arizona",+NFL!#REF!,0))</f>
        <v>0</v>
      </c>
      <c r="AO20" s="59">
        <f>IF(+NFL!$F295="Arizona",+NFL!#REF!,IF(+NFL!$H295="Arizona",+NFL!#REF!,0))</f>
        <v>0</v>
      </c>
      <c r="AP20" s="348">
        <f>IF(+NFL!$F295="Arizona",+NFL!#REF!,IF(+NFL!$H295="Arizona",+NFL!#REF!,0))</f>
        <v>0</v>
      </c>
      <c r="AQ20" s="48">
        <f>IF(+NFL!$F295="Arizona",+NFL!#REF!,IF(+NFL!$H295="Arizona",+NFL!#REF!,0))</f>
        <v>0</v>
      </c>
      <c r="AR20" s="57">
        <f>IF(+NFL!$F295="Arizona",+NFL!#REF!,IF(+NFL!$H295="Arizona",+NFL!#REF!,0))</f>
        <v>0</v>
      </c>
      <c r="AS20" s="64">
        <f>IF(+NFL!$F295="Arizona",+NFL!#REF!,IF(+NFL!$H295="Arizona",+NFL!#REF!,0))</f>
        <v>0</v>
      </c>
      <c r="AT20" s="64">
        <f>IF(+NFL!$F295="Arizona",+NFL!#REF!,IF(+NFL!$H295="Arizona",+NFL!#REF!,0))</f>
        <v>0</v>
      </c>
      <c r="AU20" s="57">
        <f>IF(+NFL!$F295="Arizona",+NFL!#REF!,IF(+NFL!$H295="Arizona",+NFL!#REF!,0))</f>
        <v>0</v>
      </c>
      <c r="AV20" s="64">
        <f>IF(+NFL!$F295="Arizona",+NFL!#REF!,IF(+NFL!$H295="Arizona",+NFL!#REF!,0))</f>
        <v>0</v>
      </c>
      <c r="AW20" s="46">
        <f>IF(+NFL!$F295="Arizona",+NFL!#REF!,IF(+NFL!$H295="Arizona",+NFL!#REF!,0))</f>
        <v>0</v>
      </c>
      <c r="AX20" s="64">
        <f>IF(+NFL!$F295="Arizona",+NFL!#REF!,IF(+NFL!$H295="Arizona",+NFL!#REF!,0))</f>
        <v>0</v>
      </c>
      <c r="AY20" s="57">
        <f>IF(+NFL!$F295="Arizona",+NFL!#REF!,IF(+NFL!$H295="Arizona",+NFL!#REF!,0))</f>
        <v>0</v>
      </c>
      <c r="AZ20" s="64">
        <f>IF(+NFL!$F295="Arizona",+NFL!#REF!,IF(+NFL!$H295="Arizona",+NFL!#REF!,0))</f>
        <v>0</v>
      </c>
      <c r="BA20" s="46">
        <f>IF(+NFL!$F295="Arizona",+NFL!#REF!,IF(+NFL!$H295="Arizona",+NFL!#REF!,0))</f>
        <v>0</v>
      </c>
      <c r="BB20" s="46">
        <f>IF(+NFL!$F295="Arizona",+NFL!#REF!,IF(+NFL!$H295="Arizona",+NFL!#REF!,0))</f>
        <v>0</v>
      </c>
      <c r="BC20" s="403">
        <f>IF(+NFL!$F295="Arizona",+NFL!#REF!,IF(+NFL!$H295="Arizona",+NFL!#REF!,0))</f>
        <v>0</v>
      </c>
      <c r="BD20" s="57">
        <f>IF(+NFL!$F295="Arizona",+NFL!#REF!,IF(+NFL!$H295="Arizona",+NFL!#REF!,0))</f>
        <v>0</v>
      </c>
      <c r="BE20" s="64">
        <f>IF(+NFL!$F295="Arizona",+NFL!#REF!,IF(+NFL!$H295="Arizona",+NFL!#REF!,0))</f>
        <v>0</v>
      </c>
      <c r="BF20" s="64">
        <f>IF(+NFL!$F295="Arizona",+NFL!#REF!,IF(+NFL!$H295="Arizona",+NFL!#REF!,0))</f>
        <v>0</v>
      </c>
      <c r="BG20" s="57">
        <f>IF(+NFL!$F295="Arizona",+NFL!#REF!,IF(+NFL!$H295="Arizona",+NFL!#REF!,0))</f>
        <v>0</v>
      </c>
      <c r="BH20" s="64">
        <f>IF(+NFL!$F295="Arizona",+NFL!#REF!,IF(+NFL!$H295="Arizona",+NFL!#REF!,0))</f>
        <v>0</v>
      </c>
      <c r="BI20" s="46">
        <f>IF(+NFL!$F295="Arizona",+NFL!#REF!,IF(+NFL!$H295="Arizona",+NFL!#REF!,0))</f>
        <v>0</v>
      </c>
      <c r="BJ20" s="87">
        <f>IF(+NFL!$F295="Arizona",+NFL!#REF!,IF(+NFL!$H295="Arizona",+NFL!#REF!,0))</f>
        <v>0</v>
      </c>
      <c r="BK20" s="120">
        <f>IF(+NFL!$F295="Arizona",+NFL!#REF!,IF(+NFL!$H295="Arizona",+NFL!#REF!,0))</f>
        <v>0</v>
      </c>
    </row>
    <row r="21" spans="1:63" x14ac:dyDescent="0.8">
      <c r="A21" s="46">
        <f>IF(+NFL!$F328="Arizona",+NFL!A328,IF(+NFL!$H328="Arizona",+NFL!A328,0))</f>
        <v>18</v>
      </c>
      <c r="B21" s="46" t="str">
        <f>IF(+NFL!$F328="Arizona",+NFL!B328,IF(+NFL!$H328="Arizona",+NFL!B328,0))</f>
        <v>Sun</v>
      </c>
      <c r="C21" s="62">
        <f>IF(+NFL!$F328="Arizona",+NFL!C328,IF(+NFL!$H328="Arizona",+NFL!C328,0))</f>
        <v>44934</v>
      </c>
      <c r="D21" s="490">
        <f>IF(+NFL!$F328="Arizona",+NFL!D328,IF(+NFL!$H328="Arizona",+NFL!D328,0))</f>
        <v>0.67708333333333337</v>
      </c>
      <c r="E21" s="46" t="str">
        <f>IF(+NFL!$F328="Arizona",+NFL!E328,IF(+NFL!$H328="Arizona",+NFL!E328,0))</f>
        <v>Fox</v>
      </c>
      <c r="F21" s="127" t="str">
        <f>IF(+NFL!$F328="Arizona",+NFL!F328,IF(+NFL!$H328="Arizona",+NFL!F328,0))</f>
        <v>Arizona</v>
      </c>
      <c r="G21" s="46" t="str">
        <f>IF(+NFL!$F328="Arizona",+NFL!G328,IF(+NFL!$H328="Arizona",+NFL!G328,0))</f>
        <v>NFCW</v>
      </c>
      <c r="H21" s="127" t="str">
        <f>IF(+NFL!$F328="Arizona",+NFL!H328,IF(+NFL!$H328="Arizona",+NFL!H328,0))</f>
        <v>San Francisco</v>
      </c>
      <c r="I21" s="46" t="str">
        <f>IF(+NFL!$F328="Arizona",+NFL!I328,IF(+NFL!$H328="Arizona",+NFL!I328,0))</f>
        <v>NFCW</v>
      </c>
      <c r="J21" s="353" t="str">
        <f>IF(+NFL!$F328="Arizona",+NFL!J328,IF(+NFL!$H328="Arizona",+NFL!J328,0))</f>
        <v>San Francisco</v>
      </c>
      <c r="K21" s="494" t="str">
        <f>IF(+NFL!$F328="Arizona",+NFL!K328,IF(+NFL!$H328="Arizona",+NFL!K328,0))</f>
        <v>Arizona</v>
      </c>
      <c r="L21" s="384">
        <f>IF(+NFL!$F328="Arizona",+NFL!L328,IF(+NFL!$H328="Arizona",+NFL!L328,0))</f>
        <v>14</v>
      </c>
      <c r="M21" s="385">
        <f>IF(+NFL!$F328="Arizona",+NFL!M328,IF(+NFL!$H328="Arizona",+NFL!M328,0))</f>
        <v>40.5</v>
      </c>
      <c r="N21" s="394" t="str">
        <f>IF(+NFL!$F328="Arizona",+NFL!N328,IF(+NFL!$H328="Arizona",+NFL!N328,0))</f>
        <v>San Francisco</v>
      </c>
      <c r="O21" s="395">
        <f>IF(+NFL!$F328="Arizona",+NFL!O328,IF(+NFL!$H328="Arizona",+NFL!O328,0))</f>
        <v>38</v>
      </c>
      <c r="P21" s="394" t="str">
        <f>IF(+NFL!$F328="Arizona",+NFL!P328,IF(+NFL!$H328="Arizona",+NFL!P328,0))</f>
        <v>Arizona</v>
      </c>
      <c r="Q21" s="396">
        <f>IF(+NFL!$F328="Arizona",+NFL!Q328,IF(+NFL!$H328="Arizona",+NFL!Q328,0))</f>
        <v>13</v>
      </c>
      <c r="R21" s="397" t="str">
        <f>IF(+NFL!$F328="Arizona",+NFL!R328,IF(+NFL!$H328="Arizona",+NFL!R328,0))</f>
        <v>San Francisco</v>
      </c>
      <c r="S21" s="396" t="str">
        <f>IF(+NFL!$F328="Arizona",+NFL!S328,IF(+NFL!$H328="Arizona",+NFL!S328,0))</f>
        <v>Arizona</v>
      </c>
      <c r="T21" s="397" t="str">
        <f>IF(+NFL!$F328="Arizona",+NFL!T328,IF(+NFL!$H328="Arizona",+NFL!T328,0))</f>
        <v>Arizona</v>
      </c>
      <c r="U21" s="396" t="str">
        <f>IF(+NFL!$F328="Arizona",+NFL!U328,IF(+NFL!$H328="Arizona",+NFL!U328,0))</f>
        <v>L</v>
      </c>
      <c r="V21" s="397">
        <f>IF(+NFL!$F311="Arizona",+NFL!#REF!,IF(+NFL!$H311="Arizona",+NFL!#REF!,0))</f>
        <v>0</v>
      </c>
      <c r="W21" s="396">
        <f>IF(+NFL!$F311="Arizona",+NFL!#REF!,IF(+NFL!$H311="Arizona",+NFL!#REF!,0))</f>
        <v>0</v>
      </c>
      <c r="X21" s="397">
        <f>IF(+NFL!$F311="Arizona",+NFL!#REF!,IF(+NFL!$H311="Arizona",+NFL!#REF!,0))</f>
        <v>0</v>
      </c>
      <c r="Y21" s="396">
        <f>IF(+NFL!$F311="Arizona",+NFL!#REF!,IF(+NFL!$H311="Arizona",+NFL!#REF!,0))</f>
        <v>0</v>
      </c>
      <c r="Z21" s="397">
        <f>IF(+NFL!$F311="Arizona",+NFL!#REF!,IF(+NFL!$H311="Arizona",+NFL!#REF!,0))</f>
        <v>0</v>
      </c>
      <c r="AA21" s="396">
        <f>IF(+NFL!$F311="Arizona",+NFL!#REF!,IF(+NFL!$H311="Arizona",+NFL!#REF!,0))</f>
        <v>0</v>
      </c>
      <c r="AB21" s="87">
        <f>IF(+NFL!$F311="Arizona",+NFL!#REF!,IF(+NFL!$H311="Arizona",+NFL!#REF!,0))</f>
        <v>0</v>
      </c>
      <c r="AC21" s="120">
        <f>IF(+NFL!$F311="Arizona",+NFL!#REF!,IF(+NFL!$H311="Arizona",+NFL!#REF!,0))</f>
        <v>0</v>
      </c>
      <c r="AD21" s="353">
        <f>IF(+NFL!$F311="Arizona",+NFL!#REF!,IF(+NFL!$H311="Arizona",+NFL!#REF!,0))</f>
        <v>0</v>
      </c>
      <c r="AE21" s="379">
        <f>IF(+NFL!$F311="Arizona",+NFL!#REF!,IF(+NFL!$H311="Arizona",+NFL!#REF!,0))</f>
        <v>0</v>
      </c>
      <c r="AF21" s="353">
        <f>IF(+NFL!$F311="Arizona",+NFL!#REF!,IF(+NFL!$H311="Arizona",+NFL!#REF!,0))</f>
        <v>0</v>
      </c>
      <c r="AG21" s="379">
        <f>IF(+NFL!$F311="Arizona",+NFL!#REF!,IF(+NFL!$H311="Arizona",+NFL!#REF!,0))</f>
        <v>0</v>
      </c>
      <c r="AH21" s="353">
        <f>IF(+NFL!$F311="Arizona",+NFL!#REF!,IF(+NFL!$H311="Arizona",+NFL!#REF!,0))</f>
        <v>0</v>
      </c>
      <c r="AI21" s="379">
        <f>IF(+NFL!$F311="Arizona",+NFL!#REF!,IF(+NFL!$H311="Arizona",+NFL!#REF!,0))</f>
        <v>0</v>
      </c>
      <c r="AJ21" s="353">
        <f>IF(+NFL!$F311="Arizona",+NFL!#REF!,IF(+NFL!$H311="Arizona",+NFL!#REF!,0))</f>
        <v>0</v>
      </c>
      <c r="AK21" s="379">
        <f>IF(+NFL!$F311="Arizona",+NFL!#REF!,IF(+NFL!$H311="Arizona",+NFL!#REF!,0))</f>
        <v>0</v>
      </c>
      <c r="AL21" s="57">
        <f>IF(+NFL!$F311="Arizona",+NFL!#REF!,IF(+NFL!$H311="Arizona",+NFL!#REF!,0))</f>
        <v>0</v>
      </c>
      <c r="AM21" s="58">
        <f>IF(+NFL!$F311="Arizona",+NFL!#REF!,IF(+NFL!$H311="Arizona",+NFL!#REF!,0))</f>
        <v>0</v>
      </c>
      <c r="AN21" s="57">
        <f>IF(+NFL!$F311="Arizona",+NFL!#REF!,IF(+NFL!$H311="Arizona",+NFL!#REF!,0))</f>
        <v>0</v>
      </c>
      <c r="AO21" s="59">
        <f>IF(+NFL!$F311="Arizona",+NFL!#REF!,IF(+NFL!$H311="Arizona",+NFL!#REF!,0))</f>
        <v>0</v>
      </c>
      <c r="AP21" s="348">
        <f>IF(+NFL!$F311="Arizona",+NFL!#REF!,IF(+NFL!$H311="Arizona",+NFL!#REF!,0))</f>
        <v>0</v>
      </c>
      <c r="AQ21" s="48">
        <f>IF(+NFL!$F311="Arizona",+NFL!#REF!,IF(+NFL!$H311="Arizona",+NFL!#REF!,0))</f>
        <v>0</v>
      </c>
      <c r="AR21" s="57">
        <f>IF(+NFL!$F311="Arizona",+NFL!#REF!,IF(+NFL!$H311="Arizona",+NFL!#REF!,0))</f>
        <v>0</v>
      </c>
      <c r="AS21" s="64">
        <f>IF(+NFL!$F311="Arizona",+NFL!#REF!,IF(+NFL!$H311="Arizona",+NFL!#REF!,0))</f>
        <v>0</v>
      </c>
      <c r="AT21" s="64">
        <f>IF(+NFL!$F311="Arizona",+NFL!#REF!,IF(+NFL!$H311="Arizona",+NFL!#REF!,0))</f>
        <v>0</v>
      </c>
      <c r="AU21" s="57">
        <f>IF(+NFL!$F311="Arizona",+NFL!#REF!,IF(+NFL!$H311="Arizona",+NFL!#REF!,0))</f>
        <v>0</v>
      </c>
      <c r="AV21" s="64">
        <f>IF(+NFL!$F311="Arizona",+NFL!#REF!,IF(+NFL!$H311="Arizona",+NFL!#REF!,0))</f>
        <v>0</v>
      </c>
      <c r="AW21" s="46">
        <f>IF(+NFL!$F311="Arizona",+NFL!#REF!,IF(+NFL!$H311="Arizona",+NFL!#REF!,0))</f>
        <v>0</v>
      </c>
      <c r="AX21" s="64">
        <f>IF(+NFL!$F311="Arizona",+NFL!#REF!,IF(+NFL!$H311="Arizona",+NFL!#REF!,0))</f>
        <v>0</v>
      </c>
      <c r="AY21" s="57">
        <f>IF(+NFL!$F311="Arizona",+NFL!#REF!,IF(+NFL!$H311="Arizona",+NFL!#REF!,0))</f>
        <v>0</v>
      </c>
      <c r="AZ21" s="64">
        <f>IF(+NFL!$F311="Arizona",+NFL!#REF!,IF(+NFL!$H311="Arizona",+NFL!#REF!,0))</f>
        <v>0</v>
      </c>
      <c r="BA21" s="46">
        <f>IF(+NFL!$F311="Arizona",+NFL!#REF!,IF(+NFL!$H311="Arizona",+NFL!#REF!,0))</f>
        <v>0</v>
      </c>
      <c r="BB21" s="46">
        <f>IF(+NFL!$F311="Arizona",+NFL!#REF!,IF(+NFL!$H311="Arizona",+NFL!#REF!,0))</f>
        <v>0</v>
      </c>
      <c r="BC21" s="403">
        <f>IF(+NFL!$F311="Arizona",+NFL!#REF!,IF(+NFL!$H311="Arizona",+NFL!#REF!,0))</f>
        <v>0</v>
      </c>
      <c r="BD21" s="57">
        <f>IF(+NFL!$F311="Arizona",+NFL!#REF!,IF(+NFL!$H311="Arizona",+NFL!#REF!,0))</f>
        <v>0</v>
      </c>
      <c r="BE21" s="64">
        <f>IF(+NFL!$F311="Arizona",+NFL!#REF!,IF(+NFL!$H311="Arizona",+NFL!#REF!,0))</f>
        <v>0</v>
      </c>
      <c r="BF21" s="64">
        <f>IF(+NFL!$F311="Arizona",+NFL!#REF!,IF(+NFL!$H311="Arizona",+NFL!#REF!,0))</f>
        <v>0</v>
      </c>
      <c r="BG21" s="57">
        <f>IF(+NFL!$F311="Arizona",+NFL!#REF!,IF(+NFL!$H311="Arizona",+NFL!#REF!,0))</f>
        <v>0</v>
      </c>
      <c r="BH21" s="64">
        <f>IF(+NFL!$F311="Arizona",+NFL!#REF!,IF(+NFL!$H311="Arizona",+NFL!#REF!,0))</f>
        <v>0</v>
      </c>
      <c r="BI21" s="46">
        <f>IF(+NFL!$F311="Arizona",+NFL!#REF!,IF(+NFL!$H311="Arizona",+NFL!#REF!,0))</f>
        <v>0</v>
      </c>
      <c r="BJ21" s="87">
        <f>IF(+NFL!$F311="Arizona",+NFL!#REF!,IF(+NFL!$H311="Arizona",+NFL!#REF!,0))</f>
        <v>0</v>
      </c>
      <c r="BK21" s="120">
        <f>IF(+NFL!$F311="Arizona",+NFL!#REF!,IF(+NFL!$H311="Arizona",+NFL!#REF!,0))</f>
        <v>0</v>
      </c>
    </row>
    <row r="22" spans="1:63" x14ac:dyDescent="0.8">
      <c r="B22" s="46"/>
      <c r="C22" s="62"/>
      <c r="F22" s="959" t="str">
        <f>H23</f>
        <v>Atlanta</v>
      </c>
      <c r="G22" s="960"/>
      <c r="H22" s="960"/>
      <c r="I22" s="961"/>
      <c r="L22" s="384"/>
      <c r="M22" s="385"/>
      <c r="N22" s="394"/>
      <c r="P22" s="394"/>
      <c r="R22" s="397"/>
      <c r="S22" s="396"/>
      <c r="T22" s="398"/>
      <c r="AP22" s="348"/>
      <c r="AQ22" s="348"/>
      <c r="AY22" s="57"/>
      <c r="AZ22" s="64"/>
      <c r="BA22" s="46"/>
      <c r="BB22" s="46"/>
      <c r="BC22" s="348"/>
    </row>
    <row r="23" spans="1:63" x14ac:dyDescent="0.8">
      <c r="A23" s="46">
        <f>IF(+NFL!$F5="Atlanta",+NFL!A5,IF(+NFL!$H5="Atlanta",+NFL!A5,0))</f>
        <v>1</v>
      </c>
      <c r="B23" s="46" t="str">
        <f>IF(+NFL!$F5="Atlanta",+NFL!B5,IF(+NFL!$H5="Atlanta",+NFL!B5,0))</f>
        <v>Sun</v>
      </c>
      <c r="C23" s="62">
        <f>IF(+NFL!$F5="Atlanta",+NFL!C5,IF(+NFL!$H5="Atlanta",+NFL!C5,0))</f>
        <v>44815</v>
      </c>
      <c r="D23" s="490">
        <f>IF(+NFL!$F5="Atlanta",+NFL!D5,IF(+NFL!$H5="Atlanta",+NFL!D5,0))</f>
        <v>0.54166666666666663</v>
      </c>
      <c r="E23" s="46" t="str">
        <f>IF(+NFL!$F5="Atlanta",+NFL!E5,IF(+NFL!$H5="Atlanta",+NFL!E5,0))</f>
        <v>Fox</v>
      </c>
      <c r="F23" s="127" t="str">
        <f>IF(+NFL!$F5="Atlanta",+NFL!F5,IF(+NFL!$H5="Atlanta",+NFL!F5,0))</f>
        <v>New Orleans</v>
      </c>
      <c r="G23" s="46" t="str">
        <f>IF(+NFL!$F5="Atlanta",+NFL!G5,IF(+NFL!$H5="Atlanta",+NFL!G5,0))</f>
        <v>NFCS</v>
      </c>
      <c r="H23" s="127" t="str">
        <f>IF(+NFL!$F5="Atlanta",+NFL!H5,IF(+NFL!$H5="Atlanta",+NFL!H5,0))</f>
        <v>Atlanta</v>
      </c>
      <c r="I23" s="46" t="str">
        <f>IF(+NFL!$F5="Atlanta",+NFL!I5,IF(+NFL!$H5="Atlanta",+NFL!I5,0))</f>
        <v>NFCS</v>
      </c>
      <c r="J23" s="353" t="str">
        <f>IF(+NFL!$F5="Atlanta",+NFL!J5,IF(+NFL!$H5="Atlanta",+NFL!J5,0))</f>
        <v>New Orleans</v>
      </c>
      <c r="K23" s="494" t="str">
        <f>IF(+NFL!$F5="Atlanta",+NFL!K5,IF(+NFL!$H5="Atlanta",+NFL!K5,0))</f>
        <v>Atlanta</v>
      </c>
      <c r="L23" s="384">
        <f>IF(+NFL!$F5="Atlanta",+NFL!L5,IF(+NFL!$H5="Atlanta",+NFL!L5,0))</f>
        <v>5.5</v>
      </c>
      <c r="M23" s="385">
        <f>IF(+NFL!$F5="Atlanta",+NFL!M5,IF(+NFL!$H5="Atlanta",+NFL!M5,0))</f>
        <v>42.5</v>
      </c>
      <c r="N23" s="394" t="str">
        <f>IF(+NFL!$F5="Atlanta",+NFL!N5,IF(+NFL!$H5="Atlanta",+NFL!N5,0))</f>
        <v>New Orleans</v>
      </c>
      <c r="O23" s="395">
        <f>IF(+NFL!$F5="Atlanta",+NFL!O5,IF(+NFL!$H5="Atlanta",+NFL!O5,0))</f>
        <v>27</v>
      </c>
      <c r="P23" s="394" t="str">
        <f>IF(+NFL!$F5="Atlanta",+NFL!P5,IF(+NFL!$H5="Atlanta",+NFL!P5,0))</f>
        <v>Atlanta</v>
      </c>
      <c r="Q23" s="396">
        <f>IF(+NFL!$F5="Atlanta",+NFL!Q5,IF(+NFL!$H5="Atlanta",+NFL!Q5,0))</f>
        <v>26</v>
      </c>
      <c r="R23" s="397" t="str">
        <f>IF(+NFL!$F5="Atlanta",+NFL!R5,IF(+NFL!$H5="Atlanta",+NFL!R5,0))</f>
        <v>Atlanta</v>
      </c>
      <c r="S23" s="396" t="str">
        <f>IF(+NFL!$F5="Atlanta",+NFL!S5,IF(+NFL!$H5="Atlanta",+NFL!S5,0))</f>
        <v>New Orleans</v>
      </c>
      <c r="T23" s="397" t="str">
        <f>IF(+NFL!$F5="Atlanta",+NFL!T5,IF(+NFL!$H5="Atlanta",+NFL!T5,0))</f>
        <v>New Orleans</v>
      </c>
      <c r="U23" s="396" t="str">
        <f>IF(+NFL!$F5="Atlanta",+NFL!U5,IF(+NFL!$H5="Atlanta",+NFL!U5,0))</f>
        <v>L</v>
      </c>
      <c r="AP23" s="348"/>
      <c r="AQ23" s="348"/>
      <c r="AS23" s="493"/>
      <c r="AT23" s="493"/>
      <c r="AV23" s="493"/>
      <c r="AX23" s="493"/>
      <c r="AY23" s="57"/>
      <c r="AZ23" s="493"/>
      <c r="BA23" s="46"/>
      <c r="BB23" s="46"/>
      <c r="BC23" s="348"/>
      <c r="BE23" s="493"/>
      <c r="BF23" s="493"/>
      <c r="BH23" s="493"/>
    </row>
    <row r="24" spans="1:63" x14ac:dyDescent="0.8">
      <c r="A24" s="46">
        <f>IF(+NFL!$F29="Atlanta",+NFL!A29,IF(+NFL!$H29="Atlanta",+NFL!A29,0))</f>
        <v>2</v>
      </c>
      <c r="B24" s="46" t="str">
        <f>IF(+NFL!$F29="Atlanta",+NFL!B29,IF(+NFL!$H29="Atlanta",+NFL!B29,0))</f>
        <v>Sun</v>
      </c>
      <c r="C24" s="62">
        <f>IF(+NFL!$F29="Atlanta",+NFL!C29,IF(+NFL!$H29="Atlanta",+NFL!C29,0))</f>
        <v>44822</v>
      </c>
      <c r="D24" s="490">
        <f>IF(+NFL!$F29="Atlanta",+NFL!D29,IF(+NFL!$H29="Atlanta",+NFL!D29,0))</f>
        <v>0.66666666666666663</v>
      </c>
      <c r="E24" s="46" t="str">
        <f>IF(+NFL!$F29="Atlanta",+NFL!E29,IF(+NFL!$H29="Atlanta",+NFL!E29,0))</f>
        <v>Fox</v>
      </c>
      <c r="F24" s="127" t="str">
        <f>IF(+NFL!$F29="Atlanta",+NFL!F29,IF(+NFL!$H29="Atlanta",+NFL!F29,0))</f>
        <v>Atlanta</v>
      </c>
      <c r="G24" s="46" t="str">
        <f>IF(+NFL!$F29="Atlanta",+NFL!G29,IF(+NFL!$H29="Atlanta",+NFL!G29,0))</f>
        <v>NFCS</v>
      </c>
      <c r="H24" s="127" t="str">
        <f>IF(+NFL!$F29="Atlanta",+NFL!H29,IF(+NFL!$H29="Atlanta",+NFL!H29,0))</f>
        <v>LA Rams</v>
      </c>
      <c r="I24" s="46" t="str">
        <f>IF(+NFL!$F29="Atlanta",+NFL!I29,IF(+NFL!$H29="Atlanta",+NFL!I29,0))</f>
        <v>NFCW</v>
      </c>
      <c r="J24" s="353" t="str">
        <f>IF(+NFL!$F29="Atlanta",+NFL!J29,IF(+NFL!$H29="Atlanta",+NFL!J29,0))</f>
        <v>LA Rams</v>
      </c>
      <c r="K24" s="494" t="str">
        <f>IF(+NFL!$F29="Atlanta",+NFL!K29,IF(+NFL!$H29="Atlanta",+NFL!K29,0))</f>
        <v>Atlanta</v>
      </c>
      <c r="L24" s="384">
        <f>IF(+NFL!$F29="Atlanta",+NFL!L29,IF(+NFL!$H29="Atlanta",+NFL!L29,0))</f>
        <v>10.5</v>
      </c>
      <c r="M24" s="385">
        <f>IF(+NFL!$F29="Atlanta",+NFL!M29,IF(+NFL!$H29="Atlanta",+NFL!M29,0))</f>
        <v>47</v>
      </c>
      <c r="N24" s="394" t="str">
        <f>IF(+NFL!$F29="Atlanta",+NFL!N29,IF(+NFL!$H29="Atlanta",+NFL!N29,0))</f>
        <v>LA Rams</v>
      </c>
      <c r="O24" s="395">
        <f>IF(+NFL!$F29="Atlanta",+NFL!O29,IF(+NFL!$H29="Atlanta",+NFL!O29,0))</f>
        <v>31</v>
      </c>
      <c r="P24" s="394" t="str">
        <f>IF(+NFL!$F29="Atlanta",+NFL!P29,IF(+NFL!$H29="Atlanta",+NFL!P29,0))</f>
        <v>Atlanta</v>
      </c>
      <c r="Q24" s="396">
        <f>IF(+NFL!$F29="Atlanta",+NFL!Q29,IF(+NFL!$H29="Atlanta",+NFL!Q29,0))</f>
        <v>27</v>
      </c>
      <c r="R24" s="397" t="str">
        <f>IF(+NFL!$F29="Atlanta",+NFL!R29,IF(+NFL!$H29="Atlanta",+NFL!R29,0))</f>
        <v>Atlanta</v>
      </c>
      <c r="S24" s="396" t="str">
        <f>IF(+NFL!$F29="Atlanta",+NFL!S29,IF(+NFL!$H29="Atlanta",+NFL!S29,0))</f>
        <v>LA Rams</v>
      </c>
      <c r="T24" s="397" t="str">
        <f>IF(+NFL!$F29="Atlanta",+NFL!T29,IF(+NFL!$H29="Atlanta",+NFL!T29,0))</f>
        <v>LA Rams</v>
      </c>
      <c r="U24" s="396" t="str">
        <f>IF(+NFL!$F29="Atlanta",+NFL!U29,IF(+NFL!$H29="Atlanta",+NFL!U29,0))</f>
        <v>L</v>
      </c>
      <c r="AP24" s="348"/>
      <c r="AQ24" s="348"/>
      <c r="AS24" s="493"/>
      <c r="AT24" s="493"/>
      <c r="AV24" s="493"/>
      <c r="AX24" s="493"/>
      <c r="AY24" s="57"/>
      <c r="AZ24" s="493"/>
      <c r="BA24" s="46"/>
      <c r="BB24" s="46"/>
      <c r="BC24" s="348"/>
      <c r="BE24" s="493"/>
      <c r="BF24" s="493"/>
      <c r="BH24" s="493"/>
    </row>
    <row r="25" spans="1:63" x14ac:dyDescent="0.8">
      <c r="A25" s="46">
        <f>IF(+NFL!$F50="Atlanta",+NFL!A50,IF(+NFL!$H50="Atlanta",+NFL!A50,0))</f>
        <v>3</v>
      </c>
      <c r="B25" s="46" t="str">
        <f>IF(+NFL!$F50="Atlanta",+NFL!B50,IF(+NFL!$H50="Atlanta",+NFL!B50,0))</f>
        <v>Sun</v>
      </c>
      <c r="C25" s="62">
        <f>IF(+NFL!$F50="Atlanta",+NFL!C50,IF(+NFL!$H50="Atlanta",+NFL!C50,0))</f>
        <v>44829</v>
      </c>
      <c r="D25" s="490">
        <f>IF(+NFL!$F50="Atlanta",+NFL!D50,IF(+NFL!$H50="Atlanta",+NFL!D50,0))</f>
        <v>0.66666666666666663</v>
      </c>
      <c r="E25" s="46" t="str">
        <f>IF(+NFL!$F50="Atlanta",+NFL!E50,IF(+NFL!$H50="Atlanta",+NFL!E50,0))</f>
        <v>Fox</v>
      </c>
      <c r="F25" s="127" t="str">
        <f>IF(+NFL!$F50="Atlanta",+NFL!F50,IF(+NFL!$H50="Atlanta",+NFL!F50,0))</f>
        <v>Atlanta</v>
      </c>
      <c r="G25" s="46" t="str">
        <f>IF(+NFL!$F50="Atlanta",+NFL!G50,IF(+NFL!$H50="Atlanta",+NFL!G50,0))</f>
        <v>NFCS</v>
      </c>
      <c r="H25" s="127" t="str">
        <f>IF(+NFL!$F50="Atlanta",+NFL!H50,IF(+NFL!$H50="Atlanta",+NFL!H50,0))</f>
        <v>Seattle</v>
      </c>
      <c r="I25" s="46" t="str">
        <f>IF(+NFL!$F50="Atlanta",+NFL!I50,IF(+NFL!$H50="Atlanta",+NFL!I50,0))</f>
        <v>NFCW</v>
      </c>
      <c r="J25" s="353" t="str">
        <f>IF(+NFL!$F50="Atlanta",+NFL!J50,IF(+NFL!$H50="Atlanta",+NFL!J50,0))</f>
        <v>Seattle</v>
      </c>
      <c r="K25" s="494" t="str">
        <f>IF(+NFL!$F50="Atlanta",+NFL!K50,IF(+NFL!$H50="Atlanta",+NFL!K50,0))</f>
        <v>Atlanta</v>
      </c>
      <c r="L25" s="384">
        <f>IF(+NFL!$F50="Atlanta",+NFL!L50,IF(+NFL!$H50="Atlanta",+NFL!L50,0))</f>
        <v>2</v>
      </c>
      <c r="M25" s="385">
        <f>IF(+NFL!$F50="Atlanta",+NFL!M50,IF(+NFL!$H50="Atlanta",+NFL!M50,0))</f>
        <v>42</v>
      </c>
      <c r="N25" s="394" t="str">
        <f>IF(+NFL!$F50="Atlanta",+NFL!N50,IF(+NFL!$H50="Atlanta",+NFL!N50,0))</f>
        <v>Atlanta</v>
      </c>
      <c r="O25" s="395">
        <f>IF(+NFL!$F50="Atlanta",+NFL!O50,IF(+NFL!$H50="Atlanta",+NFL!O50,0))</f>
        <v>27</v>
      </c>
      <c r="P25" s="394" t="str">
        <f>IF(+NFL!$F50="Atlanta",+NFL!P50,IF(+NFL!$H50="Atlanta",+NFL!P50,0))</f>
        <v>Seattle</v>
      </c>
      <c r="Q25" s="396">
        <f>IF(+NFL!$F50="Atlanta",+NFL!Q50,IF(+NFL!$H50="Atlanta",+NFL!Q50,0))</f>
        <v>23</v>
      </c>
      <c r="R25" s="397" t="str">
        <f>IF(+NFL!$F50="Atlanta",+NFL!R50,IF(+NFL!$H50="Atlanta",+NFL!R50,0))</f>
        <v>Atlanta</v>
      </c>
      <c r="S25" s="396" t="str">
        <f>IF(+NFL!$F50="Atlanta",+NFL!S50,IF(+NFL!$H50="Atlanta",+NFL!S50,0))</f>
        <v>Seattle</v>
      </c>
      <c r="T25" s="397" t="str">
        <f>IF(+NFL!$F50="Atlanta",+NFL!T50,IF(+NFL!$H50="Atlanta",+NFL!T50,0))</f>
        <v>Atlanta</v>
      </c>
      <c r="U25" s="396" t="str">
        <f>IF(+NFL!$F50="Atlanta",+NFL!U50,IF(+NFL!$H50="Atlanta",+NFL!U50,0))</f>
        <v>W</v>
      </c>
      <c r="AP25" s="348"/>
      <c r="AQ25" s="348"/>
      <c r="AS25" s="493"/>
      <c r="AT25" s="493"/>
      <c r="AV25" s="493"/>
      <c r="AX25" s="493"/>
      <c r="AY25" s="57"/>
      <c r="AZ25" s="493"/>
      <c r="BA25" s="46"/>
      <c r="BB25" s="46"/>
      <c r="BC25" s="348"/>
      <c r="BE25" s="493"/>
      <c r="BF25" s="493"/>
      <c r="BH25" s="493"/>
    </row>
    <row r="26" spans="1:63" x14ac:dyDescent="0.8">
      <c r="A26" s="46">
        <f>IF(+NFL!$F57="Atlanta",+NFL!A57,IF(+NFL!$H57="Atlanta",+NFL!A57,0))</f>
        <v>4</v>
      </c>
      <c r="B26" s="46" t="str">
        <f>IF(+NFL!$F57="Atlanta",+NFL!B57,IF(+NFL!$H57="Atlanta",+NFL!B57,0))</f>
        <v>Sun</v>
      </c>
      <c r="C26" s="62">
        <f>IF(+NFL!$F57="Atlanta",+NFL!C57,IF(+NFL!$H57="Atlanta",+NFL!C57,0))</f>
        <v>44836</v>
      </c>
      <c r="D26" s="490">
        <f>IF(+NFL!$F57="Atlanta",+NFL!D57,IF(+NFL!$H57="Atlanta",+NFL!D57,0))</f>
        <v>0.54166666666666663</v>
      </c>
      <c r="E26" s="46" t="str">
        <f>IF(+NFL!$F57="Atlanta",+NFL!E57,IF(+NFL!$H57="Atlanta",+NFL!E57,0))</f>
        <v>CBS</v>
      </c>
      <c r="F26" s="127" t="str">
        <f>IF(+NFL!$F57="Atlanta",+NFL!F57,IF(+NFL!$H57="Atlanta",+NFL!F57,0))</f>
        <v>Cleveland</v>
      </c>
      <c r="G26" s="46" t="str">
        <f>IF(+NFL!$F57="Atlanta",+NFL!G57,IF(+NFL!$H57="Atlanta",+NFL!G57,0))</f>
        <v>AFCN</v>
      </c>
      <c r="H26" s="127" t="str">
        <f>IF(+NFL!$F57="Atlanta",+NFL!H57,IF(+NFL!$H57="Atlanta",+NFL!H57,0))</f>
        <v>Atlanta</v>
      </c>
      <c r="I26" s="46" t="str">
        <f>IF(+NFL!$F57="Atlanta",+NFL!I57,IF(+NFL!$H57="Atlanta",+NFL!I57,0))</f>
        <v>NFCS</v>
      </c>
      <c r="J26" s="353" t="str">
        <f>IF(+NFL!$F57="Atlanta",+NFL!J57,IF(+NFL!$H57="Atlanta",+NFL!J57,0))</f>
        <v>Cleveland</v>
      </c>
      <c r="K26" s="494" t="str">
        <f>IF(+NFL!$F57="Atlanta",+NFL!K57,IF(+NFL!$H57="Atlanta",+NFL!K57,0))</f>
        <v>Atlanta</v>
      </c>
      <c r="L26" s="384">
        <f>IF(+NFL!$F57="Atlanta",+NFL!L57,IF(+NFL!$H57="Atlanta",+NFL!L57,0))</f>
        <v>1.5</v>
      </c>
      <c r="M26" s="385">
        <f>IF(+NFL!$F57="Atlanta",+NFL!M57,IF(+NFL!$H57="Atlanta",+NFL!M57,0))</f>
        <v>49.5</v>
      </c>
      <c r="N26" s="394" t="str">
        <f>IF(+NFL!$F57="Atlanta",+NFL!N57,IF(+NFL!$H57="Atlanta",+NFL!N57,0))</f>
        <v>Atlanta</v>
      </c>
      <c r="O26" s="395">
        <f>IF(+NFL!$F57="Atlanta",+NFL!O57,IF(+NFL!$H57="Atlanta",+NFL!O57,0))</f>
        <v>23</v>
      </c>
      <c r="P26" s="394" t="str">
        <f>IF(+NFL!$F57="Atlanta",+NFL!P57,IF(+NFL!$H57="Atlanta",+NFL!P57,0))</f>
        <v>Cleveland</v>
      </c>
      <c r="Q26" s="396">
        <f>IF(+NFL!$F57="Atlanta",+NFL!Q57,IF(+NFL!$H57="Atlanta",+NFL!Q57,0))</f>
        <v>20</v>
      </c>
      <c r="R26" s="397" t="str">
        <f>IF(+NFL!$F57="Atlanta",+NFL!R57,IF(+NFL!$H57="Atlanta",+NFL!R57,0))</f>
        <v>Atlanta</v>
      </c>
      <c r="S26" s="396" t="str">
        <f>IF(+NFL!$F57="Atlanta",+NFL!S57,IF(+NFL!$H57="Atlanta",+NFL!S57,0))</f>
        <v>Cleveland</v>
      </c>
      <c r="T26" s="397" t="str">
        <f>IF(+NFL!$F57="Atlanta",+NFL!T57,IF(+NFL!$H57="Atlanta",+NFL!T57,0))</f>
        <v>Atlanta</v>
      </c>
      <c r="U26" s="396" t="str">
        <f>IF(+NFL!$F57="Atlanta",+NFL!U57,IF(+NFL!$H57="Atlanta",+NFL!U57,0))</f>
        <v>W</v>
      </c>
      <c r="AP26" s="348"/>
      <c r="AQ26" s="48"/>
      <c r="AY26" s="57"/>
      <c r="AZ26" s="64"/>
      <c r="BA26" s="46"/>
      <c r="BB26" s="46"/>
      <c r="BC26" s="403"/>
    </row>
    <row r="27" spans="1:63" x14ac:dyDescent="0.8">
      <c r="A27" s="46">
        <f>IF(+NFL!$F80="Atlanta",+NFL!A80,IF(+NFL!$H80="Atlanta",+NFL!A80,0))</f>
        <v>5</v>
      </c>
      <c r="B27" s="46" t="str">
        <f>IF(+NFL!$F80="Atlanta",+NFL!B80,IF(+NFL!$H80="Atlanta",+NFL!B80,0))</f>
        <v>Sun</v>
      </c>
      <c r="C27" s="62">
        <f>IF(+NFL!$F80="Atlanta",+NFL!C80,IF(+NFL!$H80="Atlanta",+NFL!C80,0))</f>
        <v>44843</v>
      </c>
      <c r="D27" s="490">
        <f>IF(+NFL!$F80="Atlanta",+NFL!D80,IF(+NFL!$H80="Atlanta",+NFL!D80,0))</f>
        <v>0.54166666666666663</v>
      </c>
      <c r="E27" s="46" t="str">
        <f>IF(+NFL!$F80="Atlanta",+NFL!E80,IF(+NFL!$H80="Atlanta",+NFL!E80,0))</f>
        <v>Fox</v>
      </c>
      <c r="F27" s="127" t="str">
        <f>IF(+NFL!$F80="Atlanta",+NFL!F80,IF(+NFL!$H80="Atlanta",+NFL!F80,0))</f>
        <v>Atlanta</v>
      </c>
      <c r="G27" s="46" t="str">
        <f>IF(+NFL!$F80="Atlanta",+NFL!G80,IF(+NFL!$H80="Atlanta",+NFL!G80,0))</f>
        <v>NFCS</v>
      </c>
      <c r="H27" s="127" t="str">
        <f>IF(+NFL!$F80="Atlanta",+NFL!H80,IF(+NFL!$H80="Atlanta",+NFL!H80,0))</f>
        <v>Tampa Bay</v>
      </c>
      <c r="I27" s="46" t="str">
        <f>IF(+NFL!$F80="Atlanta",+NFL!I80,IF(+NFL!$H80="Atlanta",+NFL!I80,0))</f>
        <v>NFCS</v>
      </c>
      <c r="J27" s="353" t="str">
        <f>IF(+NFL!$F80="Atlanta",+NFL!J80,IF(+NFL!$H80="Atlanta",+NFL!J80,0))</f>
        <v>Tampa Bay</v>
      </c>
      <c r="K27" s="494" t="str">
        <f>IF(+NFL!$F80="Atlanta",+NFL!K80,IF(+NFL!$H80="Atlanta",+NFL!K80,0))</f>
        <v>Atlanta</v>
      </c>
      <c r="L27" s="384">
        <f>IF(+NFL!$F80="Atlanta",+NFL!L80,IF(+NFL!$H80="Atlanta",+NFL!L80,0))</f>
        <v>9</v>
      </c>
      <c r="M27" s="385">
        <f>IF(+NFL!$F80="Atlanta",+NFL!M80,IF(+NFL!$H80="Atlanta",+NFL!M80,0))</f>
        <v>48</v>
      </c>
      <c r="N27" s="394" t="str">
        <f>IF(+NFL!$F80="Atlanta",+NFL!N80,IF(+NFL!$H80="Atlanta",+NFL!N80,0))</f>
        <v>Tampa Bay</v>
      </c>
      <c r="O27" s="395">
        <f>IF(+NFL!$F80="Atlanta",+NFL!O80,IF(+NFL!$H80="Atlanta",+NFL!O80,0))</f>
        <v>21</v>
      </c>
      <c r="P27" s="394" t="str">
        <f>IF(+NFL!$F80="Atlanta",+NFL!P80,IF(+NFL!$H80="Atlanta",+NFL!P80,0))</f>
        <v>Atlanta</v>
      </c>
      <c r="Q27" s="396">
        <f>IF(+NFL!$F80="Atlanta",+NFL!Q80,IF(+NFL!$H80="Atlanta",+NFL!Q80,0))</f>
        <v>15</v>
      </c>
      <c r="R27" s="397" t="str">
        <f>IF(+NFL!$F80="Atlanta",+NFL!R80,IF(+NFL!$H80="Atlanta",+NFL!R80,0))</f>
        <v>Atlanta</v>
      </c>
      <c r="S27" s="396" t="str">
        <f>IF(+NFL!$F80="Atlanta",+NFL!S80,IF(+NFL!$H80="Atlanta",+NFL!S80,0))</f>
        <v>Tampa Bay</v>
      </c>
      <c r="T27" s="397" t="str">
        <f>IF(+NFL!$F80="Atlanta",+NFL!T80,IF(+NFL!$H80="Atlanta",+NFL!T80,0))</f>
        <v>Atlanta</v>
      </c>
      <c r="U27" s="396" t="str">
        <f>IF(+NFL!$F80="Atlanta",+NFL!U80,IF(+NFL!$H80="Atlanta",+NFL!U80,0))</f>
        <v>W</v>
      </c>
      <c r="AP27" s="348"/>
      <c r="AQ27" s="48"/>
      <c r="AY27" s="57"/>
      <c r="AZ27" s="64"/>
      <c r="BA27" s="46"/>
      <c r="BB27" s="46"/>
      <c r="BC27" s="403"/>
    </row>
    <row r="28" spans="1:63" x14ac:dyDescent="0.8">
      <c r="A28" s="46">
        <f>IF(+NFL!$F90="Atlanta",+NFL!A90,IF(+NFL!$H90="Atlanta",+NFL!A90,0))</f>
        <v>6</v>
      </c>
      <c r="B28" s="46" t="str">
        <f>IF(+NFL!$F90="Atlanta",+NFL!B90,IF(+NFL!$H90="Atlanta",+NFL!B90,0))</f>
        <v>Sun</v>
      </c>
      <c r="C28" s="62">
        <f>IF(+NFL!$F90="Atlanta",+NFL!C90,IF(+NFL!$H90="Atlanta",+NFL!C90,0))</f>
        <v>44847</v>
      </c>
      <c r="D28" s="490">
        <f>IF(+NFL!$F90="Atlanta",+NFL!D90,IF(+NFL!$H90="Atlanta",+NFL!D90,0))</f>
        <v>0.54166666666666663</v>
      </c>
      <c r="E28" s="46" t="str">
        <f>IF(+NFL!$F90="Atlanta",+NFL!E90,IF(+NFL!$H90="Atlanta",+NFL!E90,0))</f>
        <v>Fox</v>
      </c>
      <c r="F28" s="127" t="str">
        <f>IF(+NFL!$F90="Atlanta",+NFL!F90,IF(+NFL!$H90="Atlanta",+NFL!F90,0))</f>
        <v>San Francisco</v>
      </c>
      <c r="G28" s="46" t="str">
        <f>IF(+NFL!$F90="Atlanta",+NFL!G90,IF(+NFL!$H90="Atlanta",+NFL!G90,0))</f>
        <v>NFCW</v>
      </c>
      <c r="H28" s="127" t="str">
        <f>IF(+NFL!$F90="Atlanta",+NFL!H90,IF(+NFL!$H90="Atlanta",+NFL!H90,0))</f>
        <v>Atlanta</v>
      </c>
      <c r="I28" s="46" t="str">
        <f>IF(+NFL!$F90="Atlanta",+NFL!I90,IF(+NFL!$H90="Atlanta",+NFL!I90,0))</f>
        <v>NFCS</v>
      </c>
      <c r="J28" s="353" t="str">
        <f>IF(+NFL!$F90="Atlanta",+NFL!J90,IF(+NFL!$H90="Atlanta",+NFL!J90,0))</f>
        <v>San Francisco</v>
      </c>
      <c r="K28" s="494" t="str">
        <f>IF(+NFL!$F90="Atlanta",+NFL!K90,IF(+NFL!$H90="Atlanta",+NFL!K90,0))</f>
        <v>Atlanta</v>
      </c>
      <c r="L28" s="384">
        <f>IF(+NFL!$F90="Atlanta",+NFL!L90,IF(+NFL!$H90="Atlanta",+NFL!L90,0))</f>
        <v>5.5</v>
      </c>
      <c r="M28" s="385">
        <f>IF(+NFL!$F90="Atlanta",+NFL!M90,IF(+NFL!$H90="Atlanta",+NFL!M90,0))</f>
        <v>45</v>
      </c>
      <c r="N28" s="394" t="str">
        <f>IF(+NFL!$F90="Atlanta",+NFL!N90,IF(+NFL!$H90="Atlanta",+NFL!N90,0))</f>
        <v>Atlanta</v>
      </c>
      <c r="O28" s="395">
        <f>IF(+NFL!$F90="Atlanta",+NFL!O90,IF(+NFL!$H90="Atlanta",+NFL!O90,0))</f>
        <v>28</v>
      </c>
      <c r="P28" s="394" t="str">
        <f>IF(+NFL!$F90="Atlanta",+NFL!P90,IF(+NFL!$H90="Atlanta",+NFL!P90,0))</f>
        <v>San Francisco</v>
      </c>
      <c r="Q28" s="396">
        <f>IF(+NFL!$F90="Atlanta",+NFL!Q90,IF(+NFL!$H90="Atlanta",+NFL!Q90,0))</f>
        <v>14</v>
      </c>
      <c r="R28" s="397" t="str">
        <f>IF(+NFL!$F90="Atlanta",+NFL!R90,IF(+NFL!$H90="Atlanta",+NFL!R90,0))</f>
        <v>Atlanta</v>
      </c>
      <c r="S28" s="396" t="str">
        <f>IF(+NFL!$F90="Atlanta",+NFL!S90,IF(+NFL!$H90="Atlanta",+NFL!S90,0))</f>
        <v>San Francisco</v>
      </c>
      <c r="T28" s="397" t="str">
        <f>IF(+NFL!$F90="Atlanta",+NFL!T90,IF(+NFL!$H90="Atlanta",+NFL!T90,0))</f>
        <v>San Francisco</v>
      </c>
      <c r="U28" s="396" t="str">
        <f>IF(+NFL!$F90="Atlanta",+NFL!U90,IF(+NFL!$H90="Atlanta",+NFL!U90,0))</f>
        <v>L</v>
      </c>
      <c r="V28" s="397">
        <f>IF(+NFL!$F42="Atlanta",+NFL!#REF!,IF(+NFL!$H42="Atlanta",+NFL!#REF!,0))</f>
        <v>0</v>
      </c>
      <c r="W28" s="396">
        <f>IF(+NFL!$F42="Atlanta",+NFL!#REF!,IF(+NFL!$H42="Atlanta",+NFL!#REF!,0))</f>
        <v>0</v>
      </c>
      <c r="X28" s="397">
        <f>IF(+NFL!$F42="Atlanta",+NFL!#REF!,IF(+NFL!$H42="Atlanta",+NFL!#REF!,0))</f>
        <v>0</v>
      </c>
      <c r="Y28" s="396">
        <f>IF(+NFL!$F42="Atlanta",+NFL!#REF!,IF(+NFL!$H42="Atlanta",+NFL!#REF!,0))</f>
        <v>0</v>
      </c>
      <c r="Z28" s="397">
        <f>IF(+NFL!$F42="Atlanta",+NFL!#REF!,IF(+NFL!$H42="Atlanta",+NFL!#REF!,0))</f>
        <v>0</v>
      </c>
      <c r="AA28" s="396">
        <f>IF(+NFL!$F42="Atlanta",+NFL!#REF!,IF(+NFL!$H42="Atlanta",+NFL!#REF!,0))</f>
        <v>0</v>
      </c>
      <c r="AB28" s="87">
        <f>IF(+NFL!$F42="Atlanta",+NFL!#REF!,IF(+NFL!$H42="Atlanta",+NFL!#REF!,0))</f>
        <v>0</v>
      </c>
      <c r="AC28" s="120">
        <f>IF(+NFL!$F42="Atlanta",+NFL!#REF!,IF(+NFL!$H42="Atlanta",+NFL!#REF!,0))</f>
        <v>0</v>
      </c>
      <c r="AD28" s="353">
        <f>IF(+NFL!$F42="Atlanta",+NFL!#REF!,IF(+NFL!$H42="Atlanta",+NFL!#REF!,0))</f>
        <v>0</v>
      </c>
      <c r="AE28" s="379">
        <f>IF(+NFL!$F42="Atlanta",+NFL!#REF!,IF(+NFL!$H42="Atlanta",+NFL!#REF!,0))</f>
        <v>0</v>
      </c>
      <c r="AF28" s="353">
        <f>IF(+NFL!$F42="Atlanta",+NFL!#REF!,IF(+NFL!$H42="Atlanta",+NFL!#REF!,0))</f>
        <v>0</v>
      </c>
      <c r="AG28" s="379">
        <f>IF(+NFL!$F42="Atlanta",+NFL!#REF!,IF(+NFL!$H42="Atlanta",+NFL!#REF!,0))</f>
        <v>0</v>
      </c>
      <c r="AH28" s="353">
        <f>IF(+NFL!$F42="Atlanta",+NFL!#REF!,IF(+NFL!$H42="Atlanta",+NFL!#REF!,0))</f>
        <v>0</v>
      </c>
      <c r="AI28" s="379">
        <f>IF(+NFL!$F42="Atlanta",+NFL!#REF!,IF(+NFL!$H42="Atlanta",+NFL!#REF!,0))</f>
        <v>0</v>
      </c>
      <c r="AJ28" s="353">
        <f>IF(+NFL!$F42="Atlanta",+NFL!#REF!,IF(+NFL!$H42="Atlanta",+NFL!#REF!,0))</f>
        <v>0</v>
      </c>
      <c r="AK28" s="379">
        <f>IF(+NFL!$F42="Atlanta",+NFL!#REF!,IF(+NFL!$H42="Atlanta",+NFL!#REF!,0))</f>
        <v>0</v>
      </c>
      <c r="AL28" s="57">
        <f>IF(+NFL!$F42="Atlanta",+NFL!#REF!,IF(+NFL!$H42="Atlanta",+NFL!#REF!,0))</f>
        <v>0</v>
      </c>
      <c r="AM28" s="58">
        <f>IF(+NFL!$F42="Atlanta",+NFL!#REF!,IF(+NFL!$H42="Atlanta",+NFL!#REF!,0))</f>
        <v>0</v>
      </c>
      <c r="AN28" s="57">
        <f>IF(+NFL!$F42="Atlanta",+NFL!#REF!,IF(+NFL!$H42="Atlanta",+NFL!#REF!,0))</f>
        <v>0</v>
      </c>
      <c r="AO28" s="59">
        <f>IF(+NFL!$F42="Atlanta",+NFL!#REF!,IF(+NFL!$H42="Atlanta",+NFL!#REF!,0))</f>
        <v>0</v>
      </c>
      <c r="AP28" s="348">
        <f>IF(+NFL!$F42="Atlanta",+NFL!#REF!,IF(+NFL!$H42="Atlanta",+NFL!#REF!,0))</f>
        <v>0</v>
      </c>
      <c r="AQ28" s="48">
        <f>IF(+NFL!$F42="Atlanta",+NFL!#REF!,IF(+NFL!$H42="Atlanta",+NFL!#REF!,0))</f>
        <v>0</v>
      </c>
      <c r="AR28" s="57">
        <f>IF(+NFL!$F42="Atlanta",+NFL!#REF!,IF(+NFL!$H42="Atlanta",+NFL!#REF!,0))</f>
        <v>0</v>
      </c>
      <c r="AS28" s="64">
        <f>IF(+NFL!$F42="Atlanta",+NFL!#REF!,IF(+NFL!$H42="Atlanta",+NFL!#REF!,0))</f>
        <v>0</v>
      </c>
      <c r="AT28" s="64">
        <f>IF(+NFL!$F42="Atlanta",+NFL!#REF!,IF(+NFL!$H42="Atlanta",+NFL!#REF!,0))</f>
        <v>0</v>
      </c>
      <c r="AU28" s="57">
        <f>IF(+NFL!$F42="Atlanta",+NFL!#REF!,IF(+NFL!$H42="Atlanta",+NFL!#REF!,0))</f>
        <v>0</v>
      </c>
      <c r="AV28" s="64">
        <f>IF(+NFL!$F42="Atlanta",+NFL!#REF!,IF(+NFL!$H42="Atlanta",+NFL!#REF!,0))</f>
        <v>0</v>
      </c>
      <c r="AW28" s="46">
        <f>IF(+NFL!$F42="Atlanta",+NFL!#REF!,IF(+NFL!$H42="Atlanta",+NFL!#REF!,0))</f>
        <v>0</v>
      </c>
      <c r="AX28" s="64">
        <f>IF(+NFL!$F42="Atlanta",+NFL!#REF!,IF(+NFL!$H42="Atlanta",+NFL!#REF!,0))</f>
        <v>0</v>
      </c>
      <c r="AY28" s="57">
        <f>IF(+NFL!$F42="Atlanta",+NFL!#REF!,IF(+NFL!$H42="Atlanta",+NFL!#REF!,0))</f>
        <v>0</v>
      </c>
      <c r="AZ28" s="64">
        <f>IF(+NFL!$F42="Atlanta",+NFL!#REF!,IF(+NFL!$H42="Atlanta",+NFL!#REF!,0))</f>
        <v>0</v>
      </c>
      <c r="BA28" s="46">
        <f>IF(+NFL!$F42="Atlanta",+NFL!#REF!,IF(+NFL!$H42="Atlanta",+NFL!#REF!,0))</f>
        <v>0</v>
      </c>
      <c r="BB28" s="46">
        <f>IF(+NFL!$F42="Atlanta",+NFL!#REF!,IF(+NFL!$H42="Atlanta",+NFL!#REF!,0))</f>
        <v>0</v>
      </c>
      <c r="BC28" s="403">
        <f>IF(+NFL!$F42="Atlanta",+NFL!#REF!,IF(+NFL!$H42="Atlanta",+NFL!#REF!,0))</f>
        <v>0</v>
      </c>
      <c r="BD28" s="57">
        <f>IF(+NFL!$F42="Atlanta",+NFL!#REF!,IF(+NFL!$H42="Atlanta",+NFL!#REF!,0))</f>
        <v>0</v>
      </c>
      <c r="BE28" s="64">
        <f>IF(+NFL!$F42="Atlanta",+NFL!#REF!,IF(+NFL!$H42="Atlanta",+NFL!#REF!,0))</f>
        <v>0</v>
      </c>
      <c r="BF28" s="64">
        <f>IF(+NFL!$F42="Atlanta",+NFL!#REF!,IF(+NFL!$H42="Atlanta",+NFL!#REF!,0))</f>
        <v>0</v>
      </c>
      <c r="BG28" s="57">
        <f>IF(+NFL!$F42="Atlanta",+NFL!#REF!,IF(+NFL!$H42="Atlanta",+NFL!#REF!,0))</f>
        <v>0</v>
      </c>
      <c r="BH28" s="64">
        <f>IF(+NFL!$F42="Atlanta",+NFL!#REF!,IF(+NFL!$H42="Atlanta",+NFL!#REF!,0))</f>
        <v>0</v>
      </c>
      <c r="BI28" s="46">
        <f>IF(+NFL!$F42="Atlanta",+NFL!#REF!,IF(+NFL!$H42="Atlanta",+NFL!#REF!,0))</f>
        <v>0</v>
      </c>
      <c r="BJ28" s="87">
        <f>IF(+NFL!$F42="Atlanta",+NFL!#REF!,IF(+NFL!$H42="Atlanta",+NFL!#REF!,0))</f>
        <v>0</v>
      </c>
      <c r="BK28" s="120">
        <f>IF(+NFL!$F42="Atlanta",+NFL!#REF!,IF(+NFL!$H42="Atlanta",+NFL!#REF!,0))</f>
        <v>0</v>
      </c>
    </row>
    <row r="29" spans="1:63" x14ac:dyDescent="0.8">
      <c r="A29" s="46">
        <f>IF(+NFL!$F110="Atlanta",+NFL!A110,IF(+NFL!$H110="Atlanta",+NFL!A110,0))</f>
        <v>7</v>
      </c>
      <c r="B29" s="46" t="str">
        <f>IF(+NFL!$F110="Atlanta",+NFL!B110,IF(+NFL!$H110="Atlanta",+NFL!B110,0))</f>
        <v>Sun</v>
      </c>
      <c r="C29" s="62">
        <f>IF(+NFL!$F110="Atlanta",+NFL!C110,IF(+NFL!$H110="Atlanta",+NFL!C110,0))</f>
        <v>44854</v>
      </c>
      <c r="D29" s="490">
        <f>IF(+NFL!$F110="Atlanta",+NFL!D110,IF(+NFL!$H110="Atlanta",+NFL!D110,0))</f>
        <v>0.54166666666666663</v>
      </c>
      <c r="E29" s="46" t="str">
        <f>IF(+NFL!$F110="Atlanta",+NFL!E110,IF(+NFL!$H110="Atlanta",+NFL!E110,0))</f>
        <v>Fox</v>
      </c>
      <c r="F29" s="127" t="str">
        <f>IF(+NFL!$F110="Atlanta",+NFL!F110,IF(+NFL!$H110="Atlanta",+NFL!F110,0))</f>
        <v>Atlanta</v>
      </c>
      <c r="G29" s="46" t="str">
        <f>IF(+NFL!$F110="Atlanta",+NFL!G110,IF(+NFL!$H110="Atlanta",+NFL!G110,0))</f>
        <v>NFCS</v>
      </c>
      <c r="H29" s="127" t="str">
        <f>IF(+NFL!$F110="Atlanta",+NFL!H110,IF(+NFL!$H110="Atlanta",+NFL!H110,0))</f>
        <v>Cincinnati</v>
      </c>
      <c r="I29" s="46" t="str">
        <f>IF(+NFL!$F110="Atlanta",+NFL!I110,IF(+NFL!$H110="Atlanta",+NFL!I110,0))</f>
        <v>AFCN</v>
      </c>
      <c r="J29" s="353" t="str">
        <f>IF(+NFL!$F110="Atlanta",+NFL!J110,IF(+NFL!$H110="Atlanta",+NFL!J110,0))</f>
        <v>Cincinnati</v>
      </c>
      <c r="K29" s="494" t="str">
        <f>IF(+NFL!$F110="Atlanta",+NFL!K110,IF(+NFL!$H110="Atlanta",+NFL!K110,0))</f>
        <v>Atlanta</v>
      </c>
      <c r="L29" s="384">
        <f>IF(+NFL!$F110="Atlanta",+NFL!L110,IF(+NFL!$H110="Atlanta",+NFL!L110,0))</f>
        <v>6</v>
      </c>
      <c r="M29" s="385">
        <f>IF(+NFL!$F110="Atlanta",+NFL!M110,IF(+NFL!$H110="Atlanta",+NFL!M110,0))</f>
        <v>47.5</v>
      </c>
      <c r="N29" s="394" t="str">
        <f>IF(+NFL!$F110="Atlanta",+NFL!N110,IF(+NFL!$H110="Atlanta",+NFL!N110,0))</f>
        <v>Cincinnati</v>
      </c>
      <c r="O29" s="395">
        <f>IF(+NFL!$F110="Atlanta",+NFL!O110,IF(+NFL!$H110="Atlanta",+NFL!O110,0))</f>
        <v>35</v>
      </c>
      <c r="P29" s="394" t="str">
        <f>IF(+NFL!$F110="Atlanta",+NFL!P110,IF(+NFL!$H110="Atlanta",+NFL!P110,0))</f>
        <v>Atlanta</v>
      </c>
      <c r="Q29" s="396">
        <f>IF(+NFL!$F110="Atlanta",+NFL!Q110,IF(+NFL!$H110="Atlanta",+NFL!Q110,0))</f>
        <v>17</v>
      </c>
      <c r="R29" s="397" t="str">
        <f>IF(+NFL!$F110="Atlanta",+NFL!R110,IF(+NFL!$H110="Atlanta",+NFL!R110,0))</f>
        <v>Cincinnati</v>
      </c>
      <c r="S29" s="396" t="str">
        <f>IF(+NFL!$F110="Atlanta",+NFL!S110,IF(+NFL!$H110="Atlanta",+NFL!S110,0))</f>
        <v>Atlanta</v>
      </c>
      <c r="T29" s="397" t="str">
        <f>IF(+NFL!$F110="Atlanta",+NFL!T110,IF(+NFL!$H110="Atlanta",+NFL!T110,0))</f>
        <v>Cincinnati</v>
      </c>
      <c r="U29" s="396" t="str">
        <f>IF(+NFL!$F110="Atlanta",+NFL!U110,IF(+NFL!$H110="Atlanta",+NFL!U110,0))</f>
        <v>W</v>
      </c>
      <c r="V29" s="397">
        <f>IF(+NFL!$F52="Atlanta",+NFL!#REF!,IF(+NFL!$H52="Atlanta",+NFL!#REF!,0))</f>
        <v>0</v>
      </c>
      <c r="W29" s="396">
        <f>IF(+NFL!$F52="Atlanta",+NFL!#REF!,IF(+NFL!$H52="Atlanta",+NFL!#REF!,0))</f>
        <v>0</v>
      </c>
      <c r="X29" s="397">
        <f>IF(+NFL!$F52="Atlanta",+NFL!#REF!,IF(+NFL!$H52="Atlanta",+NFL!#REF!,0))</f>
        <v>0</v>
      </c>
      <c r="Y29" s="396">
        <f>IF(+NFL!$F52="Atlanta",+NFL!#REF!,IF(+NFL!$H52="Atlanta",+NFL!#REF!,0))</f>
        <v>0</v>
      </c>
      <c r="Z29" s="397">
        <f>IF(+NFL!$F52="Atlanta",+NFL!#REF!,IF(+NFL!$H52="Atlanta",+NFL!#REF!,0))</f>
        <v>0</v>
      </c>
      <c r="AA29" s="396">
        <f>IF(+NFL!$F52="Atlanta",+NFL!#REF!,IF(+NFL!$H52="Atlanta",+NFL!#REF!,0))</f>
        <v>0</v>
      </c>
      <c r="AB29" s="87">
        <f>IF(+NFL!$F52="Atlanta",+NFL!#REF!,IF(+NFL!$H52="Atlanta",+NFL!#REF!,0))</f>
        <v>0</v>
      </c>
      <c r="AC29" s="120">
        <f>IF(+NFL!$F52="Atlanta",+NFL!#REF!,IF(+NFL!$H52="Atlanta",+NFL!#REF!,0))</f>
        <v>0</v>
      </c>
      <c r="AD29" s="353">
        <f>IF(+NFL!$F52="Atlanta",+NFL!#REF!,IF(+NFL!$H52="Atlanta",+NFL!#REF!,0))</f>
        <v>0</v>
      </c>
      <c r="AE29" s="379">
        <f>IF(+NFL!$F52="Atlanta",+NFL!#REF!,IF(+NFL!$H52="Atlanta",+NFL!#REF!,0))</f>
        <v>0</v>
      </c>
      <c r="AF29" s="353">
        <f>IF(+NFL!$F52="Atlanta",+NFL!#REF!,IF(+NFL!$H52="Atlanta",+NFL!#REF!,0))</f>
        <v>0</v>
      </c>
      <c r="AG29" s="379">
        <f>IF(+NFL!$F52="Atlanta",+NFL!#REF!,IF(+NFL!$H52="Atlanta",+NFL!#REF!,0))</f>
        <v>0</v>
      </c>
      <c r="AH29" s="353">
        <f>IF(+NFL!$F52="Atlanta",+NFL!#REF!,IF(+NFL!$H52="Atlanta",+NFL!#REF!,0))</f>
        <v>0</v>
      </c>
      <c r="AI29" s="379">
        <f>IF(+NFL!$F52="Atlanta",+NFL!#REF!,IF(+NFL!$H52="Atlanta",+NFL!#REF!,0))</f>
        <v>0</v>
      </c>
      <c r="AJ29" s="353">
        <f>IF(+NFL!$F52="Atlanta",+NFL!#REF!,IF(+NFL!$H52="Atlanta",+NFL!#REF!,0))</f>
        <v>0</v>
      </c>
      <c r="AK29" s="379">
        <f>IF(+NFL!$F52="Atlanta",+NFL!#REF!,IF(+NFL!$H52="Atlanta",+NFL!#REF!,0))</f>
        <v>0</v>
      </c>
      <c r="AL29" s="57">
        <f>IF(+NFL!$F52="Atlanta",+NFL!#REF!,IF(+NFL!$H52="Atlanta",+NFL!#REF!,0))</f>
        <v>0</v>
      </c>
      <c r="AM29" s="58">
        <f>IF(+NFL!$F52="Atlanta",+NFL!#REF!,IF(+NFL!$H52="Atlanta",+NFL!#REF!,0))</f>
        <v>0</v>
      </c>
      <c r="AN29" s="57">
        <f>IF(+NFL!$F52="Atlanta",+NFL!#REF!,IF(+NFL!$H52="Atlanta",+NFL!#REF!,0))</f>
        <v>0</v>
      </c>
      <c r="AO29" s="59">
        <f>IF(+NFL!$F52="Atlanta",+NFL!#REF!,IF(+NFL!$H52="Atlanta",+NFL!#REF!,0))</f>
        <v>0</v>
      </c>
      <c r="AP29" s="348">
        <f>IF(+NFL!$F52="Atlanta",+NFL!#REF!,IF(+NFL!$H52="Atlanta",+NFL!#REF!,0))</f>
        <v>0</v>
      </c>
      <c r="AQ29" s="48">
        <f>IF(+NFL!$F52="Atlanta",+NFL!#REF!,IF(+NFL!$H52="Atlanta",+NFL!#REF!,0))</f>
        <v>0</v>
      </c>
      <c r="AR29" s="57">
        <f>IF(+NFL!$F52="Atlanta",+NFL!#REF!,IF(+NFL!$H52="Atlanta",+NFL!#REF!,0))</f>
        <v>0</v>
      </c>
      <c r="AS29" s="64">
        <f>IF(+NFL!$F52="Atlanta",+NFL!#REF!,IF(+NFL!$H52="Atlanta",+NFL!#REF!,0))</f>
        <v>0</v>
      </c>
      <c r="AT29" s="64">
        <f>IF(+NFL!$F52="Atlanta",+NFL!#REF!,IF(+NFL!$H52="Atlanta",+NFL!#REF!,0))</f>
        <v>0</v>
      </c>
      <c r="AU29" s="57">
        <f>IF(+NFL!$F52="Atlanta",+NFL!#REF!,IF(+NFL!$H52="Atlanta",+NFL!#REF!,0))</f>
        <v>0</v>
      </c>
      <c r="AV29" s="64">
        <f>IF(+NFL!$F52="Atlanta",+NFL!#REF!,IF(+NFL!$H52="Atlanta",+NFL!#REF!,0))</f>
        <v>0</v>
      </c>
      <c r="AW29" s="46">
        <f>IF(+NFL!$F52="Atlanta",+NFL!#REF!,IF(+NFL!$H52="Atlanta",+NFL!#REF!,0))</f>
        <v>0</v>
      </c>
      <c r="AX29" s="64">
        <f>IF(+NFL!$F52="Atlanta",+NFL!#REF!,IF(+NFL!$H52="Atlanta",+NFL!#REF!,0))</f>
        <v>0</v>
      </c>
      <c r="AY29" s="57">
        <f>IF(+NFL!$F52="Atlanta",+NFL!#REF!,IF(+NFL!$H52="Atlanta",+NFL!#REF!,0))</f>
        <v>0</v>
      </c>
      <c r="AZ29" s="64">
        <f>IF(+NFL!$F52="Atlanta",+NFL!#REF!,IF(+NFL!$H52="Atlanta",+NFL!#REF!,0))</f>
        <v>0</v>
      </c>
      <c r="BA29" s="46">
        <f>IF(+NFL!$F52="Atlanta",+NFL!#REF!,IF(+NFL!$H52="Atlanta",+NFL!#REF!,0))</f>
        <v>0</v>
      </c>
      <c r="BB29" s="46">
        <f>IF(+NFL!$F52="Atlanta",+NFL!#REF!,IF(+NFL!$H52="Atlanta",+NFL!#REF!,0))</f>
        <v>0</v>
      </c>
      <c r="BC29" s="403">
        <f>IF(+NFL!$F52="Atlanta",+NFL!#REF!,IF(+NFL!$H52="Atlanta",+NFL!#REF!,0))</f>
        <v>0</v>
      </c>
      <c r="BD29" s="57">
        <f>IF(+NFL!$F52="Atlanta",+NFL!#REF!,IF(+NFL!$H52="Atlanta",+NFL!#REF!,0))</f>
        <v>0</v>
      </c>
      <c r="BE29" s="64">
        <f>IF(+NFL!$F52="Atlanta",+NFL!#REF!,IF(+NFL!$H52="Atlanta",+NFL!#REF!,0))</f>
        <v>0</v>
      </c>
      <c r="BF29" s="64">
        <f>IF(+NFL!$F52="Atlanta",+NFL!#REF!,IF(+NFL!$H52="Atlanta",+NFL!#REF!,0))</f>
        <v>0</v>
      </c>
      <c r="BG29" s="57">
        <f>IF(+NFL!$F52="Atlanta",+NFL!#REF!,IF(+NFL!$H52="Atlanta",+NFL!#REF!,0))</f>
        <v>0</v>
      </c>
      <c r="BH29" s="64">
        <f>IF(+NFL!$F52="Atlanta",+NFL!#REF!,IF(+NFL!$H52="Atlanta",+NFL!#REF!,0))</f>
        <v>0</v>
      </c>
      <c r="BI29" s="46">
        <f>IF(+NFL!$F52="Atlanta",+NFL!#REF!,IF(+NFL!$H52="Atlanta",+NFL!#REF!,0))</f>
        <v>0</v>
      </c>
      <c r="BJ29" s="87">
        <f>IF(+NFL!$F52="Atlanta",+NFL!#REF!,IF(+NFL!$H52="Atlanta",+NFL!#REF!,0))</f>
        <v>0</v>
      </c>
      <c r="BK29" s="120">
        <f>IF(+NFL!$F52="Atlanta",+NFL!#REF!,IF(+NFL!$H52="Atlanta",+NFL!#REF!,0))</f>
        <v>0</v>
      </c>
    </row>
    <row r="30" spans="1:63" x14ac:dyDescent="0.8">
      <c r="A30" s="46">
        <f>IF(+NFL!$F131="Atlanta",+NFL!A131,IF(+NFL!$H131="Atlanta",+NFL!A131,0))</f>
        <v>8</v>
      </c>
      <c r="B30" s="46" t="str">
        <f>IF(+NFL!$F131="Atlanta",+NFL!B131,IF(+NFL!$H131="Atlanta",+NFL!B131,0))</f>
        <v>Sun</v>
      </c>
      <c r="C30" s="62">
        <f>IF(+NFL!$F131="Atlanta",+NFL!C131,IF(+NFL!$H131="Atlanta",+NFL!C131,0))</f>
        <v>44864</v>
      </c>
      <c r="D30" s="490">
        <f>IF(+NFL!$F131="Atlanta",+NFL!D131,IF(+NFL!$H131="Atlanta",+NFL!D131,0))</f>
        <v>0.54166666666666663</v>
      </c>
      <c r="E30" s="46" t="str">
        <f>IF(+NFL!$F131="Atlanta",+NFL!E131,IF(+NFL!$H131="Atlanta",+NFL!E131,0))</f>
        <v>Fox</v>
      </c>
      <c r="F30" s="127" t="str">
        <f>IF(+NFL!$F131="Atlanta",+NFL!F131,IF(+NFL!$H131="Atlanta",+NFL!F131,0))</f>
        <v>Carolina</v>
      </c>
      <c r="G30" s="46" t="str">
        <f>IF(+NFL!$F131="Atlanta",+NFL!G131,IF(+NFL!$H131="Atlanta",+NFL!G131,0))</f>
        <v>NFCS</v>
      </c>
      <c r="H30" s="127" t="str">
        <f>IF(+NFL!$F131="Atlanta",+NFL!H131,IF(+NFL!$H131="Atlanta",+NFL!H131,0))</f>
        <v>Atlanta</v>
      </c>
      <c r="I30" s="46" t="str">
        <f>IF(+NFL!$F131="Atlanta",+NFL!I131,IF(+NFL!$H131="Atlanta",+NFL!I131,0))</f>
        <v>NFCS</v>
      </c>
      <c r="J30" s="353" t="str">
        <f>IF(+NFL!$F131="Atlanta",+NFL!J131,IF(+NFL!$H131="Atlanta",+NFL!J131,0))</f>
        <v>Atlanta</v>
      </c>
      <c r="K30" s="494" t="str">
        <f>IF(+NFL!$F131="Atlanta",+NFL!K131,IF(+NFL!$H131="Atlanta",+NFL!K131,0))</f>
        <v>Carolina</v>
      </c>
      <c r="L30" s="384">
        <f>IF(+NFL!$F131="Atlanta",+NFL!L131,IF(+NFL!$H131="Atlanta",+NFL!L131,0))</f>
        <v>4.5</v>
      </c>
      <c r="M30" s="385">
        <f>IF(+NFL!$F131="Atlanta",+NFL!M131,IF(+NFL!$H131="Atlanta",+NFL!M131,0))</f>
        <v>42</v>
      </c>
      <c r="N30" s="394" t="str">
        <f>IF(+NFL!$F131="Atlanta",+NFL!N131,IF(+NFL!$H131="Atlanta",+NFL!N131,0))</f>
        <v>Atlanta</v>
      </c>
      <c r="O30" s="395">
        <f>IF(+NFL!$F131="Atlanta",+NFL!O131,IF(+NFL!$H131="Atlanta",+NFL!O131,0))</f>
        <v>37</v>
      </c>
      <c r="P30" s="394" t="str">
        <f>IF(+NFL!$F131="Atlanta",+NFL!P131,IF(+NFL!$H131="Atlanta",+NFL!P131,0))</f>
        <v>Carolina</v>
      </c>
      <c r="Q30" s="396">
        <f>IF(+NFL!$F131="Atlanta",+NFL!Q131,IF(+NFL!$H131="Atlanta",+NFL!Q131,0))</f>
        <v>34</v>
      </c>
      <c r="R30" s="397" t="str">
        <f>IF(+NFL!$F131="Atlanta",+NFL!R131,IF(+NFL!$H131="Atlanta",+NFL!R131,0))</f>
        <v>Carolina</v>
      </c>
      <c r="S30" s="396" t="str">
        <f>IF(+NFL!$F131="Atlanta",+NFL!S131,IF(+NFL!$H131="Atlanta",+NFL!S131,0))</f>
        <v>Atlanta</v>
      </c>
      <c r="T30" s="397" t="str">
        <f>IF(+NFL!$F131="Atlanta",+NFL!T131,IF(+NFL!$H131="Atlanta",+NFL!T131,0))</f>
        <v>Atlanta</v>
      </c>
      <c r="U30" s="396" t="str">
        <f>IF(+NFL!$F131="Atlanta",+NFL!U131,IF(+NFL!$H131="Atlanta",+NFL!U131,0))</f>
        <v>L</v>
      </c>
      <c r="V30" s="397">
        <f>IF(+NFL!$F70="Atlanta",+NFL!#REF!,IF(+NFL!$H70="Atlanta",+NFL!#REF!,0))</f>
        <v>0</v>
      </c>
      <c r="W30" s="396">
        <f>IF(+NFL!$F70="Atlanta",+NFL!#REF!,IF(+NFL!$H70="Atlanta",+NFL!#REF!,0))</f>
        <v>0</v>
      </c>
      <c r="X30" s="397">
        <f>IF(+NFL!$F70="Atlanta",+NFL!#REF!,IF(+NFL!$H70="Atlanta",+NFL!#REF!,0))</f>
        <v>0</v>
      </c>
      <c r="Y30" s="396">
        <f>IF(+NFL!$F70="Atlanta",+NFL!#REF!,IF(+NFL!$H70="Atlanta",+NFL!#REF!,0))</f>
        <v>0</v>
      </c>
      <c r="Z30" s="397">
        <f>IF(+NFL!$F70="Atlanta",+NFL!#REF!,IF(+NFL!$H70="Atlanta",+NFL!#REF!,0))</f>
        <v>0</v>
      </c>
      <c r="AA30" s="396">
        <f>IF(+NFL!$F70="Atlanta",+NFL!#REF!,IF(+NFL!$H70="Atlanta",+NFL!#REF!,0))</f>
        <v>0</v>
      </c>
      <c r="AB30" s="87">
        <f>IF(+NFL!$F70="Atlanta",+NFL!#REF!,IF(+NFL!$H70="Atlanta",+NFL!#REF!,0))</f>
        <v>0</v>
      </c>
      <c r="AC30" s="120">
        <f>IF(+NFL!$F70="Atlanta",+NFL!#REF!,IF(+NFL!$H70="Atlanta",+NFL!#REF!,0))</f>
        <v>0</v>
      </c>
      <c r="AD30" s="353">
        <f>IF(+NFL!$F70="Atlanta",+NFL!#REF!,IF(+NFL!$H70="Atlanta",+NFL!#REF!,0))</f>
        <v>0</v>
      </c>
      <c r="AE30" s="379">
        <f>IF(+NFL!$F70="Atlanta",+NFL!#REF!,IF(+NFL!$H70="Atlanta",+NFL!#REF!,0))</f>
        <v>0</v>
      </c>
      <c r="AF30" s="353">
        <f>IF(+NFL!$F70="Atlanta",+NFL!#REF!,IF(+NFL!$H70="Atlanta",+NFL!#REF!,0))</f>
        <v>0</v>
      </c>
      <c r="AG30" s="379">
        <f>IF(+NFL!$F70="Atlanta",+NFL!#REF!,IF(+NFL!$H70="Atlanta",+NFL!#REF!,0))</f>
        <v>0</v>
      </c>
      <c r="AH30" s="353">
        <f>IF(+NFL!$F70="Atlanta",+NFL!#REF!,IF(+NFL!$H70="Atlanta",+NFL!#REF!,0))</f>
        <v>0</v>
      </c>
      <c r="AI30" s="379">
        <f>IF(+NFL!$F70="Atlanta",+NFL!#REF!,IF(+NFL!$H70="Atlanta",+NFL!#REF!,0))</f>
        <v>0</v>
      </c>
      <c r="AJ30" s="353">
        <f>IF(+NFL!$F70="Atlanta",+NFL!#REF!,IF(+NFL!$H70="Atlanta",+NFL!#REF!,0))</f>
        <v>0</v>
      </c>
      <c r="AK30" s="379">
        <f>IF(+NFL!$F70="Atlanta",+NFL!#REF!,IF(+NFL!$H70="Atlanta",+NFL!#REF!,0))</f>
        <v>0</v>
      </c>
      <c r="AL30" s="57">
        <f>IF(+NFL!$F70="Atlanta",+NFL!#REF!,IF(+NFL!$H70="Atlanta",+NFL!#REF!,0))</f>
        <v>0</v>
      </c>
      <c r="AM30" s="58">
        <f>IF(+NFL!$F70="Atlanta",+NFL!#REF!,IF(+NFL!$H70="Atlanta",+NFL!#REF!,0))</f>
        <v>0</v>
      </c>
      <c r="AN30" s="57">
        <f>IF(+NFL!$F70="Atlanta",+NFL!#REF!,IF(+NFL!$H70="Atlanta",+NFL!#REF!,0))</f>
        <v>0</v>
      </c>
      <c r="AO30" s="59">
        <f>IF(+NFL!$F70="Atlanta",+NFL!#REF!,IF(+NFL!$H70="Atlanta",+NFL!#REF!,0))</f>
        <v>0</v>
      </c>
      <c r="AP30" s="348">
        <f>IF(+NFL!$F70="Atlanta",+NFL!#REF!,IF(+NFL!$H70="Atlanta",+NFL!#REF!,0))</f>
        <v>0</v>
      </c>
      <c r="AQ30" s="48">
        <f>IF(+NFL!$F70="Atlanta",+NFL!#REF!,IF(+NFL!$H70="Atlanta",+NFL!#REF!,0))</f>
        <v>0</v>
      </c>
      <c r="AR30" s="57">
        <f>IF(+NFL!$F70="Atlanta",+NFL!#REF!,IF(+NFL!$H70="Atlanta",+NFL!#REF!,0))</f>
        <v>0</v>
      </c>
      <c r="AS30" s="64">
        <f>IF(+NFL!$F70="Atlanta",+NFL!#REF!,IF(+NFL!$H70="Atlanta",+NFL!#REF!,0))</f>
        <v>0</v>
      </c>
      <c r="AT30" s="64">
        <f>IF(+NFL!$F70="Atlanta",+NFL!#REF!,IF(+NFL!$H70="Atlanta",+NFL!#REF!,0))</f>
        <v>0</v>
      </c>
      <c r="AU30" s="57">
        <f>IF(+NFL!$F70="Atlanta",+NFL!#REF!,IF(+NFL!$H70="Atlanta",+NFL!#REF!,0))</f>
        <v>0</v>
      </c>
      <c r="AV30" s="64">
        <f>IF(+NFL!$F70="Atlanta",+NFL!#REF!,IF(+NFL!$H70="Atlanta",+NFL!#REF!,0))</f>
        <v>0</v>
      </c>
      <c r="AW30" s="46">
        <f>IF(+NFL!$F70="Atlanta",+NFL!#REF!,IF(+NFL!$H70="Atlanta",+NFL!#REF!,0))</f>
        <v>0</v>
      </c>
      <c r="AX30" s="64">
        <f>IF(+NFL!$F70="Atlanta",+NFL!#REF!,IF(+NFL!$H70="Atlanta",+NFL!#REF!,0))</f>
        <v>0</v>
      </c>
      <c r="AY30" s="57">
        <f>IF(+NFL!$F70="Atlanta",+NFL!#REF!,IF(+NFL!$H70="Atlanta",+NFL!#REF!,0))</f>
        <v>0</v>
      </c>
      <c r="AZ30" s="64">
        <f>IF(+NFL!$F70="Atlanta",+NFL!#REF!,IF(+NFL!$H70="Atlanta",+NFL!#REF!,0))</f>
        <v>0</v>
      </c>
      <c r="BA30" s="46">
        <f>IF(+NFL!$F70="Atlanta",+NFL!#REF!,IF(+NFL!$H70="Atlanta",+NFL!#REF!,0))</f>
        <v>0</v>
      </c>
      <c r="BB30" s="46">
        <f>IF(+NFL!$F70="Atlanta",+NFL!#REF!,IF(+NFL!$H70="Atlanta",+NFL!#REF!,0))</f>
        <v>0</v>
      </c>
      <c r="BC30" s="403">
        <f>IF(+NFL!$F70="Atlanta",+NFL!#REF!,IF(+NFL!$H70="Atlanta",+NFL!#REF!,0))</f>
        <v>0</v>
      </c>
      <c r="BD30" s="57">
        <f>IF(+NFL!$F70="Atlanta",+NFL!#REF!,IF(+NFL!$H70="Atlanta",+NFL!#REF!,0))</f>
        <v>0</v>
      </c>
      <c r="BE30" s="64">
        <f>IF(+NFL!$F70="Atlanta",+NFL!#REF!,IF(+NFL!$H70="Atlanta",+NFL!#REF!,0))</f>
        <v>0</v>
      </c>
      <c r="BF30" s="64">
        <f>IF(+NFL!$F70="Atlanta",+NFL!#REF!,IF(+NFL!$H70="Atlanta",+NFL!#REF!,0))</f>
        <v>0</v>
      </c>
      <c r="BG30" s="57">
        <f>IF(+NFL!$F70="Atlanta",+NFL!#REF!,IF(+NFL!$H70="Atlanta",+NFL!#REF!,0))</f>
        <v>0</v>
      </c>
      <c r="BH30" s="64">
        <f>IF(+NFL!$F70="Atlanta",+NFL!#REF!,IF(+NFL!$H70="Atlanta",+NFL!#REF!,0))</f>
        <v>0</v>
      </c>
      <c r="BI30" s="46">
        <f>IF(+NFL!$F70="Atlanta",+NFL!#REF!,IF(+NFL!$H70="Atlanta",+NFL!#REF!,0))</f>
        <v>0</v>
      </c>
      <c r="BJ30" s="87">
        <f>IF(+NFL!$F70="Atlanta",+NFL!#REF!,IF(+NFL!$H70="Atlanta",+NFL!#REF!,0))</f>
        <v>0</v>
      </c>
      <c r="BK30" s="120">
        <f>IF(+NFL!$F70="Atlanta",+NFL!#REF!,IF(+NFL!$H70="Atlanta",+NFL!#REF!,0))</f>
        <v>0</v>
      </c>
    </row>
    <row r="31" spans="1:63" x14ac:dyDescent="0.8">
      <c r="A31" s="46">
        <f>IF(+NFL!$F149="Atlanta",+NFL!A149,IF(+NFL!$H149="Atlanta",+NFL!A149,0))</f>
        <v>9</v>
      </c>
      <c r="B31" s="46" t="str">
        <f>IF(+NFL!$F149="Atlanta",+NFL!B149,IF(+NFL!$H149="Atlanta",+NFL!B149,0))</f>
        <v>Sun</v>
      </c>
      <c r="C31" s="62">
        <f>IF(+NFL!$F149="Atlanta",+NFL!C149,IF(+NFL!$H149="Atlanta",+NFL!C149,0))</f>
        <v>44871</v>
      </c>
      <c r="D31" s="490">
        <f>IF(+NFL!$F149="Atlanta",+NFL!D149,IF(+NFL!$H149="Atlanta",+NFL!D149,0))</f>
        <v>0.39583333333333331</v>
      </c>
      <c r="E31" s="46" t="str">
        <f>IF(+NFL!$F149="Atlanta",+NFL!E149,IF(+NFL!$H149="Atlanta",+NFL!E149,0))</f>
        <v>CBS</v>
      </c>
      <c r="F31" s="127" t="str">
        <f>IF(+NFL!$F149="Atlanta",+NFL!F149,IF(+NFL!$H149="Atlanta",+NFL!F149,0))</f>
        <v>LA Chargers</v>
      </c>
      <c r="G31" s="46" t="str">
        <f>IF(+NFL!$F149="Atlanta",+NFL!G149,IF(+NFL!$H149="Atlanta",+NFL!G149,0))</f>
        <v>AFCW</v>
      </c>
      <c r="H31" s="127" t="str">
        <f>IF(+NFL!$F149="Atlanta",+NFL!H149,IF(+NFL!$H149="Atlanta",+NFL!H149,0))</f>
        <v>Atlanta</v>
      </c>
      <c r="I31" s="46" t="str">
        <f>IF(+NFL!$F149="Atlanta",+NFL!I149,IF(+NFL!$H149="Atlanta",+NFL!I149,0))</f>
        <v>NFCS</v>
      </c>
      <c r="J31" s="353" t="str">
        <f>IF(+NFL!$F149="Atlanta",+NFL!J149,IF(+NFL!$H149="Atlanta",+NFL!J149,0))</f>
        <v>LA Chargers</v>
      </c>
      <c r="K31" s="494" t="str">
        <f>IF(+NFL!$F149="Atlanta",+NFL!K149,IF(+NFL!$H149="Atlanta",+NFL!K149,0))</f>
        <v>Atlanta</v>
      </c>
      <c r="L31" s="384">
        <f>IF(+NFL!$F149="Atlanta",+NFL!L149,IF(+NFL!$H149="Atlanta",+NFL!L149,0))</f>
        <v>3</v>
      </c>
      <c r="M31" s="385">
        <f>IF(+NFL!$F149="Atlanta",+NFL!M149,IF(+NFL!$H149="Atlanta",+NFL!M149,0))</f>
        <v>49.5</v>
      </c>
      <c r="N31" s="394" t="str">
        <f>IF(+NFL!$F149="Atlanta",+NFL!N149,IF(+NFL!$H149="Atlanta",+NFL!N149,0))</f>
        <v>LA Chargers</v>
      </c>
      <c r="O31" s="395">
        <f>IF(+NFL!$F149="Atlanta",+NFL!O149,IF(+NFL!$H149="Atlanta",+NFL!O149,0))</f>
        <v>20</v>
      </c>
      <c r="P31" s="394" t="str">
        <f>IF(+NFL!$F149="Atlanta",+NFL!P149,IF(+NFL!$H149="Atlanta",+NFL!P149,0))</f>
        <v>Atlanta</v>
      </c>
      <c r="Q31" s="396">
        <f>IF(+NFL!$F149="Atlanta",+NFL!Q149,IF(+NFL!$H149="Atlanta",+NFL!Q149,0))</f>
        <v>17</v>
      </c>
      <c r="R31" s="397" t="str">
        <f>IF(+NFL!$F149="Atlanta",+NFL!R149,IF(+NFL!$H149="Atlanta",+NFL!R149,0))</f>
        <v>LA Chargers</v>
      </c>
      <c r="S31" s="396" t="str">
        <f>IF(+NFL!$F149="Atlanta",+NFL!S149,IF(+NFL!$H149="Atlanta",+NFL!S149,0))</f>
        <v>Atlanta</v>
      </c>
      <c r="T31" s="397" t="str">
        <f>IF(+NFL!$F149="Atlanta",+NFL!T149,IF(+NFL!$H149="Atlanta",+NFL!T149,0))</f>
        <v>Atlanta</v>
      </c>
      <c r="U31" s="396" t="str">
        <f>IF(+NFL!$F149="Atlanta",+NFL!U149,IF(+NFL!$H149="Atlanta",+NFL!U149,0))</f>
        <v>T</v>
      </c>
      <c r="V31" s="397">
        <f>IF(+NFL!$F97="Atlanta",+NFL!#REF!,IF(+NFL!$H97="Atlanta",+NFL!#REF!,0))</f>
        <v>0</v>
      </c>
      <c r="W31" s="396">
        <f>IF(+NFL!$F97="Atlanta",+NFL!#REF!,IF(+NFL!$H97="Atlanta",+NFL!#REF!,0))</f>
        <v>0</v>
      </c>
      <c r="X31" s="397">
        <f>IF(+NFL!$F97="Atlanta",+NFL!#REF!,IF(+NFL!$H97="Atlanta",+NFL!#REF!,0))</f>
        <v>0</v>
      </c>
      <c r="Y31" s="396">
        <f>IF(+NFL!$F97="Atlanta",+NFL!#REF!,IF(+NFL!$H97="Atlanta",+NFL!#REF!,0))</f>
        <v>0</v>
      </c>
      <c r="Z31" s="397">
        <f>IF(+NFL!$F97="Atlanta",+NFL!#REF!,IF(+NFL!$H97="Atlanta",+NFL!#REF!,0))</f>
        <v>0</v>
      </c>
      <c r="AA31" s="396">
        <f>IF(+NFL!$F97="Atlanta",+NFL!#REF!,IF(+NFL!$H97="Atlanta",+NFL!#REF!,0))</f>
        <v>0</v>
      </c>
      <c r="AB31" s="87">
        <f>IF(+NFL!$F97="Atlanta",+NFL!#REF!,IF(+NFL!$H97="Atlanta",+NFL!#REF!,0))</f>
        <v>0</v>
      </c>
      <c r="AC31" s="120">
        <f>IF(+NFL!$F97="Atlanta",+NFL!#REF!,IF(+NFL!$H97="Atlanta",+NFL!#REF!,0))</f>
        <v>0</v>
      </c>
      <c r="AD31" s="353">
        <f>IF(+NFL!$F97="Atlanta",+NFL!#REF!,IF(+NFL!$H97="Atlanta",+NFL!#REF!,0))</f>
        <v>0</v>
      </c>
      <c r="AE31" s="379">
        <f>IF(+NFL!$F97="Atlanta",+NFL!#REF!,IF(+NFL!$H97="Atlanta",+NFL!#REF!,0))</f>
        <v>0</v>
      </c>
      <c r="AF31" s="353">
        <f>IF(+NFL!$F97="Atlanta",+NFL!#REF!,IF(+NFL!$H97="Atlanta",+NFL!#REF!,0))</f>
        <v>0</v>
      </c>
      <c r="AG31" s="379">
        <f>IF(+NFL!$F97="Atlanta",+NFL!#REF!,IF(+NFL!$H97="Atlanta",+NFL!#REF!,0))</f>
        <v>0</v>
      </c>
      <c r="AH31" s="353">
        <f>IF(+NFL!$F97="Atlanta",+NFL!#REF!,IF(+NFL!$H97="Atlanta",+NFL!#REF!,0))</f>
        <v>0</v>
      </c>
      <c r="AI31" s="379">
        <f>IF(+NFL!$F97="Atlanta",+NFL!#REF!,IF(+NFL!$H97="Atlanta",+NFL!#REF!,0))</f>
        <v>0</v>
      </c>
      <c r="AJ31" s="353">
        <f>IF(+NFL!$F97="Atlanta",+NFL!#REF!,IF(+NFL!$H97="Atlanta",+NFL!#REF!,0))</f>
        <v>0</v>
      </c>
      <c r="AK31" s="379">
        <f>IF(+NFL!$F97="Atlanta",+NFL!#REF!,IF(+NFL!$H97="Atlanta",+NFL!#REF!,0))</f>
        <v>0</v>
      </c>
      <c r="AL31" s="57">
        <f>IF(+NFL!$F97="Atlanta",+NFL!#REF!,IF(+NFL!$H97="Atlanta",+NFL!#REF!,0))</f>
        <v>0</v>
      </c>
      <c r="AM31" s="58">
        <f>IF(+NFL!$F97="Atlanta",+NFL!#REF!,IF(+NFL!$H97="Atlanta",+NFL!#REF!,0))</f>
        <v>0</v>
      </c>
      <c r="AN31" s="57">
        <f>IF(+NFL!$F97="Atlanta",+NFL!#REF!,IF(+NFL!$H97="Atlanta",+NFL!#REF!,0))</f>
        <v>0</v>
      </c>
      <c r="AO31" s="59">
        <f>IF(+NFL!$F97="Atlanta",+NFL!#REF!,IF(+NFL!$H97="Atlanta",+NFL!#REF!,0))</f>
        <v>0</v>
      </c>
      <c r="AP31" s="348">
        <f>IF(+NFL!$F97="Atlanta",+NFL!#REF!,IF(+NFL!$H97="Atlanta",+NFL!#REF!,0))</f>
        <v>0</v>
      </c>
      <c r="AQ31" s="48">
        <f>IF(+NFL!$F97="Atlanta",+NFL!#REF!,IF(+NFL!$H97="Atlanta",+NFL!#REF!,0))</f>
        <v>0</v>
      </c>
      <c r="AR31" s="57">
        <f>IF(+NFL!$F97="Atlanta",+NFL!#REF!,IF(+NFL!$H97="Atlanta",+NFL!#REF!,0))</f>
        <v>0</v>
      </c>
      <c r="AS31" s="64">
        <f>IF(+NFL!$F97="Atlanta",+NFL!#REF!,IF(+NFL!$H97="Atlanta",+NFL!#REF!,0))</f>
        <v>0</v>
      </c>
      <c r="AT31" s="64">
        <f>IF(+NFL!$F97="Atlanta",+NFL!#REF!,IF(+NFL!$H97="Atlanta",+NFL!#REF!,0))</f>
        <v>0</v>
      </c>
      <c r="AU31" s="57">
        <f>IF(+NFL!$F97="Atlanta",+NFL!#REF!,IF(+NFL!$H97="Atlanta",+NFL!#REF!,0))</f>
        <v>0</v>
      </c>
      <c r="AV31" s="64">
        <f>IF(+NFL!$F97="Atlanta",+NFL!#REF!,IF(+NFL!$H97="Atlanta",+NFL!#REF!,0))</f>
        <v>0</v>
      </c>
      <c r="AW31" s="46">
        <f>IF(+NFL!$F97="Atlanta",+NFL!#REF!,IF(+NFL!$H97="Atlanta",+NFL!#REF!,0))</f>
        <v>0</v>
      </c>
      <c r="AX31" s="64">
        <f>IF(+NFL!$F97="Atlanta",+NFL!#REF!,IF(+NFL!$H97="Atlanta",+NFL!#REF!,0))</f>
        <v>0</v>
      </c>
      <c r="AY31" s="57">
        <f>IF(+NFL!$F97="Atlanta",+NFL!#REF!,IF(+NFL!$H97="Atlanta",+NFL!#REF!,0))</f>
        <v>0</v>
      </c>
      <c r="AZ31" s="64">
        <f>IF(+NFL!$F97="Atlanta",+NFL!#REF!,IF(+NFL!$H97="Atlanta",+NFL!#REF!,0))</f>
        <v>0</v>
      </c>
      <c r="BA31" s="46">
        <f>IF(+NFL!$F97="Atlanta",+NFL!#REF!,IF(+NFL!$H97="Atlanta",+NFL!#REF!,0))</f>
        <v>0</v>
      </c>
      <c r="BB31" s="46">
        <f>IF(+NFL!$F97="Atlanta",+NFL!#REF!,IF(+NFL!$H97="Atlanta",+NFL!#REF!,0))</f>
        <v>0</v>
      </c>
      <c r="BC31" s="403">
        <f>IF(+NFL!$F97="Atlanta",+NFL!#REF!,IF(+NFL!$H97="Atlanta",+NFL!#REF!,0))</f>
        <v>0</v>
      </c>
      <c r="BD31" s="57">
        <f>IF(+NFL!$F97="Atlanta",+NFL!#REF!,IF(+NFL!$H97="Atlanta",+NFL!#REF!,0))</f>
        <v>0</v>
      </c>
      <c r="BE31" s="64">
        <f>IF(+NFL!$F97="Atlanta",+NFL!#REF!,IF(+NFL!$H97="Atlanta",+NFL!#REF!,0))</f>
        <v>0</v>
      </c>
      <c r="BF31" s="64">
        <f>IF(+NFL!$F97="Atlanta",+NFL!#REF!,IF(+NFL!$H97="Atlanta",+NFL!#REF!,0))</f>
        <v>0</v>
      </c>
      <c r="BG31" s="57">
        <f>IF(+NFL!$F97="Atlanta",+NFL!#REF!,IF(+NFL!$H97="Atlanta",+NFL!#REF!,0))</f>
        <v>0</v>
      </c>
      <c r="BH31" s="64">
        <f>IF(+NFL!$F97="Atlanta",+NFL!#REF!,IF(+NFL!$H97="Atlanta",+NFL!#REF!,0))</f>
        <v>0</v>
      </c>
      <c r="BI31" s="46">
        <f>IF(+NFL!$F97="Atlanta",+NFL!#REF!,IF(+NFL!$H97="Atlanta",+NFL!#REF!,0))</f>
        <v>0</v>
      </c>
      <c r="BJ31" s="87">
        <f>IF(+NFL!$F97="Atlanta",+NFL!#REF!,IF(+NFL!$H97="Atlanta",+NFL!#REF!,0))</f>
        <v>0</v>
      </c>
      <c r="BK31" s="120">
        <f>IF(+NFL!$F97="Atlanta",+NFL!#REF!,IF(+NFL!$H97="Atlanta",+NFL!#REF!,0))</f>
        <v>0</v>
      </c>
    </row>
    <row r="32" spans="1:63" x14ac:dyDescent="0.8">
      <c r="A32" s="46">
        <f>IF(+NFL!$F169="Atlanta",+NFL!A169,IF(+NFL!$H169="Atlanta",+NFL!A169,0))</f>
        <v>10</v>
      </c>
      <c r="B32" s="46" t="str">
        <f>IF(+NFL!$F169="Atlanta",+NFL!B169,IF(+NFL!$H169="Atlanta",+NFL!B169,0))</f>
        <v>Thurs</v>
      </c>
      <c r="C32" s="62">
        <f>IF(+NFL!$F169="Atlanta",+NFL!C169,IF(+NFL!$H169="Atlanta",+NFL!C169,0))</f>
        <v>44875</v>
      </c>
      <c r="D32" s="490">
        <f>IF(+NFL!$F169="Atlanta",+NFL!D169,IF(+NFL!$H169="Atlanta",+NFL!D169,0))</f>
        <v>0.39583333333333331</v>
      </c>
      <c r="E32" s="46" t="str">
        <f>IF(+NFL!$F169="Atlanta",+NFL!E169,IF(+NFL!$H169="Atlanta",+NFL!E169,0))</f>
        <v>NBC</v>
      </c>
      <c r="F32" s="127" t="str">
        <f>IF(+NFL!$F169="Atlanta",+NFL!F169,IF(+NFL!$H169="Atlanta",+NFL!F169,0))</f>
        <v>Atlanta</v>
      </c>
      <c r="G32" s="46" t="str">
        <f>IF(+NFL!$F169="Atlanta",+NFL!G169,IF(+NFL!$H169="Atlanta",+NFL!G169,0))</f>
        <v>NFCS</v>
      </c>
      <c r="H32" s="127" t="str">
        <f>IF(+NFL!$F169="Atlanta",+NFL!H169,IF(+NFL!$H169="Atlanta",+NFL!H169,0))</f>
        <v>Carolina</v>
      </c>
      <c r="I32" s="46" t="str">
        <f>IF(+NFL!$F169="Atlanta",+NFL!I169,IF(+NFL!$H169="Atlanta",+NFL!I169,0))</f>
        <v>NFCS</v>
      </c>
      <c r="J32" s="353" t="str">
        <f>IF(+NFL!$F169="Atlanta",+NFL!J169,IF(+NFL!$H169="Atlanta",+NFL!J169,0))</f>
        <v>Atlanta</v>
      </c>
      <c r="K32" s="494" t="str">
        <f>IF(+NFL!$F169="Atlanta",+NFL!K169,IF(+NFL!$H169="Atlanta",+NFL!K169,0))</f>
        <v>Carolina</v>
      </c>
      <c r="L32" s="384">
        <f>IF(+NFL!$F169="Atlanta",+NFL!L169,IF(+NFL!$H169="Atlanta",+NFL!L169,0))</f>
        <v>3</v>
      </c>
      <c r="M32" s="385">
        <f>IF(+NFL!$F169="Atlanta",+NFL!M169,IF(+NFL!$H169="Atlanta",+NFL!M169,0))</f>
        <v>44</v>
      </c>
      <c r="N32" s="394" t="str">
        <f>IF(+NFL!$F169="Atlanta",+NFL!N169,IF(+NFL!$H169="Atlanta",+NFL!N169,0))</f>
        <v>Carolina</v>
      </c>
      <c r="O32" s="395">
        <f>IF(+NFL!$F169="Atlanta",+NFL!O169,IF(+NFL!$H169="Atlanta",+NFL!O169,0))</f>
        <v>25</v>
      </c>
      <c r="P32" s="394" t="str">
        <f>IF(+NFL!$F169="Atlanta",+NFL!P169,IF(+NFL!$H169="Atlanta",+NFL!P169,0))</f>
        <v>Atlanta</v>
      </c>
      <c r="Q32" s="396">
        <f>IF(+NFL!$F169="Atlanta",+NFL!Q169,IF(+NFL!$H169="Atlanta",+NFL!Q169,0))</f>
        <v>15</v>
      </c>
      <c r="R32" s="397" t="str">
        <f>IF(+NFL!$F169="Atlanta",+NFL!R169,IF(+NFL!$H169="Atlanta",+NFL!R169,0))</f>
        <v>Carolina</v>
      </c>
      <c r="S32" s="396" t="str">
        <f>IF(+NFL!$F169="Atlanta",+NFL!S169,IF(+NFL!$H169="Atlanta",+NFL!S169,0))</f>
        <v>Atlanta</v>
      </c>
      <c r="T32" s="397" t="str">
        <f>IF(+NFL!$F169="Atlanta",+NFL!T169,IF(+NFL!$H169="Atlanta",+NFL!T169,0))</f>
        <v>Carolina</v>
      </c>
      <c r="U32" s="396" t="str">
        <f>IF(+NFL!$F169="Atlanta",+NFL!U169,IF(+NFL!$H169="Atlanta",+NFL!U169,0))</f>
        <v>W</v>
      </c>
      <c r="V32" s="397">
        <f>IF(+NFL!$F116="Atlanta",+NFL!#REF!,IF(+NFL!$H116="Atlanta",+NFL!#REF!,0))</f>
        <v>0</v>
      </c>
      <c r="W32" s="396">
        <f>IF(+NFL!$F116="Atlanta",+NFL!#REF!,IF(+NFL!$H116="Atlanta",+NFL!#REF!,0))</f>
        <v>0</v>
      </c>
      <c r="X32" s="397">
        <f>IF(+NFL!$F116="Atlanta",+NFL!#REF!,IF(+NFL!$H116="Atlanta",+NFL!#REF!,0))</f>
        <v>0</v>
      </c>
      <c r="Y32" s="396">
        <f>IF(+NFL!$F116="Atlanta",+NFL!#REF!,IF(+NFL!$H116="Atlanta",+NFL!#REF!,0))</f>
        <v>0</v>
      </c>
      <c r="Z32" s="397">
        <f>IF(+NFL!$F116="Atlanta",+NFL!#REF!,IF(+NFL!$H116="Atlanta",+NFL!#REF!,0))</f>
        <v>0</v>
      </c>
      <c r="AA32" s="396">
        <f>IF(+NFL!$F116="Atlanta",+NFL!#REF!,IF(+NFL!$H116="Atlanta",+NFL!#REF!,0))</f>
        <v>0</v>
      </c>
      <c r="AB32" s="87">
        <f>IF(+NFL!$F116="Atlanta",+NFL!#REF!,IF(+NFL!$H116="Atlanta",+NFL!#REF!,0))</f>
        <v>0</v>
      </c>
      <c r="AC32" s="120">
        <f>IF(+NFL!$F116="Atlanta",+NFL!#REF!,IF(+NFL!$H116="Atlanta",+NFL!#REF!,0))</f>
        <v>0</v>
      </c>
      <c r="AD32" s="353">
        <f>IF(+NFL!$F116="Atlanta",+NFL!#REF!,IF(+NFL!$H116="Atlanta",+NFL!#REF!,0))</f>
        <v>0</v>
      </c>
      <c r="AE32" s="379">
        <f>IF(+NFL!$F116="Atlanta",+NFL!#REF!,IF(+NFL!$H116="Atlanta",+NFL!#REF!,0))</f>
        <v>0</v>
      </c>
      <c r="AF32" s="353">
        <f>IF(+NFL!$F116="Atlanta",+NFL!#REF!,IF(+NFL!$H116="Atlanta",+NFL!#REF!,0))</f>
        <v>0</v>
      </c>
      <c r="AG32" s="379">
        <f>IF(+NFL!$F116="Atlanta",+NFL!#REF!,IF(+NFL!$H116="Atlanta",+NFL!#REF!,0))</f>
        <v>0</v>
      </c>
      <c r="AH32" s="353">
        <f>IF(+NFL!$F116="Atlanta",+NFL!#REF!,IF(+NFL!$H116="Atlanta",+NFL!#REF!,0))</f>
        <v>0</v>
      </c>
      <c r="AI32" s="379">
        <f>IF(+NFL!$F116="Atlanta",+NFL!#REF!,IF(+NFL!$H116="Atlanta",+NFL!#REF!,0))</f>
        <v>0</v>
      </c>
      <c r="AJ32" s="353">
        <f>IF(+NFL!$F116="Atlanta",+NFL!#REF!,IF(+NFL!$H116="Atlanta",+NFL!#REF!,0))</f>
        <v>0</v>
      </c>
      <c r="AK32" s="379">
        <f>IF(+NFL!$F116="Atlanta",+NFL!#REF!,IF(+NFL!$H116="Atlanta",+NFL!#REF!,0))</f>
        <v>0</v>
      </c>
      <c r="AL32" s="57">
        <f>IF(+NFL!$F116="Atlanta",+NFL!#REF!,IF(+NFL!$H116="Atlanta",+NFL!#REF!,0))</f>
        <v>0</v>
      </c>
      <c r="AM32" s="58">
        <f>IF(+NFL!$F116="Atlanta",+NFL!#REF!,IF(+NFL!$H116="Atlanta",+NFL!#REF!,0))</f>
        <v>0</v>
      </c>
      <c r="AN32" s="57">
        <f>IF(+NFL!$F116="Atlanta",+NFL!#REF!,IF(+NFL!$H116="Atlanta",+NFL!#REF!,0))</f>
        <v>0</v>
      </c>
      <c r="AO32" s="59">
        <f>IF(+NFL!$F116="Atlanta",+NFL!#REF!,IF(+NFL!$H116="Atlanta",+NFL!#REF!,0))</f>
        <v>0</v>
      </c>
      <c r="AP32" s="348">
        <f>IF(+NFL!$F116="Atlanta",+NFL!#REF!,IF(+NFL!$H116="Atlanta",+NFL!#REF!,0))</f>
        <v>0</v>
      </c>
      <c r="AQ32" s="48">
        <f>IF(+NFL!$F116="Atlanta",+NFL!#REF!,IF(+NFL!$H116="Atlanta",+NFL!#REF!,0))</f>
        <v>0</v>
      </c>
      <c r="AR32" s="57">
        <f>IF(+NFL!$F116="Atlanta",+NFL!#REF!,IF(+NFL!$H116="Atlanta",+NFL!#REF!,0))</f>
        <v>0</v>
      </c>
      <c r="AS32" s="64">
        <f>IF(+NFL!$F116="Atlanta",+NFL!#REF!,IF(+NFL!$H116="Atlanta",+NFL!#REF!,0))</f>
        <v>0</v>
      </c>
      <c r="AT32" s="64">
        <f>IF(+NFL!$F116="Atlanta",+NFL!#REF!,IF(+NFL!$H116="Atlanta",+NFL!#REF!,0))</f>
        <v>0</v>
      </c>
      <c r="AU32" s="57">
        <f>IF(+NFL!$F116="Atlanta",+NFL!#REF!,IF(+NFL!$H116="Atlanta",+NFL!#REF!,0))</f>
        <v>0</v>
      </c>
      <c r="AV32" s="64">
        <f>IF(+NFL!$F116="Atlanta",+NFL!#REF!,IF(+NFL!$H116="Atlanta",+NFL!#REF!,0))</f>
        <v>0</v>
      </c>
      <c r="AW32" s="46">
        <f>IF(+NFL!$F116="Atlanta",+NFL!#REF!,IF(+NFL!$H116="Atlanta",+NFL!#REF!,0))</f>
        <v>0</v>
      </c>
      <c r="AX32" s="64">
        <f>IF(+NFL!$F116="Atlanta",+NFL!#REF!,IF(+NFL!$H116="Atlanta",+NFL!#REF!,0))</f>
        <v>0</v>
      </c>
      <c r="AY32" s="57">
        <f>IF(+NFL!$F116="Atlanta",+NFL!#REF!,IF(+NFL!$H116="Atlanta",+NFL!#REF!,0))</f>
        <v>0</v>
      </c>
      <c r="AZ32" s="64">
        <f>IF(+NFL!$F116="Atlanta",+NFL!#REF!,IF(+NFL!$H116="Atlanta",+NFL!#REF!,0))</f>
        <v>0</v>
      </c>
      <c r="BA32" s="46">
        <f>IF(+NFL!$F116="Atlanta",+NFL!#REF!,IF(+NFL!$H116="Atlanta",+NFL!#REF!,0))</f>
        <v>0</v>
      </c>
      <c r="BB32" s="46">
        <f>IF(+NFL!$F116="Atlanta",+NFL!#REF!,IF(+NFL!$H116="Atlanta",+NFL!#REF!,0))</f>
        <v>0</v>
      </c>
      <c r="BC32" s="403">
        <f>IF(+NFL!$F116="Atlanta",+NFL!#REF!,IF(+NFL!$H116="Atlanta",+NFL!#REF!,0))</f>
        <v>0</v>
      </c>
      <c r="BD32" s="57">
        <f>IF(+NFL!$F116="Atlanta",+NFL!#REF!,IF(+NFL!$H116="Atlanta",+NFL!#REF!,0))</f>
        <v>0</v>
      </c>
      <c r="BE32" s="64">
        <f>IF(+NFL!$F116="Atlanta",+NFL!#REF!,IF(+NFL!$H116="Atlanta",+NFL!#REF!,0))</f>
        <v>0</v>
      </c>
      <c r="BF32" s="64">
        <f>IF(+NFL!$F116="Atlanta",+NFL!#REF!,IF(+NFL!$H116="Atlanta",+NFL!#REF!,0))</f>
        <v>0</v>
      </c>
      <c r="BG32" s="57">
        <f>IF(+NFL!$F116="Atlanta",+NFL!#REF!,IF(+NFL!$H116="Atlanta",+NFL!#REF!,0))</f>
        <v>0</v>
      </c>
      <c r="BH32" s="64">
        <f>IF(+NFL!$F116="Atlanta",+NFL!#REF!,IF(+NFL!$H116="Atlanta",+NFL!#REF!,0))</f>
        <v>0</v>
      </c>
      <c r="BI32" s="46">
        <f>IF(+NFL!$F116="Atlanta",+NFL!#REF!,IF(+NFL!$H116="Atlanta",+NFL!#REF!,0))</f>
        <v>0</v>
      </c>
      <c r="BJ32" s="87">
        <f>IF(+NFL!$F116="Atlanta",+NFL!#REF!,IF(+NFL!$H116="Atlanta",+NFL!#REF!,0))</f>
        <v>0</v>
      </c>
      <c r="BK32" s="120">
        <f>IF(+NFL!$F116="Atlanta",+NFL!#REF!,IF(+NFL!$H116="Atlanta",+NFL!#REF!,0))</f>
        <v>0</v>
      </c>
    </row>
    <row r="33" spans="1:63" x14ac:dyDescent="0.8">
      <c r="A33" s="46">
        <f>IF(+NFL!$F190="Atlanta",+NFL!A190,IF(+NFL!$H190="Atlanta",+NFL!A190,0))</f>
        <v>11</v>
      </c>
      <c r="B33" s="46" t="str">
        <f>IF(+NFL!$F190="Atlanta",+NFL!B190,IF(+NFL!$H190="Atlanta",+NFL!B190,0))</f>
        <v>Sun</v>
      </c>
      <c r="C33" s="62">
        <f>IF(+NFL!$F190="Atlanta",+NFL!C190,IF(+NFL!$H190="Atlanta",+NFL!C190,0))</f>
        <v>44885</v>
      </c>
      <c r="D33" s="490">
        <f>IF(+NFL!$F190="Atlanta",+NFL!D190,IF(+NFL!$H190="Atlanta",+NFL!D190,0))</f>
        <v>0.39583333333333331</v>
      </c>
      <c r="E33" s="46" t="str">
        <f>IF(+NFL!$F190="Atlanta",+NFL!E190,IF(+NFL!$H190="Atlanta",+NFL!E190,0))</f>
        <v>NFL</v>
      </c>
      <c r="F33" s="127" t="str">
        <f>IF(+NFL!$F190="Atlanta",+NFL!F190,IF(+NFL!$H190="Atlanta",+NFL!F190,0))</f>
        <v>Chicago</v>
      </c>
      <c r="G33" s="46" t="str">
        <f>IF(+NFL!$F190="Atlanta",+NFL!G190,IF(+NFL!$H190="Atlanta",+NFL!G190,0))</f>
        <v>NFCN</v>
      </c>
      <c r="H33" s="127" t="str">
        <f>IF(+NFL!$F190="Atlanta",+NFL!H190,IF(+NFL!$H190="Atlanta",+NFL!H190,0))</f>
        <v>Atlanta</v>
      </c>
      <c r="I33" s="46" t="str">
        <f>IF(+NFL!$F190="Atlanta",+NFL!I190,IF(+NFL!$H190="Atlanta",+NFL!I190,0))</f>
        <v>NFCS</v>
      </c>
      <c r="J33" s="353" t="str">
        <f>IF(+NFL!$F190="Atlanta",+NFL!J190,IF(+NFL!$H190="Atlanta",+NFL!J190,0))</f>
        <v>Atlanta</v>
      </c>
      <c r="K33" s="494" t="str">
        <f>IF(+NFL!$F190="Atlanta",+NFL!K190,IF(+NFL!$H190="Atlanta",+NFL!K190,0))</f>
        <v>Chicago</v>
      </c>
      <c r="L33" s="384">
        <f>IF(+NFL!$F190="Atlanta",+NFL!L190,IF(+NFL!$H190="Atlanta",+NFL!L190,0))</f>
        <v>3</v>
      </c>
      <c r="M33" s="385">
        <f>IF(+NFL!$F190="Atlanta",+NFL!M190,IF(+NFL!$H190="Atlanta",+NFL!M190,0))</f>
        <v>50</v>
      </c>
      <c r="N33" s="394" t="str">
        <f>IF(+NFL!$F190="Atlanta",+NFL!N190,IF(+NFL!$H190="Atlanta",+NFL!N190,0))</f>
        <v>Atlanta</v>
      </c>
      <c r="O33" s="395">
        <f>IF(+NFL!$F190="Atlanta",+NFL!O190,IF(+NFL!$H190="Atlanta",+NFL!O190,0))</f>
        <v>27</v>
      </c>
      <c r="P33" s="394" t="str">
        <f>IF(+NFL!$F190="Atlanta",+NFL!P190,IF(+NFL!$H190="Atlanta",+NFL!P190,0))</f>
        <v>Chicago</v>
      </c>
      <c r="Q33" s="396">
        <f>IF(+NFL!$F190="Atlanta",+NFL!Q190,IF(+NFL!$H190="Atlanta",+NFL!Q190,0))</f>
        <v>24</v>
      </c>
      <c r="R33" s="397" t="str">
        <f>IF(+NFL!$F190="Atlanta",+NFL!R190,IF(+NFL!$H190="Atlanta",+NFL!R190,0))</f>
        <v>Atlanta</v>
      </c>
      <c r="S33" s="396" t="str">
        <f>IF(+NFL!$F190="Atlanta",+NFL!S190,IF(+NFL!$H190="Atlanta",+NFL!S190,0))</f>
        <v>Chicago</v>
      </c>
      <c r="T33" s="397" t="str">
        <f>IF(+NFL!$F190="Atlanta",+NFL!T190,IF(+NFL!$H190="Atlanta",+NFL!T190,0))</f>
        <v>Chicago</v>
      </c>
      <c r="U33" s="396" t="str">
        <f>IF(+NFL!$F190="Atlanta",+NFL!U190,IF(+NFL!$H190="Atlanta",+NFL!U190,0))</f>
        <v>T</v>
      </c>
      <c r="V33" s="397">
        <f>IF(+NFL!$F128="Atlanta",+NFL!#REF!,IF(+NFL!$H128="Atlanta",+NFL!#REF!,0))</f>
        <v>0</v>
      </c>
      <c r="W33" s="396">
        <f>IF(+NFL!$F128="Atlanta",+NFL!#REF!,IF(+NFL!$H128="Atlanta",+NFL!#REF!,0))</f>
        <v>0</v>
      </c>
      <c r="X33" s="397">
        <f>IF(+NFL!$F128="Atlanta",+NFL!#REF!,IF(+NFL!$H128="Atlanta",+NFL!#REF!,0))</f>
        <v>0</v>
      </c>
      <c r="Y33" s="396">
        <f>IF(+NFL!$F128="Atlanta",+NFL!#REF!,IF(+NFL!$H128="Atlanta",+NFL!#REF!,0))</f>
        <v>0</v>
      </c>
      <c r="Z33" s="397">
        <f>IF(+NFL!$F128="Atlanta",+NFL!#REF!,IF(+NFL!$H128="Atlanta",+NFL!#REF!,0))</f>
        <v>0</v>
      </c>
      <c r="AA33" s="396">
        <f>IF(+NFL!$F128="Atlanta",+NFL!#REF!,IF(+NFL!$H128="Atlanta",+NFL!#REF!,0))</f>
        <v>0</v>
      </c>
      <c r="AB33" s="87">
        <f>IF(+NFL!$F128="Atlanta",+NFL!#REF!,IF(+NFL!$H128="Atlanta",+NFL!#REF!,0))</f>
        <v>0</v>
      </c>
      <c r="AC33" s="120">
        <f>IF(+NFL!$F128="Atlanta",+NFL!#REF!,IF(+NFL!$H128="Atlanta",+NFL!#REF!,0))</f>
        <v>0</v>
      </c>
      <c r="AD33" s="353">
        <f>IF(+NFL!$F128="Atlanta",+NFL!#REF!,IF(+NFL!$H128="Atlanta",+NFL!#REF!,0))</f>
        <v>0</v>
      </c>
      <c r="AE33" s="379">
        <f>IF(+NFL!$F128="Atlanta",+NFL!#REF!,IF(+NFL!$H128="Atlanta",+NFL!#REF!,0))</f>
        <v>0</v>
      </c>
      <c r="AF33" s="353">
        <f>IF(+NFL!$F128="Atlanta",+NFL!#REF!,IF(+NFL!$H128="Atlanta",+NFL!#REF!,0))</f>
        <v>0</v>
      </c>
      <c r="AG33" s="379">
        <f>IF(+NFL!$F128="Atlanta",+NFL!#REF!,IF(+NFL!$H128="Atlanta",+NFL!#REF!,0))</f>
        <v>0</v>
      </c>
      <c r="AH33" s="353">
        <f>IF(+NFL!$F128="Atlanta",+NFL!#REF!,IF(+NFL!$H128="Atlanta",+NFL!#REF!,0))</f>
        <v>0</v>
      </c>
      <c r="AI33" s="379">
        <f>IF(+NFL!$F128="Atlanta",+NFL!#REF!,IF(+NFL!$H128="Atlanta",+NFL!#REF!,0))</f>
        <v>0</v>
      </c>
      <c r="AJ33" s="353">
        <f>IF(+NFL!$F128="Atlanta",+NFL!#REF!,IF(+NFL!$H128="Atlanta",+NFL!#REF!,0))</f>
        <v>0</v>
      </c>
      <c r="AK33" s="379">
        <f>IF(+NFL!$F128="Atlanta",+NFL!#REF!,IF(+NFL!$H128="Atlanta",+NFL!#REF!,0))</f>
        <v>0</v>
      </c>
      <c r="AL33" s="57">
        <f>IF(+NFL!$F128="Atlanta",+NFL!#REF!,IF(+NFL!$H128="Atlanta",+NFL!#REF!,0))</f>
        <v>0</v>
      </c>
      <c r="AM33" s="58">
        <f>IF(+NFL!$F128="Atlanta",+NFL!#REF!,IF(+NFL!$H128="Atlanta",+NFL!#REF!,0))</f>
        <v>0</v>
      </c>
      <c r="AN33" s="57">
        <f>IF(+NFL!$F128="Atlanta",+NFL!#REF!,IF(+NFL!$H128="Atlanta",+NFL!#REF!,0))</f>
        <v>0</v>
      </c>
      <c r="AO33" s="59">
        <f>IF(+NFL!$F128="Atlanta",+NFL!#REF!,IF(+NFL!$H128="Atlanta",+NFL!#REF!,0))</f>
        <v>0</v>
      </c>
      <c r="AP33" s="348">
        <f>IF(+NFL!$F128="Atlanta",+NFL!#REF!,IF(+NFL!$H128="Atlanta",+NFL!#REF!,0))</f>
        <v>0</v>
      </c>
      <c r="AQ33" s="48">
        <f>IF(+NFL!$F128="Atlanta",+NFL!#REF!,IF(+NFL!$H128="Atlanta",+NFL!#REF!,0))</f>
        <v>0</v>
      </c>
      <c r="AR33" s="57">
        <f>IF(+NFL!$F128="Atlanta",+NFL!#REF!,IF(+NFL!$H128="Atlanta",+NFL!#REF!,0))</f>
        <v>0</v>
      </c>
      <c r="AS33" s="64">
        <f>IF(+NFL!$F128="Atlanta",+NFL!#REF!,IF(+NFL!$H128="Atlanta",+NFL!#REF!,0))</f>
        <v>0</v>
      </c>
      <c r="AT33" s="64">
        <f>IF(+NFL!$F128="Atlanta",+NFL!#REF!,IF(+NFL!$H128="Atlanta",+NFL!#REF!,0))</f>
        <v>0</v>
      </c>
      <c r="AU33" s="57">
        <f>IF(+NFL!$F128="Atlanta",+NFL!#REF!,IF(+NFL!$H128="Atlanta",+NFL!#REF!,0))</f>
        <v>0</v>
      </c>
      <c r="AV33" s="64">
        <f>IF(+NFL!$F128="Atlanta",+NFL!#REF!,IF(+NFL!$H128="Atlanta",+NFL!#REF!,0))</f>
        <v>0</v>
      </c>
      <c r="AW33" s="46">
        <f>IF(+NFL!$F128="Atlanta",+NFL!#REF!,IF(+NFL!$H128="Atlanta",+NFL!#REF!,0))</f>
        <v>0</v>
      </c>
      <c r="AX33" s="64">
        <f>IF(+NFL!$F128="Atlanta",+NFL!#REF!,IF(+NFL!$H128="Atlanta",+NFL!#REF!,0))</f>
        <v>0</v>
      </c>
      <c r="AY33" s="57">
        <f>IF(+NFL!$F128="Atlanta",+NFL!#REF!,IF(+NFL!$H128="Atlanta",+NFL!#REF!,0))</f>
        <v>0</v>
      </c>
      <c r="AZ33" s="64">
        <f>IF(+NFL!$F128="Atlanta",+NFL!#REF!,IF(+NFL!$H128="Atlanta",+NFL!#REF!,0))</f>
        <v>0</v>
      </c>
      <c r="BA33" s="46">
        <f>IF(+NFL!$F128="Atlanta",+NFL!#REF!,IF(+NFL!$H128="Atlanta",+NFL!#REF!,0))</f>
        <v>0</v>
      </c>
      <c r="BB33" s="46">
        <f>IF(+NFL!$F128="Atlanta",+NFL!#REF!,IF(+NFL!$H128="Atlanta",+NFL!#REF!,0))</f>
        <v>0</v>
      </c>
      <c r="BC33" s="403">
        <f>IF(+NFL!$F128="Atlanta",+NFL!#REF!,IF(+NFL!$H128="Atlanta",+NFL!#REF!,0))</f>
        <v>0</v>
      </c>
      <c r="BD33" s="57">
        <f>IF(+NFL!$F128="Atlanta",+NFL!#REF!,IF(+NFL!$H128="Atlanta",+NFL!#REF!,0))</f>
        <v>0</v>
      </c>
      <c r="BE33" s="64">
        <f>IF(+NFL!$F128="Atlanta",+NFL!#REF!,IF(+NFL!$H128="Atlanta",+NFL!#REF!,0))</f>
        <v>0</v>
      </c>
      <c r="BF33" s="64">
        <f>IF(+NFL!$F128="Atlanta",+NFL!#REF!,IF(+NFL!$H128="Atlanta",+NFL!#REF!,0))</f>
        <v>0</v>
      </c>
      <c r="BG33" s="57">
        <f>IF(+NFL!$F128="Atlanta",+NFL!#REF!,IF(+NFL!$H128="Atlanta",+NFL!#REF!,0))</f>
        <v>0</v>
      </c>
      <c r="BH33" s="64">
        <f>IF(+NFL!$F128="Atlanta",+NFL!#REF!,IF(+NFL!$H128="Atlanta",+NFL!#REF!,0))</f>
        <v>0</v>
      </c>
      <c r="BI33" s="46">
        <f>IF(+NFL!$F128="Atlanta",+NFL!#REF!,IF(+NFL!$H128="Atlanta",+NFL!#REF!,0))</f>
        <v>0</v>
      </c>
      <c r="BJ33" s="87">
        <f>IF(+NFL!$F128="Atlanta",+NFL!#REF!,IF(+NFL!$H128="Atlanta",+NFL!#REF!,0))</f>
        <v>0</v>
      </c>
      <c r="BK33" s="120">
        <f>IF(+NFL!$F128="Atlanta",+NFL!#REF!,IF(+NFL!$H128="Atlanta",+NFL!#REF!,0))</f>
        <v>0</v>
      </c>
    </row>
    <row r="34" spans="1:63" x14ac:dyDescent="0.8">
      <c r="A34" s="46">
        <f>IF(+NFL!$F216="Atlanta",+NFL!A216,IF(+NFL!$H216="Atlanta",+NFL!A216,0))</f>
        <v>12</v>
      </c>
      <c r="B34" s="46" t="str">
        <f>IF(+NFL!$F216="Atlanta",+NFL!B216,IF(+NFL!$H216="Atlanta",+NFL!B216,0))</f>
        <v>Sun</v>
      </c>
      <c r="C34" s="62">
        <f>IF(+NFL!$F216="Atlanta",+NFL!C216,IF(+NFL!$H216="Atlanta",+NFL!C216,0))</f>
        <v>44892</v>
      </c>
      <c r="D34" s="490">
        <f>IF(+NFL!$F216="Atlanta",+NFL!D216,IF(+NFL!$H216="Atlanta",+NFL!D216,0))</f>
        <v>0.54166666666666663</v>
      </c>
      <c r="E34" s="46" t="str">
        <f>IF(+NFL!$F216="Atlanta",+NFL!E216,IF(+NFL!$H216="Atlanta",+NFL!E216,0))</f>
        <v>Fox</v>
      </c>
      <c r="F34" s="127" t="str">
        <f>IF(+NFL!$F216="Atlanta",+NFL!F216,IF(+NFL!$H216="Atlanta",+NFL!F216,0))</f>
        <v>Atlanta</v>
      </c>
      <c r="G34" s="46" t="str">
        <f>IF(+NFL!$F216="Atlanta",+NFL!G216,IF(+NFL!$H216="Atlanta",+NFL!G216,0))</f>
        <v>NFCS</v>
      </c>
      <c r="H34" s="127" t="str">
        <f>IF(+NFL!$F216="Atlanta",+NFL!H216,IF(+NFL!$H216="Atlanta",+NFL!H216,0))</f>
        <v>Washington</v>
      </c>
      <c r="I34" s="46" t="str">
        <f>IF(+NFL!$F216="Atlanta",+NFL!I216,IF(+NFL!$H216="Atlanta",+NFL!I216,0))</f>
        <v>NFCE</v>
      </c>
      <c r="J34" s="353" t="str">
        <f>IF(+NFL!$F216="Atlanta",+NFL!J216,IF(+NFL!$H216="Atlanta",+NFL!J216,0))</f>
        <v>Washington</v>
      </c>
      <c r="K34" s="494" t="str">
        <f>IF(+NFL!$F216="Atlanta",+NFL!K216,IF(+NFL!$H216="Atlanta",+NFL!K216,0))</f>
        <v>Atlanta</v>
      </c>
      <c r="L34" s="384">
        <f>IF(+NFL!$F216="Atlanta",+NFL!L216,IF(+NFL!$H216="Atlanta",+NFL!L216,0))</f>
        <v>4.5</v>
      </c>
      <c r="M34" s="385">
        <f>IF(+NFL!$F216="Atlanta",+NFL!M216,IF(+NFL!$H216="Atlanta",+NFL!M216,0))</f>
        <v>41.5</v>
      </c>
      <c r="N34" s="394" t="str">
        <f>IF(+NFL!$F216="Atlanta",+NFL!N216,IF(+NFL!$H216="Atlanta",+NFL!N216,0))</f>
        <v>Washington</v>
      </c>
      <c r="O34" s="395">
        <f>IF(+NFL!$F216="Atlanta",+NFL!O216,IF(+NFL!$H216="Atlanta",+NFL!O216,0))</f>
        <v>19</v>
      </c>
      <c r="P34" s="394" t="str">
        <f>IF(+NFL!$F216="Atlanta",+NFL!P216,IF(+NFL!$H216="Atlanta",+NFL!P216,0))</f>
        <v>Atlanta</v>
      </c>
      <c r="Q34" s="396">
        <f>IF(+NFL!$F216="Atlanta",+NFL!Q216,IF(+NFL!$H216="Atlanta",+NFL!Q216,0))</f>
        <v>13</v>
      </c>
      <c r="R34" s="397" t="str">
        <f>IF(+NFL!$F216="Atlanta",+NFL!R216,IF(+NFL!$H216="Atlanta",+NFL!R216,0))</f>
        <v>Washington</v>
      </c>
      <c r="S34" s="396" t="str">
        <f>IF(+NFL!$F216="Atlanta",+NFL!S216,IF(+NFL!$H216="Atlanta",+NFL!S216,0))</f>
        <v>Atlanta</v>
      </c>
      <c r="T34" s="397" t="str">
        <f>IF(+NFL!$F216="Atlanta",+NFL!T216,IF(+NFL!$H216="Atlanta",+NFL!T216,0))</f>
        <v>Washington</v>
      </c>
      <c r="U34" s="396" t="str">
        <f>IF(+NFL!$F216="Atlanta",+NFL!U216,IF(+NFL!$H216="Atlanta",+NFL!U216,0))</f>
        <v>W</v>
      </c>
      <c r="V34" s="397">
        <f>IF(+NFL!$F151="Atlanta",+NFL!#REF!,IF(+NFL!$H151="Atlanta",+NFL!#REF!,0))</f>
        <v>0</v>
      </c>
      <c r="W34" s="396">
        <f>IF(+NFL!$F151="Atlanta",+NFL!#REF!,IF(+NFL!$H151="Atlanta",+NFL!#REF!,0))</f>
        <v>0</v>
      </c>
      <c r="X34" s="397">
        <f>IF(+NFL!$F151="Atlanta",+NFL!#REF!,IF(+NFL!$H151="Atlanta",+NFL!#REF!,0))</f>
        <v>0</v>
      </c>
      <c r="Y34" s="396">
        <f>IF(+NFL!$F151="Atlanta",+NFL!#REF!,IF(+NFL!$H151="Atlanta",+NFL!#REF!,0))</f>
        <v>0</v>
      </c>
      <c r="Z34" s="397">
        <f>IF(+NFL!$F151="Atlanta",+NFL!#REF!,IF(+NFL!$H151="Atlanta",+NFL!#REF!,0))</f>
        <v>0</v>
      </c>
      <c r="AA34" s="396">
        <f>IF(+NFL!$F151="Atlanta",+NFL!#REF!,IF(+NFL!$H151="Atlanta",+NFL!#REF!,0))</f>
        <v>0</v>
      </c>
      <c r="AB34" s="87">
        <f>IF(+NFL!$F151="Atlanta",+NFL!#REF!,IF(+NFL!$H151="Atlanta",+NFL!#REF!,0))</f>
        <v>0</v>
      </c>
      <c r="AC34" s="120">
        <f>IF(+NFL!$F151="Atlanta",+NFL!#REF!,IF(+NFL!$H151="Atlanta",+NFL!#REF!,0))</f>
        <v>0</v>
      </c>
      <c r="AD34" s="353">
        <f>IF(+NFL!$F151="Atlanta",+NFL!#REF!,IF(+NFL!$H151="Atlanta",+NFL!#REF!,0))</f>
        <v>0</v>
      </c>
      <c r="AE34" s="379">
        <f>IF(+NFL!$F151="Atlanta",+NFL!#REF!,IF(+NFL!$H151="Atlanta",+NFL!#REF!,0))</f>
        <v>0</v>
      </c>
      <c r="AF34" s="353">
        <f>IF(+NFL!$F151="Atlanta",+NFL!#REF!,IF(+NFL!$H151="Atlanta",+NFL!#REF!,0))</f>
        <v>0</v>
      </c>
      <c r="AG34" s="379">
        <f>IF(+NFL!$F151="Atlanta",+NFL!#REF!,IF(+NFL!$H151="Atlanta",+NFL!#REF!,0))</f>
        <v>0</v>
      </c>
      <c r="AH34" s="353">
        <f>IF(+NFL!$F151="Atlanta",+NFL!#REF!,IF(+NFL!$H151="Atlanta",+NFL!#REF!,0))</f>
        <v>0</v>
      </c>
      <c r="AI34" s="379">
        <f>IF(+NFL!$F151="Atlanta",+NFL!#REF!,IF(+NFL!$H151="Atlanta",+NFL!#REF!,0))</f>
        <v>0</v>
      </c>
      <c r="AJ34" s="353">
        <f>IF(+NFL!$F151="Atlanta",+NFL!#REF!,IF(+NFL!$H151="Atlanta",+NFL!#REF!,0))</f>
        <v>0</v>
      </c>
      <c r="AK34" s="379">
        <f>IF(+NFL!$F151="Atlanta",+NFL!#REF!,IF(+NFL!$H151="Atlanta",+NFL!#REF!,0))</f>
        <v>0</v>
      </c>
      <c r="AL34" s="57">
        <f>IF(+NFL!$F151="Atlanta",+NFL!#REF!,IF(+NFL!$H151="Atlanta",+NFL!#REF!,0))</f>
        <v>0</v>
      </c>
      <c r="AM34" s="58">
        <f>IF(+NFL!$F151="Atlanta",+NFL!#REF!,IF(+NFL!$H151="Atlanta",+NFL!#REF!,0))</f>
        <v>0</v>
      </c>
      <c r="AN34" s="57">
        <f>IF(+NFL!$F151="Atlanta",+NFL!#REF!,IF(+NFL!$H151="Atlanta",+NFL!#REF!,0))</f>
        <v>0</v>
      </c>
      <c r="AO34" s="59">
        <f>IF(+NFL!$F151="Atlanta",+NFL!#REF!,IF(+NFL!$H151="Atlanta",+NFL!#REF!,0))</f>
        <v>0</v>
      </c>
      <c r="AP34" s="348">
        <f>IF(+NFL!$F151="Atlanta",+NFL!#REF!,IF(+NFL!$H151="Atlanta",+NFL!#REF!,0))</f>
        <v>0</v>
      </c>
      <c r="AQ34" s="48">
        <f>IF(+NFL!$F151="Atlanta",+NFL!#REF!,IF(+NFL!$H151="Atlanta",+NFL!#REF!,0))</f>
        <v>0</v>
      </c>
      <c r="AR34" s="57">
        <f>IF(+NFL!$F151="Atlanta",+NFL!#REF!,IF(+NFL!$H151="Atlanta",+NFL!#REF!,0))</f>
        <v>0</v>
      </c>
      <c r="AS34" s="64">
        <f>IF(+NFL!$F151="Atlanta",+NFL!#REF!,IF(+NFL!$H151="Atlanta",+NFL!#REF!,0))</f>
        <v>0</v>
      </c>
      <c r="AT34" s="64">
        <f>IF(+NFL!$F151="Atlanta",+NFL!#REF!,IF(+NFL!$H151="Atlanta",+NFL!#REF!,0))</f>
        <v>0</v>
      </c>
      <c r="AU34" s="57">
        <f>IF(+NFL!$F151="Atlanta",+NFL!#REF!,IF(+NFL!$H151="Atlanta",+NFL!#REF!,0))</f>
        <v>0</v>
      </c>
      <c r="AV34" s="64">
        <f>IF(+NFL!$F151="Atlanta",+NFL!#REF!,IF(+NFL!$H151="Atlanta",+NFL!#REF!,0))</f>
        <v>0</v>
      </c>
      <c r="AW34" s="46">
        <f>IF(+NFL!$F151="Atlanta",+NFL!#REF!,IF(+NFL!$H151="Atlanta",+NFL!#REF!,0))</f>
        <v>0</v>
      </c>
      <c r="AX34" s="64">
        <f>IF(+NFL!$F151="Atlanta",+NFL!#REF!,IF(+NFL!$H151="Atlanta",+NFL!#REF!,0))</f>
        <v>0</v>
      </c>
      <c r="AY34" s="57">
        <f>IF(+NFL!$F151="Atlanta",+NFL!#REF!,IF(+NFL!$H151="Atlanta",+NFL!#REF!,0))</f>
        <v>0</v>
      </c>
      <c r="AZ34" s="64">
        <f>IF(+NFL!$F151="Atlanta",+NFL!#REF!,IF(+NFL!$H151="Atlanta",+NFL!#REF!,0))</f>
        <v>0</v>
      </c>
      <c r="BA34" s="46">
        <f>IF(+NFL!$F151="Atlanta",+NFL!#REF!,IF(+NFL!$H151="Atlanta",+NFL!#REF!,0))</f>
        <v>0</v>
      </c>
      <c r="BB34" s="46">
        <f>IF(+NFL!$F151="Atlanta",+NFL!#REF!,IF(+NFL!$H151="Atlanta",+NFL!#REF!,0))</f>
        <v>0</v>
      </c>
      <c r="BC34" s="403">
        <f>IF(+NFL!$F151="Atlanta",+NFL!#REF!,IF(+NFL!$H151="Atlanta",+NFL!#REF!,0))</f>
        <v>0</v>
      </c>
      <c r="BD34" s="57">
        <f>IF(+NFL!$F151="Atlanta",+NFL!#REF!,IF(+NFL!$H151="Atlanta",+NFL!#REF!,0))</f>
        <v>0</v>
      </c>
      <c r="BE34" s="64">
        <f>IF(+NFL!$F151="Atlanta",+NFL!#REF!,IF(+NFL!$H151="Atlanta",+NFL!#REF!,0))</f>
        <v>0</v>
      </c>
      <c r="BF34" s="64">
        <f>IF(+NFL!$F151="Atlanta",+NFL!#REF!,IF(+NFL!$H151="Atlanta",+NFL!#REF!,0))</f>
        <v>0</v>
      </c>
      <c r="BG34" s="57">
        <f>IF(+NFL!$F151="Atlanta",+NFL!#REF!,IF(+NFL!$H151="Atlanta",+NFL!#REF!,0))</f>
        <v>0</v>
      </c>
      <c r="BH34" s="64">
        <f>IF(+NFL!$F151="Atlanta",+NFL!#REF!,IF(+NFL!$H151="Atlanta",+NFL!#REF!,0))</f>
        <v>0</v>
      </c>
      <c r="BI34" s="46">
        <f>IF(+NFL!$F151="Atlanta",+NFL!#REF!,IF(+NFL!$H151="Atlanta",+NFL!#REF!,0))</f>
        <v>0</v>
      </c>
      <c r="BJ34" s="87">
        <f>IF(+NFL!$F151="Atlanta",+NFL!#REF!,IF(+NFL!$H151="Atlanta",+NFL!#REF!,0))</f>
        <v>0</v>
      </c>
      <c r="BK34" s="120">
        <f>IF(+NFL!$F151="Atlanta",+NFL!#REF!,IF(+NFL!$H151="Atlanta",+NFL!#REF!,0))</f>
        <v>0</v>
      </c>
    </row>
    <row r="35" spans="1:63" x14ac:dyDescent="0.8">
      <c r="A35" s="46">
        <f>IF(+NFL!$F227="Atlanta",+NFL!A227,IF(+NFL!$H227="Atlanta",+NFL!A227,0))</f>
        <v>13</v>
      </c>
      <c r="B35" s="46" t="str">
        <f>IF(+NFL!$F227="Atlanta",+NFL!B227,IF(+NFL!$H227="Atlanta",+NFL!B227,0))</f>
        <v>Sun</v>
      </c>
      <c r="C35" s="62">
        <f>IF(+NFL!$F227="Atlanta",+NFL!C227,IF(+NFL!$H227="Atlanta",+NFL!C227,0))</f>
        <v>44899</v>
      </c>
      <c r="D35" s="490">
        <f>IF(+NFL!$F227="Atlanta",+NFL!D227,IF(+NFL!$H227="Atlanta",+NFL!D227,0))</f>
        <v>0.54166666666666663</v>
      </c>
      <c r="E35" s="46" t="str">
        <f>IF(+NFL!$F227="Atlanta",+NFL!E227,IF(+NFL!$H227="Atlanta",+NFL!E227,0))</f>
        <v>CBS</v>
      </c>
      <c r="F35" s="127" t="str">
        <f>IF(+NFL!$F227="Atlanta",+NFL!F227,IF(+NFL!$H227="Atlanta",+NFL!F227,0))</f>
        <v>Pittsburgh</v>
      </c>
      <c r="G35" s="46" t="str">
        <f>IF(+NFL!$F227="Atlanta",+NFL!G227,IF(+NFL!$H227="Atlanta",+NFL!G227,0))</f>
        <v>AFCN</v>
      </c>
      <c r="H35" s="127" t="str">
        <f>IF(+NFL!$F227="Atlanta",+NFL!H227,IF(+NFL!$H227="Atlanta",+NFL!H227,0))</f>
        <v>Atlanta</v>
      </c>
      <c r="I35" s="46" t="str">
        <f>IF(+NFL!$F227="Atlanta",+NFL!I227,IF(+NFL!$H227="Atlanta",+NFL!I227,0))</f>
        <v>NFCS</v>
      </c>
      <c r="J35" s="353" t="str">
        <f>IF(+NFL!$F227="Atlanta",+NFL!J227,IF(+NFL!$H227="Atlanta",+NFL!J227,0))</f>
        <v>Atlanta</v>
      </c>
      <c r="K35" s="494" t="str">
        <f>IF(+NFL!$F227="Atlanta",+NFL!K227,IF(+NFL!$H227="Atlanta",+NFL!K227,0))</f>
        <v>Pittsburgh</v>
      </c>
      <c r="L35" s="384">
        <f>IF(+NFL!$F227="Atlanta",+NFL!L227,IF(+NFL!$H227="Atlanta",+NFL!L227,0))</f>
        <v>1</v>
      </c>
      <c r="M35" s="385">
        <f>IF(+NFL!$F227="Atlanta",+NFL!M227,IF(+NFL!$H227="Atlanta",+NFL!M227,0))</f>
        <v>42</v>
      </c>
      <c r="N35" s="394" t="str">
        <f>IF(+NFL!$F227="Atlanta",+NFL!N227,IF(+NFL!$H227="Atlanta",+NFL!N227,0))</f>
        <v>Pittsburgh</v>
      </c>
      <c r="O35" s="395">
        <f>IF(+NFL!$F227="Atlanta",+NFL!O227,IF(+NFL!$H227="Atlanta",+NFL!O227,0))</f>
        <v>19</v>
      </c>
      <c r="P35" s="394" t="str">
        <f>IF(+NFL!$F227="Atlanta",+NFL!P227,IF(+NFL!$H227="Atlanta",+NFL!P227,0))</f>
        <v>Atlanta</v>
      </c>
      <c r="Q35" s="396">
        <f>IF(+NFL!$F227="Atlanta",+NFL!Q227,IF(+NFL!$H227="Atlanta",+NFL!Q227,0))</f>
        <v>16</v>
      </c>
      <c r="R35" s="397" t="str">
        <f>IF(+NFL!$F227="Atlanta",+NFL!R227,IF(+NFL!$H227="Atlanta",+NFL!R227,0))</f>
        <v>Pittsburgh</v>
      </c>
      <c r="S35" s="396" t="str">
        <f>IF(+NFL!$F227="Atlanta",+NFL!S227,IF(+NFL!$H227="Atlanta",+NFL!S227,0))</f>
        <v>Atlanta</v>
      </c>
      <c r="T35" s="397" t="str">
        <f>IF(+NFL!$F227="Atlanta",+NFL!T227,IF(+NFL!$H227="Atlanta",+NFL!T227,0))</f>
        <v>Pittsburgh</v>
      </c>
      <c r="U35" s="396" t="str">
        <f>IF(+NFL!$F227="Atlanta",+NFL!U227,IF(+NFL!$H227="Atlanta",+NFL!U227,0))</f>
        <v>W</v>
      </c>
      <c r="V35" s="397">
        <f>IF(+NFL!$F188="Atlanta",+NFL!#REF!,IF(+NFL!$H188="Atlanta",+NFL!#REF!,0))</f>
        <v>0</v>
      </c>
      <c r="W35" s="396">
        <f>IF(+NFL!$F188="Atlanta",+NFL!#REF!,IF(+NFL!$H188="Atlanta",+NFL!#REF!,0))</f>
        <v>0</v>
      </c>
      <c r="X35" s="397">
        <f>IF(+NFL!$F188="Atlanta",+NFL!#REF!,IF(+NFL!$H188="Atlanta",+NFL!#REF!,0))</f>
        <v>0</v>
      </c>
      <c r="Y35" s="396">
        <f>IF(+NFL!$F188="Atlanta",+NFL!#REF!,IF(+NFL!$H188="Atlanta",+NFL!#REF!,0))</f>
        <v>0</v>
      </c>
      <c r="Z35" s="397">
        <f>IF(+NFL!$F188="Atlanta",+NFL!#REF!,IF(+NFL!$H188="Atlanta",+NFL!#REF!,0))</f>
        <v>0</v>
      </c>
      <c r="AA35" s="396">
        <f>IF(+NFL!$F188="Atlanta",+NFL!#REF!,IF(+NFL!$H188="Atlanta",+NFL!#REF!,0))</f>
        <v>0</v>
      </c>
      <c r="AB35" s="87">
        <f>IF(+NFL!$F188="Atlanta",+NFL!#REF!,IF(+NFL!$H188="Atlanta",+NFL!#REF!,0))</f>
        <v>0</v>
      </c>
      <c r="AC35" s="120">
        <f>IF(+NFL!$F188="Atlanta",+NFL!#REF!,IF(+NFL!$H188="Atlanta",+NFL!#REF!,0))</f>
        <v>0</v>
      </c>
      <c r="AD35" s="353">
        <f>IF(+NFL!$F188="Atlanta",+NFL!#REF!,IF(+NFL!$H188="Atlanta",+NFL!#REF!,0))</f>
        <v>0</v>
      </c>
      <c r="AE35" s="379">
        <f>IF(+NFL!$F188="Atlanta",+NFL!#REF!,IF(+NFL!$H188="Atlanta",+NFL!#REF!,0))</f>
        <v>0</v>
      </c>
      <c r="AF35" s="353">
        <f>IF(+NFL!$F188="Atlanta",+NFL!#REF!,IF(+NFL!$H188="Atlanta",+NFL!#REF!,0))</f>
        <v>0</v>
      </c>
      <c r="AG35" s="379">
        <f>IF(+NFL!$F188="Atlanta",+NFL!#REF!,IF(+NFL!$H188="Atlanta",+NFL!#REF!,0))</f>
        <v>0</v>
      </c>
      <c r="AH35" s="353">
        <f>IF(+NFL!$F188="Atlanta",+NFL!#REF!,IF(+NFL!$H188="Atlanta",+NFL!#REF!,0))</f>
        <v>0</v>
      </c>
      <c r="AI35" s="379">
        <f>IF(+NFL!$F188="Atlanta",+NFL!#REF!,IF(+NFL!$H188="Atlanta",+NFL!#REF!,0))</f>
        <v>0</v>
      </c>
      <c r="AJ35" s="353">
        <f>IF(+NFL!$F188="Atlanta",+NFL!#REF!,IF(+NFL!$H188="Atlanta",+NFL!#REF!,0))</f>
        <v>0</v>
      </c>
      <c r="AK35" s="379">
        <f>IF(+NFL!$F188="Atlanta",+NFL!#REF!,IF(+NFL!$H188="Atlanta",+NFL!#REF!,0))</f>
        <v>0</v>
      </c>
      <c r="AL35" s="57">
        <f>IF(+NFL!$F188="Atlanta",+NFL!#REF!,IF(+NFL!$H188="Atlanta",+NFL!#REF!,0))</f>
        <v>0</v>
      </c>
      <c r="AM35" s="58">
        <f>IF(+NFL!$F188="Atlanta",+NFL!#REF!,IF(+NFL!$H188="Atlanta",+NFL!#REF!,0))</f>
        <v>0</v>
      </c>
      <c r="AN35" s="57">
        <f>IF(+NFL!$F188="Atlanta",+NFL!#REF!,IF(+NFL!$H188="Atlanta",+NFL!#REF!,0))</f>
        <v>0</v>
      </c>
      <c r="AO35" s="59">
        <f>IF(+NFL!$F188="Atlanta",+NFL!#REF!,IF(+NFL!$H188="Atlanta",+NFL!#REF!,0))</f>
        <v>0</v>
      </c>
      <c r="AP35" s="348">
        <f>IF(+NFL!$F188="Atlanta",+NFL!#REF!,IF(+NFL!$H188="Atlanta",+NFL!#REF!,0))</f>
        <v>0</v>
      </c>
      <c r="AQ35" s="48">
        <f>IF(+NFL!$F188="Atlanta",+NFL!#REF!,IF(+NFL!$H188="Atlanta",+NFL!#REF!,0))</f>
        <v>0</v>
      </c>
      <c r="AR35" s="57">
        <f>IF(+NFL!$F188="Atlanta",+NFL!#REF!,IF(+NFL!$H188="Atlanta",+NFL!#REF!,0))</f>
        <v>0</v>
      </c>
      <c r="AS35" s="64">
        <f>IF(+NFL!$F188="Atlanta",+NFL!#REF!,IF(+NFL!$H188="Atlanta",+NFL!#REF!,0))</f>
        <v>0</v>
      </c>
      <c r="AT35" s="64">
        <f>IF(+NFL!$F188="Atlanta",+NFL!#REF!,IF(+NFL!$H188="Atlanta",+NFL!#REF!,0))</f>
        <v>0</v>
      </c>
      <c r="AU35" s="57">
        <f>IF(+NFL!$F188="Atlanta",+NFL!#REF!,IF(+NFL!$H188="Atlanta",+NFL!#REF!,0))</f>
        <v>0</v>
      </c>
      <c r="AV35" s="64">
        <f>IF(+NFL!$F188="Atlanta",+NFL!#REF!,IF(+NFL!$H188="Atlanta",+NFL!#REF!,0))</f>
        <v>0</v>
      </c>
      <c r="AW35" s="46">
        <f>IF(+NFL!$F188="Atlanta",+NFL!#REF!,IF(+NFL!$H188="Atlanta",+NFL!#REF!,0))</f>
        <v>0</v>
      </c>
      <c r="AX35" s="64">
        <f>IF(+NFL!$F188="Atlanta",+NFL!#REF!,IF(+NFL!$H188="Atlanta",+NFL!#REF!,0))</f>
        <v>0</v>
      </c>
      <c r="AY35" s="57">
        <f>IF(+NFL!$F188="Atlanta",+NFL!#REF!,IF(+NFL!$H188="Atlanta",+NFL!#REF!,0))</f>
        <v>0</v>
      </c>
      <c r="AZ35" s="64">
        <f>IF(+NFL!$F188="Atlanta",+NFL!#REF!,IF(+NFL!$H188="Atlanta",+NFL!#REF!,0))</f>
        <v>0</v>
      </c>
      <c r="BA35" s="46">
        <f>IF(+NFL!$F188="Atlanta",+NFL!#REF!,IF(+NFL!$H188="Atlanta",+NFL!#REF!,0))</f>
        <v>0</v>
      </c>
      <c r="BB35" s="46">
        <f>IF(+NFL!$F188="Atlanta",+NFL!#REF!,IF(+NFL!$H188="Atlanta",+NFL!#REF!,0))</f>
        <v>0</v>
      </c>
      <c r="BC35" s="403">
        <f>IF(+NFL!$F188="Atlanta",+NFL!#REF!,IF(+NFL!$H188="Atlanta",+NFL!#REF!,0))</f>
        <v>0</v>
      </c>
      <c r="BD35" s="57">
        <f>IF(+NFL!$F188="Atlanta",+NFL!#REF!,IF(+NFL!$H188="Atlanta",+NFL!#REF!,0))</f>
        <v>0</v>
      </c>
      <c r="BE35" s="64">
        <f>IF(+NFL!$F188="Atlanta",+NFL!#REF!,IF(+NFL!$H188="Atlanta",+NFL!#REF!,0))</f>
        <v>0</v>
      </c>
      <c r="BF35" s="64">
        <f>IF(+NFL!$F188="Atlanta",+NFL!#REF!,IF(+NFL!$H188="Atlanta",+NFL!#REF!,0))</f>
        <v>0</v>
      </c>
      <c r="BG35" s="57">
        <f>IF(+NFL!$F188="Atlanta",+NFL!#REF!,IF(+NFL!$H188="Atlanta",+NFL!#REF!,0))</f>
        <v>0</v>
      </c>
      <c r="BH35" s="64">
        <f>IF(+NFL!$F188="Atlanta",+NFL!#REF!,IF(+NFL!$H188="Atlanta",+NFL!#REF!,0))</f>
        <v>0</v>
      </c>
      <c r="BI35" s="46">
        <f>IF(+NFL!$F188="Atlanta",+NFL!#REF!,IF(+NFL!$H188="Atlanta",+NFL!#REF!,0))</f>
        <v>0</v>
      </c>
      <c r="BJ35" s="87">
        <f>IF(+NFL!$F188="Atlanta",+NFL!#REF!,IF(+NFL!$H188="Atlanta",+NFL!#REF!,0))</f>
        <v>0</v>
      </c>
      <c r="BK35" s="120">
        <f>IF(+NFL!$F188="Atlanta",+NFL!#REF!,IF(+NFL!$H188="Atlanta",+NFL!#REF!,0))</f>
        <v>0</v>
      </c>
    </row>
    <row r="36" spans="1:63" x14ac:dyDescent="0.8">
      <c r="A36" s="46">
        <f>IF(+NFL!$F259="Atlanta",+NFL!A259,IF(+NFL!$H259="Atlanta",+NFL!A259,0))</f>
        <v>14</v>
      </c>
      <c r="B36" s="46">
        <f>IF(+NFL!$F259="Atlanta",+NFL!B259,IF(+NFL!$H259="Atlanta",+NFL!B259,0))</f>
        <v>0</v>
      </c>
      <c r="C36" s="62">
        <f>IF(+NFL!$F259="Atlanta",+NFL!C259,IF(+NFL!$H259="Atlanta",+NFL!C259,0))</f>
        <v>0</v>
      </c>
      <c r="D36" s="490">
        <f>IF(+NFL!$F259="Atlanta",+NFL!D259,IF(+NFL!$H259="Atlanta",+NFL!D259,0))</f>
        <v>0</v>
      </c>
      <c r="E36" s="46">
        <f>IF(+NFL!$F259="Atlanta",+NFL!E259,IF(+NFL!$H259="Atlanta",+NFL!E259,0))</f>
        <v>0</v>
      </c>
      <c r="F36" s="127" t="str">
        <f>IF(+NFL!$F259="Atlanta",+NFL!F259,IF(+NFL!$H259="Atlanta",+NFL!F259,0))</f>
        <v>Atlanta</v>
      </c>
      <c r="G36" s="46" t="str">
        <f>IF(+NFL!$F259="Atlanta",+NFL!G259,IF(+NFL!$H259="Atlanta",+NFL!G259,0))</f>
        <v>NFCS</v>
      </c>
      <c r="H36" s="127">
        <f>IF(+NFL!$F259="Atlanta",+NFL!H259,IF(+NFL!$H259="Atlanta",+NFL!H259,0))</f>
        <v>0</v>
      </c>
      <c r="I36" s="46">
        <f>IF(+NFL!$F259="Atlanta",+NFL!I259,IF(+NFL!$H259="Atlanta",+NFL!I259,0))</f>
        <v>0</v>
      </c>
      <c r="J36" s="353">
        <f>IF(+NFL!$F259="Atlanta",+NFL!J259,IF(+NFL!$H259="Atlanta",+NFL!J259,0))</f>
        <v>0</v>
      </c>
      <c r="K36" s="494">
        <f>IF(+NFL!$F259="Atlanta",+NFL!K259,IF(+NFL!$H259="Atlanta",+NFL!K259,0))</f>
        <v>0</v>
      </c>
      <c r="L36" s="384">
        <f>IF(+NFL!$F259="Atlanta",+NFL!L259,IF(+NFL!$H259="Atlanta",+NFL!L259,0))</f>
        <v>0</v>
      </c>
      <c r="M36" s="385">
        <f>IF(+NFL!$F259="Atlanta",+NFL!M259,IF(+NFL!$H259="Atlanta",+NFL!M259,0))</f>
        <v>0</v>
      </c>
      <c r="N36" s="394">
        <f>IF(+NFL!$F259="Atlanta",+NFL!N259,IF(+NFL!$H259="Atlanta",+NFL!N259,0))</f>
        <v>0</v>
      </c>
      <c r="O36" s="395">
        <f>IF(+NFL!$F259="Atlanta",+NFL!O259,IF(+NFL!$H259="Atlanta",+NFL!O259,0))</f>
        <v>0</v>
      </c>
      <c r="P36" s="394">
        <f>IF(+NFL!$F259="Atlanta",+NFL!P259,IF(+NFL!$H259="Atlanta",+NFL!P259,0))</f>
        <v>0</v>
      </c>
      <c r="Q36" s="396">
        <f>IF(+NFL!$F259="Atlanta",+NFL!Q259,IF(+NFL!$H259="Atlanta",+NFL!Q259,0))</f>
        <v>0</v>
      </c>
      <c r="R36" s="397">
        <f>IF(+NFL!$F259="Atlanta",+NFL!R259,IF(+NFL!$H259="Atlanta",+NFL!R259,0))</f>
        <v>0</v>
      </c>
      <c r="S36" s="396">
        <f>IF(+NFL!$F259="Atlanta",+NFL!S259,IF(+NFL!$H259="Atlanta",+NFL!S259,0))</f>
        <v>0</v>
      </c>
      <c r="T36" s="397">
        <f>IF(+NFL!$F259="Atlanta",+NFL!T259,IF(+NFL!$H259="Atlanta",+NFL!T259,0))</f>
        <v>0</v>
      </c>
      <c r="U36" s="396">
        <f>IF(+NFL!$F259="Atlanta",+NFL!U259,IF(+NFL!$H259="Atlanta",+NFL!U259,0))</f>
        <v>0</v>
      </c>
      <c r="V36" s="397">
        <f>IF(+NFL!$F201="Atlanta",+NFL!#REF!,IF(+NFL!$H201="Atlanta",+NFL!#REF!,0))</f>
        <v>0</v>
      </c>
      <c r="W36" s="396">
        <f>IF(+NFL!$F201="Atlanta",+NFL!#REF!,IF(+NFL!$H201="Atlanta",+NFL!#REF!,0))</f>
        <v>0</v>
      </c>
      <c r="X36" s="397">
        <f>IF(+NFL!$F201="Atlanta",+NFL!#REF!,IF(+NFL!$H201="Atlanta",+NFL!#REF!,0))</f>
        <v>0</v>
      </c>
      <c r="Y36" s="396">
        <f>IF(+NFL!$F201="Atlanta",+NFL!#REF!,IF(+NFL!$H201="Atlanta",+NFL!#REF!,0))</f>
        <v>0</v>
      </c>
      <c r="Z36" s="397">
        <f>IF(+NFL!$F201="Atlanta",+NFL!#REF!,IF(+NFL!$H201="Atlanta",+NFL!#REF!,0))</f>
        <v>0</v>
      </c>
      <c r="AA36" s="396">
        <f>IF(+NFL!$F201="Atlanta",+NFL!#REF!,IF(+NFL!$H201="Atlanta",+NFL!#REF!,0))</f>
        <v>0</v>
      </c>
      <c r="AB36" s="87">
        <f>IF(+NFL!$F201="Atlanta",+NFL!#REF!,IF(+NFL!$H201="Atlanta",+NFL!#REF!,0))</f>
        <v>0</v>
      </c>
      <c r="AC36" s="120">
        <f>IF(+NFL!$F201="Atlanta",+NFL!#REF!,IF(+NFL!$H201="Atlanta",+NFL!#REF!,0))</f>
        <v>0</v>
      </c>
      <c r="AD36" s="353">
        <f>IF(+NFL!$F201="Atlanta",+NFL!#REF!,IF(+NFL!$H201="Atlanta",+NFL!#REF!,0))</f>
        <v>0</v>
      </c>
      <c r="AE36" s="379">
        <f>IF(+NFL!$F201="Atlanta",+NFL!#REF!,IF(+NFL!$H201="Atlanta",+NFL!#REF!,0))</f>
        <v>0</v>
      </c>
      <c r="AF36" s="353">
        <f>IF(+NFL!$F201="Atlanta",+NFL!#REF!,IF(+NFL!$H201="Atlanta",+NFL!#REF!,0))</f>
        <v>0</v>
      </c>
      <c r="AG36" s="379">
        <f>IF(+NFL!$F201="Atlanta",+NFL!#REF!,IF(+NFL!$H201="Atlanta",+NFL!#REF!,0))</f>
        <v>0</v>
      </c>
      <c r="AH36" s="353">
        <f>IF(+NFL!$F201="Atlanta",+NFL!#REF!,IF(+NFL!$H201="Atlanta",+NFL!#REF!,0))</f>
        <v>0</v>
      </c>
      <c r="AI36" s="379">
        <f>IF(+NFL!$F201="Atlanta",+NFL!#REF!,IF(+NFL!$H201="Atlanta",+NFL!#REF!,0))</f>
        <v>0</v>
      </c>
      <c r="AJ36" s="353">
        <f>IF(+NFL!$F201="Atlanta",+NFL!#REF!,IF(+NFL!$H201="Atlanta",+NFL!#REF!,0))</f>
        <v>0</v>
      </c>
      <c r="AK36" s="379">
        <f>IF(+NFL!$F201="Atlanta",+NFL!#REF!,IF(+NFL!$H201="Atlanta",+NFL!#REF!,0))</f>
        <v>0</v>
      </c>
      <c r="AL36" s="57">
        <f>IF(+NFL!$F201="Atlanta",+NFL!#REF!,IF(+NFL!$H201="Atlanta",+NFL!#REF!,0))</f>
        <v>0</v>
      </c>
      <c r="AM36" s="58">
        <f>IF(+NFL!$F201="Atlanta",+NFL!#REF!,IF(+NFL!$H201="Atlanta",+NFL!#REF!,0))</f>
        <v>0</v>
      </c>
      <c r="AN36" s="57">
        <f>IF(+NFL!$F201="Atlanta",+NFL!#REF!,IF(+NFL!$H201="Atlanta",+NFL!#REF!,0))</f>
        <v>0</v>
      </c>
      <c r="AO36" s="59">
        <f>IF(+NFL!$F201="Atlanta",+NFL!#REF!,IF(+NFL!$H201="Atlanta",+NFL!#REF!,0))</f>
        <v>0</v>
      </c>
      <c r="AP36" s="348">
        <f>IF(+NFL!$F201="Atlanta",+NFL!#REF!,IF(+NFL!$H201="Atlanta",+NFL!#REF!,0))</f>
        <v>0</v>
      </c>
      <c r="AQ36" s="48">
        <f>IF(+NFL!$F201="Atlanta",+NFL!#REF!,IF(+NFL!$H201="Atlanta",+NFL!#REF!,0))</f>
        <v>0</v>
      </c>
      <c r="AR36" s="57">
        <f>IF(+NFL!$F201="Atlanta",+NFL!#REF!,IF(+NFL!$H201="Atlanta",+NFL!#REF!,0))</f>
        <v>0</v>
      </c>
      <c r="AS36" s="64">
        <f>IF(+NFL!$F201="Atlanta",+NFL!#REF!,IF(+NFL!$H201="Atlanta",+NFL!#REF!,0))</f>
        <v>0</v>
      </c>
      <c r="AT36" s="64">
        <f>IF(+NFL!$F201="Atlanta",+NFL!#REF!,IF(+NFL!$H201="Atlanta",+NFL!#REF!,0))</f>
        <v>0</v>
      </c>
      <c r="AU36" s="57">
        <f>IF(+NFL!$F201="Atlanta",+NFL!#REF!,IF(+NFL!$H201="Atlanta",+NFL!#REF!,0))</f>
        <v>0</v>
      </c>
      <c r="AV36" s="64">
        <f>IF(+NFL!$F201="Atlanta",+NFL!#REF!,IF(+NFL!$H201="Atlanta",+NFL!#REF!,0))</f>
        <v>0</v>
      </c>
      <c r="AW36" s="46">
        <f>IF(+NFL!$F201="Atlanta",+NFL!#REF!,IF(+NFL!$H201="Atlanta",+NFL!#REF!,0))</f>
        <v>0</v>
      </c>
      <c r="AX36" s="64">
        <f>IF(+NFL!$F201="Atlanta",+NFL!#REF!,IF(+NFL!$H201="Atlanta",+NFL!#REF!,0))</f>
        <v>0</v>
      </c>
      <c r="AY36" s="57">
        <f>IF(+NFL!$F201="Atlanta",+NFL!#REF!,IF(+NFL!$H201="Atlanta",+NFL!#REF!,0))</f>
        <v>0</v>
      </c>
      <c r="AZ36" s="64">
        <f>IF(+NFL!$F201="Atlanta",+NFL!#REF!,IF(+NFL!$H201="Atlanta",+NFL!#REF!,0))</f>
        <v>0</v>
      </c>
      <c r="BA36" s="46">
        <f>IF(+NFL!$F201="Atlanta",+NFL!#REF!,IF(+NFL!$H201="Atlanta",+NFL!#REF!,0))</f>
        <v>0</v>
      </c>
      <c r="BB36" s="46">
        <f>IF(+NFL!$F201="Atlanta",+NFL!#REF!,IF(+NFL!$H201="Atlanta",+NFL!#REF!,0))</f>
        <v>0</v>
      </c>
      <c r="BC36" s="403">
        <f>IF(+NFL!$F201="Atlanta",+NFL!#REF!,IF(+NFL!$H201="Atlanta",+NFL!#REF!,0))</f>
        <v>0</v>
      </c>
      <c r="BD36" s="57">
        <f>IF(+NFL!$F201="Atlanta",+NFL!#REF!,IF(+NFL!$H201="Atlanta",+NFL!#REF!,0))</f>
        <v>0</v>
      </c>
      <c r="BE36" s="64">
        <f>IF(+NFL!$F201="Atlanta",+NFL!#REF!,IF(+NFL!$H201="Atlanta",+NFL!#REF!,0))</f>
        <v>0</v>
      </c>
      <c r="BF36" s="64">
        <f>IF(+NFL!$F201="Atlanta",+NFL!#REF!,IF(+NFL!$H201="Atlanta",+NFL!#REF!,0))</f>
        <v>0</v>
      </c>
      <c r="BG36" s="57">
        <f>IF(+NFL!$F201="Atlanta",+NFL!#REF!,IF(+NFL!$H201="Atlanta",+NFL!#REF!,0))</f>
        <v>0</v>
      </c>
      <c r="BH36" s="64">
        <f>IF(+NFL!$F201="Atlanta",+NFL!#REF!,IF(+NFL!$H201="Atlanta",+NFL!#REF!,0))</f>
        <v>0</v>
      </c>
      <c r="BI36" s="46">
        <f>IF(+NFL!$F201="Atlanta",+NFL!#REF!,IF(+NFL!$H201="Atlanta",+NFL!#REF!,0))</f>
        <v>0</v>
      </c>
      <c r="BJ36" s="87">
        <f>IF(+NFL!$F201="Atlanta",+NFL!#REF!,IF(+NFL!$H201="Atlanta",+NFL!#REF!,0))</f>
        <v>0</v>
      </c>
      <c r="BK36" s="120">
        <f>IF(+NFL!$F201="Atlanta",+NFL!#REF!,IF(+NFL!$H201="Atlanta",+NFL!#REF!,0))</f>
        <v>0</v>
      </c>
    </row>
    <row r="37" spans="1:63" x14ac:dyDescent="0.8">
      <c r="A37" s="46">
        <f>IF(+NFL!$F270="Atlanta",+NFL!A270,IF(+NFL!$H270="Atlanta",+NFL!A270,0))</f>
        <v>15</v>
      </c>
      <c r="B37" s="46" t="str">
        <f>IF(+NFL!$F270="Atlanta",+NFL!B270,IF(+NFL!$H270="Atlanta",+NFL!B270,0))</f>
        <v>Sun</v>
      </c>
      <c r="C37" s="62">
        <f>IF(+NFL!$F270="Atlanta",+NFL!C270,IF(+NFL!$H270="Atlanta",+NFL!C270,0))</f>
        <v>44913</v>
      </c>
      <c r="D37" s="490">
        <f>IF(+NFL!$F270="Atlanta",+NFL!D270,IF(+NFL!$H270="Atlanta",+NFL!D270,0))</f>
        <v>0.54166666666666663</v>
      </c>
      <c r="E37" s="46" t="str">
        <f>IF(+NFL!$F270="Atlanta",+NFL!E270,IF(+NFL!$H270="Atlanta",+NFL!E270,0))</f>
        <v>Fox</v>
      </c>
      <c r="F37" s="127" t="str">
        <f>IF(+NFL!$F270="Atlanta",+NFL!F270,IF(+NFL!$H270="Atlanta",+NFL!F270,0))</f>
        <v>Atlanta</v>
      </c>
      <c r="G37" s="46" t="str">
        <f>IF(+NFL!$F270="Atlanta",+NFL!G270,IF(+NFL!$H270="Atlanta",+NFL!G270,0))</f>
        <v>NFCS</v>
      </c>
      <c r="H37" s="127" t="str">
        <f>IF(+NFL!$F270="Atlanta",+NFL!H270,IF(+NFL!$H270="Atlanta",+NFL!H270,0))</f>
        <v>New Orleans</v>
      </c>
      <c r="I37" s="46" t="str">
        <f>IF(+NFL!$F270="Atlanta",+NFL!I270,IF(+NFL!$H270="Atlanta",+NFL!I270,0))</f>
        <v>NFCS</v>
      </c>
      <c r="J37" s="353" t="str">
        <f>IF(+NFL!$F270="Atlanta",+NFL!J270,IF(+NFL!$H270="Atlanta",+NFL!J270,0))</f>
        <v>New Orleans</v>
      </c>
      <c r="K37" s="494" t="str">
        <f>IF(+NFL!$F270="Atlanta",+NFL!K270,IF(+NFL!$H270="Atlanta",+NFL!K270,0))</f>
        <v>Atlanta</v>
      </c>
      <c r="L37" s="384">
        <f>IF(+NFL!$F270="Atlanta",+NFL!L270,IF(+NFL!$H270="Atlanta",+NFL!L270,0))</f>
        <v>5.5</v>
      </c>
      <c r="M37" s="385">
        <f>IF(+NFL!$F270="Atlanta",+NFL!M270,IF(+NFL!$H270="Atlanta",+NFL!M270,0))</f>
        <v>43.5</v>
      </c>
      <c r="N37" s="394" t="str">
        <f>IF(+NFL!$F270="Atlanta",+NFL!N270,IF(+NFL!$H270="Atlanta",+NFL!N270,0))</f>
        <v>New Orleans</v>
      </c>
      <c r="O37" s="395">
        <f>IF(+NFL!$F270="Atlanta",+NFL!O270,IF(+NFL!$H270="Atlanta",+NFL!O270,0))</f>
        <v>21</v>
      </c>
      <c r="P37" s="394" t="str">
        <f>IF(+NFL!$F270="Atlanta",+NFL!P270,IF(+NFL!$H270="Atlanta",+NFL!P270,0))</f>
        <v>Atlanta</v>
      </c>
      <c r="Q37" s="396">
        <f>IF(+NFL!$F270="Atlanta",+NFL!Q270,IF(+NFL!$H270="Atlanta",+NFL!Q270,0))</f>
        <v>18</v>
      </c>
      <c r="R37" s="397" t="str">
        <f>IF(+NFL!$F270="Atlanta",+NFL!R270,IF(+NFL!$H270="Atlanta",+NFL!R270,0))</f>
        <v>Atlanta</v>
      </c>
      <c r="S37" s="396" t="str">
        <f>IF(+NFL!$F270="Atlanta",+NFL!S270,IF(+NFL!$H270="Atlanta",+NFL!S270,0))</f>
        <v>New Orleans</v>
      </c>
      <c r="T37" s="397">
        <f>IF(+NFL!$F270="Atlanta",+NFL!T270,IF(+NFL!$H270="Atlanta",+NFL!T270,0))</f>
        <v>0</v>
      </c>
      <c r="U37" s="396" t="str">
        <f>IF(+NFL!$F270="Atlanta",+NFL!U270,IF(+NFL!$H270="Atlanta",+NFL!U270,0))</f>
        <v>L</v>
      </c>
      <c r="V37" s="397">
        <f>IF(+NFL!$F225="Atlanta",+NFL!#REF!,IF(+NFL!$H225="Atlanta",+NFL!#REF!,0))</f>
        <v>0</v>
      </c>
      <c r="W37" s="396">
        <f>IF(+NFL!$F225="Atlanta",+NFL!#REF!,IF(+NFL!$H225="Atlanta",+NFL!#REF!,0))</f>
        <v>0</v>
      </c>
      <c r="X37" s="397">
        <f>IF(+NFL!$F225="Atlanta",+NFL!#REF!,IF(+NFL!$H225="Atlanta",+NFL!#REF!,0))</f>
        <v>0</v>
      </c>
      <c r="Y37" s="396">
        <f>IF(+NFL!$F225="Atlanta",+NFL!#REF!,IF(+NFL!$H225="Atlanta",+NFL!#REF!,0))</f>
        <v>0</v>
      </c>
      <c r="Z37" s="397">
        <f>IF(+NFL!$F225="Atlanta",+NFL!#REF!,IF(+NFL!$H225="Atlanta",+NFL!#REF!,0))</f>
        <v>0</v>
      </c>
      <c r="AA37" s="396">
        <f>IF(+NFL!$F225="Atlanta",+NFL!#REF!,IF(+NFL!$H225="Atlanta",+NFL!#REF!,0))</f>
        <v>0</v>
      </c>
      <c r="AB37" s="87">
        <f>IF(+NFL!$F225="Atlanta",+NFL!#REF!,IF(+NFL!$H225="Atlanta",+NFL!#REF!,0))</f>
        <v>0</v>
      </c>
      <c r="AC37" s="120">
        <f>IF(+NFL!$F225="Atlanta",+NFL!#REF!,IF(+NFL!$H225="Atlanta",+NFL!#REF!,0))</f>
        <v>0</v>
      </c>
      <c r="AD37" s="353">
        <f>IF(+NFL!$F225="Atlanta",+NFL!#REF!,IF(+NFL!$H225="Atlanta",+NFL!#REF!,0))</f>
        <v>0</v>
      </c>
      <c r="AE37" s="379">
        <f>IF(+NFL!$F225="Atlanta",+NFL!#REF!,IF(+NFL!$H225="Atlanta",+NFL!#REF!,0))</f>
        <v>0</v>
      </c>
      <c r="AF37" s="353">
        <f>IF(+NFL!$F225="Atlanta",+NFL!#REF!,IF(+NFL!$H225="Atlanta",+NFL!#REF!,0))</f>
        <v>0</v>
      </c>
      <c r="AG37" s="379">
        <f>IF(+NFL!$F225="Atlanta",+NFL!#REF!,IF(+NFL!$H225="Atlanta",+NFL!#REF!,0))</f>
        <v>0</v>
      </c>
      <c r="AH37" s="353">
        <f>IF(+NFL!$F225="Atlanta",+NFL!#REF!,IF(+NFL!$H225="Atlanta",+NFL!#REF!,0))</f>
        <v>0</v>
      </c>
      <c r="AI37" s="379">
        <f>IF(+NFL!$F225="Atlanta",+NFL!#REF!,IF(+NFL!$H225="Atlanta",+NFL!#REF!,0))</f>
        <v>0</v>
      </c>
      <c r="AJ37" s="353">
        <f>IF(+NFL!$F225="Atlanta",+NFL!#REF!,IF(+NFL!$H225="Atlanta",+NFL!#REF!,0))</f>
        <v>0</v>
      </c>
      <c r="AK37" s="379">
        <f>IF(+NFL!$F225="Atlanta",+NFL!#REF!,IF(+NFL!$H225="Atlanta",+NFL!#REF!,0))</f>
        <v>0</v>
      </c>
      <c r="AL37" s="57">
        <f>IF(+NFL!$F225="Atlanta",+NFL!#REF!,IF(+NFL!$H225="Atlanta",+NFL!#REF!,0))</f>
        <v>0</v>
      </c>
      <c r="AM37" s="58">
        <f>IF(+NFL!$F225="Atlanta",+NFL!#REF!,IF(+NFL!$H225="Atlanta",+NFL!#REF!,0))</f>
        <v>0</v>
      </c>
      <c r="AN37" s="57">
        <f>IF(+NFL!$F225="Atlanta",+NFL!#REF!,IF(+NFL!$H225="Atlanta",+NFL!#REF!,0))</f>
        <v>0</v>
      </c>
      <c r="AO37" s="59">
        <f>IF(+NFL!$F225="Atlanta",+NFL!#REF!,IF(+NFL!$H225="Atlanta",+NFL!#REF!,0))</f>
        <v>0</v>
      </c>
      <c r="AP37" s="348">
        <f>IF(+NFL!$F225="Atlanta",+NFL!#REF!,IF(+NFL!$H225="Atlanta",+NFL!#REF!,0))</f>
        <v>0</v>
      </c>
      <c r="AQ37" s="48">
        <f>IF(+NFL!$F225="Atlanta",+NFL!#REF!,IF(+NFL!$H225="Atlanta",+NFL!#REF!,0))</f>
        <v>0</v>
      </c>
      <c r="AR37" s="57">
        <f>IF(+NFL!$F225="Atlanta",+NFL!#REF!,IF(+NFL!$H225="Atlanta",+NFL!#REF!,0))</f>
        <v>0</v>
      </c>
      <c r="AS37" s="64">
        <f>IF(+NFL!$F225="Atlanta",+NFL!#REF!,IF(+NFL!$H225="Atlanta",+NFL!#REF!,0))</f>
        <v>0</v>
      </c>
      <c r="AT37" s="64">
        <f>IF(+NFL!$F225="Atlanta",+NFL!#REF!,IF(+NFL!$H225="Atlanta",+NFL!#REF!,0))</f>
        <v>0</v>
      </c>
      <c r="AU37" s="57">
        <f>IF(+NFL!$F225="Atlanta",+NFL!#REF!,IF(+NFL!$H225="Atlanta",+NFL!#REF!,0))</f>
        <v>0</v>
      </c>
      <c r="AV37" s="64">
        <f>IF(+NFL!$F225="Atlanta",+NFL!#REF!,IF(+NFL!$H225="Atlanta",+NFL!#REF!,0))</f>
        <v>0</v>
      </c>
      <c r="AW37" s="46">
        <f>IF(+NFL!$F225="Atlanta",+NFL!#REF!,IF(+NFL!$H225="Atlanta",+NFL!#REF!,0))</f>
        <v>0</v>
      </c>
      <c r="AX37" s="64">
        <f>IF(+NFL!$F225="Atlanta",+NFL!#REF!,IF(+NFL!$H225="Atlanta",+NFL!#REF!,0))</f>
        <v>0</v>
      </c>
      <c r="AY37" s="57">
        <f>IF(+NFL!$F225="Atlanta",+NFL!#REF!,IF(+NFL!$H225="Atlanta",+NFL!#REF!,0))</f>
        <v>0</v>
      </c>
      <c r="AZ37" s="64">
        <f>IF(+NFL!$F225="Atlanta",+NFL!#REF!,IF(+NFL!$H225="Atlanta",+NFL!#REF!,0))</f>
        <v>0</v>
      </c>
      <c r="BA37" s="46">
        <f>IF(+NFL!$F225="Atlanta",+NFL!#REF!,IF(+NFL!$H225="Atlanta",+NFL!#REF!,0))</f>
        <v>0</v>
      </c>
      <c r="BB37" s="46">
        <f>IF(+NFL!$F225="Atlanta",+NFL!#REF!,IF(+NFL!$H225="Atlanta",+NFL!#REF!,0))</f>
        <v>0</v>
      </c>
      <c r="BC37" s="403">
        <f>IF(+NFL!$F225="Atlanta",+NFL!#REF!,IF(+NFL!$H225="Atlanta",+NFL!#REF!,0))</f>
        <v>0</v>
      </c>
      <c r="BD37" s="57">
        <f>IF(+NFL!$F225="Atlanta",+NFL!#REF!,IF(+NFL!$H225="Atlanta",+NFL!#REF!,0))</f>
        <v>0</v>
      </c>
      <c r="BE37" s="64">
        <f>IF(+NFL!$F225="Atlanta",+NFL!#REF!,IF(+NFL!$H225="Atlanta",+NFL!#REF!,0))</f>
        <v>0</v>
      </c>
      <c r="BF37" s="64">
        <f>IF(+NFL!$F225="Atlanta",+NFL!#REF!,IF(+NFL!$H225="Atlanta",+NFL!#REF!,0))</f>
        <v>0</v>
      </c>
      <c r="BG37" s="57">
        <f>IF(+NFL!$F225="Atlanta",+NFL!#REF!,IF(+NFL!$H225="Atlanta",+NFL!#REF!,0))</f>
        <v>0</v>
      </c>
      <c r="BH37" s="64">
        <f>IF(+NFL!$F225="Atlanta",+NFL!#REF!,IF(+NFL!$H225="Atlanta",+NFL!#REF!,0))</f>
        <v>0</v>
      </c>
      <c r="BI37" s="46">
        <f>IF(+NFL!$F225="Atlanta",+NFL!#REF!,IF(+NFL!$H225="Atlanta",+NFL!#REF!,0))</f>
        <v>0</v>
      </c>
      <c r="BJ37" s="87">
        <f>IF(+NFL!$F225="Atlanta",+NFL!#REF!,IF(+NFL!$H225="Atlanta",+NFL!#REF!,0))</f>
        <v>0</v>
      </c>
      <c r="BK37" s="120">
        <f>IF(+NFL!$F225="Atlanta",+NFL!#REF!,IF(+NFL!$H225="Atlanta",+NFL!#REF!,0))</f>
        <v>0</v>
      </c>
    </row>
    <row r="38" spans="1:63" x14ac:dyDescent="0.8">
      <c r="A38" s="46">
        <f>IF(+NFL!$F291="Atlanta",+NFL!A291,IF(+NFL!$H291="Atlanta",+NFL!A291,0))</f>
        <v>16</v>
      </c>
      <c r="B38" s="46" t="str">
        <f>IF(+NFL!$F291="Atlanta",+NFL!B291,IF(+NFL!$H291="Atlanta",+NFL!B291,0))</f>
        <v>Sat</v>
      </c>
      <c r="C38" s="62">
        <f>IF(+NFL!$F291="Atlanta",+NFL!C291,IF(+NFL!$H291="Atlanta",+NFL!C291,0))</f>
        <v>44919</v>
      </c>
      <c r="D38" s="490">
        <f>IF(+NFL!$F291="Atlanta",+NFL!D291,IF(+NFL!$H291="Atlanta",+NFL!D291,0))</f>
        <v>0.54166666666666663</v>
      </c>
      <c r="E38" s="46" t="str">
        <f>IF(+NFL!$F291="Atlanta",+NFL!E291,IF(+NFL!$H291="Atlanta",+NFL!E291,0))</f>
        <v>Fox</v>
      </c>
      <c r="F38" s="127" t="str">
        <f>IF(+NFL!$F291="Atlanta",+NFL!F291,IF(+NFL!$H291="Atlanta",+NFL!F291,0))</f>
        <v>Atlanta</v>
      </c>
      <c r="G38" s="46" t="str">
        <f>IF(+NFL!$F291="Atlanta",+NFL!G291,IF(+NFL!$H291="Atlanta",+NFL!G291,0))</f>
        <v>NFCS</v>
      </c>
      <c r="H38" s="127" t="str">
        <f>IF(+NFL!$F291="Atlanta",+NFL!H291,IF(+NFL!$H291="Atlanta",+NFL!H291,0))</f>
        <v>Baltimore</v>
      </c>
      <c r="I38" s="46" t="str">
        <f>IF(+NFL!$F291="Atlanta",+NFL!I291,IF(+NFL!$H291="Atlanta",+NFL!I291,0))</f>
        <v>AFCN</v>
      </c>
      <c r="J38" s="353" t="str">
        <f>IF(+NFL!$F291="Atlanta",+NFL!J291,IF(+NFL!$H291="Atlanta",+NFL!J291,0))</f>
        <v>Baltimore</v>
      </c>
      <c r="K38" s="494" t="str">
        <f>IF(+NFL!$F291="Atlanta",+NFL!K291,IF(+NFL!$H291="Atlanta",+NFL!K291,0))</f>
        <v>Atlanta</v>
      </c>
      <c r="L38" s="384">
        <f>IF(+NFL!$F291="Atlanta",+NFL!L291,IF(+NFL!$H291="Atlanta",+NFL!L291,0))</f>
        <v>6.5</v>
      </c>
      <c r="M38" s="385">
        <f>IF(+NFL!$F291="Atlanta",+NFL!M291,IF(+NFL!$H291="Atlanta",+NFL!M291,0))</f>
        <v>35.5</v>
      </c>
      <c r="N38" s="394" t="str">
        <f>IF(+NFL!$F291="Atlanta",+NFL!N291,IF(+NFL!$H291="Atlanta",+NFL!N291,0))</f>
        <v>Baltimore</v>
      </c>
      <c r="O38" s="395">
        <f>IF(+NFL!$F291="Atlanta",+NFL!O291,IF(+NFL!$H291="Atlanta",+NFL!O291,0))</f>
        <v>17</v>
      </c>
      <c r="P38" s="394" t="str">
        <f>IF(+NFL!$F291="Atlanta",+NFL!P291,IF(+NFL!$H291="Atlanta",+NFL!P291,0))</f>
        <v>Atlanta</v>
      </c>
      <c r="Q38" s="396">
        <f>IF(+NFL!$F291="Atlanta",+NFL!Q291,IF(+NFL!$H291="Atlanta",+NFL!Q291,0))</f>
        <v>9</v>
      </c>
      <c r="R38" s="397" t="str">
        <f>IF(+NFL!$F291="Atlanta",+NFL!R291,IF(+NFL!$H291="Atlanta",+NFL!R291,0))</f>
        <v>Baltimore</v>
      </c>
      <c r="S38" s="396" t="str">
        <f>IF(+NFL!$F291="Atlanta",+NFL!S291,IF(+NFL!$H291="Atlanta",+NFL!S291,0))</f>
        <v>Atlanta</v>
      </c>
      <c r="T38" s="397">
        <f>IF(+NFL!$F291="Atlanta",+NFL!T291,IF(+NFL!$H291="Atlanta",+NFL!T291,0))</f>
        <v>0</v>
      </c>
      <c r="U38" s="396" t="str">
        <f>IF(+NFL!$F291="Atlanta",+NFL!U291,IF(+NFL!$H291="Atlanta",+NFL!U291,0))</f>
        <v>L</v>
      </c>
      <c r="V38" s="397">
        <f>IF(+NFL!$F239="Atlanta",+NFL!#REF!,IF(+NFL!$H239="Atlanta",+NFL!#REF!,0))</f>
        <v>0</v>
      </c>
      <c r="W38" s="396">
        <f>IF(+NFL!$F239="Atlanta",+NFL!#REF!,IF(+NFL!$H239="Atlanta",+NFL!#REF!,0))</f>
        <v>0</v>
      </c>
      <c r="X38" s="397">
        <f>IF(+NFL!$F239="Atlanta",+NFL!#REF!,IF(+NFL!$H239="Atlanta",+NFL!#REF!,0))</f>
        <v>0</v>
      </c>
      <c r="Y38" s="396">
        <f>IF(+NFL!$F239="Atlanta",+NFL!#REF!,IF(+NFL!$H239="Atlanta",+NFL!#REF!,0))</f>
        <v>0</v>
      </c>
      <c r="Z38" s="397">
        <f>IF(+NFL!$F239="Atlanta",+NFL!#REF!,IF(+NFL!$H239="Atlanta",+NFL!#REF!,0))</f>
        <v>0</v>
      </c>
      <c r="AA38" s="396">
        <f>IF(+NFL!$F239="Atlanta",+NFL!#REF!,IF(+NFL!$H239="Atlanta",+NFL!#REF!,0))</f>
        <v>0</v>
      </c>
      <c r="AB38" s="87">
        <f>IF(+NFL!$F239="Atlanta",+NFL!#REF!,IF(+NFL!$H239="Atlanta",+NFL!#REF!,0))</f>
        <v>0</v>
      </c>
      <c r="AC38" s="120">
        <f>IF(+NFL!$F239="Atlanta",+NFL!#REF!,IF(+NFL!$H239="Atlanta",+NFL!#REF!,0))</f>
        <v>0</v>
      </c>
      <c r="AD38" s="353">
        <f>IF(+NFL!$F239="Atlanta",+NFL!#REF!,IF(+NFL!$H239="Atlanta",+NFL!#REF!,0))</f>
        <v>0</v>
      </c>
      <c r="AE38" s="379">
        <f>IF(+NFL!$F239="Atlanta",+NFL!#REF!,IF(+NFL!$H239="Atlanta",+NFL!#REF!,0))</f>
        <v>0</v>
      </c>
      <c r="AF38" s="353">
        <f>IF(+NFL!$F239="Atlanta",+NFL!#REF!,IF(+NFL!$H239="Atlanta",+NFL!#REF!,0))</f>
        <v>0</v>
      </c>
      <c r="AG38" s="379">
        <f>IF(+NFL!$F239="Atlanta",+NFL!#REF!,IF(+NFL!$H239="Atlanta",+NFL!#REF!,0))</f>
        <v>0</v>
      </c>
      <c r="AH38" s="353">
        <f>IF(+NFL!$F239="Atlanta",+NFL!#REF!,IF(+NFL!$H239="Atlanta",+NFL!#REF!,0))</f>
        <v>0</v>
      </c>
      <c r="AI38" s="379">
        <f>IF(+NFL!$F239="Atlanta",+NFL!#REF!,IF(+NFL!$H239="Atlanta",+NFL!#REF!,0))</f>
        <v>0</v>
      </c>
      <c r="AJ38" s="353">
        <f>IF(+NFL!$F239="Atlanta",+NFL!#REF!,IF(+NFL!$H239="Atlanta",+NFL!#REF!,0))</f>
        <v>0</v>
      </c>
      <c r="AK38" s="379">
        <f>IF(+NFL!$F239="Atlanta",+NFL!#REF!,IF(+NFL!$H239="Atlanta",+NFL!#REF!,0))</f>
        <v>0</v>
      </c>
      <c r="AL38" s="57">
        <f>IF(+NFL!$F239="Atlanta",+NFL!#REF!,IF(+NFL!$H239="Atlanta",+NFL!#REF!,0))</f>
        <v>0</v>
      </c>
      <c r="AM38" s="58">
        <f>IF(+NFL!$F239="Atlanta",+NFL!#REF!,IF(+NFL!$H239="Atlanta",+NFL!#REF!,0))</f>
        <v>0</v>
      </c>
      <c r="AN38" s="57">
        <f>IF(+NFL!$F239="Atlanta",+NFL!#REF!,IF(+NFL!$H239="Atlanta",+NFL!#REF!,0))</f>
        <v>0</v>
      </c>
      <c r="AO38" s="59">
        <f>IF(+NFL!$F239="Atlanta",+NFL!#REF!,IF(+NFL!$H239="Atlanta",+NFL!#REF!,0))</f>
        <v>0</v>
      </c>
      <c r="AP38" s="348">
        <f>IF(+NFL!$F239="Atlanta",+NFL!#REF!,IF(+NFL!$H239="Atlanta",+NFL!#REF!,0))</f>
        <v>0</v>
      </c>
      <c r="AQ38" s="48">
        <f>IF(+NFL!$F239="Atlanta",+NFL!#REF!,IF(+NFL!$H239="Atlanta",+NFL!#REF!,0))</f>
        <v>0</v>
      </c>
      <c r="AR38" s="57">
        <f>IF(+NFL!$F239="Atlanta",+NFL!#REF!,IF(+NFL!$H239="Atlanta",+NFL!#REF!,0))</f>
        <v>0</v>
      </c>
      <c r="AS38" s="64">
        <f>IF(+NFL!$F239="Atlanta",+NFL!#REF!,IF(+NFL!$H239="Atlanta",+NFL!#REF!,0))</f>
        <v>0</v>
      </c>
      <c r="AT38" s="64">
        <f>IF(+NFL!$F239="Atlanta",+NFL!#REF!,IF(+NFL!$H239="Atlanta",+NFL!#REF!,0))</f>
        <v>0</v>
      </c>
      <c r="AU38" s="57">
        <f>IF(+NFL!$F239="Atlanta",+NFL!#REF!,IF(+NFL!$H239="Atlanta",+NFL!#REF!,0))</f>
        <v>0</v>
      </c>
      <c r="AV38" s="64">
        <f>IF(+NFL!$F239="Atlanta",+NFL!#REF!,IF(+NFL!$H239="Atlanta",+NFL!#REF!,0))</f>
        <v>0</v>
      </c>
      <c r="AW38" s="46">
        <f>IF(+NFL!$F239="Atlanta",+NFL!#REF!,IF(+NFL!$H239="Atlanta",+NFL!#REF!,0))</f>
        <v>0</v>
      </c>
      <c r="AX38" s="64">
        <f>IF(+NFL!$F239="Atlanta",+NFL!#REF!,IF(+NFL!$H239="Atlanta",+NFL!#REF!,0))</f>
        <v>0</v>
      </c>
      <c r="AY38" s="57">
        <f>IF(+NFL!$F239="Atlanta",+NFL!#REF!,IF(+NFL!$H239="Atlanta",+NFL!#REF!,0))</f>
        <v>0</v>
      </c>
      <c r="AZ38" s="64">
        <f>IF(+NFL!$F239="Atlanta",+NFL!#REF!,IF(+NFL!$H239="Atlanta",+NFL!#REF!,0))</f>
        <v>0</v>
      </c>
      <c r="BA38" s="46">
        <f>IF(+NFL!$F239="Atlanta",+NFL!#REF!,IF(+NFL!$H239="Atlanta",+NFL!#REF!,0))</f>
        <v>0</v>
      </c>
      <c r="BB38" s="46">
        <f>IF(+NFL!$F239="Atlanta",+NFL!#REF!,IF(+NFL!$H239="Atlanta",+NFL!#REF!,0))</f>
        <v>0</v>
      </c>
      <c r="BC38" s="403">
        <f>IF(+NFL!$F239="Atlanta",+NFL!#REF!,IF(+NFL!$H239="Atlanta",+NFL!#REF!,0))</f>
        <v>0</v>
      </c>
      <c r="BD38" s="57">
        <f>IF(+NFL!$F239="Atlanta",+NFL!#REF!,IF(+NFL!$H239="Atlanta",+NFL!#REF!,0))</f>
        <v>0</v>
      </c>
      <c r="BE38" s="64">
        <f>IF(+NFL!$F239="Atlanta",+NFL!#REF!,IF(+NFL!$H239="Atlanta",+NFL!#REF!,0))</f>
        <v>0</v>
      </c>
      <c r="BF38" s="64">
        <f>IF(+NFL!$F239="Atlanta",+NFL!#REF!,IF(+NFL!$H239="Atlanta",+NFL!#REF!,0))</f>
        <v>0</v>
      </c>
      <c r="BG38" s="57">
        <f>IF(+NFL!$F239="Atlanta",+NFL!#REF!,IF(+NFL!$H239="Atlanta",+NFL!#REF!,0))</f>
        <v>0</v>
      </c>
      <c r="BH38" s="64">
        <f>IF(+NFL!$F239="Atlanta",+NFL!#REF!,IF(+NFL!$H239="Atlanta",+NFL!#REF!,0))</f>
        <v>0</v>
      </c>
      <c r="BI38" s="46">
        <f>IF(+NFL!$F239="Atlanta",+NFL!#REF!,IF(+NFL!$H239="Atlanta",+NFL!#REF!,0))</f>
        <v>0</v>
      </c>
      <c r="BJ38" s="87">
        <f>IF(+NFL!$F239="Atlanta",+NFL!#REF!,IF(+NFL!$H239="Atlanta",+NFL!#REF!,0))</f>
        <v>0</v>
      </c>
      <c r="BK38" s="120">
        <f>IF(+NFL!$F239="Atlanta",+NFL!#REF!,IF(+NFL!$H239="Atlanta",+NFL!#REF!,0))</f>
        <v>0</v>
      </c>
    </row>
    <row r="39" spans="1:63" x14ac:dyDescent="0.8">
      <c r="A39" s="46">
        <f>IF(+NFL!$F301="Atlanta",+NFL!A301,IF(+NFL!$H301="Atlanta",+NFL!A301,0))</f>
        <v>17</v>
      </c>
      <c r="B39" s="46" t="str">
        <f>IF(+NFL!$F301="Atlanta",+NFL!B301,IF(+NFL!$H301="Atlanta",+NFL!B301,0))</f>
        <v>Sun</v>
      </c>
      <c r="C39" s="62">
        <f>IF(+NFL!$F301="Atlanta",+NFL!C301,IF(+NFL!$H301="Atlanta",+NFL!C301,0))</f>
        <v>44927</v>
      </c>
      <c r="D39" s="490">
        <f>IF(+NFL!$F301="Atlanta",+NFL!D301,IF(+NFL!$H301="Atlanta",+NFL!D301,0))</f>
        <v>0.54166666666666663</v>
      </c>
      <c r="E39" s="46" t="str">
        <f>IF(+NFL!$F301="Atlanta",+NFL!E301,IF(+NFL!$H301="Atlanta",+NFL!E301,0))</f>
        <v>Fox</v>
      </c>
      <c r="F39" s="127" t="str">
        <f>IF(+NFL!$F301="Atlanta",+NFL!F301,IF(+NFL!$H301="Atlanta",+NFL!F301,0))</f>
        <v>Arizona</v>
      </c>
      <c r="G39" s="46" t="str">
        <f>IF(+NFL!$F301="Atlanta",+NFL!G301,IF(+NFL!$H301="Atlanta",+NFL!G301,0))</f>
        <v>NFCW</v>
      </c>
      <c r="H39" s="127" t="str">
        <f>IF(+NFL!$F301="Atlanta",+NFL!H301,IF(+NFL!$H301="Atlanta",+NFL!H301,0))</f>
        <v>Atlanta</v>
      </c>
      <c r="I39" s="46" t="str">
        <f>IF(+NFL!$F301="Atlanta",+NFL!I301,IF(+NFL!$H301="Atlanta",+NFL!I301,0))</f>
        <v>NFCS</v>
      </c>
      <c r="J39" s="353" t="str">
        <f>IF(+NFL!$F301="Atlanta",+NFL!J301,IF(+NFL!$H301="Atlanta",+NFL!J301,0))</f>
        <v>Atlanta</v>
      </c>
      <c r="K39" s="494" t="str">
        <f>IF(+NFL!$F301="Atlanta",+NFL!K301,IF(+NFL!$H301="Atlanta",+NFL!K301,0))</f>
        <v>Arizona</v>
      </c>
      <c r="L39" s="384">
        <f>IF(+NFL!$F301="Atlanta",+NFL!L301,IF(+NFL!$H301="Atlanta",+NFL!L301,0))</f>
        <v>6.5</v>
      </c>
      <c r="M39" s="385">
        <f>IF(+NFL!$F301="Atlanta",+NFL!M301,IF(+NFL!$H301="Atlanta",+NFL!M301,0))</f>
        <v>40.5</v>
      </c>
      <c r="N39" s="394" t="str">
        <f>IF(+NFL!$F301="Atlanta",+NFL!N301,IF(+NFL!$H301="Atlanta",+NFL!N301,0))</f>
        <v>Atlanta</v>
      </c>
      <c r="O39" s="395">
        <f>IF(+NFL!$F301="Atlanta",+NFL!O301,IF(+NFL!$H301="Atlanta",+NFL!O301,0))</f>
        <v>20</v>
      </c>
      <c r="P39" s="394" t="str">
        <f>IF(+NFL!$F301="Atlanta",+NFL!P301,IF(+NFL!$H301="Atlanta",+NFL!P301,0))</f>
        <v>Arizona</v>
      </c>
      <c r="Q39" s="396">
        <f>IF(+NFL!$F301="Atlanta",+NFL!Q301,IF(+NFL!$H301="Atlanta",+NFL!Q301,0))</f>
        <v>19</v>
      </c>
      <c r="R39" s="397" t="str">
        <f>IF(+NFL!$F301="Atlanta",+NFL!R301,IF(+NFL!$H301="Atlanta",+NFL!R301,0))</f>
        <v>Arizona</v>
      </c>
      <c r="S39" s="396" t="str">
        <f>IF(+NFL!$F301="Atlanta",+NFL!S301,IF(+NFL!$H301="Atlanta",+NFL!S301,0))</f>
        <v>Atlanta</v>
      </c>
      <c r="T39" s="397">
        <f>IF(+NFL!$F301="Atlanta",+NFL!T301,IF(+NFL!$H301="Atlanta",+NFL!T301,0))</f>
        <v>0</v>
      </c>
      <c r="U39" s="396" t="str">
        <f>IF(+NFL!$F301="Atlanta",+NFL!U301,IF(+NFL!$H301="Atlanta",+NFL!U301,0))</f>
        <v>L</v>
      </c>
      <c r="V39" s="397">
        <f>IF(+NFL!$F267="Atlanta",+NFL!#REF!,IF(+NFL!$H267="Atlanta",+NFL!#REF!,0))</f>
        <v>0</v>
      </c>
      <c r="W39" s="396">
        <f>IF(+NFL!$F267="Atlanta",+NFL!#REF!,IF(+NFL!$H267="Atlanta",+NFL!#REF!,0))</f>
        <v>0</v>
      </c>
      <c r="X39" s="397">
        <f>IF(+NFL!$F267="Atlanta",+NFL!#REF!,IF(+NFL!$H267="Atlanta",+NFL!#REF!,0))</f>
        <v>0</v>
      </c>
      <c r="Y39" s="396">
        <f>IF(+NFL!$F267="Atlanta",+NFL!#REF!,IF(+NFL!$H267="Atlanta",+NFL!#REF!,0))</f>
        <v>0</v>
      </c>
      <c r="Z39" s="397">
        <f>IF(+NFL!$F267="Atlanta",+NFL!#REF!,IF(+NFL!$H267="Atlanta",+NFL!#REF!,0))</f>
        <v>0</v>
      </c>
      <c r="AA39" s="396">
        <f>IF(+NFL!$F267="Atlanta",+NFL!#REF!,IF(+NFL!$H267="Atlanta",+NFL!#REF!,0))</f>
        <v>0</v>
      </c>
      <c r="AB39" s="87">
        <f>IF(+NFL!$F267="Atlanta",+NFL!#REF!,IF(+NFL!$H267="Atlanta",+NFL!#REF!,0))</f>
        <v>0</v>
      </c>
      <c r="AC39" s="120">
        <f>IF(+NFL!$F267="Atlanta",+NFL!#REF!,IF(+NFL!$H267="Atlanta",+NFL!#REF!,0))</f>
        <v>0</v>
      </c>
      <c r="AD39" s="353">
        <f>IF(+NFL!$F267="Atlanta",+NFL!#REF!,IF(+NFL!$H267="Atlanta",+NFL!#REF!,0))</f>
        <v>0</v>
      </c>
      <c r="AE39" s="379">
        <f>IF(+NFL!$F267="Atlanta",+NFL!#REF!,IF(+NFL!$H267="Atlanta",+NFL!#REF!,0))</f>
        <v>0</v>
      </c>
      <c r="AF39" s="353">
        <f>IF(+NFL!$F267="Atlanta",+NFL!#REF!,IF(+NFL!$H267="Atlanta",+NFL!#REF!,0))</f>
        <v>0</v>
      </c>
      <c r="AG39" s="379">
        <f>IF(+NFL!$F267="Atlanta",+NFL!#REF!,IF(+NFL!$H267="Atlanta",+NFL!#REF!,0))</f>
        <v>0</v>
      </c>
      <c r="AH39" s="353">
        <f>IF(+NFL!$F267="Atlanta",+NFL!#REF!,IF(+NFL!$H267="Atlanta",+NFL!#REF!,0))</f>
        <v>0</v>
      </c>
      <c r="AI39" s="379">
        <f>IF(+NFL!$F267="Atlanta",+NFL!#REF!,IF(+NFL!$H267="Atlanta",+NFL!#REF!,0))</f>
        <v>0</v>
      </c>
      <c r="AJ39" s="353">
        <f>IF(+NFL!$F267="Atlanta",+NFL!#REF!,IF(+NFL!$H267="Atlanta",+NFL!#REF!,0))</f>
        <v>0</v>
      </c>
      <c r="AK39" s="379">
        <f>IF(+NFL!$F267="Atlanta",+NFL!#REF!,IF(+NFL!$H267="Atlanta",+NFL!#REF!,0))</f>
        <v>0</v>
      </c>
      <c r="AL39" s="57">
        <f>IF(+NFL!$F267="Atlanta",+NFL!#REF!,IF(+NFL!$H267="Atlanta",+NFL!#REF!,0))</f>
        <v>0</v>
      </c>
      <c r="AM39" s="58">
        <f>IF(+NFL!$F267="Atlanta",+NFL!#REF!,IF(+NFL!$H267="Atlanta",+NFL!#REF!,0))</f>
        <v>0</v>
      </c>
      <c r="AN39" s="57">
        <f>IF(+NFL!$F267="Atlanta",+NFL!#REF!,IF(+NFL!$H267="Atlanta",+NFL!#REF!,0))</f>
        <v>0</v>
      </c>
      <c r="AO39" s="59">
        <f>IF(+NFL!$F267="Atlanta",+NFL!#REF!,IF(+NFL!$H267="Atlanta",+NFL!#REF!,0))</f>
        <v>0</v>
      </c>
      <c r="AP39" s="348">
        <f>IF(+NFL!$F267="Atlanta",+NFL!#REF!,IF(+NFL!$H267="Atlanta",+NFL!#REF!,0))</f>
        <v>0</v>
      </c>
      <c r="AQ39" s="48">
        <f>IF(+NFL!$F267="Atlanta",+NFL!#REF!,IF(+NFL!$H267="Atlanta",+NFL!#REF!,0))</f>
        <v>0</v>
      </c>
      <c r="AR39" s="57">
        <f>IF(+NFL!$F267="Atlanta",+NFL!#REF!,IF(+NFL!$H267="Atlanta",+NFL!#REF!,0))</f>
        <v>0</v>
      </c>
      <c r="AS39" s="64">
        <f>IF(+NFL!$F267="Atlanta",+NFL!#REF!,IF(+NFL!$H267="Atlanta",+NFL!#REF!,0))</f>
        <v>0</v>
      </c>
      <c r="AT39" s="64">
        <f>IF(+NFL!$F267="Atlanta",+NFL!#REF!,IF(+NFL!$H267="Atlanta",+NFL!#REF!,0))</f>
        <v>0</v>
      </c>
      <c r="AU39" s="57">
        <f>IF(+NFL!$F267="Atlanta",+NFL!#REF!,IF(+NFL!$H267="Atlanta",+NFL!#REF!,0))</f>
        <v>0</v>
      </c>
      <c r="AV39" s="64">
        <f>IF(+NFL!$F267="Atlanta",+NFL!#REF!,IF(+NFL!$H267="Atlanta",+NFL!#REF!,0))</f>
        <v>0</v>
      </c>
      <c r="AW39" s="46">
        <f>IF(+NFL!$F267="Atlanta",+NFL!#REF!,IF(+NFL!$H267="Atlanta",+NFL!#REF!,0))</f>
        <v>0</v>
      </c>
      <c r="AX39" s="64">
        <f>IF(+NFL!$F267="Atlanta",+NFL!#REF!,IF(+NFL!$H267="Atlanta",+NFL!#REF!,0))</f>
        <v>0</v>
      </c>
      <c r="AY39" s="57">
        <f>IF(+NFL!$F267="Atlanta",+NFL!#REF!,IF(+NFL!$H267="Atlanta",+NFL!#REF!,0))</f>
        <v>0</v>
      </c>
      <c r="AZ39" s="64">
        <f>IF(+NFL!$F267="Atlanta",+NFL!#REF!,IF(+NFL!$H267="Atlanta",+NFL!#REF!,0))</f>
        <v>0</v>
      </c>
      <c r="BA39" s="46">
        <f>IF(+NFL!$F267="Atlanta",+NFL!#REF!,IF(+NFL!$H267="Atlanta",+NFL!#REF!,0))</f>
        <v>0</v>
      </c>
      <c r="BB39" s="46">
        <f>IF(+NFL!$F267="Atlanta",+NFL!#REF!,IF(+NFL!$H267="Atlanta",+NFL!#REF!,0))</f>
        <v>0</v>
      </c>
      <c r="BC39" s="403">
        <f>IF(+NFL!$F267="Atlanta",+NFL!#REF!,IF(+NFL!$H267="Atlanta",+NFL!#REF!,0))</f>
        <v>0</v>
      </c>
      <c r="BD39" s="57">
        <f>IF(+NFL!$F267="Atlanta",+NFL!#REF!,IF(+NFL!$H267="Atlanta",+NFL!#REF!,0))</f>
        <v>0</v>
      </c>
      <c r="BE39" s="64">
        <f>IF(+NFL!$F267="Atlanta",+NFL!#REF!,IF(+NFL!$H267="Atlanta",+NFL!#REF!,0))</f>
        <v>0</v>
      </c>
      <c r="BF39" s="64">
        <f>IF(+NFL!$F267="Atlanta",+NFL!#REF!,IF(+NFL!$H267="Atlanta",+NFL!#REF!,0))</f>
        <v>0</v>
      </c>
      <c r="BG39" s="57">
        <f>IF(+NFL!$F267="Atlanta",+NFL!#REF!,IF(+NFL!$H267="Atlanta",+NFL!#REF!,0))</f>
        <v>0</v>
      </c>
      <c r="BH39" s="64">
        <f>IF(+NFL!$F267="Atlanta",+NFL!#REF!,IF(+NFL!$H267="Atlanta",+NFL!#REF!,0))</f>
        <v>0</v>
      </c>
      <c r="BI39" s="46">
        <f>IF(+NFL!$F267="Atlanta",+NFL!#REF!,IF(+NFL!$H267="Atlanta",+NFL!#REF!,0))</f>
        <v>0</v>
      </c>
      <c r="BJ39" s="87">
        <f>IF(+NFL!$F267="Atlanta",+NFL!#REF!,IF(+NFL!$H267="Atlanta",+NFL!#REF!,0))</f>
        <v>0</v>
      </c>
      <c r="BK39" s="120">
        <f>IF(+NFL!$F267="Atlanta",+NFL!#REF!,IF(+NFL!$H267="Atlanta",+NFL!#REF!,0))</f>
        <v>0</v>
      </c>
    </row>
    <row r="40" spans="1:63" x14ac:dyDescent="0.8">
      <c r="A40" s="46">
        <f>IF(+NFL!$F316="Atlanta",+NFL!A316,IF(+NFL!$H316="Atlanta",+NFL!A316,0))</f>
        <v>0</v>
      </c>
      <c r="B40" s="46">
        <f>IF(+NFL!$F316="Atlanta",+NFL!B316,IF(+NFL!$H316="Atlanta",+NFL!B316,0))</f>
        <v>0</v>
      </c>
      <c r="C40" s="62">
        <f>IF(+NFL!$F316="Atlanta",+NFL!C316,IF(+NFL!$H316="Atlanta",+NFL!C316,0))</f>
        <v>0</v>
      </c>
      <c r="D40" s="490">
        <f>IF(+NFL!$F316="Atlanta",+NFL!D316,IF(+NFL!$H316="Atlanta",+NFL!D316,0))</f>
        <v>0</v>
      </c>
      <c r="E40" s="46">
        <f>IF(+NFL!$F316="Atlanta",+NFL!E316,IF(+NFL!$H316="Atlanta",+NFL!E316,0))</f>
        <v>0</v>
      </c>
      <c r="F40" s="127">
        <f>IF(+NFL!$F316="Atlanta",+NFL!F316,IF(+NFL!$H316="Atlanta",+NFL!F316,0))</f>
        <v>0</v>
      </c>
      <c r="G40" s="46">
        <f>IF(+NFL!$F316="Atlanta",+NFL!G316,IF(+NFL!$H316="Atlanta",+NFL!G316,0))</f>
        <v>0</v>
      </c>
      <c r="H40" s="127">
        <f>IF(+NFL!$F316="Atlanta",+NFL!H316,IF(+NFL!$H316="Atlanta",+NFL!H316,0))</f>
        <v>0</v>
      </c>
      <c r="I40" s="46">
        <f>IF(+NFL!$F316="Atlanta",+NFL!I316,IF(+NFL!$H316="Atlanta",+NFL!I316,0))</f>
        <v>0</v>
      </c>
      <c r="J40" s="353">
        <f>IF(+NFL!$F316="Atlanta",+NFL!J316,IF(+NFL!$H316="Atlanta",+NFL!J316,0))</f>
        <v>0</v>
      </c>
      <c r="K40" s="494">
        <f>IF(+NFL!$F316="Atlanta",+NFL!K316,IF(+NFL!$H316="Atlanta",+NFL!K316,0))</f>
        <v>0</v>
      </c>
      <c r="L40" s="384">
        <f>IF(+NFL!$F316="Atlanta",+NFL!L316,IF(+NFL!$H316="Atlanta",+NFL!L316,0))</f>
        <v>0</v>
      </c>
      <c r="M40" s="385">
        <f>IF(+NFL!$F316="Atlanta",+NFL!M316,IF(+NFL!$H316="Atlanta",+NFL!M316,0))</f>
        <v>0</v>
      </c>
      <c r="N40" s="394">
        <f>IF(+NFL!$F316="Atlanta",+NFL!N316,IF(+NFL!$H316="Atlanta",+NFL!N316,0))</f>
        <v>0</v>
      </c>
      <c r="O40" s="395">
        <f>IF(+NFL!$F316="Atlanta",+NFL!O316,IF(+NFL!$H316="Atlanta",+NFL!O316,0))</f>
        <v>0</v>
      </c>
      <c r="P40" s="394">
        <f>IF(+NFL!$F316="Atlanta",+NFL!P316,IF(+NFL!$H316="Atlanta",+NFL!P316,0))</f>
        <v>0</v>
      </c>
      <c r="Q40" s="396">
        <f>IF(+NFL!$F316="Atlanta",+NFL!Q316,IF(+NFL!$H316="Atlanta",+NFL!Q316,0))</f>
        <v>0</v>
      </c>
      <c r="R40" s="397">
        <f>IF(+NFL!$F316="Atlanta",+NFL!R316,IF(+NFL!$H316="Atlanta",+NFL!R316,0))</f>
        <v>0</v>
      </c>
      <c r="S40" s="396">
        <f>IF(+NFL!$F316="Atlanta",+NFL!S316,IF(+NFL!$H316="Atlanta",+NFL!S316,0))</f>
        <v>0</v>
      </c>
      <c r="T40" s="397">
        <f>IF(+NFL!$F316="Atlanta",+NFL!T316,IF(+NFL!$H316="Atlanta",+NFL!T316,0))</f>
        <v>0</v>
      </c>
      <c r="U40" s="396">
        <f>IF(+NFL!$F316="Atlanta",+NFL!U316,IF(+NFL!$H316="Atlanta",+NFL!U316,0))</f>
        <v>0</v>
      </c>
      <c r="V40" s="397">
        <f>IF(+NFL!$F284="Atlanta",+NFL!#REF!,IF(+NFL!$H284="Atlanta",+NFL!#REF!,0))</f>
        <v>0</v>
      </c>
      <c r="W40" s="396">
        <f>IF(+NFL!$F284="Atlanta",+NFL!#REF!,IF(+NFL!$H284="Atlanta",+NFL!#REF!,0))</f>
        <v>0</v>
      </c>
      <c r="X40" s="397">
        <f>IF(+NFL!$F284="Atlanta",+NFL!#REF!,IF(+NFL!$H284="Atlanta",+NFL!#REF!,0))</f>
        <v>0</v>
      </c>
      <c r="Y40" s="396">
        <f>IF(+NFL!$F284="Atlanta",+NFL!#REF!,IF(+NFL!$H284="Atlanta",+NFL!#REF!,0))</f>
        <v>0</v>
      </c>
      <c r="Z40" s="397">
        <f>IF(+NFL!$F284="Atlanta",+NFL!#REF!,IF(+NFL!$H284="Atlanta",+NFL!#REF!,0))</f>
        <v>0</v>
      </c>
      <c r="AA40" s="396">
        <f>IF(+NFL!$F284="Atlanta",+NFL!#REF!,IF(+NFL!$H284="Atlanta",+NFL!#REF!,0))</f>
        <v>0</v>
      </c>
      <c r="AB40" s="87">
        <f>IF(+NFL!$F284="Atlanta",+NFL!#REF!,IF(+NFL!$H284="Atlanta",+NFL!#REF!,0))</f>
        <v>0</v>
      </c>
      <c r="AC40" s="120">
        <f>IF(+NFL!$F284="Atlanta",+NFL!#REF!,IF(+NFL!$H284="Atlanta",+NFL!#REF!,0))</f>
        <v>0</v>
      </c>
      <c r="AD40" s="353">
        <f>IF(+NFL!$F284="Atlanta",+NFL!#REF!,IF(+NFL!$H284="Atlanta",+NFL!#REF!,0))</f>
        <v>0</v>
      </c>
      <c r="AE40" s="379">
        <f>IF(+NFL!$F284="Atlanta",+NFL!#REF!,IF(+NFL!$H284="Atlanta",+NFL!#REF!,0))</f>
        <v>0</v>
      </c>
      <c r="AF40" s="353">
        <f>IF(+NFL!$F284="Atlanta",+NFL!#REF!,IF(+NFL!$H284="Atlanta",+NFL!#REF!,0))</f>
        <v>0</v>
      </c>
      <c r="AG40" s="379">
        <f>IF(+NFL!$F284="Atlanta",+NFL!#REF!,IF(+NFL!$H284="Atlanta",+NFL!#REF!,0))</f>
        <v>0</v>
      </c>
      <c r="AH40" s="353">
        <f>IF(+NFL!$F284="Atlanta",+NFL!#REF!,IF(+NFL!$H284="Atlanta",+NFL!#REF!,0))</f>
        <v>0</v>
      </c>
      <c r="AI40" s="379">
        <f>IF(+NFL!$F284="Atlanta",+NFL!#REF!,IF(+NFL!$H284="Atlanta",+NFL!#REF!,0))</f>
        <v>0</v>
      </c>
      <c r="AJ40" s="353">
        <f>IF(+NFL!$F284="Atlanta",+NFL!#REF!,IF(+NFL!$H284="Atlanta",+NFL!#REF!,0))</f>
        <v>0</v>
      </c>
      <c r="AK40" s="379">
        <f>IF(+NFL!$F284="Atlanta",+NFL!#REF!,IF(+NFL!$H284="Atlanta",+NFL!#REF!,0))</f>
        <v>0</v>
      </c>
      <c r="AL40" s="57">
        <f>IF(+NFL!$F284="Atlanta",+NFL!#REF!,IF(+NFL!$H284="Atlanta",+NFL!#REF!,0))</f>
        <v>0</v>
      </c>
      <c r="AM40" s="58">
        <f>IF(+NFL!$F284="Atlanta",+NFL!#REF!,IF(+NFL!$H284="Atlanta",+NFL!#REF!,0))</f>
        <v>0</v>
      </c>
      <c r="AN40" s="57">
        <f>IF(+NFL!$F284="Atlanta",+NFL!#REF!,IF(+NFL!$H284="Atlanta",+NFL!#REF!,0))</f>
        <v>0</v>
      </c>
      <c r="AO40" s="59">
        <f>IF(+NFL!$F284="Atlanta",+NFL!#REF!,IF(+NFL!$H284="Atlanta",+NFL!#REF!,0))</f>
        <v>0</v>
      </c>
      <c r="AP40" s="348">
        <f>IF(+NFL!$F284="Atlanta",+NFL!#REF!,IF(+NFL!$H284="Atlanta",+NFL!#REF!,0))</f>
        <v>0</v>
      </c>
      <c r="AQ40" s="48">
        <f>IF(+NFL!$F284="Atlanta",+NFL!#REF!,IF(+NFL!$H284="Atlanta",+NFL!#REF!,0))</f>
        <v>0</v>
      </c>
      <c r="AR40" s="57">
        <f>IF(+NFL!$F284="Atlanta",+NFL!#REF!,IF(+NFL!$H284="Atlanta",+NFL!#REF!,0))</f>
        <v>0</v>
      </c>
      <c r="AS40" s="64">
        <f>IF(+NFL!$F284="Atlanta",+NFL!#REF!,IF(+NFL!$H284="Atlanta",+NFL!#REF!,0))</f>
        <v>0</v>
      </c>
      <c r="AT40" s="64">
        <f>IF(+NFL!$F284="Atlanta",+NFL!#REF!,IF(+NFL!$H284="Atlanta",+NFL!#REF!,0))</f>
        <v>0</v>
      </c>
      <c r="AU40" s="57">
        <f>IF(+NFL!$F284="Atlanta",+NFL!#REF!,IF(+NFL!$H284="Atlanta",+NFL!#REF!,0))</f>
        <v>0</v>
      </c>
      <c r="AV40" s="64">
        <f>IF(+NFL!$F284="Atlanta",+NFL!#REF!,IF(+NFL!$H284="Atlanta",+NFL!#REF!,0))</f>
        <v>0</v>
      </c>
      <c r="AW40" s="46">
        <f>IF(+NFL!$F284="Atlanta",+NFL!#REF!,IF(+NFL!$H284="Atlanta",+NFL!#REF!,0))</f>
        <v>0</v>
      </c>
      <c r="AX40" s="64">
        <f>IF(+NFL!$F284="Atlanta",+NFL!#REF!,IF(+NFL!$H284="Atlanta",+NFL!#REF!,0))</f>
        <v>0</v>
      </c>
      <c r="AY40" s="57">
        <f>IF(+NFL!$F284="Atlanta",+NFL!#REF!,IF(+NFL!$H284="Atlanta",+NFL!#REF!,0))</f>
        <v>0</v>
      </c>
      <c r="AZ40" s="64">
        <f>IF(+NFL!$F284="Atlanta",+NFL!#REF!,IF(+NFL!$H284="Atlanta",+NFL!#REF!,0))</f>
        <v>0</v>
      </c>
      <c r="BA40" s="46">
        <f>IF(+NFL!$F284="Atlanta",+NFL!#REF!,IF(+NFL!$H284="Atlanta",+NFL!#REF!,0))</f>
        <v>0</v>
      </c>
      <c r="BB40" s="46">
        <f>IF(+NFL!$F284="Atlanta",+NFL!#REF!,IF(+NFL!$H284="Atlanta",+NFL!#REF!,0))</f>
        <v>0</v>
      </c>
      <c r="BC40" s="403">
        <f>IF(+NFL!$F284="Atlanta",+NFL!#REF!,IF(+NFL!$H284="Atlanta",+NFL!#REF!,0))</f>
        <v>0</v>
      </c>
      <c r="BD40" s="57">
        <f>IF(+NFL!$F284="Atlanta",+NFL!#REF!,IF(+NFL!$H284="Atlanta",+NFL!#REF!,0))</f>
        <v>0</v>
      </c>
      <c r="BE40" s="64">
        <f>IF(+NFL!$F284="Atlanta",+NFL!#REF!,IF(+NFL!$H284="Atlanta",+NFL!#REF!,0))</f>
        <v>0</v>
      </c>
      <c r="BF40" s="64">
        <f>IF(+NFL!$F284="Atlanta",+NFL!#REF!,IF(+NFL!$H284="Atlanta",+NFL!#REF!,0))</f>
        <v>0</v>
      </c>
      <c r="BG40" s="57">
        <f>IF(+NFL!$F284="Atlanta",+NFL!#REF!,IF(+NFL!$H284="Atlanta",+NFL!#REF!,0))</f>
        <v>0</v>
      </c>
      <c r="BH40" s="64">
        <f>IF(+NFL!$F284="Atlanta",+NFL!#REF!,IF(+NFL!$H284="Atlanta",+NFL!#REF!,0))</f>
        <v>0</v>
      </c>
      <c r="BI40" s="46">
        <f>IF(+NFL!$F284="Atlanta",+NFL!#REF!,IF(+NFL!$H284="Atlanta",+NFL!#REF!,0))</f>
        <v>0</v>
      </c>
      <c r="BJ40" s="87">
        <f>IF(+NFL!$F284="Atlanta",+NFL!#REF!,IF(+NFL!$H284="Atlanta",+NFL!#REF!,0))</f>
        <v>0</v>
      </c>
      <c r="BK40" s="120">
        <f>IF(+NFL!$F284="Atlanta",+NFL!#REF!,IF(+NFL!$H284="Atlanta",+NFL!#REF!,0))</f>
        <v>0</v>
      </c>
    </row>
    <row r="41" spans="1:63" x14ac:dyDescent="0.8">
      <c r="B41" s="46"/>
      <c r="C41" s="62"/>
      <c r="F41" s="959" t="str">
        <f>F42</f>
        <v>Baltimore</v>
      </c>
      <c r="G41" s="960"/>
      <c r="H41" s="960"/>
      <c r="I41" s="961"/>
      <c r="L41" s="384"/>
      <c r="M41" s="385"/>
      <c r="N41" s="394"/>
      <c r="P41" s="394"/>
      <c r="R41" s="397"/>
      <c r="S41" s="396"/>
      <c r="T41" s="398"/>
      <c r="AP41" s="348"/>
      <c r="AQ41" s="348"/>
      <c r="AY41" s="57"/>
      <c r="AZ41" s="64"/>
      <c r="BA41" s="46"/>
      <c r="BB41" s="46"/>
      <c r="BC41" s="348"/>
    </row>
    <row r="42" spans="1:63" x14ac:dyDescent="0.8">
      <c r="A42" s="46" cm="1">
        <f t="array" ref="A42">IF(+NFL!$F10="Baltimore",+NFL!A10,IF(+NFL!$H10="Baltimore",+NFL!A10\,0))</f>
        <v>1</v>
      </c>
      <c r="B42" s="46" t="str" cm="1">
        <f t="array" ref="B42">IF(+NFL!$F10="Baltimore",+NFL!B10,IF(+NFL!$H10="Baltimore",+NFL!A10\,0))</f>
        <v>Sun</v>
      </c>
      <c r="C42" s="62" cm="1">
        <f t="array" ref="C42">IF(+NFL!$F10="Baltimore",+NFL!C10,IF(+NFL!$H10="Baltimore",+NFL!A10\,0))</f>
        <v>44815</v>
      </c>
      <c r="D42" s="490" cm="1">
        <f t="array" ref="D42">IF(+NFL!$F10="Baltimore",+NFL!D10,IF(+NFL!$H10="Baltimore",+NFL!A10\,0))</f>
        <v>0.54166666666666663</v>
      </c>
      <c r="E42" s="46" t="str" cm="1">
        <f t="array" ref="E42">IF(+NFL!$F10="Baltimore",+NFL!E10,IF(+NFL!$H10="Baltimore",+NFL!A10\,0))</f>
        <v>CBS</v>
      </c>
      <c r="F42" s="127" t="str" cm="1">
        <f t="array" ref="F42">IF(+NFL!$F10="Baltimore",+NFL!F10,IF(+NFL!$H10="Baltimore",+NFL!A10\,0))</f>
        <v>Baltimore</v>
      </c>
      <c r="G42" s="46" t="str" cm="1">
        <f t="array" ref="G42">IF(+NFL!$F10="Baltimore",+NFL!G10,IF(+NFL!$H10="Baltimore",+NFL!A10\,0))</f>
        <v>AFCN</v>
      </c>
      <c r="H42" s="127" t="str" cm="1">
        <f t="array" ref="H42">IF(+NFL!$F10="Baltimore",+NFL!H10,IF(+NFL!$H10="Baltimore",+NFL!A10\,0))</f>
        <v>NY Jets</v>
      </c>
      <c r="I42" s="46" t="str" cm="1">
        <f t="array" ref="I42">IF(+NFL!$F10="Baltimore",+NFL!I10,IF(+NFL!$H10="Baltimore",+NFL!A10\,0))</f>
        <v>AFCE</v>
      </c>
      <c r="J42" s="353" t="str" cm="1">
        <f t="array" ref="J42">IF(+NFL!$F10="Baltimore",+NFL!J10,IF(+NFL!$H10="Baltimore",+NFL!A10\,0))</f>
        <v>Baltimore</v>
      </c>
      <c r="K42" s="494" t="str" cm="1">
        <f t="array" ref="K42">IF(+NFL!$F10="Baltimore",+NFL!K10,IF(+NFL!$H10="Baltimore",+NFL!A10\,0))</f>
        <v>NY Jets</v>
      </c>
      <c r="L42" s="384" cm="1">
        <f t="array" ref="L42">IF(+NFL!$F10="Baltimore",+NFL!L10,IF(+NFL!$H10="Baltimore",+NFL!A10\,0))</f>
        <v>7</v>
      </c>
      <c r="M42" s="385" cm="1">
        <f t="array" ref="M42">IF(+NFL!$F10="Baltimore",+NFL!M10,IF(+NFL!$H10="Baltimore",+NFL!A10\,0))</f>
        <v>44.5</v>
      </c>
      <c r="N42" s="394" t="str" cm="1">
        <f t="array" ref="N42">IF(+NFL!$F10="Baltimore",+NFL!N10,IF(+NFL!$H10="Baltimore",+NFL!A10\,0))</f>
        <v>Baltimore</v>
      </c>
      <c r="O42" s="395" cm="1">
        <f t="array" ref="O42">IF(+NFL!$F10="Baltimore",+NFL!O10,IF(+NFL!$H10="Baltimore",+NFL!A10\,0))</f>
        <v>24</v>
      </c>
      <c r="P42" s="394" t="str" cm="1">
        <f t="array" ref="P42">IF(+NFL!$F10="Baltimore",+NFL!P10,IF(+NFL!$H10="Baltimore",+NFL!A10\,0))</f>
        <v>NY Jets</v>
      </c>
      <c r="Q42" s="396" cm="1">
        <f t="array" ref="Q42">IF(+NFL!$F10="Baltimore",+NFL!Q10,IF(+NFL!$H10="Baltimore",+NFL!A10\,0))</f>
        <v>9</v>
      </c>
      <c r="R42" s="397" t="str" cm="1">
        <f t="array" ref="R42">IF(+NFL!$F10="Baltimore",+NFL!R10,IF(+NFL!$H10="Baltimore",+NFL!A10\,0))</f>
        <v>Baltimore</v>
      </c>
      <c r="S42" s="396" t="str" cm="1">
        <f t="array" ref="S42">IF(+NFL!$F10="Baltimore",+NFL!S10,IF(+NFL!$H10="Baltimore",+NFL!A10\,0))</f>
        <v>NY Jets</v>
      </c>
      <c r="T42" s="397" t="str" cm="1">
        <f t="array" ref="T42">IF(+NFL!$F10="Baltimore",+NFL!T10,IF(+NFL!$H10="Baltimore",+NFL!A10\,0))</f>
        <v>Baltimore</v>
      </c>
      <c r="U42" s="396" t="str" cm="1">
        <f t="array" ref="U42">IF(+NFL!$F10="Baltimore",+NFL!U10,IF(+NFL!$H10="Baltimore",+NFL!A10\,0))</f>
        <v>W</v>
      </c>
      <c r="AP42" s="348"/>
      <c r="AQ42" s="348"/>
      <c r="AS42" s="493"/>
      <c r="AT42" s="493"/>
      <c r="AV42" s="493"/>
      <c r="AX42" s="493"/>
      <c r="AY42" s="57"/>
      <c r="AZ42" s="493"/>
      <c r="BA42" s="46"/>
      <c r="BB42" s="46"/>
      <c r="BC42" s="348"/>
      <c r="BE42" s="493"/>
      <c r="BF42" s="493"/>
      <c r="BH42" s="493"/>
    </row>
    <row r="43" spans="1:63" x14ac:dyDescent="0.8">
      <c r="A43" s="46">
        <f>IF(+NFL!$F28="Baltimore",+NFL!A28,IF(+NFL!$H28="Baltimore",+NFL!A28,0))</f>
        <v>2</v>
      </c>
      <c r="B43" s="46" t="str">
        <f>IF(+NFL!$F28="Baltimore",+NFL!B28,IF(+NFL!$H28="Baltimore",+NFL!B28,0))</f>
        <v>Sun</v>
      </c>
      <c r="C43" s="62">
        <f>IF(+NFL!$F28="Baltimore",+NFL!C28,IF(+NFL!$H28="Baltimore",+NFL!C28,0))</f>
        <v>44822</v>
      </c>
      <c r="D43" s="490">
        <f>IF(+NFL!$F28="Baltimore",+NFL!D28,IF(+NFL!$H28="Baltimore",+NFL!D28,0))</f>
        <v>0.54166666666666663</v>
      </c>
      <c r="E43" s="46" t="str">
        <f>IF(+NFL!$F28="Baltimore",+NFL!E28,IF(+NFL!$H28="Baltimore",+NFL!E28,0))</f>
        <v>CBS</v>
      </c>
      <c r="F43" s="127" t="str">
        <f>IF(+NFL!$F28="Baltimore",+NFL!F28,IF(+NFL!$H28="Baltimore",+NFL!F28,0))</f>
        <v>Miami</v>
      </c>
      <c r="G43" s="46" t="str">
        <f>IF(+NFL!$F28="Baltimore",+NFL!G28,IF(+NFL!$H28="Baltimore",+NFL!G28,0))</f>
        <v>AFCE</v>
      </c>
      <c r="H43" s="127" t="str">
        <f>IF(+NFL!$F28="Baltimore",+NFL!H28,IF(+NFL!$H28="Baltimore",+NFL!H28,0))</f>
        <v>Baltimore</v>
      </c>
      <c r="I43" s="46" t="str">
        <f>IF(+NFL!$F28="Baltimore",+NFL!I28,IF(+NFL!$H28="Baltimore",+NFL!I28,0))</f>
        <v>AFCN</v>
      </c>
      <c r="J43" s="353" t="str">
        <f>IF(+NFL!$F28="Baltimore",+NFL!J28,IF(+NFL!$H28="Baltimore",+NFL!J28,0))</f>
        <v>Baltimore</v>
      </c>
      <c r="K43" s="494" t="str">
        <f>IF(+NFL!$F28="Baltimore",+NFL!K28,IF(+NFL!$H28="Baltimore",+NFL!K28,0))</f>
        <v>Miami</v>
      </c>
      <c r="L43" s="384">
        <f>IF(+NFL!$F28="Baltimore",+NFL!L28,IF(+NFL!$H28="Baltimore",+NFL!L28,0))</f>
        <v>3.5</v>
      </c>
      <c r="M43" s="385">
        <f>IF(+NFL!$F28="Baltimore",+NFL!M28,IF(+NFL!$H28="Baltimore",+NFL!M28,0))</f>
        <v>44.5</v>
      </c>
      <c r="N43" s="394" t="str">
        <f>IF(+NFL!$F28="Baltimore",+NFL!N28,IF(+NFL!$H28="Baltimore",+NFL!N28,0))</f>
        <v>Miami</v>
      </c>
      <c r="O43" s="395">
        <f>IF(+NFL!$F28="Baltimore",+NFL!O28,IF(+NFL!$H28="Baltimore",+NFL!O28,0))</f>
        <v>42</v>
      </c>
      <c r="P43" s="394" t="str">
        <f>IF(+NFL!$F28="Baltimore",+NFL!P28,IF(+NFL!$H28="Baltimore",+NFL!P28,0))</f>
        <v>Baltimore</v>
      </c>
      <c r="Q43" s="396">
        <f>IF(+NFL!$F28="Baltimore",+NFL!Q28,IF(+NFL!$H28="Baltimore",+NFL!Q28,0))</f>
        <v>38</v>
      </c>
      <c r="R43" s="397" t="str">
        <f>IF(+NFL!$F28="Baltimore",+NFL!R28,IF(+NFL!$H28="Baltimore",+NFL!R28,0))</f>
        <v>Miami</v>
      </c>
      <c r="S43" s="396" t="str">
        <f>IF(+NFL!$F28="Baltimore",+NFL!S28,IF(+NFL!$H28="Baltimore",+NFL!S28,0))</f>
        <v>Baltimore</v>
      </c>
      <c r="T43" s="397" t="str">
        <f>IF(+NFL!$F28="Baltimore",+NFL!T28,IF(+NFL!$H28="Baltimore",+NFL!T28,0))</f>
        <v>Miami</v>
      </c>
      <c r="U43" s="396" t="str">
        <f>IF(+NFL!$F28="Baltimore",+NFL!U28,IF(+NFL!$H28="Baltimore",+NFL!U28,0))</f>
        <v>W</v>
      </c>
      <c r="AP43" s="348"/>
      <c r="AQ43" s="348"/>
      <c r="AS43" s="493"/>
      <c r="AT43" s="493"/>
      <c r="AV43" s="493"/>
      <c r="AX43" s="493"/>
      <c r="AY43" s="57"/>
      <c r="AZ43" s="493"/>
      <c r="BA43" s="46"/>
      <c r="BB43" s="46"/>
      <c r="BC43" s="348"/>
      <c r="BE43" s="493"/>
      <c r="BF43" s="493"/>
      <c r="BH43" s="493"/>
    </row>
    <row r="44" spans="1:63" x14ac:dyDescent="0.8">
      <c r="A44" s="46">
        <f>IF(+NFL!$F44="Baltimore",+NFL!A44,IF(+NFL!$H44="Baltimore",+NFL!A44,0))</f>
        <v>3</v>
      </c>
      <c r="B44" s="46" t="str">
        <f>IF(+NFL!$F44="Baltimore",+NFL!B44,IF(+NFL!$H44="Baltimore",+NFL!B44,0))</f>
        <v>Sun</v>
      </c>
      <c r="C44" s="62">
        <f>IF(+NFL!$F44="Baltimore",+NFL!C44,IF(+NFL!$H44="Baltimore",+NFL!C44,0))</f>
        <v>44829</v>
      </c>
      <c r="D44" s="490">
        <f>IF(+NFL!$F44="Baltimore",+NFL!D44,IF(+NFL!$H44="Baltimore",+NFL!D44,0))</f>
        <v>0.54166666666666663</v>
      </c>
      <c r="E44" s="46" t="str">
        <f>IF(+NFL!$F44="Baltimore",+NFL!E44,IF(+NFL!$H44="Baltimore",+NFL!E44,0))</f>
        <v>CBS</v>
      </c>
      <c r="F44" s="127" t="str">
        <f>IF(+NFL!$F44="Baltimore",+NFL!F44,IF(+NFL!$H44="Baltimore",+NFL!F44,0))</f>
        <v>Baltimore</v>
      </c>
      <c r="G44" s="46" t="str">
        <f>IF(+NFL!$F44="Baltimore",+NFL!G44,IF(+NFL!$H44="Baltimore",+NFL!G44,0))</f>
        <v>AFCN</v>
      </c>
      <c r="H44" s="127" t="str">
        <f>IF(+NFL!$F44="Baltimore",+NFL!H44,IF(+NFL!$H44="Baltimore",+NFL!H44,0))</f>
        <v>New England</v>
      </c>
      <c r="I44" s="46" t="str">
        <f>IF(+NFL!$F44="Baltimore",+NFL!I44,IF(+NFL!$H44="Baltimore",+NFL!I44,0))</f>
        <v>AFCE</v>
      </c>
      <c r="J44" s="353" t="str">
        <f>IF(+NFL!$F44="Baltimore",+NFL!J44,IF(+NFL!$H44="Baltimore",+NFL!J44,0))</f>
        <v>Baltimore</v>
      </c>
      <c r="K44" s="494" t="str">
        <f>IF(+NFL!$F44="Baltimore",+NFL!K44,IF(+NFL!$H44="Baltimore",+NFL!K44,0))</f>
        <v>New England</v>
      </c>
      <c r="L44" s="384">
        <f>IF(+NFL!$F44="Baltimore",+NFL!L44,IF(+NFL!$H44="Baltimore",+NFL!L44,0))</f>
        <v>3</v>
      </c>
      <c r="M44" s="385">
        <f>IF(+NFL!$F44="Baltimore",+NFL!M44,IF(+NFL!$H44="Baltimore",+NFL!M44,0))</f>
        <v>43.5</v>
      </c>
      <c r="N44" s="394" t="str">
        <f>IF(+NFL!$F44="Baltimore",+NFL!N44,IF(+NFL!$H44="Baltimore",+NFL!N44,0))</f>
        <v>Baltimore</v>
      </c>
      <c r="O44" s="395">
        <f>IF(+NFL!$F44="Baltimore",+NFL!O44,IF(+NFL!$H44="Baltimore",+NFL!O44,0))</f>
        <v>37</v>
      </c>
      <c r="P44" s="394" t="str">
        <f>IF(+NFL!$F44="Baltimore",+NFL!P44,IF(+NFL!$H44="Baltimore",+NFL!P44,0))</f>
        <v>New England</v>
      </c>
      <c r="Q44" s="396">
        <f>IF(+NFL!$F44="Baltimore",+NFL!Q44,IF(+NFL!$H44="Baltimore",+NFL!Q44,0))</f>
        <v>26</v>
      </c>
      <c r="R44" s="397" t="str">
        <f>IF(+NFL!$F44="Baltimore",+NFL!R44,IF(+NFL!$H44="Baltimore",+NFL!R44,0))</f>
        <v>Baltimore</v>
      </c>
      <c r="S44" s="396" t="str">
        <f>IF(+NFL!$F44="Baltimore",+NFL!S44,IF(+NFL!$H44="Baltimore",+NFL!S44,0))</f>
        <v>New England</v>
      </c>
      <c r="T44" s="397" t="str">
        <f>IF(+NFL!$F44="Baltimore",+NFL!T44,IF(+NFL!$H44="Baltimore",+NFL!T44,0))</f>
        <v>Baltimore</v>
      </c>
      <c r="U44" s="396" t="str">
        <f>IF(+NFL!$F44="Baltimore",+NFL!U44,IF(+NFL!$H44="Baltimore",+NFL!U44,0))</f>
        <v>W</v>
      </c>
      <c r="AP44" s="348"/>
      <c r="AQ44" s="348"/>
      <c r="AS44" s="493"/>
      <c r="AT44" s="493"/>
      <c r="AV44" s="493"/>
      <c r="AX44" s="493"/>
      <c r="AY44" s="57"/>
      <c r="AZ44" s="493"/>
      <c r="BA44" s="46"/>
      <c r="BB44" s="46"/>
      <c r="BC44" s="348"/>
      <c r="BE44" s="493"/>
      <c r="BF44" s="493"/>
      <c r="BH44" s="493"/>
    </row>
    <row r="45" spans="1:63" x14ac:dyDescent="0.8">
      <c r="A45" s="46">
        <f>IF(+NFL!$F64="Baltimore",+NFL!A64,IF(+NFL!$H64="Baltimore",+NFL!A64,0))</f>
        <v>4</v>
      </c>
      <c r="B45" s="46" t="str">
        <f>IF(+NFL!$F64="Baltimore",+NFL!B64,IF(+NFL!$H64="Baltimore",+NFL!B64,0))</f>
        <v>Sun</v>
      </c>
      <c r="C45" s="62">
        <f>IF(+NFL!$F64="Baltimore",+NFL!C64,IF(+NFL!$H64="Baltimore",+NFL!C64,0))</f>
        <v>44836</v>
      </c>
      <c r="D45" s="490">
        <f>IF(+NFL!$F64="Baltimore",+NFL!D64,IF(+NFL!$H64="Baltimore",+NFL!D64,0))</f>
        <v>0.54166666666666663</v>
      </c>
      <c r="E45" s="46" t="str">
        <f>IF(+NFL!$F64="Baltimore",+NFL!E64,IF(+NFL!$H64="Baltimore",+NFL!E64,0))</f>
        <v>CBS</v>
      </c>
      <c r="F45" s="127" t="str">
        <f>IF(+NFL!$F64="Baltimore",+NFL!F64,IF(+NFL!$H64="Baltimore",+NFL!F64,0))</f>
        <v>Buffalo</v>
      </c>
      <c r="G45" s="46" t="str">
        <f>IF(+NFL!$F64="Baltimore",+NFL!G64,IF(+NFL!$H64="Baltimore",+NFL!G64,0))</f>
        <v>AFCE</v>
      </c>
      <c r="H45" s="127" t="str">
        <f>IF(+NFL!$F64="Baltimore",+NFL!H64,IF(+NFL!$H64="Baltimore",+NFL!H64,0))</f>
        <v>Baltimore</v>
      </c>
      <c r="I45" s="46" t="str">
        <f>IF(+NFL!$F64="Baltimore",+NFL!I64,IF(+NFL!$H64="Baltimore",+NFL!I64,0))</f>
        <v>AFCN</v>
      </c>
      <c r="J45" s="353" t="str">
        <f>IF(+NFL!$F64="Baltimore",+NFL!J64,IF(+NFL!$H64="Baltimore",+NFL!J64,0))</f>
        <v>Buffalo</v>
      </c>
      <c r="K45" s="494" t="str">
        <f>IF(+NFL!$F64="Baltimore",+NFL!K64,IF(+NFL!$H64="Baltimore",+NFL!K64,0))</f>
        <v>Baltimore</v>
      </c>
      <c r="L45" s="384">
        <f>IF(+NFL!$F64="Baltimore",+NFL!L64,IF(+NFL!$H64="Baltimore",+NFL!L64,0))</f>
        <v>3.5</v>
      </c>
      <c r="M45" s="385">
        <f>IF(+NFL!$F64="Baltimore",+NFL!M64,IF(+NFL!$H64="Baltimore",+NFL!M64,0))</f>
        <v>51.5</v>
      </c>
      <c r="N45" s="394" t="str">
        <f>IF(+NFL!$F64="Baltimore",+NFL!N64,IF(+NFL!$H64="Baltimore",+NFL!N64,0))</f>
        <v>Buffalo</v>
      </c>
      <c r="O45" s="395">
        <f>IF(+NFL!$F64="Baltimore",+NFL!O64,IF(+NFL!$H64="Baltimore",+NFL!O64,0))</f>
        <v>23</v>
      </c>
      <c r="P45" s="394" t="str">
        <f>IF(+NFL!$F64="Baltimore",+NFL!P64,IF(+NFL!$H64="Baltimore",+NFL!P64,0))</f>
        <v>Baltimore</v>
      </c>
      <c r="Q45" s="396">
        <f>IF(+NFL!$F64="Baltimore",+NFL!Q64,IF(+NFL!$H64="Baltimore",+NFL!Q64,0))</f>
        <v>20</v>
      </c>
      <c r="R45" s="397" t="str">
        <f>IF(+NFL!$F64="Baltimore",+NFL!R64,IF(+NFL!$H64="Baltimore",+NFL!R64,0))</f>
        <v>Baltimore</v>
      </c>
      <c r="S45" s="396" t="str">
        <f>IF(+NFL!$F64="Baltimore",+NFL!S64,IF(+NFL!$H64="Baltimore",+NFL!S64,0))</f>
        <v>Buffalo</v>
      </c>
      <c r="T45" s="397" t="str">
        <f>IF(+NFL!$F64="Baltimore",+NFL!T64,IF(+NFL!$H64="Baltimore",+NFL!T64,0))</f>
        <v>Buffalo</v>
      </c>
      <c r="U45" s="396" t="str">
        <f>IF(+NFL!$F64="Baltimore",+NFL!U64,IF(+NFL!$H64="Baltimore",+NFL!U64,0))</f>
        <v>L</v>
      </c>
      <c r="AP45" s="348"/>
      <c r="AQ45" s="348"/>
      <c r="AS45" s="493"/>
      <c r="AT45" s="493"/>
      <c r="AV45" s="493"/>
      <c r="AX45" s="493"/>
      <c r="AY45" s="57"/>
      <c r="AZ45" s="493"/>
      <c r="BA45" s="46"/>
      <c r="BB45" s="46"/>
      <c r="BC45" s="348"/>
      <c r="BE45" s="493"/>
      <c r="BF45" s="493"/>
      <c r="BH45" s="493"/>
    </row>
    <row r="46" spans="1:63" x14ac:dyDescent="0.8">
      <c r="A46" s="46">
        <f>IF(+NFL!$F86="Baltimore",+NFL!A86,IF(+NFL!$H86="Baltimore",+NFL!A86,0))</f>
        <v>5</v>
      </c>
      <c r="B46" s="46" t="str">
        <f>IF(+NFL!$F86="Baltimore",+NFL!B86,IF(+NFL!$H86="Baltimore",+NFL!B86,0))</f>
        <v>Sun</v>
      </c>
      <c r="C46" s="62">
        <f>IF(+NFL!$F86="Baltimore",+NFL!C86,IF(+NFL!$H86="Baltimore",+NFL!C86,0))</f>
        <v>44843</v>
      </c>
      <c r="D46" s="490">
        <f>IF(+NFL!$F86="Baltimore",+NFL!D86,IF(+NFL!$H86="Baltimore",+NFL!D86,0))</f>
        <v>0.84375</v>
      </c>
      <c r="E46" s="46" t="str">
        <f>IF(+NFL!$F86="Baltimore",+NFL!E86,IF(+NFL!$H86="Baltimore",+NFL!E86,0))</f>
        <v>NBC</v>
      </c>
      <c r="F46" s="127" t="str">
        <f>IF(+NFL!$F86="Baltimore",+NFL!F86,IF(+NFL!$H86="Baltimore",+NFL!F86,0))</f>
        <v>Cincinnati</v>
      </c>
      <c r="G46" s="46" t="str">
        <f>IF(+NFL!$F86="Baltimore",+NFL!G86,IF(+NFL!$H86="Baltimore",+NFL!G86,0))</f>
        <v>AFCN</v>
      </c>
      <c r="H46" s="127" t="str">
        <f>IF(+NFL!$F86="Baltimore",+NFL!H86,IF(+NFL!$H86="Baltimore",+NFL!H86,0))</f>
        <v>Baltimore</v>
      </c>
      <c r="I46" s="46" t="str">
        <f>IF(+NFL!$F86="Baltimore",+NFL!I86,IF(+NFL!$H86="Baltimore",+NFL!I86,0))</f>
        <v>AFCN</v>
      </c>
      <c r="J46" s="353" t="str">
        <f>IF(+NFL!$F86="Baltimore",+NFL!J86,IF(+NFL!$H86="Baltimore",+NFL!J86,0))</f>
        <v>Baltimore</v>
      </c>
      <c r="K46" s="494" t="str">
        <f>IF(+NFL!$F86="Baltimore",+NFL!K86,IF(+NFL!$H86="Baltimore",+NFL!K86,0))</f>
        <v>Cincinnati</v>
      </c>
      <c r="L46" s="384">
        <f>IF(+NFL!$F86="Baltimore",+NFL!L86,IF(+NFL!$H86="Baltimore",+NFL!L86,0))</f>
        <v>3</v>
      </c>
      <c r="M46" s="385">
        <f>IF(+NFL!$F86="Baltimore",+NFL!M86,IF(+NFL!$H86="Baltimore",+NFL!M86,0))</f>
        <v>48.5</v>
      </c>
      <c r="N46" s="394" t="str">
        <f>IF(+NFL!$F86="Baltimore",+NFL!N86,IF(+NFL!$H86="Baltimore",+NFL!N86,0))</f>
        <v>Baltimore</v>
      </c>
      <c r="O46" s="395">
        <f>IF(+NFL!$F86="Baltimore",+NFL!O86,IF(+NFL!$H86="Baltimore",+NFL!O86,0))</f>
        <v>19</v>
      </c>
      <c r="P46" s="394" t="str">
        <f>IF(+NFL!$F86="Baltimore",+NFL!P86,IF(+NFL!$H86="Baltimore",+NFL!P86,0))</f>
        <v>Cincinnati</v>
      </c>
      <c r="Q46" s="396">
        <f>IF(+NFL!$F86="Baltimore",+NFL!Q86,IF(+NFL!$H86="Baltimore",+NFL!Q86,0))</f>
        <v>17</v>
      </c>
      <c r="R46" s="397" t="str">
        <f>IF(+NFL!$F86="Baltimore",+NFL!R86,IF(+NFL!$H86="Baltimore",+NFL!R86,0))</f>
        <v>Cincinnati</v>
      </c>
      <c r="S46" s="396" t="str">
        <f>IF(+NFL!$F86="Baltimore",+NFL!S86,IF(+NFL!$H86="Baltimore",+NFL!S86,0))</f>
        <v>Baltimore</v>
      </c>
      <c r="T46" s="397" t="str">
        <f>IF(+NFL!$F86="Baltimore",+NFL!T86,IF(+NFL!$H86="Baltimore",+NFL!T86,0))</f>
        <v>Cincinnati</v>
      </c>
      <c r="U46" s="396" t="str">
        <f>IF(+NFL!$F86="Baltimore",+NFL!U86,IF(+NFL!$H86="Baltimore",+NFL!U86,0))</f>
        <v>W</v>
      </c>
      <c r="AP46" s="348"/>
      <c r="AQ46" s="48"/>
      <c r="AY46" s="57"/>
      <c r="AZ46" s="64"/>
      <c r="BA46" s="46"/>
      <c r="BB46" s="46"/>
      <c r="BC46" s="403"/>
    </row>
    <row r="47" spans="1:63" x14ac:dyDescent="0.8">
      <c r="A47" s="46">
        <f>IF(+NFL!$F96="Baltimore",+NFL!A96,IF(+NFL!$H96="Baltimore",+NFL!A96,0))</f>
        <v>6</v>
      </c>
      <c r="B47" s="46" t="str">
        <f>IF(+NFL!$F96="Baltimore",+NFL!B96,IF(+NFL!$H96="Baltimore",+NFL!B96,0))</f>
        <v>Sun</v>
      </c>
      <c r="C47" s="62">
        <f>IF(+NFL!$F96="Baltimore",+NFL!C96,IF(+NFL!$H96="Baltimore",+NFL!C96,0))</f>
        <v>44850</v>
      </c>
      <c r="D47" s="490">
        <f>IF(+NFL!$F96="Baltimore",+NFL!D96,IF(+NFL!$H96="Baltimore",+NFL!D96,0))</f>
        <v>0.54166666666666663</v>
      </c>
      <c r="E47" s="46" t="str">
        <f>IF(+NFL!$F96="Baltimore",+NFL!E96,IF(+NFL!$H96="Baltimore",+NFL!E96,0))</f>
        <v>CBS</v>
      </c>
      <c r="F47" s="127" t="str">
        <f>IF(+NFL!$F96="Baltimore",+NFL!F96,IF(+NFL!$H96="Baltimore",+NFL!F96,0))</f>
        <v>Baltimore</v>
      </c>
      <c r="G47" s="46" t="str">
        <f>IF(+NFL!$F96="Baltimore",+NFL!G96,IF(+NFL!$H96="Baltimore",+NFL!G96,0))</f>
        <v>AFCN</v>
      </c>
      <c r="H47" s="127" t="str">
        <f>IF(+NFL!$F96="Baltimore",+NFL!H96,IF(+NFL!$H96="Baltimore",+NFL!H96,0))</f>
        <v>NY Giants</v>
      </c>
      <c r="I47" s="46" t="str">
        <f>IF(+NFL!$F96="Baltimore",+NFL!I96,IF(+NFL!$H96="Baltimore",+NFL!I96,0))</f>
        <v>NFCE</v>
      </c>
      <c r="J47" s="353" t="str">
        <f>IF(+NFL!$F96="Baltimore",+NFL!J96,IF(+NFL!$H96="Baltimore",+NFL!J96,0))</f>
        <v>Baltimore</v>
      </c>
      <c r="K47" s="494" t="str">
        <f>IF(+NFL!$F96="Baltimore",+NFL!K96,IF(+NFL!$H96="Baltimore",+NFL!K96,0))</f>
        <v>NY Giants</v>
      </c>
      <c r="L47" s="384">
        <f>IF(+NFL!$F96="Baltimore",+NFL!L96,IF(+NFL!$H96="Baltimore",+NFL!L96,0))</f>
        <v>6</v>
      </c>
      <c r="M47" s="385">
        <f>IF(+NFL!$F96="Baltimore",+NFL!M96,IF(+NFL!$H96="Baltimore",+NFL!M96,0))</f>
        <v>45</v>
      </c>
      <c r="N47" s="394" t="str">
        <f>IF(+NFL!$F96="Baltimore",+NFL!N96,IF(+NFL!$H96="Baltimore",+NFL!N96,0))</f>
        <v>NY Giants</v>
      </c>
      <c r="O47" s="395">
        <f>IF(+NFL!$F96="Baltimore",+NFL!O96,IF(+NFL!$H96="Baltimore",+NFL!O96,0))</f>
        <v>24</v>
      </c>
      <c r="P47" s="394" t="str">
        <f>IF(+NFL!$F96="Baltimore",+NFL!P96,IF(+NFL!$H96="Baltimore",+NFL!P96,0))</f>
        <v>Baltimore</v>
      </c>
      <c r="Q47" s="396">
        <f>IF(+NFL!$F96="Baltimore",+NFL!Q96,IF(+NFL!$H96="Baltimore",+NFL!Q96,0))</f>
        <v>20</v>
      </c>
      <c r="R47" s="397" t="str">
        <f>IF(+NFL!$F96="Baltimore",+NFL!R96,IF(+NFL!$H96="Baltimore",+NFL!R96,0))</f>
        <v>NY Giants</v>
      </c>
      <c r="S47" s="396" t="str">
        <f>IF(+NFL!$F96="Baltimore",+NFL!S96,IF(+NFL!$H96="Baltimore",+NFL!S96,0))</f>
        <v>Baltimore</v>
      </c>
      <c r="T47" s="397" t="str">
        <f>IF(+NFL!$F96="Baltimore",+NFL!T96,IF(+NFL!$H96="Baltimore",+NFL!T96,0))</f>
        <v>NY Giants</v>
      </c>
      <c r="U47" s="396" t="str">
        <f>IF(+NFL!$F96="Baltimore",+NFL!U96,IF(+NFL!$H96="Baltimore",+NFL!U96,0))</f>
        <v>W</v>
      </c>
      <c r="AP47" s="348"/>
      <c r="AQ47" s="48"/>
      <c r="AY47" s="57"/>
      <c r="AZ47" s="64"/>
      <c r="BA47" s="46"/>
      <c r="BB47" s="46"/>
      <c r="BC47" s="403"/>
    </row>
    <row r="48" spans="1:63" x14ac:dyDescent="0.8">
      <c r="A48" s="46">
        <f>IF(+NFL!$F116="Baltimore",+NFL!A116,IF(+NFL!$H116="Baltimore",+NFL!A116,0))</f>
        <v>7</v>
      </c>
      <c r="B48" s="46" t="str">
        <f>IF(+NFL!$F116="Baltimore",+NFL!B116,IF(+NFL!$H116="Baltimore",+NFL!B116,0))</f>
        <v>Sun</v>
      </c>
      <c r="C48" s="62">
        <f>IF(+NFL!$F116="Baltimore",+NFL!C116,IF(+NFL!$H116="Baltimore",+NFL!C116,0))</f>
        <v>44857</v>
      </c>
      <c r="D48" s="490">
        <f>IF(+NFL!$F116="Baltimore",+NFL!D116,IF(+NFL!$H116="Baltimore",+NFL!D116,0))</f>
        <v>0.54166666666666663</v>
      </c>
      <c r="E48" s="46" t="str">
        <f>IF(+NFL!$F116="Baltimore",+NFL!E116,IF(+NFL!$H116="Baltimore",+NFL!E116,0))</f>
        <v>CBS</v>
      </c>
      <c r="F48" s="127" t="str">
        <f>IF(+NFL!$F116="Baltimore",+NFL!F116,IF(+NFL!$H116="Baltimore",+NFL!F116,0))</f>
        <v>Cleveland</v>
      </c>
      <c r="G48" s="46" t="str">
        <f>IF(+NFL!$F116="Baltimore",+NFL!G116,IF(+NFL!$H116="Baltimore",+NFL!G116,0))</f>
        <v>AFCN</v>
      </c>
      <c r="H48" s="127" t="str">
        <f>IF(+NFL!$F116="Baltimore",+NFL!H116,IF(+NFL!$H116="Baltimore",+NFL!H116,0))</f>
        <v>Baltimore</v>
      </c>
      <c r="I48" s="46" t="str">
        <f>IF(+NFL!$F116="Baltimore",+NFL!I116,IF(+NFL!$H116="Baltimore",+NFL!I116,0))</f>
        <v>AFCN</v>
      </c>
      <c r="J48" s="353" t="str">
        <f>IF(+NFL!$F116="Baltimore",+NFL!J116,IF(+NFL!$H116="Baltimore",+NFL!J116,0))</f>
        <v>Baltimore</v>
      </c>
      <c r="K48" s="494" t="str">
        <f>IF(+NFL!$F116="Baltimore",+NFL!K116,IF(+NFL!$H116="Baltimore",+NFL!K116,0))</f>
        <v>Cleveland</v>
      </c>
      <c r="L48" s="384">
        <f>IF(+NFL!$F116="Baltimore",+NFL!L116,IF(+NFL!$H116="Baltimore",+NFL!L116,0))</f>
        <v>6.5</v>
      </c>
      <c r="M48" s="385">
        <f>IF(+NFL!$F116="Baltimore",+NFL!M116,IF(+NFL!$H116="Baltimore",+NFL!M116,0))</f>
        <v>45.5</v>
      </c>
      <c r="N48" s="394" t="str">
        <f>IF(+NFL!$F116="Baltimore",+NFL!N116,IF(+NFL!$H116="Baltimore",+NFL!N116,0))</f>
        <v>Baltimore</v>
      </c>
      <c r="O48" s="395">
        <f>IF(+NFL!$F116="Baltimore",+NFL!O116,IF(+NFL!$H116="Baltimore",+NFL!O116,0))</f>
        <v>23</v>
      </c>
      <c r="P48" s="394" t="str">
        <f>IF(+NFL!$F116="Baltimore",+NFL!P116,IF(+NFL!$H116="Baltimore",+NFL!P116,0))</f>
        <v>Cleveland</v>
      </c>
      <c r="Q48" s="396">
        <f>IF(+NFL!$F116="Baltimore",+NFL!Q116,IF(+NFL!$H116="Baltimore",+NFL!Q116,0))</f>
        <v>20</v>
      </c>
      <c r="R48" s="397" t="str">
        <f>IF(+NFL!$F116="Baltimore",+NFL!R116,IF(+NFL!$H116="Baltimore",+NFL!R116,0))</f>
        <v>Cleveland</v>
      </c>
      <c r="S48" s="396" t="str">
        <f>IF(+NFL!$F116="Baltimore",+NFL!S116,IF(+NFL!$H116="Baltimore",+NFL!S116,0))</f>
        <v>Baltimore</v>
      </c>
      <c r="T48" s="397" t="str">
        <f>IF(+NFL!$F116="Baltimore",+NFL!T116,IF(+NFL!$H116="Baltimore",+NFL!T116,0))</f>
        <v>Cleveland</v>
      </c>
      <c r="U48" s="396" t="str">
        <f>IF(+NFL!$F116="Baltimore",+NFL!U116,IF(+NFL!$H116="Baltimore",+NFL!U116,0))</f>
        <v>W</v>
      </c>
      <c r="V48" s="397">
        <f>IF(+NFL!$F36="Baltimore",+NFL!#REF!,IF(+NFL!$H36="Baltimore",+NFL!#REF!,0))</f>
        <v>0</v>
      </c>
      <c r="W48" s="396">
        <f>IF(+NFL!$F36="Baltimore",+NFL!#REF!,IF(+NFL!$H36="Baltimore",+NFL!#REF!,0))</f>
        <v>0</v>
      </c>
      <c r="X48" s="397">
        <f>IF(+NFL!$F36="Baltimore",+NFL!#REF!,IF(+NFL!$H36="Baltimore",+NFL!#REF!,0))</f>
        <v>0</v>
      </c>
      <c r="Y48" s="396">
        <f>IF(+NFL!$F36="Baltimore",+NFL!#REF!,IF(+NFL!$H36="Baltimore",+NFL!#REF!,0))</f>
        <v>0</v>
      </c>
      <c r="Z48" s="397">
        <f>IF(+NFL!$F36="Baltimore",+NFL!#REF!,IF(+NFL!$H36="Baltimore",+NFL!#REF!,0))</f>
        <v>0</v>
      </c>
      <c r="AA48" s="396">
        <f>IF(+NFL!$F36="Baltimore",+NFL!#REF!,IF(+NFL!$H36="Baltimore",+NFL!#REF!,0))</f>
        <v>0</v>
      </c>
      <c r="AB48" s="87">
        <f>IF(+NFL!$F36="Baltimore",+NFL!#REF!,IF(+NFL!$H36="Baltimore",+NFL!#REF!,0))</f>
        <v>0</v>
      </c>
      <c r="AC48" s="120">
        <f>IF(+NFL!$F36="Baltimore",+NFL!#REF!,IF(+NFL!$H36="Baltimore",+NFL!#REF!,0))</f>
        <v>0</v>
      </c>
      <c r="AD48" s="353">
        <f>IF(+NFL!$F36="Baltimore",+NFL!#REF!,IF(+NFL!$H36="Baltimore",+NFL!#REF!,0))</f>
        <v>0</v>
      </c>
      <c r="AE48" s="379">
        <f>IF(+NFL!$F36="Baltimore",+NFL!#REF!,IF(+NFL!$H36="Baltimore",+NFL!#REF!,0))</f>
        <v>0</v>
      </c>
      <c r="AF48" s="353">
        <f>IF(+NFL!$F36="Baltimore",+NFL!#REF!,IF(+NFL!$H36="Baltimore",+NFL!#REF!,0))</f>
        <v>0</v>
      </c>
      <c r="AG48" s="379">
        <f>IF(+NFL!$F36="Baltimore",+NFL!#REF!,IF(+NFL!$H36="Baltimore",+NFL!#REF!,0))</f>
        <v>0</v>
      </c>
      <c r="AH48" s="353">
        <f>IF(+NFL!$F36="Baltimore",+NFL!#REF!,IF(+NFL!$H36="Baltimore",+NFL!#REF!,0))</f>
        <v>0</v>
      </c>
      <c r="AI48" s="379">
        <f>IF(+NFL!$F36="Baltimore",+NFL!#REF!,IF(+NFL!$H36="Baltimore",+NFL!#REF!,0))</f>
        <v>0</v>
      </c>
      <c r="AJ48" s="353">
        <f>IF(+NFL!$F36="Baltimore",+NFL!#REF!,IF(+NFL!$H36="Baltimore",+NFL!#REF!,0))</f>
        <v>0</v>
      </c>
      <c r="AK48" s="379">
        <f>IF(+NFL!$F36="Baltimore",+NFL!#REF!,IF(+NFL!$H36="Baltimore",+NFL!#REF!,0))</f>
        <v>0</v>
      </c>
      <c r="AL48" s="57">
        <f>IF(+NFL!$F36="Baltimore",+NFL!#REF!,IF(+NFL!$H36="Baltimore",+NFL!#REF!,0))</f>
        <v>0</v>
      </c>
      <c r="AM48" s="58">
        <f>IF(+NFL!$F36="Baltimore",+NFL!#REF!,IF(+NFL!$H36="Baltimore",+NFL!#REF!,0))</f>
        <v>0</v>
      </c>
      <c r="AN48" s="57">
        <f>IF(+NFL!$F36="Baltimore",+NFL!#REF!,IF(+NFL!$H36="Baltimore",+NFL!#REF!,0))</f>
        <v>0</v>
      </c>
      <c r="AO48" s="59">
        <f>IF(+NFL!$F36="Baltimore",+NFL!#REF!,IF(+NFL!$H36="Baltimore",+NFL!#REF!,0))</f>
        <v>0</v>
      </c>
      <c r="AP48" s="348">
        <f>IF(+NFL!$F36="Baltimore",+NFL!#REF!,IF(+NFL!$H36="Baltimore",+NFL!#REF!,0))</f>
        <v>0</v>
      </c>
      <c r="AQ48" s="48">
        <f>IF(+NFL!$F36="Baltimore",+NFL!#REF!,IF(+NFL!$H36="Baltimore",+NFL!#REF!,0))</f>
        <v>0</v>
      </c>
      <c r="AR48" s="57">
        <f>IF(+NFL!$F36="Baltimore",+NFL!#REF!,IF(+NFL!$H36="Baltimore",+NFL!#REF!,0))</f>
        <v>0</v>
      </c>
      <c r="AS48" s="64">
        <f>IF(+NFL!$F36="Baltimore",+NFL!#REF!,IF(+NFL!$H36="Baltimore",+NFL!#REF!,0))</f>
        <v>0</v>
      </c>
      <c r="AT48" s="64">
        <f>IF(+NFL!$F36="Baltimore",+NFL!#REF!,IF(+NFL!$H36="Baltimore",+NFL!#REF!,0))</f>
        <v>0</v>
      </c>
      <c r="AU48" s="57">
        <f>IF(+NFL!$F36="Baltimore",+NFL!#REF!,IF(+NFL!$H36="Baltimore",+NFL!#REF!,0))</f>
        <v>0</v>
      </c>
      <c r="AV48" s="64">
        <f>IF(+NFL!$F36="Baltimore",+NFL!#REF!,IF(+NFL!$H36="Baltimore",+NFL!#REF!,0))</f>
        <v>0</v>
      </c>
      <c r="AW48" s="46">
        <f>IF(+NFL!$F36="Baltimore",+NFL!#REF!,IF(+NFL!$H36="Baltimore",+NFL!#REF!,0))</f>
        <v>0</v>
      </c>
      <c r="AX48" s="64">
        <f>IF(+NFL!$F36="Baltimore",+NFL!#REF!,IF(+NFL!$H36="Baltimore",+NFL!#REF!,0))</f>
        <v>0</v>
      </c>
      <c r="AY48" s="57">
        <f>IF(+NFL!$F36="Baltimore",+NFL!#REF!,IF(+NFL!$H36="Baltimore",+NFL!#REF!,0))</f>
        <v>0</v>
      </c>
      <c r="AZ48" s="64">
        <f>IF(+NFL!$F36="Baltimore",+NFL!#REF!,IF(+NFL!$H36="Baltimore",+NFL!#REF!,0))</f>
        <v>0</v>
      </c>
      <c r="BA48" s="46">
        <f>IF(+NFL!$F36="Baltimore",+NFL!#REF!,IF(+NFL!$H36="Baltimore",+NFL!#REF!,0))</f>
        <v>0</v>
      </c>
      <c r="BB48" s="46">
        <f>IF(+NFL!$F36="Baltimore",+NFL!#REF!,IF(+NFL!$H36="Baltimore",+NFL!#REF!,0))</f>
        <v>0</v>
      </c>
      <c r="BC48" s="403">
        <f>IF(+NFL!$F36="Baltimore",+NFL!#REF!,IF(+NFL!$H36="Baltimore",+NFL!#REF!,0))</f>
        <v>0</v>
      </c>
      <c r="BD48" s="57">
        <f>IF(+NFL!$F36="Baltimore",+NFL!#REF!,IF(+NFL!$H36="Baltimore",+NFL!#REF!,0))</f>
        <v>0</v>
      </c>
      <c r="BE48" s="64">
        <f>IF(+NFL!$F36="Baltimore",+NFL!#REF!,IF(+NFL!$H36="Baltimore",+NFL!#REF!,0))</f>
        <v>0</v>
      </c>
      <c r="BF48" s="64">
        <f>IF(+NFL!$F36="Baltimore",+NFL!#REF!,IF(+NFL!$H36="Baltimore",+NFL!#REF!,0))</f>
        <v>0</v>
      </c>
      <c r="BG48" s="57">
        <f>IF(+NFL!$F36="Baltimore",+NFL!#REF!,IF(+NFL!$H36="Baltimore",+NFL!#REF!,0))</f>
        <v>0</v>
      </c>
      <c r="BH48" s="64">
        <f>IF(+NFL!$F36="Baltimore",+NFL!#REF!,IF(+NFL!$H36="Baltimore",+NFL!#REF!,0))</f>
        <v>0</v>
      </c>
      <c r="BI48" s="46">
        <f>IF(+NFL!$F36="Baltimore",+NFL!#REF!,IF(+NFL!$H36="Baltimore",+NFL!#REF!,0))</f>
        <v>0</v>
      </c>
      <c r="BJ48" s="87">
        <f>IF(+NFL!$F36="Baltimore",+NFL!#REF!,IF(+NFL!$H36="Baltimore",+NFL!#REF!,0))</f>
        <v>0</v>
      </c>
      <c r="BK48" s="120">
        <f>IF(+NFL!$F36="Baltimore",+NFL!#REF!,IF(+NFL!$H36="Baltimore",+NFL!#REF!,0))</f>
        <v>0</v>
      </c>
    </row>
    <row r="49" spans="1:63" x14ac:dyDescent="0.8">
      <c r="A49" s="46">
        <f>IF(+NFL!$F129="Baltimore",+NFL!A129,IF(+NFL!$H129="Baltimore",+NFL!A129,0))</f>
        <v>8</v>
      </c>
      <c r="B49" s="46" t="str">
        <f>IF(+NFL!$F129="Baltimore",+NFL!B129,IF(+NFL!$H129="Baltimore",+NFL!B129,0))</f>
        <v>Thurs</v>
      </c>
      <c r="C49" s="62">
        <f>IF(+NFL!$F129="Baltimore",+NFL!C129,IF(+NFL!$H129="Baltimore",+NFL!C129,0))</f>
        <v>44861</v>
      </c>
      <c r="D49" s="490">
        <f>IF(+NFL!$F129="Baltimore",+NFL!D129,IF(+NFL!$H129="Baltimore",+NFL!D129,0))</f>
        <v>0.84375</v>
      </c>
      <c r="E49" s="46" t="str">
        <f>IF(+NFL!$F129="Baltimore",+NFL!E129,IF(+NFL!$H129="Baltimore",+NFL!E129,0))</f>
        <v>NBC</v>
      </c>
      <c r="F49" s="127" t="str">
        <f>IF(+NFL!$F129="Baltimore",+NFL!F129,IF(+NFL!$H129="Baltimore",+NFL!F129,0))</f>
        <v>Baltimore</v>
      </c>
      <c r="G49" s="46" t="str">
        <f>IF(+NFL!$F129="Baltimore",+NFL!G129,IF(+NFL!$H129="Baltimore",+NFL!G129,0))</f>
        <v>AFCN</v>
      </c>
      <c r="H49" s="127" t="str">
        <f>IF(+NFL!$F129="Baltimore",+NFL!H129,IF(+NFL!$H129="Baltimore",+NFL!H129,0))</f>
        <v>Tampa Bay</v>
      </c>
      <c r="I49" s="46" t="str">
        <f>IF(+NFL!$F129="Baltimore",+NFL!I129,IF(+NFL!$H129="Baltimore",+NFL!I129,0))</f>
        <v>NFCS</v>
      </c>
      <c r="J49" s="353" t="str">
        <f>IF(+NFL!$F129="Baltimore",+NFL!J129,IF(+NFL!$H129="Baltimore",+NFL!J129,0))</f>
        <v>Baltimore</v>
      </c>
      <c r="K49" s="494" t="str">
        <f>IF(+NFL!$F129="Baltimore",+NFL!K129,IF(+NFL!$H129="Baltimore",+NFL!K129,0))</f>
        <v>Tampa Bay</v>
      </c>
      <c r="L49" s="384">
        <f>IF(+NFL!$F129="Baltimore",+NFL!L129,IF(+NFL!$H129="Baltimore",+NFL!L129,0))</f>
        <v>1.5</v>
      </c>
      <c r="M49" s="385">
        <f>IF(+NFL!$F129="Baltimore",+NFL!M129,IF(+NFL!$H129="Baltimore",+NFL!M129,0))</f>
        <v>45</v>
      </c>
      <c r="N49" s="394" t="str">
        <f>IF(+NFL!$F129="Baltimore",+NFL!N129,IF(+NFL!$H129="Baltimore",+NFL!N129,0))</f>
        <v>Baltimore</v>
      </c>
      <c r="O49" s="395">
        <f>IF(+NFL!$F129="Baltimore",+NFL!O129,IF(+NFL!$H129="Baltimore",+NFL!O129,0))</f>
        <v>27</v>
      </c>
      <c r="P49" s="394" t="str">
        <f>IF(+NFL!$F129="Baltimore",+NFL!P129,IF(+NFL!$H129="Baltimore",+NFL!P129,0))</f>
        <v>Tampa Bay</v>
      </c>
      <c r="Q49" s="396">
        <f>IF(+NFL!$F129="Baltimore",+NFL!Q129,IF(+NFL!$H129="Baltimore",+NFL!Q129,0))</f>
        <v>22</v>
      </c>
      <c r="R49" s="397" t="str">
        <f>IF(+NFL!$F129="Baltimore",+NFL!R129,IF(+NFL!$H129="Baltimore",+NFL!R129,0))</f>
        <v>Baltimore</v>
      </c>
      <c r="S49" s="396" t="str">
        <f>IF(+NFL!$F129="Baltimore",+NFL!S129,IF(+NFL!$H129="Baltimore",+NFL!S129,0))</f>
        <v>Tampa Bay</v>
      </c>
      <c r="T49" s="397" t="str">
        <f>IF(+NFL!$F129="Baltimore",+NFL!T129,IF(+NFL!$H129="Baltimore",+NFL!T129,0))</f>
        <v>Baltimore</v>
      </c>
      <c r="U49" s="396" t="str">
        <f>IF(+NFL!$F129="Baltimore",+NFL!U129,IF(+NFL!$H129="Baltimore",+NFL!U129,0))</f>
        <v>W</v>
      </c>
      <c r="V49" s="397">
        <f>IF(+NFL!$F53="Baltimore",+NFL!#REF!,IF(+NFL!$H53="Baltimore",+NFL!#REF!,0))</f>
        <v>0</v>
      </c>
      <c r="W49" s="396">
        <f>IF(+NFL!$F53="Baltimore",+NFL!#REF!,IF(+NFL!$H53="Baltimore",+NFL!#REF!,0))</f>
        <v>0</v>
      </c>
      <c r="X49" s="397">
        <f>IF(+NFL!$F53="Baltimore",+NFL!#REF!,IF(+NFL!$H53="Baltimore",+NFL!#REF!,0))</f>
        <v>0</v>
      </c>
      <c r="Y49" s="396">
        <f>IF(+NFL!$F53="Baltimore",+NFL!#REF!,IF(+NFL!$H53="Baltimore",+NFL!#REF!,0))</f>
        <v>0</v>
      </c>
      <c r="Z49" s="397">
        <f>IF(+NFL!$F53="Baltimore",+NFL!#REF!,IF(+NFL!$H53="Baltimore",+NFL!#REF!,0))</f>
        <v>0</v>
      </c>
      <c r="AA49" s="396">
        <f>IF(+NFL!$F53="Baltimore",+NFL!#REF!,IF(+NFL!$H53="Baltimore",+NFL!#REF!,0))</f>
        <v>0</v>
      </c>
      <c r="AB49" s="87">
        <f>IF(+NFL!$F53="Baltimore",+NFL!#REF!,IF(+NFL!$H53="Baltimore",+NFL!#REF!,0))</f>
        <v>0</v>
      </c>
      <c r="AC49" s="120">
        <f>IF(+NFL!$F53="Baltimore",+NFL!#REF!,IF(+NFL!$H53="Baltimore",+NFL!#REF!,0))</f>
        <v>0</v>
      </c>
      <c r="AD49" s="353">
        <f>IF(+NFL!$F53="Baltimore",+NFL!#REF!,IF(+NFL!$H53="Baltimore",+NFL!#REF!,0))</f>
        <v>0</v>
      </c>
      <c r="AE49" s="379">
        <f>IF(+NFL!$F53="Baltimore",+NFL!#REF!,IF(+NFL!$H53="Baltimore",+NFL!#REF!,0))</f>
        <v>0</v>
      </c>
      <c r="AF49" s="353">
        <f>IF(+NFL!$F53="Baltimore",+NFL!#REF!,IF(+NFL!$H53="Baltimore",+NFL!#REF!,0))</f>
        <v>0</v>
      </c>
      <c r="AG49" s="379">
        <f>IF(+NFL!$F53="Baltimore",+NFL!#REF!,IF(+NFL!$H53="Baltimore",+NFL!#REF!,0))</f>
        <v>0</v>
      </c>
      <c r="AH49" s="353">
        <f>IF(+NFL!$F53="Baltimore",+NFL!#REF!,IF(+NFL!$H53="Baltimore",+NFL!#REF!,0))</f>
        <v>0</v>
      </c>
      <c r="AI49" s="379">
        <f>IF(+NFL!$F53="Baltimore",+NFL!#REF!,IF(+NFL!$H53="Baltimore",+NFL!#REF!,0))</f>
        <v>0</v>
      </c>
      <c r="AJ49" s="353">
        <f>IF(+NFL!$F53="Baltimore",+NFL!#REF!,IF(+NFL!$H53="Baltimore",+NFL!#REF!,0))</f>
        <v>0</v>
      </c>
      <c r="AK49" s="379">
        <f>IF(+NFL!$F53="Baltimore",+NFL!#REF!,IF(+NFL!$H53="Baltimore",+NFL!#REF!,0))</f>
        <v>0</v>
      </c>
      <c r="AL49" s="57">
        <f>IF(+NFL!$F53="Baltimore",+NFL!#REF!,IF(+NFL!$H53="Baltimore",+NFL!#REF!,0))</f>
        <v>0</v>
      </c>
      <c r="AM49" s="58">
        <f>IF(+NFL!$F53="Baltimore",+NFL!#REF!,IF(+NFL!$H53="Baltimore",+NFL!#REF!,0))</f>
        <v>0</v>
      </c>
      <c r="AN49" s="57">
        <f>IF(+NFL!$F53="Baltimore",+NFL!#REF!,IF(+NFL!$H53="Baltimore",+NFL!#REF!,0))</f>
        <v>0</v>
      </c>
      <c r="AO49" s="59">
        <f>IF(+NFL!$F53="Baltimore",+NFL!#REF!,IF(+NFL!$H53="Baltimore",+NFL!#REF!,0))</f>
        <v>0</v>
      </c>
      <c r="AP49" s="348">
        <f>IF(+NFL!$F53="Baltimore",+NFL!#REF!,IF(+NFL!$H53="Baltimore",+NFL!#REF!,0))</f>
        <v>0</v>
      </c>
      <c r="AQ49" s="48">
        <f>IF(+NFL!$F53="Baltimore",+NFL!#REF!,IF(+NFL!$H53="Baltimore",+NFL!#REF!,0))</f>
        <v>0</v>
      </c>
      <c r="AR49" s="57">
        <f>IF(+NFL!$F53="Baltimore",+NFL!#REF!,IF(+NFL!$H53="Baltimore",+NFL!#REF!,0))</f>
        <v>0</v>
      </c>
      <c r="AS49" s="64">
        <f>IF(+NFL!$F53="Baltimore",+NFL!#REF!,IF(+NFL!$H53="Baltimore",+NFL!#REF!,0))</f>
        <v>0</v>
      </c>
      <c r="AT49" s="64">
        <f>IF(+NFL!$F53="Baltimore",+NFL!#REF!,IF(+NFL!$H53="Baltimore",+NFL!#REF!,0))</f>
        <v>0</v>
      </c>
      <c r="AU49" s="57">
        <f>IF(+NFL!$F53="Baltimore",+NFL!#REF!,IF(+NFL!$H53="Baltimore",+NFL!#REF!,0))</f>
        <v>0</v>
      </c>
      <c r="AV49" s="64">
        <f>IF(+NFL!$F53="Baltimore",+NFL!#REF!,IF(+NFL!$H53="Baltimore",+NFL!#REF!,0))</f>
        <v>0</v>
      </c>
      <c r="AW49" s="46">
        <f>IF(+NFL!$F53="Baltimore",+NFL!#REF!,IF(+NFL!$H53="Baltimore",+NFL!#REF!,0))</f>
        <v>0</v>
      </c>
      <c r="AX49" s="64">
        <f>IF(+NFL!$F53="Baltimore",+NFL!#REF!,IF(+NFL!$H53="Baltimore",+NFL!#REF!,0))</f>
        <v>0</v>
      </c>
      <c r="AY49" s="57">
        <f>IF(+NFL!$F53="Baltimore",+NFL!#REF!,IF(+NFL!$H53="Baltimore",+NFL!#REF!,0))</f>
        <v>0</v>
      </c>
      <c r="AZ49" s="64">
        <f>IF(+NFL!$F53="Baltimore",+NFL!#REF!,IF(+NFL!$H53="Baltimore",+NFL!#REF!,0))</f>
        <v>0</v>
      </c>
      <c r="BA49" s="46">
        <f>IF(+NFL!$F53="Baltimore",+NFL!#REF!,IF(+NFL!$H53="Baltimore",+NFL!#REF!,0))</f>
        <v>0</v>
      </c>
      <c r="BB49" s="46">
        <f>IF(+NFL!$F53="Baltimore",+NFL!#REF!,IF(+NFL!$H53="Baltimore",+NFL!#REF!,0))</f>
        <v>0</v>
      </c>
      <c r="BC49" s="403">
        <f>IF(+NFL!$F53="Baltimore",+NFL!#REF!,IF(+NFL!$H53="Baltimore",+NFL!#REF!,0))</f>
        <v>0</v>
      </c>
      <c r="BD49" s="57">
        <f>IF(+NFL!$F53="Baltimore",+NFL!#REF!,IF(+NFL!$H53="Baltimore",+NFL!#REF!,0))</f>
        <v>0</v>
      </c>
      <c r="BE49" s="64">
        <f>IF(+NFL!$F53="Baltimore",+NFL!#REF!,IF(+NFL!$H53="Baltimore",+NFL!#REF!,0))</f>
        <v>0</v>
      </c>
      <c r="BF49" s="64">
        <f>IF(+NFL!$F53="Baltimore",+NFL!#REF!,IF(+NFL!$H53="Baltimore",+NFL!#REF!,0))</f>
        <v>0</v>
      </c>
      <c r="BG49" s="57">
        <f>IF(+NFL!$F53="Baltimore",+NFL!#REF!,IF(+NFL!$H53="Baltimore",+NFL!#REF!,0))</f>
        <v>0</v>
      </c>
      <c r="BH49" s="64">
        <f>IF(+NFL!$F53="Baltimore",+NFL!#REF!,IF(+NFL!$H53="Baltimore",+NFL!#REF!,0))</f>
        <v>0</v>
      </c>
      <c r="BI49" s="46">
        <f>IF(+NFL!$F53="Baltimore",+NFL!#REF!,IF(+NFL!$H53="Baltimore",+NFL!#REF!,0))</f>
        <v>0</v>
      </c>
      <c r="BJ49" s="87">
        <f>IF(+NFL!$F53="Baltimore",+NFL!#REF!,IF(+NFL!$H53="Baltimore",+NFL!#REF!,0))</f>
        <v>0</v>
      </c>
      <c r="BK49" s="120">
        <f>IF(+NFL!$F53="Baltimore",+NFL!#REF!,IF(+NFL!$H53="Baltimore",+NFL!#REF!,0))</f>
        <v>0</v>
      </c>
    </row>
    <row r="50" spans="1:63" x14ac:dyDescent="0.8">
      <c r="A50" s="46">
        <f>IF(+NFL!$F160="Baltimore",+NFL!A160,IF(+NFL!$H160="Baltimore",+NFL!A160,0))</f>
        <v>9</v>
      </c>
      <c r="B50" s="46" t="str">
        <f>IF(+NFL!$F160="Baltimore",+NFL!B160,IF(+NFL!$H160="Baltimore",+NFL!B160,0))</f>
        <v>Mon</v>
      </c>
      <c r="C50" s="62">
        <f>IF(+NFL!$F160="Baltimore",+NFL!C160,IF(+NFL!$H160="Baltimore",+NFL!C160,0))</f>
        <v>44872</v>
      </c>
      <c r="D50" s="490">
        <f>IF(+NFL!$F160="Baltimore",+NFL!D160,IF(+NFL!$H160="Baltimore",+NFL!D160,0))</f>
        <v>0.84375</v>
      </c>
      <c r="E50" s="46" t="str">
        <f>IF(+NFL!$F160="Baltimore",+NFL!E160,IF(+NFL!$H160="Baltimore",+NFL!E160,0))</f>
        <v>ABC</v>
      </c>
      <c r="F50" s="127" t="str">
        <f>IF(+NFL!$F160="Baltimore",+NFL!F160,IF(+NFL!$H160="Baltimore",+NFL!F160,0))</f>
        <v>Baltimore</v>
      </c>
      <c r="G50" s="46" t="str">
        <f>IF(+NFL!$F160="Baltimore",+NFL!G160,IF(+NFL!$H160="Baltimore",+NFL!G160,0))</f>
        <v>NFCW</v>
      </c>
      <c r="H50" s="127" t="str">
        <f>IF(+NFL!$F160="Baltimore",+NFL!H160,IF(+NFL!$H160="Baltimore",+NFL!H160,0))</f>
        <v>New Orleans</v>
      </c>
      <c r="I50" s="46" t="str">
        <f>IF(+NFL!$F160="Baltimore",+NFL!I160,IF(+NFL!$H160="Baltimore",+NFL!I160,0))</f>
        <v>NFCS</v>
      </c>
      <c r="J50" s="353" t="str">
        <f>IF(+NFL!$F160="Baltimore",+NFL!J160,IF(+NFL!$H160="Baltimore",+NFL!J160,0))</f>
        <v>Baltimore</v>
      </c>
      <c r="K50" s="494" t="str">
        <f>IF(+NFL!$F160="Baltimore",+NFL!K160,IF(+NFL!$H160="Baltimore",+NFL!K160,0))</f>
        <v>New Orleans</v>
      </c>
      <c r="L50" s="384">
        <f>IF(+NFL!$F160="Baltimore",+NFL!L160,IF(+NFL!$H160="Baltimore",+NFL!L160,0))</f>
        <v>1.5</v>
      </c>
      <c r="M50" s="385">
        <f>IF(+NFL!$F160="Baltimore",+NFL!M160,IF(+NFL!$H160="Baltimore",+NFL!M160,0))</f>
        <v>48</v>
      </c>
      <c r="N50" s="394" t="str">
        <f>IF(+NFL!$F160="Baltimore",+NFL!N160,IF(+NFL!$H160="Baltimore",+NFL!N160,0))</f>
        <v>Baltimore</v>
      </c>
      <c r="O50" s="395">
        <f>IF(+NFL!$F160="Baltimore",+NFL!O160,IF(+NFL!$H160="Baltimore",+NFL!O160,0))</f>
        <v>27</v>
      </c>
      <c r="P50" s="394" t="str">
        <f>IF(+NFL!$F160="Baltimore",+NFL!P160,IF(+NFL!$H160="Baltimore",+NFL!P160,0))</f>
        <v>New Orleans</v>
      </c>
      <c r="Q50" s="396">
        <f>IF(+NFL!$F160="Baltimore",+NFL!Q160,IF(+NFL!$H160="Baltimore",+NFL!Q160,0))</f>
        <v>13</v>
      </c>
      <c r="R50" s="397" t="str">
        <f>IF(+NFL!$F160="Baltimore",+NFL!R160,IF(+NFL!$H160="Baltimore",+NFL!R160,0))</f>
        <v>Baltimore</v>
      </c>
      <c r="S50" s="396" t="str">
        <f>IF(+NFL!$F160="Baltimore",+NFL!S160,IF(+NFL!$H160="Baltimore",+NFL!S160,0))</f>
        <v>New Orleans</v>
      </c>
      <c r="T50" s="397" t="str">
        <f>IF(+NFL!$F160="Baltimore",+NFL!T160,IF(+NFL!$H160="Baltimore",+NFL!T160,0))</f>
        <v>New Orleans</v>
      </c>
      <c r="U50" s="396" t="str">
        <f>IF(+NFL!$F160="Baltimore",+NFL!U160,IF(+NFL!$H160="Baltimore",+NFL!U160,0))</f>
        <v>L</v>
      </c>
      <c r="V50" s="397">
        <f>IF(+NFL!$F76="Baltimore",+NFL!#REF!,IF(+NFL!$H76="Baltimore",+NFL!#REF!,0))</f>
        <v>0</v>
      </c>
      <c r="W50" s="396">
        <f>IF(+NFL!$F76="Baltimore",+NFL!#REF!,IF(+NFL!$H76="Baltimore",+NFL!#REF!,0))</f>
        <v>0</v>
      </c>
      <c r="X50" s="397">
        <f>IF(+NFL!$F76="Baltimore",+NFL!#REF!,IF(+NFL!$H76="Baltimore",+NFL!#REF!,0))</f>
        <v>0</v>
      </c>
      <c r="Y50" s="396">
        <f>IF(+NFL!$F76="Baltimore",+NFL!#REF!,IF(+NFL!$H76="Baltimore",+NFL!#REF!,0))</f>
        <v>0</v>
      </c>
      <c r="Z50" s="397">
        <f>IF(+NFL!$F76="Baltimore",+NFL!#REF!,IF(+NFL!$H76="Baltimore",+NFL!#REF!,0))</f>
        <v>0</v>
      </c>
      <c r="AA50" s="396">
        <f>IF(+NFL!$F76="Baltimore",+NFL!#REF!,IF(+NFL!$H76="Baltimore",+NFL!#REF!,0))</f>
        <v>0</v>
      </c>
      <c r="AB50" s="87">
        <f>IF(+NFL!$F76="Baltimore",+NFL!#REF!,IF(+NFL!$H76="Baltimore",+NFL!#REF!,0))</f>
        <v>0</v>
      </c>
      <c r="AC50" s="120">
        <f>IF(+NFL!$F76="Baltimore",+NFL!#REF!,IF(+NFL!$H76="Baltimore",+NFL!#REF!,0))</f>
        <v>0</v>
      </c>
      <c r="AD50" s="353">
        <f>IF(+NFL!$F76="Baltimore",+NFL!#REF!,IF(+NFL!$H76="Baltimore",+NFL!#REF!,0))</f>
        <v>0</v>
      </c>
      <c r="AE50" s="379">
        <f>IF(+NFL!$F76="Baltimore",+NFL!#REF!,IF(+NFL!$H76="Baltimore",+NFL!#REF!,0))</f>
        <v>0</v>
      </c>
      <c r="AF50" s="353">
        <f>IF(+NFL!$F76="Baltimore",+NFL!#REF!,IF(+NFL!$H76="Baltimore",+NFL!#REF!,0))</f>
        <v>0</v>
      </c>
      <c r="AG50" s="379">
        <f>IF(+NFL!$F76="Baltimore",+NFL!#REF!,IF(+NFL!$H76="Baltimore",+NFL!#REF!,0))</f>
        <v>0</v>
      </c>
      <c r="AH50" s="353">
        <f>IF(+NFL!$F76="Baltimore",+NFL!#REF!,IF(+NFL!$H76="Baltimore",+NFL!#REF!,0))</f>
        <v>0</v>
      </c>
      <c r="AI50" s="379">
        <f>IF(+NFL!$F76="Baltimore",+NFL!#REF!,IF(+NFL!$H76="Baltimore",+NFL!#REF!,0))</f>
        <v>0</v>
      </c>
      <c r="AJ50" s="353">
        <f>IF(+NFL!$F76="Baltimore",+NFL!#REF!,IF(+NFL!$H76="Baltimore",+NFL!#REF!,0))</f>
        <v>0</v>
      </c>
      <c r="AK50" s="379">
        <f>IF(+NFL!$F76="Baltimore",+NFL!#REF!,IF(+NFL!$H76="Baltimore",+NFL!#REF!,0))</f>
        <v>0</v>
      </c>
      <c r="AL50" s="57">
        <f>IF(+NFL!$F76="Baltimore",+NFL!#REF!,IF(+NFL!$H76="Baltimore",+NFL!#REF!,0))</f>
        <v>0</v>
      </c>
      <c r="AM50" s="58">
        <f>IF(+NFL!$F76="Baltimore",+NFL!#REF!,IF(+NFL!$H76="Baltimore",+NFL!#REF!,0))</f>
        <v>0</v>
      </c>
      <c r="AN50" s="57">
        <f>IF(+NFL!$F76="Baltimore",+NFL!#REF!,IF(+NFL!$H76="Baltimore",+NFL!#REF!,0))</f>
        <v>0</v>
      </c>
      <c r="AO50" s="59">
        <f>IF(+NFL!$F76="Baltimore",+NFL!#REF!,IF(+NFL!$H76="Baltimore",+NFL!#REF!,0))</f>
        <v>0</v>
      </c>
      <c r="AP50" s="348">
        <f>IF(+NFL!$F76="Baltimore",+NFL!#REF!,IF(+NFL!$H76="Baltimore",+NFL!#REF!,0))</f>
        <v>0</v>
      </c>
      <c r="AQ50" s="48">
        <f>IF(+NFL!$F76="Baltimore",+NFL!#REF!,IF(+NFL!$H76="Baltimore",+NFL!#REF!,0))</f>
        <v>0</v>
      </c>
      <c r="AR50" s="57">
        <f>IF(+NFL!$F76="Baltimore",+NFL!#REF!,IF(+NFL!$H76="Baltimore",+NFL!#REF!,0))</f>
        <v>0</v>
      </c>
      <c r="AS50" s="64">
        <f>IF(+NFL!$F76="Baltimore",+NFL!#REF!,IF(+NFL!$H76="Baltimore",+NFL!#REF!,0))</f>
        <v>0</v>
      </c>
      <c r="AT50" s="64">
        <f>IF(+NFL!$F76="Baltimore",+NFL!#REF!,IF(+NFL!$H76="Baltimore",+NFL!#REF!,0))</f>
        <v>0</v>
      </c>
      <c r="AU50" s="57">
        <f>IF(+NFL!$F76="Baltimore",+NFL!#REF!,IF(+NFL!$H76="Baltimore",+NFL!#REF!,0))</f>
        <v>0</v>
      </c>
      <c r="AV50" s="64">
        <f>IF(+NFL!$F76="Baltimore",+NFL!#REF!,IF(+NFL!$H76="Baltimore",+NFL!#REF!,0))</f>
        <v>0</v>
      </c>
      <c r="AW50" s="46">
        <f>IF(+NFL!$F76="Baltimore",+NFL!#REF!,IF(+NFL!$H76="Baltimore",+NFL!#REF!,0))</f>
        <v>0</v>
      </c>
      <c r="AX50" s="64">
        <f>IF(+NFL!$F76="Baltimore",+NFL!#REF!,IF(+NFL!$H76="Baltimore",+NFL!#REF!,0))</f>
        <v>0</v>
      </c>
      <c r="AY50" s="57">
        <f>IF(+NFL!$F76="Baltimore",+NFL!#REF!,IF(+NFL!$H76="Baltimore",+NFL!#REF!,0))</f>
        <v>0</v>
      </c>
      <c r="AZ50" s="64">
        <f>IF(+NFL!$F76="Baltimore",+NFL!#REF!,IF(+NFL!$H76="Baltimore",+NFL!#REF!,0))</f>
        <v>0</v>
      </c>
      <c r="BA50" s="46">
        <f>IF(+NFL!$F76="Baltimore",+NFL!#REF!,IF(+NFL!$H76="Baltimore",+NFL!#REF!,0))</f>
        <v>0</v>
      </c>
      <c r="BB50" s="46">
        <f>IF(+NFL!$F76="Baltimore",+NFL!#REF!,IF(+NFL!$H76="Baltimore",+NFL!#REF!,0))</f>
        <v>0</v>
      </c>
      <c r="BC50" s="403">
        <f>IF(+NFL!$F76="Baltimore",+NFL!#REF!,IF(+NFL!$H76="Baltimore",+NFL!#REF!,0))</f>
        <v>0</v>
      </c>
      <c r="BD50" s="57">
        <f>IF(+NFL!$F76="Baltimore",+NFL!#REF!,IF(+NFL!$H76="Baltimore",+NFL!#REF!,0))</f>
        <v>0</v>
      </c>
      <c r="BE50" s="64">
        <f>IF(+NFL!$F76="Baltimore",+NFL!#REF!,IF(+NFL!$H76="Baltimore",+NFL!#REF!,0))</f>
        <v>0</v>
      </c>
      <c r="BF50" s="64">
        <f>IF(+NFL!$F76="Baltimore",+NFL!#REF!,IF(+NFL!$H76="Baltimore",+NFL!#REF!,0))</f>
        <v>0</v>
      </c>
      <c r="BG50" s="57">
        <f>IF(+NFL!$F76="Baltimore",+NFL!#REF!,IF(+NFL!$H76="Baltimore",+NFL!#REF!,0))</f>
        <v>0</v>
      </c>
      <c r="BH50" s="64">
        <f>IF(+NFL!$F76="Baltimore",+NFL!#REF!,IF(+NFL!$H76="Baltimore",+NFL!#REF!,0))</f>
        <v>0</v>
      </c>
      <c r="BI50" s="46">
        <f>IF(+NFL!$F76="Baltimore",+NFL!#REF!,IF(+NFL!$H76="Baltimore",+NFL!#REF!,0))</f>
        <v>0</v>
      </c>
      <c r="BJ50" s="87">
        <f>IF(+NFL!$F76="Baltimore",+NFL!#REF!,IF(+NFL!$H76="Baltimore",+NFL!#REF!,0))</f>
        <v>0</v>
      </c>
      <c r="BK50" s="120">
        <f>IF(+NFL!$F76="Baltimore",+NFL!#REF!,IF(+NFL!$H76="Baltimore",+NFL!#REF!,0))</f>
        <v>0</v>
      </c>
    </row>
    <row r="51" spans="1:63" x14ac:dyDescent="0.8">
      <c r="A51" s="46">
        <f>IF(+NFL!$F187="Baltimore",+NFL!A187,IF(+NFL!$H187="Baltimore",+NFL!A187,0))</f>
        <v>10</v>
      </c>
      <c r="B51" s="46">
        <f>IF(+NFL!$F187="Baltimore",+NFL!B187,IF(+NFL!$H187="Baltimore",+NFL!B187,0))</f>
        <v>0</v>
      </c>
      <c r="C51" s="62">
        <f>IF(+NFL!$F187="Baltimore",+NFL!C187,IF(+NFL!$H187="Baltimore",+NFL!C187,0))</f>
        <v>0</v>
      </c>
      <c r="D51" s="490">
        <f>IF(+NFL!$F187="Baltimore",+NFL!D187,IF(+NFL!$H187="Baltimore",+NFL!D187,0))</f>
        <v>0</v>
      </c>
      <c r="E51" s="46">
        <f>IF(+NFL!$F187="Baltimore",+NFL!E187,IF(+NFL!$H187="Baltimore",+NFL!E187,0))</f>
        <v>0</v>
      </c>
      <c r="F51" s="127" t="str">
        <f>IF(+NFL!$F187="Baltimore",+NFL!F187,IF(+NFL!$H187="Baltimore",+NFL!F187,0))</f>
        <v>Baltimore</v>
      </c>
      <c r="G51" s="46" t="str">
        <f>IF(+NFL!$F187="Baltimore",+NFL!G187,IF(+NFL!$H187="Baltimore",+NFL!G187,0))</f>
        <v>AFCN</v>
      </c>
      <c r="H51" s="127">
        <f>IF(+NFL!$F187="Baltimore",+NFL!H187,IF(+NFL!$H187="Baltimore",+NFL!H187,0))</f>
        <v>0</v>
      </c>
      <c r="I51" s="46">
        <f>IF(+NFL!$F187="Baltimore",+NFL!I187,IF(+NFL!$H187="Baltimore",+NFL!I187,0))</f>
        <v>0</v>
      </c>
      <c r="J51" s="353">
        <f>IF(+NFL!$F187="Baltimore",+NFL!J187,IF(+NFL!$H187="Baltimore",+NFL!J187,0))</f>
        <v>0</v>
      </c>
      <c r="K51" s="494">
        <f>IF(+NFL!$F187="Baltimore",+NFL!K187,IF(+NFL!$H187="Baltimore",+NFL!K187,0))</f>
        <v>0</v>
      </c>
      <c r="L51" s="384">
        <f>IF(+NFL!$F187="Baltimore",+NFL!L187,IF(+NFL!$H187="Baltimore",+NFL!L187,0))</f>
        <v>0</v>
      </c>
      <c r="M51" s="385">
        <f>IF(+NFL!$F187="Baltimore",+NFL!M187,IF(+NFL!$H187="Baltimore",+NFL!M187,0))</f>
        <v>0</v>
      </c>
      <c r="N51" s="394">
        <f>IF(+NFL!$F187="Baltimore",+NFL!N187,IF(+NFL!$H187="Baltimore",+NFL!N187,0))</f>
        <v>0</v>
      </c>
      <c r="O51" s="395">
        <f>IF(+NFL!$F187="Baltimore",+NFL!O187,IF(+NFL!$H187="Baltimore",+NFL!O187,0))</f>
        <v>0</v>
      </c>
      <c r="P51" s="394">
        <f>IF(+NFL!$F187="Baltimore",+NFL!P187,IF(+NFL!$H187="Baltimore",+NFL!P187,0))</f>
        <v>0</v>
      </c>
      <c r="Q51" s="396">
        <f>IF(+NFL!$F187="Baltimore",+NFL!Q187,IF(+NFL!$H187="Baltimore",+NFL!Q187,0))</f>
        <v>0</v>
      </c>
      <c r="R51" s="397">
        <f>IF(+NFL!$F187="Baltimore",+NFL!R187,IF(+NFL!$H187="Baltimore",+NFL!R187,0))</f>
        <v>0</v>
      </c>
      <c r="S51" s="396">
        <f>IF(+NFL!$F187="Baltimore",+NFL!S187,IF(+NFL!$H187="Baltimore",+NFL!S187,0))</f>
        <v>0</v>
      </c>
      <c r="T51" s="397">
        <f>IF(+NFL!$F187="Baltimore",+NFL!T187,IF(+NFL!$H187="Baltimore",+NFL!T187,0))</f>
        <v>0</v>
      </c>
      <c r="U51" s="396">
        <f>IF(+NFL!$F187="Baltimore",+NFL!U187,IF(+NFL!$H187="Baltimore",+NFL!U187,0))</f>
        <v>0</v>
      </c>
      <c r="V51" s="397" t="e">
        <f>IF(+NFL!#REF!="Baltimore",+NFL!#REF!,IF(+NFL!#REF!="Baltimore",+NFL!#REF!,0))</f>
        <v>#REF!</v>
      </c>
      <c r="W51" s="396" t="e">
        <f>IF(+NFL!#REF!="Baltimore",+NFL!#REF!,IF(+NFL!#REF!="Baltimore",+NFL!#REF!,0))</f>
        <v>#REF!</v>
      </c>
      <c r="X51" s="397" t="e">
        <f>IF(+NFL!#REF!="Baltimore",+NFL!#REF!,IF(+NFL!#REF!="Baltimore",+NFL!#REF!,0))</f>
        <v>#REF!</v>
      </c>
      <c r="Y51" s="396" t="e">
        <f>IF(+NFL!#REF!="Baltimore",+NFL!#REF!,IF(+NFL!#REF!="Baltimore",+NFL!#REF!,0))</f>
        <v>#REF!</v>
      </c>
      <c r="Z51" s="397" t="e">
        <f>IF(+NFL!#REF!="Baltimore",+NFL!#REF!,IF(+NFL!#REF!="Baltimore",+NFL!#REF!,0))</f>
        <v>#REF!</v>
      </c>
      <c r="AA51" s="396" t="e">
        <f>IF(+NFL!#REF!="Baltimore",+NFL!#REF!,IF(+NFL!#REF!="Baltimore",+NFL!#REF!,0))</f>
        <v>#REF!</v>
      </c>
      <c r="AB51" s="87" t="e">
        <f>IF(+NFL!#REF!="Baltimore",+NFL!#REF!,IF(+NFL!#REF!="Baltimore",+NFL!#REF!,0))</f>
        <v>#REF!</v>
      </c>
      <c r="AC51" s="120" t="e">
        <f>IF(+NFL!#REF!="Baltimore",+NFL!#REF!,IF(+NFL!#REF!="Baltimore",+NFL!#REF!,0))</f>
        <v>#REF!</v>
      </c>
      <c r="AD51" s="353" t="e">
        <f>IF(+NFL!#REF!="Baltimore",+NFL!#REF!,IF(+NFL!#REF!="Baltimore",+NFL!#REF!,0))</f>
        <v>#REF!</v>
      </c>
      <c r="AE51" s="379" t="e">
        <f>IF(+NFL!#REF!="Baltimore",+NFL!#REF!,IF(+NFL!#REF!="Baltimore",+NFL!#REF!,0))</f>
        <v>#REF!</v>
      </c>
      <c r="AF51" s="353" t="e">
        <f>IF(+NFL!#REF!="Baltimore",+NFL!#REF!,IF(+NFL!#REF!="Baltimore",+NFL!#REF!,0))</f>
        <v>#REF!</v>
      </c>
      <c r="AG51" s="379" t="e">
        <f>IF(+NFL!#REF!="Baltimore",+NFL!#REF!,IF(+NFL!#REF!="Baltimore",+NFL!#REF!,0))</f>
        <v>#REF!</v>
      </c>
      <c r="AH51" s="353" t="e">
        <f>IF(+NFL!#REF!="Baltimore",+NFL!#REF!,IF(+NFL!#REF!="Baltimore",+NFL!#REF!,0))</f>
        <v>#REF!</v>
      </c>
      <c r="AI51" s="379" t="e">
        <f>IF(+NFL!#REF!="Baltimore",+NFL!#REF!,IF(+NFL!#REF!="Baltimore",+NFL!#REF!,0))</f>
        <v>#REF!</v>
      </c>
      <c r="AJ51" s="353" t="e">
        <f>IF(+NFL!#REF!="Baltimore",+NFL!#REF!,IF(+NFL!#REF!="Baltimore",+NFL!#REF!,0))</f>
        <v>#REF!</v>
      </c>
      <c r="AK51" s="379" t="e">
        <f>IF(+NFL!#REF!="Baltimore",+NFL!#REF!,IF(+NFL!#REF!="Baltimore",+NFL!#REF!,0))</f>
        <v>#REF!</v>
      </c>
      <c r="AL51" s="57" t="e">
        <f>IF(+NFL!#REF!="Baltimore",+NFL!#REF!,IF(+NFL!#REF!="Baltimore",+NFL!#REF!,0))</f>
        <v>#REF!</v>
      </c>
      <c r="AM51" s="58" t="e">
        <f>IF(+NFL!#REF!="Baltimore",+NFL!#REF!,IF(+NFL!#REF!="Baltimore",+NFL!#REF!,0))</f>
        <v>#REF!</v>
      </c>
      <c r="AN51" s="57" t="e">
        <f>IF(+NFL!#REF!="Baltimore",+NFL!#REF!,IF(+NFL!#REF!="Baltimore",+NFL!#REF!,0))</f>
        <v>#REF!</v>
      </c>
      <c r="AO51" s="59" t="e">
        <f>IF(+NFL!#REF!="Baltimore",+NFL!#REF!,IF(+NFL!#REF!="Baltimore",+NFL!#REF!,0))</f>
        <v>#REF!</v>
      </c>
      <c r="AP51" s="348" t="e">
        <f>IF(+NFL!#REF!="Baltimore",+NFL!#REF!,IF(+NFL!#REF!="Baltimore",+NFL!#REF!,0))</f>
        <v>#REF!</v>
      </c>
      <c r="AQ51" s="48" t="e">
        <f>IF(+NFL!#REF!="Baltimore",+NFL!#REF!,IF(+NFL!#REF!="Baltimore",+NFL!#REF!,0))</f>
        <v>#REF!</v>
      </c>
      <c r="AR51" s="57" t="e">
        <f>IF(+NFL!#REF!="Baltimore",+NFL!#REF!,IF(+NFL!#REF!="Baltimore",+NFL!#REF!,0))</f>
        <v>#REF!</v>
      </c>
      <c r="AS51" s="64" t="e">
        <f>IF(+NFL!#REF!="Baltimore",+NFL!#REF!,IF(+NFL!#REF!="Baltimore",+NFL!#REF!,0))</f>
        <v>#REF!</v>
      </c>
      <c r="AT51" s="64" t="e">
        <f>IF(+NFL!#REF!="Baltimore",+NFL!#REF!,IF(+NFL!#REF!="Baltimore",+NFL!#REF!,0))</f>
        <v>#REF!</v>
      </c>
      <c r="AU51" s="57" t="e">
        <f>IF(+NFL!#REF!="Baltimore",+NFL!#REF!,IF(+NFL!#REF!="Baltimore",+NFL!#REF!,0))</f>
        <v>#REF!</v>
      </c>
      <c r="AV51" s="64" t="e">
        <f>IF(+NFL!#REF!="Baltimore",+NFL!#REF!,IF(+NFL!#REF!="Baltimore",+NFL!#REF!,0))</f>
        <v>#REF!</v>
      </c>
      <c r="AW51" s="46" t="e">
        <f>IF(+NFL!#REF!="Baltimore",+NFL!#REF!,IF(+NFL!#REF!="Baltimore",+NFL!#REF!,0))</f>
        <v>#REF!</v>
      </c>
      <c r="AX51" s="64" t="e">
        <f>IF(+NFL!#REF!="Baltimore",+NFL!#REF!,IF(+NFL!#REF!="Baltimore",+NFL!#REF!,0))</f>
        <v>#REF!</v>
      </c>
      <c r="AY51" s="57" t="e">
        <f>IF(+NFL!#REF!="Baltimore",+NFL!#REF!,IF(+NFL!#REF!="Baltimore",+NFL!#REF!,0))</f>
        <v>#REF!</v>
      </c>
      <c r="AZ51" s="64" t="e">
        <f>IF(+NFL!#REF!="Baltimore",+NFL!#REF!,IF(+NFL!#REF!="Baltimore",+NFL!#REF!,0))</f>
        <v>#REF!</v>
      </c>
      <c r="BA51" s="46" t="e">
        <f>IF(+NFL!#REF!="Baltimore",+NFL!#REF!,IF(+NFL!#REF!="Baltimore",+NFL!#REF!,0))</f>
        <v>#REF!</v>
      </c>
      <c r="BB51" s="46" t="e">
        <f>IF(+NFL!#REF!="Baltimore",+NFL!#REF!,IF(+NFL!#REF!="Baltimore",+NFL!#REF!,0))</f>
        <v>#REF!</v>
      </c>
      <c r="BC51" s="403" t="e">
        <f>IF(+NFL!#REF!="Baltimore",+NFL!#REF!,IF(+NFL!#REF!="Baltimore",+NFL!#REF!,0))</f>
        <v>#REF!</v>
      </c>
      <c r="BD51" s="57" t="e">
        <f>IF(+NFL!#REF!="Baltimore",+NFL!#REF!,IF(+NFL!#REF!="Baltimore",+NFL!#REF!,0))</f>
        <v>#REF!</v>
      </c>
      <c r="BE51" s="64" t="e">
        <f>IF(+NFL!#REF!="Baltimore",+NFL!#REF!,IF(+NFL!#REF!="Baltimore",+NFL!#REF!,0))</f>
        <v>#REF!</v>
      </c>
      <c r="BF51" s="64" t="e">
        <f>IF(+NFL!#REF!="Baltimore",+NFL!#REF!,IF(+NFL!#REF!="Baltimore",+NFL!#REF!,0))</f>
        <v>#REF!</v>
      </c>
      <c r="BG51" s="57" t="e">
        <f>IF(+NFL!#REF!="Baltimore",+NFL!#REF!,IF(+NFL!#REF!="Baltimore",+NFL!#REF!,0))</f>
        <v>#REF!</v>
      </c>
      <c r="BH51" s="64" t="e">
        <f>IF(+NFL!#REF!="Baltimore",+NFL!#REF!,IF(+NFL!#REF!="Baltimore",+NFL!#REF!,0))</f>
        <v>#REF!</v>
      </c>
      <c r="BI51" s="46" t="e">
        <f>IF(+NFL!#REF!="Baltimore",+NFL!#REF!,IF(+NFL!#REF!="Baltimore",+NFL!#REF!,0))</f>
        <v>#REF!</v>
      </c>
      <c r="BJ51" s="87" t="e">
        <f>IF(+NFL!#REF!="Baltimore",+NFL!#REF!,IF(+NFL!#REF!="Baltimore",+NFL!#REF!,0))</f>
        <v>#REF!</v>
      </c>
      <c r="BK51" s="120" t="e">
        <f>IF(+NFL!#REF!="Baltimore",+NFL!#REF!,IF(+NFL!#REF!="Baltimore",+NFL!#REF!,0))</f>
        <v>#REF!</v>
      </c>
    </row>
    <row r="52" spans="1:63" x14ac:dyDescent="0.8">
      <c r="A52" s="46">
        <f>IF(+NFL!$F196="Baltimore",+NFL!A196,IF(+NFL!$H196="Baltimore",+NFL!A196,0))</f>
        <v>11</v>
      </c>
      <c r="B52" s="46" t="str">
        <f>IF(+NFL!$F196="Baltimore",+NFL!B196,IF(+NFL!$H196="Baltimore",+NFL!B196,0))</f>
        <v>Sun</v>
      </c>
      <c r="C52" s="62">
        <f>IF(+NFL!$F196="Baltimore",+NFL!C196,IF(+NFL!$H196="Baltimore",+NFL!C196,0))</f>
        <v>44885</v>
      </c>
      <c r="D52" s="490">
        <f>IF(+NFL!$F196="Baltimore",+NFL!D196,IF(+NFL!$H196="Baltimore",+NFL!D196,0))</f>
        <v>0.54166666666666663</v>
      </c>
      <c r="E52" s="46" t="str">
        <f>IF(+NFL!$F196="Baltimore",+NFL!E196,IF(+NFL!$H196="Baltimore",+NFL!E196,0))</f>
        <v>Fox</v>
      </c>
      <c r="F52" s="127" t="str">
        <f>IF(+NFL!$F196="Baltimore",+NFL!F196,IF(+NFL!$H196="Baltimore",+NFL!F196,0))</f>
        <v>Carolina</v>
      </c>
      <c r="G52" s="46" t="str">
        <f>IF(+NFL!$F196="Baltimore",+NFL!G196,IF(+NFL!$H196="Baltimore",+NFL!G196,0))</f>
        <v>NFCS</v>
      </c>
      <c r="H52" s="127" t="str">
        <f>IF(+NFL!$F196="Baltimore",+NFL!H196,IF(+NFL!$H196="Baltimore",+NFL!H196,0))</f>
        <v>Baltimore</v>
      </c>
      <c r="I52" s="46" t="str">
        <f>IF(+NFL!$F196="Baltimore",+NFL!I196,IF(+NFL!$H196="Baltimore",+NFL!I196,0))</f>
        <v>AFCN</v>
      </c>
      <c r="J52" s="353" t="str">
        <f>IF(+NFL!$F196="Baltimore",+NFL!J196,IF(+NFL!$H196="Baltimore",+NFL!J196,0))</f>
        <v>Baltimore</v>
      </c>
      <c r="K52" s="494" t="str">
        <f>IF(+NFL!$F196="Baltimore",+NFL!K196,IF(+NFL!$H196="Baltimore",+NFL!K196,0))</f>
        <v>Carolina</v>
      </c>
      <c r="L52" s="384">
        <f>IF(+NFL!$F196="Baltimore",+NFL!L196,IF(+NFL!$H196="Baltimore",+NFL!L196,0))</f>
        <v>12</v>
      </c>
      <c r="M52" s="385">
        <f>IF(+NFL!$F196="Baltimore",+NFL!M196,IF(+NFL!$H196="Baltimore",+NFL!M196,0))</f>
        <v>43.5</v>
      </c>
      <c r="N52" s="394" t="str">
        <f>IF(+NFL!$F196="Baltimore",+NFL!N196,IF(+NFL!$H196="Baltimore",+NFL!N196,0))</f>
        <v>Baltimore</v>
      </c>
      <c r="O52" s="395">
        <f>IF(+NFL!$F196="Baltimore",+NFL!O196,IF(+NFL!$H196="Baltimore",+NFL!O196,0))</f>
        <v>13</v>
      </c>
      <c r="P52" s="394" t="str">
        <f>IF(+NFL!$F196="Baltimore",+NFL!P196,IF(+NFL!$H196="Baltimore",+NFL!P196,0))</f>
        <v>Carolina</v>
      </c>
      <c r="Q52" s="396">
        <f>IF(+NFL!$F196="Baltimore",+NFL!Q196,IF(+NFL!$H196="Baltimore",+NFL!Q196,0))</f>
        <v>3</v>
      </c>
      <c r="R52" s="397" t="str">
        <f>IF(+NFL!$F196="Baltimore",+NFL!R196,IF(+NFL!$H196="Baltimore",+NFL!R196,0))</f>
        <v>Carolina</v>
      </c>
      <c r="S52" s="396" t="str">
        <f>IF(+NFL!$F196="Baltimore",+NFL!S196,IF(+NFL!$H196="Baltimore",+NFL!S196,0))</f>
        <v>Baltimore</v>
      </c>
      <c r="T52" s="397" t="str">
        <f>IF(+NFL!$F196="Baltimore",+NFL!T196,IF(+NFL!$H196="Baltimore",+NFL!T196,0))</f>
        <v>Baltimore</v>
      </c>
      <c r="U52" s="396" t="str">
        <f>IF(+NFL!$F196="Baltimore",+NFL!U196,IF(+NFL!$H196="Baltimore",+NFL!U196,0))</f>
        <v>L</v>
      </c>
      <c r="V52" s="397">
        <f>IF(+NFL!$F115="Baltimore",+NFL!#REF!,IF(+NFL!$H115="Baltimore",+NFL!#REF!,0))</f>
        <v>0</v>
      </c>
      <c r="W52" s="396">
        <f>IF(+NFL!$F115="Baltimore",+NFL!#REF!,IF(+NFL!$H115="Baltimore",+NFL!#REF!,0))</f>
        <v>0</v>
      </c>
      <c r="X52" s="397">
        <f>IF(+NFL!$F115="Baltimore",+NFL!#REF!,IF(+NFL!$H115="Baltimore",+NFL!#REF!,0))</f>
        <v>0</v>
      </c>
      <c r="Y52" s="396">
        <f>IF(+NFL!$F115="Baltimore",+NFL!#REF!,IF(+NFL!$H115="Baltimore",+NFL!#REF!,0))</f>
        <v>0</v>
      </c>
      <c r="Z52" s="397">
        <f>IF(+NFL!$F115="Baltimore",+NFL!#REF!,IF(+NFL!$H115="Baltimore",+NFL!#REF!,0))</f>
        <v>0</v>
      </c>
      <c r="AA52" s="396">
        <f>IF(+NFL!$F115="Baltimore",+NFL!#REF!,IF(+NFL!$H115="Baltimore",+NFL!#REF!,0))</f>
        <v>0</v>
      </c>
      <c r="AB52" s="87">
        <f>IF(+NFL!$F115="Baltimore",+NFL!#REF!,IF(+NFL!$H115="Baltimore",+NFL!#REF!,0))</f>
        <v>0</v>
      </c>
      <c r="AC52" s="120">
        <f>IF(+NFL!$F115="Baltimore",+NFL!#REF!,IF(+NFL!$H115="Baltimore",+NFL!#REF!,0))</f>
        <v>0</v>
      </c>
      <c r="AD52" s="353">
        <f>IF(+NFL!$F115="Baltimore",+NFL!#REF!,IF(+NFL!$H115="Baltimore",+NFL!#REF!,0))</f>
        <v>0</v>
      </c>
      <c r="AE52" s="379">
        <f>IF(+NFL!$F115="Baltimore",+NFL!#REF!,IF(+NFL!$H115="Baltimore",+NFL!#REF!,0))</f>
        <v>0</v>
      </c>
      <c r="AF52" s="353">
        <f>IF(+NFL!$F115="Baltimore",+NFL!#REF!,IF(+NFL!$H115="Baltimore",+NFL!#REF!,0))</f>
        <v>0</v>
      </c>
      <c r="AG52" s="379">
        <f>IF(+NFL!$F115="Baltimore",+NFL!#REF!,IF(+NFL!$H115="Baltimore",+NFL!#REF!,0))</f>
        <v>0</v>
      </c>
      <c r="AH52" s="353">
        <f>IF(+NFL!$F115="Baltimore",+NFL!#REF!,IF(+NFL!$H115="Baltimore",+NFL!#REF!,0))</f>
        <v>0</v>
      </c>
      <c r="AI52" s="379">
        <f>IF(+NFL!$F115="Baltimore",+NFL!#REF!,IF(+NFL!$H115="Baltimore",+NFL!#REF!,0))</f>
        <v>0</v>
      </c>
      <c r="AJ52" s="353">
        <f>IF(+NFL!$F115="Baltimore",+NFL!#REF!,IF(+NFL!$H115="Baltimore",+NFL!#REF!,0))</f>
        <v>0</v>
      </c>
      <c r="AK52" s="379">
        <f>IF(+NFL!$F115="Baltimore",+NFL!#REF!,IF(+NFL!$H115="Baltimore",+NFL!#REF!,0))</f>
        <v>0</v>
      </c>
      <c r="AL52" s="57">
        <f>IF(+NFL!$F115="Baltimore",+NFL!#REF!,IF(+NFL!$H115="Baltimore",+NFL!#REF!,0))</f>
        <v>0</v>
      </c>
      <c r="AM52" s="58">
        <f>IF(+NFL!$F115="Baltimore",+NFL!#REF!,IF(+NFL!$H115="Baltimore",+NFL!#REF!,0))</f>
        <v>0</v>
      </c>
      <c r="AN52" s="57">
        <f>IF(+NFL!$F115="Baltimore",+NFL!#REF!,IF(+NFL!$H115="Baltimore",+NFL!#REF!,0))</f>
        <v>0</v>
      </c>
      <c r="AO52" s="59">
        <f>IF(+NFL!$F115="Baltimore",+NFL!#REF!,IF(+NFL!$H115="Baltimore",+NFL!#REF!,0))</f>
        <v>0</v>
      </c>
      <c r="AP52" s="348">
        <f>IF(+NFL!$F115="Baltimore",+NFL!#REF!,IF(+NFL!$H115="Baltimore",+NFL!#REF!,0))</f>
        <v>0</v>
      </c>
      <c r="AQ52" s="48">
        <f>IF(+NFL!$F115="Baltimore",+NFL!#REF!,IF(+NFL!$H115="Baltimore",+NFL!#REF!,0))</f>
        <v>0</v>
      </c>
      <c r="AR52" s="57">
        <f>IF(+NFL!$F115="Baltimore",+NFL!#REF!,IF(+NFL!$H115="Baltimore",+NFL!#REF!,0))</f>
        <v>0</v>
      </c>
      <c r="AS52" s="64">
        <f>IF(+NFL!$F115="Baltimore",+NFL!#REF!,IF(+NFL!$H115="Baltimore",+NFL!#REF!,0))</f>
        <v>0</v>
      </c>
      <c r="AT52" s="64">
        <f>IF(+NFL!$F115="Baltimore",+NFL!#REF!,IF(+NFL!$H115="Baltimore",+NFL!#REF!,0))</f>
        <v>0</v>
      </c>
      <c r="AU52" s="57">
        <f>IF(+NFL!$F115="Baltimore",+NFL!#REF!,IF(+NFL!$H115="Baltimore",+NFL!#REF!,0))</f>
        <v>0</v>
      </c>
      <c r="AV52" s="64">
        <f>IF(+NFL!$F115="Baltimore",+NFL!#REF!,IF(+NFL!$H115="Baltimore",+NFL!#REF!,0))</f>
        <v>0</v>
      </c>
      <c r="AW52" s="46">
        <f>IF(+NFL!$F115="Baltimore",+NFL!#REF!,IF(+NFL!$H115="Baltimore",+NFL!#REF!,0))</f>
        <v>0</v>
      </c>
      <c r="AX52" s="64">
        <f>IF(+NFL!$F115="Baltimore",+NFL!#REF!,IF(+NFL!$H115="Baltimore",+NFL!#REF!,0))</f>
        <v>0</v>
      </c>
      <c r="AY52" s="57">
        <f>IF(+NFL!$F115="Baltimore",+NFL!#REF!,IF(+NFL!$H115="Baltimore",+NFL!#REF!,0))</f>
        <v>0</v>
      </c>
      <c r="AZ52" s="64">
        <f>IF(+NFL!$F115="Baltimore",+NFL!#REF!,IF(+NFL!$H115="Baltimore",+NFL!#REF!,0))</f>
        <v>0</v>
      </c>
      <c r="BA52" s="46">
        <f>IF(+NFL!$F115="Baltimore",+NFL!#REF!,IF(+NFL!$H115="Baltimore",+NFL!#REF!,0))</f>
        <v>0</v>
      </c>
      <c r="BB52" s="46">
        <f>IF(+NFL!$F115="Baltimore",+NFL!#REF!,IF(+NFL!$H115="Baltimore",+NFL!#REF!,0))</f>
        <v>0</v>
      </c>
      <c r="BC52" s="403">
        <f>IF(+NFL!$F115="Baltimore",+NFL!#REF!,IF(+NFL!$H115="Baltimore",+NFL!#REF!,0))</f>
        <v>0</v>
      </c>
      <c r="BD52" s="57">
        <f>IF(+NFL!$F115="Baltimore",+NFL!#REF!,IF(+NFL!$H115="Baltimore",+NFL!#REF!,0))</f>
        <v>0</v>
      </c>
      <c r="BE52" s="64">
        <f>IF(+NFL!$F115="Baltimore",+NFL!#REF!,IF(+NFL!$H115="Baltimore",+NFL!#REF!,0))</f>
        <v>0</v>
      </c>
      <c r="BF52" s="64">
        <f>IF(+NFL!$F115="Baltimore",+NFL!#REF!,IF(+NFL!$H115="Baltimore",+NFL!#REF!,0))</f>
        <v>0</v>
      </c>
      <c r="BG52" s="57">
        <f>IF(+NFL!$F115="Baltimore",+NFL!#REF!,IF(+NFL!$H115="Baltimore",+NFL!#REF!,0))</f>
        <v>0</v>
      </c>
      <c r="BH52" s="64">
        <f>IF(+NFL!$F115="Baltimore",+NFL!#REF!,IF(+NFL!$H115="Baltimore",+NFL!#REF!,0))</f>
        <v>0</v>
      </c>
      <c r="BI52" s="46">
        <f>IF(+NFL!$F115="Baltimore",+NFL!#REF!,IF(+NFL!$H115="Baltimore",+NFL!#REF!,0))</f>
        <v>0</v>
      </c>
      <c r="BJ52" s="87">
        <f>IF(+NFL!$F115="Baltimore",+NFL!#REF!,IF(+NFL!$H115="Baltimore",+NFL!#REF!,0))</f>
        <v>0</v>
      </c>
      <c r="BK52" s="120">
        <f>IF(+NFL!$F115="Baltimore",+NFL!#REF!,IF(+NFL!$H115="Baltimore",+NFL!#REF!,0))</f>
        <v>0</v>
      </c>
    </row>
    <row r="53" spans="1:63" x14ac:dyDescent="0.8">
      <c r="A53" s="46">
        <f>IF(+NFL!$F218="Baltimore",+NFL!A218,IF(+NFL!$H218="Baltimore",+NFL!A218,0))</f>
        <v>12</v>
      </c>
      <c r="B53" s="46" t="str">
        <f>IF(+NFL!$F218="Baltimore",+NFL!B218,IF(+NFL!$H218="Baltimore",+NFL!B218,0))</f>
        <v>Sun</v>
      </c>
      <c r="C53" s="62">
        <f>IF(+NFL!$F218="Baltimore",+NFL!C218,IF(+NFL!$H218="Baltimore",+NFL!C218,0))</f>
        <v>44892</v>
      </c>
      <c r="D53" s="490">
        <f>IF(+NFL!$F218="Baltimore",+NFL!D218,IF(+NFL!$H218="Baltimore",+NFL!D218,0))</f>
        <v>0.54166666666666663</v>
      </c>
      <c r="E53" s="46" t="str">
        <f>IF(+NFL!$F218="Baltimore",+NFL!E218,IF(+NFL!$H218="Baltimore",+NFL!E218,0))</f>
        <v>CBS</v>
      </c>
      <c r="F53" s="127" t="str">
        <f>IF(+NFL!$F218="Baltimore",+NFL!F218,IF(+NFL!$H218="Baltimore",+NFL!F218,0))</f>
        <v>Baltimore</v>
      </c>
      <c r="G53" s="46" t="str">
        <f>IF(+NFL!$F218="Baltimore",+NFL!G218,IF(+NFL!$H218="Baltimore",+NFL!G218,0))</f>
        <v>AFCN</v>
      </c>
      <c r="H53" s="127" t="str">
        <f>IF(+NFL!$F218="Baltimore",+NFL!H218,IF(+NFL!$H218="Baltimore",+NFL!H218,0))</f>
        <v>Jacksonville</v>
      </c>
      <c r="I53" s="46" t="str">
        <f>IF(+NFL!$F218="Baltimore",+NFL!I218,IF(+NFL!$H218="Baltimore",+NFL!I218,0))</f>
        <v>AFCS</v>
      </c>
      <c r="J53" s="353" t="str">
        <f>IF(+NFL!$F218="Baltimore",+NFL!J218,IF(+NFL!$H218="Baltimore",+NFL!J218,0))</f>
        <v>Baltimore</v>
      </c>
      <c r="K53" s="494" t="str">
        <f>IF(+NFL!$F218="Baltimore",+NFL!K218,IF(+NFL!$H218="Baltimore",+NFL!K218,0))</f>
        <v>Jacksonville</v>
      </c>
      <c r="L53" s="384">
        <f>IF(+NFL!$F218="Baltimore",+NFL!L218,IF(+NFL!$H218="Baltimore",+NFL!L218,0))</f>
        <v>3.5</v>
      </c>
      <c r="M53" s="385">
        <f>IF(+NFL!$F218="Baltimore",+NFL!M218,IF(+NFL!$H218="Baltimore",+NFL!M218,0))</f>
        <v>43.5</v>
      </c>
      <c r="N53" s="394" t="str">
        <f>IF(+NFL!$F218="Baltimore",+NFL!N218,IF(+NFL!$H218="Baltimore",+NFL!N218,0))</f>
        <v>Jacksonville</v>
      </c>
      <c r="O53" s="395">
        <f>IF(+NFL!$F218="Baltimore",+NFL!O218,IF(+NFL!$H218="Baltimore",+NFL!O218,0))</f>
        <v>28</v>
      </c>
      <c r="P53" s="394" t="str">
        <f>IF(+NFL!$F218="Baltimore",+NFL!P218,IF(+NFL!$H218="Baltimore",+NFL!P218,0))</f>
        <v>Baltimore</v>
      </c>
      <c r="Q53" s="396">
        <f>IF(+NFL!$F218="Baltimore",+NFL!Q218,IF(+NFL!$H218="Baltimore",+NFL!Q218,0))</f>
        <v>27</v>
      </c>
      <c r="R53" s="397" t="str">
        <f>IF(+NFL!$F218="Baltimore",+NFL!R218,IF(+NFL!$H218="Baltimore",+NFL!R218,0))</f>
        <v>Jacksonville</v>
      </c>
      <c r="S53" s="396" t="str">
        <f>IF(+NFL!$F218="Baltimore",+NFL!S218,IF(+NFL!$H218="Baltimore",+NFL!S218,0))</f>
        <v>Baltimore</v>
      </c>
      <c r="T53" s="397" t="str">
        <f>IF(+NFL!$F218="Baltimore",+NFL!T218,IF(+NFL!$H218="Baltimore",+NFL!T218,0))</f>
        <v>Baltimore</v>
      </c>
      <c r="U53" s="396" t="str">
        <f>IF(+NFL!$F218="Baltimore",+NFL!U218,IF(+NFL!$H218="Baltimore",+NFL!U218,0))</f>
        <v>L</v>
      </c>
      <c r="V53" s="397">
        <f>IF(+NFL!$F140="Baltimore",+NFL!#REF!,IF(+NFL!$H140="Baltimore",+NFL!#REF!,0))</f>
        <v>0</v>
      </c>
      <c r="W53" s="396">
        <f>IF(+NFL!$F140="Baltimore",+NFL!#REF!,IF(+NFL!$H140="Baltimore",+NFL!#REF!,0))</f>
        <v>0</v>
      </c>
      <c r="X53" s="397">
        <f>IF(+NFL!$F140="Baltimore",+NFL!#REF!,IF(+NFL!$H140="Baltimore",+NFL!#REF!,0))</f>
        <v>0</v>
      </c>
      <c r="Y53" s="396">
        <f>IF(+NFL!$F140="Baltimore",+NFL!#REF!,IF(+NFL!$H140="Baltimore",+NFL!#REF!,0))</f>
        <v>0</v>
      </c>
      <c r="Z53" s="397">
        <f>IF(+NFL!$F140="Baltimore",+NFL!#REF!,IF(+NFL!$H140="Baltimore",+NFL!#REF!,0))</f>
        <v>0</v>
      </c>
      <c r="AA53" s="396">
        <f>IF(+NFL!$F140="Baltimore",+NFL!#REF!,IF(+NFL!$H140="Baltimore",+NFL!#REF!,0))</f>
        <v>0</v>
      </c>
      <c r="AB53" s="87">
        <f>IF(+NFL!$F140="Baltimore",+NFL!#REF!,IF(+NFL!$H140="Baltimore",+NFL!#REF!,0))</f>
        <v>0</v>
      </c>
      <c r="AC53" s="120">
        <f>IF(+NFL!$F140="Baltimore",+NFL!#REF!,IF(+NFL!$H140="Baltimore",+NFL!#REF!,0))</f>
        <v>0</v>
      </c>
      <c r="AD53" s="353">
        <f>IF(+NFL!$F140="Baltimore",+NFL!#REF!,IF(+NFL!$H140="Baltimore",+NFL!#REF!,0))</f>
        <v>0</v>
      </c>
      <c r="AE53" s="379">
        <f>IF(+NFL!$F140="Baltimore",+NFL!#REF!,IF(+NFL!$H140="Baltimore",+NFL!#REF!,0))</f>
        <v>0</v>
      </c>
      <c r="AF53" s="353">
        <f>IF(+NFL!$F140="Baltimore",+NFL!#REF!,IF(+NFL!$H140="Baltimore",+NFL!#REF!,0))</f>
        <v>0</v>
      </c>
      <c r="AG53" s="379">
        <f>IF(+NFL!$F140="Baltimore",+NFL!#REF!,IF(+NFL!$H140="Baltimore",+NFL!#REF!,0))</f>
        <v>0</v>
      </c>
      <c r="AH53" s="353">
        <f>IF(+NFL!$F140="Baltimore",+NFL!#REF!,IF(+NFL!$H140="Baltimore",+NFL!#REF!,0))</f>
        <v>0</v>
      </c>
      <c r="AI53" s="379">
        <f>IF(+NFL!$F140="Baltimore",+NFL!#REF!,IF(+NFL!$H140="Baltimore",+NFL!#REF!,0))</f>
        <v>0</v>
      </c>
      <c r="AJ53" s="353">
        <f>IF(+NFL!$F140="Baltimore",+NFL!#REF!,IF(+NFL!$H140="Baltimore",+NFL!#REF!,0))</f>
        <v>0</v>
      </c>
      <c r="AK53" s="379">
        <f>IF(+NFL!$F140="Baltimore",+NFL!#REF!,IF(+NFL!$H140="Baltimore",+NFL!#REF!,0))</f>
        <v>0</v>
      </c>
      <c r="AL53" s="57">
        <f>IF(+NFL!$F140="Baltimore",+NFL!#REF!,IF(+NFL!$H140="Baltimore",+NFL!#REF!,0))</f>
        <v>0</v>
      </c>
      <c r="AM53" s="58">
        <f>IF(+NFL!$F140="Baltimore",+NFL!#REF!,IF(+NFL!$H140="Baltimore",+NFL!#REF!,0))</f>
        <v>0</v>
      </c>
      <c r="AN53" s="57">
        <f>IF(+NFL!$F140="Baltimore",+NFL!#REF!,IF(+NFL!$H140="Baltimore",+NFL!#REF!,0))</f>
        <v>0</v>
      </c>
      <c r="AO53" s="59">
        <f>IF(+NFL!$F140="Baltimore",+NFL!#REF!,IF(+NFL!$H140="Baltimore",+NFL!#REF!,0))</f>
        <v>0</v>
      </c>
      <c r="AP53" s="348">
        <f>IF(+NFL!$F140="Baltimore",+NFL!#REF!,IF(+NFL!$H140="Baltimore",+NFL!#REF!,0))</f>
        <v>0</v>
      </c>
      <c r="AQ53" s="48">
        <f>IF(+NFL!$F140="Baltimore",+NFL!#REF!,IF(+NFL!$H140="Baltimore",+NFL!#REF!,0))</f>
        <v>0</v>
      </c>
      <c r="AR53" s="57">
        <f>IF(+NFL!$F140="Baltimore",+NFL!#REF!,IF(+NFL!$H140="Baltimore",+NFL!#REF!,0))</f>
        <v>0</v>
      </c>
      <c r="AS53" s="64">
        <f>IF(+NFL!$F140="Baltimore",+NFL!#REF!,IF(+NFL!$H140="Baltimore",+NFL!#REF!,0))</f>
        <v>0</v>
      </c>
      <c r="AT53" s="64">
        <f>IF(+NFL!$F140="Baltimore",+NFL!#REF!,IF(+NFL!$H140="Baltimore",+NFL!#REF!,0))</f>
        <v>0</v>
      </c>
      <c r="AU53" s="57">
        <f>IF(+NFL!$F140="Baltimore",+NFL!#REF!,IF(+NFL!$H140="Baltimore",+NFL!#REF!,0))</f>
        <v>0</v>
      </c>
      <c r="AV53" s="64">
        <f>IF(+NFL!$F140="Baltimore",+NFL!#REF!,IF(+NFL!$H140="Baltimore",+NFL!#REF!,0))</f>
        <v>0</v>
      </c>
      <c r="AW53" s="46">
        <f>IF(+NFL!$F140="Baltimore",+NFL!#REF!,IF(+NFL!$H140="Baltimore",+NFL!#REF!,0))</f>
        <v>0</v>
      </c>
      <c r="AX53" s="64">
        <f>IF(+NFL!$F140="Baltimore",+NFL!#REF!,IF(+NFL!$H140="Baltimore",+NFL!#REF!,0))</f>
        <v>0</v>
      </c>
      <c r="AY53" s="57">
        <f>IF(+NFL!$F140="Baltimore",+NFL!#REF!,IF(+NFL!$H140="Baltimore",+NFL!#REF!,0))</f>
        <v>0</v>
      </c>
      <c r="AZ53" s="64">
        <f>IF(+NFL!$F140="Baltimore",+NFL!#REF!,IF(+NFL!$H140="Baltimore",+NFL!#REF!,0))</f>
        <v>0</v>
      </c>
      <c r="BA53" s="46">
        <f>IF(+NFL!$F140="Baltimore",+NFL!#REF!,IF(+NFL!$H140="Baltimore",+NFL!#REF!,0))</f>
        <v>0</v>
      </c>
      <c r="BB53" s="46">
        <f>IF(+NFL!$F140="Baltimore",+NFL!#REF!,IF(+NFL!$H140="Baltimore",+NFL!#REF!,0))</f>
        <v>0</v>
      </c>
      <c r="BC53" s="403">
        <f>IF(+NFL!$F140="Baltimore",+NFL!#REF!,IF(+NFL!$H140="Baltimore",+NFL!#REF!,0))</f>
        <v>0</v>
      </c>
      <c r="BD53" s="57">
        <f>IF(+NFL!$F140="Baltimore",+NFL!#REF!,IF(+NFL!$H140="Baltimore",+NFL!#REF!,0))</f>
        <v>0</v>
      </c>
      <c r="BE53" s="64">
        <f>IF(+NFL!$F140="Baltimore",+NFL!#REF!,IF(+NFL!$H140="Baltimore",+NFL!#REF!,0))</f>
        <v>0</v>
      </c>
      <c r="BF53" s="64">
        <f>IF(+NFL!$F140="Baltimore",+NFL!#REF!,IF(+NFL!$H140="Baltimore",+NFL!#REF!,0))</f>
        <v>0</v>
      </c>
      <c r="BG53" s="57">
        <f>IF(+NFL!$F140="Baltimore",+NFL!#REF!,IF(+NFL!$H140="Baltimore",+NFL!#REF!,0))</f>
        <v>0</v>
      </c>
      <c r="BH53" s="64">
        <f>IF(+NFL!$F140="Baltimore",+NFL!#REF!,IF(+NFL!$H140="Baltimore",+NFL!#REF!,0))</f>
        <v>0</v>
      </c>
      <c r="BI53" s="46">
        <f>IF(+NFL!$F140="Baltimore",+NFL!#REF!,IF(+NFL!$H140="Baltimore",+NFL!#REF!,0))</f>
        <v>0</v>
      </c>
      <c r="BJ53" s="87">
        <f>IF(+NFL!$F140="Baltimore",+NFL!#REF!,IF(+NFL!$H140="Baltimore",+NFL!#REF!,0))</f>
        <v>0</v>
      </c>
      <c r="BK53" s="120">
        <f>IF(+NFL!$F140="Baltimore",+NFL!#REF!,IF(+NFL!$H140="Baltimore",+NFL!#REF!,0))</f>
        <v>0</v>
      </c>
    </row>
    <row r="54" spans="1:63" x14ac:dyDescent="0.8">
      <c r="A54" s="46">
        <f>IF(+NFL!$F233="Baltimore",+NFL!A233,IF(+NFL!$H233="Baltimore",+NFL!A233,0))</f>
        <v>13</v>
      </c>
      <c r="B54" s="46" t="str">
        <f>IF(+NFL!$F233="Baltimore",+NFL!B233,IF(+NFL!$H233="Baltimore",+NFL!B233,0))</f>
        <v>Sun</v>
      </c>
      <c r="C54" s="62">
        <f>IF(+NFL!$F233="Baltimore",+NFL!C233,IF(+NFL!$H233="Baltimore",+NFL!C233,0))</f>
        <v>44899</v>
      </c>
      <c r="D54" s="490">
        <f>IF(+NFL!$F233="Baltimore",+NFL!D233,IF(+NFL!$H233="Baltimore",+NFL!D233,0))</f>
        <v>0.54166666666666663</v>
      </c>
      <c r="E54" s="46" t="str">
        <f>IF(+NFL!$F233="Baltimore",+NFL!E233,IF(+NFL!$H233="Baltimore",+NFL!E233,0))</f>
        <v>CBS</v>
      </c>
      <c r="F54" s="127" t="str">
        <f>IF(+NFL!$F233="Baltimore",+NFL!F233,IF(+NFL!$H233="Baltimore",+NFL!F233,0))</f>
        <v>Denver</v>
      </c>
      <c r="G54" s="46" t="str">
        <f>IF(+NFL!$F233="Baltimore",+NFL!G233,IF(+NFL!$H233="Baltimore",+NFL!G233,0))</f>
        <v>AFCW</v>
      </c>
      <c r="H54" s="127" t="str">
        <f>IF(+NFL!$F233="Baltimore",+NFL!H233,IF(+NFL!$H233="Baltimore",+NFL!H233,0))</f>
        <v>Baltimore</v>
      </c>
      <c r="I54" s="46" t="str">
        <f>IF(+NFL!$F233="Baltimore",+NFL!I233,IF(+NFL!$H233="Baltimore",+NFL!I233,0))</f>
        <v>AFCN</v>
      </c>
      <c r="J54" s="353" t="str">
        <f>IF(+NFL!$F233="Baltimore",+NFL!J233,IF(+NFL!$H233="Baltimore",+NFL!J233,0))</f>
        <v>Baltimore</v>
      </c>
      <c r="K54" s="494" t="str">
        <f>IF(+NFL!$F233="Baltimore",+NFL!K233,IF(+NFL!$H233="Baltimore",+NFL!K233,0))</f>
        <v>Denver</v>
      </c>
      <c r="L54" s="384">
        <f>IF(+NFL!$F233="Baltimore",+NFL!L233,IF(+NFL!$H233="Baltimore",+NFL!L233,0))</f>
        <v>8.5</v>
      </c>
      <c r="M54" s="385">
        <f>IF(+NFL!$F233="Baltimore",+NFL!M233,IF(+NFL!$H233="Baltimore",+NFL!M233,0))</f>
        <v>38.5</v>
      </c>
      <c r="N54" s="394" t="str">
        <f>IF(+NFL!$F233="Baltimore",+NFL!N233,IF(+NFL!$H233="Baltimore",+NFL!N233,0))</f>
        <v>Baltimore</v>
      </c>
      <c r="O54" s="395">
        <f>IF(+NFL!$F233="Baltimore",+NFL!O233,IF(+NFL!$H233="Baltimore",+NFL!O233,0))</f>
        <v>10</v>
      </c>
      <c r="P54" s="394" t="str">
        <f>IF(+NFL!$F233="Baltimore",+NFL!P233,IF(+NFL!$H233="Baltimore",+NFL!P233,0))</f>
        <v>Denver</v>
      </c>
      <c r="Q54" s="396">
        <f>IF(+NFL!$F233="Baltimore",+NFL!Q233,IF(+NFL!$H233="Baltimore",+NFL!Q233,0))</f>
        <v>9</v>
      </c>
      <c r="R54" s="397" t="str">
        <f>IF(+NFL!$F233="Baltimore",+NFL!R233,IF(+NFL!$H233="Baltimore",+NFL!R233,0))</f>
        <v>Denver</v>
      </c>
      <c r="S54" s="396" t="str">
        <f>IF(+NFL!$F233="Baltimore",+NFL!S233,IF(+NFL!$H233="Baltimore",+NFL!S233,0))</f>
        <v>Baltimore</v>
      </c>
      <c r="T54" s="397" t="str">
        <f>IF(+NFL!$F233="Baltimore",+NFL!T233,IF(+NFL!$H233="Baltimore",+NFL!T233,0))</f>
        <v>Denver</v>
      </c>
      <c r="U54" s="396" t="str">
        <f>IF(+NFL!$F233="Baltimore",+NFL!U233,IF(+NFL!$H233="Baltimore",+NFL!U233,0))</f>
        <v>W</v>
      </c>
      <c r="V54" s="397">
        <f>IF(+NFL!$F167="Baltimore",+NFL!#REF!,IF(+NFL!$H167="Baltimore",+NFL!#REF!,0))</f>
        <v>0</v>
      </c>
      <c r="W54" s="396">
        <f>IF(+NFL!$F167="Baltimore",+NFL!#REF!,IF(+NFL!$H167="Baltimore",+NFL!#REF!,0))</f>
        <v>0</v>
      </c>
      <c r="X54" s="397">
        <f>IF(+NFL!$F167="Baltimore",+NFL!#REF!,IF(+NFL!$H167="Baltimore",+NFL!#REF!,0))</f>
        <v>0</v>
      </c>
      <c r="Y54" s="396">
        <f>IF(+NFL!$F167="Baltimore",+NFL!#REF!,IF(+NFL!$H167="Baltimore",+NFL!#REF!,0))</f>
        <v>0</v>
      </c>
      <c r="Z54" s="397">
        <f>IF(+NFL!$F167="Baltimore",+NFL!#REF!,IF(+NFL!$H167="Baltimore",+NFL!#REF!,0))</f>
        <v>0</v>
      </c>
      <c r="AA54" s="396">
        <f>IF(+NFL!$F167="Baltimore",+NFL!#REF!,IF(+NFL!$H167="Baltimore",+NFL!#REF!,0))</f>
        <v>0</v>
      </c>
      <c r="AB54" s="87">
        <f>IF(+NFL!$F167="Baltimore",+NFL!#REF!,IF(+NFL!$H167="Baltimore",+NFL!#REF!,0))</f>
        <v>0</v>
      </c>
      <c r="AC54" s="120">
        <f>IF(+NFL!$F167="Baltimore",+NFL!#REF!,IF(+NFL!$H167="Baltimore",+NFL!#REF!,0))</f>
        <v>0</v>
      </c>
      <c r="AD54" s="353">
        <f>IF(+NFL!$F167="Baltimore",+NFL!#REF!,IF(+NFL!$H167="Baltimore",+NFL!#REF!,0))</f>
        <v>0</v>
      </c>
      <c r="AE54" s="379">
        <f>IF(+NFL!$F167="Baltimore",+NFL!#REF!,IF(+NFL!$H167="Baltimore",+NFL!#REF!,0))</f>
        <v>0</v>
      </c>
      <c r="AF54" s="353">
        <f>IF(+NFL!$F167="Baltimore",+NFL!#REF!,IF(+NFL!$H167="Baltimore",+NFL!#REF!,0))</f>
        <v>0</v>
      </c>
      <c r="AG54" s="379">
        <f>IF(+NFL!$F167="Baltimore",+NFL!#REF!,IF(+NFL!$H167="Baltimore",+NFL!#REF!,0))</f>
        <v>0</v>
      </c>
      <c r="AH54" s="353">
        <f>IF(+NFL!$F167="Baltimore",+NFL!#REF!,IF(+NFL!$H167="Baltimore",+NFL!#REF!,0))</f>
        <v>0</v>
      </c>
      <c r="AI54" s="379">
        <f>IF(+NFL!$F167="Baltimore",+NFL!#REF!,IF(+NFL!$H167="Baltimore",+NFL!#REF!,0))</f>
        <v>0</v>
      </c>
      <c r="AJ54" s="353">
        <f>IF(+NFL!$F167="Baltimore",+NFL!#REF!,IF(+NFL!$H167="Baltimore",+NFL!#REF!,0))</f>
        <v>0</v>
      </c>
      <c r="AK54" s="379">
        <f>IF(+NFL!$F167="Baltimore",+NFL!#REF!,IF(+NFL!$H167="Baltimore",+NFL!#REF!,0))</f>
        <v>0</v>
      </c>
      <c r="AL54" s="57">
        <f>IF(+NFL!$F167="Baltimore",+NFL!#REF!,IF(+NFL!$H167="Baltimore",+NFL!#REF!,0))</f>
        <v>0</v>
      </c>
      <c r="AM54" s="58">
        <f>IF(+NFL!$F167="Baltimore",+NFL!#REF!,IF(+NFL!$H167="Baltimore",+NFL!#REF!,0))</f>
        <v>0</v>
      </c>
      <c r="AN54" s="57">
        <f>IF(+NFL!$F167="Baltimore",+NFL!#REF!,IF(+NFL!$H167="Baltimore",+NFL!#REF!,0))</f>
        <v>0</v>
      </c>
      <c r="AO54" s="59">
        <f>IF(+NFL!$F167="Baltimore",+NFL!#REF!,IF(+NFL!$H167="Baltimore",+NFL!#REF!,0))</f>
        <v>0</v>
      </c>
      <c r="AP54" s="348">
        <f>IF(+NFL!$F167="Baltimore",+NFL!#REF!,IF(+NFL!$H167="Baltimore",+NFL!#REF!,0))</f>
        <v>0</v>
      </c>
      <c r="AQ54" s="48">
        <f>IF(+NFL!$F167="Baltimore",+NFL!#REF!,IF(+NFL!$H167="Baltimore",+NFL!#REF!,0))</f>
        <v>0</v>
      </c>
      <c r="AR54" s="57">
        <f>IF(+NFL!$F167="Baltimore",+NFL!#REF!,IF(+NFL!$H167="Baltimore",+NFL!#REF!,0))</f>
        <v>0</v>
      </c>
      <c r="AS54" s="64">
        <f>IF(+NFL!$F167="Baltimore",+NFL!#REF!,IF(+NFL!$H167="Baltimore",+NFL!#REF!,0))</f>
        <v>0</v>
      </c>
      <c r="AT54" s="64">
        <f>IF(+NFL!$F167="Baltimore",+NFL!#REF!,IF(+NFL!$H167="Baltimore",+NFL!#REF!,0))</f>
        <v>0</v>
      </c>
      <c r="AU54" s="57">
        <f>IF(+NFL!$F167="Baltimore",+NFL!#REF!,IF(+NFL!$H167="Baltimore",+NFL!#REF!,0))</f>
        <v>0</v>
      </c>
      <c r="AV54" s="64">
        <f>IF(+NFL!$F167="Baltimore",+NFL!#REF!,IF(+NFL!$H167="Baltimore",+NFL!#REF!,0))</f>
        <v>0</v>
      </c>
      <c r="AW54" s="46">
        <f>IF(+NFL!$F167="Baltimore",+NFL!#REF!,IF(+NFL!$H167="Baltimore",+NFL!#REF!,0))</f>
        <v>0</v>
      </c>
      <c r="AX54" s="64">
        <f>IF(+NFL!$F167="Baltimore",+NFL!#REF!,IF(+NFL!$H167="Baltimore",+NFL!#REF!,0))</f>
        <v>0</v>
      </c>
      <c r="AY54" s="57">
        <f>IF(+NFL!$F167="Baltimore",+NFL!#REF!,IF(+NFL!$H167="Baltimore",+NFL!#REF!,0))</f>
        <v>0</v>
      </c>
      <c r="AZ54" s="64">
        <f>IF(+NFL!$F167="Baltimore",+NFL!#REF!,IF(+NFL!$H167="Baltimore",+NFL!#REF!,0))</f>
        <v>0</v>
      </c>
      <c r="BA54" s="46">
        <f>IF(+NFL!$F167="Baltimore",+NFL!#REF!,IF(+NFL!$H167="Baltimore",+NFL!#REF!,0))</f>
        <v>0</v>
      </c>
      <c r="BB54" s="46">
        <f>IF(+NFL!$F167="Baltimore",+NFL!#REF!,IF(+NFL!$H167="Baltimore",+NFL!#REF!,0))</f>
        <v>0</v>
      </c>
      <c r="BC54" s="403">
        <f>IF(+NFL!$F167="Baltimore",+NFL!#REF!,IF(+NFL!$H167="Baltimore",+NFL!#REF!,0))</f>
        <v>0</v>
      </c>
      <c r="BD54" s="57">
        <f>IF(+NFL!$F167="Baltimore",+NFL!#REF!,IF(+NFL!$H167="Baltimore",+NFL!#REF!,0))</f>
        <v>0</v>
      </c>
      <c r="BE54" s="64">
        <f>IF(+NFL!$F167="Baltimore",+NFL!#REF!,IF(+NFL!$H167="Baltimore",+NFL!#REF!,0))</f>
        <v>0</v>
      </c>
      <c r="BF54" s="64">
        <f>IF(+NFL!$F167="Baltimore",+NFL!#REF!,IF(+NFL!$H167="Baltimore",+NFL!#REF!,0))</f>
        <v>0</v>
      </c>
      <c r="BG54" s="57">
        <f>IF(+NFL!$F167="Baltimore",+NFL!#REF!,IF(+NFL!$H167="Baltimore",+NFL!#REF!,0))</f>
        <v>0</v>
      </c>
      <c r="BH54" s="64">
        <f>IF(+NFL!$F167="Baltimore",+NFL!#REF!,IF(+NFL!$H167="Baltimore",+NFL!#REF!,0))</f>
        <v>0</v>
      </c>
      <c r="BI54" s="46">
        <f>IF(+NFL!$F167="Baltimore",+NFL!#REF!,IF(+NFL!$H167="Baltimore",+NFL!#REF!,0))</f>
        <v>0</v>
      </c>
      <c r="BJ54" s="87">
        <f>IF(+NFL!$F167="Baltimore",+NFL!#REF!,IF(+NFL!$H167="Baltimore",+NFL!#REF!,0))</f>
        <v>0</v>
      </c>
      <c r="BK54" s="120">
        <f>IF(+NFL!$F167="Baltimore",+NFL!#REF!,IF(+NFL!$H167="Baltimore",+NFL!#REF!,0))</f>
        <v>0</v>
      </c>
    </row>
    <row r="55" spans="1:63" x14ac:dyDescent="0.8">
      <c r="A55" s="46">
        <f>IF(+NFL!$F252="Baltimore",+NFL!A252,IF(+NFL!$H252="Baltimore",+NFL!A252,0))</f>
        <v>14</v>
      </c>
      <c r="B55" s="46" t="str">
        <f>IF(+NFL!$F252="Baltimore",+NFL!B252,IF(+NFL!$H252="Baltimore",+NFL!B252,0))</f>
        <v>Sun</v>
      </c>
      <c r="C55" s="62">
        <f>IF(+NFL!$F252="Baltimore",+NFL!C252,IF(+NFL!$H252="Baltimore",+NFL!C252,0))</f>
        <v>44906</v>
      </c>
      <c r="D55" s="490">
        <f>IF(+NFL!$F252="Baltimore",+NFL!D252,IF(+NFL!$H252="Baltimore",+NFL!D252,0))</f>
        <v>0.54166666666666663</v>
      </c>
      <c r="E55" s="46" t="str">
        <f>IF(+NFL!$F252="Baltimore",+NFL!E252,IF(+NFL!$H252="Baltimore",+NFL!E252,0))</f>
        <v>CBS</v>
      </c>
      <c r="F55" s="127" t="str">
        <f>IF(+NFL!$F252="Baltimore",+NFL!F252,IF(+NFL!$H252="Baltimore",+NFL!F252,0))</f>
        <v>Baltimore</v>
      </c>
      <c r="G55" s="46" t="str">
        <f>IF(+NFL!$F252="Baltimore",+NFL!G252,IF(+NFL!$H252="Baltimore",+NFL!G252,0))</f>
        <v>AFCN</v>
      </c>
      <c r="H55" s="127" t="str">
        <f>IF(+NFL!$F252="Baltimore",+NFL!H252,IF(+NFL!$H252="Baltimore",+NFL!H252,0))</f>
        <v>Pittsburgh</v>
      </c>
      <c r="I55" s="46" t="str">
        <f>IF(+NFL!$F252="Baltimore",+NFL!I252,IF(+NFL!$H252="Baltimore",+NFL!I252,0))</f>
        <v>AFCN</v>
      </c>
      <c r="J55" s="353" t="str">
        <f>IF(+NFL!$F252="Baltimore",+NFL!J252,IF(+NFL!$H252="Baltimore",+NFL!J252,0))</f>
        <v>Pittsburgh</v>
      </c>
      <c r="K55" s="494" t="str">
        <f>IF(+NFL!$F252="Baltimore",+NFL!K252,IF(+NFL!$H252="Baltimore",+NFL!K252,0))</f>
        <v>Baltimore</v>
      </c>
      <c r="L55" s="384">
        <f>IF(+NFL!$F252="Baltimore",+NFL!L252,IF(+NFL!$H252="Baltimore",+NFL!L252,0))</f>
        <v>2.5</v>
      </c>
      <c r="M55" s="385">
        <f>IF(+NFL!$F252="Baltimore",+NFL!M252,IF(+NFL!$H252="Baltimore",+NFL!M252,0))</f>
        <v>36.5</v>
      </c>
      <c r="N55" s="394" t="str">
        <f>IF(+NFL!$F252="Baltimore",+NFL!N252,IF(+NFL!$H252="Baltimore",+NFL!N252,0))</f>
        <v>Baltimore</v>
      </c>
      <c r="O55" s="395">
        <f>IF(+NFL!$F252="Baltimore",+NFL!O252,IF(+NFL!$H252="Baltimore",+NFL!O252,0))</f>
        <v>16</v>
      </c>
      <c r="P55" s="394" t="str">
        <f>IF(+NFL!$F252="Baltimore",+NFL!P252,IF(+NFL!$H252="Baltimore",+NFL!P252,0))</f>
        <v>Pittsburgh</v>
      </c>
      <c r="Q55" s="396">
        <f>IF(+NFL!$F252="Baltimore",+NFL!Q252,IF(+NFL!$H252="Baltimore",+NFL!Q252,0))</f>
        <v>14</v>
      </c>
      <c r="R55" s="397" t="str">
        <f>IF(+NFL!$F252="Baltimore",+NFL!R252,IF(+NFL!$H252="Baltimore",+NFL!R252,0))</f>
        <v>Baltimore</v>
      </c>
      <c r="S55" s="396" t="str">
        <f>IF(+NFL!$F252="Baltimore",+NFL!S252,IF(+NFL!$H252="Baltimore",+NFL!S252,0))</f>
        <v>Pittsburgh</v>
      </c>
      <c r="T55" s="397">
        <f>IF(+NFL!$F252="Baltimore",+NFL!T252,IF(+NFL!$H252="Baltimore",+NFL!T252,0))</f>
        <v>0</v>
      </c>
      <c r="U55" s="396" t="str">
        <f>IF(+NFL!$F252="Baltimore",+NFL!U252,IF(+NFL!$H252="Baltimore",+NFL!U252,0))</f>
        <v>L</v>
      </c>
      <c r="V55" s="397">
        <f>IF(+NFL!$F185="Baltimore",+NFL!#REF!,IF(+NFL!$H185="Baltimore",+NFL!#REF!,0))</f>
        <v>0</v>
      </c>
      <c r="W55" s="396">
        <f>IF(+NFL!$F185="Baltimore",+NFL!#REF!,IF(+NFL!$H185="Baltimore",+NFL!#REF!,0))</f>
        <v>0</v>
      </c>
      <c r="X55" s="397">
        <f>IF(+NFL!$F185="Baltimore",+NFL!#REF!,IF(+NFL!$H185="Baltimore",+NFL!#REF!,0))</f>
        <v>0</v>
      </c>
      <c r="Y55" s="396">
        <f>IF(+NFL!$F185="Baltimore",+NFL!#REF!,IF(+NFL!$H185="Baltimore",+NFL!#REF!,0))</f>
        <v>0</v>
      </c>
      <c r="Z55" s="397">
        <f>IF(+NFL!$F185="Baltimore",+NFL!#REF!,IF(+NFL!$H185="Baltimore",+NFL!#REF!,0))</f>
        <v>0</v>
      </c>
      <c r="AA55" s="396">
        <f>IF(+NFL!$F185="Baltimore",+NFL!#REF!,IF(+NFL!$H185="Baltimore",+NFL!#REF!,0))</f>
        <v>0</v>
      </c>
      <c r="AB55" s="87">
        <f>IF(+NFL!$F185="Baltimore",+NFL!#REF!,IF(+NFL!$H185="Baltimore",+NFL!#REF!,0))</f>
        <v>0</v>
      </c>
      <c r="AC55" s="120">
        <f>IF(+NFL!$F185="Baltimore",+NFL!#REF!,IF(+NFL!$H185="Baltimore",+NFL!#REF!,0))</f>
        <v>0</v>
      </c>
      <c r="AD55" s="353">
        <f>IF(+NFL!$F185="Baltimore",+NFL!#REF!,IF(+NFL!$H185="Baltimore",+NFL!#REF!,0))</f>
        <v>0</v>
      </c>
      <c r="AE55" s="379">
        <f>IF(+NFL!$F185="Baltimore",+NFL!#REF!,IF(+NFL!$H185="Baltimore",+NFL!#REF!,0))</f>
        <v>0</v>
      </c>
      <c r="AF55" s="353">
        <f>IF(+NFL!$F185="Baltimore",+NFL!#REF!,IF(+NFL!$H185="Baltimore",+NFL!#REF!,0))</f>
        <v>0</v>
      </c>
      <c r="AG55" s="379">
        <f>IF(+NFL!$F185="Baltimore",+NFL!#REF!,IF(+NFL!$H185="Baltimore",+NFL!#REF!,0))</f>
        <v>0</v>
      </c>
      <c r="AH55" s="353">
        <f>IF(+NFL!$F185="Baltimore",+NFL!#REF!,IF(+NFL!$H185="Baltimore",+NFL!#REF!,0))</f>
        <v>0</v>
      </c>
      <c r="AI55" s="379">
        <f>IF(+NFL!$F185="Baltimore",+NFL!#REF!,IF(+NFL!$H185="Baltimore",+NFL!#REF!,0))</f>
        <v>0</v>
      </c>
      <c r="AJ55" s="353">
        <f>IF(+NFL!$F185="Baltimore",+NFL!#REF!,IF(+NFL!$H185="Baltimore",+NFL!#REF!,0))</f>
        <v>0</v>
      </c>
      <c r="AK55" s="379">
        <f>IF(+NFL!$F185="Baltimore",+NFL!#REF!,IF(+NFL!$H185="Baltimore",+NFL!#REF!,0))</f>
        <v>0</v>
      </c>
      <c r="AL55" s="57">
        <f>IF(+NFL!$F185="Baltimore",+NFL!#REF!,IF(+NFL!$H185="Baltimore",+NFL!#REF!,0))</f>
        <v>0</v>
      </c>
      <c r="AM55" s="58">
        <f>IF(+NFL!$F185="Baltimore",+NFL!#REF!,IF(+NFL!$H185="Baltimore",+NFL!#REF!,0))</f>
        <v>0</v>
      </c>
      <c r="AN55" s="57">
        <f>IF(+NFL!$F185="Baltimore",+NFL!#REF!,IF(+NFL!$H185="Baltimore",+NFL!#REF!,0))</f>
        <v>0</v>
      </c>
      <c r="AO55" s="59">
        <f>IF(+NFL!$F185="Baltimore",+NFL!#REF!,IF(+NFL!$H185="Baltimore",+NFL!#REF!,0))</f>
        <v>0</v>
      </c>
      <c r="AP55" s="348">
        <f>IF(+NFL!$F185="Baltimore",+NFL!#REF!,IF(+NFL!$H185="Baltimore",+NFL!#REF!,0))</f>
        <v>0</v>
      </c>
      <c r="AQ55" s="48">
        <f>IF(+NFL!$F185="Baltimore",+NFL!#REF!,IF(+NFL!$H185="Baltimore",+NFL!#REF!,0))</f>
        <v>0</v>
      </c>
      <c r="AR55" s="57">
        <f>IF(+NFL!$F185="Baltimore",+NFL!#REF!,IF(+NFL!$H185="Baltimore",+NFL!#REF!,0))</f>
        <v>0</v>
      </c>
      <c r="AS55" s="64">
        <f>IF(+NFL!$F185="Baltimore",+NFL!#REF!,IF(+NFL!$H185="Baltimore",+NFL!#REF!,0))</f>
        <v>0</v>
      </c>
      <c r="AT55" s="64">
        <f>IF(+NFL!$F185="Baltimore",+NFL!#REF!,IF(+NFL!$H185="Baltimore",+NFL!#REF!,0))</f>
        <v>0</v>
      </c>
      <c r="AU55" s="57">
        <f>IF(+NFL!$F185="Baltimore",+NFL!#REF!,IF(+NFL!$H185="Baltimore",+NFL!#REF!,0))</f>
        <v>0</v>
      </c>
      <c r="AV55" s="64">
        <f>IF(+NFL!$F185="Baltimore",+NFL!#REF!,IF(+NFL!$H185="Baltimore",+NFL!#REF!,0))</f>
        <v>0</v>
      </c>
      <c r="AW55" s="46">
        <f>IF(+NFL!$F185="Baltimore",+NFL!#REF!,IF(+NFL!$H185="Baltimore",+NFL!#REF!,0))</f>
        <v>0</v>
      </c>
      <c r="AX55" s="64">
        <f>IF(+NFL!$F185="Baltimore",+NFL!#REF!,IF(+NFL!$H185="Baltimore",+NFL!#REF!,0))</f>
        <v>0</v>
      </c>
      <c r="AY55" s="57">
        <f>IF(+NFL!$F185="Baltimore",+NFL!#REF!,IF(+NFL!$H185="Baltimore",+NFL!#REF!,0))</f>
        <v>0</v>
      </c>
      <c r="AZ55" s="64">
        <f>IF(+NFL!$F185="Baltimore",+NFL!#REF!,IF(+NFL!$H185="Baltimore",+NFL!#REF!,0))</f>
        <v>0</v>
      </c>
      <c r="BA55" s="46">
        <f>IF(+NFL!$F185="Baltimore",+NFL!#REF!,IF(+NFL!$H185="Baltimore",+NFL!#REF!,0))</f>
        <v>0</v>
      </c>
      <c r="BB55" s="46">
        <f>IF(+NFL!$F185="Baltimore",+NFL!#REF!,IF(+NFL!$H185="Baltimore",+NFL!#REF!,0))</f>
        <v>0</v>
      </c>
      <c r="BC55" s="403">
        <f>IF(+NFL!$F185="Baltimore",+NFL!#REF!,IF(+NFL!$H185="Baltimore",+NFL!#REF!,0))</f>
        <v>0</v>
      </c>
      <c r="BD55" s="57">
        <f>IF(+NFL!$F185="Baltimore",+NFL!#REF!,IF(+NFL!$H185="Baltimore",+NFL!#REF!,0))</f>
        <v>0</v>
      </c>
      <c r="BE55" s="64">
        <f>IF(+NFL!$F185="Baltimore",+NFL!#REF!,IF(+NFL!$H185="Baltimore",+NFL!#REF!,0))</f>
        <v>0</v>
      </c>
      <c r="BF55" s="64">
        <f>IF(+NFL!$F185="Baltimore",+NFL!#REF!,IF(+NFL!$H185="Baltimore",+NFL!#REF!,0))</f>
        <v>0</v>
      </c>
      <c r="BG55" s="57">
        <f>IF(+NFL!$F185="Baltimore",+NFL!#REF!,IF(+NFL!$H185="Baltimore",+NFL!#REF!,0))</f>
        <v>0</v>
      </c>
      <c r="BH55" s="64">
        <f>IF(+NFL!$F185="Baltimore",+NFL!#REF!,IF(+NFL!$H185="Baltimore",+NFL!#REF!,0))</f>
        <v>0</v>
      </c>
      <c r="BI55" s="46">
        <f>IF(+NFL!$F185="Baltimore",+NFL!#REF!,IF(+NFL!$H185="Baltimore",+NFL!#REF!,0))</f>
        <v>0</v>
      </c>
      <c r="BJ55" s="87">
        <f>IF(+NFL!$F185="Baltimore",+NFL!#REF!,IF(+NFL!$H185="Baltimore",+NFL!#REF!,0))</f>
        <v>0</v>
      </c>
      <c r="BK55" s="120">
        <f>IF(+NFL!$F185="Baltimore",+NFL!#REF!,IF(+NFL!$H185="Baltimore",+NFL!#REF!,0))</f>
        <v>0</v>
      </c>
    </row>
    <row r="56" spans="1:63" x14ac:dyDescent="0.8">
      <c r="A56" s="46">
        <f>IF(+NFL!$F268="Baltimore",+NFL!A268,IF(+NFL!$H268="Baltimore",+NFL!A268,0))</f>
        <v>15</v>
      </c>
      <c r="B56" s="46" t="str">
        <f>IF(+NFL!$F268="Baltimore",+NFL!B268,IF(+NFL!$H268="Baltimore",+NFL!B268,0))</f>
        <v>Sun</v>
      </c>
      <c r="C56" s="62">
        <f>IF(+NFL!$F268="Baltimore",+NFL!C268,IF(+NFL!$H268="Baltimore",+NFL!C268,0))</f>
        <v>44913</v>
      </c>
      <c r="D56" s="490">
        <f>IF(+NFL!$F268="Baltimore",+NFL!D268,IF(+NFL!$H268="Baltimore",+NFL!D268,0))</f>
        <v>0.54166666666666663</v>
      </c>
      <c r="E56" s="46" t="str">
        <f>IF(+NFL!$F268="Baltimore",+NFL!E268,IF(+NFL!$H268="Baltimore",+NFL!E268,0))</f>
        <v>CBS</v>
      </c>
      <c r="F56" s="127" t="str">
        <f>IF(+NFL!$F268="Baltimore",+NFL!F268,IF(+NFL!$H268="Baltimore",+NFL!F268,0))</f>
        <v>Baltimore</v>
      </c>
      <c r="G56" s="46" t="str">
        <f>IF(+NFL!$F268="Baltimore",+NFL!G268,IF(+NFL!$H268="Baltimore",+NFL!G268,0))</f>
        <v>AFCN</v>
      </c>
      <c r="H56" s="127" t="str">
        <f>IF(+NFL!$F268="Baltimore",+NFL!H268,IF(+NFL!$H268="Baltimore",+NFL!H268,0))</f>
        <v>Cleveland</v>
      </c>
      <c r="I56" s="46" t="str">
        <f>IF(+NFL!$F268="Baltimore",+NFL!I268,IF(+NFL!$H268="Baltimore",+NFL!I268,0))</f>
        <v>AFCN</v>
      </c>
      <c r="J56" s="353" t="str">
        <f>IF(+NFL!$F268="Baltimore",+NFL!J268,IF(+NFL!$H268="Baltimore",+NFL!J268,0))</f>
        <v>Cleveland</v>
      </c>
      <c r="K56" s="494" t="str">
        <f>IF(+NFL!$F268="Baltimore",+NFL!K268,IF(+NFL!$H268="Baltimore",+NFL!K268,0))</f>
        <v>Baltimore</v>
      </c>
      <c r="L56" s="384">
        <f>IF(+NFL!$F268="Baltimore",+NFL!L268,IF(+NFL!$H268="Baltimore",+NFL!L268,0))</f>
        <v>2.5</v>
      </c>
      <c r="M56" s="385">
        <f>IF(+NFL!$F268="Baltimore",+NFL!M268,IF(+NFL!$H268="Baltimore",+NFL!M268,0))</f>
        <v>39</v>
      </c>
      <c r="N56" s="394" t="str">
        <f>IF(+NFL!$F268="Baltimore",+NFL!N268,IF(+NFL!$H268="Baltimore",+NFL!N268,0))</f>
        <v>Cleveland</v>
      </c>
      <c r="O56" s="395">
        <f>IF(+NFL!$F268="Baltimore",+NFL!O268,IF(+NFL!$H268="Baltimore",+NFL!O268,0))</f>
        <v>13</v>
      </c>
      <c r="P56" s="394" t="str">
        <f>IF(+NFL!$F268="Baltimore",+NFL!P268,IF(+NFL!$H268="Baltimore",+NFL!P268,0))</f>
        <v>Baltimore</v>
      </c>
      <c r="Q56" s="396">
        <f>IF(+NFL!$F268="Baltimore",+NFL!Q268,IF(+NFL!$H268="Baltimore",+NFL!Q268,0))</f>
        <v>3</v>
      </c>
      <c r="R56" s="397" t="str">
        <f>IF(+NFL!$F268="Baltimore",+NFL!R268,IF(+NFL!$H268="Baltimore",+NFL!R268,0))</f>
        <v>Cleveland</v>
      </c>
      <c r="S56" s="396" t="str">
        <f>IF(+NFL!$F268="Baltimore",+NFL!S268,IF(+NFL!$H268="Baltimore",+NFL!S268,0))</f>
        <v>Baltimore</v>
      </c>
      <c r="T56" s="397">
        <f>IF(+NFL!$F268="Baltimore",+NFL!T268,IF(+NFL!$H268="Baltimore",+NFL!T268,0))</f>
        <v>0</v>
      </c>
      <c r="U56" s="396" t="str">
        <f>IF(+NFL!$F268="Baltimore",+NFL!U268,IF(+NFL!$H268="Baltimore",+NFL!U268,0))</f>
        <v>L</v>
      </c>
      <c r="V56" s="397">
        <f>IF(+NFL!$F199="Baltimore",+NFL!#REF!,IF(+NFL!$H199="Baltimore",+NFL!#REF!,0))</f>
        <v>0</v>
      </c>
      <c r="W56" s="396">
        <f>IF(+NFL!$F199="Baltimore",+NFL!#REF!,IF(+NFL!$H199="Baltimore",+NFL!#REF!,0))</f>
        <v>0</v>
      </c>
      <c r="X56" s="397">
        <f>IF(+NFL!$F199="Baltimore",+NFL!#REF!,IF(+NFL!$H199="Baltimore",+NFL!#REF!,0))</f>
        <v>0</v>
      </c>
      <c r="Y56" s="396">
        <f>IF(+NFL!$F199="Baltimore",+NFL!#REF!,IF(+NFL!$H199="Baltimore",+NFL!#REF!,0))</f>
        <v>0</v>
      </c>
      <c r="Z56" s="397">
        <f>IF(+NFL!$F199="Baltimore",+NFL!#REF!,IF(+NFL!$H199="Baltimore",+NFL!#REF!,0))</f>
        <v>0</v>
      </c>
      <c r="AA56" s="396">
        <f>IF(+NFL!$F199="Baltimore",+NFL!#REF!,IF(+NFL!$H199="Baltimore",+NFL!#REF!,0))</f>
        <v>0</v>
      </c>
      <c r="AB56" s="87">
        <f>IF(+NFL!$F199="Baltimore",+NFL!#REF!,IF(+NFL!$H199="Baltimore",+NFL!#REF!,0))</f>
        <v>0</v>
      </c>
      <c r="AC56" s="120">
        <f>IF(+NFL!$F199="Baltimore",+NFL!#REF!,IF(+NFL!$H199="Baltimore",+NFL!#REF!,0))</f>
        <v>0</v>
      </c>
      <c r="AD56" s="353">
        <f>IF(+NFL!$F199="Baltimore",+NFL!#REF!,IF(+NFL!$H199="Baltimore",+NFL!#REF!,0))</f>
        <v>0</v>
      </c>
      <c r="AE56" s="379">
        <f>IF(+NFL!$F199="Baltimore",+NFL!#REF!,IF(+NFL!$H199="Baltimore",+NFL!#REF!,0))</f>
        <v>0</v>
      </c>
      <c r="AF56" s="353">
        <f>IF(+NFL!$F199="Baltimore",+NFL!#REF!,IF(+NFL!$H199="Baltimore",+NFL!#REF!,0))</f>
        <v>0</v>
      </c>
      <c r="AG56" s="379">
        <f>IF(+NFL!$F199="Baltimore",+NFL!#REF!,IF(+NFL!$H199="Baltimore",+NFL!#REF!,0))</f>
        <v>0</v>
      </c>
      <c r="AH56" s="353">
        <f>IF(+NFL!$F199="Baltimore",+NFL!#REF!,IF(+NFL!$H199="Baltimore",+NFL!#REF!,0))</f>
        <v>0</v>
      </c>
      <c r="AI56" s="379">
        <f>IF(+NFL!$F199="Baltimore",+NFL!#REF!,IF(+NFL!$H199="Baltimore",+NFL!#REF!,0))</f>
        <v>0</v>
      </c>
      <c r="AJ56" s="353">
        <f>IF(+NFL!$F199="Baltimore",+NFL!#REF!,IF(+NFL!$H199="Baltimore",+NFL!#REF!,0))</f>
        <v>0</v>
      </c>
      <c r="AK56" s="379">
        <f>IF(+NFL!$F199="Baltimore",+NFL!#REF!,IF(+NFL!$H199="Baltimore",+NFL!#REF!,0))</f>
        <v>0</v>
      </c>
      <c r="AL56" s="57">
        <f>IF(+NFL!$F199="Baltimore",+NFL!#REF!,IF(+NFL!$H199="Baltimore",+NFL!#REF!,0))</f>
        <v>0</v>
      </c>
      <c r="AM56" s="58">
        <f>IF(+NFL!$F199="Baltimore",+NFL!#REF!,IF(+NFL!$H199="Baltimore",+NFL!#REF!,0))</f>
        <v>0</v>
      </c>
      <c r="AN56" s="57">
        <f>IF(+NFL!$F199="Baltimore",+NFL!#REF!,IF(+NFL!$H199="Baltimore",+NFL!#REF!,0))</f>
        <v>0</v>
      </c>
      <c r="AO56" s="59">
        <f>IF(+NFL!$F199="Baltimore",+NFL!#REF!,IF(+NFL!$H199="Baltimore",+NFL!#REF!,0))</f>
        <v>0</v>
      </c>
      <c r="AP56" s="348">
        <f>IF(+NFL!$F199="Baltimore",+NFL!#REF!,IF(+NFL!$H199="Baltimore",+NFL!#REF!,0))</f>
        <v>0</v>
      </c>
      <c r="AQ56" s="48">
        <f>IF(+NFL!$F199="Baltimore",+NFL!#REF!,IF(+NFL!$H199="Baltimore",+NFL!#REF!,0))</f>
        <v>0</v>
      </c>
      <c r="AR56" s="57">
        <f>IF(+NFL!$F199="Baltimore",+NFL!#REF!,IF(+NFL!$H199="Baltimore",+NFL!#REF!,0))</f>
        <v>0</v>
      </c>
      <c r="AS56" s="64">
        <f>IF(+NFL!$F199="Baltimore",+NFL!#REF!,IF(+NFL!$H199="Baltimore",+NFL!#REF!,0))</f>
        <v>0</v>
      </c>
      <c r="AT56" s="64">
        <f>IF(+NFL!$F199="Baltimore",+NFL!#REF!,IF(+NFL!$H199="Baltimore",+NFL!#REF!,0))</f>
        <v>0</v>
      </c>
      <c r="AU56" s="57">
        <f>IF(+NFL!$F199="Baltimore",+NFL!#REF!,IF(+NFL!$H199="Baltimore",+NFL!#REF!,0))</f>
        <v>0</v>
      </c>
      <c r="AV56" s="64">
        <f>IF(+NFL!$F199="Baltimore",+NFL!#REF!,IF(+NFL!$H199="Baltimore",+NFL!#REF!,0))</f>
        <v>0</v>
      </c>
      <c r="AW56" s="46">
        <f>IF(+NFL!$F199="Baltimore",+NFL!#REF!,IF(+NFL!$H199="Baltimore",+NFL!#REF!,0))</f>
        <v>0</v>
      </c>
      <c r="AX56" s="64">
        <f>IF(+NFL!$F199="Baltimore",+NFL!#REF!,IF(+NFL!$H199="Baltimore",+NFL!#REF!,0))</f>
        <v>0</v>
      </c>
      <c r="AY56" s="57">
        <f>IF(+NFL!$F199="Baltimore",+NFL!#REF!,IF(+NFL!$H199="Baltimore",+NFL!#REF!,0))</f>
        <v>0</v>
      </c>
      <c r="AZ56" s="64">
        <f>IF(+NFL!$F199="Baltimore",+NFL!#REF!,IF(+NFL!$H199="Baltimore",+NFL!#REF!,0))</f>
        <v>0</v>
      </c>
      <c r="BA56" s="46">
        <f>IF(+NFL!$F199="Baltimore",+NFL!#REF!,IF(+NFL!$H199="Baltimore",+NFL!#REF!,0))</f>
        <v>0</v>
      </c>
      <c r="BB56" s="46">
        <f>IF(+NFL!$F199="Baltimore",+NFL!#REF!,IF(+NFL!$H199="Baltimore",+NFL!#REF!,0))</f>
        <v>0</v>
      </c>
      <c r="BC56" s="403">
        <f>IF(+NFL!$F199="Baltimore",+NFL!#REF!,IF(+NFL!$H199="Baltimore",+NFL!#REF!,0))</f>
        <v>0</v>
      </c>
      <c r="BD56" s="57">
        <f>IF(+NFL!$F199="Baltimore",+NFL!#REF!,IF(+NFL!$H199="Baltimore",+NFL!#REF!,0))</f>
        <v>0</v>
      </c>
      <c r="BE56" s="64">
        <f>IF(+NFL!$F199="Baltimore",+NFL!#REF!,IF(+NFL!$H199="Baltimore",+NFL!#REF!,0))</f>
        <v>0</v>
      </c>
      <c r="BF56" s="64">
        <f>IF(+NFL!$F199="Baltimore",+NFL!#REF!,IF(+NFL!$H199="Baltimore",+NFL!#REF!,0))</f>
        <v>0</v>
      </c>
      <c r="BG56" s="57">
        <f>IF(+NFL!$F199="Baltimore",+NFL!#REF!,IF(+NFL!$H199="Baltimore",+NFL!#REF!,0))</f>
        <v>0</v>
      </c>
      <c r="BH56" s="64">
        <f>IF(+NFL!$F199="Baltimore",+NFL!#REF!,IF(+NFL!$H199="Baltimore",+NFL!#REF!,0))</f>
        <v>0</v>
      </c>
      <c r="BI56" s="46">
        <f>IF(+NFL!$F199="Baltimore",+NFL!#REF!,IF(+NFL!$H199="Baltimore",+NFL!#REF!,0))</f>
        <v>0</v>
      </c>
      <c r="BJ56" s="87">
        <f>IF(+NFL!$F199="Baltimore",+NFL!#REF!,IF(+NFL!$H199="Baltimore",+NFL!#REF!,0))</f>
        <v>0</v>
      </c>
      <c r="BK56" s="120">
        <f>IF(+NFL!$F199="Baltimore",+NFL!#REF!,IF(+NFL!$H199="Baltimore",+NFL!#REF!,0))</f>
        <v>0</v>
      </c>
    </row>
    <row r="57" spans="1:63" x14ac:dyDescent="0.8">
      <c r="A57" s="46">
        <f>IF(+NFL!$F291="Baltimore",+NFL!A291,IF(+NFL!$H291="Baltimore",+NFL!A291,0))</f>
        <v>16</v>
      </c>
      <c r="B57" s="46" t="str">
        <f>IF(+NFL!$F291="Baltimore",+NFL!B291,IF(+NFL!$H291="Baltimore",+NFL!B291,0))</f>
        <v>Sat</v>
      </c>
      <c r="C57" s="62">
        <f>IF(+NFL!$F291="Baltimore",+NFL!C291,IF(+NFL!$H291="Baltimore",+NFL!C291,0))</f>
        <v>44919</v>
      </c>
      <c r="D57" s="490">
        <f>IF(+NFL!$F291="Baltimore",+NFL!D291,IF(+NFL!$H291="Baltimore",+NFL!D291,0))</f>
        <v>0.54166666666666663</v>
      </c>
      <c r="E57" s="46" t="str">
        <f>IF(+NFL!$F291="Baltimore",+NFL!E291,IF(+NFL!$H291="Baltimore",+NFL!E291,0))</f>
        <v>Fox</v>
      </c>
      <c r="F57" s="127" t="str">
        <f>IF(+NFL!$F291="Baltimore",+NFL!F291,IF(+NFL!$H291="Baltimore",+NFL!F291,0))</f>
        <v>Atlanta</v>
      </c>
      <c r="G57" s="46" t="str">
        <f>IF(+NFL!$F291="Baltimore",+NFL!G291,IF(+NFL!$H291="Baltimore",+NFL!G291,0))</f>
        <v>NFCS</v>
      </c>
      <c r="H57" s="127" t="str">
        <f>IF(+NFL!$F291="Baltimore",+NFL!H291,IF(+NFL!$H291="Baltimore",+NFL!H291,0))</f>
        <v>Baltimore</v>
      </c>
      <c r="I57" s="46" t="str">
        <f>IF(+NFL!$F291="Baltimore",+NFL!I291,IF(+NFL!$H291="Baltimore",+NFL!I291,0))</f>
        <v>AFCN</v>
      </c>
      <c r="J57" s="353" t="str">
        <f>IF(+NFL!$F291="Baltimore",+NFL!J291,IF(+NFL!$H291="Baltimore",+NFL!J291,0))</f>
        <v>Baltimore</v>
      </c>
      <c r="K57" s="494" t="str">
        <f>IF(+NFL!$F291="Baltimore",+NFL!K291,IF(+NFL!$H291="Baltimore",+NFL!K291,0))</f>
        <v>Atlanta</v>
      </c>
      <c r="L57" s="384">
        <f>IF(+NFL!$F291="Baltimore",+NFL!L291,IF(+NFL!$H291="Baltimore",+NFL!L291,0))</f>
        <v>6.5</v>
      </c>
      <c r="M57" s="385">
        <f>IF(+NFL!$F291="Baltimore",+NFL!M291,IF(+NFL!$H291="Baltimore",+NFL!M291,0))</f>
        <v>35.5</v>
      </c>
      <c r="N57" s="394" t="str">
        <f>IF(+NFL!$F291="Baltimore",+NFL!N291,IF(+NFL!$H291="Baltimore",+NFL!N291,0))</f>
        <v>Baltimore</v>
      </c>
      <c r="O57" s="395">
        <f>IF(+NFL!$F291="Baltimore",+NFL!O291,IF(+NFL!$H291="Baltimore",+NFL!O291,0))</f>
        <v>17</v>
      </c>
      <c r="P57" s="394" t="str">
        <f>IF(+NFL!$F291="Baltimore",+NFL!P291,IF(+NFL!$H291="Baltimore",+NFL!P291,0))</f>
        <v>Atlanta</v>
      </c>
      <c r="Q57" s="396">
        <f>IF(+NFL!$F291="Baltimore",+NFL!Q291,IF(+NFL!$H291="Baltimore",+NFL!Q291,0))</f>
        <v>9</v>
      </c>
      <c r="R57" s="397" t="str">
        <f>IF(+NFL!$F291="Baltimore",+NFL!R291,IF(+NFL!$H291="Baltimore",+NFL!R291,0))</f>
        <v>Baltimore</v>
      </c>
      <c r="S57" s="396" t="str">
        <f>IF(+NFL!$F291="Baltimore",+NFL!S291,IF(+NFL!$H291="Baltimore",+NFL!S291,0))</f>
        <v>Atlanta</v>
      </c>
      <c r="T57" s="397">
        <f>IF(+NFL!$F291="Baltimore",+NFL!T291,IF(+NFL!$H291="Baltimore",+NFL!T291,0))</f>
        <v>0</v>
      </c>
      <c r="U57" s="396" t="str">
        <f>IF(+NFL!$F291="Baltimore",+NFL!U291,IF(+NFL!$H291="Baltimore",+NFL!U291,0))</f>
        <v>L</v>
      </c>
      <c r="V57" s="397">
        <f>IF(+NFL!$F226="Baltimore",+NFL!#REF!,IF(+NFL!$H226="Baltimore",+NFL!#REF!,0))</f>
        <v>0</v>
      </c>
      <c r="W57" s="396">
        <f>IF(+NFL!$F226="Baltimore",+NFL!#REF!,IF(+NFL!$H226="Baltimore",+NFL!#REF!,0))</f>
        <v>0</v>
      </c>
      <c r="X57" s="397">
        <f>IF(+NFL!$F226="Baltimore",+NFL!#REF!,IF(+NFL!$H226="Baltimore",+NFL!#REF!,0))</f>
        <v>0</v>
      </c>
      <c r="Y57" s="396">
        <f>IF(+NFL!$F226="Baltimore",+NFL!#REF!,IF(+NFL!$H226="Baltimore",+NFL!#REF!,0))</f>
        <v>0</v>
      </c>
      <c r="Z57" s="397">
        <f>IF(+NFL!$F226="Baltimore",+NFL!#REF!,IF(+NFL!$H226="Baltimore",+NFL!#REF!,0))</f>
        <v>0</v>
      </c>
      <c r="AA57" s="396">
        <f>IF(+NFL!$F226="Baltimore",+NFL!#REF!,IF(+NFL!$H226="Baltimore",+NFL!#REF!,0))</f>
        <v>0</v>
      </c>
      <c r="AB57" s="87">
        <f>IF(+NFL!$F226="Baltimore",+NFL!#REF!,IF(+NFL!$H226="Baltimore",+NFL!#REF!,0))</f>
        <v>0</v>
      </c>
      <c r="AC57" s="120">
        <f>IF(+NFL!$F226="Baltimore",+NFL!#REF!,IF(+NFL!$H226="Baltimore",+NFL!#REF!,0))</f>
        <v>0</v>
      </c>
      <c r="AD57" s="353">
        <f>IF(+NFL!$F226="Baltimore",+NFL!#REF!,IF(+NFL!$H226="Baltimore",+NFL!#REF!,0))</f>
        <v>0</v>
      </c>
      <c r="AE57" s="379">
        <f>IF(+NFL!$F226="Baltimore",+NFL!#REF!,IF(+NFL!$H226="Baltimore",+NFL!#REF!,0))</f>
        <v>0</v>
      </c>
      <c r="AF57" s="353">
        <f>IF(+NFL!$F226="Baltimore",+NFL!#REF!,IF(+NFL!$H226="Baltimore",+NFL!#REF!,0))</f>
        <v>0</v>
      </c>
      <c r="AG57" s="379">
        <f>IF(+NFL!$F226="Baltimore",+NFL!#REF!,IF(+NFL!$H226="Baltimore",+NFL!#REF!,0))</f>
        <v>0</v>
      </c>
      <c r="AH57" s="353">
        <f>IF(+NFL!$F226="Baltimore",+NFL!#REF!,IF(+NFL!$H226="Baltimore",+NFL!#REF!,0))</f>
        <v>0</v>
      </c>
      <c r="AI57" s="379">
        <f>IF(+NFL!$F226="Baltimore",+NFL!#REF!,IF(+NFL!$H226="Baltimore",+NFL!#REF!,0))</f>
        <v>0</v>
      </c>
      <c r="AJ57" s="353">
        <f>IF(+NFL!$F226="Baltimore",+NFL!#REF!,IF(+NFL!$H226="Baltimore",+NFL!#REF!,0))</f>
        <v>0</v>
      </c>
      <c r="AK57" s="379">
        <f>IF(+NFL!$F226="Baltimore",+NFL!#REF!,IF(+NFL!$H226="Baltimore",+NFL!#REF!,0))</f>
        <v>0</v>
      </c>
      <c r="AL57" s="57">
        <f>IF(+NFL!$F226="Baltimore",+NFL!#REF!,IF(+NFL!$H226="Baltimore",+NFL!#REF!,0))</f>
        <v>0</v>
      </c>
      <c r="AM57" s="58">
        <f>IF(+NFL!$F226="Baltimore",+NFL!#REF!,IF(+NFL!$H226="Baltimore",+NFL!#REF!,0))</f>
        <v>0</v>
      </c>
      <c r="AN57" s="57">
        <f>IF(+NFL!$F226="Baltimore",+NFL!#REF!,IF(+NFL!$H226="Baltimore",+NFL!#REF!,0))</f>
        <v>0</v>
      </c>
      <c r="AO57" s="59">
        <f>IF(+NFL!$F226="Baltimore",+NFL!#REF!,IF(+NFL!$H226="Baltimore",+NFL!#REF!,0))</f>
        <v>0</v>
      </c>
      <c r="AP57" s="348">
        <f>IF(+NFL!$F226="Baltimore",+NFL!#REF!,IF(+NFL!$H226="Baltimore",+NFL!#REF!,0))</f>
        <v>0</v>
      </c>
      <c r="AQ57" s="48">
        <f>IF(+NFL!$F226="Baltimore",+NFL!#REF!,IF(+NFL!$H226="Baltimore",+NFL!#REF!,0))</f>
        <v>0</v>
      </c>
      <c r="AR57" s="57">
        <f>IF(+NFL!$F226="Baltimore",+NFL!#REF!,IF(+NFL!$H226="Baltimore",+NFL!#REF!,0))</f>
        <v>0</v>
      </c>
      <c r="AS57" s="64">
        <f>IF(+NFL!$F226="Baltimore",+NFL!#REF!,IF(+NFL!$H226="Baltimore",+NFL!#REF!,0))</f>
        <v>0</v>
      </c>
      <c r="AT57" s="64">
        <f>IF(+NFL!$F226="Baltimore",+NFL!#REF!,IF(+NFL!$H226="Baltimore",+NFL!#REF!,0))</f>
        <v>0</v>
      </c>
      <c r="AU57" s="57">
        <f>IF(+NFL!$F226="Baltimore",+NFL!#REF!,IF(+NFL!$H226="Baltimore",+NFL!#REF!,0))</f>
        <v>0</v>
      </c>
      <c r="AV57" s="64">
        <f>IF(+NFL!$F226="Baltimore",+NFL!#REF!,IF(+NFL!$H226="Baltimore",+NFL!#REF!,0))</f>
        <v>0</v>
      </c>
      <c r="AW57" s="46">
        <f>IF(+NFL!$F226="Baltimore",+NFL!#REF!,IF(+NFL!$H226="Baltimore",+NFL!#REF!,0))</f>
        <v>0</v>
      </c>
      <c r="AX57" s="64">
        <f>IF(+NFL!$F226="Baltimore",+NFL!#REF!,IF(+NFL!$H226="Baltimore",+NFL!#REF!,0))</f>
        <v>0</v>
      </c>
      <c r="AY57" s="57">
        <f>IF(+NFL!$F226="Baltimore",+NFL!#REF!,IF(+NFL!$H226="Baltimore",+NFL!#REF!,0))</f>
        <v>0</v>
      </c>
      <c r="AZ57" s="64">
        <f>IF(+NFL!$F226="Baltimore",+NFL!#REF!,IF(+NFL!$H226="Baltimore",+NFL!#REF!,0))</f>
        <v>0</v>
      </c>
      <c r="BA57" s="46">
        <f>IF(+NFL!$F226="Baltimore",+NFL!#REF!,IF(+NFL!$H226="Baltimore",+NFL!#REF!,0))</f>
        <v>0</v>
      </c>
      <c r="BB57" s="46">
        <f>IF(+NFL!$F226="Baltimore",+NFL!#REF!,IF(+NFL!$H226="Baltimore",+NFL!#REF!,0))</f>
        <v>0</v>
      </c>
      <c r="BC57" s="403">
        <f>IF(+NFL!$F226="Baltimore",+NFL!#REF!,IF(+NFL!$H226="Baltimore",+NFL!#REF!,0))</f>
        <v>0</v>
      </c>
      <c r="BD57" s="57">
        <f>IF(+NFL!$F226="Baltimore",+NFL!#REF!,IF(+NFL!$H226="Baltimore",+NFL!#REF!,0))</f>
        <v>0</v>
      </c>
      <c r="BE57" s="64">
        <f>IF(+NFL!$F226="Baltimore",+NFL!#REF!,IF(+NFL!$H226="Baltimore",+NFL!#REF!,0))</f>
        <v>0</v>
      </c>
      <c r="BF57" s="64">
        <f>IF(+NFL!$F226="Baltimore",+NFL!#REF!,IF(+NFL!$H226="Baltimore",+NFL!#REF!,0))</f>
        <v>0</v>
      </c>
      <c r="BG57" s="57">
        <f>IF(+NFL!$F226="Baltimore",+NFL!#REF!,IF(+NFL!$H226="Baltimore",+NFL!#REF!,0))</f>
        <v>0</v>
      </c>
      <c r="BH57" s="64">
        <f>IF(+NFL!$F226="Baltimore",+NFL!#REF!,IF(+NFL!$H226="Baltimore",+NFL!#REF!,0))</f>
        <v>0</v>
      </c>
      <c r="BI57" s="46">
        <f>IF(+NFL!$F226="Baltimore",+NFL!#REF!,IF(+NFL!$H226="Baltimore",+NFL!#REF!,0))</f>
        <v>0</v>
      </c>
      <c r="BJ57" s="87">
        <f>IF(+NFL!$F226="Baltimore",+NFL!#REF!,IF(+NFL!$H226="Baltimore",+NFL!#REF!,0))</f>
        <v>0</v>
      </c>
      <c r="BK57" s="120">
        <f>IF(+NFL!$F226="Baltimore",+NFL!#REF!,IF(+NFL!$H226="Baltimore",+NFL!#REF!,0))</f>
        <v>0</v>
      </c>
    </row>
    <row r="58" spans="1:63" x14ac:dyDescent="0.8">
      <c r="A58" s="46">
        <f>IF(+NFL!$F309="Baltimore",+NFL!A309,IF(+NFL!$H309="Baltimore",+NFL!A309,0))</f>
        <v>17</v>
      </c>
      <c r="B58" s="46" t="str">
        <f>IF(+NFL!$F309="Baltimore",+NFL!B309,IF(+NFL!$H309="Baltimore",+NFL!B309,0))</f>
        <v>Sun</v>
      </c>
      <c r="C58" s="62">
        <f>IF(+NFL!$F309="Baltimore",+NFL!C309,IF(+NFL!$H309="Baltimore",+NFL!C309,0))</f>
        <v>44927</v>
      </c>
      <c r="D58" s="490">
        <f>IF(+NFL!$F309="Baltimore",+NFL!D309,IF(+NFL!$H309="Baltimore",+NFL!D309,0))</f>
        <v>0.54166666666666663</v>
      </c>
      <c r="E58" s="46" t="str">
        <f>IF(+NFL!$F309="Baltimore",+NFL!E309,IF(+NFL!$H309="Baltimore",+NFL!E309,0))</f>
        <v>CBS</v>
      </c>
      <c r="F58" s="127" t="str">
        <f>IF(+NFL!$F309="Baltimore",+NFL!F309,IF(+NFL!$H309="Baltimore",+NFL!F309,0))</f>
        <v>Pittsburgh</v>
      </c>
      <c r="G58" s="46" t="str">
        <f>IF(+NFL!$F309="Baltimore",+NFL!G309,IF(+NFL!$H309="Baltimore",+NFL!G309,0))</f>
        <v>AFCN</v>
      </c>
      <c r="H58" s="127" t="str">
        <f>IF(+NFL!$F309="Baltimore",+NFL!H309,IF(+NFL!$H309="Baltimore",+NFL!H309,0))</f>
        <v>Baltimore</v>
      </c>
      <c r="I58" s="46" t="str">
        <f>IF(+NFL!$F309="Baltimore",+NFL!I309,IF(+NFL!$H309="Baltimore",+NFL!I309,0))</f>
        <v>AFCN</v>
      </c>
      <c r="J58" s="353" t="str">
        <f>IF(+NFL!$F309="Baltimore",+NFL!J309,IF(+NFL!$H309="Baltimore",+NFL!J309,0))</f>
        <v>Baltimore</v>
      </c>
      <c r="K58" s="494" t="str">
        <f>IF(+NFL!$F309="Baltimore",+NFL!K309,IF(+NFL!$H309="Baltimore",+NFL!K309,0))</f>
        <v>Pittsburgh</v>
      </c>
      <c r="L58" s="384">
        <f>IF(+NFL!$F309="Baltimore",+NFL!L309,IF(+NFL!$H309="Baltimore",+NFL!L309,0))</f>
        <v>1</v>
      </c>
      <c r="M58" s="385">
        <f>IF(+NFL!$F309="Baltimore",+NFL!M309,IF(+NFL!$H309="Baltimore",+NFL!M309,0))</f>
        <v>35.5</v>
      </c>
      <c r="N58" s="394" t="str">
        <f>IF(+NFL!$F309="Baltimore",+NFL!N309,IF(+NFL!$H309="Baltimore",+NFL!N309,0))</f>
        <v>Pittsburgh</v>
      </c>
      <c r="O58" s="395">
        <f>IF(+NFL!$F309="Baltimore",+NFL!O309,IF(+NFL!$H309="Baltimore",+NFL!O309,0))</f>
        <v>16</v>
      </c>
      <c r="P58" s="394" t="str">
        <f>IF(+NFL!$F309="Baltimore",+NFL!P309,IF(+NFL!$H309="Baltimore",+NFL!P309,0))</f>
        <v>Baltimore</v>
      </c>
      <c r="Q58" s="396">
        <f>IF(+NFL!$F309="Baltimore",+NFL!Q309,IF(+NFL!$H309="Baltimore",+NFL!Q309,0))</f>
        <v>13</v>
      </c>
      <c r="R58" s="397" t="str">
        <f>IF(+NFL!$F309="Baltimore",+NFL!R309,IF(+NFL!$H309="Baltimore",+NFL!R309,0))</f>
        <v>Pittsburgh</v>
      </c>
      <c r="S58" s="396" t="str">
        <f>IF(+NFL!$F309="Baltimore",+NFL!S309,IF(+NFL!$H309="Baltimore",+NFL!S309,0))</f>
        <v>Baltimore</v>
      </c>
      <c r="T58" s="397">
        <f>IF(+NFL!$F309="Baltimore",+NFL!T309,IF(+NFL!$H309="Baltimore",+NFL!T309,0))</f>
        <v>0</v>
      </c>
      <c r="U58" s="396" t="str">
        <f>IF(+NFL!$F309="Baltimore",+NFL!U309,IF(+NFL!$H309="Baltimore",+NFL!U309,0))</f>
        <v>L</v>
      </c>
      <c r="V58" s="397">
        <f>IF(+NFL!$F253="Baltimore",+NFL!#REF!,IF(+NFL!$H253="Baltimore",+NFL!#REF!,0))</f>
        <v>0</v>
      </c>
      <c r="W58" s="396">
        <f>IF(+NFL!$F253="Baltimore",+NFL!#REF!,IF(+NFL!$H253="Baltimore",+NFL!#REF!,0))</f>
        <v>0</v>
      </c>
      <c r="X58" s="397">
        <f>IF(+NFL!$F253="Baltimore",+NFL!#REF!,IF(+NFL!$H253="Baltimore",+NFL!#REF!,0))</f>
        <v>0</v>
      </c>
      <c r="Y58" s="396">
        <f>IF(+NFL!$F253="Baltimore",+NFL!#REF!,IF(+NFL!$H253="Baltimore",+NFL!#REF!,0))</f>
        <v>0</v>
      </c>
      <c r="Z58" s="397">
        <f>IF(+NFL!$F253="Baltimore",+NFL!#REF!,IF(+NFL!$H253="Baltimore",+NFL!#REF!,0))</f>
        <v>0</v>
      </c>
      <c r="AA58" s="396">
        <f>IF(+NFL!$F253="Baltimore",+NFL!#REF!,IF(+NFL!$H253="Baltimore",+NFL!#REF!,0))</f>
        <v>0</v>
      </c>
      <c r="AB58" s="87">
        <f>IF(+NFL!$F253="Baltimore",+NFL!#REF!,IF(+NFL!$H253="Baltimore",+NFL!#REF!,0))</f>
        <v>0</v>
      </c>
      <c r="AC58" s="120">
        <f>IF(+NFL!$F253="Baltimore",+NFL!#REF!,IF(+NFL!$H253="Baltimore",+NFL!#REF!,0))</f>
        <v>0</v>
      </c>
      <c r="AD58" s="353">
        <f>IF(+NFL!$F253="Baltimore",+NFL!#REF!,IF(+NFL!$H253="Baltimore",+NFL!#REF!,0))</f>
        <v>0</v>
      </c>
      <c r="AE58" s="379">
        <f>IF(+NFL!$F253="Baltimore",+NFL!#REF!,IF(+NFL!$H253="Baltimore",+NFL!#REF!,0))</f>
        <v>0</v>
      </c>
      <c r="AF58" s="353">
        <f>IF(+NFL!$F253="Baltimore",+NFL!#REF!,IF(+NFL!$H253="Baltimore",+NFL!#REF!,0))</f>
        <v>0</v>
      </c>
      <c r="AG58" s="379">
        <f>IF(+NFL!$F253="Baltimore",+NFL!#REF!,IF(+NFL!$H253="Baltimore",+NFL!#REF!,0))</f>
        <v>0</v>
      </c>
      <c r="AH58" s="353">
        <f>IF(+NFL!$F253="Baltimore",+NFL!#REF!,IF(+NFL!$H253="Baltimore",+NFL!#REF!,0))</f>
        <v>0</v>
      </c>
      <c r="AI58" s="379">
        <f>IF(+NFL!$F253="Baltimore",+NFL!#REF!,IF(+NFL!$H253="Baltimore",+NFL!#REF!,0))</f>
        <v>0</v>
      </c>
      <c r="AJ58" s="353">
        <f>IF(+NFL!$F253="Baltimore",+NFL!#REF!,IF(+NFL!$H253="Baltimore",+NFL!#REF!,0))</f>
        <v>0</v>
      </c>
      <c r="AK58" s="379">
        <f>IF(+NFL!$F253="Baltimore",+NFL!#REF!,IF(+NFL!$H253="Baltimore",+NFL!#REF!,0))</f>
        <v>0</v>
      </c>
      <c r="AL58" s="57">
        <f>IF(+NFL!$F253="Baltimore",+NFL!#REF!,IF(+NFL!$H253="Baltimore",+NFL!#REF!,0))</f>
        <v>0</v>
      </c>
      <c r="AM58" s="58">
        <f>IF(+NFL!$F253="Baltimore",+NFL!#REF!,IF(+NFL!$H253="Baltimore",+NFL!#REF!,0))</f>
        <v>0</v>
      </c>
      <c r="AN58" s="57">
        <f>IF(+NFL!$F253="Baltimore",+NFL!#REF!,IF(+NFL!$H253="Baltimore",+NFL!#REF!,0))</f>
        <v>0</v>
      </c>
      <c r="AO58" s="59">
        <f>IF(+NFL!$F253="Baltimore",+NFL!#REF!,IF(+NFL!$H253="Baltimore",+NFL!#REF!,0))</f>
        <v>0</v>
      </c>
      <c r="AP58" s="348">
        <f>IF(+NFL!$F253="Baltimore",+NFL!#REF!,IF(+NFL!$H253="Baltimore",+NFL!#REF!,0))</f>
        <v>0</v>
      </c>
      <c r="AQ58" s="48">
        <f>IF(+NFL!$F253="Baltimore",+NFL!#REF!,IF(+NFL!$H253="Baltimore",+NFL!#REF!,0))</f>
        <v>0</v>
      </c>
      <c r="AR58" s="57">
        <f>IF(+NFL!$F253="Baltimore",+NFL!#REF!,IF(+NFL!$H253="Baltimore",+NFL!#REF!,0))</f>
        <v>0</v>
      </c>
      <c r="AS58" s="64">
        <f>IF(+NFL!$F253="Baltimore",+NFL!#REF!,IF(+NFL!$H253="Baltimore",+NFL!#REF!,0))</f>
        <v>0</v>
      </c>
      <c r="AT58" s="64">
        <f>IF(+NFL!$F253="Baltimore",+NFL!#REF!,IF(+NFL!$H253="Baltimore",+NFL!#REF!,0))</f>
        <v>0</v>
      </c>
      <c r="AU58" s="57">
        <f>IF(+NFL!$F253="Baltimore",+NFL!#REF!,IF(+NFL!$H253="Baltimore",+NFL!#REF!,0))</f>
        <v>0</v>
      </c>
      <c r="AV58" s="64">
        <f>IF(+NFL!$F253="Baltimore",+NFL!#REF!,IF(+NFL!$H253="Baltimore",+NFL!#REF!,0))</f>
        <v>0</v>
      </c>
      <c r="AW58" s="46">
        <f>IF(+NFL!$F253="Baltimore",+NFL!#REF!,IF(+NFL!$H253="Baltimore",+NFL!#REF!,0))</f>
        <v>0</v>
      </c>
      <c r="AX58" s="64">
        <f>IF(+NFL!$F253="Baltimore",+NFL!#REF!,IF(+NFL!$H253="Baltimore",+NFL!#REF!,0))</f>
        <v>0</v>
      </c>
      <c r="AY58" s="57">
        <f>IF(+NFL!$F253="Baltimore",+NFL!#REF!,IF(+NFL!$H253="Baltimore",+NFL!#REF!,0))</f>
        <v>0</v>
      </c>
      <c r="AZ58" s="64">
        <f>IF(+NFL!$F253="Baltimore",+NFL!#REF!,IF(+NFL!$H253="Baltimore",+NFL!#REF!,0))</f>
        <v>0</v>
      </c>
      <c r="BA58" s="46">
        <f>IF(+NFL!$F253="Baltimore",+NFL!#REF!,IF(+NFL!$H253="Baltimore",+NFL!#REF!,0))</f>
        <v>0</v>
      </c>
      <c r="BB58" s="46">
        <f>IF(+NFL!$F253="Baltimore",+NFL!#REF!,IF(+NFL!$H253="Baltimore",+NFL!#REF!,0))</f>
        <v>0</v>
      </c>
      <c r="BC58" s="403">
        <f>IF(+NFL!$F253="Baltimore",+NFL!#REF!,IF(+NFL!$H253="Baltimore",+NFL!#REF!,0))</f>
        <v>0</v>
      </c>
      <c r="BD58" s="57">
        <f>IF(+NFL!$F253="Baltimore",+NFL!#REF!,IF(+NFL!$H253="Baltimore",+NFL!#REF!,0))</f>
        <v>0</v>
      </c>
      <c r="BE58" s="64">
        <f>IF(+NFL!$F253="Baltimore",+NFL!#REF!,IF(+NFL!$H253="Baltimore",+NFL!#REF!,0))</f>
        <v>0</v>
      </c>
      <c r="BF58" s="64">
        <f>IF(+NFL!$F253="Baltimore",+NFL!#REF!,IF(+NFL!$H253="Baltimore",+NFL!#REF!,0))</f>
        <v>0</v>
      </c>
      <c r="BG58" s="57">
        <f>IF(+NFL!$F253="Baltimore",+NFL!#REF!,IF(+NFL!$H253="Baltimore",+NFL!#REF!,0))</f>
        <v>0</v>
      </c>
      <c r="BH58" s="64">
        <f>IF(+NFL!$F253="Baltimore",+NFL!#REF!,IF(+NFL!$H253="Baltimore",+NFL!#REF!,0))</f>
        <v>0</v>
      </c>
      <c r="BI58" s="46">
        <f>IF(+NFL!$F253="Baltimore",+NFL!#REF!,IF(+NFL!$H253="Baltimore",+NFL!#REF!,0))</f>
        <v>0</v>
      </c>
      <c r="BJ58" s="87">
        <f>IF(+NFL!$F253="Baltimore",+NFL!#REF!,IF(+NFL!$H253="Baltimore",+NFL!#REF!,0))</f>
        <v>0</v>
      </c>
      <c r="BK58" s="120">
        <f>IF(+NFL!$F253="Baltimore",+NFL!#REF!,IF(+NFL!$H253="Baltimore",+NFL!#REF!,0))</f>
        <v>0</v>
      </c>
    </row>
    <row r="59" spans="1:63" x14ac:dyDescent="0.8">
      <c r="A59" s="46">
        <f>IF(+NFL!$F319="Baltimore",+NFL!A319,IF(+NFL!$H319="Baltimore",+NFL!A319,0))</f>
        <v>0</v>
      </c>
      <c r="B59" s="46">
        <f>IF(+NFL!$F319="Baltimore",+NFL!B319,IF(+NFL!$H319="Baltimore",+NFL!B319,0))</f>
        <v>0</v>
      </c>
      <c r="C59" s="62">
        <f>IF(+NFL!$F319="Baltimore",+NFL!C319,IF(+NFL!$H319="Baltimore",+NFL!C319,0))</f>
        <v>0</v>
      </c>
      <c r="D59" s="490">
        <f>IF(+NFL!$F319="Baltimore",+NFL!D319,IF(+NFL!$H319="Baltimore",+NFL!D319,0))</f>
        <v>0</v>
      </c>
      <c r="E59" s="46">
        <f>IF(+NFL!$F319="Baltimore",+NFL!E319,IF(+NFL!$H319="Baltimore",+NFL!E319,0))</f>
        <v>0</v>
      </c>
      <c r="F59" s="127">
        <f>IF(+NFL!$F319="Baltimore",+NFL!F319,IF(+NFL!$H319="Baltimore",+NFL!F319,0))</f>
        <v>0</v>
      </c>
      <c r="G59" s="46">
        <f>IF(+NFL!$F319="Baltimore",+NFL!G319,IF(+NFL!$H319="Baltimore",+NFL!G319,0))</f>
        <v>0</v>
      </c>
      <c r="H59" s="127">
        <f>IF(+NFL!$F319="Baltimore",+NFL!H319,IF(+NFL!$H319="Baltimore",+NFL!H319,0))</f>
        <v>0</v>
      </c>
      <c r="I59" s="46">
        <f>IF(+NFL!$F319="Baltimore",+NFL!I319,IF(+NFL!$H319="Baltimore",+NFL!I319,0))</f>
        <v>0</v>
      </c>
      <c r="J59" s="353">
        <f>IF(+NFL!$F319="Baltimore",+NFL!J319,IF(+NFL!$H319="Baltimore",+NFL!J319,0))</f>
        <v>0</v>
      </c>
      <c r="K59" s="494">
        <f>IF(+NFL!$F319="Baltimore",+NFL!K319,IF(+NFL!$H319="Baltimore",+NFL!K319,0))</f>
        <v>0</v>
      </c>
      <c r="L59" s="384">
        <f>IF(+NFL!$F319="Baltimore",+NFL!L319,IF(+NFL!$H319="Baltimore",+NFL!L319,0))</f>
        <v>0</v>
      </c>
      <c r="M59" s="385">
        <f>IF(+NFL!$F319="Baltimore",+NFL!M319,IF(+NFL!$H319="Baltimore",+NFL!M319,0))</f>
        <v>0</v>
      </c>
      <c r="N59" s="394">
        <f>IF(+NFL!$F319="Baltimore",+NFL!N319,IF(+NFL!$H319="Baltimore",+NFL!N319,0))</f>
        <v>0</v>
      </c>
      <c r="O59" s="395">
        <f>IF(+NFL!$F319="Baltimore",+NFL!O319,IF(+NFL!$H319="Baltimore",+NFL!O319,0))</f>
        <v>0</v>
      </c>
      <c r="P59" s="394">
        <f>IF(+NFL!$F319="Baltimore",+NFL!P319,IF(+NFL!$H319="Baltimore",+NFL!P319,0))</f>
        <v>0</v>
      </c>
      <c r="Q59" s="396">
        <f>IF(+NFL!$F319="Baltimore",+NFL!Q319,IF(+NFL!$H319="Baltimore",+NFL!Q319,0))</f>
        <v>0</v>
      </c>
      <c r="R59" s="397">
        <f>IF(+NFL!$F319="Baltimore",+NFL!R319,IF(+NFL!$H319="Baltimore",+NFL!R319,0))</f>
        <v>0</v>
      </c>
      <c r="S59" s="396">
        <f>IF(+NFL!$F319="Baltimore",+NFL!S319,IF(+NFL!$H319="Baltimore",+NFL!S319,0))</f>
        <v>0</v>
      </c>
      <c r="T59" s="397">
        <f>IF(+NFL!$F319="Baltimore",+NFL!T319,IF(+NFL!$H319="Baltimore",+NFL!T319,0))</f>
        <v>0</v>
      </c>
      <c r="U59" s="396">
        <f>IF(+NFL!$F319="Baltimore",+NFL!U319,IF(+NFL!$H319="Baltimore",+NFL!U319,0))</f>
        <v>0</v>
      </c>
      <c r="V59" s="397">
        <f>IF(+NFL!$F275="Baltimore",+NFL!#REF!,IF(+NFL!$H275="Baltimore",+NFL!#REF!,0))</f>
        <v>0</v>
      </c>
      <c r="W59" s="396">
        <f>IF(+NFL!$F275="Baltimore",+NFL!#REF!,IF(+NFL!$H275="Baltimore",+NFL!#REF!,0))</f>
        <v>0</v>
      </c>
      <c r="X59" s="397">
        <f>IF(+NFL!$F275="Baltimore",+NFL!#REF!,IF(+NFL!$H275="Baltimore",+NFL!#REF!,0))</f>
        <v>0</v>
      </c>
      <c r="Y59" s="396">
        <f>IF(+NFL!$F275="Baltimore",+NFL!#REF!,IF(+NFL!$H275="Baltimore",+NFL!#REF!,0))</f>
        <v>0</v>
      </c>
      <c r="Z59" s="397">
        <f>IF(+NFL!$F275="Baltimore",+NFL!#REF!,IF(+NFL!$H275="Baltimore",+NFL!#REF!,0))</f>
        <v>0</v>
      </c>
      <c r="AA59" s="396">
        <f>IF(+NFL!$F275="Baltimore",+NFL!#REF!,IF(+NFL!$H275="Baltimore",+NFL!#REF!,0))</f>
        <v>0</v>
      </c>
      <c r="AB59" s="87">
        <f>IF(+NFL!$F275="Baltimore",+NFL!#REF!,IF(+NFL!$H275="Baltimore",+NFL!#REF!,0))</f>
        <v>0</v>
      </c>
      <c r="AC59" s="120">
        <f>IF(+NFL!$F275="Baltimore",+NFL!#REF!,IF(+NFL!$H275="Baltimore",+NFL!#REF!,0))</f>
        <v>0</v>
      </c>
      <c r="AD59" s="353">
        <f>IF(+NFL!$F275="Baltimore",+NFL!#REF!,IF(+NFL!$H275="Baltimore",+NFL!#REF!,0))</f>
        <v>0</v>
      </c>
      <c r="AE59" s="379">
        <f>IF(+NFL!$F275="Baltimore",+NFL!#REF!,IF(+NFL!$H275="Baltimore",+NFL!#REF!,0))</f>
        <v>0</v>
      </c>
      <c r="AF59" s="353">
        <f>IF(+NFL!$F275="Baltimore",+NFL!#REF!,IF(+NFL!$H275="Baltimore",+NFL!#REF!,0))</f>
        <v>0</v>
      </c>
      <c r="AG59" s="379">
        <f>IF(+NFL!$F275="Baltimore",+NFL!#REF!,IF(+NFL!$H275="Baltimore",+NFL!#REF!,0))</f>
        <v>0</v>
      </c>
      <c r="AH59" s="353">
        <f>IF(+NFL!$F275="Baltimore",+NFL!#REF!,IF(+NFL!$H275="Baltimore",+NFL!#REF!,0))</f>
        <v>0</v>
      </c>
      <c r="AI59" s="379">
        <f>IF(+NFL!$F275="Baltimore",+NFL!#REF!,IF(+NFL!$H275="Baltimore",+NFL!#REF!,0))</f>
        <v>0</v>
      </c>
      <c r="AJ59" s="353">
        <f>IF(+NFL!$F275="Baltimore",+NFL!#REF!,IF(+NFL!$H275="Baltimore",+NFL!#REF!,0))</f>
        <v>0</v>
      </c>
      <c r="AK59" s="379">
        <f>IF(+NFL!$F275="Baltimore",+NFL!#REF!,IF(+NFL!$H275="Baltimore",+NFL!#REF!,0))</f>
        <v>0</v>
      </c>
      <c r="AL59" s="57">
        <f>IF(+NFL!$F275="Baltimore",+NFL!#REF!,IF(+NFL!$H275="Baltimore",+NFL!#REF!,0))</f>
        <v>0</v>
      </c>
      <c r="AM59" s="58">
        <f>IF(+NFL!$F275="Baltimore",+NFL!#REF!,IF(+NFL!$H275="Baltimore",+NFL!#REF!,0))</f>
        <v>0</v>
      </c>
      <c r="AN59" s="57">
        <f>IF(+NFL!$F275="Baltimore",+NFL!#REF!,IF(+NFL!$H275="Baltimore",+NFL!#REF!,0))</f>
        <v>0</v>
      </c>
      <c r="AO59" s="59">
        <f>IF(+NFL!$F275="Baltimore",+NFL!#REF!,IF(+NFL!$H275="Baltimore",+NFL!#REF!,0))</f>
        <v>0</v>
      </c>
      <c r="AP59" s="348">
        <f>IF(+NFL!$F275="Baltimore",+NFL!#REF!,IF(+NFL!$H275="Baltimore",+NFL!#REF!,0))</f>
        <v>0</v>
      </c>
      <c r="AQ59" s="48">
        <f>IF(+NFL!$F275="Baltimore",+NFL!#REF!,IF(+NFL!$H275="Baltimore",+NFL!#REF!,0))</f>
        <v>0</v>
      </c>
      <c r="AR59" s="57">
        <f>IF(+NFL!$F275="Baltimore",+NFL!#REF!,IF(+NFL!$H275="Baltimore",+NFL!#REF!,0))</f>
        <v>0</v>
      </c>
      <c r="AS59" s="64">
        <f>IF(+NFL!$F275="Baltimore",+NFL!#REF!,IF(+NFL!$H275="Baltimore",+NFL!#REF!,0))</f>
        <v>0</v>
      </c>
      <c r="AT59" s="64">
        <f>IF(+NFL!$F275="Baltimore",+NFL!#REF!,IF(+NFL!$H275="Baltimore",+NFL!#REF!,0))</f>
        <v>0</v>
      </c>
      <c r="AU59" s="57">
        <f>IF(+NFL!$F275="Baltimore",+NFL!#REF!,IF(+NFL!$H275="Baltimore",+NFL!#REF!,0))</f>
        <v>0</v>
      </c>
      <c r="AV59" s="64">
        <f>IF(+NFL!$F275="Baltimore",+NFL!#REF!,IF(+NFL!$H275="Baltimore",+NFL!#REF!,0))</f>
        <v>0</v>
      </c>
      <c r="AW59" s="46">
        <f>IF(+NFL!$F275="Baltimore",+NFL!#REF!,IF(+NFL!$H275="Baltimore",+NFL!#REF!,0))</f>
        <v>0</v>
      </c>
      <c r="AX59" s="64">
        <f>IF(+NFL!$F275="Baltimore",+NFL!#REF!,IF(+NFL!$H275="Baltimore",+NFL!#REF!,0))</f>
        <v>0</v>
      </c>
      <c r="AY59" s="57">
        <f>IF(+NFL!$F275="Baltimore",+NFL!#REF!,IF(+NFL!$H275="Baltimore",+NFL!#REF!,0))</f>
        <v>0</v>
      </c>
      <c r="AZ59" s="64">
        <f>IF(+NFL!$F275="Baltimore",+NFL!#REF!,IF(+NFL!$H275="Baltimore",+NFL!#REF!,0))</f>
        <v>0</v>
      </c>
      <c r="BA59" s="46">
        <f>IF(+NFL!$F275="Baltimore",+NFL!#REF!,IF(+NFL!$H275="Baltimore",+NFL!#REF!,0))</f>
        <v>0</v>
      </c>
      <c r="BB59" s="46">
        <f>IF(+NFL!$F275="Baltimore",+NFL!#REF!,IF(+NFL!$H275="Baltimore",+NFL!#REF!,0))</f>
        <v>0</v>
      </c>
      <c r="BC59" s="403">
        <f>IF(+NFL!$F275="Baltimore",+NFL!#REF!,IF(+NFL!$H275="Baltimore",+NFL!#REF!,0))</f>
        <v>0</v>
      </c>
      <c r="BD59" s="57">
        <f>IF(+NFL!$F275="Baltimore",+NFL!#REF!,IF(+NFL!$H275="Baltimore",+NFL!#REF!,0))</f>
        <v>0</v>
      </c>
      <c r="BE59" s="64">
        <f>IF(+NFL!$F275="Baltimore",+NFL!#REF!,IF(+NFL!$H275="Baltimore",+NFL!#REF!,0))</f>
        <v>0</v>
      </c>
      <c r="BF59" s="64">
        <f>IF(+NFL!$F275="Baltimore",+NFL!#REF!,IF(+NFL!$H275="Baltimore",+NFL!#REF!,0))</f>
        <v>0</v>
      </c>
      <c r="BG59" s="57">
        <f>IF(+NFL!$F275="Baltimore",+NFL!#REF!,IF(+NFL!$H275="Baltimore",+NFL!#REF!,0))</f>
        <v>0</v>
      </c>
      <c r="BH59" s="64">
        <f>IF(+NFL!$F275="Baltimore",+NFL!#REF!,IF(+NFL!$H275="Baltimore",+NFL!#REF!,0))</f>
        <v>0</v>
      </c>
      <c r="BI59" s="46">
        <f>IF(+NFL!$F275="Baltimore",+NFL!#REF!,IF(+NFL!$H275="Baltimore",+NFL!#REF!,0))</f>
        <v>0</v>
      </c>
      <c r="BJ59" s="87">
        <f>IF(+NFL!$F275="Baltimore",+NFL!#REF!,IF(+NFL!$H275="Baltimore",+NFL!#REF!,0))</f>
        <v>0</v>
      </c>
      <c r="BK59" s="120">
        <f>IF(+NFL!$F275="Baltimore",+NFL!#REF!,IF(+NFL!$H275="Baltimore",+NFL!#REF!,0))</f>
        <v>0</v>
      </c>
    </row>
    <row r="60" spans="1:63" x14ac:dyDescent="0.8">
      <c r="B60" s="46"/>
      <c r="C60" s="62"/>
      <c r="F60" s="959" t="str">
        <f>F61</f>
        <v>Buffalo</v>
      </c>
      <c r="G60" s="960"/>
      <c r="H60" s="960"/>
      <c r="I60" s="961"/>
      <c r="L60" s="384"/>
      <c r="M60" s="385"/>
      <c r="N60" s="394"/>
      <c r="P60" s="394"/>
      <c r="R60" s="397"/>
      <c r="S60" s="396"/>
      <c r="T60" s="398"/>
      <c r="AP60" s="348"/>
      <c r="AQ60" s="348"/>
      <c r="AY60" s="57"/>
      <c r="AZ60" s="64"/>
      <c r="BA60" s="46"/>
      <c r="BB60" s="46"/>
      <c r="BC60" s="348"/>
    </row>
    <row r="61" spans="1:63" x14ac:dyDescent="0.8">
      <c r="A61" s="46">
        <f>IF(+NFL!$F4="Buffalo",+NFL!A4,IF(+NFL!$H4="Buffalo",+NFL!A4,0))</f>
        <v>1</v>
      </c>
      <c r="B61" s="46" t="str">
        <f>IF(+NFL!$F4="Buffalo",+NFL!B4,IF(+NFL!$H4="Buffalo",+NFL!B4,0))</f>
        <v>Thurs</v>
      </c>
      <c r="C61" s="62">
        <f>IF(+NFL!$F4="Buffalo",+NFL!C4,IF(+NFL!$H4="Buffalo",+NFL!C4,0))</f>
        <v>44812</v>
      </c>
      <c r="D61" s="490">
        <f>IF(+NFL!$F4="Buffalo",+NFL!D4,IF(+NFL!$H4="Buffalo",+NFL!D4,0))</f>
        <v>0.84375</v>
      </c>
      <c r="E61" s="46" t="str">
        <f>IF(+NFL!$F4="Buffalo",+NFL!E4,IF(+NFL!$H4="Buffalo",+NFL!E4,0))</f>
        <v>NBC</v>
      </c>
      <c r="F61" s="127" t="str">
        <f>IF(+NFL!$F4="Buffalo",+NFL!F4,IF(+NFL!$H4="Buffalo",+NFL!F4,0))</f>
        <v>Buffalo</v>
      </c>
      <c r="G61" s="46" t="str">
        <f>IF(+NFL!$F4="Buffalo",+NFL!G4,IF(+NFL!$H4="Buffalo",+NFL!G4,0))</f>
        <v>AFCE</v>
      </c>
      <c r="H61" s="127" t="str">
        <f>IF(+NFL!$F4="Buffalo",+NFL!H4,IF(+NFL!$H4="Buffalo",+NFL!H4,0))</f>
        <v>LA Rams</v>
      </c>
      <c r="I61" s="46" t="str">
        <f>IF(+NFL!$F4="Buffalo",+NFL!I4,IF(+NFL!$H4="Buffalo",+NFL!I4,0))</f>
        <v>NFCW</v>
      </c>
      <c r="J61" s="353" t="str">
        <f>IF(+NFL!$F4="Buffalo",+NFL!J4,IF(+NFL!$H4="Buffalo",+NFL!J4,0))</f>
        <v>Buffalo</v>
      </c>
      <c r="K61" s="494" t="str">
        <f>IF(+NFL!$F4="Buffalo",+NFL!K4,IF(+NFL!$H4="Buffalo",+NFL!K4,0))</f>
        <v>LA Rams</v>
      </c>
      <c r="L61" s="384">
        <f>IF(+NFL!$F4="Buffalo",+NFL!L4,IF(+NFL!$H4="Buffalo",+NFL!L4,0))</f>
        <v>2</v>
      </c>
      <c r="M61" s="385">
        <f>IF(+NFL!$F4="Buffalo",+NFL!M4,IF(+NFL!$H4="Buffalo",+NFL!M4,0))</f>
        <v>52</v>
      </c>
      <c r="N61" s="394" t="str">
        <f>IF(+NFL!$F4="Buffalo",+NFL!N4,IF(+NFL!$H4="Buffalo",+NFL!N4,0))</f>
        <v>Buffalo</v>
      </c>
      <c r="O61" s="395">
        <f>IF(+NFL!$F4="Buffalo",+NFL!O4,IF(+NFL!$H4="Buffalo",+NFL!O4,0))</f>
        <v>31</v>
      </c>
      <c r="P61" s="394" t="str">
        <f>IF(+NFL!$F4="Buffalo",+NFL!P4,IF(+NFL!$H4="Buffalo",+NFL!P4,0))</f>
        <v>LA Rams</v>
      </c>
      <c r="Q61" s="396">
        <f>IF(+NFL!$F4="Buffalo",+NFL!Q4,IF(+NFL!$H4="Buffalo",+NFL!Q4,0))</f>
        <v>10</v>
      </c>
      <c r="R61" s="397" t="str">
        <f>IF(+NFL!$F4="Buffalo",+NFL!R4,IF(+NFL!$H4="Buffalo",+NFL!R4,0))</f>
        <v>Buffalo</v>
      </c>
      <c r="S61" s="396" t="str">
        <f>IF(+NFL!$F4="Buffalo",+NFL!S4,IF(+NFL!$H4="Buffalo",+NFL!S4,0))</f>
        <v>LA Rams</v>
      </c>
      <c r="T61" s="397" t="str">
        <f>IF(+NFL!$F4="Buffalo",+NFL!T4,IF(+NFL!$H4="Buffalo",+NFL!T4,0))</f>
        <v>LA Rams</v>
      </c>
      <c r="U61" s="396" t="str">
        <f>IF(+NFL!$F4="Buffalo",+NFL!U4,IF(+NFL!$H4="Buffalo",+NFL!U4,0))</f>
        <v>L</v>
      </c>
      <c r="AP61" s="348"/>
      <c r="AQ61" s="348"/>
      <c r="AS61" s="493"/>
      <c r="AT61" s="493"/>
      <c r="AV61" s="493"/>
      <c r="AX61" s="493"/>
      <c r="AY61" s="57"/>
      <c r="AZ61" s="493"/>
      <c r="BA61" s="46"/>
      <c r="BB61" s="46"/>
      <c r="BC61" s="348"/>
      <c r="BE61" s="493"/>
      <c r="BF61" s="493"/>
      <c r="BH61" s="493"/>
    </row>
    <row r="62" spans="1:63" x14ac:dyDescent="0.8">
      <c r="A62" s="46">
        <f>IF(+NFL!$F35="Buffalo",+NFL!A35,IF(+NFL!$H35="Buffalo",+NFL!A35,0))</f>
        <v>2</v>
      </c>
      <c r="B62" s="46" t="str">
        <f>IF(+NFL!$F35="Buffalo",+NFL!B35,IF(+NFL!$H35="Buffalo",+NFL!B35,0))</f>
        <v>Mon</v>
      </c>
      <c r="C62" s="62">
        <f>IF(+NFL!$F35="Buffalo",+NFL!C35,IF(+NFL!$H35="Buffalo",+NFL!C35,0))</f>
        <v>44823</v>
      </c>
      <c r="D62" s="490">
        <f>IF(+NFL!$F35="Buffalo",+NFL!D35,IF(+NFL!$H35="Buffalo",+NFL!D35,0))</f>
        <v>0.8125</v>
      </c>
      <c r="E62" s="46" t="str">
        <f>IF(+NFL!$F35="Buffalo",+NFL!E35,IF(+NFL!$H35="Buffalo",+NFL!E35,0))</f>
        <v>ESPN</v>
      </c>
      <c r="F62" s="127" t="str">
        <f>IF(+NFL!$F35="Buffalo",+NFL!F35,IF(+NFL!$H35="Buffalo",+NFL!F35,0))</f>
        <v>Tennessee</v>
      </c>
      <c r="G62" s="46" t="str">
        <f>IF(+NFL!$F35="Buffalo",+NFL!G35,IF(+NFL!$H35="Buffalo",+NFL!G35,0))</f>
        <v>AFCS</v>
      </c>
      <c r="H62" s="127" t="str">
        <f>IF(+NFL!$F35="Buffalo",+NFL!H35,IF(+NFL!$H35="Buffalo",+NFL!H35,0))</f>
        <v>Buffalo</v>
      </c>
      <c r="I62" s="46" t="str">
        <f>IF(+NFL!$F35="Buffalo",+NFL!I35,IF(+NFL!$H35="Buffalo",+NFL!I35,0))</f>
        <v>AFCE</v>
      </c>
      <c r="J62" s="353" t="str">
        <f>IF(+NFL!$F35="Buffalo",+NFL!J35,IF(+NFL!$H35="Buffalo",+NFL!J35,0))</f>
        <v>Buffalo</v>
      </c>
      <c r="K62" s="494" t="str">
        <f>IF(+NFL!$F35="Buffalo",+NFL!K35,IF(+NFL!$H35="Buffalo",+NFL!K35,0))</f>
        <v>Tennessee</v>
      </c>
      <c r="L62" s="384">
        <f>IF(+NFL!$F35="Buffalo",+NFL!L35,IF(+NFL!$H35="Buffalo",+NFL!L35,0))</f>
        <v>10</v>
      </c>
      <c r="M62" s="385">
        <f>IF(+NFL!$F35="Buffalo",+NFL!M35,IF(+NFL!$H35="Buffalo",+NFL!M35,0))</f>
        <v>49.5</v>
      </c>
      <c r="N62" s="394" t="str">
        <f>IF(+NFL!$F35="Buffalo",+NFL!N35,IF(+NFL!$H35="Buffalo",+NFL!N35,0))</f>
        <v>Buffalo</v>
      </c>
      <c r="O62" s="395">
        <f>IF(+NFL!$F35="Buffalo",+NFL!O35,IF(+NFL!$H35="Buffalo",+NFL!O35,0))</f>
        <v>41</v>
      </c>
      <c r="P62" s="394" t="str">
        <f>IF(+NFL!$F35="Buffalo",+NFL!P35,IF(+NFL!$H35="Buffalo",+NFL!P35,0))</f>
        <v>Tennessee</v>
      </c>
      <c r="Q62" s="396">
        <f>IF(+NFL!$F35="Buffalo",+NFL!Q35,IF(+NFL!$H35="Buffalo",+NFL!Q35,0))</f>
        <v>7</v>
      </c>
      <c r="R62" s="397" t="str">
        <f>IF(+NFL!$F35="Buffalo",+NFL!R35,IF(+NFL!$H35="Buffalo",+NFL!R35,0))</f>
        <v>Buffalo</v>
      </c>
      <c r="S62" s="396" t="str">
        <f>IF(+NFL!$F35="Buffalo",+NFL!S35,IF(+NFL!$H35="Buffalo",+NFL!S35,0))</f>
        <v>Tennessee</v>
      </c>
      <c r="T62" s="397" t="str">
        <f>IF(+NFL!$F35="Buffalo",+NFL!T35,IF(+NFL!$H35="Buffalo",+NFL!T35,0))</f>
        <v>Tennessee</v>
      </c>
      <c r="U62" s="396" t="str">
        <f>IF(+NFL!$F35="Buffalo",+NFL!U35,IF(+NFL!$H35="Buffalo",+NFL!U35,0))</f>
        <v>L</v>
      </c>
      <c r="AP62" s="348"/>
      <c r="AQ62" s="48"/>
      <c r="AS62" s="493"/>
      <c r="AT62" s="493"/>
      <c r="AV62" s="493"/>
      <c r="AX62" s="493"/>
      <c r="AY62" s="57"/>
      <c r="AZ62" s="493"/>
      <c r="BA62" s="46"/>
      <c r="BB62" s="46"/>
      <c r="BC62" s="403"/>
      <c r="BE62" s="493"/>
      <c r="BF62" s="493"/>
      <c r="BH62" s="493"/>
    </row>
    <row r="63" spans="1:63" x14ac:dyDescent="0.8">
      <c r="A63" s="46">
        <f>IF(+NFL!$F42="Buffalo",+NFL!A42,IF(+NFL!$H42="Buffalo",+NFL!A42,0))</f>
        <v>3</v>
      </c>
      <c r="B63" s="46" t="str">
        <f>IF(+NFL!$F42="Buffalo",+NFL!B42,IF(+NFL!$H42="Buffalo",+NFL!B42,0))</f>
        <v>Sun</v>
      </c>
      <c r="C63" s="62">
        <f>IF(+NFL!$F42="Buffalo",+NFL!C42,IF(+NFL!$H42="Buffalo",+NFL!C42,0))</f>
        <v>44829</v>
      </c>
      <c r="D63" s="490">
        <f>IF(+NFL!$F42="Buffalo",+NFL!D42,IF(+NFL!$H42="Buffalo",+NFL!D42,0))</f>
        <v>0.54166666666666663</v>
      </c>
      <c r="E63" s="46" t="str">
        <f>IF(+NFL!$F42="Buffalo",+NFL!E42,IF(+NFL!$H42="Buffalo",+NFL!E42,0))</f>
        <v>CBS</v>
      </c>
      <c r="F63" s="127" t="str">
        <f>IF(+NFL!$F42="Buffalo",+NFL!F42,IF(+NFL!$H42="Buffalo",+NFL!F42,0))</f>
        <v>Buffalo</v>
      </c>
      <c r="G63" s="46" t="str">
        <f>IF(+NFL!$F42="Buffalo",+NFL!G42,IF(+NFL!$H42="Buffalo",+NFL!G42,0))</f>
        <v>AFCE</v>
      </c>
      <c r="H63" s="127" t="str">
        <f>IF(+NFL!$F42="Buffalo",+NFL!H42,IF(+NFL!$H42="Buffalo",+NFL!H42,0))</f>
        <v>Miami</v>
      </c>
      <c r="I63" s="46" t="str">
        <f>IF(+NFL!$F42="Buffalo",+NFL!I42,IF(+NFL!$H42="Buffalo",+NFL!I42,0))</f>
        <v>AFCE</v>
      </c>
      <c r="J63" s="353" t="str">
        <f>IF(+NFL!$F42="Buffalo",+NFL!J42,IF(+NFL!$H42="Buffalo",+NFL!J42,0))</f>
        <v>Buffalo</v>
      </c>
      <c r="K63" s="494" t="str">
        <f>IF(+NFL!$F42="Buffalo",+NFL!K42,IF(+NFL!$H42="Buffalo",+NFL!K42,0))</f>
        <v>Miami</v>
      </c>
      <c r="L63" s="384">
        <f>IF(+NFL!$F42="Buffalo",+NFL!L42,IF(+NFL!$H42="Buffalo",+NFL!L42,0))</f>
        <v>5.5</v>
      </c>
      <c r="M63" s="385">
        <f>IF(+NFL!$F42="Buffalo",+NFL!M42,IF(+NFL!$H42="Buffalo",+NFL!M42,0))</f>
        <v>53</v>
      </c>
      <c r="N63" s="394" t="str">
        <f>IF(+NFL!$F42="Buffalo",+NFL!N42,IF(+NFL!$H42="Buffalo",+NFL!N42,0))</f>
        <v>Miami</v>
      </c>
      <c r="O63" s="395">
        <f>IF(+NFL!$F42="Buffalo",+NFL!O42,IF(+NFL!$H42="Buffalo",+NFL!O42,0))</f>
        <v>21</v>
      </c>
      <c r="P63" s="394" t="str">
        <f>IF(+NFL!$F42="Buffalo",+NFL!P42,IF(+NFL!$H42="Buffalo",+NFL!P42,0))</f>
        <v>Buffalo</v>
      </c>
      <c r="Q63" s="396">
        <f>IF(+NFL!$F42="Buffalo",+NFL!Q42,IF(+NFL!$H42="Buffalo",+NFL!Q42,0))</f>
        <v>19</v>
      </c>
      <c r="R63" s="397" t="str">
        <f>IF(+NFL!$F42="Buffalo",+NFL!R42,IF(+NFL!$H42="Buffalo",+NFL!R42,0))</f>
        <v>Miami</v>
      </c>
      <c r="S63" s="396" t="str">
        <f>IF(+NFL!$F42="Buffalo",+NFL!S42,IF(+NFL!$H42="Buffalo",+NFL!S42,0))</f>
        <v>Buffalo</v>
      </c>
      <c r="T63" s="397" t="str">
        <f>IF(+NFL!$F42="Buffalo",+NFL!T42,IF(+NFL!$H42="Buffalo",+NFL!T42,0))</f>
        <v>Buffalo</v>
      </c>
      <c r="U63" s="396" t="str">
        <f>IF(+NFL!$F42="Buffalo",+NFL!U42,IF(+NFL!$H42="Buffalo",+NFL!U42,0))</f>
        <v>L</v>
      </c>
      <c r="AP63" s="348"/>
      <c r="AQ63" s="48"/>
      <c r="AS63" s="493"/>
      <c r="AT63" s="493"/>
      <c r="AV63" s="493"/>
      <c r="AX63" s="493"/>
      <c r="AY63" s="57"/>
      <c r="AZ63" s="493"/>
      <c r="BA63" s="46"/>
      <c r="BB63" s="46"/>
      <c r="BC63" s="403"/>
      <c r="BE63" s="493"/>
      <c r="BF63" s="493"/>
      <c r="BH63" s="493"/>
    </row>
    <row r="64" spans="1:63" x14ac:dyDescent="0.8">
      <c r="A64" s="46">
        <f>IF(+NFL!$F64="Buffalo",+NFL!A64,IF(+NFL!$H64="Buffalo",+NFL!A64,0))</f>
        <v>4</v>
      </c>
      <c r="B64" s="46" t="str">
        <f>IF(+NFL!$F64="Buffalo",+NFL!B64,IF(+NFL!$H64="Buffalo",+NFL!B64,0))</f>
        <v>Sun</v>
      </c>
      <c r="C64" s="62">
        <f>IF(+NFL!$F64="Buffalo",+NFL!C64,IF(+NFL!$H64="Buffalo",+NFL!C64,0))</f>
        <v>44836</v>
      </c>
      <c r="D64" s="490">
        <f>IF(+NFL!$F64="Buffalo",+NFL!D64,IF(+NFL!$H64="Buffalo",+NFL!D64,0))</f>
        <v>0.54166666666666663</v>
      </c>
      <c r="E64" s="46" t="str">
        <f>IF(+NFL!$F64="Buffalo",+NFL!E64,IF(+NFL!$H64="Buffalo",+NFL!E64,0))</f>
        <v>CBS</v>
      </c>
      <c r="F64" s="127" t="str">
        <f>IF(+NFL!$F64="Buffalo",+NFL!F64,IF(+NFL!$H64="Buffalo",+NFL!F64,0))</f>
        <v>Buffalo</v>
      </c>
      <c r="G64" s="46" t="str">
        <f>IF(+NFL!$F64="Buffalo",+NFL!G64,IF(+NFL!$H64="Buffalo",+NFL!G64,0))</f>
        <v>AFCE</v>
      </c>
      <c r="H64" s="127" t="str">
        <f>IF(+NFL!$F64="Buffalo",+NFL!H64,IF(+NFL!$H64="Buffalo",+NFL!H64,0))</f>
        <v>Baltimore</v>
      </c>
      <c r="I64" s="46" t="str">
        <f>IF(+NFL!$F64="Buffalo",+NFL!I64,IF(+NFL!$H64="Buffalo",+NFL!I64,0))</f>
        <v>AFCN</v>
      </c>
      <c r="J64" s="353" t="str">
        <f>IF(+NFL!$F64="Buffalo",+NFL!J64,IF(+NFL!$H64="Buffalo",+NFL!J64,0))</f>
        <v>Buffalo</v>
      </c>
      <c r="K64" s="494" t="str">
        <f>IF(+NFL!$F64="Buffalo",+NFL!K64,IF(+NFL!$H64="Buffalo",+NFL!K64,0))</f>
        <v>Baltimore</v>
      </c>
      <c r="L64" s="384">
        <f>IF(+NFL!$F64="Buffalo",+NFL!L64,IF(+NFL!$H64="Buffalo",+NFL!L64,0))</f>
        <v>3.5</v>
      </c>
      <c r="M64" s="385">
        <f>IF(+NFL!$F64="Buffalo",+NFL!M64,IF(+NFL!$H64="Buffalo",+NFL!M64,0))</f>
        <v>51.5</v>
      </c>
      <c r="N64" s="394" t="str">
        <f>IF(+NFL!$F64="Buffalo",+NFL!N64,IF(+NFL!$H64="Buffalo",+NFL!N64,0))</f>
        <v>Buffalo</v>
      </c>
      <c r="O64" s="395">
        <f>IF(+NFL!$F64="Buffalo",+NFL!O64,IF(+NFL!$H64="Buffalo",+NFL!O64,0))</f>
        <v>23</v>
      </c>
      <c r="P64" s="394" t="str">
        <f>IF(+NFL!$F64="Buffalo",+NFL!P64,IF(+NFL!$H64="Buffalo",+NFL!P64,0))</f>
        <v>Baltimore</v>
      </c>
      <c r="Q64" s="396">
        <f>IF(+NFL!$F64="Buffalo",+NFL!Q64,IF(+NFL!$H64="Buffalo",+NFL!Q64,0))</f>
        <v>20</v>
      </c>
      <c r="R64" s="397" t="str">
        <f>IF(+NFL!$F64="Buffalo",+NFL!R64,IF(+NFL!$H64="Buffalo",+NFL!R64,0))</f>
        <v>Baltimore</v>
      </c>
      <c r="S64" s="396" t="str">
        <f>IF(+NFL!$F64="Buffalo",+NFL!S64,IF(+NFL!$H64="Buffalo",+NFL!S64,0))</f>
        <v>Buffalo</v>
      </c>
      <c r="T64" s="397" t="str">
        <f>IF(+NFL!$F64="Buffalo",+NFL!T64,IF(+NFL!$H64="Buffalo",+NFL!T64,0))</f>
        <v>Buffalo</v>
      </c>
      <c r="U64" s="396" t="str">
        <f>IF(+NFL!$F64="Buffalo",+NFL!U64,IF(+NFL!$H64="Buffalo",+NFL!U64,0))</f>
        <v>L</v>
      </c>
      <c r="AP64" s="348"/>
      <c r="AQ64" s="48"/>
      <c r="AY64" s="57"/>
      <c r="AZ64" s="64"/>
      <c r="BA64" s="46"/>
      <c r="BB64" s="46"/>
      <c r="BC64" s="403"/>
    </row>
    <row r="65" spans="1:63" x14ac:dyDescent="0.8">
      <c r="A65" s="46">
        <f>IF(+NFL!$F74="Buffalo",+NFL!A74,IF(+NFL!$H74="Buffalo",+NFL!A74,0))</f>
        <v>5</v>
      </c>
      <c r="B65" s="46" t="str">
        <f>IF(+NFL!$F74="Buffalo",+NFL!B74,IF(+NFL!$H74="Buffalo",+NFL!B74,0))</f>
        <v>Sun</v>
      </c>
      <c r="C65" s="62">
        <f>IF(+NFL!$F74="Buffalo",+NFL!C74,IF(+NFL!$H74="Buffalo",+NFL!C74,0))</f>
        <v>44843</v>
      </c>
      <c r="D65" s="490">
        <f>IF(+NFL!$F74="Buffalo",+NFL!D74,IF(+NFL!$H74="Buffalo",+NFL!D74,0))</f>
        <v>0.54166666666666663</v>
      </c>
      <c r="E65" s="46" t="str">
        <f>IF(+NFL!$F74="Buffalo",+NFL!E74,IF(+NFL!$H74="Buffalo",+NFL!E74,0))</f>
        <v>CBS</v>
      </c>
      <c r="F65" s="127" t="str">
        <f>IF(+NFL!$F74="Buffalo",+NFL!F74,IF(+NFL!$H74="Buffalo",+NFL!F74,0))</f>
        <v>Pittsburgh</v>
      </c>
      <c r="G65" s="46" t="str">
        <f>IF(+NFL!$F74="Buffalo",+NFL!G74,IF(+NFL!$H74="Buffalo",+NFL!G74,0))</f>
        <v>AFCN</v>
      </c>
      <c r="H65" s="127" t="str">
        <f>IF(+NFL!$F74="Buffalo",+NFL!H74,IF(+NFL!$H74="Buffalo",+NFL!H74,0))</f>
        <v>Buffalo</v>
      </c>
      <c r="I65" s="46" t="str">
        <f>IF(+NFL!$F74="Buffalo",+NFL!I74,IF(+NFL!$H74="Buffalo",+NFL!I74,0))</f>
        <v>AFCE</v>
      </c>
      <c r="J65" s="353" t="str">
        <f>IF(+NFL!$F74="Buffalo",+NFL!J74,IF(+NFL!$H74="Buffalo",+NFL!J74,0))</f>
        <v>Buffalo</v>
      </c>
      <c r="K65" s="494" t="str">
        <f>IF(+NFL!$F74="Buffalo",+NFL!K74,IF(+NFL!$H74="Buffalo",+NFL!K74,0))</f>
        <v>Pittsburgh</v>
      </c>
      <c r="L65" s="384">
        <f>IF(+NFL!$F74="Buffalo",+NFL!L74,IF(+NFL!$H74="Buffalo",+NFL!L74,0))</f>
        <v>14</v>
      </c>
      <c r="M65" s="385">
        <f>IF(+NFL!$F74="Buffalo",+NFL!M74,IF(+NFL!$H74="Buffalo",+NFL!M74,0))</f>
        <v>47</v>
      </c>
      <c r="N65" s="394" t="str">
        <f>IF(+NFL!$F74="Buffalo",+NFL!N74,IF(+NFL!$H74="Buffalo",+NFL!N74,0))</f>
        <v>Buffalo</v>
      </c>
      <c r="O65" s="395">
        <f>IF(+NFL!$F74="Buffalo",+NFL!O74,IF(+NFL!$H74="Buffalo",+NFL!O74,0))</f>
        <v>38</v>
      </c>
      <c r="P65" s="394" t="str">
        <f>IF(+NFL!$F74="Buffalo",+NFL!P74,IF(+NFL!$H74="Buffalo",+NFL!P74,0))</f>
        <v>Pittsburgh</v>
      </c>
      <c r="Q65" s="396">
        <f>IF(+NFL!$F74="Buffalo",+NFL!Q74,IF(+NFL!$H74="Buffalo",+NFL!Q74,0))</f>
        <v>3</v>
      </c>
      <c r="R65" s="397" t="str">
        <f>IF(+NFL!$F74="Buffalo",+NFL!R74,IF(+NFL!$H74="Buffalo",+NFL!R74,0))</f>
        <v>Buffalo</v>
      </c>
      <c r="S65" s="396" t="str">
        <f>IF(+NFL!$F74="Buffalo",+NFL!S74,IF(+NFL!$H74="Buffalo",+NFL!S74,0))</f>
        <v>Pittsburgh</v>
      </c>
      <c r="T65" s="397" t="str">
        <f>IF(+NFL!$F74="Buffalo",+NFL!T74,IF(+NFL!$H74="Buffalo",+NFL!T74,0))</f>
        <v>Pittsburgh</v>
      </c>
      <c r="U65" s="396" t="str">
        <f>IF(+NFL!$F74="Buffalo",+NFL!U74,IF(+NFL!$H74="Buffalo",+NFL!U74,0))</f>
        <v>L</v>
      </c>
      <c r="AP65" s="348"/>
      <c r="AQ65" s="48"/>
      <c r="AY65" s="57"/>
      <c r="AZ65" s="64"/>
      <c r="BA65" s="46"/>
      <c r="BB65" s="46"/>
      <c r="BC65" s="403"/>
    </row>
    <row r="66" spans="1:63" x14ac:dyDescent="0.8">
      <c r="A66" s="46">
        <f>IF(+NFL!$F100="Buffalo",+NFL!A100,IF(+NFL!$H100="Buffalo",+NFL!A100,0))</f>
        <v>6</v>
      </c>
      <c r="B66" s="46" t="str">
        <f>IF(+NFL!$F100="Buffalo",+NFL!B100,IF(+NFL!$H100="Buffalo",+NFL!B100,0))</f>
        <v>Sun</v>
      </c>
      <c r="C66" s="62">
        <f>IF(+NFL!$F100="Buffalo",+NFL!C100,IF(+NFL!$H100="Buffalo",+NFL!C100,0))</f>
        <v>44850</v>
      </c>
      <c r="D66" s="490">
        <f>IF(+NFL!$F100="Buffalo",+NFL!D100,IF(+NFL!$H100="Buffalo",+NFL!D100,0))</f>
        <v>0.66666666666666663</v>
      </c>
      <c r="E66" s="46" t="str">
        <f>IF(+NFL!$F100="Buffalo",+NFL!E100,IF(+NFL!$H100="Buffalo",+NFL!E100,0))</f>
        <v>CBS</v>
      </c>
      <c r="F66" s="127" t="str">
        <f>IF(+NFL!$F100="Buffalo",+NFL!F100,IF(+NFL!$H100="Buffalo",+NFL!F100,0))</f>
        <v>Buffalo</v>
      </c>
      <c r="G66" s="46" t="str">
        <f>IF(+NFL!$F100="Buffalo",+NFL!G100,IF(+NFL!$H100="Buffalo",+NFL!G100,0))</f>
        <v>AFCE</v>
      </c>
      <c r="H66" s="127" t="str">
        <f>IF(+NFL!$F100="Buffalo",+NFL!H100,IF(+NFL!$H100="Buffalo",+NFL!H100,0))</f>
        <v>Kansas City</v>
      </c>
      <c r="I66" s="46" t="str">
        <f>IF(+NFL!$F100="Buffalo",+NFL!I100,IF(+NFL!$H100="Buffalo",+NFL!I100,0))</f>
        <v>AFCW</v>
      </c>
      <c r="J66" s="353" t="str">
        <f>IF(+NFL!$F100="Buffalo",+NFL!J100,IF(+NFL!$H100="Buffalo",+NFL!J100,0))</f>
        <v>Buffalo</v>
      </c>
      <c r="K66" s="494" t="str">
        <f>IF(+NFL!$F100="Buffalo",+NFL!K100,IF(+NFL!$H100="Buffalo",+NFL!K100,0))</f>
        <v>Kansas City</v>
      </c>
      <c r="L66" s="384">
        <f>IF(+NFL!$F100="Buffalo",+NFL!L100,IF(+NFL!$H100="Buffalo",+NFL!L100,0))</f>
        <v>2.5</v>
      </c>
      <c r="M66" s="385">
        <f>IF(+NFL!$F100="Buffalo",+NFL!M100,IF(+NFL!$H100="Buffalo",+NFL!M100,0))</f>
        <v>54</v>
      </c>
      <c r="N66" s="394" t="str">
        <f>IF(+NFL!$F100="Buffalo",+NFL!N100,IF(+NFL!$H100="Buffalo",+NFL!N100,0))</f>
        <v>Buffalo</v>
      </c>
      <c r="O66" s="395">
        <f>IF(+NFL!$F100="Buffalo",+NFL!O100,IF(+NFL!$H100="Buffalo",+NFL!O100,0))</f>
        <v>24</v>
      </c>
      <c r="P66" s="394" t="str">
        <f>IF(+NFL!$F100="Buffalo",+NFL!P100,IF(+NFL!$H100="Buffalo",+NFL!P100,0))</f>
        <v>Kansas City</v>
      </c>
      <c r="Q66" s="396">
        <f>IF(+NFL!$F100="Buffalo",+NFL!Q100,IF(+NFL!$H100="Buffalo",+NFL!Q100,0))</f>
        <v>20</v>
      </c>
      <c r="R66" s="397" t="str">
        <f>IF(+NFL!$F100="Buffalo",+NFL!R100,IF(+NFL!$H100="Buffalo",+NFL!R100,0))</f>
        <v>Buffalo</v>
      </c>
      <c r="S66" s="396" t="str">
        <f>IF(+NFL!$F100="Buffalo",+NFL!S100,IF(+NFL!$H100="Buffalo",+NFL!S100,0))</f>
        <v>Kansas City</v>
      </c>
      <c r="T66" s="397" t="str">
        <f>IF(+NFL!$F100="Buffalo",+NFL!T100,IF(+NFL!$H100="Buffalo",+NFL!T100,0))</f>
        <v>Buffalo</v>
      </c>
      <c r="U66" s="396" t="str">
        <f>IF(+NFL!$F100="Buffalo",+NFL!U100,IF(+NFL!$H100="Buffalo",+NFL!U100,0))</f>
        <v>W</v>
      </c>
      <c r="V66" s="397">
        <f>IF(+NFL!$F33="Buffalo",+NFL!#REF!,IF(+NFL!$H33="Buffalo",+NFL!#REF!,0))</f>
        <v>0</v>
      </c>
      <c r="W66" s="396">
        <f>IF(+NFL!$F33="Buffalo",+NFL!#REF!,IF(+NFL!$H33="Buffalo",+NFL!#REF!,0))</f>
        <v>0</v>
      </c>
      <c r="X66" s="397">
        <f>IF(+NFL!$F33="Buffalo",+NFL!#REF!,IF(+NFL!$H33="Buffalo",+NFL!#REF!,0))</f>
        <v>0</v>
      </c>
      <c r="Y66" s="396">
        <f>IF(+NFL!$F33="Buffalo",+NFL!#REF!,IF(+NFL!$H33="Buffalo",+NFL!#REF!,0))</f>
        <v>0</v>
      </c>
      <c r="Z66" s="397">
        <f>IF(+NFL!$F33="Buffalo",+NFL!#REF!,IF(+NFL!$H33="Buffalo",+NFL!#REF!,0))</f>
        <v>0</v>
      </c>
      <c r="AA66" s="396">
        <f>IF(+NFL!$F33="Buffalo",+NFL!#REF!,IF(+NFL!$H33="Buffalo",+NFL!#REF!,0))</f>
        <v>0</v>
      </c>
      <c r="AB66" s="87">
        <f>IF(+NFL!$F33="Buffalo",+NFL!#REF!,IF(+NFL!$H33="Buffalo",+NFL!#REF!,0))</f>
        <v>0</v>
      </c>
      <c r="AC66" s="120">
        <f>IF(+NFL!$F33="Buffalo",+NFL!#REF!,IF(+NFL!$H33="Buffalo",+NFL!#REF!,0))</f>
        <v>0</v>
      </c>
      <c r="AD66" s="353">
        <f>IF(+NFL!$F33="Buffalo",+NFL!#REF!,IF(+NFL!$H33="Buffalo",+NFL!#REF!,0))</f>
        <v>0</v>
      </c>
      <c r="AE66" s="379">
        <f>IF(+NFL!$F33="Buffalo",+NFL!#REF!,IF(+NFL!$H33="Buffalo",+NFL!#REF!,0))</f>
        <v>0</v>
      </c>
      <c r="AF66" s="353">
        <f>IF(+NFL!$F33="Buffalo",+NFL!#REF!,IF(+NFL!$H33="Buffalo",+NFL!#REF!,0))</f>
        <v>0</v>
      </c>
      <c r="AG66" s="379">
        <f>IF(+NFL!$F33="Buffalo",+NFL!#REF!,IF(+NFL!$H33="Buffalo",+NFL!#REF!,0))</f>
        <v>0</v>
      </c>
      <c r="AH66" s="353">
        <f>IF(+NFL!$F33="Buffalo",+NFL!#REF!,IF(+NFL!$H33="Buffalo",+NFL!#REF!,0))</f>
        <v>0</v>
      </c>
      <c r="AI66" s="379">
        <f>IF(+NFL!$F33="Buffalo",+NFL!#REF!,IF(+NFL!$H33="Buffalo",+NFL!#REF!,0))</f>
        <v>0</v>
      </c>
      <c r="AJ66" s="353">
        <f>IF(+NFL!$F33="Buffalo",+NFL!#REF!,IF(+NFL!$H33="Buffalo",+NFL!#REF!,0))</f>
        <v>0</v>
      </c>
      <c r="AK66" s="379">
        <f>IF(+NFL!$F33="Buffalo",+NFL!#REF!,IF(+NFL!$H33="Buffalo",+NFL!#REF!,0))</f>
        <v>0</v>
      </c>
      <c r="AL66" s="57">
        <f>IF(+NFL!$F33="Buffalo",+NFL!#REF!,IF(+NFL!$H33="Buffalo",+NFL!#REF!,0))</f>
        <v>0</v>
      </c>
      <c r="AM66" s="58">
        <f>IF(+NFL!$F33="Buffalo",+NFL!#REF!,IF(+NFL!$H33="Buffalo",+NFL!#REF!,0))</f>
        <v>0</v>
      </c>
      <c r="AN66" s="57">
        <f>IF(+NFL!$F33="Buffalo",+NFL!#REF!,IF(+NFL!$H33="Buffalo",+NFL!#REF!,0))</f>
        <v>0</v>
      </c>
      <c r="AO66" s="59">
        <f>IF(+NFL!$F33="Buffalo",+NFL!#REF!,IF(+NFL!$H33="Buffalo",+NFL!#REF!,0))</f>
        <v>0</v>
      </c>
      <c r="AP66" s="348">
        <f>IF(+NFL!$F33="Buffalo",+NFL!#REF!,IF(+NFL!$H33="Buffalo",+NFL!#REF!,0))</f>
        <v>0</v>
      </c>
      <c r="AQ66" s="48">
        <f>IF(+NFL!$F33="Buffalo",+NFL!#REF!,IF(+NFL!$H33="Buffalo",+NFL!#REF!,0))</f>
        <v>0</v>
      </c>
      <c r="AR66" s="57">
        <f>IF(+NFL!$F33="Buffalo",+NFL!#REF!,IF(+NFL!$H33="Buffalo",+NFL!#REF!,0))</f>
        <v>0</v>
      </c>
      <c r="AS66" s="64">
        <f>IF(+NFL!$F33="Buffalo",+NFL!#REF!,IF(+NFL!$H33="Buffalo",+NFL!#REF!,0))</f>
        <v>0</v>
      </c>
      <c r="AT66" s="64">
        <f>IF(+NFL!$F33="Buffalo",+NFL!#REF!,IF(+NFL!$H33="Buffalo",+NFL!#REF!,0))</f>
        <v>0</v>
      </c>
      <c r="AU66" s="57">
        <f>IF(+NFL!$F33="Buffalo",+NFL!#REF!,IF(+NFL!$H33="Buffalo",+NFL!#REF!,0))</f>
        <v>0</v>
      </c>
      <c r="AV66" s="64">
        <f>IF(+NFL!$F33="Buffalo",+NFL!#REF!,IF(+NFL!$H33="Buffalo",+NFL!#REF!,0))</f>
        <v>0</v>
      </c>
      <c r="AW66" s="46">
        <f>IF(+NFL!$F33="Buffalo",+NFL!#REF!,IF(+NFL!$H33="Buffalo",+NFL!#REF!,0))</f>
        <v>0</v>
      </c>
      <c r="AX66" s="64">
        <f>IF(+NFL!$F33="Buffalo",+NFL!#REF!,IF(+NFL!$H33="Buffalo",+NFL!#REF!,0))</f>
        <v>0</v>
      </c>
      <c r="AY66" s="57">
        <f>IF(+NFL!$F33="Buffalo",+NFL!#REF!,IF(+NFL!$H33="Buffalo",+NFL!#REF!,0))</f>
        <v>0</v>
      </c>
      <c r="AZ66" s="64">
        <f>IF(+NFL!$F33="Buffalo",+NFL!#REF!,IF(+NFL!$H33="Buffalo",+NFL!#REF!,0))</f>
        <v>0</v>
      </c>
      <c r="BA66" s="46">
        <f>IF(+NFL!$F33="Buffalo",+NFL!#REF!,IF(+NFL!$H33="Buffalo",+NFL!#REF!,0))</f>
        <v>0</v>
      </c>
      <c r="BB66" s="46">
        <f>IF(+NFL!$F33="Buffalo",+NFL!#REF!,IF(+NFL!$H33="Buffalo",+NFL!#REF!,0))</f>
        <v>0</v>
      </c>
      <c r="BC66" s="403">
        <f>IF(+NFL!$F33="Buffalo",+NFL!#REF!,IF(+NFL!$H33="Buffalo",+NFL!#REF!,0))</f>
        <v>0</v>
      </c>
      <c r="BD66" s="57">
        <f>IF(+NFL!$F33="Buffalo",+NFL!#REF!,IF(+NFL!$H33="Buffalo",+NFL!#REF!,0))</f>
        <v>0</v>
      </c>
      <c r="BE66" s="64">
        <f>IF(+NFL!$F33="Buffalo",+NFL!#REF!,IF(+NFL!$H33="Buffalo",+NFL!#REF!,0))</f>
        <v>0</v>
      </c>
      <c r="BF66" s="64">
        <f>IF(+NFL!$F33="Buffalo",+NFL!#REF!,IF(+NFL!$H33="Buffalo",+NFL!#REF!,0))</f>
        <v>0</v>
      </c>
      <c r="BG66" s="57">
        <f>IF(+NFL!$F33="Buffalo",+NFL!#REF!,IF(+NFL!$H33="Buffalo",+NFL!#REF!,0))</f>
        <v>0</v>
      </c>
      <c r="BH66" s="64">
        <f>IF(+NFL!$F33="Buffalo",+NFL!#REF!,IF(+NFL!$H33="Buffalo",+NFL!#REF!,0))</f>
        <v>0</v>
      </c>
      <c r="BI66" s="46">
        <f>IF(+NFL!$F33="Buffalo",+NFL!#REF!,IF(+NFL!$H33="Buffalo",+NFL!#REF!,0))</f>
        <v>0</v>
      </c>
      <c r="BJ66" s="87">
        <f>IF(+NFL!$F33="Buffalo",+NFL!#REF!,IF(+NFL!$H33="Buffalo",+NFL!#REF!,0))</f>
        <v>0</v>
      </c>
      <c r="BK66" s="120">
        <f>IF(+NFL!$F33="Buffalo",+NFL!#REF!,IF(+NFL!$H33="Buffalo",+NFL!#REF!,0))</f>
        <v>0</v>
      </c>
    </row>
    <row r="67" spans="1:63" x14ac:dyDescent="0.8">
      <c r="A67" s="46">
        <f>IF(+NFL!$F124="Buffalo",+NFL!A124,IF(+NFL!$H124="Buffalo",+NFL!A124,0))</f>
        <v>7</v>
      </c>
      <c r="B67" s="46">
        <f>IF(+NFL!$F124="Buffalo",+NFL!B124,IF(+NFL!$H124="Buffalo",+NFL!B124,0))</f>
        <v>0</v>
      </c>
      <c r="C67" s="62">
        <f>IF(+NFL!$F124="Buffalo",+NFL!C124,IF(+NFL!$H124="Buffalo",+NFL!C124,0))</f>
        <v>0</v>
      </c>
      <c r="D67" s="490">
        <f>IF(+NFL!$F124="Buffalo",+NFL!D124,IF(+NFL!$H124="Buffalo",+NFL!D124,0))</f>
        <v>0</v>
      </c>
      <c r="E67" s="46">
        <f>IF(+NFL!$F124="Buffalo",+NFL!E124,IF(+NFL!$H124="Buffalo",+NFL!E124,0))</f>
        <v>0</v>
      </c>
      <c r="F67" s="127" t="str">
        <f>IF(+NFL!$F124="Buffalo",+NFL!F124,IF(+NFL!$H124="Buffalo",+NFL!F124,0))</f>
        <v>Buffalo</v>
      </c>
      <c r="G67" s="46" t="str">
        <f>IF(+NFL!$F124="Buffalo",+NFL!G124,IF(+NFL!$H124="Buffalo",+NFL!G124,0))</f>
        <v>AFCE</v>
      </c>
      <c r="H67" s="127">
        <f>IF(+NFL!$F124="Buffalo",+NFL!H124,IF(+NFL!$H124="Buffalo",+NFL!H124,0))</f>
        <v>0</v>
      </c>
      <c r="I67" s="46">
        <f>IF(+NFL!$F124="Buffalo",+NFL!I124,IF(+NFL!$H124="Buffalo",+NFL!I124,0))</f>
        <v>0</v>
      </c>
      <c r="J67" s="353">
        <f>IF(+NFL!$F124="Buffalo",+NFL!J124,IF(+NFL!$H124="Buffalo",+NFL!J124,0))</f>
        <v>0</v>
      </c>
      <c r="K67" s="494">
        <f>IF(+NFL!$F124="Buffalo",+NFL!K124,IF(+NFL!$H124="Buffalo",+NFL!K124,0))</f>
        <v>0</v>
      </c>
      <c r="L67" s="384">
        <f>IF(+NFL!$F124="Buffalo",+NFL!L124,IF(+NFL!$H124="Buffalo",+NFL!L124,0))</f>
        <v>0</v>
      </c>
      <c r="M67" s="385">
        <f>IF(+NFL!$F124="Buffalo",+NFL!M124,IF(+NFL!$H124="Buffalo",+NFL!M124,0))</f>
        <v>0</v>
      </c>
      <c r="N67" s="394">
        <f>IF(+NFL!$F124="Buffalo",+NFL!N124,IF(+NFL!$H124="Buffalo",+NFL!N124,0))</f>
        <v>0</v>
      </c>
      <c r="O67" s="395">
        <f>IF(+NFL!$F124="Buffalo",+NFL!O124,IF(+NFL!$H124="Buffalo",+NFL!O124,0))</f>
        <v>0</v>
      </c>
      <c r="P67" s="394">
        <f>IF(+NFL!$F124="Buffalo",+NFL!P124,IF(+NFL!$H124="Buffalo",+NFL!P124,0))</f>
        <v>0</v>
      </c>
      <c r="Q67" s="396">
        <f>IF(+NFL!$F124="Buffalo",+NFL!Q124,IF(+NFL!$H124="Buffalo",+NFL!Q124,0))</f>
        <v>0</v>
      </c>
      <c r="R67" s="397">
        <f>IF(+NFL!$F124="Buffalo",+NFL!R124,IF(+NFL!$H124="Buffalo",+NFL!R124,0))</f>
        <v>0</v>
      </c>
      <c r="S67" s="396">
        <f>IF(+NFL!$F124="Buffalo",+NFL!S124,IF(+NFL!$H124="Buffalo",+NFL!S124,0))</f>
        <v>0</v>
      </c>
      <c r="T67" s="397">
        <f>IF(+NFL!$F124="Buffalo",+NFL!T124,IF(+NFL!$H124="Buffalo",+NFL!T124,0))</f>
        <v>0</v>
      </c>
      <c r="U67" s="396">
        <f>IF(+NFL!$F124="Buffalo",+NFL!U124,IF(+NFL!$H124="Buffalo",+NFL!U124,0))</f>
        <v>0</v>
      </c>
      <c r="V67" s="397">
        <f>IF(+NFL!$F48="Buffalo",+NFL!#REF!,IF(+NFL!$H48="Buffalo",+NFL!#REF!,0))</f>
        <v>0</v>
      </c>
      <c r="W67" s="396">
        <f>IF(+NFL!$F48="Buffalo",+NFL!#REF!,IF(+NFL!$H48="Buffalo",+NFL!#REF!,0))</f>
        <v>0</v>
      </c>
      <c r="X67" s="397">
        <f>IF(+NFL!$F48="Buffalo",+NFL!#REF!,IF(+NFL!$H48="Buffalo",+NFL!#REF!,0))</f>
        <v>0</v>
      </c>
      <c r="Y67" s="396">
        <f>IF(+NFL!$F48="Buffalo",+NFL!#REF!,IF(+NFL!$H48="Buffalo",+NFL!#REF!,0))</f>
        <v>0</v>
      </c>
      <c r="Z67" s="397">
        <f>IF(+NFL!$F48="Buffalo",+NFL!#REF!,IF(+NFL!$H48="Buffalo",+NFL!#REF!,0))</f>
        <v>0</v>
      </c>
      <c r="AA67" s="396">
        <f>IF(+NFL!$F48="Buffalo",+NFL!#REF!,IF(+NFL!$H48="Buffalo",+NFL!#REF!,0))</f>
        <v>0</v>
      </c>
      <c r="AB67" s="87">
        <f>IF(+NFL!$F48="Buffalo",+NFL!#REF!,IF(+NFL!$H48="Buffalo",+NFL!#REF!,0))</f>
        <v>0</v>
      </c>
      <c r="AC67" s="120">
        <f>IF(+NFL!$F48="Buffalo",+NFL!#REF!,IF(+NFL!$H48="Buffalo",+NFL!#REF!,0))</f>
        <v>0</v>
      </c>
      <c r="AD67" s="353">
        <f>IF(+NFL!$F48="Buffalo",+NFL!#REF!,IF(+NFL!$H48="Buffalo",+NFL!#REF!,0))</f>
        <v>0</v>
      </c>
      <c r="AE67" s="379">
        <f>IF(+NFL!$F48="Buffalo",+NFL!#REF!,IF(+NFL!$H48="Buffalo",+NFL!#REF!,0))</f>
        <v>0</v>
      </c>
      <c r="AF67" s="353">
        <f>IF(+NFL!$F48="Buffalo",+NFL!#REF!,IF(+NFL!$H48="Buffalo",+NFL!#REF!,0))</f>
        <v>0</v>
      </c>
      <c r="AG67" s="379">
        <f>IF(+NFL!$F48="Buffalo",+NFL!#REF!,IF(+NFL!$H48="Buffalo",+NFL!#REF!,0))</f>
        <v>0</v>
      </c>
      <c r="AH67" s="353">
        <f>IF(+NFL!$F48="Buffalo",+NFL!#REF!,IF(+NFL!$H48="Buffalo",+NFL!#REF!,0))</f>
        <v>0</v>
      </c>
      <c r="AI67" s="379">
        <f>IF(+NFL!$F48="Buffalo",+NFL!#REF!,IF(+NFL!$H48="Buffalo",+NFL!#REF!,0))</f>
        <v>0</v>
      </c>
      <c r="AJ67" s="353">
        <f>IF(+NFL!$F48="Buffalo",+NFL!#REF!,IF(+NFL!$H48="Buffalo",+NFL!#REF!,0))</f>
        <v>0</v>
      </c>
      <c r="AK67" s="379">
        <f>IF(+NFL!$F48="Buffalo",+NFL!#REF!,IF(+NFL!$H48="Buffalo",+NFL!#REF!,0))</f>
        <v>0</v>
      </c>
      <c r="AL67" s="57">
        <f>IF(+NFL!$F48="Buffalo",+NFL!#REF!,IF(+NFL!$H48="Buffalo",+NFL!#REF!,0))</f>
        <v>0</v>
      </c>
      <c r="AM67" s="58">
        <f>IF(+NFL!$F48="Buffalo",+NFL!#REF!,IF(+NFL!$H48="Buffalo",+NFL!#REF!,0))</f>
        <v>0</v>
      </c>
      <c r="AN67" s="57">
        <f>IF(+NFL!$F48="Buffalo",+NFL!#REF!,IF(+NFL!$H48="Buffalo",+NFL!#REF!,0))</f>
        <v>0</v>
      </c>
      <c r="AO67" s="59">
        <f>IF(+NFL!$F48="Buffalo",+NFL!#REF!,IF(+NFL!$H48="Buffalo",+NFL!#REF!,0))</f>
        <v>0</v>
      </c>
      <c r="AP67" s="348">
        <f>IF(+NFL!$F48="Buffalo",+NFL!#REF!,IF(+NFL!$H48="Buffalo",+NFL!#REF!,0))</f>
        <v>0</v>
      </c>
      <c r="AQ67" s="48">
        <f>IF(+NFL!$F48="Buffalo",+NFL!#REF!,IF(+NFL!$H48="Buffalo",+NFL!#REF!,0))</f>
        <v>0</v>
      </c>
      <c r="AR67" s="57">
        <f>IF(+NFL!$F48="Buffalo",+NFL!#REF!,IF(+NFL!$H48="Buffalo",+NFL!#REF!,0))</f>
        <v>0</v>
      </c>
      <c r="AS67" s="64">
        <f>IF(+NFL!$F48="Buffalo",+NFL!#REF!,IF(+NFL!$H48="Buffalo",+NFL!#REF!,0))</f>
        <v>0</v>
      </c>
      <c r="AT67" s="64">
        <f>IF(+NFL!$F48="Buffalo",+NFL!#REF!,IF(+NFL!$H48="Buffalo",+NFL!#REF!,0))</f>
        <v>0</v>
      </c>
      <c r="AU67" s="57">
        <f>IF(+NFL!$F48="Buffalo",+NFL!#REF!,IF(+NFL!$H48="Buffalo",+NFL!#REF!,0))</f>
        <v>0</v>
      </c>
      <c r="AV67" s="64">
        <f>IF(+NFL!$F48="Buffalo",+NFL!#REF!,IF(+NFL!$H48="Buffalo",+NFL!#REF!,0))</f>
        <v>0</v>
      </c>
      <c r="AW67" s="46">
        <f>IF(+NFL!$F48="Buffalo",+NFL!#REF!,IF(+NFL!$H48="Buffalo",+NFL!#REF!,0))</f>
        <v>0</v>
      </c>
      <c r="AX67" s="64">
        <f>IF(+NFL!$F48="Buffalo",+NFL!#REF!,IF(+NFL!$H48="Buffalo",+NFL!#REF!,0))</f>
        <v>0</v>
      </c>
      <c r="AY67" s="57">
        <f>IF(+NFL!$F48="Buffalo",+NFL!#REF!,IF(+NFL!$H48="Buffalo",+NFL!#REF!,0))</f>
        <v>0</v>
      </c>
      <c r="AZ67" s="64">
        <f>IF(+NFL!$F48="Buffalo",+NFL!#REF!,IF(+NFL!$H48="Buffalo",+NFL!#REF!,0))</f>
        <v>0</v>
      </c>
      <c r="BA67" s="46">
        <f>IF(+NFL!$F48="Buffalo",+NFL!#REF!,IF(+NFL!$H48="Buffalo",+NFL!#REF!,0))</f>
        <v>0</v>
      </c>
      <c r="BB67" s="46">
        <f>IF(+NFL!$F48="Buffalo",+NFL!#REF!,IF(+NFL!$H48="Buffalo",+NFL!#REF!,0))</f>
        <v>0</v>
      </c>
      <c r="BC67" s="403">
        <f>IF(+NFL!$F48="Buffalo",+NFL!#REF!,IF(+NFL!$H48="Buffalo",+NFL!#REF!,0))</f>
        <v>0</v>
      </c>
      <c r="BD67" s="57">
        <f>IF(+NFL!$F48="Buffalo",+NFL!#REF!,IF(+NFL!$H48="Buffalo",+NFL!#REF!,0))</f>
        <v>0</v>
      </c>
      <c r="BE67" s="64">
        <f>IF(+NFL!$F48="Buffalo",+NFL!#REF!,IF(+NFL!$H48="Buffalo",+NFL!#REF!,0))</f>
        <v>0</v>
      </c>
      <c r="BF67" s="64">
        <f>IF(+NFL!$F48="Buffalo",+NFL!#REF!,IF(+NFL!$H48="Buffalo",+NFL!#REF!,0))</f>
        <v>0</v>
      </c>
      <c r="BG67" s="57">
        <f>IF(+NFL!$F48="Buffalo",+NFL!#REF!,IF(+NFL!$H48="Buffalo",+NFL!#REF!,0))</f>
        <v>0</v>
      </c>
      <c r="BH67" s="64">
        <f>IF(+NFL!$F48="Buffalo",+NFL!#REF!,IF(+NFL!$H48="Buffalo",+NFL!#REF!,0))</f>
        <v>0</v>
      </c>
      <c r="BI67" s="46">
        <f>IF(+NFL!$F48="Buffalo",+NFL!#REF!,IF(+NFL!$H48="Buffalo",+NFL!#REF!,0))</f>
        <v>0</v>
      </c>
      <c r="BJ67" s="87">
        <f>IF(+NFL!$F48="Buffalo",+NFL!#REF!,IF(+NFL!$H48="Buffalo",+NFL!#REF!,0))</f>
        <v>0</v>
      </c>
      <c r="BK67" s="120">
        <f>IF(+NFL!$F48="Buffalo",+NFL!#REF!,IF(+NFL!$H48="Buffalo",+NFL!#REF!,0))</f>
        <v>0</v>
      </c>
    </row>
    <row r="68" spans="1:63" x14ac:dyDescent="0.8">
      <c r="A68" s="46">
        <f>IF(+NFL!$F142="Buffalo",+NFL!A142,IF(+NFL!$H142="Buffalo",+NFL!A142,0))</f>
        <v>8</v>
      </c>
      <c r="B68" s="46" t="str">
        <f>IF(+NFL!$F142="Buffalo",+NFL!B142,IF(+NFL!$H142="Buffalo",+NFL!B142,0))</f>
        <v>Sun</v>
      </c>
      <c r="C68" s="62">
        <f>IF(+NFL!$F142="Buffalo",+NFL!C142,IF(+NFL!$H142="Buffalo",+NFL!C142,0))</f>
        <v>44864</v>
      </c>
      <c r="D68" s="490">
        <f>IF(+NFL!$F142="Buffalo",+NFL!D142,IF(+NFL!$H142="Buffalo",+NFL!D142,0))</f>
        <v>0.84375</v>
      </c>
      <c r="E68" s="46" t="str">
        <f>IF(+NFL!$F142="Buffalo",+NFL!E142,IF(+NFL!$H142="Buffalo",+NFL!E142,0))</f>
        <v>NBC</v>
      </c>
      <c r="F68" s="127" t="str">
        <f>IF(+NFL!$F142="Buffalo",+NFL!F142,IF(+NFL!$H142="Buffalo",+NFL!F142,0))</f>
        <v>Green Bay</v>
      </c>
      <c r="G68" s="46" t="str">
        <f>IF(+NFL!$F142="Buffalo",+NFL!G142,IF(+NFL!$H142="Buffalo",+NFL!G142,0))</f>
        <v>NFCN</v>
      </c>
      <c r="H68" s="127" t="str">
        <f>IF(+NFL!$F142="Buffalo",+NFL!H142,IF(+NFL!$H142="Buffalo",+NFL!H142,0))</f>
        <v>Buffalo</v>
      </c>
      <c r="I68" s="46" t="str">
        <f>IF(+NFL!$F142="Buffalo",+NFL!I142,IF(+NFL!$H142="Buffalo",+NFL!I142,0))</f>
        <v>AFCE</v>
      </c>
      <c r="J68" s="353" t="str">
        <f>IF(+NFL!$F142="Buffalo",+NFL!J142,IF(+NFL!$H142="Buffalo",+NFL!J142,0))</f>
        <v>Buffalo</v>
      </c>
      <c r="K68" s="494" t="str">
        <f>IF(+NFL!$F142="Buffalo",+NFL!K142,IF(+NFL!$H142="Buffalo",+NFL!K142,0))</f>
        <v>Green Bay</v>
      </c>
      <c r="L68" s="384">
        <f>IF(+NFL!$F142="Buffalo",+NFL!L142,IF(+NFL!$H142="Buffalo",+NFL!L142,0))</f>
        <v>10.5</v>
      </c>
      <c r="M68" s="385">
        <f>IF(+NFL!$F142="Buffalo",+NFL!M142,IF(+NFL!$H142="Buffalo",+NFL!M142,0))</f>
        <v>47</v>
      </c>
      <c r="N68" s="394" t="str">
        <f>IF(+NFL!$F142="Buffalo",+NFL!N142,IF(+NFL!$H142="Buffalo",+NFL!N142,0))</f>
        <v>Buffalo</v>
      </c>
      <c r="O68" s="395">
        <f>IF(+NFL!$F142="Buffalo",+NFL!O142,IF(+NFL!$H142="Buffalo",+NFL!O142,0))</f>
        <v>27</v>
      </c>
      <c r="P68" s="394" t="str">
        <f>IF(+NFL!$F142="Buffalo",+NFL!P142,IF(+NFL!$H142="Buffalo",+NFL!P142,0))</f>
        <v>Green Bay</v>
      </c>
      <c r="Q68" s="396">
        <f>IF(+NFL!$F142="Buffalo",+NFL!Q142,IF(+NFL!$H142="Buffalo",+NFL!Q142,0))</f>
        <v>17</v>
      </c>
      <c r="R68" s="397" t="str">
        <f>IF(+NFL!$F142="Buffalo",+NFL!R142,IF(+NFL!$H142="Buffalo",+NFL!R142,0))</f>
        <v>Green Bay</v>
      </c>
      <c r="S68" s="396" t="str">
        <f>IF(+NFL!$F142="Buffalo",+NFL!S142,IF(+NFL!$H142="Buffalo",+NFL!S142,0))</f>
        <v>Buffalo</v>
      </c>
      <c r="T68" s="397" t="str">
        <f>IF(+NFL!$F142="Buffalo",+NFL!T142,IF(+NFL!$H142="Buffalo",+NFL!T142,0))</f>
        <v>Buffalo</v>
      </c>
      <c r="U68" s="396" t="str">
        <f>IF(+NFL!$F142="Buffalo",+NFL!U142,IF(+NFL!$H142="Buffalo",+NFL!U142,0))</f>
        <v>L</v>
      </c>
      <c r="V68" s="397">
        <f>IF(+NFL!$F71="Buffalo",+NFL!#REF!,IF(+NFL!$H71="Buffalo",+NFL!#REF!,0))</f>
        <v>0</v>
      </c>
      <c r="W68" s="396">
        <f>IF(+NFL!$F71="Buffalo",+NFL!#REF!,IF(+NFL!$H71="Buffalo",+NFL!#REF!,0))</f>
        <v>0</v>
      </c>
      <c r="X68" s="397">
        <f>IF(+NFL!$F71="Buffalo",+NFL!#REF!,IF(+NFL!$H71="Buffalo",+NFL!#REF!,0))</f>
        <v>0</v>
      </c>
      <c r="Y68" s="396">
        <f>IF(+NFL!$F71="Buffalo",+NFL!#REF!,IF(+NFL!$H71="Buffalo",+NFL!#REF!,0))</f>
        <v>0</v>
      </c>
      <c r="Z68" s="397">
        <f>IF(+NFL!$F71="Buffalo",+NFL!#REF!,IF(+NFL!$H71="Buffalo",+NFL!#REF!,0))</f>
        <v>0</v>
      </c>
      <c r="AA68" s="396">
        <f>IF(+NFL!$F71="Buffalo",+NFL!#REF!,IF(+NFL!$H71="Buffalo",+NFL!#REF!,0))</f>
        <v>0</v>
      </c>
      <c r="AB68" s="87">
        <f>IF(+NFL!$F71="Buffalo",+NFL!#REF!,IF(+NFL!$H71="Buffalo",+NFL!#REF!,0))</f>
        <v>0</v>
      </c>
      <c r="AC68" s="120">
        <f>IF(+NFL!$F71="Buffalo",+NFL!#REF!,IF(+NFL!$H71="Buffalo",+NFL!#REF!,0))</f>
        <v>0</v>
      </c>
      <c r="AD68" s="353">
        <f>IF(+NFL!$F71="Buffalo",+NFL!#REF!,IF(+NFL!$H71="Buffalo",+NFL!#REF!,0))</f>
        <v>0</v>
      </c>
      <c r="AE68" s="379">
        <f>IF(+NFL!$F71="Buffalo",+NFL!#REF!,IF(+NFL!$H71="Buffalo",+NFL!#REF!,0))</f>
        <v>0</v>
      </c>
      <c r="AF68" s="353">
        <f>IF(+NFL!$F71="Buffalo",+NFL!#REF!,IF(+NFL!$H71="Buffalo",+NFL!#REF!,0))</f>
        <v>0</v>
      </c>
      <c r="AG68" s="379">
        <f>IF(+NFL!$F71="Buffalo",+NFL!#REF!,IF(+NFL!$H71="Buffalo",+NFL!#REF!,0))</f>
        <v>0</v>
      </c>
      <c r="AH68" s="353">
        <f>IF(+NFL!$F71="Buffalo",+NFL!#REF!,IF(+NFL!$H71="Buffalo",+NFL!#REF!,0))</f>
        <v>0</v>
      </c>
      <c r="AI68" s="379">
        <f>IF(+NFL!$F71="Buffalo",+NFL!#REF!,IF(+NFL!$H71="Buffalo",+NFL!#REF!,0))</f>
        <v>0</v>
      </c>
      <c r="AJ68" s="353">
        <f>IF(+NFL!$F71="Buffalo",+NFL!#REF!,IF(+NFL!$H71="Buffalo",+NFL!#REF!,0))</f>
        <v>0</v>
      </c>
      <c r="AK68" s="379">
        <f>IF(+NFL!$F71="Buffalo",+NFL!#REF!,IF(+NFL!$H71="Buffalo",+NFL!#REF!,0))</f>
        <v>0</v>
      </c>
      <c r="AL68" s="57">
        <f>IF(+NFL!$F71="Buffalo",+NFL!#REF!,IF(+NFL!$H71="Buffalo",+NFL!#REF!,0))</f>
        <v>0</v>
      </c>
      <c r="AM68" s="58">
        <f>IF(+NFL!$F71="Buffalo",+NFL!#REF!,IF(+NFL!$H71="Buffalo",+NFL!#REF!,0))</f>
        <v>0</v>
      </c>
      <c r="AN68" s="57">
        <f>IF(+NFL!$F71="Buffalo",+NFL!#REF!,IF(+NFL!$H71="Buffalo",+NFL!#REF!,0))</f>
        <v>0</v>
      </c>
      <c r="AO68" s="59">
        <f>IF(+NFL!$F71="Buffalo",+NFL!#REF!,IF(+NFL!$H71="Buffalo",+NFL!#REF!,0))</f>
        <v>0</v>
      </c>
      <c r="AP68" s="348">
        <f>IF(+NFL!$F71="Buffalo",+NFL!#REF!,IF(+NFL!$H71="Buffalo",+NFL!#REF!,0))</f>
        <v>0</v>
      </c>
      <c r="AQ68" s="48">
        <f>IF(+NFL!$F71="Buffalo",+NFL!#REF!,IF(+NFL!$H71="Buffalo",+NFL!#REF!,0))</f>
        <v>0</v>
      </c>
      <c r="AR68" s="57">
        <f>IF(+NFL!$F71="Buffalo",+NFL!#REF!,IF(+NFL!$H71="Buffalo",+NFL!#REF!,0))</f>
        <v>0</v>
      </c>
      <c r="AS68" s="64">
        <f>IF(+NFL!$F71="Buffalo",+NFL!#REF!,IF(+NFL!$H71="Buffalo",+NFL!#REF!,0))</f>
        <v>0</v>
      </c>
      <c r="AT68" s="64">
        <f>IF(+NFL!$F71="Buffalo",+NFL!#REF!,IF(+NFL!$H71="Buffalo",+NFL!#REF!,0))</f>
        <v>0</v>
      </c>
      <c r="AU68" s="57">
        <f>IF(+NFL!$F71="Buffalo",+NFL!#REF!,IF(+NFL!$H71="Buffalo",+NFL!#REF!,0))</f>
        <v>0</v>
      </c>
      <c r="AV68" s="64">
        <f>IF(+NFL!$F71="Buffalo",+NFL!#REF!,IF(+NFL!$H71="Buffalo",+NFL!#REF!,0))</f>
        <v>0</v>
      </c>
      <c r="AW68" s="46">
        <f>IF(+NFL!$F71="Buffalo",+NFL!#REF!,IF(+NFL!$H71="Buffalo",+NFL!#REF!,0))</f>
        <v>0</v>
      </c>
      <c r="AX68" s="64">
        <f>IF(+NFL!$F71="Buffalo",+NFL!#REF!,IF(+NFL!$H71="Buffalo",+NFL!#REF!,0))</f>
        <v>0</v>
      </c>
      <c r="AY68" s="57">
        <f>IF(+NFL!$F71="Buffalo",+NFL!#REF!,IF(+NFL!$H71="Buffalo",+NFL!#REF!,0))</f>
        <v>0</v>
      </c>
      <c r="AZ68" s="64">
        <f>IF(+NFL!$F71="Buffalo",+NFL!#REF!,IF(+NFL!$H71="Buffalo",+NFL!#REF!,0))</f>
        <v>0</v>
      </c>
      <c r="BA68" s="46">
        <f>IF(+NFL!$F71="Buffalo",+NFL!#REF!,IF(+NFL!$H71="Buffalo",+NFL!#REF!,0))</f>
        <v>0</v>
      </c>
      <c r="BB68" s="46">
        <f>IF(+NFL!$F71="Buffalo",+NFL!#REF!,IF(+NFL!$H71="Buffalo",+NFL!#REF!,0))</f>
        <v>0</v>
      </c>
      <c r="BC68" s="403">
        <f>IF(+NFL!$F71="Buffalo",+NFL!#REF!,IF(+NFL!$H71="Buffalo",+NFL!#REF!,0))</f>
        <v>0</v>
      </c>
      <c r="BD68" s="57">
        <f>IF(+NFL!$F71="Buffalo",+NFL!#REF!,IF(+NFL!$H71="Buffalo",+NFL!#REF!,0))</f>
        <v>0</v>
      </c>
      <c r="BE68" s="64">
        <f>IF(+NFL!$F71="Buffalo",+NFL!#REF!,IF(+NFL!$H71="Buffalo",+NFL!#REF!,0))</f>
        <v>0</v>
      </c>
      <c r="BF68" s="64">
        <f>IF(+NFL!$F71="Buffalo",+NFL!#REF!,IF(+NFL!$H71="Buffalo",+NFL!#REF!,0))</f>
        <v>0</v>
      </c>
      <c r="BG68" s="57">
        <f>IF(+NFL!$F71="Buffalo",+NFL!#REF!,IF(+NFL!$H71="Buffalo",+NFL!#REF!,0))</f>
        <v>0</v>
      </c>
      <c r="BH68" s="64">
        <f>IF(+NFL!$F71="Buffalo",+NFL!#REF!,IF(+NFL!$H71="Buffalo",+NFL!#REF!,0))</f>
        <v>0</v>
      </c>
      <c r="BI68" s="46">
        <f>IF(+NFL!$F71="Buffalo",+NFL!#REF!,IF(+NFL!$H71="Buffalo",+NFL!#REF!,0))</f>
        <v>0</v>
      </c>
      <c r="BJ68" s="87">
        <f>IF(+NFL!$F71="Buffalo",+NFL!#REF!,IF(+NFL!$H71="Buffalo",+NFL!#REF!,0))</f>
        <v>0</v>
      </c>
      <c r="BK68" s="120">
        <f>IF(+NFL!$F71="Buffalo",+NFL!#REF!,IF(+NFL!$H71="Buffalo",+NFL!#REF!,0))</f>
        <v>0</v>
      </c>
    </row>
    <row r="69" spans="1:63" x14ac:dyDescent="0.8">
      <c r="A69" s="46">
        <f>IF(+NFL!$F153="Buffalo",+NFL!A153,IF(+NFL!$H153="Buffalo",+NFL!A153,0))</f>
        <v>9</v>
      </c>
      <c r="B69" s="46" t="str">
        <f>IF(+NFL!$F153="Buffalo",+NFL!B153,IF(+NFL!$H153="Buffalo",+NFL!B153,0))</f>
        <v>Sun</v>
      </c>
      <c r="C69" s="62">
        <f>IF(+NFL!$F153="Buffalo",+NFL!C153,IF(+NFL!$H153="Buffalo",+NFL!C153,0))</f>
        <v>44871</v>
      </c>
      <c r="D69" s="490">
        <f>IF(+NFL!$F153="Buffalo",+NFL!D153,IF(+NFL!$H153="Buffalo",+NFL!D153,0))</f>
        <v>0.54166666666666663</v>
      </c>
      <c r="E69" s="46" t="str">
        <f>IF(+NFL!$F153="Buffalo",+NFL!E153,IF(+NFL!$H153="Buffalo",+NFL!E153,0))</f>
        <v>CBS</v>
      </c>
      <c r="F69" s="127" t="str">
        <f>IF(+NFL!$F153="Buffalo",+NFL!F153,IF(+NFL!$H153="Buffalo",+NFL!F153,0))</f>
        <v>Buffalo</v>
      </c>
      <c r="G69" s="46" t="str">
        <f>IF(+NFL!$F153="Buffalo",+NFL!G153,IF(+NFL!$H153="Buffalo",+NFL!G153,0))</f>
        <v>AFCE</v>
      </c>
      <c r="H69" s="127" t="str">
        <f>IF(+NFL!$F153="Buffalo",+NFL!H153,IF(+NFL!$H153="Buffalo",+NFL!H153,0))</f>
        <v>NY Jets</v>
      </c>
      <c r="I69" s="46" t="str">
        <f>IF(+NFL!$F153="Buffalo",+NFL!I153,IF(+NFL!$H153="Buffalo",+NFL!I153,0))</f>
        <v>AFCE</v>
      </c>
      <c r="J69" s="353" t="str">
        <f>IF(+NFL!$F153="Buffalo",+NFL!J153,IF(+NFL!$H153="Buffalo",+NFL!J153,0))</f>
        <v>Buffalo</v>
      </c>
      <c r="K69" s="494" t="str">
        <f>IF(+NFL!$F153="Buffalo",+NFL!K153,IF(+NFL!$H153="Buffalo",+NFL!K153,0))</f>
        <v>NY Jets</v>
      </c>
      <c r="L69" s="384">
        <f>IF(+NFL!$F153="Buffalo",+NFL!L153,IF(+NFL!$H153="Buffalo",+NFL!L153,0))</f>
        <v>13</v>
      </c>
      <c r="M69" s="385">
        <f>IF(+NFL!$F153="Buffalo",+NFL!M153,IF(+NFL!$H153="Buffalo",+NFL!M153,0))</f>
        <v>47</v>
      </c>
      <c r="N69" s="394" t="str">
        <f>IF(+NFL!$F153="Buffalo",+NFL!N153,IF(+NFL!$H153="Buffalo",+NFL!N153,0))</f>
        <v>NY Jets</v>
      </c>
      <c r="O69" s="395">
        <f>IF(+NFL!$F153="Buffalo",+NFL!O153,IF(+NFL!$H153="Buffalo",+NFL!O153,0))</f>
        <v>20</v>
      </c>
      <c r="P69" s="394" t="str">
        <f>IF(+NFL!$F153="Buffalo",+NFL!P153,IF(+NFL!$H153="Buffalo",+NFL!P153,0))</f>
        <v>Buffalo</v>
      </c>
      <c r="Q69" s="396">
        <f>IF(+NFL!$F153="Buffalo",+NFL!Q153,IF(+NFL!$H153="Buffalo",+NFL!Q153,0))</f>
        <v>17</v>
      </c>
      <c r="R69" s="397" t="str">
        <f>IF(+NFL!$F153="Buffalo",+NFL!R153,IF(+NFL!$H153="Buffalo",+NFL!R153,0))</f>
        <v>NY Jets</v>
      </c>
      <c r="S69" s="396" t="str">
        <f>IF(+NFL!$F153="Buffalo",+NFL!S153,IF(+NFL!$H153="Buffalo",+NFL!S153,0))</f>
        <v>Buffalo</v>
      </c>
      <c r="T69" s="397" t="str">
        <f>IF(+NFL!$F153="Buffalo",+NFL!T153,IF(+NFL!$H153="Buffalo",+NFL!T153,0))</f>
        <v>NY Jets</v>
      </c>
      <c r="U69" s="396" t="str">
        <f>IF(+NFL!$F153="Buffalo",+NFL!U153,IF(+NFL!$H153="Buffalo",+NFL!U153,0))</f>
        <v>W</v>
      </c>
      <c r="V69" s="397">
        <f>IF(+NFL!$F91="Buffalo",+NFL!#REF!,IF(+NFL!$H91="Buffalo",+NFL!#REF!,0))</f>
        <v>0</v>
      </c>
      <c r="W69" s="396">
        <f>IF(+NFL!$F91="Buffalo",+NFL!#REF!,IF(+NFL!$H91="Buffalo",+NFL!#REF!,0))</f>
        <v>0</v>
      </c>
      <c r="X69" s="397">
        <f>IF(+NFL!$F91="Buffalo",+NFL!#REF!,IF(+NFL!$H91="Buffalo",+NFL!#REF!,0))</f>
        <v>0</v>
      </c>
      <c r="Y69" s="396">
        <f>IF(+NFL!$F91="Buffalo",+NFL!#REF!,IF(+NFL!$H91="Buffalo",+NFL!#REF!,0))</f>
        <v>0</v>
      </c>
      <c r="Z69" s="397">
        <f>IF(+NFL!$F91="Buffalo",+NFL!#REF!,IF(+NFL!$H91="Buffalo",+NFL!#REF!,0))</f>
        <v>0</v>
      </c>
      <c r="AA69" s="396">
        <f>IF(+NFL!$F91="Buffalo",+NFL!#REF!,IF(+NFL!$H91="Buffalo",+NFL!#REF!,0))</f>
        <v>0</v>
      </c>
      <c r="AB69" s="87">
        <f>IF(+NFL!$F91="Buffalo",+NFL!#REF!,IF(+NFL!$H91="Buffalo",+NFL!#REF!,0))</f>
        <v>0</v>
      </c>
      <c r="AC69" s="120">
        <f>IF(+NFL!$F91="Buffalo",+NFL!#REF!,IF(+NFL!$H91="Buffalo",+NFL!#REF!,0))</f>
        <v>0</v>
      </c>
      <c r="AD69" s="353">
        <f>IF(+NFL!$F91="Buffalo",+NFL!#REF!,IF(+NFL!$H91="Buffalo",+NFL!#REF!,0))</f>
        <v>0</v>
      </c>
      <c r="AE69" s="379">
        <f>IF(+NFL!$F91="Buffalo",+NFL!#REF!,IF(+NFL!$H91="Buffalo",+NFL!#REF!,0))</f>
        <v>0</v>
      </c>
      <c r="AF69" s="353">
        <f>IF(+NFL!$F91="Buffalo",+NFL!#REF!,IF(+NFL!$H91="Buffalo",+NFL!#REF!,0))</f>
        <v>0</v>
      </c>
      <c r="AG69" s="379">
        <f>IF(+NFL!$F91="Buffalo",+NFL!#REF!,IF(+NFL!$H91="Buffalo",+NFL!#REF!,0))</f>
        <v>0</v>
      </c>
      <c r="AH69" s="353">
        <f>IF(+NFL!$F91="Buffalo",+NFL!#REF!,IF(+NFL!$H91="Buffalo",+NFL!#REF!,0))</f>
        <v>0</v>
      </c>
      <c r="AI69" s="379">
        <f>IF(+NFL!$F91="Buffalo",+NFL!#REF!,IF(+NFL!$H91="Buffalo",+NFL!#REF!,0))</f>
        <v>0</v>
      </c>
      <c r="AJ69" s="353">
        <f>IF(+NFL!$F91="Buffalo",+NFL!#REF!,IF(+NFL!$H91="Buffalo",+NFL!#REF!,0))</f>
        <v>0</v>
      </c>
      <c r="AK69" s="379">
        <f>IF(+NFL!$F91="Buffalo",+NFL!#REF!,IF(+NFL!$H91="Buffalo",+NFL!#REF!,0))</f>
        <v>0</v>
      </c>
      <c r="AL69" s="57">
        <f>IF(+NFL!$F91="Buffalo",+NFL!#REF!,IF(+NFL!$H91="Buffalo",+NFL!#REF!,0))</f>
        <v>0</v>
      </c>
      <c r="AM69" s="58">
        <f>IF(+NFL!$F91="Buffalo",+NFL!#REF!,IF(+NFL!$H91="Buffalo",+NFL!#REF!,0))</f>
        <v>0</v>
      </c>
      <c r="AN69" s="57">
        <f>IF(+NFL!$F91="Buffalo",+NFL!#REF!,IF(+NFL!$H91="Buffalo",+NFL!#REF!,0))</f>
        <v>0</v>
      </c>
      <c r="AO69" s="59">
        <f>IF(+NFL!$F91="Buffalo",+NFL!#REF!,IF(+NFL!$H91="Buffalo",+NFL!#REF!,0))</f>
        <v>0</v>
      </c>
      <c r="AP69" s="348">
        <f>IF(+NFL!$F91="Buffalo",+NFL!#REF!,IF(+NFL!$H91="Buffalo",+NFL!#REF!,0))</f>
        <v>0</v>
      </c>
      <c r="AQ69" s="48">
        <f>IF(+NFL!$F91="Buffalo",+NFL!#REF!,IF(+NFL!$H91="Buffalo",+NFL!#REF!,0))</f>
        <v>0</v>
      </c>
      <c r="AR69" s="57">
        <f>IF(+NFL!$F91="Buffalo",+NFL!#REF!,IF(+NFL!$H91="Buffalo",+NFL!#REF!,0))</f>
        <v>0</v>
      </c>
      <c r="AS69" s="64">
        <f>IF(+NFL!$F91="Buffalo",+NFL!#REF!,IF(+NFL!$H91="Buffalo",+NFL!#REF!,0))</f>
        <v>0</v>
      </c>
      <c r="AT69" s="64">
        <f>IF(+NFL!$F91="Buffalo",+NFL!#REF!,IF(+NFL!$H91="Buffalo",+NFL!#REF!,0))</f>
        <v>0</v>
      </c>
      <c r="AU69" s="57">
        <f>IF(+NFL!$F91="Buffalo",+NFL!#REF!,IF(+NFL!$H91="Buffalo",+NFL!#REF!,0))</f>
        <v>0</v>
      </c>
      <c r="AV69" s="64">
        <f>IF(+NFL!$F91="Buffalo",+NFL!#REF!,IF(+NFL!$H91="Buffalo",+NFL!#REF!,0))</f>
        <v>0</v>
      </c>
      <c r="AW69" s="46">
        <f>IF(+NFL!$F91="Buffalo",+NFL!#REF!,IF(+NFL!$H91="Buffalo",+NFL!#REF!,0))</f>
        <v>0</v>
      </c>
      <c r="AX69" s="64">
        <f>IF(+NFL!$F91="Buffalo",+NFL!#REF!,IF(+NFL!$H91="Buffalo",+NFL!#REF!,0))</f>
        <v>0</v>
      </c>
      <c r="AY69" s="57">
        <f>IF(+NFL!$F91="Buffalo",+NFL!#REF!,IF(+NFL!$H91="Buffalo",+NFL!#REF!,0))</f>
        <v>0</v>
      </c>
      <c r="AZ69" s="64">
        <f>IF(+NFL!$F91="Buffalo",+NFL!#REF!,IF(+NFL!$H91="Buffalo",+NFL!#REF!,0))</f>
        <v>0</v>
      </c>
      <c r="BA69" s="46">
        <f>IF(+NFL!$F91="Buffalo",+NFL!#REF!,IF(+NFL!$H91="Buffalo",+NFL!#REF!,0))</f>
        <v>0</v>
      </c>
      <c r="BB69" s="46">
        <f>IF(+NFL!$F91="Buffalo",+NFL!#REF!,IF(+NFL!$H91="Buffalo",+NFL!#REF!,0))</f>
        <v>0</v>
      </c>
      <c r="BC69" s="403">
        <f>IF(+NFL!$F91="Buffalo",+NFL!#REF!,IF(+NFL!$H91="Buffalo",+NFL!#REF!,0))</f>
        <v>0</v>
      </c>
      <c r="BD69" s="57">
        <f>IF(+NFL!$F91="Buffalo",+NFL!#REF!,IF(+NFL!$H91="Buffalo",+NFL!#REF!,0))</f>
        <v>0</v>
      </c>
      <c r="BE69" s="64">
        <f>IF(+NFL!$F91="Buffalo",+NFL!#REF!,IF(+NFL!$H91="Buffalo",+NFL!#REF!,0))</f>
        <v>0</v>
      </c>
      <c r="BF69" s="64">
        <f>IF(+NFL!$F91="Buffalo",+NFL!#REF!,IF(+NFL!$H91="Buffalo",+NFL!#REF!,0))</f>
        <v>0</v>
      </c>
      <c r="BG69" s="57">
        <f>IF(+NFL!$F91="Buffalo",+NFL!#REF!,IF(+NFL!$H91="Buffalo",+NFL!#REF!,0))</f>
        <v>0</v>
      </c>
      <c r="BH69" s="64">
        <f>IF(+NFL!$F91="Buffalo",+NFL!#REF!,IF(+NFL!$H91="Buffalo",+NFL!#REF!,0))</f>
        <v>0</v>
      </c>
      <c r="BI69" s="46">
        <f>IF(+NFL!$F91="Buffalo",+NFL!#REF!,IF(+NFL!$H91="Buffalo",+NFL!#REF!,0))</f>
        <v>0</v>
      </c>
      <c r="BJ69" s="87">
        <f>IF(+NFL!$F91="Buffalo",+NFL!#REF!,IF(+NFL!$H91="Buffalo",+NFL!#REF!,0))</f>
        <v>0</v>
      </c>
      <c r="BK69" s="120">
        <f>IF(+NFL!$F91="Buffalo",+NFL!#REF!,IF(+NFL!$H91="Buffalo",+NFL!#REF!,0))</f>
        <v>0</v>
      </c>
    </row>
    <row r="70" spans="1:63" x14ac:dyDescent="0.8">
      <c r="A70" s="46">
        <f>IF(+NFL!$F171="Buffalo",+NFL!A171,IF(+NFL!$H171="Buffalo",+NFL!A171,0))</f>
        <v>10</v>
      </c>
      <c r="B70" s="46" t="str">
        <f>IF(+NFL!$F171="Buffalo",+NFL!B171,IF(+NFL!$H171="Buffalo",+NFL!B171,0))</f>
        <v>Sun</v>
      </c>
      <c r="C70" s="62">
        <f>IF(+NFL!$F171="Buffalo",+NFL!C171,IF(+NFL!$H171="Buffalo",+NFL!C171,0))</f>
        <v>44878</v>
      </c>
      <c r="D70" s="490">
        <f>IF(+NFL!$F171="Buffalo",+NFL!D171,IF(+NFL!$H171="Buffalo",+NFL!D171,0))</f>
        <v>0.39583333333333331</v>
      </c>
      <c r="E70" s="46" t="str">
        <f>IF(+NFL!$F171="Buffalo",+NFL!E171,IF(+NFL!$H171="Buffalo",+NFL!E171,0))</f>
        <v>Fox</v>
      </c>
      <c r="F70" s="127" t="str">
        <f>IF(+NFL!$F171="Buffalo",+NFL!F171,IF(+NFL!$H171="Buffalo",+NFL!F171,0))</f>
        <v>Minnesota</v>
      </c>
      <c r="G70" s="46" t="str">
        <f>IF(+NFL!$F171="Buffalo",+NFL!G171,IF(+NFL!$H171="Buffalo",+NFL!G171,0))</f>
        <v>NFCN</v>
      </c>
      <c r="H70" s="127" t="str">
        <f>IF(+NFL!$F171="Buffalo",+NFL!H171,IF(+NFL!$H171="Buffalo",+NFL!H171,0))</f>
        <v>Buffalo</v>
      </c>
      <c r="I70" s="46" t="str">
        <f>IF(+NFL!$F171="Buffalo",+NFL!I171,IF(+NFL!$H171="Buffalo",+NFL!I171,0))</f>
        <v>AFCE</v>
      </c>
      <c r="J70" s="353" t="str">
        <f>IF(+NFL!$F171="Buffalo",+NFL!J171,IF(+NFL!$H171="Buffalo",+NFL!J171,0))</f>
        <v>Buffalo</v>
      </c>
      <c r="K70" s="494" t="str">
        <f>IF(+NFL!$F171="Buffalo",+NFL!K171,IF(+NFL!$H171="Buffalo",+NFL!K171,0))</f>
        <v>Minnesota</v>
      </c>
      <c r="L70" s="384">
        <f>IF(+NFL!$F171="Buffalo",+NFL!L171,IF(+NFL!$H171="Buffalo",+NFL!L171,0))</f>
        <v>5</v>
      </c>
      <c r="M70" s="385">
        <f>IF(+NFL!$F171="Buffalo",+NFL!M171,IF(+NFL!$H171="Buffalo",+NFL!M171,0))</f>
        <v>45.5</v>
      </c>
      <c r="N70" s="394" t="str">
        <f>IF(+NFL!$F171="Buffalo",+NFL!N171,IF(+NFL!$H171="Buffalo",+NFL!N171,0))</f>
        <v>Minnesota</v>
      </c>
      <c r="O70" s="395">
        <f>IF(+NFL!$F171="Buffalo",+NFL!O171,IF(+NFL!$H171="Buffalo",+NFL!O171,0))</f>
        <v>33</v>
      </c>
      <c r="P70" s="394" t="str">
        <f>IF(+NFL!$F171="Buffalo",+NFL!P171,IF(+NFL!$H171="Buffalo",+NFL!P171,0))</f>
        <v>Buffalo</v>
      </c>
      <c r="Q70" s="396">
        <f>IF(+NFL!$F171="Buffalo",+NFL!Q171,IF(+NFL!$H171="Buffalo",+NFL!Q171,0))</f>
        <v>30</v>
      </c>
      <c r="R70" s="397" t="str">
        <f>IF(+NFL!$F171="Buffalo",+NFL!R171,IF(+NFL!$H171="Buffalo",+NFL!R171,0))</f>
        <v>Minnesota</v>
      </c>
      <c r="S70" s="396" t="str">
        <f>IF(+NFL!$F171="Buffalo",+NFL!S171,IF(+NFL!$H171="Buffalo",+NFL!S171,0))</f>
        <v>Buffalo</v>
      </c>
      <c r="T70" s="397" t="str">
        <f>IF(+NFL!$F171="Buffalo",+NFL!T171,IF(+NFL!$H171="Buffalo",+NFL!T171,0))</f>
        <v>Minnesota</v>
      </c>
      <c r="U70" s="396" t="str">
        <f>IF(+NFL!$F171="Buffalo",+NFL!U171,IF(+NFL!$H171="Buffalo",+NFL!U171,0))</f>
        <v>W</v>
      </c>
      <c r="V70" s="397">
        <f>IF(+NFL!$F122="Buffalo",+NFL!#REF!,IF(+NFL!$H122="Buffalo",+NFL!#REF!,0))</f>
        <v>0</v>
      </c>
      <c r="W70" s="396">
        <f>IF(+NFL!$F122="Buffalo",+NFL!#REF!,IF(+NFL!$H122="Buffalo",+NFL!#REF!,0))</f>
        <v>0</v>
      </c>
      <c r="X70" s="397">
        <f>IF(+NFL!$F122="Buffalo",+NFL!#REF!,IF(+NFL!$H122="Buffalo",+NFL!#REF!,0))</f>
        <v>0</v>
      </c>
      <c r="Y70" s="396">
        <f>IF(+NFL!$F122="Buffalo",+NFL!#REF!,IF(+NFL!$H122="Buffalo",+NFL!#REF!,0))</f>
        <v>0</v>
      </c>
      <c r="Z70" s="397">
        <f>IF(+NFL!$F122="Buffalo",+NFL!#REF!,IF(+NFL!$H122="Buffalo",+NFL!#REF!,0))</f>
        <v>0</v>
      </c>
      <c r="AA70" s="396">
        <f>IF(+NFL!$F122="Buffalo",+NFL!#REF!,IF(+NFL!$H122="Buffalo",+NFL!#REF!,0))</f>
        <v>0</v>
      </c>
      <c r="AB70" s="87">
        <f>IF(+NFL!$F122="Buffalo",+NFL!#REF!,IF(+NFL!$H122="Buffalo",+NFL!#REF!,0))</f>
        <v>0</v>
      </c>
      <c r="AC70" s="120">
        <f>IF(+NFL!$F122="Buffalo",+NFL!#REF!,IF(+NFL!$H122="Buffalo",+NFL!#REF!,0))</f>
        <v>0</v>
      </c>
      <c r="AD70" s="353">
        <f>IF(+NFL!$F122="Buffalo",+NFL!#REF!,IF(+NFL!$H122="Buffalo",+NFL!#REF!,0))</f>
        <v>0</v>
      </c>
      <c r="AE70" s="379">
        <f>IF(+NFL!$F122="Buffalo",+NFL!#REF!,IF(+NFL!$H122="Buffalo",+NFL!#REF!,0))</f>
        <v>0</v>
      </c>
      <c r="AF70" s="353">
        <f>IF(+NFL!$F122="Buffalo",+NFL!#REF!,IF(+NFL!$H122="Buffalo",+NFL!#REF!,0))</f>
        <v>0</v>
      </c>
      <c r="AG70" s="379">
        <f>IF(+NFL!$F122="Buffalo",+NFL!#REF!,IF(+NFL!$H122="Buffalo",+NFL!#REF!,0))</f>
        <v>0</v>
      </c>
      <c r="AH70" s="353">
        <f>IF(+NFL!$F122="Buffalo",+NFL!#REF!,IF(+NFL!$H122="Buffalo",+NFL!#REF!,0))</f>
        <v>0</v>
      </c>
      <c r="AI70" s="379">
        <f>IF(+NFL!$F122="Buffalo",+NFL!#REF!,IF(+NFL!$H122="Buffalo",+NFL!#REF!,0))</f>
        <v>0</v>
      </c>
      <c r="AJ70" s="353">
        <f>IF(+NFL!$F122="Buffalo",+NFL!#REF!,IF(+NFL!$H122="Buffalo",+NFL!#REF!,0))</f>
        <v>0</v>
      </c>
      <c r="AK70" s="379">
        <f>IF(+NFL!$F122="Buffalo",+NFL!#REF!,IF(+NFL!$H122="Buffalo",+NFL!#REF!,0))</f>
        <v>0</v>
      </c>
      <c r="AL70" s="57">
        <f>IF(+NFL!$F122="Buffalo",+NFL!#REF!,IF(+NFL!$H122="Buffalo",+NFL!#REF!,0))</f>
        <v>0</v>
      </c>
      <c r="AM70" s="58">
        <f>IF(+NFL!$F122="Buffalo",+NFL!#REF!,IF(+NFL!$H122="Buffalo",+NFL!#REF!,0))</f>
        <v>0</v>
      </c>
      <c r="AN70" s="57">
        <f>IF(+NFL!$F122="Buffalo",+NFL!#REF!,IF(+NFL!$H122="Buffalo",+NFL!#REF!,0))</f>
        <v>0</v>
      </c>
      <c r="AO70" s="59">
        <f>IF(+NFL!$F122="Buffalo",+NFL!#REF!,IF(+NFL!$H122="Buffalo",+NFL!#REF!,0))</f>
        <v>0</v>
      </c>
      <c r="AP70" s="348">
        <f>IF(+NFL!$F122="Buffalo",+NFL!#REF!,IF(+NFL!$H122="Buffalo",+NFL!#REF!,0))</f>
        <v>0</v>
      </c>
      <c r="AQ70" s="48">
        <f>IF(+NFL!$F122="Buffalo",+NFL!#REF!,IF(+NFL!$H122="Buffalo",+NFL!#REF!,0))</f>
        <v>0</v>
      </c>
      <c r="AR70" s="57">
        <f>IF(+NFL!$F122="Buffalo",+NFL!#REF!,IF(+NFL!$H122="Buffalo",+NFL!#REF!,0))</f>
        <v>0</v>
      </c>
      <c r="AS70" s="64">
        <f>IF(+NFL!$F122="Buffalo",+NFL!#REF!,IF(+NFL!$H122="Buffalo",+NFL!#REF!,0))</f>
        <v>0</v>
      </c>
      <c r="AT70" s="64">
        <f>IF(+NFL!$F122="Buffalo",+NFL!#REF!,IF(+NFL!$H122="Buffalo",+NFL!#REF!,0))</f>
        <v>0</v>
      </c>
      <c r="AU70" s="57">
        <f>IF(+NFL!$F122="Buffalo",+NFL!#REF!,IF(+NFL!$H122="Buffalo",+NFL!#REF!,0))</f>
        <v>0</v>
      </c>
      <c r="AV70" s="64">
        <f>IF(+NFL!$F122="Buffalo",+NFL!#REF!,IF(+NFL!$H122="Buffalo",+NFL!#REF!,0))</f>
        <v>0</v>
      </c>
      <c r="AW70" s="46">
        <f>IF(+NFL!$F122="Buffalo",+NFL!#REF!,IF(+NFL!$H122="Buffalo",+NFL!#REF!,0))</f>
        <v>0</v>
      </c>
      <c r="AX70" s="64">
        <f>IF(+NFL!$F122="Buffalo",+NFL!#REF!,IF(+NFL!$H122="Buffalo",+NFL!#REF!,0))</f>
        <v>0</v>
      </c>
      <c r="AY70" s="57">
        <f>IF(+NFL!$F122="Buffalo",+NFL!#REF!,IF(+NFL!$H122="Buffalo",+NFL!#REF!,0))</f>
        <v>0</v>
      </c>
      <c r="AZ70" s="64">
        <f>IF(+NFL!$F122="Buffalo",+NFL!#REF!,IF(+NFL!$H122="Buffalo",+NFL!#REF!,0))</f>
        <v>0</v>
      </c>
      <c r="BA70" s="46">
        <f>IF(+NFL!$F122="Buffalo",+NFL!#REF!,IF(+NFL!$H122="Buffalo",+NFL!#REF!,0))</f>
        <v>0</v>
      </c>
      <c r="BB70" s="46">
        <f>IF(+NFL!$F122="Buffalo",+NFL!#REF!,IF(+NFL!$H122="Buffalo",+NFL!#REF!,0))</f>
        <v>0</v>
      </c>
      <c r="BC70" s="403">
        <f>IF(+NFL!$F122="Buffalo",+NFL!#REF!,IF(+NFL!$H122="Buffalo",+NFL!#REF!,0))</f>
        <v>0</v>
      </c>
      <c r="BD70" s="57">
        <f>IF(+NFL!$F122="Buffalo",+NFL!#REF!,IF(+NFL!$H122="Buffalo",+NFL!#REF!,0))</f>
        <v>0</v>
      </c>
      <c r="BE70" s="64">
        <f>IF(+NFL!$F122="Buffalo",+NFL!#REF!,IF(+NFL!$H122="Buffalo",+NFL!#REF!,0))</f>
        <v>0</v>
      </c>
      <c r="BF70" s="64">
        <f>IF(+NFL!$F122="Buffalo",+NFL!#REF!,IF(+NFL!$H122="Buffalo",+NFL!#REF!,0))</f>
        <v>0</v>
      </c>
      <c r="BG70" s="57">
        <f>IF(+NFL!$F122="Buffalo",+NFL!#REF!,IF(+NFL!$H122="Buffalo",+NFL!#REF!,0))</f>
        <v>0</v>
      </c>
      <c r="BH70" s="64">
        <f>IF(+NFL!$F122="Buffalo",+NFL!#REF!,IF(+NFL!$H122="Buffalo",+NFL!#REF!,0))</f>
        <v>0</v>
      </c>
      <c r="BI70" s="46">
        <f>IF(+NFL!$F122="Buffalo",+NFL!#REF!,IF(+NFL!$H122="Buffalo",+NFL!#REF!,0))</f>
        <v>0</v>
      </c>
      <c r="BJ70" s="87">
        <f>IF(+NFL!$F122="Buffalo",+NFL!#REF!,IF(+NFL!$H122="Buffalo",+NFL!#REF!,0))</f>
        <v>0</v>
      </c>
      <c r="BK70" s="120">
        <f>IF(+NFL!$F122="Buffalo",+NFL!#REF!,IF(+NFL!$H122="Buffalo",+NFL!#REF!,0))</f>
        <v>0</v>
      </c>
    </row>
    <row r="71" spans="1:63" x14ac:dyDescent="0.8">
      <c r="A71" s="46">
        <f>IF(+NFL!$F191="Buffalo",+NFL!A191,IF(+NFL!$H191="Buffalo",+NFL!A191,0))</f>
        <v>11</v>
      </c>
      <c r="B71" s="46" t="str">
        <f>IF(+NFL!$F191="Buffalo",+NFL!B191,IF(+NFL!$H191="Buffalo",+NFL!B191,0))</f>
        <v>Sun</v>
      </c>
      <c r="C71" s="62">
        <f>IF(+NFL!$F191="Buffalo",+NFL!C191,IF(+NFL!$H191="Buffalo",+NFL!C191,0))</f>
        <v>44885</v>
      </c>
      <c r="D71" s="490">
        <f>IF(+NFL!$F191="Buffalo",+NFL!D191,IF(+NFL!$H191="Buffalo",+NFL!D191,0))</f>
        <v>0.39583333333333331</v>
      </c>
      <c r="E71" s="46" t="str">
        <f>IF(+NFL!$F191="Buffalo",+NFL!E191,IF(+NFL!$H191="Buffalo",+NFL!E191,0))</f>
        <v>CBS</v>
      </c>
      <c r="F71" s="127" t="str">
        <f>IF(+NFL!$F191="Buffalo",+NFL!F191,IF(+NFL!$H191="Buffalo",+NFL!F191,0))</f>
        <v>Cleveland</v>
      </c>
      <c r="G71" s="46" t="str">
        <f>IF(+NFL!$F191="Buffalo",+NFL!G191,IF(+NFL!$H191="Buffalo",+NFL!G191,0))</f>
        <v>AFCN</v>
      </c>
      <c r="H71" s="127" t="str">
        <f>IF(+NFL!$F191="Buffalo",+NFL!H191,IF(+NFL!$H191="Buffalo",+NFL!H191,0))</f>
        <v>Buffalo</v>
      </c>
      <c r="I71" s="46" t="str">
        <f>IF(+NFL!$F191="Buffalo",+NFL!I191,IF(+NFL!$H191="Buffalo",+NFL!I191,0))</f>
        <v>AFCE</v>
      </c>
      <c r="J71" s="353" t="str">
        <f>IF(+NFL!$F191="Buffalo",+NFL!J191,IF(+NFL!$H191="Buffalo",+NFL!J191,0))</f>
        <v>Buffalo</v>
      </c>
      <c r="K71" s="494" t="str">
        <f>IF(+NFL!$F191="Buffalo",+NFL!K191,IF(+NFL!$H191="Buffalo",+NFL!K191,0))</f>
        <v>Cleveland</v>
      </c>
      <c r="L71" s="384">
        <f>IF(+NFL!$F191="Buffalo",+NFL!L191,IF(+NFL!$H191="Buffalo",+NFL!L191,0))</f>
        <v>8</v>
      </c>
      <c r="M71" s="385">
        <f>IF(+NFL!$F191="Buffalo",+NFL!M191,IF(+NFL!$H191="Buffalo",+NFL!M191,0))</f>
        <v>43</v>
      </c>
      <c r="N71" s="394" t="str">
        <f>IF(+NFL!$F191="Buffalo",+NFL!N191,IF(+NFL!$H191="Buffalo",+NFL!N191,0))</f>
        <v>Buffalo</v>
      </c>
      <c r="O71" s="395">
        <f>IF(+NFL!$F191="Buffalo",+NFL!O191,IF(+NFL!$H191="Buffalo",+NFL!O191,0))</f>
        <v>31</v>
      </c>
      <c r="P71" s="394" t="str">
        <f>IF(+NFL!$F191="Buffalo",+NFL!P191,IF(+NFL!$H191="Buffalo",+NFL!P191,0))</f>
        <v>Cleveland</v>
      </c>
      <c r="Q71" s="396">
        <f>IF(+NFL!$F191="Buffalo",+NFL!Q191,IF(+NFL!$H191="Buffalo",+NFL!Q191,0))</f>
        <v>23</v>
      </c>
      <c r="R71" s="397" t="str">
        <f>IF(+NFL!$F191="Buffalo",+NFL!R191,IF(+NFL!$H191="Buffalo",+NFL!R191,0))</f>
        <v>Buffalo</v>
      </c>
      <c r="S71" s="396" t="str">
        <f>IF(+NFL!$F191="Buffalo",+NFL!S191,IF(+NFL!$H191="Buffalo",+NFL!S191,0))</f>
        <v>Cleveland</v>
      </c>
      <c r="T71" s="397" t="str">
        <f>IF(+NFL!$F191="Buffalo",+NFL!T191,IF(+NFL!$H191="Buffalo",+NFL!T191,0))</f>
        <v>Buffalo</v>
      </c>
      <c r="U71" s="396" t="str">
        <f>IF(+NFL!$F191="Buffalo",+NFL!U191,IF(+NFL!$H191="Buffalo",+NFL!U191,0))</f>
        <v>T</v>
      </c>
      <c r="V71" s="397">
        <f>IF(+NFL!$F129="Buffalo",+NFL!#REF!,IF(+NFL!$H129="Buffalo",+NFL!#REF!,0))</f>
        <v>0</v>
      </c>
      <c r="W71" s="396">
        <f>IF(+NFL!$F129="Buffalo",+NFL!#REF!,IF(+NFL!$H129="Buffalo",+NFL!#REF!,0))</f>
        <v>0</v>
      </c>
      <c r="X71" s="397">
        <f>IF(+NFL!$F129="Buffalo",+NFL!#REF!,IF(+NFL!$H129="Buffalo",+NFL!#REF!,0))</f>
        <v>0</v>
      </c>
      <c r="Y71" s="396">
        <f>IF(+NFL!$F129="Buffalo",+NFL!#REF!,IF(+NFL!$H129="Buffalo",+NFL!#REF!,0))</f>
        <v>0</v>
      </c>
      <c r="Z71" s="397">
        <f>IF(+NFL!$F129="Buffalo",+NFL!#REF!,IF(+NFL!$H129="Buffalo",+NFL!#REF!,0))</f>
        <v>0</v>
      </c>
      <c r="AA71" s="396">
        <f>IF(+NFL!$F129="Buffalo",+NFL!#REF!,IF(+NFL!$H129="Buffalo",+NFL!#REF!,0))</f>
        <v>0</v>
      </c>
      <c r="AB71" s="87">
        <f>IF(+NFL!$F129="Buffalo",+NFL!#REF!,IF(+NFL!$H129="Buffalo",+NFL!#REF!,0))</f>
        <v>0</v>
      </c>
      <c r="AC71" s="120">
        <f>IF(+NFL!$F129="Buffalo",+NFL!#REF!,IF(+NFL!$H129="Buffalo",+NFL!#REF!,0))</f>
        <v>0</v>
      </c>
      <c r="AD71" s="353">
        <f>IF(+NFL!$F129="Buffalo",+NFL!#REF!,IF(+NFL!$H129="Buffalo",+NFL!#REF!,0))</f>
        <v>0</v>
      </c>
      <c r="AE71" s="379">
        <f>IF(+NFL!$F129="Buffalo",+NFL!#REF!,IF(+NFL!$H129="Buffalo",+NFL!#REF!,0))</f>
        <v>0</v>
      </c>
      <c r="AF71" s="353">
        <f>IF(+NFL!$F129="Buffalo",+NFL!#REF!,IF(+NFL!$H129="Buffalo",+NFL!#REF!,0))</f>
        <v>0</v>
      </c>
      <c r="AG71" s="379">
        <f>IF(+NFL!$F129="Buffalo",+NFL!#REF!,IF(+NFL!$H129="Buffalo",+NFL!#REF!,0))</f>
        <v>0</v>
      </c>
      <c r="AH71" s="353">
        <f>IF(+NFL!$F129="Buffalo",+NFL!#REF!,IF(+NFL!$H129="Buffalo",+NFL!#REF!,0))</f>
        <v>0</v>
      </c>
      <c r="AI71" s="379">
        <f>IF(+NFL!$F129="Buffalo",+NFL!#REF!,IF(+NFL!$H129="Buffalo",+NFL!#REF!,0))</f>
        <v>0</v>
      </c>
      <c r="AJ71" s="353">
        <f>IF(+NFL!$F129="Buffalo",+NFL!#REF!,IF(+NFL!$H129="Buffalo",+NFL!#REF!,0))</f>
        <v>0</v>
      </c>
      <c r="AK71" s="379">
        <f>IF(+NFL!$F129="Buffalo",+NFL!#REF!,IF(+NFL!$H129="Buffalo",+NFL!#REF!,0))</f>
        <v>0</v>
      </c>
      <c r="AL71" s="57">
        <f>IF(+NFL!$F129="Buffalo",+NFL!#REF!,IF(+NFL!$H129="Buffalo",+NFL!#REF!,0))</f>
        <v>0</v>
      </c>
      <c r="AM71" s="58">
        <f>IF(+NFL!$F129="Buffalo",+NFL!#REF!,IF(+NFL!$H129="Buffalo",+NFL!#REF!,0))</f>
        <v>0</v>
      </c>
      <c r="AN71" s="57">
        <f>IF(+NFL!$F129="Buffalo",+NFL!#REF!,IF(+NFL!$H129="Buffalo",+NFL!#REF!,0))</f>
        <v>0</v>
      </c>
      <c r="AO71" s="59">
        <f>IF(+NFL!$F129="Buffalo",+NFL!#REF!,IF(+NFL!$H129="Buffalo",+NFL!#REF!,0))</f>
        <v>0</v>
      </c>
      <c r="AP71" s="348">
        <f>IF(+NFL!$F129="Buffalo",+NFL!#REF!,IF(+NFL!$H129="Buffalo",+NFL!#REF!,0))</f>
        <v>0</v>
      </c>
      <c r="AQ71" s="48">
        <f>IF(+NFL!$F129="Buffalo",+NFL!#REF!,IF(+NFL!$H129="Buffalo",+NFL!#REF!,0))</f>
        <v>0</v>
      </c>
      <c r="AR71" s="57">
        <f>IF(+NFL!$F129="Buffalo",+NFL!#REF!,IF(+NFL!$H129="Buffalo",+NFL!#REF!,0))</f>
        <v>0</v>
      </c>
      <c r="AS71" s="64">
        <f>IF(+NFL!$F129="Buffalo",+NFL!#REF!,IF(+NFL!$H129="Buffalo",+NFL!#REF!,0))</f>
        <v>0</v>
      </c>
      <c r="AT71" s="64">
        <f>IF(+NFL!$F129="Buffalo",+NFL!#REF!,IF(+NFL!$H129="Buffalo",+NFL!#REF!,0))</f>
        <v>0</v>
      </c>
      <c r="AU71" s="57">
        <f>IF(+NFL!$F129="Buffalo",+NFL!#REF!,IF(+NFL!$H129="Buffalo",+NFL!#REF!,0))</f>
        <v>0</v>
      </c>
      <c r="AV71" s="64">
        <f>IF(+NFL!$F129="Buffalo",+NFL!#REF!,IF(+NFL!$H129="Buffalo",+NFL!#REF!,0))</f>
        <v>0</v>
      </c>
      <c r="AW71" s="46">
        <f>IF(+NFL!$F129="Buffalo",+NFL!#REF!,IF(+NFL!$H129="Buffalo",+NFL!#REF!,0))</f>
        <v>0</v>
      </c>
      <c r="AX71" s="64">
        <f>IF(+NFL!$F129="Buffalo",+NFL!#REF!,IF(+NFL!$H129="Buffalo",+NFL!#REF!,0))</f>
        <v>0</v>
      </c>
      <c r="AY71" s="57">
        <f>IF(+NFL!$F129="Buffalo",+NFL!#REF!,IF(+NFL!$H129="Buffalo",+NFL!#REF!,0))</f>
        <v>0</v>
      </c>
      <c r="AZ71" s="64">
        <f>IF(+NFL!$F129="Buffalo",+NFL!#REF!,IF(+NFL!$H129="Buffalo",+NFL!#REF!,0))</f>
        <v>0</v>
      </c>
      <c r="BA71" s="46">
        <f>IF(+NFL!$F129="Buffalo",+NFL!#REF!,IF(+NFL!$H129="Buffalo",+NFL!#REF!,0))</f>
        <v>0</v>
      </c>
      <c r="BB71" s="46">
        <f>IF(+NFL!$F129="Buffalo",+NFL!#REF!,IF(+NFL!$H129="Buffalo",+NFL!#REF!,0))</f>
        <v>0</v>
      </c>
      <c r="BC71" s="403">
        <f>IF(+NFL!$F129="Buffalo",+NFL!#REF!,IF(+NFL!$H129="Buffalo",+NFL!#REF!,0))</f>
        <v>0</v>
      </c>
      <c r="BD71" s="57">
        <f>IF(+NFL!$F129="Buffalo",+NFL!#REF!,IF(+NFL!$H129="Buffalo",+NFL!#REF!,0))</f>
        <v>0</v>
      </c>
      <c r="BE71" s="64">
        <f>IF(+NFL!$F129="Buffalo",+NFL!#REF!,IF(+NFL!$H129="Buffalo",+NFL!#REF!,0))</f>
        <v>0</v>
      </c>
      <c r="BF71" s="64">
        <f>IF(+NFL!$F129="Buffalo",+NFL!#REF!,IF(+NFL!$H129="Buffalo",+NFL!#REF!,0))</f>
        <v>0</v>
      </c>
      <c r="BG71" s="57">
        <f>IF(+NFL!$F129="Buffalo",+NFL!#REF!,IF(+NFL!$H129="Buffalo",+NFL!#REF!,0))</f>
        <v>0</v>
      </c>
      <c r="BH71" s="64">
        <f>IF(+NFL!$F129="Buffalo",+NFL!#REF!,IF(+NFL!$H129="Buffalo",+NFL!#REF!,0))</f>
        <v>0</v>
      </c>
      <c r="BI71" s="46">
        <f>IF(+NFL!$F129="Buffalo",+NFL!#REF!,IF(+NFL!$H129="Buffalo",+NFL!#REF!,0))</f>
        <v>0</v>
      </c>
      <c r="BJ71" s="87">
        <f>IF(+NFL!$F129="Buffalo",+NFL!#REF!,IF(+NFL!$H129="Buffalo",+NFL!#REF!,0))</f>
        <v>0</v>
      </c>
      <c r="BK71" s="120">
        <f>IF(+NFL!$F129="Buffalo",+NFL!#REF!,IF(+NFL!$H129="Buffalo",+NFL!#REF!,0))</f>
        <v>0</v>
      </c>
    </row>
    <row r="72" spans="1:63" x14ac:dyDescent="0.8">
      <c r="A72" s="46">
        <f>IF(+NFL!$F209="Buffalo",+NFL!A209,IF(+NFL!$H209="Buffalo",+NFL!A209,0))</f>
        <v>12</v>
      </c>
      <c r="B72" s="46" t="str">
        <f>IF(+NFL!$F209="Buffalo",+NFL!B209,IF(+NFL!$H209="Buffalo",+NFL!B209,0))</f>
        <v>Thurs</v>
      </c>
      <c r="C72" s="62">
        <f>IF(+NFL!$F209="Buffalo",+NFL!C209,IF(+NFL!$H209="Buffalo",+NFL!C209,0))</f>
        <v>44889</v>
      </c>
      <c r="D72" s="490">
        <f>IF(+NFL!$F209="Buffalo",+NFL!D209,IF(+NFL!$H209="Buffalo",+NFL!D209,0))</f>
        <v>0.52083333333333337</v>
      </c>
      <c r="E72" s="46" t="str">
        <f>IF(+NFL!$F209="Buffalo",+NFL!E209,IF(+NFL!$H209="Buffalo",+NFL!E209,0))</f>
        <v>CBS</v>
      </c>
      <c r="F72" s="127" t="str">
        <f>IF(+NFL!$F209="Buffalo",+NFL!F209,IF(+NFL!$H209="Buffalo",+NFL!F209,0))</f>
        <v>Buffalo</v>
      </c>
      <c r="G72" s="46" t="str">
        <f>IF(+NFL!$F209="Buffalo",+NFL!G209,IF(+NFL!$H209="Buffalo",+NFL!G209,0))</f>
        <v>AFCE</v>
      </c>
      <c r="H72" s="127" t="str">
        <f>IF(+NFL!$F209="Buffalo",+NFL!H209,IF(+NFL!$H209="Buffalo",+NFL!H209,0))</f>
        <v>Detroit</v>
      </c>
      <c r="I72" s="46" t="str">
        <f>IF(+NFL!$F209="Buffalo",+NFL!I209,IF(+NFL!$H209="Buffalo",+NFL!I209,0))</f>
        <v>NFCN</v>
      </c>
      <c r="J72" s="353" t="str">
        <f>IF(+NFL!$F209="Buffalo",+NFL!J209,IF(+NFL!$H209="Buffalo",+NFL!J209,0))</f>
        <v>Buffalo</v>
      </c>
      <c r="K72" s="494" t="str">
        <f>IF(+NFL!$F209="Buffalo",+NFL!K209,IF(+NFL!$H209="Buffalo",+NFL!K209,0))</f>
        <v>Detroit</v>
      </c>
      <c r="L72" s="384">
        <f>IF(+NFL!$F209="Buffalo",+NFL!L209,IF(+NFL!$H209="Buffalo",+NFL!L209,0))</f>
        <v>9.5</v>
      </c>
      <c r="M72" s="385">
        <f>IF(+NFL!$F209="Buffalo",+NFL!M209,IF(+NFL!$H209="Buffalo",+NFL!M209,0))</f>
        <v>54</v>
      </c>
      <c r="N72" s="394" t="str">
        <f>IF(+NFL!$F209="Buffalo",+NFL!N209,IF(+NFL!$H209="Buffalo",+NFL!N209,0))</f>
        <v>Buffalo</v>
      </c>
      <c r="O72" s="395">
        <f>IF(+NFL!$F209="Buffalo",+NFL!O209,IF(+NFL!$H209="Buffalo",+NFL!O209,0))</f>
        <v>28</v>
      </c>
      <c r="P72" s="394" t="str">
        <f>IF(+NFL!$F209="Buffalo",+NFL!P209,IF(+NFL!$H209="Buffalo",+NFL!P209,0))</f>
        <v>Detroit</v>
      </c>
      <c r="Q72" s="396">
        <f>IF(+NFL!$F209="Buffalo",+NFL!Q209,IF(+NFL!$H209="Buffalo",+NFL!Q209,0))</f>
        <v>25</v>
      </c>
      <c r="R72" s="397" t="str">
        <f>IF(+NFL!$F209="Buffalo",+NFL!R209,IF(+NFL!$H209="Buffalo",+NFL!R209,0))</f>
        <v>Detroit</v>
      </c>
      <c r="S72" s="396" t="str">
        <f>IF(+NFL!$F209="Buffalo",+NFL!S209,IF(+NFL!$H209="Buffalo",+NFL!S209,0))</f>
        <v>Buffalo</v>
      </c>
      <c r="T72" s="397" t="str">
        <f>IF(+NFL!$F209="Buffalo",+NFL!T209,IF(+NFL!$H209="Buffalo",+NFL!T209,0))</f>
        <v>Detroit</v>
      </c>
      <c r="U72" s="396" t="str">
        <f>IF(+NFL!$F209="Buffalo",+NFL!U209,IF(+NFL!$H209="Buffalo",+NFL!U209,0))</f>
        <v>W</v>
      </c>
      <c r="V72" s="397">
        <f>IF(+NFL!$F152="Buffalo",+NFL!#REF!,IF(+NFL!$H152="Buffalo",+NFL!#REF!,0))</f>
        <v>0</v>
      </c>
      <c r="W72" s="396">
        <f>IF(+NFL!$F152="Buffalo",+NFL!#REF!,IF(+NFL!$H152="Buffalo",+NFL!#REF!,0))</f>
        <v>0</v>
      </c>
      <c r="X72" s="397">
        <f>IF(+NFL!$F152="Buffalo",+NFL!#REF!,IF(+NFL!$H152="Buffalo",+NFL!#REF!,0))</f>
        <v>0</v>
      </c>
      <c r="Y72" s="396">
        <f>IF(+NFL!$F152="Buffalo",+NFL!#REF!,IF(+NFL!$H152="Buffalo",+NFL!#REF!,0))</f>
        <v>0</v>
      </c>
      <c r="Z72" s="397">
        <f>IF(+NFL!$F152="Buffalo",+NFL!#REF!,IF(+NFL!$H152="Buffalo",+NFL!#REF!,0))</f>
        <v>0</v>
      </c>
      <c r="AA72" s="396">
        <f>IF(+NFL!$F152="Buffalo",+NFL!#REF!,IF(+NFL!$H152="Buffalo",+NFL!#REF!,0))</f>
        <v>0</v>
      </c>
      <c r="AB72" s="87">
        <f>IF(+NFL!$F152="Buffalo",+NFL!#REF!,IF(+NFL!$H152="Buffalo",+NFL!#REF!,0))</f>
        <v>0</v>
      </c>
      <c r="AC72" s="120">
        <f>IF(+NFL!$F152="Buffalo",+NFL!#REF!,IF(+NFL!$H152="Buffalo",+NFL!#REF!,0))</f>
        <v>0</v>
      </c>
      <c r="AD72" s="353">
        <f>IF(+NFL!$F152="Buffalo",+NFL!#REF!,IF(+NFL!$H152="Buffalo",+NFL!#REF!,0))</f>
        <v>0</v>
      </c>
      <c r="AE72" s="379">
        <f>IF(+NFL!$F152="Buffalo",+NFL!#REF!,IF(+NFL!$H152="Buffalo",+NFL!#REF!,0))</f>
        <v>0</v>
      </c>
      <c r="AF72" s="353">
        <f>IF(+NFL!$F152="Buffalo",+NFL!#REF!,IF(+NFL!$H152="Buffalo",+NFL!#REF!,0))</f>
        <v>0</v>
      </c>
      <c r="AG72" s="379">
        <f>IF(+NFL!$F152="Buffalo",+NFL!#REF!,IF(+NFL!$H152="Buffalo",+NFL!#REF!,0))</f>
        <v>0</v>
      </c>
      <c r="AH72" s="353">
        <f>IF(+NFL!$F152="Buffalo",+NFL!#REF!,IF(+NFL!$H152="Buffalo",+NFL!#REF!,0))</f>
        <v>0</v>
      </c>
      <c r="AI72" s="379">
        <f>IF(+NFL!$F152="Buffalo",+NFL!#REF!,IF(+NFL!$H152="Buffalo",+NFL!#REF!,0))</f>
        <v>0</v>
      </c>
      <c r="AJ72" s="353">
        <f>IF(+NFL!$F152="Buffalo",+NFL!#REF!,IF(+NFL!$H152="Buffalo",+NFL!#REF!,0))</f>
        <v>0</v>
      </c>
      <c r="AK72" s="379">
        <f>IF(+NFL!$F152="Buffalo",+NFL!#REF!,IF(+NFL!$H152="Buffalo",+NFL!#REF!,0))</f>
        <v>0</v>
      </c>
      <c r="AL72" s="57">
        <f>IF(+NFL!$F152="Buffalo",+NFL!#REF!,IF(+NFL!$H152="Buffalo",+NFL!#REF!,0))</f>
        <v>0</v>
      </c>
      <c r="AM72" s="58">
        <f>IF(+NFL!$F152="Buffalo",+NFL!#REF!,IF(+NFL!$H152="Buffalo",+NFL!#REF!,0))</f>
        <v>0</v>
      </c>
      <c r="AN72" s="57">
        <f>IF(+NFL!$F152="Buffalo",+NFL!#REF!,IF(+NFL!$H152="Buffalo",+NFL!#REF!,0))</f>
        <v>0</v>
      </c>
      <c r="AO72" s="59">
        <f>IF(+NFL!$F152="Buffalo",+NFL!#REF!,IF(+NFL!$H152="Buffalo",+NFL!#REF!,0))</f>
        <v>0</v>
      </c>
      <c r="AP72" s="348">
        <f>IF(+NFL!$F152="Buffalo",+NFL!#REF!,IF(+NFL!$H152="Buffalo",+NFL!#REF!,0))</f>
        <v>0</v>
      </c>
      <c r="AQ72" s="48">
        <f>IF(+NFL!$F152="Buffalo",+NFL!#REF!,IF(+NFL!$H152="Buffalo",+NFL!#REF!,0))</f>
        <v>0</v>
      </c>
      <c r="AR72" s="57">
        <f>IF(+NFL!$F152="Buffalo",+NFL!#REF!,IF(+NFL!$H152="Buffalo",+NFL!#REF!,0))</f>
        <v>0</v>
      </c>
      <c r="AS72" s="64">
        <f>IF(+NFL!$F152="Buffalo",+NFL!#REF!,IF(+NFL!$H152="Buffalo",+NFL!#REF!,0))</f>
        <v>0</v>
      </c>
      <c r="AT72" s="64">
        <f>IF(+NFL!$F152="Buffalo",+NFL!#REF!,IF(+NFL!$H152="Buffalo",+NFL!#REF!,0))</f>
        <v>0</v>
      </c>
      <c r="AU72" s="57">
        <f>IF(+NFL!$F152="Buffalo",+NFL!#REF!,IF(+NFL!$H152="Buffalo",+NFL!#REF!,0))</f>
        <v>0</v>
      </c>
      <c r="AV72" s="64">
        <f>IF(+NFL!$F152="Buffalo",+NFL!#REF!,IF(+NFL!$H152="Buffalo",+NFL!#REF!,0))</f>
        <v>0</v>
      </c>
      <c r="AW72" s="46">
        <f>IF(+NFL!$F152="Buffalo",+NFL!#REF!,IF(+NFL!$H152="Buffalo",+NFL!#REF!,0))</f>
        <v>0</v>
      </c>
      <c r="AX72" s="64">
        <f>IF(+NFL!$F152="Buffalo",+NFL!#REF!,IF(+NFL!$H152="Buffalo",+NFL!#REF!,0))</f>
        <v>0</v>
      </c>
      <c r="AY72" s="57">
        <f>IF(+NFL!$F152="Buffalo",+NFL!#REF!,IF(+NFL!$H152="Buffalo",+NFL!#REF!,0))</f>
        <v>0</v>
      </c>
      <c r="AZ72" s="64">
        <f>IF(+NFL!$F152="Buffalo",+NFL!#REF!,IF(+NFL!$H152="Buffalo",+NFL!#REF!,0))</f>
        <v>0</v>
      </c>
      <c r="BA72" s="46">
        <f>IF(+NFL!$F152="Buffalo",+NFL!#REF!,IF(+NFL!$H152="Buffalo",+NFL!#REF!,0))</f>
        <v>0</v>
      </c>
      <c r="BB72" s="46">
        <f>IF(+NFL!$F152="Buffalo",+NFL!#REF!,IF(+NFL!$H152="Buffalo",+NFL!#REF!,0))</f>
        <v>0</v>
      </c>
      <c r="BC72" s="403">
        <f>IF(+NFL!$F152="Buffalo",+NFL!#REF!,IF(+NFL!$H152="Buffalo",+NFL!#REF!,0))</f>
        <v>0</v>
      </c>
      <c r="BD72" s="57">
        <f>IF(+NFL!$F152="Buffalo",+NFL!#REF!,IF(+NFL!$H152="Buffalo",+NFL!#REF!,0))</f>
        <v>0</v>
      </c>
      <c r="BE72" s="64">
        <f>IF(+NFL!$F152="Buffalo",+NFL!#REF!,IF(+NFL!$H152="Buffalo",+NFL!#REF!,0))</f>
        <v>0</v>
      </c>
      <c r="BF72" s="64">
        <f>IF(+NFL!$F152="Buffalo",+NFL!#REF!,IF(+NFL!$H152="Buffalo",+NFL!#REF!,0))</f>
        <v>0</v>
      </c>
      <c r="BG72" s="57">
        <f>IF(+NFL!$F152="Buffalo",+NFL!#REF!,IF(+NFL!$H152="Buffalo",+NFL!#REF!,0))</f>
        <v>0</v>
      </c>
      <c r="BH72" s="64">
        <f>IF(+NFL!$F152="Buffalo",+NFL!#REF!,IF(+NFL!$H152="Buffalo",+NFL!#REF!,0))</f>
        <v>0</v>
      </c>
      <c r="BI72" s="46">
        <f>IF(+NFL!$F152="Buffalo",+NFL!#REF!,IF(+NFL!$H152="Buffalo",+NFL!#REF!,0))</f>
        <v>0</v>
      </c>
      <c r="BJ72" s="87">
        <f>IF(+NFL!$F152="Buffalo",+NFL!#REF!,IF(+NFL!$H152="Buffalo",+NFL!#REF!,0))</f>
        <v>0</v>
      </c>
      <c r="BK72" s="120">
        <f>IF(+NFL!$F152="Buffalo",+NFL!#REF!,IF(+NFL!$H152="Buffalo",+NFL!#REF!,0))</f>
        <v>0</v>
      </c>
    </row>
    <row r="73" spans="1:63" x14ac:dyDescent="0.8">
      <c r="A73" s="46">
        <f>IF(+NFL!$F226="Buffalo",+NFL!A226,IF(+NFL!$H226="Buffalo",+NFL!A226,0))</f>
        <v>13</v>
      </c>
      <c r="B73" s="46" t="str">
        <f>IF(+NFL!$F226="Buffalo",+NFL!B226,IF(+NFL!$H226="Buffalo",+NFL!B226,0))</f>
        <v>Thurs</v>
      </c>
      <c r="C73" s="62">
        <f>IF(+NFL!$F226="Buffalo",+NFL!C226,IF(+NFL!$H226="Buffalo",+NFL!C226,0))</f>
        <v>44896</v>
      </c>
      <c r="D73" s="490">
        <f>IF(+NFL!$F226="Buffalo",+NFL!D226,IF(+NFL!$H226="Buffalo",+NFL!D226,0))</f>
        <v>0.84375</v>
      </c>
      <c r="E73" s="46" t="str">
        <f>IF(+NFL!$F226="Buffalo",+NFL!E226,IF(+NFL!$H226="Buffalo",+NFL!E226,0))</f>
        <v>NBC</v>
      </c>
      <c r="F73" s="127" t="str">
        <f>IF(+NFL!$F226="Buffalo",+NFL!F226,IF(+NFL!$H226="Buffalo",+NFL!F226,0))</f>
        <v>Buffalo</v>
      </c>
      <c r="G73" s="46" t="str">
        <f>IF(+NFL!$F226="Buffalo",+NFL!G226,IF(+NFL!$H226="Buffalo",+NFL!G226,0))</f>
        <v>AFCE</v>
      </c>
      <c r="H73" s="127" t="str">
        <f>IF(+NFL!$F226="Buffalo",+NFL!H226,IF(+NFL!$H226="Buffalo",+NFL!H226,0))</f>
        <v>New England</v>
      </c>
      <c r="I73" s="46" t="str">
        <f>IF(+NFL!$F226="Buffalo",+NFL!I226,IF(+NFL!$H226="Buffalo",+NFL!I226,0))</f>
        <v>AFCE</v>
      </c>
      <c r="J73" s="353" t="str">
        <f>IF(+NFL!$F226="Buffalo",+NFL!J226,IF(+NFL!$H226="Buffalo",+NFL!J226,0))</f>
        <v>Buffalo</v>
      </c>
      <c r="K73" s="494" t="str">
        <f>IF(+NFL!$F226="Buffalo",+NFL!K226,IF(+NFL!$H226="Buffalo",+NFL!K226,0))</f>
        <v>New England</v>
      </c>
      <c r="L73" s="384">
        <f>IF(+NFL!$F226="Buffalo",+NFL!L226,IF(+NFL!$H226="Buffalo",+NFL!L226,0))</f>
        <v>4</v>
      </c>
      <c r="M73" s="385">
        <f>IF(+NFL!$F226="Buffalo",+NFL!M226,IF(+NFL!$H226="Buffalo",+NFL!M226,0))</f>
        <v>43.5</v>
      </c>
      <c r="N73" s="394" t="str">
        <f>IF(+NFL!$F226="Buffalo",+NFL!N226,IF(+NFL!$H226="Buffalo",+NFL!N226,0))</f>
        <v>Buffalo</v>
      </c>
      <c r="O73" s="395">
        <f>IF(+NFL!$F226="Buffalo",+NFL!O226,IF(+NFL!$H226="Buffalo",+NFL!O226,0))</f>
        <v>24</v>
      </c>
      <c r="P73" s="394" t="str">
        <f>IF(+NFL!$F226="Buffalo",+NFL!P226,IF(+NFL!$H226="Buffalo",+NFL!P226,0))</f>
        <v>New England</v>
      </c>
      <c r="Q73" s="396">
        <f>IF(+NFL!$F226="Buffalo",+NFL!Q226,IF(+NFL!$H226="Buffalo",+NFL!Q226,0))</f>
        <v>10</v>
      </c>
      <c r="R73" s="397" t="str">
        <f>IF(+NFL!$F226="Buffalo",+NFL!R226,IF(+NFL!$H226="Buffalo",+NFL!R226,0))</f>
        <v>Buffalo</v>
      </c>
      <c r="S73" s="396" t="str">
        <f>IF(+NFL!$F226="Buffalo",+NFL!S226,IF(+NFL!$H226="Buffalo",+NFL!S226,0))</f>
        <v>New England</v>
      </c>
      <c r="T73" s="397" t="str">
        <f>IF(+NFL!$F226="Buffalo",+NFL!T226,IF(+NFL!$H226="Buffalo",+NFL!T226,0))</f>
        <v>Buffalo</v>
      </c>
      <c r="U73" s="396" t="str">
        <f>IF(+NFL!$F226="Buffalo",+NFL!U226,IF(+NFL!$H226="Buffalo",+NFL!U226,0))</f>
        <v>W</v>
      </c>
      <c r="V73" s="397">
        <f>IF(+NFL!$F175="Buffalo",+NFL!#REF!,IF(+NFL!$H175="Buffalo",+NFL!#REF!,0))</f>
        <v>0</v>
      </c>
      <c r="W73" s="396">
        <f>IF(+NFL!$F175="Buffalo",+NFL!#REF!,IF(+NFL!$H175="Buffalo",+NFL!#REF!,0))</f>
        <v>0</v>
      </c>
      <c r="X73" s="397">
        <f>IF(+NFL!$F175="Buffalo",+NFL!#REF!,IF(+NFL!$H175="Buffalo",+NFL!#REF!,0))</f>
        <v>0</v>
      </c>
      <c r="Y73" s="396">
        <f>IF(+NFL!$F175="Buffalo",+NFL!#REF!,IF(+NFL!$H175="Buffalo",+NFL!#REF!,0))</f>
        <v>0</v>
      </c>
      <c r="Z73" s="397">
        <f>IF(+NFL!$F175="Buffalo",+NFL!#REF!,IF(+NFL!$H175="Buffalo",+NFL!#REF!,0))</f>
        <v>0</v>
      </c>
      <c r="AA73" s="396">
        <f>IF(+NFL!$F175="Buffalo",+NFL!#REF!,IF(+NFL!$H175="Buffalo",+NFL!#REF!,0))</f>
        <v>0</v>
      </c>
      <c r="AB73" s="87">
        <f>IF(+NFL!$F175="Buffalo",+NFL!#REF!,IF(+NFL!$H175="Buffalo",+NFL!#REF!,0))</f>
        <v>0</v>
      </c>
      <c r="AC73" s="120">
        <f>IF(+NFL!$F175="Buffalo",+NFL!#REF!,IF(+NFL!$H175="Buffalo",+NFL!#REF!,0))</f>
        <v>0</v>
      </c>
      <c r="AD73" s="353">
        <f>IF(+NFL!$F175="Buffalo",+NFL!#REF!,IF(+NFL!$H175="Buffalo",+NFL!#REF!,0))</f>
        <v>0</v>
      </c>
      <c r="AE73" s="379">
        <f>IF(+NFL!$F175="Buffalo",+NFL!#REF!,IF(+NFL!$H175="Buffalo",+NFL!#REF!,0))</f>
        <v>0</v>
      </c>
      <c r="AF73" s="353">
        <f>IF(+NFL!$F175="Buffalo",+NFL!#REF!,IF(+NFL!$H175="Buffalo",+NFL!#REF!,0))</f>
        <v>0</v>
      </c>
      <c r="AG73" s="379">
        <f>IF(+NFL!$F175="Buffalo",+NFL!#REF!,IF(+NFL!$H175="Buffalo",+NFL!#REF!,0))</f>
        <v>0</v>
      </c>
      <c r="AH73" s="353">
        <f>IF(+NFL!$F175="Buffalo",+NFL!#REF!,IF(+NFL!$H175="Buffalo",+NFL!#REF!,0))</f>
        <v>0</v>
      </c>
      <c r="AI73" s="379">
        <f>IF(+NFL!$F175="Buffalo",+NFL!#REF!,IF(+NFL!$H175="Buffalo",+NFL!#REF!,0))</f>
        <v>0</v>
      </c>
      <c r="AJ73" s="353">
        <f>IF(+NFL!$F175="Buffalo",+NFL!#REF!,IF(+NFL!$H175="Buffalo",+NFL!#REF!,0))</f>
        <v>0</v>
      </c>
      <c r="AK73" s="379">
        <f>IF(+NFL!$F175="Buffalo",+NFL!#REF!,IF(+NFL!$H175="Buffalo",+NFL!#REF!,0))</f>
        <v>0</v>
      </c>
      <c r="AL73" s="57">
        <f>IF(+NFL!$F175="Buffalo",+NFL!#REF!,IF(+NFL!$H175="Buffalo",+NFL!#REF!,0))</f>
        <v>0</v>
      </c>
      <c r="AM73" s="58">
        <f>IF(+NFL!$F175="Buffalo",+NFL!#REF!,IF(+NFL!$H175="Buffalo",+NFL!#REF!,0))</f>
        <v>0</v>
      </c>
      <c r="AN73" s="57">
        <f>IF(+NFL!$F175="Buffalo",+NFL!#REF!,IF(+NFL!$H175="Buffalo",+NFL!#REF!,0))</f>
        <v>0</v>
      </c>
      <c r="AO73" s="59">
        <f>IF(+NFL!$F175="Buffalo",+NFL!#REF!,IF(+NFL!$H175="Buffalo",+NFL!#REF!,0))</f>
        <v>0</v>
      </c>
      <c r="AP73" s="348">
        <f>IF(+NFL!$F175="Buffalo",+NFL!#REF!,IF(+NFL!$H175="Buffalo",+NFL!#REF!,0))</f>
        <v>0</v>
      </c>
      <c r="AQ73" s="48">
        <f>IF(+NFL!$F175="Buffalo",+NFL!#REF!,IF(+NFL!$H175="Buffalo",+NFL!#REF!,0))</f>
        <v>0</v>
      </c>
      <c r="AR73" s="57">
        <f>IF(+NFL!$F175="Buffalo",+NFL!#REF!,IF(+NFL!$H175="Buffalo",+NFL!#REF!,0))</f>
        <v>0</v>
      </c>
      <c r="AS73" s="64">
        <f>IF(+NFL!$F175="Buffalo",+NFL!#REF!,IF(+NFL!$H175="Buffalo",+NFL!#REF!,0))</f>
        <v>0</v>
      </c>
      <c r="AT73" s="64">
        <f>IF(+NFL!$F175="Buffalo",+NFL!#REF!,IF(+NFL!$H175="Buffalo",+NFL!#REF!,0))</f>
        <v>0</v>
      </c>
      <c r="AU73" s="57">
        <f>IF(+NFL!$F175="Buffalo",+NFL!#REF!,IF(+NFL!$H175="Buffalo",+NFL!#REF!,0))</f>
        <v>0</v>
      </c>
      <c r="AV73" s="64">
        <f>IF(+NFL!$F175="Buffalo",+NFL!#REF!,IF(+NFL!$H175="Buffalo",+NFL!#REF!,0))</f>
        <v>0</v>
      </c>
      <c r="AW73" s="46">
        <f>IF(+NFL!$F175="Buffalo",+NFL!#REF!,IF(+NFL!$H175="Buffalo",+NFL!#REF!,0))</f>
        <v>0</v>
      </c>
      <c r="AX73" s="64">
        <f>IF(+NFL!$F175="Buffalo",+NFL!#REF!,IF(+NFL!$H175="Buffalo",+NFL!#REF!,0))</f>
        <v>0</v>
      </c>
      <c r="AY73" s="57">
        <f>IF(+NFL!$F175="Buffalo",+NFL!#REF!,IF(+NFL!$H175="Buffalo",+NFL!#REF!,0))</f>
        <v>0</v>
      </c>
      <c r="AZ73" s="64">
        <f>IF(+NFL!$F175="Buffalo",+NFL!#REF!,IF(+NFL!$H175="Buffalo",+NFL!#REF!,0))</f>
        <v>0</v>
      </c>
      <c r="BA73" s="46">
        <f>IF(+NFL!$F175="Buffalo",+NFL!#REF!,IF(+NFL!$H175="Buffalo",+NFL!#REF!,0))</f>
        <v>0</v>
      </c>
      <c r="BB73" s="46">
        <f>IF(+NFL!$F175="Buffalo",+NFL!#REF!,IF(+NFL!$H175="Buffalo",+NFL!#REF!,0))</f>
        <v>0</v>
      </c>
      <c r="BC73" s="403">
        <f>IF(+NFL!$F175="Buffalo",+NFL!#REF!,IF(+NFL!$H175="Buffalo",+NFL!#REF!,0))</f>
        <v>0</v>
      </c>
      <c r="BD73" s="57">
        <f>IF(+NFL!$F175="Buffalo",+NFL!#REF!,IF(+NFL!$H175="Buffalo",+NFL!#REF!,0))</f>
        <v>0</v>
      </c>
      <c r="BE73" s="64">
        <f>IF(+NFL!$F175="Buffalo",+NFL!#REF!,IF(+NFL!$H175="Buffalo",+NFL!#REF!,0))</f>
        <v>0</v>
      </c>
      <c r="BF73" s="64">
        <f>IF(+NFL!$F175="Buffalo",+NFL!#REF!,IF(+NFL!$H175="Buffalo",+NFL!#REF!,0))</f>
        <v>0</v>
      </c>
      <c r="BG73" s="57">
        <f>IF(+NFL!$F175="Buffalo",+NFL!#REF!,IF(+NFL!$H175="Buffalo",+NFL!#REF!,0))</f>
        <v>0</v>
      </c>
      <c r="BH73" s="64">
        <f>IF(+NFL!$F175="Buffalo",+NFL!#REF!,IF(+NFL!$H175="Buffalo",+NFL!#REF!,0))</f>
        <v>0</v>
      </c>
      <c r="BI73" s="46">
        <f>IF(+NFL!$F175="Buffalo",+NFL!#REF!,IF(+NFL!$H175="Buffalo",+NFL!#REF!,0))</f>
        <v>0</v>
      </c>
      <c r="BJ73" s="87">
        <f>IF(+NFL!$F175="Buffalo",+NFL!#REF!,IF(+NFL!$H175="Buffalo",+NFL!#REF!,0))</f>
        <v>0</v>
      </c>
      <c r="BK73" s="120">
        <f>IF(+NFL!$F175="Buffalo",+NFL!#REF!,IF(+NFL!$H175="Buffalo",+NFL!#REF!,0))</f>
        <v>0</v>
      </c>
    </row>
    <row r="74" spans="1:63" x14ac:dyDescent="0.8">
      <c r="A74" s="46">
        <f>IF(+NFL!$F246="Buffalo",+NFL!A246,IF(+NFL!$H246="Buffalo",+NFL!A246,0))</f>
        <v>14</v>
      </c>
      <c r="B74" s="46" t="str">
        <f>IF(+NFL!$F246="Buffalo",+NFL!B246,IF(+NFL!$H246="Buffalo",+NFL!B246,0))</f>
        <v>Sun</v>
      </c>
      <c r="C74" s="62">
        <f>IF(+NFL!$F246="Buffalo",+NFL!C246,IF(+NFL!$H246="Buffalo",+NFL!C246,0))</f>
        <v>44906</v>
      </c>
      <c r="D74" s="490">
        <f>IF(+NFL!$F246="Buffalo",+NFL!D246,IF(+NFL!$H246="Buffalo",+NFL!D246,0))</f>
        <v>0.54166666666666663</v>
      </c>
      <c r="E74" s="46" t="str">
        <f>IF(+NFL!$F246="Buffalo",+NFL!E246,IF(+NFL!$H246="Buffalo",+NFL!E246,0))</f>
        <v>CBS</v>
      </c>
      <c r="F74" s="127" t="str">
        <f>IF(+NFL!$F246="Buffalo",+NFL!F246,IF(+NFL!$H246="Buffalo",+NFL!F246,0))</f>
        <v>NY Jets</v>
      </c>
      <c r="G74" s="46" t="str">
        <f>IF(+NFL!$F246="Buffalo",+NFL!G246,IF(+NFL!$H246="Buffalo",+NFL!G246,0))</f>
        <v>AFCE</v>
      </c>
      <c r="H74" s="127" t="str">
        <f>IF(+NFL!$F246="Buffalo",+NFL!H246,IF(+NFL!$H246="Buffalo",+NFL!H246,0))</f>
        <v>Buffalo</v>
      </c>
      <c r="I74" s="46" t="str">
        <f>IF(+NFL!$F246="Buffalo",+NFL!I246,IF(+NFL!$H246="Buffalo",+NFL!I246,0))</f>
        <v>AFCE</v>
      </c>
      <c r="J74" s="353" t="str">
        <f>IF(+NFL!$F246="Buffalo",+NFL!J246,IF(+NFL!$H246="Buffalo",+NFL!J246,0))</f>
        <v>Buffalo</v>
      </c>
      <c r="K74" s="494" t="str">
        <f>IF(+NFL!$F246="Buffalo",+NFL!K246,IF(+NFL!$H246="Buffalo",+NFL!K246,0))</f>
        <v>NY Jets</v>
      </c>
      <c r="L74" s="384">
        <f>IF(+NFL!$F246="Buffalo",+NFL!L246,IF(+NFL!$H246="Buffalo",+NFL!L246,0))</f>
        <v>9.5</v>
      </c>
      <c r="M74" s="385">
        <f>IF(+NFL!$F246="Buffalo",+NFL!M246,IF(+NFL!$H246="Buffalo",+NFL!M246,0))</f>
        <v>43.5</v>
      </c>
      <c r="N74" s="394" t="str">
        <f>IF(+NFL!$F246="Buffalo",+NFL!N246,IF(+NFL!$H246="Buffalo",+NFL!N246,0))</f>
        <v>Buffalo</v>
      </c>
      <c r="O74" s="395">
        <f>IF(+NFL!$F246="Buffalo",+NFL!O246,IF(+NFL!$H246="Buffalo",+NFL!O246,0))</f>
        <v>20</v>
      </c>
      <c r="P74" s="394" t="str">
        <f>IF(+NFL!$F246="Buffalo",+NFL!P246,IF(+NFL!$H246="Buffalo",+NFL!P246,0))</f>
        <v>NY Jets</v>
      </c>
      <c r="Q74" s="396">
        <f>IF(+NFL!$F246="Buffalo",+NFL!Q246,IF(+NFL!$H246="Buffalo",+NFL!Q246,0))</f>
        <v>12</v>
      </c>
      <c r="R74" s="397" t="str">
        <f>IF(+NFL!$F246="Buffalo",+NFL!R246,IF(+NFL!$H246="Buffalo",+NFL!R246,0))</f>
        <v>NY Jets</v>
      </c>
      <c r="S74" s="396" t="str">
        <f>IF(+NFL!$F246="Buffalo",+NFL!S246,IF(+NFL!$H246="Buffalo",+NFL!S246,0))</f>
        <v>Buffalo</v>
      </c>
      <c r="T74" s="397">
        <f>IF(+NFL!$F246="Buffalo",+NFL!T246,IF(+NFL!$H246="Buffalo",+NFL!T246,0))</f>
        <v>0</v>
      </c>
      <c r="U74" s="396" t="str">
        <f>IF(+NFL!$F246="Buffalo",+NFL!U246,IF(+NFL!$H246="Buffalo",+NFL!U246,0))</f>
        <v>L</v>
      </c>
      <c r="V74" s="397" t="e">
        <f>IF(+NFL!#REF!="Buffalo",+NFL!#REF!,IF(+NFL!#REF!="Buffalo",+NFL!#REF!,0))</f>
        <v>#REF!</v>
      </c>
      <c r="W74" s="396" t="e">
        <f>IF(+NFL!#REF!="Buffalo",+NFL!#REF!,IF(+NFL!#REF!="Buffalo",+NFL!#REF!,0))</f>
        <v>#REF!</v>
      </c>
      <c r="X74" s="397" t="e">
        <f>IF(+NFL!#REF!="Buffalo",+NFL!#REF!,IF(+NFL!#REF!="Buffalo",+NFL!#REF!,0))</f>
        <v>#REF!</v>
      </c>
      <c r="Y74" s="396" t="e">
        <f>IF(+NFL!#REF!="Buffalo",+NFL!#REF!,IF(+NFL!#REF!="Buffalo",+NFL!#REF!,0))</f>
        <v>#REF!</v>
      </c>
      <c r="Z74" s="397" t="e">
        <f>IF(+NFL!#REF!="Buffalo",+NFL!#REF!,IF(+NFL!#REF!="Buffalo",+NFL!#REF!,0))</f>
        <v>#REF!</v>
      </c>
      <c r="AA74" s="396" t="e">
        <f>IF(+NFL!#REF!="Buffalo",+NFL!#REF!,IF(+NFL!#REF!="Buffalo",+NFL!#REF!,0))</f>
        <v>#REF!</v>
      </c>
      <c r="AB74" s="87" t="e">
        <f>IF(+NFL!#REF!="Buffalo",+NFL!#REF!,IF(+NFL!#REF!="Buffalo",+NFL!#REF!,0))</f>
        <v>#REF!</v>
      </c>
      <c r="AC74" s="120" t="e">
        <f>IF(+NFL!#REF!="Buffalo",+NFL!#REF!,IF(+NFL!#REF!="Buffalo",+NFL!#REF!,0))</f>
        <v>#REF!</v>
      </c>
      <c r="AD74" s="353" t="e">
        <f>IF(+NFL!#REF!="Buffalo",+NFL!#REF!,IF(+NFL!#REF!="Buffalo",+NFL!#REF!,0))</f>
        <v>#REF!</v>
      </c>
      <c r="AE74" s="379" t="e">
        <f>IF(+NFL!#REF!="Buffalo",+NFL!#REF!,IF(+NFL!#REF!="Buffalo",+NFL!#REF!,0))</f>
        <v>#REF!</v>
      </c>
      <c r="AF74" s="353" t="e">
        <f>IF(+NFL!#REF!="Buffalo",+NFL!#REF!,IF(+NFL!#REF!="Buffalo",+NFL!#REF!,0))</f>
        <v>#REF!</v>
      </c>
      <c r="AG74" s="379" t="e">
        <f>IF(+NFL!#REF!="Buffalo",+NFL!#REF!,IF(+NFL!#REF!="Buffalo",+NFL!#REF!,0))</f>
        <v>#REF!</v>
      </c>
      <c r="AH74" s="353" t="e">
        <f>IF(+NFL!#REF!="Buffalo",+NFL!#REF!,IF(+NFL!#REF!="Buffalo",+NFL!#REF!,0))</f>
        <v>#REF!</v>
      </c>
      <c r="AI74" s="379" t="e">
        <f>IF(+NFL!#REF!="Buffalo",+NFL!#REF!,IF(+NFL!#REF!="Buffalo",+NFL!#REF!,0))</f>
        <v>#REF!</v>
      </c>
      <c r="AJ74" s="353" t="e">
        <f>IF(+NFL!#REF!="Buffalo",+NFL!#REF!,IF(+NFL!#REF!="Buffalo",+NFL!#REF!,0))</f>
        <v>#REF!</v>
      </c>
      <c r="AK74" s="379" t="e">
        <f>IF(+NFL!#REF!="Buffalo",+NFL!#REF!,IF(+NFL!#REF!="Buffalo",+NFL!#REF!,0))</f>
        <v>#REF!</v>
      </c>
      <c r="AL74" s="57" t="e">
        <f>IF(+NFL!#REF!="Buffalo",+NFL!#REF!,IF(+NFL!#REF!="Buffalo",+NFL!#REF!,0))</f>
        <v>#REF!</v>
      </c>
      <c r="AM74" s="58" t="e">
        <f>IF(+NFL!#REF!="Buffalo",+NFL!#REF!,IF(+NFL!#REF!="Buffalo",+NFL!#REF!,0))</f>
        <v>#REF!</v>
      </c>
      <c r="AN74" s="57" t="e">
        <f>IF(+NFL!#REF!="Buffalo",+NFL!#REF!,IF(+NFL!#REF!="Buffalo",+NFL!#REF!,0))</f>
        <v>#REF!</v>
      </c>
      <c r="AO74" s="59" t="e">
        <f>IF(+NFL!#REF!="Buffalo",+NFL!#REF!,IF(+NFL!#REF!="Buffalo",+NFL!#REF!,0))</f>
        <v>#REF!</v>
      </c>
      <c r="AP74" s="348" t="e">
        <f>IF(+NFL!#REF!="Buffalo",+NFL!#REF!,IF(+NFL!#REF!="Buffalo",+NFL!#REF!,0))</f>
        <v>#REF!</v>
      </c>
      <c r="AQ74" s="48" t="e">
        <f>IF(+NFL!#REF!="Buffalo",+NFL!#REF!,IF(+NFL!#REF!="Buffalo",+NFL!#REF!,0))</f>
        <v>#REF!</v>
      </c>
      <c r="AR74" s="57" t="e">
        <f>IF(+NFL!#REF!="Buffalo",+NFL!#REF!,IF(+NFL!#REF!="Buffalo",+NFL!#REF!,0))</f>
        <v>#REF!</v>
      </c>
      <c r="AS74" s="64" t="e">
        <f>IF(+NFL!#REF!="Buffalo",+NFL!#REF!,IF(+NFL!#REF!="Buffalo",+NFL!#REF!,0))</f>
        <v>#REF!</v>
      </c>
      <c r="AT74" s="64" t="e">
        <f>IF(+NFL!#REF!="Buffalo",+NFL!#REF!,IF(+NFL!#REF!="Buffalo",+NFL!#REF!,0))</f>
        <v>#REF!</v>
      </c>
      <c r="AU74" s="57" t="e">
        <f>IF(+NFL!#REF!="Buffalo",+NFL!#REF!,IF(+NFL!#REF!="Buffalo",+NFL!#REF!,0))</f>
        <v>#REF!</v>
      </c>
      <c r="AV74" s="64" t="e">
        <f>IF(+NFL!#REF!="Buffalo",+NFL!#REF!,IF(+NFL!#REF!="Buffalo",+NFL!#REF!,0))</f>
        <v>#REF!</v>
      </c>
      <c r="AW74" s="46" t="e">
        <f>IF(+NFL!#REF!="Buffalo",+NFL!#REF!,IF(+NFL!#REF!="Buffalo",+NFL!#REF!,0))</f>
        <v>#REF!</v>
      </c>
      <c r="AX74" s="64" t="e">
        <f>IF(+NFL!#REF!="Buffalo",+NFL!#REF!,IF(+NFL!#REF!="Buffalo",+NFL!#REF!,0))</f>
        <v>#REF!</v>
      </c>
      <c r="AY74" s="57" t="e">
        <f>IF(+NFL!#REF!="Buffalo",+NFL!#REF!,IF(+NFL!#REF!="Buffalo",+NFL!#REF!,0))</f>
        <v>#REF!</v>
      </c>
      <c r="AZ74" s="64" t="e">
        <f>IF(+NFL!#REF!="Buffalo",+NFL!#REF!,IF(+NFL!#REF!="Buffalo",+NFL!#REF!,0))</f>
        <v>#REF!</v>
      </c>
      <c r="BA74" s="46" t="e">
        <f>IF(+NFL!#REF!="Buffalo",+NFL!#REF!,IF(+NFL!#REF!="Buffalo",+NFL!#REF!,0))</f>
        <v>#REF!</v>
      </c>
      <c r="BB74" s="46" t="e">
        <f>IF(+NFL!#REF!="Buffalo",+NFL!#REF!,IF(+NFL!#REF!="Buffalo",+NFL!#REF!,0))</f>
        <v>#REF!</v>
      </c>
      <c r="BC74" s="403" t="e">
        <f>IF(+NFL!#REF!="Buffalo",+NFL!#REF!,IF(+NFL!#REF!="Buffalo",+NFL!#REF!,0))</f>
        <v>#REF!</v>
      </c>
      <c r="BD74" s="57" t="e">
        <f>IF(+NFL!#REF!="Buffalo",+NFL!#REF!,IF(+NFL!#REF!="Buffalo",+NFL!#REF!,0))</f>
        <v>#REF!</v>
      </c>
      <c r="BE74" s="64" t="e">
        <f>IF(+NFL!#REF!="Buffalo",+NFL!#REF!,IF(+NFL!#REF!="Buffalo",+NFL!#REF!,0))</f>
        <v>#REF!</v>
      </c>
      <c r="BF74" s="64" t="e">
        <f>IF(+NFL!#REF!="Buffalo",+NFL!#REF!,IF(+NFL!#REF!="Buffalo",+NFL!#REF!,0))</f>
        <v>#REF!</v>
      </c>
      <c r="BG74" s="57" t="e">
        <f>IF(+NFL!#REF!="Buffalo",+NFL!#REF!,IF(+NFL!#REF!="Buffalo",+NFL!#REF!,0))</f>
        <v>#REF!</v>
      </c>
      <c r="BH74" s="64" t="e">
        <f>IF(+NFL!#REF!="Buffalo",+NFL!#REF!,IF(+NFL!#REF!="Buffalo",+NFL!#REF!,0))</f>
        <v>#REF!</v>
      </c>
      <c r="BI74" s="46" t="e">
        <f>IF(+NFL!#REF!="Buffalo",+NFL!#REF!,IF(+NFL!#REF!="Buffalo",+NFL!#REF!,0))</f>
        <v>#REF!</v>
      </c>
      <c r="BJ74" s="87" t="e">
        <f>IF(+NFL!#REF!="Buffalo",+NFL!#REF!,IF(+NFL!#REF!="Buffalo",+NFL!#REF!,0))</f>
        <v>#REF!</v>
      </c>
      <c r="BK74" s="120" t="e">
        <f>IF(+NFL!#REF!="Buffalo",+NFL!#REF!,IF(+NFL!#REF!="Buffalo",+NFL!#REF!,0))</f>
        <v>#REF!</v>
      </c>
    </row>
    <row r="75" spans="1:63" x14ac:dyDescent="0.8">
      <c r="A75" s="46">
        <f>IF(+NFL!$F267="Buffalo",+NFL!A267,IF(+NFL!$H267="Buffalo",+NFL!A267,0))</f>
        <v>15</v>
      </c>
      <c r="B75" s="46" t="str">
        <f>IF(+NFL!$F267="Buffalo",+NFL!B267,IF(+NFL!$H267="Buffalo",+NFL!B267,0))</f>
        <v>Sun</v>
      </c>
      <c r="C75" s="62">
        <f>IF(+NFL!$F267="Buffalo",+NFL!C267,IF(+NFL!$H267="Buffalo",+NFL!C267,0))</f>
        <v>44913</v>
      </c>
      <c r="D75" s="490">
        <f>IF(+NFL!$F267="Buffalo",+NFL!D267,IF(+NFL!$H267="Buffalo",+NFL!D267,0))</f>
        <v>0.54166666666666663</v>
      </c>
      <c r="E75" s="46" t="str">
        <f>IF(+NFL!$F267="Buffalo",+NFL!E267,IF(+NFL!$H267="Buffalo",+NFL!E267,0))</f>
        <v>CBS</v>
      </c>
      <c r="F75" s="127" t="str">
        <f>IF(+NFL!$F267="Buffalo",+NFL!F267,IF(+NFL!$H267="Buffalo",+NFL!F267,0))</f>
        <v>Miami</v>
      </c>
      <c r="G75" s="46" t="str">
        <f>IF(+NFL!$F267="Buffalo",+NFL!G267,IF(+NFL!$H267="Buffalo",+NFL!G267,0))</f>
        <v>AFCE</v>
      </c>
      <c r="H75" s="127" t="str">
        <f>IF(+NFL!$F267="Buffalo",+NFL!H267,IF(+NFL!$H267="Buffalo",+NFL!H267,0))</f>
        <v>Buffalo</v>
      </c>
      <c r="I75" s="46" t="str">
        <f>IF(+NFL!$F267="Buffalo",+NFL!I267,IF(+NFL!$H267="Buffalo",+NFL!I267,0))</f>
        <v>AFCE</v>
      </c>
      <c r="J75" s="353" t="str">
        <f>IF(+NFL!$F267="Buffalo",+NFL!J267,IF(+NFL!$H267="Buffalo",+NFL!J267,0))</f>
        <v>Buffalo</v>
      </c>
      <c r="K75" s="494" t="str">
        <f>IF(+NFL!$F267="Buffalo",+NFL!K267,IF(+NFL!$H267="Buffalo",+NFL!K267,0))</f>
        <v>Miami</v>
      </c>
      <c r="L75" s="384">
        <f>IF(+NFL!$F267="Buffalo",+NFL!L267,IF(+NFL!$H267="Buffalo",+NFL!L267,0))</f>
        <v>6.5</v>
      </c>
      <c r="M75" s="385">
        <f>IF(+NFL!$F267="Buffalo",+NFL!M267,IF(+NFL!$H267="Buffalo",+NFL!M267,0))</f>
        <v>44.5</v>
      </c>
      <c r="N75" s="394" t="str">
        <f>IF(+NFL!$F267="Buffalo",+NFL!N267,IF(+NFL!$H267="Buffalo",+NFL!N267,0))</f>
        <v>Buffalo</v>
      </c>
      <c r="O75" s="395">
        <f>IF(+NFL!$F267="Buffalo",+NFL!O267,IF(+NFL!$H267="Buffalo",+NFL!O267,0))</f>
        <v>32</v>
      </c>
      <c r="P75" s="394" t="str">
        <f>IF(+NFL!$F267="Buffalo",+NFL!P267,IF(+NFL!$H267="Buffalo",+NFL!P267,0))</f>
        <v>Miami</v>
      </c>
      <c r="Q75" s="396">
        <f>IF(+NFL!$F267="Buffalo",+NFL!Q267,IF(+NFL!$H267="Buffalo",+NFL!Q267,0))</f>
        <v>29</v>
      </c>
      <c r="R75" s="397" t="str">
        <f>IF(+NFL!$F267="Buffalo",+NFL!R267,IF(+NFL!$H267="Buffalo",+NFL!R267,0))</f>
        <v>Miami</v>
      </c>
      <c r="S75" s="396" t="str">
        <f>IF(+NFL!$F267="Buffalo",+NFL!S267,IF(+NFL!$H267="Buffalo",+NFL!S267,0))</f>
        <v>Buffalo</v>
      </c>
      <c r="T75" s="397">
        <f>IF(+NFL!$F267="Buffalo",+NFL!T267,IF(+NFL!$H267="Buffalo",+NFL!T267,0))</f>
        <v>0</v>
      </c>
      <c r="U75" s="396" t="str">
        <f>IF(+NFL!$F267="Buffalo",+NFL!U267,IF(+NFL!$H267="Buffalo",+NFL!U267,0))</f>
        <v>L</v>
      </c>
      <c r="V75" s="397">
        <f>IF(+NFL!$F221="Buffalo",+NFL!#REF!,IF(+NFL!$H221="Buffalo",+NFL!#REF!,0))</f>
        <v>0</v>
      </c>
      <c r="W75" s="396">
        <f>IF(+NFL!$F221="Buffalo",+NFL!#REF!,IF(+NFL!$H221="Buffalo",+NFL!#REF!,0))</f>
        <v>0</v>
      </c>
      <c r="X75" s="397">
        <f>IF(+NFL!$F221="Buffalo",+NFL!#REF!,IF(+NFL!$H221="Buffalo",+NFL!#REF!,0))</f>
        <v>0</v>
      </c>
      <c r="Y75" s="396">
        <f>IF(+NFL!$F221="Buffalo",+NFL!#REF!,IF(+NFL!$H221="Buffalo",+NFL!#REF!,0))</f>
        <v>0</v>
      </c>
      <c r="Z75" s="397">
        <f>IF(+NFL!$F221="Buffalo",+NFL!#REF!,IF(+NFL!$H221="Buffalo",+NFL!#REF!,0))</f>
        <v>0</v>
      </c>
      <c r="AA75" s="396">
        <f>IF(+NFL!$F221="Buffalo",+NFL!#REF!,IF(+NFL!$H221="Buffalo",+NFL!#REF!,0))</f>
        <v>0</v>
      </c>
      <c r="AB75" s="87">
        <f>IF(+NFL!$F221="Buffalo",+NFL!#REF!,IF(+NFL!$H221="Buffalo",+NFL!#REF!,0))</f>
        <v>0</v>
      </c>
      <c r="AC75" s="120">
        <f>IF(+NFL!$F221="Buffalo",+NFL!#REF!,IF(+NFL!$H221="Buffalo",+NFL!#REF!,0))</f>
        <v>0</v>
      </c>
      <c r="AD75" s="353">
        <f>IF(+NFL!$F221="Buffalo",+NFL!#REF!,IF(+NFL!$H221="Buffalo",+NFL!#REF!,0))</f>
        <v>0</v>
      </c>
      <c r="AE75" s="379">
        <f>IF(+NFL!$F221="Buffalo",+NFL!#REF!,IF(+NFL!$H221="Buffalo",+NFL!#REF!,0))</f>
        <v>0</v>
      </c>
      <c r="AF75" s="353">
        <f>IF(+NFL!$F221="Buffalo",+NFL!#REF!,IF(+NFL!$H221="Buffalo",+NFL!#REF!,0))</f>
        <v>0</v>
      </c>
      <c r="AG75" s="379">
        <f>IF(+NFL!$F221="Buffalo",+NFL!#REF!,IF(+NFL!$H221="Buffalo",+NFL!#REF!,0))</f>
        <v>0</v>
      </c>
      <c r="AH75" s="353">
        <f>IF(+NFL!$F221="Buffalo",+NFL!#REF!,IF(+NFL!$H221="Buffalo",+NFL!#REF!,0))</f>
        <v>0</v>
      </c>
      <c r="AI75" s="379">
        <f>IF(+NFL!$F221="Buffalo",+NFL!#REF!,IF(+NFL!$H221="Buffalo",+NFL!#REF!,0))</f>
        <v>0</v>
      </c>
      <c r="AJ75" s="353">
        <f>IF(+NFL!$F221="Buffalo",+NFL!#REF!,IF(+NFL!$H221="Buffalo",+NFL!#REF!,0))</f>
        <v>0</v>
      </c>
      <c r="AK75" s="379">
        <f>IF(+NFL!$F221="Buffalo",+NFL!#REF!,IF(+NFL!$H221="Buffalo",+NFL!#REF!,0))</f>
        <v>0</v>
      </c>
      <c r="AL75" s="57">
        <f>IF(+NFL!$F221="Buffalo",+NFL!#REF!,IF(+NFL!$H221="Buffalo",+NFL!#REF!,0))</f>
        <v>0</v>
      </c>
      <c r="AM75" s="58">
        <f>IF(+NFL!$F221="Buffalo",+NFL!#REF!,IF(+NFL!$H221="Buffalo",+NFL!#REF!,0))</f>
        <v>0</v>
      </c>
      <c r="AN75" s="57">
        <f>IF(+NFL!$F221="Buffalo",+NFL!#REF!,IF(+NFL!$H221="Buffalo",+NFL!#REF!,0))</f>
        <v>0</v>
      </c>
      <c r="AO75" s="59">
        <f>IF(+NFL!$F221="Buffalo",+NFL!#REF!,IF(+NFL!$H221="Buffalo",+NFL!#REF!,0))</f>
        <v>0</v>
      </c>
      <c r="AP75" s="348">
        <f>IF(+NFL!$F221="Buffalo",+NFL!#REF!,IF(+NFL!$H221="Buffalo",+NFL!#REF!,0))</f>
        <v>0</v>
      </c>
      <c r="AQ75" s="48">
        <f>IF(+NFL!$F221="Buffalo",+NFL!#REF!,IF(+NFL!$H221="Buffalo",+NFL!#REF!,0))</f>
        <v>0</v>
      </c>
      <c r="AR75" s="57">
        <f>IF(+NFL!$F221="Buffalo",+NFL!#REF!,IF(+NFL!$H221="Buffalo",+NFL!#REF!,0))</f>
        <v>0</v>
      </c>
      <c r="AS75" s="64">
        <f>IF(+NFL!$F221="Buffalo",+NFL!#REF!,IF(+NFL!$H221="Buffalo",+NFL!#REF!,0))</f>
        <v>0</v>
      </c>
      <c r="AT75" s="64">
        <f>IF(+NFL!$F221="Buffalo",+NFL!#REF!,IF(+NFL!$H221="Buffalo",+NFL!#REF!,0))</f>
        <v>0</v>
      </c>
      <c r="AU75" s="57">
        <f>IF(+NFL!$F221="Buffalo",+NFL!#REF!,IF(+NFL!$H221="Buffalo",+NFL!#REF!,0))</f>
        <v>0</v>
      </c>
      <c r="AV75" s="64">
        <f>IF(+NFL!$F221="Buffalo",+NFL!#REF!,IF(+NFL!$H221="Buffalo",+NFL!#REF!,0))</f>
        <v>0</v>
      </c>
      <c r="AW75" s="46">
        <f>IF(+NFL!$F221="Buffalo",+NFL!#REF!,IF(+NFL!$H221="Buffalo",+NFL!#REF!,0))</f>
        <v>0</v>
      </c>
      <c r="AX75" s="64">
        <f>IF(+NFL!$F221="Buffalo",+NFL!#REF!,IF(+NFL!$H221="Buffalo",+NFL!#REF!,0))</f>
        <v>0</v>
      </c>
      <c r="AY75" s="57">
        <f>IF(+NFL!$F221="Buffalo",+NFL!#REF!,IF(+NFL!$H221="Buffalo",+NFL!#REF!,0))</f>
        <v>0</v>
      </c>
      <c r="AZ75" s="64">
        <f>IF(+NFL!$F221="Buffalo",+NFL!#REF!,IF(+NFL!$H221="Buffalo",+NFL!#REF!,0))</f>
        <v>0</v>
      </c>
      <c r="BA75" s="46">
        <f>IF(+NFL!$F221="Buffalo",+NFL!#REF!,IF(+NFL!$H221="Buffalo",+NFL!#REF!,0))</f>
        <v>0</v>
      </c>
      <c r="BB75" s="46">
        <f>IF(+NFL!$F221="Buffalo",+NFL!#REF!,IF(+NFL!$H221="Buffalo",+NFL!#REF!,0))</f>
        <v>0</v>
      </c>
      <c r="BC75" s="403">
        <f>IF(+NFL!$F221="Buffalo",+NFL!#REF!,IF(+NFL!$H221="Buffalo",+NFL!#REF!,0))</f>
        <v>0</v>
      </c>
      <c r="BD75" s="57">
        <f>IF(+NFL!$F221="Buffalo",+NFL!#REF!,IF(+NFL!$H221="Buffalo",+NFL!#REF!,0))</f>
        <v>0</v>
      </c>
      <c r="BE75" s="64">
        <f>IF(+NFL!$F221="Buffalo",+NFL!#REF!,IF(+NFL!$H221="Buffalo",+NFL!#REF!,0))</f>
        <v>0</v>
      </c>
      <c r="BF75" s="64">
        <f>IF(+NFL!$F221="Buffalo",+NFL!#REF!,IF(+NFL!$H221="Buffalo",+NFL!#REF!,0))</f>
        <v>0</v>
      </c>
      <c r="BG75" s="57">
        <f>IF(+NFL!$F221="Buffalo",+NFL!#REF!,IF(+NFL!$H221="Buffalo",+NFL!#REF!,0))</f>
        <v>0</v>
      </c>
      <c r="BH75" s="64">
        <f>IF(+NFL!$F221="Buffalo",+NFL!#REF!,IF(+NFL!$H221="Buffalo",+NFL!#REF!,0))</f>
        <v>0</v>
      </c>
      <c r="BI75" s="46">
        <f>IF(+NFL!$F221="Buffalo",+NFL!#REF!,IF(+NFL!$H221="Buffalo",+NFL!#REF!,0))</f>
        <v>0</v>
      </c>
      <c r="BJ75" s="87">
        <f>IF(+NFL!$F221="Buffalo",+NFL!#REF!,IF(+NFL!$H221="Buffalo",+NFL!#REF!,0))</f>
        <v>0</v>
      </c>
      <c r="BK75" s="120">
        <f>IF(+NFL!$F221="Buffalo",+NFL!#REF!,IF(+NFL!$H221="Buffalo",+NFL!#REF!,0))</f>
        <v>0</v>
      </c>
    </row>
    <row r="76" spans="1:63" x14ac:dyDescent="0.8">
      <c r="A76" s="46">
        <f>IF(+NFL!$F284="Buffalo",+NFL!A284,IF(+NFL!$H284="Buffalo",+NFL!A284,0))</f>
        <v>16</v>
      </c>
      <c r="B76" s="46" t="str">
        <f>IF(+NFL!$F284="Buffalo",+NFL!B284,IF(+NFL!$H284="Buffalo",+NFL!B284,0))</f>
        <v>Sat</v>
      </c>
      <c r="C76" s="62">
        <f>IF(+NFL!$F284="Buffalo",+NFL!C284,IF(+NFL!$H284="Buffalo",+NFL!C284,0))</f>
        <v>44919</v>
      </c>
      <c r="D76" s="490">
        <f>IF(+NFL!$F284="Buffalo",+NFL!D284,IF(+NFL!$H284="Buffalo",+NFL!D284,0))</f>
        <v>0.54166666666666663</v>
      </c>
      <c r="E76" s="46" t="str">
        <f>IF(+NFL!$F284="Buffalo",+NFL!E284,IF(+NFL!$H284="Buffalo",+NFL!E284,0))</f>
        <v>CBS</v>
      </c>
      <c r="F76" s="127" t="str">
        <f>IF(+NFL!$F284="Buffalo",+NFL!F284,IF(+NFL!$H284="Buffalo",+NFL!F284,0))</f>
        <v>Buffalo</v>
      </c>
      <c r="G76" s="46" t="str">
        <f>IF(+NFL!$F284="Buffalo",+NFL!G284,IF(+NFL!$H284="Buffalo",+NFL!G284,0))</f>
        <v>AFCE</v>
      </c>
      <c r="H76" s="127" t="str">
        <f>IF(+NFL!$F284="Buffalo",+NFL!H284,IF(+NFL!$H284="Buffalo",+NFL!H284,0))</f>
        <v>Chicago</v>
      </c>
      <c r="I76" s="46" t="str">
        <f>IF(+NFL!$F284="Buffalo",+NFL!I284,IF(+NFL!$H284="Buffalo",+NFL!I284,0))</f>
        <v>NFCN</v>
      </c>
      <c r="J76" s="353" t="str">
        <f>IF(+NFL!$F284="Buffalo",+NFL!J284,IF(+NFL!$H284="Buffalo",+NFL!J284,0))</f>
        <v>Buffalo</v>
      </c>
      <c r="K76" s="494" t="str">
        <f>IF(+NFL!$F284="Buffalo",+NFL!K284,IF(+NFL!$H284="Buffalo",+NFL!K284,0))</f>
        <v>Chicago</v>
      </c>
      <c r="L76" s="384">
        <f>IF(+NFL!$F284="Buffalo",+NFL!L284,IF(+NFL!$H284="Buffalo",+NFL!L284,0))</f>
        <v>8.5</v>
      </c>
      <c r="M76" s="385">
        <f>IF(+NFL!$F284="Buffalo",+NFL!M284,IF(+NFL!$H284="Buffalo",+NFL!M284,0))</f>
        <v>40.5</v>
      </c>
      <c r="N76" s="394" t="str">
        <f>IF(+NFL!$F284="Buffalo",+NFL!N284,IF(+NFL!$H284="Buffalo",+NFL!N284,0))</f>
        <v>Buffalo</v>
      </c>
      <c r="O76" s="395">
        <f>IF(+NFL!$F284="Buffalo",+NFL!O284,IF(+NFL!$H284="Buffalo",+NFL!O284,0))</f>
        <v>35</v>
      </c>
      <c r="P76" s="394" t="str">
        <f>IF(+NFL!$F284="Buffalo",+NFL!P284,IF(+NFL!$H284="Buffalo",+NFL!P284,0))</f>
        <v>Chicago</v>
      </c>
      <c r="Q76" s="396">
        <f>IF(+NFL!$F284="Buffalo",+NFL!Q284,IF(+NFL!$H284="Buffalo",+NFL!Q284,0))</f>
        <v>13</v>
      </c>
      <c r="R76" s="397" t="str">
        <f>IF(+NFL!$F284="Buffalo",+NFL!R284,IF(+NFL!$H284="Buffalo",+NFL!R284,0))</f>
        <v>Buffalo</v>
      </c>
      <c r="S76" s="396" t="str">
        <f>IF(+NFL!$F284="Buffalo",+NFL!S284,IF(+NFL!$H284="Buffalo",+NFL!S284,0))</f>
        <v>Chicago</v>
      </c>
      <c r="T76" s="397">
        <f>IF(+NFL!$F284="Buffalo",+NFL!T284,IF(+NFL!$H284="Buffalo",+NFL!T284,0))</f>
        <v>0</v>
      </c>
      <c r="U76" s="396" t="str">
        <f>IF(+NFL!$F284="Buffalo",+NFL!U284,IF(+NFL!$H284="Buffalo",+NFL!U284,0))</f>
        <v>L</v>
      </c>
      <c r="V76" s="397">
        <f>IF(+NFL!$F241="Buffalo",+NFL!#REF!,IF(+NFL!$H241="Buffalo",+NFL!#REF!,0))</f>
        <v>0</v>
      </c>
      <c r="W76" s="396">
        <f>IF(+NFL!$F241="Buffalo",+NFL!#REF!,IF(+NFL!$H241="Buffalo",+NFL!#REF!,0))</f>
        <v>0</v>
      </c>
      <c r="X76" s="397">
        <f>IF(+NFL!$F241="Buffalo",+NFL!#REF!,IF(+NFL!$H241="Buffalo",+NFL!#REF!,0))</f>
        <v>0</v>
      </c>
      <c r="Y76" s="396">
        <f>IF(+NFL!$F241="Buffalo",+NFL!#REF!,IF(+NFL!$H241="Buffalo",+NFL!#REF!,0))</f>
        <v>0</v>
      </c>
      <c r="Z76" s="397">
        <f>IF(+NFL!$F241="Buffalo",+NFL!#REF!,IF(+NFL!$H241="Buffalo",+NFL!#REF!,0))</f>
        <v>0</v>
      </c>
      <c r="AA76" s="396">
        <f>IF(+NFL!$F241="Buffalo",+NFL!#REF!,IF(+NFL!$H241="Buffalo",+NFL!#REF!,0))</f>
        <v>0</v>
      </c>
      <c r="AB76" s="87">
        <f>IF(+NFL!$F241="Buffalo",+NFL!#REF!,IF(+NFL!$H241="Buffalo",+NFL!#REF!,0))</f>
        <v>0</v>
      </c>
      <c r="AC76" s="120">
        <f>IF(+NFL!$F241="Buffalo",+NFL!#REF!,IF(+NFL!$H241="Buffalo",+NFL!#REF!,0))</f>
        <v>0</v>
      </c>
      <c r="AD76" s="353">
        <f>IF(+NFL!$F241="Buffalo",+NFL!#REF!,IF(+NFL!$H241="Buffalo",+NFL!#REF!,0))</f>
        <v>0</v>
      </c>
      <c r="AE76" s="379">
        <f>IF(+NFL!$F241="Buffalo",+NFL!#REF!,IF(+NFL!$H241="Buffalo",+NFL!#REF!,0))</f>
        <v>0</v>
      </c>
      <c r="AF76" s="353">
        <f>IF(+NFL!$F241="Buffalo",+NFL!#REF!,IF(+NFL!$H241="Buffalo",+NFL!#REF!,0))</f>
        <v>0</v>
      </c>
      <c r="AG76" s="379">
        <f>IF(+NFL!$F241="Buffalo",+NFL!#REF!,IF(+NFL!$H241="Buffalo",+NFL!#REF!,0))</f>
        <v>0</v>
      </c>
      <c r="AH76" s="353">
        <f>IF(+NFL!$F241="Buffalo",+NFL!#REF!,IF(+NFL!$H241="Buffalo",+NFL!#REF!,0))</f>
        <v>0</v>
      </c>
      <c r="AI76" s="379">
        <f>IF(+NFL!$F241="Buffalo",+NFL!#REF!,IF(+NFL!$H241="Buffalo",+NFL!#REF!,0))</f>
        <v>0</v>
      </c>
      <c r="AJ76" s="353">
        <f>IF(+NFL!$F241="Buffalo",+NFL!#REF!,IF(+NFL!$H241="Buffalo",+NFL!#REF!,0))</f>
        <v>0</v>
      </c>
      <c r="AK76" s="379">
        <f>IF(+NFL!$F241="Buffalo",+NFL!#REF!,IF(+NFL!$H241="Buffalo",+NFL!#REF!,0))</f>
        <v>0</v>
      </c>
      <c r="AL76" s="57">
        <f>IF(+NFL!$F241="Buffalo",+NFL!#REF!,IF(+NFL!$H241="Buffalo",+NFL!#REF!,0))</f>
        <v>0</v>
      </c>
      <c r="AM76" s="58">
        <f>IF(+NFL!$F241="Buffalo",+NFL!#REF!,IF(+NFL!$H241="Buffalo",+NFL!#REF!,0))</f>
        <v>0</v>
      </c>
      <c r="AN76" s="57">
        <f>IF(+NFL!$F241="Buffalo",+NFL!#REF!,IF(+NFL!$H241="Buffalo",+NFL!#REF!,0))</f>
        <v>0</v>
      </c>
      <c r="AO76" s="59">
        <f>IF(+NFL!$F241="Buffalo",+NFL!#REF!,IF(+NFL!$H241="Buffalo",+NFL!#REF!,0))</f>
        <v>0</v>
      </c>
      <c r="AP76" s="348">
        <f>IF(+NFL!$F241="Buffalo",+NFL!#REF!,IF(+NFL!$H241="Buffalo",+NFL!#REF!,0))</f>
        <v>0</v>
      </c>
      <c r="AQ76" s="48">
        <f>IF(+NFL!$F241="Buffalo",+NFL!#REF!,IF(+NFL!$H241="Buffalo",+NFL!#REF!,0))</f>
        <v>0</v>
      </c>
      <c r="AR76" s="57">
        <f>IF(+NFL!$F241="Buffalo",+NFL!#REF!,IF(+NFL!$H241="Buffalo",+NFL!#REF!,0))</f>
        <v>0</v>
      </c>
      <c r="AS76" s="64">
        <f>IF(+NFL!$F241="Buffalo",+NFL!#REF!,IF(+NFL!$H241="Buffalo",+NFL!#REF!,0))</f>
        <v>0</v>
      </c>
      <c r="AT76" s="64">
        <f>IF(+NFL!$F241="Buffalo",+NFL!#REF!,IF(+NFL!$H241="Buffalo",+NFL!#REF!,0))</f>
        <v>0</v>
      </c>
      <c r="AU76" s="57">
        <f>IF(+NFL!$F241="Buffalo",+NFL!#REF!,IF(+NFL!$H241="Buffalo",+NFL!#REF!,0))</f>
        <v>0</v>
      </c>
      <c r="AV76" s="64">
        <f>IF(+NFL!$F241="Buffalo",+NFL!#REF!,IF(+NFL!$H241="Buffalo",+NFL!#REF!,0))</f>
        <v>0</v>
      </c>
      <c r="AW76" s="46">
        <f>IF(+NFL!$F241="Buffalo",+NFL!#REF!,IF(+NFL!$H241="Buffalo",+NFL!#REF!,0))</f>
        <v>0</v>
      </c>
      <c r="AX76" s="64">
        <f>IF(+NFL!$F241="Buffalo",+NFL!#REF!,IF(+NFL!$H241="Buffalo",+NFL!#REF!,0))</f>
        <v>0</v>
      </c>
      <c r="AY76" s="57">
        <f>IF(+NFL!$F241="Buffalo",+NFL!#REF!,IF(+NFL!$H241="Buffalo",+NFL!#REF!,0))</f>
        <v>0</v>
      </c>
      <c r="AZ76" s="64">
        <f>IF(+NFL!$F241="Buffalo",+NFL!#REF!,IF(+NFL!$H241="Buffalo",+NFL!#REF!,0))</f>
        <v>0</v>
      </c>
      <c r="BA76" s="46">
        <f>IF(+NFL!$F241="Buffalo",+NFL!#REF!,IF(+NFL!$H241="Buffalo",+NFL!#REF!,0))</f>
        <v>0</v>
      </c>
      <c r="BB76" s="46">
        <f>IF(+NFL!$F241="Buffalo",+NFL!#REF!,IF(+NFL!$H241="Buffalo",+NFL!#REF!,0))</f>
        <v>0</v>
      </c>
      <c r="BC76" s="403">
        <f>IF(+NFL!$F241="Buffalo",+NFL!#REF!,IF(+NFL!$H241="Buffalo",+NFL!#REF!,0))</f>
        <v>0</v>
      </c>
      <c r="BD76" s="57">
        <f>IF(+NFL!$F241="Buffalo",+NFL!#REF!,IF(+NFL!$H241="Buffalo",+NFL!#REF!,0))</f>
        <v>0</v>
      </c>
      <c r="BE76" s="64">
        <f>IF(+NFL!$F241="Buffalo",+NFL!#REF!,IF(+NFL!$H241="Buffalo",+NFL!#REF!,0))</f>
        <v>0</v>
      </c>
      <c r="BF76" s="64">
        <f>IF(+NFL!$F241="Buffalo",+NFL!#REF!,IF(+NFL!$H241="Buffalo",+NFL!#REF!,0))</f>
        <v>0</v>
      </c>
      <c r="BG76" s="57">
        <f>IF(+NFL!$F241="Buffalo",+NFL!#REF!,IF(+NFL!$H241="Buffalo",+NFL!#REF!,0))</f>
        <v>0</v>
      </c>
      <c r="BH76" s="64">
        <f>IF(+NFL!$F241="Buffalo",+NFL!#REF!,IF(+NFL!$H241="Buffalo",+NFL!#REF!,0))</f>
        <v>0</v>
      </c>
      <c r="BI76" s="46">
        <f>IF(+NFL!$F241="Buffalo",+NFL!#REF!,IF(+NFL!$H241="Buffalo",+NFL!#REF!,0))</f>
        <v>0</v>
      </c>
      <c r="BJ76" s="87">
        <f>IF(+NFL!$F241="Buffalo",+NFL!#REF!,IF(+NFL!$H241="Buffalo",+NFL!#REF!,0))</f>
        <v>0</v>
      </c>
      <c r="BK76" s="120">
        <f>IF(+NFL!$F241="Buffalo",+NFL!#REF!,IF(+NFL!$H241="Buffalo",+NFL!#REF!,0))</f>
        <v>0</v>
      </c>
    </row>
    <row r="77" spans="1:63" x14ac:dyDescent="0.8">
      <c r="A77" s="46" t="e">
        <f>IF(+NFL!#REF!="Buffalo",+NFL!#REF!,IF(+NFL!#REF!="Buffalo",+NFL!#REF!,0))</f>
        <v>#REF!</v>
      </c>
      <c r="B77" s="46" t="e">
        <f>IF(+NFL!#REF!="Buffalo",+NFL!#REF!,IF(+NFL!#REF!="Buffalo",+NFL!#REF!,0))</f>
        <v>#REF!</v>
      </c>
      <c r="C77" s="62" t="e">
        <f>IF(+NFL!#REF!="Buffalo",+NFL!#REF!,IF(+NFL!#REF!="Buffalo",+NFL!#REF!,0))</f>
        <v>#REF!</v>
      </c>
      <c r="D77" s="490" t="e">
        <f>IF(+NFL!#REF!="Buffalo",+NFL!#REF!,IF(+NFL!#REF!="Buffalo",+NFL!#REF!,0))</f>
        <v>#REF!</v>
      </c>
      <c r="E77" s="46" t="e">
        <f>IF(+NFL!#REF!="Buffalo",+NFL!#REF!,IF(+NFL!#REF!="Buffalo",+NFL!#REF!,0))</f>
        <v>#REF!</v>
      </c>
      <c r="F77" s="127" t="e">
        <f>IF(+NFL!#REF!="Buffalo",+NFL!#REF!,IF(+NFL!#REF!="Buffalo",+NFL!#REF!,0))</f>
        <v>#REF!</v>
      </c>
      <c r="G77" s="46" t="e">
        <f>IF(+NFL!#REF!="Buffalo",+NFL!#REF!,IF(+NFL!#REF!="Buffalo",+NFL!#REF!,0))</f>
        <v>#REF!</v>
      </c>
      <c r="H77" s="127" t="e">
        <f>IF(+NFL!#REF!="Buffalo",+NFL!#REF!,IF(+NFL!#REF!="Buffalo",+NFL!#REF!,0))</f>
        <v>#REF!</v>
      </c>
      <c r="I77" s="46" t="e">
        <f>IF(+NFL!#REF!="Buffalo",+NFL!#REF!,IF(+NFL!#REF!="Buffalo",+NFL!#REF!,0))</f>
        <v>#REF!</v>
      </c>
      <c r="J77" s="353" t="e">
        <f>IF(+NFL!#REF!="Buffalo",+NFL!#REF!,IF(+NFL!#REF!="Buffalo",+NFL!#REF!,0))</f>
        <v>#REF!</v>
      </c>
      <c r="K77" s="494" t="e">
        <f>IF(+NFL!#REF!="Buffalo",+NFL!#REF!,IF(+NFL!#REF!="Buffalo",+NFL!#REF!,0))</f>
        <v>#REF!</v>
      </c>
      <c r="L77" s="384" t="e">
        <f>IF(+NFL!#REF!="Buffalo",+NFL!#REF!,IF(+NFL!#REF!="Buffalo",+NFL!#REF!,0))</f>
        <v>#REF!</v>
      </c>
      <c r="M77" s="385" t="e">
        <f>IF(+NFL!#REF!="Buffalo",+NFL!#REF!,IF(+NFL!#REF!="Buffalo",+NFL!#REF!,0))</f>
        <v>#REF!</v>
      </c>
      <c r="N77" s="394" t="e">
        <f>IF(+NFL!#REF!="Buffalo",+NFL!#REF!,IF(+NFL!#REF!="Buffalo",+NFL!#REF!,0))</f>
        <v>#REF!</v>
      </c>
      <c r="O77" s="395" t="e">
        <f>IF(+NFL!#REF!="Buffalo",+NFL!#REF!,IF(+NFL!#REF!="Buffalo",+NFL!#REF!,0))</f>
        <v>#REF!</v>
      </c>
      <c r="P77" s="394" t="e">
        <f>IF(+NFL!#REF!="Buffalo",+NFL!#REF!,IF(+NFL!#REF!="Buffalo",+NFL!#REF!,0))</f>
        <v>#REF!</v>
      </c>
      <c r="Q77" s="396" t="e">
        <f>IF(+NFL!#REF!="Buffalo",+NFL!#REF!,IF(+NFL!#REF!="Buffalo",+NFL!#REF!,0))</f>
        <v>#REF!</v>
      </c>
      <c r="R77" s="397" t="e">
        <f>IF(+NFL!#REF!="Buffalo",+NFL!#REF!,IF(+NFL!#REF!="Buffalo",+NFL!#REF!,0))</f>
        <v>#REF!</v>
      </c>
      <c r="S77" s="396" t="e">
        <f>IF(+NFL!#REF!="Buffalo",+NFL!#REF!,IF(+NFL!#REF!="Buffalo",+NFL!#REF!,0))</f>
        <v>#REF!</v>
      </c>
      <c r="T77" s="397" t="e">
        <f>IF(+NFL!#REF!="Buffalo",+NFL!#REF!,IF(+NFL!#REF!="Buffalo",+NFL!#REF!,0))</f>
        <v>#REF!</v>
      </c>
      <c r="U77" s="396" t="e">
        <f>IF(+NFL!#REF!="Buffalo",+NFL!#REF!,IF(+NFL!#REF!="Buffalo",+NFL!#REF!,0))</f>
        <v>#REF!</v>
      </c>
      <c r="V77" s="397">
        <f>IF(+NFL!$F266="Buffalo",+NFL!#REF!,IF(+NFL!$H266="Buffalo",+NFL!#REF!,0))</f>
        <v>0</v>
      </c>
      <c r="W77" s="396">
        <f>IF(+NFL!$F266="Buffalo",+NFL!#REF!,IF(+NFL!$H266="Buffalo",+NFL!#REF!,0))</f>
        <v>0</v>
      </c>
      <c r="X77" s="397">
        <f>IF(+NFL!$F266="Buffalo",+NFL!#REF!,IF(+NFL!$H266="Buffalo",+NFL!#REF!,0))</f>
        <v>0</v>
      </c>
      <c r="Y77" s="396">
        <f>IF(+NFL!$F266="Buffalo",+NFL!#REF!,IF(+NFL!$H266="Buffalo",+NFL!#REF!,0))</f>
        <v>0</v>
      </c>
      <c r="Z77" s="397">
        <f>IF(+NFL!$F266="Buffalo",+NFL!#REF!,IF(+NFL!$H266="Buffalo",+NFL!#REF!,0))</f>
        <v>0</v>
      </c>
      <c r="AA77" s="396">
        <f>IF(+NFL!$F266="Buffalo",+NFL!#REF!,IF(+NFL!$H266="Buffalo",+NFL!#REF!,0))</f>
        <v>0</v>
      </c>
      <c r="AB77" s="87">
        <f>IF(+NFL!$F266="Buffalo",+NFL!#REF!,IF(+NFL!$H266="Buffalo",+NFL!#REF!,0))</f>
        <v>0</v>
      </c>
      <c r="AC77" s="120">
        <f>IF(+NFL!$F266="Buffalo",+NFL!#REF!,IF(+NFL!$H266="Buffalo",+NFL!#REF!,0))</f>
        <v>0</v>
      </c>
      <c r="AD77" s="353">
        <f>IF(+NFL!$F266="Buffalo",+NFL!#REF!,IF(+NFL!$H266="Buffalo",+NFL!#REF!,0))</f>
        <v>0</v>
      </c>
      <c r="AE77" s="379">
        <f>IF(+NFL!$F266="Buffalo",+NFL!#REF!,IF(+NFL!$H266="Buffalo",+NFL!#REF!,0))</f>
        <v>0</v>
      </c>
      <c r="AF77" s="353">
        <f>IF(+NFL!$F266="Buffalo",+NFL!#REF!,IF(+NFL!$H266="Buffalo",+NFL!#REF!,0))</f>
        <v>0</v>
      </c>
      <c r="AG77" s="379">
        <f>IF(+NFL!$F266="Buffalo",+NFL!#REF!,IF(+NFL!$H266="Buffalo",+NFL!#REF!,0))</f>
        <v>0</v>
      </c>
      <c r="AH77" s="353">
        <f>IF(+NFL!$F266="Buffalo",+NFL!#REF!,IF(+NFL!$H266="Buffalo",+NFL!#REF!,0))</f>
        <v>0</v>
      </c>
      <c r="AI77" s="379">
        <f>IF(+NFL!$F266="Buffalo",+NFL!#REF!,IF(+NFL!$H266="Buffalo",+NFL!#REF!,0))</f>
        <v>0</v>
      </c>
      <c r="AJ77" s="353">
        <f>IF(+NFL!$F266="Buffalo",+NFL!#REF!,IF(+NFL!$H266="Buffalo",+NFL!#REF!,0))</f>
        <v>0</v>
      </c>
      <c r="AK77" s="379">
        <f>IF(+NFL!$F266="Buffalo",+NFL!#REF!,IF(+NFL!$H266="Buffalo",+NFL!#REF!,0))</f>
        <v>0</v>
      </c>
      <c r="AL77" s="57">
        <f>IF(+NFL!$F266="Buffalo",+NFL!#REF!,IF(+NFL!$H266="Buffalo",+NFL!#REF!,0))</f>
        <v>0</v>
      </c>
      <c r="AM77" s="58">
        <f>IF(+NFL!$F266="Buffalo",+NFL!#REF!,IF(+NFL!$H266="Buffalo",+NFL!#REF!,0))</f>
        <v>0</v>
      </c>
      <c r="AN77" s="57">
        <f>IF(+NFL!$F266="Buffalo",+NFL!#REF!,IF(+NFL!$H266="Buffalo",+NFL!#REF!,0))</f>
        <v>0</v>
      </c>
      <c r="AO77" s="59">
        <f>IF(+NFL!$F266="Buffalo",+NFL!#REF!,IF(+NFL!$H266="Buffalo",+NFL!#REF!,0))</f>
        <v>0</v>
      </c>
      <c r="AP77" s="348">
        <f>IF(+NFL!$F266="Buffalo",+NFL!#REF!,IF(+NFL!$H266="Buffalo",+NFL!#REF!,0))</f>
        <v>0</v>
      </c>
      <c r="AQ77" s="48">
        <f>IF(+NFL!$F266="Buffalo",+NFL!#REF!,IF(+NFL!$H266="Buffalo",+NFL!#REF!,0))</f>
        <v>0</v>
      </c>
      <c r="AR77" s="57">
        <f>IF(+NFL!$F266="Buffalo",+NFL!#REF!,IF(+NFL!$H266="Buffalo",+NFL!#REF!,0))</f>
        <v>0</v>
      </c>
      <c r="AS77" s="64">
        <f>IF(+NFL!$F266="Buffalo",+NFL!#REF!,IF(+NFL!$H266="Buffalo",+NFL!#REF!,0))</f>
        <v>0</v>
      </c>
      <c r="AT77" s="64">
        <f>IF(+NFL!$F266="Buffalo",+NFL!#REF!,IF(+NFL!$H266="Buffalo",+NFL!#REF!,0))</f>
        <v>0</v>
      </c>
      <c r="AU77" s="57">
        <f>IF(+NFL!$F266="Buffalo",+NFL!#REF!,IF(+NFL!$H266="Buffalo",+NFL!#REF!,0))</f>
        <v>0</v>
      </c>
      <c r="AV77" s="64">
        <f>IF(+NFL!$F266="Buffalo",+NFL!#REF!,IF(+NFL!$H266="Buffalo",+NFL!#REF!,0))</f>
        <v>0</v>
      </c>
      <c r="AW77" s="46">
        <f>IF(+NFL!$F266="Buffalo",+NFL!#REF!,IF(+NFL!$H266="Buffalo",+NFL!#REF!,0))</f>
        <v>0</v>
      </c>
      <c r="AX77" s="64">
        <f>IF(+NFL!$F266="Buffalo",+NFL!#REF!,IF(+NFL!$H266="Buffalo",+NFL!#REF!,0))</f>
        <v>0</v>
      </c>
      <c r="AY77" s="57">
        <f>IF(+NFL!$F266="Buffalo",+NFL!#REF!,IF(+NFL!$H266="Buffalo",+NFL!#REF!,0))</f>
        <v>0</v>
      </c>
      <c r="AZ77" s="64">
        <f>IF(+NFL!$F266="Buffalo",+NFL!#REF!,IF(+NFL!$H266="Buffalo",+NFL!#REF!,0))</f>
        <v>0</v>
      </c>
      <c r="BA77" s="46">
        <f>IF(+NFL!$F266="Buffalo",+NFL!#REF!,IF(+NFL!$H266="Buffalo",+NFL!#REF!,0))</f>
        <v>0</v>
      </c>
      <c r="BB77" s="46">
        <f>IF(+NFL!$F266="Buffalo",+NFL!#REF!,IF(+NFL!$H266="Buffalo",+NFL!#REF!,0))</f>
        <v>0</v>
      </c>
      <c r="BC77" s="403">
        <f>IF(+NFL!$F266="Buffalo",+NFL!#REF!,IF(+NFL!$H266="Buffalo",+NFL!#REF!,0))</f>
        <v>0</v>
      </c>
      <c r="BD77" s="57">
        <f>IF(+NFL!$F266="Buffalo",+NFL!#REF!,IF(+NFL!$H266="Buffalo",+NFL!#REF!,0))</f>
        <v>0</v>
      </c>
      <c r="BE77" s="64">
        <f>IF(+NFL!$F266="Buffalo",+NFL!#REF!,IF(+NFL!$H266="Buffalo",+NFL!#REF!,0))</f>
        <v>0</v>
      </c>
      <c r="BF77" s="64">
        <f>IF(+NFL!$F266="Buffalo",+NFL!#REF!,IF(+NFL!$H266="Buffalo",+NFL!#REF!,0))</f>
        <v>0</v>
      </c>
      <c r="BG77" s="57">
        <f>IF(+NFL!$F266="Buffalo",+NFL!#REF!,IF(+NFL!$H266="Buffalo",+NFL!#REF!,0))</f>
        <v>0</v>
      </c>
      <c r="BH77" s="64">
        <f>IF(+NFL!$F266="Buffalo",+NFL!#REF!,IF(+NFL!$H266="Buffalo",+NFL!#REF!,0))</f>
        <v>0</v>
      </c>
      <c r="BI77" s="46">
        <f>IF(+NFL!$F266="Buffalo",+NFL!#REF!,IF(+NFL!$H266="Buffalo",+NFL!#REF!,0))</f>
        <v>0</v>
      </c>
      <c r="BJ77" s="87">
        <f>IF(+NFL!$F266="Buffalo",+NFL!#REF!,IF(+NFL!$H266="Buffalo",+NFL!#REF!,0))</f>
        <v>0</v>
      </c>
      <c r="BK77" s="120">
        <f>IF(+NFL!$F266="Buffalo",+NFL!#REF!,IF(+NFL!$H266="Buffalo",+NFL!#REF!,0))</f>
        <v>0</v>
      </c>
    </row>
    <row r="78" spans="1:63" x14ac:dyDescent="0.8">
      <c r="A78" s="46">
        <f>IF(+NFL!$F317="Buffalo",+NFL!A317,IF(+NFL!$H317="Buffalo",+NFL!A317,0))</f>
        <v>0</v>
      </c>
      <c r="B78" s="46">
        <f>IF(+NFL!$F317="Buffalo",+NFL!B317,IF(+NFL!$H317="Buffalo",+NFL!B317,0))</f>
        <v>0</v>
      </c>
      <c r="C78" s="62">
        <f>IF(+NFL!$F317="Buffalo",+NFL!C317,IF(+NFL!$H317="Buffalo",+NFL!C317,0))</f>
        <v>0</v>
      </c>
      <c r="D78" s="490">
        <f>IF(+NFL!$F317="Buffalo",+NFL!D317,IF(+NFL!$H317="Buffalo",+NFL!D317,0))</f>
        <v>0</v>
      </c>
      <c r="E78" s="46">
        <f>IF(+NFL!$F317="Buffalo",+NFL!E317,IF(+NFL!$H317="Buffalo",+NFL!E317,0))</f>
        <v>0</v>
      </c>
      <c r="F78" s="127">
        <f>IF(+NFL!$F317="Buffalo",+NFL!F317,IF(+NFL!$H317="Buffalo",+NFL!F317,0))</f>
        <v>0</v>
      </c>
      <c r="G78" s="46">
        <f>IF(+NFL!$F317="Buffalo",+NFL!G317,IF(+NFL!$H317="Buffalo",+NFL!G317,0))</f>
        <v>0</v>
      </c>
      <c r="H78" s="127">
        <f>IF(+NFL!$F317="Buffalo",+NFL!H317,IF(+NFL!$H317="Buffalo",+NFL!H317,0))</f>
        <v>0</v>
      </c>
      <c r="I78" s="46">
        <f>IF(+NFL!$F317="Buffalo",+NFL!I317,IF(+NFL!$H317="Buffalo",+NFL!I317,0))</f>
        <v>0</v>
      </c>
      <c r="J78" s="353">
        <f>IF(+NFL!$F317="Buffalo",+NFL!J317,IF(+NFL!$H317="Buffalo",+NFL!J317,0))</f>
        <v>0</v>
      </c>
      <c r="K78" s="494">
        <f>IF(+NFL!$F317="Buffalo",+NFL!K317,IF(+NFL!$H317="Buffalo",+NFL!K317,0))</f>
        <v>0</v>
      </c>
      <c r="L78" s="384">
        <f>IF(+NFL!$F317="Buffalo",+NFL!L317,IF(+NFL!$H317="Buffalo",+NFL!L317,0))</f>
        <v>0</v>
      </c>
      <c r="M78" s="385">
        <f>IF(+NFL!$F317="Buffalo",+NFL!M317,IF(+NFL!$H317="Buffalo",+NFL!M317,0))</f>
        <v>0</v>
      </c>
      <c r="N78" s="394">
        <f>IF(+NFL!$F317="Buffalo",+NFL!N317,IF(+NFL!$H317="Buffalo",+NFL!N317,0))</f>
        <v>0</v>
      </c>
      <c r="O78" s="395">
        <f>IF(+NFL!$F317="Buffalo",+NFL!O317,IF(+NFL!$H317="Buffalo",+NFL!O317,0))</f>
        <v>0</v>
      </c>
      <c r="P78" s="394">
        <f>IF(+NFL!$F317="Buffalo",+NFL!P317,IF(+NFL!$H317="Buffalo",+NFL!P317,0))</f>
        <v>0</v>
      </c>
      <c r="Q78" s="396">
        <f>IF(+NFL!$F317="Buffalo",+NFL!Q317,IF(+NFL!$H317="Buffalo",+NFL!Q317,0))</f>
        <v>0</v>
      </c>
      <c r="R78" s="397">
        <f>IF(+NFL!$F317="Buffalo",+NFL!R317,IF(+NFL!$H317="Buffalo",+NFL!R317,0))</f>
        <v>0</v>
      </c>
      <c r="S78" s="396">
        <f>IF(+NFL!$F317="Buffalo",+NFL!S317,IF(+NFL!$H317="Buffalo",+NFL!S317,0))</f>
        <v>0</v>
      </c>
      <c r="T78" s="397">
        <f>IF(+NFL!$F317="Buffalo",+NFL!T317,IF(+NFL!$H317="Buffalo",+NFL!T317,0))</f>
        <v>0</v>
      </c>
      <c r="U78" s="396">
        <f>IF(+NFL!$F317="Buffalo",+NFL!U317,IF(+NFL!$H317="Buffalo",+NFL!U317,0))</f>
        <v>0</v>
      </c>
      <c r="V78" s="397">
        <f>IF(+NFL!$F285="Buffalo",+NFL!#REF!,IF(+NFL!$H285="Buffalo",+NFL!#REF!,0))</f>
        <v>0</v>
      </c>
      <c r="W78" s="396">
        <f>IF(+NFL!$F285="Buffalo",+NFL!#REF!,IF(+NFL!$H285="Buffalo",+NFL!#REF!,0))</f>
        <v>0</v>
      </c>
      <c r="X78" s="397">
        <f>IF(+NFL!$F285="Buffalo",+NFL!#REF!,IF(+NFL!$H285="Buffalo",+NFL!#REF!,0))</f>
        <v>0</v>
      </c>
      <c r="Y78" s="396">
        <f>IF(+NFL!$F285="Buffalo",+NFL!#REF!,IF(+NFL!$H285="Buffalo",+NFL!#REF!,0))</f>
        <v>0</v>
      </c>
      <c r="Z78" s="397">
        <f>IF(+NFL!$F285="Buffalo",+NFL!#REF!,IF(+NFL!$H285="Buffalo",+NFL!#REF!,0))</f>
        <v>0</v>
      </c>
      <c r="AA78" s="396">
        <f>IF(+NFL!$F285="Buffalo",+NFL!#REF!,IF(+NFL!$H285="Buffalo",+NFL!#REF!,0))</f>
        <v>0</v>
      </c>
      <c r="AB78" s="87">
        <f>IF(+NFL!$F285="Buffalo",+NFL!#REF!,IF(+NFL!$H285="Buffalo",+NFL!#REF!,0))</f>
        <v>0</v>
      </c>
      <c r="AC78" s="120">
        <f>IF(+NFL!$F285="Buffalo",+NFL!#REF!,IF(+NFL!$H285="Buffalo",+NFL!#REF!,0))</f>
        <v>0</v>
      </c>
      <c r="AD78" s="353">
        <f>IF(+NFL!$F285="Buffalo",+NFL!#REF!,IF(+NFL!$H285="Buffalo",+NFL!#REF!,0))</f>
        <v>0</v>
      </c>
      <c r="AE78" s="379">
        <f>IF(+NFL!$F285="Buffalo",+NFL!#REF!,IF(+NFL!$H285="Buffalo",+NFL!#REF!,0))</f>
        <v>0</v>
      </c>
      <c r="AF78" s="353">
        <f>IF(+NFL!$F285="Buffalo",+NFL!#REF!,IF(+NFL!$H285="Buffalo",+NFL!#REF!,0))</f>
        <v>0</v>
      </c>
      <c r="AG78" s="379">
        <f>IF(+NFL!$F285="Buffalo",+NFL!#REF!,IF(+NFL!$H285="Buffalo",+NFL!#REF!,0))</f>
        <v>0</v>
      </c>
      <c r="AH78" s="353">
        <f>IF(+NFL!$F285="Buffalo",+NFL!#REF!,IF(+NFL!$H285="Buffalo",+NFL!#REF!,0))</f>
        <v>0</v>
      </c>
      <c r="AI78" s="379">
        <f>IF(+NFL!$F285="Buffalo",+NFL!#REF!,IF(+NFL!$H285="Buffalo",+NFL!#REF!,0))</f>
        <v>0</v>
      </c>
      <c r="AJ78" s="353">
        <f>IF(+NFL!$F285="Buffalo",+NFL!#REF!,IF(+NFL!$H285="Buffalo",+NFL!#REF!,0))</f>
        <v>0</v>
      </c>
      <c r="AK78" s="379">
        <f>IF(+NFL!$F285="Buffalo",+NFL!#REF!,IF(+NFL!$H285="Buffalo",+NFL!#REF!,0))</f>
        <v>0</v>
      </c>
      <c r="AL78" s="57">
        <f>IF(+NFL!$F285="Buffalo",+NFL!#REF!,IF(+NFL!$H285="Buffalo",+NFL!#REF!,0))</f>
        <v>0</v>
      </c>
      <c r="AM78" s="58">
        <f>IF(+NFL!$F285="Buffalo",+NFL!#REF!,IF(+NFL!$H285="Buffalo",+NFL!#REF!,0))</f>
        <v>0</v>
      </c>
      <c r="AN78" s="57">
        <f>IF(+NFL!$F285="Buffalo",+NFL!#REF!,IF(+NFL!$H285="Buffalo",+NFL!#REF!,0))</f>
        <v>0</v>
      </c>
      <c r="AO78" s="59">
        <f>IF(+NFL!$F285="Buffalo",+NFL!#REF!,IF(+NFL!$H285="Buffalo",+NFL!#REF!,0))</f>
        <v>0</v>
      </c>
      <c r="AP78" s="348">
        <f>IF(+NFL!$F285="Buffalo",+NFL!#REF!,IF(+NFL!$H285="Buffalo",+NFL!#REF!,0))</f>
        <v>0</v>
      </c>
      <c r="AQ78" s="48">
        <f>IF(+NFL!$F285="Buffalo",+NFL!#REF!,IF(+NFL!$H285="Buffalo",+NFL!#REF!,0))</f>
        <v>0</v>
      </c>
      <c r="AR78" s="57">
        <f>IF(+NFL!$F285="Buffalo",+NFL!#REF!,IF(+NFL!$H285="Buffalo",+NFL!#REF!,0))</f>
        <v>0</v>
      </c>
      <c r="AS78" s="64">
        <f>IF(+NFL!$F285="Buffalo",+NFL!#REF!,IF(+NFL!$H285="Buffalo",+NFL!#REF!,0))</f>
        <v>0</v>
      </c>
      <c r="AT78" s="64">
        <f>IF(+NFL!$F285="Buffalo",+NFL!#REF!,IF(+NFL!$H285="Buffalo",+NFL!#REF!,0))</f>
        <v>0</v>
      </c>
      <c r="AU78" s="57">
        <f>IF(+NFL!$F285="Buffalo",+NFL!#REF!,IF(+NFL!$H285="Buffalo",+NFL!#REF!,0))</f>
        <v>0</v>
      </c>
      <c r="AV78" s="64">
        <f>IF(+NFL!$F285="Buffalo",+NFL!#REF!,IF(+NFL!$H285="Buffalo",+NFL!#REF!,0))</f>
        <v>0</v>
      </c>
      <c r="AW78" s="46">
        <f>IF(+NFL!$F285="Buffalo",+NFL!#REF!,IF(+NFL!$H285="Buffalo",+NFL!#REF!,0))</f>
        <v>0</v>
      </c>
      <c r="AX78" s="64">
        <f>IF(+NFL!$F285="Buffalo",+NFL!#REF!,IF(+NFL!$H285="Buffalo",+NFL!#REF!,0))</f>
        <v>0</v>
      </c>
      <c r="AY78" s="57">
        <f>IF(+NFL!$F285="Buffalo",+NFL!#REF!,IF(+NFL!$H285="Buffalo",+NFL!#REF!,0))</f>
        <v>0</v>
      </c>
      <c r="AZ78" s="64">
        <f>IF(+NFL!$F285="Buffalo",+NFL!#REF!,IF(+NFL!$H285="Buffalo",+NFL!#REF!,0))</f>
        <v>0</v>
      </c>
      <c r="BA78" s="46">
        <f>IF(+NFL!$F285="Buffalo",+NFL!#REF!,IF(+NFL!$H285="Buffalo",+NFL!#REF!,0))</f>
        <v>0</v>
      </c>
      <c r="BB78" s="46">
        <f>IF(+NFL!$F285="Buffalo",+NFL!#REF!,IF(+NFL!$H285="Buffalo",+NFL!#REF!,0))</f>
        <v>0</v>
      </c>
      <c r="BC78" s="403">
        <f>IF(+NFL!$F285="Buffalo",+NFL!#REF!,IF(+NFL!$H285="Buffalo",+NFL!#REF!,0))</f>
        <v>0</v>
      </c>
      <c r="BD78" s="57">
        <f>IF(+NFL!$F285="Buffalo",+NFL!#REF!,IF(+NFL!$H285="Buffalo",+NFL!#REF!,0))</f>
        <v>0</v>
      </c>
      <c r="BE78" s="64">
        <f>IF(+NFL!$F285="Buffalo",+NFL!#REF!,IF(+NFL!$H285="Buffalo",+NFL!#REF!,0))</f>
        <v>0</v>
      </c>
      <c r="BF78" s="64">
        <f>IF(+NFL!$F285="Buffalo",+NFL!#REF!,IF(+NFL!$H285="Buffalo",+NFL!#REF!,0))</f>
        <v>0</v>
      </c>
      <c r="BG78" s="57">
        <f>IF(+NFL!$F285="Buffalo",+NFL!#REF!,IF(+NFL!$H285="Buffalo",+NFL!#REF!,0))</f>
        <v>0</v>
      </c>
      <c r="BH78" s="64">
        <f>IF(+NFL!$F285="Buffalo",+NFL!#REF!,IF(+NFL!$H285="Buffalo",+NFL!#REF!,0))</f>
        <v>0</v>
      </c>
      <c r="BI78" s="46">
        <f>IF(+NFL!$F285="Buffalo",+NFL!#REF!,IF(+NFL!$H285="Buffalo",+NFL!#REF!,0))</f>
        <v>0</v>
      </c>
      <c r="BJ78" s="87">
        <f>IF(+NFL!$F285="Buffalo",+NFL!#REF!,IF(+NFL!$H285="Buffalo",+NFL!#REF!,0))</f>
        <v>0</v>
      </c>
      <c r="BK78" s="120">
        <f>IF(+NFL!$F285="Buffalo",+NFL!#REF!,IF(+NFL!$H285="Buffalo",+NFL!#REF!,0))</f>
        <v>0</v>
      </c>
    </row>
    <row r="79" spans="1:63" x14ac:dyDescent="0.8">
      <c r="E79" s="86"/>
      <c r="F79" s="959" t="str">
        <f>H80</f>
        <v>Carolina</v>
      </c>
      <c r="G79" s="960"/>
      <c r="H79" s="960"/>
      <c r="I79" s="961"/>
      <c r="R79" s="397"/>
      <c r="S79" s="399"/>
      <c r="AL79" s="70"/>
      <c r="AM79" s="64"/>
      <c r="AN79" s="70"/>
      <c r="AO79" s="46"/>
      <c r="AP79" s="137"/>
      <c r="AT79" s="46"/>
      <c r="AY79" s="57"/>
      <c r="AZ79" s="64"/>
      <c r="BA79" s="46"/>
      <c r="BB79" s="46"/>
      <c r="BF79" s="46"/>
    </row>
    <row r="80" spans="1:63" x14ac:dyDescent="0.8">
      <c r="A80" s="46">
        <f>IF(+NFL!$F12="Carolina",+NFL!A12,IF(+NFL!$H12="Carolina",+NFL!A12,0))</f>
        <v>1</v>
      </c>
      <c r="B80" s="348" t="str">
        <f>IF(+NFL!$F12="Carolina",+NFL!B12,IF(+NFL!$H12="Carolina",+NFL!B12,0))</f>
        <v>Sun</v>
      </c>
      <c r="C80" s="48">
        <f>IF(+NFL!$F12="Carolina",+NFL!C12,IF(+NFL!$H12="Carolina",+NFL!C12,0))</f>
        <v>44815</v>
      </c>
      <c r="D80" s="490">
        <f>IF(+NFL!$F12="Carolina",+NFL!D12,IF(+NFL!$H12="Carolina",+NFL!D12,0))</f>
        <v>0.54166666666666663</v>
      </c>
      <c r="E80" s="491" t="str">
        <f>IF(+NFL!$F12="Carolina",+NFL!E12,IF(+NFL!$H12="Carolina",+NFL!E12,0))</f>
        <v>CBS</v>
      </c>
      <c r="F80" s="130" t="str">
        <f>IF(+NFL!$F12="Carolina",+NFL!F12,IF(+NFL!$H12="Carolina",+NFL!F12,0))</f>
        <v>Cleveland</v>
      </c>
      <c r="G80" s="491" t="str">
        <f>IF(+NFL!$F12="Carolina",+NFL!G12,IF(+NFL!$H12="Carolina",+NFL!G12,0))</f>
        <v>AFCN</v>
      </c>
      <c r="H80" s="130" t="str">
        <f>IF(+NFL!$F12="Carolina",+NFL!H12,IF(+NFL!$H12="Carolina",+NFL!H12,0))</f>
        <v>Carolina</v>
      </c>
      <c r="I80" s="491" t="str">
        <f>IF(+NFL!$F12="Carolina",+NFL!I12,IF(+NFL!$H12="Carolina",+NFL!I12,0))</f>
        <v>NFCS</v>
      </c>
      <c r="J80" s="353" t="str">
        <f>IF(+NFL!$F12="Carolina",+NFL!J12,IF(+NFL!$H12="Carolina",+NFL!J12,0))</f>
        <v>Carolina</v>
      </c>
      <c r="K80" s="494" t="str">
        <f>IF(+NFL!$F12="Carolina",+NFL!K12,IF(+NFL!$H12="Carolina",+NFL!K12,0))</f>
        <v>Cleveland</v>
      </c>
      <c r="L80" s="384">
        <f>IF(+NFL!$F12="Carolina",+NFL!L12,IF(+NFL!$H12="Carolina",+NFL!L12,0))</f>
        <v>1.5</v>
      </c>
      <c r="M80" s="385">
        <f>IF(+NFL!$F12="Carolina",+NFL!M12,IF(+NFL!$H12="Carolina",+NFL!M12,0))</f>
        <v>42</v>
      </c>
      <c r="N80" s="395" t="str">
        <f>IF(+NFL!$F12="Carolina",+NFL!N12,IF(+NFL!$H12="Carolina",+NFL!N12,0))</f>
        <v>Cleveland</v>
      </c>
      <c r="O80" s="395">
        <f>IF(+NFL!$F12="Carolina",+NFL!O12,IF(+NFL!$H12="Carolina",+NFL!O12,0))</f>
        <v>26</v>
      </c>
      <c r="P80" s="395" t="str">
        <f>IF(+NFL!$F12="Carolina",+NFL!P12,IF(+NFL!$H12="Carolina",+NFL!P12,0))</f>
        <v>Carolina</v>
      </c>
      <c r="Q80" s="396">
        <f>IF(+NFL!$F12="Carolina",+NFL!Q12,IF(+NFL!$H12="Carolina",+NFL!Q12,0))</f>
        <v>24</v>
      </c>
      <c r="R80" s="397" t="str">
        <f>IF(+NFL!$F12="Carolina",+NFL!R12,IF(+NFL!$H12="Carolina",+NFL!R12,0))</f>
        <v>Cleveland</v>
      </c>
      <c r="S80" s="399" t="str">
        <f>IF(+NFL!$F12="Carolina",+NFL!S12,IF(+NFL!$H12="Carolina",+NFL!S12,0))</f>
        <v>Carolina</v>
      </c>
      <c r="T80" s="398" t="str">
        <f>IF(+NFL!$F12="Carolina",+NFL!T12,IF(+NFL!$H12="Carolina",+NFL!T12,0))</f>
        <v>Cleveland</v>
      </c>
      <c r="U80" s="396" t="str">
        <f>IF(+NFL!$F12="Carolina",+NFL!U12,IF(+NFL!$H12="Carolina",+NFL!U12,0))</f>
        <v>W</v>
      </c>
      <c r="X80" s="398"/>
      <c r="AL80" s="70"/>
      <c r="AM80" s="493"/>
      <c r="AN80" s="70"/>
      <c r="AO80" s="46"/>
      <c r="AP80" s="348"/>
      <c r="AQ80" s="48"/>
      <c r="AS80" s="493"/>
      <c r="AT80" s="46"/>
      <c r="AV80" s="493"/>
      <c r="AX80" s="493"/>
      <c r="AY80" s="57"/>
      <c r="AZ80" s="493"/>
      <c r="BA80" s="46"/>
      <c r="BB80" s="46"/>
      <c r="BC80" s="403"/>
      <c r="BE80" s="493"/>
      <c r="BF80" s="46"/>
      <c r="BH80" s="493"/>
    </row>
    <row r="81" spans="1:63" x14ac:dyDescent="0.8">
      <c r="A81" s="46">
        <f>IF(+NFL!$F25="Carolina",+NFL!A25,IF(+NFL!$H25="Carolina",+NFL!A25,0))</f>
        <v>2</v>
      </c>
      <c r="B81" s="348" t="str">
        <f>IF(+NFL!$F25="Carolina",+NFL!B25,IF(+NFL!$H25="Carolina",+NFL!B25,0))</f>
        <v>Sun</v>
      </c>
      <c r="C81" s="48">
        <f>IF(+NFL!$F25="Carolina",+NFL!C25,IF(+NFL!$H25="Carolina",+NFL!C25,0))</f>
        <v>44822</v>
      </c>
      <c r="D81" s="490">
        <f>IF(+NFL!$F25="Carolina",+NFL!D25,IF(+NFL!$H25="Carolina",+NFL!D25,0))</f>
        <v>0.54166666666666663</v>
      </c>
      <c r="E81" s="491" t="str">
        <f>IF(+NFL!$F25="Carolina",+NFL!E25,IF(+NFL!$H25="Carolina",+NFL!E25,0))</f>
        <v>Fox</v>
      </c>
      <c r="F81" s="130" t="str">
        <f>IF(+NFL!$F25="Carolina",+NFL!F25,IF(+NFL!$H25="Carolina",+NFL!F25,0))</f>
        <v>Carolina</v>
      </c>
      <c r="G81" s="491" t="str">
        <f>IF(+NFL!$F25="Carolina",+NFL!G25,IF(+NFL!$H25="Carolina",+NFL!G25,0))</f>
        <v>NFCS</v>
      </c>
      <c r="H81" s="130" t="str">
        <f>IF(+NFL!$F25="Carolina",+NFL!H25,IF(+NFL!$H25="Carolina",+NFL!H25,0))</f>
        <v>NY Giants</v>
      </c>
      <c r="I81" s="491" t="str">
        <f>IF(+NFL!$F25="Carolina",+NFL!I25,IF(+NFL!$H25="Carolina",+NFL!I25,0))</f>
        <v>NFCE</v>
      </c>
      <c r="J81" s="353" t="str">
        <f>IF(+NFL!$F25="Carolina",+NFL!J25,IF(+NFL!$H25="Carolina",+NFL!J25,0))</f>
        <v>NY Giants</v>
      </c>
      <c r="K81" s="494" t="str">
        <f>IF(+NFL!$F25="Carolina",+NFL!K25,IF(+NFL!$H25="Carolina",+NFL!K25,0))</f>
        <v>Carolina</v>
      </c>
      <c r="L81" s="384">
        <f>IF(+NFL!$F25="Carolina",+NFL!L25,IF(+NFL!$H25="Carolina",+NFL!L25,0))</f>
        <v>2.5</v>
      </c>
      <c r="M81" s="385">
        <f>IF(+NFL!$F25="Carolina",+NFL!M25,IF(+NFL!$H25="Carolina",+NFL!M25,0))</f>
        <v>43</v>
      </c>
      <c r="N81" s="395" t="str">
        <f>IF(+NFL!$F25="Carolina",+NFL!N25,IF(+NFL!$H25="Carolina",+NFL!N25,0))</f>
        <v>NY Giants</v>
      </c>
      <c r="O81" s="395">
        <f>IF(+NFL!$F25="Carolina",+NFL!O25,IF(+NFL!$H25="Carolina",+NFL!O25,0))</f>
        <v>19</v>
      </c>
      <c r="P81" s="395" t="str">
        <f>IF(+NFL!$F25="Carolina",+NFL!P25,IF(+NFL!$H25="Carolina",+NFL!P25,0))</f>
        <v>Carolina</v>
      </c>
      <c r="Q81" s="396">
        <f>IF(+NFL!$F25="Carolina",+NFL!Q25,IF(+NFL!$H25="Carolina",+NFL!Q25,0))</f>
        <v>16</v>
      </c>
      <c r="R81" s="397" t="str">
        <f>IF(+NFL!$F25="Carolina",+NFL!R25,IF(+NFL!$H25="Carolina",+NFL!R25,0))</f>
        <v>NY Giants</v>
      </c>
      <c r="S81" s="399" t="str">
        <f>IF(+NFL!$F25="Carolina",+NFL!S25,IF(+NFL!$H25="Carolina",+NFL!S25,0))</f>
        <v>Carolina</v>
      </c>
      <c r="T81" s="398" t="str">
        <f>IF(+NFL!$F25="Carolina",+NFL!T25,IF(+NFL!$H25="Carolina",+NFL!T25,0))</f>
        <v>Carolina</v>
      </c>
      <c r="U81" s="396" t="str">
        <f>IF(+NFL!$F25="Carolina",+NFL!U25,IF(+NFL!$H25="Carolina",+NFL!U25,0))</f>
        <v>L</v>
      </c>
      <c r="X81" s="398"/>
      <c r="AL81" s="70"/>
      <c r="AM81" s="64"/>
      <c r="AN81" s="70"/>
      <c r="AO81" s="46"/>
      <c r="AP81" s="348"/>
      <c r="AQ81" s="48"/>
      <c r="AT81" s="46"/>
      <c r="AY81" s="57"/>
      <c r="AZ81" s="64"/>
      <c r="BA81" s="46"/>
      <c r="BB81" s="46"/>
      <c r="BC81" s="403"/>
      <c r="BF81" s="46"/>
    </row>
    <row r="82" spans="1:63" x14ac:dyDescent="0.8">
      <c r="A82" s="46">
        <f>IF(+NFL!$F47="Carolina",+NFL!A47,IF(+NFL!$H47="Carolina",+NFL!A47,0))</f>
        <v>3</v>
      </c>
      <c r="B82" s="348" t="str">
        <f>IF(+NFL!$F47="Carolina",+NFL!B47,IF(+NFL!$H47="Carolina",+NFL!B47,0))</f>
        <v>Sun</v>
      </c>
      <c r="C82" s="48">
        <f>IF(+NFL!$F47="Carolina",+NFL!C47,IF(+NFL!$H47="Carolina",+NFL!C47,0))</f>
        <v>44829</v>
      </c>
      <c r="D82" s="490">
        <f>IF(+NFL!$F47="Carolina",+NFL!D47,IF(+NFL!$H47="Carolina",+NFL!D47,0))</f>
        <v>0.54166666666666663</v>
      </c>
      <c r="E82" s="491" t="str">
        <f>IF(+NFL!$F47="Carolina",+NFL!E47,IF(+NFL!$H47="Carolina",+NFL!E47,0))</f>
        <v>Fox</v>
      </c>
      <c r="F82" s="130" t="str">
        <f>IF(+NFL!$F47="Carolina",+NFL!F47,IF(+NFL!$H47="Carolina",+NFL!F47,0))</f>
        <v>New Orleans</v>
      </c>
      <c r="G82" s="491" t="str">
        <f>IF(+NFL!$F47="Carolina",+NFL!G47,IF(+NFL!$H47="Carolina",+NFL!G47,0))</f>
        <v>NFCS</v>
      </c>
      <c r="H82" s="130" t="str">
        <f>IF(+NFL!$F47="Carolina",+NFL!H47,IF(+NFL!$H47="Carolina",+NFL!H47,0))</f>
        <v>Carolina</v>
      </c>
      <c r="I82" s="491" t="str">
        <f>IF(+NFL!$F47="Carolina",+NFL!I47,IF(+NFL!$H47="Carolina",+NFL!I47,0))</f>
        <v>NFCS</v>
      </c>
      <c r="J82" s="353" t="str">
        <f>IF(+NFL!$F47="Carolina",+NFL!J47,IF(+NFL!$H47="Carolina",+NFL!J47,0))</f>
        <v>New Orleans</v>
      </c>
      <c r="K82" s="494" t="str">
        <f>IF(+NFL!$F47="Carolina",+NFL!K47,IF(+NFL!$H47="Carolina",+NFL!K47,0))</f>
        <v>Carolina</v>
      </c>
      <c r="L82" s="384">
        <f>IF(+NFL!$F47="Carolina",+NFL!L47,IF(+NFL!$H47="Carolina",+NFL!L47,0))</f>
        <v>2.5</v>
      </c>
      <c r="M82" s="385">
        <f>IF(+NFL!$F47="Carolina",+NFL!M47,IF(+NFL!$H47="Carolina",+NFL!M47,0))</f>
        <v>40.5</v>
      </c>
      <c r="N82" s="395" t="str">
        <f>IF(+NFL!$F47="Carolina",+NFL!N47,IF(+NFL!$H47="Carolina",+NFL!N47,0))</f>
        <v>Carolina</v>
      </c>
      <c r="O82" s="395">
        <f>IF(+NFL!$F47="Carolina",+NFL!O47,IF(+NFL!$H47="Carolina",+NFL!O47,0))</f>
        <v>22</v>
      </c>
      <c r="P82" s="395" t="str">
        <f>IF(+NFL!$F47="Carolina",+NFL!P47,IF(+NFL!$H47="Carolina",+NFL!P47,0))</f>
        <v>New Orleans</v>
      </c>
      <c r="Q82" s="396">
        <f>IF(+NFL!$F47="Carolina",+NFL!Q47,IF(+NFL!$H47="Carolina",+NFL!Q47,0))</f>
        <v>14</v>
      </c>
      <c r="R82" s="397" t="str">
        <f>IF(+NFL!$F47="Carolina",+NFL!R47,IF(+NFL!$H47="Carolina",+NFL!R47,0))</f>
        <v>Carolina</v>
      </c>
      <c r="S82" s="399" t="str">
        <f>IF(+NFL!$F47="Carolina",+NFL!S47,IF(+NFL!$H47="Carolina",+NFL!S47,0))</f>
        <v>New Orleans</v>
      </c>
      <c r="T82" s="398" t="str">
        <f>IF(+NFL!$F47="Carolina",+NFL!T47,IF(+NFL!$H47="Carolina",+NFL!T47,0))</f>
        <v>Carolina</v>
      </c>
      <c r="U82" s="396" t="str">
        <f>IF(+NFL!$F47="Carolina",+NFL!U47,IF(+NFL!$H47="Carolina",+NFL!U47,0))</f>
        <v>W</v>
      </c>
      <c r="V82" s="397">
        <f>IF(+NFL!$F27="Carolina",+NFL!#REF!,IF(+NFL!$H27="Carolina",+NFL!#REF!,0))</f>
        <v>0</v>
      </c>
      <c r="W82" s="396">
        <f>IF(+NFL!$F27="Carolina",+NFL!#REF!,IF(+NFL!$H27="Carolina",+NFL!#REF!,0))</f>
        <v>0</v>
      </c>
      <c r="X82" s="398">
        <f>IF(+NFL!$F27="Carolina",+NFL!#REF!,IF(+NFL!$H27="Carolina",+NFL!#REF!,0))</f>
        <v>0</v>
      </c>
      <c r="Y82" s="396">
        <f>IF(+NFL!$F27="Carolina",+NFL!#REF!,IF(+NFL!$H27="Carolina",+NFL!#REF!,0))</f>
        <v>0</v>
      </c>
      <c r="Z82" s="397">
        <f>IF(+NFL!$F27="Carolina",+NFL!#REF!,IF(+NFL!$H27="Carolina",+NFL!#REF!,0))</f>
        <v>0</v>
      </c>
      <c r="AA82" s="396">
        <f>IF(+NFL!$F27="Carolina",+NFL!#REF!,IF(+NFL!$H27="Carolina",+NFL!#REF!,0))</f>
        <v>0</v>
      </c>
      <c r="AB82" s="87">
        <f>IF(+NFL!$F27="Carolina",+NFL!#REF!,IF(+NFL!$H27="Carolina",+NFL!#REF!,0))</f>
        <v>0</v>
      </c>
      <c r="AC82" s="120">
        <f>IF(+NFL!$F27="Carolina",+NFL!#REF!,IF(+NFL!$H27="Carolina",+NFL!#REF!,0))</f>
        <v>0</v>
      </c>
      <c r="AD82" s="353">
        <f>IF(+NFL!$F27="Carolina",+NFL!#REF!,IF(+NFL!$H27="Carolina",+NFL!#REF!,0))</f>
        <v>0</v>
      </c>
      <c r="AE82" s="379">
        <f>IF(+NFL!$F27="Carolina",+NFL!#REF!,IF(+NFL!$H27="Carolina",+NFL!#REF!,0))</f>
        <v>0</v>
      </c>
      <c r="AF82" s="353">
        <f>IF(+NFL!$F27="Carolina",+NFL!#REF!,IF(+NFL!$H27="Carolina",+NFL!#REF!,0))</f>
        <v>0</v>
      </c>
      <c r="AG82" s="379">
        <f>IF(+NFL!$F27="Carolina",+NFL!#REF!,IF(+NFL!$H27="Carolina",+NFL!#REF!,0))</f>
        <v>0</v>
      </c>
      <c r="AH82" s="353">
        <f>IF(+NFL!$F27="Carolina",+NFL!#REF!,IF(+NFL!$H27="Carolina",+NFL!#REF!,0))</f>
        <v>0</v>
      </c>
      <c r="AI82" s="379">
        <f>IF(+NFL!$F27="Carolina",+NFL!#REF!,IF(+NFL!$H27="Carolina",+NFL!#REF!,0))</f>
        <v>0</v>
      </c>
      <c r="AJ82" s="353">
        <f>IF(+NFL!$F27="Carolina",+NFL!#REF!,IF(+NFL!$H27="Carolina",+NFL!#REF!,0))</f>
        <v>0</v>
      </c>
      <c r="AK82" s="379">
        <f>IF(+NFL!$F27="Carolina",+NFL!#REF!,IF(+NFL!$H27="Carolina",+NFL!#REF!,0))</f>
        <v>0</v>
      </c>
      <c r="AL82" s="70">
        <f>IF(+NFL!$F27="Carolina",+NFL!#REF!,IF(+NFL!$H27="Carolina",+NFL!#REF!,0))</f>
        <v>0</v>
      </c>
      <c r="AM82" s="64">
        <f>IF(+NFL!$F27="Carolina",+NFL!#REF!,IF(+NFL!$H27="Carolina",+NFL!#REF!,0))</f>
        <v>0</v>
      </c>
      <c r="AN82" s="70">
        <f>IF(+NFL!$F27="Carolina",+NFL!#REF!,IF(+NFL!$H27="Carolina",+NFL!#REF!,0))</f>
        <v>0</v>
      </c>
      <c r="AO82" s="46">
        <f>IF(+NFL!$F27="Carolina",+NFL!#REF!,IF(+NFL!$H27="Carolina",+NFL!#REF!,0))</f>
        <v>0</v>
      </c>
      <c r="AP82" s="348">
        <f>IF(+NFL!$F27="Carolina",+NFL!#REF!,IF(+NFL!$H27="Carolina",+NFL!#REF!,0))</f>
        <v>0</v>
      </c>
      <c r="AQ82" s="48">
        <f>IF(+NFL!$F27="Carolina",+NFL!#REF!,IF(+NFL!$H27="Carolina",+NFL!#REF!,0))</f>
        <v>0</v>
      </c>
      <c r="AR82" s="57">
        <f>IF(+NFL!$F27="Carolina",+NFL!#REF!,IF(+NFL!$H27="Carolina",+NFL!#REF!,0))</f>
        <v>0</v>
      </c>
      <c r="AS82" s="64">
        <f>IF(+NFL!$F27="Carolina",+NFL!#REF!,IF(+NFL!$H27="Carolina",+NFL!#REF!,0))</f>
        <v>0</v>
      </c>
      <c r="AT82" s="46">
        <f>IF(+NFL!$F27="Carolina",+NFL!#REF!,IF(+NFL!$H27="Carolina",+NFL!#REF!,0))</f>
        <v>0</v>
      </c>
      <c r="AU82" s="57">
        <f>IF(+NFL!$F27="Carolina",+NFL!#REF!,IF(+NFL!$H27="Carolina",+NFL!#REF!,0))</f>
        <v>0</v>
      </c>
      <c r="AV82" s="64">
        <f>IF(+NFL!$F27="Carolina",+NFL!#REF!,IF(+NFL!$H27="Carolina",+NFL!#REF!,0))</f>
        <v>0</v>
      </c>
      <c r="AW82" s="46">
        <f>IF(+NFL!$F27="Carolina",+NFL!#REF!,IF(+NFL!$H27="Carolina",+NFL!#REF!,0))</f>
        <v>0</v>
      </c>
      <c r="AX82" s="64">
        <f>IF(+NFL!$F27="Carolina",+NFL!#REF!,IF(+NFL!$H27="Carolina",+NFL!#REF!,0))</f>
        <v>0</v>
      </c>
      <c r="AY82" s="57">
        <f>IF(+NFL!$F27="Carolina",+NFL!#REF!,IF(+NFL!$H27="Carolina",+NFL!#REF!,0))</f>
        <v>0</v>
      </c>
      <c r="AZ82" s="64">
        <f>IF(+NFL!$F27="Carolina",+NFL!#REF!,IF(+NFL!$H27="Carolina",+NFL!#REF!,0))</f>
        <v>0</v>
      </c>
      <c r="BA82" s="46">
        <f>IF(+NFL!$F27="Carolina",+NFL!#REF!,IF(+NFL!$H27="Carolina",+NFL!#REF!,0))</f>
        <v>0</v>
      </c>
      <c r="BB82" s="46">
        <f>IF(+NFL!$F27="Carolina",+NFL!#REF!,IF(+NFL!$H27="Carolina",+NFL!#REF!,0))</f>
        <v>0</v>
      </c>
      <c r="BC82" s="403">
        <f>IF(+NFL!$F27="Carolina",+NFL!#REF!,IF(+NFL!$H27="Carolina",+NFL!#REF!,0))</f>
        <v>0</v>
      </c>
      <c r="BD82" s="57">
        <f>IF(+NFL!$F27="Carolina",+NFL!#REF!,IF(+NFL!$H27="Carolina",+NFL!#REF!,0))</f>
        <v>0</v>
      </c>
      <c r="BE82" s="64">
        <f>IF(+NFL!$F27="Carolina",+NFL!#REF!,IF(+NFL!$H27="Carolina",+NFL!#REF!,0))</f>
        <v>0</v>
      </c>
      <c r="BF82" s="46">
        <f>IF(+NFL!$F27="Carolina",+NFL!#REF!,IF(+NFL!$H27="Carolina",+NFL!#REF!,0))</f>
        <v>0</v>
      </c>
      <c r="BG82" s="57">
        <f>IF(+NFL!$F27="Carolina",+NFL!#REF!,IF(+NFL!$H27="Carolina",+NFL!#REF!,0))</f>
        <v>0</v>
      </c>
      <c r="BH82" s="64">
        <f>IF(+NFL!$F27="Carolina",+NFL!#REF!,IF(+NFL!$H27="Carolina",+NFL!#REF!,0))</f>
        <v>0</v>
      </c>
      <c r="BI82" s="46">
        <f>IF(+NFL!$F27="Carolina",+NFL!#REF!,IF(+NFL!$H27="Carolina",+NFL!#REF!,0))</f>
        <v>0</v>
      </c>
      <c r="BJ82" s="87">
        <f>IF(+NFL!$F27="Carolina",+NFL!#REF!,IF(+NFL!$H27="Carolina",+NFL!#REF!,0))</f>
        <v>0</v>
      </c>
      <c r="BK82" s="120">
        <f>IF(+NFL!$F27="Carolina",+NFL!#REF!,IF(+NFL!$H27="Carolina",+NFL!#REF!,0))</f>
        <v>0</v>
      </c>
    </row>
    <row r="83" spans="1:63" x14ac:dyDescent="0.8">
      <c r="A83" s="46">
        <f>IF(+NFL!$F66="Carolina",+NFL!A66,IF(+NFL!$H66="Carolina",+NFL!A66,0))</f>
        <v>4</v>
      </c>
      <c r="B83" s="348" t="str">
        <f>IF(+NFL!$F66="Carolina",+NFL!B66,IF(+NFL!$H66="Carolina",+NFL!B66,0))</f>
        <v>Sun</v>
      </c>
      <c r="C83" s="48">
        <f>IF(+NFL!$F66="Carolina",+NFL!C66,IF(+NFL!$H66="Carolina",+NFL!C66,0))</f>
        <v>44836</v>
      </c>
      <c r="D83" s="490">
        <f>IF(+NFL!$F66="Carolina",+NFL!D66,IF(+NFL!$H66="Carolina",+NFL!D66,0))</f>
        <v>0.66666666666666663</v>
      </c>
      <c r="E83" s="491" t="str">
        <f>IF(+NFL!$F66="Carolina",+NFL!E66,IF(+NFL!$H66="Carolina",+NFL!E66,0))</f>
        <v>Fox</v>
      </c>
      <c r="F83" s="130" t="str">
        <f>IF(+NFL!$F66="Carolina",+NFL!F66,IF(+NFL!$H66="Carolina",+NFL!F66,0))</f>
        <v>Arizona</v>
      </c>
      <c r="G83" s="491" t="str">
        <f>IF(+NFL!$F66="Carolina",+NFL!G66,IF(+NFL!$H66="Carolina",+NFL!G66,0))</f>
        <v>NFCW</v>
      </c>
      <c r="H83" s="130" t="str">
        <f>IF(+NFL!$F66="Carolina",+NFL!H66,IF(+NFL!$H66="Carolina",+NFL!H66,0))</f>
        <v>Carolina</v>
      </c>
      <c r="I83" s="491" t="str">
        <f>IF(+NFL!$F66="Carolina",+NFL!I66,IF(+NFL!$H66="Carolina",+NFL!I66,0))</f>
        <v>NFCS</v>
      </c>
      <c r="J83" s="353" t="str">
        <f>IF(+NFL!$F66="Carolina",+NFL!J66,IF(+NFL!$H66="Carolina",+NFL!J66,0))</f>
        <v>Carolina</v>
      </c>
      <c r="K83" s="494" t="str">
        <f>IF(+NFL!$F66="Carolina",+NFL!K66,IF(+NFL!$H66="Carolina",+NFL!K66,0))</f>
        <v>Arizona</v>
      </c>
      <c r="L83" s="384">
        <f>IF(+NFL!$F66="Carolina",+NFL!L66,IF(+NFL!$H66="Carolina",+NFL!L66,0))</f>
        <v>2.5</v>
      </c>
      <c r="M83" s="385">
        <f>IF(+NFL!$F66="Carolina",+NFL!M66,IF(+NFL!$H66="Carolina",+NFL!M66,0))</f>
        <v>43.5</v>
      </c>
      <c r="N83" s="395" t="str">
        <f>IF(+NFL!$F66="Carolina",+NFL!N66,IF(+NFL!$H66="Carolina",+NFL!N66,0))</f>
        <v>Arizona</v>
      </c>
      <c r="O83" s="395">
        <f>IF(+NFL!$F66="Carolina",+NFL!O66,IF(+NFL!$H66="Carolina",+NFL!O66,0))</f>
        <v>26</v>
      </c>
      <c r="P83" s="395" t="str">
        <f>IF(+NFL!$F66="Carolina",+NFL!P66,IF(+NFL!$H66="Carolina",+NFL!P66,0))</f>
        <v>Carolina</v>
      </c>
      <c r="Q83" s="396">
        <f>IF(+NFL!$F66="Carolina",+NFL!Q66,IF(+NFL!$H66="Carolina",+NFL!Q66,0))</f>
        <v>16</v>
      </c>
      <c r="R83" s="397" t="str">
        <f>IF(+NFL!$F66="Carolina",+NFL!R66,IF(+NFL!$H66="Carolina",+NFL!R66,0))</f>
        <v>Arizona</v>
      </c>
      <c r="S83" s="399" t="str">
        <f>IF(+NFL!$F66="Carolina",+NFL!S66,IF(+NFL!$H66="Carolina",+NFL!S66,0))</f>
        <v>Carolina</v>
      </c>
      <c r="T83" s="398" t="str">
        <f>IF(+NFL!$F66="Carolina",+NFL!T66,IF(+NFL!$H66="Carolina",+NFL!T66,0))</f>
        <v>Arizona</v>
      </c>
      <c r="U83" s="396" t="str">
        <f>IF(+NFL!$F66="Carolina",+NFL!U66,IF(+NFL!$H66="Carolina",+NFL!U66,0))</f>
        <v>W</v>
      </c>
      <c r="V83" s="397">
        <f>IF(+NFL!$F57="Carolina",+NFL!#REF!,IF(+NFL!$H57="Carolina",+NFL!#REF!,0))</f>
        <v>0</v>
      </c>
      <c r="W83" s="396">
        <f>IF(+NFL!$F57="Carolina",+NFL!#REF!,IF(+NFL!$H57="Carolina",+NFL!#REF!,0))</f>
        <v>0</v>
      </c>
      <c r="X83" s="398">
        <f>IF(+NFL!$F57="Carolina",+NFL!#REF!,IF(+NFL!$H57="Carolina",+NFL!#REF!,0))</f>
        <v>0</v>
      </c>
      <c r="Y83" s="396">
        <f>IF(+NFL!$F57="Carolina",+NFL!#REF!,IF(+NFL!$H57="Carolina",+NFL!#REF!,0))</f>
        <v>0</v>
      </c>
      <c r="Z83" s="397">
        <f>IF(+NFL!$F57="Carolina",+NFL!#REF!,IF(+NFL!$H57="Carolina",+NFL!#REF!,0))</f>
        <v>0</v>
      </c>
      <c r="AA83" s="396">
        <f>IF(+NFL!$F57="Carolina",+NFL!#REF!,IF(+NFL!$H57="Carolina",+NFL!#REF!,0))</f>
        <v>0</v>
      </c>
      <c r="AB83" s="87">
        <f>IF(+NFL!$F57="Carolina",+NFL!#REF!,IF(+NFL!$H57="Carolina",+NFL!#REF!,0))</f>
        <v>0</v>
      </c>
      <c r="AC83" s="120">
        <f>IF(+NFL!$F57="Carolina",+NFL!#REF!,IF(+NFL!$H57="Carolina",+NFL!#REF!,0))</f>
        <v>0</v>
      </c>
      <c r="AD83" s="353">
        <f>IF(+NFL!$F57="Carolina",+NFL!#REF!,IF(+NFL!$H57="Carolina",+NFL!#REF!,0))</f>
        <v>0</v>
      </c>
      <c r="AE83" s="379">
        <f>IF(+NFL!$F57="Carolina",+NFL!#REF!,IF(+NFL!$H57="Carolina",+NFL!#REF!,0))</f>
        <v>0</v>
      </c>
      <c r="AF83" s="353">
        <f>IF(+NFL!$F57="Carolina",+NFL!#REF!,IF(+NFL!$H57="Carolina",+NFL!#REF!,0))</f>
        <v>0</v>
      </c>
      <c r="AG83" s="379">
        <f>IF(+NFL!$F57="Carolina",+NFL!#REF!,IF(+NFL!$H57="Carolina",+NFL!#REF!,0))</f>
        <v>0</v>
      </c>
      <c r="AH83" s="353">
        <f>IF(+NFL!$F57="Carolina",+NFL!#REF!,IF(+NFL!$H57="Carolina",+NFL!#REF!,0))</f>
        <v>0</v>
      </c>
      <c r="AI83" s="379">
        <f>IF(+NFL!$F57="Carolina",+NFL!#REF!,IF(+NFL!$H57="Carolina",+NFL!#REF!,0))</f>
        <v>0</v>
      </c>
      <c r="AJ83" s="353">
        <f>IF(+NFL!$F57="Carolina",+NFL!#REF!,IF(+NFL!$H57="Carolina",+NFL!#REF!,0))</f>
        <v>0</v>
      </c>
      <c r="AK83" s="379">
        <f>IF(+NFL!$F57="Carolina",+NFL!#REF!,IF(+NFL!$H57="Carolina",+NFL!#REF!,0))</f>
        <v>0</v>
      </c>
      <c r="AL83" s="70">
        <f>IF(+NFL!$F57="Carolina",+NFL!#REF!,IF(+NFL!$H57="Carolina",+NFL!#REF!,0))</f>
        <v>0</v>
      </c>
      <c r="AM83" s="64">
        <f>IF(+NFL!$F57="Carolina",+NFL!#REF!,IF(+NFL!$H57="Carolina",+NFL!#REF!,0))</f>
        <v>0</v>
      </c>
      <c r="AN83" s="70">
        <f>IF(+NFL!$F57="Carolina",+NFL!#REF!,IF(+NFL!$H57="Carolina",+NFL!#REF!,0))</f>
        <v>0</v>
      </c>
      <c r="AO83" s="46">
        <f>IF(+NFL!$F57="Carolina",+NFL!#REF!,IF(+NFL!$H57="Carolina",+NFL!#REF!,0))</f>
        <v>0</v>
      </c>
      <c r="AP83" s="348">
        <f>IF(+NFL!$F57="Carolina",+NFL!#REF!,IF(+NFL!$H57="Carolina",+NFL!#REF!,0))</f>
        <v>0</v>
      </c>
      <c r="AQ83" s="48">
        <f>IF(+NFL!$F57="Carolina",+NFL!#REF!,IF(+NFL!$H57="Carolina",+NFL!#REF!,0))</f>
        <v>0</v>
      </c>
      <c r="AR83" s="57">
        <f>IF(+NFL!$F57="Carolina",+NFL!#REF!,IF(+NFL!$H57="Carolina",+NFL!#REF!,0))</f>
        <v>0</v>
      </c>
      <c r="AS83" s="64">
        <f>IF(+NFL!$F57="Carolina",+NFL!#REF!,IF(+NFL!$H57="Carolina",+NFL!#REF!,0))</f>
        <v>0</v>
      </c>
      <c r="AT83" s="46">
        <f>IF(+NFL!$F57="Carolina",+NFL!#REF!,IF(+NFL!$H57="Carolina",+NFL!#REF!,0))</f>
        <v>0</v>
      </c>
      <c r="AU83" s="57">
        <f>IF(+NFL!$F57="Carolina",+NFL!#REF!,IF(+NFL!$H57="Carolina",+NFL!#REF!,0))</f>
        <v>0</v>
      </c>
      <c r="AV83" s="64">
        <f>IF(+NFL!$F57="Carolina",+NFL!#REF!,IF(+NFL!$H57="Carolina",+NFL!#REF!,0))</f>
        <v>0</v>
      </c>
      <c r="AW83" s="46">
        <f>IF(+NFL!$F57="Carolina",+NFL!#REF!,IF(+NFL!$H57="Carolina",+NFL!#REF!,0))</f>
        <v>0</v>
      </c>
      <c r="AX83" s="64">
        <f>IF(+NFL!$F57="Carolina",+NFL!#REF!,IF(+NFL!$H57="Carolina",+NFL!#REF!,0))</f>
        <v>0</v>
      </c>
      <c r="AY83" s="57">
        <f>IF(+NFL!$F57="Carolina",+NFL!#REF!,IF(+NFL!$H57="Carolina",+NFL!#REF!,0))</f>
        <v>0</v>
      </c>
      <c r="AZ83" s="64">
        <f>IF(+NFL!$F57="Carolina",+NFL!#REF!,IF(+NFL!$H57="Carolina",+NFL!#REF!,0))</f>
        <v>0</v>
      </c>
      <c r="BA83" s="46">
        <f>IF(+NFL!$F57="Carolina",+NFL!#REF!,IF(+NFL!$H57="Carolina",+NFL!#REF!,0))</f>
        <v>0</v>
      </c>
      <c r="BB83" s="46">
        <f>IF(+NFL!$F57="Carolina",+NFL!#REF!,IF(+NFL!$H57="Carolina",+NFL!#REF!,0))</f>
        <v>0</v>
      </c>
      <c r="BC83" s="403">
        <f>IF(+NFL!$F57="Carolina",+NFL!#REF!,IF(+NFL!$H57="Carolina",+NFL!#REF!,0))</f>
        <v>0</v>
      </c>
      <c r="BD83" s="57">
        <f>IF(+NFL!$F57="Carolina",+NFL!#REF!,IF(+NFL!$H57="Carolina",+NFL!#REF!,0))</f>
        <v>0</v>
      </c>
      <c r="BE83" s="64">
        <f>IF(+NFL!$F57="Carolina",+NFL!#REF!,IF(+NFL!$H57="Carolina",+NFL!#REF!,0))</f>
        <v>0</v>
      </c>
      <c r="BF83" s="46">
        <f>IF(+NFL!$F57="Carolina",+NFL!#REF!,IF(+NFL!$H57="Carolina",+NFL!#REF!,0))</f>
        <v>0</v>
      </c>
      <c r="BG83" s="57">
        <f>IF(+NFL!$F57="Carolina",+NFL!#REF!,IF(+NFL!$H57="Carolina",+NFL!#REF!,0))</f>
        <v>0</v>
      </c>
      <c r="BH83" s="64">
        <f>IF(+NFL!$F57="Carolina",+NFL!#REF!,IF(+NFL!$H57="Carolina",+NFL!#REF!,0))</f>
        <v>0</v>
      </c>
      <c r="BI83" s="46">
        <f>IF(+NFL!$F57="Carolina",+NFL!#REF!,IF(+NFL!$H57="Carolina",+NFL!#REF!,0))</f>
        <v>0</v>
      </c>
      <c r="BJ83" s="87">
        <f>IF(+NFL!$F57="Carolina",+NFL!#REF!,IF(+NFL!$H57="Carolina",+NFL!#REF!,0))</f>
        <v>0</v>
      </c>
      <c r="BK83" s="120">
        <f>IF(+NFL!$F57="Carolina",+NFL!#REF!,IF(+NFL!$H57="Carolina",+NFL!#REF!,0))</f>
        <v>0</v>
      </c>
    </row>
    <row r="84" spans="1:63" x14ac:dyDescent="0.8">
      <c r="A84" s="46">
        <f>IF(+NFL!$F83="Carolina",+NFL!A83,IF(+NFL!$H83="Carolina",+NFL!A83,0))</f>
        <v>5</v>
      </c>
      <c r="B84" s="348" t="str">
        <f>IF(+NFL!$F83="Carolina",+NFL!B83,IF(+NFL!$H83="Carolina",+NFL!B83,0))</f>
        <v>Sun</v>
      </c>
      <c r="C84" s="48">
        <f>IF(+NFL!$F83="Carolina",+NFL!C83,IF(+NFL!$H83="Carolina",+NFL!C83,0))</f>
        <v>44843</v>
      </c>
      <c r="D84" s="490">
        <f>IF(+NFL!$F83="Carolina",+NFL!D83,IF(+NFL!$H83="Carolina",+NFL!D83,0))</f>
        <v>0.66666666666666663</v>
      </c>
      <c r="E84" s="491" t="str">
        <f>IF(+NFL!$F83="Carolina",+NFL!E83,IF(+NFL!$H83="Carolina",+NFL!E83,0))</f>
        <v>Fox</v>
      </c>
      <c r="F84" s="130" t="str">
        <f>IF(+NFL!$F83="Carolina",+NFL!F83,IF(+NFL!$H83="Carolina",+NFL!F83,0))</f>
        <v>San Francisco</v>
      </c>
      <c r="G84" s="491" t="str">
        <f>IF(+NFL!$F83="Carolina",+NFL!G83,IF(+NFL!$H83="Carolina",+NFL!G83,0))</f>
        <v>NFCW</v>
      </c>
      <c r="H84" s="130" t="str">
        <f>IF(+NFL!$F83="Carolina",+NFL!H83,IF(+NFL!$H83="Carolina",+NFL!H83,0))</f>
        <v>Carolina</v>
      </c>
      <c r="I84" s="491" t="str">
        <f>IF(+NFL!$F83="Carolina",+NFL!I83,IF(+NFL!$H83="Carolina",+NFL!I83,0))</f>
        <v>NFCS</v>
      </c>
      <c r="J84" s="353" t="str">
        <f>IF(+NFL!$F83="Carolina",+NFL!J83,IF(+NFL!$H83="Carolina",+NFL!J83,0))</f>
        <v>San Francisco</v>
      </c>
      <c r="K84" s="494" t="str">
        <f>IF(+NFL!$F83="Carolina",+NFL!K83,IF(+NFL!$H83="Carolina",+NFL!K83,0))</f>
        <v>Carolina</v>
      </c>
      <c r="L84" s="384">
        <f>IF(+NFL!$F83="Carolina",+NFL!L83,IF(+NFL!$H83="Carolina",+NFL!L83,0))</f>
        <v>6.5</v>
      </c>
      <c r="M84" s="385">
        <f>IF(+NFL!$F83="Carolina",+NFL!M83,IF(+NFL!$H83="Carolina",+NFL!M83,0))</f>
        <v>38.5</v>
      </c>
      <c r="N84" s="395" t="str">
        <f>IF(+NFL!$F83="Carolina",+NFL!N83,IF(+NFL!$H83="Carolina",+NFL!N83,0))</f>
        <v>San Francisco</v>
      </c>
      <c r="O84" s="395">
        <f>IF(+NFL!$F83="Carolina",+NFL!O83,IF(+NFL!$H83="Carolina",+NFL!O83,0))</f>
        <v>37</v>
      </c>
      <c r="P84" s="395" t="str">
        <f>IF(+NFL!$F83="Carolina",+NFL!P83,IF(+NFL!$H83="Carolina",+NFL!P83,0))</f>
        <v>Carolina</v>
      </c>
      <c r="Q84" s="396">
        <f>IF(+NFL!$F83="Carolina",+NFL!Q83,IF(+NFL!$H83="Carolina",+NFL!Q83,0))</f>
        <v>15</v>
      </c>
      <c r="R84" s="397" t="str">
        <f>IF(+NFL!$F83="Carolina",+NFL!R83,IF(+NFL!$H83="Carolina",+NFL!R83,0))</f>
        <v>San Francisco</v>
      </c>
      <c r="S84" s="399" t="str">
        <f>IF(+NFL!$F83="Carolina",+NFL!S83,IF(+NFL!$H83="Carolina",+NFL!S83,0))</f>
        <v>Carolina</v>
      </c>
      <c r="T84" s="398" t="str">
        <f>IF(+NFL!$F83="Carolina",+NFL!T83,IF(+NFL!$H83="Carolina",+NFL!T83,0))</f>
        <v>San Francisco</v>
      </c>
      <c r="U84" s="396" t="str">
        <f>IF(+NFL!$F83="Carolina",+NFL!U83,IF(+NFL!$H83="Carolina",+NFL!U83,0))</f>
        <v>W</v>
      </c>
      <c r="V84" s="397">
        <f>IF(+NFL!$F77="Carolina",+NFL!#REF!,IF(+NFL!$H77="Carolina",+NFL!#REF!,0))</f>
        <v>0</v>
      </c>
      <c r="W84" s="396">
        <f>IF(+NFL!$F77="Carolina",+NFL!#REF!,IF(+NFL!$H77="Carolina",+NFL!#REF!,0))</f>
        <v>0</v>
      </c>
      <c r="X84" s="398">
        <f>IF(+NFL!$F77="Carolina",+NFL!#REF!,IF(+NFL!$H77="Carolina",+NFL!#REF!,0))</f>
        <v>0</v>
      </c>
      <c r="Y84" s="396">
        <f>IF(+NFL!$F77="Carolina",+NFL!#REF!,IF(+NFL!$H77="Carolina",+NFL!#REF!,0))</f>
        <v>0</v>
      </c>
      <c r="Z84" s="397">
        <f>IF(+NFL!$F77="Carolina",+NFL!#REF!,IF(+NFL!$H77="Carolina",+NFL!#REF!,0))</f>
        <v>0</v>
      </c>
      <c r="AA84" s="396">
        <f>IF(+NFL!$F77="Carolina",+NFL!#REF!,IF(+NFL!$H77="Carolina",+NFL!#REF!,0))</f>
        <v>0</v>
      </c>
      <c r="AB84" s="87">
        <f>IF(+NFL!$F77="Carolina",+NFL!#REF!,IF(+NFL!$H77="Carolina",+NFL!#REF!,0))</f>
        <v>0</v>
      </c>
      <c r="AC84" s="120">
        <f>IF(+NFL!$F77="Carolina",+NFL!#REF!,IF(+NFL!$H77="Carolina",+NFL!#REF!,0))</f>
        <v>0</v>
      </c>
      <c r="AD84" s="353">
        <f>IF(+NFL!$F77="Carolina",+NFL!#REF!,IF(+NFL!$H77="Carolina",+NFL!#REF!,0))</f>
        <v>0</v>
      </c>
      <c r="AE84" s="379">
        <f>IF(+NFL!$F77="Carolina",+NFL!#REF!,IF(+NFL!$H77="Carolina",+NFL!#REF!,0))</f>
        <v>0</v>
      </c>
      <c r="AF84" s="353">
        <f>IF(+NFL!$F77="Carolina",+NFL!#REF!,IF(+NFL!$H77="Carolina",+NFL!#REF!,0))</f>
        <v>0</v>
      </c>
      <c r="AG84" s="379">
        <f>IF(+NFL!$F77="Carolina",+NFL!#REF!,IF(+NFL!$H77="Carolina",+NFL!#REF!,0))</f>
        <v>0</v>
      </c>
      <c r="AH84" s="353">
        <f>IF(+NFL!$F77="Carolina",+NFL!#REF!,IF(+NFL!$H77="Carolina",+NFL!#REF!,0))</f>
        <v>0</v>
      </c>
      <c r="AI84" s="379">
        <f>IF(+NFL!$F77="Carolina",+NFL!#REF!,IF(+NFL!$H77="Carolina",+NFL!#REF!,0))</f>
        <v>0</v>
      </c>
      <c r="AJ84" s="353">
        <f>IF(+NFL!$F77="Carolina",+NFL!#REF!,IF(+NFL!$H77="Carolina",+NFL!#REF!,0))</f>
        <v>0</v>
      </c>
      <c r="AK84" s="379">
        <f>IF(+NFL!$F77="Carolina",+NFL!#REF!,IF(+NFL!$H77="Carolina",+NFL!#REF!,0))</f>
        <v>0</v>
      </c>
      <c r="AL84" s="70">
        <f>IF(+NFL!$F77="Carolina",+NFL!#REF!,IF(+NFL!$H77="Carolina",+NFL!#REF!,0))</f>
        <v>0</v>
      </c>
      <c r="AM84" s="64">
        <f>IF(+NFL!$F77="Carolina",+NFL!#REF!,IF(+NFL!$H77="Carolina",+NFL!#REF!,0))</f>
        <v>0</v>
      </c>
      <c r="AN84" s="70">
        <f>IF(+NFL!$F77="Carolina",+NFL!#REF!,IF(+NFL!$H77="Carolina",+NFL!#REF!,0))</f>
        <v>0</v>
      </c>
      <c r="AO84" s="46">
        <f>IF(+NFL!$F77="Carolina",+NFL!#REF!,IF(+NFL!$H77="Carolina",+NFL!#REF!,0))</f>
        <v>0</v>
      </c>
      <c r="AP84" s="348">
        <f>IF(+NFL!$F77="Carolina",+NFL!#REF!,IF(+NFL!$H77="Carolina",+NFL!#REF!,0))</f>
        <v>0</v>
      </c>
      <c r="AQ84" s="48">
        <f>IF(+NFL!$F77="Carolina",+NFL!#REF!,IF(+NFL!$H77="Carolina",+NFL!#REF!,0))</f>
        <v>0</v>
      </c>
      <c r="AR84" s="57">
        <f>IF(+NFL!$F77="Carolina",+NFL!#REF!,IF(+NFL!$H77="Carolina",+NFL!#REF!,0))</f>
        <v>0</v>
      </c>
      <c r="AS84" s="64">
        <f>IF(+NFL!$F77="Carolina",+NFL!#REF!,IF(+NFL!$H77="Carolina",+NFL!#REF!,0))</f>
        <v>0</v>
      </c>
      <c r="AT84" s="46">
        <f>IF(+NFL!$F77="Carolina",+NFL!#REF!,IF(+NFL!$H77="Carolina",+NFL!#REF!,0))</f>
        <v>0</v>
      </c>
      <c r="AU84" s="57">
        <f>IF(+NFL!$F77="Carolina",+NFL!#REF!,IF(+NFL!$H77="Carolina",+NFL!#REF!,0))</f>
        <v>0</v>
      </c>
      <c r="AV84" s="64">
        <f>IF(+NFL!$F77="Carolina",+NFL!#REF!,IF(+NFL!$H77="Carolina",+NFL!#REF!,0))</f>
        <v>0</v>
      </c>
      <c r="AW84" s="46">
        <f>IF(+NFL!$F77="Carolina",+NFL!#REF!,IF(+NFL!$H77="Carolina",+NFL!#REF!,0))</f>
        <v>0</v>
      </c>
      <c r="AX84" s="64">
        <f>IF(+NFL!$F77="Carolina",+NFL!#REF!,IF(+NFL!$H77="Carolina",+NFL!#REF!,0))</f>
        <v>0</v>
      </c>
      <c r="AY84" s="57">
        <f>IF(+NFL!$F77="Carolina",+NFL!#REF!,IF(+NFL!$H77="Carolina",+NFL!#REF!,0))</f>
        <v>0</v>
      </c>
      <c r="AZ84" s="64">
        <f>IF(+NFL!$F77="Carolina",+NFL!#REF!,IF(+NFL!$H77="Carolina",+NFL!#REF!,0))</f>
        <v>0</v>
      </c>
      <c r="BA84" s="46">
        <f>IF(+NFL!$F77="Carolina",+NFL!#REF!,IF(+NFL!$H77="Carolina",+NFL!#REF!,0))</f>
        <v>0</v>
      </c>
      <c r="BB84" s="46">
        <f>IF(+NFL!$F77="Carolina",+NFL!#REF!,IF(+NFL!$H77="Carolina",+NFL!#REF!,0))</f>
        <v>0</v>
      </c>
      <c r="BC84" s="403">
        <f>IF(+NFL!$F77="Carolina",+NFL!#REF!,IF(+NFL!$H77="Carolina",+NFL!#REF!,0))</f>
        <v>0</v>
      </c>
      <c r="BD84" s="57">
        <f>IF(+NFL!$F77="Carolina",+NFL!#REF!,IF(+NFL!$H77="Carolina",+NFL!#REF!,0))</f>
        <v>0</v>
      </c>
      <c r="BE84" s="64">
        <f>IF(+NFL!$F77="Carolina",+NFL!#REF!,IF(+NFL!$H77="Carolina",+NFL!#REF!,0))</f>
        <v>0</v>
      </c>
      <c r="BF84" s="46">
        <f>IF(+NFL!$F77="Carolina",+NFL!#REF!,IF(+NFL!$H77="Carolina",+NFL!#REF!,0))</f>
        <v>0</v>
      </c>
      <c r="BG84" s="57">
        <f>IF(+NFL!$F77="Carolina",+NFL!#REF!,IF(+NFL!$H77="Carolina",+NFL!#REF!,0))</f>
        <v>0</v>
      </c>
      <c r="BH84" s="64">
        <f>IF(+NFL!$F77="Carolina",+NFL!#REF!,IF(+NFL!$H77="Carolina",+NFL!#REF!,0))</f>
        <v>0</v>
      </c>
      <c r="BI84" s="46">
        <f>IF(+NFL!$F77="Carolina",+NFL!#REF!,IF(+NFL!$H77="Carolina",+NFL!#REF!,0))</f>
        <v>0</v>
      </c>
      <c r="BJ84" s="87">
        <f>IF(+NFL!$F77="Carolina",+NFL!#REF!,IF(+NFL!$H77="Carolina",+NFL!#REF!,0))</f>
        <v>0</v>
      </c>
      <c r="BK84" s="120">
        <f>IF(+NFL!$F77="Carolina",+NFL!#REF!,IF(+NFL!$H77="Carolina",+NFL!#REF!,0))</f>
        <v>0</v>
      </c>
    </row>
    <row r="85" spans="1:63" x14ac:dyDescent="0.8">
      <c r="A85" s="46">
        <f>IF(+NFL!$F98="Carolina",+NFL!A98,IF(+NFL!$H98="Carolina",+NFL!A98,0))</f>
        <v>6</v>
      </c>
      <c r="B85" s="348" t="str">
        <f>IF(+NFL!$F98="Carolina",+NFL!B98,IF(+NFL!$H98="Carolina",+NFL!B98,0))</f>
        <v>Sun</v>
      </c>
      <c r="C85" s="48">
        <f>IF(+NFL!$F98="Carolina",+NFL!C98,IF(+NFL!$H98="Carolina",+NFL!C98,0))</f>
        <v>44850</v>
      </c>
      <c r="D85" s="490">
        <f>IF(+NFL!$F98="Carolina",+NFL!D98,IF(+NFL!$H98="Carolina",+NFL!D98,0))</f>
        <v>0.66666666666666663</v>
      </c>
      <c r="E85" s="491" t="str">
        <f>IF(+NFL!$F98="Carolina",+NFL!E98,IF(+NFL!$H98="Carolina",+NFL!E98,0))</f>
        <v>Fox</v>
      </c>
      <c r="F85" s="130" t="str">
        <f>IF(+NFL!$F98="Carolina",+NFL!F98,IF(+NFL!$H98="Carolina",+NFL!F98,0))</f>
        <v>Carolina</v>
      </c>
      <c r="G85" s="491" t="str">
        <f>IF(+NFL!$F98="Carolina",+NFL!G98,IF(+NFL!$H98="Carolina",+NFL!G98,0))</f>
        <v>NFCS</v>
      </c>
      <c r="H85" s="130" t="str">
        <f>IF(+NFL!$F98="Carolina",+NFL!H98,IF(+NFL!$H98="Carolina",+NFL!H98,0))</f>
        <v>LA Rams</v>
      </c>
      <c r="I85" s="491" t="str">
        <f>IF(+NFL!$F98="Carolina",+NFL!I98,IF(+NFL!$H98="Carolina",+NFL!I98,0))</f>
        <v>NFCW</v>
      </c>
      <c r="J85" s="353" t="str">
        <f>IF(+NFL!$F98="Carolina",+NFL!J98,IF(+NFL!$H98="Carolina",+NFL!J98,0))</f>
        <v>LA Rams</v>
      </c>
      <c r="K85" s="494" t="str">
        <f>IF(+NFL!$F98="Carolina",+NFL!K98,IF(+NFL!$H98="Carolina",+NFL!K98,0))</f>
        <v>Carolina</v>
      </c>
      <c r="L85" s="384">
        <f>IF(+NFL!$F98="Carolina",+NFL!L98,IF(+NFL!$H98="Carolina",+NFL!L98,0))</f>
        <v>9.5</v>
      </c>
      <c r="M85" s="385">
        <f>IF(+NFL!$F98="Carolina",+NFL!M98,IF(+NFL!$H98="Carolina",+NFL!M98,0))</f>
        <v>41</v>
      </c>
      <c r="N85" s="395" t="str">
        <f>IF(+NFL!$F98="Carolina",+NFL!N98,IF(+NFL!$H98="Carolina",+NFL!N98,0))</f>
        <v>LA Rams</v>
      </c>
      <c r="O85" s="395">
        <f>IF(+NFL!$F98="Carolina",+NFL!O98,IF(+NFL!$H98="Carolina",+NFL!O98,0))</f>
        <v>24</v>
      </c>
      <c r="P85" s="395" t="str">
        <f>IF(+NFL!$F98="Carolina",+NFL!P98,IF(+NFL!$H98="Carolina",+NFL!P98,0))</f>
        <v>Carolina</v>
      </c>
      <c r="Q85" s="396">
        <f>IF(+NFL!$F98="Carolina",+NFL!Q98,IF(+NFL!$H98="Carolina",+NFL!Q98,0))</f>
        <v>10</v>
      </c>
      <c r="R85" s="397" t="str">
        <f>IF(+NFL!$F98="Carolina",+NFL!R98,IF(+NFL!$H98="Carolina",+NFL!R98,0))</f>
        <v>LA Rams</v>
      </c>
      <c r="S85" s="399" t="str">
        <f>IF(+NFL!$F98="Carolina",+NFL!S98,IF(+NFL!$H98="Carolina",+NFL!S98,0))</f>
        <v>Carolina</v>
      </c>
      <c r="T85" s="398" t="str">
        <f>IF(+NFL!$F98="Carolina",+NFL!T98,IF(+NFL!$H98="Carolina",+NFL!T98,0))</f>
        <v>Carolina</v>
      </c>
      <c r="U85" s="396" t="str">
        <f>IF(+NFL!$F98="Carolina",+NFL!U98,IF(+NFL!$H98="Carolina",+NFL!U98,0))</f>
        <v>L</v>
      </c>
      <c r="V85" s="397">
        <f>IF(+NFL!$F96="Carolina",+NFL!#REF!,IF(+NFL!$H96="Carolina",+NFL!#REF!,0))</f>
        <v>0</v>
      </c>
      <c r="W85" s="396">
        <f>IF(+NFL!$F96="Carolina",+NFL!#REF!,IF(+NFL!$H96="Carolina",+NFL!#REF!,0))</f>
        <v>0</v>
      </c>
      <c r="X85" s="398">
        <f>IF(+NFL!$F96="Carolina",+NFL!#REF!,IF(+NFL!$H96="Carolina",+NFL!#REF!,0))</f>
        <v>0</v>
      </c>
      <c r="Y85" s="396">
        <f>IF(+NFL!$F96="Carolina",+NFL!#REF!,IF(+NFL!$H96="Carolina",+NFL!#REF!,0))</f>
        <v>0</v>
      </c>
      <c r="Z85" s="397">
        <f>IF(+NFL!$F96="Carolina",+NFL!#REF!,IF(+NFL!$H96="Carolina",+NFL!#REF!,0))</f>
        <v>0</v>
      </c>
      <c r="AA85" s="396">
        <f>IF(+NFL!$F96="Carolina",+NFL!#REF!,IF(+NFL!$H96="Carolina",+NFL!#REF!,0))</f>
        <v>0</v>
      </c>
      <c r="AB85" s="87">
        <f>IF(+NFL!$F96="Carolina",+NFL!#REF!,IF(+NFL!$H96="Carolina",+NFL!#REF!,0))</f>
        <v>0</v>
      </c>
      <c r="AC85" s="120">
        <f>IF(+NFL!$F96="Carolina",+NFL!#REF!,IF(+NFL!$H96="Carolina",+NFL!#REF!,0))</f>
        <v>0</v>
      </c>
      <c r="AD85" s="353">
        <f>IF(+NFL!$F96="Carolina",+NFL!#REF!,IF(+NFL!$H96="Carolina",+NFL!#REF!,0))</f>
        <v>0</v>
      </c>
      <c r="AE85" s="379">
        <f>IF(+NFL!$F96="Carolina",+NFL!#REF!,IF(+NFL!$H96="Carolina",+NFL!#REF!,0))</f>
        <v>0</v>
      </c>
      <c r="AF85" s="353">
        <f>IF(+NFL!$F96="Carolina",+NFL!#REF!,IF(+NFL!$H96="Carolina",+NFL!#REF!,0))</f>
        <v>0</v>
      </c>
      <c r="AG85" s="379">
        <f>IF(+NFL!$F96="Carolina",+NFL!#REF!,IF(+NFL!$H96="Carolina",+NFL!#REF!,0))</f>
        <v>0</v>
      </c>
      <c r="AH85" s="353">
        <f>IF(+NFL!$F96="Carolina",+NFL!#REF!,IF(+NFL!$H96="Carolina",+NFL!#REF!,0))</f>
        <v>0</v>
      </c>
      <c r="AI85" s="379">
        <f>IF(+NFL!$F96="Carolina",+NFL!#REF!,IF(+NFL!$H96="Carolina",+NFL!#REF!,0))</f>
        <v>0</v>
      </c>
      <c r="AJ85" s="353">
        <f>IF(+NFL!$F96="Carolina",+NFL!#REF!,IF(+NFL!$H96="Carolina",+NFL!#REF!,0))</f>
        <v>0</v>
      </c>
      <c r="AK85" s="379">
        <f>IF(+NFL!$F96="Carolina",+NFL!#REF!,IF(+NFL!$H96="Carolina",+NFL!#REF!,0))</f>
        <v>0</v>
      </c>
      <c r="AL85" s="70">
        <f>IF(+NFL!$F96="Carolina",+NFL!#REF!,IF(+NFL!$H96="Carolina",+NFL!#REF!,0))</f>
        <v>0</v>
      </c>
      <c r="AM85" s="64">
        <f>IF(+NFL!$F96="Carolina",+NFL!#REF!,IF(+NFL!$H96="Carolina",+NFL!#REF!,0))</f>
        <v>0</v>
      </c>
      <c r="AN85" s="70">
        <f>IF(+NFL!$F96="Carolina",+NFL!#REF!,IF(+NFL!$H96="Carolina",+NFL!#REF!,0))</f>
        <v>0</v>
      </c>
      <c r="AO85" s="46">
        <f>IF(+NFL!$F96="Carolina",+NFL!#REF!,IF(+NFL!$H96="Carolina",+NFL!#REF!,0))</f>
        <v>0</v>
      </c>
      <c r="AP85" s="348">
        <f>IF(+NFL!$F96="Carolina",+NFL!#REF!,IF(+NFL!$H96="Carolina",+NFL!#REF!,0))</f>
        <v>0</v>
      </c>
      <c r="AQ85" s="48">
        <f>IF(+NFL!$F96="Carolina",+NFL!#REF!,IF(+NFL!$H96="Carolina",+NFL!#REF!,0))</f>
        <v>0</v>
      </c>
      <c r="AR85" s="57">
        <f>IF(+NFL!$F96="Carolina",+NFL!#REF!,IF(+NFL!$H96="Carolina",+NFL!#REF!,0))</f>
        <v>0</v>
      </c>
      <c r="AS85" s="64">
        <f>IF(+NFL!$F96="Carolina",+NFL!#REF!,IF(+NFL!$H96="Carolina",+NFL!#REF!,0))</f>
        <v>0</v>
      </c>
      <c r="AT85" s="46">
        <f>IF(+NFL!$F96="Carolina",+NFL!#REF!,IF(+NFL!$H96="Carolina",+NFL!#REF!,0))</f>
        <v>0</v>
      </c>
      <c r="AU85" s="57">
        <f>IF(+NFL!$F96="Carolina",+NFL!#REF!,IF(+NFL!$H96="Carolina",+NFL!#REF!,0))</f>
        <v>0</v>
      </c>
      <c r="AV85" s="64">
        <f>IF(+NFL!$F96="Carolina",+NFL!#REF!,IF(+NFL!$H96="Carolina",+NFL!#REF!,0))</f>
        <v>0</v>
      </c>
      <c r="AW85" s="46">
        <f>IF(+NFL!$F96="Carolina",+NFL!#REF!,IF(+NFL!$H96="Carolina",+NFL!#REF!,0))</f>
        <v>0</v>
      </c>
      <c r="AX85" s="64">
        <f>IF(+NFL!$F96="Carolina",+NFL!#REF!,IF(+NFL!$H96="Carolina",+NFL!#REF!,0))</f>
        <v>0</v>
      </c>
      <c r="AY85" s="57">
        <f>IF(+NFL!$F96="Carolina",+NFL!#REF!,IF(+NFL!$H96="Carolina",+NFL!#REF!,0))</f>
        <v>0</v>
      </c>
      <c r="AZ85" s="64">
        <f>IF(+NFL!$F96="Carolina",+NFL!#REF!,IF(+NFL!$H96="Carolina",+NFL!#REF!,0))</f>
        <v>0</v>
      </c>
      <c r="BA85" s="46">
        <f>IF(+NFL!$F96="Carolina",+NFL!#REF!,IF(+NFL!$H96="Carolina",+NFL!#REF!,0))</f>
        <v>0</v>
      </c>
      <c r="BB85" s="46">
        <f>IF(+NFL!$F96="Carolina",+NFL!#REF!,IF(+NFL!$H96="Carolina",+NFL!#REF!,0))</f>
        <v>0</v>
      </c>
      <c r="BC85" s="403">
        <f>IF(+NFL!$F96="Carolina",+NFL!#REF!,IF(+NFL!$H96="Carolina",+NFL!#REF!,0))</f>
        <v>0</v>
      </c>
      <c r="BD85" s="57">
        <f>IF(+NFL!$F96="Carolina",+NFL!#REF!,IF(+NFL!$H96="Carolina",+NFL!#REF!,0))</f>
        <v>0</v>
      </c>
      <c r="BE85" s="64">
        <f>IF(+NFL!$F96="Carolina",+NFL!#REF!,IF(+NFL!$H96="Carolina",+NFL!#REF!,0))</f>
        <v>0</v>
      </c>
      <c r="BF85" s="46">
        <f>IF(+NFL!$F96="Carolina",+NFL!#REF!,IF(+NFL!$H96="Carolina",+NFL!#REF!,0))</f>
        <v>0</v>
      </c>
      <c r="BG85" s="57">
        <f>IF(+NFL!$F96="Carolina",+NFL!#REF!,IF(+NFL!$H96="Carolina",+NFL!#REF!,0))</f>
        <v>0</v>
      </c>
      <c r="BH85" s="64">
        <f>IF(+NFL!$F96="Carolina",+NFL!#REF!,IF(+NFL!$H96="Carolina",+NFL!#REF!,0))</f>
        <v>0</v>
      </c>
      <c r="BI85" s="46">
        <f>IF(+NFL!$F96="Carolina",+NFL!#REF!,IF(+NFL!$H96="Carolina",+NFL!#REF!,0))</f>
        <v>0</v>
      </c>
      <c r="BJ85" s="87">
        <f>IF(+NFL!$F96="Carolina",+NFL!#REF!,IF(+NFL!$H96="Carolina",+NFL!#REF!,0))</f>
        <v>0</v>
      </c>
      <c r="BK85" s="120">
        <f>IF(+NFL!$F96="Carolina",+NFL!#REF!,IF(+NFL!$H96="Carolina",+NFL!#REF!,0))</f>
        <v>0</v>
      </c>
    </row>
    <row r="86" spans="1:63" x14ac:dyDescent="0.8">
      <c r="A86" s="46">
        <f>IF(+NFL!$F114="Carolina",+NFL!A114,IF(+NFL!$H114="Carolina",+NFL!A114,0))</f>
        <v>7</v>
      </c>
      <c r="B86" s="348" t="str">
        <f>IF(+NFL!$F114="Carolina",+NFL!B114,IF(+NFL!$H114="Carolina",+NFL!B114,0))</f>
        <v>Sun</v>
      </c>
      <c r="C86" s="48">
        <f>IF(+NFL!$F114="Carolina",+NFL!C114,IF(+NFL!$H114="Carolina",+NFL!C114,0))</f>
        <v>44857</v>
      </c>
      <c r="D86" s="490">
        <f>IF(+NFL!$F114="Carolina",+NFL!D114,IF(+NFL!$H114="Carolina",+NFL!D114,0))</f>
        <v>0.54166666666666663</v>
      </c>
      <c r="E86" s="491" t="str">
        <f>IF(+NFL!$F114="Carolina",+NFL!E114,IF(+NFL!$H114="Carolina",+NFL!E114,0))</f>
        <v>Fox</v>
      </c>
      <c r="F86" s="130" t="str">
        <f>IF(+NFL!$F114="Carolina",+NFL!F114,IF(+NFL!$H114="Carolina",+NFL!F114,0))</f>
        <v>Tampa Bay</v>
      </c>
      <c r="G86" s="491" t="str">
        <f>IF(+NFL!$F114="Carolina",+NFL!G114,IF(+NFL!$H114="Carolina",+NFL!G114,0))</f>
        <v>NFCS</v>
      </c>
      <c r="H86" s="130" t="str">
        <f>IF(+NFL!$F114="Carolina",+NFL!H114,IF(+NFL!$H114="Carolina",+NFL!H114,0))</f>
        <v>Carolina</v>
      </c>
      <c r="I86" s="491" t="str">
        <f>IF(+NFL!$F114="Carolina",+NFL!I114,IF(+NFL!$H114="Carolina",+NFL!I114,0))</f>
        <v>NFCS</v>
      </c>
      <c r="J86" s="353" t="str">
        <f>IF(+NFL!$F114="Carolina",+NFL!J114,IF(+NFL!$H114="Carolina",+NFL!J114,0))</f>
        <v>Tampa Bay</v>
      </c>
      <c r="K86" s="494" t="str">
        <f>IF(+NFL!$F114="Carolina",+NFL!K114,IF(+NFL!$H114="Carolina",+NFL!K114,0))</f>
        <v>Carolina</v>
      </c>
      <c r="L86" s="384">
        <f>IF(+NFL!$F114="Carolina",+NFL!L114,IF(+NFL!$H114="Carolina",+NFL!L114,0))</f>
        <v>11</v>
      </c>
      <c r="M86" s="385">
        <f>IF(+NFL!$F114="Carolina",+NFL!M114,IF(+NFL!$H114="Carolina",+NFL!M114,0))</f>
        <v>40</v>
      </c>
      <c r="N86" s="395" t="str">
        <f>IF(+NFL!$F114="Carolina",+NFL!N114,IF(+NFL!$H114="Carolina",+NFL!N114,0))</f>
        <v>Carolina</v>
      </c>
      <c r="O86" s="395">
        <f>IF(+NFL!$F114="Carolina",+NFL!O114,IF(+NFL!$H114="Carolina",+NFL!O114,0))</f>
        <v>21</v>
      </c>
      <c r="P86" s="395" t="str">
        <f>IF(+NFL!$F114="Carolina",+NFL!P114,IF(+NFL!$H114="Carolina",+NFL!P114,0))</f>
        <v>Tampa Bay</v>
      </c>
      <c r="Q86" s="396">
        <f>IF(+NFL!$F114="Carolina",+NFL!Q114,IF(+NFL!$H114="Carolina",+NFL!Q114,0))</f>
        <v>3</v>
      </c>
      <c r="R86" s="397" t="str">
        <f>IF(+NFL!$F114="Carolina",+NFL!R114,IF(+NFL!$H114="Carolina",+NFL!R114,0))</f>
        <v>Carolina</v>
      </c>
      <c r="S86" s="399" t="str">
        <f>IF(+NFL!$F114="Carolina",+NFL!S114,IF(+NFL!$H114="Carolina",+NFL!S114,0))</f>
        <v>Tampa Bay</v>
      </c>
      <c r="T86" s="398" t="str">
        <f>IF(+NFL!$F114="Carolina",+NFL!T114,IF(+NFL!$H114="Carolina",+NFL!T114,0))</f>
        <v>Tampa Bay</v>
      </c>
      <c r="U86" s="396" t="str">
        <f>IF(+NFL!$F114="Carolina",+NFL!U114,IF(+NFL!$H114="Carolina",+NFL!U114,0))</f>
        <v>L</v>
      </c>
      <c r="V86" s="397">
        <f>IF(+NFL!$F109="Carolina",+NFL!#REF!,IF(+NFL!$H109="Carolina",+NFL!#REF!,0))</f>
        <v>0</v>
      </c>
      <c r="W86" s="396">
        <f>IF(+NFL!$F109="Carolina",+NFL!#REF!,IF(+NFL!$H109="Carolina",+NFL!#REF!,0))</f>
        <v>0</v>
      </c>
      <c r="X86" s="398">
        <f>IF(+NFL!$F109="Carolina",+NFL!#REF!,IF(+NFL!$H109="Carolina",+NFL!#REF!,0))</f>
        <v>0</v>
      </c>
      <c r="Y86" s="396">
        <f>IF(+NFL!$F109="Carolina",+NFL!#REF!,IF(+NFL!$H109="Carolina",+NFL!#REF!,0))</f>
        <v>0</v>
      </c>
      <c r="Z86" s="397">
        <f>IF(+NFL!$F109="Carolina",+NFL!#REF!,IF(+NFL!$H109="Carolina",+NFL!#REF!,0))</f>
        <v>0</v>
      </c>
      <c r="AA86" s="396">
        <f>IF(+NFL!$F109="Carolina",+NFL!#REF!,IF(+NFL!$H109="Carolina",+NFL!#REF!,0))</f>
        <v>0</v>
      </c>
      <c r="AB86" s="87">
        <f>IF(+NFL!$F109="Carolina",+NFL!#REF!,IF(+NFL!$H109="Carolina",+NFL!#REF!,0))</f>
        <v>0</v>
      </c>
      <c r="AC86" s="120">
        <f>IF(+NFL!$F109="Carolina",+NFL!#REF!,IF(+NFL!$H109="Carolina",+NFL!#REF!,0))</f>
        <v>0</v>
      </c>
      <c r="AD86" s="353">
        <f>IF(+NFL!$F109="Carolina",+NFL!#REF!,IF(+NFL!$H109="Carolina",+NFL!#REF!,0))</f>
        <v>0</v>
      </c>
      <c r="AE86" s="379">
        <f>IF(+NFL!$F109="Carolina",+NFL!#REF!,IF(+NFL!$H109="Carolina",+NFL!#REF!,0))</f>
        <v>0</v>
      </c>
      <c r="AF86" s="353">
        <f>IF(+NFL!$F109="Carolina",+NFL!#REF!,IF(+NFL!$H109="Carolina",+NFL!#REF!,0))</f>
        <v>0</v>
      </c>
      <c r="AG86" s="379">
        <f>IF(+NFL!$F109="Carolina",+NFL!#REF!,IF(+NFL!$H109="Carolina",+NFL!#REF!,0))</f>
        <v>0</v>
      </c>
      <c r="AH86" s="353">
        <f>IF(+NFL!$F109="Carolina",+NFL!#REF!,IF(+NFL!$H109="Carolina",+NFL!#REF!,0))</f>
        <v>0</v>
      </c>
      <c r="AI86" s="379">
        <f>IF(+NFL!$F109="Carolina",+NFL!#REF!,IF(+NFL!$H109="Carolina",+NFL!#REF!,0))</f>
        <v>0</v>
      </c>
      <c r="AJ86" s="353">
        <f>IF(+NFL!$F109="Carolina",+NFL!#REF!,IF(+NFL!$H109="Carolina",+NFL!#REF!,0))</f>
        <v>0</v>
      </c>
      <c r="AK86" s="379">
        <f>IF(+NFL!$F109="Carolina",+NFL!#REF!,IF(+NFL!$H109="Carolina",+NFL!#REF!,0))</f>
        <v>0</v>
      </c>
      <c r="AL86" s="70">
        <f>IF(+NFL!$F109="Carolina",+NFL!#REF!,IF(+NFL!$H109="Carolina",+NFL!#REF!,0))</f>
        <v>0</v>
      </c>
      <c r="AM86" s="64">
        <f>IF(+NFL!$F109="Carolina",+NFL!#REF!,IF(+NFL!$H109="Carolina",+NFL!#REF!,0))</f>
        <v>0</v>
      </c>
      <c r="AN86" s="70">
        <f>IF(+NFL!$F109="Carolina",+NFL!#REF!,IF(+NFL!$H109="Carolina",+NFL!#REF!,0))</f>
        <v>0</v>
      </c>
      <c r="AO86" s="46">
        <f>IF(+NFL!$F109="Carolina",+NFL!#REF!,IF(+NFL!$H109="Carolina",+NFL!#REF!,0))</f>
        <v>0</v>
      </c>
      <c r="AP86" s="348">
        <f>IF(+NFL!$F109="Carolina",+NFL!#REF!,IF(+NFL!$H109="Carolina",+NFL!#REF!,0))</f>
        <v>0</v>
      </c>
      <c r="AQ86" s="48">
        <f>IF(+NFL!$F109="Carolina",+NFL!#REF!,IF(+NFL!$H109="Carolina",+NFL!#REF!,0))</f>
        <v>0</v>
      </c>
      <c r="AR86" s="57">
        <f>IF(+NFL!$F109="Carolina",+NFL!#REF!,IF(+NFL!$H109="Carolina",+NFL!#REF!,0))</f>
        <v>0</v>
      </c>
      <c r="AS86" s="64">
        <f>IF(+NFL!$F109="Carolina",+NFL!#REF!,IF(+NFL!$H109="Carolina",+NFL!#REF!,0))</f>
        <v>0</v>
      </c>
      <c r="AT86" s="46">
        <f>IF(+NFL!$F109="Carolina",+NFL!#REF!,IF(+NFL!$H109="Carolina",+NFL!#REF!,0))</f>
        <v>0</v>
      </c>
      <c r="AU86" s="57">
        <f>IF(+NFL!$F109="Carolina",+NFL!#REF!,IF(+NFL!$H109="Carolina",+NFL!#REF!,0))</f>
        <v>0</v>
      </c>
      <c r="AV86" s="64">
        <f>IF(+NFL!$F109="Carolina",+NFL!#REF!,IF(+NFL!$H109="Carolina",+NFL!#REF!,0))</f>
        <v>0</v>
      </c>
      <c r="AW86" s="46">
        <f>IF(+NFL!$F109="Carolina",+NFL!#REF!,IF(+NFL!$H109="Carolina",+NFL!#REF!,0))</f>
        <v>0</v>
      </c>
      <c r="AX86" s="64">
        <f>IF(+NFL!$F109="Carolina",+NFL!#REF!,IF(+NFL!$H109="Carolina",+NFL!#REF!,0))</f>
        <v>0</v>
      </c>
      <c r="AY86" s="57">
        <f>IF(+NFL!$F109="Carolina",+NFL!#REF!,IF(+NFL!$H109="Carolina",+NFL!#REF!,0))</f>
        <v>0</v>
      </c>
      <c r="AZ86" s="64">
        <f>IF(+NFL!$F109="Carolina",+NFL!#REF!,IF(+NFL!$H109="Carolina",+NFL!#REF!,0))</f>
        <v>0</v>
      </c>
      <c r="BA86" s="46">
        <f>IF(+NFL!$F109="Carolina",+NFL!#REF!,IF(+NFL!$H109="Carolina",+NFL!#REF!,0))</f>
        <v>0</v>
      </c>
      <c r="BB86" s="46">
        <f>IF(+NFL!$F109="Carolina",+NFL!#REF!,IF(+NFL!$H109="Carolina",+NFL!#REF!,0))</f>
        <v>0</v>
      </c>
      <c r="BC86" s="403">
        <f>IF(+NFL!$F109="Carolina",+NFL!#REF!,IF(+NFL!$H109="Carolina",+NFL!#REF!,0))</f>
        <v>0</v>
      </c>
      <c r="BD86" s="57">
        <f>IF(+NFL!$F109="Carolina",+NFL!#REF!,IF(+NFL!$H109="Carolina",+NFL!#REF!,0))</f>
        <v>0</v>
      </c>
      <c r="BE86" s="64">
        <f>IF(+NFL!$F109="Carolina",+NFL!#REF!,IF(+NFL!$H109="Carolina",+NFL!#REF!,0))</f>
        <v>0</v>
      </c>
      <c r="BF86" s="46">
        <f>IF(+NFL!$F109="Carolina",+NFL!#REF!,IF(+NFL!$H109="Carolina",+NFL!#REF!,0))</f>
        <v>0</v>
      </c>
      <c r="BG86" s="57">
        <f>IF(+NFL!$F109="Carolina",+NFL!#REF!,IF(+NFL!$H109="Carolina",+NFL!#REF!,0))</f>
        <v>0</v>
      </c>
      <c r="BH86" s="64">
        <f>IF(+NFL!$F109="Carolina",+NFL!#REF!,IF(+NFL!$H109="Carolina",+NFL!#REF!,0))</f>
        <v>0</v>
      </c>
      <c r="BI86" s="46">
        <f>IF(+NFL!$F109="Carolina",+NFL!#REF!,IF(+NFL!$H109="Carolina",+NFL!#REF!,0))</f>
        <v>0</v>
      </c>
      <c r="BJ86" s="87">
        <f>IF(+NFL!$F109="Carolina",+NFL!#REF!,IF(+NFL!$H109="Carolina",+NFL!#REF!,0))</f>
        <v>0</v>
      </c>
      <c r="BK86" s="120">
        <f>IF(+NFL!$F109="Carolina",+NFL!#REF!,IF(+NFL!$H109="Carolina",+NFL!#REF!,0))</f>
        <v>0</v>
      </c>
    </row>
    <row r="87" spans="1:63" x14ac:dyDescent="0.8">
      <c r="A87" s="46">
        <f>IF(+NFL!$F131="Carolina",+NFL!A131,IF(+NFL!$H131="Carolina",+NFL!A131,0))</f>
        <v>8</v>
      </c>
      <c r="B87" s="348" t="str">
        <f>IF(+NFL!$F131="Carolina",+NFL!B131,IF(+NFL!$H131="Carolina",+NFL!B131,0))</f>
        <v>Sun</v>
      </c>
      <c r="C87" s="48">
        <f>IF(+NFL!$F131="Carolina",+NFL!C131,IF(+NFL!$H131="Carolina",+NFL!C131,0))</f>
        <v>44864</v>
      </c>
      <c r="D87" s="490">
        <f>IF(+NFL!$F131="Carolina",+NFL!D131,IF(+NFL!$H131="Carolina",+NFL!D131,0))</f>
        <v>0.54166666666666663</v>
      </c>
      <c r="E87" s="491" t="str">
        <f>IF(+NFL!$F131="Carolina",+NFL!E131,IF(+NFL!$H131="Carolina",+NFL!E131,0))</f>
        <v>Fox</v>
      </c>
      <c r="F87" s="130" t="str">
        <f>IF(+NFL!$F131="Carolina",+NFL!F131,IF(+NFL!$H131="Carolina",+NFL!F131,0))</f>
        <v>Carolina</v>
      </c>
      <c r="G87" s="491" t="str">
        <f>IF(+NFL!$F131="Carolina",+NFL!G131,IF(+NFL!$H131="Carolina",+NFL!G131,0))</f>
        <v>NFCS</v>
      </c>
      <c r="H87" s="130" t="str">
        <f>IF(+NFL!$F131="Carolina",+NFL!H131,IF(+NFL!$H131="Carolina",+NFL!H131,0))</f>
        <v>Atlanta</v>
      </c>
      <c r="I87" s="491" t="str">
        <f>IF(+NFL!$F131="Carolina",+NFL!I131,IF(+NFL!$H131="Carolina",+NFL!I131,0))</f>
        <v>NFCS</v>
      </c>
      <c r="J87" s="353" t="str">
        <f>IF(+NFL!$F131="Carolina",+NFL!J131,IF(+NFL!$H131="Carolina",+NFL!J131,0))</f>
        <v>Atlanta</v>
      </c>
      <c r="K87" s="494" t="str">
        <f>IF(+NFL!$F131="Carolina",+NFL!K131,IF(+NFL!$H131="Carolina",+NFL!K131,0))</f>
        <v>Carolina</v>
      </c>
      <c r="L87" s="384">
        <f>IF(+NFL!$F131="Carolina",+NFL!L131,IF(+NFL!$H131="Carolina",+NFL!L131,0))</f>
        <v>4.5</v>
      </c>
      <c r="M87" s="385">
        <f>IF(+NFL!$F131="Carolina",+NFL!M131,IF(+NFL!$H131="Carolina",+NFL!M131,0))</f>
        <v>42</v>
      </c>
      <c r="N87" s="395" t="str">
        <f>IF(+NFL!$F131="Carolina",+NFL!N131,IF(+NFL!$H131="Carolina",+NFL!N131,0))</f>
        <v>Atlanta</v>
      </c>
      <c r="O87" s="395">
        <f>IF(+NFL!$F131="Carolina",+NFL!O131,IF(+NFL!$H131="Carolina",+NFL!O131,0))</f>
        <v>37</v>
      </c>
      <c r="P87" s="395" t="str">
        <f>IF(+NFL!$F131="Carolina",+NFL!P131,IF(+NFL!$H131="Carolina",+NFL!P131,0))</f>
        <v>Carolina</v>
      </c>
      <c r="Q87" s="396">
        <f>IF(+NFL!$F131="Carolina",+NFL!Q131,IF(+NFL!$H131="Carolina",+NFL!Q131,0))</f>
        <v>34</v>
      </c>
      <c r="R87" s="397" t="str">
        <f>IF(+NFL!$F131="Carolina",+NFL!R131,IF(+NFL!$H131="Carolina",+NFL!R131,0))</f>
        <v>Carolina</v>
      </c>
      <c r="S87" s="399" t="str">
        <f>IF(+NFL!$F131="Carolina",+NFL!S131,IF(+NFL!$H131="Carolina",+NFL!S131,0))</f>
        <v>Atlanta</v>
      </c>
      <c r="T87" s="398" t="str">
        <f>IF(+NFL!$F131="Carolina",+NFL!T131,IF(+NFL!$H131="Carolina",+NFL!T131,0))</f>
        <v>Atlanta</v>
      </c>
      <c r="U87" s="396" t="str">
        <f>IF(+NFL!$F131="Carolina",+NFL!U131,IF(+NFL!$H131="Carolina",+NFL!U131,0))</f>
        <v>L</v>
      </c>
      <c r="V87" s="397">
        <f>IF(+NFL!$F146="Carolina",+NFL!#REF!,IF(+NFL!$H146="Carolina",+NFL!#REF!,0))</f>
        <v>0</v>
      </c>
      <c r="W87" s="396">
        <f>IF(+NFL!$F146="Carolina",+NFL!#REF!,IF(+NFL!$H146="Carolina",+NFL!#REF!,0))</f>
        <v>0</v>
      </c>
      <c r="X87" s="398">
        <f>IF(+NFL!$F146="Carolina",+NFL!#REF!,IF(+NFL!$H146="Carolina",+NFL!#REF!,0))</f>
        <v>0</v>
      </c>
      <c r="Y87" s="396">
        <f>IF(+NFL!$F146="Carolina",+NFL!#REF!,IF(+NFL!$H146="Carolina",+NFL!#REF!,0))</f>
        <v>0</v>
      </c>
      <c r="Z87" s="397">
        <f>IF(+NFL!$F146="Carolina",+NFL!#REF!,IF(+NFL!$H146="Carolina",+NFL!#REF!,0))</f>
        <v>0</v>
      </c>
      <c r="AA87" s="396">
        <f>IF(+NFL!$F146="Carolina",+NFL!#REF!,IF(+NFL!$H146="Carolina",+NFL!#REF!,0))</f>
        <v>0</v>
      </c>
      <c r="AB87" s="87">
        <f>IF(+NFL!$F146="Carolina",+NFL!#REF!,IF(+NFL!$H146="Carolina",+NFL!#REF!,0))</f>
        <v>0</v>
      </c>
      <c r="AC87" s="120">
        <f>IF(+NFL!$F146="Carolina",+NFL!#REF!,IF(+NFL!$H146="Carolina",+NFL!#REF!,0))</f>
        <v>0</v>
      </c>
      <c r="AD87" s="353">
        <f>IF(+NFL!$F146="Carolina",+NFL!#REF!,IF(+NFL!$H146="Carolina",+NFL!#REF!,0))</f>
        <v>0</v>
      </c>
      <c r="AE87" s="379">
        <f>IF(+NFL!$F146="Carolina",+NFL!#REF!,IF(+NFL!$H146="Carolina",+NFL!#REF!,0))</f>
        <v>0</v>
      </c>
      <c r="AF87" s="353">
        <f>IF(+NFL!$F146="Carolina",+NFL!#REF!,IF(+NFL!$H146="Carolina",+NFL!#REF!,0))</f>
        <v>0</v>
      </c>
      <c r="AG87" s="379">
        <f>IF(+NFL!$F146="Carolina",+NFL!#REF!,IF(+NFL!$H146="Carolina",+NFL!#REF!,0))</f>
        <v>0</v>
      </c>
      <c r="AH87" s="353">
        <f>IF(+NFL!$F146="Carolina",+NFL!#REF!,IF(+NFL!$H146="Carolina",+NFL!#REF!,0))</f>
        <v>0</v>
      </c>
      <c r="AI87" s="379">
        <f>IF(+NFL!$F146="Carolina",+NFL!#REF!,IF(+NFL!$H146="Carolina",+NFL!#REF!,0))</f>
        <v>0</v>
      </c>
      <c r="AJ87" s="353">
        <f>IF(+NFL!$F146="Carolina",+NFL!#REF!,IF(+NFL!$H146="Carolina",+NFL!#REF!,0))</f>
        <v>0</v>
      </c>
      <c r="AK87" s="379">
        <f>IF(+NFL!$F146="Carolina",+NFL!#REF!,IF(+NFL!$H146="Carolina",+NFL!#REF!,0))</f>
        <v>0</v>
      </c>
      <c r="AL87" s="70">
        <f>IF(+NFL!$F146="Carolina",+NFL!#REF!,IF(+NFL!$H146="Carolina",+NFL!#REF!,0))</f>
        <v>0</v>
      </c>
      <c r="AM87" s="64">
        <f>IF(+NFL!$F146="Carolina",+NFL!#REF!,IF(+NFL!$H146="Carolina",+NFL!#REF!,0))</f>
        <v>0</v>
      </c>
      <c r="AN87" s="70">
        <f>IF(+NFL!$F146="Carolina",+NFL!#REF!,IF(+NFL!$H146="Carolina",+NFL!#REF!,0))</f>
        <v>0</v>
      </c>
      <c r="AO87" s="46">
        <f>IF(+NFL!$F146="Carolina",+NFL!#REF!,IF(+NFL!$H146="Carolina",+NFL!#REF!,0))</f>
        <v>0</v>
      </c>
      <c r="AP87" s="348">
        <f>IF(+NFL!$F146="Carolina",+NFL!#REF!,IF(+NFL!$H146="Carolina",+NFL!#REF!,0))</f>
        <v>0</v>
      </c>
      <c r="AQ87" s="48">
        <f>IF(+NFL!$F146="Carolina",+NFL!#REF!,IF(+NFL!$H146="Carolina",+NFL!#REF!,0))</f>
        <v>0</v>
      </c>
      <c r="AR87" s="57">
        <f>IF(+NFL!$F146="Carolina",+NFL!#REF!,IF(+NFL!$H146="Carolina",+NFL!#REF!,0))</f>
        <v>0</v>
      </c>
      <c r="AS87" s="64">
        <f>IF(+NFL!$F146="Carolina",+NFL!#REF!,IF(+NFL!$H146="Carolina",+NFL!#REF!,0))</f>
        <v>0</v>
      </c>
      <c r="AT87" s="46">
        <f>IF(+NFL!$F146="Carolina",+NFL!#REF!,IF(+NFL!$H146="Carolina",+NFL!#REF!,0))</f>
        <v>0</v>
      </c>
      <c r="AU87" s="57">
        <f>IF(+NFL!$F146="Carolina",+NFL!#REF!,IF(+NFL!$H146="Carolina",+NFL!#REF!,0))</f>
        <v>0</v>
      </c>
      <c r="AV87" s="64">
        <f>IF(+NFL!$F146="Carolina",+NFL!#REF!,IF(+NFL!$H146="Carolina",+NFL!#REF!,0))</f>
        <v>0</v>
      </c>
      <c r="AW87" s="46">
        <f>IF(+NFL!$F146="Carolina",+NFL!#REF!,IF(+NFL!$H146="Carolina",+NFL!#REF!,0))</f>
        <v>0</v>
      </c>
      <c r="AX87" s="64">
        <f>IF(+NFL!$F146="Carolina",+NFL!#REF!,IF(+NFL!$H146="Carolina",+NFL!#REF!,0))</f>
        <v>0</v>
      </c>
      <c r="AY87" s="57">
        <f>IF(+NFL!$F146="Carolina",+NFL!#REF!,IF(+NFL!$H146="Carolina",+NFL!#REF!,0))</f>
        <v>0</v>
      </c>
      <c r="AZ87" s="64">
        <f>IF(+NFL!$F146="Carolina",+NFL!#REF!,IF(+NFL!$H146="Carolina",+NFL!#REF!,0))</f>
        <v>0</v>
      </c>
      <c r="BA87" s="46">
        <f>IF(+NFL!$F146="Carolina",+NFL!#REF!,IF(+NFL!$H146="Carolina",+NFL!#REF!,0))</f>
        <v>0</v>
      </c>
      <c r="BB87" s="46">
        <f>IF(+NFL!$F146="Carolina",+NFL!#REF!,IF(+NFL!$H146="Carolina",+NFL!#REF!,0))</f>
        <v>0</v>
      </c>
      <c r="BC87" s="403">
        <f>IF(+NFL!$F146="Carolina",+NFL!#REF!,IF(+NFL!$H146="Carolina",+NFL!#REF!,0))</f>
        <v>0</v>
      </c>
      <c r="BD87" s="57">
        <f>IF(+NFL!$F146="Carolina",+NFL!#REF!,IF(+NFL!$H146="Carolina",+NFL!#REF!,0))</f>
        <v>0</v>
      </c>
      <c r="BE87" s="64">
        <f>IF(+NFL!$F146="Carolina",+NFL!#REF!,IF(+NFL!$H146="Carolina",+NFL!#REF!,0))</f>
        <v>0</v>
      </c>
      <c r="BF87" s="46">
        <f>IF(+NFL!$F146="Carolina",+NFL!#REF!,IF(+NFL!$H146="Carolina",+NFL!#REF!,0))</f>
        <v>0</v>
      </c>
      <c r="BG87" s="57">
        <f>IF(+NFL!$F146="Carolina",+NFL!#REF!,IF(+NFL!$H146="Carolina",+NFL!#REF!,0))</f>
        <v>0</v>
      </c>
      <c r="BH87" s="64">
        <f>IF(+NFL!$F146="Carolina",+NFL!#REF!,IF(+NFL!$H146="Carolina",+NFL!#REF!,0))</f>
        <v>0</v>
      </c>
      <c r="BI87" s="46">
        <f>IF(+NFL!$F146="Carolina",+NFL!#REF!,IF(+NFL!$H146="Carolina",+NFL!#REF!,0))</f>
        <v>0</v>
      </c>
      <c r="BJ87" s="87">
        <f>IF(+NFL!$F146="Carolina",+NFL!#REF!,IF(+NFL!$H146="Carolina",+NFL!#REF!,0))</f>
        <v>0</v>
      </c>
      <c r="BK87" s="120">
        <f>IF(+NFL!$F146="Carolina",+NFL!#REF!,IF(+NFL!$H146="Carolina",+NFL!#REF!,0))</f>
        <v>0</v>
      </c>
    </row>
    <row r="88" spans="1:63" x14ac:dyDescent="0.8">
      <c r="A88" s="46">
        <f>IF(+NFL!$F150="Carolina",+NFL!A150,IF(+NFL!$H150="Carolina",+NFL!A150,0))</f>
        <v>9</v>
      </c>
      <c r="B88" s="348" t="str">
        <f>IF(+NFL!$F150="Carolina",+NFL!B150,IF(+NFL!$H150="Carolina",+NFL!B150,0))</f>
        <v>Sun</v>
      </c>
      <c r="C88" s="48">
        <f>IF(+NFL!$F150="Carolina",+NFL!C150,IF(+NFL!$H150="Carolina",+NFL!C150,0))</f>
        <v>44871</v>
      </c>
      <c r="D88" s="490">
        <f>IF(+NFL!$F150="Carolina",+NFL!D150,IF(+NFL!$H150="Carolina",+NFL!D150,0))</f>
        <v>0.39583333333333331</v>
      </c>
      <c r="E88" s="491" t="str">
        <f>IF(+NFL!$F150="Carolina",+NFL!E150,IF(+NFL!$H150="Carolina",+NFL!E150,0))</f>
        <v>Fox</v>
      </c>
      <c r="F88" s="130" t="str">
        <f>IF(+NFL!$F150="Carolina",+NFL!F150,IF(+NFL!$H150="Carolina",+NFL!F150,0))</f>
        <v>Carolina</v>
      </c>
      <c r="G88" s="491" t="str">
        <f>IF(+NFL!$F150="Carolina",+NFL!G150,IF(+NFL!$H150="Carolina",+NFL!G150,0))</f>
        <v>NFCS</v>
      </c>
      <c r="H88" s="130" t="str">
        <f>IF(+NFL!$F150="Carolina",+NFL!H150,IF(+NFL!$H150="Carolina",+NFL!H150,0))</f>
        <v>Cincinnati</v>
      </c>
      <c r="I88" s="491" t="str">
        <f>IF(+NFL!$F150="Carolina",+NFL!I150,IF(+NFL!$H150="Carolina",+NFL!I150,0))</f>
        <v>AFCN</v>
      </c>
      <c r="J88" s="353" t="str">
        <f>IF(+NFL!$F150="Carolina",+NFL!J150,IF(+NFL!$H150="Carolina",+NFL!J150,0))</f>
        <v>Cincinnati</v>
      </c>
      <c r="K88" s="494" t="str">
        <f>IF(+NFL!$F150="Carolina",+NFL!K150,IF(+NFL!$H150="Carolina",+NFL!K150,0))</f>
        <v>Carolina</v>
      </c>
      <c r="L88" s="384">
        <f>IF(+NFL!$F150="Carolina",+NFL!L150,IF(+NFL!$H150="Carolina",+NFL!L150,0))</f>
        <v>7.5</v>
      </c>
      <c r="M88" s="385">
        <f>IF(+NFL!$F150="Carolina",+NFL!M150,IF(+NFL!$H150="Carolina",+NFL!M150,0))</f>
        <v>42.5</v>
      </c>
      <c r="N88" s="395" t="str">
        <f>IF(+NFL!$F150="Carolina",+NFL!N150,IF(+NFL!$H150="Carolina",+NFL!N150,0))</f>
        <v>Cincinnati</v>
      </c>
      <c r="O88" s="395">
        <f>IF(+NFL!$F150="Carolina",+NFL!O150,IF(+NFL!$H150="Carolina",+NFL!O150,0))</f>
        <v>42</v>
      </c>
      <c r="P88" s="395" t="str">
        <f>IF(+NFL!$F150="Carolina",+NFL!P150,IF(+NFL!$H150="Carolina",+NFL!P150,0))</f>
        <v>Carolina</v>
      </c>
      <c r="Q88" s="396">
        <f>IF(+NFL!$F150="Carolina",+NFL!Q150,IF(+NFL!$H150="Carolina",+NFL!Q150,0))</f>
        <v>21</v>
      </c>
      <c r="R88" s="397" t="str">
        <f>IF(+NFL!$F150="Carolina",+NFL!R150,IF(+NFL!$H150="Carolina",+NFL!R150,0))</f>
        <v>Cincinnati</v>
      </c>
      <c r="S88" s="399" t="str">
        <f>IF(+NFL!$F150="Carolina",+NFL!S150,IF(+NFL!$H150="Carolina",+NFL!S150,0))</f>
        <v>Carolina</v>
      </c>
      <c r="T88" s="398" t="str">
        <f>IF(+NFL!$F150="Carolina",+NFL!T150,IF(+NFL!$H150="Carolina",+NFL!T150,0))</f>
        <v>Carolina</v>
      </c>
      <c r="U88" s="396" t="str">
        <f>IF(+NFL!$F150="Carolina",+NFL!U150,IF(+NFL!$H150="Carolina",+NFL!U150,0))</f>
        <v>L</v>
      </c>
      <c r="V88" s="397">
        <f>IF(+NFL!$F160="Carolina",+NFL!#REF!,IF(+NFL!$H160="Carolina",+NFL!#REF!,0))</f>
        <v>0</v>
      </c>
      <c r="W88" s="396">
        <f>IF(+NFL!$F160="Carolina",+NFL!#REF!,IF(+NFL!$H160="Carolina",+NFL!#REF!,0))</f>
        <v>0</v>
      </c>
      <c r="X88" s="398">
        <f>IF(+NFL!$F160="Carolina",+NFL!#REF!,IF(+NFL!$H160="Carolina",+NFL!#REF!,0))</f>
        <v>0</v>
      </c>
      <c r="Y88" s="396">
        <f>IF(+NFL!$F160="Carolina",+NFL!#REF!,IF(+NFL!$H160="Carolina",+NFL!#REF!,0))</f>
        <v>0</v>
      </c>
      <c r="Z88" s="397">
        <f>IF(+NFL!$F160="Carolina",+NFL!#REF!,IF(+NFL!$H160="Carolina",+NFL!#REF!,0))</f>
        <v>0</v>
      </c>
      <c r="AA88" s="396">
        <f>IF(+NFL!$F160="Carolina",+NFL!#REF!,IF(+NFL!$H160="Carolina",+NFL!#REF!,0))</f>
        <v>0</v>
      </c>
      <c r="AB88" s="87">
        <f>IF(+NFL!$F160="Carolina",+NFL!#REF!,IF(+NFL!$H160="Carolina",+NFL!#REF!,0))</f>
        <v>0</v>
      </c>
      <c r="AC88" s="120">
        <f>IF(+NFL!$F160="Carolina",+NFL!#REF!,IF(+NFL!$H160="Carolina",+NFL!#REF!,0))</f>
        <v>0</v>
      </c>
      <c r="AD88" s="353">
        <f>IF(+NFL!$F160="Carolina",+NFL!#REF!,IF(+NFL!$H160="Carolina",+NFL!#REF!,0))</f>
        <v>0</v>
      </c>
      <c r="AE88" s="379">
        <f>IF(+NFL!$F160="Carolina",+NFL!#REF!,IF(+NFL!$H160="Carolina",+NFL!#REF!,0))</f>
        <v>0</v>
      </c>
      <c r="AF88" s="353">
        <f>IF(+NFL!$F160="Carolina",+NFL!#REF!,IF(+NFL!$H160="Carolina",+NFL!#REF!,0))</f>
        <v>0</v>
      </c>
      <c r="AG88" s="379">
        <f>IF(+NFL!$F160="Carolina",+NFL!#REF!,IF(+NFL!$H160="Carolina",+NFL!#REF!,0))</f>
        <v>0</v>
      </c>
      <c r="AH88" s="353">
        <f>IF(+NFL!$F160="Carolina",+NFL!#REF!,IF(+NFL!$H160="Carolina",+NFL!#REF!,0))</f>
        <v>0</v>
      </c>
      <c r="AI88" s="379">
        <f>IF(+NFL!$F160="Carolina",+NFL!#REF!,IF(+NFL!$H160="Carolina",+NFL!#REF!,0))</f>
        <v>0</v>
      </c>
      <c r="AJ88" s="353">
        <f>IF(+NFL!$F160="Carolina",+NFL!#REF!,IF(+NFL!$H160="Carolina",+NFL!#REF!,0))</f>
        <v>0</v>
      </c>
      <c r="AK88" s="379">
        <f>IF(+NFL!$F160="Carolina",+NFL!#REF!,IF(+NFL!$H160="Carolina",+NFL!#REF!,0))</f>
        <v>0</v>
      </c>
      <c r="AL88" s="70">
        <f>IF(+NFL!$F160="Carolina",+NFL!#REF!,IF(+NFL!$H160="Carolina",+NFL!#REF!,0))</f>
        <v>0</v>
      </c>
      <c r="AM88" s="64">
        <f>IF(+NFL!$F160="Carolina",+NFL!#REF!,IF(+NFL!$H160="Carolina",+NFL!#REF!,0))</f>
        <v>0</v>
      </c>
      <c r="AN88" s="70">
        <f>IF(+NFL!$F160="Carolina",+NFL!#REF!,IF(+NFL!$H160="Carolina",+NFL!#REF!,0))</f>
        <v>0</v>
      </c>
      <c r="AO88" s="46">
        <f>IF(+NFL!$F160="Carolina",+NFL!#REF!,IF(+NFL!$H160="Carolina",+NFL!#REF!,0))</f>
        <v>0</v>
      </c>
      <c r="AP88" s="348">
        <f>IF(+NFL!$F160="Carolina",+NFL!#REF!,IF(+NFL!$H160="Carolina",+NFL!#REF!,0))</f>
        <v>0</v>
      </c>
      <c r="AQ88" s="48">
        <f>IF(+NFL!$F160="Carolina",+NFL!#REF!,IF(+NFL!$H160="Carolina",+NFL!#REF!,0))</f>
        <v>0</v>
      </c>
      <c r="AR88" s="57">
        <f>IF(+NFL!$F160="Carolina",+NFL!#REF!,IF(+NFL!$H160="Carolina",+NFL!#REF!,0))</f>
        <v>0</v>
      </c>
      <c r="AS88" s="64">
        <f>IF(+NFL!$F160="Carolina",+NFL!#REF!,IF(+NFL!$H160="Carolina",+NFL!#REF!,0))</f>
        <v>0</v>
      </c>
      <c r="AT88" s="46">
        <f>IF(+NFL!$F160="Carolina",+NFL!#REF!,IF(+NFL!$H160="Carolina",+NFL!#REF!,0))</f>
        <v>0</v>
      </c>
      <c r="AU88" s="57">
        <f>IF(+NFL!$F160="Carolina",+NFL!#REF!,IF(+NFL!$H160="Carolina",+NFL!#REF!,0))</f>
        <v>0</v>
      </c>
      <c r="AV88" s="64">
        <f>IF(+NFL!$F160="Carolina",+NFL!#REF!,IF(+NFL!$H160="Carolina",+NFL!#REF!,0))</f>
        <v>0</v>
      </c>
      <c r="AW88" s="46">
        <f>IF(+NFL!$F160="Carolina",+NFL!#REF!,IF(+NFL!$H160="Carolina",+NFL!#REF!,0))</f>
        <v>0</v>
      </c>
      <c r="AX88" s="64">
        <f>IF(+NFL!$F160="Carolina",+NFL!#REF!,IF(+NFL!$H160="Carolina",+NFL!#REF!,0))</f>
        <v>0</v>
      </c>
      <c r="AY88" s="57">
        <f>IF(+NFL!$F160="Carolina",+NFL!#REF!,IF(+NFL!$H160="Carolina",+NFL!#REF!,0))</f>
        <v>0</v>
      </c>
      <c r="AZ88" s="64">
        <f>IF(+NFL!$F160="Carolina",+NFL!#REF!,IF(+NFL!$H160="Carolina",+NFL!#REF!,0))</f>
        <v>0</v>
      </c>
      <c r="BA88" s="46">
        <f>IF(+NFL!$F160="Carolina",+NFL!#REF!,IF(+NFL!$H160="Carolina",+NFL!#REF!,0))</f>
        <v>0</v>
      </c>
      <c r="BB88" s="46">
        <f>IF(+NFL!$F160="Carolina",+NFL!#REF!,IF(+NFL!$H160="Carolina",+NFL!#REF!,0))</f>
        <v>0</v>
      </c>
      <c r="BC88" s="403">
        <f>IF(+NFL!$F160="Carolina",+NFL!#REF!,IF(+NFL!$H160="Carolina",+NFL!#REF!,0))</f>
        <v>0</v>
      </c>
      <c r="BD88" s="57">
        <f>IF(+NFL!$F160="Carolina",+NFL!#REF!,IF(+NFL!$H160="Carolina",+NFL!#REF!,0))</f>
        <v>0</v>
      </c>
      <c r="BE88" s="64">
        <f>IF(+NFL!$F160="Carolina",+NFL!#REF!,IF(+NFL!$H160="Carolina",+NFL!#REF!,0))</f>
        <v>0</v>
      </c>
      <c r="BF88" s="46">
        <f>IF(+NFL!$F160="Carolina",+NFL!#REF!,IF(+NFL!$H160="Carolina",+NFL!#REF!,0))</f>
        <v>0</v>
      </c>
      <c r="BG88" s="57">
        <f>IF(+NFL!$F160="Carolina",+NFL!#REF!,IF(+NFL!$H160="Carolina",+NFL!#REF!,0))</f>
        <v>0</v>
      </c>
      <c r="BH88" s="64">
        <f>IF(+NFL!$F160="Carolina",+NFL!#REF!,IF(+NFL!$H160="Carolina",+NFL!#REF!,0))</f>
        <v>0</v>
      </c>
      <c r="BI88" s="46">
        <f>IF(+NFL!$F160="Carolina",+NFL!#REF!,IF(+NFL!$H160="Carolina",+NFL!#REF!,0))</f>
        <v>0</v>
      </c>
      <c r="BJ88" s="87">
        <f>IF(+NFL!$F160="Carolina",+NFL!#REF!,IF(+NFL!$H160="Carolina",+NFL!#REF!,0))</f>
        <v>0</v>
      </c>
      <c r="BK88" s="120">
        <f>IF(+NFL!$F160="Carolina",+NFL!#REF!,IF(+NFL!$H160="Carolina",+NFL!#REF!,0))</f>
        <v>0</v>
      </c>
    </row>
    <row r="89" spans="1:63" x14ac:dyDescent="0.8">
      <c r="A89" s="46">
        <f>IF(+NFL!$F169="Carolina",+NFL!A169,IF(+NFL!$H169="Carolina",+NFL!A169,0))</f>
        <v>10</v>
      </c>
      <c r="B89" s="348" t="str">
        <f>IF(+NFL!$F169="Carolina",+NFL!B169,IF(+NFL!$H169="Carolina",+NFL!B169,0))</f>
        <v>Thurs</v>
      </c>
      <c r="C89" s="48">
        <f>IF(+NFL!$F169="Carolina",+NFL!C169,IF(+NFL!$H169="Carolina",+NFL!C169,0))</f>
        <v>44875</v>
      </c>
      <c r="D89" s="490">
        <f>IF(+NFL!$F169="Carolina",+NFL!D169,IF(+NFL!$H169="Carolina",+NFL!D169,0))</f>
        <v>0.39583333333333331</v>
      </c>
      <c r="E89" s="491" t="str">
        <f>IF(+NFL!$F169="Carolina",+NFL!E169,IF(+NFL!$H169="Carolina",+NFL!E169,0))</f>
        <v>NBC</v>
      </c>
      <c r="F89" s="130" t="str">
        <f>IF(+NFL!$F169="Carolina",+NFL!F169,IF(+NFL!$H169="Carolina",+NFL!F169,0))</f>
        <v>Atlanta</v>
      </c>
      <c r="G89" s="491" t="str">
        <f>IF(+NFL!$F169="Carolina",+NFL!G169,IF(+NFL!$H169="Carolina",+NFL!G169,0))</f>
        <v>NFCS</v>
      </c>
      <c r="H89" s="130" t="str">
        <f>IF(+NFL!$F169="Carolina",+NFL!H169,IF(+NFL!$H169="Carolina",+NFL!H169,0))</f>
        <v>Carolina</v>
      </c>
      <c r="I89" s="491" t="str">
        <f>IF(+NFL!$F169="Carolina",+NFL!I169,IF(+NFL!$H169="Carolina",+NFL!I169,0))</f>
        <v>NFCS</v>
      </c>
      <c r="J89" s="353" t="str">
        <f>IF(+NFL!$F169="Carolina",+NFL!J169,IF(+NFL!$H169="Carolina",+NFL!J169,0))</f>
        <v>Atlanta</v>
      </c>
      <c r="K89" s="494" t="str">
        <f>IF(+NFL!$F169="Carolina",+NFL!K169,IF(+NFL!$H169="Carolina",+NFL!K169,0))</f>
        <v>Carolina</v>
      </c>
      <c r="L89" s="384">
        <f>IF(+NFL!$F169="Carolina",+NFL!L169,IF(+NFL!$H169="Carolina",+NFL!L169,0))</f>
        <v>3</v>
      </c>
      <c r="M89" s="385">
        <f>IF(+NFL!$F169="Carolina",+NFL!M169,IF(+NFL!$H169="Carolina",+NFL!M169,0))</f>
        <v>44</v>
      </c>
      <c r="N89" s="395" t="str">
        <f>IF(+NFL!$F169="Carolina",+NFL!N169,IF(+NFL!$H169="Carolina",+NFL!N169,0))</f>
        <v>Carolina</v>
      </c>
      <c r="O89" s="395">
        <f>IF(+NFL!$F169="Carolina",+NFL!O169,IF(+NFL!$H169="Carolina",+NFL!O169,0))</f>
        <v>25</v>
      </c>
      <c r="P89" s="395" t="str">
        <f>IF(+NFL!$F169="Carolina",+NFL!P169,IF(+NFL!$H169="Carolina",+NFL!P169,0))</f>
        <v>Atlanta</v>
      </c>
      <c r="Q89" s="396">
        <f>IF(+NFL!$F169="Carolina",+NFL!Q169,IF(+NFL!$H169="Carolina",+NFL!Q169,0))</f>
        <v>15</v>
      </c>
      <c r="R89" s="397" t="str">
        <f>IF(+NFL!$F169="Carolina",+NFL!R169,IF(+NFL!$H169="Carolina",+NFL!R169,0))</f>
        <v>Carolina</v>
      </c>
      <c r="S89" s="399" t="str">
        <f>IF(+NFL!$F169="Carolina",+NFL!S169,IF(+NFL!$H169="Carolina",+NFL!S169,0))</f>
        <v>Atlanta</v>
      </c>
      <c r="T89" s="398" t="str">
        <f>IF(+NFL!$F169="Carolina",+NFL!T169,IF(+NFL!$H169="Carolina",+NFL!T169,0))</f>
        <v>Carolina</v>
      </c>
      <c r="U89" s="396" t="str">
        <f>IF(+NFL!$F169="Carolina",+NFL!U169,IF(+NFL!$H169="Carolina",+NFL!U169,0))</f>
        <v>W</v>
      </c>
      <c r="V89" s="397">
        <f>IF(+NFL!$F180="Carolina",+NFL!#REF!,IF(+NFL!$H180="Carolina",+NFL!#REF!,0))</f>
        <v>0</v>
      </c>
      <c r="W89" s="396">
        <f>IF(+NFL!$F180="Carolina",+NFL!#REF!,IF(+NFL!$H180="Carolina",+NFL!#REF!,0))</f>
        <v>0</v>
      </c>
      <c r="X89" s="398">
        <f>IF(+NFL!$F180="Carolina",+NFL!#REF!,IF(+NFL!$H180="Carolina",+NFL!#REF!,0))</f>
        <v>0</v>
      </c>
      <c r="Y89" s="396">
        <f>IF(+NFL!$F180="Carolina",+NFL!#REF!,IF(+NFL!$H180="Carolina",+NFL!#REF!,0))</f>
        <v>0</v>
      </c>
      <c r="Z89" s="397">
        <f>IF(+NFL!$F180="Carolina",+NFL!#REF!,IF(+NFL!$H180="Carolina",+NFL!#REF!,0))</f>
        <v>0</v>
      </c>
      <c r="AA89" s="396">
        <f>IF(+NFL!$F180="Carolina",+NFL!#REF!,IF(+NFL!$H180="Carolina",+NFL!#REF!,0))</f>
        <v>0</v>
      </c>
      <c r="AB89" s="87">
        <f>IF(+NFL!$F180="Carolina",+NFL!#REF!,IF(+NFL!$H180="Carolina",+NFL!#REF!,0))</f>
        <v>0</v>
      </c>
      <c r="AC89" s="120">
        <f>IF(+NFL!$F180="Carolina",+NFL!#REF!,IF(+NFL!$H180="Carolina",+NFL!#REF!,0))</f>
        <v>0</v>
      </c>
      <c r="AD89" s="353">
        <f>IF(+NFL!$F180="Carolina",+NFL!#REF!,IF(+NFL!$H180="Carolina",+NFL!#REF!,0))</f>
        <v>0</v>
      </c>
      <c r="AE89" s="379">
        <f>IF(+NFL!$F180="Carolina",+NFL!#REF!,IF(+NFL!$H180="Carolina",+NFL!#REF!,0))</f>
        <v>0</v>
      </c>
      <c r="AF89" s="353">
        <f>IF(+NFL!$F180="Carolina",+NFL!#REF!,IF(+NFL!$H180="Carolina",+NFL!#REF!,0))</f>
        <v>0</v>
      </c>
      <c r="AG89" s="379">
        <f>IF(+NFL!$F180="Carolina",+NFL!#REF!,IF(+NFL!$H180="Carolina",+NFL!#REF!,0))</f>
        <v>0</v>
      </c>
      <c r="AH89" s="353">
        <f>IF(+NFL!$F180="Carolina",+NFL!#REF!,IF(+NFL!$H180="Carolina",+NFL!#REF!,0))</f>
        <v>0</v>
      </c>
      <c r="AI89" s="379">
        <f>IF(+NFL!$F180="Carolina",+NFL!#REF!,IF(+NFL!$H180="Carolina",+NFL!#REF!,0))</f>
        <v>0</v>
      </c>
      <c r="AJ89" s="353">
        <f>IF(+NFL!$F180="Carolina",+NFL!#REF!,IF(+NFL!$H180="Carolina",+NFL!#REF!,0))</f>
        <v>0</v>
      </c>
      <c r="AK89" s="379">
        <f>IF(+NFL!$F180="Carolina",+NFL!#REF!,IF(+NFL!$H180="Carolina",+NFL!#REF!,0))</f>
        <v>0</v>
      </c>
      <c r="AL89" s="70">
        <f>IF(+NFL!$F180="Carolina",+NFL!#REF!,IF(+NFL!$H180="Carolina",+NFL!#REF!,0))</f>
        <v>0</v>
      </c>
      <c r="AM89" s="64">
        <f>IF(+NFL!$F180="Carolina",+NFL!#REF!,IF(+NFL!$H180="Carolina",+NFL!#REF!,0))</f>
        <v>0</v>
      </c>
      <c r="AN89" s="70">
        <f>IF(+NFL!$F180="Carolina",+NFL!#REF!,IF(+NFL!$H180="Carolina",+NFL!#REF!,0))</f>
        <v>0</v>
      </c>
      <c r="AO89" s="46">
        <f>IF(+NFL!$F180="Carolina",+NFL!#REF!,IF(+NFL!$H180="Carolina",+NFL!#REF!,0))</f>
        <v>0</v>
      </c>
      <c r="AP89" s="348">
        <f>IF(+NFL!$F180="Carolina",+NFL!#REF!,IF(+NFL!$H180="Carolina",+NFL!#REF!,0))</f>
        <v>0</v>
      </c>
      <c r="AQ89" s="48">
        <f>IF(+NFL!$F180="Carolina",+NFL!#REF!,IF(+NFL!$H180="Carolina",+NFL!#REF!,0))</f>
        <v>0</v>
      </c>
      <c r="AR89" s="57">
        <f>IF(+NFL!$F180="Carolina",+NFL!#REF!,IF(+NFL!$H180="Carolina",+NFL!#REF!,0))</f>
        <v>0</v>
      </c>
      <c r="AS89" s="64">
        <f>IF(+NFL!$F180="Carolina",+NFL!#REF!,IF(+NFL!$H180="Carolina",+NFL!#REF!,0))</f>
        <v>0</v>
      </c>
      <c r="AT89" s="46">
        <f>IF(+NFL!$F180="Carolina",+NFL!#REF!,IF(+NFL!$H180="Carolina",+NFL!#REF!,0))</f>
        <v>0</v>
      </c>
      <c r="AU89" s="57">
        <f>IF(+NFL!$F180="Carolina",+NFL!#REF!,IF(+NFL!$H180="Carolina",+NFL!#REF!,0))</f>
        <v>0</v>
      </c>
      <c r="AV89" s="64">
        <f>IF(+NFL!$F180="Carolina",+NFL!#REF!,IF(+NFL!$H180="Carolina",+NFL!#REF!,0))</f>
        <v>0</v>
      </c>
      <c r="AW89" s="46">
        <f>IF(+NFL!$F180="Carolina",+NFL!#REF!,IF(+NFL!$H180="Carolina",+NFL!#REF!,0))</f>
        <v>0</v>
      </c>
      <c r="AX89" s="64">
        <f>IF(+NFL!$F180="Carolina",+NFL!#REF!,IF(+NFL!$H180="Carolina",+NFL!#REF!,0))</f>
        <v>0</v>
      </c>
      <c r="AY89" s="57">
        <f>IF(+NFL!$F180="Carolina",+NFL!#REF!,IF(+NFL!$H180="Carolina",+NFL!#REF!,0))</f>
        <v>0</v>
      </c>
      <c r="AZ89" s="64">
        <f>IF(+NFL!$F180="Carolina",+NFL!#REF!,IF(+NFL!$H180="Carolina",+NFL!#REF!,0))</f>
        <v>0</v>
      </c>
      <c r="BA89" s="46">
        <f>IF(+NFL!$F180="Carolina",+NFL!#REF!,IF(+NFL!$H180="Carolina",+NFL!#REF!,0))</f>
        <v>0</v>
      </c>
      <c r="BB89" s="46">
        <f>IF(+NFL!$F180="Carolina",+NFL!#REF!,IF(+NFL!$H180="Carolina",+NFL!#REF!,0))</f>
        <v>0</v>
      </c>
      <c r="BC89" s="403">
        <f>IF(+NFL!$F180="Carolina",+NFL!#REF!,IF(+NFL!$H180="Carolina",+NFL!#REF!,0))</f>
        <v>0</v>
      </c>
      <c r="BD89" s="57">
        <f>IF(+NFL!$F180="Carolina",+NFL!#REF!,IF(+NFL!$H180="Carolina",+NFL!#REF!,0))</f>
        <v>0</v>
      </c>
      <c r="BE89" s="64">
        <f>IF(+NFL!$F180="Carolina",+NFL!#REF!,IF(+NFL!$H180="Carolina",+NFL!#REF!,0))</f>
        <v>0</v>
      </c>
      <c r="BF89" s="46">
        <f>IF(+NFL!$F180="Carolina",+NFL!#REF!,IF(+NFL!$H180="Carolina",+NFL!#REF!,0))</f>
        <v>0</v>
      </c>
      <c r="BG89" s="57">
        <f>IF(+NFL!$F180="Carolina",+NFL!#REF!,IF(+NFL!$H180="Carolina",+NFL!#REF!,0))</f>
        <v>0</v>
      </c>
      <c r="BH89" s="64">
        <f>IF(+NFL!$F180="Carolina",+NFL!#REF!,IF(+NFL!$H180="Carolina",+NFL!#REF!,0))</f>
        <v>0</v>
      </c>
      <c r="BI89" s="46">
        <f>IF(+NFL!$F180="Carolina",+NFL!#REF!,IF(+NFL!$H180="Carolina",+NFL!#REF!,0))</f>
        <v>0</v>
      </c>
      <c r="BJ89" s="87">
        <f>IF(+NFL!$F180="Carolina",+NFL!#REF!,IF(+NFL!$H180="Carolina",+NFL!#REF!,0))</f>
        <v>0</v>
      </c>
      <c r="BK89" s="120">
        <f>IF(+NFL!$F180="Carolina",+NFL!#REF!,IF(+NFL!$H180="Carolina",+NFL!#REF!,0))</f>
        <v>0</v>
      </c>
    </row>
    <row r="90" spans="1:63" x14ac:dyDescent="0.8">
      <c r="A90" s="46">
        <f>IF(+NFL!$F196="Carolina",+NFL!A196,IF(+NFL!$H196="Carolina",+NFL!A196,0))</f>
        <v>11</v>
      </c>
      <c r="B90" s="348" t="str">
        <f>IF(+NFL!$F196="Carolina",+NFL!B196,IF(+NFL!$H196="Carolina",+NFL!B196,0))</f>
        <v>Sun</v>
      </c>
      <c r="C90" s="48">
        <f>IF(+NFL!$F196="Carolina",+NFL!C196,IF(+NFL!$H196="Carolina",+NFL!C196,0))</f>
        <v>44885</v>
      </c>
      <c r="D90" s="490">
        <f>IF(+NFL!$F196="Carolina",+NFL!D196,IF(+NFL!$H196="Carolina",+NFL!D196,0))</f>
        <v>0.54166666666666663</v>
      </c>
      <c r="E90" s="491" t="str">
        <f>IF(+NFL!$F196="Carolina",+NFL!E196,IF(+NFL!$H196="Carolina",+NFL!E196,0))</f>
        <v>Fox</v>
      </c>
      <c r="F90" s="130" t="str">
        <f>IF(+NFL!$F196="Carolina",+NFL!F196,IF(+NFL!$H196="Carolina",+NFL!F196,0))</f>
        <v>Carolina</v>
      </c>
      <c r="G90" s="491" t="str">
        <f>IF(+NFL!$F196="Carolina",+NFL!G196,IF(+NFL!$H196="Carolina",+NFL!G196,0))</f>
        <v>NFCS</v>
      </c>
      <c r="H90" s="130" t="str">
        <f>IF(+NFL!$F196="Carolina",+NFL!H196,IF(+NFL!$H196="Carolina",+NFL!H196,0))</f>
        <v>Baltimore</v>
      </c>
      <c r="I90" s="491" t="str">
        <f>IF(+NFL!$F196="Carolina",+NFL!I196,IF(+NFL!$H196="Carolina",+NFL!I196,0))</f>
        <v>AFCN</v>
      </c>
      <c r="J90" s="353" t="str">
        <f>IF(+NFL!$F196="Carolina",+NFL!J196,IF(+NFL!$H196="Carolina",+NFL!J196,0))</f>
        <v>Baltimore</v>
      </c>
      <c r="K90" s="494" t="str">
        <f>IF(+NFL!$F196="Carolina",+NFL!K196,IF(+NFL!$H196="Carolina",+NFL!K196,0))</f>
        <v>Carolina</v>
      </c>
      <c r="L90" s="384">
        <f>IF(+NFL!$F196="Carolina",+NFL!L196,IF(+NFL!$H196="Carolina",+NFL!L196,0))</f>
        <v>12</v>
      </c>
      <c r="M90" s="385">
        <f>IF(+NFL!$F196="Carolina",+NFL!M196,IF(+NFL!$H196="Carolina",+NFL!M196,0))</f>
        <v>43.5</v>
      </c>
      <c r="N90" s="395" t="str">
        <f>IF(+NFL!$F196="Carolina",+NFL!N196,IF(+NFL!$H196="Carolina",+NFL!N196,0))</f>
        <v>Baltimore</v>
      </c>
      <c r="O90" s="395">
        <f>IF(+NFL!$F196="Carolina",+NFL!O196,IF(+NFL!$H196="Carolina",+NFL!O196,0))</f>
        <v>13</v>
      </c>
      <c r="P90" s="395" t="str">
        <f>IF(+NFL!$F196="Carolina",+NFL!P196,IF(+NFL!$H196="Carolina",+NFL!P196,0))</f>
        <v>Carolina</v>
      </c>
      <c r="Q90" s="396">
        <f>IF(+NFL!$F196="Carolina",+NFL!Q196,IF(+NFL!$H196="Carolina",+NFL!Q196,0))</f>
        <v>3</v>
      </c>
      <c r="R90" s="397" t="str">
        <f>IF(+NFL!$F196="Carolina",+NFL!R196,IF(+NFL!$H196="Carolina",+NFL!R196,0))</f>
        <v>Carolina</v>
      </c>
      <c r="S90" s="399" t="str">
        <f>IF(+NFL!$F196="Carolina",+NFL!S196,IF(+NFL!$H196="Carolina",+NFL!S196,0))</f>
        <v>Baltimore</v>
      </c>
      <c r="T90" s="398" t="str">
        <f>IF(+NFL!$F196="Carolina",+NFL!T196,IF(+NFL!$H196="Carolina",+NFL!T196,0))</f>
        <v>Baltimore</v>
      </c>
      <c r="U90" s="396" t="str">
        <f>IF(+NFL!$F196="Carolina",+NFL!U196,IF(+NFL!$H196="Carolina",+NFL!U196,0))</f>
        <v>L</v>
      </c>
      <c r="V90" s="397" t="e">
        <f>IF(+NFL!#REF!="Carolina",+NFL!#REF!,IF(+NFL!#REF!="Carolina",+NFL!#REF!,0))</f>
        <v>#REF!</v>
      </c>
      <c r="W90" s="396" t="e">
        <f>IF(+NFL!#REF!="Carolina",+NFL!#REF!,IF(+NFL!#REF!="Carolina",+NFL!#REF!,0))</f>
        <v>#REF!</v>
      </c>
      <c r="X90" s="398" t="e">
        <f>IF(+NFL!#REF!="Carolina",+NFL!#REF!,IF(+NFL!#REF!="Carolina",+NFL!#REF!,0))</f>
        <v>#REF!</v>
      </c>
      <c r="Y90" s="396" t="e">
        <f>IF(+NFL!#REF!="Carolina",+NFL!#REF!,IF(+NFL!#REF!="Carolina",+NFL!#REF!,0))</f>
        <v>#REF!</v>
      </c>
      <c r="Z90" s="397" t="e">
        <f>IF(+NFL!#REF!="Carolina",+NFL!#REF!,IF(+NFL!#REF!="Carolina",+NFL!#REF!,0))</f>
        <v>#REF!</v>
      </c>
      <c r="AA90" s="396" t="e">
        <f>IF(+NFL!#REF!="Carolina",+NFL!#REF!,IF(+NFL!#REF!="Carolina",+NFL!#REF!,0))</f>
        <v>#REF!</v>
      </c>
      <c r="AB90" s="87" t="e">
        <f>IF(+NFL!#REF!="Carolina",+NFL!#REF!,IF(+NFL!#REF!="Carolina",+NFL!#REF!,0))</f>
        <v>#REF!</v>
      </c>
      <c r="AC90" s="120" t="e">
        <f>IF(+NFL!#REF!="Carolina",+NFL!#REF!,IF(+NFL!#REF!="Carolina",+NFL!#REF!,0))</f>
        <v>#REF!</v>
      </c>
      <c r="AD90" s="353" t="e">
        <f>IF(+NFL!#REF!="Carolina",+NFL!#REF!,IF(+NFL!#REF!="Carolina",+NFL!#REF!,0))</f>
        <v>#REF!</v>
      </c>
      <c r="AE90" s="379" t="e">
        <f>IF(+NFL!#REF!="Carolina",+NFL!#REF!,IF(+NFL!#REF!="Carolina",+NFL!#REF!,0))</f>
        <v>#REF!</v>
      </c>
      <c r="AF90" s="353" t="e">
        <f>IF(+NFL!#REF!="Carolina",+NFL!#REF!,IF(+NFL!#REF!="Carolina",+NFL!#REF!,0))</f>
        <v>#REF!</v>
      </c>
      <c r="AG90" s="379" t="e">
        <f>IF(+NFL!#REF!="Carolina",+NFL!#REF!,IF(+NFL!#REF!="Carolina",+NFL!#REF!,0))</f>
        <v>#REF!</v>
      </c>
      <c r="AH90" s="353" t="e">
        <f>IF(+NFL!#REF!="Carolina",+NFL!#REF!,IF(+NFL!#REF!="Carolina",+NFL!#REF!,0))</f>
        <v>#REF!</v>
      </c>
      <c r="AI90" s="379" t="e">
        <f>IF(+NFL!#REF!="Carolina",+NFL!#REF!,IF(+NFL!#REF!="Carolina",+NFL!#REF!,0))</f>
        <v>#REF!</v>
      </c>
      <c r="AJ90" s="353" t="e">
        <f>IF(+NFL!#REF!="Carolina",+NFL!#REF!,IF(+NFL!#REF!="Carolina",+NFL!#REF!,0))</f>
        <v>#REF!</v>
      </c>
      <c r="AK90" s="379" t="e">
        <f>IF(+NFL!#REF!="Carolina",+NFL!#REF!,IF(+NFL!#REF!="Carolina",+NFL!#REF!,0))</f>
        <v>#REF!</v>
      </c>
      <c r="AL90" s="70" t="e">
        <f>IF(+NFL!#REF!="Carolina",+NFL!#REF!,IF(+NFL!#REF!="Carolina",+NFL!#REF!,0))</f>
        <v>#REF!</v>
      </c>
      <c r="AM90" s="64" t="e">
        <f>IF(+NFL!#REF!="Carolina",+NFL!#REF!,IF(+NFL!#REF!="Carolina",+NFL!#REF!,0))</f>
        <v>#REF!</v>
      </c>
      <c r="AN90" s="70" t="e">
        <f>IF(+NFL!#REF!="Carolina",+NFL!#REF!,IF(+NFL!#REF!="Carolina",+NFL!#REF!,0))</f>
        <v>#REF!</v>
      </c>
      <c r="AO90" s="46" t="e">
        <f>IF(+NFL!#REF!="Carolina",+NFL!#REF!,IF(+NFL!#REF!="Carolina",+NFL!#REF!,0))</f>
        <v>#REF!</v>
      </c>
      <c r="AP90" s="348" t="e">
        <f>IF(+NFL!#REF!="Carolina",+NFL!#REF!,IF(+NFL!#REF!="Carolina",+NFL!#REF!,0))</f>
        <v>#REF!</v>
      </c>
      <c r="AQ90" s="48" t="e">
        <f>IF(+NFL!#REF!="Carolina",+NFL!#REF!,IF(+NFL!#REF!="Carolina",+NFL!#REF!,0))</f>
        <v>#REF!</v>
      </c>
      <c r="AR90" s="57" t="e">
        <f>IF(+NFL!#REF!="Carolina",+NFL!#REF!,IF(+NFL!#REF!="Carolina",+NFL!#REF!,0))</f>
        <v>#REF!</v>
      </c>
      <c r="AS90" s="64" t="e">
        <f>IF(+NFL!#REF!="Carolina",+NFL!#REF!,IF(+NFL!#REF!="Carolina",+NFL!#REF!,0))</f>
        <v>#REF!</v>
      </c>
      <c r="AT90" s="46" t="e">
        <f>IF(+NFL!#REF!="Carolina",+NFL!#REF!,IF(+NFL!#REF!="Carolina",+NFL!#REF!,0))</f>
        <v>#REF!</v>
      </c>
      <c r="AU90" s="57" t="e">
        <f>IF(+NFL!#REF!="Carolina",+NFL!#REF!,IF(+NFL!#REF!="Carolina",+NFL!#REF!,0))</f>
        <v>#REF!</v>
      </c>
      <c r="AV90" s="64" t="e">
        <f>IF(+NFL!#REF!="Carolina",+NFL!#REF!,IF(+NFL!#REF!="Carolina",+NFL!#REF!,0))</f>
        <v>#REF!</v>
      </c>
      <c r="AW90" s="46" t="e">
        <f>IF(+NFL!#REF!="Carolina",+NFL!#REF!,IF(+NFL!#REF!="Carolina",+NFL!#REF!,0))</f>
        <v>#REF!</v>
      </c>
      <c r="AX90" s="64" t="e">
        <f>IF(+NFL!#REF!="Carolina",+NFL!#REF!,IF(+NFL!#REF!="Carolina",+NFL!#REF!,0))</f>
        <v>#REF!</v>
      </c>
      <c r="AY90" s="57" t="e">
        <f>IF(+NFL!#REF!="Carolina",+NFL!#REF!,IF(+NFL!#REF!="Carolina",+NFL!#REF!,0))</f>
        <v>#REF!</v>
      </c>
      <c r="AZ90" s="64" t="e">
        <f>IF(+NFL!#REF!="Carolina",+NFL!#REF!,IF(+NFL!#REF!="Carolina",+NFL!#REF!,0))</f>
        <v>#REF!</v>
      </c>
      <c r="BA90" s="46" t="e">
        <f>IF(+NFL!#REF!="Carolina",+NFL!#REF!,IF(+NFL!#REF!="Carolina",+NFL!#REF!,0))</f>
        <v>#REF!</v>
      </c>
      <c r="BB90" s="46" t="e">
        <f>IF(+NFL!#REF!="Carolina",+NFL!#REF!,IF(+NFL!#REF!="Carolina",+NFL!#REF!,0))</f>
        <v>#REF!</v>
      </c>
      <c r="BC90" s="403" t="e">
        <f>IF(+NFL!#REF!="Carolina",+NFL!#REF!,IF(+NFL!#REF!="Carolina",+NFL!#REF!,0))</f>
        <v>#REF!</v>
      </c>
      <c r="BD90" s="57" t="e">
        <f>IF(+NFL!#REF!="Carolina",+NFL!#REF!,IF(+NFL!#REF!="Carolina",+NFL!#REF!,0))</f>
        <v>#REF!</v>
      </c>
      <c r="BE90" s="64" t="e">
        <f>IF(+NFL!#REF!="Carolina",+NFL!#REF!,IF(+NFL!#REF!="Carolina",+NFL!#REF!,0))</f>
        <v>#REF!</v>
      </c>
      <c r="BF90" s="46" t="e">
        <f>IF(+NFL!#REF!="Carolina",+NFL!#REF!,IF(+NFL!#REF!="Carolina",+NFL!#REF!,0))</f>
        <v>#REF!</v>
      </c>
      <c r="BG90" s="57" t="e">
        <f>IF(+NFL!#REF!="Carolina",+NFL!#REF!,IF(+NFL!#REF!="Carolina",+NFL!#REF!,0))</f>
        <v>#REF!</v>
      </c>
      <c r="BH90" s="64" t="e">
        <f>IF(+NFL!#REF!="Carolina",+NFL!#REF!,IF(+NFL!#REF!="Carolina",+NFL!#REF!,0))</f>
        <v>#REF!</v>
      </c>
      <c r="BI90" s="46" t="e">
        <f>IF(+NFL!#REF!="Carolina",+NFL!#REF!,IF(+NFL!#REF!="Carolina",+NFL!#REF!,0))</f>
        <v>#REF!</v>
      </c>
      <c r="BJ90" s="87" t="e">
        <f>IF(+NFL!#REF!="Carolina",+NFL!#REF!,IF(+NFL!#REF!="Carolina",+NFL!#REF!,0))</f>
        <v>#REF!</v>
      </c>
      <c r="BK90" s="120" t="e">
        <f>IF(+NFL!#REF!="Carolina",+NFL!#REF!,IF(+NFL!#REF!="Carolina",+NFL!#REF!,0))</f>
        <v>#REF!</v>
      </c>
    </row>
    <row r="91" spans="1:63" x14ac:dyDescent="0.8">
      <c r="A91" s="46">
        <f>IF(+NFL!$F217="Carolina",+NFL!A217,IF(+NFL!$H217="Carolina",+NFL!A217,0))</f>
        <v>12</v>
      </c>
      <c r="B91" s="348" t="str">
        <f>IF(+NFL!$F217="Carolina",+NFL!B217,IF(+NFL!$H217="Carolina",+NFL!B217,0))</f>
        <v>Sun</v>
      </c>
      <c r="C91" s="48">
        <f>IF(+NFL!$F217="Carolina",+NFL!C217,IF(+NFL!$H217="Carolina",+NFL!C217,0))</f>
        <v>44892</v>
      </c>
      <c r="D91" s="490">
        <f>IF(+NFL!$F217="Carolina",+NFL!D217,IF(+NFL!$H217="Carolina",+NFL!D217,0))</f>
        <v>0.54166666666666663</v>
      </c>
      <c r="E91" s="491" t="str">
        <f>IF(+NFL!$F217="Carolina",+NFL!E217,IF(+NFL!$H217="Carolina",+NFL!E217,0))</f>
        <v>CBS</v>
      </c>
      <c r="F91" s="130" t="str">
        <f>IF(+NFL!$F217="Carolina",+NFL!F217,IF(+NFL!$H217="Carolina",+NFL!F217,0))</f>
        <v>Denver</v>
      </c>
      <c r="G91" s="491" t="str">
        <f>IF(+NFL!$F217="Carolina",+NFL!G217,IF(+NFL!$H217="Carolina",+NFL!G217,0))</f>
        <v>AFCW</v>
      </c>
      <c r="H91" s="130" t="str">
        <f>IF(+NFL!$F217="Carolina",+NFL!H217,IF(+NFL!$H217="Carolina",+NFL!H217,0))</f>
        <v>Carolina</v>
      </c>
      <c r="I91" s="491" t="str">
        <f>IF(+NFL!$F217="Carolina",+NFL!I217,IF(+NFL!$H217="Carolina",+NFL!I217,0))</f>
        <v>NFCS</v>
      </c>
      <c r="J91" s="353" t="str">
        <f>IF(+NFL!$F217="Carolina",+NFL!J217,IF(+NFL!$H217="Carolina",+NFL!J217,0))</f>
        <v>Denver</v>
      </c>
      <c r="K91" s="494" t="str">
        <f>IF(+NFL!$F217="Carolina",+NFL!K217,IF(+NFL!$H217="Carolina",+NFL!K217,0))</f>
        <v>Carolina</v>
      </c>
      <c r="L91" s="384">
        <f>IF(+NFL!$F217="Carolina",+NFL!L217,IF(+NFL!$H217="Carolina",+NFL!L217,0))</f>
        <v>2</v>
      </c>
      <c r="M91" s="385">
        <f>IF(+NFL!$F217="Carolina",+NFL!M217,IF(+NFL!$H217="Carolina",+NFL!M217,0))</f>
        <v>36</v>
      </c>
      <c r="N91" s="395" t="str">
        <f>IF(+NFL!$F217="Carolina",+NFL!N217,IF(+NFL!$H217="Carolina",+NFL!N217,0))</f>
        <v>Carolina</v>
      </c>
      <c r="O91" s="395">
        <f>IF(+NFL!$F217="Carolina",+NFL!O217,IF(+NFL!$H217="Carolina",+NFL!O217,0))</f>
        <v>23</v>
      </c>
      <c r="P91" s="395" t="str">
        <f>IF(+NFL!$F217="Carolina",+NFL!P217,IF(+NFL!$H217="Carolina",+NFL!P217,0))</f>
        <v>Denver</v>
      </c>
      <c r="Q91" s="396">
        <f>IF(+NFL!$F217="Carolina",+NFL!Q217,IF(+NFL!$H217="Carolina",+NFL!Q217,0))</f>
        <v>20</v>
      </c>
      <c r="R91" s="397" t="str">
        <f>IF(+NFL!$F217="Carolina",+NFL!R217,IF(+NFL!$H217="Carolina",+NFL!R217,0))</f>
        <v>Carolina</v>
      </c>
      <c r="S91" s="399" t="str">
        <f>IF(+NFL!$F217="Carolina",+NFL!S217,IF(+NFL!$H217="Carolina",+NFL!S217,0))</f>
        <v>Denver</v>
      </c>
      <c r="T91" s="398" t="str">
        <f>IF(+NFL!$F217="Carolina",+NFL!T217,IF(+NFL!$H217="Carolina",+NFL!T217,0))</f>
        <v>Carolina</v>
      </c>
      <c r="U91" s="396" t="str">
        <f>IF(+NFL!$F217="Carolina",+NFL!U217,IF(+NFL!$H217="Carolina",+NFL!U217,0))</f>
        <v>W</v>
      </c>
      <c r="V91" s="397">
        <f>IF(+NFL!$F225="Carolina",+NFL!#REF!,IF(+NFL!$H225="Carolina",+NFL!#REF!,0))</f>
        <v>0</v>
      </c>
      <c r="W91" s="396">
        <f>IF(+NFL!$F225="Carolina",+NFL!#REF!,IF(+NFL!$H225="Carolina",+NFL!#REF!,0))</f>
        <v>0</v>
      </c>
      <c r="X91" s="398">
        <f>IF(+NFL!$F225="Carolina",+NFL!#REF!,IF(+NFL!$H225="Carolina",+NFL!#REF!,0))</f>
        <v>0</v>
      </c>
      <c r="Y91" s="396">
        <f>IF(+NFL!$F225="Carolina",+NFL!#REF!,IF(+NFL!$H225="Carolina",+NFL!#REF!,0))</f>
        <v>0</v>
      </c>
      <c r="Z91" s="397">
        <f>IF(+NFL!$F225="Carolina",+NFL!#REF!,IF(+NFL!$H225="Carolina",+NFL!#REF!,0))</f>
        <v>0</v>
      </c>
      <c r="AA91" s="396">
        <f>IF(+NFL!$F225="Carolina",+NFL!#REF!,IF(+NFL!$H225="Carolina",+NFL!#REF!,0))</f>
        <v>0</v>
      </c>
      <c r="AB91" s="87">
        <f>IF(+NFL!$F225="Carolina",+NFL!#REF!,IF(+NFL!$H225="Carolina",+NFL!#REF!,0))</f>
        <v>0</v>
      </c>
      <c r="AC91" s="120">
        <f>IF(+NFL!$F225="Carolina",+NFL!#REF!,IF(+NFL!$H225="Carolina",+NFL!#REF!,0))</f>
        <v>0</v>
      </c>
      <c r="AD91" s="353">
        <f>IF(+NFL!$F225="Carolina",+NFL!#REF!,IF(+NFL!$H225="Carolina",+NFL!#REF!,0))</f>
        <v>0</v>
      </c>
      <c r="AE91" s="379">
        <f>IF(+NFL!$F225="Carolina",+NFL!#REF!,IF(+NFL!$H225="Carolina",+NFL!#REF!,0))</f>
        <v>0</v>
      </c>
      <c r="AF91" s="353">
        <f>IF(+NFL!$F225="Carolina",+NFL!#REF!,IF(+NFL!$H225="Carolina",+NFL!#REF!,0))</f>
        <v>0</v>
      </c>
      <c r="AG91" s="379">
        <f>IF(+NFL!$F225="Carolina",+NFL!#REF!,IF(+NFL!$H225="Carolina",+NFL!#REF!,0))</f>
        <v>0</v>
      </c>
      <c r="AH91" s="353">
        <f>IF(+NFL!$F225="Carolina",+NFL!#REF!,IF(+NFL!$H225="Carolina",+NFL!#REF!,0))</f>
        <v>0</v>
      </c>
      <c r="AI91" s="379">
        <f>IF(+NFL!$F225="Carolina",+NFL!#REF!,IF(+NFL!$H225="Carolina",+NFL!#REF!,0))</f>
        <v>0</v>
      </c>
      <c r="AJ91" s="353">
        <f>IF(+NFL!$F225="Carolina",+NFL!#REF!,IF(+NFL!$H225="Carolina",+NFL!#REF!,0))</f>
        <v>0</v>
      </c>
      <c r="AK91" s="379">
        <f>IF(+NFL!$F225="Carolina",+NFL!#REF!,IF(+NFL!$H225="Carolina",+NFL!#REF!,0))</f>
        <v>0</v>
      </c>
      <c r="AL91" s="70">
        <f>IF(+NFL!$F225="Carolina",+NFL!#REF!,IF(+NFL!$H225="Carolina",+NFL!#REF!,0))</f>
        <v>0</v>
      </c>
      <c r="AM91" s="64">
        <f>IF(+NFL!$F225="Carolina",+NFL!#REF!,IF(+NFL!$H225="Carolina",+NFL!#REF!,0))</f>
        <v>0</v>
      </c>
      <c r="AN91" s="70">
        <f>IF(+NFL!$F225="Carolina",+NFL!#REF!,IF(+NFL!$H225="Carolina",+NFL!#REF!,0))</f>
        <v>0</v>
      </c>
      <c r="AO91" s="46">
        <f>IF(+NFL!$F225="Carolina",+NFL!#REF!,IF(+NFL!$H225="Carolina",+NFL!#REF!,0))</f>
        <v>0</v>
      </c>
      <c r="AP91" s="348">
        <f>IF(+NFL!$F225="Carolina",+NFL!#REF!,IF(+NFL!$H225="Carolina",+NFL!#REF!,0))</f>
        <v>0</v>
      </c>
      <c r="AQ91" s="48">
        <f>IF(+NFL!$F225="Carolina",+NFL!#REF!,IF(+NFL!$H225="Carolina",+NFL!#REF!,0))</f>
        <v>0</v>
      </c>
      <c r="AR91" s="57">
        <f>IF(+NFL!$F225="Carolina",+NFL!#REF!,IF(+NFL!$H225="Carolina",+NFL!#REF!,0))</f>
        <v>0</v>
      </c>
      <c r="AS91" s="64">
        <f>IF(+NFL!$F225="Carolina",+NFL!#REF!,IF(+NFL!$H225="Carolina",+NFL!#REF!,0))</f>
        <v>0</v>
      </c>
      <c r="AT91" s="46">
        <f>IF(+NFL!$F225="Carolina",+NFL!#REF!,IF(+NFL!$H225="Carolina",+NFL!#REF!,0))</f>
        <v>0</v>
      </c>
      <c r="AU91" s="57">
        <f>IF(+NFL!$F225="Carolina",+NFL!#REF!,IF(+NFL!$H225="Carolina",+NFL!#REF!,0))</f>
        <v>0</v>
      </c>
      <c r="AV91" s="64">
        <f>IF(+NFL!$F225="Carolina",+NFL!#REF!,IF(+NFL!$H225="Carolina",+NFL!#REF!,0))</f>
        <v>0</v>
      </c>
      <c r="AW91" s="46">
        <f>IF(+NFL!$F225="Carolina",+NFL!#REF!,IF(+NFL!$H225="Carolina",+NFL!#REF!,0))</f>
        <v>0</v>
      </c>
      <c r="AX91" s="64">
        <f>IF(+NFL!$F225="Carolina",+NFL!#REF!,IF(+NFL!$H225="Carolina",+NFL!#REF!,0))</f>
        <v>0</v>
      </c>
      <c r="AY91" s="57">
        <f>IF(+NFL!$F225="Carolina",+NFL!#REF!,IF(+NFL!$H225="Carolina",+NFL!#REF!,0))</f>
        <v>0</v>
      </c>
      <c r="AZ91" s="64">
        <f>IF(+NFL!$F225="Carolina",+NFL!#REF!,IF(+NFL!$H225="Carolina",+NFL!#REF!,0))</f>
        <v>0</v>
      </c>
      <c r="BA91" s="46">
        <f>IF(+NFL!$F225="Carolina",+NFL!#REF!,IF(+NFL!$H225="Carolina",+NFL!#REF!,0))</f>
        <v>0</v>
      </c>
      <c r="BB91" s="46">
        <f>IF(+NFL!$F225="Carolina",+NFL!#REF!,IF(+NFL!$H225="Carolina",+NFL!#REF!,0))</f>
        <v>0</v>
      </c>
      <c r="BC91" s="403">
        <f>IF(+NFL!$F225="Carolina",+NFL!#REF!,IF(+NFL!$H225="Carolina",+NFL!#REF!,0))</f>
        <v>0</v>
      </c>
      <c r="BD91" s="57">
        <f>IF(+NFL!$F225="Carolina",+NFL!#REF!,IF(+NFL!$H225="Carolina",+NFL!#REF!,0))</f>
        <v>0</v>
      </c>
      <c r="BE91" s="64">
        <f>IF(+NFL!$F225="Carolina",+NFL!#REF!,IF(+NFL!$H225="Carolina",+NFL!#REF!,0))</f>
        <v>0</v>
      </c>
      <c r="BF91" s="46">
        <f>IF(+NFL!$F225="Carolina",+NFL!#REF!,IF(+NFL!$H225="Carolina",+NFL!#REF!,0))</f>
        <v>0</v>
      </c>
      <c r="BG91" s="57">
        <f>IF(+NFL!$F225="Carolina",+NFL!#REF!,IF(+NFL!$H225="Carolina",+NFL!#REF!,0))</f>
        <v>0</v>
      </c>
      <c r="BH91" s="64">
        <f>IF(+NFL!$F225="Carolina",+NFL!#REF!,IF(+NFL!$H225="Carolina",+NFL!#REF!,0))</f>
        <v>0</v>
      </c>
      <c r="BI91" s="46">
        <f>IF(+NFL!$F225="Carolina",+NFL!#REF!,IF(+NFL!$H225="Carolina",+NFL!#REF!,0))</f>
        <v>0</v>
      </c>
      <c r="BJ91" s="87">
        <f>IF(+NFL!$F225="Carolina",+NFL!#REF!,IF(+NFL!$H225="Carolina",+NFL!#REF!,0))</f>
        <v>0</v>
      </c>
      <c r="BK91" s="120">
        <f>IF(+NFL!$F225="Carolina",+NFL!#REF!,IF(+NFL!$H225="Carolina",+NFL!#REF!,0))</f>
        <v>0</v>
      </c>
    </row>
    <row r="92" spans="1:63" x14ac:dyDescent="0.8">
      <c r="A92" s="46">
        <f>IF(+NFL!$F255="Carolina",+NFL!A255,IF(+NFL!$H255="Carolina",+NFL!A255,0))</f>
        <v>14</v>
      </c>
      <c r="B92" s="348" t="str">
        <f>IF(+NFL!$F255="Carolina",+NFL!B255,IF(+NFL!$H255="Carolina",+NFL!B255,0))</f>
        <v>Sun</v>
      </c>
      <c r="C92" s="48">
        <f>IF(+NFL!$F255="Carolina",+NFL!C255,IF(+NFL!$H255="Carolina",+NFL!C255,0))</f>
        <v>44906</v>
      </c>
      <c r="D92" s="490">
        <f>IF(+NFL!$F255="Carolina",+NFL!D255,IF(+NFL!$H255="Carolina",+NFL!D255,0))</f>
        <v>0.66666666666666663</v>
      </c>
      <c r="E92" s="491" t="str">
        <f>IF(+NFL!$F255="Carolina",+NFL!E255,IF(+NFL!$H255="Carolina",+NFL!E255,0))</f>
        <v>Fox</v>
      </c>
      <c r="F92" s="130" t="str">
        <f>IF(+NFL!$F255="Carolina",+NFL!F255,IF(+NFL!$H255="Carolina",+NFL!F255,0))</f>
        <v>Carolina</v>
      </c>
      <c r="G92" s="491" t="str">
        <f>IF(+NFL!$F255="Carolina",+NFL!G255,IF(+NFL!$H255="Carolina",+NFL!G255,0))</f>
        <v>NFCS</v>
      </c>
      <c r="H92" s="130" t="str">
        <f>IF(+NFL!$F255="Carolina",+NFL!H255,IF(+NFL!$H255="Carolina",+NFL!H255,0))</f>
        <v>Seattle</v>
      </c>
      <c r="I92" s="491" t="str">
        <f>IF(+NFL!$F255="Carolina",+NFL!I255,IF(+NFL!$H255="Carolina",+NFL!I255,0))</f>
        <v>NFCW</v>
      </c>
      <c r="J92" s="353" t="str">
        <f>IF(+NFL!$F255="Carolina",+NFL!J255,IF(+NFL!$H255="Carolina",+NFL!J255,0))</f>
        <v>Seattle</v>
      </c>
      <c r="K92" s="494" t="str">
        <f>IF(+NFL!$F255="Carolina",+NFL!K255,IF(+NFL!$H255="Carolina",+NFL!K255,0))</f>
        <v>Carolina</v>
      </c>
      <c r="L92" s="384">
        <f>IF(+NFL!$F255="Carolina",+NFL!L255,IF(+NFL!$H255="Carolina",+NFL!L255,0))</f>
        <v>2.5</v>
      </c>
      <c r="M92" s="385">
        <f>IF(+NFL!$F255="Carolina",+NFL!M255,IF(+NFL!$H255="Carolina",+NFL!M255,0))</f>
        <v>41.5</v>
      </c>
      <c r="N92" s="395" t="str">
        <f>IF(+NFL!$F255="Carolina",+NFL!N255,IF(+NFL!$H255="Carolina",+NFL!N255,0))</f>
        <v>Carolina</v>
      </c>
      <c r="O92" s="395">
        <f>IF(+NFL!$F255="Carolina",+NFL!O255,IF(+NFL!$H255="Carolina",+NFL!O255,0))</f>
        <v>30</v>
      </c>
      <c r="P92" s="395" t="str">
        <f>IF(+NFL!$F255="Carolina",+NFL!P255,IF(+NFL!$H255="Carolina",+NFL!P255,0))</f>
        <v>Seattle</v>
      </c>
      <c r="Q92" s="396">
        <f>IF(+NFL!$F255="Carolina",+NFL!Q255,IF(+NFL!$H255="Carolina",+NFL!Q255,0))</f>
        <v>24</v>
      </c>
      <c r="R92" s="397" t="str">
        <f>IF(+NFL!$F255="Carolina",+NFL!R255,IF(+NFL!$H255="Carolina",+NFL!R255,0))</f>
        <v>Carolina</v>
      </c>
      <c r="S92" s="399" t="str">
        <f>IF(+NFL!$F255="Carolina",+NFL!S255,IF(+NFL!$H255="Carolina",+NFL!S255,0))</f>
        <v>Seattle</v>
      </c>
      <c r="T92" s="398">
        <f>IF(+NFL!$F255="Carolina",+NFL!T255,IF(+NFL!$H255="Carolina",+NFL!T255,0))</f>
        <v>0</v>
      </c>
      <c r="U92" s="396" t="str">
        <f>IF(+NFL!$F255="Carolina",+NFL!U255,IF(+NFL!$H255="Carolina",+NFL!U255,0))</f>
        <v>L</v>
      </c>
      <c r="V92" s="397">
        <f>IF(+NFL!$F246="Carolina",+NFL!#REF!,IF(+NFL!$H246="Carolina",+NFL!#REF!,0))</f>
        <v>0</v>
      </c>
      <c r="W92" s="396">
        <f>IF(+NFL!$F246="Carolina",+NFL!#REF!,IF(+NFL!$H246="Carolina",+NFL!#REF!,0))</f>
        <v>0</v>
      </c>
      <c r="X92" s="398">
        <f>IF(+NFL!$F246="Carolina",+NFL!#REF!,IF(+NFL!$H246="Carolina",+NFL!#REF!,0))</f>
        <v>0</v>
      </c>
      <c r="Y92" s="396">
        <f>IF(+NFL!$F246="Carolina",+NFL!#REF!,IF(+NFL!$H246="Carolina",+NFL!#REF!,0))</f>
        <v>0</v>
      </c>
      <c r="Z92" s="397">
        <f>IF(+NFL!$F246="Carolina",+NFL!#REF!,IF(+NFL!$H246="Carolina",+NFL!#REF!,0))</f>
        <v>0</v>
      </c>
      <c r="AA92" s="396">
        <f>IF(+NFL!$F246="Carolina",+NFL!#REF!,IF(+NFL!$H246="Carolina",+NFL!#REF!,0))</f>
        <v>0</v>
      </c>
      <c r="AB92" s="87">
        <f>IF(+NFL!$F246="Carolina",+NFL!#REF!,IF(+NFL!$H246="Carolina",+NFL!#REF!,0))</f>
        <v>0</v>
      </c>
      <c r="AC92" s="120">
        <f>IF(+NFL!$F246="Carolina",+NFL!#REF!,IF(+NFL!$H246="Carolina",+NFL!#REF!,0))</f>
        <v>0</v>
      </c>
      <c r="AD92" s="353">
        <f>IF(+NFL!$F246="Carolina",+NFL!#REF!,IF(+NFL!$H246="Carolina",+NFL!#REF!,0))</f>
        <v>0</v>
      </c>
      <c r="AE92" s="379">
        <f>IF(+NFL!$F246="Carolina",+NFL!#REF!,IF(+NFL!$H246="Carolina",+NFL!#REF!,0))</f>
        <v>0</v>
      </c>
      <c r="AF92" s="353">
        <f>IF(+NFL!$F246="Carolina",+NFL!#REF!,IF(+NFL!$H246="Carolina",+NFL!#REF!,0))</f>
        <v>0</v>
      </c>
      <c r="AG92" s="379">
        <f>IF(+NFL!$F246="Carolina",+NFL!#REF!,IF(+NFL!$H246="Carolina",+NFL!#REF!,0))</f>
        <v>0</v>
      </c>
      <c r="AH92" s="353">
        <f>IF(+NFL!$F246="Carolina",+NFL!#REF!,IF(+NFL!$H246="Carolina",+NFL!#REF!,0))</f>
        <v>0</v>
      </c>
      <c r="AI92" s="379">
        <f>IF(+NFL!$F246="Carolina",+NFL!#REF!,IF(+NFL!$H246="Carolina",+NFL!#REF!,0))</f>
        <v>0</v>
      </c>
      <c r="AJ92" s="353">
        <f>IF(+NFL!$F246="Carolina",+NFL!#REF!,IF(+NFL!$H246="Carolina",+NFL!#REF!,0))</f>
        <v>0</v>
      </c>
      <c r="AK92" s="379">
        <f>IF(+NFL!$F246="Carolina",+NFL!#REF!,IF(+NFL!$H246="Carolina",+NFL!#REF!,0))</f>
        <v>0</v>
      </c>
      <c r="AL92" s="70">
        <f>IF(+NFL!$F246="Carolina",+NFL!#REF!,IF(+NFL!$H246="Carolina",+NFL!#REF!,0))</f>
        <v>0</v>
      </c>
      <c r="AM92" s="64">
        <f>IF(+NFL!$F246="Carolina",+NFL!#REF!,IF(+NFL!$H246="Carolina",+NFL!#REF!,0))</f>
        <v>0</v>
      </c>
      <c r="AN92" s="70">
        <f>IF(+NFL!$F246="Carolina",+NFL!#REF!,IF(+NFL!$H246="Carolina",+NFL!#REF!,0))</f>
        <v>0</v>
      </c>
      <c r="AO92" s="46">
        <f>IF(+NFL!$F246="Carolina",+NFL!#REF!,IF(+NFL!$H246="Carolina",+NFL!#REF!,0))</f>
        <v>0</v>
      </c>
      <c r="AP92" s="348">
        <f>IF(+NFL!$F246="Carolina",+NFL!#REF!,IF(+NFL!$H246="Carolina",+NFL!#REF!,0))</f>
        <v>0</v>
      </c>
      <c r="AQ92" s="48">
        <f>IF(+NFL!$F246="Carolina",+NFL!#REF!,IF(+NFL!$H246="Carolina",+NFL!#REF!,0))</f>
        <v>0</v>
      </c>
      <c r="AR92" s="57">
        <f>IF(+NFL!$F246="Carolina",+NFL!#REF!,IF(+NFL!$H246="Carolina",+NFL!#REF!,0))</f>
        <v>0</v>
      </c>
      <c r="AS92" s="64">
        <f>IF(+NFL!$F246="Carolina",+NFL!#REF!,IF(+NFL!$H246="Carolina",+NFL!#REF!,0))</f>
        <v>0</v>
      </c>
      <c r="AT92" s="46">
        <f>IF(+NFL!$F246="Carolina",+NFL!#REF!,IF(+NFL!$H246="Carolina",+NFL!#REF!,0))</f>
        <v>0</v>
      </c>
      <c r="AU92" s="57">
        <f>IF(+NFL!$F246="Carolina",+NFL!#REF!,IF(+NFL!$H246="Carolina",+NFL!#REF!,0))</f>
        <v>0</v>
      </c>
      <c r="AV92" s="64">
        <f>IF(+NFL!$F246="Carolina",+NFL!#REF!,IF(+NFL!$H246="Carolina",+NFL!#REF!,0))</f>
        <v>0</v>
      </c>
      <c r="AW92" s="46">
        <f>IF(+NFL!$F246="Carolina",+NFL!#REF!,IF(+NFL!$H246="Carolina",+NFL!#REF!,0))</f>
        <v>0</v>
      </c>
      <c r="AX92" s="64">
        <f>IF(+NFL!$F246="Carolina",+NFL!#REF!,IF(+NFL!$H246="Carolina",+NFL!#REF!,0))</f>
        <v>0</v>
      </c>
      <c r="AY92" s="57">
        <f>IF(+NFL!$F246="Carolina",+NFL!#REF!,IF(+NFL!$H246="Carolina",+NFL!#REF!,0))</f>
        <v>0</v>
      </c>
      <c r="AZ92" s="64">
        <f>IF(+NFL!$F246="Carolina",+NFL!#REF!,IF(+NFL!$H246="Carolina",+NFL!#REF!,0))</f>
        <v>0</v>
      </c>
      <c r="BA92" s="46">
        <f>IF(+NFL!$F246="Carolina",+NFL!#REF!,IF(+NFL!$H246="Carolina",+NFL!#REF!,0))</f>
        <v>0</v>
      </c>
      <c r="BB92" s="46">
        <f>IF(+NFL!$F246="Carolina",+NFL!#REF!,IF(+NFL!$H246="Carolina",+NFL!#REF!,0))</f>
        <v>0</v>
      </c>
      <c r="BC92" s="403">
        <f>IF(+NFL!$F246="Carolina",+NFL!#REF!,IF(+NFL!$H246="Carolina",+NFL!#REF!,0))</f>
        <v>0</v>
      </c>
      <c r="BD92" s="57">
        <f>IF(+NFL!$F246="Carolina",+NFL!#REF!,IF(+NFL!$H246="Carolina",+NFL!#REF!,0))</f>
        <v>0</v>
      </c>
      <c r="BE92" s="64">
        <f>IF(+NFL!$F246="Carolina",+NFL!#REF!,IF(+NFL!$H246="Carolina",+NFL!#REF!,0))</f>
        <v>0</v>
      </c>
      <c r="BF92" s="46">
        <f>IF(+NFL!$F246="Carolina",+NFL!#REF!,IF(+NFL!$H246="Carolina",+NFL!#REF!,0))</f>
        <v>0</v>
      </c>
      <c r="BG92" s="57">
        <f>IF(+NFL!$F246="Carolina",+NFL!#REF!,IF(+NFL!$H246="Carolina",+NFL!#REF!,0))</f>
        <v>0</v>
      </c>
      <c r="BH92" s="64">
        <f>IF(+NFL!$F246="Carolina",+NFL!#REF!,IF(+NFL!$H246="Carolina",+NFL!#REF!,0))</f>
        <v>0</v>
      </c>
      <c r="BI92" s="46">
        <f>IF(+NFL!$F246="Carolina",+NFL!#REF!,IF(+NFL!$H246="Carolina",+NFL!#REF!,0))</f>
        <v>0</v>
      </c>
      <c r="BJ92" s="87">
        <f>IF(+NFL!$F246="Carolina",+NFL!#REF!,IF(+NFL!$H246="Carolina",+NFL!#REF!,0))</f>
        <v>0</v>
      </c>
      <c r="BK92" s="120">
        <f>IF(+NFL!$F246="Carolina",+NFL!#REF!,IF(+NFL!$H246="Carolina",+NFL!#REF!,0))</f>
        <v>0</v>
      </c>
    </row>
    <row r="93" spans="1:63" x14ac:dyDescent="0.8">
      <c r="A93" s="46">
        <f>IF(+NFL!$F274="Carolina",+NFL!A274,IF(+NFL!$H274="Carolina",+NFL!A274,0))</f>
        <v>15</v>
      </c>
      <c r="B93" s="348" t="str">
        <f>IF(+NFL!$F274="Carolina",+NFL!B274,IF(+NFL!$H274="Carolina",+NFL!B274,0))</f>
        <v>Sun</v>
      </c>
      <c r="C93" s="48">
        <f>IF(+NFL!$F274="Carolina",+NFL!C274,IF(+NFL!$H274="Carolina",+NFL!C274,0))</f>
        <v>44913</v>
      </c>
      <c r="D93" s="490">
        <f>IF(+NFL!$F274="Carolina",+NFL!D274,IF(+NFL!$H274="Carolina",+NFL!D274,0))</f>
        <v>0.54166666666666663</v>
      </c>
      <c r="E93" s="491" t="str">
        <f>IF(+NFL!$F274="Carolina",+NFL!E274,IF(+NFL!$H274="Carolina",+NFL!E274,0))</f>
        <v>CBS</v>
      </c>
      <c r="F93" s="130" t="str">
        <f>IF(+NFL!$F274="Carolina",+NFL!F274,IF(+NFL!$H274="Carolina",+NFL!F274,0))</f>
        <v>Pittsburgh</v>
      </c>
      <c r="G93" s="491" t="str">
        <f>IF(+NFL!$F274="Carolina",+NFL!G274,IF(+NFL!$H274="Carolina",+NFL!G274,0))</f>
        <v>AFCN</v>
      </c>
      <c r="H93" s="130" t="str">
        <f>IF(+NFL!$F274="Carolina",+NFL!H274,IF(+NFL!$H274="Carolina",+NFL!H274,0))</f>
        <v>Carolina</v>
      </c>
      <c r="I93" s="491" t="str">
        <f>IF(+NFL!$F274="Carolina",+NFL!I274,IF(+NFL!$H274="Carolina",+NFL!I274,0))</f>
        <v>NFCS</v>
      </c>
      <c r="J93" s="353" t="str">
        <f>IF(+NFL!$F274="Carolina",+NFL!J274,IF(+NFL!$H274="Carolina",+NFL!J274,0))</f>
        <v>Carolina</v>
      </c>
      <c r="K93" s="494" t="str">
        <f>IF(+NFL!$F274="Carolina",+NFL!K274,IF(+NFL!$H274="Carolina",+NFL!K274,0))</f>
        <v>Pittsburgh</v>
      </c>
      <c r="L93" s="384">
        <f>IF(+NFL!$F274="Carolina",+NFL!L274,IF(+NFL!$H274="Carolina",+NFL!L274,0))</f>
        <v>2.5</v>
      </c>
      <c r="M93" s="385">
        <f>IF(+NFL!$F274="Carolina",+NFL!M274,IF(+NFL!$H274="Carolina",+NFL!M274,0))</f>
        <v>37.4</v>
      </c>
      <c r="N93" s="395" t="str">
        <f>IF(+NFL!$F274="Carolina",+NFL!N274,IF(+NFL!$H274="Carolina",+NFL!N274,0))</f>
        <v>Pittsburgh</v>
      </c>
      <c r="O93" s="395">
        <f>IF(+NFL!$F274="Carolina",+NFL!O274,IF(+NFL!$H274="Carolina",+NFL!O274,0))</f>
        <v>24</v>
      </c>
      <c r="P93" s="395" t="str">
        <f>IF(+NFL!$F274="Carolina",+NFL!P274,IF(+NFL!$H274="Carolina",+NFL!P274,0))</f>
        <v>Carolina</v>
      </c>
      <c r="Q93" s="396">
        <f>IF(+NFL!$F274="Carolina",+NFL!Q274,IF(+NFL!$H274="Carolina",+NFL!Q274,0))</f>
        <v>16</v>
      </c>
      <c r="R93" s="397" t="str">
        <f>IF(+NFL!$F274="Carolina",+NFL!R274,IF(+NFL!$H274="Carolina",+NFL!R274,0))</f>
        <v>Pittsburgh</v>
      </c>
      <c r="S93" s="399" t="str">
        <f>IF(+NFL!$F274="Carolina",+NFL!S274,IF(+NFL!$H274="Carolina",+NFL!S274,0))</f>
        <v>Carolina</v>
      </c>
      <c r="T93" s="398">
        <f>IF(+NFL!$F274="Carolina",+NFL!T274,IF(+NFL!$H274="Carolina",+NFL!T274,0))</f>
        <v>0</v>
      </c>
      <c r="U93" s="396" t="str">
        <f>IF(+NFL!$F274="Carolina",+NFL!U274,IF(+NFL!$H274="Carolina",+NFL!U274,0))</f>
        <v>L</v>
      </c>
      <c r="V93" s="397">
        <f>IF(+NFL!$F273="Carolina",+NFL!#REF!,IF(+NFL!$H273="Carolina",+NFL!#REF!,0))</f>
        <v>0</v>
      </c>
      <c r="W93" s="396">
        <f>IF(+NFL!$F273="Carolina",+NFL!#REF!,IF(+NFL!$H273="Carolina",+NFL!#REF!,0))</f>
        <v>0</v>
      </c>
      <c r="X93" s="398">
        <f>IF(+NFL!$F273="Carolina",+NFL!#REF!,IF(+NFL!$H273="Carolina",+NFL!#REF!,0))</f>
        <v>0</v>
      </c>
      <c r="Y93" s="396">
        <f>IF(+NFL!$F273="Carolina",+NFL!#REF!,IF(+NFL!$H273="Carolina",+NFL!#REF!,0))</f>
        <v>0</v>
      </c>
      <c r="Z93" s="397">
        <f>IF(+NFL!$F273="Carolina",+NFL!#REF!,IF(+NFL!$H273="Carolina",+NFL!#REF!,0))</f>
        <v>0</v>
      </c>
      <c r="AA93" s="396">
        <f>IF(+NFL!$F273="Carolina",+NFL!#REF!,IF(+NFL!$H273="Carolina",+NFL!#REF!,0))</f>
        <v>0</v>
      </c>
      <c r="AB93" s="87">
        <f>IF(+NFL!$F273="Carolina",+NFL!#REF!,IF(+NFL!$H273="Carolina",+NFL!#REF!,0))</f>
        <v>0</v>
      </c>
      <c r="AC93" s="120">
        <f>IF(+NFL!$F273="Carolina",+NFL!#REF!,IF(+NFL!$H273="Carolina",+NFL!#REF!,0))</f>
        <v>0</v>
      </c>
      <c r="AD93" s="353">
        <f>IF(+NFL!$F273="Carolina",+NFL!#REF!,IF(+NFL!$H273="Carolina",+NFL!#REF!,0))</f>
        <v>0</v>
      </c>
      <c r="AE93" s="379">
        <f>IF(+NFL!$F273="Carolina",+NFL!#REF!,IF(+NFL!$H273="Carolina",+NFL!#REF!,0))</f>
        <v>0</v>
      </c>
      <c r="AF93" s="353">
        <f>IF(+NFL!$F273="Carolina",+NFL!#REF!,IF(+NFL!$H273="Carolina",+NFL!#REF!,0))</f>
        <v>0</v>
      </c>
      <c r="AG93" s="379">
        <f>IF(+NFL!$F273="Carolina",+NFL!#REF!,IF(+NFL!$H273="Carolina",+NFL!#REF!,0))</f>
        <v>0</v>
      </c>
      <c r="AH93" s="353">
        <f>IF(+NFL!$F273="Carolina",+NFL!#REF!,IF(+NFL!$H273="Carolina",+NFL!#REF!,0))</f>
        <v>0</v>
      </c>
      <c r="AI93" s="379">
        <f>IF(+NFL!$F273="Carolina",+NFL!#REF!,IF(+NFL!$H273="Carolina",+NFL!#REF!,0))</f>
        <v>0</v>
      </c>
      <c r="AJ93" s="353">
        <f>IF(+NFL!$F273="Carolina",+NFL!#REF!,IF(+NFL!$H273="Carolina",+NFL!#REF!,0))</f>
        <v>0</v>
      </c>
      <c r="AK93" s="379">
        <f>IF(+NFL!$F273="Carolina",+NFL!#REF!,IF(+NFL!$H273="Carolina",+NFL!#REF!,0))</f>
        <v>0</v>
      </c>
      <c r="AL93" s="70">
        <f>IF(+NFL!$F273="Carolina",+NFL!#REF!,IF(+NFL!$H273="Carolina",+NFL!#REF!,0))</f>
        <v>0</v>
      </c>
      <c r="AM93" s="64">
        <f>IF(+NFL!$F273="Carolina",+NFL!#REF!,IF(+NFL!$H273="Carolina",+NFL!#REF!,0))</f>
        <v>0</v>
      </c>
      <c r="AN93" s="70">
        <f>IF(+NFL!$F273="Carolina",+NFL!#REF!,IF(+NFL!$H273="Carolina",+NFL!#REF!,0))</f>
        <v>0</v>
      </c>
      <c r="AO93" s="46">
        <f>IF(+NFL!$F273="Carolina",+NFL!#REF!,IF(+NFL!$H273="Carolina",+NFL!#REF!,0))</f>
        <v>0</v>
      </c>
      <c r="AP93" s="348">
        <f>IF(+NFL!$F273="Carolina",+NFL!#REF!,IF(+NFL!$H273="Carolina",+NFL!#REF!,0))</f>
        <v>0</v>
      </c>
      <c r="AQ93" s="48">
        <f>IF(+NFL!$F273="Carolina",+NFL!#REF!,IF(+NFL!$H273="Carolina",+NFL!#REF!,0))</f>
        <v>0</v>
      </c>
      <c r="AR93" s="57">
        <f>IF(+NFL!$F273="Carolina",+NFL!#REF!,IF(+NFL!$H273="Carolina",+NFL!#REF!,0))</f>
        <v>0</v>
      </c>
      <c r="AS93" s="64">
        <f>IF(+NFL!$F273="Carolina",+NFL!#REF!,IF(+NFL!$H273="Carolina",+NFL!#REF!,0))</f>
        <v>0</v>
      </c>
      <c r="AT93" s="46">
        <f>IF(+NFL!$F273="Carolina",+NFL!#REF!,IF(+NFL!$H273="Carolina",+NFL!#REF!,0))</f>
        <v>0</v>
      </c>
      <c r="AU93" s="57">
        <f>IF(+NFL!$F273="Carolina",+NFL!#REF!,IF(+NFL!$H273="Carolina",+NFL!#REF!,0))</f>
        <v>0</v>
      </c>
      <c r="AV93" s="64">
        <f>IF(+NFL!$F273="Carolina",+NFL!#REF!,IF(+NFL!$H273="Carolina",+NFL!#REF!,0))</f>
        <v>0</v>
      </c>
      <c r="AW93" s="46">
        <f>IF(+NFL!$F273="Carolina",+NFL!#REF!,IF(+NFL!$H273="Carolina",+NFL!#REF!,0))</f>
        <v>0</v>
      </c>
      <c r="AX93" s="64">
        <f>IF(+NFL!$F273="Carolina",+NFL!#REF!,IF(+NFL!$H273="Carolina",+NFL!#REF!,0))</f>
        <v>0</v>
      </c>
      <c r="AY93" s="57">
        <f>IF(+NFL!$F273="Carolina",+NFL!#REF!,IF(+NFL!$H273="Carolina",+NFL!#REF!,0))</f>
        <v>0</v>
      </c>
      <c r="AZ93" s="64">
        <f>IF(+NFL!$F273="Carolina",+NFL!#REF!,IF(+NFL!$H273="Carolina",+NFL!#REF!,0))</f>
        <v>0</v>
      </c>
      <c r="BA93" s="46">
        <f>IF(+NFL!$F273="Carolina",+NFL!#REF!,IF(+NFL!$H273="Carolina",+NFL!#REF!,0))</f>
        <v>0</v>
      </c>
      <c r="BB93" s="46">
        <f>IF(+NFL!$F273="Carolina",+NFL!#REF!,IF(+NFL!$H273="Carolina",+NFL!#REF!,0))</f>
        <v>0</v>
      </c>
      <c r="BC93" s="403">
        <f>IF(+NFL!$F273="Carolina",+NFL!#REF!,IF(+NFL!$H273="Carolina",+NFL!#REF!,0))</f>
        <v>0</v>
      </c>
      <c r="BD93" s="57">
        <f>IF(+NFL!$F273="Carolina",+NFL!#REF!,IF(+NFL!$H273="Carolina",+NFL!#REF!,0))</f>
        <v>0</v>
      </c>
      <c r="BE93" s="64">
        <f>IF(+NFL!$F273="Carolina",+NFL!#REF!,IF(+NFL!$H273="Carolina",+NFL!#REF!,0))</f>
        <v>0</v>
      </c>
      <c r="BF93" s="46">
        <f>IF(+NFL!$F273="Carolina",+NFL!#REF!,IF(+NFL!$H273="Carolina",+NFL!#REF!,0))</f>
        <v>0</v>
      </c>
      <c r="BG93" s="57">
        <f>IF(+NFL!$F273="Carolina",+NFL!#REF!,IF(+NFL!$H273="Carolina",+NFL!#REF!,0))</f>
        <v>0</v>
      </c>
      <c r="BH93" s="64">
        <f>IF(+NFL!$F273="Carolina",+NFL!#REF!,IF(+NFL!$H273="Carolina",+NFL!#REF!,0))</f>
        <v>0</v>
      </c>
      <c r="BI93" s="46">
        <f>IF(+NFL!$F273="Carolina",+NFL!#REF!,IF(+NFL!$H273="Carolina",+NFL!#REF!,0))</f>
        <v>0</v>
      </c>
      <c r="BJ93" s="87">
        <f>IF(+NFL!$F273="Carolina",+NFL!#REF!,IF(+NFL!$H273="Carolina",+NFL!#REF!,0))</f>
        <v>0</v>
      </c>
      <c r="BK93" s="120">
        <f>IF(+NFL!$F273="Carolina",+NFL!#REF!,IF(+NFL!$H273="Carolina",+NFL!#REF!,0))</f>
        <v>0</v>
      </c>
    </row>
    <row r="94" spans="1:63" x14ac:dyDescent="0.8">
      <c r="A94" s="46">
        <f>IF(+NFL!$F290="Carolina",+NFL!A290,IF(+NFL!$H290="Carolina",+NFL!A290,0))</f>
        <v>16</v>
      </c>
      <c r="B94" s="348" t="str">
        <f>IF(+NFL!$F290="Carolina",+NFL!B290,IF(+NFL!$H290="Carolina",+NFL!B290,0))</f>
        <v>Sat</v>
      </c>
      <c r="C94" s="48">
        <f>IF(+NFL!$F290="Carolina",+NFL!C290,IF(+NFL!$H290="Carolina",+NFL!C290,0))</f>
        <v>44919</v>
      </c>
      <c r="D94" s="490">
        <f>IF(+NFL!$F290="Carolina",+NFL!D290,IF(+NFL!$H290="Carolina",+NFL!D290,0))</f>
        <v>0.54166666666666663</v>
      </c>
      <c r="E94" s="491" t="str">
        <f>IF(+NFL!$F290="Carolina",+NFL!E290,IF(+NFL!$H290="Carolina",+NFL!E290,0))</f>
        <v>Fox</v>
      </c>
      <c r="F94" s="130" t="str">
        <f>IF(+NFL!$F290="Carolina",+NFL!F290,IF(+NFL!$H290="Carolina",+NFL!F290,0))</f>
        <v>Detroit</v>
      </c>
      <c r="G94" s="491" t="str">
        <f>IF(+NFL!$F290="Carolina",+NFL!G290,IF(+NFL!$H290="Carolina",+NFL!G290,0))</f>
        <v>NFCN</v>
      </c>
      <c r="H94" s="130" t="str">
        <f>IF(+NFL!$F290="Carolina",+NFL!H290,IF(+NFL!$H290="Carolina",+NFL!H290,0))</f>
        <v>Carolina</v>
      </c>
      <c r="I94" s="491" t="str">
        <f>IF(+NFL!$F290="Carolina",+NFL!I290,IF(+NFL!$H290="Carolina",+NFL!I290,0))</f>
        <v>NFCS</v>
      </c>
      <c r="J94" s="353" t="str">
        <f>IF(+NFL!$F290="Carolina",+NFL!J290,IF(+NFL!$H290="Carolina",+NFL!J290,0))</f>
        <v>Detroit</v>
      </c>
      <c r="K94" s="494" t="str">
        <f>IF(+NFL!$F290="Carolina",+NFL!K290,IF(+NFL!$H290="Carolina",+NFL!K290,0))</f>
        <v>Carolina</v>
      </c>
      <c r="L94" s="384">
        <f>IF(+NFL!$F290="Carolina",+NFL!L290,IF(+NFL!$H290="Carolina",+NFL!L290,0))</f>
        <v>2.5</v>
      </c>
      <c r="M94" s="385">
        <f>IF(+NFL!$F290="Carolina",+NFL!M290,IF(+NFL!$H290="Carolina",+NFL!M290,0))</f>
        <v>43.5</v>
      </c>
      <c r="N94" s="395" t="str">
        <f>IF(+NFL!$F290="Carolina",+NFL!N290,IF(+NFL!$H290="Carolina",+NFL!N290,0))</f>
        <v>Carolina</v>
      </c>
      <c r="O94" s="395">
        <f>IF(+NFL!$F290="Carolina",+NFL!O290,IF(+NFL!$H290="Carolina",+NFL!O290,0))</f>
        <v>37</v>
      </c>
      <c r="P94" s="395" t="str">
        <f>IF(+NFL!$F290="Carolina",+NFL!P290,IF(+NFL!$H290="Carolina",+NFL!P290,0))</f>
        <v>Detroit</v>
      </c>
      <c r="Q94" s="396">
        <f>IF(+NFL!$F290="Carolina",+NFL!Q290,IF(+NFL!$H290="Carolina",+NFL!Q290,0))</f>
        <v>23</v>
      </c>
      <c r="R94" s="397" t="str">
        <f>IF(+NFL!$F290="Carolina",+NFL!R290,IF(+NFL!$H290="Carolina",+NFL!R290,0))</f>
        <v>Carolina</v>
      </c>
      <c r="S94" s="399" t="str">
        <f>IF(+NFL!$F290="Carolina",+NFL!S290,IF(+NFL!$H290="Carolina",+NFL!S290,0))</f>
        <v>Detroit</v>
      </c>
      <c r="T94" s="398">
        <f>IF(+NFL!$F290="Carolina",+NFL!T290,IF(+NFL!$H290="Carolina",+NFL!T290,0))</f>
        <v>0</v>
      </c>
      <c r="U94" s="396" t="str">
        <f>IF(+NFL!$F290="Carolina",+NFL!U290,IF(+NFL!$H290="Carolina",+NFL!U290,0))</f>
        <v>L</v>
      </c>
      <c r="V94" s="397">
        <f>IF(+NFL!$F284="Carolina",+NFL!#REF!,IF(+NFL!$H284="Carolina",+NFL!#REF!,0))</f>
        <v>0</v>
      </c>
      <c r="W94" s="396">
        <f>IF(+NFL!$F284="Carolina",+NFL!#REF!,IF(+NFL!$H284="Carolina",+NFL!#REF!,0))</f>
        <v>0</v>
      </c>
      <c r="X94" s="398">
        <f>IF(+NFL!$F284="Carolina",+NFL!#REF!,IF(+NFL!$H284="Carolina",+NFL!#REF!,0))</f>
        <v>0</v>
      </c>
      <c r="Y94" s="396">
        <f>IF(+NFL!$F284="Carolina",+NFL!#REF!,IF(+NFL!$H284="Carolina",+NFL!#REF!,0))</f>
        <v>0</v>
      </c>
      <c r="Z94" s="397">
        <f>IF(+NFL!$F284="Carolina",+NFL!#REF!,IF(+NFL!$H284="Carolina",+NFL!#REF!,0))</f>
        <v>0</v>
      </c>
      <c r="AA94" s="396">
        <f>IF(+NFL!$F284="Carolina",+NFL!#REF!,IF(+NFL!$H284="Carolina",+NFL!#REF!,0))</f>
        <v>0</v>
      </c>
      <c r="AB94" s="87">
        <f>IF(+NFL!$F284="Carolina",+NFL!#REF!,IF(+NFL!$H284="Carolina",+NFL!#REF!,0))</f>
        <v>0</v>
      </c>
      <c r="AC94" s="120">
        <f>IF(+NFL!$F284="Carolina",+NFL!#REF!,IF(+NFL!$H284="Carolina",+NFL!#REF!,0))</f>
        <v>0</v>
      </c>
      <c r="AD94" s="353">
        <f>IF(+NFL!$F284="Carolina",+NFL!#REF!,IF(+NFL!$H284="Carolina",+NFL!#REF!,0))</f>
        <v>0</v>
      </c>
      <c r="AE94" s="379">
        <f>IF(+NFL!$F284="Carolina",+NFL!#REF!,IF(+NFL!$H284="Carolina",+NFL!#REF!,0))</f>
        <v>0</v>
      </c>
      <c r="AF94" s="353">
        <f>IF(+NFL!$F284="Carolina",+NFL!#REF!,IF(+NFL!$H284="Carolina",+NFL!#REF!,0))</f>
        <v>0</v>
      </c>
      <c r="AG94" s="379">
        <f>IF(+NFL!$F284="Carolina",+NFL!#REF!,IF(+NFL!$H284="Carolina",+NFL!#REF!,0))</f>
        <v>0</v>
      </c>
      <c r="AH94" s="353">
        <f>IF(+NFL!$F284="Carolina",+NFL!#REF!,IF(+NFL!$H284="Carolina",+NFL!#REF!,0))</f>
        <v>0</v>
      </c>
      <c r="AI94" s="379">
        <f>IF(+NFL!$F284="Carolina",+NFL!#REF!,IF(+NFL!$H284="Carolina",+NFL!#REF!,0))</f>
        <v>0</v>
      </c>
      <c r="AJ94" s="353">
        <f>IF(+NFL!$F284="Carolina",+NFL!#REF!,IF(+NFL!$H284="Carolina",+NFL!#REF!,0))</f>
        <v>0</v>
      </c>
      <c r="AK94" s="379">
        <f>IF(+NFL!$F284="Carolina",+NFL!#REF!,IF(+NFL!$H284="Carolina",+NFL!#REF!,0))</f>
        <v>0</v>
      </c>
      <c r="AL94" s="70">
        <f>IF(+NFL!$F284="Carolina",+NFL!#REF!,IF(+NFL!$H284="Carolina",+NFL!#REF!,0))</f>
        <v>0</v>
      </c>
      <c r="AM94" s="64">
        <f>IF(+NFL!$F284="Carolina",+NFL!#REF!,IF(+NFL!$H284="Carolina",+NFL!#REF!,0))</f>
        <v>0</v>
      </c>
      <c r="AN94" s="70">
        <f>IF(+NFL!$F284="Carolina",+NFL!#REF!,IF(+NFL!$H284="Carolina",+NFL!#REF!,0))</f>
        <v>0</v>
      </c>
      <c r="AO94" s="46">
        <f>IF(+NFL!$F284="Carolina",+NFL!#REF!,IF(+NFL!$H284="Carolina",+NFL!#REF!,0))</f>
        <v>0</v>
      </c>
      <c r="AP94" s="348">
        <f>IF(+NFL!$F284="Carolina",+NFL!#REF!,IF(+NFL!$H284="Carolina",+NFL!#REF!,0))</f>
        <v>0</v>
      </c>
      <c r="AQ94" s="48">
        <f>IF(+NFL!$F284="Carolina",+NFL!#REF!,IF(+NFL!$H284="Carolina",+NFL!#REF!,0))</f>
        <v>0</v>
      </c>
      <c r="AR94" s="57">
        <f>IF(+NFL!$F284="Carolina",+NFL!#REF!,IF(+NFL!$H284="Carolina",+NFL!#REF!,0))</f>
        <v>0</v>
      </c>
      <c r="AS94" s="64">
        <f>IF(+NFL!$F284="Carolina",+NFL!#REF!,IF(+NFL!$H284="Carolina",+NFL!#REF!,0))</f>
        <v>0</v>
      </c>
      <c r="AT94" s="46">
        <f>IF(+NFL!$F284="Carolina",+NFL!#REF!,IF(+NFL!$H284="Carolina",+NFL!#REF!,0))</f>
        <v>0</v>
      </c>
      <c r="AU94" s="57">
        <f>IF(+NFL!$F284="Carolina",+NFL!#REF!,IF(+NFL!$H284="Carolina",+NFL!#REF!,0))</f>
        <v>0</v>
      </c>
      <c r="AV94" s="64">
        <f>IF(+NFL!$F284="Carolina",+NFL!#REF!,IF(+NFL!$H284="Carolina",+NFL!#REF!,0))</f>
        <v>0</v>
      </c>
      <c r="AW94" s="46">
        <f>IF(+NFL!$F284="Carolina",+NFL!#REF!,IF(+NFL!$H284="Carolina",+NFL!#REF!,0))</f>
        <v>0</v>
      </c>
      <c r="AX94" s="64">
        <f>IF(+NFL!$F284="Carolina",+NFL!#REF!,IF(+NFL!$H284="Carolina",+NFL!#REF!,0))</f>
        <v>0</v>
      </c>
      <c r="AY94" s="57">
        <f>IF(+NFL!$F284="Carolina",+NFL!#REF!,IF(+NFL!$H284="Carolina",+NFL!#REF!,0))</f>
        <v>0</v>
      </c>
      <c r="AZ94" s="64">
        <f>IF(+NFL!$F284="Carolina",+NFL!#REF!,IF(+NFL!$H284="Carolina",+NFL!#REF!,0))</f>
        <v>0</v>
      </c>
      <c r="BA94" s="46">
        <f>IF(+NFL!$F284="Carolina",+NFL!#REF!,IF(+NFL!$H284="Carolina",+NFL!#REF!,0))</f>
        <v>0</v>
      </c>
      <c r="BB94" s="46">
        <f>IF(+NFL!$F284="Carolina",+NFL!#REF!,IF(+NFL!$H284="Carolina",+NFL!#REF!,0))</f>
        <v>0</v>
      </c>
      <c r="BC94" s="403">
        <f>IF(+NFL!$F284="Carolina",+NFL!#REF!,IF(+NFL!$H284="Carolina",+NFL!#REF!,0))</f>
        <v>0</v>
      </c>
      <c r="BD94" s="57">
        <f>IF(+NFL!$F284="Carolina",+NFL!#REF!,IF(+NFL!$H284="Carolina",+NFL!#REF!,0))</f>
        <v>0</v>
      </c>
      <c r="BE94" s="64">
        <f>IF(+NFL!$F284="Carolina",+NFL!#REF!,IF(+NFL!$H284="Carolina",+NFL!#REF!,0))</f>
        <v>0</v>
      </c>
      <c r="BF94" s="46">
        <f>IF(+NFL!$F284="Carolina",+NFL!#REF!,IF(+NFL!$H284="Carolina",+NFL!#REF!,0))</f>
        <v>0</v>
      </c>
      <c r="BG94" s="57">
        <f>IF(+NFL!$F284="Carolina",+NFL!#REF!,IF(+NFL!$H284="Carolina",+NFL!#REF!,0))</f>
        <v>0</v>
      </c>
      <c r="BH94" s="64">
        <f>IF(+NFL!$F284="Carolina",+NFL!#REF!,IF(+NFL!$H284="Carolina",+NFL!#REF!,0))</f>
        <v>0</v>
      </c>
      <c r="BI94" s="46">
        <f>IF(+NFL!$F284="Carolina",+NFL!#REF!,IF(+NFL!$H284="Carolina",+NFL!#REF!,0))</f>
        <v>0</v>
      </c>
      <c r="BJ94" s="87">
        <f>IF(+NFL!$F284="Carolina",+NFL!#REF!,IF(+NFL!$H284="Carolina",+NFL!#REF!,0))</f>
        <v>0</v>
      </c>
      <c r="BK94" s="120">
        <f>IF(+NFL!$F284="Carolina",+NFL!#REF!,IF(+NFL!$H284="Carolina",+NFL!#REF!,0))</f>
        <v>0</v>
      </c>
    </row>
    <row r="95" spans="1:63" x14ac:dyDescent="0.8">
      <c r="A95" s="46">
        <f>IF(+NFL!$F307="Carolina",+NFL!A307,IF(+NFL!$H307="Carolina",+NFL!A307,0))</f>
        <v>17</v>
      </c>
      <c r="B95" s="348" t="str">
        <f>IF(+NFL!$F307="Carolina",+NFL!B307,IF(+NFL!$H307="Carolina",+NFL!B307,0))</f>
        <v>Sun</v>
      </c>
      <c r="C95" s="48">
        <f>IF(+NFL!$F307="Carolina",+NFL!C307,IF(+NFL!$H307="Carolina",+NFL!C307,0))</f>
        <v>44927</v>
      </c>
      <c r="D95" s="490">
        <f>IF(+NFL!$F307="Carolina",+NFL!D307,IF(+NFL!$H307="Carolina",+NFL!D307,0))</f>
        <v>0.54166666666666663</v>
      </c>
      <c r="E95" s="491" t="str">
        <f>IF(+NFL!$F307="Carolina",+NFL!E307,IF(+NFL!$H307="Carolina",+NFL!E307,0))</f>
        <v>Fox</v>
      </c>
      <c r="F95" s="130" t="str">
        <f>IF(+NFL!$F307="Carolina",+NFL!F307,IF(+NFL!$H307="Carolina",+NFL!F307,0))</f>
        <v>Carolina</v>
      </c>
      <c r="G95" s="491" t="str">
        <f>IF(+NFL!$F307="Carolina",+NFL!G307,IF(+NFL!$H307="Carolina",+NFL!G307,0))</f>
        <v>NFCS</v>
      </c>
      <c r="H95" s="130" t="str">
        <f>IF(+NFL!$F307="Carolina",+NFL!H307,IF(+NFL!$H307="Carolina",+NFL!H307,0))</f>
        <v>Tampa Bay</v>
      </c>
      <c r="I95" s="491" t="str">
        <f>IF(+NFL!$F307="Carolina",+NFL!I307,IF(+NFL!$H307="Carolina",+NFL!I307,0))</f>
        <v>NFCS</v>
      </c>
      <c r="J95" s="353" t="str">
        <f>IF(+NFL!$F307="Carolina",+NFL!J307,IF(+NFL!$H307="Carolina",+NFL!J307,0))</f>
        <v>Tampa Bay</v>
      </c>
      <c r="K95" s="494" t="str">
        <f>IF(+NFL!$F307="Carolina",+NFL!K307,IF(+NFL!$H307="Carolina",+NFL!K307,0))</f>
        <v>Carolina</v>
      </c>
      <c r="L95" s="384">
        <f>IF(+NFL!$F307="Carolina",+NFL!L307,IF(+NFL!$H307="Carolina",+NFL!L307,0))</f>
        <v>3.5</v>
      </c>
      <c r="M95" s="385">
        <f>IF(+NFL!$F307="Carolina",+NFL!M307,IF(+NFL!$H307="Carolina",+NFL!M307,0))</f>
        <v>40.5</v>
      </c>
      <c r="N95" s="395" t="str">
        <f>IF(+NFL!$F307="Carolina",+NFL!N307,IF(+NFL!$H307="Carolina",+NFL!N307,0))</f>
        <v>Tampa Bay</v>
      </c>
      <c r="O95" s="395">
        <f>IF(+NFL!$F307="Carolina",+NFL!O307,IF(+NFL!$H307="Carolina",+NFL!O307,0))</f>
        <v>30</v>
      </c>
      <c r="P95" s="395" t="str">
        <f>IF(+NFL!$F307="Carolina",+NFL!P307,IF(+NFL!$H307="Carolina",+NFL!P307,0))</f>
        <v>Carolina</v>
      </c>
      <c r="Q95" s="396">
        <f>IF(+NFL!$F307="Carolina",+NFL!Q307,IF(+NFL!$H307="Carolina",+NFL!Q307,0))</f>
        <v>24</v>
      </c>
      <c r="R95" s="397" t="str">
        <f>IF(+NFL!$F307="Carolina",+NFL!R307,IF(+NFL!$H307="Carolina",+NFL!R307,0))</f>
        <v>Tampa Bay</v>
      </c>
      <c r="S95" s="399" t="str">
        <f>IF(+NFL!$F307="Carolina",+NFL!S307,IF(+NFL!$H307="Carolina",+NFL!S307,0))</f>
        <v>Carolina</v>
      </c>
      <c r="T95" s="398">
        <f>IF(+NFL!$F307="Carolina",+NFL!T307,IF(+NFL!$H307="Carolina",+NFL!T307,0))</f>
        <v>0</v>
      </c>
      <c r="U95" s="396" t="str">
        <f>IF(+NFL!$F307="Carolina",+NFL!U307,IF(+NFL!$H307="Carolina",+NFL!U307,0))</f>
        <v>L</v>
      </c>
      <c r="V95" s="397">
        <f>IF(+NFL!$F309="Carolina",+NFL!#REF!,IF(+NFL!$H309="Carolina",+NFL!#REF!,0))</f>
        <v>0</v>
      </c>
      <c r="W95" s="396">
        <f>IF(+NFL!$F309="Carolina",+NFL!#REF!,IF(+NFL!$H309="Carolina",+NFL!#REF!,0))</f>
        <v>0</v>
      </c>
      <c r="X95" s="398">
        <f>IF(+NFL!$F309="Carolina",+NFL!#REF!,IF(+NFL!$H309="Carolina",+NFL!#REF!,0))</f>
        <v>0</v>
      </c>
      <c r="Y95" s="396">
        <f>IF(+NFL!$F309="Carolina",+NFL!#REF!,IF(+NFL!$H309="Carolina",+NFL!#REF!,0))</f>
        <v>0</v>
      </c>
      <c r="Z95" s="397">
        <f>IF(+NFL!$F309="Carolina",+NFL!#REF!,IF(+NFL!$H309="Carolina",+NFL!#REF!,0))</f>
        <v>0</v>
      </c>
      <c r="AA95" s="396">
        <f>IF(+NFL!$F309="Carolina",+NFL!#REF!,IF(+NFL!$H309="Carolina",+NFL!#REF!,0))</f>
        <v>0</v>
      </c>
      <c r="AB95" s="87">
        <f>IF(+NFL!$F309="Carolina",+NFL!#REF!,IF(+NFL!$H309="Carolina",+NFL!#REF!,0))</f>
        <v>0</v>
      </c>
      <c r="AC95" s="120">
        <f>IF(+NFL!$F309="Carolina",+NFL!#REF!,IF(+NFL!$H309="Carolina",+NFL!#REF!,0))</f>
        <v>0</v>
      </c>
      <c r="AD95" s="353">
        <f>IF(+NFL!$F309="Carolina",+NFL!#REF!,IF(+NFL!$H309="Carolina",+NFL!#REF!,0))</f>
        <v>0</v>
      </c>
      <c r="AE95" s="379">
        <f>IF(+NFL!$F309="Carolina",+NFL!#REF!,IF(+NFL!$H309="Carolina",+NFL!#REF!,0))</f>
        <v>0</v>
      </c>
      <c r="AF95" s="353">
        <f>IF(+NFL!$F309="Carolina",+NFL!#REF!,IF(+NFL!$H309="Carolina",+NFL!#REF!,0))</f>
        <v>0</v>
      </c>
      <c r="AG95" s="379">
        <f>IF(+NFL!$F309="Carolina",+NFL!#REF!,IF(+NFL!$H309="Carolina",+NFL!#REF!,0))</f>
        <v>0</v>
      </c>
      <c r="AH95" s="353">
        <f>IF(+NFL!$F309="Carolina",+NFL!#REF!,IF(+NFL!$H309="Carolina",+NFL!#REF!,0))</f>
        <v>0</v>
      </c>
      <c r="AI95" s="379">
        <f>IF(+NFL!$F309="Carolina",+NFL!#REF!,IF(+NFL!$H309="Carolina",+NFL!#REF!,0))</f>
        <v>0</v>
      </c>
      <c r="AJ95" s="353">
        <f>IF(+NFL!$F309="Carolina",+NFL!#REF!,IF(+NFL!$H309="Carolina",+NFL!#REF!,0))</f>
        <v>0</v>
      </c>
      <c r="AK95" s="379">
        <f>IF(+NFL!$F309="Carolina",+NFL!#REF!,IF(+NFL!$H309="Carolina",+NFL!#REF!,0))</f>
        <v>0</v>
      </c>
      <c r="AL95" s="70">
        <f>IF(+NFL!$F309="Carolina",+NFL!#REF!,IF(+NFL!$H309="Carolina",+NFL!#REF!,0))</f>
        <v>0</v>
      </c>
      <c r="AM95" s="64">
        <f>IF(+NFL!$F309="Carolina",+NFL!#REF!,IF(+NFL!$H309="Carolina",+NFL!#REF!,0))</f>
        <v>0</v>
      </c>
      <c r="AN95" s="70">
        <f>IF(+NFL!$F309="Carolina",+NFL!#REF!,IF(+NFL!$H309="Carolina",+NFL!#REF!,0))</f>
        <v>0</v>
      </c>
      <c r="AO95" s="46">
        <f>IF(+NFL!$F309="Carolina",+NFL!#REF!,IF(+NFL!$H309="Carolina",+NFL!#REF!,0))</f>
        <v>0</v>
      </c>
      <c r="AP95" s="348">
        <f>IF(+NFL!$F309="Carolina",+NFL!#REF!,IF(+NFL!$H309="Carolina",+NFL!#REF!,0))</f>
        <v>0</v>
      </c>
      <c r="AQ95" s="48">
        <f>IF(+NFL!$F309="Carolina",+NFL!#REF!,IF(+NFL!$H309="Carolina",+NFL!#REF!,0))</f>
        <v>0</v>
      </c>
      <c r="AR95" s="57">
        <f>IF(+NFL!$F309="Carolina",+NFL!#REF!,IF(+NFL!$H309="Carolina",+NFL!#REF!,0))</f>
        <v>0</v>
      </c>
      <c r="AS95" s="64">
        <f>IF(+NFL!$F309="Carolina",+NFL!#REF!,IF(+NFL!$H309="Carolina",+NFL!#REF!,0))</f>
        <v>0</v>
      </c>
      <c r="AT95" s="46">
        <f>IF(+NFL!$F309="Carolina",+NFL!#REF!,IF(+NFL!$H309="Carolina",+NFL!#REF!,0))</f>
        <v>0</v>
      </c>
      <c r="AU95" s="57">
        <f>IF(+NFL!$F309="Carolina",+NFL!#REF!,IF(+NFL!$H309="Carolina",+NFL!#REF!,0))</f>
        <v>0</v>
      </c>
      <c r="AV95" s="64">
        <f>IF(+NFL!$F309="Carolina",+NFL!#REF!,IF(+NFL!$H309="Carolina",+NFL!#REF!,0))</f>
        <v>0</v>
      </c>
      <c r="AW95" s="46">
        <f>IF(+NFL!$F309="Carolina",+NFL!#REF!,IF(+NFL!$H309="Carolina",+NFL!#REF!,0))</f>
        <v>0</v>
      </c>
      <c r="AX95" s="64">
        <f>IF(+NFL!$F309="Carolina",+NFL!#REF!,IF(+NFL!$H309="Carolina",+NFL!#REF!,0))</f>
        <v>0</v>
      </c>
      <c r="AY95" s="57">
        <f>IF(+NFL!$F309="Carolina",+NFL!#REF!,IF(+NFL!$H309="Carolina",+NFL!#REF!,0))</f>
        <v>0</v>
      </c>
      <c r="AZ95" s="64">
        <f>IF(+NFL!$F309="Carolina",+NFL!#REF!,IF(+NFL!$H309="Carolina",+NFL!#REF!,0))</f>
        <v>0</v>
      </c>
      <c r="BA95" s="46">
        <f>IF(+NFL!$F309="Carolina",+NFL!#REF!,IF(+NFL!$H309="Carolina",+NFL!#REF!,0))</f>
        <v>0</v>
      </c>
      <c r="BB95" s="46">
        <f>IF(+NFL!$F309="Carolina",+NFL!#REF!,IF(+NFL!$H309="Carolina",+NFL!#REF!,0))</f>
        <v>0</v>
      </c>
      <c r="BC95" s="403">
        <f>IF(+NFL!$F309="Carolina",+NFL!#REF!,IF(+NFL!$H309="Carolina",+NFL!#REF!,0))</f>
        <v>0</v>
      </c>
      <c r="BD95" s="57">
        <f>IF(+NFL!$F309="Carolina",+NFL!#REF!,IF(+NFL!$H309="Carolina",+NFL!#REF!,0))</f>
        <v>0</v>
      </c>
      <c r="BE95" s="64">
        <f>IF(+NFL!$F309="Carolina",+NFL!#REF!,IF(+NFL!$H309="Carolina",+NFL!#REF!,0))</f>
        <v>0</v>
      </c>
      <c r="BF95" s="46">
        <f>IF(+NFL!$F309="Carolina",+NFL!#REF!,IF(+NFL!$H309="Carolina",+NFL!#REF!,0))</f>
        <v>0</v>
      </c>
      <c r="BG95" s="57">
        <f>IF(+NFL!$F309="Carolina",+NFL!#REF!,IF(+NFL!$H309="Carolina",+NFL!#REF!,0))</f>
        <v>0</v>
      </c>
      <c r="BH95" s="64">
        <f>IF(+NFL!$F309="Carolina",+NFL!#REF!,IF(+NFL!$H309="Carolina",+NFL!#REF!,0))</f>
        <v>0</v>
      </c>
      <c r="BI95" s="46">
        <f>IF(+NFL!$F309="Carolina",+NFL!#REF!,IF(+NFL!$H309="Carolina",+NFL!#REF!,0))</f>
        <v>0</v>
      </c>
      <c r="BJ95" s="87">
        <f>IF(+NFL!$F309="Carolina",+NFL!#REF!,IF(+NFL!$H309="Carolina",+NFL!#REF!,0))</f>
        <v>0</v>
      </c>
      <c r="BK95" s="120">
        <f>IF(+NFL!$F309="Carolina",+NFL!#REF!,IF(+NFL!$H309="Carolina",+NFL!#REF!,0))</f>
        <v>0</v>
      </c>
    </row>
    <row r="96" spans="1:63" x14ac:dyDescent="0.8">
      <c r="A96" s="46">
        <f>IF(+NFL!$F325="Carolina",+NFL!A325,IF(+NFL!$H325="Carolina",+NFL!A325,0))</f>
        <v>0</v>
      </c>
      <c r="B96" s="348">
        <f>IF(+NFL!$F325="Carolina",+NFL!B325,IF(+NFL!$H325="Carolina",+NFL!B325,0))</f>
        <v>0</v>
      </c>
      <c r="C96" s="48">
        <f>IF(+NFL!$F325="Carolina",+NFL!C325,IF(+NFL!$H325="Carolina",+NFL!C325,0))</f>
        <v>0</v>
      </c>
      <c r="D96" s="490">
        <f>IF(+NFL!$F325="Carolina",+NFL!D325,IF(+NFL!$H325="Carolina",+NFL!D325,0))</f>
        <v>0</v>
      </c>
      <c r="E96" s="491">
        <f>IF(+NFL!$F325="Carolina",+NFL!E325,IF(+NFL!$H325="Carolina",+NFL!E325,0))</f>
        <v>0</v>
      </c>
      <c r="F96" s="130">
        <f>IF(+NFL!$F325="Carolina",+NFL!F325,IF(+NFL!$H325="Carolina",+NFL!F325,0))</f>
        <v>0</v>
      </c>
      <c r="G96" s="491">
        <f>IF(+NFL!$F325="Carolina",+NFL!G325,IF(+NFL!$H325="Carolina",+NFL!G325,0))</f>
        <v>0</v>
      </c>
      <c r="H96" s="130">
        <f>IF(+NFL!$F325="Carolina",+NFL!H325,IF(+NFL!$H325="Carolina",+NFL!H325,0))</f>
        <v>0</v>
      </c>
      <c r="I96" s="491">
        <f>IF(+NFL!$F325="Carolina",+NFL!I325,IF(+NFL!$H325="Carolina",+NFL!I325,0))</f>
        <v>0</v>
      </c>
      <c r="J96" s="353">
        <f>IF(+NFL!$F325="Carolina",+NFL!J325,IF(+NFL!$H325="Carolina",+NFL!J325,0))</f>
        <v>0</v>
      </c>
      <c r="K96" s="494">
        <f>IF(+NFL!$F325="Carolina",+NFL!K325,IF(+NFL!$H325="Carolina",+NFL!K325,0))</f>
        <v>0</v>
      </c>
      <c r="L96" s="384">
        <f>IF(+NFL!$F325="Carolina",+NFL!L325,IF(+NFL!$H325="Carolina",+NFL!L325,0))</f>
        <v>0</v>
      </c>
      <c r="M96" s="385">
        <f>IF(+NFL!$F325="Carolina",+NFL!M325,IF(+NFL!$H325="Carolina",+NFL!M325,0))</f>
        <v>0</v>
      </c>
      <c r="N96" s="395">
        <f>IF(+NFL!$F325="Carolina",+NFL!N325,IF(+NFL!$H325="Carolina",+NFL!N325,0))</f>
        <v>0</v>
      </c>
      <c r="O96" s="395">
        <f>IF(+NFL!$F325="Carolina",+NFL!O325,IF(+NFL!$H325="Carolina",+NFL!O325,0))</f>
        <v>0</v>
      </c>
      <c r="P96" s="395">
        <f>IF(+NFL!$F325="Carolina",+NFL!P325,IF(+NFL!$H325="Carolina",+NFL!P325,0))</f>
        <v>0</v>
      </c>
      <c r="Q96" s="396">
        <f>IF(+NFL!$F325="Carolina",+NFL!Q325,IF(+NFL!$H325="Carolina",+NFL!Q325,0))</f>
        <v>0</v>
      </c>
      <c r="R96" s="397">
        <f>IF(+NFL!$F325="Carolina",+NFL!R325,IF(+NFL!$H325="Carolina",+NFL!R325,0))</f>
        <v>0</v>
      </c>
      <c r="S96" s="399">
        <f>IF(+NFL!$F325="Carolina",+NFL!S325,IF(+NFL!$H325="Carolina",+NFL!S325,0))</f>
        <v>0</v>
      </c>
      <c r="T96" s="398">
        <f>IF(+NFL!$F325="Carolina",+NFL!T325,IF(+NFL!$H325="Carolina",+NFL!T325,0))</f>
        <v>0</v>
      </c>
      <c r="U96" s="396">
        <f>IF(+NFL!$F325="Carolina",+NFL!U325,IF(+NFL!$H325="Carolina",+NFL!U325,0))</f>
        <v>0</v>
      </c>
      <c r="V96" s="397">
        <f>IF(+NFL!$F320="Carolina",+NFL!#REF!,IF(+NFL!$H320="Carolina",+NFL!#REF!,0))</f>
        <v>0</v>
      </c>
      <c r="W96" s="396">
        <f>IF(+NFL!$F320="Carolina",+NFL!#REF!,IF(+NFL!$H320="Carolina",+NFL!#REF!,0))</f>
        <v>0</v>
      </c>
      <c r="X96" s="398">
        <f>IF(+NFL!$F320="Carolina",+NFL!#REF!,IF(+NFL!$H320="Carolina",+NFL!#REF!,0))</f>
        <v>0</v>
      </c>
      <c r="Y96" s="396">
        <f>IF(+NFL!$F320="Carolina",+NFL!#REF!,IF(+NFL!$H320="Carolina",+NFL!#REF!,0))</f>
        <v>0</v>
      </c>
      <c r="Z96" s="397">
        <f>IF(+NFL!$F320="Carolina",+NFL!#REF!,IF(+NFL!$H320="Carolina",+NFL!#REF!,0))</f>
        <v>0</v>
      </c>
      <c r="AA96" s="396">
        <f>IF(+NFL!$F320="Carolina",+NFL!#REF!,IF(+NFL!$H320="Carolina",+NFL!#REF!,0))</f>
        <v>0</v>
      </c>
      <c r="AB96" s="87">
        <f>IF(+NFL!$F320="Carolina",+NFL!#REF!,IF(+NFL!$H320="Carolina",+NFL!#REF!,0))</f>
        <v>0</v>
      </c>
      <c r="AC96" s="120">
        <f>IF(+NFL!$F320="Carolina",+NFL!#REF!,IF(+NFL!$H320="Carolina",+NFL!#REF!,0))</f>
        <v>0</v>
      </c>
      <c r="AD96" s="353">
        <f>IF(+NFL!$F320="Carolina",+NFL!#REF!,IF(+NFL!$H320="Carolina",+NFL!#REF!,0))</f>
        <v>0</v>
      </c>
      <c r="AE96" s="379">
        <f>IF(+NFL!$F320="Carolina",+NFL!#REF!,IF(+NFL!$H320="Carolina",+NFL!#REF!,0))</f>
        <v>0</v>
      </c>
      <c r="AF96" s="353">
        <f>IF(+NFL!$F320="Carolina",+NFL!#REF!,IF(+NFL!$H320="Carolina",+NFL!#REF!,0))</f>
        <v>0</v>
      </c>
      <c r="AG96" s="379">
        <f>IF(+NFL!$F320="Carolina",+NFL!#REF!,IF(+NFL!$H320="Carolina",+NFL!#REF!,0))</f>
        <v>0</v>
      </c>
      <c r="AH96" s="353">
        <f>IF(+NFL!$F320="Carolina",+NFL!#REF!,IF(+NFL!$H320="Carolina",+NFL!#REF!,0))</f>
        <v>0</v>
      </c>
      <c r="AI96" s="379">
        <f>IF(+NFL!$F320="Carolina",+NFL!#REF!,IF(+NFL!$H320="Carolina",+NFL!#REF!,0))</f>
        <v>0</v>
      </c>
      <c r="AJ96" s="353">
        <f>IF(+NFL!$F320="Carolina",+NFL!#REF!,IF(+NFL!$H320="Carolina",+NFL!#REF!,0))</f>
        <v>0</v>
      </c>
      <c r="AK96" s="379">
        <f>IF(+NFL!$F320="Carolina",+NFL!#REF!,IF(+NFL!$H320="Carolina",+NFL!#REF!,0))</f>
        <v>0</v>
      </c>
      <c r="AL96" s="70">
        <f>IF(+NFL!$F320="Carolina",+NFL!#REF!,IF(+NFL!$H320="Carolina",+NFL!#REF!,0))</f>
        <v>0</v>
      </c>
      <c r="AM96" s="64">
        <f>IF(+NFL!$F320="Carolina",+NFL!#REF!,IF(+NFL!$H320="Carolina",+NFL!#REF!,0))</f>
        <v>0</v>
      </c>
      <c r="AN96" s="70">
        <f>IF(+NFL!$F320="Carolina",+NFL!#REF!,IF(+NFL!$H320="Carolina",+NFL!#REF!,0))</f>
        <v>0</v>
      </c>
      <c r="AO96" s="46">
        <f>IF(+NFL!$F320="Carolina",+NFL!#REF!,IF(+NFL!$H320="Carolina",+NFL!#REF!,0))</f>
        <v>0</v>
      </c>
      <c r="AP96" s="348">
        <f>IF(+NFL!$F320="Carolina",+NFL!#REF!,IF(+NFL!$H320="Carolina",+NFL!#REF!,0))</f>
        <v>0</v>
      </c>
      <c r="AQ96" s="48">
        <f>IF(+NFL!$F320="Carolina",+NFL!#REF!,IF(+NFL!$H320="Carolina",+NFL!#REF!,0))</f>
        <v>0</v>
      </c>
      <c r="AR96" s="57">
        <f>IF(+NFL!$F320="Carolina",+NFL!#REF!,IF(+NFL!$H320="Carolina",+NFL!#REF!,0))</f>
        <v>0</v>
      </c>
      <c r="AS96" s="64">
        <f>IF(+NFL!$F320="Carolina",+NFL!#REF!,IF(+NFL!$H320="Carolina",+NFL!#REF!,0))</f>
        <v>0</v>
      </c>
      <c r="AT96" s="46">
        <f>IF(+NFL!$F320="Carolina",+NFL!#REF!,IF(+NFL!$H320="Carolina",+NFL!#REF!,0))</f>
        <v>0</v>
      </c>
      <c r="AU96" s="57">
        <f>IF(+NFL!$F320="Carolina",+NFL!#REF!,IF(+NFL!$H320="Carolina",+NFL!#REF!,0))</f>
        <v>0</v>
      </c>
      <c r="AV96" s="64">
        <f>IF(+NFL!$F320="Carolina",+NFL!#REF!,IF(+NFL!$H320="Carolina",+NFL!#REF!,0))</f>
        <v>0</v>
      </c>
      <c r="AW96" s="46">
        <f>IF(+NFL!$F320="Carolina",+NFL!#REF!,IF(+NFL!$H320="Carolina",+NFL!#REF!,0))</f>
        <v>0</v>
      </c>
      <c r="AX96" s="64">
        <f>IF(+NFL!$F320="Carolina",+NFL!#REF!,IF(+NFL!$H320="Carolina",+NFL!#REF!,0))</f>
        <v>0</v>
      </c>
      <c r="AY96" s="57">
        <f>IF(+NFL!$F320="Carolina",+NFL!#REF!,IF(+NFL!$H320="Carolina",+NFL!#REF!,0))</f>
        <v>0</v>
      </c>
      <c r="AZ96" s="64">
        <f>IF(+NFL!$F320="Carolina",+NFL!#REF!,IF(+NFL!$H320="Carolina",+NFL!#REF!,0))</f>
        <v>0</v>
      </c>
      <c r="BA96" s="46">
        <f>IF(+NFL!$F320="Carolina",+NFL!#REF!,IF(+NFL!$H320="Carolina",+NFL!#REF!,0))</f>
        <v>0</v>
      </c>
      <c r="BB96" s="46">
        <f>IF(+NFL!$F320="Carolina",+NFL!#REF!,IF(+NFL!$H320="Carolina",+NFL!#REF!,0))</f>
        <v>0</v>
      </c>
      <c r="BC96" s="403">
        <f>IF(+NFL!$F320="Carolina",+NFL!#REF!,IF(+NFL!$H320="Carolina",+NFL!#REF!,0))</f>
        <v>0</v>
      </c>
      <c r="BD96" s="57">
        <f>IF(+NFL!$F320="Carolina",+NFL!#REF!,IF(+NFL!$H320="Carolina",+NFL!#REF!,0))</f>
        <v>0</v>
      </c>
      <c r="BE96" s="64">
        <f>IF(+NFL!$F320="Carolina",+NFL!#REF!,IF(+NFL!$H320="Carolina",+NFL!#REF!,0))</f>
        <v>0</v>
      </c>
      <c r="BF96" s="46">
        <f>IF(+NFL!$F320="Carolina",+NFL!#REF!,IF(+NFL!$H320="Carolina",+NFL!#REF!,0))</f>
        <v>0</v>
      </c>
      <c r="BG96" s="57">
        <f>IF(+NFL!$F320="Carolina",+NFL!#REF!,IF(+NFL!$H320="Carolina",+NFL!#REF!,0))</f>
        <v>0</v>
      </c>
      <c r="BH96" s="64">
        <f>IF(+NFL!$F320="Carolina",+NFL!#REF!,IF(+NFL!$H320="Carolina",+NFL!#REF!,0))</f>
        <v>0</v>
      </c>
      <c r="BI96" s="46">
        <f>IF(+NFL!$F320="Carolina",+NFL!#REF!,IF(+NFL!$H320="Carolina",+NFL!#REF!,0))</f>
        <v>0</v>
      </c>
      <c r="BJ96" s="87">
        <f>IF(+NFL!$F320="Carolina",+NFL!#REF!,IF(+NFL!$H320="Carolina",+NFL!#REF!,0))</f>
        <v>0</v>
      </c>
      <c r="BK96" s="120">
        <f>IF(+NFL!$F320="Carolina",+NFL!#REF!,IF(+NFL!$H320="Carolina",+NFL!#REF!,0))</f>
        <v>0</v>
      </c>
    </row>
    <row r="97" spans="1:63" x14ac:dyDescent="0.8">
      <c r="E97" s="86"/>
      <c r="F97" s="959" t="str">
        <f>H98</f>
        <v>Chicago</v>
      </c>
      <c r="G97" s="960"/>
      <c r="H97" s="960"/>
      <c r="I97" s="961"/>
      <c r="L97" s="384"/>
      <c r="M97" s="385"/>
      <c r="N97" s="394"/>
      <c r="P97" s="394"/>
      <c r="R97" s="397"/>
      <c r="S97" s="399"/>
      <c r="T97" s="398"/>
      <c r="X97" s="398"/>
      <c r="AL97" s="69"/>
      <c r="AN97" s="70"/>
      <c r="AT97" s="46"/>
      <c r="AY97" s="57"/>
      <c r="AZ97" s="64"/>
      <c r="BA97" s="46"/>
      <c r="BB97" s="46"/>
      <c r="BF97" s="46"/>
    </row>
    <row r="98" spans="1:63" x14ac:dyDescent="0.8">
      <c r="A98" s="46">
        <f>IF(+NFL!$F6="Chicago",+NFL!A6,IF(+NFL!$H6="Chicago",+NFL!A6,0))</f>
        <v>1</v>
      </c>
      <c r="B98" s="348" t="str">
        <f>IF(+NFL!$F6="Chicago",+NFL!B6,IF(+NFL!$H6="Chicago",+NFL!B6,0))</f>
        <v>Sun</v>
      </c>
      <c r="C98" s="48">
        <f>IF(+NFL!$F6="Chicago",+NFL!C6,IF(+NFL!$H6="Chicago",+NFL!C6,0))</f>
        <v>44815</v>
      </c>
      <c r="D98" s="490">
        <f>IF(+NFL!$F6="Chicago",+NFL!D6,IF(+NFL!$H6="Chicago",+NFL!D6,0))</f>
        <v>0.54166666666666663</v>
      </c>
      <c r="E98" s="491" t="str">
        <f>IF(+NFL!$F6="Chicago",+NFL!E6,IF(+NFL!$H6="Chicago",+NFL!E6,0))</f>
        <v>Fox</v>
      </c>
      <c r="F98" s="114" t="str">
        <f>IF(+NFL!$F6="Chicago",+NFL!F6,IF(+NFL!$H6="Chicago",+NFL!F6,0))</f>
        <v>San Francisco</v>
      </c>
      <c r="G98" s="46" t="str">
        <f>IF(+NFL!$F6="Chicago",+NFL!G6,IF(+NFL!$H6="Chicago",+NFL!G6,0))</f>
        <v>NFCW</v>
      </c>
      <c r="H98" s="114" t="str">
        <f>IF(+NFL!$F6="Chicago",+NFL!H6,IF(+NFL!$H6="Chicago",+NFL!H6,0))</f>
        <v>Chicago</v>
      </c>
      <c r="I98" s="491" t="str">
        <f>IF(+NFL!$F6="Chicago",+NFL!I6,IF(+NFL!$H6="Chicago",+NFL!I6,0))</f>
        <v>NFCN</v>
      </c>
      <c r="J98" s="353" t="str">
        <f>IF(+NFL!$F6="Chicago",+NFL!J6,IF(+NFL!$H6="Chicago",+NFL!J6,0))</f>
        <v>San Francisco</v>
      </c>
      <c r="K98" s="494" t="str">
        <f>IF(+NFL!$F6="Chicago",+NFL!K6,IF(+NFL!$H6="Chicago",+NFL!K6,0))</f>
        <v>Chicago</v>
      </c>
      <c r="L98" s="384">
        <f>IF(+NFL!$F6="Chicago",+NFL!L6,IF(+NFL!$H6="Chicago",+NFL!L6,0))</f>
        <v>7</v>
      </c>
      <c r="M98" s="385">
        <f>IF(+NFL!$F6="Chicago",+NFL!M6,IF(+NFL!$H6="Chicago",+NFL!M6,0))</f>
        <v>41</v>
      </c>
      <c r="N98" s="394" t="str">
        <f>IF(+NFL!$F6="Chicago",+NFL!N6,IF(+NFL!$H6="Chicago",+NFL!N6,0))</f>
        <v>Chicago</v>
      </c>
      <c r="O98" s="395">
        <f>IF(+NFL!$F6="Chicago",+NFL!O6,IF(+NFL!$H6="Chicago",+NFL!O6,0))</f>
        <v>19</v>
      </c>
      <c r="P98" s="394" t="str">
        <f>IF(+NFL!$F6="Chicago",+NFL!P6,IF(+NFL!$H6="Chicago",+NFL!P6,0))</f>
        <v>San Francisco</v>
      </c>
      <c r="Q98" s="396">
        <f>IF(+NFL!$F6="Chicago",+NFL!Q6,IF(+NFL!$H6="Chicago",+NFL!Q6,0))</f>
        <v>10</v>
      </c>
      <c r="R98" s="397" t="str">
        <f>IF(+NFL!$F6="Chicago",+NFL!R6,IF(+NFL!$H6="Chicago",+NFL!R6,0))</f>
        <v>Chicago</v>
      </c>
      <c r="S98" s="399" t="str">
        <f>IF(+NFL!$F6="Chicago",+NFL!S6,IF(+NFL!$H6="Chicago",+NFL!S6,0))</f>
        <v>San Francisco</v>
      </c>
      <c r="T98" s="398" t="str">
        <f>IF(+NFL!$F6="Chicago",+NFL!T6,IF(+NFL!$H6="Chicago",+NFL!T6,0))</f>
        <v>Chicago</v>
      </c>
      <c r="U98" s="396" t="str">
        <f>IF(+NFL!$F6="Chicago",+NFL!U6,IF(+NFL!$H6="Chicago",+NFL!U6,0))</f>
        <v>W</v>
      </c>
      <c r="X98" s="398"/>
      <c r="AN98" s="70"/>
      <c r="AP98" s="348"/>
      <c r="AQ98" s="48"/>
      <c r="AS98" s="493"/>
      <c r="AT98" s="46"/>
      <c r="AV98" s="493"/>
      <c r="AX98" s="493"/>
      <c r="AY98" s="57"/>
      <c r="AZ98" s="493"/>
      <c r="BA98" s="46"/>
      <c r="BB98" s="46"/>
      <c r="BC98" s="403"/>
      <c r="BE98" s="493"/>
      <c r="BF98" s="46"/>
      <c r="BH98" s="493"/>
    </row>
    <row r="99" spans="1:63" x14ac:dyDescent="0.8">
      <c r="A99" s="46">
        <f>IF(+NFL!$F34="Chicago",+NFL!A34,IF(+NFL!$H34="Chicago",+NFL!A34,0))</f>
        <v>2</v>
      </c>
      <c r="B99" s="348" t="str">
        <f>IF(+NFL!$F34="Chicago",+NFL!B34,IF(+NFL!$H34="Chicago",+NFL!B34,0))</f>
        <v>Sun</v>
      </c>
      <c r="C99" s="48">
        <f>IF(+NFL!$F34="Chicago",+NFL!C34,IF(+NFL!$H34="Chicago",+NFL!C34,0))</f>
        <v>44822</v>
      </c>
      <c r="D99" s="490">
        <f>IF(+NFL!$F34="Chicago",+NFL!D34,IF(+NFL!$H34="Chicago",+NFL!D34,0))</f>
        <v>0.84375</v>
      </c>
      <c r="E99" s="491" t="str">
        <f>IF(+NFL!$F34="Chicago",+NFL!E34,IF(+NFL!$H34="Chicago",+NFL!E34,0))</f>
        <v>Fox</v>
      </c>
      <c r="F99" s="114" t="str">
        <f>IF(+NFL!$F34="Chicago",+NFL!F34,IF(+NFL!$H34="Chicago",+NFL!F34,0))</f>
        <v>Chicago</v>
      </c>
      <c r="G99" s="46" t="str">
        <f>IF(+NFL!$F34="Chicago",+NFL!G34,IF(+NFL!$H34="Chicago",+NFL!G34,0))</f>
        <v>NFCN</v>
      </c>
      <c r="H99" s="114" t="str">
        <f>IF(+NFL!$F34="Chicago",+NFL!H34,IF(+NFL!$H34="Chicago",+NFL!H34,0))</f>
        <v>Green Bay</v>
      </c>
      <c r="I99" s="491" t="str">
        <f>IF(+NFL!$F34="Chicago",+NFL!I34,IF(+NFL!$H34="Chicago",+NFL!I34,0))</f>
        <v>NFCN</v>
      </c>
      <c r="J99" s="353" t="str">
        <f>IF(+NFL!$F34="Chicago",+NFL!J34,IF(+NFL!$H34="Chicago",+NFL!J34,0))</f>
        <v>Green Bay</v>
      </c>
      <c r="K99" s="494" t="str">
        <f>IF(+NFL!$F34="Chicago",+NFL!K34,IF(+NFL!$H34="Chicago",+NFL!K34,0))</f>
        <v>Chicago</v>
      </c>
      <c r="L99" s="384">
        <f>IF(+NFL!$F34="Chicago",+NFL!L34,IF(+NFL!$H34="Chicago",+NFL!L34,0))</f>
        <v>10</v>
      </c>
      <c r="M99" s="385">
        <f>IF(+NFL!$F34="Chicago",+NFL!M34,IF(+NFL!$H34="Chicago",+NFL!M34,0))</f>
        <v>42.5</v>
      </c>
      <c r="N99" s="394" t="str">
        <f>IF(+NFL!$F34="Chicago",+NFL!N34,IF(+NFL!$H34="Chicago",+NFL!N34,0))</f>
        <v>Green Bay</v>
      </c>
      <c r="O99" s="395">
        <f>IF(+NFL!$F34="Chicago",+NFL!O34,IF(+NFL!$H34="Chicago",+NFL!O34,0))</f>
        <v>27</v>
      </c>
      <c r="P99" s="394" t="str">
        <f>IF(+NFL!$F34="Chicago",+NFL!P34,IF(+NFL!$H34="Chicago",+NFL!P34,0))</f>
        <v>Chicago</v>
      </c>
      <c r="Q99" s="396">
        <f>IF(+NFL!$F34="Chicago",+NFL!Q34,IF(+NFL!$H34="Chicago",+NFL!Q34,0))</f>
        <v>10</v>
      </c>
      <c r="R99" s="397" t="str">
        <f>IF(+NFL!$F34="Chicago",+NFL!R34,IF(+NFL!$H34="Chicago",+NFL!R34,0))</f>
        <v>Green Bay</v>
      </c>
      <c r="S99" s="399" t="str">
        <f>IF(+NFL!$F34="Chicago",+NFL!S34,IF(+NFL!$H34="Chicago",+NFL!S34,0))</f>
        <v>Chicago</v>
      </c>
      <c r="T99" s="398" t="str">
        <f>IF(+NFL!$F34="Chicago",+NFL!T34,IF(+NFL!$H34="Chicago",+NFL!T34,0))</f>
        <v>Green Bay</v>
      </c>
      <c r="U99" s="396" t="str">
        <f>IF(+NFL!$F34="Chicago",+NFL!U34,IF(+NFL!$H34="Chicago",+NFL!U34,0))</f>
        <v>W</v>
      </c>
      <c r="X99" s="398"/>
      <c r="AN99" s="70"/>
      <c r="AP99" s="348"/>
      <c r="AQ99" s="48"/>
      <c r="AT99" s="46"/>
      <c r="AY99" s="57"/>
      <c r="AZ99" s="64"/>
      <c r="BA99" s="46"/>
      <c r="BB99" s="46"/>
      <c r="BC99" s="403"/>
      <c r="BF99" s="46"/>
    </row>
    <row r="100" spans="1:63" x14ac:dyDescent="0.8">
      <c r="A100" s="46">
        <f>IF(+NFL!$F39="Chicago",+NFL!A39,IF(+NFL!$H39="Chicago",+NFL!A39,0))</f>
        <v>3</v>
      </c>
      <c r="B100" s="348" t="str">
        <f>IF(+NFL!$F39="Chicago",+NFL!B39,IF(+NFL!$H39="Chicago",+NFL!B39,0))</f>
        <v>Sun</v>
      </c>
      <c r="C100" s="48">
        <f>IF(+NFL!$F39="Chicago",+NFL!C39,IF(+NFL!$H39="Chicago",+NFL!C39,0))</f>
        <v>44826</v>
      </c>
      <c r="D100" s="490">
        <f>IF(+NFL!$F39="Chicago",+NFL!D39,IF(+NFL!$H39="Chicago",+NFL!D39,0))</f>
        <v>0.54166666666666663</v>
      </c>
      <c r="E100" s="491" t="str">
        <f>IF(+NFL!$F39="Chicago",+NFL!E39,IF(+NFL!$H39="Chicago",+NFL!E39,0))</f>
        <v>CBS</v>
      </c>
      <c r="F100" s="114" t="str">
        <f>IF(+NFL!$F39="Chicago",+NFL!F39,IF(+NFL!$H39="Chicago",+NFL!F39,0))</f>
        <v>Houston</v>
      </c>
      <c r="G100" s="46" t="str">
        <f>IF(+NFL!$F39="Chicago",+NFL!G39,IF(+NFL!$H39="Chicago",+NFL!G39,0))</f>
        <v>AFCS</v>
      </c>
      <c r="H100" s="114" t="str">
        <f>IF(+NFL!$F39="Chicago",+NFL!H39,IF(+NFL!$H39="Chicago",+NFL!H39,0))</f>
        <v>Chicago</v>
      </c>
      <c r="I100" s="491" t="str">
        <f>IF(+NFL!$F39="Chicago",+NFL!I39,IF(+NFL!$H39="Chicago",+NFL!I39,0))</f>
        <v>NFCN</v>
      </c>
      <c r="J100" s="353" t="str">
        <f>IF(+NFL!$F39="Chicago",+NFL!J39,IF(+NFL!$H39="Chicago",+NFL!J39,0))</f>
        <v>Chicago</v>
      </c>
      <c r="K100" s="494" t="str">
        <f>IF(+NFL!$F39="Chicago",+NFL!K39,IF(+NFL!$H39="Chicago",+NFL!K39,0))</f>
        <v>Houston</v>
      </c>
      <c r="L100" s="384">
        <f>IF(+NFL!$F39="Chicago",+NFL!L39,IF(+NFL!$H39="Chicago",+NFL!L39,0))</f>
        <v>3</v>
      </c>
      <c r="M100" s="385">
        <f>IF(+NFL!$F39="Chicago",+NFL!M39,IF(+NFL!$H39="Chicago",+NFL!M39,0))</f>
        <v>40.5</v>
      </c>
      <c r="N100" s="394" t="str">
        <f>IF(+NFL!$F39="Chicago",+NFL!N39,IF(+NFL!$H39="Chicago",+NFL!N39,0))</f>
        <v>Chicago</v>
      </c>
      <c r="O100" s="395">
        <f>IF(+NFL!$F39="Chicago",+NFL!O39,IF(+NFL!$H39="Chicago",+NFL!O39,0))</f>
        <v>23</v>
      </c>
      <c r="P100" s="394" t="str">
        <f>IF(+NFL!$F39="Chicago",+NFL!P39,IF(+NFL!$H39="Chicago",+NFL!P39,0))</f>
        <v>Houston</v>
      </c>
      <c r="Q100" s="396">
        <f>IF(+NFL!$F39="Chicago",+NFL!Q39,IF(+NFL!$H39="Chicago",+NFL!Q39,0))</f>
        <v>20</v>
      </c>
      <c r="R100" s="397" t="str">
        <f>IF(+NFL!$F39="Chicago",+NFL!R39,IF(+NFL!$H39="Chicago",+NFL!R39,0))</f>
        <v>Chicago</v>
      </c>
      <c r="S100" s="399" t="str">
        <f>IF(+NFL!$F39="Chicago",+NFL!S39,IF(+NFL!$H39="Chicago",+NFL!S39,0))</f>
        <v>Houston</v>
      </c>
      <c r="T100" s="398" t="str">
        <f>IF(+NFL!$F39="Chicago",+NFL!T39,IF(+NFL!$H39="Chicago",+NFL!T39,0))</f>
        <v>Chicago</v>
      </c>
      <c r="U100" s="396" t="str">
        <f>IF(+NFL!$F39="Chicago",+NFL!U39,IF(+NFL!$H39="Chicago",+NFL!U39,0))</f>
        <v>T</v>
      </c>
      <c r="V100" s="397">
        <f>IF(+NFL!$F40="Chicago",+NFL!#REF!,IF(+NFL!$H40="Chicago",+NFL!#REF!,0))</f>
        <v>0</v>
      </c>
      <c r="W100" s="396">
        <f>IF(+NFL!$F40="Chicago",+NFL!#REF!,IF(+NFL!$H40="Chicago",+NFL!#REF!,0))</f>
        <v>0</v>
      </c>
      <c r="X100" s="398">
        <f>IF(+NFL!$F40="Chicago",+NFL!#REF!,IF(+NFL!$H40="Chicago",+NFL!#REF!,0))</f>
        <v>0</v>
      </c>
      <c r="Y100" s="396">
        <f>IF(+NFL!$F40="Chicago",+NFL!#REF!,IF(+NFL!$H40="Chicago",+NFL!#REF!,0))</f>
        <v>0</v>
      </c>
      <c r="Z100" s="397">
        <f>IF(+NFL!$F40="Chicago",+NFL!#REF!,IF(+NFL!$H40="Chicago",+NFL!#REF!,0))</f>
        <v>0</v>
      </c>
      <c r="AA100" s="396">
        <f>IF(+NFL!$F40="Chicago",+NFL!#REF!,IF(+NFL!$H40="Chicago",+NFL!#REF!,0))</f>
        <v>0</v>
      </c>
      <c r="AB100" s="87">
        <f>IF(+NFL!$F40="Chicago",+NFL!#REF!,IF(+NFL!$H40="Chicago",+NFL!#REF!,0))</f>
        <v>0</v>
      </c>
      <c r="AC100" s="120">
        <f>IF(+NFL!$F40="Chicago",+NFL!#REF!,IF(+NFL!$H40="Chicago",+NFL!#REF!,0))</f>
        <v>0</v>
      </c>
      <c r="AD100" s="353">
        <f>IF(+NFL!$F40="Chicago",+NFL!#REF!,IF(+NFL!$H40="Chicago",+NFL!#REF!,0))</f>
        <v>0</v>
      </c>
      <c r="AE100" s="379">
        <f>IF(+NFL!$F40="Chicago",+NFL!#REF!,IF(+NFL!$H40="Chicago",+NFL!#REF!,0))</f>
        <v>0</v>
      </c>
      <c r="AF100" s="353">
        <f>IF(+NFL!$F40="Chicago",+NFL!#REF!,IF(+NFL!$H40="Chicago",+NFL!#REF!,0))</f>
        <v>0</v>
      </c>
      <c r="AG100" s="379">
        <f>IF(+NFL!$F40="Chicago",+NFL!#REF!,IF(+NFL!$H40="Chicago",+NFL!#REF!,0))</f>
        <v>0</v>
      </c>
      <c r="AH100" s="353">
        <f>IF(+NFL!$F40="Chicago",+NFL!#REF!,IF(+NFL!$H40="Chicago",+NFL!#REF!,0))</f>
        <v>0</v>
      </c>
      <c r="AI100" s="379">
        <f>IF(+NFL!$F40="Chicago",+NFL!#REF!,IF(+NFL!$H40="Chicago",+NFL!#REF!,0))</f>
        <v>0</v>
      </c>
      <c r="AJ100" s="353">
        <f>IF(+NFL!$F40="Chicago",+NFL!#REF!,IF(+NFL!$H40="Chicago",+NFL!#REF!,0))</f>
        <v>0</v>
      </c>
      <c r="AK100" s="379">
        <f>IF(+NFL!$F40="Chicago",+NFL!#REF!,IF(+NFL!$H40="Chicago",+NFL!#REF!,0))</f>
        <v>0</v>
      </c>
      <c r="AL100" s="57">
        <f>IF(+NFL!$F40="Chicago",+NFL!#REF!,IF(+NFL!$H40="Chicago",+NFL!#REF!,0))</f>
        <v>0</v>
      </c>
      <c r="AM100" s="58">
        <f>IF(+NFL!$F40="Chicago",+NFL!#REF!,IF(+NFL!$H40="Chicago",+NFL!#REF!,0))</f>
        <v>0</v>
      </c>
      <c r="AN100" s="70">
        <f>IF(+NFL!$F40="Chicago",+NFL!#REF!,IF(+NFL!$H40="Chicago",+NFL!#REF!,0))</f>
        <v>0</v>
      </c>
      <c r="AO100" s="59">
        <f>IF(+NFL!$F40="Chicago",+NFL!#REF!,IF(+NFL!$H40="Chicago",+NFL!#REF!,0))</f>
        <v>0</v>
      </c>
      <c r="AP100" s="348">
        <f>IF(+NFL!$F40="Chicago",+NFL!#REF!,IF(+NFL!$H40="Chicago",+NFL!#REF!,0))</f>
        <v>0</v>
      </c>
      <c r="AQ100" s="48">
        <f>IF(+NFL!$F40="Chicago",+NFL!#REF!,IF(+NFL!$H40="Chicago",+NFL!#REF!,0))</f>
        <v>0</v>
      </c>
      <c r="AR100" s="57">
        <f>IF(+NFL!$F40="Chicago",+NFL!#REF!,IF(+NFL!$H40="Chicago",+NFL!#REF!,0))</f>
        <v>0</v>
      </c>
      <c r="AS100" s="64">
        <f>IF(+NFL!$F40="Chicago",+NFL!#REF!,IF(+NFL!$H40="Chicago",+NFL!#REF!,0))</f>
        <v>0</v>
      </c>
      <c r="AT100" s="46">
        <f>IF(+NFL!$F40="Chicago",+NFL!#REF!,IF(+NFL!$H40="Chicago",+NFL!#REF!,0))</f>
        <v>0</v>
      </c>
      <c r="AU100" s="57">
        <f>IF(+NFL!$F40="Chicago",+NFL!#REF!,IF(+NFL!$H40="Chicago",+NFL!#REF!,0))</f>
        <v>0</v>
      </c>
      <c r="AV100" s="64">
        <f>IF(+NFL!$F40="Chicago",+NFL!#REF!,IF(+NFL!$H40="Chicago",+NFL!#REF!,0))</f>
        <v>0</v>
      </c>
      <c r="AW100" s="46">
        <f>IF(+NFL!$F40="Chicago",+NFL!#REF!,IF(+NFL!$H40="Chicago",+NFL!#REF!,0))</f>
        <v>0</v>
      </c>
      <c r="AX100" s="64">
        <f>IF(+NFL!$F40="Chicago",+NFL!#REF!,IF(+NFL!$H40="Chicago",+NFL!#REF!,0))</f>
        <v>0</v>
      </c>
      <c r="AY100" s="57">
        <f>IF(+NFL!$F40="Chicago",+NFL!#REF!,IF(+NFL!$H40="Chicago",+NFL!#REF!,0))</f>
        <v>0</v>
      </c>
      <c r="AZ100" s="64">
        <f>IF(+NFL!$F40="Chicago",+NFL!#REF!,IF(+NFL!$H40="Chicago",+NFL!#REF!,0))</f>
        <v>0</v>
      </c>
      <c r="BA100" s="46">
        <f>IF(+NFL!$F40="Chicago",+NFL!#REF!,IF(+NFL!$H40="Chicago",+NFL!#REF!,0))</f>
        <v>0</v>
      </c>
      <c r="BB100" s="46">
        <f>IF(+NFL!$F40="Chicago",+NFL!#REF!,IF(+NFL!$H40="Chicago",+NFL!#REF!,0))</f>
        <v>0</v>
      </c>
      <c r="BC100" s="403">
        <f>IF(+NFL!$F40="Chicago",+NFL!#REF!,IF(+NFL!$H40="Chicago",+NFL!#REF!,0))</f>
        <v>0</v>
      </c>
      <c r="BD100" s="57">
        <f>IF(+NFL!$F40="Chicago",+NFL!#REF!,IF(+NFL!$H40="Chicago",+NFL!#REF!,0))</f>
        <v>0</v>
      </c>
      <c r="BE100" s="64">
        <f>IF(+NFL!$F40="Chicago",+NFL!#REF!,IF(+NFL!$H40="Chicago",+NFL!#REF!,0))</f>
        <v>0</v>
      </c>
      <c r="BF100" s="46">
        <f>IF(+NFL!$F40="Chicago",+NFL!#REF!,IF(+NFL!$H40="Chicago",+NFL!#REF!,0))</f>
        <v>0</v>
      </c>
      <c r="BG100" s="57">
        <f>IF(+NFL!$F40="Chicago",+NFL!#REF!,IF(+NFL!$H40="Chicago",+NFL!#REF!,0))</f>
        <v>0</v>
      </c>
      <c r="BH100" s="64">
        <f>IF(+NFL!$F40="Chicago",+NFL!#REF!,IF(+NFL!$H40="Chicago",+NFL!#REF!,0))</f>
        <v>0</v>
      </c>
      <c r="BI100" s="46">
        <f>IF(+NFL!$F40="Chicago",+NFL!#REF!,IF(+NFL!$H40="Chicago",+NFL!#REF!,0))</f>
        <v>0</v>
      </c>
      <c r="BJ100" s="87">
        <f>IF(+NFL!$F40="Chicago",+NFL!#REF!,IF(+NFL!$H40="Chicago",+NFL!#REF!,0))</f>
        <v>0</v>
      </c>
      <c r="BK100" s="120">
        <f>IF(+NFL!$F40="Chicago",+NFL!#REF!,IF(+NFL!$H40="Chicago",+NFL!#REF!,0))</f>
        <v>0</v>
      </c>
    </row>
    <row r="101" spans="1:63" x14ac:dyDescent="0.8">
      <c r="A101" s="46">
        <f>IF(+NFL!$F61="Chicago",+NFL!A61,IF(+NFL!$H61="Chicago",+NFL!A61,0))</f>
        <v>4</v>
      </c>
      <c r="B101" s="348" t="str">
        <f>IF(+NFL!$F61="Chicago",+NFL!B61,IF(+NFL!$H61="Chicago",+NFL!B61,0))</f>
        <v>Sun</v>
      </c>
      <c r="C101" s="48">
        <f>IF(+NFL!$F61="Chicago",+NFL!C61,IF(+NFL!$H61="Chicago",+NFL!C61,0))</f>
        <v>44836</v>
      </c>
      <c r="D101" s="490">
        <f>IF(+NFL!$F61="Chicago",+NFL!D61,IF(+NFL!$H61="Chicago",+NFL!D61,0))</f>
        <v>0.54166666666666663</v>
      </c>
      <c r="E101" s="491" t="str">
        <f>IF(+NFL!$F61="Chicago",+NFL!E61,IF(+NFL!$H61="Chicago",+NFL!E61,0))</f>
        <v>Fox</v>
      </c>
      <c r="F101" s="114" t="str">
        <f>IF(+NFL!$F61="Chicago",+NFL!F61,IF(+NFL!$H61="Chicago",+NFL!F61,0))</f>
        <v>Chicago</v>
      </c>
      <c r="G101" s="46" t="str">
        <f>IF(+NFL!$F61="Chicago",+NFL!G61,IF(+NFL!$H61="Chicago",+NFL!G61,0))</f>
        <v>NFCN</v>
      </c>
      <c r="H101" s="114" t="str">
        <f>IF(+NFL!$F61="Chicago",+NFL!H61,IF(+NFL!$H61="Chicago",+NFL!H61,0))</f>
        <v>NY Giants</v>
      </c>
      <c r="I101" s="491" t="str">
        <f>IF(+NFL!$F61="Chicago",+NFL!I61,IF(+NFL!$H61="Chicago",+NFL!I61,0))</f>
        <v>NFCE</v>
      </c>
      <c r="J101" s="353" t="str">
        <f>IF(+NFL!$F61="Chicago",+NFL!J61,IF(+NFL!$H61="Chicago",+NFL!J61,0))</f>
        <v>NY Giants</v>
      </c>
      <c r="K101" s="494" t="str">
        <f>IF(+NFL!$F61="Chicago",+NFL!K61,IF(+NFL!$H61="Chicago",+NFL!K61,0))</f>
        <v>Chicago</v>
      </c>
      <c r="L101" s="384">
        <f>IF(+NFL!$F61="Chicago",+NFL!L61,IF(+NFL!$H61="Chicago",+NFL!L61,0))</f>
        <v>3</v>
      </c>
      <c r="M101" s="385">
        <f>IF(+NFL!$F61="Chicago",+NFL!M61,IF(+NFL!$H61="Chicago",+NFL!M61,0))</f>
        <v>39</v>
      </c>
      <c r="N101" s="394" t="str">
        <f>IF(+NFL!$F61="Chicago",+NFL!N61,IF(+NFL!$H61="Chicago",+NFL!N61,0))</f>
        <v>NY Giants</v>
      </c>
      <c r="O101" s="395">
        <f>IF(+NFL!$F61="Chicago",+NFL!O61,IF(+NFL!$H61="Chicago",+NFL!O61,0))</f>
        <v>20</v>
      </c>
      <c r="P101" s="394" t="str">
        <f>IF(+NFL!$F61="Chicago",+NFL!P61,IF(+NFL!$H61="Chicago",+NFL!P61,0))</f>
        <v>Chicago</v>
      </c>
      <c r="Q101" s="396">
        <f>IF(+NFL!$F61="Chicago",+NFL!Q61,IF(+NFL!$H61="Chicago",+NFL!Q61,0))</f>
        <v>12</v>
      </c>
      <c r="R101" s="397" t="str">
        <f>IF(+NFL!$F61="Chicago",+NFL!R61,IF(+NFL!$H61="Chicago",+NFL!R61,0))</f>
        <v>NY Giants</v>
      </c>
      <c r="S101" s="399" t="str">
        <f>IF(+NFL!$F61="Chicago",+NFL!S61,IF(+NFL!$H61="Chicago",+NFL!S61,0))</f>
        <v>Chicago</v>
      </c>
      <c r="T101" s="398" t="str">
        <f>IF(+NFL!$F61="Chicago",+NFL!T61,IF(+NFL!$H61="Chicago",+NFL!T61,0))</f>
        <v>NY Giants</v>
      </c>
      <c r="U101" s="396" t="str">
        <f>IF(+NFL!$F61="Chicago",+NFL!U61,IF(+NFL!$H61="Chicago",+NFL!U61,0))</f>
        <v>W</v>
      </c>
      <c r="V101" s="397">
        <f>IF(+NFL!$F65="Chicago",+NFL!#REF!,IF(+NFL!$H65="Chicago",+NFL!#REF!,0))</f>
        <v>0</v>
      </c>
      <c r="W101" s="396">
        <f>IF(+NFL!$F65="Chicago",+NFL!#REF!,IF(+NFL!$H65="Chicago",+NFL!#REF!,0))</f>
        <v>0</v>
      </c>
      <c r="X101" s="398">
        <f>IF(+NFL!$F65="Chicago",+NFL!#REF!,IF(+NFL!$H65="Chicago",+NFL!#REF!,0))</f>
        <v>0</v>
      </c>
      <c r="Y101" s="396">
        <f>IF(+NFL!$F65="Chicago",+NFL!#REF!,IF(+NFL!$H65="Chicago",+NFL!#REF!,0))</f>
        <v>0</v>
      </c>
      <c r="Z101" s="397">
        <f>IF(+NFL!$F65="Chicago",+NFL!#REF!,IF(+NFL!$H65="Chicago",+NFL!#REF!,0))</f>
        <v>0</v>
      </c>
      <c r="AA101" s="396">
        <f>IF(+NFL!$F65="Chicago",+NFL!#REF!,IF(+NFL!$H65="Chicago",+NFL!#REF!,0))</f>
        <v>0</v>
      </c>
      <c r="AB101" s="87">
        <f>IF(+NFL!$F65="Chicago",+NFL!#REF!,IF(+NFL!$H65="Chicago",+NFL!#REF!,0))</f>
        <v>0</v>
      </c>
      <c r="AC101" s="120">
        <f>IF(+NFL!$F65="Chicago",+NFL!#REF!,IF(+NFL!$H65="Chicago",+NFL!#REF!,0))</f>
        <v>0</v>
      </c>
      <c r="AD101" s="353">
        <f>IF(+NFL!$F65="Chicago",+NFL!#REF!,IF(+NFL!$H65="Chicago",+NFL!#REF!,0))</f>
        <v>0</v>
      </c>
      <c r="AE101" s="379">
        <f>IF(+NFL!$F65="Chicago",+NFL!#REF!,IF(+NFL!$H65="Chicago",+NFL!#REF!,0))</f>
        <v>0</v>
      </c>
      <c r="AF101" s="353">
        <f>IF(+NFL!$F65="Chicago",+NFL!#REF!,IF(+NFL!$H65="Chicago",+NFL!#REF!,0))</f>
        <v>0</v>
      </c>
      <c r="AG101" s="379">
        <f>IF(+NFL!$F65="Chicago",+NFL!#REF!,IF(+NFL!$H65="Chicago",+NFL!#REF!,0))</f>
        <v>0</v>
      </c>
      <c r="AH101" s="353">
        <f>IF(+NFL!$F65="Chicago",+NFL!#REF!,IF(+NFL!$H65="Chicago",+NFL!#REF!,0))</f>
        <v>0</v>
      </c>
      <c r="AI101" s="379">
        <f>IF(+NFL!$F65="Chicago",+NFL!#REF!,IF(+NFL!$H65="Chicago",+NFL!#REF!,0))</f>
        <v>0</v>
      </c>
      <c r="AJ101" s="353">
        <f>IF(+NFL!$F65="Chicago",+NFL!#REF!,IF(+NFL!$H65="Chicago",+NFL!#REF!,0))</f>
        <v>0</v>
      </c>
      <c r="AK101" s="379">
        <f>IF(+NFL!$F65="Chicago",+NFL!#REF!,IF(+NFL!$H65="Chicago",+NFL!#REF!,0))</f>
        <v>0</v>
      </c>
      <c r="AL101" s="57">
        <f>IF(+NFL!$F65="Chicago",+NFL!#REF!,IF(+NFL!$H65="Chicago",+NFL!#REF!,0))</f>
        <v>0</v>
      </c>
      <c r="AM101" s="58">
        <f>IF(+NFL!$F65="Chicago",+NFL!#REF!,IF(+NFL!$H65="Chicago",+NFL!#REF!,0))</f>
        <v>0</v>
      </c>
      <c r="AN101" s="70">
        <f>IF(+NFL!$F65="Chicago",+NFL!#REF!,IF(+NFL!$H65="Chicago",+NFL!#REF!,0))</f>
        <v>0</v>
      </c>
      <c r="AO101" s="59">
        <f>IF(+NFL!$F65="Chicago",+NFL!#REF!,IF(+NFL!$H65="Chicago",+NFL!#REF!,0))</f>
        <v>0</v>
      </c>
      <c r="AP101" s="348">
        <f>IF(+NFL!$F65="Chicago",+NFL!#REF!,IF(+NFL!$H65="Chicago",+NFL!#REF!,0))</f>
        <v>0</v>
      </c>
      <c r="AQ101" s="48">
        <f>IF(+NFL!$F65="Chicago",+NFL!#REF!,IF(+NFL!$H65="Chicago",+NFL!#REF!,0))</f>
        <v>0</v>
      </c>
      <c r="AR101" s="57">
        <f>IF(+NFL!$F65="Chicago",+NFL!#REF!,IF(+NFL!$H65="Chicago",+NFL!#REF!,0))</f>
        <v>0</v>
      </c>
      <c r="AS101" s="64">
        <f>IF(+NFL!$F65="Chicago",+NFL!#REF!,IF(+NFL!$H65="Chicago",+NFL!#REF!,0))</f>
        <v>0</v>
      </c>
      <c r="AT101" s="46">
        <f>IF(+NFL!$F65="Chicago",+NFL!#REF!,IF(+NFL!$H65="Chicago",+NFL!#REF!,0))</f>
        <v>0</v>
      </c>
      <c r="AU101" s="57">
        <f>IF(+NFL!$F65="Chicago",+NFL!#REF!,IF(+NFL!$H65="Chicago",+NFL!#REF!,0))</f>
        <v>0</v>
      </c>
      <c r="AV101" s="64">
        <f>IF(+NFL!$F65="Chicago",+NFL!#REF!,IF(+NFL!$H65="Chicago",+NFL!#REF!,0))</f>
        <v>0</v>
      </c>
      <c r="AW101" s="46">
        <f>IF(+NFL!$F65="Chicago",+NFL!#REF!,IF(+NFL!$H65="Chicago",+NFL!#REF!,0))</f>
        <v>0</v>
      </c>
      <c r="AX101" s="64">
        <f>IF(+NFL!$F65="Chicago",+NFL!#REF!,IF(+NFL!$H65="Chicago",+NFL!#REF!,0))</f>
        <v>0</v>
      </c>
      <c r="AY101" s="57">
        <f>IF(+NFL!$F65="Chicago",+NFL!#REF!,IF(+NFL!$H65="Chicago",+NFL!#REF!,0))</f>
        <v>0</v>
      </c>
      <c r="AZ101" s="64">
        <f>IF(+NFL!$F65="Chicago",+NFL!#REF!,IF(+NFL!$H65="Chicago",+NFL!#REF!,0))</f>
        <v>0</v>
      </c>
      <c r="BA101" s="46">
        <f>IF(+NFL!$F65="Chicago",+NFL!#REF!,IF(+NFL!$H65="Chicago",+NFL!#REF!,0))</f>
        <v>0</v>
      </c>
      <c r="BB101" s="46">
        <f>IF(+NFL!$F65="Chicago",+NFL!#REF!,IF(+NFL!$H65="Chicago",+NFL!#REF!,0))</f>
        <v>0</v>
      </c>
      <c r="BC101" s="403">
        <f>IF(+NFL!$F65="Chicago",+NFL!#REF!,IF(+NFL!$H65="Chicago",+NFL!#REF!,0))</f>
        <v>0</v>
      </c>
      <c r="BD101" s="57">
        <f>IF(+NFL!$F65="Chicago",+NFL!#REF!,IF(+NFL!$H65="Chicago",+NFL!#REF!,0))</f>
        <v>0</v>
      </c>
      <c r="BE101" s="64">
        <f>IF(+NFL!$F65="Chicago",+NFL!#REF!,IF(+NFL!$H65="Chicago",+NFL!#REF!,0))</f>
        <v>0</v>
      </c>
      <c r="BF101" s="46">
        <f>IF(+NFL!$F65="Chicago",+NFL!#REF!,IF(+NFL!$H65="Chicago",+NFL!#REF!,0))</f>
        <v>0</v>
      </c>
      <c r="BG101" s="57">
        <f>IF(+NFL!$F65="Chicago",+NFL!#REF!,IF(+NFL!$H65="Chicago",+NFL!#REF!,0))</f>
        <v>0</v>
      </c>
      <c r="BH101" s="64">
        <f>IF(+NFL!$F65="Chicago",+NFL!#REF!,IF(+NFL!$H65="Chicago",+NFL!#REF!,0))</f>
        <v>0</v>
      </c>
      <c r="BI101" s="46">
        <f>IF(+NFL!$F65="Chicago",+NFL!#REF!,IF(+NFL!$H65="Chicago",+NFL!#REF!,0))</f>
        <v>0</v>
      </c>
      <c r="BJ101" s="87">
        <f>IF(+NFL!$F65="Chicago",+NFL!#REF!,IF(+NFL!$H65="Chicago",+NFL!#REF!,0))</f>
        <v>0</v>
      </c>
      <c r="BK101" s="120">
        <f>IF(+NFL!$F65="Chicago",+NFL!#REF!,IF(+NFL!$H65="Chicago",+NFL!#REF!,0))</f>
        <v>0</v>
      </c>
    </row>
    <row r="102" spans="1:63" x14ac:dyDescent="0.8">
      <c r="A102" s="46">
        <f>IF(+NFL!$F76="Chicago",+NFL!A76,IF(+NFL!$H76="Chicago",+NFL!A76,0))</f>
        <v>5</v>
      </c>
      <c r="B102" s="348" t="str">
        <f>IF(+NFL!$F76="Chicago",+NFL!B76,IF(+NFL!$H76="Chicago",+NFL!B76,0))</f>
        <v>Sun</v>
      </c>
      <c r="C102" s="48">
        <f>IF(+NFL!$F76="Chicago",+NFL!C76,IF(+NFL!$H76="Chicago",+NFL!C76,0))</f>
        <v>44843</v>
      </c>
      <c r="D102" s="490">
        <f>IF(+NFL!$F76="Chicago",+NFL!D76,IF(+NFL!$H76="Chicago",+NFL!D76,0))</f>
        <v>0.54166666666666663</v>
      </c>
      <c r="E102" s="491" t="str">
        <f>IF(+NFL!$F76="Chicago",+NFL!E76,IF(+NFL!$H76="Chicago",+NFL!E76,0))</f>
        <v>Fox</v>
      </c>
      <c r="F102" s="114" t="str">
        <f>IF(+NFL!$F76="Chicago",+NFL!F76,IF(+NFL!$H76="Chicago",+NFL!F76,0))</f>
        <v>Chicago</v>
      </c>
      <c r="G102" s="46" t="str">
        <f>IF(+NFL!$F76="Chicago",+NFL!G76,IF(+NFL!$H76="Chicago",+NFL!G76,0))</f>
        <v>NFCN</v>
      </c>
      <c r="H102" s="114" t="str">
        <f>IF(+NFL!$F76="Chicago",+NFL!H76,IF(+NFL!$H76="Chicago",+NFL!H76,0))</f>
        <v>Minnesota</v>
      </c>
      <c r="I102" s="491" t="str">
        <f>IF(+NFL!$F76="Chicago",+NFL!I76,IF(+NFL!$H76="Chicago",+NFL!I76,0))</f>
        <v>NFCN</v>
      </c>
      <c r="J102" s="353" t="str">
        <f>IF(+NFL!$F76="Chicago",+NFL!J76,IF(+NFL!$H76="Chicago",+NFL!J76,0))</f>
        <v>Minnesota</v>
      </c>
      <c r="K102" s="494" t="str">
        <f>IF(+NFL!$F76="Chicago",+NFL!K76,IF(+NFL!$H76="Chicago",+NFL!K76,0))</f>
        <v>Chicago</v>
      </c>
      <c r="L102" s="384">
        <f>IF(+NFL!$F76="Chicago",+NFL!L76,IF(+NFL!$H76="Chicago",+NFL!L76,0))</f>
        <v>7</v>
      </c>
      <c r="M102" s="385">
        <f>IF(+NFL!$F76="Chicago",+NFL!M76,IF(+NFL!$H76="Chicago",+NFL!M76,0))</f>
        <v>44</v>
      </c>
      <c r="N102" s="394" t="str">
        <f>IF(+NFL!$F76="Chicago",+NFL!N76,IF(+NFL!$H76="Chicago",+NFL!N76,0))</f>
        <v>Minnesota</v>
      </c>
      <c r="O102" s="395">
        <f>IF(+NFL!$F76="Chicago",+NFL!O76,IF(+NFL!$H76="Chicago",+NFL!O76,0))</f>
        <v>29</v>
      </c>
      <c r="P102" s="394" t="str">
        <f>IF(+NFL!$F76="Chicago",+NFL!P76,IF(+NFL!$H76="Chicago",+NFL!P76,0))</f>
        <v>Chicago</v>
      </c>
      <c r="Q102" s="396">
        <f>IF(+NFL!$F76="Chicago",+NFL!Q76,IF(+NFL!$H76="Chicago",+NFL!Q76,0))</f>
        <v>22</v>
      </c>
      <c r="R102" s="397" t="str">
        <f>IF(+NFL!$F76="Chicago",+NFL!R76,IF(+NFL!$H76="Chicago",+NFL!R76,0))</f>
        <v>Minnesota</v>
      </c>
      <c r="S102" s="399" t="str">
        <f>IF(+NFL!$F76="Chicago",+NFL!S76,IF(+NFL!$H76="Chicago",+NFL!S76,0))</f>
        <v>Chicago</v>
      </c>
      <c r="T102" s="398" t="str">
        <f>IF(+NFL!$F76="Chicago",+NFL!T76,IF(+NFL!$H76="Chicago",+NFL!T76,0))</f>
        <v>Minnesota</v>
      </c>
      <c r="U102" s="396" t="str">
        <f>IF(+NFL!$F76="Chicago",+NFL!U76,IF(+NFL!$H76="Chicago",+NFL!U76,0))</f>
        <v>T</v>
      </c>
      <c r="V102" s="397">
        <f>IF(+NFL!$F80="Chicago",+NFL!#REF!,IF(+NFL!$H80="Chicago",+NFL!#REF!,0))</f>
        <v>0</v>
      </c>
      <c r="W102" s="396">
        <f>IF(+NFL!$F80="Chicago",+NFL!#REF!,IF(+NFL!$H80="Chicago",+NFL!#REF!,0))</f>
        <v>0</v>
      </c>
      <c r="X102" s="398">
        <f>IF(+NFL!$F80="Chicago",+NFL!#REF!,IF(+NFL!$H80="Chicago",+NFL!#REF!,0))</f>
        <v>0</v>
      </c>
      <c r="Y102" s="396">
        <f>IF(+NFL!$F80="Chicago",+NFL!#REF!,IF(+NFL!$H80="Chicago",+NFL!#REF!,0))</f>
        <v>0</v>
      </c>
      <c r="Z102" s="397">
        <f>IF(+NFL!$F80="Chicago",+NFL!#REF!,IF(+NFL!$H80="Chicago",+NFL!#REF!,0))</f>
        <v>0</v>
      </c>
      <c r="AA102" s="396">
        <f>IF(+NFL!$F80="Chicago",+NFL!#REF!,IF(+NFL!$H80="Chicago",+NFL!#REF!,0))</f>
        <v>0</v>
      </c>
      <c r="AB102" s="87">
        <f>IF(+NFL!$F80="Chicago",+NFL!#REF!,IF(+NFL!$H80="Chicago",+NFL!#REF!,0))</f>
        <v>0</v>
      </c>
      <c r="AC102" s="120">
        <f>IF(+NFL!$F80="Chicago",+NFL!#REF!,IF(+NFL!$H80="Chicago",+NFL!#REF!,0))</f>
        <v>0</v>
      </c>
      <c r="AD102" s="353">
        <f>IF(+NFL!$F80="Chicago",+NFL!#REF!,IF(+NFL!$H80="Chicago",+NFL!#REF!,0))</f>
        <v>0</v>
      </c>
      <c r="AE102" s="379">
        <f>IF(+NFL!$F80="Chicago",+NFL!#REF!,IF(+NFL!$H80="Chicago",+NFL!#REF!,0))</f>
        <v>0</v>
      </c>
      <c r="AF102" s="353">
        <f>IF(+NFL!$F80="Chicago",+NFL!#REF!,IF(+NFL!$H80="Chicago",+NFL!#REF!,0))</f>
        <v>0</v>
      </c>
      <c r="AG102" s="379">
        <f>IF(+NFL!$F80="Chicago",+NFL!#REF!,IF(+NFL!$H80="Chicago",+NFL!#REF!,0))</f>
        <v>0</v>
      </c>
      <c r="AH102" s="353">
        <f>IF(+NFL!$F80="Chicago",+NFL!#REF!,IF(+NFL!$H80="Chicago",+NFL!#REF!,0))</f>
        <v>0</v>
      </c>
      <c r="AI102" s="379">
        <f>IF(+NFL!$F80="Chicago",+NFL!#REF!,IF(+NFL!$H80="Chicago",+NFL!#REF!,0))</f>
        <v>0</v>
      </c>
      <c r="AJ102" s="353">
        <f>IF(+NFL!$F80="Chicago",+NFL!#REF!,IF(+NFL!$H80="Chicago",+NFL!#REF!,0))</f>
        <v>0</v>
      </c>
      <c r="AK102" s="379">
        <f>IF(+NFL!$F80="Chicago",+NFL!#REF!,IF(+NFL!$H80="Chicago",+NFL!#REF!,0))</f>
        <v>0</v>
      </c>
      <c r="AL102" s="57">
        <f>IF(+NFL!$F80="Chicago",+NFL!#REF!,IF(+NFL!$H80="Chicago",+NFL!#REF!,0))</f>
        <v>0</v>
      </c>
      <c r="AM102" s="58">
        <f>IF(+NFL!$F80="Chicago",+NFL!#REF!,IF(+NFL!$H80="Chicago",+NFL!#REF!,0))</f>
        <v>0</v>
      </c>
      <c r="AN102" s="70">
        <f>IF(+NFL!$F80="Chicago",+NFL!#REF!,IF(+NFL!$H80="Chicago",+NFL!#REF!,0))</f>
        <v>0</v>
      </c>
      <c r="AO102" s="59">
        <f>IF(+NFL!$F80="Chicago",+NFL!#REF!,IF(+NFL!$H80="Chicago",+NFL!#REF!,0))</f>
        <v>0</v>
      </c>
      <c r="AP102" s="348">
        <f>IF(+NFL!$F80="Chicago",+NFL!#REF!,IF(+NFL!$H80="Chicago",+NFL!#REF!,0))</f>
        <v>0</v>
      </c>
      <c r="AQ102" s="48">
        <f>IF(+NFL!$F80="Chicago",+NFL!#REF!,IF(+NFL!$H80="Chicago",+NFL!#REF!,0))</f>
        <v>0</v>
      </c>
      <c r="AR102" s="57">
        <f>IF(+NFL!$F80="Chicago",+NFL!#REF!,IF(+NFL!$H80="Chicago",+NFL!#REF!,0))</f>
        <v>0</v>
      </c>
      <c r="AS102" s="64">
        <f>IF(+NFL!$F80="Chicago",+NFL!#REF!,IF(+NFL!$H80="Chicago",+NFL!#REF!,0))</f>
        <v>0</v>
      </c>
      <c r="AT102" s="46">
        <f>IF(+NFL!$F80="Chicago",+NFL!#REF!,IF(+NFL!$H80="Chicago",+NFL!#REF!,0))</f>
        <v>0</v>
      </c>
      <c r="AU102" s="57">
        <f>IF(+NFL!$F80="Chicago",+NFL!#REF!,IF(+NFL!$H80="Chicago",+NFL!#REF!,0))</f>
        <v>0</v>
      </c>
      <c r="AV102" s="64">
        <f>IF(+NFL!$F80="Chicago",+NFL!#REF!,IF(+NFL!$H80="Chicago",+NFL!#REF!,0))</f>
        <v>0</v>
      </c>
      <c r="AW102" s="46">
        <f>IF(+NFL!$F80="Chicago",+NFL!#REF!,IF(+NFL!$H80="Chicago",+NFL!#REF!,0))</f>
        <v>0</v>
      </c>
      <c r="AX102" s="64">
        <f>IF(+NFL!$F80="Chicago",+NFL!#REF!,IF(+NFL!$H80="Chicago",+NFL!#REF!,0))</f>
        <v>0</v>
      </c>
      <c r="AY102" s="57">
        <f>IF(+NFL!$F80="Chicago",+NFL!#REF!,IF(+NFL!$H80="Chicago",+NFL!#REF!,0))</f>
        <v>0</v>
      </c>
      <c r="AZ102" s="64">
        <f>IF(+NFL!$F80="Chicago",+NFL!#REF!,IF(+NFL!$H80="Chicago",+NFL!#REF!,0))</f>
        <v>0</v>
      </c>
      <c r="BA102" s="46">
        <f>IF(+NFL!$F80="Chicago",+NFL!#REF!,IF(+NFL!$H80="Chicago",+NFL!#REF!,0))</f>
        <v>0</v>
      </c>
      <c r="BB102" s="46">
        <f>IF(+NFL!$F80="Chicago",+NFL!#REF!,IF(+NFL!$H80="Chicago",+NFL!#REF!,0))</f>
        <v>0</v>
      </c>
      <c r="BC102" s="403">
        <f>IF(+NFL!$F80="Chicago",+NFL!#REF!,IF(+NFL!$H80="Chicago",+NFL!#REF!,0))</f>
        <v>0</v>
      </c>
      <c r="BD102" s="57">
        <f>IF(+NFL!$F80="Chicago",+NFL!#REF!,IF(+NFL!$H80="Chicago",+NFL!#REF!,0))</f>
        <v>0</v>
      </c>
      <c r="BE102" s="64">
        <f>IF(+NFL!$F80="Chicago",+NFL!#REF!,IF(+NFL!$H80="Chicago",+NFL!#REF!,0))</f>
        <v>0</v>
      </c>
      <c r="BF102" s="46">
        <f>IF(+NFL!$F80="Chicago",+NFL!#REF!,IF(+NFL!$H80="Chicago",+NFL!#REF!,0))</f>
        <v>0</v>
      </c>
      <c r="BG102" s="57">
        <f>IF(+NFL!$F80="Chicago",+NFL!#REF!,IF(+NFL!$H80="Chicago",+NFL!#REF!,0))</f>
        <v>0</v>
      </c>
      <c r="BH102" s="64">
        <f>IF(+NFL!$F80="Chicago",+NFL!#REF!,IF(+NFL!$H80="Chicago",+NFL!#REF!,0))</f>
        <v>0</v>
      </c>
      <c r="BI102" s="46">
        <f>IF(+NFL!$F80="Chicago",+NFL!#REF!,IF(+NFL!$H80="Chicago",+NFL!#REF!,0))</f>
        <v>0</v>
      </c>
      <c r="BJ102" s="87">
        <f>IF(+NFL!$F80="Chicago",+NFL!#REF!,IF(+NFL!$H80="Chicago",+NFL!#REF!,0))</f>
        <v>0</v>
      </c>
      <c r="BK102" s="120">
        <f>IF(+NFL!$F80="Chicago",+NFL!#REF!,IF(+NFL!$H80="Chicago",+NFL!#REF!,0))</f>
        <v>0</v>
      </c>
    </row>
    <row r="103" spans="1:63" x14ac:dyDescent="0.8">
      <c r="A103" s="46">
        <f>IF(+NFL!$F89="Chicago",+NFL!A89,IF(+NFL!$H89="Chicago",+NFL!A89,0))</f>
        <v>6</v>
      </c>
      <c r="B103" s="348" t="str">
        <f>IF(+NFL!$F89="Chicago",+NFL!B89,IF(+NFL!$H89="Chicago",+NFL!B89,0))</f>
        <v>Thurs</v>
      </c>
      <c r="C103" s="48">
        <f>IF(+NFL!$F89="Chicago",+NFL!C89,IF(+NFL!$H89="Chicago",+NFL!C89,0))</f>
        <v>44847</v>
      </c>
      <c r="D103" s="490">
        <f>IF(+NFL!$F89="Chicago",+NFL!D89,IF(+NFL!$H89="Chicago",+NFL!D89,0))</f>
        <v>0.84375</v>
      </c>
      <c r="E103" s="491" t="str">
        <f>IF(+NFL!$F89="Chicago",+NFL!E89,IF(+NFL!$H89="Chicago",+NFL!E89,0))</f>
        <v>NBC</v>
      </c>
      <c r="F103" s="114" t="str">
        <f>IF(+NFL!$F89="Chicago",+NFL!F89,IF(+NFL!$H89="Chicago",+NFL!F89,0))</f>
        <v>Washington</v>
      </c>
      <c r="G103" s="46" t="str">
        <f>IF(+NFL!$F89="Chicago",+NFL!G89,IF(+NFL!$H89="Chicago",+NFL!G89,0))</f>
        <v>NFCE</v>
      </c>
      <c r="H103" s="114" t="str">
        <f>IF(+NFL!$F89="Chicago",+NFL!H89,IF(+NFL!$H89="Chicago",+NFL!H89,0))</f>
        <v>Chicago</v>
      </c>
      <c r="I103" s="491" t="str">
        <f>IF(+NFL!$F89="Chicago",+NFL!I89,IF(+NFL!$H89="Chicago",+NFL!I89,0))</f>
        <v>NFCN</v>
      </c>
      <c r="J103" s="353" t="str">
        <f>IF(+NFL!$F89="Chicago",+NFL!J89,IF(+NFL!$H89="Chicago",+NFL!J89,0))</f>
        <v>Washington</v>
      </c>
      <c r="K103" s="494" t="str">
        <f>IF(+NFL!$F89="Chicago",+NFL!K89,IF(+NFL!$H89="Chicago",+NFL!K89,0))</f>
        <v>Chicago</v>
      </c>
      <c r="L103" s="384">
        <f>IF(+NFL!$F89="Chicago",+NFL!L89,IF(+NFL!$H89="Chicago",+NFL!L89,0))</f>
        <v>1</v>
      </c>
      <c r="M103" s="385">
        <f>IF(+NFL!$F89="Chicago",+NFL!M89,IF(+NFL!$H89="Chicago",+NFL!M89,0))</f>
        <v>38</v>
      </c>
      <c r="N103" s="394" t="str">
        <f>IF(+NFL!$F89="Chicago",+NFL!N89,IF(+NFL!$H89="Chicago",+NFL!N89,0))</f>
        <v>Washington</v>
      </c>
      <c r="O103" s="395">
        <f>IF(+NFL!$F89="Chicago",+NFL!O89,IF(+NFL!$H89="Chicago",+NFL!O89,0))</f>
        <v>12</v>
      </c>
      <c r="P103" s="394" t="str">
        <f>IF(+NFL!$F89="Chicago",+NFL!P89,IF(+NFL!$H89="Chicago",+NFL!P89,0))</f>
        <v>Chicago</v>
      </c>
      <c r="Q103" s="396">
        <f>IF(+NFL!$F89="Chicago",+NFL!Q89,IF(+NFL!$H89="Chicago",+NFL!Q89,0))</f>
        <v>7</v>
      </c>
      <c r="R103" s="397" t="str">
        <f>IF(+NFL!$F89="Chicago",+NFL!R89,IF(+NFL!$H89="Chicago",+NFL!R89,0))</f>
        <v>Washington</v>
      </c>
      <c r="S103" s="399" t="str">
        <f>IF(+NFL!$F89="Chicago",+NFL!S89,IF(+NFL!$H89="Chicago",+NFL!S89,0))</f>
        <v>Chicago</v>
      </c>
      <c r="T103" s="398" t="str">
        <f>IF(+NFL!$F89="Chicago",+NFL!T89,IF(+NFL!$H89="Chicago",+NFL!T89,0))</f>
        <v>Washington</v>
      </c>
      <c r="U103" s="396" t="str">
        <f>IF(+NFL!$F89="Chicago",+NFL!U89,IF(+NFL!$H89="Chicago",+NFL!U89,0))</f>
        <v>W</v>
      </c>
      <c r="V103" s="397">
        <f>IF(+NFL!$F92="Chicago",+NFL!#REF!,IF(+NFL!$H92="Chicago",+NFL!#REF!,0))</f>
        <v>0</v>
      </c>
      <c r="W103" s="396">
        <f>IF(+NFL!$F92="Chicago",+NFL!#REF!,IF(+NFL!$H92="Chicago",+NFL!#REF!,0))</f>
        <v>0</v>
      </c>
      <c r="X103" s="398">
        <f>IF(+NFL!$F92="Chicago",+NFL!#REF!,IF(+NFL!$H92="Chicago",+NFL!#REF!,0))</f>
        <v>0</v>
      </c>
      <c r="Y103" s="396">
        <f>IF(+NFL!$F92="Chicago",+NFL!#REF!,IF(+NFL!$H92="Chicago",+NFL!#REF!,0))</f>
        <v>0</v>
      </c>
      <c r="Z103" s="397">
        <f>IF(+NFL!$F92="Chicago",+NFL!#REF!,IF(+NFL!$H92="Chicago",+NFL!#REF!,0))</f>
        <v>0</v>
      </c>
      <c r="AA103" s="396">
        <f>IF(+NFL!$F92="Chicago",+NFL!#REF!,IF(+NFL!$H92="Chicago",+NFL!#REF!,0))</f>
        <v>0</v>
      </c>
      <c r="AB103" s="87">
        <f>IF(+NFL!$F92="Chicago",+NFL!#REF!,IF(+NFL!$H92="Chicago",+NFL!#REF!,0))</f>
        <v>0</v>
      </c>
      <c r="AC103" s="120">
        <f>IF(+NFL!$F92="Chicago",+NFL!#REF!,IF(+NFL!$H92="Chicago",+NFL!#REF!,0))</f>
        <v>0</v>
      </c>
      <c r="AD103" s="353">
        <f>IF(+NFL!$F92="Chicago",+NFL!#REF!,IF(+NFL!$H92="Chicago",+NFL!#REF!,0))</f>
        <v>0</v>
      </c>
      <c r="AE103" s="379">
        <f>IF(+NFL!$F92="Chicago",+NFL!#REF!,IF(+NFL!$H92="Chicago",+NFL!#REF!,0))</f>
        <v>0</v>
      </c>
      <c r="AF103" s="353">
        <f>IF(+NFL!$F92="Chicago",+NFL!#REF!,IF(+NFL!$H92="Chicago",+NFL!#REF!,0))</f>
        <v>0</v>
      </c>
      <c r="AG103" s="379">
        <f>IF(+NFL!$F92="Chicago",+NFL!#REF!,IF(+NFL!$H92="Chicago",+NFL!#REF!,0))</f>
        <v>0</v>
      </c>
      <c r="AH103" s="353">
        <f>IF(+NFL!$F92="Chicago",+NFL!#REF!,IF(+NFL!$H92="Chicago",+NFL!#REF!,0))</f>
        <v>0</v>
      </c>
      <c r="AI103" s="379">
        <f>IF(+NFL!$F92="Chicago",+NFL!#REF!,IF(+NFL!$H92="Chicago",+NFL!#REF!,0))</f>
        <v>0</v>
      </c>
      <c r="AJ103" s="353">
        <f>IF(+NFL!$F92="Chicago",+NFL!#REF!,IF(+NFL!$H92="Chicago",+NFL!#REF!,0))</f>
        <v>0</v>
      </c>
      <c r="AK103" s="379">
        <f>IF(+NFL!$F92="Chicago",+NFL!#REF!,IF(+NFL!$H92="Chicago",+NFL!#REF!,0))</f>
        <v>0</v>
      </c>
      <c r="AL103" s="57">
        <f>IF(+NFL!$F92="Chicago",+NFL!#REF!,IF(+NFL!$H92="Chicago",+NFL!#REF!,0))</f>
        <v>0</v>
      </c>
      <c r="AM103" s="58">
        <f>IF(+NFL!$F92="Chicago",+NFL!#REF!,IF(+NFL!$H92="Chicago",+NFL!#REF!,0))</f>
        <v>0</v>
      </c>
      <c r="AN103" s="70">
        <f>IF(+NFL!$F92="Chicago",+NFL!#REF!,IF(+NFL!$H92="Chicago",+NFL!#REF!,0))</f>
        <v>0</v>
      </c>
      <c r="AO103" s="59">
        <f>IF(+NFL!$F92="Chicago",+NFL!#REF!,IF(+NFL!$H92="Chicago",+NFL!#REF!,0))</f>
        <v>0</v>
      </c>
      <c r="AP103" s="348">
        <f>IF(+NFL!$F92="Chicago",+NFL!#REF!,IF(+NFL!$H92="Chicago",+NFL!#REF!,0))</f>
        <v>0</v>
      </c>
      <c r="AQ103" s="48">
        <f>IF(+NFL!$F92="Chicago",+NFL!#REF!,IF(+NFL!$H92="Chicago",+NFL!#REF!,0))</f>
        <v>0</v>
      </c>
      <c r="AR103" s="57">
        <f>IF(+NFL!$F92="Chicago",+NFL!#REF!,IF(+NFL!$H92="Chicago",+NFL!#REF!,0))</f>
        <v>0</v>
      </c>
      <c r="AS103" s="64">
        <f>IF(+NFL!$F92="Chicago",+NFL!#REF!,IF(+NFL!$H92="Chicago",+NFL!#REF!,0))</f>
        <v>0</v>
      </c>
      <c r="AT103" s="46">
        <f>IF(+NFL!$F92="Chicago",+NFL!#REF!,IF(+NFL!$H92="Chicago",+NFL!#REF!,0))</f>
        <v>0</v>
      </c>
      <c r="AU103" s="57">
        <f>IF(+NFL!$F92="Chicago",+NFL!#REF!,IF(+NFL!$H92="Chicago",+NFL!#REF!,0))</f>
        <v>0</v>
      </c>
      <c r="AV103" s="64">
        <f>IF(+NFL!$F92="Chicago",+NFL!#REF!,IF(+NFL!$H92="Chicago",+NFL!#REF!,0))</f>
        <v>0</v>
      </c>
      <c r="AW103" s="46">
        <f>IF(+NFL!$F92="Chicago",+NFL!#REF!,IF(+NFL!$H92="Chicago",+NFL!#REF!,0))</f>
        <v>0</v>
      </c>
      <c r="AX103" s="64">
        <f>IF(+NFL!$F92="Chicago",+NFL!#REF!,IF(+NFL!$H92="Chicago",+NFL!#REF!,0))</f>
        <v>0</v>
      </c>
      <c r="AY103" s="57">
        <f>IF(+NFL!$F92="Chicago",+NFL!#REF!,IF(+NFL!$H92="Chicago",+NFL!#REF!,0))</f>
        <v>0</v>
      </c>
      <c r="AZ103" s="64">
        <f>IF(+NFL!$F92="Chicago",+NFL!#REF!,IF(+NFL!$H92="Chicago",+NFL!#REF!,0))</f>
        <v>0</v>
      </c>
      <c r="BA103" s="46">
        <f>IF(+NFL!$F92="Chicago",+NFL!#REF!,IF(+NFL!$H92="Chicago",+NFL!#REF!,0))</f>
        <v>0</v>
      </c>
      <c r="BB103" s="46">
        <f>IF(+NFL!$F92="Chicago",+NFL!#REF!,IF(+NFL!$H92="Chicago",+NFL!#REF!,0))</f>
        <v>0</v>
      </c>
      <c r="BC103" s="403">
        <f>IF(+NFL!$F92="Chicago",+NFL!#REF!,IF(+NFL!$H92="Chicago",+NFL!#REF!,0))</f>
        <v>0</v>
      </c>
      <c r="BD103" s="57">
        <f>IF(+NFL!$F92="Chicago",+NFL!#REF!,IF(+NFL!$H92="Chicago",+NFL!#REF!,0))</f>
        <v>0</v>
      </c>
      <c r="BE103" s="64">
        <f>IF(+NFL!$F92="Chicago",+NFL!#REF!,IF(+NFL!$H92="Chicago",+NFL!#REF!,0))</f>
        <v>0</v>
      </c>
      <c r="BF103" s="46">
        <f>IF(+NFL!$F92="Chicago",+NFL!#REF!,IF(+NFL!$H92="Chicago",+NFL!#REF!,0))</f>
        <v>0</v>
      </c>
      <c r="BG103" s="57">
        <f>IF(+NFL!$F92="Chicago",+NFL!#REF!,IF(+NFL!$H92="Chicago",+NFL!#REF!,0))</f>
        <v>0</v>
      </c>
      <c r="BH103" s="64">
        <f>IF(+NFL!$F92="Chicago",+NFL!#REF!,IF(+NFL!$H92="Chicago",+NFL!#REF!,0))</f>
        <v>0</v>
      </c>
      <c r="BI103" s="46">
        <f>IF(+NFL!$F92="Chicago",+NFL!#REF!,IF(+NFL!$H92="Chicago",+NFL!#REF!,0))</f>
        <v>0</v>
      </c>
      <c r="BJ103" s="87">
        <f>IF(+NFL!$F92="Chicago",+NFL!#REF!,IF(+NFL!$H92="Chicago",+NFL!#REF!,0))</f>
        <v>0</v>
      </c>
      <c r="BK103" s="120">
        <f>IF(+NFL!$F92="Chicago",+NFL!#REF!,IF(+NFL!$H92="Chicago",+NFL!#REF!,0))</f>
        <v>0</v>
      </c>
    </row>
    <row r="104" spans="1:63" x14ac:dyDescent="0.8">
      <c r="A104" s="46">
        <f>IF(+NFL!$F122="Chicago",+NFL!A122,IF(+NFL!$H122="Chicago",+NFL!A122,0))</f>
        <v>7</v>
      </c>
      <c r="B104" s="348" t="str">
        <f>IF(+NFL!$F122="Chicago",+NFL!B122,IF(+NFL!$H122="Chicago",+NFL!B122,0))</f>
        <v>Mon</v>
      </c>
      <c r="C104" s="48">
        <f>IF(+NFL!$F122="Chicago",+NFL!C122,IF(+NFL!$H122="Chicago",+NFL!C122,0))</f>
        <v>44857</v>
      </c>
      <c r="D104" s="490">
        <f>IF(+NFL!$F122="Chicago",+NFL!D122,IF(+NFL!$H122="Chicago",+NFL!D122,0))</f>
        <v>0.84375</v>
      </c>
      <c r="E104" s="491" t="str">
        <f>IF(+NFL!$F122="Chicago",+NFL!E122,IF(+NFL!$H122="Chicago",+NFL!E122,0))</f>
        <v>ABC</v>
      </c>
      <c r="F104" s="114" t="str">
        <f>IF(+NFL!$F122="Chicago",+NFL!F122,IF(+NFL!$H122="Chicago",+NFL!F122,0))</f>
        <v>Chicago</v>
      </c>
      <c r="G104" s="46" t="str">
        <f>IF(+NFL!$F122="Chicago",+NFL!G122,IF(+NFL!$H122="Chicago",+NFL!G122,0))</f>
        <v>NFCN</v>
      </c>
      <c r="H104" s="114" t="str">
        <f>IF(+NFL!$F122="Chicago",+NFL!H122,IF(+NFL!$H122="Chicago",+NFL!H122,0))</f>
        <v>New England</v>
      </c>
      <c r="I104" s="491" t="str">
        <f>IF(+NFL!$F122="Chicago",+NFL!I122,IF(+NFL!$H122="Chicago",+NFL!I122,0))</f>
        <v>AFCE</v>
      </c>
      <c r="J104" s="353" t="str">
        <f>IF(+NFL!$F122="Chicago",+NFL!J122,IF(+NFL!$H122="Chicago",+NFL!J122,0))</f>
        <v>New England</v>
      </c>
      <c r="K104" s="494" t="str">
        <f>IF(+NFL!$F122="Chicago",+NFL!K122,IF(+NFL!$H122="Chicago",+NFL!K122,0))</f>
        <v>Chicago</v>
      </c>
      <c r="L104" s="384">
        <f>IF(+NFL!$F122="Chicago",+NFL!L122,IF(+NFL!$H122="Chicago",+NFL!L122,0))</f>
        <v>6.5</v>
      </c>
      <c r="M104" s="385">
        <f>IF(+NFL!$F122="Chicago",+NFL!M122,IF(+NFL!$H122="Chicago",+NFL!M122,0))</f>
        <v>38.5</v>
      </c>
      <c r="N104" s="394" t="str">
        <f>IF(+NFL!$F122="Chicago",+NFL!N122,IF(+NFL!$H122="Chicago",+NFL!N122,0))</f>
        <v>Chicago</v>
      </c>
      <c r="O104" s="395">
        <f>IF(+NFL!$F122="Chicago",+NFL!O122,IF(+NFL!$H122="Chicago",+NFL!O122,0))</f>
        <v>33</v>
      </c>
      <c r="P104" s="394" t="str">
        <f>IF(+NFL!$F122="Chicago",+NFL!P122,IF(+NFL!$H122="Chicago",+NFL!P122,0))</f>
        <v>New England</v>
      </c>
      <c r="Q104" s="396">
        <f>IF(+NFL!$F122="Chicago",+NFL!Q122,IF(+NFL!$H122="Chicago",+NFL!Q122,0))</f>
        <v>14</v>
      </c>
      <c r="R104" s="397" t="str">
        <f>IF(+NFL!$F122="Chicago",+NFL!R122,IF(+NFL!$H122="Chicago",+NFL!R122,0))</f>
        <v>Chicago</v>
      </c>
      <c r="S104" s="399" t="str">
        <f>IF(+NFL!$F122="Chicago",+NFL!S122,IF(+NFL!$H122="Chicago",+NFL!S122,0))</f>
        <v>New England</v>
      </c>
      <c r="T104" s="398" t="str">
        <f>IF(+NFL!$F122="Chicago",+NFL!T122,IF(+NFL!$H122="Chicago",+NFL!T122,0))</f>
        <v>New England</v>
      </c>
      <c r="U104" s="396" t="str">
        <f>IF(+NFL!$F122="Chicago",+NFL!U122,IF(+NFL!$H122="Chicago",+NFL!U122,0))</f>
        <v>L</v>
      </c>
      <c r="V104" s="397">
        <f>IF(+NFL!$F123="Chicago",+NFL!#REF!,IF(+NFL!$H123="Chicago",+NFL!#REF!,0))</f>
        <v>0</v>
      </c>
      <c r="W104" s="396">
        <f>IF(+NFL!$F123="Chicago",+NFL!#REF!,IF(+NFL!$H123="Chicago",+NFL!#REF!,0))</f>
        <v>0</v>
      </c>
      <c r="X104" s="398">
        <f>IF(+NFL!$F123="Chicago",+NFL!#REF!,IF(+NFL!$H123="Chicago",+NFL!#REF!,0))</f>
        <v>0</v>
      </c>
      <c r="Y104" s="396">
        <f>IF(+NFL!$F123="Chicago",+NFL!#REF!,IF(+NFL!$H123="Chicago",+NFL!#REF!,0))</f>
        <v>0</v>
      </c>
      <c r="Z104" s="397">
        <f>IF(+NFL!$F123="Chicago",+NFL!#REF!,IF(+NFL!$H123="Chicago",+NFL!#REF!,0))</f>
        <v>0</v>
      </c>
      <c r="AA104" s="396">
        <f>IF(+NFL!$F123="Chicago",+NFL!#REF!,IF(+NFL!$H123="Chicago",+NFL!#REF!,0))</f>
        <v>0</v>
      </c>
      <c r="AB104" s="87">
        <f>IF(+NFL!$F123="Chicago",+NFL!#REF!,IF(+NFL!$H123="Chicago",+NFL!#REF!,0))</f>
        <v>0</v>
      </c>
      <c r="AC104" s="120">
        <f>IF(+NFL!$F123="Chicago",+NFL!#REF!,IF(+NFL!$H123="Chicago",+NFL!#REF!,0))</f>
        <v>0</v>
      </c>
      <c r="AD104" s="353">
        <f>IF(+NFL!$F123="Chicago",+NFL!#REF!,IF(+NFL!$H123="Chicago",+NFL!#REF!,0))</f>
        <v>0</v>
      </c>
      <c r="AE104" s="379">
        <f>IF(+NFL!$F123="Chicago",+NFL!#REF!,IF(+NFL!$H123="Chicago",+NFL!#REF!,0))</f>
        <v>0</v>
      </c>
      <c r="AF104" s="353">
        <f>IF(+NFL!$F123="Chicago",+NFL!#REF!,IF(+NFL!$H123="Chicago",+NFL!#REF!,0))</f>
        <v>0</v>
      </c>
      <c r="AG104" s="379">
        <f>IF(+NFL!$F123="Chicago",+NFL!#REF!,IF(+NFL!$H123="Chicago",+NFL!#REF!,0))</f>
        <v>0</v>
      </c>
      <c r="AH104" s="353">
        <f>IF(+NFL!$F123="Chicago",+NFL!#REF!,IF(+NFL!$H123="Chicago",+NFL!#REF!,0))</f>
        <v>0</v>
      </c>
      <c r="AI104" s="379">
        <f>IF(+NFL!$F123="Chicago",+NFL!#REF!,IF(+NFL!$H123="Chicago",+NFL!#REF!,0))</f>
        <v>0</v>
      </c>
      <c r="AJ104" s="353">
        <f>IF(+NFL!$F123="Chicago",+NFL!#REF!,IF(+NFL!$H123="Chicago",+NFL!#REF!,0))</f>
        <v>0</v>
      </c>
      <c r="AK104" s="379">
        <f>IF(+NFL!$F123="Chicago",+NFL!#REF!,IF(+NFL!$H123="Chicago",+NFL!#REF!,0))</f>
        <v>0</v>
      </c>
      <c r="AL104" s="57">
        <f>IF(+NFL!$F123="Chicago",+NFL!#REF!,IF(+NFL!$H123="Chicago",+NFL!#REF!,0))</f>
        <v>0</v>
      </c>
      <c r="AM104" s="58">
        <f>IF(+NFL!$F123="Chicago",+NFL!#REF!,IF(+NFL!$H123="Chicago",+NFL!#REF!,0))</f>
        <v>0</v>
      </c>
      <c r="AN104" s="70">
        <f>IF(+NFL!$F123="Chicago",+NFL!#REF!,IF(+NFL!$H123="Chicago",+NFL!#REF!,0))</f>
        <v>0</v>
      </c>
      <c r="AO104" s="59">
        <f>IF(+NFL!$F123="Chicago",+NFL!#REF!,IF(+NFL!$H123="Chicago",+NFL!#REF!,0))</f>
        <v>0</v>
      </c>
      <c r="AP104" s="348">
        <f>IF(+NFL!$F123="Chicago",+NFL!#REF!,IF(+NFL!$H123="Chicago",+NFL!#REF!,0))</f>
        <v>0</v>
      </c>
      <c r="AQ104" s="48">
        <f>IF(+NFL!$F123="Chicago",+NFL!#REF!,IF(+NFL!$H123="Chicago",+NFL!#REF!,0))</f>
        <v>0</v>
      </c>
      <c r="AR104" s="57">
        <f>IF(+NFL!$F123="Chicago",+NFL!#REF!,IF(+NFL!$H123="Chicago",+NFL!#REF!,0))</f>
        <v>0</v>
      </c>
      <c r="AS104" s="64">
        <f>IF(+NFL!$F123="Chicago",+NFL!#REF!,IF(+NFL!$H123="Chicago",+NFL!#REF!,0))</f>
        <v>0</v>
      </c>
      <c r="AT104" s="46">
        <f>IF(+NFL!$F123="Chicago",+NFL!#REF!,IF(+NFL!$H123="Chicago",+NFL!#REF!,0))</f>
        <v>0</v>
      </c>
      <c r="AU104" s="57">
        <f>IF(+NFL!$F123="Chicago",+NFL!#REF!,IF(+NFL!$H123="Chicago",+NFL!#REF!,0))</f>
        <v>0</v>
      </c>
      <c r="AV104" s="64">
        <f>IF(+NFL!$F123="Chicago",+NFL!#REF!,IF(+NFL!$H123="Chicago",+NFL!#REF!,0))</f>
        <v>0</v>
      </c>
      <c r="AW104" s="46">
        <f>IF(+NFL!$F123="Chicago",+NFL!#REF!,IF(+NFL!$H123="Chicago",+NFL!#REF!,0))</f>
        <v>0</v>
      </c>
      <c r="AX104" s="64">
        <f>IF(+NFL!$F123="Chicago",+NFL!#REF!,IF(+NFL!$H123="Chicago",+NFL!#REF!,0))</f>
        <v>0</v>
      </c>
      <c r="AY104" s="57">
        <f>IF(+NFL!$F123="Chicago",+NFL!#REF!,IF(+NFL!$H123="Chicago",+NFL!#REF!,0))</f>
        <v>0</v>
      </c>
      <c r="AZ104" s="64">
        <f>IF(+NFL!$F123="Chicago",+NFL!#REF!,IF(+NFL!$H123="Chicago",+NFL!#REF!,0))</f>
        <v>0</v>
      </c>
      <c r="BA104" s="46">
        <f>IF(+NFL!$F123="Chicago",+NFL!#REF!,IF(+NFL!$H123="Chicago",+NFL!#REF!,0))</f>
        <v>0</v>
      </c>
      <c r="BB104" s="46">
        <f>IF(+NFL!$F123="Chicago",+NFL!#REF!,IF(+NFL!$H123="Chicago",+NFL!#REF!,0))</f>
        <v>0</v>
      </c>
      <c r="BC104" s="403">
        <f>IF(+NFL!$F123="Chicago",+NFL!#REF!,IF(+NFL!$H123="Chicago",+NFL!#REF!,0))</f>
        <v>0</v>
      </c>
      <c r="BD104" s="57">
        <f>IF(+NFL!$F123="Chicago",+NFL!#REF!,IF(+NFL!$H123="Chicago",+NFL!#REF!,0))</f>
        <v>0</v>
      </c>
      <c r="BE104" s="64">
        <f>IF(+NFL!$F123="Chicago",+NFL!#REF!,IF(+NFL!$H123="Chicago",+NFL!#REF!,0))</f>
        <v>0</v>
      </c>
      <c r="BF104" s="46">
        <f>IF(+NFL!$F123="Chicago",+NFL!#REF!,IF(+NFL!$H123="Chicago",+NFL!#REF!,0))</f>
        <v>0</v>
      </c>
      <c r="BG104" s="57">
        <f>IF(+NFL!$F123="Chicago",+NFL!#REF!,IF(+NFL!$H123="Chicago",+NFL!#REF!,0))</f>
        <v>0</v>
      </c>
      <c r="BH104" s="64">
        <f>IF(+NFL!$F123="Chicago",+NFL!#REF!,IF(+NFL!$H123="Chicago",+NFL!#REF!,0))</f>
        <v>0</v>
      </c>
      <c r="BI104" s="46">
        <f>IF(+NFL!$F123="Chicago",+NFL!#REF!,IF(+NFL!$H123="Chicago",+NFL!#REF!,0))</f>
        <v>0</v>
      </c>
      <c r="BJ104" s="87">
        <f>IF(+NFL!$F123="Chicago",+NFL!#REF!,IF(+NFL!$H123="Chicago",+NFL!#REF!,0))</f>
        <v>0</v>
      </c>
      <c r="BK104" s="120">
        <f>IF(+NFL!$F123="Chicago",+NFL!#REF!,IF(+NFL!$H123="Chicago",+NFL!#REF!,0))</f>
        <v>0</v>
      </c>
    </row>
    <row r="105" spans="1:63" x14ac:dyDescent="0.8">
      <c r="A105" s="46">
        <f>IF(+NFL!$F132="Chicago",+NFL!A132,IF(+NFL!$H132="Chicago",+NFL!A132,0))</f>
        <v>8</v>
      </c>
      <c r="B105" s="348" t="str">
        <f>IF(+NFL!$F132="Chicago",+NFL!B132,IF(+NFL!$H132="Chicago",+NFL!B132,0))</f>
        <v>Sun</v>
      </c>
      <c r="C105" s="48">
        <f>IF(+NFL!$F132="Chicago",+NFL!C132,IF(+NFL!$H132="Chicago",+NFL!C132,0))</f>
        <v>44864</v>
      </c>
      <c r="D105" s="490">
        <f>IF(+NFL!$F132="Chicago",+NFL!D132,IF(+NFL!$H132="Chicago",+NFL!D132,0))</f>
        <v>0.54166666666666663</v>
      </c>
      <c r="E105" s="491" t="str">
        <f>IF(+NFL!$F132="Chicago",+NFL!E132,IF(+NFL!$H132="Chicago",+NFL!E132,0))</f>
        <v>Fox</v>
      </c>
      <c r="F105" s="114" t="str">
        <f>IF(+NFL!$F132="Chicago",+NFL!F132,IF(+NFL!$H132="Chicago",+NFL!F132,0))</f>
        <v>Chicago</v>
      </c>
      <c r="G105" s="46" t="str">
        <f>IF(+NFL!$F132="Chicago",+NFL!G132,IF(+NFL!$H132="Chicago",+NFL!G132,0))</f>
        <v>NFCN</v>
      </c>
      <c r="H105" s="114" t="str">
        <f>IF(+NFL!$F132="Chicago",+NFL!H132,IF(+NFL!$H132="Chicago",+NFL!H132,0))</f>
        <v>Dallas</v>
      </c>
      <c r="I105" s="491" t="str">
        <f>IF(+NFL!$F132="Chicago",+NFL!I132,IF(+NFL!$H132="Chicago",+NFL!I132,0))</f>
        <v>NFCE</v>
      </c>
      <c r="J105" s="353" t="str">
        <f>IF(+NFL!$F132="Chicago",+NFL!J132,IF(+NFL!$H132="Chicago",+NFL!J132,0))</f>
        <v>Dallas</v>
      </c>
      <c r="K105" s="494" t="str">
        <f>IF(+NFL!$F132="Chicago",+NFL!K132,IF(+NFL!$H132="Chicago",+NFL!K132,0))</f>
        <v>Chicago</v>
      </c>
      <c r="L105" s="384">
        <f>IF(+NFL!$F132="Chicago",+NFL!L132,IF(+NFL!$H132="Chicago",+NFL!L132,0))</f>
        <v>9.5</v>
      </c>
      <c r="M105" s="385">
        <f>IF(+NFL!$F132="Chicago",+NFL!M132,IF(+NFL!$H132="Chicago",+NFL!M132,0))</f>
        <v>43</v>
      </c>
      <c r="N105" s="394" t="str">
        <f>IF(+NFL!$F132="Chicago",+NFL!N132,IF(+NFL!$H132="Chicago",+NFL!N132,0))</f>
        <v>Dallas</v>
      </c>
      <c r="O105" s="395">
        <f>IF(+NFL!$F132="Chicago",+NFL!O132,IF(+NFL!$H132="Chicago",+NFL!O132,0))</f>
        <v>49</v>
      </c>
      <c r="P105" s="394" t="str">
        <f>IF(+NFL!$F132="Chicago",+NFL!P132,IF(+NFL!$H132="Chicago",+NFL!P132,0))</f>
        <v>Chicago</v>
      </c>
      <c r="Q105" s="396">
        <f>IF(+NFL!$F132="Chicago",+NFL!Q132,IF(+NFL!$H132="Chicago",+NFL!Q132,0))</f>
        <v>29</v>
      </c>
      <c r="R105" s="397" t="str">
        <f>IF(+NFL!$F132="Chicago",+NFL!R132,IF(+NFL!$H132="Chicago",+NFL!R132,0))</f>
        <v>Dallas</v>
      </c>
      <c r="S105" s="399" t="str">
        <f>IF(+NFL!$F132="Chicago",+NFL!S132,IF(+NFL!$H132="Chicago",+NFL!S132,0))</f>
        <v>Chicago</v>
      </c>
      <c r="T105" s="398" t="str">
        <f>IF(+NFL!$F132="Chicago",+NFL!T132,IF(+NFL!$H132="Chicago",+NFL!T132,0))</f>
        <v>Dallas</v>
      </c>
      <c r="U105" s="396" t="str">
        <f>IF(+NFL!$F132="Chicago",+NFL!U132,IF(+NFL!$H132="Chicago",+NFL!U132,0))</f>
        <v>W</v>
      </c>
      <c r="V105" s="397">
        <f>IF(+NFL!$F139="Chicago",+NFL!#REF!,IF(+NFL!$H139="Chicago",+NFL!#REF!,0))</f>
        <v>0</v>
      </c>
      <c r="W105" s="396">
        <f>IF(+NFL!$F139="Chicago",+NFL!#REF!,IF(+NFL!$H139="Chicago",+NFL!#REF!,0))</f>
        <v>0</v>
      </c>
      <c r="X105" s="398">
        <f>IF(+NFL!$F139="Chicago",+NFL!#REF!,IF(+NFL!$H139="Chicago",+NFL!#REF!,0))</f>
        <v>0</v>
      </c>
      <c r="Y105" s="396">
        <f>IF(+NFL!$F139="Chicago",+NFL!#REF!,IF(+NFL!$H139="Chicago",+NFL!#REF!,0))</f>
        <v>0</v>
      </c>
      <c r="Z105" s="397">
        <f>IF(+NFL!$F139="Chicago",+NFL!#REF!,IF(+NFL!$H139="Chicago",+NFL!#REF!,0))</f>
        <v>0</v>
      </c>
      <c r="AA105" s="396">
        <f>IF(+NFL!$F139="Chicago",+NFL!#REF!,IF(+NFL!$H139="Chicago",+NFL!#REF!,0))</f>
        <v>0</v>
      </c>
      <c r="AB105" s="87">
        <f>IF(+NFL!$F139="Chicago",+NFL!#REF!,IF(+NFL!$H139="Chicago",+NFL!#REF!,0))</f>
        <v>0</v>
      </c>
      <c r="AC105" s="120">
        <f>IF(+NFL!$F139="Chicago",+NFL!#REF!,IF(+NFL!$H139="Chicago",+NFL!#REF!,0))</f>
        <v>0</v>
      </c>
      <c r="AD105" s="353">
        <f>IF(+NFL!$F139="Chicago",+NFL!#REF!,IF(+NFL!$H139="Chicago",+NFL!#REF!,0))</f>
        <v>0</v>
      </c>
      <c r="AE105" s="379">
        <f>IF(+NFL!$F139="Chicago",+NFL!#REF!,IF(+NFL!$H139="Chicago",+NFL!#REF!,0))</f>
        <v>0</v>
      </c>
      <c r="AF105" s="353">
        <f>IF(+NFL!$F139="Chicago",+NFL!#REF!,IF(+NFL!$H139="Chicago",+NFL!#REF!,0))</f>
        <v>0</v>
      </c>
      <c r="AG105" s="379">
        <f>IF(+NFL!$F139="Chicago",+NFL!#REF!,IF(+NFL!$H139="Chicago",+NFL!#REF!,0))</f>
        <v>0</v>
      </c>
      <c r="AH105" s="353">
        <f>IF(+NFL!$F139="Chicago",+NFL!#REF!,IF(+NFL!$H139="Chicago",+NFL!#REF!,0))</f>
        <v>0</v>
      </c>
      <c r="AI105" s="379">
        <f>IF(+NFL!$F139="Chicago",+NFL!#REF!,IF(+NFL!$H139="Chicago",+NFL!#REF!,0))</f>
        <v>0</v>
      </c>
      <c r="AJ105" s="353">
        <f>IF(+NFL!$F139="Chicago",+NFL!#REF!,IF(+NFL!$H139="Chicago",+NFL!#REF!,0))</f>
        <v>0</v>
      </c>
      <c r="AK105" s="379">
        <f>IF(+NFL!$F139="Chicago",+NFL!#REF!,IF(+NFL!$H139="Chicago",+NFL!#REF!,0))</f>
        <v>0</v>
      </c>
      <c r="AL105" s="57">
        <f>IF(+NFL!$F139="Chicago",+NFL!#REF!,IF(+NFL!$H139="Chicago",+NFL!#REF!,0))</f>
        <v>0</v>
      </c>
      <c r="AM105" s="58">
        <f>IF(+NFL!$F139="Chicago",+NFL!#REF!,IF(+NFL!$H139="Chicago",+NFL!#REF!,0))</f>
        <v>0</v>
      </c>
      <c r="AN105" s="70">
        <f>IF(+NFL!$F139="Chicago",+NFL!#REF!,IF(+NFL!$H139="Chicago",+NFL!#REF!,0))</f>
        <v>0</v>
      </c>
      <c r="AO105" s="59">
        <f>IF(+NFL!$F139="Chicago",+NFL!#REF!,IF(+NFL!$H139="Chicago",+NFL!#REF!,0))</f>
        <v>0</v>
      </c>
      <c r="AP105" s="348">
        <f>IF(+NFL!$F139="Chicago",+NFL!#REF!,IF(+NFL!$H139="Chicago",+NFL!#REF!,0))</f>
        <v>0</v>
      </c>
      <c r="AQ105" s="48">
        <f>IF(+NFL!$F139="Chicago",+NFL!#REF!,IF(+NFL!$H139="Chicago",+NFL!#REF!,0))</f>
        <v>0</v>
      </c>
      <c r="AR105" s="57">
        <f>IF(+NFL!$F139="Chicago",+NFL!#REF!,IF(+NFL!$H139="Chicago",+NFL!#REF!,0))</f>
        <v>0</v>
      </c>
      <c r="AS105" s="64">
        <f>IF(+NFL!$F139="Chicago",+NFL!#REF!,IF(+NFL!$H139="Chicago",+NFL!#REF!,0))</f>
        <v>0</v>
      </c>
      <c r="AT105" s="46">
        <f>IF(+NFL!$F139="Chicago",+NFL!#REF!,IF(+NFL!$H139="Chicago",+NFL!#REF!,0))</f>
        <v>0</v>
      </c>
      <c r="AU105" s="57">
        <f>IF(+NFL!$F139="Chicago",+NFL!#REF!,IF(+NFL!$H139="Chicago",+NFL!#REF!,0))</f>
        <v>0</v>
      </c>
      <c r="AV105" s="64">
        <f>IF(+NFL!$F139="Chicago",+NFL!#REF!,IF(+NFL!$H139="Chicago",+NFL!#REF!,0))</f>
        <v>0</v>
      </c>
      <c r="AW105" s="46">
        <f>IF(+NFL!$F139="Chicago",+NFL!#REF!,IF(+NFL!$H139="Chicago",+NFL!#REF!,0))</f>
        <v>0</v>
      </c>
      <c r="AX105" s="64">
        <f>IF(+NFL!$F139="Chicago",+NFL!#REF!,IF(+NFL!$H139="Chicago",+NFL!#REF!,0))</f>
        <v>0</v>
      </c>
      <c r="AY105" s="57">
        <f>IF(+NFL!$F139="Chicago",+NFL!#REF!,IF(+NFL!$H139="Chicago",+NFL!#REF!,0))</f>
        <v>0</v>
      </c>
      <c r="AZ105" s="64">
        <f>IF(+NFL!$F139="Chicago",+NFL!#REF!,IF(+NFL!$H139="Chicago",+NFL!#REF!,0))</f>
        <v>0</v>
      </c>
      <c r="BA105" s="46">
        <f>IF(+NFL!$F139="Chicago",+NFL!#REF!,IF(+NFL!$H139="Chicago",+NFL!#REF!,0))</f>
        <v>0</v>
      </c>
      <c r="BB105" s="46">
        <f>IF(+NFL!$F139="Chicago",+NFL!#REF!,IF(+NFL!$H139="Chicago",+NFL!#REF!,0))</f>
        <v>0</v>
      </c>
      <c r="BC105" s="403">
        <f>IF(+NFL!$F139="Chicago",+NFL!#REF!,IF(+NFL!$H139="Chicago",+NFL!#REF!,0))</f>
        <v>0</v>
      </c>
      <c r="BD105" s="57">
        <f>IF(+NFL!$F139="Chicago",+NFL!#REF!,IF(+NFL!$H139="Chicago",+NFL!#REF!,0))</f>
        <v>0</v>
      </c>
      <c r="BE105" s="64">
        <f>IF(+NFL!$F139="Chicago",+NFL!#REF!,IF(+NFL!$H139="Chicago",+NFL!#REF!,0))</f>
        <v>0</v>
      </c>
      <c r="BF105" s="46">
        <f>IF(+NFL!$F139="Chicago",+NFL!#REF!,IF(+NFL!$H139="Chicago",+NFL!#REF!,0))</f>
        <v>0</v>
      </c>
      <c r="BG105" s="57">
        <f>IF(+NFL!$F139="Chicago",+NFL!#REF!,IF(+NFL!$H139="Chicago",+NFL!#REF!,0))</f>
        <v>0</v>
      </c>
      <c r="BH105" s="64">
        <f>IF(+NFL!$F139="Chicago",+NFL!#REF!,IF(+NFL!$H139="Chicago",+NFL!#REF!,0))</f>
        <v>0</v>
      </c>
      <c r="BI105" s="46">
        <f>IF(+NFL!$F139="Chicago",+NFL!#REF!,IF(+NFL!$H139="Chicago",+NFL!#REF!,0))</f>
        <v>0</v>
      </c>
      <c r="BJ105" s="87">
        <f>IF(+NFL!$F139="Chicago",+NFL!#REF!,IF(+NFL!$H139="Chicago",+NFL!#REF!,0))</f>
        <v>0</v>
      </c>
      <c r="BK105" s="120">
        <f>IF(+NFL!$F139="Chicago",+NFL!#REF!,IF(+NFL!$H139="Chicago",+NFL!#REF!,0))</f>
        <v>0</v>
      </c>
    </row>
    <row r="106" spans="1:63" x14ac:dyDescent="0.8">
      <c r="A106" s="46">
        <f>IF(+NFL!$F172="Chicago",+NFL!A172,IF(+NFL!$H172="Chicago",+NFL!A172,0))</f>
        <v>10</v>
      </c>
      <c r="B106" s="348" t="str">
        <f>IF(+NFL!$F172="Chicago",+NFL!B172,IF(+NFL!$H172="Chicago",+NFL!B172,0))</f>
        <v>Sun</v>
      </c>
      <c r="C106" s="48">
        <f>IF(+NFL!$F172="Chicago",+NFL!C172,IF(+NFL!$H172="Chicago",+NFL!C172,0))</f>
        <v>44878</v>
      </c>
      <c r="D106" s="490">
        <f>IF(+NFL!$F172="Chicago",+NFL!D172,IF(+NFL!$H172="Chicago",+NFL!D172,0))</f>
        <v>0.54166666666666663</v>
      </c>
      <c r="E106" s="491" t="str">
        <f>IF(+NFL!$F172="Chicago",+NFL!E172,IF(+NFL!$H172="Chicago",+NFL!E172,0))</f>
        <v>Fox</v>
      </c>
      <c r="F106" s="114" t="str">
        <f>IF(+NFL!$F172="Chicago",+NFL!F172,IF(+NFL!$H172="Chicago",+NFL!F172,0))</f>
        <v>Detroit</v>
      </c>
      <c r="G106" s="46" t="str">
        <f>IF(+NFL!$F172="Chicago",+NFL!G172,IF(+NFL!$H172="Chicago",+NFL!G172,0))</f>
        <v>NFCN</v>
      </c>
      <c r="H106" s="114" t="str">
        <f>IF(+NFL!$F172="Chicago",+NFL!H172,IF(+NFL!$H172="Chicago",+NFL!H172,0))</f>
        <v>Chicago</v>
      </c>
      <c r="I106" s="491" t="str">
        <f>IF(+NFL!$F172="Chicago",+NFL!I172,IF(+NFL!$H172="Chicago",+NFL!I172,0))</f>
        <v>NFCN</v>
      </c>
      <c r="J106" s="353" t="str">
        <f>IF(+NFL!$F172="Chicago",+NFL!J172,IF(+NFL!$H172="Chicago",+NFL!J172,0))</f>
        <v>Chicago</v>
      </c>
      <c r="K106" s="494" t="str">
        <f>IF(+NFL!$F172="Chicago",+NFL!K172,IF(+NFL!$H172="Chicago",+NFL!K172,0))</f>
        <v>Detroit</v>
      </c>
      <c r="L106" s="384">
        <f>IF(+NFL!$F172="Chicago",+NFL!L172,IF(+NFL!$H172="Chicago",+NFL!L172,0))</f>
        <v>2.5</v>
      </c>
      <c r="M106" s="385">
        <f>IF(+NFL!$F172="Chicago",+NFL!M172,IF(+NFL!$H172="Chicago",+NFL!M172,0))</f>
        <v>48.5</v>
      </c>
      <c r="N106" s="394" t="str">
        <f>IF(+NFL!$F172="Chicago",+NFL!N172,IF(+NFL!$H172="Chicago",+NFL!N172,0))</f>
        <v>Detroit</v>
      </c>
      <c r="O106" s="395">
        <f>IF(+NFL!$F172="Chicago",+NFL!O172,IF(+NFL!$H172="Chicago",+NFL!O172,0))</f>
        <v>31</v>
      </c>
      <c r="P106" s="394" t="str">
        <f>IF(+NFL!$F172="Chicago",+NFL!P172,IF(+NFL!$H172="Chicago",+NFL!P172,0))</f>
        <v>Chicago</v>
      </c>
      <c r="Q106" s="396">
        <f>IF(+NFL!$F172="Chicago",+NFL!Q172,IF(+NFL!$H172="Chicago",+NFL!Q172,0))</f>
        <v>30</v>
      </c>
      <c r="R106" s="397" t="str">
        <f>IF(+NFL!$F172="Chicago",+NFL!R172,IF(+NFL!$H172="Chicago",+NFL!R172,0))</f>
        <v>Detroit</v>
      </c>
      <c r="S106" s="399" t="str">
        <f>IF(+NFL!$F172="Chicago",+NFL!S172,IF(+NFL!$H172="Chicago",+NFL!S172,0))</f>
        <v>Chicago</v>
      </c>
      <c r="T106" s="398" t="str">
        <f>IF(+NFL!$F172="Chicago",+NFL!T172,IF(+NFL!$H172="Chicago",+NFL!T172,0))</f>
        <v>Detroit</v>
      </c>
      <c r="U106" s="396" t="str">
        <f>IF(+NFL!$F172="Chicago",+NFL!U172,IF(+NFL!$H172="Chicago",+NFL!U172,0))</f>
        <v>W</v>
      </c>
      <c r="V106" s="397">
        <f>IF(+NFL!$F153="Chicago",+NFL!#REF!,IF(+NFL!$H153="Chicago",+NFL!#REF!,0))</f>
        <v>0</v>
      </c>
      <c r="W106" s="396">
        <f>IF(+NFL!$F153="Chicago",+NFL!#REF!,IF(+NFL!$H153="Chicago",+NFL!#REF!,0))</f>
        <v>0</v>
      </c>
      <c r="X106" s="398">
        <f>IF(+NFL!$F153="Chicago",+NFL!#REF!,IF(+NFL!$H153="Chicago",+NFL!#REF!,0))</f>
        <v>0</v>
      </c>
      <c r="Y106" s="396">
        <f>IF(+NFL!$F153="Chicago",+NFL!#REF!,IF(+NFL!$H153="Chicago",+NFL!#REF!,0))</f>
        <v>0</v>
      </c>
      <c r="Z106" s="397">
        <f>IF(+NFL!$F153="Chicago",+NFL!#REF!,IF(+NFL!$H153="Chicago",+NFL!#REF!,0))</f>
        <v>0</v>
      </c>
      <c r="AA106" s="396">
        <f>IF(+NFL!$F153="Chicago",+NFL!#REF!,IF(+NFL!$H153="Chicago",+NFL!#REF!,0))</f>
        <v>0</v>
      </c>
      <c r="AB106" s="87">
        <f>IF(+NFL!$F153="Chicago",+NFL!#REF!,IF(+NFL!$H153="Chicago",+NFL!#REF!,0))</f>
        <v>0</v>
      </c>
      <c r="AC106" s="120">
        <f>IF(+NFL!$F153="Chicago",+NFL!#REF!,IF(+NFL!$H153="Chicago",+NFL!#REF!,0))</f>
        <v>0</v>
      </c>
      <c r="AD106" s="353">
        <f>IF(+NFL!$F153="Chicago",+NFL!#REF!,IF(+NFL!$H153="Chicago",+NFL!#REF!,0))</f>
        <v>0</v>
      </c>
      <c r="AE106" s="379">
        <f>IF(+NFL!$F153="Chicago",+NFL!#REF!,IF(+NFL!$H153="Chicago",+NFL!#REF!,0))</f>
        <v>0</v>
      </c>
      <c r="AF106" s="353">
        <f>IF(+NFL!$F153="Chicago",+NFL!#REF!,IF(+NFL!$H153="Chicago",+NFL!#REF!,0))</f>
        <v>0</v>
      </c>
      <c r="AG106" s="379">
        <f>IF(+NFL!$F153="Chicago",+NFL!#REF!,IF(+NFL!$H153="Chicago",+NFL!#REF!,0))</f>
        <v>0</v>
      </c>
      <c r="AH106" s="353">
        <f>IF(+NFL!$F153="Chicago",+NFL!#REF!,IF(+NFL!$H153="Chicago",+NFL!#REF!,0))</f>
        <v>0</v>
      </c>
      <c r="AI106" s="379">
        <f>IF(+NFL!$F153="Chicago",+NFL!#REF!,IF(+NFL!$H153="Chicago",+NFL!#REF!,0))</f>
        <v>0</v>
      </c>
      <c r="AJ106" s="353">
        <f>IF(+NFL!$F153="Chicago",+NFL!#REF!,IF(+NFL!$H153="Chicago",+NFL!#REF!,0))</f>
        <v>0</v>
      </c>
      <c r="AK106" s="379">
        <f>IF(+NFL!$F153="Chicago",+NFL!#REF!,IF(+NFL!$H153="Chicago",+NFL!#REF!,0))</f>
        <v>0</v>
      </c>
      <c r="AL106" s="57">
        <f>IF(+NFL!$F153="Chicago",+NFL!#REF!,IF(+NFL!$H153="Chicago",+NFL!#REF!,0))</f>
        <v>0</v>
      </c>
      <c r="AM106" s="58">
        <f>IF(+NFL!$F153="Chicago",+NFL!#REF!,IF(+NFL!$H153="Chicago",+NFL!#REF!,0))</f>
        <v>0</v>
      </c>
      <c r="AN106" s="70">
        <f>IF(+NFL!$F153="Chicago",+NFL!#REF!,IF(+NFL!$H153="Chicago",+NFL!#REF!,0))</f>
        <v>0</v>
      </c>
      <c r="AO106" s="59">
        <f>IF(+NFL!$F153="Chicago",+NFL!#REF!,IF(+NFL!$H153="Chicago",+NFL!#REF!,0))</f>
        <v>0</v>
      </c>
      <c r="AP106" s="348">
        <f>IF(+NFL!$F153="Chicago",+NFL!#REF!,IF(+NFL!$H153="Chicago",+NFL!#REF!,0))</f>
        <v>0</v>
      </c>
      <c r="AQ106" s="48">
        <f>IF(+NFL!$F153="Chicago",+NFL!#REF!,IF(+NFL!$H153="Chicago",+NFL!#REF!,0))</f>
        <v>0</v>
      </c>
      <c r="AR106" s="57">
        <f>IF(+NFL!$F153="Chicago",+NFL!#REF!,IF(+NFL!$H153="Chicago",+NFL!#REF!,0))</f>
        <v>0</v>
      </c>
      <c r="AS106" s="64">
        <f>IF(+NFL!$F153="Chicago",+NFL!#REF!,IF(+NFL!$H153="Chicago",+NFL!#REF!,0))</f>
        <v>0</v>
      </c>
      <c r="AT106" s="46">
        <f>IF(+NFL!$F153="Chicago",+NFL!#REF!,IF(+NFL!$H153="Chicago",+NFL!#REF!,0))</f>
        <v>0</v>
      </c>
      <c r="AU106" s="57">
        <f>IF(+NFL!$F153="Chicago",+NFL!#REF!,IF(+NFL!$H153="Chicago",+NFL!#REF!,0))</f>
        <v>0</v>
      </c>
      <c r="AV106" s="64">
        <f>IF(+NFL!$F153="Chicago",+NFL!#REF!,IF(+NFL!$H153="Chicago",+NFL!#REF!,0))</f>
        <v>0</v>
      </c>
      <c r="AW106" s="46">
        <f>IF(+NFL!$F153="Chicago",+NFL!#REF!,IF(+NFL!$H153="Chicago",+NFL!#REF!,0))</f>
        <v>0</v>
      </c>
      <c r="AX106" s="64">
        <f>IF(+NFL!$F153="Chicago",+NFL!#REF!,IF(+NFL!$H153="Chicago",+NFL!#REF!,0))</f>
        <v>0</v>
      </c>
      <c r="AY106" s="57">
        <f>IF(+NFL!$F153="Chicago",+NFL!#REF!,IF(+NFL!$H153="Chicago",+NFL!#REF!,0))</f>
        <v>0</v>
      </c>
      <c r="AZ106" s="64">
        <f>IF(+NFL!$F153="Chicago",+NFL!#REF!,IF(+NFL!$H153="Chicago",+NFL!#REF!,0))</f>
        <v>0</v>
      </c>
      <c r="BA106" s="46">
        <f>IF(+NFL!$F153="Chicago",+NFL!#REF!,IF(+NFL!$H153="Chicago",+NFL!#REF!,0))</f>
        <v>0</v>
      </c>
      <c r="BB106" s="46">
        <f>IF(+NFL!$F153="Chicago",+NFL!#REF!,IF(+NFL!$H153="Chicago",+NFL!#REF!,0))</f>
        <v>0</v>
      </c>
      <c r="BC106" s="403">
        <f>IF(+NFL!$F153="Chicago",+NFL!#REF!,IF(+NFL!$H153="Chicago",+NFL!#REF!,0))</f>
        <v>0</v>
      </c>
      <c r="BD106" s="57">
        <f>IF(+NFL!$F153="Chicago",+NFL!#REF!,IF(+NFL!$H153="Chicago",+NFL!#REF!,0))</f>
        <v>0</v>
      </c>
      <c r="BE106" s="64">
        <f>IF(+NFL!$F153="Chicago",+NFL!#REF!,IF(+NFL!$H153="Chicago",+NFL!#REF!,0))</f>
        <v>0</v>
      </c>
      <c r="BF106" s="46">
        <f>IF(+NFL!$F153="Chicago",+NFL!#REF!,IF(+NFL!$H153="Chicago",+NFL!#REF!,0))</f>
        <v>0</v>
      </c>
      <c r="BG106" s="57">
        <f>IF(+NFL!$F153="Chicago",+NFL!#REF!,IF(+NFL!$H153="Chicago",+NFL!#REF!,0))</f>
        <v>0</v>
      </c>
      <c r="BH106" s="64">
        <f>IF(+NFL!$F153="Chicago",+NFL!#REF!,IF(+NFL!$H153="Chicago",+NFL!#REF!,0))</f>
        <v>0</v>
      </c>
      <c r="BI106" s="46">
        <f>IF(+NFL!$F153="Chicago",+NFL!#REF!,IF(+NFL!$H153="Chicago",+NFL!#REF!,0))</f>
        <v>0</v>
      </c>
      <c r="BJ106" s="87">
        <f>IF(+NFL!$F153="Chicago",+NFL!#REF!,IF(+NFL!$H153="Chicago",+NFL!#REF!,0))</f>
        <v>0</v>
      </c>
      <c r="BK106" s="120">
        <f>IF(+NFL!$F153="Chicago",+NFL!#REF!,IF(+NFL!$H153="Chicago",+NFL!#REF!,0))</f>
        <v>0</v>
      </c>
    </row>
    <row r="107" spans="1:63" x14ac:dyDescent="0.8">
      <c r="A107" s="46">
        <f>IF(+NFL!$F190="Chicago",+NFL!A190,IF(+NFL!$H190="Chicago",+NFL!A190,0))</f>
        <v>11</v>
      </c>
      <c r="B107" s="348" t="str">
        <f>IF(+NFL!$F190="Chicago",+NFL!B190,IF(+NFL!$H190="Chicago",+NFL!B190,0))</f>
        <v>Sun</v>
      </c>
      <c r="C107" s="48">
        <f>IF(+NFL!$F190="Chicago",+NFL!C190,IF(+NFL!$H190="Chicago",+NFL!C190,0))</f>
        <v>44885</v>
      </c>
      <c r="D107" s="490">
        <f>IF(+NFL!$F190="Chicago",+NFL!D190,IF(+NFL!$H190="Chicago",+NFL!D190,0))</f>
        <v>0.39583333333333331</v>
      </c>
      <c r="E107" s="491" t="str">
        <f>IF(+NFL!$F190="Chicago",+NFL!E190,IF(+NFL!$H190="Chicago",+NFL!E190,0))</f>
        <v>NFL</v>
      </c>
      <c r="F107" s="114" t="str">
        <f>IF(+NFL!$F190="Chicago",+NFL!F190,IF(+NFL!$H190="Chicago",+NFL!F190,0))</f>
        <v>Chicago</v>
      </c>
      <c r="G107" s="46" t="str">
        <f>IF(+NFL!$F190="Chicago",+NFL!G190,IF(+NFL!$H190="Chicago",+NFL!G190,0))</f>
        <v>NFCN</v>
      </c>
      <c r="H107" s="114" t="str">
        <f>IF(+NFL!$F190="Chicago",+NFL!H190,IF(+NFL!$H190="Chicago",+NFL!H190,0))</f>
        <v>Atlanta</v>
      </c>
      <c r="I107" s="491" t="str">
        <f>IF(+NFL!$F190="Chicago",+NFL!I190,IF(+NFL!$H190="Chicago",+NFL!I190,0))</f>
        <v>NFCS</v>
      </c>
      <c r="J107" s="353" t="str">
        <f>IF(+NFL!$F190="Chicago",+NFL!J190,IF(+NFL!$H190="Chicago",+NFL!J190,0))</f>
        <v>Atlanta</v>
      </c>
      <c r="K107" s="494" t="str">
        <f>IF(+NFL!$F190="Chicago",+NFL!K190,IF(+NFL!$H190="Chicago",+NFL!K190,0))</f>
        <v>Chicago</v>
      </c>
      <c r="L107" s="384">
        <f>IF(+NFL!$F190="Chicago",+NFL!L190,IF(+NFL!$H190="Chicago",+NFL!L190,0))</f>
        <v>3</v>
      </c>
      <c r="M107" s="385">
        <f>IF(+NFL!$F190="Chicago",+NFL!M190,IF(+NFL!$H190="Chicago",+NFL!M190,0))</f>
        <v>50</v>
      </c>
      <c r="N107" s="394" t="str">
        <f>IF(+NFL!$F190="Chicago",+NFL!N190,IF(+NFL!$H190="Chicago",+NFL!N190,0))</f>
        <v>Atlanta</v>
      </c>
      <c r="O107" s="395">
        <f>IF(+NFL!$F190="Chicago",+NFL!O190,IF(+NFL!$H190="Chicago",+NFL!O190,0))</f>
        <v>27</v>
      </c>
      <c r="P107" s="394" t="str">
        <f>IF(+NFL!$F190="Chicago",+NFL!P190,IF(+NFL!$H190="Chicago",+NFL!P190,0))</f>
        <v>Chicago</v>
      </c>
      <c r="Q107" s="396">
        <f>IF(+NFL!$F190="Chicago",+NFL!Q190,IF(+NFL!$H190="Chicago",+NFL!Q190,0))</f>
        <v>24</v>
      </c>
      <c r="R107" s="397" t="str">
        <f>IF(+NFL!$F190="Chicago",+NFL!R190,IF(+NFL!$H190="Chicago",+NFL!R190,0))</f>
        <v>Atlanta</v>
      </c>
      <c r="S107" s="399" t="str">
        <f>IF(+NFL!$F190="Chicago",+NFL!S190,IF(+NFL!$H190="Chicago",+NFL!S190,0))</f>
        <v>Chicago</v>
      </c>
      <c r="T107" s="398" t="str">
        <f>IF(+NFL!$F190="Chicago",+NFL!T190,IF(+NFL!$H190="Chicago",+NFL!T190,0))</f>
        <v>Chicago</v>
      </c>
      <c r="U107" s="396" t="str">
        <f>IF(+NFL!$F190="Chicago",+NFL!U190,IF(+NFL!$H190="Chicago",+NFL!U190,0))</f>
        <v>T</v>
      </c>
      <c r="V107" s="397">
        <f>IF(+NFL!$F178="Chicago",+NFL!#REF!,IF(+NFL!$H178="Chicago",+NFL!#REF!,0))</f>
        <v>0</v>
      </c>
      <c r="W107" s="396">
        <f>IF(+NFL!$F178="Chicago",+NFL!#REF!,IF(+NFL!$H178="Chicago",+NFL!#REF!,0))</f>
        <v>0</v>
      </c>
      <c r="X107" s="398">
        <f>IF(+NFL!$F178="Chicago",+NFL!#REF!,IF(+NFL!$H178="Chicago",+NFL!#REF!,0))</f>
        <v>0</v>
      </c>
      <c r="Y107" s="396">
        <f>IF(+NFL!$F178="Chicago",+NFL!#REF!,IF(+NFL!$H178="Chicago",+NFL!#REF!,0))</f>
        <v>0</v>
      </c>
      <c r="Z107" s="397">
        <f>IF(+NFL!$F178="Chicago",+NFL!#REF!,IF(+NFL!$H178="Chicago",+NFL!#REF!,0))</f>
        <v>0</v>
      </c>
      <c r="AA107" s="396">
        <f>IF(+NFL!$F178="Chicago",+NFL!#REF!,IF(+NFL!$H178="Chicago",+NFL!#REF!,0))</f>
        <v>0</v>
      </c>
      <c r="AB107" s="87">
        <f>IF(+NFL!$F178="Chicago",+NFL!#REF!,IF(+NFL!$H178="Chicago",+NFL!#REF!,0))</f>
        <v>0</v>
      </c>
      <c r="AC107" s="120">
        <f>IF(+NFL!$F178="Chicago",+NFL!#REF!,IF(+NFL!$H178="Chicago",+NFL!#REF!,0))</f>
        <v>0</v>
      </c>
      <c r="AD107" s="353">
        <f>IF(+NFL!$F178="Chicago",+NFL!#REF!,IF(+NFL!$H178="Chicago",+NFL!#REF!,0))</f>
        <v>0</v>
      </c>
      <c r="AE107" s="379">
        <f>IF(+NFL!$F178="Chicago",+NFL!#REF!,IF(+NFL!$H178="Chicago",+NFL!#REF!,0))</f>
        <v>0</v>
      </c>
      <c r="AF107" s="353">
        <f>IF(+NFL!$F178="Chicago",+NFL!#REF!,IF(+NFL!$H178="Chicago",+NFL!#REF!,0))</f>
        <v>0</v>
      </c>
      <c r="AG107" s="379">
        <f>IF(+NFL!$F178="Chicago",+NFL!#REF!,IF(+NFL!$H178="Chicago",+NFL!#REF!,0))</f>
        <v>0</v>
      </c>
      <c r="AH107" s="353">
        <f>IF(+NFL!$F178="Chicago",+NFL!#REF!,IF(+NFL!$H178="Chicago",+NFL!#REF!,0))</f>
        <v>0</v>
      </c>
      <c r="AI107" s="379">
        <f>IF(+NFL!$F178="Chicago",+NFL!#REF!,IF(+NFL!$H178="Chicago",+NFL!#REF!,0))</f>
        <v>0</v>
      </c>
      <c r="AJ107" s="353">
        <f>IF(+NFL!$F178="Chicago",+NFL!#REF!,IF(+NFL!$H178="Chicago",+NFL!#REF!,0))</f>
        <v>0</v>
      </c>
      <c r="AK107" s="379">
        <f>IF(+NFL!$F178="Chicago",+NFL!#REF!,IF(+NFL!$H178="Chicago",+NFL!#REF!,0))</f>
        <v>0</v>
      </c>
      <c r="AL107" s="57">
        <f>IF(+NFL!$F178="Chicago",+NFL!#REF!,IF(+NFL!$H178="Chicago",+NFL!#REF!,0))</f>
        <v>0</v>
      </c>
      <c r="AM107" s="58">
        <f>IF(+NFL!$F178="Chicago",+NFL!#REF!,IF(+NFL!$H178="Chicago",+NFL!#REF!,0))</f>
        <v>0</v>
      </c>
      <c r="AN107" s="70">
        <f>IF(+NFL!$F178="Chicago",+NFL!#REF!,IF(+NFL!$H178="Chicago",+NFL!#REF!,0))</f>
        <v>0</v>
      </c>
      <c r="AO107" s="59">
        <f>IF(+NFL!$F178="Chicago",+NFL!#REF!,IF(+NFL!$H178="Chicago",+NFL!#REF!,0))</f>
        <v>0</v>
      </c>
      <c r="AP107" s="348">
        <f>IF(+NFL!$F178="Chicago",+NFL!#REF!,IF(+NFL!$H178="Chicago",+NFL!#REF!,0))</f>
        <v>0</v>
      </c>
      <c r="AQ107" s="48">
        <f>IF(+NFL!$F178="Chicago",+NFL!#REF!,IF(+NFL!$H178="Chicago",+NFL!#REF!,0))</f>
        <v>0</v>
      </c>
      <c r="AR107" s="57">
        <f>IF(+NFL!$F178="Chicago",+NFL!#REF!,IF(+NFL!$H178="Chicago",+NFL!#REF!,0))</f>
        <v>0</v>
      </c>
      <c r="AS107" s="64">
        <f>IF(+NFL!$F178="Chicago",+NFL!#REF!,IF(+NFL!$H178="Chicago",+NFL!#REF!,0))</f>
        <v>0</v>
      </c>
      <c r="AT107" s="46">
        <f>IF(+NFL!$F178="Chicago",+NFL!#REF!,IF(+NFL!$H178="Chicago",+NFL!#REF!,0))</f>
        <v>0</v>
      </c>
      <c r="AU107" s="57">
        <f>IF(+NFL!$F178="Chicago",+NFL!#REF!,IF(+NFL!$H178="Chicago",+NFL!#REF!,0))</f>
        <v>0</v>
      </c>
      <c r="AV107" s="64">
        <f>IF(+NFL!$F178="Chicago",+NFL!#REF!,IF(+NFL!$H178="Chicago",+NFL!#REF!,0))</f>
        <v>0</v>
      </c>
      <c r="AW107" s="46">
        <f>IF(+NFL!$F178="Chicago",+NFL!#REF!,IF(+NFL!$H178="Chicago",+NFL!#REF!,0))</f>
        <v>0</v>
      </c>
      <c r="AX107" s="64">
        <f>IF(+NFL!$F178="Chicago",+NFL!#REF!,IF(+NFL!$H178="Chicago",+NFL!#REF!,0))</f>
        <v>0</v>
      </c>
      <c r="AY107" s="57">
        <f>IF(+NFL!$F178="Chicago",+NFL!#REF!,IF(+NFL!$H178="Chicago",+NFL!#REF!,0))</f>
        <v>0</v>
      </c>
      <c r="AZ107" s="64">
        <f>IF(+NFL!$F178="Chicago",+NFL!#REF!,IF(+NFL!$H178="Chicago",+NFL!#REF!,0))</f>
        <v>0</v>
      </c>
      <c r="BA107" s="46">
        <f>IF(+NFL!$F178="Chicago",+NFL!#REF!,IF(+NFL!$H178="Chicago",+NFL!#REF!,0))</f>
        <v>0</v>
      </c>
      <c r="BB107" s="46">
        <f>IF(+NFL!$F178="Chicago",+NFL!#REF!,IF(+NFL!$H178="Chicago",+NFL!#REF!,0))</f>
        <v>0</v>
      </c>
      <c r="BC107" s="403">
        <f>IF(+NFL!$F178="Chicago",+NFL!#REF!,IF(+NFL!$H178="Chicago",+NFL!#REF!,0))</f>
        <v>0</v>
      </c>
      <c r="BD107" s="57">
        <f>IF(+NFL!$F178="Chicago",+NFL!#REF!,IF(+NFL!$H178="Chicago",+NFL!#REF!,0))</f>
        <v>0</v>
      </c>
      <c r="BE107" s="64">
        <f>IF(+NFL!$F178="Chicago",+NFL!#REF!,IF(+NFL!$H178="Chicago",+NFL!#REF!,0))</f>
        <v>0</v>
      </c>
      <c r="BF107" s="46">
        <f>IF(+NFL!$F178="Chicago",+NFL!#REF!,IF(+NFL!$H178="Chicago",+NFL!#REF!,0))</f>
        <v>0</v>
      </c>
      <c r="BG107" s="57">
        <f>IF(+NFL!$F178="Chicago",+NFL!#REF!,IF(+NFL!$H178="Chicago",+NFL!#REF!,0))</f>
        <v>0</v>
      </c>
      <c r="BH107" s="64">
        <f>IF(+NFL!$F178="Chicago",+NFL!#REF!,IF(+NFL!$H178="Chicago",+NFL!#REF!,0))</f>
        <v>0</v>
      </c>
      <c r="BI107" s="46">
        <f>IF(+NFL!$F178="Chicago",+NFL!#REF!,IF(+NFL!$H178="Chicago",+NFL!#REF!,0))</f>
        <v>0</v>
      </c>
      <c r="BJ107" s="87">
        <f>IF(+NFL!$F178="Chicago",+NFL!#REF!,IF(+NFL!$H178="Chicago",+NFL!#REF!,0))</f>
        <v>0</v>
      </c>
      <c r="BK107" s="120">
        <f>IF(+NFL!$F178="Chicago",+NFL!#REF!,IF(+NFL!$H178="Chicago",+NFL!#REF!,0))</f>
        <v>0</v>
      </c>
    </row>
    <row r="108" spans="1:63" x14ac:dyDescent="0.8">
      <c r="A108" s="46">
        <f>IF(+NFL!$F215="Chicago",+NFL!A215,IF(+NFL!$H215="Chicago",+NFL!A215,0))</f>
        <v>12</v>
      </c>
      <c r="B108" s="348" t="str">
        <f>IF(+NFL!$F215="Chicago",+NFL!B215,IF(+NFL!$H215="Chicago",+NFL!B215,0))</f>
        <v>Sun</v>
      </c>
      <c r="C108" s="48">
        <f>IF(+NFL!$F215="Chicago",+NFL!C215,IF(+NFL!$H215="Chicago",+NFL!C215,0))</f>
        <v>44892</v>
      </c>
      <c r="D108" s="490">
        <f>IF(+NFL!$F215="Chicago",+NFL!D215,IF(+NFL!$H215="Chicago",+NFL!D215,0))</f>
        <v>0.54166666666666663</v>
      </c>
      <c r="E108" s="491" t="str">
        <f>IF(+NFL!$F215="Chicago",+NFL!E215,IF(+NFL!$H215="Chicago",+NFL!E215,0))</f>
        <v>Fox</v>
      </c>
      <c r="F108" s="114" t="str">
        <f>IF(+NFL!$F215="Chicago",+NFL!F215,IF(+NFL!$H215="Chicago",+NFL!F215,0))</f>
        <v>Chicago</v>
      </c>
      <c r="G108" s="46" t="str">
        <f>IF(+NFL!$F215="Chicago",+NFL!G215,IF(+NFL!$H215="Chicago",+NFL!G215,0))</f>
        <v>NFCN</v>
      </c>
      <c r="H108" s="114" t="str">
        <f>IF(+NFL!$F215="Chicago",+NFL!H215,IF(+NFL!$H215="Chicago",+NFL!H215,0))</f>
        <v>NY Jets</v>
      </c>
      <c r="I108" s="491" t="str">
        <f>IF(+NFL!$F215="Chicago",+NFL!I215,IF(+NFL!$H215="Chicago",+NFL!I215,0))</f>
        <v>AFCE</v>
      </c>
      <c r="J108" s="353" t="str">
        <f>IF(+NFL!$F215="Chicago",+NFL!J215,IF(+NFL!$H215="Chicago",+NFL!J215,0))</f>
        <v>NY Jets</v>
      </c>
      <c r="K108" s="494" t="str">
        <f>IF(+NFL!$F215="Chicago",+NFL!K215,IF(+NFL!$H215="Chicago",+NFL!K215,0))</f>
        <v>Chicago</v>
      </c>
      <c r="L108" s="384">
        <f>IF(+NFL!$F215="Chicago",+NFL!L215,IF(+NFL!$H215="Chicago",+NFL!L215,0))</f>
        <v>5</v>
      </c>
      <c r="M108" s="385">
        <f>IF(+NFL!$F215="Chicago",+NFL!M215,IF(+NFL!$H215="Chicago",+NFL!M215,0))</f>
        <v>40.5</v>
      </c>
      <c r="N108" s="394" t="str">
        <f>IF(+NFL!$F215="Chicago",+NFL!N215,IF(+NFL!$H215="Chicago",+NFL!N215,0))</f>
        <v>NY Jets</v>
      </c>
      <c r="O108" s="395">
        <f>IF(+NFL!$F215="Chicago",+NFL!O215,IF(+NFL!$H215="Chicago",+NFL!O215,0))</f>
        <v>31</v>
      </c>
      <c r="P108" s="394" t="str">
        <f>IF(+NFL!$F215="Chicago",+NFL!P215,IF(+NFL!$H215="Chicago",+NFL!P215,0))</f>
        <v>Chicago</v>
      </c>
      <c r="Q108" s="396">
        <f>IF(+NFL!$F215="Chicago",+NFL!Q215,IF(+NFL!$H215="Chicago",+NFL!Q215,0))</f>
        <v>10</v>
      </c>
      <c r="R108" s="397" t="str">
        <f>IF(+NFL!$F215="Chicago",+NFL!R215,IF(+NFL!$H215="Chicago",+NFL!R215,0))</f>
        <v>NY Jets</v>
      </c>
      <c r="S108" s="399" t="str">
        <f>IF(+NFL!$F215="Chicago",+NFL!S215,IF(+NFL!$H215="Chicago",+NFL!S215,0))</f>
        <v>Chicago</v>
      </c>
      <c r="T108" s="398" t="str">
        <f>IF(+NFL!$F215="Chicago",+NFL!T215,IF(+NFL!$H215="Chicago",+NFL!T215,0))</f>
        <v>Chicago</v>
      </c>
      <c r="U108" s="396" t="str">
        <f>IF(+NFL!$F215="Chicago",+NFL!U215,IF(+NFL!$H215="Chicago",+NFL!U215,0))</f>
        <v>L</v>
      </c>
      <c r="V108" s="397">
        <f>IF(+NFL!$F198="Chicago",+NFL!#REF!,IF(+NFL!$H198="Chicago",+NFL!#REF!,0))</f>
        <v>0</v>
      </c>
      <c r="W108" s="396">
        <f>IF(+NFL!$F198="Chicago",+NFL!#REF!,IF(+NFL!$H198="Chicago",+NFL!#REF!,0))</f>
        <v>0</v>
      </c>
      <c r="X108" s="398">
        <f>IF(+NFL!$F198="Chicago",+NFL!#REF!,IF(+NFL!$H198="Chicago",+NFL!#REF!,0))</f>
        <v>0</v>
      </c>
      <c r="Y108" s="396">
        <f>IF(+NFL!$F198="Chicago",+NFL!#REF!,IF(+NFL!$H198="Chicago",+NFL!#REF!,0))</f>
        <v>0</v>
      </c>
      <c r="Z108" s="397">
        <f>IF(+NFL!$F198="Chicago",+NFL!#REF!,IF(+NFL!$H198="Chicago",+NFL!#REF!,0))</f>
        <v>0</v>
      </c>
      <c r="AA108" s="396">
        <f>IF(+NFL!$F198="Chicago",+NFL!#REF!,IF(+NFL!$H198="Chicago",+NFL!#REF!,0))</f>
        <v>0</v>
      </c>
      <c r="AB108" s="87">
        <f>IF(+NFL!$F198="Chicago",+NFL!#REF!,IF(+NFL!$H198="Chicago",+NFL!#REF!,0))</f>
        <v>0</v>
      </c>
      <c r="AC108" s="120">
        <f>IF(+NFL!$F198="Chicago",+NFL!#REF!,IF(+NFL!$H198="Chicago",+NFL!#REF!,0))</f>
        <v>0</v>
      </c>
      <c r="AD108" s="353">
        <f>IF(+NFL!$F198="Chicago",+NFL!#REF!,IF(+NFL!$H198="Chicago",+NFL!#REF!,0))</f>
        <v>0</v>
      </c>
      <c r="AE108" s="379">
        <f>IF(+NFL!$F198="Chicago",+NFL!#REF!,IF(+NFL!$H198="Chicago",+NFL!#REF!,0))</f>
        <v>0</v>
      </c>
      <c r="AF108" s="353">
        <f>IF(+NFL!$F198="Chicago",+NFL!#REF!,IF(+NFL!$H198="Chicago",+NFL!#REF!,0))</f>
        <v>0</v>
      </c>
      <c r="AG108" s="379">
        <f>IF(+NFL!$F198="Chicago",+NFL!#REF!,IF(+NFL!$H198="Chicago",+NFL!#REF!,0))</f>
        <v>0</v>
      </c>
      <c r="AH108" s="353">
        <f>IF(+NFL!$F198="Chicago",+NFL!#REF!,IF(+NFL!$H198="Chicago",+NFL!#REF!,0))</f>
        <v>0</v>
      </c>
      <c r="AI108" s="379">
        <f>IF(+NFL!$F198="Chicago",+NFL!#REF!,IF(+NFL!$H198="Chicago",+NFL!#REF!,0))</f>
        <v>0</v>
      </c>
      <c r="AJ108" s="353">
        <f>IF(+NFL!$F198="Chicago",+NFL!#REF!,IF(+NFL!$H198="Chicago",+NFL!#REF!,0))</f>
        <v>0</v>
      </c>
      <c r="AK108" s="379">
        <f>IF(+NFL!$F198="Chicago",+NFL!#REF!,IF(+NFL!$H198="Chicago",+NFL!#REF!,0))</f>
        <v>0</v>
      </c>
      <c r="AL108" s="57">
        <f>IF(+NFL!$F198="Chicago",+NFL!#REF!,IF(+NFL!$H198="Chicago",+NFL!#REF!,0))</f>
        <v>0</v>
      </c>
      <c r="AM108" s="58">
        <f>IF(+NFL!$F198="Chicago",+NFL!#REF!,IF(+NFL!$H198="Chicago",+NFL!#REF!,0))</f>
        <v>0</v>
      </c>
      <c r="AN108" s="70">
        <f>IF(+NFL!$F198="Chicago",+NFL!#REF!,IF(+NFL!$H198="Chicago",+NFL!#REF!,0))</f>
        <v>0</v>
      </c>
      <c r="AO108" s="59">
        <f>IF(+NFL!$F198="Chicago",+NFL!#REF!,IF(+NFL!$H198="Chicago",+NFL!#REF!,0))</f>
        <v>0</v>
      </c>
      <c r="AP108" s="348">
        <f>IF(+NFL!$F198="Chicago",+NFL!#REF!,IF(+NFL!$H198="Chicago",+NFL!#REF!,0))</f>
        <v>0</v>
      </c>
      <c r="AQ108" s="48">
        <f>IF(+NFL!$F198="Chicago",+NFL!#REF!,IF(+NFL!$H198="Chicago",+NFL!#REF!,0))</f>
        <v>0</v>
      </c>
      <c r="AR108" s="57">
        <f>IF(+NFL!$F198="Chicago",+NFL!#REF!,IF(+NFL!$H198="Chicago",+NFL!#REF!,0))</f>
        <v>0</v>
      </c>
      <c r="AS108" s="64">
        <f>IF(+NFL!$F198="Chicago",+NFL!#REF!,IF(+NFL!$H198="Chicago",+NFL!#REF!,0))</f>
        <v>0</v>
      </c>
      <c r="AT108" s="46">
        <f>IF(+NFL!$F198="Chicago",+NFL!#REF!,IF(+NFL!$H198="Chicago",+NFL!#REF!,0))</f>
        <v>0</v>
      </c>
      <c r="AU108" s="57">
        <f>IF(+NFL!$F198="Chicago",+NFL!#REF!,IF(+NFL!$H198="Chicago",+NFL!#REF!,0))</f>
        <v>0</v>
      </c>
      <c r="AV108" s="64">
        <f>IF(+NFL!$F198="Chicago",+NFL!#REF!,IF(+NFL!$H198="Chicago",+NFL!#REF!,0))</f>
        <v>0</v>
      </c>
      <c r="AW108" s="46">
        <f>IF(+NFL!$F198="Chicago",+NFL!#REF!,IF(+NFL!$H198="Chicago",+NFL!#REF!,0))</f>
        <v>0</v>
      </c>
      <c r="AX108" s="64">
        <f>IF(+NFL!$F198="Chicago",+NFL!#REF!,IF(+NFL!$H198="Chicago",+NFL!#REF!,0))</f>
        <v>0</v>
      </c>
      <c r="AY108" s="57">
        <f>IF(+NFL!$F198="Chicago",+NFL!#REF!,IF(+NFL!$H198="Chicago",+NFL!#REF!,0))</f>
        <v>0</v>
      </c>
      <c r="AZ108" s="64">
        <f>IF(+NFL!$F198="Chicago",+NFL!#REF!,IF(+NFL!$H198="Chicago",+NFL!#REF!,0))</f>
        <v>0</v>
      </c>
      <c r="BA108" s="46">
        <f>IF(+NFL!$F198="Chicago",+NFL!#REF!,IF(+NFL!$H198="Chicago",+NFL!#REF!,0))</f>
        <v>0</v>
      </c>
      <c r="BB108" s="46">
        <f>IF(+NFL!$F198="Chicago",+NFL!#REF!,IF(+NFL!$H198="Chicago",+NFL!#REF!,0))</f>
        <v>0</v>
      </c>
      <c r="BC108" s="403">
        <f>IF(+NFL!$F198="Chicago",+NFL!#REF!,IF(+NFL!$H198="Chicago",+NFL!#REF!,0))</f>
        <v>0</v>
      </c>
      <c r="BD108" s="57">
        <f>IF(+NFL!$F198="Chicago",+NFL!#REF!,IF(+NFL!$H198="Chicago",+NFL!#REF!,0))</f>
        <v>0</v>
      </c>
      <c r="BE108" s="64">
        <f>IF(+NFL!$F198="Chicago",+NFL!#REF!,IF(+NFL!$H198="Chicago",+NFL!#REF!,0))</f>
        <v>0</v>
      </c>
      <c r="BF108" s="46">
        <f>IF(+NFL!$F198="Chicago",+NFL!#REF!,IF(+NFL!$H198="Chicago",+NFL!#REF!,0))</f>
        <v>0</v>
      </c>
      <c r="BG108" s="57">
        <f>IF(+NFL!$F198="Chicago",+NFL!#REF!,IF(+NFL!$H198="Chicago",+NFL!#REF!,0))</f>
        <v>0</v>
      </c>
      <c r="BH108" s="64">
        <f>IF(+NFL!$F198="Chicago",+NFL!#REF!,IF(+NFL!$H198="Chicago",+NFL!#REF!,0))</f>
        <v>0</v>
      </c>
      <c r="BI108" s="46">
        <f>IF(+NFL!$F198="Chicago",+NFL!#REF!,IF(+NFL!$H198="Chicago",+NFL!#REF!,0))</f>
        <v>0</v>
      </c>
      <c r="BJ108" s="87">
        <f>IF(+NFL!$F198="Chicago",+NFL!#REF!,IF(+NFL!$H198="Chicago",+NFL!#REF!,0))</f>
        <v>0</v>
      </c>
      <c r="BK108" s="120">
        <f>IF(+NFL!$F198="Chicago",+NFL!#REF!,IF(+NFL!$H198="Chicago",+NFL!#REF!,0))</f>
        <v>0</v>
      </c>
    </row>
    <row r="109" spans="1:63" x14ac:dyDescent="0.8">
      <c r="A109" s="46">
        <f>IF(+NFL!$F228="Chicago",+NFL!A228,IF(+NFL!$H228="Chicago",+NFL!A228,0))</f>
        <v>13</v>
      </c>
      <c r="B109" s="348" t="str">
        <f>IF(+NFL!$F228="Chicago",+NFL!B228,IF(+NFL!$H228="Chicago",+NFL!B228,0))</f>
        <v>Sun</v>
      </c>
      <c r="C109" s="48">
        <f>IF(+NFL!$F228="Chicago",+NFL!C228,IF(+NFL!$H228="Chicago",+NFL!C228,0))</f>
        <v>44899</v>
      </c>
      <c r="D109" s="490">
        <f>IF(+NFL!$F228="Chicago",+NFL!D228,IF(+NFL!$H228="Chicago",+NFL!D228,0))</f>
        <v>0.54166666666666663</v>
      </c>
      <c r="E109" s="491" t="str">
        <f>IF(+NFL!$F228="Chicago",+NFL!E228,IF(+NFL!$H228="Chicago",+NFL!E228,0))</f>
        <v>Fox</v>
      </c>
      <c r="F109" s="114" t="str">
        <f>IF(+NFL!$F228="Chicago",+NFL!F228,IF(+NFL!$H228="Chicago",+NFL!F228,0))</f>
        <v>Green Bay</v>
      </c>
      <c r="G109" s="46" t="str">
        <f>IF(+NFL!$F228="Chicago",+NFL!G228,IF(+NFL!$H228="Chicago",+NFL!G228,0))</f>
        <v>NFCN</v>
      </c>
      <c r="H109" s="114" t="str">
        <f>IF(+NFL!$F228="Chicago",+NFL!H228,IF(+NFL!$H228="Chicago",+NFL!H228,0))</f>
        <v>Chicago</v>
      </c>
      <c r="I109" s="491" t="str">
        <f>IF(+NFL!$F228="Chicago",+NFL!I228,IF(+NFL!$H228="Chicago",+NFL!I228,0))</f>
        <v>NFCN</v>
      </c>
      <c r="J109" s="353" t="str">
        <f>IF(+NFL!$F228="Chicago",+NFL!J228,IF(+NFL!$H228="Chicago",+NFL!J228,0))</f>
        <v>Green Bay</v>
      </c>
      <c r="K109" s="494" t="str">
        <f>IF(+NFL!$F228="Chicago",+NFL!K228,IF(+NFL!$H228="Chicago",+NFL!K228,0))</f>
        <v>Chicago</v>
      </c>
      <c r="L109" s="384">
        <f>IF(+NFL!$F228="Chicago",+NFL!L228,IF(+NFL!$H228="Chicago",+NFL!L228,0))</f>
        <v>4.5</v>
      </c>
      <c r="M109" s="385">
        <f>IF(+NFL!$F228="Chicago",+NFL!M228,IF(+NFL!$H228="Chicago",+NFL!M228,0))</f>
        <v>43.5</v>
      </c>
      <c r="N109" s="394" t="str">
        <f>IF(+NFL!$F228="Chicago",+NFL!N228,IF(+NFL!$H228="Chicago",+NFL!N228,0))</f>
        <v>Green Bay</v>
      </c>
      <c r="O109" s="395">
        <f>IF(+NFL!$F228="Chicago",+NFL!O228,IF(+NFL!$H228="Chicago",+NFL!O228,0))</f>
        <v>28</v>
      </c>
      <c r="P109" s="394" t="str">
        <f>IF(+NFL!$F228="Chicago",+NFL!P228,IF(+NFL!$H228="Chicago",+NFL!P228,0))</f>
        <v>Chicago</v>
      </c>
      <c r="Q109" s="396">
        <f>IF(+NFL!$F228="Chicago",+NFL!Q228,IF(+NFL!$H228="Chicago",+NFL!Q228,0))</f>
        <v>19</v>
      </c>
      <c r="R109" s="397" t="str">
        <f>IF(+NFL!$F228="Chicago",+NFL!R228,IF(+NFL!$H228="Chicago",+NFL!R228,0))</f>
        <v>Green Bay</v>
      </c>
      <c r="S109" s="399" t="str">
        <f>IF(+NFL!$F228="Chicago",+NFL!S228,IF(+NFL!$H228="Chicago",+NFL!S228,0))</f>
        <v>Chicago</v>
      </c>
      <c r="T109" s="398" t="str">
        <f>IF(+NFL!$F228="Chicago",+NFL!T228,IF(+NFL!$H228="Chicago",+NFL!T228,0))</f>
        <v>Chicago</v>
      </c>
      <c r="U109" s="396" t="str">
        <f>IF(+NFL!$F228="Chicago",+NFL!U228,IF(+NFL!$H228="Chicago",+NFL!U228,0))</f>
        <v>L</v>
      </c>
      <c r="V109" s="397">
        <f>IF(+NFL!$F229="Chicago",+NFL!#REF!,IF(+NFL!$H229="Chicago",+NFL!#REF!,0))</f>
        <v>0</v>
      </c>
      <c r="W109" s="396">
        <f>IF(+NFL!$F229="Chicago",+NFL!#REF!,IF(+NFL!$H229="Chicago",+NFL!#REF!,0))</f>
        <v>0</v>
      </c>
      <c r="X109" s="398">
        <f>IF(+NFL!$F229="Chicago",+NFL!#REF!,IF(+NFL!$H229="Chicago",+NFL!#REF!,0))</f>
        <v>0</v>
      </c>
      <c r="Y109" s="396">
        <f>IF(+NFL!$F229="Chicago",+NFL!#REF!,IF(+NFL!$H229="Chicago",+NFL!#REF!,0))</f>
        <v>0</v>
      </c>
      <c r="Z109" s="397">
        <f>IF(+NFL!$F229="Chicago",+NFL!#REF!,IF(+NFL!$H229="Chicago",+NFL!#REF!,0))</f>
        <v>0</v>
      </c>
      <c r="AA109" s="396">
        <f>IF(+NFL!$F229="Chicago",+NFL!#REF!,IF(+NFL!$H229="Chicago",+NFL!#REF!,0))</f>
        <v>0</v>
      </c>
      <c r="AB109" s="87">
        <f>IF(+NFL!$F229="Chicago",+NFL!#REF!,IF(+NFL!$H229="Chicago",+NFL!#REF!,0))</f>
        <v>0</v>
      </c>
      <c r="AC109" s="120">
        <f>IF(+NFL!$F229="Chicago",+NFL!#REF!,IF(+NFL!$H229="Chicago",+NFL!#REF!,0))</f>
        <v>0</v>
      </c>
      <c r="AD109" s="353">
        <f>IF(+NFL!$F229="Chicago",+NFL!#REF!,IF(+NFL!$H229="Chicago",+NFL!#REF!,0))</f>
        <v>0</v>
      </c>
      <c r="AE109" s="379">
        <f>IF(+NFL!$F229="Chicago",+NFL!#REF!,IF(+NFL!$H229="Chicago",+NFL!#REF!,0))</f>
        <v>0</v>
      </c>
      <c r="AF109" s="353">
        <f>IF(+NFL!$F229="Chicago",+NFL!#REF!,IF(+NFL!$H229="Chicago",+NFL!#REF!,0))</f>
        <v>0</v>
      </c>
      <c r="AG109" s="379">
        <f>IF(+NFL!$F229="Chicago",+NFL!#REF!,IF(+NFL!$H229="Chicago",+NFL!#REF!,0))</f>
        <v>0</v>
      </c>
      <c r="AH109" s="353">
        <f>IF(+NFL!$F229="Chicago",+NFL!#REF!,IF(+NFL!$H229="Chicago",+NFL!#REF!,0))</f>
        <v>0</v>
      </c>
      <c r="AI109" s="379">
        <f>IF(+NFL!$F229="Chicago",+NFL!#REF!,IF(+NFL!$H229="Chicago",+NFL!#REF!,0))</f>
        <v>0</v>
      </c>
      <c r="AJ109" s="353">
        <f>IF(+NFL!$F229="Chicago",+NFL!#REF!,IF(+NFL!$H229="Chicago",+NFL!#REF!,0))</f>
        <v>0</v>
      </c>
      <c r="AK109" s="379">
        <f>IF(+NFL!$F229="Chicago",+NFL!#REF!,IF(+NFL!$H229="Chicago",+NFL!#REF!,0))</f>
        <v>0</v>
      </c>
      <c r="AL109" s="57">
        <f>IF(+NFL!$F229="Chicago",+NFL!#REF!,IF(+NFL!$H229="Chicago",+NFL!#REF!,0))</f>
        <v>0</v>
      </c>
      <c r="AM109" s="58">
        <f>IF(+NFL!$F229="Chicago",+NFL!#REF!,IF(+NFL!$H229="Chicago",+NFL!#REF!,0))</f>
        <v>0</v>
      </c>
      <c r="AN109" s="70">
        <f>IF(+NFL!$F229="Chicago",+NFL!#REF!,IF(+NFL!$H229="Chicago",+NFL!#REF!,0))</f>
        <v>0</v>
      </c>
      <c r="AO109" s="59">
        <f>IF(+NFL!$F229="Chicago",+NFL!#REF!,IF(+NFL!$H229="Chicago",+NFL!#REF!,0))</f>
        <v>0</v>
      </c>
      <c r="AP109" s="348">
        <f>IF(+NFL!$F229="Chicago",+NFL!#REF!,IF(+NFL!$H229="Chicago",+NFL!#REF!,0))</f>
        <v>0</v>
      </c>
      <c r="AQ109" s="48">
        <f>IF(+NFL!$F229="Chicago",+NFL!#REF!,IF(+NFL!$H229="Chicago",+NFL!#REF!,0))</f>
        <v>0</v>
      </c>
      <c r="AR109" s="57">
        <f>IF(+NFL!$F229="Chicago",+NFL!#REF!,IF(+NFL!$H229="Chicago",+NFL!#REF!,0))</f>
        <v>0</v>
      </c>
      <c r="AS109" s="64">
        <f>IF(+NFL!$F229="Chicago",+NFL!#REF!,IF(+NFL!$H229="Chicago",+NFL!#REF!,0))</f>
        <v>0</v>
      </c>
      <c r="AT109" s="46">
        <f>IF(+NFL!$F229="Chicago",+NFL!#REF!,IF(+NFL!$H229="Chicago",+NFL!#REF!,0))</f>
        <v>0</v>
      </c>
      <c r="AU109" s="57">
        <f>IF(+NFL!$F229="Chicago",+NFL!#REF!,IF(+NFL!$H229="Chicago",+NFL!#REF!,0))</f>
        <v>0</v>
      </c>
      <c r="AV109" s="64">
        <f>IF(+NFL!$F229="Chicago",+NFL!#REF!,IF(+NFL!$H229="Chicago",+NFL!#REF!,0))</f>
        <v>0</v>
      </c>
      <c r="AW109" s="46">
        <f>IF(+NFL!$F229="Chicago",+NFL!#REF!,IF(+NFL!$H229="Chicago",+NFL!#REF!,0))</f>
        <v>0</v>
      </c>
      <c r="AX109" s="64">
        <f>IF(+NFL!$F229="Chicago",+NFL!#REF!,IF(+NFL!$H229="Chicago",+NFL!#REF!,0))</f>
        <v>0</v>
      </c>
      <c r="AY109" s="57">
        <f>IF(+NFL!$F229="Chicago",+NFL!#REF!,IF(+NFL!$H229="Chicago",+NFL!#REF!,0))</f>
        <v>0</v>
      </c>
      <c r="AZ109" s="64">
        <f>IF(+NFL!$F229="Chicago",+NFL!#REF!,IF(+NFL!$H229="Chicago",+NFL!#REF!,0))</f>
        <v>0</v>
      </c>
      <c r="BA109" s="46">
        <f>IF(+NFL!$F229="Chicago",+NFL!#REF!,IF(+NFL!$H229="Chicago",+NFL!#REF!,0))</f>
        <v>0</v>
      </c>
      <c r="BB109" s="46">
        <f>IF(+NFL!$F229="Chicago",+NFL!#REF!,IF(+NFL!$H229="Chicago",+NFL!#REF!,0))</f>
        <v>0</v>
      </c>
      <c r="BC109" s="403">
        <f>IF(+NFL!$F229="Chicago",+NFL!#REF!,IF(+NFL!$H229="Chicago",+NFL!#REF!,0))</f>
        <v>0</v>
      </c>
      <c r="BD109" s="57">
        <f>IF(+NFL!$F229="Chicago",+NFL!#REF!,IF(+NFL!$H229="Chicago",+NFL!#REF!,0))</f>
        <v>0</v>
      </c>
      <c r="BE109" s="64">
        <f>IF(+NFL!$F229="Chicago",+NFL!#REF!,IF(+NFL!$H229="Chicago",+NFL!#REF!,0))</f>
        <v>0</v>
      </c>
      <c r="BF109" s="46">
        <f>IF(+NFL!$F229="Chicago",+NFL!#REF!,IF(+NFL!$H229="Chicago",+NFL!#REF!,0))</f>
        <v>0</v>
      </c>
      <c r="BG109" s="57">
        <f>IF(+NFL!$F229="Chicago",+NFL!#REF!,IF(+NFL!$H229="Chicago",+NFL!#REF!,0))</f>
        <v>0</v>
      </c>
      <c r="BH109" s="64">
        <f>IF(+NFL!$F229="Chicago",+NFL!#REF!,IF(+NFL!$H229="Chicago",+NFL!#REF!,0))</f>
        <v>0</v>
      </c>
      <c r="BI109" s="46">
        <f>IF(+NFL!$F229="Chicago",+NFL!#REF!,IF(+NFL!$H229="Chicago",+NFL!#REF!,0))</f>
        <v>0</v>
      </c>
      <c r="BJ109" s="87">
        <f>IF(+NFL!$F229="Chicago",+NFL!#REF!,IF(+NFL!$H229="Chicago",+NFL!#REF!,0))</f>
        <v>0</v>
      </c>
      <c r="BK109" s="120">
        <f>IF(+NFL!$F229="Chicago",+NFL!#REF!,IF(+NFL!$H229="Chicago",+NFL!#REF!,0))</f>
        <v>0</v>
      </c>
    </row>
    <row r="110" spans="1:63" x14ac:dyDescent="0.8">
      <c r="A110" s="46">
        <f>IF(+NFL!$F260="Chicago",+NFL!A260,IF(+NFL!$H260="Chicago",+NFL!A260,0))</f>
        <v>14</v>
      </c>
      <c r="B110" s="348">
        <f>IF(+NFL!$F260="Chicago",+NFL!B260,IF(+NFL!$H260="Chicago",+NFL!B260,0))</f>
        <v>0</v>
      </c>
      <c r="C110" s="48">
        <f>IF(+NFL!$F260="Chicago",+NFL!C260,IF(+NFL!$H260="Chicago",+NFL!C260,0))</f>
        <v>0</v>
      </c>
      <c r="D110" s="490">
        <f>IF(+NFL!$F260="Chicago",+NFL!D260,IF(+NFL!$H260="Chicago",+NFL!D260,0))</f>
        <v>0</v>
      </c>
      <c r="E110" s="491">
        <f>IF(+NFL!$F260="Chicago",+NFL!E260,IF(+NFL!$H260="Chicago",+NFL!E260,0))</f>
        <v>0</v>
      </c>
      <c r="F110" s="114" t="str">
        <f>IF(+NFL!$F260="Chicago",+NFL!F260,IF(+NFL!$H260="Chicago",+NFL!F260,0))</f>
        <v>Chicago</v>
      </c>
      <c r="G110" s="46" t="str">
        <f>IF(+NFL!$F260="Chicago",+NFL!G260,IF(+NFL!$H260="Chicago",+NFL!G260,0))</f>
        <v>NFCN</v>
      </c>
      <c r="H110" s="114">
        <f>IF(+NFL!$F260="Chicago",+NFL!H260,IF(+NFL!$H260="Chicago",+NFL!H260,0))</f>
        <v>0</v>
      </c>
      <c r="I110" s="491">
        <f>IF(+NFL!$F260="Chicago",+NFL!I260,IF(+NFL!$H260="Chicago",+NFL!I260,0))</f>
        <v>0</v>
      </c>
      <c r="J110" s="353">
        <f>IF(+NFL!$F260="Chicago",+NFL!J260,IF(+NFL!$H260="Chicago",+NFL!J260,0))</f>
        <v>0</v>
      </c>
      <c r="K110" s="494">
        <f>IF(+NFL!$F260="Chicago",+NFL!K260,IF(+NFL!$H260="Chicago",+NFL!K260,0))</f>
        <v>0</v>
      </c>
      <c r="L110" s="384">
        <f>IF(+NFL!$F260="Chicago",+NFL!L260,IF(+NFL!$H260="Chicago",+NFL!L260,0))</f>
        <v>0</v>
      </c>
      <c r="M110" s="385">
        <f>IF(+NFL!$F260="Chicago",+NFL!M260,IF(+NFL!$H260="Chicago",+NFL!M260,0))</f>
        <v>0</v>
      </c>
      <c r="N110" s="394">
        <f>IF(+NFL!$F260="Chicago",+NFL!N260,IF(+NFL!$H260="Chicago",+NFL!N260,0))</f>
        <v>0</v>
      </c>
      <c r="O110" s="395">
        <f>IF(+NFL!$F260="Chicago",+NFL!O260,IF(+NFL!$H260="Chicago",+NFL!O260,0))</f>
        <v>0</v>
      </c>
      <c r="P110" s="394">
        <f>IF(+NFL!$F260="Chicago",+NFL!P260,IF(+NFL!$H260="Chicago",+NFL!P260,0))</f>
        <v>0</v>
      </c>
      <c r="Q110" s="396">
        <f>IF(+NFL!$F260="Chicago",+NFL!Q260,IF(+NFL!$H260="Chicago",+NFL!Q260,0))</f>
        <v>0</v>
      </c>
      <c r="R110" s="397">
        <f>IF(+NFL!$F260="Chicago",+NFL!R260,IF(+NFL!$H260="Chicago",+NFL!R260,0))</f>
        <v>0</v>
      </c>
      <c r="S110" s="399">
        <f>IF(+NFL!$F260="Chicago",+NFL!S260,IF(+NFL!$H260="Chicago",+NFL!S260,0))</f>
        <v>0</v>
      </c>
      <c r="T110" s="398">
        <f>IF(+NFL!$F260="Chicago",+NFL!T260,IF(+NFL!$H260="Chicago",+NFL!T260,0))</f>
        <v>0</v>
      </c>
      <c r="U110" s="396">
        <f>IF(+NFL!$F260="Chicago",+NFL!U260,IF(+NFL!$H260="Chicago",+NFL!U260,0))</f>
        <v>0</v>
      </c>
      <c r="V110" s="397">
        <f>IF(+NFL!$F242="Chicago",+NFL!#REF!,IF(+NFL!$H242="Chicago",+NFL!#REF!,0))</f>
        <v>0</v>
      </c>
      <c r="W110" s="396">
        <f>IF(+NFL!$F242="Chicago",+NFL!#REF!,IF(+NFL!$H242="Chicago",+NFL!#REF!,0))</f>
        <v>0</v>
      </c>
      <c r="X110" s="398">
        <f>IF(+NFL!$F242="Chicago",+NFL!#REF!,IF(+NFL!$H242="Chicago",+NFL!#REF!,0))</f>
        <v>0</v>
      </c>
      <c r="Y110" s="396">
        <f>IF(+NFL!$F242="Chicago",+NFL!#REF!,IF(+NFL!$H242="Chicago",+NFL!#REF!,0))</f>
        <v>0</v>
      </c>
      <c r="Z110" s="397">
        <f>IF(+NFL!$F242="Chicago",+NFL!#REF!,IF(+NFL!$H242="Chicago",+NFL!#REF!,0))</f>
        <v>0</v>
      </c>
      <c r="AA110" s="396">
        <f>IF(+NFL!$F242="Chicago",+NFL!#REF!,IF(+NFL!$H242="Chicago",+NFL!#REF!,0))</f>
        <v>0</v>
      </c>
      <c r="AB110" s="87">
        <f>IF(+NFL!$F242="Chicago",+NFL!#REF!,IF(+NFL!$H242="Chicago",+NFL!#REF!,0))</f>
        <v>0</v>
      </c>
      <c r="AC110" s="120">
        <f>IF(+NFL!$F242="Chicago",+NFL!#REF!,IF(+NFL!$H242="Chicago",+NFL!#REF!,0))</f>
        <v>0</v>
      </c>
      <c r="AD110" s="353">
        <f>IF(+NFL!$F242="Chicago",+NFL!#REF!,IF(+NFL!$H242="Chicago",+NFL!#REF!,0))</f>
        <v>0</v>
      </c>
      <c r="AE110" s="379">
        <f>IF(+NFL!$F242="Chicago",+NFL!#REF!,IF(+NFL!$H242="Chicago",+NFL!#REF!,0))</f>
        <v>0</v>
      </c>
      <c r="AF110" s="353">
        <f>IF(+NFL!$F242="Chicago",+NFL!#REF!,IF(+NFL!$H242="Chicago",+NFL!#REF!,0))</f>
        <v>0</v>
      </c>
      <c r="AG110" s="379">
        <f>IF(+NFL!$F242="Chicago",+NFL!#REF!,IF(+NFL!$H242="Chicago",+NFL!#REF!,0))</f>
        <v>0</v>
      </c>
      <c r="AH110" s="353">
        <f>IF(+NFL!$F242="Chicago",+NFL!#REF!,IF(+NFL!$H242="Chicago",+NFL!#REF!,0))</f>
        <v>0</v>
      </c>
      <c r="AI110" s="379">
        <f>IF(+NFL!$F242="Chicago",+NFL!#REF!,IF(+NFL!$H242="Chicago",+NFL!#REF!,0))</f>
        <v>0</v>
      </c>
      <c r="AJ110" s="353">
        <f>IF(+NFL!$F242="Chicago",+NFL!#REF!,IF(+NFL!$H242="Chicago",+NFL!#REF!,0))</f>
        <v>0</v>
      </c>
      <c r="AK110" s="379">
        <f>IF(+NFL!$F242="Chicago",+NFL!#REF!,IF(+NFL!$H242="Chicago",+NFL!#REF!,0))</f>
        <v>0</v>
      </c>
      <c r="AL110" s="57">
        <f>IF(+NFL!$F242="Chicago",+NFL!#REF!,IF(+NFL!$H242="Chicago",+NFL!#REF!,0))</f>
        <v>0</v>
      </c>
      <c r="AM110" s="58">
        <f>IF(+NFL!$F242="Chicago",+NFL!#REF!,IF(+NFL!$H242="Chicago",+NFL!#REF!,0))</f>
        <v>0</v>
      </c>
      <c r="AN110" s="70">
        <f>IF(+NFL!$F242="Chicago",+NFL!#REF!,IF(+NFL!$H242="Chicago",+NFL!#REF!,0))</f>
        <v>0</v>
      </c>
      <c r="AO110" s="59">
        <f>IF(+NFL!$F242="Chicago",+NFL!#REF!,IF(+NFL!$H242="Chicago",+NFL!#REF!,0))</f>
        <v>0</v>
      </c>
      <c r="AP110" s="348">
        <f>IF(+NFL!$F242="Chicago",+NFL!#REF!,IF(+NFL!$H242="Chicago",+NFL!#REF!,0))</f>
        <v>0</v>
      </c>
      <c r="AQ110" s="48">
        <f>IF(+NFL!$F242="Chicago",+NFL!#REF!,IF(+NFL!$H242="Chicago",+NFL!#REF!,0))</f>
        <v>0</v>
      </c>
      <c r="AR110" s="57">
        <f>IF(+NFL!$F242="Chicago",+NFL!#REF!,IF(+NFL!$H242="Chicago",+NFL!#REF!,0))</f>
        <v>0</v>
      </c>
      <c r="AS110" s="64">
        <f>IF(+NFL!$F242="Chicago",+NFL!#REF!,IF(+NFL!$H242="Chicago",+NFL!#REF!,0))</f>
        <v>0</v>
      </c>
      <c r="AT110" s="46">
        <f>IF(+NFL!$F242="Chicago",+NFL!#REF!,IF(+NFL!$H242="Chicago",+NFL!#REF!,0))</f>
        <v>0</v>
      </c>
      <c r="AU110" s="57">
        <f>IF(+NFL!$F242="Chicago",+NFL!#REF!,IF(+NFL!$H242="Chicago",+NFL!#REF!,0))</f>
        <v>0</v>
      </c>
      <c r="AV110" s="64">
        <f>IF(+NFL!$F242="Chicago",+NFL!#REF!,IF(+NFL!$H242="Chicago",+NFL!#REF!,0))</f>
        <v>0</v>
      </c>
      <c r="AW110" s="46">
        <f>IF(+NFL!$F242="Chicago",+NFL!#REF!,IF(+NFL!$H242="Chicago",+NFL!#REF!,0))</f>
        <v>0</v>
      </c>
      <c r="AX110" s="64">
        <f>IF(+NFL!$F242="Chicago",+NFL!#REF!,IF(+NFL!$H242="Chicago",+NFL!#REF!,0))</f>
        <v>0</v>
      </c>
      <c r="AY110" s="57">
        <f>IF(+NFL!$F242="Chicago",+NFL!#REF!,IF(+NFL!$H242="Chicago",+NFL!#REF!,0))</f>
        <v>0</v>
      </c>
      <c r="AZ110" s="64">
        <f>IF(+NFL!$F242="Chicago",+NFL!#REF!,IF(+NFL!$H242="Chicago",+NFL!#REF!,0))</f>
        <v>0</v>
      </c>
      <c r="BA110" s="46">
        <f>IF(+NFL!$F242="Chicago",+NFL!#REF!,IF(+NFL!$H242="Chicago",+NFL!#REF!,0))</f>
        <v>0</v>
      </c>
      <c r="BB110" s="46">
        <f>IF(+NFL!$F242="Chicago",+NFL!#REF!,IF(+NFL!$H242="Chicago",+NFL!#REF!,0))</f>
        <v>0</v>
      </c>
      <c r="BC110" s="403">
        <f>IF(+NFL!$F242="Chicago",+NFL!#REF!,IF(+NFL!$H242="Chicago",+NFL!#REF!,0))</f>
        <v>0</v>
      </c>
      <c r="BD110" s="57">
        <f>IF(+NFL!$F242="Chicago",+NFL!#REF!,IF(+NFL!$H242="Chicago",+NFL!#REF!,0))</f>
        <v>0</v>
      </c>
      <c r="BE110" s="64">
        <f>IF(+NFL!$F242="Chicago",+NFL!#REF!,IF(+NFL!$H242="Chicago",+NFL!#REF!,0))</f>
        <v>0</v>
      </c>
      <c r="BF110" s="46">
        <f>IF(+NFL!$F242="Chicago",+NFL!#REF!,IF(+NFL!$H242="Chicago",+NFL!#REF!,0))</f>
        <v>0</v>
      </c>
      <c r="BG110" s="57">
        <f>IF(+NFL!$F242="Chicago",+NFL!#REF!,IF(+NFL!$H242="Chicago",+NFL!#REF!,0))</f>
        <v>0</v>
      </c>
      <c r="BH110" s="64">
        <f>IF(+NFL!$F242="Chicago",+NFL!#REF!,IF(+NFL!$H242="Chicago",+NFL!#REF!,0))</f>
        <v>0</v>
      </c>
      <c r="BI110" s="46">
        <f>IF(+NFL!$F242="Chicago",+NFL!#REF!,IF(+NFL!$H242="Chicago",+NFL!#REF!,0))</f>
        <v>0</v>
      </c>
      <c r="BJ110" s="87">
        <f>IF(+NFL!$F242="Chicago",+NFL!#REF!,IF(+NFL!$H242="Chicago",+NFL!#REF!,0))</f>
        <v>0</v>
      </c>
      <c r="BK110" s="120">
        <f>IF(+NFL!$F242="Chicago",+NFL!#REF!,IF(+NFL!$H242="Chicago",+NFL!#REF!,0))</f>
        <v>0</v>
      </c>
    </row>
    <row r="111" spans="1:63" x14ac:dyDescent="0.8">
      <c r="A111" s="46">
        <f>IF(+NFL!$F272="Chicago",+NFL!A272,IF(+NFL!$H272="Chicago",+NFL!A272,0))</f>
        <v>15</v>
      </c>
      <c r="B111" s="348" t="str">
        <f>IF(+NFL!$F272="Chicago",+NFL!B272,IF(+NFL!$H272="Chicago",+NFL!B272,0))</f>
        <v>Sun</v>
      </c>
      <c r="C111" s="48">
        <f>IF(+NFL!$F272="Chicago",+NFL!C272,IF(+NFL!$H272="Chicago",+NFL!C272,0))</f>
        <v>44913</v>
      </c>
      <c r="D111" s="490">
        <f>IF(+NFL!$F272="Chicago",+NFL!D272,IF(+NFL!$H272="Chicago",+NFL!D272,0))</f>
        <v>0.54166666666666663</v>
      </c>
      <c r="E111" s="491" t="str">
        <f>IF(+NFL!$F272="Chicago",+NFL!E272,IF(+NFL!$H272="Chicago",+NFL!E272,0))</f>
        <v>Fox</v>
      </c>
      <c r="F111" s="114" t="str">
        <f>IF(+NFL!$F272="Chicago",+NFL!F272,IF(+NFL!$H272="Chicago",+NFL!F272,0))</f>
        <v>Philadelphia</v>
      </c>
      <c r="G111" s="46" t="str">
        <f>IF(+NFL!$F272="Chicago",+NFL!G272,IF(+NFL!$H272="Chicago",+NFL!G272,0))</f>
        <v>NFCE</v>
      </c>
      <c r="H111" s="114" t="str">
        <f>IF(+NFL!$F272="Chicago",+NFL!H272,IF(+NFL!$H272="Chicago",+NFL!H272,0))</f>
        <v>Chicago</v>
      </c>
      <c r="I111" s="491" t="str">
        <f>IF(+NFL!$F272="Chicago",+NFL!I272,IF(+NFL!$H272="Chicago",+NFL!I272,0))</f>
        <v>NFCN</v>
      </c>
      <c r="J111" s="353" t="str">
        <f>IF(+NFL!$F272="Chicago",+NFL!J272,IF(+NFL!$H272="Chicago",+NFL!J272,0))</f>
        <v>Philadelphia</v>
      </c>
      <c r="K111" s="494" t="str">
        <f>IF(+NFL!$F272="Chicago",+NFL!K272,IF(+NFL!$H272="Chicago",+NFL!K272,0))</f>
        <v>Chicago</v>
      </c>
      <c r="L111" s="384">
        <f>IF(+NFL!$F272="Chicago",+NFL!L272,IF(+NFL!$H272="Chicago",+NFL!L272,0))</f>
        <v>8.5</v>
      </c>
      <c r="M111" s="385">
        <f>IF(+NFL!$F272="Chicago",+NFL!M272,IF(+NFL!$H272="Chicago",+NFL!M272,0))</f>
        <v>47.5</v>
      </c>
      <c r="N111" s="394" t="str">
        <f>IF(+NFL!$F272="Chicago",+NFL!N272,IF(+NFL!$H272="Chicago",+NFL!N272,0))</f>
        <v>Philadelphia</v>
      </c>
      <c r="O111" s="395">
        <f>IF(+NFL!$F272="Chicago",+NFL!O272,IF(+NFL!$H272="Chicago",+NFL!O272,0))</f>
        <v>25</v>
      </c>
      <c r="P111" s="394" t="str">
        <f>IF(+NFL!$F272="Chicago",+NFL!P272,IF(+NFL!$H272="Chicago",+NFL!P272,0))</f>
        <v>Chicago</v>
      </c>
      <c r="Q111" s="396">
        <f>IF(+NFL!$F272="Chicago",+NFL!Q272,IF(+NFL!$H272="Chicago",+NFL!Q272,0))</f>
        <v>20</v>
      </c>
      <c r="R111" s="397" t="str">
        <f>IF(+NFL!$F272="Chicago",+NFL!R272,IF(+NFL!$H272="Chicago",+NFL!R272,0))</f>
        <v>Chicago</v>
      </c>
      <c r="S111" s="399" t="str">
        <f>IF(+NFL!$F272="Chicago",+NFL!S272,IF(+NFL!$H272="Chicago",+NFL!S272,0))</f>
        <v>Philadelphia</v>
      </c>
      <c r="T111" s="398">
        <f>IF(+NFL!$F272="Chicago",+NFL!T272,IF(+NFL!$H272="Chicago",+NFL!T272,0))</f>
        <v>0</v>
      </c>
      <c r="U111" s="396" t="str">
        <f>IF(+NFL!$F272="Chicago",+NFL!U272,IF(+NFL!$H272="Chicago",+NFL!U272,0))</f>
        <v>L</v>
      </c>
      <c r="V111" s="397">
        <f>IF(+NFL!$F265="Chicago",+NFL!#REF!,IF(+NFL!$H265="Chicago",+NFL!#REF!,0))</f>
        <v>0</v>
      </c>
      <c r="W111" s="396">
        <f>IF(+NFL!$F265="Chicago",+NFL!#REF!,IF(+NFL!$H265="Chicago",+NFL!#REF!,0))</f>
        <v>0</v>
      </c>
      <c r="X111" s="398">
        <f>IF(+NFL!$F265="Chicago",+NFL!#REF!,IF(+NFL!$H265="Chicago",+NFL!#REF!,0))</f>
        <v>0</v>
      </c>
      <c r="Y111" s="396">
        <f>IF(+NFL!$F265="Chicago",+NFL!#REF!,IF(+NFL!$H265="Chicago",+NFL!#REF!,0))</f>
        <v>0</v>
      </c>
      <c r="Z111" s="397">
        <f>IF(+NFL!$F265="Chicago",+NFL!#REF!,IF(+NFL!$H265="Chicago",+NFL!#REF!,0))</f>
        <v>0</v>
      </c>
      <c r="AA111" s="396">
        <f>IF(+NFL!$F265="Chicago",+NFL!#REF!,IF(+NFL!$H265="Chicago",+NFL!#REF!,0))</f>
        <v>0</v>
      </c>
      <c r="AB111" s="87">
        <f>IF(+NFL!$F265="Chicago",+NFL!#REF!,IF(+NFL!$H265="Chicago",+NFL!#REF!,0))</f>
        <v>0</v>
      </c>
      <c r="AC111" s="120">
        <f>IF(+NFL!$F265="Chicago",+NFL!#REF!,IF(+NFL!$H265="Chicago",+NFL!#REF!,0))</f>
        <v>0</v>
      </c>
      <c r="AD111" s="353">
        <f>IF(+NFL!$F265="Chicago",+NFL!#REF!,IF(+NFL!$H265="Chicago",+NFL!#REF!,0))</f>
        <v>0</v>
      </c>
      <c r="AE111" s="379">
        <f>IF(+NFL!$F265="Chicago",+NFL!#REF!,IF(+NFL!$H265="Chicago",+NFL!#REF!,0))</f>
        <v>0</v>
      </c>
      <c r="AF111" s="353">
        <f>IF(+NFL!$F265="Chicago",+NFL!#REF!,IF(+NFL!$H265="Chicago",+NFL!#REF!,0))</f>
        <v>0</v>
      </c>
      <c r="AG111" s="379">
        <f>IF(+NFL!$F265="Chicago",+NFL!#REF!,IF(+NFL!$H265="Chicago",+NFL!#REF!,0))</f>
        <v>0</v>
      </c>
      <c r="AH111" s="353">
        <f>IF(+NFL!$F265="Chicago",+NFL!#REF!,IF(+NFL!$H265="Chicago",+NFL!#REF!,0))</f>
        <v>0</v>
      </c>
      <c r="AI111" s="379">
        <f>IF(+NFL!$F265="Chicago",+NFL!#REF!,IF(+NFL!$H265="Chicago",+NFL!#REF!,0))</f>
        <v>0</v>
      </c>
      <c r="AJ111" s="353">
        <f>IF(+NFL!$F265="Chicago",+NFL!#REF!,IF(+NFL!$H265="Chicago",+NFL!#REF!,0))</f>
        <v>0</v>
      </c>
      <c r="AK111" s="379">
        <f>IF(+NFL!$F265="Chicago",+NFL!#REF!,IF(+NFL!$H265="Chicago",+NFL!#REF!,0))</f>
        <v>0</v>
      </c>
      <c r="AL111" s="57">
        <f>IF(+NFL!$F265="Chicago",+NFL!#REF!,IF(+NFL!$H265="Chicago",+NFL!#REF!,0))</f>
        <v>0</v>
      </c>
      <c r="AM111" s="58">
        <f>IF(+NFL!$F265="Chicago",+NFL!#REF!,IF(+NFL!$H265="Chicago",+NFL!#REF!,0))</f>
        <v>0</v>
      </c>
      <c r="AN111" s="70">
        <f>IF(+NFL!$F265="Chicago",+NFL!#REF!,IF(+NFL!$H265="Chicago",+NFL!#REF!,0))</f>
        <v>0</v>
      </c>
      <c r="AO111" s="59">
        <f>IF(+NFL!$F265="Chicago",+NFL!#REF!,IF(+NFL!$H265="Chicago",+NFL!#REF!,0))</f>
        <v>0</v>
      </c>
      <c r="AP111" s="348">
        <f>IF(+NFL!$F265="Chicago",+NFL!#REF!,IF(+NFL!$H265="Chicago",+NFL!#REF!,0))</f>
        <v>0</v>
      </c>
      <c r="AQ111" s="48">
        <f>IF(+NFL!$F265="Chicago",+NFL!#REF!,IF(+NFL!$H265="Chicago",+NFL!#REF!,0))</f>
        <v>0</v>
      </c>
      <c r="AR111" s="57">
        <f>IF(+NFL!$F265="Chicago",+NFL!#REF!,IF(+NFL!$H265="Chicago",+NFL!#REF!,0))</f>
        <v>0</v>
      </c>
      <c r="AS111" s="64">
        <f>IF(+NFL!$F265="Chicago",+NFL!#REF!,IF(+NFL!$H265="Chicago",+NFL!#REF!,0))</f>
        <v>0</v>
      </c>
      <c r="AT111" s="46">
        <f>IF(+NFL!$F265="Chicago",+NFL!#REF!,IF(+NFL!$H265="Chicago",+NFL!#REF!,0))</f>
        <v>0</v>
      </c>
      <c r="AU111" s="57">
        <f>IF(+NFL!$F265="Chicago",+NFL!#REF!,IF(+NFL!$H265="Chicago",+NFL!#REF!,0))</f>
        <v>0</v>
      </c>
      <c r="AV111" s="64">
        <f>IF(+NFL!$F265="Chicago",+NFL!#REF!,IF(+NFL!$H265="Chicago",+NFL!#REF!,0))</f>
        <v>0</v>
      </c>
      <c r="AW111" s="46">
        <f>IF(+NFL!$F265="Chicago",+NFL!#REF!,IF(+NFL!$H265="Chicago",+NFL!#REF!,0))</f>
        <v>0</v>
      </c>
      <c r="AX111" s="64">
        <f>IF(+NFL!$F265="Chicago",+NFL!#REF!,IF(+NFL!$H265="Chicago",+NFL!#REF!,0))</f>
        <v>0</v>
      </c>
      <c r="AY111" s="57">
        <f>IF(+NFL!$F265="Chicago",+NFL!#REF!,IF(+NFL!$H265="Chicago",+NFL!#REF!,0))</f>
        <v>0</v>
      </c>
      <c r="AZ111" s="64">
        <f>IF(+NFL!$F265="Chicago",+NFL!#REF!,IF(+NFL!$H265="Chicago",+NFL!#REF!,0))</f>
        <v>0</v>
      </c>
      <c r="BA111" s="46">
        <f>IF(+NFL!$F265="Chicago",+NFL!#REF!,IF(+NFL!$H265="Chicago",+NFL!#REF!,0))</f>
        <v>0</v>
      </c>
      <c r="BB111" s="46">
        <f>IF(+NFL!$F265="Chicago",+NFL!#REF!,IF(+NFL!$H265="Chicago",+NFL!#REF!,0))</f>
        <v>0</v>
      </c>
      <c r="BC111" s="403">
        <f>IF(+NFL!$F265="Chicago",+NFL!#REF!,IF(+NFL!$H265="Chicago",+NFL!#REF!,0))</f>
        <v>0</v>
      </c>
      <c r="BD111" s="57">
        <f>IF(+NFL!$F265="Chicago",+NFL!#REF!,IF(+NFL!$H265="Chicago",+NFL!#REF!,0))</f>
        <v>0</v>
      </c>
      <c r="BE111" s="64">
        <f>IF(+NFL!$F265="Chicago",+NFL!#REF!,IF(+NFL!$H265="Chicago",+NFL!#REF!,0))</f>
        <v>0</v>
      </c>
      <c r="BF111" s="46">
        <f>IF(+NFL!$F265="Chicago",+NFL!#REF!,IF(+NFL!$H265="Chicago",+NFL!#REF!,0))</f>
        <v>0</v>
      </c>
      <c r="BG111" s="57">
        <f>IF(+NFL!$F265="Chicago",+NFL!#REF!,IF(+NFL!$H265="Chicago",+NFL!#REF!,0))</f>
        <v>0</v>
      </c>
      <c r="BH111" s="64">
        <f>IF(+NFL!$F265="Chicago",+NFL!#REF!,IF(+NFL!$H265="Chicago",+NFL!#REF!,0))</f>
        <v>0</v>
      </c>
      <c r="BI111" s="46">
        <f>IF(+NFL!$F265="Chicago",+NFL!#REF!,IF(+NFL!$H265="Chicago",+NFL!#REF!,0))</f>
        <v>0</v>
      </c>
      <c r="BJ111" s="87">
        <f>IF(+NFL!$F265="Chicago",+NFL!#REF!,IF(+NFL!$H265="Chicago",+NFL!#REF!,0))</f>
        <v>0</v>
      </c>
      <c r="BK111" s="120">
        <f>IF(+NFL!$F265="Chicago",+NFL!#REF!,IF(+NFL!$H265="Chicago",+NFL!#REF!,0))</f>
        <v>0</v>
      </c>
    </row>
    <row r="112" spans="1:63" x14ac:dyDescent="0.8">
      <c r="A112" s="46">
        <f>IF(+NFL!$F284="Chicago",+NFL!A284,IF(+NFL!$H284="Chicago",+NFL!A284,0))</f>
        <v>16</v>
      </c>
      <c r="B112" s="348" t="str">
        <f>IF(+NFL!$F284="Chicago",+NFL!B284,IF(+NFL!$H284="Chicago",+NFL!B284,0))</f>
        <v>Sat</v>
      </c>
      <c r="C112" s="48">
        <f>IF(+NFL!$F284="Chicago",+NFL!C284,IF(+NFL!$H284="Chicago",+NFL!C284,0))</f>
        <v>44919</v>
      </c>
      <c r="D112" s="490">
        <f>IF(+NFL!$F284="Chicago",+NFL!D284,IF(+NFL!$H284="Chicago",+NFL!D284,0))</f>
        <v>0.54166666666666663</v>
      </c>
      <c r="E112" s="491" t="str">
        <f>IF(+NFL!$F284="Chicago",+NFL!E284,IF(+NFL!$H284="Chicago",+NFL!E284,0))</f>
        <v>CBS</v>
      </c>
      <c r="F112" s="114" t="str">
        <f>IF(+NFL!$F284="Chicago",+NFL!F284,IF(+NFL!$H284="Chicago",+NFL!F284,0))</f>
        <v>Buffalo</v>
      </c>
      <c r="G112" s="46" t="str">
        <f>IF(+NFL!$F284="Chicago",+NFL!G284,IF(+NFL!$H284="Chicago",+NFL!G284,0))</f>
        <v>AFCE</v>
      </c>
      <c r="H112" s="114" t="str">
        <f>IF(+NFL!$F284="Chicago",+NFL!H284,IF(+NFL!$H284="Chicago",+NFL!H284,0))</f>
        <v>Chicago</v>
      </c>
      <c r="I112" s="491" t="str">
        <f>IF(+NFL!$F284="Chicago",+NFL!I284,IF(+NFL!$H284="Chicago",+NFL!I284,0))</f>
        <v>NFCN</v>
      </c>
      <c r="J112" s="353" t="str">
        <f>IF(+NFL!$F284="Chicago",+NFL!J284,IF(+NFL!$H284="Chicago",+NFL!J284,0))</f>
        <v>Buffalo</v>
      </c>
      <c r="K112" s="494" t="str">
        <f>IF(+NFL!$F284="Chicago",+NFL!K284,IF(+NFL!$H284="Chicago",+NFL!K284,0))</f>
        <v>Chicago</v>
      </c>
      <c r="L112" s="384">
        <f>IF(+NFL!$F284="Chicago",+NFL!L284,IF(+NFL!$H284="Chicago",+NFL!L284,0))</f>
        <v>8.5</v>
      </c>
      <c r="M112" s="385">
        <f>IF(+NFL!$F284="Chicago",+NFL!M284,IF(+NFL!$H284="Chicago",+NFL!M284,0))</f>
        <v>40.5</v>
      </c>
      <c r="N112" s="394" t="str">
        <f>IF(+NFL!$F284="Chicago",+NFL!N284,IF(+NFL!$H284="Chicago",+NFL!N284,0))</f>
        <v>Buffalo</v>
      </c>
      <c r="O112" s="395">
        <f>IF(+NFL!$F284="Chicago",+NFL!O284,IF(+NFL!$H284="Chicago",+NFL!O284,0))</f>
        <v>35</v>
      </c>
      <c r="P112" s="394" t="str">
        <f>IF(+NFL!$F284="Chicago",+NFL!P284,IF(+NFL!$H284="Chicago",+NFL!P284,0))</f>
        <v>Chicago</v>
      </c>
      <c r="Q112" s="396">
        <f>IF(+NFL!$F284="Chicago",+NFL!Q284,IF(+NFL!$H284="Chicago",+NFL!Q284,0))</f>
        <v>13</v>
      </c>
      <c r="R112" s="397" t="str">
        <f>IF(+NFL!$F284="Chicago",+NFL!R284,IF(+NFL!$H284="Chicago",+NFL!R284,0))</f>
        <v>Buffalo</v>
      </c>
      <c r="S112" s="399" t="str">
        <f>IF(+NFL!$F284="Chicago",+NFL!S284,IF(+NFL!$H284="Chicago",+NFL!S284,0))</f>
        <v>Chicago</v>
      </c>
      <c r="T112" s="398">
        <f>IF(+NFL!$F284="Chicago",+NFL!T284,IF(+NFL!$H284="Chicago",+NFL!T284,0))</f>
        <v>0</v>
      </c>
      <c r="U112" s="396" t="str">
        <f>IF(+NFL!$F284="Chicago",+NFL!U284,IF(+NFL!$H284="Chicago",+NFL!U284,0))</f>
        <v>L</v>
      </c>
      <c r="V112" s="397">
        <f>IF(+NFL!$F283="Chicago",+NFL!#REF!,IF(+NFL!$H283="Chicago",+NFL!#REF!,0))</f>
        <v>0</v>
      </c>
      <c r="W112" s="396">
        <f>IF(+NFL!$F283="Chicago",+NFL!#REF!,IF(+NFL!$H283="Chicago",+NFL!#REF!,0))</f>
        <v>0</v>
      </c>
      <c r="X112" s="398">
        <f>IF(+NFL!$F283="Chicago",+NFL!#REF!,IF(+NFL!$H283="Chicago",+NFL!#REF!,0))</f>
        <v>0</v>
      </c>
      <c r="Y112" s="396">
        <f>IF(+NFL!$F283="Chicago",+NFL!#REF!,IF(+NFL!$H283="Chicago",+NFL!#REF!,0))</f>
        <v>0</v>
      </c>
      <c r="Z112" s="397">
        <f>IF(+NFL!$F283="Chicago",+NFL!#REF!,IF(+NFL!$H283="Chicago",+NFL!#REF!,0))</f>
        <v>0</v>
      </c>
      <c r="AA112" s="396">
        <f>IF(+NFL!$F283="Chicago",+NFL!#REF!,IF(+NFL!$H283="Chicago",+NFL!#REF!,0))</f>
        <v>0</v>
      </c>
      <c r="AB112" s="87">
        <f>IF(+NFL!$F283="Chicago",+NFL!#REF!,IF(+NFL!$H283="Chicago",+NFL!#REF!,0))</f>
        <v>0</v>
      </c>
      <c r="AC112" s="120">
        <f>IF(+NFL!$F283="Chicago",+NFL!#REF!,IF(+NFL!$H283="Chicago",+NFL!#REF!,0))</f>
        <v>0</v>
      </c>
      <c r="AD112" s="353">
        <f>IF(+NFL!$F283="Chicago",+NFL!#REF!,IF(+NFL!$H283="Chicago",+NFL!#REF!,0))</f>
        <v>0</v>
      </c>
      <c r="AE112" s="379">
        <f>IF(+NFL!$F283="Chicago",+NFL!#REF!,IF(+NFL!$H283="Chicago",+NFL!#REF!,0))</f>
        <v>0</v>
      </c>
      <c r="AF112" s="353">
        <f>IF(+NFL!$F283="Chicago",+NFL!#REF!,IF(+NFL!$H283="Chicago",+NFL!#REF!,0))</f>
        <v>0</v>
      </c>
      <c r="AG112" s="379">
        <f>IF(+NFL!$F283="Chicago",+NFL!#REF!,IF(+NFL!$H283="Chicago",+NFL!#REF!,0))</f>
        <v>0</v>
      </c>
      <c r="AH112" s="353">
        <f>IF(+NFL!$F283="Chicago",+NFL!#REF!,IF(+NFL!$H283="Chicago",+NFL!#REF!,0))</f>
        <v>0</v>
      </c>
      <c r="AI112" s="379">
        <f>IF(+NFL!$F283="Chicago",+NFL!#REF!,IF(+NFL!$H283="Chicago",+NFL!#REF!,0))</f>
        <v>0</v>
      </c>
      <c r="AJ112" s="353">
        <f>IF(+NFL!$F283="Chicago",+NFL!#REF!,IF(+NFL!$H283="Chicago",+NFL!#REF!,0))</f>
        <v>0</v>
      </c>
      <c r="AK112" s="379">
        <f>IF(+NFL!$F283="Chicago",+NFL!#REF!,IF(+NFL!$H283="Chicago",+NFL!#REF!,0))</f>
        <v>0</v>
      </c>
      <c r="AL112" s="57">
        <f>IF(+NFL!$F283="Chicago",+NFL!#REF!,IF(+NFL!$H283="Chicago",+NFL!#REF!,0))</f>
        <v>0</v>
      </c>
      <c r="AM112" s="58">
        <f>IF(+NFL!$F283="Chicago",+NFL!#REF!,IF(+NFL!$H283="Chicago",+NFL!#REF!,0))</f>
        <v>0</v>
      </c>
      <c r="AN112" s="70">
        <f>IF(+NFL!$F283="Chicago",+NFL!#REF!,IF(+NFL!$H283="Chicago",+NFL!#REF!,0))</f>
        <v>0</v>
      </c>
      <c r="AO112" s="59">
        <f>IF(+NFL!$F283="Chicago",+NFL!#REF!,IF(+NFL!$H283="Chicago",+NFL!#REF!,0))</f>
        <v>0</v>
      </c>
      <c r="AP112" s="348">
        <f>IF(+NFL!$F283="Chicago",+NFL!#REF!,IF(+NFL!$H283="Chicago",+NFL!#REF!,0))</f>
        <v>0</v>
      </c>
      <c r="AQ112" s="48">
        <f>IF(+NFL!$F283="Chicago",+NFL!#REF!,IF(+NFL!$H283="Chicago",+NFL!#REF!,0))</f>
        <v>0</v>
      </c>
      <c r="AR112" s="57">
        <f>IF(+NFL!$F283="Chicago",+NFL!#REF!,IF(+NFL!$H283="Chicago",+NFL!#REF!,0))</f>
        <v>0</v>
      </c>
      <c r="AS112" s="64">
        <f>IF(+NFL!$F283="Chicago",+NFL!#REF!,IF(+NFL!$H283="Chicago",+NFL!#REF!,0))</f>
        <v>0</v>
      </c>
      <c r="AT112" s="46">
        <f>IF(+NFL!$F283="Chicago",+NFL!#REF!,IF(+NFL!$H283="Chicago",+NFL!#REF!,0))</f>
        <v>0</v>
      </c>
      <c r="AU112" s="57">
        <f>IF(+NFL!$F283="Chicago",+NFL!#REF!,IF(+NFL!$H283="Chicago",+NFL!#REF!,0))</f>
        <v>0</v>
      </c>
      <c r="AV112" s="64">
        <f>IF(+NFL!$F283="Chicago",+NFL!#REF!,IF(+NFL!$H283="Chicago",+NFL!#REF!,0))</f>
        <v>0</v>
      </c>
      <c r="AW112" s="46">
        <f>IF(+NFL!$F283="Chicago",+NFL!#REF!,IF(+NFL!$H283="Chicago",+NFL!#REF!,0))</f>
        <v>0</v>
      </c>
      <c r="AX112" s="64">
        <f>IF(+NFL!$F283="Chicago",+NFL!#REF!,IF(+NFL!$H283="Chicago",+NFL!#REF!,0))</f>
        <v>0</v>
      </c>
      <c r="AY112" s="57">
        <f>IF(+NFL!$F283="Chicago",+NFL!#REF!,IF(+NFL!$H283="Chicago",+NFL!#REF!,0))</f>
        <v>0</v>
      </c>
      <c r="AZ112" s="64">
        <f>IF(+NFL!$F283="Chicago",+NFL!#REF!,IF(+NFL!$H283="Chicago",+NFL!#REF!,0))</f>
        <v>0</v>
      </c>
      <c r="BA112" s="46">
        <f>IF(+NFL!$F283="Chicago",+NFL!#REF!,IF(+NFL!$H283="Chicago",+NFL!#REF!,0))</f>
        <v>0</v>
      </c>
      <c r="BB112" s="46">
        <f>IF(+NFL!$F283="Chicago",+NFL!#REF!,IF(+NFL!$H283="Chicago",+NFL!#REF!,0))</f>
        <v>0</v>
      </c>
      <c r="BC112" s="403">
        <f>IF(+NFL!$F283="Chicago",+NFL!#REF!,IF(+NFL!$H283="Chicago",+NFL!#REF!,0))</f>
        <v>0</v>
      </c>
      <c r="BD112" s="57">
        <f>IF(+NFL!$F283="Chicago",+NFL!#REF!,IF(+NFL!$H283="Chicago",+NFL!#REF!,0))</f>
        <v>0</v>
      </c>
      <c r="BE112" s="64">
        <f>IF(+NFL!$F283="Chicago",+NFL!#REF!,IF(+NFL!$H283="Chicago",+NFL!#REF!,0))</f>
        <v>0</v>
      </c>
      <c r="BF112" s="46">
        <f>IF(+NFL!$F283="Chicago",+NFL!#REF!,IF(+NFL!$H283="Chicago",+NFL!#REF!,0))</f>
        <v>0</v>
      </c>
      <c r="BG112" s="57">
        <f>IF(+NFL!$F283="Chicago",+NFL!#REF!,IF(+NFL!$H283="Chicago",+NFL!#REF!,0))</f>
        <v>0</v>
      </c>
      <c r="BH112" s="64">
        <f>IF(+NFL!$F283="Chicago",+NFL!#REF!,IF(+NFL!$H283="Chicago",+NFL!#REF!,0))</f>
        <v>0</v>
      </c>
      <c r="BI112" s="46">
        <f>IF(+NFL!$F283="Chicago",+NFL!#REF!,IF(+NFL!$H283="Chicago",+NFL!#REF!,0))</f>
        <v>0</v>
      </c>
      <c r="BJ112" s="87">
        <f>IF(+NFL!$F283="Chicago",+NFL!#REF!,IF(+NFL!$H283="Chicago",+NFL!#REF!,0))</f>
        <v>0</v>
      </c>
      <c r="BK112" s="120">
        <f>IF(+NFL!$F283="Chicago",+NFL!#REF!,IF(+NFL!$H283="Chicago",+NFL!#REF!,0))</f>
        <v>0</v>
      </c>
    </row>
    <row r="113" spans="1:63" x14ac:dyDescent="0.8">
      <c r="A113" s="46">
        <f>IF(+NFL!$F302="Chicago",+NFL!A302,IF(+NFL!$H302="Chicago",+NFL!A302,0))</f>
        <v>17</v>
      </c>
      <c r="B113" s="348" t="str">
        <f>IF(+NFL!$F302="Chicago",+NFL!B302,IF(+NFL!$H302="Chicago",+NFL!B302,0))</f>
        <v>Sun</v>
      </c>
      <c r="C113" s="48">
        <f>IF(+NFL!$F302="Chicago",+NFL!C302,IF(+NFL!$H302="Chicago",+NFL!C302,0))</f>
        <v>44927</v>
      </c>
      <c r="D113" s="490">
        <f>IF(+NFL!$F302="Chicago",+NFL!D302,IF(+NFL!$H302="Chicago",+NFL!D302,0))</f>
        <v>0.54166666666666663</v>
      </c>
      <c r="E113" s="491" t="str">
        <f>IF(+NFL!$F302="Chicago",+NFL!E302,IF(+NFL!$H302="Chicago",+NFL!E302,0))</f>
        <v>Fox</v>
      </c>
      <c r="F113" s="114" t="str">
        <f>IF(+NFL!$F302="Chicago",+NFL!F302,IF(+NFL!$H302="Chicago",+NFL!F302,0))</f>
        <v>Chicago</v>
      </c>
      <c r="G113" s="46" t="str">
        <f>IF(+NFL!$F302="Chicago",+NFL!G302,IF(+NFL!$H302="Chicago",+NFL!G302,0))</f>
        <v>NFCN</v>
      </c>
      <c r="H113" s="114" t="str">
        <f>IF(+NFL!$F302="Chicago",+NFL!H302,IF(+NFL!$H302="Chicago",+NFL!H302,0))</f>
        <v>Detroit</v>
      </c>
      <c r="I113" s="491" t="str">
        <f>IF(+NFL!$F302="Chicago",+NFL!I302,IF(+NFL!$H302="Chicago",+NFL!I302,0))</f>
        <v>NFCN</v>
      </c>
      <c r="J113" s="353" t="str">
        <f>IF(+NFL!$F302="Chicago",+NFL!J302,IF(+NFL!$H302="Chicago",+NFL!J302,0))</f>
        <v>Detroit</v>
      </c>
      <c r="K113" s="494" t="str">
        <f>IF(+NFL!$F302="Chicago",+NFL!K302,IF(+NFL!$H302="Chicago",+NFL!K302,0))</f>
        <v>Chicago</v>
      </c>
      <c r="L113" s="384">
        <f>IF(+NFL!$F302="Chicago",+NFL!L302,IF(+NFL!$H302="Chicago",+NFL!L302,0))</f>
        <v>4.5</v>
      </c>
      <c r="M113" s="385">
        <f>IF(+NFL!$F302="Chicago",+NFL!M302,IF(+NFL!$H302="Chicago",+NFL!M302,0))</f>
        <v>52.5</v>
      </c>
      <c r="N113" s="394" t="str">
        <f>IF(+NFL!$F302="Chicago",+NFL!N302,IF(+NFL!$H302="Chicago",+NFL!N302,0))</f>
        <v>Detroit</v>
      </c>
      <c r="O113" s="395">
        <f>IF(+NFL!$F302="Chicago",+NFL!O302,IF(+NFL!$H302="Chicago",+NFL!O302,0))</f>
        <v>41</v>
      </c>
      <c r="P113" s="394" t="str">
        <f>IF(+NFL!$F302="Chicago",+NFL!P302,IF(+NFL!$H302="Chicago",+NFL!P302,0))</f>
        <v>Chicago</v>
      </c>
      <c r="Q113" s="396">
        <f>IF(+NFL!$F302="Chicago",+NFL!Q302,IF(+NFL!$H302="Chicago",+NFL!Q302,0))</f>
        <v>10</v>
      </c>
      <c r="R113" s="397" t="str">
        <f>IF(+NFL!$F302="Chicago",+NFL!R302,IF(+NFL!$H302="Chicago",+NFL!R302,0))</f>
        <v>Detroit</v>
      </c>
      <c r="S113" s="399" t="str">
        <f>IF(+NFL!$F302="Chicago",+NFL!S302,IF(+NFL!$H302="Chicago",+NFL!S302,0))</f>
        <v>Chicago</v>
      </c>
      <c r="T113" s="398">
        <f>IF(+NFL!$F302="Chicago",+NFL!T302,IF(+NFL!$H302="Chicago",+NFL!T302,0))</f>
        <v>0</v>
      </c>
      <c r="U113" s="396" t="str">
        <f>IF(+NFL!$F302="Chicago",+NFL!U302,IF(+NFL!$H302="Chicago",+NFL!U302,0))</f>
        <v>L</v>
      </c>
      <c r="V113" s="397">
        <f>IF(+NFL!$F304="Chicago",+NFL!#REF!,IF(+NFL!$H304="Chicago",+NFL!#REF!,0))</f>
        <v>0</v>
      </c>
      <c r="W113" s="396">
        <f>IF(+NFL!$F304="Chicago",+NFL!#REF!,IF(+NFL!$H304="Chicago",+NFL!#REF!,0))</f>
        <v>0</v>
      </c>
      <c r="X113" s="398">
        <f>IF(+NFL!$F304="Chicago",+NFL!#REF!,IF(+NFL!$H304="Chicago",+NFL!#REF!,0))</f>
        <v>0</v>
      </c>
      <c r="Y113" s="396">
        <f>IF(+NFL!$F304="Chicago",+NFL!#REF!,IF(+NFL!$H304="Chicago",+NFL!#REF!,0))</f>
        <v>0</v>
      </c>
      <c r="Z113" s="397">
        <f>IF(+NFL!$F304="Chicago",+NFL!#REF!,IF(+NFL!$H304="Chicago",+NFL!#REF!,0))</f>
        <v>0</v>
      </c>
      <c r="AA113" s="396">
        <f>IF(+NFL!$F304="Chicago",+NFL!#REF!,IF(+NFL!$H304="Chicago",+NFL!#REF!,0))</f>
        <v>0</v>
      </c>
      <c r="AB113" s="87">
        <f>IF(+NFL!$F304="Chicago",+NFL!#REF!,IF(+NFL!$H304="Chicago",+NFL!#REF!,0))</f>
        <v>0</v>
      </c>
      <c r="AC113" s="120">
        <f>IF(+NFL!$F304="Chicago",+NFL!#REF!,IF(+NFL!$H304="Chicago",+NFL!#REF!,0))</f>
        <v>0</v>
      </c>
      <c r="AD113" s="353">
        <f>IF(+NFL!$F304="Chicago",+NFL!#REF!,IF(+NFL!$H304="Chicago",+NFL!#REF!,0))</f>
        <v>0</v>
      </c>
      <c r="AE113" s="379">
        <f>IF(+NFL!$F304="Chicago",+NFL!#REF!,IF(+NFL!$H304="Chicago",+NFL!#REF!,0))</f>
        <v>0</v>
      </c>
      <c r="AF113" s="353">
        <f>IF(+NFL!$F304="Chicago",+NFL!#REF!,IF(+NFL!$H304="Chicago",+NFL!#REF!,0))</f>
        <v>0</v>
      </c>
      <c r="AG113" s="379">
        <f>IF(+NFL!$F304="Chicago",+NFL!#REF!,IF(+NFL!$H304="Chicago",+NFL!#REF!,0))</f>
        <v>0</v>
      </c>
      <c r="AH113" s="353">
        <f>IF(+NFL!$F304="Chicago",+NFL!#REF!,IF(+NFL!$H304="Chicago",+NFL!#REF!,0))</f>
        <v>0</v>
      </c>
      <c r="AI113" s="379">
        <f>IF(+NFL!$F304="Chicago",+NFL!#REF!,IF(+NFL!$H304="Chicago",+NFL!#REF!,0))</f>
        <v>0</v>
      </c>
      <c r="AJ113" s="353">
        <f>IF(+NFL!$F304="Chicago",+NFL!#REF!,IF(+NFL!$H304="Chicago",+NFL!#REF!,0))</f>
        <v>0</v>
      </c>
      <c r="AK113" s="379">
        <f>IF(+NFL!$F304="Chicago",+NFL!#REF!,IF(+NFL!$H304="Chicago",+NFL!#REF!,0))</f>
        <v>0</v>
      </c>
      <c r="AL113" s="57">
        <f>IF(+NFL!$F304="Chicago",+NFL!#REF!,IF(+NFL!$H304="Chicago",+NFL!#REF!,0))</f>
        <v>0</v>
      </c>
      <c r="AM113" s="58">
        <f>IF(+NFL!$F304="Chicago",+NFL!#REF!,IF(+NFL!$H304="Chicago",+NFL!#REF!,0))</f>
        <v>0</v>
      </c>
      <c r="AN113" s="70">
        <f>IF(+NFL!$F304="Chicago",+NFL!#REF!,IF(+NFL!$H304="Chicago",+NFL!#REF!,0))</f>
        <v>0</v>
      </c>
      <c r="AO113" s="59">
        <f>IF(+NFL!$F304="Chicago",+NFL!#REF!,IF(+NFL!$H304="Chicago",+NFL!#REF!,0))</f>
        <v>0</v>
      </c>
      <c r="AP113" s="348">
        <f>IF(+NFL!$F304="Chicago",+NFL!#REF!,IF(+NFL!$H304="Chicago",+NFL!#REF!,0))</f>
        <v>0</v>
      </c>
      <c r="AQ113" s="48">
        <f>IF(+NFL!$F304="Chicago",+NFL!#REF!,IF(+NFL!$H304="Chicago",+NFL!#REF!,0))</f>
        <v>0</v>
      </c>
      <c r="AR113" s="57">
        <f>IF(+NFL!$F304="Chicago",+NFL!#REF!,IF(+NFL!$H304="Chicago",+NFL!#REF!,0))</f>
        <v>0</v>
      </c>
      <c r="AS113" s="64">
        <f>IF(+NFL!$F304="Chicago",+NFL!#REF!,IF(+NFL!$H304="Chicago",+NFL!#REF!,0))</f>
        <v>0</v>
      </c>
      <c r="AT113" s="46">
        <f>IF(+NFL!$F304="Chicago",+NFL!#REF!,IF(+NFL!$H304="Chicago",+NFL!#REF!,0))</f>
        <v>0</v>
      </c>
      <c r="AU113" s="57">
        <f>IF(+NFL!$F304="Chicago",+NFL!#REF!,IF(+NFL!$H304="Chicago",+NFL!#REF!,0))</f>
        <v>0</v>
      </c>
      <c r="AV113" s="64">
        <f>IF(+NFL!$F304="Chicago",+NFL!#REF!,IF(+NFL!$H304="Chicago",+NFL!#REF!,0))</f>
        <v>0</v>
      </c>
      <c r="AW113" s="46">
        <f>IF(+NFL!$F304="Chicago",+NFL!#REF!,IF(+NFL!$H304="Chicago",+NFL!#REF!,0))</f>
        <v>0</v>
      </c>
      <c r="AX113" s="64">
        <f>IF(+NFL!$F304="Chicago",+NFL!#REF!,IF(+NFL!$H304="Chicago",+NFL!#REF!,0))</f>
        <v>0</v>
      </c>
      <c r="AY113" s="57">
        <f>IF(+NFL!$F304="Chicago",+NFL!#REF!,IF(+NFL!$H304="Chicago",+NFL!#REF!,0))</f>
        <v>0</v>
      </c>
      <c r="AZ113" s="64">
        <f>IF(+NFL!$F304="Chicago",+NFL!#REF!,IF(+NFL!$H304="Chicago",+NFL!#REF!,0))</f>
        <v>0</v>
      </c>
      <c r="BA113" s="46">
        <f>IF(+NFL!$F304="Chicago",+NFL!#REF!,IF(+NFL!$H304="Chicago",+NFL!#REF!,0))</f>
        <v>0</v>
      </c>
      <c r="BB113" s="46">
        <f>IF(+NFL!$F304="Chicago",+NFL!#REF!,IF(+NFL!$H304="Chicago",+NFL!#REF!,0))</f>
        <v>0</v>
      </c>
      <c r="BC113" s="403">
        <f>IF(+NFL!$F304="Chicago",+NFL!#REF!,IF(+NFL!$H304="Chicago",+NFL!#REF!,0))</f>
        <v>0</v>
      </c>
      <c r="BD113" s="57">
        <f>IF(+NFL!$F304="Chicago",+NFL!#REF!,IF(+NFL!$H304="Chicago",+NFL!#REF!,0))</f>
        <v>0</v>
      </c>
      <c r="BE113" s="64">
        <f>IF(+NFL!$F304="Chicago",+NFL!#REF!,IF(+NFL!$H304="Chicago",+NFL!#REF!,0))</f>
        <v>0</v>
      </c>
      <c r="BF113" s="46">
        <f>IF(+NFL!$F304="Chicago",+NFL!#REF!,IF(+NFL!$H304="Chicago",+NFL!#REF!,0))</f>
        <v>0</v>
      </c>
      <c r="BG113" s="57">
        <f>IF(+NFL!$F304="Chicago",+NFL!#REF!,IF(+NFL!$H304="Chicago",+NFL!#REF!,0))</f>
        <v>0</v>
      </c>
      <c r="BH113" s="64">
        <f>IF(+NFL!$F304="Chicago",+NFL!#REF!,IF(+NFL!$H304="Chicago",+NFL!#REF!,0))</f>
        <v>0</v>
      </c>
      <c r="BI113" s="46">
        <f>IF(+NFL!$F304="Chicago",+NFL!#REF!,IF(+NFL!$H304="Chicago",+NFL!#REF!,0))</f>
        <v>0</v>
      </c>
      <c r="BJ113" s="87">
        <f>IF(+NFL!$F304="Chicago",+NFL!#REF!,IF(+NFL!$H304="Chicago",+NFL!#REF!,0))</f>
        <v>0</v>
      </c>
      <c r="BK113" s="120">
        <f>IF(+NFL!$F304="Chicago",+NFL!#REF!,IF(+NFL!$H304="Chicago",+NFL!#REF!,0))</f>
        <v>0</v>
      </c>
    </row>
    <row r="114" spans="1:63" x14ac:dyDescent="0.8">
      <c r="A114" s="46">
        <f>IF(+NFL!$F318="Chicago",+NFL!A318,IF(+NFL!$H318="Chicago",+NFL!A318,0))</f>
        <v>0</v>
      </c>
      <c r="B114" s="348">
        <f>IF(+NFL!$F318="Chicago",+NFL!B318,IF(+NFL!$H318="Chicago",+NFL!B318,0))</f>
        <v>0</v>
      </c>
      <c r="C114" s="48">
        <f>IF(+NFL!$F318="Chicago",+NFL!C318,IF(+NFL!$H318="Chicago",+NFL!C318,0))</f>
        <v>0</v>
      </c>
      <c r="D114" s="490">
        <f>IF(+NFL!$F318="Chicago",+NFL!D318,IF(+NFL!$H318="Chicago",+NFL!D318,0))</f>
        <v>0</v>
      </c>
      <c r="E114" s="491">
        <f>IF(+NFL!$F318="Chicago",+NFL!E318,IF(+NFL!$H318="Chicago",+NFL!E318,0))</f>
        <v>0</v>
      </c>
      <c r="F114" s="114">
        <f>IF(+NFL!$F318="Chicago",+NFL!F318,IF(+NFL!$H318="Chicago",+NFL!F318,0))</f>
        <v>0</v>
      </c>
      <c r="G114" s="46">
        <f>IF(+NFL!$F318="Chicago",+NFL!G318,IF(+NFL!$H318="Chicago",+NFL!G318,0))</f>
        <v>0</v>
      </c>
      <c r="H114" s="114">
        <f>IF(+NFL!$F318="Chicago",+NFL!H318,IF(+NFL!$H318="Chicago",+NFL!H318,0))</f>
        <v>0</v>
      </c>
      <c r="I114" s="491">
        <f>IF(+NFL!$F318="Chicago",+NFL!I318,IF(+NFL!$H318="Chicago",+NFL!I318,0))</f>
        <v>0</v>
      </c>
      <c r="J114" s="353">
        <f>IF(+NFL!$F318="Chicago",+NFL!J318,IF(+NFL!$H318="Chicago",+NFL!J318,0))</f>
        <v>0</v>
      </c>
      <c r="K114" s="494">
        <f>IF(+NFL!$F318="Chicago",+NFL!K318,IF(+NFL!$H318="Chicago",+NFL!K318,0))</f>
        <v>0</v>
      </c>
      <c r="L114" s="384">
        <f>IF(+NFL!$F318="Chicago",+NFL!L318,IF(+NFL!$H318="Chicago",+NFL!L318,0))</f>
        <v>0</v>
      </c>
      <c r="M114" s="385">
        <f>IF(+NFL!$F318="Chicago",+NFL!M318,IF(+NFL!$H318="Chicago",+NFL!M318,0))</f>
        <v>0</v>
      </c>
      <c r="N114" s="394">
        <f>IF(+NFL!$F318="Chicago",+NFL!N318,IF(+NFL!$H318="Chicago",+NFL!N318,0))</f>
        <v>0</v>
      </c>
      <c r="O114" s="395">
        <f>IF(+NFL!$F318="Chicago",+NFL!O318,IF(+NFL!$H318="Chicago",+NFL!O318,0))</f>
        <v>0</v>
      </c>
      <c r="P114" s="394">
        <f>IF(+NFL!$F318="Chicago",+NFL!P318,IF(+NFL!$H318="Chicago",+NFL!P318,0))</f>
        <v>0</v>
      </c>
      <c r="Q114" s="396">
        <f>IF(+NFL!$F318="Chicago",+NFL!Q318,IF(+NFL!$H318="Chicago",+NFL!Q318,0))</f>
        <v>0</v>
      </c>
      <c r="R114" s="397">
        <f>IF(+NFL!$F318="Chicago",+NFL!R318,IF(+NFL!$H318="Chicago",+NFL!R318,0))</f>
        <v>0</v>
      </c>
      <c r="S114" s="399">
        <f>IF(+NFL!$F318="Chicago",+NFL!S318,IF(+NFL!$H318="Chicago",+NFL!S318,0))</f>
        <v>0</v>
      </c>
      <c r="T114" s="398">
        <f>IF(+NFL!$F318="Chicago",+NFL!T318,IF(+NFL!$H318="Chicago",+NFL!T318,0))</f>
        <v>0</v>
      </c>
      <c r="U114" s="396">
        <f>IF(+NFL!$F318="Chicago",+NFL!U318,IF(+NFL!$H318="Chicago",+NFL!U318,0))</f>
        <v>0</v>
      </c>
      <c r="V114" s="397">
        <f>IF(+NFL!$F332="Chicago",+NFL!#REF!,IF(+NFL!$H332="Chicago",+NFL!#REF!,0))</f>
        <v>0</v>
      </c>
      <c r="W114" s="396">
        <f>IF(+NFL!$F332="Chicago",+NFL!#REF!,IF(+NFL!$H332="Chicago",+NFL!#REF!,0))</f>
        <v>0</v>
      </c>
      <c r="X114" s="398">
        <f>IF(+NFL!$F332="Chicago",+NFL!#REF!,IF(+NFL!$H332="Chicago",+NFL!#REF!,0))</f>
        <v>0</v>
      </c>
      <c r="Y114" s="396">
        <f>IF(+NFL!$F332="Chicago",+NFL!#REF!,IF(+NFL!$H332="Chicago",+NFL!#REF!,0))</f>
        <v>0</v>
      </c>
      <c r="Z114" s="397">
        <f>IF(+NFL!$F332="Chicago",+NFL!#REF!,IF(+NFL!$H332="Chicago",+NFL!#REF!,0))</f>
        <v>0</v>
      </c>
      <c r="AA114" s="396">
        <f>IF(+NFL!$F332="Chicago",+NFL!#REF!,IF(+NFL!$H332="Chicago",+NFL!#REF!,0))</f>
        <v>0</v>
      </c>
      <c r="AB114" s="87">
        <f>IF(+NFL!$F332="Chicago",+NFL!#REF!,IF(+NFL!$H332="Chicago",+NFL!#REF!,0))</f>
        <v>0</v>
      </c>
      <c r="AC114" s="120">
        <f>IF(+NFL!$F332="Chicago",+NFL!#REF!,IF(+NFL!$H332="Chicago",+NFL!#REF!,0))</f>
        <v>0</v>
      </c>
      <c r="AD114" s="353">
        <f>IF(+NFL!$F332="Chicago",+NFL!#REF!,IF(+NFL!$H332="Chicago",+NFL!#REF!,0))</f>
        <v>0</v>
      </c>
      <c r="AE114" s="379">
        <f>IF(+NFL!$F332="Chicago",+NFL!#REF!,IF(+NFL!$H332="Chicago",+NFL!#REF!,0))</f>
        <v>0</v>
      </c>
      <c r="AF114" s="353">
        <f>IF(+NFL!$F332="Chicago",+NFL!#REF!,IF(+NFL!$H332="Chicago",+NFL!#REF!,0))</f>
        <v>0</v>
      </c>
      <c r="AG114" s="379">
        <f>IF(+NFL!$F332="Chicago",+NFL!#REF!,IF(+NFL!$H332="Chicago",+NFL!#REF!,0))</f>
        <v>0</v>
      </c>
      <c r="AH114" s="353">
        <f>IF(+NFL!$F332="Chicago",+NFL!#REF!,IF(+NFL!$H332="Chicago",+NFL!#REF!,0))</f>
        <v>0</v>
      </c>
      <c r="AI114" s="379">
        <f>IF(+NFL!$F332="Chicago",+NFL!#REF!,IF(+NFL!$H332="Chicago",+NFL!#REF!,0))</f>
        <v>0</v>
      </c>
      <c r="AJ114" s="353">
        <f>IF(+NFL!$F332="Chicago",+NFL!#REF!,IF(+NFL!$H332="Chicago",+NFL!#REF!,0))</f>
        <v>0</v>
      </c>
      <c r="AK114" s="379">
        <f>IF(+NFL!$F332="Chicago",+NFL!#REF!,IF(+NFL!$H332="Chicago",+NFL!#REF!,0))</f>
        <v>0</v>
      </c>
      <c r="AL114" s="57">
        <f>IF(+NFL!$F332="Chicago",+NFL!#REF!,IF(+NFL!$H332="Chicago",+NFL!#REF!,0))</f>
        <v>0</v>
      </c>
      <c r="AM114" s="58">
        <f>IF(+NFL!$F332="Chicago",+NFL!#REF!,IF(+NFL!$H332="Chicago",+NFL!#REF!,0))</f>
        <v>0</v>
      </c>
      <c r="AN114" s="70">
        <f>IF(+NFL!$F332="Chicago",+NFL!#REF!,IF(+NFL!$H332="Chicago",+NFL!#REF!,0))</f>
        <v>0</v>
      </c>
      <c r="AO114" s="59">
        <f>IF(+NFL!$F332="Chicago",+NFL!#REF!,IF(+NFL!$H332="Chicago",+NFL!#REF!,0))</f>
        <v>0</v>
      </c>
      <c r="AP114" s="348">
        <f>IF(+NFL!$F332="Chicago",+NFL!#REF!,IF(+NFL!$H332="Chicago",+NFL!#REF!,0))</f>
        <v>0</v>
      </c>
      <c r="AQ114" s="48">
        <f>IF(+NFL!$F332="Chicago",+NFL!#REF!,IF(+NFL!$H332="Chicago",+NFL!#REF!,0))</f>
        <v>0</v>
      </c>
      <c r="AR114" s="57">
        <f>IF(+NFL!$F332="Chicago",+NFL!#REF!,IF(+NFL!$H332="Chicago",+NFL!#REF!,0))</f>
        <v>0</v>
      </c>
      <c r="AS114" s="64">
        <f>IF(+NFL!$F332="Chicago",+NFL!#REF!,IF(+NFL!$H332="Chicago",+NFL!#REF!,0))</f>
        <v>0</v>
      </c>
      <c r="AT114" s="46">
        <f>IF(+NFL!$F332="Chicago",+NFL!#REF!,IF(+NFL!$H332="Chicago",+NFL!#REF!,0))</f>
        <v>0</v>
      </c>
      <c r="AU114" s="57">
        <f>IF(+NFL!$F332="Chicago",+NFL!#REF!,IF(+NFL!$H332="Chicago",+NFL!#REF!,0))</f>
        <v>0</v>
      </c>
      <c r="AV114" s="64">
        <f>IF(+NFL!$F332="Chicago",+NFL!#REF!,IF(+NFL!$H332="Chicago",+NFL!#REF!,0))</f>
        <v>0</v>
      </c>
      <c r="AW114" s="46">
        <f>IF(+NFL!$F332="Chicago",+NFL!#REF!,IF(+NFL!$H332="Chicago",+NFL!#REF!,0))</f>
        <v>0</v>
      </c>
      <c r="AX114" s="64">
        <f>IF(+NFL!$F332="Chicago",+NFL!#REF!,IF(+NFL!$H332="Chicago",+NFL!#REF!,0))</f>
        <v>0</v>
      </c>
      <c r="AY114" s="57">
        <f>IF(+NFL!$F332="Chicago",+NFL!#REF!,IF(+NFL!$H332="Chicago",+NFL!#REF!,0))</f>
        <v>0</v>
      </c>
      <c r="AZ114" s="64">
        <f>IF(+NFL!$F332="Chicago",+NFL!#REF!,IF(+NFL!$H332="Chicago",+NFL!#REF!,0))</f>
        <v>0</v>
      </c>
      <c r="BA114" s="46">
        <f>IF(+NFL!$F332="Chicago",+NFL!#REF!,IF(+NFL!$H332="Chicago",+NFL!#REF!,0))</f>
        <v>0</v>
      </c>
      <c r="BB114" s="46">
        <f>IF(+NFL!$F332="Chicago",+NFL!#REF!,IF(+NFL!$H332="Chicago",+NFL!#REF!,0))</f>
        <v>0</v>
      </c>
      <c r="BC114" s="403">
        <f>IF(+NFL!$F332="Chicago",+NFL!#REF!,IF(+NFL!$H332="Chicago",+NFL!#REF!,0))</f>
        <v>0</v>
      </c>
      <c r="BD114" s="57">
        <f>IF(+NFL!$F332="Chicago",+NFL!#REF!,IF(+NFL!$H332="Chicago",+NFL!#REF!,0))</f>
        <v>0</v>
      </c>
      <c r="BE114" s="64">
        <f>IF(+NFL!$F332="Chicago",+NFL!#REF!,IF(+NFL!$H332="Chicago",+NFL!#REF!,0))</f>
        <v>0</v>
      </c>
      <c r="BF114" s="46">
        <f>IF(+NFL!$F332="Chicago",+NFL!#REF!,IF(+NFL!$H332="Chicago",+NFL!#REF!,0))</f>
        <v>0</v>
      </c>
      <c r="BG114" s="57">
        <f>IF(+NFL!$F332="Chicago",+NFL!#REF!,IF(+NFL!$H332="Chicago",+NFL!#REF!,0))</f>
        <v>0</v>
      </c>
      <c r="BH114" s="64">
        <f>IF(+NFL!$F332="Chicago",+NFL!#REF!,IF(+NFL!$H332="Chicago",+NFL!#REF!,0))</f>
        <v>0</v>
      </c>
      <c r="BI114" s="46">
        <f>IF(+NFL!$F332="Chicago",+NFL!#REF!,IF(+NFL!$H332="Chicago",+NFL!#REF!,0))</f>
        <v>0</v>
      </c>
      <c r="BJ114" s="87">
        <f>IF(+NFL!$F332="Chicago",+NFL!#REF!,IF(+NFL!$H332="Chicago",+NFL!#REF!,0))</f>
        <v>0</v>
      </c>
      <c r="BK114" s="120">
        <f>IF(+NFL!$F332="Chicago",+NFL!#REF!,IF(+NFL!$H332="Chicago",+NFL!#REF!,0))</f>
        <v>0</v>
      </c>
    </row>
    <row r="115" spans="1:63" x14ac:dyDescent="0.8">
      <c r="E115" s="86"/>
      <c r="F115" s="959" t="str">
        <f>H116</f>
        <v>Cincinnati</v>
      </c>
      <c r="G115" s="960"/>
      <c r="H115" s="960"/>
      <c r="I115" s="961"/>
      <c r="L115" s="384"/>
      <c r="M115" s="385"/>
      <c r="N115" s="394"/>
      <c r="P115" s="394"/>
      <c r="R115" s="397"/>
      <c r="S115" s="399"/>
      <c r="T115" s="398"/>
      <c r="U115" s="400"/>
      <c r="W115" s="400"/>
      <c r="X115" s="398"/>
      <c r="AE115" s="388"/>
      <c r="AJ115" s="387"/>
      <c r="AL115" s="69"/>
      <c r="AN115" s="70"/>
      <c r="AY115" s="57"/>
      <c r="AZ115" s="64"/>
      <c r="BA115" s="46"/>
      <c r="BB115" s="46"/>
      <c r="BF115" s="46"/>
    </row>
    <row r="116" spans="1:63" x14ac:dyDescent="0.8">
      <c r="A116" s="46">
        <f>IF(+NFL!$F7="Cincinnati",+NFL!A7,IF(+NFL!$H7="Cincinnati",+NFL!A7,0))</f>
        <v>1</v>
      </c>
      <c r="B116" s="348" t="str">
        <f>IF(+NFL!$F7="Cincinnati",+NFL!B7,IF(+NFL!$H7="Cincinnati",+NFL!B7,0))</f>
        <v>Sun</v>
      </c>
      <c r="C116" s="48">
        <f>IF(+NFL!$F7="Cincinnati",+NFL!C7,IF(+NFL!$H7="Cincinnati",+NFL!C7,0))</f>
        <v>44815</v>
      </c>
      <c r="D116" s="490">
        <f>IF(+NFL!$F7="Cincinnati",+NFL!D7,IF(+NFL!$H7="Cincinnati",+NFL!D7,0))</f>
        <v>0.54166666666666663</v>
      </c>
      <c r="E116" s="491" t="str">
        <f>IF(+NFL!$F7="Cincinnati",+NFL!E7,IF(+NFL!$H7="Cincinnati",+NFL!E7,0))</f>
        <v>CBS</v>
      </c>
      <c r="F116" s="114" t="str">
        <f>IF(+NFL!$F7="Cincinnati",+NFL!F7,IF(+NFL!$H7="Cincinnati",+NFL!F7,0))</f>
        <v>Pittsburgh</v>
      </c>
      <c r="G116" s="649" t="str">
        <f>IF(+NFL!$F7="Cincinnati",+NFL!G7,IF(+NFL!$H7="Cincinnati",+NFL!G7,0))</f>
        <v>AFCN</v>
      </c>
      <c r="H116" s="649" t="str">
        <f>IF(+NFL!$F7="Cincinnati",+NFL!H7,IF(+NFL!$H7="Cincinnati",+NFL!H7,0))</f>
        <v>Cincinnati</v>
      </c>
      <c r="I116" s="650" t="str">
        <f>IF(+NFL!$F7="Cincinnati",+NFL!I7,IF(+NFL!$H7="Cincinnati",+NFL!I7,0))</f>
        <v>AFCN</v>
      </c>
      <c r="J116" s="353" t="str">
        <f>IF(+NFL!$F7="Cincinnati",+NFL!J7,IF(+NFL!$H7="Cincinnati",+NFL!J7,0))</f>
        <v>Cincinnati</v>
      </c>
      <c r="K116" s="494" t="str">
        <f>IF(+NFL!$F7="Cincinnati",+NFL!K7,IF(+NFL!$H7="Cincinnati",+NFL!K7,0))</f>
        <v>Pittsburgh</v>
      </c>
      <c r="L116" s="384">
        <f>IF(+NFL!$F7="Cincinnati",+NFL!L7,IF(+NFL!$H7="Cincinnati",+NFL!L7,0))</f>
        <v>6.5</v>
      </c>
      <c r="M116" s="385">
        <f>IF(+NFL!$F7="Cincinnati",+NFL!M7,IF(+NFL!$H7="Cincinnati",+NFL!M7,0))</f>
        <v>44</v>
      </c>
      <c r="N116" s="394" t="str">
        <f>IF(+NFL!$F7="Cincinnati",+NFL!N7,IF(+NFL!$H7="Cincinnati",+NFL!N7,0))</f>
        <v>Pittsburgh</v>
      </c>
      <c r="O116" s="395">
        <f>IF(+NFL!$F7="Cincinnati",+NFL!O7,IF(+NFL!$H7="Cincinnati",+NFL!O7,0))</f>
        <v>23</v>
      </c>
      <c r="P116" s="394" t="str">
        <f>IF(+NFL!$F7="Cincinnati",+NFL!P7,IF(+NFL!$H7="Cincinnati",+NFL!P7,0))</f>
        <v>Cincinnati</v>
      </c>
      <c r="Q116" s="396">
        <f>IF(+NFL!$F7="Cincinnati",+NFL!Q7,IF(+NFL!$H7="Cincinnati",+NFL!Q7,0))</f>
        <v>20</v>
      </c>
      <c r="R116" s="397" t="str">
        <f>IF(+NFL!$F7="Cincinnati",+NFL!R7,IF(+NFL!$H7="Cincinnati",+NFL!R7,0))</f>
        <v>Pittsburgh</v>
      </c>
      <c r="S116" s="399" t="str">
        <f>IF(+NFL!$F7="Cincinnati",+NFL!S7,IF(+NFL!$H7="Cincinnati",+NFL!S7,0))</f>
        <v>Cincinnati</v>
      </c>
      <c r="T116" s="398" t="str">
        <f>IF(+NFL!$F7="Cincinnati",+NFL!T7,IF(+NFL!$H7="Cincinnati",+NFL!T7,0))</f>
        <v>Pittsburgh</v>
      </c>
      <c r="U116" s="400" t="str">
        <f>IF(+NFL!$F7="Cincinnati",+NFL!U7,IF(+NFL!$H7="Cincinnati",+NFL!U7,0))</f>
        <v>W</v>
      </c>
      <c r="W116" s="400"/>
      <c r="X116" s="398"/>
      <c r="AE116" s="388"/>
      <c r="AJ116" s="387"/>
      <c r="AL116" s="69"/>
      <c r="AN116" s="70"/>
      <c r="AP116" s="348"/>
      <c r="AQ116" s="348"/>
      <c r="AS116" s="493"/>
      <c r="AT116" s="493"/>
      <c r="AV116" s="493"/>
      <c r="AX116" s="493"/>
      <c r="AY116" s="57"/>
      <c r="AZ116" s="493"/>
      <c r="BA116" s="46"/>
      <c r="BB116" s="46"/>
      <c r="BC116" s="348"/>
      <c r="BE116" s="493"/>
      <c r="BF116" s="46"/>
      <c r="BH116" s="493"/>
    </row>
    <row r="117" spans="1:63" x14ac:dyDescent="0.8">
      <c r="A117" s="46">
        <f>IF(+NFL!$F31="Cincinnati",+NFL!A31,IF(+NFL!$H31="Cincinnati",+NFL!A31,0))</f>
        <v>2</v>
      </c>
      <c r="B117" s="348" t="str">
        <f>IF(+NFL!$F31="Cincinnati",+NFL!B31,IF(+NFL!$H31="Cincinnati",+NFL!B31,0))</f>
        <v>Sun</v>
      </c>
      <c r="C117" s="48">
        <f>IF(+NFL!$F31="Cincinnati",+NFL!C31,IF(+NFL!$H31="Cincinnati",+NFL!C31,0))</f>
        <v>44822</v>
      </c>
      <c r="D117" s="490">
        <f>IF(+NFL!$F31="Cincinnati",+NFL!D31,IF(+NFL!$H31="Cincinnati",+NFL!D31,0))</f>
        <v>0.66666666666666663</v>
      </c>
      <c r="E117" s="491" t="str">
        <f>IF(+NFL!$F31="Cincinnati",+NFL!E31,IF(+NFL!$H31="Cincinnati",+NFL!E31,0))</f>
        <v>CBS</v>
      </c>
      <c r="F117" s="127" t="str">
        <f>IF(+NFL!$F31="Cincinnati",+NFL!F31,IF(+NFL!$H31="Cincinnati",+NFL!F31,0))</f>
        <v>Cincinnati</v>
      </c>
      <c r="G117" s="46" t="str">
        <f>IF(+NFL!$F31="Cincinnati",+NFL!G31,IF(+NFL!$H31="Cincinnati",+NFL!G31,0))</f>
        <v>AFCN</v>
      </c>
      <c r="H117" s="127" t="str">
        <f>IF(+NFL!$F31="Cincinnati",+NFL!H31,IF(+NFL!$H31="Cincinnati",+NFL!H31,0))</f>
        <v>Dallas</v>
      </c>
      <c r="I117" s="491" t="str">
        <f>IF(+NFL!$F31="Cincinnati",+NFL!I31,IF(+NFL!$H31="Cincinnati",+NFL!I31,0))</f>
        <v>NFCE</v>
      </c>
      <c r="J117" s="353" t="str">
        <f>IF(+NFL!$F31="Cincinnati",+NFL!J31,IF(+NFL!$H31="Cincinnati",+NFL!J31,0))</f>
        <v>Cincinnati</v>
      </c>
      <c r="K117" s="494" t="str">
        <f>IF(+NFL!$F31="Cincinnati",+NFL!K31,IF(+NFL!$H31="Cincinnati",+NFL!K31,0))</f>
        <v>Dallas</v>
      </c>
      <c r="L117" s="384">
        <f>IF(+NFL!$F31="Cincinnati",+NFL!L31,IF(+NFL!$H31="Cincinnati",+NFL!L31,0))</f>
        <v>8</v>
      </c>
      <c r="M117" s="385">
        <f>IF(+NFL!$F31="Cincinnati",+NFL!M31,IF(+NFL!$H31="Cincinnati",+NFL!M31,0))</f>
        <v>42.5</v>
      </c>
      <c r="N117" s="394" t="str">
        <f>IF(+NFL!$F31="Cincinnati",+NFL!N31,IF(+NFL!$H31="Cincinnati",+NFL!N31,0))</f>
        <v>Dallas</v>
      </c>
      <c r="O117" s="395">
        <f>IF(+NFL!$F31="Cincinnati",+NFL!O31,IF(+NFL!$H31="Cincinnati",+NFL!O31,0))</f>
        <v>20</v>
      </c>
      <c r="P117" s="394" t="str">
        <f>IF(+NFL!$F31="Cincinnati",+NFL!P31,IF(+NFL!$H31="Cincinnati",+NFL!P31,0))</f>
        <v>Cincinnati</v>
      </c>
      <c r="Q117" s="396">
        <f>IF(+NFL!$F31="Cincinnati",+NFL!Q31,IF(+NFL!$H31="Cincinnati",+NFL!Q31,0))</f>
        <v>17</v>
      </c>
      <c r="R117" s="397" t="str">
        <f>IF(+NFL!$F31="Cincinnati",+NFL!R31,IF(+NFL!$H31="Cincinnati",+NFL!R31,0))</f>
        <v>Dallas</v>
      </c>
      <c r="S117" s="399" t="str">
        <f>IF(+NFL!$F31="Cincinnati",+NFL!S31,IF(+NFL!$H31="Cincinnati",+NFL!S31,0))</f>
        <v>Cincinnati</v>
      </c>
      <c r="T117" s="398" t="str">
        <f>IF(+NFL!$F31="Cincinnati",+NFL!T31,IF(+NFL!$H31="Cincinnati",+NFL!T31,0))</f>
        <v>Cincinnati</v>
      </c>
      <c r="U117" s="396" t="str">
        <f>IF(+NFL!$F31="Cincinnati",+NFL!U31,IF(+NFL!$H31="Cincinnati",+NFL!U31,0))</f>
        <v>L</v>
      </c>
      <c r="W117" s="400"/>
      <c r="X117" s="398"/>
      <c r="AE117" s="388"/>
      <c r="AJ117" s="387"/>
      <c r="AL117" s="69"/>
      <c r="AN117" s="70"/>
      <c r="AP117" s="348"/>
      <c r="AQ117" s="348"/>
      <c r="AS117" s="493"/>
      <c r="AT117" s="493"/>
      <c r="AV117" s="493"/>
      <c r="AX117" s="493"/>
      <c r="AY117" s="57"/>
      <c r="AZ117" s="493"/>
      <c r="BA117" s="46"/>
      <c r="BB117" s="46"/>
      <c r="BC117" s="348"/>
      <c r="BE117" s="493"/>
      <c r="BF117" s="46"/>
      <c r="BH117" s="493"/>
    </row>
    <row r="118" spans="1:63" x14ac:dyDescent="0.8">
      <c r="A118" s="46">
        <f>IF(+NFL!$F45="Cincinnati",+NFL!A45,IF(+NFL!$H45="Cincinnati",+NFL!A45,0))</f>
        <v>3</v>
      </c>
      <c r="B118" s="348" t="str">
        <f>IF(+NFL!$F45="Cincinnati",+NFL!B45,IF(+NFL!$H45="Cincinnati",+NFL!B45,0))</f>
        <v>Sun</v>
      </c>
      <c r="C118" s="48">
        <f>IF(+NFL!$F45="Cincinnati",+NFL!C45,IF(+NFL!$H45="Cincinnati",+NFL!C45,0))</f>
        <v>44829</v>
      </c>
      <c r="D118" s="490">
        <f>IF(+NFL!$F45="Cincinnati",+NFL!D45,IF(+NFL!$H45="Cincinnati",+NFL!D45,0))</f>
        <v>0.54166666666666663</v>
      </c>
      <c r="E118" s="491" t="str">
        <f>IF(+NFL!$F45="Cincinnati",+NFL!E45,IF(+NFL!$H45="Cincinnati",+NFL!E45,0))</f>
        <v>CBS</v>
      </c>
      <c r="F118" s="127" t="str">
        <f>IF(+NFL!$F45="Cincinnati",+NFL!F45,IF(+NFL!$H45="Cincinnati",+NFL!F45,0))</f>
        <v>Cincinnati</v>
      </c>
      <c r="G118" s="46" t="str">
        <f>IF(+NFL!$F45="Cincinnati",+NFL!G45,IF(+NFL!$H45="Cincinnati",+NFL!G45,0))</f>
        <v>AFCN</v>
      </c>
      <c r="H118" s="127" t="str">
        <f>IF(+NFL!$F45="Cincinnati",+NFL!H45,IF(+NFL!$H45="Cincinnati",+NFL!H45,0))</f>
        <v>NY Jets</v>
      </c>
      <c r="I118" s="491" t="str">
        <f>IF(+NFL!$F45="Cincinnati",+NFL!I45,IF(+NFL!$H45="Cincinnati",+NFL!I45,0))</f>
        <v>AFCE</v>
      </c>
      <c r="J118" s="353" t="str">
        <f>IF(+NFL!$F45="Cincinnati",+NFL!J45,IF(+NFL!$H45="Cincinnati",+NFL!J45,0))</f>
        <v>Cincinnati</v>
      </c>
      <c r="K118" s="494" t="str">
        <f>IF(+NFL!$F45="Cincinnati",+NFL!K45,IF(+NFL!$H45="Cincinnati",+NFL!K45,0))</f>
        <v>NY Jets</v>
      </c>
      <c r="L118" s="384">
        <f>IF(+NFL!$F45="Cincinnati",+NFL!L45,IF(+NFL!$H45="Cincinnati",+NFL!L45,0))</f>
        <v>5</v>
      </c>
      <c r="M118" s="385">
        <f>IF(+NFL!$F45="Cincinnati",+NFL!M45,IF(+NFL!$H45="Cincinnati",+NFL!M45,0))</f>
        <v>44.5</v>
      </c>
      <c r="N118" s="394" t="str">
        <f>IF(+NFL!$F45="Cincinnati",+NFL!N45,IF(+NFL!$H45="Cincinnati",+NFL!N45,0))</f>
        <v>Cincinnati</v>
      </c>
      <c r="O118" s="395">
        <f>IF(+NFL!$F45="Cincinnati",+NFL!O45,IF(+NFL!$H45="Cincinnati",+NFL!O45,0))</f>
        <v>27</v>
      </c>
      <c r="P118" s="394" t="str">
        <f>IF(+NFL!$F45="Cincinnati",+NFL!P45,IF(+NFL!$H45="Cincinnati",+NFL!P45,0))</f>
        <v>NY Jets</v>
      </c>
      <c r="Q118" s="396">
        <f>IF(+NFL!$F45="Cincinnati",+NFL!Q45,IF(+NFL!$H45="Cincinnati",+NFL!Q45,0))</f>
        <v>12</v>
      </c>
      <c r="R118" s="397" t="str">
        <f>IF(+NFL!$F45="Cincinnati",+NFL!R45,IF(+NFL!$H45="Cincinnati",+NFL!R45,0))</f>
        <v>Cincinnati</v>
      </c>
      <c r="S118" s="399" t="str">
        <f>IF(+NFL!$F45="Cincinnati",+NFL!S45,IF(+NFL!$H45="Cincinnati",+NFL!S45,0))</f>
        <v>NY Jets</v>
      </c>
      <c r="T118" s="398" t="str">
        <f>IF(+NFL!$F45="Cincinnati",+NFL!T45,IF(+NFL!$H45="Cincinnati",+NFL!T45,0))</f>
        <v>Cincinnati</v>
      </c>
      <c r="U118" s="396" t="str">
        <f>IF(+NFL!$F45="Cincinnati",+NFL!U45,IF(+NFL!$H45="Cincinnati",+NFL!U45,0))</f>
        <v>W</v>
      </c>
      <c r="V118" s="398"/>
      <c r="X118" s="398"/>
      <c r="Y118" s="400"/>
      <c r="AA118" s="400"/>
      <c r="AD118" s="387"/>
      <c r="AJ118" s="387"/>
      <c r="AL118" s="68"/>
      <c r="AP118" s="348"/>
      <c r="AQ118" s="48"/>
      <c r="AS118" s="493"/>
      <c r="AT118" s="493"/>
      <c r="AV118" s="493"/>
      <c r="AX118" s="493"/>
      <c r="AY118" s="57"/>
      <c r="AZ118" s="493"/>
      <c r="BA118" s="46"/>
      <c r="BB118" s="46"/>
      <c r="BC118" s="403"/>
      <c r="BE118" s="493"/>
      <c r="BF118" s="46"/>
      <c r="BH118" s="493"/>
    </row>
    <row r="119" spans="1:63" x14ac:dyDescent="0.8">
      <c r="A119" s="46">
        <f>IF(+NFL!$F55="Cincinnati",+NFL!A55,IF(+NFL!$H55="Cincinnati",+NFL!A55,0))</f>
        <v>4</v>
      </c>
      <c r="B119" s="348" t="str">
        <f>IF(+NFL!$F55="Cincinnati",+NFL!B55,IF(+NFL!$H55="Cincinnati",+NFL!B55,0))</f>
        <v>Thurs</v>
      </c>
      <c r="C119" s="48">
        <f>IF(+NFL!$F55="Cincinnati",+NFL!C55,IF(+NFL!$H55="Cincinnati",+NFL!C55,0))</f>
        <v>44833</v>
      </c>
      <c r="D119" s="490">
        <f>IF(+NFL!$F55="Cincinnati",+NFL!D55,IF(+NFL!$H55="Cincinnati",+NFL!D55,0))</f>
        <v>0.84375</v>
      </c>
      <c r="E119" s="491" t="str">
        <f>IF(+NFL!$F55="Cincinnati",+NFL!E55,IF(+NFL!$H55="Cincinnati",+NFL!E55,0))</f>
        <v>NBC</v>
      </c>
      <c r="F119" s="127" t="str">
        <f>IF(+NFL!$F55="Cincinnati",+NFL!F55,IF(+NFL!$H55="Cincinnati",+NFL!F55,0))</f>
        <v>Miami</v>
      </c>
      <c r="G119" s="46" t="str">
        <f>IF(+NFL!$F55="Cincinnati",+NFL!G55,IF(+NFL!$H55="Cincinnati",+NFL!G55,0))</f>
        <v>AFCE</v>
      </c>
      <c r="H119" s="127" t="str">
        <f>IF(+NFL!$F55="Cincinnati",+NFL!H55,IF(+NFL!$H55="Cincinnati",+NFL!H55,0))</f>
        <v>Cincinnati</v>
      </c>
      <c r="I119" s="491" t="str">
        <f>IF(+NFL!$F55="Cincinnati",+NFL!I55,IF(+NFL!$H55="Cincinnati",+NFL!I55,0))</f>
        <v>AFCN</v>
      </c>
      <c r="J119" s="353" t="str">
        <f>IF(+NFL!$F55="Cincinnati",+NFL!J55,IF(+NFL!$H55="Cincinnati",+NFL!J55,0))</f>
        <v>Cincinnati</v>
      </c>
      <c r="K119" s="494" t="str">
        <f>IF(+NFL!$F55="Cincinnati",+NFL!K55,IF(+NFL!$H55="Cincinnati",+NFL!K55,0))</f>
        <v>Miami</v>
      </c>
      <c r="L119" s="384">
        <f>IF(+NFL!$F55="Cincinnati",+NFL!L55,IF(+NFL!$H55="Cincinnati",+NFL!L55,0))</f>
        <v>4</v>
      </c>
      <c r="M119" s="385">
        <f>IF(+NFL!$F55="Cincinnati",+NFL!M55,IF(+NFL!$H55="Cincinnati",+NFL!M55,0))</f>
        <v>47</v>
      </c>
      <c r="N119" s="394" t="str">
        <f>IF(+NFL!$F55="Cincinnati",+NFL!N55,IF(+NFL!$H55="Cincinnati",+NFL!N55,0))</f>
        <v>Cincinnati</v>
      </c>
      <c r="O119" s="395">
        <f>IF(+NFL!$F55="Cincinnati",+NFL!O55,IF(+NFL!$H55="Cincinnati",+NFL!O55,0))</f>
        <v>27</v>
      </c>
      <c r="P119" s="394" t="str">
        <f>IF(+NFL!$F55="Cincinnati",+NFL!P55,IF(+NFL!$H55="Cincinnati",+NFL!P55,0))</f>
        <v>Miami</v>
      </c>
      <c r="Q119" s="396">
        <f>IF(+NFL!$F55="Cincinnati",+NFL!Q55,IF(+NFL!$H55="Cincinnati",+NFL!Q55,0))</f>
        <v>15</v>
      </c>
      <c r="R119" s="397" t="str">
        <f>IF(+NFL!$F55="Cincinnati",+NFL!R55,IF(+NFL!$H55="Cincinnati",+NFL!R55,0))</f>
        <v>Cincinnati</v>
      </c>
      <c r="S119" s="399" t="str">
        <f>IF(+NFL!$F55="Cincinnati",+NFL!S55,IF(+NFL!$H55="Cincinnati",+NFL!S55,0))</f>
        <v>Miami</v>
      </c>
      <c r="T119" s="398" t="str">
        <f>IF(+NFL!$F55="Cincinnati",+NFL!T55,IF(+NFL!$H55="Cincinnati",+NFL!T55,0))</f>
        <v>Cincinnati</v>
      </c>
      <c r="U119" s="396" t="str">
        <f>IF(+NFL!$F55="Cincinnati",+NFL!U55,IF(+NFL!$H55="Cincinnati",+NFL!U55,0))</f>
        <v>W</v>
      </c>
      <c r="V119" s="398"/>
      <c r="X119" s="398"/>
      <c r="Y119" s="400"/>
      <c r="AA119" s="400"/>
      <c r="AD119" s="387"/>
      <c r="AJ119" s="387"/>
      <c r="AL119" s="68"/>
      <c r="AP119" s="348"/>
      <c r="AQ119" s="48"/>
      <c r="AY119" s="57"/>
      <c r="AZ119" s="64"/>
      <c r="BA119" s="46"/>
      <c r="BB119" s="46"/>
      <c r="BC119" s="403"/>
      <c r="BF119" s="46"/>
    </row>
    <row r="120" spans="1:63" x14ac:dyDescent="0.8">
      <c r="A120" s="46">
        <f>IF(+NFL!$F86="Cincinnati",+NFL!A86,IF(+NFL!$H86="Cincinnati",+NFL!A86,0))</f>
        <v>5</v>
      </c>
      <c r="B120" s="348" t="str">
        <f>IF(+NFL!$F86="Cincinnati",+NFL!B86,IF(+NFL!$H86="Cincinnati",+NFL!B86,0))</f>
        <v>Sun</v>
      </c>
      <c r="C120" s="48">
        <f>IF(+NFL!$F86="Cincinnati",+NFL!C86,IF(+NFL!$H86="Cincinnati",+NFL!C86,0))</f>
        <v>44843</v>
      </c>
      <c r="D120" s="490">
        <f>IF(+NFL!$F86="Cincinnati",+NFL!D86,IF(+NFL!$H86="Cincinnati",+NFL!D86,0))</f>
        <v>0.84375</v>
      </c>
      <c r="E120" s="491" t="str">
        <f>IF(+NFL!$F86="Cincinnati",+NFL!E86,IF(+NFL!$H86="Cincinnati",+NFL!E86,0))</f>
        <v>NBC</v>
      </c>
      <c r="F120" s="127" t="str">
        <f>IF(+NFL!$F86="Cincinnati",+NFL!F86,IF(+NFL!$H86="Cincinnati",+NFL!F86,0))</f>
        <v>Cincinnati</v>
      </c>
      <c r="G120" s="46" t="str">
        <f>IF(+NFL!$F86="Cincinnati",+NFL!G86,IF(+NFL!$H86="Cincinnati",+NFL!G86,0))</f>
        <v>AFCN</v>
      </c>
      <c r="H120" s="127" t="str">
        <f>IF(+NFL!$F86="Cincinnati",+NFL!H86,IF(+NFL!$H86="Cincinnati",+NFL!H86,0))</f>
        <v>Baltimore</v>
      </c>
      <c r="I120" s="491" t="str">
        <f>IF(+NFL!$F86="Cincinnati",+NFL!I86,IF(+NFL!$H86="Cincinnati",+NFL!I86,0))</f>
        <v>AFCN</v>
      </c>
      <c r="J120" s="353" t="str">
        <f>IF(+NFL!$F86="Cincinnati",+NFL!J86,IF(+NFL!$H86="Cincinnati",+NFL!J86,0))</f>
        <v>Baltimore</v>
      </c>
      <c r="K120" s="494" t="str">
        <f>IF(+NFL!$F86="Cincinnati",+NFL!K86,IF(+NFL!$H86="Cincinnati",+NFL!K86,0))</f>
        <v>Cincinnati</v>
      </c>
      <c r="L120" s="384">
        <f>IF(+NFL!$F86="Cincinnati",+NFL!L86,IF(+NFL!$H86="Cincinnati",+NFL!L86,0))</f>
        <v>3</v>
      </c>
      <c r="M120" s="385">
        <f>IF(+NFL!$F86="Cincinnati",+NFL!M86,IF(+NFL!$H86="Cincinnati",+NFL!M86,0))</f>
        <v>48.5</v>
      </c>
      <c r="N120" s="394" t="str">
        <f>IF(+NFL!$F86="Cincinnati",+NFL!N86,IF(+NFL!$H86="Cincinnati",+NFL!N86,0))</f>
        <v>Baltimore</v>
      </c>
      <c r="O120" s="395">
        <f>IF(+NFL!$F86="Cincinnati",+NFL!O86,IF(+NFL!$H86="Cincinnati",+NFL!O86,0))</f>
        <v>19</v>
      </c>
      <c r="P120" s="394" t="str">
        <f>IF(+NFL!$F86="Cincinnati",+NFL!P86,IF(+NFL!$H86="Cincinnati",+NFL!P86,0))</f>
        <v>Cincinnati</v>
      </c>
      <c r="Q120" s="396">
        <f>IF(+NFL!$F86="Cincinnati",+NFL!Q86,IF(+NFL!$H86="Cincinnati",+NFL!Q86,0))</f>
        <v>17</v>
      </c>
      <c r="R120" s="397" t="str">
        <f>IF(+NFL!$F86="Cincinnati",+NFL!R86,IF(+NFL!$H86="Cincinnati",+NFL!R86,0))</f>
        <v>Cincinnati</v>
      </c>
      <c r="S120" s="399" t="str">
        <f>IF(+NFL!$F86="Cincinnati",+NFL!S86,IF(+NFL!$H86="Cincinnati",+NFL!S86,0))</f>
        <v>Baltimore</v>
      </c>
      <c r="T120" s="398" t="str">
        <f>IF(+NFL!$F86="Cincinnati",+NFL!T86,IF(+NFL!$H86="Cincinnati",+NFL!T86,0))</f>
        <v>Cincinnati</v>
      </c>
      <c r="U120" s="396" t="str">
        <f>IF(+NFL!$F86="Cincinnati",+NFL!U86,IF(+NFL!$H86="Cincinnati",+NFL!U86,0))</f>
        <v>W</v>
      </c>
      <c r="V120" s="398">
        <f>IF(+NFL!$F28="Cincinnati",+NFL!#REF!,IF(+NFL!$H28="Cincinnati",+NFL!#REF!,0))</f>
        <v>0</v>
      </c>
      <c r="W120" s="396">
        <f>IF(+NFL!$F28="Cincinnati",+NFL!#REF!,IF(+NFL!$H28="Cincinnati",+NFL!#REF!,0))</f>
        <v>0</v>
      </c>
      <c r="X120" s="398">
        <f>IF(+NFL!$F28="Cincinnati",+NFL!#REF!,IF(+NFL!$H28="Cincinnati",+NFL!#REF!,0))</f>
        <v>0</v>
      </c>
      <c r="Y120" s="400">
        <f>IF(+NFL!$F28="Cincinnati",+NFL!#REF!,IF(+NFL!$H28="Cincinnati",+NFL!#REF!,0))</f>
        <v>0</v>
      </c>
      <c r="Z120" s="397">
        <f>IF(+NFL!$F28="Cincinnati",+NFL!#REF!,IF(+NFL!$H28="Cincinnati",+NFL!#REF!,0))</f>
        <v>0</v>
      </c>
      <c r="AA120" s="400">
        <f>IF(+NFL!$F28="Cincinnati",+NFL!#REF!,IF(+NFL!$H28="Cincinnati",+NFL!#REF!,0))</f>
        <v>0</v>
      </c>
      <c r="AB120" s="87">
        <f>IF(+NFL!$F28="Cincinnati",+NFL!#REF!,IF(+NFL!$H28="Cincinnati",+NFL!#REF!,0))</f>
        <v>0</v>
      </c>
      <c r="AC120" s="120">
        <f>IF(+NFL!$F28="Cincinnati",+NFL!#REF!,IF(+NFL!$H28="Cincinnati",+NFL!#REF!,0))</f>
        <v>0</v>
      </c>
      <c r="AD120" s="387">
        <f>IF(+NFL!$F28="Cincinnati",+NFL!#REF!,IF(+NFL!$H28="Cincinnati",+NFL!#REF!,0))</f>
        <v>0</v>
      </c>
      <c r="AE120" s="379">
        <f>IF(+NFL!$F28="Cincinnati",+NFL!#REF!,IF(+NFL!$H28="Cincinnati",+NFL!#REF!,0))</f>
        <v>0</v>
      </c>
      <c r="AF120" s="353">
        <f>IF(+NFL!$F28="Cincinnati",+NFL!#REF!,IF(+NFL!$H28="Cincinnati",+NFL!#REF!,0))</f>
        <v>0</v>
      </c>
      <c r="AG120" s="379">
        <f>IF(+NFL!$F28="Cincinnati",+NFL!#REF!,IF(+NFL!$H28="Cincinnati",+NFL!#REF!,0))</f>
        <v>0</v>
      </c>
      <c r="AH120" s="353">
        <f>IF(+NFL!$F28="Cincinnati",+NFL!#REF!,IF(+NFL!$H28="Cincinnati",+NFL!#REF!,0))</f>
        <v>0</v>
      </c>
      <c r="AI120" s="379">
        <f>IF(+NFL!$F28="Cincinnati",+NFL!#REF!,IF(+NFL!$H28="Cincinnati",+NFL!#REF!,0))</f>
        <v>0</v>
      </c>
      <c r="AJ120" s="387">
        <f>IF(+NFL!$F28="Cincinnati",+NFL!#REF!,IF(+NFL!$H28="Cincinnati",+NFL!#REF!,0))</f>
        <v>0</v>
      </c>
      <c r="AK120" s="379">
        <f>IF(+NFL!$F28="Cincinnati",+NFL!#REF!,IF(+NFL!$H28="Cincinnati",+NFL!#REF!,0))</f>
        <v>0</v>
      </c>
      <c r="AL120" s="68">
        <f>IF(+NFL!$F28="Cincinnati",+NFL!#REF!,IF(+NFL!$H28="Cincinnati",+NFL!#REF!,0))</f>
        <v>0</v>
      </c>
      <c r="AM120" s="58">
        <f>IF(+NFL!$F28="Cincinnati",+NFL!#REF!,IF(+NFL!$H28="Cincinnati",+NFL!#REF!,0))</f>
        <v>0</v>
      </c>
      <c r="AN120" s="57">
        <f>IF(+NFL!$F28="Cincinnati",+NFL!#REF!,IF(+NFL!$H28="Cincinnati",+NFL!#REF!,0))</f>
        <v>0</v>
      </c>
      <c r="AO120" s="59">
        <f>IF(+NFL!$F28="Cincinnati",+NFL!#REF!,IF(+NFL!$H28="Cincinnati",+NFL!#REF!,0))</f>
        <v>0</v>
      </c>
      <c r="AP120" s="348">
        <f>IF(+NFL!$F28="Cincinnati",+NFL!#REF!,IF(+NFL!$H28="Cincinnati",+NFL!#REF!,0))</f>
        <v>0</v>
      </c>
      <c r="AQ120" s="48">
        <f>IF(+NFL!$F28="Cincinnati",+NFL!#REF!,IF(+NFL!$H28="Cincinnati",+NFL!#REF!,0))</f>
        <v>0</v>
      </c>
      <c r="AR120" s="57">
        <f>IF(+NFL!$F28="Cincinnati",+NFL!#REF!,IF(+NFL!$H28="Cincinnati",+NFL!#REF!,0))</f>
        <v>0</v>
      </c>
      <c r="AS120" s="64">
        <f>IF(+NFL!$F28="Cincinnati",+NFL!#REF!,IF(+NFL!$H28="Cincinnati",+NFL!#REF!,0))</f>
        <v>0</v>
      </c>
      <c r="AT120" s="64">
        <f>IF(+NFL!$F28="Cincinnati",+NFL!#REF!,IF(+NFL!$H28="Cincinnati",+NFL!#REF!,0))</f>
        <v>0</v>
      </c>
      <c r="AU120" s="57">
        <f>IF(+NFL!$F28="Cincinnati",+NFL!#REF!,IF(+NFL!$H28="Cincinnati",+NFL!#REF!,0))</f>
        <v>0</v>
      </c>
      <c r="AV120" s="64">
        <f>IF(+NFL!$F28="Cincinnati",+NFL!#REF!,IF(+NFL!$H28="Cincinnati",+NFL!#REF!,0))</f>
        <v>0</v>
      </c>
      <c r="AW120" s="46">
        <f>IF(+NFL!$F28="Cincinnati",+NFL!#REF!,IF(+NFL!$H28="Cincinnati",+NFL!#REF!,0))</f>
        <v>0</v>
      </c>
      <c r="AX120" s="64">
        <f>IF(+NFL!$F28="Cincinnati",+NFL!#REF!,IF(+NFL!$H28="Cincinnati",+NFL!#REF!,0))</f>
        <v>0</v>
      </c>
      <c r="AY120" s="57">
        <f>IF(+NFL!$F28="Cincinnati",+NFL!#REF!,IF(+NFL!$H28="Cincinnati",+NFL!#REF!,0))</f>
        <v>0</v>
      </c>
      <c r="AZ120" s="64">
        <f>IF(+NFL!$F28="Cincinnati",+NFL!#REF!,IF(+NFL!$H28="Cincinnati",+NFL!#REF!,0))</f>
        <v>0</v>
      </c>
      <c r="BA120" s="46">
        <f>IF(+NFL!$F28="Cincinnati",+NFL!#REF!,IF(+NFL!$H28="Cincinnati",+NFL!#REF!,0))</f>
        <v>0</v>
      </c>
      <c r="BB120" s="46">
        <f>IF(+NFL!$F28="Cincinnati",+NFL!#REF!,IF(+NFL!$H28="Cincinnati",+NFL!#REF!,0))</f>
        <v>0</v>
      </c>
      <c r="BC120" s="403">
        <f>IF(+NFL!$F28="Cincinnati",+NFL!#REF!,IF(+NFL!$H28="Cincinnati",+NFL!#REF!,0))</f>
        <v>0</v>
      </c>
      <c r="BD120" s="57">
        <f>IF(+NFL!$F28="Cincinnati",+NFL!#REF!,IF(+NFL!$H28="Cincinnati",+NFL!#REF!,0))</f>
        <v>0</v>
      </c>
      <c r="BE120" s="64">
        <f>IF(+NFL!$F28="Cincinnati",+NFL!#REF!,IF(+NFL!$H28="Cincinnati",+NFL!#REF!,0))</f>
        <v>0</v>
      </c>
      <c r="BF120" s="46">
        <f>IF(+NFL!$F28="Cincinnati",+NFL!#REF!,IF(+NFL!$H28="Cincinnati",+NFL!#REF!,0))</f>
        <v>0</v>
      </c>
      <c r="BG120" s="57">
        <f>IF(+NFL!$F28="Cincinnati",+NFL!#REF!,IF(+NFL!$H28="Cincinnati",+NFL!#REF!,0))</f>
        <v>0</v>
      </c>
      <c r="BH120" s="64">
        <f>IF(+NFL!$F28="Cincinnati",+NFL!#REF!,IF(+NFL!$H28="Cincinnati",+NFL!#REF!,0))</f>
        <v>0</v>
      </c>
      <c r="BI120" s="46">
        <f>IF(+NFL!$F28="Cincinnati",+NFL!#REF!,IF(+NFL!$H28="Cincinnati",+NFL!#REF!,0))</f>
        <v>0</v>
      </c>
      <c r="BJ120" s="87">
        <f>IF(+NFL!$F28="Cincinnati",+NFL!#REF!,IF(+NFL!$H28="Cincinnati",+NFL!#REF!,0))</f>
        <v>0</v>
      </c>
      <c r="BK120" s="120">
        <f>IF(+NFL!$F28="Cincinnati",+NFL!#REF!,IF(+NFL!$H28="Cincinnati",+NFL!#REF!,0))</f>
        <v>0</v>
      </c>
    </row>
    <row r="121" spans="1:63" x14ac:dyDescent="0.8">
      <c r="A121" s="46">
        <f>IF(+NFL!$F95="Cincinnati",+NFL!A95,IF(+NFL!$H95="Cincinnati",+NFL!A95,0))</f>
        <v>6</v>
      </c>
      <c r="B121" s="348" t="str">
        <f>IF(+NFL!$F95="Cincinnati",+NFL!B95,IF(+NFL!$H95="Cincinnati",+NFL!B95,0))</f>
        <v>Sun</v>
      </c>
      <c r="C121" s="48">
        <f>IF(+NFL!$F95="Cincinnati",+NFL!C95,IF(+NFL!$H95="Cincinnati",+NFL!C95,0))</f>
        <v>44850</v>
      </c>
      <c r="D121" s="490">
        <f>IF(+NFL!$F95="Cincinnati",+NFL!D95,IF(+NFL!$H95="Cincinnati",+NFL!D95,0))</f>
        <v>0.54166666666666663</v>
      </c>
      <c r="E121" s="491" t="str">
        <f>IF(+NFL!$F95="Cincinnati",+NFL!E95,IF(+NFL!$H95="Cincinnati",+NFL!E95,0))</f>
        <v>CBS</v>
      </c>
      <c r="F121" s="127" t="str">
        <f>IF(+NFL!$F95="Cincinnati",+NFL!F95,IF(+NFL!$H95="Cincinnati",+NFL!F95,0))</f>
        <v>Cincinnati</v>
      </c>
      <c r="G121" s="46" t="str">
        <f>IF(+NFL!$F95="Cincinnati",+NFL!G95,IF(+NFL!$H95="Cincinnati",+NFL!G95,0))</f>
        <v>AFCN</v>
      </c>
      <c r="H121" s="127" t="str">
        <f>IF(+NFL!$F95="Cincinnati",+NFL!H95,IF(+NFL!$H95="Cincinnati",+NFL!H95,0))</f>
        <v>New Orleans</v>
      </c>
      <c r="I121" s="491" t="str">
        <f>IF(+NFL!$F95="Cincinnati",+NFL!I95,IF(+NFL!$H95="Cincinnati",+NFL!I95,0))</f>
        <v>NFCS</v>
      </c>
      <c r="J121" s="353" t="str">
        <f>IF(+NFL!$F95="Cincinnati",+NFL!J95,IF(+NFL!$H95="Cincinnati",+NFL!J95,0))</f>
        <v>Cincinnati</v>
      </c>
      <c r="K121" s="494" t="str">
        <f>IF(+NFL!$F95="Cincinnati",+NFL!K95,IF(+NFL!$H95="Cincinnati",+NFL!K95,0))</f>
        <v>New Orleans</v>
      </c>
      <c r="L121" s="384">
        <f>IF(+NFL!$F95="Cincinnati",+NFL!L95,IF(+NFL!$H95="Cincinnati",+NFL!L95,0))</f>
        <v>2</v>
      </c>
      <c r="M121" s="385">
        <f>IF(+NFL!$F95="Cincinnati",+NFL!M95,IF(+NFL!$H95="Cincinnati",+NFL!M95,0))</f>
        <v>43</v>
      </c>
      <c r="N121" s="394" t="str">
        <f>IF(+NFL!$F95="Cincinnati",+NFL!N95,IF(+NFL!$H95="Cincinnati",+NFL!N95,0))</f>
        <v>Cincinnati</v>
      </c>
      <c r="O121" s="395">
        <f>IF(+NFL!$F95="Cincinnati",+NFL!O95,IF(+NFL!$H95="Cincinnati",+NFL!O95,0))</f>
        <v>30</v>
      </c>
      <c r="P121" s="394" t="str">
        <f>IF(+NFL!$F95="Cincinnati",+NFL!P95,IF(+NFL!$H95="Cincinnati",+NFL!P95,0))</f>
        <v>New Orleans</v>
      </c>
      <c r="Q121" s="396">
        <f>IF(+NFL!$F95="Cincinnati",+NFL!Q95,IF(+NFL!$H95="Cincinnati",+NFL!Q95,0))</f>
        <v>26</v>
      </c>
      <c r="R121" s="397" t="str">
        <f>IF(+NFL!$F95="Cincinnati",+NFL!R95,IF(+NFL!$H95="Cincinnati",+NFL!R95,0))</f>
        <v>Cincinnati</v>
      </c>
      <c r="S121" s="399" t="str">
        <f>IF(+NFL!$F95="Cincinnati",+NFL!S95,IF(+NFL!$H95="Cincinnati",+NFL!S95,0))</f>
        <v>New Orleans</v>
      </c>
      <c r="T121" s="398" t="str">
        <f>IF(+NFL!$F95="Cincinnati",+NFL!T95,IF(+NFL!$H95="Cincinnati",+NFL!T95,0))</f>
        <v>New Orleans</v>
      </c>
      <c r="U121" s="396" t="str">
        <f>IF(+NFL!$F95="Cincinnati",+NFL!U95,IF(+NFL!$H95="Cincinnati",+NFL!U95,0))</f>
        <v>L</v>
      </c>
      <c r="V121" s="398">
        <f>IF(+NFL!$F48="Cincinnati",+NFL!#REF!,IF(+NFL!$H48="Cincinnati",+NFL!#REF!,0))</f>
        <v>0</v>
      </c>
      <c r="W121" s="396">
        <f>IF(+NFL!$F48="Cincinnati",+NFL!#REF!,IF(+NFL!$H48="Cincinnati",+NFL!#REF!,0))</f>
        <v>0</v>
      </c>
      <c r="X121" s="398">
        <f>IF(+NFL!$F48="Cincinnati",+NFL!#REF!,IF(+NFL!$H48="Cincinnati",+NFL!#REF!,0))</f>
        <v>0</v>
      </c>
      <c r="Y121" s="400">
        <f>IF(+NFL!$F48="Cincinnati",+NFL!#REF!,IF(+NFL!$H48="Cincinnati",+NFL!#REF!,0))</f>
        <v>0</v>
      </c>
      <c r="Z121" s="397">
        <f>IF(+NFL!$F48="Cincinnati",+NFL!#REF!,IF(+NFL!$H48="Cincinnati",+NFL!#REF!,0))</f>
        <v>0</v>
      </c>
      <c r="AA121" s="400">
        <f>IF(+NFL!$F48="Cincinnati",+NFL!#REF!,IF(+NFL!$H48="Cincinnati",+NFL!#REF!,0))</f>
        <v>0</v>
      </c>
      <c r="AB121" s="87">
        <f>IF(+NFL!$F48="Cincinnati",+NFL!#REF!,IF(+NFL!$H48="Cincinnati",+NFL!#REF!,0))</f>
        <v>0</v>
      </c>
      <c r="AC121" s="120">
        <f>IF(+NFL!$F48="Cincinnati",+NFL!#REF!,IF(+NFL!$H48="Cincinnati",+NFL!#REF!,0))</f>
        <v>0</v>
      </c>
      <c r="AD121" s="387">
        <f>IF(+NFL!$F48="Cincinnati",+NFL!#REF!,IF(+NFL!$H48="Cincinnati",+NFL!#REF!,0))</f>
        <v>0</v>
      </c>
      <c r="AE121" s="379">
        <f>IF(+NFL!$F48="Cincinnati",+NFL!#REF!,IF(+NFL!$H48="Cincinnati",+NFL!#REF!,0))</f>
        <v>0</v>
      </c>
      <c r="AF121" s="353">
        <f>IF(+NFL!$F48="Cincinnati",+NFL!#REF!,IF(+NFL!$H48="Cincinnati",+NFL!#REF!,0))</f>
        <v>0</v>
      </c>
      <c r="AG121" s="379">
        <f>IF(+NFL!$F48="Cincinnati",+NFL!#REF!,IF(+NFL!$H48="Cincinnati",+NFL!#REF!,0))</f>
        <v>0</v>
      </c>
      <c r="AH121" s="353">
        <f>IF(+NFL!$F48="Cincinnati",+NFL!#REF!,IF(+NFL!$H48="Cincinnati",+NFL!#REF!,0))</f>
        <v>0</v>
      </c>
      <c r="AI121" s="379">
        <f>IF(+NFL!$F48="Cincinnati",+NFL!#REF!,IF(+NFL!$H48="Cincinnati",+NFL!#REF!,0))</f>
        <v>0</v>
      </c>
      <c r="AJ121" s="387">
        <f>IF(+NFL!$F48="Cincinnati",+NFL!#REF!,IF(+NFL!$H48="Cincinnati",+NFL!#REF!,0))</f>
        <v>0</v>
      </c>
      <c r="AK121" s="379">
        <f>IF(+NFL!$F48="Cincinnati",+NFL!#REF!,IF(+NFL!$H48="Cincinnati",+NFL!#REF!,0))</f>
        <v>0</v>
      </c>
      <c r="AL121" s="68">
        <f>IF(+NFL!$F48="Cincinnati",+NFL!#REF!,IF(+NFL!$H48="Cincinnati",+NFL!#REF!,0))</f>
        <v>0</v>
      </c>
      <c r="AM121" s="58">
        <f>IF(+NFL!$F48="Cincinnati",+NFL!#REF!,IF(+NFL!$H48="Cincinnati",+NFL!#REF!,0))</f>
        <v>0</v>
      </c>
      <c r="AN121" s="57">
        <f>IF(+NFL!$F48="Cincinnati",+NFL!#REF!,IF(+NFL!$H48="Cincinnati",+NFL!#REF!,0))</f>
        <v>0</v>
      </c>
      <c r="AO121" s="59">
        <f>IF(+NFL!$F48="Cincinnati",+NFL!#REF!,IF(+NFL!$H48="Cincinnati",+NFL!#REF!,0))</f>
        <v>0</v>
      </c>
      <c r="AP121" s="348">
        <f>IF(+NFL!$F48="Cincinnati",+NFL!#REF!,IF(+NFL!$H48="Cincinnati",+NFL!#REF!,0))</f>
        <v>0</v>
      </c>
      <c r="AQ121" s="48">
        <f>IF(+NFL!$F48="Cincinnati",+NFL!#REF!,IF(+NFL!$H48="Cincinnati",+NFL!#REF!,0))</f>
        <v>0</v>
      </c>
      <c r="AR121" s="57">
        <f>IF(+NFL!$F48="Cincinnati",+NFL!#REF!,IF(+NFL!$H48="Cincinnati",+NFL!#REF!,0))</f>
        <v>0</v>
      </c>
      <c r="AS121" s="64">
        <f>IF(+NFL!$F48="Cincinnati",+NFL!#REF!,IF(+NFL!$H48="Cincinnati",+NFL!#REF!,0))</f>
        <v>0</v>
      </c>
      <c r="AT121" s="64">
        <f>IF(+NFL!$F48="Cincinnati",+NFL!#REF!,IF(+NFL!$H48="Cincinnati",+NFL!#REF!,0))</f>
        <v>0</v>
      </c>
      <c r="AU121" s="57">
        <f>IF(+NFL!$F48="Cincinnati",+NFL!#REF!,IF(+NFL!$H48="Cincinnati",+NFL!#REF!,0))</f>
        <v>0</v>
      </c>
      <c r="AV121" s="64">
        <f>IF(+NFL!$F48="Cincinnati",+NFL!#REF!,IF(+NFL!$H48="Cincinnati",+NFL!#REF!,0))</f>
        <v>0</v>
      </c>
      <c r="AW121" s="46">
        <f>IF(+NFL!$F48="Cincinnati",+NFL!#REF!,IF(+NFL!$H48="Cincinnati",+NFL!#REF!,0))</f>
        <v>0</v>
      </c>
      <c r="AX121" s="64">
        <f>IF(+NFL!$F48="Cincinnati",+NFL!#REF!,IF(+NFL!$H48="Cincinnati",+NFL!#REF!,0))</f>
        <v>0</v>
      </c>
      <c r="AY121" s="57">
        <f>IF(+NFL!$F48="Cincinnati",+NFL!#REF!,IF(+NFL!$H48="Cincinnati",+NFL!#REF!,0))</f>
        <v>0</v>
      </c>
      <c r="AZ121" s="64">
        <f>IF(+NFL!$F48="Cincinnati",+NFL!#REF!,IF(+NFL!$H48="Cincinnati",+NFL!#REF!,0))</f>
        <v>0</v>
      </c>
      <c r="BA121" s="46">
        <f>IF(+NFL!$F48="Cincinnati",+NFL!#REF!,IF(+NFL!$H48="Cincinnati",+NFL!#REF!,0))</f>
        <v>0</v>
      </c>
      <c r="BB121" s="46">
        <f>IF(+NFL!$F48="Cincinnati",+NFL!#REF!,IF(+NFL!$H48="Cincinnati",+NFL!#REF!,0))</f>
        <v>0</v>
      </c>
      <c r="BC121" s="403">
        <f>IF(+NFL!$F48="Cincinnati",+NFL!#REF!,IF(+NFL!$H48="Cincinnati",+NFL!#REF!,0))</f>
        <v>0</v>
      </c>
      <c r="BD121" s="57">
        <f>IF(+NFL!$F48="Cincinnati",+NFL!#REF!,IF(+NFL!$H48="Cincinnati",+NFL!#REF!,0))</f>
        <v>0</v>
      </c>
      <c r="BE121" s="64">
        <f>IF(+NFL!$F48="Cincinnati",+NFL!#REF!,IF(+NFL!$H48="Cincinnati",+NFL!#REF!,0))</f>
        <v>0</v>
      </c>
      <c r="BF121" s="46">
        <f>IF(+NFL!$F48="Cincinnati",+NFL!#REF!,IF(+NFL!$H48="Cincinnati",+NFL!#REF!,0))</f>
        <v>0</v>
      </c>
      <c r="BG121" s="57">
        <f>IF(+NFL!$F48="Cincinnati",+NFL!#REF!,IF(+NFL!$H48="Cincinnati",+NFL!#REF!,0))</f>
        <v>0</v>
      </c>
      <c r="BH121" s="64">
        <f>IF(+NFL!$F48="Cincinnati",+NFL!#REF!,IF(+NFL!$H48="Cincinnati",+NFL!#REF!,0))</f>
        <v>0</v>
      </c>
      <c r="BI121" s="46">
        <f>IF(+NFL!$F48="Cincinnati",+NFL!#REF!,IF(+NFL!$H48="Cincinnati",+NFL!#REF!,0))</f>
        <v>0</v>
      </c>
      <c r="BJ121" s="87">
        <f>IF(+NFL!$F48="Cincinnati",+NFL!#REF!,IF(+NFL!$H48="Cincinnati",+NFL!#REF!,0))</f>
        <v>0</v>
      </c>
      <c r="BK121" s="120">
        <f>IF(+NFL!$F48="Cincinnati",+NFL!#REF!,IF(+NFL!$H48="Cincinnati",+NFL!#REF!,0))</f>
        <v>0</v>
      </c>
    </row>
    <row r="122" spans="1:63" x14ac:dyDescent="0.8">
      <c r="A122" s="46">
        <f>IF(+NFL!$F110="Cincinnati",+NFL!A110,IF(+NFL!$H110="Cincinnati",+NFL!A110,0))</f>
        <v>7</v>
      </c>
      <c r="B122" s="348" t="str">
        <f>IF(+NFL!$F110="Cincinnati",+NFL!B110,IF(+NFL!$H110="Cincinnati",+NFL!B110,0))</f>
        <v>Sun</v>
      </c>
      <c r="C122" s="48">
        <f>IF(+NFL!$F110="Cincinnati",+NFL!C110,IF(+NFL!$H110="Cincinnati",+NFL!C110,0))</f>
        <v>44854</v>
      </c>
      <c r="D122" s="490">
        <f>IF(+NFL!$F110="Cincinnati",+NFL!D110,IF(+NFL!$H110="Cincinnati",+NFL!D110,0))</f>
        <v>0.54166666666666663</v>
      </c>
      <c r="E122" s="491" t="str">
        <f>IF(+NFL!$F110="Cincinnati",+NFL!E110,IF(+NFL!$H110="Cincinnati",+NFL!E110,0))</f>
        <v>Fox</v>
      </c>
      <c r="F122" s="127" t="str">
        <f>IF(+NFL!$F110="Cincinnati",+NFL!F110,IF(+NFL!$H110="Cincinnati",+NFL!F110,0))</f>
        <v>Atlanta</v>
      </c>
      <c r="G122" s="46" t="str">
        <f>IF(+NFL!$F110="Cincinnati",+NFL!G110,IF(+NFL!$H110="Cincinnati",+NFL!G110,0))</f>
        <v>NFCS</v>
      </c>
      <c r="H122" s="127" t="str">
        <f>IF(+NFL!$F110="Cincinnati",+NFL!H110,IF(+NFL!$H110="Cincinnati",+NFL!H110,0))</f>
        <v>Cincinnati</v>
      </c>
      <c r="I122" s="491" t="str">
        <f>IF(+NFL!$F110="Cincinnati",+NFL!I110,IF(+NFL!$H110="Cincinnati",+NFL!I110,0))</f>
        <v>AFCN</v>
      </c>
      <c r="J122" s="353" t="str">
        <f>IF(+NFL!$F110="Cincinnati",+NFL!J110,IF(+NFL!$H110="Cincinnati",+NFL!J110,0))</f>
        <v>Cincinnati</v>
      </c>
      <c r="K122" s="494" t="str">
        <f>IF(+NFL!$F110="Cincinnati",+NFL!K110,IF(+NFL!$H110="Cincinnati",+NFL!K110,0))</f>
        <v>Atlanta</v>
      </c>
      <c r="L122" s="384">
        <f>IF(+NFL!$F110="Cincinnati",+NFL!L110,IF(+NFL!$H110="Cincinnati",+NFL!L110,0))</f>
        <v>6</v>
      </c>
      <c r="M122" s="385">
        <f>IF(+NFL!$F110="Cincinnati",+NFL!M110,IF(+NFL!$H110="Cincinnati",+NFL!M110,0))</f>
        <v>47.5</v>
      </c>
      <c r="N122" s="394" t="str">
        <f>IF(+NFL!$F110="Cincinnati",+NFL!N110,IF(+NFL!$H110="Cincinnati",+NFL!N110,0))</f>
        <v>Cincinnati</v>
      </c>
      <c r="O122" s="395">
        <f>IF(+NFL!$F110="Cincinnati",+NFL!O110,IF(+NFL!$H110="Cincinnati",+NFL!O110,0))</f>
        <v>35</v>
      </c>
      <c r="P122" s="394" t="str">
        <f>IF(+NFL!$F110="Cincinnati",+NFL!P110,IF(+NFL!$H110="Cincinnati",+NFL!P110,0))</f>
        <v>Atlanta</v>
      </c>
      <c r="Q122" s="396">
        <f>IF(+NFL!$F110="Cincinnati",+NFL!Q110,IF(+NFL!$H110="Cincinnati",+NFL!Q110,0))</f>
        <v>17</v>
      </c>
      <c r="R122" s="397" t="str">
        <f>IF(+NFL!$F110="Cincinnati",+NFL!R110,IF(+NFL!$H110="Cincinnati",+NFL!R110,0))</f>
        <v>Cincinnati</v>
      </c>
      <c r="S122" s="399" t="str">
        <f>IF(+NFL!$F110="Cincinnati",+NFL!S110,IF(+NFL!$H110="Cincinnati",+NFL!S110,0))</f>
        <v>Atlanta</v>
      </c>
      <c r="T122" s="398" t="str">
        <f>IF(+NFL!$F110="Cincinnati",+NFL!T110,IF(+NFL!$H110="Cincinnati",+NFL!T110,0))</f>
        <v>Cincinnati</v>
      </c>
      <c r="U122" s="396" t="str">
        <f>IF(+NFL!$F110="Cincinnati",+NFL!U110,IF(+NFL!$H110="Cincinnati",+NFL!U110,0))</f>
        <v>W</v>
      </c>
      <c r="V122" s="398" t="e">
        <f>IF(+NFL!#REF!="Cincinnati",+NFL!#REF!,IF(+NFL!#REF!="Cincinnati",+NFL!#REF!,0))</f>
        <v>#REF!</v>
      </c>
      <c r="W122" s="396" t="e">
        <f>IF(+NFL!#REF!="Cincinnati",+NFL!#REF!,IF(+NFL!#REF!="Cincinnati",+NFL!#REF!,0))</f>
        <v>#REF!</v>
      </c>
      <c r="X122" s="398" t="e">
        <f>IF(+NFL!#REF!="Cincinnati",+NFL!#REF!,IF(+NFL!#REF!="Cincinnati",+NFL!#REF!,0))</f>
        <v>#REF!</v>
      </c>
      <c r="Y122" s="400" t="e">
        <f>IF(+NFL!#REF!="Cincinnati",+NFL!#REF!,IF(+NFL!#REF!="Cincinnati",+NFL!#REF!,0))</f>
        <v>#REF!</v>
      </c>
      <c r="Z122" s="397" t="e">
        <f>IF(+NFL!#REF!="Cincinnati",+NFL!#REF!,IF(+NFL!#REF!="Cincinnati",+NFL!#REF!,0))</f>
        <v>#REF!</v>
      </c>
      <c r="AA122" s="400" t="e">
        <f>IF(+NFL!#REF!="Cincinnati",+NFL!#REF!,IF(+NFL!#REF!="Cincinnati",+NFL!#REF!,0))</f>
        <v>#REF!</v>
      </c>
      <c r="AB122" s="87" t="e">
        <f>IF(+NFL!#REF!="Cincinnati",+NFL!#REF!,IF(+NFL!#REF!="Cincinnati",+NFL!#REF!,0))</f>
        <v>#REF!</v>
      </c>
      <c r="AC122" s="120" t="e">
        <f>IF(+NFL!#REF!="Cincinnati",+NFL!#REF!,IF(+NFL!#REF!="Cincinnati",+NFL!#REF!,0))</f>
        <v>#REF!</v>
      </c>
      <c r="AD122" s="387" t="e">
        <f>IF(+NFL!#REF!="Cincinnati",+NFL!#REF!,IF(+NFL!#REF!="Cincinnati",+NFL!#REF!,0))</f>
        <v>#REF!</v>
      </c>
      <c r="AE122" s="379" t="e">
        <f>IF(+NFL!#REF!="Cincinnati",+NFL!#REF!,IF(+NFL!#REF!="Cincinnati",+NFL!#REF!,0))</f>
        <v>#REF!</v>
      </c>
      <c r="AF122" s="353" t="e">
        <f>IF(+NFL!#REF!="Cincinnati",+NFL!#REF!,IF(+NFL!#REF!="Cincinnati",+NFL!#REF!,0))</f>
        <v>#REF!</v>
      </c>
      <c r="AG122" s="379" t="e">
        <f>IF(+NFL!#REF!="Cincinnati",+NFL!#REF!,IF(+NFL!#REF!="Cincinnati",+NFL!#REF!,0))</f>
        <v>#REF!</v>
      </c>
      <c r="AH122" s="353" t="e">
        <f>IF(+NFL!#REF!="Cincinnati",+NFL!#REF!,IF(+NFL!#REF!="Cincinnati",+NFL!#REF!,0))</f>
        <v>#REF!</v>
      </c>
      <c r="AI122" s="379" t="e">
        <f>IF(+NFL!#REF!="Cincinnati",+NFL!#REF!,IF(+NFL!#REF!="Cincinnati",+NFL!#REF!,0))</f>
        <v>#REF!</v>
      </c>
      <c r="AJ122" s="387" t="e">
        <f>IF(+NFL!#REF!="Cincinnati",+NFL!#REF!,IF(+NFL!#REF!="Cincinnati",+NFL!#REF!,0))</f>
        <v>#REF!</v>
      </c>
      <c r="AK122" s="379" t="e">
        <f>IF(+NFL!#REF!="Cincinnati",+NFL!#REF!,IF(+NFL!#REF!="Cincinnati",+NFL!#REF!,0))</f>
        <v>#REF!</v>
      </c>
      <c r="AL122" s="68" t="e">
        <f>IF(+NFL!#REF!="Cincinnati",+NFL!#REF!,IF(+NFL!#REF!="Cincinnati",+NFL!#REF!,0))</f>
        <v>#REF!</v>
      </c>
      <c r="AM122" s="58" t="e">
        <f>IF(+NFL!#REF!="Cincinnati",+NFL!#REF!,IF(+NFL!#REF!="Cincinnati",+NFL!#REF!,0))</f>
        <v>#REF!</v>
      </c>
      <c r="AN122" s="57" t="e">
        <f>IF(+NFL!#REF!="Cincinnati",+NFL!#REF!,IF(+NFL!#REF!="Cincinnati",+NFL!#REF!,0))</f>
        <v>#REF!</v>
      </c>
      <c r="AO122" s="59" t="e">
        <f>IF(+NFL!#REF!="Cincinnati",+NFL!#REF!,IF(+NFL!#REF!="Cincinnati",+NFL!#REF!,0))</f>
        <v>#REF!</v>
      </c>
      <c r="AP122" s="348" t="e">
        <f>IF(+NFL!#REF!="Cincinnati",+NFL!#REF!,IF(+NFL!#REF!="Cincinnati",+NFL!#REF!,0))</f>
        <v>#REF!</v>
      </c>
      <c r="AQ122" s="48" t="e">
        <f>IF(+NFL!#REF!="Cincinnati",+NFL!#REF!,IF(+NFL!#REF!="Cincinnati",+NFL!#REF!,0))</f>
        <v>#REF!</v>
      </c>
      <c r="AR122" s="57" t="e">
        <f>IF(+NFL!#REF!="Cincinnati",+NFL!#REF!,IF(+NFL!#REF!="Cincinnati",+NFL!#REF!,0))</f>
        <v>#REF!</v>
      </c>
      <c r="AS122" s="64" t="e">
        <f>IF(+NFL!#REF!="Cincinnati",+NFL!#REF!,IF(+NFL!#REF!="Cincinnati",+NFL!#REF!,0))</f>
        <v>#REF!</v>
      </c>
      <c r="AT122" s="64" t="e">
        <f>IF(+NFL!#REF!="Cincinnati",+NFL!#REF!,IF(+NFL!#REF!="Cincinnati",+NFL!#REF!,0))</f>
        <v>#REF!</v>
      </c>
      <c r="AU122" s="57" t="e">
        <f>IF(+NFL!#REF!="Cincinnati",+NFL!#REF!,IF(+NFL!#REF!="Cincinnati",+NFL!#REF!,0))</f>
        <v>#REF!</v>
      </c>
      <c r="AV122" s="64" t="e">
        <f>IF(+NFL!#REF!="Cincinnati",+NFL!#REF!,IF(+NFL!#REF!="Cincinnati",+NFL!#REF!,0))</f>
        <v>#REF!</v>
      </c>
      <c r="AW122" s="46" t="e">
        <f>IF(+NFL!#REF!="Cincinnati",+NFL!#REF!,IF(+NFL!#REF!="Cincinnati",+NFL!#REF!,0))</f>
        <v>#REF!</v>
      </c>
      <c r="AX122" s="64" t="e">
        <f>IF(+NFL!#REF!="Cincinnati",+NFL!#REF!,IF(+NFL!#REF!="Cincinnati",+NFL!#REF!,0))</f>
        <v>#REF!</v>
      </c>
      <c r="AY122" s="57" t="e">
        <f>IF(+NFL!#REF!="Cincinnati",+NFL!#REF!,IF(+NFL!#REF!="Cincinnati",+NFL!#REF!,0))</f>
        <v>#REF!</v>
      </c>
      <c r="AZ122" s="64" t="e">
        <f>IF(+NFL!#REF!="Cincinnati",+NFL!#REF!,IF(+NFL!#REF!="Cincinnati",+NFL!#REF!,0))</f>
        <v>#REF!</v>
      </c>
      <c r="BA122" s="46" t="e">
        <f>IF(+NFL!#REF!="Cincinnati",+NFL!#REF!,IF(+NFL!#REF!="Cincinnati",+NFL!#REF!,0))</f>
        <v>#REF!</v>
      </c>
      <c r="BB122" s="46" t="e">
        <f>IF(+NFL!#REF!="Cincinnati",+NFL!#REF!,IF(+NFL!#REF!="Cincinnati",+NFL!#REF!,0))</f>
        <v>#REF!</v>
      </c>
      <c r="BC122" s="403" t="e">
        <f>IF(+NFL!#REF!="Cincinnati",+NFL!#REF!,IF(+NFL!#REF!="Cincinnati",+NFL!#REF!,0))</f>
        <v>#REF!</v>
      </c>
      <c r="BD122" s="57" t="e">
        <f>IF(+NFL!#REF!="Cincinnati",+NFL!#REF!,IF(+NFL!#REF!="Cincinnati",+NFL!#REF!,0))</f>
        <v>#REF!</v>
      </c>
      <c r="BE122" s="64" t="e">
        <f>IF(+NFL!#REF!="Cincinnati",+NFL!#REF!,IF(+NFL!#REF!="Cincinnati",+NFL!#REF!,0))</f>
        <v>#REF!</v>
      </c>
      <c r="BF122" s="46" t="e">
        <f>IF(+NFL!#REF!="Cincinnati",+NFL!#REF!,IF(+NFL!#REF!="Cincinnati",+NFL!#REF!,0))</f>
        <v>#REF!</v>
      </c>
      <c r="BG122" s="57" t="e">
        <f>IF(+NFL!#REF!="Cincinnati",+NFL!#REF!,IF(+NFL!#REF!="Cincinnati",+NFL!#REF!,0))</f>
        <v>#REF!</v>
      </c>
      <c r="BH122" s="64" t="e">
        <f>IF(+NFL!#REF!="Cincinnati",+NFL!#REF!,IF(+NFL!#REF!="Cincinnati",+NFL!#REF!,0))</f>
        <v>#REF!</v>
      </c>
      <c r="BI122" s="46" t="e">
        <f>IF(+NFL!#REF!="Cincinnati",+NFL!#REF!,IF(+NFL!#REF!="Cincinnati",+NFL!#REF!,0))</f>
        <v>#REF!</v>
      </c>
      <c r="BJ122" s="87" t="e">
        <f>IF(+NFL!#REF!="Cincinnati",+NFL!#REF!,IF(+NFL!#REF!="Cincinnati",+NFL!#REF!,0))</f>
        <v>#REF!</v>
      </c>
      <c r="BK122" s="120" t="e">
        <f>IF(+NFL!#REF!="Cincinnati",+NFL!#REF!,IF(+NFL!#REF!="Cincinnati",+NFL!#REF!,0))</f>
        <v>#REF!</v>
      </c>
    </row>
    <row r="123" spans="1:63" x14ac:dyDescent="0.8">
      <c r="A123" s="46">
        <f>IF(+NFL!$F143="Cincinnati",+NFL!A143,IF(+NFL!$H143="Cincinnati",+NFL!A143,0))</f>
        <v>8</v>
      </c>
      <c r="B123" s="348" t="str">
        <f>IF(+NFL!$F143="Cincinnati",+NFL!B143,IF(+NFL!$H143="Cincinnati",+NFL!B143,0))</f>
        <v>Mon</v>
      </c>
      <c r="C123" s="48">
        <f>IF(+NFL!$F143="Cincinnati",+NFL!C143,IF(+NFL!$H143="Cincinnati",+NFL!C143,0))</f>
        <v>44865</v>
      </c>
      <c r="D123" s="490">
        <f>IF(+NFL!$F143="Cincinnati",+NFL!D143,IF(+NFL!$H143="Cincinnati",+NFL!D143,0))</f>
        <v>0.84375</v>
      </c>
      <c r="E123" s="491" t="str">
        <f>IF(+NFL!$F143="Cincinnati",+NFL!E143,IF(+NFL!$H143="Cincinnati",+NFL!E143,0))</f>
        <v>ABC</v>
      </c>
      <c r="F123" s="127" t="str">
        <f>IF(+NFL!$F143="Cincinnati",+NFL!F143,IF(+NFL!$H143="Cincinnati",+NFL!F143,0))</f>
        <v>Cincinnati</v>
      </c>
      <c r="G123" s="46" t="str">
        <f>IF(+NFL!$F143="Cincinnati",+NFL!G143,IF(+NFL!$H143="Cincinnati",+NFL!G143,0))</f>
        <v>AFCN</v>
      </c>
      <c r="H123" s="127" t="str">
        <f>IF(+NFL!$F143="Cincinnati",+NFL!H143,IF(+NFL!$H143="Cincinnati",+NFL!H143,0))</f>
        <v>Cleveland</v>
      </c>
      <c r="I123" s="491" t="str">
        <f>IF(+NFL!$F143="Cincinnati",+NFL!I143,IF(+NFL!$H143="Cincinnati",+NFL!I143,0))</f>
        <v>AFCN</v>
      </c>
      <c r="J123" s="353" t="str">
        <f>IF(+NFL!$F143="Cincinnati",+NFL!J143,IF(+NFL!$H143="Cincinnati",+NFL!J143,0))</f>
        <v>Cincinnati</v>
      </c>
      <c r="K123" s="494" t="str">
        <f>IF(+NFL!$F143="Cincinnati",+NFL!K143,IF(+NFL!$H143="Cincinnati",+NFL!K143,0))</f>
        <v>Cleveland</v>
      </c>
      <c r="L123" s="384">
        <f>IF(+NFL!$F143="Cincinnati",+NFL!L143,IF(+NFL!$H143="Cincinnati",+NFL!L143,0))</f>
        <v>3</v>
      </c>
      <c r="M123" s="385">
        <f>IF(+NFL!$F143="Cincinnati",+NFL!M143,IF(+NFL!$H143="Cincinnati",+NFL!M143,0))</f>
        <v>47.5</v>
      </c>
      <c r="N123" s="394" t="str">
        <f>IF(+NFL!$F143="Cincinnati",+NFL!N143,IF(+NFL!$H143="Cincinnati",+NFL!N143,0))</f>
        <v>Cleveland</v>
      </c>
      <c r="O123" s="395">
        <f>IF(+NFL!$F143="Cincinnati",+NFL!O143,IF(+NFL!$H143="Cincinnati",+NFL!O143,0))</f>
        <v>32</v>
      </c>
      <c r="P123" s="394" t="str">
        <f>IF(+NFL!$F143="Cincinnati",+NFL!P143,IF(+NFL!$H143="Cincinnati",+NFL!P143,0))</f>
        <v>Cincinnati</v>
      </c>
      <c r="Q123" s="396">
        <f>IF(+NFL!$F143="Cincinnati",+NFL!Q143,IF(+NFL!$H143="Cincinnati",+NFL!Q143,0))</f>
        <v>13</v>
      </c>
      <c r="R123" s="397" t="str">
        <f>IF(+NFL!$F143="Cincinnati",+NFL!R143,IF(+NFL!$H143="Cincinnati",+NFL!R143,0))</f>
        <v>Cleveland</v>
      </c>
      <c r="S123" s="399" t="str">
        <f>IF(+NFL!$F143="Cincinnati",+NFL!S143,IF(+NFL!$H143="Cincinnati",+NFL!S143,0))</f>
        <v>Cincinnati</v>
      </c>
      <c r="T123" s="398" t="str">
        <f>IF(+NFL!$F143="Cincinnati",+NFL!T143,IF(+NFL!$H143="Cincinnati",+NFL!T143,0))</f>
        <v>Cincinnati</v>
      </c>
      <c r="U123" s="396" t="str">
        <f>IF(+NFL!$F143="Cincinnati",+NFL!U143,IF(+NFL!$H143="Cincinnati",+NFL!U143,0))</f>
        <v>L</v>
      </c>
      <c r="V123" s="398">
        <f>IF(+NFL!$F90="Cincinnati",+NFL!#REF!,IF(+NFL!$H90="Cincinnati",+NFL!#REF!,0))</f>
        <v>0</v>
      </c>
      <c r="W123" s="396">
        <f>IF(+NFL!$F90="Cincinnati",+NFL!#REF!,IF(+NFL!$H90="Cincinnati",+NFL!#REF!,0))</f>
        <v>0</v>
      </c>
      <c r="X123" s="398">
        <f>IF(+NFL!$F90="Cincinnati",+NFL!#REF!,IF(+NFL!$H90="Cincinnati",+NFL!#REF!,0))</f>
        <v>0</v>
      </c>
      <c r="Y123" s="400">
        <f>IF(+NFL!$F90="Cincinnati",+NFL!#REF!,IF(+NFL!$H90="Cincinnati",+NFL!#REF!,0))</f>
        <v>0</v>
      </c>
      <c r="Z123" s="397">
        <f>IF(+NFL!$F90="Cincinnati",+NFL!#REF!,IF(+NFL!$H90="Cincinnati",+NFL!#REF!,0))</f>
        <v>0</v>
      </c>
      <c r="AA123" s="400">
        <f>IF(+NFL!$F90="Cincinnati",+NFL!#REF!,IF(+NFL!$H90="Cincinnati",+NFL!#REF!,0))</f>
        <v>0</v>
      </c>
      <c r="AB123" s="87">
        <f>IF(+NFL!$F90="Cincinnati",+NFL!#REF!,IF(+NFL!$H90="Cincinnati",+NFL!#REF!,0))</f>
        <v>0</v>
      </c>
      <c r="AC123" s="120">
        <f>IF(+NFL!$F90="Cincinnati",+NFL!#REF!,IF(+NFL!$H90="Cincinnati",+NFL!#REF!,0))</f>
        <v>0</v>
      </c>
      <c r="AD123" s="387">
        <f>IF(+NFL!$F90="Cincinnati",+NFL!#REF!,IF(+NFL!$H90="Cincinnati",+NFL!#REF!,0))</f>
        <v>0</v>
      </c>
      <c r="AE123" s="379">
        <f>IF(+NFL!$F90="Cincinnati",+NFL!#REF!,IF(+NFL!$H90="Cincinnati",+NFL!#REF!,0))</f>
        <v>0</v>
      </c>
      <c r="AF123" s="353">
        <f>IF(+NFL!$F90="Cincinnati",+NFL!#REF!,IF(+NFL!$H90="Cincinnati",+NFL!#REF!,0))</f>
        <v>0</v>
      </c>
      <c r="AG123" s="379">
        <f>IF(+NFL!$F90="Cincinnati",+NFL!#REF!,IF(+NFL!$H90="Cincinnati",+NFL!#REF!,0))</f>
        <v>0</v>
      </c>
      <c r="AH123" s="353">
        <f>IF(+NFL!$F90="Cincinnati",+NFL!#REF!,IF(+NFL!$H90="Cincinnati",+NFL!#REF!,0))</f>
        <v>0</v>
      </c>
      <c r="AI123" s="379">
        <f>IF(+NFL!$F90="Cincinnati",+NFL!#REF!,IF(+NFL!$H90="Cincinnati",+NFL!#REF!,0))</f>
        <v>0</v>
      </c>
      <c r="AJ123" s="387">
        <f>IF(+NFL!$F90="Cincinnati",+NFL!#REF!,IF(+NFL!$H90="Cincinnati",+NFL!#REF!,0))</f>
        <v>0</v>
      </c>
      <c r="AK123" s="379">
        <f>IF(+NFL!$F90="Cincinnati",+NFL!#REF!,IF(+NFL!$H90="Cincinnati",+NFL!#REF!,0))</f>
        <v>0</v>
      </c>
      <c r="AL123" s="68">
        <f>IF(+NFL!$F90="Cincinnati",+NFL!#REF!,IF(+NFL!$H90="Cincinnati",+NFL!#REF!,0))</f>
        <v>0</v>
      </c>
      <c r="AM123" s="58">
        <f>IF(+NFL!$F90="Cincinnati",+NFL!#REF!,IF(+NFL!$H90="Cincinnati",+NFL!#REF!,0))</f>
        <v>0</v>
      </c>
      <c r="AN123" s="57">
        <f>IF(+NFL!$F90="Cincinnati",+NFL!#REF!,IF(+NFL!$H90="Cincinnati",+NFL!#REF!,0))</f>
        <v>0</v>
      </c>
      <c r="AO123" s="59">
        <f>IF(+NFL!$F90="Cincinnati",+NFL!#REF!,IF(+NFL!$H90="Cincinnati",+NFL!#REF!,0))</f>
        <v>0</v>
      </c>
      <c r="AP123" s="348">
        <f>IF(+NFL!$F90="Cincinnati",+NFL!#REF!,IF(+NFL!$H90="Cincinnati",+NFL!#REF!,0))</f>
        <v>0</v>
      </c>
      <c r="AQ123" s="48">
        <f>IF(+NFL!$F90="Cincinnati",+NFL!#REF!,IF(+NFL!$H90="Cincinnati",+NFL!#REF!,0))</f>
        <v>0</v>
      </c>
      <c r="AR123" s="57">
        <f>IF(+NFL!$F90="Cincinnati",+NFL!#REF!,IF(+NFL!$H90="Cincinnati",+NFL!#REF!,0))</f>
        <v>0</v>
      </c>
      <c r="AS123" s="64">
        <f>IF(+NFL!$F90="Cincinnati",+NFL!#REF!,IF(+NFL!$H90="Cincinnati",+NFL!#REF!,0))</f>
        <v>0</v>
      </c>
      <c r="AT123" s="64">
        <f>IF(+NFL!$F90="Cincinnati",+NFL!#REF!,IF(+NFL!$H90="Cincinnati",+NFL!#REF!,0))</f>
        <v>0</v>
      </c>
      <c r="AU123" s="57">
        <f>IF(+NFL!$F90="Cincinnati",+NFL!#REF!,IF(+NFL!$H90="Cincinnati",+NFL!#REF!,0))</f>
        <v>0</v>
      </c>
      <c r="AV123" s="64">
        <f>IF(+NFL!$F90="Cincinnati",+NFL!#REF!,IF(+NFL!$H90="Cincinnati",+NFL!#REF!,0))</f>
        <v>0</v>
      </c>
      <c r="AW123" s="46">
        <f>IF(+NFL!$F90="Cincinnati",+NFL!#REF!,IF(+NFL!$H90="Cincinnati",+NFL!#REF!,0))</f>
        <v>0</v>
      </c>
      <c r="AX123" s="64">
        <f>IF(+NFL!$F90="Cincinnati",+NFL!#REF!,IF(+NFL!$H90="Cincinnati",+NFL!#REF!,0))</f>
        <v>0</v>
      </c>
      <c r="AY123" s="57">
        <f>IF(+NFL!$F90="Cincinnati",+NFL!#REF!,IF(+NFL!$H90="Cincinnati",+NFL!#REF!,0))</f>
        <v>0</v>
      </c>
      <c r="AZ123" s="64">
        <f>IF(+NFL!$F90="Cincinnati",+NFL!#REF!,IF(+NFL!$H90="Cincinnati",+NFL!#REF!,0))</f>
        <v>0</v>
      </c>
      <c r="BA123" s="46">
        <f>IF(+NFL!$F90="Cincinnati",+NFL!#REF!,IF(+NFL!$H90="Cincinnati",+NFL!#REF!,0))</f>
        <v>0</v>
      </c>
      <c r="BB123" s="46">
        <f>IF(+NFL!$F90="Cincinnati",+NFL!#REF!,IF(+NFL!$H90="Cincinnati",+NFL!#REF!,0))</f>
        <v>0</v>
      </c>
      <c r="BC123" s="403">
        <f>IF(+NFL!$F90="Cincinnati",+NFL!#REF!,IF(+NFL!$H90="Cincinnati",+NFL!#REF!,0))</f>
        <v>0</v>
      </c>
      <c r="BD123" s="57">
        <f>IF(+NFL!$F90="Cincinnati",+NFL!#REF!,IF(+NFL!$H90="Cincinnati",+NFL!#REF!,0))</f>
        <v>0</v>
      </c>
      <c r="BE123" s="64">
        <f>IF(+NFL!$F90="Cincinnati",+NFL!#REF!,IF(+NFL!$H90="Cincinnati",+NFL!#REF!,0))</f>
        <v>0</v>
      </c>
      <c r="BF123" s="46">
        <f>IF(+NFL!$F90="Cincinnati",+NFL!#REF!,IF(+NFL!$H90="Cincinnati",+NFL!#REF!,0))</f>
        <v>0</v>
      </c>
      <c r="BG123" s="57">
        <f>IF(+NFL!$F90="Cincinnati",+NFL!#REF!,IF(+NFL!$H90="Cincinnati",+NFL!#REF!,0))</f>
        <v>0</v>
      </c>
      <c r="BH123" s="64">
        <f>IF(+NFL!$F90="Cincinnati",+NFL!#REF!,IF(+NFL!$H90="Cincinnati",+NFL!#REF!,0))</f>
        <v>0</v>
      </c>
      <c r="BI123" s="46">
        <f>IF(+NFL!$F90="Cincinnati",+NFL!#REF!,IF(+NFL!$H90="Cincinnati",+NFL!#REF!,0))</f>
        <v>0</v>
      </c>
      <c r="BJ123" s="87">
        <f>IF(+NFL!$F90="Cincinnati",+NFL!#REF!,IF(+NFL!$H90="Cincinnati",+NFL!#REF!,0))</f>
        <v>0</v>
      </c>
      <c r="BK123" s="120">
        <f>IF(+NFL!$F90="Cincinnati",+NFL!#REF!,IF(+NFL!$H90="Cincinnati",+NFL!#REF!,0))</f>
        <v>0</v>
      </c>
    </row>
    <row r="124" spans="1:63" x14ac:dyDescent="0.8">
      <c r="A124" s="46">
        <f>IF(+NFL!$F150="Cincinnati",+NFL!A150,IF(+NFL!$H150="Cincinnati",+NFL!A150,0))</f>
        <v>9</v>
      </c>
      <c r="B124" s="348" t="str">
        <f>IF(+NFL!$F150="Cincinnati",+NFL!B150,IF(+NFL!$H150="Cincinnati",+NFL!B150,0))</f>
        <v>Sun</v>
      </c>
      <c r="C124" s="48">
        <f>IF(+NFL!$F150="Cincinnati",+NFL!C150,IF(+NFL!$H150="Cincinnati",+NFL!C150,0))</f>
        <v>44871</v>
      </c>
      <c r="D124" s="490">
        <f>IF(+NFL!$F150="Cincinnati",+NFL!D150,IF(+NFL!$H150="Cincinnati",+NFL!D150,0))</f>
        <v>0.39583333333333331</v>
      </c>
      <c r="E124" s="491" t="str">
        <f>IF(+NFL!$F150="Cincinnati",+NFL!E150,IF(+NFL!$H150="Cincinnati",+NFL!E150,0))</f>
        <v>Fox</v>
      </c>
      <c r="F124" s="127" t="str">
        <f>IF(+NFL!$F150="Cincinnati",+NFL!F150,IF(+NFL!$H150="Cincinnati",+NFL!F150,0))</f>
        <v>Carolina</v>
      </c>
      <c r="G124" s="46" t="str">
        <f>IF(+NFL!$F150="Cincinnati",+NFL!G150,IF(+NFL!$H150="Cincinnati",+NFL!G150,0))</f>
        <v>NFCS</v>
      </c>
      <c r="H124" s="127" t="str">
        <f>IF(+NFL!$F150="Cincinnati",+NFL!H150,IF(+NFL!$H150="Cincinnati",+NFL!H150,0))</f>
        <v>Cincinnati</v>
      </c>
      <c r="I124" s="491" t="str">
        <f>IF(+NFL!$F150="Cincinnati",+NFL!I150,IF(+NFL!$H150="Cincinnati",+NFL!I150,0))</f>
        <v>AFCN</v>
      </c>
      <c r="J124" s="353" t="str">
        <f>IF(+NFL!$F150="Cincinnati",+NFL!J150,IF(+NFL!$H150="Cincinnati",+NFL!J150,0))</f>
        <v>Cincinnati</v>
      </c>
      <c r="K124" s="494" t="str">
        <f>IF(+NFL!$F150="Cincinnati",+NFL!K150,IF(+NFL!$H150="Cincinnati",+NFL!K150,0))</f>
        <v>Carolina</v>
      </c>
      <c r="L124" s="384">
        <f>IF(+NFL!$F150="Cincinnati",+NFL!L150,IF(+NFL!$H150="Cincinnati",+NFL!L150,0))</f>
        <v>7.5</v>
      </c>
      <c r="M124" s="385">
        <f>IF(+NFL!$F150="Cincinnati",+NFL!M150,IF(+NFL!$H150="Cincinnati",+NFL!M150,0))</f>
        <v>42.5</v>
      </c>
      <c r="N124" s="394" t="str">
        <f>IF(+NFL!$F150="Cincinnati",+NFL!N150,IF(+NFL!$H150="Cincinnati",+NFL!N150,0))</f>
        <v>Cincinnati</v>
      </c>
      <c r="O124" s="395">
        <f>IF(+NFL!$F150="Cincinnati",+NFL!O150,IF(+NFL!$H150="Cincinnati",+NFL!O150,0))</f>
        <v>42</v>
      </c>
      <c r="P124" s="394" t="str">
        <f>IF(+NFL!$F150="Cincinnati",+NFL!P150,IF(+NFL!$H150="Cincinnati",+NFL!P150,0))</f>
        <v>Carolina</v>
      </c>
      <c r="Q124" s="396">
        <f>IF(+NFL!$F150="Cincinnati",+NFL!Q150,IF(+NFL!$H150="Cincinnati",+NFL!Q150,0))</f>
        <v>21</v>
      </c>
      <c r="R124" s="397" t="str">
        <f>IF(+NFL!$F150="Cincinnati",+NFL!R150,IF(+NFL!$H150="Cincinnati",+NFL!R150,0))</f>
        <v>Cincinnati</v>
      </c>
      <c r="S124" s="399" t="str">
        <f>IF(+NFL!$F150="Cincinnati",+NFL!S150,IF(+NFL!$H150="Cincinnati",+NFL!S150,0))</f>
        <v>Carolina</v>
      </c>
      <c r="T124" s="398" t="str">
        <f>IF(+NFL!$F150="Cincinnati",+NFL!T150,IF(+NFL!$H150="Cincinnati",+NFL!T150,0))</f>
        <v>Carolina</v>
      </c>
      <c r="U124" s="396" t="str">
        <f>IF(+NFL!$F150="Cincinnati",+NFL!U150,IF(+NFL!$H150="Cincinnati",+NFL!U150,0))</f>
        <v>L</v>
      </c>
      <c r="V124" s="398">
        <f>IF(+NFL!$F115="Cincinnati",+NFL!#REF!,IF(+NFL!$H115="Cincinnati",+NFL!#REF!,0))</f>
        <v>0</v>
      </c>
      <c r="W124" s="396">
        <f>IF(+NFL!$F115="Cincinnati",+NFL!#REF!,IF(+NFL!$H115="Cincinnati",+NFL!#REF!,0))</f>
        <v>0</v>
      </c>
      <c r="X124" s="398">
        <f>IF(+NFL!$F115="Cincinnati",+NFL!#REF!,IF(+NFL!$H115="Cincinnati",+NFL!#REF!,0))</f>
        <v>0</v>
      </c>
      <c r="Y124" s="400">
        <f>IF(+NFL!$F115="Cincinnati",+NFL!#REF!,IF(+NFL!$H115="Cincinnati",+NFL!#REF!,0))</f>
        <v>0</v>
      </c>
      <c r="Z124" s="397">
        <f>IF(+NFL!$F115="Cincinnati",+NFL!#REF!,IF(+NFL!$H115="Cincinnati",+NFL!#REF!,0))</f>
        <v>0</v>
      </c>
      <c r="AA124" s="400">
        <f>IF(+NFL!$F115="Cincinnati",+NFL!#REF!,IF(+NFL!$H115="Cincinnati",+NFL!#REF!,0))</f>
        <v>0</v>
      </c>
      <c r="AB124" s="87">
        <f>IF(+NFL!$F115="Cincinnati",+NFL!#REF!,IF(+NFL!$H115="Cincinnati",+NFL!#REF!,0))</f>
        <v>0</v>
      </c>
      <c r="AC124" s="120">
        <f>IF(+NFL!$F115="Cincinnati",+NFL!#REF!,IF(+NFL!$H115="Cincinnati",+NFL!#REF!,0))</f>
        <v>0</v>
      </c>
      <c r="AD124" s="387">
        <f>IF(+NFL!$F115="Cincinnati",+NFL!#REF!,IF(+NFL!$H115="Cincinnati",+NFL!#REF!,0))</f>
        <v>0</v>
      </c>
      <c r="AE124" s="379">
        <f>IF(+NFL!$F115="Cincinnati",+NFL!#REF!,IF(+NFL!$H115="Cincinnati",+NFL!#REF!,0))</f>
        <v>0</v>
      </c>
      <c r="AF124" s="353">
        <f>IF(+NFL!$F115="Cincinnati",+NFL!#REF!,IF(+NFL!$H115="Cincinnati",+NFL!#REF!,0))</f>
        <v>0</v>
      </c>
      <c r="AG124" s="379">
        <f>IF(+NFL!$F115="Cincinnati",+NFL!#REF!,IF(+NFL!$H115="Cincinnati",+NFL!#REF!,0))</f>
        <v>0</v>
      </c>
      <c r="AH124" s="353">
        <f>IF(+NFL!$F115="Cincinnati",+NFL!#REF!,IF(+NFL!$H115="Cincinnati",+NFL!#REF!,0))</f>
        <v>0</v>
      </c>
      <c r="AI124" s="379">
        <f>IF(+NFL!$F115="Cincinnati",+NFL!#REF!,IF(+NFL!$H115="Cincinnati",+NFL!#REF!,0))</f>
        <v>0</v>
      </c>
      <c r="AJ124" s="387">
        <f>IF(+NFL!$F115="Cincinnati",+NFL!#REF!,IF(+NFL!$H115="Cincinnati",+NFL!#REF!,0))</f>
        <v>0</v>
      </c>
      <c r="AK124" s="379">
        <f>IF(+NFL!$F115="Cincinnati",+NFL!#REF!,IF(+NFL!$H115="Cincinnati",+NFL!#REF!,0))</f>
        <v>0</v>
      </c>
      <c r="AL124" s="68">
        <f>IF(+NFL!$F115="Cincinnati",+NFL!#REF!,IF(+NFL!$H115="Cincinnati",+NFL!#REF!,0))</f>
        <v>0</v>
      </c>
      <c r="AM124" s="58">
        <f>IF(+NFL!$F115="Cincinnati",+NFL!#REF!,IF(+NFL!$H115="Cincinnati",+NFL!#REF!,0))</f>
        <v>0</v>
      </c>
      <c r="AN124" s="57">
        <f>IF(+NFL!$F115="Cincinnati",+NFL!#REF!,IF(+NFL!$H115="Cincinnati",+NFL!#REF!,0))</f>
        <v>0</v>
      </c>
      <c r="AO124" s="59">
        <f>IF(+NFL!$F115="Cincinnati",+NFL!#REF!,IF(+NFL!$H115="Cincinnati",+NFL!#REF!,0))</f>
        <v>0</v>
      </c>
      <c r="AP124" s="348">
        <f>IF(+NFL!$F115="Cincinnati",+NFL!#REF!,IF(+NFL!$H115="Cincinnati",+NFL!#REF!,0))</f>
        <v>0</v>
      </c>
      <c r="AQ124" s="48">
        <f>IF(+NFL!$F115="Cincinnati",+NFL!#REF!,IF(+NFL!$H115="Cincinnati",+NFL!#REF!,0))</f>
        <v>0</v>
      </c>
      <c r="AR124" s="57">
        <f>IF(+NFL!$F115="Cincinnati",+NFL!#REF!,IF(+NFL!$H115="Cincinnati",+NFL!#REF!,0))</f>
        <v>0</v>
      </c>
      <c r="AS124" s="64">
        <f>IF(+NFL!$F115="Cincinnati",+NFL!#REF!,IF(+NFL!$H115="Cincinnati",+NFL!#REF!,0))</f>
        <v>0</v>
      </c>
      <c r="AT124" s="64">
        <f>IF(+NFL!$F115="Cincinnati",+NFL!#REF!,IF(+NFL!$H115="Cincinnati",+NFL!#REF!,0))</f>
        <v>0</v>
      </c>
      <c r="AU124" s="57">
        <f>IF(+NFL!$F115="Cincinnati",+NFL!#REF!,IF(+NFL!$H115="Cincinnati",+NFL!#REF!,0))</f>
        <v>0</v>
      </c>
      <c r="AV124" s="64">
        <f>IF(+NFL!$F115="Cincinnati",+NFL!#REF!,IF(+NFL!$H115="Cincinnati",+NFL!#REF!,0))</f>
        <v>0</v>
      </c>
      <c r="AW124" s="46">
        <f>IF(+NFL!$F115="Cincinnati",+NFL!#REF!,IF(+NFL!$H115="Cincinnati",+NFL!#REF!,0))</f>
        <v>0</v>
      </c>
      <c r="AX124" s="64">
        <f>IF(+NFL!$F115="Cincinnati",+NFL!#REF!,IF(+NFL!$H115="Cincinnati",+NFL!#REF!,0))</f>
        <v>0</v>
      </c>
      <c r="AY124" s="57">
        <f>IF(+NFL!$F115="Cincinnati",+NFL!#REF!,IF(+NFL!$H115="Cincinnati",+NFL!#REF!,0))</f>
        <v>0</v>
      </c>
      <c r="AZ124" s="64">
        <f>IF(+NFL!$F115="Cincinnati",+NFL!#REF!,IF(+NFL!$H115="Cincinnati",+NFL!#REF!,0))</f>
        <v>0</v>
      </c>
      <c r="BA124" s="46">
        <f>IF(+NFL!$F115="Cincinnati",+NFL!#REF!,IF(+NFL!$H115="Cincinnati",+NFL!#REF!,0))</f>
        <v>0</v>
      </c>
      <c r="BB124" s="46">
        <f>IF(+NFL!$F115="Cincinnati",+NFL!#REF!,IF(+NFL!$H115="Cincinnati",+NFL!#REF!,0))</f>
        <v>0</v>
      </c>
      <c r="BC124" s="403">
        <f>IF(+NFL!$F115="Cincinnati",+NFL!#REF!,IF(+NFL!$H115="Cincinnati",+NFL!#REF!,0))</f>
        <v>0</v>
      </c>
      <c r="BD124" s="57">
        <f>IF(+NFL!$F115="Cincinnati",+NFL!#REF!,IF(+NFL!$H115="Cincinnati",+NFL!#REF!,0))</f>
        <v>0</v>
      </c>
      <c r="BE124" s="64">
        <f>IF(+NFL!$F115="Cincinnati",+NFL!#REF!,IF(+NFL!$H115="Cincinnati",+NFL!#REF!,0))</f>
        <v>0</v>
      </c>
      <c r="BF124" s="46">
        <f>IF(+NFL!$F115="Cincinnati",+NFL!#REF!,IF(+NFL!$H115="Cincinnati",+NFL!#REF!,0))</f>
        <v>0</v>
      </c>
      <c r="BG124" s="57">
        <f>IF(+NFL!$F115="Cincinnati",+NFL!#REF!,IF(+NFL!$H115="Cincinnati",+NFL!#REF!,0))</f>
        <v>0</v>
      </c>
      <c r="BH124" s="64">
        <f>IF(+NFL!$F115="Cincinnati",+NFL!#REF!,IF(+NFL!$H115="Cincinnati",+NFL!#REF!,0))</f>
        <v>0</v>
      </c>
      <c r="BI124" s="46">
        <f>IF(+NFL!$F115="Cincinnati",+NFL!#REF!,IF(+NFL!$H115="Cincinnati",+NFL!#REF!,0))</f>
        <v>0</v>
      </c>
      <c r="BJ124" s="87">
        <f>IF(+NFL!$F115="Cincinnati",+NFL!#REF!,IF(+NFL!$H115="Cincinnati",+NFL!#REF!,0))</f>
        <v>0</v>
      </c>
      <c r="BK124" s="120">
        <f>IF(+NFL!$F115="Cincinnati",+NFL!#REF!,IF(+NFL!$H115="Cincinnati",+NFL!#REF!,0))</f>
        <v>0</v>
      </c>
    </row>
    <row r="125" spans="1:63" x14ac:dyDescent="0.8">
      <c r="A125" s="46">
        <f>IF(+NFL!$F184="Cincinnati",+NFL!A184,IF(+NFL!$H184="Cincinnati",+NFL!A184,0))</f>
        <v>10</v>
      </c>
      <c r="B125" s="348">
        <f>IF(+NFL!$F184="Cincinnati",+NFL!B184,IF(+NFL!$H184="Cincinnati",+NFL!B184,0))</f>
        <v>0</v>
      </c>
      <c r="C125" s="48">
        <f>IF(+NFL!$F184="Cincinnati",+NFL!C184,IF(+NFL!$H184="Cincinnati",+NFL!C184,0))</f>
        <v>0</v>
      </c>
      <c r="D125" s="490">
        <f>IF(+NFL!$F184="Cincinnati",+NFL!D184,IF(+NFL!$H184="Cincinnati",+NFL!D184,0))</f>
        <v>0</v>
      </c>
      <c r="E125" s="491">
        <f>IF(+NFL!$F184="Cincinnati",+NFL!E184,IF(+NFL!$H184="Cincinnati",+NFL!E184,0))</f>
        <v>0</v>
      </c>
      <c r="F125" s="127" t="str">
        <f>IF(+NFL!$F184="Cincinnati",+NFL!F184,IF(+NFL!$H184="Cincinnati",+NFL!F184,0))</f>
        <v>Cincinnati</v>
      </c>
      <c r="G125" s="46" t="str">
        <f>IF(+NFL!$F184="Cincinnati",+NFL!G184,IF(+NFL!$H184="Cincinnati",+NFL!G184,0))</f>
        <v>AFCN</v>
      </c>
      <c r="H125" s="127">
        <f>IF(+NFL!$F184="Cincinnati",+NFL!H184,IF(+NFL!$H184="Cincinnati",+NFL!H184,0))</f>
        <v>0</v>
      </c>
      <c r="I125" s="491">
        <f>IF(+NFL!$F184="Cincinnati",+NFL!I184,IF(+NFL!$H184="Cincinnati",+NFL!I184,0))</f>
        <v>0</v>
      </c>
      <c r="J125" s="353">
        <f>IF(+NFL!$F184="Cincinnati",+NFL!J184,IF(+NFL!$H184="Cincinnati",+NFL!J184,0))</f>
        <v>0</v>
      </c>
      <c r="K125" s="494">
        <f>IF(+NFL!$F184="Cincinnati",+NFL!K184,IF(+NFL!$H184="Cincinnati",+NFL!K184,0))</f>
        <v>0</v>
      </c>
      <c r="L125" s="384">
        <f>IF(+NFL!$F184="Cincinnati",+NFL!L184,IF(+NFL!$H184="Cincinnati",+NFL!L184,0))</f>
        <v>0</v>
      </c>
      <c r="M125" s="385">
        <f>IF(+NFL!$F184="Cincinnati",+NFL!M184,IF(+NFL!$H184="Cincinnati",+NFL!M184,0))</f>
        <v>0</v>
      </c>
      <c r="N125" s="394">
        <f>IF(+NFL!$F184="Cincinnati",+NFL!N184,IF(+NFL!$H184="Cincinnati",+NFL!N184,0))</f>
        <v>0</v>
      </c>
      <c r="O125" s="395">
        <f>IF(+NFL!$F184="Cincinnati",+NFL!O184,IF(+NFL!$H184="Cincinnati",+NFL!O184,0))</f>
        <v>0</v>
      </c>
      <c r="P125" s="394">
        <f>IF(+NFL!$F184="Cincinnati",+NFL!P184,IF(+NFL!$H184="Cincinnati",+NFL!P184,0))</f>
        <v>0</v>
      </c>
      <c r="Q125" s="396">
        <f>IF(+NFL!$F184="Cincinnati",+NFL!Q184,IF(+NFL!$H184="Cincinnati",+NFL!Q184,0))</f>
        <v>0</v>
      </c>
      <c r="R125" s="397">
        <f>IF(+NFL!$F184="Cincinnati",+NFL!R184,IF(+NFL!$H184="Cincinnati",+NFL!R184,0))</f>
        <v>0</v>
      </c>
      <c r="S125" s="399">
        <f>IF(+NFL!$F184="Cincinnati",+NFL!S184,IF(+NFL!$H184="Cincinnati",+NFL!S184,0))</f>
        <v>0</v>
      </c>
      <c r="T125" s="398">
        <f>IF(+NFL!$F184="Cincinnati",+NFL!T184,IF(+NFL!$H184="Cincinnati",+NFL!T184,0))</f>
        <v>0</v>
      </c>
      <c r="U125" s="396">
        <f>IF(+NFL!$F184="Cincinnati",+NFL!U184,IF(+NFL!$H184="Cincinnati",+NFL!U184,0))</f>
        <v>0</v>
      </c>
      <c r="V125" s="398">
        <f>IF(+NFL!$F130="Cincinnati",+NFL!#REF!,IF(+NFL!$H130="Cincinnati",+NFL!#REF!,0))</f>
        <v>0</v>
      </c>
      <c r="W125" s="396">
        <f>IF(+NFL!$F130="Cincinnati",+NFL!#REF!,IF(+NFL!$H130="Cincinnati",+NFL!#REF!,0))</f>
        <v>0</v>
      </c>
      <c r="X125" s="398">
        <f>IF(+NFL!$F130="Cincinnati",+NFL!#REF!,IF(+NFL!$H130="Cincinnati",+NFL!#REF!,0))</f>
        <v>0</v>
      </c>
      <c r="Y125" s="400">
        <f>IF(+NFL!$F130="Cincinnati",+NFL!#REF!,IF(+NFL!$H130="Cincinnati",+NFL!#REF!,0))</f>
        <v>0</v>
      </c>
      <c r="Z125" s="397">
        <f>IF(+NFL!$F130="Cincinnati",+NFL!#REF!,IF(+NFL!$H130="Cincinnati",+NFL!#REF!,0))</f>
        <v>0</v>
      </c>
      <c r="AA125" s="400">
        <f>IF(+NFL!$F130="Cincinnati",+NFL!#REF!,IF(+NFL!$H130="Cincinnati",+NFL!#REF!,0))</f>
        <v>0</v>
      </c>
      <c r="AB125" s="87">
        <f>IF(+NFL!$F130="Cincinnati",+NFL!#REF!,IF(+NFL!$H130="Cincinnati",+NFL!#REF!,0))</f>
        <v>0</v>
      </c>
      <c r="AC125" s="120">
        <f>IF(+NFL!$F130="Cincinnati",+NFL!#REF!,IF(+NFL!$H130="Cincinnati",+NFL!#REF!,0))</f>
        <v>0</v>
      </c>
      <c r="AD125" s="387">
        <f>IF(+NFL!$F130="Cincinnati",+NFL!#REF!,IF(+NFL!$H130="Cincinnati",+NFL!#REF!,0))</f>
        <v>0</v>
      </c>
      <c r="AE125" s="379">
        <f>IF(+NFL!$F130="Cincinnati",+NFL!#REF!,IF(+NFL!$H130="Cincinnati",+NFL!#REF!,0))</f>
        <v>0</v>
      </c>
      <c r="AF125" s="353">
        <f>IF(+NFL!$F130="Cincinnati",+NFL!#REF!,IF(+NFL!$H130="Cincinnati",+NFL!#REF!,0))</f>
        <v>0</v>
      </c>
      <c r="AG125" s="379">
        <f>IF(+NFL!$F130="Cincinnati",+NFL!#REF!,IF(+NFL!$H130="Cincinnati",+NFL!#REF!,0))</f>
        <v>0</v>
      </c>
      <c r="AH125" s="353">
        <f>IF(+NFL!$F130="Cincinnati",+NFL!#REF!,IF(+NFL!$H130="Cincinnati",+NFL!#REF!,0))</f>
        <v>0</v>
      </c>
      <c r="AI125" s="379">
        <f>IF(+NFL!$F130="Cincinnati",+NFL!#REF!,IF(+NFL!$H130="Cincinnati",+NFL!#REF!,0))</f>
        <v>0</v>
      </c>
      <c r="AJ125" s="387">
        <f>IF(+NFL!$F130="Cincinnati",+NFL!#REF!,IF(+NFL!$H130="Cincinnati",+NFL!#REF!,0))</f>
        <v>0</v>
      </c>
      <c r="AK125" s="379">
        <f>IF(+NFL!$F130="Cincinnati",+NFL!#REF!,IF(+NFL!$H130="Cincinnati",+NFL!#REF!,0))</f>
        <v>0</v>
      </c>
      <c r="AL125" s="68">
        <f>IF(+NFL!$F130="Cincinnati",+NFL!#REF!,IF(+NFL!$H130="Cincinnati",+NFL!#REF!,0))</f>
        <v>0</v>
      </c>
      <c r="AM125" s="58">
        <f>IF(+NFL!$F130="Cincinnati",+NFL!#REF!,IF(+NFL!$H130="Cincinnati",+NFL!#REF!,0))</f>
        <v>0</v>
      </c>
      <c r="AN125" s="57">
        <f>IF(+NFL!$F130="Cincinnati",+NFL!#REF!,IF(+NFL!$H130="Cincinnati",+NFL!#REF!,0))</f>
        <v>0</v>
      </c>
      <c r="AO125" s="59">
        <f>IF(+NFL!$F130="Cincinnati",+NFL!#REF!,IF(+NFL!$H130="Cincinnati",+NFL!#REF!,0))</f>
        <v>0</v>
      </c>
      <c r="AP125" s="348">
        <f>IF(+NFL!$F130="Cincinnati",+NFL!#REF!,IF(+NFL!$H130="Cincinnati",+NFL!#REF!,0))</f>
        <v>0</v>
      </c>
      <c r="AQ125" s="48">
        <f>IF(+NFL!$F130="Cincinnati",+NFL!#REF!,IF(+NFL!$H130="Cincinnati",+NFL!#REF!,0))</f>
        <v>0</v>
      </c>
      <c r="AR125" s="57">
        <f>IF(+NFL!$F130="Cincinnati",+NFL!#REF!,IF(+NFL!$H130="Cincinnati",+NFL!#REF!,0))</f>
        <v>0</v>
      </c>
      <c r="AS125" s="64">
        <f>IF(+NFL!$F130="Cincinnati",+NFL!#REF!,IF(+NFL!$H130="Cincinnati",+NFL!#REF!,0))</f>
        <v>0</v>
      </c>
      <c r="AT125" s="64">
        <f>IF(+NFL!$F130="Cincinnati",+NFL!#REF!,IF(+NFL!$H130="Cincinnati",+NFL!#REF!,0))</f>
        <v>0</v>
      </c>
      <c r="AU125" s="57">
        <f>IF(+NFL!$F130="Cincinnati",+NFL!#REF!,IF(+NFL!$H130="Cincinnati",+NFL!#REF!,0))</f>
        <v>0</v>
      </c>
      <c r="AV125" s="64">
        <f>IF(+NFL!$F130="Cincinnati",+NFL!#REF!,IF(+NFL!$H130="Cincinnati",+NFL!#REF!,0))</f>
        <v>0</v>
      </c>
      <c r="AW125" s="46">
        <f>IF(+NFL!$F130="Cincinnati",+NFL!#REF!,IF(+NFL!$H130="Cincinnati",+NFL!#REF!,0))</f>
        <v>0</v>
      </c>
      <c r="AX125" s="64">
        <f>IF(+NFL!$F130="Cincinnati",+NFL!#REF!,IF(+NFL!$H130="Cincinnati",+NFL!#REF!,0))</f>
        <v>0</v>
      </c>
      <c r="AY125" s="57">
        <f>IF(+NFL!$F130="Cincinnati",+NFL!#REF!,IF(+NFL!$H130="Cincinnati",+NFL!#REF!,0))</f>
        <v>0</v>
      </c>
      <c r="AZ125" s="64">
        <f>IF(+NFL!$F130="Cincinnati",+NFL!#REF!,IF(+NFL!$H130="Cincinnati",+NFL!#REF!,0))</f>
        <v>0</v>
      </c>
      <c r="BA125" s="46">
        <f>IF(+NFL!$F130="Cincinnati",+NFL!#REF!,IF(+NFL!$H130="Cincinnati",+NFL!#REF!,0))</f>
        <v>0</v>
      </c>
      <c r="BB125" s="46">
        <f>IF(+NFL!$F130="Cincinnati",+NFL!#REF!,IF(+NFL!$H130="Cincinnati",+NFL!#REF!,0))</f>
        <v>0</v>
      </c>
      <c r="BC125" s="403">
        <f>IF(+NFL!$F130="Cincinnati",+NFL!#REF!,IF(+NFL!$H130="Cincinnati",+NFL!#REF!,0))</f>
        <v>0</v>
      </c>
      <c r="BD125" s="57">
        <f>IF(+NFL!$F130="Cincinnati",+NFL!#REF!,IF(+NFL!$H130="Cincinnati",+NFL!#REF!,0))</f>
        <v>0</v>
      </c>
      <c r="BE125" s="64">
        <f>IF(+NFL!$F130="Cincinnati",+NFL!#REF!,IF(+NFL!$H130="Cincinnati",+NFL!#REF!,0))</f>
        <v>0</v>
      </c>
      <c r="BF125" s="46">
        <f>IF(+NFL!$F130="Cincinnati",+NFL!#REF!,IF(+NFL!$H130="Cincinnati",+NFL!#REF!,0))</f>
        <v>0</v>
      </c>
      <c r="BG125" s="57">
        <f>IF(+NFL!$F130="Cincinnati",+NFL!#REF!,IF(+NFL!$H130="Cincinnati",+NFL!#REF!,0))</f>
        <v>0</v>
      </c>
      <c r="BH125" s="64">
        <f>IF(+NFL!$F130="Cincinnati",+NFL!#REF!,IF(+NFL!$H130="Cincinnati",+NFL!#REF!,0))</f>
        <v>0</v>
      </c>
      <c r="BI125" s="46">
        <f>IF(+NFL!$F130="Cincinnati",+NFL!#REF!,IF(+NFL!$H130="Cincinnati",+NFL!#REF!,0))</f>
        <v>0</v>
      </c>
      <c r="BJ125" s="87">
        <f>IF(+NFL!$F130="Cincinnati",+NFL!#REF!,IF(+NFL!$H130="Cincinnati",+NFL!#REF!,0))</f>
        <v>0</v>
      </c>
      <c r="BK125" s="120">
        <f>IF(+NFL!$F130="Cincinnati",+NFL!#REF!,IF(+NFL!$H130="Cincinnati",+NFL!#REF!,0))</f>
        <v>0</v>
      </c>
    </row>
    <row r="126" spans="1:63" x14ac:dyDescent="0.8">
      <c r="A126" s="46">
        <f>IF(+NFL!$F201="Cincinnati",+NFL!A201,IF(+NFL!$H201="Cincinnati",+NFL!A201,0))</f>
        <v>11</v>
      </c>
      <c r="B126" s="348" t="str">
        <f>IF(+NFL!$F201="Cincinnati",+NFL!B201,IF(+NFL!$H201="Cincinnati",+NFL!B201,0))</f>
        <v>Sun</v>
      </c>
      <c r="C126" s="48">
        <f>IF(+NFL!$F201="Cincinnati",+NFL!C201,IF(+NFL!$H201="Cincinnati",+NFL!C201,0))</f>
        <v>44886</v>
      </c>
      <c r="D126" s="490">
        <f>IF(+NFL!$F201="Cincinnati",+NFL!D201,IF(+NFL!$H201="Cincinnati",+NFL!D201,0))</f>
        <v>0.84375</v>
      </c>
      <c r="E126" s="491" t="str">
        <f>IF(+NFL!$F201="Cincinnati",+NFL!E201,IF(+NFL!$H201="Cincinnati",+NFL!E201,0))</f>
        <v>NBC</v>
      </c>
      <c r="F126" s="127" t="str">
        <f>IF(+NFL!$F201="Cincinnati",+NFL!F201,IF(+NFL!$H201="Cincinnati",+NFL!F201,0))</f>
        <v>Cincinnati</v>
      </c>
      <c r="G126" s="46" t="str">
        <f>IF(+NFL!$F201="Cincinnati",+NFL!G201,IF(+NFL!$H201="Cincinnati",+NFL!G201,0))</f>
        <v>AFCN</v>
      </c>
      <c r="H126" s="127" t="str">
        <f>IF(+NFL!$F201="Cincinnati",+NFL!H201,IF(+NFL!$H201="Cincinnati",+NFL!H201,0))</f>
        <v>Pittsburgh</v>
      </c>
      <c r="I126" s="491" t="str">
        <f>IF(+NFL!$F201="Cincinnati",+NFL!I201,IF(+NFL!$H201="Cincinnati",+NFL!I201,0))</f>
        <v>AFCN</v>
      </c>
      <c r="J126" s="353" t="str">
        <f>IF(+NFL!$F201="Cincinnati",+NFL!J201,IF(+NFL!$H201="Cincinnati",+NFL!J201,0))</f>
        <v>Cincinnati</v>
      </c>
      <c r="K126" s="494" t="str">
        <f>IF(+NFL!$F201="Cincinnati",+NFL!K201,IF(+NFL!$H201="Cincinnati",+NFL!K201,0))</f>
        <v>Pittsburgh</v>
      </c>
      <c r="L126" s="384">
        <f>IF(+NFL!$F201="Cincinnati",+NFL!L201,IF(+NFL!$H201="Cincinnati",+NFL!L201,0))</f>
        <v>5</v>
      </c>
      <c r="M126" s="385">
        <f>IF(+NFL!$F201="Cincinnati",+NFL!M201,IF(+NFL!$H201="Cincinnati",+NFL!M201,0))</f>
        <v>41</v>
      </c>
      <c r="N126" s="394" t="str">
        <f>IF(+NFL!$F201="Cincinnati",+NFL!N201,IF(+NFL!$H201="Cincinnati",+NFL!N201,0))</f>
        <v>Cincinnati</v>
      </c>
      <c r="O126" s="395">
        <f>IF(+NFL!$F201="Cincinnati",+NFL!O201,IF(+NFL!$H201="Cincinnati",+NFL!O201,0))</f>
        <v>37</v>
      </c>
      <c r="P126" s="394" t="str">
        <f>IF(+NFL!$F201="Cincinnati",+NFL!P201,IF(+NFL!$H201="Cincinnati",+NFL!P201,0))</f>
        <v>Pittsburgh</v>
      </c>
      <c r="Q126" s="396">
        <f>IF(+NFL!$F201="Cincinnati",+NFL!Q201,IF(+NFL!$H201="Cincinnati",+NFL!Q201,0))</f>
        <v>30</v>
      </c>
      <c r="R126" s="397" t="str">
        <f>IF(+NFL!$F201="Cincinnati",+NFL!R201,IF(+NFL!$H201="Cincinnati",+NFL!R201,0))</f>
        <v>Cincinnati</v>
      </c>
      <c r="S126" s="399" t="str">
        <f>IF(+NFL!$F201="Cincinnati",+NFL!S201,IF(+NFL!$H201="Cincinnati",+NFL!S201,0))</f>
        <v>Pittsburgh</v>
      </c>
      <c r="T126" s="398" t="str">
        <f>IF(+NFL!$F201="Cincinnati",+NFL!T201,IF(+NFL!$H201="Cincinnati",+NFL!T201,0))</f>
        <v>Pittsburgh</v>
      </c>
      <c r="U126" s="396" t="str">
        <f>IF(+NFL!$F201="Cincinnati",+NFL!U201,IF(+NFL!$H201="Cincinnati",+NFL!U201,0))</f>
        <v>L</v>
      </c>
      <c r="V126" s="398">
        <f>IF(+NFL!$F156="Cincinnati",+NFL!#REF!,IF(+NFL!$H156="Cincinnati",+NFL!#REF!,0))</f>
        <v>0</v>
      </c>
      <c r="W126" s="396">
        <f>IF(+NFL!$F156="Cincinnati",+NFL!#REF!,IF(+NFL!$H156="Cincinnati",+NFL!#REF!,0))</f>
        <v>0</v>
      </c>
      <c r="X126" s="398">
        <f>IF(+NFL!$F156="Cincinnati",+NFL!#REF!,IF(+NFL!$H156="Cincinnati",+NFL!#REF!,0))</f>
        <v>0</v>
      </c>
      <c r="Y126" s="400">
        <f>IF(+NFL!$F156="Cincinnati",+NFL!#REF!,IF(+NFL!$H156="Cincinnati",+NFL!#REF!,0))</f>
        <v>0</v>
      </c>
      <c r="Z126" s="397">
        <f>IF(+NFL!$F156="Cincinnati",+NFL!#REF!,IF(+NFL!$H156="Cincinnati",+NFL!#REF!,0))</f>
        <v>0</v>
      </c>
      <c r="AA126" s="400">
        <f>IF(+NFL!$F156="Cincinnati",+NFL!#REF!,IF(+NFL!$H156="Cincinnati",+NFL!#REF!,0))</f>
        <v>0</v>
      </c>
      <c r="AB126" s="87">
        <f>IF(+NFL!$F156="Cincinnati",+NFL!#REF!,IF(+NFL!$H156="Cincinnati",+NFL!#REF!,0))</f>
        <v>0</v>
      </c>
      <c r="AC126" s="120">
        <f>IF(+NFL!$F156="Cincinnati",+NFL!#REF!,IF(+NFL!$H156="Cincinnati",+NFL!#REF!,0))</f>
        <v>0</v>
      </c>
      <c r="AD126" s="387">
        <f>IF(+NFL!$F156="Cincinnati",+NFL!#REF!,IF(+NFL!$H156="Cincinnati",+NFL!#REF!,0))</f>
        <v>0</v>
      </c>
      <c r="AE126" s="379">
        <f>IF(+NFL!$F156="Cincinnati",+NFL!#REF!,IF(+NFL!$H156="Cincinnati",+NFL!#REF!,0))</f>
        <v>0</v>
      </c>
      <c r="AF126" s="353">
        <f>IF(+NFL!$F156="Cincinnati",+NFL!#REF!,IF(+NFL!$H156="Cincinnati",+NFL!#REF!,0))</f>
        <v>0</v>
      </c>
      <c r="AG126" s="379">
        <f>IF(+NFL!$F156="Cincinnati",+NFL!#REF!,IF(+NFL!$H156="Cincinnati",+NFL!#REF!,0))</f>
        <v>0</v>
      </c>
      <c r="AH126" s="353">
        <f>IF(+NFL!$F156="Cincinnati",+NFL!#REF!,IF(+NFL!$H156="Cincinnati",+NFL!#REF!,0))</f>
        <v>0</v>
      </c>
      <c r="AI126" s="379">
        <f>IF(+NFL!$F156="Cincinnati",+NFL!#REF!,IF(+NFL!$H156="Cincinnati",+NFL!#REF!,0))</f>
        <v>0</v>
      </c>
      <c r="AJ126" s="387">
        <f>IF(+NFL!$F156="Cincinnati",+NFL!#REF!,IF(+NFL!$H156="Cincinnati",+NFL!#REF!,0))</f>
        <v>0</v>
      </c>
      <c r="AK126" s="379">
        <f>IF(+NFL!$F156="Cincinnati",+NFL!#REF!,IF(+NFL!$H156="Cincinnati",+NFL!#REF!,0))</f>
        <v>0</v>
      </c>
      <c r="AL126" s="68">
        <f>IF(+NFL!$F156="Cincinnati",+NFL!#REF!,IF(+NFL!$H156="Cincinnati",+NFL!#REF!,0))</f>
        <v>0</v>
      </c>
      <c r="AM126" s="58">
        <f>IF(+NFL!$F156="Cincinnati",+NFL!#REF!,IF(+NFL!$H156="Cincinnati",+NFL!#REF!,0))</f>
        <v>0</v>
      </c>
      <c r="AN126" s="57">
        <f>IF(+NFL!$F156="Cincinnati",+NFL!#REF!,IF(+NFL!$H156="Cincinnati",+NFL!#REF!,0))</f>
        <v>0</v>
      </c>
      <c r="AO126" s="59">
        <f>IF(+NFL!$F156="Cincinnati",+NFL!#REF!,IF(+NFL!$H156="Cincinnati",+NFL!#REF!,0))</f>
        <v>0</v>
      </c>
      <c r="AP126" s="348">
        <f>IF(+NFL!$F156="Cincinnati",+NFL!#REF!,IF(+NFL!$H156="Cincinnati",+NFL!#REF!,0))</f>
        <v>0</v>
      </c>
      <c r="AQ126" s="48">
        <f>IF(+NFL!$F156="Cincinnati",+NFL!#REF!,IF(+NFL!$H156="Cincinnati",+NFL!#REF!,0))</f>
        <v>0</v>
      </c>
      <c r="AR126" s="57">
        <f>IF(+NFL!$F156="Cincinnati",+NFL!#REF!,IF(+NFL!$H156="Cincinnati",+NFL!#REF!,0))</f>
        <v>0</v>
      </c>
      <c r="AS126" s="64">
        <f>IF(+NFL!$F156="Cincinnati",+NFL!#REF!,IF(+NFL!$H156="Cincinnati",+NFL!#REF!,0))</f>
        <v>0</v>
      </c>
      <c r="AT126" s="64">
        <f>IF(+NFL!$F156="Cincinnati",+NFL!#REF!,IF(+NFL!$H156="Cincinnati",+NFL!#REF!,0))</f>
        <v>0</v>
      </c>
      <c r="AU126" s="57">
        <f>IF(+NFL!$F156="Cincinnati",+NFL!#REF!,IF(+NFL!$H156="Cincinnati",+NFL!#REF!,0))</f>
        <v>0</v>
      </c>
      <c r="AV126" s="64">
        <f>IF(+NFL!$F156="Cincinnati",+NFL!#REF!,IF(+NFL!$H156="Cincinnati",+NFL!#REF!,0))</f>
        <v>0</v>
      </c>
      <c r="AW126" s="46">
        <f>IF(+NFL!$F156="Cincinnati",+NFL!#REF!,IF(+NFL!$H156="Cincinnati",+NFL!#REF!,0))</f>
        <v>0</v>
      </c>
      <c r="AX126" s="64">
        <f>IF(+NFL!$F156="Cincinnati",+NFL!#REF!,IF(+NFL!$H156="Cincinnati",+NFL!#REF!,0))</f>
        <v>0</v>
      </c>
      <c r="AY126" s="57">
        <f>IF(+NFL!$F156="Cincinnati",+NFL!#REF!,IF(+NFL!$H156="Cincinnati",+NFL!#REF!,0))</f>
        <v>0</v>
      </c>
      <c r="AZ126" s="64">
        <f>IF(+NFL!$F156="Cincinnati",+NFL!#REF!,IF(+NFL!$H156="Cincinnati",+NFL!#REF!,0))</f>
        <v>0</v>
      </c>
      <c r="BA126" s="46">
        <f>IF(+NFL!$F156="Cincinnati",+NFL!#REF!,IF(+NFL!$H156="Cincinnati",+NFL!#REF!,0))</f>
        <v>0</v>
      </c>
      <c r="BB126" s="46">
        <f>IF(+NFL!$F156="Cincinnati",+NFL!#REF!,IF(+NFL!$H156="Cincinnati",+NFL!#REF!,0))</f>
        <v>0</v>
      </c>
      <c r="BC126" s="403">
        <f>IF(+NFL!$F156="Cincinnati",+NFL!#REF!,IF(+NFL!$H156="Cincinnati",+NFL!#REF!,0))</f>
        <v>0</v>
      </c>
      <c r="BD126" s="57">
        <f>IF(+NFL!$F156="Cincinnati",+NFL!#REF!,IF(+NFL!$H156="Cincinnati",+NFL!#REF!,0))</f>
        <v>0</v>
      </c>
      <c r="BE126" s="64">
        <f>IF(+NFL!$F156="Cincinnati",+NFL!#REF!,IF(+NFL!$H156="Cincinnati",+NFL!#REF!,0))</f>
        <v>0</v>
      </c>
      <c r="BF126" s="46">
        <f>IF(+NFL!$F156="Cincinnati",+NFL!#REF!,IF(+NFL!$H156="Cincinnati",+NFL!#REF!,0))</f>
        <v>0</v>
      </c>
      <c r="BG126" s="57">
        <f>IF(+NFL!$F156="Cincinnati",+NFL!#REF!,IF(+NFL!$H156="Cincinnati",+NFL!#REF!,0))</f>
        <v>0</v>
      </c>
      <c r="BH126" s="64">
        <f>IF(+NFL!$F156="Cincinnati",+NFL!#REF!,IF(+NFL!$H156="Cincinnati",+NFL!#REF!,0))</f>
        <v>0</v>
      </c>
      <c r="BI126" s="46">
        <f>IF(+NFL!$F156="Cincinnati",+NFL!#REF!,IF(+NFL!$H156="Cincinnati",+NFL!#REF!,0))</f>
        <v>0</v>
      </c>
      <c r="BJ126" s="87">
        <f>IF(+NFL!$F156="Cincinnati",+NFL!#REF!,IF(+NFL!$H156="Cincinnati",+NFL!#REF!,0))</f>
        <v>0</v>
      </c>
      <c r="BK126" s="120">
        <f>IF(+NFL!$F156="Cincinnati",+NFL!#REF!,IF(+NFL!$H156="Cincinnati",+NFL!#REF!,0))</f>
        <v>0</v>
      </c>
    </row>
    <row r="127" spans="1:63" x14ac:dyDescent="0.8">
      <c r="A127" s="46">
        <f>IF(+NFL!$F213="Cincinnati",+NFL!A213,IF(+NFL!$H213="Cincinnati",+NFL!A213,0))</f>
        <v>12</v>
      </c>
      <c r="B127" s="348" t="str">
        <f>IF(+NFL!$F213="Cincinnati",+NFL!B213,IF(+NFL!$H213="Cincinnati",+NFL!B213,0))</f>
        <v>Sun</v>
      </c>
      <c r="C127" s="48">
        <f>IF(+NFL!$F213="Cincinnati",+NFL!C213,IF(+NFL!$H213="Cincinnati",+NFL!C213,0))</f>
        <v>44892</v>
      </c>
      <c r="D127" s="490">
        <f>IF(+NFL!$F213="Cincinnati",+NFL!D213,IF(+NFL!$H213="Cincinnati",+NFL!D213,0))</f>
        <v>0.54166666666666663</v>
      </c>
      <c r="E127" s="491" t="str">
        <f>IF(+NFL!$F213="Cincinnati",+NFL!E213,IF(+NFL!$H213="Cincinnati",+NFL!E213,0))</f>
        <v>CBS</v>
      </c>
      <c r="F127" s="127" t="str">
        <f>IF(+NFL!$F213="Cincinnati",+NFL!F213,IF(+NFL!$H213="Cincinnati",+NFL!F213,0))</f>
        <v>Cincinnati</v>
      </c>
      <c r="G127" s="46" t="str">
        <f>IF(+NFL!$F213="Cincinnati",+NFL!G213,IF(+NFL!$H213="Cincinnati",+NFL!G213,0))</f>
        <v>AFCN</v>
      </c>
      <c r="H127" s="127" t="str">
        <f>IF(+NFL!$F213="Cincinnati",+NFL!H213,IF(+NFL!$H213="Cincinnati",+NFL!H213,0))</f>
        <v>Tennessee</v>
      </c>
      <c r="I127" s="491" t="str">
        <f>IF(+NFL!$F213="Cincinnati",+NFL!I213,IF(+NFL!$H213="Cincinnati",+NFL!I213,0))</f>
        <v>AFCS</v>
      </c>
      <c r="J127" s="353" t="str">
        <f>IF(+NFL!$F213="Cincinnati",+NFL!J213,IF(+NFL!$H213="Cincinnati",+NFL!J213,0))</f>
        <v>Cincinnati</v>
      </c>
      <c r="K127" s="494" t="str">
        <f>IF(+NFL!$F213="Cincinnati",+NFL!K213,IF(+NFL!$H213="Cincinnati",+NFL!K213,0))</f>
        <v>Tennessee</v>
      </c>
      <c r="L127" s="384">
        <f>IF(+NFL!$F213="Cincinnati",+NFL!L213,IF(+NFL!$H213="Cincinnati",+NFL!L213,0))</f>
        <v>1.5</v>
      </c>
      <c r="M127" s="385">
        <f>IF(+NFL!$F213="Cincinnati",+NFL!M213,IF(+NFL!$H213="Cincinnati",+NFL!M213,0))</f>
        <v>42.5</v>
      </c>
      <c r="N127" s="394" t="str">
        <f>IF(+NFL!$F213="Cincinnati",+NFL!N213,IF(+NFL!$H213="Cincinnati",+NFL!N213,0))</f>
        <v>Cincinnati</v>
      </c>
      <c r="O127" s="395">
        <f>IF(+NFL!$F213="Cincinnati",+NFL!O213,IF(+NFL!$H213="Cincinnati",+NFL!O213,0))</f>
        <v>20</v>
      </c>
      <c r="P127" s="394" t="str">
        <f>IF(+NFL!$F213="Cincinnati",+NFL!P213,IF(+NFL!$H213="Cincinnati",+NFL!P213,0))</f>
        <v>Tennessee</v>
      </c>
      <c r="Q127" s="396">
        <f>IF(+NFL!$F213="Cincinnati",+NFL!Q213,IF(+NFL!$H213="Cincinnati",+NFL!Q213,0))</f>
        <v>16</v>
      </c>
      <c r="R127" s="397" t="str">
        <f>IF(+NFL!$F213="Cincinnati",+NFL!R213,IF(+NFL!$H213="Cincinnati",+NFL!R213,0))</f>
        <v>Cincinnati</v>
      </c>
      <c r="S127" s="399" t="str">
        <f>IF(+NFL!$F213="Cincinnati",+NFL!S213,IF(+NFL!$H213="Cincinnati",+NFL!S213,0))</f>
        <v>Tennessee</v>
      </c>
      <c r="T127" s="398" t="str">
        <f>IF(+NFL!$F213="Cincinnati",+NFL!T213,IF(+NFL!$H213="Cincinnati",+NFL!T213,0))</f>
        <v>Cincinnati</v>
      </c>
      <c r="U127" s="396" t="str">
        <f>IF(+NFL!$F213="Cincinnati",+NFL!U213,IF(+NFL!$H213="Cincinnati",+NFL!U213,0))</f>
        <v>W</v>
      </c>
      <c r="V127" s="398">
        <f>IF(+NFL!$F189="Cincinnati",+NFL!#REF!,IF(+NFL!$H189="Cincinnati",+NFL!#REF!,0))</f>
        <v>0</v>
      </c>
      <c r="W127" s="396">
        <f>IF(+NFL!$F189="Cincinnati",+NFL!#REF!,IF(+NFL!$H189="Cincinnati",+NFL!#REF!,0))</f>
        <v>0</v>
      </c>
      <c r="X127" s="398">
        <f>IF(+NFL!$F189="Cincinnati",+NFL!#REF!,IF(+NFL!$H189="Cincinnati",+NFL!#REF!,0))</f>
        <v>0</v>
      </c>
      <c r="Y127" s="400">
        <f>IF(+NFL!$F189="Cincinnati",+NFL!#REF!,IF(+NFL!$H189="Cincinnati",+NFL!#REF!,0))</f>
        <v>0</v>
      </c>
      <c r="Z127" s="397">
        <f>IF(+NFL!$F189="Cincinnati",+NFL!#REF!,IF(+NFL!$H189="Cincinnati",+NFL!#REF!,0))</f>
        <v>0</v>
      </c>
      <c r="AA127" s="400">
        <f>IF(+NFL!$F189="Cincinnati",+NFL!#REF!,IF(+NFL!$H189="Cincinnati",+NFL!#REF!,0))</f>
        <v>0</v>
      </c>
      <c r="AB127" s="87">
        <f>IF(+NFL!$F189="Cincinnati",+NFL!#REF!,IF(+NFL!$H189="Cincinnati",+NFL!#REF!,0))</f>
        <v>0</v>
      </c>
      <c r="AC127" s="120">
        <f>IF(+NFL!$F189="Cincinnati",+NFL!#REF!,IF(+NFL!$H189="Cincinnati",+NFL!#REF!,0))</f>
        <v>0</v>
      </c>
      <c r="AD127" s="387">
        <f>IF(+NFL!$F189="Cincinnati",+NFL!#REF!,IF(+NFL!$H189="Cincinnati",+NFL!#REF!,0))</f>
        <v>0</v>
      </c>
      <c r="AE127" s="379">
        <f>IF(+NFL!$F189="Cincinnati",+NFL!#REF!,IF(+NFL!$H189="Cincinnati",+NFL!#REF!,0))</f>
        <v>0</v>
      </c>
      <c r="AF127" s="353">
        <f>IF(+NFL!$F189="Cincinnati",+NFL!#REF!,IF(+NFL!$H189="Cincinnati",+NFL!#REF!,0))</f>
        <v>0</v>
      </c>
      <c r="AG127" s="379">
        <f>IF(+NFL!$F189="Cincinnati",+NFL!#REF!,IF(+NFL!$H189="Cincinnati",+NFL!#REF!,0))</f>
        <v>0</v>
      </c>
      <c r="AH127" s="353">
        <f>IF(+NFL!$F189="Cincinnati",+NFL!#REF!,IF(+NFL!$H189="Cincinnati",+NFL!#REF!,0))</f>
        <v>0</v>
      </c>
      <c r="AI127" s="379">
        <f>IF(+NFL!$F189="Cincinnati",+NFL!#REF!,IF(+NFL!$H189="Cincinnati",+NFL!#REF!,0))</f>
        <v>0</v>
      </c>
      <c r="AJ127" s="387">
        <f>IF(+NFL!$F189="Cincinnati",+NFL!#REF!,IF(+NFL!$H189="Cincinnati",+NFL!#REF!,0))</f>
        <v>0</v>
      </c>
      <c r="AK127" s="379">
        <f>IF(+NFL!$F189="Cincinnati",+NFL!#REF!,IF(+NFL!$H189="Cincinnati",+NFL!#REF!,0))</f>
        <v>0</v>
      </c>
      <c r="AL127" s="68">
        <f>IF(+NFL!$F189="Cincinnati",+NFL!#REF!,IF(+NFL!$H189="Cincinnati",+NFL!#REF!,0))</f>
        <v>0</v>
      </c>
      <c r="AM127" s="58">
        <f>IF(+NFL!$F189="Cincinnati",+NFL!#REF!,IF(+NFL!$H189="Cincinnati",+NFL!#REF!,0))</f>
        <v>0</v>
      </c>
      <c r="AN127" s="57">
        <f>IF(+NFL!$F189="Cincinnati",+NFL!#REF!,IF(+NFL!$H189="Cincinnati",+NFL!#REF!,0))</f>
        <v>0</v>
      </c>
      <c r="AO127" s="59">
        <f>IF(+NFL!$F189="Cincinnati",+NFL!#REF!,IF(+NFL!$H189="Cincinnati",+NFL!#REF!,0))</f>
        <v>0</v>
      </c>
      <c r="AP127" s="348">
        <f>IF(+NFL!$F189="Cincinnati",+NFL!#REF!,IF(+NFL!$H189="Cincinnati",+NFL!#REF!,0))</f>
        <v>0</v>
      </c>
      <c r="AQ127" s="48">
        <f>IF(+NFL!$F189="Cincinnati",+NFL!#REF!,IF(+NFL!$H189="Cincinnati",+NFL!#REF!,0))</f>
        <v>0</v>
      </c>
      <c r="AR127" s="57">
        <f>IF(+NFL!$F189="Cincinnati",+NFL!#REF!,IF(+NFL!$H189="Cincinnati",+NFL!#REF!,0))</f>
        <v>0</v>
      </c>
      <c r="AS127" s="64">
        <f>IF(+NFL!$F189="Cincinnati",+NFL!#REF!,IF(+NFL!$H189="Cincinnati",+NFL!#REF!,0))</f>
        <v>0</v>
      </c>
      <c r="AT127" s="64">
        <f>IF(+NFL!$F189="Cincinnati",+NFL!#REF!,IF(+NFL!$H189="Cincinnati",+NFL!#REF!,0))</f>
        <v>0</v>
      </c>
      <c r="AU127" s="57">
        <f>IF(+NFL!$F189="Cincinnati",+NFL!#REF!,IF(+NFL!$H189="Cincinnati",+NFL!#REF!,0))</f>
        <v>0</v>
      </c>
      <c r="AV127" s="64">
        <f>IF(+NFL!$F189="Cincinnati",+NFL!#REF!,IF(+NFL!$H189="Cincinnati",+NFL!#REF!,0))</f>
        <v>0</v>
      </c>
      <c r="AW127" s="46">
        <f>IF(+NFL!$F189="Cincinnati",+NFL!#REF!,IF(+NFL!$H189="Cincinnati",+NFL!#REF!,0))</f>
        <v>0</v>
      </c>
      <c r="AX127" s="64">
        <f>IF(+NFL!$F189="Cincinnati",+NFL!#REF!,IF(+NFL!$H189="Cincinnati",+NFL!#REF!,0))</f>
        <v>0</v>
      </c>
      <c r="AY127" s="57">
        <f>IF(+NFL!$F189="Cincinnati",+NFL!#REF!,IF(+NFL!$H189="Cincinnati",+NFL!#REF!,0))</f>
        <v>0</v>
      </c>
      <c r="AZ127" s="64">
        <f>IF(+NFL!$F189="Cincinnati",+NFL!#REF!,IF(+NFL!$H189="Cincinnati",+NFL!#REF!,0))</f>
        <v>0</v>
      </c>
      <c r="BA127" s="46">
        <f>IF(+NFL!$F189="Cincinnati",+NFL!#REF!,IF(+NFL!$H189="Cincinnati",+NFL!#REF!,0))</f>
        <v>0</v>
      </c>
      <c r="BB127" s="46">
        <f>IF(+NFL!$F189="Cincinnati",+NFL!#REF!,IF(+NFL!$H189="Cincinnati",+NFL!#REF!,0))</f>
        <v>0</v>
      </c>
      <c r="BC127" s="403">
        <f>IF(+NFL!$F189="Cincinnati",+NFL!#REF!,IF(+NFL!$H189="Cincinnati",+NFL!#REF!,0))</f>
        <v>0</v>
      </c>
      <c r="BD127" s="57">
        <f>IF(+NFL!$F189="Cincinnati",+NFL!#REF!,IF(+NFL!$H189="Cincinnati",+NFL!#REF!,0))</f>
        <v>0</v>
      </c>
      <c r="BE127" s="64">
        <f>IF(+NFL!$F189="Cincinnati",+NFL!#REF!,IF(+NFL!$H189="Cincinnati",+NFL!#REF!,0))</f>
        <v>0</v>
      </c>
      <c r="BF127" s="46">
        <f>IF(+NFL!$F189="Cincinnati",+NFL!#REF!,IF(+NFL!$H189="Cincinnati",+NFL!#REF!,0))</f>
        <v>0</v>
      </c>
      <c r="BG127" s="57">
        <f>IF(+NFL!$F189="Cincinnati",+NFL!#REF!,IF(+NFL!$H189="Cincinnati",+NFL!#REF!,0))</f>
        <v>0</v>
      </c>
      <c r="BH127" s="64">
        <f>IF(+NFL!$F189="Cincinnati",+NFL!#REF!,IF(+NFL!$H189="Cincinnati",+NFL!#REF!,0))</f>
        <v>0</v>
      </c>
      <c r="BI127" s="46">
        <f>IF(+NFL!$F189="Cincinnati",+NFL!#REF!,IF(+NFL!$H189="Cincinnati",+NFL!#REF!,0))</f>
        <v>0</v>
      </c>
      <c r="BJ127" s="87">
        <f>IF(+NFL!$F189="Cincinnati",+NFL!#REF!,IF(+NFL!$H189="Cincinnati",+NFL!#REF!,0))</f>
        <v>0</v>
      </c>
      <c r="BK127" s="120">
        <f>IF(+NFL!$F189="Cincinnati",+NFL!#REF!,IF(+NFL!$H189="Cincinnati",+NFL!#REF!,0))</f>
        <v>0</v>
      </c>
    </row>
    <row r="128" spans="1:63" x14ac:dyDescent="0.8">
      <c r="A128" s="46">
        <f>IF(+NFL!$F237="Cincinnati",+NFL!A237,IF(+NFL!$H237="Cincinnati",+NFL!A237,0))</f>
        <v>13</v>
      </c>
      <c r="B128" s="348" t="str">
        <f>IF(+NFL!$F237="Cincinnati",+NFL!B237,IF(+NFL!$H237="Cincinnati",+NFL!B237,0))</f>
        <v>Sun</v>
      </c>
      <c r="C128" s="48">
        <f>IF(+NFL!$F237="Cincinnati",+NFL!C237,IF(+NFL!$H237="Cincinnati",+NFL!C237,0))</f>
        <v>44899</v>
      </c>
      <c r="D128" s="490">
        <f>IF(+NFL!$F237="Cincinnati",+NFL!D237,IF(+NFL!$H237="Cincinnati",+NFL!D237,0))</f>
        <v>0.66666666666666663</v>
      </c>
      <c r="E128" s="491" t="str">
        <f>IF(+NFL!$F237="Cincinnati",+NFL!E237,IF(+NFL!$H237="Cincinnati",+NFL!E237,0))</f>
        <v>CBS</v>
      </c>
      <c r="F128" s="127" t="str">
        <f>IF(+NFL!$F237="Cincinnati",+NFL!F237,IF(+NFL!$H237="Cincinnati",+NFL!F237,0))</f>
        <v>Kansas City</v>
      </c>
      <c r="G128" s="46" t="str">
        <f>IF(+NFL!$F237="Cincinnati",+NFL!G237,IF(+NFL!$H237="Cincinnati",+NFL!G237,0))</f>
        <v>AFCW</v>
      </c>
      <c r="H128" s="127" t="str">
        <f>IF(+NFL!$F237="Cincinnati",+NFL!H237,IF(+NFL!$H237="Cincinnati",+NFL!H237,0))</f>
        <v>Cincinnati</v>
      </c>
      <c r="I128" s="491" t="str">
        <f>IF(+NFL!$F237="Cincinnati",+NFL!I237,IF(+NFL!$H237="Cincinnati",+NFL!I237,0))</f>
        <v>AFCN</v>
      </c>
      <c r="J128" s="353" t="str">
        <f>IF(+NFL!$F237="Cincinnati",+NFL!J237,IF(+NFL!$H237="Cincinnati",+NFL!J237,0))</f>
        <v>Kansas City</v>
      </c>
      <c r="K128" s="494" t="str">
        <f>IF(+NFL!$F237="Cincinnati",+NFL!K237,IF(+NFL!$H237="Cincinnati",+NFL!K237,0))</f>
        <v>Cincinnati</v>
      </c>
      <c r="L128" s="384">
        <f>IF(+NFL!$F237="Cincinnati",+NFL!L237,IF(+NFL!$H237="Cincinnati",+NFL!L237,0))</f>
        <v>1.5</v>
      </c>
      <c r="M128" s="385">
        <f>IF(+NFL!$F237="Cincinnati",+NFL!M237,IF(+NFL!$H237="Cincinnati",+NFL!M237,0))</f>
        <v>52</v>
      </c>
      <c r="N128" s="394" t="str">
        <f>IF(+NFL!$F237="Cincinnati",+NFL!N237,IF(+NFL!$H237="Cincinnati",+NFL!N237,0))</f>
        <v>Cincinnati</v>
      </c>
      <c r="O128" s="395">
        <f>IF(+NFL!$F237="Cincinnati",+NFL!O237,IF(+NFL!$H237="Cincinnati",+NFL!O237,0))</f>
        <v>27</v>
      </c>
      <c r="P128" s="394" t="str">
        <f>IF(+NFL!$F237="Cincinnati",+NFL!P237,IF(+NFL!$H237="Cincinnati",+NFL!P237,0))</f>
        <v>Kansas City</v>
      </c>
      <c r="Q128" s="396">
        <f>IF(+NFL!$F237="Cincinnati",+NFL!Q237,IF(+NFL!$H237="Cincinnati",+NFL!Q237,0))</f>
        <v>24</v>
      </c>
      <c r="R128" s="397" t="str">
        <f>IF(+NFL!$F237="Cincinnati",+NFL!R237,IF(+NFL!$H237="Cincinnati",+NFL!R237,0))</f>
        <v>Cincinnati</v>
      </c>
      <c r="S128" s="399" t="str">
        <f>IF(+NFL!$F237="Cincinnati",+NFL!S237,IF(+NFL!$H237="Cincinnati",+NFL!S237,0))</f>
        <v>Kansas City</v>
      </c>
      <c r="T128" s="398" t="str">
        <f>IF(+NFL!$F237="Cincinnati",+NFL!T237,IF(+NFL!$H237="Cincinnati",+NFL!T237,0))</f>
        <v>Cincinnati</v>
      </c>
      <c r="U128" s="396" t="str">
        <f>IF(+NFL!$F237="Cincinnati",+NFL!U237,IF(+NFL!$H237="Cincinnati",+NFL!U237,0))</f>
        <v>W</v>
      </c>
      <c r="V128" s="398">
        <f>IF(+NFL!$F227="Cincinnati",+NFL!#REF!,IF(+NFL!$H227="Cincinnati",+NFL!#REF!,0))</f>
        <v>0</v>
      </c>
      <c r="W128" s="396">
        <f>IF(+NFL!$F227="Cincinnati",+NFL!#REF!,IF(+NFL!$H227="Cincinnati",+NFL!#REF!,0))</f>
        <v>0</v>
      </c>
      <c r="X128" s="398">
        <f>IF(+NFL!$F227="Cincinnati",+NFL!#REF!,IF(+NFL!$H227="Cincinnati",+NFL!#REF!,0))</f>
        <v>0</v>
      </c>
      <c r="Y128" s="400">
        <f>IF(+NFL!$F227="Cincinnati",+NFL!#REF!,IF(+NFL!$H227="Cincinnati",+NFL!#REF!,0))</f>
        <v>0</v>
      </c>
      <c r="Z128" s="397">
        <f>IF(+NFL!$F227="Cincinnati",+NFL!#REF!,IF(+NFL!$H227="Cincinnati",+NFL!#REF!,0))</f>
        <v>0</v>
      </c>
      <c r="AA128" s="400">
        <f>IF(+NFL!$F227="Cincinnati",+NFL!#REF!,IF(+NFL!$H227="Cincinnati",+NFL!#REF!,0))</f>
        <v>0</v>
      </c>
      <c r="AB128" s="87">
        <f>IF(+NFL!$F227="Cincinnati",+NFL!#REF!,IF(+NFL!$H227="Cincinnati",+NFL!#REF!,0))</f>
        <v>0</v>
      </c>
      <c r="AC128" s="120">
        <f>IF(+NFL!$F227="Cincinnati",+NFL!#REF!,IF(+NFL!$H227="Cincinnati",+NFL!#REF!,0))</f>
        <v>0</v>
      </c>
      <c r="AD128" s="387">
        <f>IF(+NFL!$F227="Cincinnati",+NFL!#REF!,IF(+NFL!$H227="Cincinnati",+NFL!#REF!,0))</f>
        <v>0</v>
      </c>
      <c r="AE128" s="379">
        <f>IF(+NFL!$F227="Cincinnati",+NFL!#REF!,IF(+NFL!$H227="Cincinnati",+NFL!#REF!,0))</f>
        <v>0</v>
      </c>
      <c r="AF128" s="353">
        <f>IF(+NFL!$F227="Cincinnati",+NFL!#REF!,IF(+NFL!$H227="Cincinnati",+NFL!#REF!,0))</f>
        <v>0</v>
      </c>
      <c r="AG128" s="379">
        <f>IF(+NFL!$F227="Cincinnati",+NFL!#REF!,IF(+NFL!$H227="Cincinnati",+NFL!#REF!,0))</f>
        <v>0</v>
      </c>
      <c r="AH128" s="353">
        <f>IF(+NFL!$F227="Cincinnati",+NFL!#REF!,IF(+NFL!$H227="Cincinnati",+NFL!#REF!,0))</f>
        <v>0</v>
      </c>
      <c r="AI128" s="379">
        <f>IF(+NFL!$F227="Cincinnati",+NFL!#REF!,IF(+NFL!$H227="Cincinnati",+NFL!#REF!,0))</f>
        <v>0</v>
      </c>
      <c r="AJ128" s="387">
        <f>IF(+NFL!$F227="Cincinnati",+NFL!#REF!,IF(+NFL!$H227="Cincinnati",+NFL!#REF!,0))</f>
        <v>0</v>
      </c>
      <c r="AK128" s="379">
        <f>IF(+NFL!$F227="Cincinnati",+NFL!#REF!,IF(+NFL!$H227="Cincinnati",+NFL!#REF!,0))</f>
        <v>0</v>
      </c>
      <c r="AL128" s="68">
        <f>IF(+NFL!$F227="Cincinnati",+NFL!#REF!,IF(+NFL!$H227="Cincinnati",+NFL!#REF!,0))</f>
        <v>0</v>
      </c>
      <c r="AM128" s="58">
        <f>IF(+NFL!$F227="Cincinnati",+NFL!#REF!,IF(+NFL!$H227="Cincinnati",+NFL!#REF!,0))</f>
        <v>0</v>
      </c>
      <c r="AN128" s="57">
        <f>IF(+NFL!$F227="Cincinnati",+NFL!#REF!,IF(+NFL!$H227="Cincinnati",+NFL!#REF!,0))</f>
        <v>0</v>
      </c>
      <c r="AO128" s="59">
        <f>IF(+NFL!$F227="Cincinnati",+NFL!#REF!,IF(+NFL!$H227="Cincinnati",+NFL!#REF!,0))</f>
        <v>0</v>
      </c>
      <c r="AP128" s="348">
        <f>IF(+NFL!$F227="Cincinnati",+NFL!#REF!,IF(+NFL!$H227="Cincinnati",+NFL!#REF!,0))</f>
        <v>0</v>
      </c>
      <c r="AQ128" s="48">
        <f>IF(+NFL!$F227="Cincinnati",+NFL!#REF!,IF(+NFL!$H227="Cincinnati",+NFL!#REF!,0))</f>
        <v>0</v>
      </c>
      <c r="AR128" s="57">
        <f>IF(+NFL!$F227="Cincinnati",+NFL!#REF!,IF(+NFL!$H227="Cincinnati",+NFL!#REF!,0))</f>
        <v>0</v>
      </c>
      <c r="AS128" s="64">
        <f>IF(+NFL!$F227="Cincinnati",+NFL!#REF!,IF(+NFL!$H227="Cincinnati",+NFL!#REF!,0))</f>
        <v>0</v>
      </c>
      <c r="AT128" s="64">
        <f>IF(+NFL!$F227="Cincinnati",+NFL!#REF!,IF(+NFL!$H227="Cincinnati",+NFL!#REF!,0))</f>
        <v>0</v>
      </c>
      <c r="AU128" s="57">
        <f>IF(+NFL!$F227="Cincinnati",+NFL!#REF!,IF(+NFL!$H227="Cincinnati",+NFL!#REF!,0))</f>
        <v>0</v>
      </c>
      <c r="AV128" s="64">
        <f>IF(+NFL!$F227="Cincinnati",+NFL!#REF!,IF(+NFL!$H227="Cincinnati",+NFL!#REF!,0))</f>
        <v>0</v>
      </c>
      <c r="AW128" s="46">
        <f>IF(+NFL!$F227="Cincinnati",+NFL!#REF!,IF(+NFL!$H227="Cincinnati",+NFL!#REF!,0))</f>
        <v>0</v>
      </c>
      <c r="AX128" s="64">
        <f>IF(+NFL!$F227="Cincinnati",+NFL!#REF!,IF(+NFL!$H227="Cincinnati",+NFL!#REF!,0))</f>
        <v>0</v>
      </c>
      <c r="AY128" s="57">
        <f>IF(+NFL!$F227="Cincinnati",+NFL!#REF!,IF(+NFL!$H227="Cincinnati",+NFL!#REF!,0))</f>
        <v>0</v>
      </c>
      <c r="AZ128" s="64">
        <f>IF(+NFL!$F227="Cincinnati",+NFL!#REF!,IF(+NFL!$H227="Cincinnati",+NFL!#REF!,0))</f>
        <v>0</v>
      </c>
      <c r="BA128" s="46">
        <f>IF(+NFL!$F227="Cincinnati",+NFL!#REF!,IF(+NFL!$H227="Cincinnati",+NFL!#REF!,0))</f>
        <v>0</v>
      </c>
      <c r="BB128" s="46">
        <f>IF(+NFL!$F227="Cincinnati",+NFL!#REF!,IF(+NFL!$H227="Cincinnati",+NFL!#REF!,0))</f>
        <v>0</v>
      </c>
      <c r="BC128" s="403">
        <f>IF(+NFL!$F227="Cincinnati",+NFL!#REF!,IF(+NFL!$H227="Cincinnati",+NFL!#REF!,0))</f>
        <v>0</v>
      </c>
      <c r="BD128" s="57">
        <f>IF(+NFL!$F227="Cincinnati",+NFL!#REF!,IF(+NFL!$H227="Cincinnati",+NFL!#REF!,0))</f>
        <v>0</v>
      </c>
      <c r="BE128" s="64">
        <f>IF(+NFL!$F227="Cincinnati",+NFL!#REF!,IF(+NFL!$H227="Cincinnati",+NFL!#REF!,0))</f>
        <v>0</v>
      </c>
      <c r="BF128" s="46">
        <f>IF(+NFL!$F227="Cincinnati",+NFL!#REF!,IF(+NFL!$H227="Cincinnati",+NFL!#REF!,0))</f>
        <v>0</v>
      </c>
      <c r="BG128" s="57">
        <f>IF(+NFL!$F227="Cincinnati",+NFL!#REF!,IF(+NFL!$H227="Cincinnati",+NFL!#REF!,0))</f>
        <v>0</v>
      </c>
      <c r="BH128" s="64">
        <f>IF(+NFL!$F227="Cincinnati",+NFL!#REF!,IF(+NFL!$H227="Cincinnati",+NFL!#REF!,0))</f>
        <v>0</v>
      </c>
      <c r="BI128" s="46">
        <f>IF(+NFL!$F227="Cincinnati",+NFL!#REF!,IF(+NFL!$H227="Cincinnati",+NFL!#REF!,0))</f>
        <v>0</v>
      </c>
      <c r="BJ128" s="87">
        <f>IF(+NFL!$F227="Cincinnati",+NFL!#REF!,IF(+NFL!$H227="Cincinnati",+NFL!#REF!,0))</f>
        <v>0</v>
      </c>
      <c r="BK128" s="120">
        <f>IF(+NFL!$F227="Cincinnati",+NFL!#REF!,IF(+NFL!$H227="Cincinnati",+NFL!#REF!,0))</f>
        <v>0</v>
      </c>
    </row>
    <row r="129" spans="1:63" x14ac:dyDescent="0.8">
      <c r="A129" s="46">
        <f>IF(+NFL!$F247="Cincinnati",+NFL!A247,IF(+NFL!$H247="Cincinnati",+NFL!A247,0))</f>
        <v>14</v>
      </c>
      <c r="B129" s="348" t="str">
        <f>IF(+NFL!$F247="Cincinnati",+NFL!B247,IF(+NFL!$H247="Cincinnati",+NFL!B247,0))</f>
        <v>Sun</v>
      </c>
      <c r="C129" s="48">
        <f>IF(+NFL!$F247="Cincinnati",+NFL!C247,IF(+NFL!$H247="Cincinnati",+NFL!C247,0))</f>
        <v>44906</v>
      </c>
      <c r="D129" s="490">
        <f>IF(+NFL!$F247="Cincinnati",+NFL!D247,IF(+NFL!$H247="Cincinnati",+NFL!D247,0))</f>
        <v>0.54166666666666663</v>
      </c>
      <c r="E129" s="491" t="str">
        <f>IF(+NFL!$F247="Cincinnati",+NFL!E247,IF(+NFL!$H247="Cincinnati",+NFL!E247,0))</f>
        <v>CBS</v>
      </c>
      <c r="F129" s="127" t="str">
        <f>IF(+NFL!$F247="Cincinnati",+NFL!F247,IF(+NFL!$H247="Cincinnati",+NFL!F247,0))</f>
        <v>Cleveland</v>
      </c>
      <c r="G129" s="46" t="str">
        <f>IF(+NFL!$F247="Cincinnati",+NFL!G247,IF(+NFL!$H247="Cincinnati",+NFL!G247,0))</f>
        <v>AFCN</v>
      </c>
      <c r="H129" s="127" t="str">
        <f>IF(+NFL!$F247="Cincinnati",+NFL!H247,IF(+NFL!$H247="Cincinnati",+NFL!H247,0))</f>
        <v>Cincinnati</v>
      </c>
      <c r="I129" s="491" t="str">
        <f>IF(+NFL!$F247="Cincinnati",+NFL!I247,IF(+NFL!$H247="Cincinnati",+NFL!I247,0))</f>
        <v>AFCN</v>
      </c>
      <c r="J129" s="353" t="str">
        <f>IF(+NFL!$F247="Cincinnati",+NFL!J247,IF(+NFL!$H247="Cincinnati",+NFL!J247,0))</f>
        <v>Cincinnati</v>
      </c>
      <c r="K129" s="494" t="str">
        <f>IF(+NFL!$F247="Cincinnati",+NFL!K247,IF(+NFL!$H247="Cincinnati",+NFL!K247,0))</f>
        <v>Cleveland</v>
      </c>
      <c r="L129" s="384">
        <f>IF(+NFL!$F247="Cincinnati",+NFL!L247,IF(+NFL!$H247="Cincinnati",+NFL!L247,0))</f>
        <v>4.5</v>
      </c>
      <c r="M129" s="385">
        <f>IF(+NFL!$F247="Cincinnati",+NFL!M247,IF(+NFL!$H247="Cincinnati",+NFL!M247,0))</f>
        <v>47.5</v>
      </c>
      <c r="N129" s="394" t="str">
        <f>IF(+NFL!$F247="Cincinnati",+NFL!N247,IF(+NFL!$H247="Cincinnati",+NFL!N247,0))</f>
        <v>Cincinnati</v>
      </c>
      <c r="O129" s="395">
        <f>IF(+NFL!$F247="Cincinnati",+NFL!O247,IF(+NFL!$H247="Cincinnati",+NFL!O247,0))</f>
        <v>23</v>
      </c>
      <c r="P129" s="394" t="str">
        <f>IF(+NFL!$F247="Cincinnati",+NFL!P247,IF(+NFL!$H247="Cincinnati",+NFL!P247,0))</f>
        <v>Cleveland</v>
      </c>
      <c r="Q129" s="396">
        <f>IF(+NFL!$F247="Cincinnati",+NFL!Q247,IF(+NFL!$H247="Cincinnati",+NFL!Q247,0))</f>
        <v>10</v>
      </c>
      <c r="R129" s="397" t="str">
        <f>IF(+NFL!$F247="Cincinnati",+NFL!R247,IF(+NFL!$H247="Cincinnati",+NFL!R247,0))</f>
        <v>Cincinnati</v>
      </c>
      <c r="S129" s="399" t="str">
        <f>IF(+NFL!$F247="Cincinnati",+NFL!S247,IF(+NFL!$H247="Cincinnati",+NFL!S247,0))</f>
        <v>Cleveland</v>
      </c>
      <c r="T129" s="398">
        <f>IF(+NFL!$F247="Cincinnati",+NFL!T247,IF(+NFL!$H247="Cincinnati",+NFL!T247,0))</f>
        <v>0</v>
      </c>
      <c r="U129" s="396" t="str">
        <f>IF(+NFL!$F247="Cincinnati",+NFL!U247,IF(+NFL!$H247="Cincinnati",+NFL!U247,0))</f>
        <v>L</v>
      </c>
      <c r="V129" s="398">
        <f>IF(+NFL!$F244="Cincinnati",+NFL!#REF!,IF(+NFL!$H244="Cincinnati",+NFL!#REF!,0))</f>
        <v>0</v>
      </c>
      <c r="W129" s="396">
        <f>IF(+NFL!$F244="Cincinnati",+NFL!#REF!,IF(+NFL!$H244="Cincinnati",+NFL!#REF!,0))</f>
        <v>0</v>
      </c>
      <c r="X129" s="398">
        <f>IF(+NFL!$F244="Cincinnati",+NFL!#REF!,IF(+NFL!$H244="Cincinnati",+NFL!#REF!,0))</f>
        <v>0</v>
      </c>
      <c r="Y129" s="400">
        <f>IF(+NFL!$F244="Cincinnati",+NFL!#REF!,IF(+NFL!$H244="Cincinnati",+NFL!#REF!,0))</f>
        <v>0</v>
      </c>
      <c r="Z129" s="397">
        <f>IF(+NFL!$F244="Cincinnati",+NFL!#REF!,IF(+NFL!$H244="Cincinnati",+NFL!#REF!,0))</f>
        <v>0</v>
      </c>
      <c r="AA129" s="400">
        <f>IF(+NFL!$F244="Cincinnati",+NFL!#REF!,IF(+NFL!$H244="Cincinnati",+NFL!#REF!,0))</f>
        <v>0</v>
      </c>
      <c r="AB129" s="87">
        <f>IF(+NFL!$F244="Cincinnati",+NFL!#REF!,IF(+NFL!$H244="Cincinnati",+NFL!#REF!,0))</f>
        <v>0</v>
      </c>
      <c r="AC129" s="120">
        <f>IF(+NFL!$F244="Cincinnati",+NFL!#REF!,IF(+NFL!$H244="Cincinnati",+NFL!#REF!,0))</f>
        <v>0</v>
      </c>
      <c r="AD129" s="387">
        <f>IF(+NFL!$F244="Cincinnati",+NFL!#REF!,IF(+NFL!$H244="Cincinnati",+NFL!#REF!,0))</f>
        <v>0</v>
      </c>
      <c r="AE129" s="379">
        <f>IF(+NFL!$F244="Cincinnati",+NFL!#REF!,IF(+NFL!$H244="Cincinnati",+NFL!#REF!,0))</f>
        <v>0</v>
      </c>
      <c r="AF129" s="353">
        <f>IF(+NFL!$F244="Cincinnati",+NFL!#REF!,IF(+NFL!$H244="Cincinnati",+NFL!#REF!,0))</f>
        <v>0</v>
      </c>
      <c r="AG129" s="379">
        <f>IF(+NFL!$F244="Cincinnati",+NFL!#REF!,IF(+NFL!$H244="Cincinnati",+NFL!#REF!,0))</f>
        <v>0</v>
      </c>
      <c r="AH129" s="353">
        <f>IF(+NFL!$F244="Cincinnati",+NFL!#REF!,IF(+NFL!$H244="Cincinnati",+NFL!#REF!,0))</f>
        <v>0</v>
      </c>
      <c r="AI129" s="379">
        <f>IF(+NFL!$F244="Cincinnati",+NFL!#REF!,IF(+NFL!$H244="Cincinnati",+NFL!#REF!,0))</f>
        <v>0</v>
      </c>
      <c r="AJ129" s="387">
        <f>IF(+NFL!$F244="Cincinnati",+NFL!#REF!,IF(+NFL!$H244="Cincinnati",+NFL!#REF!,0))</f>
        <v>0</v>
      </c>
      <c r="AK129" s="379">
        <f>IF(+NFL!$F244="Cincinnati",+NFL!#REF!,IF(+NFL!$H244="Cincinnati",+NFL!#REF!,0))</f>
        <v>0</v>
      </c>
      <c r="AL129" s="68">
        <f>IF(+NFL!$F244="Cincinnati",+NFL!#REF!,IF(+NFL!$H244="Cincinnati",+NFL!#REF!,0))</f>
        <v>0</v>
      </c>
      <c r="AM129" s="58">
        <f>IF(+NFL!$F244="Cincinnati",+NFL!#REF!,IF(+NFL!$H244="Cincinnati",+NFL!#REF!,0))</f>
        <v>0</v>
      </c>
      <c r="AN129" s="57">
        <f>IF(+NFL!$F244="Cincinnati",+NFL!#REF!,IF(+NFL!$H244="Cincinnati",+NFL!#REF!,0))</f>
        <v>0</v>
      </c>
      <c r="AO129" s="59">
        <f>IF(+NFL!$F244="Cincinnati",+NFL!#REF!,IF(+NFL!$H244="Cincinnati",+NFL!#REF!,0))</f>
        <v>0</v>
      </c>
      <c r="AP129" s="348">
        <f>IF(+NFL!$F244="Cincinnati",+NFL!#REF!,IF(+NFL!$H244="Cincinnati",+NFL!#REF!,0))</f>
        <v>0</v>
      </c>
      <c r="AQ129" s="48">
        <f>IF(+NFL!$F244="Cincinnati",+NFL!#REF!,IF(+NFL!$H244="Cincinnati",+NFL!#REF!,0))</f>
        <v>0</v>
      </c>
      <c r="AR129" s="57">
        <f>IF(+NFL!$F244="Cincinnati",+NFL!#REF!,IF(+NFL!$H244="Cincinnati",+NFL!#REF!,0))</f>
        <v>0</v>
      </c>
      <c r="AS129" s="64">
        <f>IF(+NFL!$F244="Cincinnati",+NFL!#REF!,IF(+NFL!$H244="Cincinnati",+NFL!#REF!,0))</f>
        <v>0</v>
      </c>
      <c r="AT129" s="64">
        <f>IF(+NFL!$F244="Cincinnati",+NFL!#REF!,IF(+NFL!$H244="Cincinnati",+NFL!#REF!,0))</f>
        <v>0</v>
      </c>
      <c r="AU129" s="57">
        <f>IF(+NFL!$F244="Cincinnati",+NFL!#REF!,IF(+NFL!$H244="Cincinnati",+NFL!#REF!,0))</f>
        <v>0</v>
      </c>
      <c r="AV129" s="64">
        <f>IF(+NFL!$F244="Cincinnati",+NFL!#REF!,IF(+NFL!$H244="Cincinnati",+NFL!#REF!,0))</f>
        <v>0</v>
      </c>
      <c r="AW129" s="46">
        <f>IF(+NFL!$F244="Cincinnati",+NFL!#REF!,IF(+NFL!$H244="Cincinnati",+NFL!#REF!,0))</f>
        <v>0</v>
      </c>
      <c r="AX129" s="64">
        <f>IF(+NFL!$F244="Cincinnati",+NFL!#REF!,IF(+NFL!$H244="Cincinnati",+NFL!#REF!,0))</f>
        <v>0</v>
      </c>
      <c r="AY129" s="57">
        <f>IF(+NFL!$F244="Cincinnati",+NFL!#REF!,IF(+NFL!$H244="Cincinnati",+NFL!#REF!,0))</f>
        <v>0</v>
      </c>
      <c r="AZ129" s="64">
        <f>IF(+NFL!$F244="Cincinnati",+NFL!#REF!,IF(+NFL!$H244="Cincinnati",+NFL!#REF!,0))</f>
        <v>0</v>
      </c>
      <c r="BA129" s="46">
        <f>IF(+NFL!$F244="Cincinnati",+NFL!#REF!,IF(+NFL!$H244="Cincinnati",+NFL!#REF!,0))</f>
        <v>0</v>
      </c>
      <c r="BB129" s="46">
        <f>IF(+NFL!$F244="Cincinnati",+NFL!#REF!,IF(+NFL!$H244="Cincinnati",+NFL!#REF!,0))</f>
        <v>0</v>
      </c>
      <c r="BC129" s="403">
        <f>IF(+NFL!$F244="Cincinnati",+NFL!#REF!,IF(+NFL!$H244="Cincinnati",+NFL!#REF!,0))</f>
        <v>0</v>
      </c>
      <c r="BD129" s="57">
        <f>IF(+NFL!$F244="Cincinnati",+NFL!#REF!,IF(+NFL!$H244="Cincinnati",+NFL!#REF!,0))</f>
        <v>0</v>
      </c>
      <c r="BE129" s="64">
        <f>IF(+NFL!$F244="Cincinnati",+NFL!#REF!,IF(+NFL!$H244="Cincinnati",+NFL!#REF!,0))</f>
        <v>0</v>
      </c>
      <c r="BF129" s="46">
        <f>IF(+NFL!$F244="Cincinnati",+NFL!#REF!,IF(+NFL!$H244="Cincinnati",+NFL!#REF!,0))</f>
        <v>0</v>
      </c>
      <c r="BG129" s="57">
        <f>IF(+NFL!$F244="Cincinnati",+NFL!#REF!,IF(+NFL!$H244="Cincinnati",+NFL!#REF!,0))</f>
        <v>0</v>
      </c>
      <c r="BH129" s="64">
        <f>IF(+NFL!$F244="Cincinnati",+NFL!#REF!,IF(+NFL!$H244="Cincinnati",+NFL!#REF!,0))</f>
        <v>0</v>
      </c>
      <c r="BI129" s="46">
        <f>IF(+NFL!$F244="Cincinnati",+NFL!#REF!,IF(+NFL!$H244="Cincinnati",+NFL!#REF!,0))</f>
        <v>0</v>
      </c>
      <c r="BJ129" s="87">
        <f>IF(+NFL!$F244="Cincinnati",+NFL!#REF!,IF(+NFL!$H244="Cincinnati",+NFL!#REF!,0))</f>
        <v>0</v>
      </c>
      <c r="BK129" s="120">
        <f>IF(+NFL!$F244="Cincinnati",+NFL!#REF!,IF(+NFL!$H244="Cincinnati",+NFL!#REF!,0))</f>
        <v>0</v>
      </c>
    </row>
    <row r="130" spans="1:63" x14ac:dyDescent="0.8">
      <c r="A130" s="46">
        <f>IF(+NFL!$F279="Cincinnati",+NFL!A279,IF(+NFL!$H279="Cincinnati",+NFL!A279,0))</f>
        <v>15</v>
      </c>
      <c r="B130" s="348" t="str">
        <f>IF(+NFL!$F279="Cincinnati",+NFL!B279,IF(+NFL!$H279="Cincinnati",+NFL!B279,0))</f>
        <v>Sun</v>
      </c>
      <c r="C130" s="48">
        <f>IF(+NFL!$F279="Cincinnati",+NFL!C279,IF(+NFL!$H279="Cincinnati",+NFL!C279,0))</f>
        <v>44913</v>
      </c>
      <c r="D130" s="490">
        <f>IF(+NFL!$F279="Cincinnati",+NFL!D279,IF(+NFL!$H279="Cincinnati",+NFL!D279,0))</f>
        <v>0.66666666666666663</v>
      </c>
      <c r="E130" s="491" t="str">
        <f>IF(+NFL!$F279="Cincinnati",+NFL!E279,IF(+NFL!$H279="Cincinnati",+NFL!E279,0))</f>
        <v>CBS</v>
      </c>
      <c r="F130" s="127" t="str">
        <f>IF(+NFL!$F279="Cincinnati",+NFL!F279,IF(+NFL!$H279="Cincinnati",+NFL!F279,0))</f>
        <v>Cincinnati</v>
      </c>
      <c r="G130" s="46" t="str">
        <f>IF(+NFL!$F279="Cincinnati",+NFL!G279,IF(+NFL!$H279="Cincinnati",+NFL!G279,0))</f>
        <v>AFCN</v>
      </c>
      <c r="H130" s="127" t="str">
        <f>IF(+NFL!$F279="Cincinnati",+NFL!H279,IF(+NFL!$H279="Cincinnati",+NFL!H279,0))</f>
        <v>Tampa Bay</v>
      </c>
      <c r="I130" s="491" t="str">
        <f>IF(+NFL!$F279="Cincinnati",+NFL!I279,IF(+NFL!$H279="Cincinnati",+NFL!I279,0))</f>
        <v>NFCS</v>
      </c>
      <c r="J130" s="353" t="str">
        <f>IF(+NFL!$F279="Cincinnati",+NFL!J279,IF(+NFL!$H279="Cincinnati",+NFL!J279,0))</f>
        <v>Cincinnati</v>
      </c>
      <c r="K130" s="494" t="str">
        <f>IF(+NFL!$F279="Cincinnati",+NFL!K279,IF(+NFL!$H279="Cincinnati",+NFL!K279,0))</f>
        <v>Tampa Bay</v>
      </c>
      <c r="L130" s="384">
        <f>IF(+NFL!$F279="Cincinnati",+NFL!L279,IF(+NFL!$H279="Cincinnati",+NFL!L279,0))</f>
        <v>3.5</v>
      </c>
      <c r="M130" s="385">
        <f>IF(+NFL!$F279="Cincinnati",+NFL!M279,IF(+NFL!$H279="Cincinnati",+NFL!M279,0))</f>
        <v>46.5</v>
      </c>
      <c r="N130" s="394" t="str">
        <f>IF(+NFL!$F279="Cincinnati",+NFL!N279,IF(+NFL!$H279="Cincinnati",+NFL!N279,0))</f>
        <v>Cincinnati</v>
      </c>
      <c r="O130" s="395">
        <f>IF(+NFL!$F279="Cincinnati",+NFL!O279,IF(+NFL!$H279="Cincinnati",+NFL!O279,0))</f>
        <v>34</v>
      </c>
      <c r="P130" s="394" t="str">
        <f>IF(+NFL!$F279="Cincinnati",+NFL!P279,IF(+NFL!$H279="Cincinnati",+NFL!P279,0))</f>
        <v>Tampa Bay</v>
      </c>
      <c r="Q130" s="396">
        <f>IF(+NFL!$F279="Cincinnati",+NFL!Q279,IF(+NFL!$H279="Cincinnati",+NFL!Q279,0))</f>
        <v>23</v>
      </c>
      <c r="R130" s="397" t="str">
        <f>IF(+NFL!$F279="Cincinnati",+NFL!R279,IF(+NFL!$H279="Cincinnati",+NFL!R279,0))</f>
        <v>Cincinnati</v>
      </c>
      <c r="S130" s="399" t="str">
        <f>IF(+NFL!$F279="Cincinnati",+NFL!S279,IF(+NFL!$H279="Cincinnati",+NFL!S279,0))</f>
        <v>Tampa Bay</v>
      </c>
      <c r="T130" s="398">
        <f>IF(+NFL!$F279="Cincinnati",+NFL!T279,IF(+NFL!$H279="Cincinnati",+NFL!T279,0))</f>
        <v>0</v>
      </c>
      <c r="U130" s="396" t="str">
        <f>IF(+NFL!$F279="Cincinnati",+NFL!U279,IF(+NFL!$H279="Cincinnati",+NFL!U279,0))</f>
        <v>L</v>
      </c>
      <c r="V130" s="398">
        <f>IF(+NFL!$F268="Cincinnati",+NFL!#REF!,IF(+NFL!$H268="Cincinnati",+NFL!#REF!,0))</f>
        <v>0</v>
      </c>
      <c r="W130" s="396">
        <f>IF(+NFL!$F268="Cincinnati",+NFL!#REF!,IF(+NFL!$H268="Cincinnati",+NFL!#REF!,0))</f>
        <v>0</v>
      </c>
      <c r="X130" s="398">
        <f>IF(+NFL!$F268="Cincinnati",+NFL!#REF!,IF(+NFL!$H268="Cincinnati",+NFL!#REF!,0))</f>
        <v>0</v>
      </c>
      <c r="Y130" s="400">
        <f>IF(+NFL!$F268="Cincinnati",+NFL!#REF!,IF(+NFL!$H268="Cincinnati",+NFL!#REF!,0))</f>
        <v>0</v>
      </c>
      <c r="Z130" s="397">
        <f>IF(+NFL!$F268="Cincinnati",+NFL!#REF!,IF(+NFL!$H268="Cincinnati",+NFL!#REF!,0))</f>
        <v>0</v>
      </c>
      <c r="AA130" s="400">
        <f>IF(+NFL!$F268="Cincinnati",+NFL!#REF!,IF(+NFL!$H268="Cincinnati",+NFL!#REF!,0))</f>
        <v>0</v>
      </c>
      <c r="AB130" s="87">
        <f>IF(+NFL!$F268="Cincinnati",+NFL!#REF!,IF(+NFL!$H268="Cincinnati",+NFL!#REF!,0))</f>
        <v>0</v>
      </c>
      <c r="AC130" s="120">
        <f>IF(+NFL!$F268="Cincinnati",+NFL!#REF!,IF(+NFL!$H268="Cincinnati",+NFL!#REF!,0))</f>
        <v>0</v>
      </c>
      <c r="AD130" s="387">
        <f>IF(+NFL!$F268="Cincinnati",+NFL!#REF!,IF(+NFL!$H268="Cincinnati",+NFL!#REF!,0))</f>
        <v>0</v>
      </c>
      <c r="AE130" s="379">
        <f>IF(+NFL!$F268="Cincinnati",+NFL!#REF!,IF(+NFL!$H268="Cincinnati",+NFL!#REF!,0))</f>
        <v>0</v>
      </c>
      <c r="AF130" s="353">
        <f>IF(+NFL!$F268="Cincinnati",+NFL!#REF!,IF(+NFL!$H268="Cincinnati",+NFL!#REF!,0))</f>
        <v>0</v>
      </c>
      <c r="AG130" s="379">
        <f>IF(+NFL!$F268="Cincinnati",+NFL!#REF!,IF(+NFL!$H268="Cincinnati",+NFL!#REF!,0))</f>
        <v>0</v>
      </c>
      <c r="AH130" s="353">
        <f>IF(+NFL!$F268="Cincinnati",+NFL!#REF!,IF(+NFL!$H268="Cincinnati",+NFL!#REF!,0))</f>
        <v>0</v>
      </c>
      <c r="AI130" s="379">
        <f>IF(+NFL!$F268="Cincinnati",+NFL!#REF!,IF(+NFL!$H268="Cincinnati",+NFL!#REF!,0))</f>
        <v>0</v>
      </c>
      <c r="AJ130" s="387">
        <f>IF(+NFL!$F268="Cincinnati",+NFL!#REF!,IF(+NFL!$H268="Cincinnati",+NFL!#REF!,0))</f>
        <v>0</v>
      </c>
      <c r="AK130" s="379">
        <f>IF(+NFL!$F268="Cincinnati",+NFL!#REF!,IF(+NFL!$H268="Cincinnati",+NFL!#REF!,0))</f>
        <v>0</v>
      </c>
      <c r="AL130" s="68">
        <f>IF(+NFL!$F268="Cincinnati",+NFL!#REF!,IF(+NFL!$H268="Cincinnati",+NFL!#REF!,0))</f>
        <v>0</v>
      </c>
      <c r="AM130" s="58">
        <f>IF(+NFL!$F268="Cincinnati",+NFL!#REF!,IF(+NFL!$H268="Cincinnati",+NFL!#REF!,0))</f>
        <v>0</v>
      </c>
      <c r="AN130" s="57">
        <f>IF(+NFL!$F268="Cincinnati",+NFL!#REF!,IF(+NFL!$H268="Cincinnati",+NFL!#REF!,0))</f>
        <v>0</v>
      </c>
      <c r="AO130" s="59">
        <f>IF(+NFL!$F268="Cincinnati",+NFL!#REF!,IF(+NFL!$H268="Cincinnati",+NFL!#REF!,0))</f>
        <v>0</v>
      </c>
      <c r="AP130" s="348">
        <f>IF(+NFL!$F268="Cincinnati",+NFL!#REF!,IF(+NFL!$H268="Cincinnati",+NFL!#REF!,0))</f>
        <v>0</v>
      </c>
      <c r="AQ130" s="48">
        <f>IF(+NFL!$F268="Cincinnati",+NFL!#REF!,IF(+NFL!$H268="Cincinnati",+NFL!#REF!,0))</f>
        <v>0</v>
      </c>
      <c r="AR130" s="57">
        <f>IF(+NFL!$F268="Cincinnati",+NFL!#REF!,IF(+NFL!$H268="Cincinnati",+NFL!#REF!,0))</f>
        <v>0</v>
      </c>
      <c r="AS130" s="64">
        <f>IF(+NFL!$F268="Cincinnati",+NFL!#REF!,IF(+NFL!$H268="Cincinnati",+NFL!#REF!,0))</f>
        <v>0</v>
      </c>
      <c r="AT130" s="64">
        <f>IF(+NFL!$F268="Cincinnati",+NFL!#REF!,IF(+NFL!$H268="Cincinnati",+NFL!#REF!,0))</f>
        <v>0</v>
      </c>
      <c r="AU130" s="57">
        <f>IF(+NFL!$F268="Cincinnati",+NFL!#REF!,IF(+NFL!$H268="Cincinnati",+NFL!#REF!,0))</f>
        <v>0</v>
      </c>
      <c r="AV130" s="64">
        <f>IF(+NFL!$F268="Cincinnati",+NFL!#REF!,IF(+NFL!$H268="Cincinnati",+NFL!#REF!,0))</f>
        <v>0</v>
      </c>
      <c r="AW130" s="46">
        <f>IF(+NFL!$F268="Cincinnati",+NFL!#REF!,IF(+NFL!$H268="Cincinnati",+NFL!#REF!,0))</f>
        <v>0</v>
      </c>
      <c r="AX130" s="64">
        <f>IF(+NFL!$F268="Cincinnati",+NFL!#REF!,IF(+NFL!$H268="Cincinnati",+NFL!#REF!,0))</f>
        <v>0</v>
      </c>
      <c r="AY130" s="57">
        <f>IF(+NFL!$F268="Cincinnati",+NFL!#REF!,IF(+NFL!$H268="Cincinnati",+NFL!#REF!,0))</f>
        <v>0</v>
      </c>
      <c r="AZ130" s="64">
        <f>IF(+NFL!$F268="Cincinnati",+NFL!#REF!,IF(+NFL!$H268="Cincinnati",+NFL!#REF!,0))</f>
        <v>0</v>
      </c>
      <c r="BA130" s="46">
        <f>IF(+NFL!$F268="Cincinnati",+NFL!#REF!,IF(+NFL!$H268="Cincinnati",+NFL!#REF!,0))</f>
        <v>0</v>
      </c>
      <c r="BB130" s="46">
        <f>IF(+NFL!$F268="Cincinnati",+NFL!#REF!,IF(+NFL!$H268="Cincinnati",+NFL!#REF!,0))</f>
        <v>0</v>
      </c>
      <c r="BC130" s="403">
        <f>IF(+NFL!$F268="Cincinnati",+NFL!#REF!,IF(+NFL!$H268="Cincinnati",+NFL!#REF!,0))</f>
        <v>0</v>
      </c>
      <c r="BD130" s="57">
        <f>IF(+NFL!$F268="Cincinnati",+NFL!#REF!,IF(+NFL!$H268="Cincinnati",+NFL!#REF!,0))</f>
        <v>0</v>
      </c>
      <c r="BE130" s="64">
        <f>IF(+NFL!$F268="Cincinnati",+NFL!#REF!,IF(+NFL!$H268="Cincinnati",+NFL!#REF!,0))</f>
        <v>0</v>
      </c>
      <c r="BF130" s="46">
        <f>IF(+NFL!$F268="Cincinnati",+NFL!#REF!,IF(+NFL!$H268="Cincinnati",+NFL!#REF!,0))</f>
        <v>0</v>
      </c>
      <c r="BG130" s="57">
        <f>IF(+NFL!$F268="Cincinnati",+NFL!#REF!,IF(+NFL!$H268="Cincinnati",+NFL!#REF!,0))</f>
        <v>0</v>
      </c>
      <c r="BH130" s="64">
        <f>IF(+NFL!$F268="Cincinnati",+NFL!#REF!,IF(+NFL!$H268="Cincinnati",+NFL!#REF!,0))</f>
        <v>0</v>
      </c>
      <c r="BI130" s="46">
        <f>IF(+NFL!$F268="Cincinnati",+NFL!#REF!,IF(+NFL!$H268="Cincinnati",+NFL!#REF!,0))</f>
        <v>0</v>
      </c>
      <c r="BJ130" s="87">
        <f>IF(+NFL!$F268="Cincinnati",+NFL!#REF!,IF(+NFL!$H268="Cincinnati",+NFL!#REF!,0))</f>
        <v>0</v>
      </c>
      <c r="BK130" s="120">
        <f>IF(+NFL!$F268="Cincinnati",+NFL!#REF!,IF(+NFL!$H268="Cincinnati",+NFL!#REF!,0))</f>
        <v>0</v>
      </c>
    </row>
    <row r="131" spans="1:63" x14ac:dyDescent="0.8">
      <c r="A131" s="46">
        <f>IF(+NFL!$F289="Cincinnati",+NFL!A289,IF(+NFL!$H289="Cincinnati",+NFL!A289,0))</f>
        <v>16</v>
      </c>
      <c r="B131" s="348" t="str">
        <f>IF(+NFL!$F289="Cincinnati",+NFL!B289,IF(+NFL!$H289="Cincinnati",+NFL!B289,0))</f>
        <v>Sat</v>
      </c>
      <c r="C131" s="48">
        <f>IF(+NFL!$F289="Cincinnati",+NFL!C289,IF(+NFL!$H289="Cincinnati",+NFL!C289,0))</f>
        <v>44919</v>
      </c>
      <c r="D131" s="490">
        <f>IF(+NFL!$F289="Cincinnati",+NFL!D289,IF(+NFL!$H289="Cincinnati",+NFL!D289,0))</f>
        <v>0.54166666666666663</v>
      </c>
      <c r="E131" s="491" t="str">
        <f>IF(+NFL!$F289="Cincinnati",+NFL!E289,IF(+NFL!$H289="Cincinnati",+NFL!E289,0))</f>
        <v>CBS</v>
      </c>
      <c r="F131" s="127" t="str">
        <f>IF(+NFL!$F289="Cincinnati",+NFL!F289,IF(+NFL!$H289="Cincinnati",+NFL!F289,0))</f>
        <v>Cincinnati</v>
      </c>
      <c r="G131" s="46" t="str">
        <f>IF(+NFL!$F289="Cincinnati",+NFL!G289,IF(+NFL!$H289="Cincinnati",+NFL!G289,0))</f>
        <v>AFCN</v>
      </c>
      <c r="H131" s="127" t="str">
        <f>IF(+NFL!$F289="Cincinnati",+NFL!H289,IF(+NFL!$H289="Cincinnati",+NFL!H289,0))</f>
        <v>New England</v>
      </c>
      <c r="I131" s="491" t="str">
        <f>IF(+NFL!$F289="Cincinnati",+NFL!I289,IF(+NFL!$H289="Cincinnati",+NFL!I289,0))</f>
        <v>AFCE</v>
      </c>
      <c r="J131" s="353" t="str">
        <f>IF(+NFL!$F289="Cincinnati",+NFL!J289,IF(+NFL!$H289="Cincinnati",+NFL!J289,0))</f>
        <v>Cincinnati</v>
      </c>
      <c r="K131" s="494" t="str">
        <f>IF(+NFL!$F289="Cincinnati",+NFL!K289,IF(+NFL!$H289="Cincinnati",+NFL!K289,0))</f>
        <v>New England</v>
      </c>
      <c r="L131" s="384">
        <f>IF(+NFL!$F289="Cincinnati",+NFL!L289,IF(+NFL!$H289="Cincinnati",+NFL!L289,0))</f>
        <v>3</v>
      </c>
      <c r="M131" s="385">
        <f>IF(+NFL!$F289="Cincinnati",+NFL!M289,IF(+NFL!$H289="Cincinnati",+NFL!M289,0))</f>
        <v>41.5</v>
      </c>
      <c r="N131" s="394" t="str">
        <f>IF(+NFL!$F289="Cincinnati",+NFL!N289,IF(+NFL!$H289="Cincinnati",+NFL!N289,0))</f>
        <v>Cincinnati</v>
      </c>
      <c r="O131" s="395">
        <f>IF(+NFL!$F289="Cincinnati",+NFL!O289,IF(+NFL!$H289="Cincinnati",+NFL!O289,0))</f>
        <v>22</v>
      </c>
      <c r="P131" s="394" t="str">
        <f>IF(+NFL!$F289="Cincinnati",+NFL!P289,IF(+NFL!$H289="Cincinnati",+NFL!P289,0))</f>
        <v>New England</v>
      </c>
      <c r="Q131" s="396">
        <f>IF(+NFL!$F289="Cincinnati",+NFL!Q289,IF(+NFL!$H289="Cincinnati",+NFL!Q289,0))</f>
        <v>18</v>
      </c>
      <c r="R131" s="397" t="str">
        <f>IF(+NFL!$F289="Cincinnati",+NFL!R289,IF(+NFL!$H289="Cincinnati",+NFL!R289,0))</f>
        <v>Cincinnati</v>
      </c>
      <c r="S131" s="399" t="str">
        <f>IF(+NFL!$F289="Cincinnati",+NFL!S289,IF(+NFL!$H289="Cincinnati",+NFL!S289,0))</f>
        <v>New England</v>
      </c>
      <c r="T131" s="398">
        <f>IF(+NFL!$F289="Cincinnati",+NFL!T289,IF(+NFL!$H289="Cincinnati",+NFL!T289,0))</f>
        <v>0</v>
      </c>
      <c r="U131" s="396" t="str">
        <f>IF(+NFL!$F289="Cincinnati",+NFL!U289,IF(+NFL!$H289="Cincinnati",+NFL!U289,0))</f>
        <v>L</v>
      </c>
      <c r="V131" s="398">
        <f>IF(+NFL!$F286="Cincinnati",+NFL!#REF!,IF(+NFL!$H286="Cincinnati",+NFL!#REF!,0))</f>
        <v>0</v>
      </c>
      <c r="W131" s="396">
        <f>IF(+NFL!$F286="Cincinnati",+NFL!#REF!,IF(+NFL!$H286="Cincinnati",+NFL!#REF!,0))</f>
        <v>0</v>
      </c>
      <c r="X131" s="398">
        <f>IF(+NFL!$F286="Cincinnati",+NFL!#REF!,IF(+NFL!$H286="Cincinnati",+NFL!#REF!,0))</f>
        <v>0</v>
      </c>
      <c r="Y131" s="400">
        <f>IF(+NFL!$F286="Cincinnati",+NFL!#REF!,IF(+NFL!$H286="Cincinnati",+NFL!#REF!,0))</f>
        <v>0</v>
      </c>
      <c r="Z131" s="397">
        <f>IF(+NFL!$F286="Cincinnati",+NFL!#REF!,IF(+NFL!$H286="Cincinnati",+NFL!#REF!,0))</f>
        <v>0</v>
      </c>
      <c r="AA131" s="400">
        <f>IF(+NFL!$F286="Cincinnati",+NFL!#REF!,IF(+NFL!$H286="Cincinnati",+NFL!#REF!,0))</f>
        <v>0</v>
      </c>
      <c r="AB131" s="87">
        <f>IF(+NFL!$F286="Cincinnati",+NFL!#REF!,IF(+NFL!$H286="Cincinnati",+NFL!#REF!,0))</f>
        <v>0</v>
      </c>
      <c r="AC131" s="120">
        <f>IF(+NFL!$F286="Cincinnati",+NFL!#REF!,IF(+NFL!$H286="Cincinnati",+NFL!#REF!,0))</f>
        <v>0</v>
      </c>
      <c r="AD131" s="387">
        <f>IF(+NFL!$F286="Cincinnati",+NFL!#REF!,IF(+NFL!$H286="Cincinnati",+NFL!#REF!,0))</f>
        <v>0</v>
      </c>
      <c r="AE131" s="379">
        <f>IF(+NFL!$F286="Cincinnati",+NFL!#REF!,IF(+NFL!$H286="Cincinnati",+NFL!#REF!,0))</f>
        <v>0</v>
      </c>
      <c r="AF131" s="353">
        <f>IF(+NFL!$F286="Cincinnati",+NFL!#REF!,IF(+NFL!$H286="Cincinnati",+NFL!#REF!,0))</f>
        <v>0</v>
      </c>
      <c r="AG131" s="379">
        <f>IF(+NFL!$F286="Cincinnati",+NFL!#REF!,IF(+NFL!$H286="Cincinnati",+NFL!#REF!,0))</f>
        <v>0</v>
      </c>
      <c r="AH131" s="353">
        <f>IF(+NFL!$F286="Cincinnati",+NFL!#REF!,IF(+NFL!$H286="Cincinnati",+NFL!#REF!,0))</f>
        <v>0</v>
      </c>
      <c r="AI131" s="379">
        <f>IF(+NFL!$F286="Cincinnati",+NFL!#REF!,IF(+NFL!$H286="Cincinnati",+NFL!#REF!,0))</f>
        <v>0</v>
      </c>
      <c r="AJ131" s="387">
        <f>IF(+NFL!$F286="Cincinnati",+NFL!#REF!,IF(+NFL!$H286="Cincinnati",+NFL!#REF!,0))</f>
        <v>0</v>
      </c>
      <c r="AK131" s="379">
        <f>IF(+NFL!$F286="Cincinnati",+NFL!#REF!,IF(+NFL!$H286="Cincinnati",+NFL!#REF!,0))</f>
        <v>0</v>
      </c>
      <c r="AL131" s="68">
        <f>IF(+NFL!$F286="Cincinnati",+NFL!#REF!,IF(+NFL!$H286="Cincinnati",+NFL!#REF!,0))</f>
        <v>0</v>
      </c>
      <c r="AM131" s="58">
        <f>IF(+NFL!$F286="Cincinnati",+NFL!#REF!,IF(+NFL!$H286="Cincinnati",+NFL!#REF!,0))</f>
        <v>0</v>
      </c>
      <c r="AN131" s="57">
        <f>IF(+NFL!$F286="Cincinnati",+NFL!#REF!,IF(+NFL!$H286="Cincinnati",+NFL!#REF!,0))</f>
        <v>0</v>
      </c>
      <c r="AO131" s="59">
        <f>IF(+NFL!$F286="Cincinnati",+NFL!#REF!,IF(+NFL!$H286="Cincinnati",+NFL!#REF!,0))</f>
        <v>0</v>
      </c>
      <c r="AP131" s="348">
        <f>IF(+NFL!$F286="Cincinnati",+NFL!#REF!,IF(+NFL!$H286="Cincinnati",+NFL!#REF!,0))</f>
        <v>0</v>
      </c>
      <c r="AQ131" s="48">
        <f>IF(+NFL!$F286="Cincinnati",+NFL!#REF!,IF(+NFL!$H286="Cincinnati",+NFL!#REF!,0))</f>
        <v>0</v>
      </c>
      <c r="AR131" s="57">
        <f>IF(+NFL!$F286="Cincinnati",+NFL!#REF!,IF(+NFL!$H286="Cincinnati",+NFL!#REF!,0))</f>
        <v>0</v>
      </c>
      <c r="AS131" s="64">
        <f>IF(+NFL!$F286="Cincinnati",+NFL!#REF!,IF(+NFL!$H286="Cincinnati",+NFL!#REF!,0))</f>
        <v>0</v>
      </c>
      <c r="AT131" s="64">
        <f>IF(+NFL!$F286="Cincinnati",+NFL!#REF!,IF(+NFL!$H286="Cincinnati",+NFL!#REF!,0))</f>
        <v>0</v>
      </c>
      <c r="AU131" s="57">
        <f>IF(+NFL!$F286="Cincinnati",+NFL!#REF!,IF(+NFL!$H286="Cincinnati",+NFL!#REF!,0))</f>
        <v>0</v>
      </c>
      <c r="AV131" s="64">
        <f>IF(+NFL!$F286="Cincinnati",+NFL!#REF!,IF(+NFL!$H286="Cincinnati",+NFL!#REF!,0))</f>
        <v>0</v>
      </c>
      <c r="AW131" s="46">
        <f>IF(+NFL!$F286="Cincinnati",+NFL!#REF!,IF(+NFL!$H286="Cincinnati",+NFL!#REF!,0))</f>
        <v>0</v>
      </c>
      <c r="AX131" s="64">
        <f>IF(+NFL!$F286="Cincinnati",+NFL!#REF!,IF(+NFL!$H286="Cincinnati",+NFL!#REF!,0))</f>
        <v>0</v>
      </c>
      <c r="AY131" s="57">
        <f>IF(+NFL!$F286="Cincinnati",+NFL!#REF!,IF(+NFL!$H286="Cincinnati",+NFL!#REF!,0))</f>
        <v>0</v>
      </c>
      <c r="AZ131" s="64">
        <f>IF(+NFL!$F286="Cincinnati",+NFL!#REF!,IF(+NFL!$H286="Cincinnati",+NFL!#REF!,0))</f>
        <v>0</v>
      </c>
      <c r="BA131" s="46">
        <f>IF(+NFL!$F286="Cincinnati",+NFL!#REF!,IF(+NFL!$H286="Cincinnati",+NFL!#REF!,0))</f>
        <v>0</v>
      </c>
      <c r="BB131" s="46">
        <f>IF(+NFL!$F286="Cincinnati",+NFL!#REF!,IF(+NFL!$H286="Cincinnati",+NFL!#REF!,0))</f>
        <v>0</v>
      </c>
      <c r="BC131" s="403">
        <f>IF(+NFL!$F286="Cincinnati",+NFL!#REF!,IF(+NFL!$H286="Cincinnati",+NFL!#REF!,0))</f>
        <v>0</v>
      </c>
      <c r="BD131" s="57">
        <f>IF(+NFL!$F286="Cincinnati",+NFL!#REF!,IF(+NFL!$H286="Cincinnati",+NFL!#REF!,0))</f>
        <v>0</v>
      </c>
      <c r="BE131" s="64">
        <f>IF(+NFL!$F286="Cincinnati",+NFL!#REF!,IF(+NFL!$H286="Cincinnati",+NFL!#REF!,0))</f>
        <v>0</v>
      </c>
      <c r="BF131" s="46">
        <f>IF(+NFL!$F286="Cincinnati",+NFL!#REF!,IF(+NFL!$H286="Cincinnati",+NFL!#REF!,0))</f>
        <v>0</v>
      </c>
      <c r="BG131" s="57">
        <f>IF(+NFL!$F286="Cincinnati",+NFL!#REF!,IF(+NFL!$H286="Cincinnati",+NFL!#REF!,0))</f>
        <v>0</v>
      </c>
      <c r="BH131" s="64">
        <f>IF(+NFL!$F286="Cincinnati",+NFL!#REF!,IF(+NFL!$H286="Cincinnati",+NFL!#REF!,0))</f>
        <v>0</v>
      </c>
      <c r="BI131" s="46">
        <f>IF(+NFL!$F286="Cincinnati",+NFL!#REF!,IF(+NFL!$H286="Cincinnati",+NFL!#REF!,0))</f>
        <v>0</v>
      </c>
      <c r="BJ131" s="87">
        <f>IF(+NFL!$F286="Cincinnati",+NFL!#REF!,IF(+NFL!$H286="Cincinnati",+NFL!#REF!,0))</f>
        <v>0</v>
      </c>
      <c r="BK131" s="120">
        <f>IF(+NFL!$F286="Cincinnati",+NFL!#REF!,IF(+NFL!$H286="Cincinnati",+NFL!#REF!,0))</f>
        <v>0</v>
      </c>
    </row>
    <row r="132" spans="1:63" x14ac:dyDescent="0.8">
      <c r="A132" s="46" t="e">
        <f>IF(+NFL!#REF!="Cincinnati",+NFL!#REF!,IF(+NFL!#REF!="Cincinnati",+NFL!#REF!,0))</f>
        <v>#REF!</v>
      </c>
      <c r="B132" s="348" t="e">
        <f>IF(+NFL!#REF!="Cincinnati",+NFL!#REF!,IF(+NFL!#REF!="Cincinnati",+NFL!#REF!,0))</f>
        <v>#REF!</v>
      </c>
      <c r="C132" s="48" t="e">
        <f>IF(+NFL!#REF!="Cincinnati",+NFL!#REF!,IF(+NFL!#REF!="Cincinnati",+NFL!#REF!,0))</f>
        <v>#REF!</v>
      </c>
      <c r="D132" s="490" t="e">
        <f>IF(+NFL!#REF!="Cincinnati",+NFL!#REF!,IF(+NFL!#REF!="Cincinnati",+NFL!#REF!,0))</f>
        <v>#REF!</v>
      </c>
      <c r="E132" s="491" t="e">
        <f>IF(+NFL!#REF!="Cincinnati",+NFL!#REF!,IF(+NFL!#REF!="Cincinnati",+NFL!#REF!,0))</f>
        <v>#REF!</v>
      </c>
      <c r="F132" s="127" t="e">
        <f>IF(+NFL!#REF!="Cincinnati",+NFL!#REF!,IF(+NFL!#REF!="Cincinnati",+NFL!#REF!,0))</f>
        <v>#REF!</v>
      </c>
      <c r="G132" s="46" t="e">
        <f>IF(+NFL!#REF!="Cincinnati",+NFL!#REF!,IF(+NFL!#REF!="Cincinnati",+NFL!#REF!,0))</f>
        <v>#REF!</v>
      </c>
      <c r="H132" s="127" t="e">
        <f>IF(+NFL!#REF!="Cincinnati",+NFL!#REF!,IF(+NFL!#REF!="Cincinnati",+NFL!#REF!,0))</f>
        <v>#REF!</v>
      </c>
      <c r="I132" s="491" t="e">
        <f>IF(+NFL!#REF!="Cincinnati",+NFL!#REF!,IF(+NFL!#REF!="Cincinnati",+NFL!#REF!,0))</f>
        <v>#REF!</v>
      </c>
      <c r="J132" s="353" t="e">
        <f>IF(+NFL!#REF!="Cincinnati",+NFL!#REF!,IF(+NFL!#REF!="Cincinnati",+NFL!#REF!,0))</f>
        <v>#REF!</v>
      </c>
      <c r="K132" s="494" t="e">
        <f>IF(+NFL!#REF!="Cincinnati",+NFL!#REF!,IF(+NFL!#REF!="Cincinnati",+NFL!#REF!,0))</f>
        <v>#REF!</v>
      </c>
      <c r="L132" s="384" t="e">
        <f>IF(+NFL!#REF!="Cincinnati",+NFL!#REF!,IF(+NFL!#REF!="Cincinnati",+NFL!#REF!,0))</f>
        <v>#REF!</v>
      </c>
      <c r="M132" s="385" t="e">
        <f>IF(+NFL!#REF!="Cincinnati",+NFL!#REF!,IF(+NFL!#REF!="Cincinnati",+NFL!#REF!,0))</f>
        <v>#REF!</v>
      </c>
      <c r="N132" s="394" t="e">
        <f>IF(+NFL!#REF!="Cincinnati",+NFL!#REF!,IF(+NFL!#REF!="Cincinnati",+NFL!#REF!,0))</f>
        <v>#REF!</v>
      </c>
      <c r="O132" s="395" t="e">
        <f>IF(+NFL!#REF!="Cincinnati",+NFL!#REF!,IF(+NFL!#REF!="Cincinnati",+NFL!#REF!,0))</f>
        <v>#REF!</v>
      </c>
      <c r="P132" s="394" t="e">
        <f>IF(+NFL!#REF!="Cincinnati",+NFL!#REF!,IF(+NFL!#REF!="Cincinnati",+NFL!#REF!,0))</f>
        <v>#REF!</v>
      </c>
      <c r="Q132" s="396" t="e">
        <f>IF(+NFL!#REF!="Cincinnati",+NFL!#REF!,IF(+NFL!#REF!="Cincinnati",+NFL!#REF!,0))</f>
        <v>#REF!</v>
      </c>
      <c r="R132" s="397" t="e">
        <f>IF(+NFL!#REF!="Cincinnati",+NFL!#REF!,IF(+NFL!#REF!="Cincinnati",+NFL!#REF!,0))</f>
        <v>#REF!</v>
      </c>
      <c r="S132" s="399" t="e">
        <f>IF(+NFL!#REF!="Cincinnati",+NFL!#REF!,IF(+NFL!#REF!="Cincinnati",+NFL!#REF!,0))</f>
        <v>#REF!</v>
      </c>
      <c r="T132" s="398" t="e">
        <f>IF(+NFL!#REF!="Cincinnati",+NFL!#REF!,IF(+NFL!#REF!="Cincinnati",+NFL!#REF!,0))</f>
        <v>#REF!</v>
      </c>
      <c r="U132" s="396" t="e">
        <f>IF(+NFL!#REF!="Cincinnati",+NFL!#REF!,IF(+NFL!#REF!="Cincinnati",+NFL!#REF!,0))</f>
        <v>#REF!</v>
      </c>
      <c r="V132" s="398">
        <f>IF(+NFL!$F302="Cincinnati",+NFL!#REF!,IF(+NFL!$H302="Cincinnati",+NFL!#REF!,0))</f>
        <v>0</v>
      </c>
      <c r="W132" s="396">
        <f>IF(+NFL!$F302="Cincinnati",+NFL!#REF!,IF(+NFL!$H302="Cincinnati",+NFL!#REF!,0))</f>
        <v>0</v>
      </c>
      <c r="X132" s="398">
        <f>IF(+NFL!$F302="Cincinnati",+NFL!#REF!,IF(+NFL!$H302="Cincinnati",+NFL!#REF!,0))</f>
        <v>0</v>
      </c>
      <c r="Y132" s="400">
        <f>IF(+NFL!$F302="Cincinnati",+NFL!#REF!,IF(+NFL!$H302="Cincinnati",+NFL!#REF!,0))</f>
        <v>0</v>
      </c>
      <c r="Z132" s="397">
        <f>IF(+NFL!$F302="Cincinnati",+NFL!#REF!,IF(+NFL!$H302="Cincinnati",+NFL!#REF!,0))</f>
        <v>0</v>
      </c>
      <c r="AA132" s="400">
        <f>IF(+NFL!$F302="Cincinnati",+NFL!#REF!,IF(+NFL!$H302="Cincinnati",+NFL!#REF!,0))</f>
        <v>0</v>
      </c>
      <c r="AB132" s="87">
        <f>IF(+NFL!$F302="Cincinnati",+NFL!#REF!,IF(+NFL!$H302="Cincinnati",+NFL!#REF!,0))</f>
        <v>0</v>
      </c>
      <c r="AC132" s="120">
        <f>IF(+NFL!$F302="Cincinnati",+NFL!#REF!,IF(+NFL!$H302="Cincinnati",+NFL!#REF!,0))</f>
        <v>0</v>
      </c>
      <c r="AD132" s="387">
        <f>IF(+NFL!$F302="Cincinnati",+NFL!#REF!,IF(+NFL!$H302="Cincinnati",+NFL!#REF!,0))</f>
        <v>0</v>
      </c>
      <c r="AE132" s="379">
        <f>IF(+NFL!$F302="Cincinnati",+NFL!#REF!,IF(+NFL!$H302="Cincinnati",+NFL!#REF!,0))</f>
        <v>0</v>
      </c>
      <c r="AF132" s="353">
        <f>IF(+NFL!$F302="Cincinnati",+NFL!#REF!,IF(+NFL!$H302="Cincinnati",+NFL!#REF!,0))</f>
        <v>0</v>
      </c>
      <c r="AG132" s="379">
        <f>IF(+NFL!$F302="Cincinnati",+NFL!#REF!,IF(+NFL!$H302="Cincinnati",+NFL!#REF!,0))</f>
        <v>0</v>
      </c>
      <c r="AH132" s="353">
        <f>IF(+NFL!$F302="Cincinnati",+NFL!#REF!,IF(+NFL!$H302="Cincinnati",+NFL!#REF!,0))</f>
        <v>0</v>
      </c>
      <c r="AI132" s="379">
        <f>IF(+NFL!$F302="Cincinnati",+NFL!#REF!,IF(+NFL!$H302="Cincinnati",+NFL!#REF!,0))</f>
        <v>0</v>
      </c>
      <c r="AJ132" s="387">
        <f>IF(+NFL!$F302="Cincinnati",+NFL!#REF!,IF(+NFL!$H302="Cincinnati",+NFL!#REF!,0))</f>
        <v>0</v>
      </c>
      <c r="AK132" s="379">
        <f>IF(+NFL!$F302="Cincinnati",+NFL!#REF!,IF(+NFL!$H302="Cincinnati",+NFL!#REF!,0))</f>
        <v>0</v>
      </c>
      <c r="AL132" s="68">
        <f>IF(+NFL!$F302="Cincinnati",+NFL!#REF!,IF(+NFL!$H302="Cincinnati",+NFL!#REF!,0))</f>
        <v>0</v>
      </c>
      <c r="AM132" s="58">
        <f>IF(+NFL!$F302="Cincinnati",+NFL!#REF!,IF(+NFL!$H302="Cincinnati",+NFL!#REF!,0))</f>
        <v>0</v>
      </c>
      <c r="AN132" s="57">
        <f>IF(+NFL!$F302="Cincinnati",+NFL!#REF!,IF(+NFL!$H302="Cincinnati",+NFL!#REF!,0))</f>
        <v>0</v>
      </c>
      <c r="AO132" s="59">
        <f>IF(+NFL!$F302="Cincinnati",+NFL!#REF!,IF(+NFL!$H302="Cincinnati",+NFL!#REF!,0))</f>
        <v>0</v>
      </c>
      <c r="AP132" s="348">
        <f>IF(+NFL!$F302="Cincinnati",+NFL!#REF!,IF(+NFL!$H302="Cincinnati",+NFL!#REF!,0))</f>
        <v>0</v>
      </c>
      <c r="AQ132" s="48">
        <f>IF(+NFL!$F302="Cincinnati",+NFL!#REF!,IF(+NFL!$H302="Cincinnati",+NFL!#REF!,0))</f>
        <v>0</v>
      </c>
      <c r="AR132" s="57">
        <f>IF(+NFL!$F302="Cincinnati",+NFL!#REF!,IF(+NFL!$H302="Cincinnati",+NFL!#REF!,0))</f>
        <v>0</v>
      </c>
      <c r="AS132" s="64">
        <f>IF(+NFL!$F302="Cincinnati",+NFL!#REF!,IF(+NFL!$H302="Cincinnati",+NFL!#REF!,0))</f>
        <v>0</v>
      </c>
      <c r="AT132" s="64">
        <f>IF(+NFL!$F302="Cincinnati",+NFL!#REF!,IF(+NFL!$H302="Cincinnati",+NFL!#REF!,0))</f>
        <v>0</v>
      </c>
      <c r="AU132" s="57">
        <f>IF(+NFL!$F302="Cincinnati",+NFL!#REF!,IF(+NFL!$H302="Cincinnati",+NFL!#REF!,0))</f>
        <v>0</v>
      </c>
      <c r="AV132" s="64">
        <f>IF(+NFL!$F302="Cincinnati",+NFL!#REF!,IF(+NFL!$H302="Cincinnati",+NFL!#REF!,0))</f>
        <v>0</v>
      </c>
      <c r="AW132" s="46">
        <f>IF(+NFL!$F302="Cincinnati",+NFL!#REF!,IF(+NFL!$H302="Cincinnati",+NFL!#REF!,0))</f>
        <v>0</v>
      </c>
      <c r="AX132" s="64">
        <f>IF(+NFL!$F302="Cincinnati",+NFL!#REF!,IF(+NFL!$H302="Cincinnati",+NFL!#REF!,0))</f>
        <v>0</v>
      </c>
      <c r="AY132" s="57">
        <f>IF(+NFL!$F302="Cincinnati",+NFL!#REF!,IF(+NFL!$H302="Cincinnati",+NFL!#REF!,0))</f>
        <v>0</v>
      </c>
      <c r="AZ132" s="64">
        <f>IF(+NFL!$F302="Cincinnati",+NFL!#REF!,IF(+NFL!$H302="Cincinnati",+NFL!#REF!,0))</f>
        <v>0</v>
      </c>
      <c r="BA132" s="46">
        <f>IF(+NFL!$F302="Cincinnati",+NFL!#REF!,IF(+NFL!$H302="Cincinnati",+NFL!#REF!,0))</f>
        <v>0</v>
      </c>
      <c r="BB132" s="46">
        <f>IF(+NFL!$F302="Cincinnati",+NFL!#REF!,IF(+NFL!$H302="Cincinnati",+NFL!#REF!,0))</f>
        <v>0</v>
      </c>
      <c r="BC132" s="403">
        <f>IF(+NFL!$F302="Cincinnati",+NFL!#REF!,IF(+NFL!$H302="Cincinnati",+NFL!#REF!,0))</f>
        <v>0</v>
      </c>
      <c r="BD132" s="57">
        <f>IF(+NFL!$F302="Cincinnati",+NFL!#REF!,IF(+NFL!$H302="Cincinnati",+NFL!#REF!,0))</f>
        <v>0</v>
      </c>
      <c r="BE132" s="64">
        <f>IF(+NFL!$F302="Cincinnati",+NFL!#REF!,IF(+NFL!$H302="Cincinnati",+NFL!#REF!,0))</f>
        <v>0</v>
      </c>
      <c r="BF132" s="46">
        <f>IF(+NFL!$F302="Cincinnati",+NFL!#REF!,IF(+NFL!$H302="Cincinnati",+NFL!#REF!,0))</f>
        <v>0</v>
      </c>
      <c r="BG132" s="57">
        <f>IF(+NFL!$F302="Cincinnati",+NFL!#REF!,IF(+NFL!$H302="Cincinnati",+NFL!#REF!,0))</f>
        <v>0</v>
      </c>
      <c r="BH132" s="64">
        <f>IF(+NFL!$F302="Cincinnati",+NFL!#REF!,IF(+NFL!$H302="Cincinnati",+NFL!#REF!,0))</f>
        <v>0</v>
      </c>
      <c r="BI132" s="46">
        <f>IF(+NFL!$F302="Cincinnati",+NFL!#REF!,IF(+NFL!$H302="Cincinnati",+NFL!#REF!,0))</f>
        <v>0</v>
      </c>
      <c r="BJ132" s="87">
        <f>IF(+NFL!$F302="Cincinnati",+NFL!#REF!,IF(+NFL!$H302="Cincinnati",+NFL!#REF!,0))</f>
        <v>0</v>
      </c>
      <c r="BK132" s="120">
        <f>IF(+NFL!$F302="Cincinnati",+NFL!#REF!,IF(+NFL!$H302="Cincinnati",+NFL!#REF!,0))</f>
        <v>0</v>
      </c>
    </row>
    <row r="133" spans="1:63" x14ac:dyDescent="0.8">
      <c r="A133" s="46">
        <f>IF(+NFL!$F319="Cincinnati",+NFL!A319,IF(+NFL!$H319="Cincinnati",+NFL!A319,0))</f>
        <v>0</v>
      </c>
      <c r="B133" s="348">
        <f>IF(+NFL!$F319="Cincinnati",+NFL!B319,IF(+NFL!$H319="Cincinnati",+NFL!B319,0))</f>
        <v>0</v>
      </c>
      <c r="C133" s="48">
        <f>IF(+NFL!$F319="Cincinnati",+NFL!C319,IF(+NFL!$H319="Cincinnati",+NFL!C319,0))</f>
        <v>0</v>
      </c>
      <c r="D133" s="490">
        <f>IF(+NFL!$F319="Cincinnati",+NFL!D319,IF(+NFL!$H319="Cincinnati",+NFL!D319,0))</f>
        <v>0</v>
      </c>
      <c r="E133" s="491">
        <f>IF(+NFL!$F319="Cincinnati",+NFL!E319,IF(+NFL!$H319="Cincinnati",+NFL!E319,0))</f>
        <v>0</v>
      </c>
      <c r="F133" s="127">
        <f>IF(+NFL!$F319="Cincinnati",+NFL!F319,IF(+NFL!$H319="Cincinnati",+NFL!F319,0))</f>
        <v>0</v>
      </c>
      <c r="G133" s="46">
        <f>IF(+NFL!$F319="Cincinnati",+NFL!G319,IF(+NFL!$H319="Cincinnati",+NFL!G319,0))</f>
        <v>0</v>
      </c>
      <c r="H133" s="127">
        <f>IF(+NFL!$F319="Cincinnati",+NFL!H319,IF(+NFL!$H319="Cincinnati",+NFL!H319,0))</f>
        <v>0</v>
      </c>
      <c r="I133" s="491">
        <f>IF(+NFL!$F319="Cincinnati",+NFL!I319,IF(+NFL!$H319="Cincinnati",+NFL!I319,0))</f>
        <v>0</v>
      </c>
      <c r="J133" s="353">
        <f>IF(+NFL!$F319="Cincinnati",+NFL!J319,IF(+NFL!$H319="Cincinnati",+NFL!J319,0))</f>
        <v>0</v>
      </c>
      <c r="K133" s="494">
        <f>IF(+NFL!$F319="Cincinnati",+NFL!K319,IF(+NFL!$H319="Cincinnati",+NFL!K319,0))</f>
        <v>0</v>
      </c>
      <c r="L133" s="384">
        <f>IF(+NFL!$F319="Cincinnati",+NFL!L319,IF(+NFL!$H319="Cincinnati",+NFL!L319,0))</f>
        <v>0</v>
      </c>
      <c r="M133" s="385">
        <f>IF(+NFL!$F319="Cincinnati",+NFL!M319,IF(+NFL!$H319="Cincinnati",+NFL!M319,0))</f>
        <v>0</v>
      </c>
      <c r="N133" s="394">
        <f>IF(+NFL!$F319="Cincinnati",+NFL!N319,IF(+NFL!$H319="Cincinnati",+NFL!N319,0))</f>
        <v>0</v>
      </c>
      <c r="O133" s="395">
        <f>IF(+NFL!$F319="Cincinnati",+NFL!O319,IF(+NFL!$H319="Cincinnati",+NFL!O319,0))</f>
        <v>0</v>
      </c>
      <c r="P133" s="394">
        <f>IF(+NFL!$F319="Cincinnati",+NFL!P319,IF(+NFL!$H319="Cincinnati",+NFL!P319,0))</f>
        <v>0</v>
      </c>
      <c r="Q133" s="396">
        <f>IF(+NFL!$F319="Cincinnati",+NFL!Q319,IF(+NFL!$H319="Cincinnati",+NFL!Q319,0))</f>
        <v>0</v>
      </c>
      <c r="R133" s="397">
        <f>IF(+NFL!$F319="Cincinnati",+NFL!R319,IF(+NFL!$H319="Cincinnati",+NFL!R319,0))</f>
        <v>0</v>
      </c>
      <c r="S133" s="399">
        <f>IF(+NFL!$F319="Cincinnati",+NFL!S319,IF(+NFL!$H319="Cincinnati",+NFL!S319,0))</f>
        <v>0</v>
      </c>
      <c r="T133" s="398">
        <f>IF(+NFL!$F319="Cincinnati",+NFL!T319,IF(+NFL!$H319="Cincinnati",+NFL!T319,0))</f>
        <v>0</v>
      </c>
      <c r="U133" s="396">
        <f>IF(+NFL!$F319="Cincinnati",+NFL!U319,IF(+NFL!$H319="Cincinnati",+NFL!U319,0))</f>
        <v>0</v>
      </c>
      <c r="V133" s="398" t="e">
        <f>IF(+NFL!$F321="Cincinnati",+NFL!#REF!,IF(+NFL!$H321="Cincinnati",+NFL!#REF!,0))</f>
        <v>#REF!</v>
      </c>
      <c r="W133" s="396" t="e">
        <f>IF(+NFL!$F321="Cincinnati",+NFL!#REF!,IF(+NFL!$H321="Cincinnati",+NFL!#REF!,0))</f>
        <v>#REF!</v>
      </c>
      <c r="X133" s="398" t="e">
        <f>IF(+NFL!$F321="Cincinnati",+NFL!#REF!,IF(+NFL!$H321="Cincinnati",+NFL!#REF!,0))</f>
        <v>#REF!</v>
      </c>
      <c r="Y133" s="400" t="e">
        <f>IF(+NFL!$F321="Cincinnati",+NFL!#REF!,IF(+NFL!$H321="Cincinnati",+NFL!#REF!,0))</f>
        <v>#REF!</v>
      </c>
      <c r="Z133" s="397" t="e">
        <f>IF(+NFL!$F321="Cincinnati",+NFL!#REF!,IF(+NFL!$H321="Cincinnati",+NFL!#REF!,0))</f>
        <v>#REF!</v>
      </c>
      <c r="AA133" s="400" t="e">
        <f>IF(+NFL!$F321="Cincinnati",+NFL!#REF!,IF(+NFL!$H321="Cincinnati",+NFL!#REF!,0))</f>
        <v>#REF!</v>
      </c>
      <c r="AB133" s="87" t="e">
        <f>IF(+NFL!$F321="Cincinnati",+NFL!#REF!,IF(+NFL!$H321="Cincinnati",+NFL!#REF!,0))</f>
        <v>#REF!</v>
      </c>
      <c r="AC133" s="120" t="e">
        <f>IF(+NFL!$F321="Cincinnati",+NFL!#REF!,IF(+NFL!$H321="Cincinnati",+NFL!#REF!,0))</f>
        <v>#REF!</v>
      </c>
      <c r="AD133" s="387" t="e">
        <f>IF(+NFL!$F321="Cincinnati",+NFL!#REF!,IF(+NFL!$H321="Cincinnati",+NFL!#REF!,0))</f>
        <v>#REF!</v>
      </c>
      <c r="AE133" s="379" t="e">
        <f>IF(+NFL!$F321="Cincinnati",+NFL!#REF!,IF(+NFL!$H321="Cincinnati",+NFL!#REF!,0))</f>
        <v>#REF!</v>
      </c>
      <c r="AF133" s="353" t="e">
        <f>IF(+NFL!$F321="Cincinnati",+NFL!#REF!,IF(+NFL!$H321="Cincinnati",+NFL!#REF!,0))</f>
        <v>#REF!</v>
      </c>
      <c r="AG133" s="379" t="e">
        <f>IF(+NFL!$F321="Cincinnati",+NFL!#REF!,IF(+NFL!$H321="Cincinnati",+NFL!#REF!,0))</f>
        <v>#REF!</v>
      </c>
      <c r="AH133" s="353" t="e">
        <f>IF(+NFL!$F321="Cincinnati",+NFL!#REF!,IF(+NFL!$H321="Cincinnati",+NFL!#REF!,0))</f>
        <v>#REF!</v>
      </c>
      <c r="AI133" s="379" t="e">
        <f>IF(+NFL!$F321="Cincinnati",+NFL!#REF!,IF(+NFL!$H321="Cincinnati",+NFL!#REF!,0))</f>
        <v>#REF!</v>
      </c>
      <c r="AJ133" s="387" t="e">
        <f>IF(+NFL!$F321="Cincinnati",+NFL!#REF!,IF(+NFL!$H321="Cincinnati",+NFL!#REF!,0))</f>
        <v>#REF!</v>
      </c>
      <c r="AK133" s="379" t="e">
        <f>IF(+NFL!$F321="Cincinnati",+NFL!#REF!,IF(+NFL!$H321="Cincinnati",+NFL!#REF!,0))</f>
        <v>#REF!</v>
      </c>
      <c r="AL133" s="68" t="e">
        <f>IF(+NFL!$F321="Cincinnati",+NFL!#REF!,IF(+NFL!$H321="Cincinnati",+NFL!#REF!,0))</f>
        <v>#REF!</v>
      </c>
      <c r="AM133" s="58" t="e">
        <f>IF(+NFL!$F321="Cincinnati",+NFL!#REF!,IF(+NFL!$H321="Cincinnati",+NFL!#REF!,0))</f>
        <v>#REF!</v>
      </c>
      <c r="AN133" s="57" t="e">
        <f>IF(+NFL!$F321="Cincinnati",+NFL!#REF!,IF(+NFL!$H321="Cincinnati",+NFL!#REF!,0))</f>
        <v>#REF!</v>
      </c>
      <c r="AO133" s="59" t="e">
        <f>IF(+NFL!$F321="Cincinnati",+NFL!#REF!,IF(+NFL!$H321="Cincinnati",+NFL!#REF!,0))</f>
        <v>#REF!</v>
      </c>
      <c r="AP133" s="348" t="e">
        <f>IF(+NFL!$F321="Cincinnati",+NFL!#REF!,IF(+NFL!$H321="Cincinnati",+NFL!#REF!,0))</f>
        <v>#REF!</v>
      </c>
      <c r="AQ133" s="48" t="e">
        <f>IF(+NFL!$F321="Cincinnati",+NFL!#REF!,IF(+NFL!$H321="Cincinnati",+NFL!#REF!,0))</f>
        <v>#REF!</v>
      </c>
      <c r="AR133" s="57" t="e">
        <f>IF(+NFL!$F321="Cincinnati",+NFL!#REF!,IF(+NFL!$H321="Cincinnati",+NFL!#REF!,0))</f>
        <v>#REF!</v>
      </c>
      <c r="AS133" s="64" t="e">
        <f>IF(+NFL!$F321="Cincinnati",+NFL!#REF!,IF(+NFL!$H321="Cincinnati",+NFL!#REF!,0))</f>
        <v>#REF!</v>
      </c>
      <c r="AT133" s="64" t="e">
        <f>IF(+NFL!$F321="Cincinnati",+NFL!#REF!,IF(+NFL!$H321="Cincinnati",+NFL!#REF!,0))</f>
        <v>#REF!</v>
      </c>
      <c r="AU133" s="57" t="e">
        <f>IF(+NFL!$F321="Cincinnati",+NFL!#REF!,IF(+NFL!$H321="Cincinnati",+NFL!#REF!,0))</f>
        <v>#REF!</v>
      </c>
      <c r="AV133" s="64" t="e">
        <f>IF(+NFL!$F321="Cincinnati",+NFL!#REF!,IF(+NFL!$H321="Cincinnati",+NFL!#REF!,0))</f>
        <v>#REF!</v>
      </c>
      <c r="AW133" s="46" t="e">
        <f>IF(+NFL!$F321="Cincinnati",+NFL!#REF!,IF(+NFL!$H321="Cincinnati",+NFL!#REF!,0))</f>
        <v>#REF!</v>
      </c>
      <c r="AX133" s="64" t="e">
        <f>IF(+NFL!$F321="Cincinnati",+NFL!#REF!,IF(+NFL!$H321="Cincinnati",+NFL!#REF!,0))</f>
        <v>#REF!</v>
      </c>
      <c r="AY133" s="57" t="e">
        <f>IF(+NFL!$F321="Cincinnati",+NFL!#REF!,IF(+NFL!$H321="Cincinnati",+NFL!#REF!,0))</f>
        <v>#REF!</v>
      </c>
      <c r="AZ133" s="64" t="e">
        <f>IF(+NFL!$F321="Cincinnati",+NFL!#REF!,IF(+NFL!$H321="Cincinnati",+NFL!#REF!,0))</f>
        <v>#REF!</v>
      </c>
      <c r="BA133" s="46" t="e">
        <f>IF(+NFL!$F321="Cincinnati",+NFL!#REF!,IF(+NFL!$H321="Cincinnati",+NFL!#REF!,0))</f>
        <v>#REF!</v>
      </c>
      <c r="BB133" s="46" t="e">
        <f>IF(+NFL!$F321="Cincinnati",+NFL!#REF!,IF(+NFL!$H321="Cincinnati",+NFL!#REF!,0))</f>
        <v>#REF!</v>
      </c>
      <c r="BC133" s="403" t="e">
        <f>IF(+NFL!$F321="Cincinnati",+NFL!#REF!,IF(+NFL!$H321="Cincinnati",+NFL!#REF!,0))</f>
        <v>#REF!</v>
      </c>
      <c r="BD133" s="57" t="e">
        <f>IF(+NFL!$F321="Cincinnati",+NFL!#REF!,IF(+NFL!$H321="Cincinnati",+NFL!#REF!,0))</f>
        <v>#REF!</v>
      </c>
      <c r="BE133" s="64" t="e">
        <f>IF(+NFL!$F321="Cincinnati",+NFL!#REF!,IF(+NFL!$H321="Cincinnati",+NFL!#REF!,0))</f>
        <v>#REF!</v>
      </c>
      <c r="BF133" s="46" t="e">
        <f>IF(+NFL!$F321="Cincinnati",+NFL!#REF!,IF(+NFL!$H321="Cincinnati",+NFL!#REF!,0))</f>
        <v>#REF!</v>
      </c>
      <c r="BG133" s="57" t="e">
        <f>IF(+NFL!$F321="Cincinnati",+NFL!#REF!,IF(+NFL!$H321="Cincinnati",+NFL!#REF!,0))</f>
        <v>#REF!</v>
      </c>
      <c r="BH133" s="64" t="e">
        <f>IF(+NFL!$F321="Cincinnati",+NFL!#REF!,IF(+NFL!$H321="Cincinnati",+NFL!#REF!,0))</f>
        <v>#REF!</v>
      </c>
      <c r="BI133" s="46" t="e">
        <f>IF(+NFL!$F321="Cincinnati",+NFL!#REF!,IF(+NFL!$H321="Cincinnati",+NFL!#REF!,0))</f>
        <v>#REF!</v>
      </c>
      <c r="BJ133" s="87" t="e">
        <f>IF(+NFL!$F321="Cincinnati",+NFL!#REF!,IF(+NFL!$H321="Cincinnati",+NFL!#REF!,0))</f>
        <v>#REF!</v>
      </c>
      <c r="BK133" s="120" t="e">
        <f>IF(+NFL!$F321="Cincinnati",+NFL!#REF!,IF(+NFL!$H321="Cincinnati",+NFL!#REF!,0))</f>
        <v>#REF!</v>
      </c>
    </row>
    <row r="134" spans="1:63" x14ac:dyDescent="0.8">
      <c r="F134" s="959" t="str">
        <f>H135</f>
        <v>Carolina</v>
      </c>
      <c r="G134" s="960"/>
      <c r="H134" s="960"/>
      <c r="I134" s="961"/>
      <c r="L134" s="384"/>
      <c r="M134" s="385"/>
      <c r="N134" s="394"/>
      <c r="P134" s="394"/>
      <c r="R134" s="397"/>
      <c r="S134" s="396"/>
      <c r="T134" s="398"/>
      <c r="X134" s="398"/>
      <c r="AL134" s="69"/>
      <c r="AN134" s="70"/>
      <c r="AY134" s="57"/>
      <c r="AZ134" s="64"/>
      <c r="BA134" s="46"/>
      <c r="BB134" s="46"/>
      <c r="BF134" s="46"/>
    </row>
    <row r="135" spans="1:63" x14ac:dyDescent="0.8">
      <c r="A135" s="46">
        <f>IF(+NFL!$F12="Cleveland",+NFL!A12,IF(+NFL!$H12="Cleveland",+NFL!A12,0))</f>
        <v>1</v>
      </c>
      <c r="B135" s="348" t="str">
        <f>IF(+NFL!$F12="Cleveland",+NFL!B12,IF(+NFL!$H12="Cleveland",+NFL!B12,0))</f>
        <v>Sun</v>
      </c>
      <c r="C135" s="48">
        <f>IF(+NFL!$F12="Cleveland",+NFL!C12,IF(+NFL!$H12="Cleveland",+NFL!C12,0))</f>
        <v>44815</v>
      </c>
      <c r="D135" s="490">
        <f>IF(+NFL!$F12="Cleveland",+NFL!D12,IF(+NFL!$H12="Cleveland",+NFL!D12,0))</f>
        <v>0.54166666666666663</v>
      </c>
      <c r="E135" s="46" t="str">
        <f>IF(+NFL!$F12="Cleveland",+NFL!E12,IF(+NFL!$H12="Cleveland",+NFL!E12,0))</f>
        <v>CBS</v>
      </c>
      <c r="F135" s="127" t="str">
        <f>IF(+NFL!$F12="Cleveland",+NFL!F12,IF(+NFL!$H12="Cleveland",+NFL!F12,0))</f>
        <v>Cleveland</v>
      </c>
      <c r="G135" s="46" t="str">
        <f>IF(+NFL!$F12="Cleveland",+NFL!G12,IF(+NFL!$H12="Cleveland",+NFL!G12,0))</f>
        <v>AFCN</v>
      </c>
      <c r="H135" s="127" t="str">
        <f>IF(+NFL!$F12="Cleveland",+NFL!H12,IF(+NFL!$H12="Cleveland",+NFL!H12,0))</f>
        <v>Carolina</v>
      </c>
      <c r="I135" s="46" t="str">
        <f>IF(+NFL!$F12="Cleveland",+NFL!I12,IF(+NFL!$H12="Cleveland",+NFL!I12,0))</f>
        <v>NFCS</v>
      </c>
      <c r="J135" s="353" t="str">
        <f>IF(+NFL!$F12="Cleveland",+NFL!J12,IF(+NFL!$H12="Cleveland",+NFL!J12,0))</f>
        <v>Carolina</v>
      </c>
      <c r="K135" s="494" t="str">
        <f>IF(+NFL!$F12="Cleveland",+NFL!K12,IF(+NFL!$H12="Cleveland",+NFL!K12,0))</f>
        <v>Cleveland</v>
      </c>
      <c r="L135" s="384">
        <f>IF(+NFL!$F12="Cleveland",+NFL!L12,IF(+NFL!$H12="Cleveland",+NFL!L12,0))</f>
        <v>1.5</v>
      </c>
      <c r="M135" s="385">
        <f>IF(+NFL!$F12="Cleveland",+NFL!M12,IF(+NFL!$H12="Cleveland",+NFL!M12,0))</f>
        <v>42</v>
      </c>
      <c r="N135" s="394" t="str">
        <f>IF(+NFL!$F12="Cleveland",+NFL!N12,IF(+NFL!$H12="Cleveland",+NFL!N12,0))</f>
        <v>Cleveland</v>
      </c>
      <c r="O135" s="395">
        <f>IF(+NFL!$F12="Cleveland",+NFL!O12,IF(+NFL!$H12="Cleveland",+NFL!O12,0))</f>
        <v>26</v>
      </c>
      <c r="P135" s="394" t="str">
        <f>IF(+NFL!$F12="Cleveland",+NFL!P12,IF(+NFL!$H12="Cleveland",+NFL!P12,0))</f>
        <v>Carolina</v>
      </c>
      <c r="Q135" s="396">
        <f>IF(+NFL!$F12="Cleveland",+NFL!Q12,IF(+NFL!$H12="Cleveland",+NFL!Q12,0))</f>
        <v>24</v>
      </c>
      <c r="R135" s="397" t="str">
        <f>IF(+NFL!$F12="Cleveland",+NFL!R12,IF(+NFL!$H12="Cleveland",+NFL!R12,0))</f>
        <v>Cleveland</v>
      </c>
      <c r="S135" s="396" t="str">
        <f>IF(+NFL!$F12="Cleveland",+NFL!S12,IF(+NFL!$H12="Cleveland",+NFL!S12,0))</f>
        <v>Carolina</v>
      </c>
      <c r="T135" s="398" t="str">
        <f>IF(+NFL!$F12="Cleveland",+NFL!T12,IF(+NFL!$H12="Cleveland",+NFL!T12,0))</f>
        <v>Cleveland</v>
      </c>
      <c r="U135" s="396" t="str">
        <f>IF(+NFL!$F12="Cleveland",+NFL!U12,IF(+NFL!$H12="Cleveland",+NFL!U12,0))</f>
        <v>W</v>
      </c>
      <c r="X135" s="398"/>
      <c r="AL135" s="69"/>
      <c r="AN135" s="70"/>
      <c r="AP135" s="348"/>
      <c r="AQ135" s="348"/>
      <c r="AS135" s="493"/>
      <c r="AT135" s="493"/>
      <c r="AV135" s="493"/>
      <c r="AX135" s="493"/>
      <c r="AY135" s="57"/>
      <c r="AZ135" s="493"/>
      <c r="BA135" s="46"/>
      <c r="BB135" s="46"/>
      <c r="BC135" s="348"/>
      <c r="BE135" s="493"/>
      <c r="BF135" s="46"/>
      <c r="BH135" s="493"/>
    </row>
    <row r="136" spans="1:63" x14ac:dyDescent="0.8">
      <c r="A136" s="46">
        <f>IF(+NFL!$F22="Cleveland",+NFL!A22,IF(+NFL!$H22="Cleveland",+NFL!A22,0))</f>
        <v>2</v>
      </c>
      <c r="B136" s="348" t="str">
        <f>IF(+NFL!$F22="Cleveland",+NFL!B22,IF(+NFL!$H22="Cleveland",+NFL!B22,0))</f>
        <v>Sun</v>
      </c>
      <c r="C136" s="48">
        <f>IF(+NFL!$F22="Cleveland",+NFL!C22,IF(+NFL!$H22="Cleveland",+NFL!C22,0))</f>
        <v>44822</v>
      </c>
      <c r="D136" s="490">
        <f>IF(+NFL!$F22="Cleveland",+NFL!D22,IF(+NFL!$H22="Cleveland",+NFL!D22,0))</f>
        <v>0.54166666666666663</v>
      </c>
      <c r="E136" s="46" t="str">
        <f>IF(+NFL!$F22="Cleveland",+NFL!E22,IF(+NFL!$H22="Cleveland",+NFL!E22,0))</f>
        <v>CBS</v>
      </c>
      <c r="F136" s="127" t="str">
        <f>IF(+NFL!$F22="Cleveland",+NFL!F22,IF(+NFL!$H22="Cleveland",+NFL!F22,0))</f>
        <v>NY Jets</v>
      </c>
      <c r="G136" s="46" t="str">
        <f>IF(+NFL!$F22="Cleveland",+NFL!G22,IF(+NFL!$H22="Cleveland",+NFL!G22,0))</f>
        <v>AFCE</v>
      </c>
      <c r="H136" s="127" t="str">
        <f>IF(+NFL!$F22="Cleveland",+NFL!H22,IF(+NFL!$H22="Cleveland",+NFL!H22,0))</f>
        <v>Cleveland</v>
      </c>
      <c r="I136" s="46" t="str">
        <f>IF(+NFL!$F22="Cleveland",+NFL!I22,IF(+NFL!$H22="Cleveland",+NFL!I22,0))</f>
        <v>AFCN</v>
      </c>
      <c r="J136" s="353" t="str">
        <f>IF(+NFL!$F22="Cleveland",+NFL!J22,IF(+NFL!$H22="Cleveland",+NFL!J22,0))</f>
        <v>Cleveland</v>
      </c>
      <c r="K136" s="494" t="str">
        <f>IF(+NFL!$F22="Cleveland",+NFL!K22,IF(+NFL!$H22="Cleveland",+NFL!K22,0))</f>
        <v>NY Jets</v>
      </c>
      <c r="L136" s="384">
        <f>IF(+NFL!$F22="Cleveland",+NFL!L22,IF(+NFL!$H22="Cleveland",+NFL!L22,0))</f>
        <v>6</v>
      </c>
      <c r="M136" s="385">
        <f>IF(+NFL!$F22="Cleveland",+NFL!M22,IF(+NFL!$H22="Cleveland",+NFL!M22,0))</f>
        <v>40</v>
      </c>
      <c r="N136" s="394" t="str">
        <f>IF(+NFL!$F22="Cleveland",+NFL!N22,IF(+NFL!$H22="Cleveland",+NFL!N22,0))</f>
        <v>NY Jets</v>
      </c>
      <c r="O136" s="395">
        <f>IF(+NFL!$F22="Cleveland",+NFL!O22,IF(+NFL!$H22="Cleveland",+NFL!O22,0))</f>
        <v>31</v>
      </c>
      <c r="P136" s="394" t="str">
        <f>IF(+NFL!$F22="Cleveland",+NFL!P22,IF(+NFL!$H22="Cleveland",+NFL!P22,0))</f>
        <v>Cleveland</v>
      </c>
      <c r="Q136" s="396">
        <f>IF(+NFL!$F22="Cleveland",+NFL!Q22,IF(+NFL!$H22="Cleveland",+NFL!Q22,0))</f>
        <v>30</v>
      </c>
      <c r="R136" s="397" t="str">
        <f>IF(+NFL!$F22="Cleveland",+NFL!R22,IF(+NFL!$H22="Cleveland",+NFL!R22,0))</f>
        <v>NY Jets</v>
      </c>
      <c r="S136" s="396" t="str">
        <f>IF(+NFL!$F22="Cleveland",+NFL!S22,IF(+NFL!$H22="Cleveland",+NFL!S22,0))</f>
        <v>Cleveland</v>
      </c>
      <c r="T136" s="398" t="str">
        <f>IF(+NFL!$F22="Cleveland",+NFL!T22,IF(+NFL!$H22="Cleveland",+NFL!T22,0))</f>
        <v>NY Jets</v>
      </c>
      <c r="U136" s="396" t="str">
        <f>IF(+NFL!$F22="Cleveland",+NFL!U22,IF(+NFL!$H22="Cleveland",+NFL!U22,0))</f>
        <v>W</v>
      </c>
      <c r="X136" s="398"/>
      <c r="AH136" s="387"/>
      <c r="AJ136" s="387"/>
      <c r="AL136" s="68"/>
      <c r="AP136" s="348"/>
      <c r="AQ136" s="48"/>
      <c r="AS136" s="493"/>
      <c r="AT136" s="493"/>
      <c r="AV136" s="493"/>
      <c r="AX136" s="493"/>
      <c r="AY136" s="57"/>
      <c r="AZ136" s="493"/>
      <c r="BA136" s="46"/>
      <c r="BB136" s="46"/>
      <c r="BC136" s="403"/>
      <c r="BE136" s="493"/>
      <c r="BF136" s="46"/>
      <c r="BH136" s="493"/>
    </row>
    <row r="137" spans="1:63" x14ac:dyDescent="0.8">
      <c r="A137" s="46">
        <f>IF(+NFL!$F38="Cleveland",+NFL!A38,IF(+NFL!$H38="Cleveland",+NFL!A38,0))</f>
        <v>3</v>
      </c>
      <c r="B137" s="348" t="str">
        <f>IF(+NFL!$F38="Cleveland",+NFL!B38,IF(+NFL!$H38="Cleveland",+NFL!B38,0))</f>
        <v>Thurs</v>
      </c>
      <c r="C137" s="48">
        <f>IF(+NFL!$F38="Cleveland",+NFL!C38,IF(+NFL!$H38="Cleveland",+NFL!C38,0))</f>
        <v>44826</v>
      </c>
      <c r="D137" s="490">
        <f>IF(+NFL!$F38="Cleveland",+NFL!D38,IF(+NFL!$H38="Cleveland",+NFL!D38,0))</f>
        <v>0.84375</v>
      </c>
      <c r="E137" s="46" t="str">
        <f>IF(+NFL!$F38="Cleveland",+NFL!E38,IF(+NFL!$H38="Cleveland",+NFL!E38,0))</f>
        <v>NBC</v>
      </c>
      <c r="F137" s="127" t="str">
        <f>IF(+NFL!$F38="Cleveland",+NFL!F38,IF(+NFL!$H38="Cleveland",+NFL!F38,0))</f>
        <v>Pittsburgh</v>
      </c>
      <c r="G137" s="46" t="str">
        <f>IF(+NFL!$F38="Cleveland",+NFL!G38,IF(+NFL!$H38="Cleveland",+NFL!G38,0))</f>
        <v>AFCN</v>
      </c>
      <c r="H137" s="127" t="str">
        <f>IF(+NFL!$F38="Cleveland",+NFL!H38,IF(+NFL!$H38="Cleveland",+NFL!H38,0))</f>
        <v>Cleveland</v>
      </c>
      <c r="I137" s="46" t="str">
        <f>IF(+NFL!$F38="Cleveland",+NFL!I38,IF(+NFL!$H38="Cleveland",+NFL!I38,0))</f>
        <v>AFCN</v>
      </c>
      <c r="J137" s="353" t="str">
        <f>IF(+NFL!$F38="Cleveland",+NFL!J38,IF(+NFL!$H38="Cleveland",+NFL!J38,0))</f>
        <v>Cleveland</v>
      </c>
      <c r="K137" s="494" t="str">
        <f>IF(+NFL!$F38="Cleveland",+NFL!K38,IF(+NFL!$H38="Cleveland",+NFL!K38,0))</f>
        <v>Pittsburgh</v>
      </c>
      <c r="L137" s="384">
        <f>IF(+NFL!$F38="Cleveland",+NFL!L38,IF(+NFL!$H38="Cleveland",+NFL!L38,0))</f>
        <v>4.5</v>
      </c>
      <c r="M137" s="385">
        <f>IF(+NFL!$F38="Cleveland",+NFL!M38,IF(+NFL!$H38="Cleveland",+NFL!M38,0))</f>
        <v>38.5</v>
      </c>
      <c r="N137" s="394" t="str">
        <f>IF(+NFL!$F38="Cleveland",+NFL!N38,IF(+NFL!$H38="Cleveland",+NFL!N38,0))</f>
        <v>Cleveland</v>
      </c>
      <c r="O137" s="395">
        <f>IF(+NFL!$F38="Cleveland",+NFL!O38,IF(+NFL!$H38="Cleveland",+NFL!O38,0))</f>
        <v>29</v>
      </c>
      <c r="P137" s="394" t="str">
        <f>IF(+NFL!$F38="Cleveland",+NFL!P38,IF(+NFL!$H38="Cleveland",+NFL!P38,0))</f>
        <v>Pittsburgh</v>
      </c>
      <c r="Q137" s="396">
        <f>IF(+NFL!$F38="Cleveland",+NFL!Q38,IF(+NFL!$H38="Cleveland",+NFL!Q38,0))</f>
        <v>17</v>
      </c>
      <c r="R137" s="397" t="str">
        <f>IF(+NFL!$F38="Cleveland",+NFL!R38,IF(+NFL!$H38="Cleveland",+NFL!R38,0))</f>
        <v>Cleveland</v>
      </c>
      <c r="S137" s="396" t="str">
        <f>IF(+NFL!$F38="Cleveland",+NFL!S38,IF(+NFL!$H38="Cleveland",+NFL!S38,0))</f>
        <v>Pittsburgh</v>
      </c>
      <c r="T137" s="398" t="str">
        <f>IF(+NFL!$F38="Cleveland",+NFL!T38,IF(+NFL!$H38="Cleveland",+NFL!T38,0))</f>
        <v>Cleveland</v>
      </c>
      <c r="U137" s="396" t="str">
        <f>IF(+NFL!$F38="Cleveland",+NFL!U38,IF(+NFL!$H38="Cleveland",+NFL!U38,0))</f>
        <v>W</v>
      </c>
      <c r="X137" s="398"/>
      <c r="AH137" s="387"/>
      <c r="AJ137" s="387"/>
      <c r="AL137" s="68"/>
      <c r="AP137" s="348"/>
      <c r="AQ137" s="48"/>
      <c r="AY137" s="57"/>
      <c r="AZ137" s="64"/>
      <c r="BA137" s="46"/>
      <c r="BB137" s="46"/>
      <c r="BC137" s="403"/>
      <c r="BF137" s="46"/>
    </row>
    <row r="138" spans="1:63" x14ac:dyDescent="0.8">
      <c r="A138" s="46">
        <f>IF(+NFL!$F57="Cleveland",+NFL!A57,IF(+NFL!$H57="Cleveland",+NFL!A57,0))</f>
        <v>4</v>
      </c>
      <c r="B138" s="348" t="str">
        <f>IF(+NFL!$F57="Cleveland",+NFL!B57,IF(+NFL!$H57="Cleveland",+NFL!B57,0))</f>
        <v>Sun</v>
      </c>
      <c r="C138" s="48">
        <f>IF(+NFL!$F57="Cleveland",+NFL!C57,IF(+NFL!$H57="Cleveland",+NFL!C57,0))</f>
        <v>44836</v>
      </c>
      <c r="D138" s="490">
        <f>IF(+NFL!$F57="Cleveland",+NFL!D57,IF(+NFL!$H57="Cleveland",+NFL!D57,0))</f>
        <v>0.54166666666666663</v>
      </c>
      <c r="E138" s="46" t="str">
        <f>IF(+NFL!$F57="Cleveland",+NFL!E57,IF(+NFL!$H57="Cleveland",+NFL!E57,0))</f>
        <v>CBS</v>
      </c>
      <c r="F138" s="127" t="str">
        <f>IF(+NFL!$F57="Cleveland",+NFL!F57,IF(+NFL!$H57="Cleveland",+NFL!F57,0))</f>
        <v>Cleveland</v>
      </c>
      <c r="G138" s="46" t="str">
        <f>IF(+NFL!$F57="Cleveland",+NFL!G57,IF(+NFL!$H57="Cleveland",+NFL!G57,0))</f>
        <v>AFCN</v>
      </c>
      <c r="H138" s="127" t="str">
        <f>IF(+NFL!$F57="Cleveland",+NFL!H57,IF(+NFL!$H57="Cleveland",+NFL!H57,0))</f>
        <v>Atlanta</v>
      </c>
      <c r="I138" s="46" t="str">
        <f>IF(+NFL!$F57="Cleveland",+NFL!I57,IF(+NFL!$H57="Cleveland",+NFL!I57,0))</f>
        <v>NFCS</v>
      </c>
      <c r="J138" s="353" t="str">
        <f>IF(+NFL!$F57="Cleveland",+NFL!J57,IF(+NFL!$H57="Cleveland",+NFL!J57,0))</f>
        <v>Cleveland</v>
      </c>
      <c r="K138" s="494" t="str">
        <f>IF(+NFL!$F57="Cleveland",+NFL!K57,IF(+NFL!$H57="Cleveland",+NFL!K57,0))</f>
        <v>Atlanta</v>
      </c>
      <c r="L138" s="384">
        <f>IF(+NFL!$F57="Cleveland",+NFL!L57,IF(+NFL!$H57="Cleveland",+NFL!L57,0))</f>
        <v>1.5</v>
      </c>
      <c r="M138" s="385">
        <f>IF(+NFL!$F57="Cleveland",+NFL!M57,IF(+NFL!$H57="Cleveland",+NFL!M57,0))</f>
        <v>49.5</v>
      </c>
      <c r="N138" s="394" t="str">
        <f>IF(+NFL!$F57="Cleveland",+NFL!N57,IF(+NFL!$H57="Cleveland",+NFL!N57,0))</f>
        <v>Atlanta</v>
      </c>
      <c r="O138" s="395">
        <f>IF(+NFL!$F57="Cleveland",+NFL!O57,IF(+NFL!$H57="Cleveland",+NFL!O57,0))</f>
        <v>23</v>
      </c>
      <c r="P138" s="394" t="str">
        <f>IF(+NFL!$F57="Cleveland",+NFL!P57,IF(+NFL!$H57="Cleveland",+NFL!P57,0))</f>
        <v>Cleveland</v>
      </c>
      <c r="Q138" s="396">
        <f>IF(+NFL!$F57="Cleveland",+NFL!Q57,IF(+NFL!$H57="Cleveland",+NFL!Q57,0))</f>
        <v>20</v>
      </c>
      <c r="R138" s="397" t="str">
        <f>IF(+NFL!$F57="Cleveland",+NFL!R57,IF(+NFL!$H57="Cleveland",+NFL!R57,0))</f>
        <v>Atlanta</v>
      </c>
      <c r="S138" s="396" t="str">
        <f>IF(+NFL!$F57="Cleveland",+NFL!S57,IF(+NFL!$H57="Cleveland",+NFL!S57,0))</f>
        <v>Cleveland</v>
      </c>
      <c r="T138" s="398" t="str">
        <f>IF(+NFL!$F57="Cleveland",+NFL!T57,IF(+NFL!$H57="Cleveland",+NFL!T57,0))</f>
        <v>Atlanta</v>
      </c>
      <c r="U138" s="396" t="str">
        <f>IF(+NFL!$F57="Cleveland",+NFL!U57,IF(+NFL!$H57="Cleveland",+NFL!U57,0))</f>
        <v>W</v>
      </c>
      <c r="X138" s="398"/>
      <c r="AH138" s="387"/>
      <c r="AJ138" s="387"/>
      <c r="AL138" s="68"/>
      <c r="AP138" s="348"/>
      <c r="AQ138" s="48"/>
      <c r="AY138" s="57"/>
      <c r="AZ138" s="64"/>
      <c r="BA138" s="46"/>
      <c r="BB138" s="46"/>
      <c r="BC138" s="403"/>
      <c r="BF138" s="46"/>
    </row>
    <row r="139" spans="1:63" x14ac:dyDescent="0.8">
      <c r="A139" s="46">
        <f>IF(+NFL!$F75="Cleveland",+NFL!A75,IF(+NFL!$H75="Cleveland",+NFL!A75,0))</f>
        <v>5</v>
      </c>
      <c r="B139" s="348" t="str">
        <f>IF(+NFL!$F75="Cleveland",+NFL!B75,IF(+NFL!$H75="Cleveland",+NFL!B75,0))</f>
        <v>Sun</v>
      </c>
      <c r="C139" s="48">
        <f>IF(+NFL!$F75="Cleveland",+NFL!C75,IF(+NFL!$H75="Cleveland",+NFL!C75,0))</f>
        <v>44843</v>
      </c>
      <c r="D139" s="490">
        <f>IF(+NFL!$F75="Cleveland",+NFL!D75,IF(+NFL!$H75="Cleveland",+NFL!D75,0))</f>
        <v>0.54166666666666663</v>
      </c>
      <c r="E139" s="46" t="str">
        <f>IF(+NFL!$F75="Cleveland",+NFL!E75,IF(+NFL!$H75="Cleveland",+NFL!E75,0))</f>
        <v>CBS</v>
      </c>
      <c r="F139" s="127" t="str">
        <f>IF(+NFL!$F75="Cleveland",+NFL!F75,IF(+NFL!$H75="Cleveland",+NFL!F75,0))</f>
        <v>LA Chargers</v>
      </c>
      <c r="G139" s="46" t="str">
        <f>IF(+NFL!$F75="Cleveland",+NFL!G75,IF(+NFL!$H75="Cleveland",+NFL!G75,0))</f>
        <v>AFCW</v>
      </c>
      <c r="H139" s="127" t="str">
        <f>IF(+NFL!$F75="Cleveland",+NFL!H75,IF(+NFL!$H75="Cleveland",+NFL!H75,0))</f>
        <v>Cleveland</v>
      </c>
      <c r="I139" s="46" t="str">
        <f>IF(+NFL!$F75="Cleveland",+NFL!I75,IF(+NFL!$H75="Cleveland",+NFL!I75,0))</f>
        <v>AFCN</v>
      </c>
      <c r="J139" s="353" t="str">
        <f>IF(+NFL!$F75="Cleveland",+NFL!J75,IF(+NFL!$H75="Cleveland",+NFL!J75,0))</f>
        <v>LA Chargers</v>
      </c>
      <c r="K139" s="494" t="str">
        <f>IF(+NFL!$F75="Cleveland",+NFL!K75,IF(+NFL!$H75="Cleveland",+NFL!K75,0))</f>
        <v>Cleveland</v>
      </c>
      <c r="L139" s="384">
        <f>IF(+NFL!$F75="Cleveland",+NFL!L75,IF(+NFL!$H75="Cleveland",+NFL!L75,0))</f>
        <v>3</v>
      </c>
      <c r="M139" s="385">
        <f>IF(+NFL!$F75="Cleveland",+NFL!M75,IF(+NFL!$H75="Cleveland",+NFL!M75,0))</f>
        <v>47.5</v>
      </c>
      <c r="N139" s="394" t="str">
        <f>IF(+NFL!$F75="Cleveland",+NFL!N75,IF(+NFL!$H75="Cleveland",+NFL!N75,0))</f>
        <v>LA Chargers</v>
      </c>
      <c r="O139" s="395">
        <f>IF(+NFL!$F75="Cleveland",+NFL!O75,IF(+NFL!$H75="Cleveland",+NFL!O75,0))</f>
        <v>30</v>
      </c>
      <c r="P139" s="394" t="str">
        <f>IF(+NFL!$F75="Cleveland",+NFL!P75,IF(+NFL!$H75="Cleveland",+NFL!P75,0))</f>
        <v>Cleveland</v>
      </c>
      <c r="Q139" s="396">
        <f>IF(+NFL!$F75="Cleveland",+NFL!Q75,IF(+NFL!$H75="Cleveland",+NFL!Q75,0))</f>
        <v>28</v>
      </c>
      <c r="R139" s="397" t="str">
        <f>IF(+NFL!$F75="Cleveland",+NFL!R75,IF(+NFL!$H75="Cleveland",+NFL!R75,0))</f>
        <v>Cleveland</v>
      </c>
      <c r="S139" s="396" t="str">
        <f>IF(+NFL!$F75="Cleveland",+NFL!S75,IF(+NFL!$H75="Cleveland",+NFL!S75,0))</f>
        <v>LA Chargers</v>
      </c>
      <c r="T139" s="398" t="str">
        <f>IF(+NFL!$F75="Cleveland",+NFL!T75,IF(+NFL!$H75="Cleveland",+NFL!T75,0))</f>
        <v>Cleveland</v>
      </c>
      <c r="U139" s="396" t="str">
        <f>IF(+NFL!$F75="Cleveland",+NFL!U75,IF(+NFL!$H75="Cleveland",+NFL!U75,0))</f>
        <v>W</v>
      </c>
      <c r="X139" s="398"/>
      <c r="AH139" s="387"/>
      <c r="AJ139" s="387"/>
      <c r="AL139" s="68"/>
      <c r="AP139" s="348"/>
      <c r="AQ139" s="48"/>
      <c r="AY139" s="57"/>
      <c r="AZ139" s="64"/>
      <c r="BA139" s="46"/>
      <c r="BB139" s="46"/>
      <c r="BC139" s="403"/>
      <c r="BF139" s="46"/>
    </row>
    <row r="140" spans="1:63" x14ac:dyDescent="0.8">
      <c r="A140" s="46">
        <f>IF(+NFL!$F91="Cleveland",+NFL!A91,IF(+NFL!$H91="Cleveland",+NFL!A91,0))</f>
        <v>6</v>
      </c>
      <c r="B140" s="348" t="str">
        <f>IF(+NFL!$F91="Cleveland",+NFL!B91,IF(+NFL!$H91="Cleveland",+NFL!B91,0))</f>
        <v>Sun</v>
      </c>
      <c r="C140" s="48">
        <f>IF(+NFL!$F91="Cleveland",+NFL!C91,IF(+NFL!$H91="Cleveland",+NFL!C91,0))</f>
        <v>44850</v>
      </c>
      <c r="D140" s="490">
        <f>IF(+NFL!$F91="Cleveland",+NFL!D91,IF(+NFL!$H91="Cleveland",+NFL!D91,0))</f>
        <v>0.54166666666666663</v>
      </c>
      <c r="E140" s="46" t="str">
        <f>IF(+NFL!$F91="Cleveland",+NFL!E91,IF(+NFL!$H91="Cleveland",+NFL!E91,0))</f>
        <v>CBS</v>
      </c>
      <c r="F140" s="127" t="str">
        <f>IF(+NFL!$F91="Cleveland",+NFL!F91,IF(+NFL!$H91="Cleveland",+NFL!F91,0))</f>
        <v>New England</v>
      </c>
      <c r="G140" s="46" t="str">
        <f>IF(+NFL!$F91="Cleveland",+NFL!G91,IF(+NFL!$H91="Cleveland",+NFL!G91,0))</f>
        <v>AFCE</v>
      </c>
      <c r="H140" s="127" t="str">
        <f>IF(+NFL!$F91="Cleveland",+NFL!H91,IF(+NFL!$H91="Cleveland",+NFL!H91,0))</f>
        <v>Cleveland</v>
      </c>
      <c r="I140" s="46" t="str">
        <f>IF(+NFL!$F91="Cleveland",+NFL!I91,IF(+NFL!$H91="Cleveland",+NFL!I91,0))</f>
        <v>AFCN</v>
      </c>
      <c r="J140" s="353" t="str">
        <f>IF(+NFL!$F91="Cleveland",+NFL!J91,IF(+NFL!$H91="Cleveland",+NFL!J91,0))</f>
        <v>Cleveland</v>
      </c>
      <c r="K140" s="494" t="str">
        <f>IF(+NFL!$F91="Cleveland",+NFL!K91,IF(+NFL!$H91="Cleveland",+NFL!K91,0))</f>
        <v>New England</v>
      </c>
      <c r="L140" s="384">
        <f>IF(+NFL!$F91="Cleveland",+NFL!L91,IF(+NFL!$H91="Cleveland",+NFL!L91,0))</f>
        <v>2.5</v>
      </c>
      <c r="M140" s="385">
        <f>IF(+NFL!$F91="Cleveland",+NFL!M91,IF(+NFL!$H91="Cleveland",+NFL!M91,0))</f>
        <v>43.5</v>
      </c>
      <c r="N140" s="394" t="str">
        <f>IF(+NFL!$F91="Cleveland",+NFL!N91,IF(+NFL!$H91="Cleveland",+NFL!N91,0))</f>
        <v>New England</v>
      </c>
      <c r="O140" s="395">
        <f>IF(+NFL!$F91="Cleveland",+NFL!O91,IF(+NFL!$H91="Cleveland",+NFL!O91,0))</f>
        <v>38</v>
      </c>
      <c r="P140" s="394" t="str">
        <f>IF(+NFL!$F91="Cleveland",+NFL!P91,IF(+NFL!$H91="Cleveland",+NFL!P91,0))</f>
        <v>Cleveland</v>
      </c>
      <c r="Q140" s="396">
        <f>IF(+NFL!$F91="Cleveland",+NFL!Q91,IF(+NFL!$H91="Cleveland",+NFL!Q91,0))</f>
        <v>15</v>
      </c>
      <c r="R140" s="397" t="str">
        <f>IF(+NFL!$F91="Cleveland",+NFL!R91,IF(+NFL!$H91="Cleveland",+NFL!R91,0))</f>
        <v>New England</v>
      </c>
      <c r="S140" s="396" t="str">
        <f>IF(+NFL!$F91="Cleveland",+NFL!S91,IF(+NFL!$H91="Cleveland",+NFL!S91,0))</f>
        <v>Cleveland</v>
      </c>
      <c r="T140" s="398" t="str">
        <f>IF(+NFL!$F91="Cleveland",+NFL!T91,IF(+NFL!$H91="Cleveland",+NFL!T91,0))</f>
        <v>Cleveland</v>
      </c>
      <c r="U140" s="396" t="str">
        <f>IF(+NFL!$F91="Cleveland",+NFL!U91,IF(+NFL!$H91="Cleveland",+NFL!U91,0))</f>
        <v>L</v>
      </c>
      <c r="X140" s="398"/>
      <c r="AH140" s="387"/>
      <c r="AJ140" s="387"/>
      <c r="AL140" s="68"/>
      <c r="AP140" s="348"/>
      <c r="AQ140" s="48"/>
      <c r="AY140" s="57"/>
      <c r="AZ140" s="64"/>
      <c r="BA140" s="46"/>
      <c r="BB140" s="46"/>
      <c r="BC140" s="403"/>
      <c r="BF140" s="46"/>
    </row>
    <row r="141" spans="1:63" x14ac:dyDescent="0.8">
      <c r="A141" s="46">
        <f>IF(+NFL!$F116="Cleveland",+NFL!A116,IF(+NFL!$H116="Cleveland",+NFL!A116,0))</f>
        <v>7</v>
      </c>
      <c r="B141" s="348" t="str">
        <f>IF(+NFL!$F116="Cleveland",+NFL!B116,IF(+NFL!$H116="Cleveland",+NFL!B116,0))</f>
        <v>Sun</v>
      </c>
      <c r="C141" s="48">
        <f>IF(+NFL!$F116="Cleveland",+NFL!C116,IF(+NFL!$H116="Cleveland",+NFL!C116,0))</f>
        <v>44857</v>
      </c>
      <c r="D141" s="490">
        <f>IF(+NFL!$F116="Cleveland",+NFL!D116,IF(+NFL!$H116="Cleveland",+NFL!D116,0))</f>
        <v>0.54166666666666663</v>
      </c>
      <c r="E141" s="46" t="str">
        <f>IF(+NFL!$F116="Cleveland",+NFL!E116,IF(+NFL!$H116="Cleveland",+NFL!E116,0))</f>
        <v>CBS</v>
      </c>
      <c r="F141" s="127" t="str">
        <f>IF(+NFL!$F116="Cleveland",+NFL!F116,IF(+NFL!$H116="Cleveland",+NFL!F116,0))</f>
        <v>Cleveland</v>
      </c>
      <c r="G141" s="46" t="str">
        <f>IF(+NFL!$F116="Cleveland",+NFL!G116,IF(+NFL!$H116="Cleveland",+NFL!G116,0))</f>
        <v>AFCN</v>
      </c>
      <c r="H141" s="127" t="str">
        <f>IF(+NFL!$F116="Cleveland",+NFL!H116,IF(+NFL!$H116="Cleveland",+NFL!H116,0))</f>
        <v>Baltimore</v>
      </c>
      <c r="I141" s="46" t="str">
        <f>IF(+NFL!$F116="Cleveland",+NFL!I116,IF(+NFL!$H116="Cleveland",+NFL!I116,0))</f>
        <v>AFCN</v>
      </c>
      <c r="J141" s="353" t="str">
        <f>IF(+NFL!$F116="Cleveland",+NFL!J116,IF(+NFL!$H116="Cleveland",+NFL!J116,0))</f>
        <v>Baltimore</v>
      </c>
      <c r="K141" s="494" t="str">
        <f>IF(+NFL!$F116="Cleveland",+NFL!K116,IF(+NFL!$H116="Cleveland",+NFL!K116,0))</f>
        <v>Cleveland</v>
      </c>
      <c r="L141" s="384">
        <f>IF(+NFL!$F116="Cleveland",+NFL!L116,IF(+NFL!$H116="Cleveland",+NFL!L116,0))</f>
        <v>6.5</v>
      </c>
      <c r="M141" s="385">
        <f>IF(+NFL!$F116="Cleveland",+NFL!M116,IF(+NFL!$H116="Cleveland",+NFL!M116,0))</f>
        <v>45.5</v>
      </c>
      <c r="N141" s="394" t="str">
        <f>IF(+NFL!$F116="Cleveland",+NFL!N116,IF(+NFL!$H116="Cleveland",+NFL!N116,0))</f>
        <v>Baltimore</v>
      </c>
      <c r="O141" s="395">
        <f>IF(+NFL!$F116="Cleveland",+NFL!O116,IF(+NFL!$H116="Cleveland",+NFL!O116,0))</f>
        <v>23</v>
      </c>
      <c r="P141" s="394" t="str">
        <f>IF(+NFL!$F116="Cleveland",+NFL!P116,IF(+NFL!$H116="Cleveland",+NFL!P116,0))</f>
        <v>Cleveland</v>
      </c>
      <c r="Q141" s="396">
        <f>IF(+NFL!$F116="Cleveland",+NFL!Q116,IF(+NFL!$H116="Cleveland",+NFL!Q116,0))</f>
        <v>20</v>
      </c>
      <c r="R141" s="397" t="str">
        <f>IF(+NFL!$F116="Cleveland",+NFL!R116,IF(+NFL!$H116="Cleveland",+NFL!R116,0))</f>
        <v>Cleveland</v>
      </c>
      <c r="S141" s="396" t="str">
        <f>IF(+NFL!$F116="Cleveland",+NFL!S116,IF(+NFL!$H116="Cleveland",+NFL!S116,0))</f>
        <v>Baltimore</v>
      </c>
      <c r="T141" s="398" t="str">
        <f>IF(+NFL!$F116="Cleveland",+NFL!T116,IF(+NFL!$H116="Cleveland",+NFL!T116,0))</f>
        <v>Cleveland</v>
      </c>
      <c r="U141" s="396" t="str">
        <f>IF(+NFL!$F116="Cleveland",+NFL!U116,IF(+NFL!$H116="Cleveland",+NFL!U116,0))</f>
        <v>W</v>
      </c>
      <c r="X141" s="398"/>
      <c r="AH141" s="387"/>
      <c r="AJ141" s="387"/>
      <c r="AL141" s="68"/>
      <c r="AP141" s="348"/>
      <c r="AQ141" s="48"/>
      <c r="AY141" s="57"/>
      <c r="AZ141" s="64"/>
      <c r="BA141" s="46"/>
      <c r="BB141" s="46"/>
      <c r="BC141" s="403"/>
      <c r="BF141" s="46"/>
    </row>
    <row r="142" spans="1:63" x14ac:dyDescent="0.8">
      <c r="A142" s="46">
        <f>IF(+NFL!$F143="Cleveland",+NFL!A143,IF(+NFL!$H143="Cleveland",+NFL!A143,0))</f>
        <v>8</v>
      </c>
      <c r="B142" s="348" t="str">
        <f>IF(+NFL!$F143="Cleveland",+NFL!B143,IF(+NFL!$H143="Cleveland",+NFL!B143,0))</f>
        <v>Mon</v>
      </c>
      <c r="C142" s="48">
        <f>IF(+NFL!$F143="Cleveland",+NFL!C143,IF(+NFL!$H143="Cleveland",+NFL!C143,0))</f>
        <v>44865</v>
      </c>
      <c r="D142" s="490">
        <f>IF(+NFL!$F143="Cleveland",+NFL!D143,IF(+NFL!$H143="Cleveland",+NFL!D143,0))</f>
        <v>0.84375</v>
      </c>
      <c r="E142" s="46" t="str">
        <f>IF(+NFL!$F143="Cleveland",+NFL!E143,IF(+NFL!$H143="Cleveland",+NFL!E143,0))</f>
        <v>ABC</v>
      </c>
      <c r="F142" s="127" t="str">
        <f>IF(+NFL!$F143="Cleveland",+NFL!F143,IF(+NFL!$H143="Cleveland",+NFL!F143,0))</f>
        <v>Cincinnati</v>
      </c>
      <c r="G142" s="46" t="str">
        <f>IF(+NFL!$F143="Cleveland",+NFL!G143,IF(+NFL!$H143="Cleveland",+NFL!G143,0))</f>
        <v>AFCN</v>
      </c>
      <c r="H142" s="127" t="str">
        <f>IF(+NFL!$F143="Cleveland",+NFL!H143,IF(+NFL!$H143="Cleveland",+NFL!H143,0))</f>
        <v>Cleveland</v>
      </c>
      <c r="I142" s="46" t="str">
        <f>IF(+NFL!$F143="Cleveland",+NFL!I143,IF(+NFL!$H143="Cleveland",+NFL!I143,0))</f>
        <v>AFCN</v>
      </c>
      <c r="J142" s="353" t="str">
        <f>IF(+NFL!$F143="Cleveland",+NFL!J143,IF(+NFL!$H143="Cleveland",+NFL!J143,0))</f>
        <v>Cincinnati</v>
      </c>
      <c r="K142" s="494" t="str">
        <f>IF(+NFL!$F143="Cleveland",+NFL!K143,IF(+NFL!$H143="Cleveland",+NFL!K143,0))</f>
        <v>Cleveland</v>
      </c>
      <c r="L142" s="384">
        <f>IF(+NFL!$F143="Cleveland",+NFL!L143,IF(+NFL!$H143="Cleveland",+NFL!L143,0))</f>
        <v>3</v>
      </c>
      <c r="M142" s="385">
        <f>IF(+NFL!$F143="Cleveland",+NFL!M143,IF(+NFL!$H143="Cleveland",+NFL!M143,0))</f>
        <v>47.5</v>
      </c>
      <c r="N142" s="394" t="str">
        <f>IF(+NFL!$F143="Cleveland",+NFL!N143,IF(+NFL!$H143="Cleveland",+NFL!N143,0))</f>
        <v>Cleveland</v>
      </c>
      <c r="O142" s="395">
        <f>IF(+NFL!$F143="Cleveland",+NFL!O143,IF(+NFL!$H143="Cleveland",+NFL!O143,0))</f>
        <v>32</v>
      </c>
      <c r="P142" s="394" t="str">
        <f>IF(+NFL!$F143="Cleveland",+NFL!P143,IF(+NFL!$H143="Cleveland",+NFL!P143,0))</f>
        <v>Cincinnati</v>
      </c>
      <c r="Q142" s="396">
        <f>IF(+NFL!$F143="Cleveland",+NFL!Q143,IF(+NFL!$H143="Cleveland",+NFL!Q143,0))</f>
        <v>13</v>
      </c>
      <c r="R142" s="397" t="str">
        <f>IF(+NFL!$F143="Cleveland",+NFL!R143,IF(+NFL!$H143="Cleveland",+NFL!R143,0))</f>
        <v>Cleveland</v>
      </c>
      <c r="S142" s="396" t="str">
        <f>IF(+NFL!$F143="Cleveland",+NFL!S143,IF(+NFL!$H143="Cleveland",+NFL!S143,0))</f>
        <v>Cincinnati</v>
      </c>
      <c r="T142" s="398" t="str">
        <f>IF(+NFL!$F143="Cleveland",+NFL!T143,IF(+NFL!$H143="Cleveland",+NFL!T143,0))</f>
        <v>Cincinnati</v>
      </c>
      <c r="U142" s="396" t="str">
        <f>IF(+NFL!$F143="Cleveland",+NFL!U143,IF(+NFL!$H143="Cleveland",+NFL!U143,0))</f>
        <v>L</v>
      </c>
      <c r="V142" s="397">
        <f>IF(+NFL!$F63="Cleveland",+NFL!#REF!,IF(+NFL!$H63="Cleveland",+NFL!#REF!,0))</f>
        <v>0</v>
      </c>
      <c r="W142" s="396">
        <f>IF(+NFL!$F63="Cleveland",+NFL!#REF!,IF(+NFL!$H63="Cleveland",+NFL!#REF!,0))</f>
        <v>0</v>
      </c>
      <c r="X142" s="398">
        <f>IF(+NFL!$F63="Cleveland",+NFL!#REF!,IF(+NFL!$H63="Cleveland",+NFL!#REF!,0))</f>
        <v>0</v>
      </c>
      <c r="Y142" s="396">
        <f>IF(+NFL!$F63="Cleveland",+NFL!#REF!,IF(+NFL!$H63="Cleveland",+NFL!#REF!,0))</f>
        <v>0</v>
      </c>
      <c r="Z142" s="397">
        <f>IF(+NFL!$F63="Cleveland",+NFL!#REF!,IF(+NFL!$H63="Cleveland",+NFL!#REF!,0))</f>
        <v>0</v>
      </c>
      <c r="AA142" s="396">
        <f>IF(+NFL!$F63="Cleveland",+NFL!#REF!,IF(+NFL!$H63="Cleveland",+NFL!#REF!,0))</f>
        <v>0</v>
      </c>
      <c r="AB142" s="87">
        <f>IF(+NFL!$F63="Cleveland",+NFL!#REF!,IF(+NFL!$H63="Cleveland",+NFL!#REF!,0))</f>
        <v>0</v>
      </c>
      <c r="AC142" s="120">
        <f>IF(+NFL!$F63="Cleveland",+NFL!#REF!,IF(+NFL!$H63="Cleveland",+NFL!#REF!,0))</f>
        <v>0</v>
      </c>
      <c r="AD142" s="353">
        <f>IF(+NFL!$F63="Cleveland",+NFL!#REF!,IF(+NFL!$H63="Cleveland",+NFL!#REF!,0))</f>
        <v>0</v>
      </c>
      <c r="AE142" s="379">
        <f>IF(+NFL!$F63="Cleveland",+NFL!#REF!,IF(+NFL!$H63="Cleveland",+NFL!#REF!,0))</f>
        <v>0</v>
      </c>
      <c r="AF142" s="353">
        <f>IF(+NFL!$F63="Cleveland",+NFL!#REF!,IF(+NFL!$H63="Cleveland",+NFL!#REF!,0))</f>
        <v>0</v>
      </c>
      <c r="AG142" s="379">
        <f>IF(+NFL!$F63="Cleveland",+NFL!#REF!,IF(+NFL!$H63="Cleveland",+NFL!#REF!,0))</f>
        <v>0</v>
      </c>
      <c r="AH142" s="387">
        <f>IF(+NFL!$F63="Cleveland",+NFL!#REF!,IF(+NFL!$H63="Cleveland",+NFL!#REF!,0))</f>
        <v>0</v>
      </c>
      <c r="AI142" s="379">
        <f>IF(+NFL!$F63="Cleveland",+NFL!#REF!,IF(+NFL!$H63="Cleveland",+NFL!#REF!,0))</f>
        <v>0</v>
      </c>
      <c r="AJ142" s="387">
        <f>IF(+NFL!$F63="Cleveland",+NFL!#REF!,IF(+NFL!$H63="Cleveland",+NFL!#REF!,0))</f>
        <v>0</v>
      </c>
      <c r="AK142" s="379">
        <f>IF(+NFL!$F63="Cleveland",+NFL!#REF!,IF(+NFL!$H63="Cleveland",+NFL!#REF!,0))</f>
        <v>0</v>
      </c>
      <c r="AL142" s="68">
        <f>IF(+NFL!$F63="Cleveland",+NFL!#REF!,IF(+NFL!$H63="Cleveland",+NFL!#REF!,0))</f>
        <v>0</v>
      </c>
      <c r="AM142" s="58">
        <f>IF(+NFL!$F63="Cleveland",+NFL!#REF!,IF(+NFL!$H63="Cleveland",+NFL!#REF!,0))</f>
        <v>0</v>
      </c>
      <c r="AN142" s="57">
        <f>IF(+NFL!$F63="Cleveland",+NFL!#REF!,IF(+NFL!$H63="Cleveland",+NFL!#REF!,0))</f>
        <v>0</v>
      </c>
      <c r="AO142" s="59">
        <f>IF(+NFL!$F63="Cleveland",+NFL!#REF!,IF(+NFL!$H63="Cleveland",+NFL!#REF!,0))</f>
        <v>0</v>
      </c>
      <c r="AP142" s="348">
        <f>IF(+NFL!$F63="Cleveland",+NFL!#REF!,IF(+NFL!$H63="Cleveland",+NFL!#REF!,0))</f>
        <v>0</v>
      </c>
      <c r="AQ142" s="48">
        <f>IF(+NFL!$F63="Cleveland",+NFL!#REF!,IF(+NFL!$H63="Cleveland",+NFL!#REF!,0))</f>
        <v>0</v>
      </c>
      <c r="AR142" s="57">
        <f>IF(+NFL!$F63="Cleveland",+NFL!#REF!,IF(+NFL!$H63="Cleveland",+NFL!#REF!,0))</f>
        <v>0</v>
      </c>
      <c r="AS142" s="64">
        <f>IF(+NFL!$F63="Cleveland",+NFL!#REF!,IF(+NFL!$H63="Cleveland",+NFL!#REF!,0))</f>
        <v>0</v>
      </c>
      <c r="AT142" s="64">
        <f>IF(+NFL!$F63="Cleveland",+NFL!#REF!,IF(+NFL!$H63="Cleveland",+NFL!#REF!,0))</f>
        <v>0</v>
      </c>
      <c r="AU142" s="57">
        <f>IF(+NFL!$F63="Cleveland",+NFL!#REF!,IF(+NFL!$H63="Cleveland",+NFL!#REF!,0))</f>
        <v>0</v>
      </c>
      <c r="AV142" s="64">
        <f>IF(+NFL!$F63="Cleveland",+NFL!#REF!,IF(+NFL!$H63="Cleveland",+NFL!#REF!,0))</f>
        <v>0</v>
      </c>
      <c r="AW142" s="46">
        <f>IF(+NFL!$F63="Cleveland",+NFL!#REF!,IF(+NFL!$H63="Cleveland",+NFL!#REF!,0))</f>
        <v>0</v>
      </c>
      <c r="AX142" s="64">
        <f>IF(+NFL!$F63="Cleveland",+NFL!#REF!,IF(+NFL!$H63="Cleveland",+NFL!#REF!,0))</f>
        <v>0</v>
      </c>
      <c r="AY142" s="57">
        <f>IF(+NFL!$F63="Cleveland",+NFL!#REF!,IF(+NFL!$H63="Cleveland",+NFL!#REF!,0))</f>
        <v>0</v>
      </c>
      <c r="AZ142" s="64">
        <f>IF(+NFL!$F63="Cleveland",+NFL!#REF!,IF(+NFL!$H63="Cleveland",+NFL!#REF!,0))</f>
        <v>0</v>
      </c>
      <c r="BA142" s="46">
        <f>IF(+NFL!$F63="Cleveland",+NFL!#REF!,IF(+NFL!$H63="Cleveland",+NFL!#REF!,0))</f>
        <v>0</v>
      </c>
      <c r="BB142" s="46">
        <f>IF(+NFL!$F63="Cleveland",+NFL!#REF!,IF(+NFL!$H63="Cleveland",+NFL!#REF!,0))</f>
        <v>0</v>
      </c>
      <c r="BC142" s="403">
        <f>IF(+NFL!$F63="Cleveland",+NFL!#REF!,IF(+NFL!$H63="Cleveland",+NFL!#REF!,0))</f>
        <v>0</v>
      </c>
      <c r="BD142" s="57">
        <f>IF(+NFL!$F63="Cleveland",+NFL!#REF!,IF(+NFL!$H63="Cleveland",+NFL!#REF!,0))</f>
        <v>0</v>
      </c>
      <c r="BE142" s="64">
        <f>IF(+NFL!$F63="Cleveland",+NFL!#REF!,IF(+NFL!$H63="Cleveland",+NFL!#REF!,0))</f>
        <v>0</v>
      </c>
      <c r="BF142" s="46">
        <f>IF(+NFL!$F63="Cleveland",+NFL!#REF!,IF(+NFL!$H63="Cleveland",+NFL!#REF!,0))</f>
        <v>0</v>
      </c>
      <c r="BG142" s="57">
        <f>IF(+NFL!$F63="Cleveland",+NFL!#REF!,IF(+NFL!$H63="Cleveland",+NFL!#REF!,0))</f>
        <v>0</v>
      </c>
      <c r="BH142" s="64">
        <f>IF(+NFL!$F63="Cleveland",+NFL!#REF!,IF(+NFL!$H63="Cleveland",+NFL!#REF!,0))</f>
        <v>0</v>
      </c>
      <c r="BI142" s="46">
        <f>IF(+NFL!$F63="Cleveland",+NFL!#REF!,IF(+NFL!$H63="Cleveland",+NFL!#REF!,0))</f>
        <v>0</v>
      </c>
      <c r="BJ142" s="87">
        <f>IF(+NFL!$F63="Cleveland",+NFL!#REF!,IF(+NFL!$H63="Cleveland",+NFL!#REF!,0))</f>
        <v>0</v>
      </c>
      <c r="BK142" s="120">
        <f>IF(+NFL!$F63="Cleveland",+NFL!#REF!,IF(+NFL!$H63="Cleveland",+NFL!#REF!,0))</f>
        <v>0</v>
      </c>
    </row>
    <row r="143" spans="1:63" x14ac:dyDescent="0.8">
      <c r="A143" s="46">
        <f>IF(+NFL!$F162="Cleveland",+NFL!A162,IF(+NFL!$H162="Cleveland",+NFL!A162,0))</f>
        <v>9</v>
      </c>
      <c r="B143" s="348">
        <f>IF(+NFL!$F162="Cleveland",+NFL!B162,IF(+NFL!$H162="Cleveland",+NFL!B162,0))</f>
        <v>0</v>
      </c>
      <c r="C143" s="48">
        <f>IF(+NFL!$F162="Cleveland",+NFL!C162,IF(+NFL!$H162="Cleveland",+NFL!C162,0))</f>
        <v>0</v>
      </c>
      <c r="D143" s="490">
        <f>IF(+NFL!$F162="Cleveland",+NFL!D162,IF(+NFL!$H162="Cleveland",+NFL!D162,0))</f>
        <v>0</v>
      </c>
      <c r="E143" s="46">
        <f>IF(+NFL!$F162="Cleveland",+NFL!E162,IF(+NFL!$H162="Cleveland",+NFL!E162,0))</f>
        <v>0</v>
      </c>
      <c r="F143" s="127" t="str">
        <f>IF(+NFL!$F162="Cleveland",+NFL!F162,IF(+NFL!$H162="Cleveland",+NFL!F162,0))</f>
        <v>Cleveland</v>
      </c>
      <c r="G143" s="46" t="str">
        <f>IF(+NFL!$F162="Cleveland",+NFL!G162,IF(+NFL!$H162="Cleveland",+NFL!G162,0))</f>
        <v>AFCN</v>
      </c>
      <c r="H143" s="127">
        <f>IF(+NFL!$F162="Cleveland",+NFL!H162,IF(+NFL!$H162="Cleveland",+NFL!H162,0))</f>
        <v>0</v>
      </c>
      <c r="I143" s="46">
        <f>IF(+NFL!$F162="Cleveland",+NFL!I162,IF(+NFL!$H162="Cleveland",+NFL!I162,0))</f>
        <v>0</v>
      </c>
      <c r="J143" s="353">
        <f>IF(+NFL!$F162="Cleveland",+NFL!J162,IF(+NFL!$H162="Cleveland",+NFL!J162,0))</f>
        <v>0</v>
      </c>
      <c r="K143" s="494">
        <f>IF(+NFL!$F162="Cleveland",+NFL!K162,IF(+NFL!$H162="Cleveland",+NFL!K162,0))</f>
        <v>0</v>
      </c>
      <c r="L143" s="384">
        <f>IF(+NFL!$F162="Cleveland",+NFL!L162,IF(+NFL!$H162="Cleveland",+NFL!L162,0))</f>
        <v>0</v>
      </c>
      <c r="M143" s="385">
        <f>IF(+NFL!$F162="Cleveland",+NFL!M162,IF(+NFL!$H162="Cleveland",+NFL!M162,0))</f>
        <v>0</v>
      </c>
      <c r="N143" s="394">
        <f>IF(+NFL!$F162="Cleveland",+NFL!N162,IF(+NFL!$H162="Cleveland",+NFL!N162,0))</f>
        <v>0</v>
      </c>
      <c r="O143" s="395">
        <f>IF(+NFL!$F162="Cleveland",+NFL!O162,IF(+NFL!$H162="Cleveland",+NFL!O162,0))</f>
        <v>0</v>
      </c>
      <c r="P143" s="394">
        <f>IF(+NFL!$F162="Cleveland",+NFL!P162,IF(+NFL!$H162="Cleveland",+NFL!P162,0))</f>
        <v>0</v>
      </c>
      <c r="Q143" s="396">
        <f>IF(+NFL!$F162="Cleveland",+NFL!Q162,IF(+NFL!$H162="Cleveland",+NFL!Q162,0))</f>
        <v>0</v>
      </c>
      <c r="R143" s="397">
        <f>IF(+NFL!$F162="Cleveland",+NFL!R162,IF(+NFL!$H162="Cleveland",+NFL!R162,0))</f>
        <v>0</v>
      </c>
      <c r="S143" s="396">
        <f>IF(+NFL!$F162="Cleveland",+NFL!S162,IF(+NFL!$H162="Cleveland",+NFL!S162,0))</f>
        <v>0</v>
      </c>
      <c r="T143" s="398">
        <f>IF(+NFL!$F162="Cleveland",+NFL!T162,IF(+NFL!$H162="Cleveland",+NFL!T162,0))</f>
        <v>0</v>
      </c>
      <c r="U143" s="396">
        <f>IF(+NFL!$F162="Cleveland",+NFL!U162,IF(+NFL!$H162="Cleveland",+NFL!U162,0))</f>
        <v>0</v>
      </c>
      <c r="V143" s="397">
        <f>IF(+NFL!$F76="Cleveland",+NFL!#REF!,IF(+NFL!$H76="Cleveland",+NFL!#REF!,0))</f>
        <v>0</v>
      </c>
      <c r="W143" s="396">
        <f>IF(+NFL!$F76="Cleveland",+NFL!#REF!,IF(+NFL!$H76="Cleveland",+NFL!#REF!,0))</f>
        <v>0</v>
      </c>
      <c r="X143" s="398">
        <f>IF(+NFL!$F76="Cleveland",+NFL!#REF!,IF(+NFL!$H76="Cleveland",+NFL!#REF!,0))</f>
        <v>0</v>
      </c>
      <c r="Y143" s="396">
        <f>IF(+NFL!$F76="Cleveland",+NFL!#REF!,IF(+NFL!$H76="Cleveland",+NFL!#REF!,0))</f>
        <v>0</v>
      </c>
      <c r="Z143" s="397">
        <f>IF(+NFL!$F76="Cleveland",+NFL!#REF!,IF(+NFL!$H76="Cleveland",+NFL!#REF!,0))</f>
        <v>0</v>
      </c>
      <c r="AA143" s="396">
        <f>IF(+NFL!$F76="Cleveland",+NFL!#REF!,IF(+NFL!$H76="Cleveland",+NFL!#REF!,0))</f>
        <v>0</v>
      </c>
      <c r="AB143" s="87">
        <f>IF(+NFL!$F76="Cleveland",+NFL!#REF!,IF(+NFL!$H76="Cleveland",+NFL!#REF!,0))</f>
        <v>0</v>
      </c>
      <c r="AC143" s="120">
        <f>IF(+NFL!$F76="Cleveland",+NFL!#REF!,IF(+NFL!$H76="Cleveland",+NFL!#REF!,0))</f>
        <v>0</v>
      </c>
      <c r="AD143" s="353">
        <f>IF(+NFL!$F76="Cleveland",+NFL!#REF!,IF(+NFL!$H76="Cleveland",+NFL!#REF!,0))</f>
        <v>0</v>
      </c>
      <c r="AE143" s="379">
        <f>IF(+NFL!$F76="Cleveland",+NFL!#REF!,IF(+NFL!$H76="Cleveland",+NFL!#REF!,0))</f>
        <v>0</v>
      </c>
      <c r="AF143" s="353">
        <f>IF(+NFL!$F76="Cleveland",+NFL!#REF!,IF(+NFL!$H76="Cleveland",+NFL!#REF!,0))</f>
        <v>0</v>
      </c>
      <c r="AG143" s="379">
        <f>IF(+NFL!$F76="Cleveland",+NFL!#REF!,IF(+NFL!$H76="Cleveland",+NFL!#REF!,0))</f>
        <v>0</v>
      </c>
      <c r="AH143" s="387">
        <f>IF(+NFL!$F76="Cleveland",+NFL!#REF!,IF(+NFL!$H76="Cleveland",+NFL!#REF!,0))</f>
        <v>0</v>
      </c>
      <c r="AI143" s="379">
        <f>IF(+NFL!$F76="Cleveland",+NFL!#REF!,IF(+NFL!$H76="Cleveland",+NFL!#REF!,0))</f>
        <v>0</v>
      </c>
      <c r="AJ143" s="387">
        <f>IF(+NFL!$F76="Cleveland",+NFL!#REF!,IF(+NFL!$H76="Cleveland",+NFL!#REF!,0))</f>
        <v>0</v>
      </c>
      <c r="AK143" s="379">
        <f>IF(+NFL!$F76="Cleveland",+NFL!#REF!,IF(+NFL!$H76="Cleveland",+NFL!#REF!,0))</f>
        <v>0</v>
      </c>
      <c r="AL143" s="68">
        <f>IF(+NFL!$F76="Cleveland",+NFL!#REF!,IF(+NFL!$H76="Cleveland",+NFL!#REF!,0))</f>
        <v>0</v>
      </c>
      <c r="AM143" s="58">
        <f>IF(+NFL!$F76="Cleveland",+NFL!#REF!,IF(+NFL!$H76="Cleveland",+NFL!#REF!,0))</f>
        <v>0</v>
      </c>
      <c r="AN143" s="57">
        <f>IF(+NFL!$F76="Cleveland",+NFL!#REF!,IF(+NFL!$H76="Cleveland",+NFL!#REF!,0))</f>
        <v>0</v>
      </c>
      <c r="AO143" s="59">
        <f>IF(+NFL!$F76="Cleveland",+NFL!#REF!,IF(+NFL!$H76="Cleveland",+NFL!#REF!,0))</f>
        <v>0</v>
      </c>
      <c r="AP143" s="348">
        <f>IF(+NFL!$F76="Cleveland",+NFL!#REF!,IF(+NFL!$H76="Cleveland",+NFL!#REF!,0))</f>
        <v>0</v>
      </c>
      <c r="AQ143" s="48">
        <f>IF(+NFL!$F76="Cleveland",+NFL!#REF!,IF(+NFL!$H76="Cleveland",+NFL!#REF!,0))</f>
        <v>0</v>
      </c>
      <c r="AR143" s="57">
        <f>IF(+NFL!$F76="Cleveland",+NFL!#REF!,IF(+NFL!$H76="Cleveland",+NFL!#REF!,0))</f>
        <v>0</v>
      </c>
      <c r="AS143" s="64">
        <f>IF(+NFL!$F76="Cleveland",+NFL!#REF!,IF(+NFL!$H76="Cleveland",+NFL!#REF!,0))</f>
        <v>0</v>
      </c>
      <c r="AT143" s="64">
        <f>IF(+NFL!$F76="Cleveland",+NFL!#REF!,IF(+NFL!$H76="Cleveland",+NFL!#REF!,0))</f>
        <v>0</v>
      </c>
      <c r="AU143" s="57">
        <f>IF(+NFL!$F76="Cleveland",+NFL!#REF!,IF(+NFL!$H76="Cleveland",+NFL!#REF!,0))</f>
        <v>0</v>
      </c>
      <c r="AV143" s="64">
        <f>IF(+NFL!$F76="Cleveland",+NFL!#REF!,IF(+NFL!$H76="Cleveland",+NFL!#REF!,0))</f>
        <v>0</v>
      </c>
      <c r="AW143" s="46">
        <f>IF(+NFL!$F76="Cleveland",+NFL!#REF!,IF(+NFL!$H76="Cleveland",+NFL!#REF!,0))</f>
        <v>0</v>
      </c>
      <c r="AX143" s="64">
        <f>IF(+NFL!$F76="Cleveland",+NFL!#REF!,IF(+NFL!$H76="Cleveland",+NFL!#REF!,0))</f>
        <v>0</v>
      </c>
      <c r="AY143" s="57">
        <f>IF(+NFL!$F76="Cleveland",+NFL!#REF!,IF(+NFL!$H76="Cleveland",+NFL!#REF!,0))</f>
        <v>0</v>
      </c>
      <c r="AZ143" s="64">
        <f>IF(+NFL!$F76="Cleveland",+NFL!#REF!,IF(+NFL!$H76="Cleveland",+NFL!#REF!,0))</f>
        <v>0</v>
      </c>
      <c r="BA143" s="46">
        <f>IF(+NFL!$F76="Cleveland",+NFL!#REF!,IF(+NFL!$H76="Cleveland",+NFL!#REF!,0))</f>
        <v>0</v>
      </c>
      <c r="BB143" s="46">
        <f>IF(+NFL!$F76="Cleveland",+NFL!#REF!,IF(+NFL!$H76="Cleveland",+NFL!#REF!,0))</f>
        <v>0</v>
      </c>
      <c r="BC143" s="403">
        <f>IF(+NFL!$F76="Cleveland",+NFL!#REF!,IF(+NFL!$H76="Cleveland",+NFL!#REF!,0))</f>
        <v>0</v>
      </c>
      <c r="BD143" s="57">
        <f>IF(+NFL!$F76="Cleveland",+NFL!#REF!,IF(+NFL!$H76="Cleveland",+NFL!#REF!,0))</f>
        <v>0</v>
      </c>
      <c r="BE143" s="64">
        <f>IF(+NFL!$F76="Cleveland",+NFL!#REF!,IF(+NFL!$H76="Cleveland",+NFL!#REF!,0))</f>
        <v>0</v>
      </c>
      <c r="BF143" s="46">
        <f>IF(+NFL!$F76="Cleveland",+NFL!#REF!,IF(+NFL!$H76="Cleveland",+NFL!#REF!,0))</f>
        <v>0</v>
      </c>
      <c r="BG143" s="57">
        <f>IF(+NFL!$F76="Cleveland",+NFL!#REF!,IF(+NFL!$H76="Cleveland",+NFL!#REF!,0))</f>
        <v>0</v>
      </c>
      <c r="BH143" s="64">
        <f>IF(+NFL!$F76="Cleveland",+NFL!#REF!,IF(+NFL!$H76="Cleveland",+NFL!#REF!,0))</f>
        <v>0</v>
      </c>
      <c r="BI143" s="46">
        <f>IF(+NFL!$F76="Cleveland",+NFL!#REF!,IF(+NFL!$H76="Cleveland",+NFL!#REF!,0))</f>
        <v>0</v>
      </c>
      <c r="BJ143" s="87">
        <f>IF(+NFL!$F76="Cleveland",+NFL!#REF!,IF(+NFL!$H76="Cleveland",+NFL!#REF!,0))</f>
        <v>0</v>
      </c>
      <c r="BK143" s="120">
        <f>IF(+NFL!$F76="Cleveland",+NFL!#REF!,IF(+NFL!$H76="Cleveland",+NFL!#REF!,0))</f>
        <v>0</v>
      </c>
    </row>
    <row r="144" spans="1:63" x14ac:dyDescent="0.8">
      <c r="A144" s="46">
        <f>IF(+NFL!$F175="Cleveland",+NFL!A175,IF(+NFL!$H175="Cleveland",+NFL!A175,0))</f>
        <v>10</v>
      </c>
      <c r="B144" s="348" t="str">
        <f>IF(+NFL!$F175="Cleveland",+NFL!B175,IF(+NFL!$H175="Cleveland",+NFL!B175,0))</f>
        <v>Sun</v>
      </c>
      <c r="C144" s="48">
        <f>IF(+NFL!$F175="Cleveland",+NFL!C175,IF(+NFL!$H175="Cleveland",+NFL!C175,0))</f>
        <v>44878</v>
      </c>
      <c r="D144" s="490">
        <f>IF(+NFL!$F175="Cleveland",+NFL!D175,IF(+NFL!$H175="Cleveland",+NFL!D175,0))</f>
        <v>0.54166666666666663</v>
      </c>
      <c r="E144" s="46" t="str">
        <f>IF(+NFL!$F175="Cleveland",+NFL!E175,IF(+NFL!$H175="Cleveland",+NFL!E175,0))</f>
        <v>CBS</v>
      </c>
      <c r="F144" s="127" t="str">
        <f>IF(+NFL!$F175="Cleveland",+NFL!F175,IF(+NFL!$H175="Cleveland",+NFL!F175,0))</f>
        <v>Cleveland</v>
      </c>
      <c r="G144" s="46" t="str">
        <f>IF(+NFL!$F175="Cleveland",+NFL!G175,IF(+NFL!$H175="Cleveland",+NFL!G175,0))</f>
        <v>AFCN</v>
      </c>
      <c r="H144" s="127" t="str">
        <f>IF(+NFL!$F175="Cleveland",+NFL!H175,IF(+NFL!$H175="Cleveland",+NFL!H175,0))</f>
        <v>Miami</v>
      </c>
      <c r="I144" s="46" t="str">
        <f>IF(+NFL!$F175="Cleveland",+NFL!I175,IF(+NFL!$H175="Cleveland",+NFL!I175,0))</f>
        <v>AFCE</v>
      </c>
      <c r="J144" s="353" t="str">
        <f>IF(+NFL!$F175="Cleveland",+NFL!J175,IF(+NFL!$H175="Cleveland",+NFL!J175,0))</f>
        <v>Miami</v>
      </c>
      <c r="K144" s="494" t="str">
        <f>IF(+NFL!$F175="Cleveland",+NFL!K175,IF(+NFL!$H175="Cleveland",+NFL!K175,0))</f>
        <v>Cleveland</v>
      </c>
      <c r="L144" s="384">
        <f>IF(+NFL!$F175="Cleveland",+NFL!L175,IF(+NFL!$H175="Cleveland",+NFL!L175,0))</f>
        <v>3.5</v>
      </c>
      <c r="M144" s="385">
        <f>IF(+NFL!$F175="Cleveland",+NFL!M175,IF(+NFL!$H175="Cleveland",+NFL!M175,0))</f>
        <v>48.5</v>
      </c>
      <c r="N144" s="394" t="str">
        <f>IF(+NFL!$F175="Cleveland",+NFL!N175,IF(+NFL!$H175="Cleveland",+NFL!N175,0))</f>
        <v>Miami</v>
      </c>
      <c r="O144" s="395">
        <f>IF(+NFL!$F175="Cleveland",+NFL!O175,IF(+NFL!$H175="Cleveland",+NFL!O175,0))</f>
        <v>39</v>
      </c>
      <c r="P144" s="394" t="str">
        <f>IF(+NFL!$F175="Cleveland",+NFL!P175,IF(+NFL!$H175="Cleveland",+NFL!P175,0))</f>
        <v>Cleveland</v>
      </c>
      <c r="Q144" s="396">
        <f>IF(+NFL!$F175="Cleveland",+NFL!Q175,IF(+NFL!$H175="Cleveland",+NFL!Q175,0))</f>
        <v>17</v>
      </c>
      <c r="R144" s="397" t="str">
        <f>IF(+NFL!$F175="Cleveland",+NFL!R175,IF(+NFL!$H175="Cleveland",+NFL!R175,0))</f>
        <v>Miami</v>
      </c>
      <c r="S144" s="396" t="str">
        <f>IF(+NFL!$F175="Cleveland",+NFL!S175,IF(+NFL!$H175="Cleveland",+NFL!S175,0))</f>
        <v>Cleveland</v>
      </c>
      <c r="T144" s="398" t="str">
        <f>IF(+NFL!$F175="Cleveland",+NFL!T175,IF(+NFL!$H175="Cleveland",+NFL!T175,0))</f>
        <v>Miami</v>
      </c>
      <c r="U144" s="396" t="str">
        <f>IF(+NFL!$F175="Cleveland",+NFL!U175,IF(+NFL!$H175="Cleveland",+NFL!U175,0))</f>
        <v>W</v>
      </c>
      <c r="V144" s="397">
        <f>IF(+NFL!$F101="Cleveland",+NFL!#REF!,IF(+NFL!$H101="Cleveland",+NFL!#REF!,0))</f>
        <v>0</v>
      </c>
      <c r="W144" s="396">
        <f>IF(+NFL!$F101="Cleveland",+NFL!#REF!,IF(+NFL!$H101="Cleveland",+NFL!#REF!,0))</f>
        <v>0</v>
      </c>
      <c r="X144" s="398">
        <f>IF(+NFL!$F101="Cleveland",+NFL!#REF!,IF(+NFL!$H101="Cleveland",+NFL!#REF!,0))</f>
        <v>0</v>
      </c>
      <c r="Y144" s="396">
        <f>IF(+NFL!$F101="Cleveland",+NFL!#REF!,IF(+NFL!$H101="Cleveland",+NFL!#REF!,0))</f>
        <v>0</v>
      </c>
      <c r="Z144" s="397">
        <f>IF(+NFL!$F101="Cleveland",+NFL!#REF!,IF(+NFL!$H101="Cleveland",+NFL!#REF!,0))</f>
        <v>0</v>
      </c>
      <c r="AA144" s="396">
        <f>IF(+NFL!$F101="Cleveland",+NFL!#REF!,IF(+NFL!$H101="Cleveland",+NFL!#REF!,0))</f>
        <v>0</v>
      </c>
      <c r="AB144" s="87">
        <f>IF(+NFL!$F101="Cleveland",+NFL!#REF!,IF(+NFL!$H101="Cleveland",+NFL!#REF!,0))</f>
        <v>0</v>
      </c>
      <c r="AC144" s="120">
        <f>IF(+NFL!$F101="Cleveland",+NFL!#REF!,IF(+NFL!$H101="Cleveland",+NFL!#REF!,0))</f>
        <v>0</v>
      </c>
      <c r="AD144" s="353">
        <f>IF(+NFL!$F101="Cleveland",+NFL!#REF!,IF(+NFL!$H101="Cleveland",+NFL!#REF!,0))</f>
        <v>0</v>
      </c>
      <c r="AE144" s="379">
        <f>IF(+NFL!$F101="Cleveland",+NFL!#REF!,IF(+NFL!$H101="Cleveland",+NFL!#REF!,0))</f>
        <v>0</v>
      </c>
      <c r="AF144" s="353">
        <f>IF(+NFL!$F101="Cleveland",+NFL!#REF!,IF(+NFL!$H101="Cleveland",+NFL!#REF!,0))</f>
        <v>0</v>
      </c>
      <c r="AG144" s="379">
        <f>IF(+NFL!$F101="Cleveland",+NFL!#REF!,IF(+NFL!$H101="Cleveland",+NFL!#REF!,0))</f>
        <v>0</v>
      </c>
      <c r="AH144" s="387">
        <f>IF(+NFL!$F101="Cleveland",+NFL!#REF!,IF(+NFL!$H101="Cleveland",+NFL!#REF!,0))</f>
        <v>0</v>
      </c>
      <c r="AI144" s="379">
        <f>IF(+NFL!$F101="Cleveland",+NFL!#REF!,IF(+NFL!$H101="Cleveland",+NFL!#REF!,0))</f>
        <v>0</v>
      </c>
      <c r="AJ144" s="387">
        <f>IF(+NFL!$F101="Cleveland",+NFL!#REF!,IF(+NFL!$H101="Cleveland",+NFL!#REF!,0))</f>
        <v>0</v>
      </c>
      <c r="AK144" s="379">
        <f>IF(+NFL!$F101="Cleveland",+NFL!#REF!,IF(+NFL!$H101="Cleveland",+NFL!#REF!,0))</f>
        <v>0</v>
      </c>
      <c r="AL144" s="68">
        <f>IF(+NFL!$F101="Cleveland",+NFL!#REF!,IF(+NFL!$H101="Cleveland",+NFL!#REF!,0))</f>
        <v>0</v>
      </c>
      <c r="AM144" s="58">
        <f>IF(+NFL!$F101="Cleveland",+NFL!#REF!,IF(+NFL!$H101="Cleveland",+NFL!#REF!,0))</f>
        <v>0</v>
      </c>
      <c r="AN144" s="57">
        <f>IF(+NFL!$F101="Cleveland",+NFL!#REF!,IF(+NFL!$H101="Cleveland",+NFL!#REF!,0))</f>
        <v>0</v>
      </c>
      <c r="AO144" s="59">
        <f>IF(+NFL!$F101="Cleveland",+NFL!#REF!,IF(+NFL!$H101="Cleveland",+NFL!#REF!,0))</f>
        <v>0</v>
      </c>
      <c r="AP144" s="348">
        <f>IF(+NFL!$F101="Cleveland",+NFL!#REF!,IF(+NFL!$H101="Cleveland",+NFL!#REF!,0))</f>
        <v>0</v>
      </c>
      <c r="AQ144" s="48">
        <f>IF(+NFL!$F101="Cleveland",+NFL!#REF!,IF(+NFL!$H101="Cleveland",+NFL!#REF!,0))</f>
        <v>0</v>
      </c>
      <c r="AR144" s="57">
        <f>IF(+NFL!$F101="Cleveland",+NFL!#REF!,IF(+NFL!$H101="Cleveland",+NFL!#REF!,0))</f>
        <v>0</v>
      </c>
      <c r="AS144" s="64">
        <f>IF(+NFL!$F101="Cleveland",+NFL!#REF!,IF(+NFL!$H101="Cleveland",+NFL!#REF!,0))</f>
        <v>0</v>
      </c>
      <c r="AT144" s="64">
        <f>IF(+NFL!$F101="Cleveland",+NFL!#REF!,IF(+NFL!$H101="Cleveland",+NFL!#REF!,0))</f>
        <v>0</v>
      </c>
      <c r="AU144" s="57">
        <f>IF(+NFL!$F101="Cleveland",+NFL!#REF!,IF(+NFL!$H101="Cleveland",+NFL!#REF!,0))</f>
        <v>0</v>
      </c>
      <c r="AV144" s="64">
        <f>IF(+NFL!$F101="Cleveland",+NFL!#REF!,IF(+NFL!$H101="Cleveland",+NFL!#REF!,0))</f>
        <v>0</v>
      </c>
      <c r="AW144" s="46">
        <f>IF(+NFL!$F101="Cleveland",+NFL!#REF!,IF(+NFL!$H101="Cleveland",+NFL!#REF!,0))</f>
        <v>0</v>
      </c>
      <c r="AX144" s="64">
        <f>IF(+NFL!$F101="Cleveland",+NFL!#REF!,IF(+NFL!$H101="Cleveland",+NFL!#REF!,0))</f>
        <v>0</v>
      </c>
      <c r="AY144" s="57">
        <f>IF(+NFL!$F101="Cleveland",+NFL!#REF!,IF(+NFL!$H101="Cleveland",+NFL!#REF!,0))</f>
        <v>0</v>
      </c>
      <c r="AZ144" s="64">
        <f>IF(+NFL!$F101="Cleveland",+NFL!#REF!,IF(+NFL!$H101="Cleveland",+NFL!#REF!,0))</f>
        <v>0</v>
      </c>
      <c r="BA144" s="46">
        <f>IF(+NFL!$F101="Cleveland",+NFL!#REF!,IF(+NFL!$H101="Cleveland",+NFL!#REF!,0))</f>
        <v>0</v>
      </c>
      <c r="BB144" s="46">
        <f>IF(+NFL!$F101="Cleveland",+NFL!#REF!,IF(+NFL!$H101="Cleveland",+NFL!#REF!,0))</f>
        <v>0</v>
      </c>
      <c r="BC144" s="403">
        <f>IF(+NFL!$F101="Cleveland",+NFL!#REF!,IF(+NFL!$H101="Cleveland",+NFL!#REF!,0))</f>
        <v>0</v>
      </c>
      <c r="BD144" s="57">
        <f>IF(+NFL!$F101="Cleveland",+NFL!#REF!,IF(+NFL!$H101="Cleveland",+NFL!#REF!,0))</f>
        <v>0</v>
      </c>
      <c r="BE144" s="64">
        <f>IF(+NFL!$F101="Cleveland",+NFL!#REF!,IF(+NFL!$H101="Cleveland",+NFL!#REF!,0))</f>
        <v>0</v>
      </c>
      <c r="BF144" s="46">
        <f>IF(+NFL!$F101="Cleveland",+NFL!#REF!,IF(+NFL!$H101="Cleveland",+NFL!#REF!,0))</f>
        <v>0</v>
      </c>
      <c r="BG144" s="57">
        <f>IF(+NFL!$F101="Cleveland",+NFL!#REF!,IF(+NFL!$H101="Cleveland",+NFL!#REF!,0))</f>
        <v>0</v>
      </c>
      <c r="BH144" s="64">
        <f>IF(+NFL!$F101="Cleveland",+NFL!#REF!,IF(+NFL!$H101="Cleveland",+NFL!#REF!,0))</f>
        <v>0</v>
      </c>
      <c r="BI144" s="46">
        <f>IF(+NFL!$F101="Cleveland",+NFL!#REF!,IF(+NFL!$H101="Cleveland",+NFL!#REF!,0))</f>
        <v>0</v>
      </c>
      <c r="BJ144" s="87">
        <f>IF(+NFL!$F101="Cleveland",+NFL!#REF!,IF(+NFL!$H101="Cleveland",+NFL!#REF!,0))</f>
        <v>0</v>
      </c>
      <c r="BK144" s="120">
        <f>IF(+NFL!$F101="Cleveland",+NFL!#REF!,IF(+NFL!$H101="Cleveland",+NFL!#REF!,0))</f>
        <v>0</v>
      </c>
    </row>
    <row r="145" spans="1:63" x14ac:dyDescent="0.8">
      <c r="A145" s="46">
        <f>IF(+NFL!$F191="Cleveland",+NFL!A191,IF(+NFL!$H191="Cleveland",+NFL!A191,0))</f>
        <v>11</v>
      </c>
      <c r="B145" s="348" t="str">
        <f>IF(+NFL!$F191="Cleveland",+NFL!B191,IF(+NFL!$H191="Cleveland",+NFL!B191,0))</f>
        <v>Sun</v>
      </c>
      <c r="C145" s="48">
        <f>IF(+NFL!$F191="Cleveland",+NFL!C191,IF(+NFL!$H191="Cleveland",+NFL!C191,0))</f>
        <v>44885</v>
      </c>
      <c r="D145" s="490">
        <f>IF(+NFL!$F191="Cleveland",+NFL!D191,IF(+NFL!$H191="Cleveland",+NFL!D191,0))</f>
        <v>0.39583333333333331</v>
      </c>
      <c r="E145" s="46" t="str">
        <f>IF(+NFL!$F191="Cleveland",+NFL!E191,IF(+NFL!$H191="Cleveland",+NFL!E191,0))</f>
        <v>CBS</v>
      </c>
      <c r="F145" s="127" t="str">
        <f>IF(+NFL!$F191="Cleveland",+NFL!F191,IF(+NFL!$H191="Cleveland",+NFL!F191,0))</f>
        <v>Cleveland</v>
      </c>
      <c r="G145" s="46" t="str">
        <f>IF(+NFL!$F191="Cleveland",+NFL!G191,IF(+NFL!$H191="Cleveland",+NFL!G191,0))</f>
        <v>AFCN</v>
      </c>
      <c r="H145" s="127" t="str">
        <f>IF(+NFL!$F191="Cleveland",+NFL!H191,IF(+NFL!$H191="Cleveland",+NFL!H191,0))</f>
        <v>Buffalo</v>
      </c>
      <c r="I145" s="46" t="str">
        <f>IF(+NFL!$F191="Cleveland",+NFL!I191,IF(+NFL!$H191="Cleveland",+NFL!I191,0))</f>
        <v>AFCE</v>
      </c>
      <c r="J145" s="353" t="str">
        <f>IF(+NFL!$F191="Cleveland",+NFL!J191,IF(+NFL!$H191="Cleveland",+NFL!J191,0))</f>
        <v>Buffalo</v>
      </c>
      <c r="K145" s="494" t="str">
        <f>IF(+NFL!$F191="Cleveland",+NFL!K191,IF(+NFL!$H191="Cleveland",+NFL!K191,0))</f>
        <v>Cleveland</v>
      </c>
      <c r="L145" s="384">
        <f>IF(+NFL!$F191="Cleveland",+NFL!L191,IF(+NFL!$H191="Cleveland",+NFL!L191,0))</f>
        <v>8</v>
      </c>
      <c r="M145" s="385">
        <f>IF(+NFL!$F191="Cleveland",+NFL!M191,IF(+NFL!$H191="Cleveland",+NFL!M191,0))</f>
        <v>43</v>
      </c>
      <c r="N145" s="394" t="str">
        <f>IF(+NFL!$F191="Cleveland",+NFL!N191,IF(+NFL!$H191="Cleveland",+NFL!N191,0))</f>
        <v>Buffalo</v>
      </c>
      <c r="O145" s="395">
        <f>IF(+NFL!$F191="Cleveland",+NFL!O191,IF(+NFL!$H191="Cleveland",+NFL!O191,0))</f>
        <v>31</v>
      </c>
      <c r="P145" s="394" t="str">
        <f>IF(+NFL!$F191="Cleveland",+NFL!P191,IF(+NFL!$H191="Cleveland",+NFL!P191,0))</f>
        <v>Cleveland</v>
      </c>
      <c r="Q145" s="396">
        <f>IF(+NFL!$F191="Cleveland",+NFL!Q191,IF(+NFL!$H191="Cleveland",+NFL!Q191,0))</f>
        <v>23</v>
      </c>
      <c r="R145" s="397" t="str">
        <f>IF(+NFL!$F191="Cleveland",+NFL!R191,IF(+NFL!$H191="Cleveland",+NFL!R191,0))</f>
        <v>Buffalo</v>
      </c>
      <c r="S145" s="396" t="str">
        <f>IF(+NFL!$F191="Cleveland",+NFL!S191,IF(+NFL!$H191="Cleveland",+NFL!S191,0))</f>
        <v>Cleveland</v>
      </c>
      <c r="T145" s="398" t="str">
        <f>IF(+NFL!$F191="Cleveland",+NFL!T191,IF(+NFL!$H191="Cleveland",+NFL!T191,0))</f>
        <v>Buffalo</v>
      </c>
      <c r="U145" s="396" t="str">
        <f>IF(+NFL!$F191="Cleveland",+NFL!U191,IF(+NFL!$H191="Cleveland",+NFL!U191,0))</f>
        <v>T</v>
      </c>
      <c r="V145" s="397">
        <f>IF(+NFL!$F110="Cleveland",+NFL!#REF!,IF(+NFL!$H110="Cleveland",+NFL!#REF!,0))</f>
        <v>0</v>
      </c>
      <c r="W145" s="396">
        <f>IF(+NFL!$F110="Cleveland",+NFL!#REF!,IF(+NFL!$H110="Cleveland",+NFL!#REF!,0))</f>
        <v>0</v>
      </c>
      <c r="X145" s="398">
        <f>IF(+NFL!$F110="Cleveland",+NFL!#REF!,IF(+NFL!$H110="Cleveland",+NFL!#REF!,0))</f>
        <v>0</v>
      </c>
      <c r="Y145" s="396">
        <f>IF(+NFL!$F110="Cleveland",+NFL!#REF!,IF(+NFL!$H110="Cleveland",+NFL!#REF!,0))</f>
        <v>0</v>
      </c>
      <c r="Z145" s="397">
        <f>IF(+NFL!$F110="Cleveland",+NFL!#REF!,IF(+NFL!$H110="Cleveland",+NFL!#REF!,0))</f>
        <v>0</v>
      </c>
      <c r="AA145" s="396">
        <f>IF(+NFL!$F110="Cleveland",+NFL!#REF!,IF(+NFL!$H110="Cleveland",+NFL!#REF!,0))</f>
        <v>0</v>
      </c>
      <c r="AB145" s="87">
        <f>IF(+NFL!$F110="Cleveland",+NFL!#REF!,IF(+NFL!$H110="Cleveland",+NFL!#REF!,0))</f>
        <v>0</v>
      </c>
      <c r="AC145" s="120">
        <f>IF(+NFL!$F110="Cleveland",+NFL!#REF!,IF(+NFL!$H110="Cleveland",+NFL!#REF!,0))</f>
        <v>0</v>
      </c>
      <c r="AD145" s="353">
        <f>IF(+NFL!$F110="Cleveland",+NFL!#REF!,IF(+NFL!$H110="Cleveland",+NFL!#REF!,0))</f>
        <v>0</v>
      </c>
      <c r="AE145" s="379">
        <f>IF(+NFL!$F110="Cleveland",+NFL!#REF!,IF(+NFL!$H110="Cleveland",+NFL!#REF!,0))</f>
        <v>0</v>
      </c>
      <c r="AF145" s="353">
        <f>IF(+NFL!$F110="Cleveland",+NFL!#REF!,IF(+NFL!$H110="Cleveland",+NFL!#REF!,0))</f>
        <v>0</v>
      </c>
      <c r="AG145" s="379">
        <f>IF(+NFL!$F110="Cleveland",+NFL!#REF!,IF(+NFL!$H110="Cleveland",+NFL!#REF!,0))</f>
        <v>0</v>
      </c>
      <c r="AH145" s="387">
        <f>IF(+NFL!$F110="Cleveland",+NFL!#REF!,IF(+NFL!$H110="Cleveland",+NFL!#REF!,0))</f>
        <v>0</v>
      </c>
      <c r="AI145" s="379">
        <f>IF(+NFL!$F110="Cleveland",+NFL!#REF!,IF(+NFL!$H110="Cleveland",+NFL!#REF!,0))</f>
        <v>0</v>
      </c>
      <c r="AJ145" s="387">
        <f>IF(+NFL!$F110="Cleveland",+NFL!#REF!,IF(+NFL!$H110="Cleveland",+NFL!#REF!,0))</f>
        <v>0</v>
      </c>
      <c r="AK145" s="379">
        <f>IF(+NFL!$F110="Cleveland",+NFL!#REF!,IF(+NFL!$H110="Cleveland",+NFL!#REF!,0))</f>
        <v>0</v>
      </c>
      <c r="AL145" s="68">
        <f>IF(+NFL!$F110="Cleveland",+NFL!#REF!,IF(+NFL!$H110="Cleveland",+NFL!#REF!,0))</f>
        <v>0</v>
      </c>
      <c r="AM145" s="58">
        <f>IF(+NFL!$F110="Cleveland",+NFL!#REF!,IF(+NFL!$H110="Cleveland",+NFL!#REF!,0))</f>
        <v>0</v>
      </c>
      <c r="AN145" s="57">
        <f>IF(+NFL!$F110="Cleveland",+NFL!#REF!,IF(+NFL!$H110="Cleveland",+NFL!#REF!,0))</f>
        <v>0</v>
      </c>
      <c r="AO145" s="59">
        <f>IF(+NFL!$F110="Cleveland",+NFL!#REF!,IF(+NFL!$H110="Cleveland",+NFL!#REF!,0))</f>
        <v>0</v>
      </c>
      <c r="AP145" s="348">
        <f>IF(+NFL!$F110="Cleveland",+NFL!#REF!,IF(+NFL!$H110="Cleveland",+NFL!#REF!,0))</f>
        <v>0</v>
      </c>
      <c r="AQ145" s="48">
        <f>IF(+NFL!$F110="Cleveland",+NFL!#REF!,IF(+NFL!$H110="Cleveland",+NFL!#REF!,0))</f>
        <v>0</v>
      </c>
      <c r="AR145" s="57">
        <f>IF(+NFL!$F110="Cleveland",+NFL!#REF!,IF(+NFL!$H110="Cleveland",+NFL!#REF!,0))</f>
        <v>0</v>
      </c>
      <c r="AS145" s="64">
        <f>IF(+NFL!$F110="Cleveland",+NFL!#REF!,IF(+NFL!$H110="Cleveland",+NFL!#REF!,0))</f>
        <v>0</v>
      </c>
      <c r="AT145" s="64">
        <f>IF(+NFL!$F110="Cleveland",+NFL!#REF!,IF(+NFL!$H110="Cleveland",+NFL!#REF!,0))</f>
        <v>0</v>
      </c>
      <c r="AU145" s="57">
        <f>IF(+NFL!$F110="Cleveland",+NFL!#REF!,IF(+NFL!$H110="Cleveland",+NFL!#REF!,0))</f>
        <v>0</v>
      </c>
      <c r="AV145" s="64">
        <f>IF(+NFL!$F110="Cleveland",+NFL!#REF!,IF(+NFL!$H110="Cleveland",+NFL!#REF!,0))</f>
        <v>0</v>
      </c>
      <c r="AW145" s="46">
        <f>IF(+NFL!$F110="Cleveland",+NFL!#REF!,IF(+NFL!$H110="Cleveland",+NFL!#REF!,0))</f>
        <v>0</v>
      </c>
      <c r="AX145" s="64">
        <f>IF(+NFL!$F110="Cleveland",+NFL!#REF!,IF(+NFL!$H110="Cleveland",+NFL!#REF!,0))</f>
        <v>0</v>
      </c>
      <c r="AY145" s="57">
        <f>IF(+NFL!$F110="Cleveland",+NFL!#REF!,IF(+NFL!$H110="Cleveland",+NFL!#REF!,0))</f>
        <v>0</v>
      </c>
      <c r="AZ145" s="64">
        <f>IF(+NFL!$F110="Cleveland",+NFL!#REF!,IF(+NFL!$H110="Cleveland",+NFL!#REF!,0))</f>
        <v>0</v>
      </c>
      <c r="BA145" s="46">
        <f>IF(+NFL!$F110="Cleveland",+NFL!#REF!,IF(+NFL!$H110="Cleveland",+NFL!#REF!,0))</f>
        <v>0</v>
      </c>
      <c r="BB145" s="46">
        <f>IF(+NFL!$F110="Cleveland",+NFL!#REF!,IF(+NFL!$H110="Cleveland",+NFL!#REF!,0))</f>
        <v>0</v>
      </c>
      <c r="BC145" s="403">
        <f>IF(+NFL!$F110="Cleveland",+NFL!#REF!,IF(+NFL!$H110="Cleveland",+NFL!#REF!,0))</f>
        <v>0</v>
      </c>
      <c r="BD145" s="57">
        <f>IF(+NFL!$F110="Cleveland",+NFL!#REF!,IF(+NFL!$H110="Cleveland",+NFL!#REF!,0))</f>
        <v>0</v>
      </c>
      <c r="BE145" s="64">
        <f>IF(+NFL!$F110="Cleveland",+NFL!#REF!,IF(+NFL!$H110="Cleveland",+NFL!#REF!,0))</f>
        <v>0</v>
      </c>
      <c r="BF145" s="46">
        <f>IF(+NFL!$F110="Cleveland",+NFL!#REF!,IF(+NFL!$H110="Cleveland",+NFL!#REF!,0))</f>
        <v>0</v>
      </c>
      <c r="BG145" s="57">
        <f>IF(+NFL!$F110="Cleveland",+NFL!#REF!,IF(+NFL!$H110="Cleveland",+NFL!#REF!,0))</f>
        <v>0</v>
      </c>
      <c r="BH145" s="64">
        <f>IF(+NFL!$F110="Cleveland",+NFL!#REF!,IF(+NFL!$H110="Cleveland",+NFL!#REF!,0))</f>
        <v>0</v>
      </c>
      <c r="BI145" s="46">
        <f>IF(+NFL!$F110="Cleveland",+NFL!#REF!,IF(+NFL!$H110="Cleveland",+NFL!#REF!,0))</f>
        <v>0</v>
      </c>
      <c r="BJ145" s="87">
        <f>IF(+NFL!$F110="Cleveland",+NFL!#REF!,IF(+NFL!$H110="Cleveland",+NFL!#REF!,0))</f>
        <v>0</v>
      </c>
      <c r="BK145" s="120">
        <f>IF(+NFL!$F110="Cleveland",+NFL!#REF!,IF(+NFL!$H110="Cleveland",+NFL!#REF!,0))</f>
        <v>0</v>
      </c>
    </row>
    <row r="146" spans="1:63" x14ac:dyDescent="0.8">
      <c r="A146" s="46">
        <f>IF(+NFL!$F212="Cleveland",+NFL!A212,IF(+NFL!$H212="Cleveland",+NFL!A212,0))</f>
        <v>12</v>
      </c>
      <c r="B146" s="348" t="str">
        <f>IF(+NFL!$F212="Cleveland",+NFL!B212,IF(+NFL!$H212="Cleveland",+NFL!B212,0))</f>
        <v>Sun</v>
      </c>
      <c r="C146" s="48">
        <f>IF(+NFL!$F212="Cleveland",+NFL!C212,IF(+NFL!$H212="Cleveland",+NFL!C212,0))</f>
        <v>44892</v>
      </c>
      <c r="D146" s="490">
        <f>IF(+NFL!$F212="Cleveland",+NFL!D212,IF(+NFL!$H212="Cleveland",+NFL!D212,0))</f>
        <v>0.54166666666666663</v>
      </c>
      <c r="E146" s="46" t="str">
        <f>IF(+NFL!$F212="Cleveland",+NFL!E212,IF(+NFL!$H212="Cleveland",+NFL!E212,0))</f>
        <v>Fox</v>
      </c>
      <c r="F146" s="127" t="str">
        <f>IF(+NFL!$F212="Cleveland",+NFL!F212,IF(+NFL!$H212="Cleveland",+NFL!F212,0))</f>
        <v>Tampa Bay</v>
      </c>
      <c r="G146" s="46" t="str">
        <f>IF(+NFL!$F212="Cleveland",+NFL!G212,IF(+NFL!$H212="Cleveland",+NFL!G212,0))</f>
        <v>NFCS</v>
      </c>
      <c r="H146" s="127" t="str">
        <f>IF(+NFL!$F212="Cleveland",+NFL!H212,IF(+NFL!$H212="Cleveland",+NFL!H212,0))</f>
        <v>Cleveland</v>
      </c>
      <c r="I146" s="46" t="str">
        <f>IF(+NFL!$F212="Cleveland",+NFL!I212,IF(+NFL!$H212="Cleveland",+NFL!I212,0))</f>
        <v>AFCN</v>
      </c>
      <c r="J146" s="353" t="str">
        <f>IF(+NFL!$F212="Cleveland",+NFL!J212,IF(+NFL!$H212="Cleveland",+NFL!J212,0))</f>
        <v>Tampa Bay</v>
      </c>
      <c r="K146" s="494" t="str">
        <f>IF(+NFL!$F212="Cleveland",+NFL!K212,IF(+NFL!$H212="Cleveland",+NFL!K212,0))</f>
        <v>Cleveland</v>
      </c>
      <c r="L146" s="384">
        <f>IF(+NFL!$F212="Cleveland",+NFL!L212,IF(+NFL!$H212="Cleveland",+NFL!L212,0))</f>
        <v>3.5</v>
      </c>
      <c r="M146" s="385">
        <f>IF(+NFL!$F212="Cleveland",+NFL!M212,IF(+NFL!$H212="Cleveland",+NFL!M212,0))</f>
        <v>43</v>
      </c>
      <c r="N146" s="394" t="str">
        <f>IF(+NFL!$F212="Cleveland",+NFL!N212,IF(+NFL!$H212="Cleveland",+NFL!N212,0))</f>
        <v>Cleveland</v>
      </c>
      <c r="O146" s="395">
        <f>IF(+NFL!$F212="Cleveland",+NFL!O212,IF(+NFL!$H212="Cleveland",+NFL!O212,0))</f>
        <v>23</v>
      </c>
      <c r="P146" s="394" t="str">
        <f>IF(+NFL!$F212="Cleveland",+NFL!P212,IF(+NFL!$H212="Cleveland",+NFL!P212,0))</f>
        <v>Tampa Bay</v>
      </c>
      <c r="Q146" s="396">
        <f>IF(+NFL!$F212="Cleveland",+NFL!Q212,IF(+NFL!$H212="Cleveland",+NFL!Q212,0))</f>
        <v>17</v>
      </c>
      <c r="R146" s="397" t="str">
        <f>IF(+NFL!$F212="Cleveland",+NFL!R212,IF(+NFL!$H212="Cleveland",+NFL!R212,0))</f>
        <v>Cleveland</v>
      </c>
      <c r="S146" s="396" t="str">
        <f>IF(+NFL!$F212="Cleveland",+NFL!S212,IF(+NFL!$H212="Cleveland",+NFL!S212,0))</f>
        <v>Tampa Bay</v>
      </c>
      <c r="T146" s="398" t="str">
        <f>IF(+NFL!$F212="Cleveland",+NFL!T212,IF(+NFL!$H212="Cleveland",+NFL!T212,0))</f>
        <v>Cleveland</v>
      </c>
      <c r="U146" s="396" t="str">
        <f>IF(+NFL!$F212="Cleveland",+NFL!U212,IF(+NFL!$H212="Cleveland",+NFL!U212,0))</f>
        <v>W</v>
      </c>
      <c r="V146" s="397">
        <f>IF(+NFL!$F144="Cleveland",+NFL!#REF!,IF(+NFL!$H144="Cleveland",+NFL!#REF!,0))</f>
        <v>0</v>
      </c>
      <c r="W146" s="396">
        <f>IF(+NFL!$F144="Cleveland",+NFL!#REF!,IF(+NFL!$H144="Cleveland",+NFL!#REF!,0))</f>
        <v>0</v>
      </c>
      <c r="X146" s="398">
        <f>IF(+NFL!$F144="Cleveland",+NFL!#REF!,IF(+NFL!$H144="Cleveland",+NFL!#REF!,0))</f>
        <v>0</v>
      </c>
      <c r="Y146" s="396">
        <f>IF(+NFL!$F144="Cleveland",+NFL!#REF!,IF(+NFL!$H144="Cleveland",+NFL!#REF!,0))</f>
        <v>0</v>
      </c>
      <c r="Z146" s="397">
        <f>IF(+NFL!$F144="Cleveland",+NFL!#REF!,IF(+NFL!$H144="Cleveland",+NFL!#REF!,0))</f>
        <v>0</v>
      </c>
      <c r="AA146" s="396">
        <f>IF(+NFL!$F144="Cleveland",+NFL!#REF!,IF(+NFL!$H144="Cleveland",+NFL!#REF!,0))</f>
        <v>0</v>
      </c>
      <c r="AB146" s="87">
        <f>IF(+NFL!$F144="Cleveland",+NFL!#REF!,IF(+NFL!$H144="Cleveland",+NFL!#REF!,0))</f>
        <v>0</v>
      </c>
      <c r="AC146" s="120">
        <f>IF(+NFL!$F144="Cleveland",+NFL!#REF!,IF(+NFL!$H144="Cleveland",+NFL!#REF!,0))</f>
        <v>0</v>
      </c>
      <c r="AD146" s="353">
        <f>IF(+NFL!$F144="Cleveland",+NFL!#REF!,IF(+NFL!$H144="Cleveland",+NFL!#REF!,0))</f>
        <v>0</v>
      </c>
      <c r="AE146" s="379">
        <f>IF(+NFL!$F144="Cleveland",+NFL!#REF!,IF(+NFL!$H144="Cleveland",+NFL!#REF!,0))</f>
        <v>0</v>
      </c>
      <c r="AF146" s="353">
        <f>IF(+NFL!$F144="Cleveland",+NFL!#REF!,IF(+NFL!$H144="Cleveland",+NFL!#REF!,0))</f>
        <v>0</v>
      </c>
      <c r="AG146" s="379">
        <f>IF(+NFL!$F144="Cleveland",+NFL!#REF!,IF(+NFL!$H144="Cleveland",+NFL!#REF!,0))</f>
        <v>0</v>
      </c>
      <c r="AH146" s="387">
        <f>IF(+NFL!$F144="Cleveland",+NFL!#REF!,IF(+NFL!$H144="Cleveland",+NFL!#REF!,0))</f>
        <v>0</v>
      </c>
      <c r="AI146" s="379">
        <f>IF(+NFL!$F144="Cleveland",+NFL!#REF!,IF(+NFL!$H144="Cleveland",+NFL!#REF!,0))</f>
        <v>0</v>
      </c>
      <c r="AJ146" s="387">
        <f>IF(+NFL!$F144="Cleveland",+NFL!#REF!,IF(+NFL!$H144="Cleveland",+NFL!#REF!,0))</f>
        <v>0</v>
      </c>
      <c r="AK146" s="379">
        <f>IF(+NFL!$F144="Cleveland",+NFL!#REF!,IF(+NFL!$H144="Cleveland",+NFL!#REF!,0))</f>
        <v>0</v>
      </c>
      <c r="AL146" s="68">
        <f>IF(+NFL!$F144="Cleveland",+NFL!#REF!,IF(+NFL!$H144="Cleveland",+NFL!#REF!,0))</f>
        <v>0</v>
      </c>
      <c r="AM146" s="58">
        <f>IF(+NFL!$F144="Cleveland",+NFL!#REF!,IF(+NFL!$H144="Cleveland",+NFL!#REF!,0))</f>
        <v>0</v>
      </c>
      <c r="AN146" s="57">
        <f>IF(+NFL!$F144="Cleveland",+NFL!#REF!,IF(+NFL!$H144="Cleveland",+NFL!#REF!,0))</f>
        <v>0</v>
      </c>
      <c r="AO146" s="59">
        <f>IF(+NFL!$F144="Cleveland",+NFL!#REF!,IF(+NFL!$H144="Cleveland",+NFL!#REF!,0))</f>
        <v>0</v>
      </c>
      <c r="AP146" s="348">
        <f>IF(+NFL!$F144="Cleveland",+NFL!#REF!,IF(+NFL!$H144="Cleveland",+NFL!#REF!,0))</f>
        <v>0</v>
      </c>
      <c r="AQ146" s="48">
        <f>IF(+NFL!$F144="Cleveland",+NFL!#REF!,IF(+NFL!$H144="Cleveland",+NFL!#REF!,0))</f>
        <v>0</v>
      </c>
      <c r="AR146" s="57">
        <f>IF(+NFL!$F144="Cleveland",+NFL!#REF!,IF(+NFL!$H144="Cleveland",+NFL!#REF!,0))</f>
        <v>0</v>
      </c>
      <c r="AS146" s="64">
        <f>IF(+NFL!$F144="Cleveland",+NFL!#REF!,IF(+NFL!$H144="Cleveland",+NFL!#REF!,0))</f>
        <v>0</v>
      </c>
      <c r="AT146" s="64">
        <f>IF(+NFL!$F144="Cleveland",+NFL!#REF!,IF(+NFL!$H144="Cleveland",+NFL!#REF!,0))</f>
        <v>0</v>
      </c>
      <c r="AU146" s="57">
        <f>IF(+NFL!$F144="Cleveland",+NFL!#REF!,IF(+NFL!$H144="Cleveland",+NFL!#REF!,0))</f>
        <v>0</v>
      </c>
      <c r="AV146" s="64">
        <f>IF(+NFL!$F144="Cleveland",+NFL!#REF!,IF(+NFL!$H144="Cleveland",+NFL!#REF!,0))</f>
        <v>0</v>
      </c>
      <c r="AW146" s="46">
        <f>IF(+NFL!$F144="Cleveland",+NFL!#REF!,IF(+NFL!$H144="Cleveland",+NFL!#REF!,0))</f>
        <v>0</v>
      </c>
      <c r="AX146" s="64">
        <f>IF(+NFL!$F144="Cleveland",+NFL!#REF!,IF(+NFL!$H144="Cleveland",+NFL!#REF!,0))</f>
        <v>0</v>
      </c>
      <c r="AY146" s="57">
        <f>IF(+NFL!$F144="Cleveland",+NFL!#REF!,IF(+NFL!$H144="Cleveland",+NFL!#REF!,0))</f>
        <v>0</v>
      </c>
      <c r="AZ146" s="64">
        <f>IF(+NFL!$F144="Cleveland",+NFL!#REF!,IF(+NFL!$H144="Cleveland",+NFL!#REF!,0))</f>
        <v>0</v>
      </c>
      <c r="BA146" s="46">
        <f>IF(+NFL!$F144="Cleveland",+NFL!#REF!,IF(+NFL!$H144="Cleveland",+NFL!#REF!,0))</f>
        <v>0</v>
      </c>
      <c r="BB146" s="46">
        <f>IF(+NFL!$F144="Cleveland",+NFL!#REF!,IF(+NFL!$H144="Cleveland",+NFL!#REF!,0))</f>
        <v>0</v>
      </c>
      <c r="BC146" s="403">
        <f>IF(+NFL!$F144="Cleveland",+NFL!#REF!,IF(+NFL!$H144="Cleveland",+NFL!#REF!,0))</f>
        <v>0</v>
      </c>
      <c r="BD146" s="57">
        <f>IF(+NFL!$F144="Cleveland",+NFL!#REF!,IF(+NFL!$H144="Cleveland",+NFL!#REF!,0))</f>
        <v>0</v>
      </c>
      <c r="BE146" s="64">
        <f>IF(+NFL!$F144="Cleveland",+NFL!#REF!,IF(+NFL!$H144="Cleveland",+NFL!#REF!,0))</f>
        <v>0</v>
      </c>
      <c r="BF146" s="46">
        <f>IF(+NFL!$F144="Cleveland",+NFL!#REF!,IF(+NFL!$H144="Cleveland",+NFL!#REF!,0))</f>
        <v>0</v>
      </c>
      <c r="BG146" s="57">
        <f>IF(+NFL!$F144="Cleveland",+NFL!#REF!,IF(+NFL!$H144="Cleveland",+NFL!#REF!,0))</f>
        <v>0</v>
      </c>
      <c r="BH146" s="64">
        <f>IF(+NFL!$F144="Cleveland",+NFL!#REF!,IF(+NFL!$H144="Cleveland",+NFL!#REF!,0))</f>
        <v>0</v>
      </c>
      <c r="BI146" s="46">
        <f>IF(+NFL!$F144="Cleveland",+NFL!#REF!,IF(+NFL!$H144="Cleveland",+NFL!#REF!,0))</f>
        <v>0</v>
      </c>
      <c r="BJ146" s="87">
        <f>IF(+NFL!$F144="Cleveland",+NFL!#REF!,IF(+NFL!$H144="Cleveland",+NFL!#REF!,0))</f>
        <v>0</v>
      </c>
      <c r="BK146" s="120">
        <f>IF(+NFL!$F144="Cleveland",+NFL!#REF!,IF(+NFL!$H144="Cleveland",+NFL!#REF!,0))</f>
        <v>0</v>
      </c>
    </row>
    <row r="147" spans="1:63" x14ac:dyDescent="0.8">
      <c r="A147" s="46">
        <f>IF(+NFL!$F234="Cleveland",+NFL!A234,IF(+NFL!$H234="Cleveland",+NFL!A234,0))</f>
        <v>13</v>
      </c>
      <c r="B147" s="348" t="str">
        <f>IF(+NFL!$F234="Cleveland",+NFL!B234,IF(+NFL!$H234="Cleveland",+NFL!B234,0))</f>
        <v>Sun</v>
      </c>
      <c r="C147" s="48">
        <f>IF(+NFL!$F234="Cleveland",+NFL!C234,IF(+NFL!$H234="Cleveland",+NFL!C234,0))</f>
        <v>44899</v>
      </c>
      <c r="D147" s="490">
        <f>IF(+NFL!$F234="Cleveland",+NFL!D234,IF(+NFL!$H234="Cleveland",+NFL!D234,0))</f>
        <v>0.54166666666666663</v>
      </c>
      <c r="E147" s="46" t="str">
        <f>IF(+NFL!$F234="Cleveland",+NFL!E234,IF(+NFL!$H234="Cleveland",+NFL!E234,0))</f>
        <v>CBS</v>
      </c>
      <c r="F147" s="127" t="str">
        <f>IF(+NFL!$F234="Cleveland",+NFL!F234,IF(+NFL!$H234="Cleveland",+NFL!F234,0))</f>
        <v>Cleveland</v>
      </c>
      <c r="G147" s="46" t="str">
        <f>IF(+NFL!$F234="Cleveland",+NFL!G234,IF(+NFL!$H234="Cleveland",+NFL!G234,0))</f>
        <v>AFCN</v>
      </c>
      <c r="H147" s="127" t="str">
        <f>IF(+NFL!$F234="Cleveland",+NFL!H234,IF(+NFL!$H234="Cleveland",+NFL!H234,0))</f>
        <v>Houston</v>
      </c>
      <c r="I147" s="46" t="str">
        <f>IF(+NFL!$F234="Cleveland",+NFL!I234,IF(+NFL!$H234="Cleveland",+NFL!I234,0))</f>
        <v>AFCS</v>
      </c>
      <c r="J147" s="353" t="str">
        <f>IF(+NFL!$F234="Cleveland",+NFL!J234,IF(+NFL!$H234="Cleveland",+NFL!J234,0))</f>
        <v>Cleveland</v>
      </c>
      <c r="K147" s="494" t="str">
        <f>IF(+NFL!$F234="Cleveland",+NFL!K234,IF(+NFL!$H234="Cleveland",+NFL!K234,0))</f>
        <v>Houston</v>
      </c>
      <c r="L147" s="384">
        <f>IF(+NFL!$F234="Cleveland",+NFL!L234,IF(+NFL!$H234="Cleveland",+NFL!L234,0))</f>
        <v>7</v>
      </c>
      <c r="M147" s="385">
        <f>IF(+NFL!$F234="Cleveland",+NFL!M234,IF(+NFL!$H234="Cleveland",+NFL!M234,0))</f>
        <v>47</v>
      </c>
      <c r="N147" s="394" t="str">
        <f>IF(+NFL!$F234="Cleveland",+NFL!N234,IF(+NFL!$H234="Cleveland",+NFL!N234,0))</f>
        <v>Cleveland</v>
      </c>
      <c r="O147" s="395">
        <f>IF(+NFL!$F234="Cleveland",+NFL!O234,IF(+NFL!$H234="Cleveland",+NFL!O234,0))</f>
        <v>27</v>
      </c>
      <c r="P147" s="394" t="str">
        <f>IF(+NFL!$F234="Cleveland",+NFL!P234,IF(+NFL!$H234="Cleveland",+NFL!P234,0))</f>
        <v>Houston</v>
      </c>
      <c r="Q147" s="396">
        <f>IF(+NFL!$F234="Cleveland",+NFL!Q234,IF(+NFL!$H234="Cleveland",+NFL!Q234,0))</f>
        <v>14</v>
      </c>
      <c r="R147" s="397" t="str">
        <f>IF(+NFL!$F234="Cleveland",+NFL!R234,IF(+NFL!$H234="Cleveland",+NFL!R234,0))</f>
        <v>Cleveland</v>
      </c>
      <c r="S147" s="396" t="str">
        <f>IF(+NFL!$F234="Cleveland",+NFL!S234,IF(+NFL!$H234="Cleveland",+NFL!S234,0))</f>
        <v>Houston</v>
      </c>
      <c r="T147" s="398" t="str">
        <f>IF(+NFL!$F234="Cleveland",+NFL!T234,IF(+NFL!$H234="Cleveland",+NFL!T234,0))</f>
        <v>Cleveland</v>
      </c>
      <c r="U147" s="396" t="str">
        <f>IF(+NFL!$F234="Cleveland",+NFL!U234,IF(+NFL!$H234="Cleveland",+NFL!U234,0))</f>
        <v>W</v>
      </c>
      <c r="V147" s="397" t="e">
        <f>IF(+NFL!$F162="Cleveland",+NFL!#REF!,IF(+NFL!$H162="Cleveland",+NFL!#REF!,0))</f>
        <v>#REF!</v>
      </c>
      <c r="W147" s="396" t="e">
        <f>IF(+NFL!$F162="Cleveland",+NFL!#REF!,IF(+NFL!$H162="Cleveland",+NFL!#REF!,0))</f>
        <v>#REF!</v>
      </c>
      <c r="X147" s="398" t="e">
        <f>IF(+NFL!$F162="Cleveland",+NFL!#REF!,IF(+NFL!$H162="Cleveland",+NFL!#REF!,0))</f>
        <v>#REF!</v>
      </c>
      <c r="Y147" s="396" t="e">
        <f>IF(+NFL!$F162="Cleveland",+NFL!#REF!,IF(+NFL!$H162="Cleveland",+NFL!#REF!,0))</f>
        <v>#REF!</v>
      </c>
      <c r="Z147" s="397" t="e">
        <f>IF(+NFL!$F162="Cleveland",+NFL!#REF!,IF(+NFL!$H162="Cleveland",+NFL!#REF!,0))</f>
        <v>#REF!</v>
      </c>
      <c r="AA147" s="396" t="e">
        <f>IF(+NFL!$F162="Cleveland",+NFL!#REF!,IF(+NFL!$H162="Cleveland",+NFL!#REF!,0))</f>
        <v>#REF!</v>
      </c>
      <c r="AB147" s="87" t="e">
        <f>IF(+NFL!$F162="Cleveland",+NFL!#REF!,IF(+NFL!$H162="Cleveland",+NFL!#REF!,0))</f>
        <v>#REF!</v>
      </c>
      <c r="AC147" s="120" t="e">
        <f>IF(+NFL!$F162="Cleveland",+NFL!#REF!,IF(+NFL!$H162="Cleveland",+NFL!#REF!,0))</f>
        <v>#REF!</v>
      </c>
      <c r="AD147" s="353" t="e">
        <f>IF(+NFL!$F162="Cleveland",+NFL!#REF!,IF(+NFL!$H162="Cleveland",+NFL!#REF!,0))</f>
        <v>#REF!</v>
      </c>
      <c r="AE147" s="379" t="e">
        <f>IF(+NFL!$F162="Cleveland",+NFL!#REF!,IF(+NFL!$H162="Cleveland",+NFL!#REF!,0))</f>
        <v>#REF!</v>
      </c>
      <c r="AF147" s="353" t="e">
        <f>IF(+NFL!$F162="Cleveland",+NFL!#REF!,IF(+NFL!$H162="Cleveland",+NFL!#REF!,0))</f>
        <v>#REF!</v>
      </c>
      <c r="AG147" s="379" t="e">
        <f>IF(+NFL!$F162="Cleveland",+NFL!#REF!,IF(+NFL!$H162="Cleveland",+NFL!#REF!,0))</f>
        <v>#REF!</v>
      </c>
      <c r="AH147" s="387" t="e">
        <f>IF(+NFL!$F162="Cleveland",+NFL!#REF!,IF(+NFL!$H162="Cleveland",+NFL!#REF!,0))</f>
        <v>#REF!</v>
      </c>
      <c r="AI147" s="379" t="e">
        <f>IF(+NFL!$F162="Cleveland",+NFL!#REF!,IF(+NFL!$H162="Cleveland",+NFL!#REF!,0))</f>
        <v>#REF!</v>
      </c>
      <c r="AJ147" s="387" t="e">
        <f>IF(+NFL!$F162="Cleveland",+NFL!#REF!,IF(+NFL!$H162="Cleveland",+NFL!#REF!,0))</f>
        <v>#REF!</v>
      </c>
      <c r="AK147" s="379" t="e">
        <f>IF(+NFL!$F162="Cleveland",+NFL!#REF!,IF(+NFL!$H162="Cleveland",+NFL!#REF!,0))</f>
        <v>#REF!</v>
      </c>
      <c r="AL147" s="68" t="e">
        <f>IF(+NFL!$F162="Cleveland",+NFL!#REF!,IF(+NFL!$H162="Cleveland",+NFL!#REF!,0))</f>
        <v>#REF!</v>
      </c>
      <c r="AM147" s="58" t="e">
        <f>IF(+NFL!$F162="Cleveland",+NFL!#REF!,IF(+NFL!$H162="Cleveland",+NFL!#REF!,0))</f>
        <v>#REF!</v>
      </c>
      <c r="AN147" s="57" t="e">
        <f>IF(+NFL!$F162="Cleveland",+NFL!#REF!,IF(+NFL!$H162="Cleveland",+NFL!#REF!,0))</f>
        <v>#REF!</v>
      </c>
      <c r="AO147" s="59" t="e">
        <f>IF(+NFL!$F162="Cleveland",+NFL!#REF!,IF(+NFL!$H162="Cleveland",+NFL!#REF!,0))</f>
        <v>#REF!</v>
      </c>
      <c r="AP147" s="348" t="e">
        <f>IF(+NFL!$F162="Cleveland",+NFL!#REF!,IF(+NFL!$H162="Cleveland",+NFL!#REF!,0))</f>
        <v>#REF!</v>
      </c>
      <c r="AQ147" s="48" t="e">
        <f>IF(+NFL!$F162="Cleveland",+NFL!#REF!,IF(+NFL!$H162="Cleveland",+NFL!#REF!,0))</f>
        <v>#REF!</v>
      </c>
      <c r="AR147" s="57" t="e">
        <f>IF(+NFL!$F162="Cleveland",+NFL!#REF!,IF(+NFL!$H162="Cleveland",+NFL!#REF!,0))</f>
        <v>#REF!</v>
      </c>
      <c r="AS147" s="64" t="e">
        <f>IF(+NFL!$F162="Cleveland",+NFL!#REF!,IF(+NFL!$H162="Cleveland",+NFL!#REF!,0))</f>
        <v>#REF!</v>
      </c>
      <c r="AT147" s="64" t="e">
        <f>IF(+NFL!$F162="Cleveland",+NFL!#REF!,IF(+NFL!$H162="Cleveland",+NFL!#REF!,0))</f>
        <v>#REF!</v>
      </c>
      <c r="AU147" s="57" t="e">
        <f>IF(+NFL!$F162="Cleveland",+NFL!#REF!,IF(+NFL!$H162="Cleveland",+NFL!#REF!,0))</f>
        <v>#REF!</v>
      </c>
      <c r="AV147" s="64" t="e">
        <f>IF(+NFL!$F162="Cleveland",+NFL!#REF!,IF(+NFL!$H162="Cleveland",+NFL!#REF!,0))</f>
        <v>#REF!</v>
      </c>
      <c r="AW147" s="46" t="e">
        <f>IF(+NFL!$F162="Cleveland",+NFL!#REF!,IF(+NFL!$H162="Cleveland",+NFL!#REF!,0))</f>
        <v>#REF!</v>
      </c>
      <c r="AX147" s="64" t="e">
        <f>IF(+NFL!$F162="Cleveland",+NFL!#REF!,IF(+NFL!$H162="Cleveland",+NFL!#REF!,0))</f>
        <v>#REF!</v>
      </c>
      <c r="AY147" s="57" t="e">
        <f>IF(+NFL!$F162="Cleveland",+NFL!#REF!,IF(+NFL!$H162="Cleveland",+NFL!#REF!,0))</f>
        <v>#REF!</v>
      </c>
      <c r="AZ147" s="64" t="e">
        <f>IF(+NFL!$F162="Cleveland",+NFL!#REF!,IF(+NFL!$H162="Cleveland",+NFL!#REF!,0))</f>
        <v>#REF!</v>
      </c>
      <c r="BA147" s="46" t="e">
        <f>IF(+NFL!$F162="Cleveland",+NFL!#REF!,IF(+NFL!$H162="Cleveland",+NFL!#REF!,0))</f>
        <v>#REF!</v>
      </c>
      <c r="BB147" s="46" t="e">
        <f>IF(+NFL!$F162="Cleveland",+NFL!#REF!,IF(+NFL!$H162="Cleveland",+NFL!#REF!,0))</f>
        <v>#REF!</v>
      </c>
      <c r="BC147" s="403" t="e">
        <f>IF(+NFL!$F162="Cleveland",+NFL!#REF!,IF(+NFL!$H162="Cleveland",+NFL!#REF!,0))</f>
        <v>#REF!</v>
      </c>
      <c r="BD147" s="57" t="e">
        <f>IF(+NFL!$F162="Cleveland",+NFL!#REF!,IF(+NFL!$H162="Cleveland",+NFL!#REF!,0))</f>
        <v>#REF!</v>
      </c>
      <c r="BE147" s="64" t="e">
        <f>IF(+NFL!$F162="Cleveland",+NFL!#REF!,IF(+NFL!$H162="Cleveland",+NFL!#REF!,0))</f>
        <v>#REF!</v>
      </c>
      <c r="BF147" s="46" t="e">
        <f>IF(+NFL!$F162="Cleveland",+NFL!#REF!,IF(+NFL!$H162="Cleveland",+NFL!#REF!,0))</f>
        <v>#REF!</v>
      </c>
      <c r="BG147" s="57" t="e">
        <f>IF(+NFL!$F162="Cleveland",+NFL!#REF!,IF(+NFL!$H162="Cleveland",+NFL!#REF!,0))</f>
        <v>#REF!</v>
      </c>
      <c r="BH147" s="64" t="e">
        <f>IF(+NFL!$F162="Cleveland",+NFL!#REF!,IF(+NFL!$H162="Cleveland",+NFL!#REF!,0))</f>
        <v>#REF!</v>
      </c>
      <c r="BI147" s="46" t="e">
        <f>IF(+NFL!$F162="Cleveland",+NFL!#REF!,IF(+NFL!$H162="Cleveland",+NFL!#REF!,0))</f>
        <v>#REF!</v>
      </c>
      <c r="BJ147" s="87" t="e">
        <f>IF(+NFL!$F162="Cleveland",+NFL!#REF!,IF(+NFL!$H162="Cleveland",+NFL!#REF!,0))</f>
        <v>#REF!</v>
      </c>
      <c r="BK147" s="120" t="e">
        <f>IF(+NFL!$F162="Cleveland",+NFL!#REF!,IF(+NFL!$H162="Cleveland",+NFL!#REF!,0))</f>
        <v>#REF!</v>
      </c>
    </row>
    <row r="148" spans="1:63" x14ac:dyDescent="0.8">
      <c r="A148" s="46">
        <f>IF(+NFL!$F247="Cleveland",+NFL!A247,IF(+NFL!$H247="Cleveland",+NFL!A247,0))</f>
        <v>14</v>
      </c>
      <c r="B148" s="348" t="str">
        <f>IF(+NFL!$F247="Cleveland",+NFL!B247,IF(+NFL!$H247="Cleveland",+NFL!B247,0))</f>
        <v>Sun</v>
      </c>
      <c r="C148" s="48">
        <f>IF(+NFL!$F247="Cleveland",+NFL!C247,IF(+NFL!$H247="Cleveland",+NFL!C247,0))</f>
        <v>44906</v>
      </c>
      <c r="D148" s="490">
        <f>IF(+NFL!$F247="Cleveland",+NFL!D247,IF(+NFL!$H247="Cleveland",+NFL!D247,0))</f>
        <v>0.54166666666666663</v>
      </c>
      <c r="E148" s="46" t="str">
        <f>IF(+NFL!$F247="Cleveland",+NFL!E247,IF(+NFL!$H247="Cleveland",+NFL!E247,0))</f>
        <v>CBS</v>
      </c>
      <c r="F148" s="127" t="str">
        <f>IF(+NFL!$F247="Cleveland",+NFL!F247,IF(+NFL!$H247="Cleveland",+NFL!F247,0))</f>
        <v>Cleveland</v>
      </c>
      <c r="G148" s="46" t="str">
        <f>IF(+NFL!$F247="Cleveland",+NFL!G247,IF(+NFL!$H247="Cleveland",+NFL!G247,0))</f>
        <v>AFCN</v>
      </c>
      <c r="H148" s="127" t="str">
        <f>IF(+NFL!$F247="Cleveland",+NFL!H247,IF(+NFL!$H247="Cleveland",+NFL!H247,0))</f>
        <v>Cincinnati</v>
      </c>
      <c r="I148" s="46" t="str">
        <f>IF(+NFL!$F247="Cleveland",+NFL!I247,IF(+NFL!$H247="Cleveland",+NFL!I247,0))</f>
        <v>AFCN</v>
      </c>
      <c r="J148" s="353" t="str">
        <f>IF(+NFL!$F247="Cleveland",+NFL!J247,IF(+NFL!$H247="Cleveland",+NFL!J247,0))</f>
        <v>Cincinnati</v>
      </c>
      <c r="K148" s="494" t="str">
        <f>IF(+NFL!$F247="Cleveland",+NFL!K247,IF(+NFL!$H247="Cleveland",+NFL!K247,0))</f>
        <v>Cleveland</v>
      </c>
      <c r="L148" s="384">
        <f>IF(+NFL!$F247="Cleveland",+NFL!L247,IF(+NFL!$H247="Cleveland",+NFL!L247,0))</f>
        <v>4.5</v>
      </c>
      <c r="M148" s="385">
        <f>IF(+NFL!$F247="Cleveland",+NFL!M247,IF(+NFL!$H247="Cleveland",+NFL!M247,0))</f>
        <v>47.5</v>
      </c>
      <c r="N148" s="394" t="str">
        <f>IF(+NFL!$F247="Cleveland",+NFL!N247,IF(+NFL!$H247="Cleveland",+NFL!N247,0))</f>
        <v>Cincinnati</v>
      </c>
      <c r="O148" s="395">
        <f>IF(+NFL!$F247="Cleveland",+NFL!O247,IF(+NFL!$H247="Cleveland",+NFL!O247,0))</f>
        <v>23</v>
      </c>
      <c r="P148" s="394" t="str">
        <f>IF(+NFL!$F247="Cleveland",+NFL!P247,IF(+NFL!$H247="Cleveland",+NFL!P247,0))</f>
        <v>Cleveland</v>
      </c>
      <c r="Q148" s="396">
        <f>IF(+NFL!$F247="Cleveland",+NFL!Q247,IF(+NFL!$H247="Cleveland",+NFL!Q247,0))</f>
        <v>10</v>
      </c>
      <c r="R148" s="397" t="str">
        <f>IF(+NFL!$F247="Cleveland",+NFL!R247,IF(+NFL!$H247="Cleveland",+NFL!R247,0))</f>
        <v>Cincinnati</v>
      </c>
      <c r="S148" s="396" t="str">
        <f>IF(+NFL!$F247="Cleveland",+NFL!S247,IF(+NFL!$H247="Cleveland",+NFL!S247,0))</f>
        <v>Cleveland</v>
      </c>
      <c r="T148" s="398">
        <f>IF(+NFL!$F247="Cleveland",+NFL!T247,IF(+NFL!$H247="Cleveland",+NFL!T247,0))</f>
        <v>0</v>
      </c>
      <c r="U148" s="396" t="str">
        <f>IF(+NFL!$F247="Cleveland",+NFL!U247,IF(+NFL!$H247="Cleveland",+NFL!U247,0))</f>
        <v>L</v>
      </c>
      <c r="V148" s="397">
        <f>IF(+NFL!$F183="Cleveland",+NFL!#REF!,IF(+NFL!$H183="Cleveland",+NFL!#REF!,0))</f>
        <v>0</v>
      </c>
      <c r="W148" s="396">
        <f>IF(+NFL!$F183="Cleveland",+NFL!#REF!,IF(+NFL!$H183="Cleveland",+NFL!#REF!,0))</f>
        <v>0</v>
      </c>
      <c r="X148" s="398">
        <f>IF(+NFL!$F183="Cleveland",+NFL!#REF!,IF(+NFL!$H183="Cleveland",+NFL!#REF!,0))</f>
        <v>0</v>
      </c>
      <c r="Y148" s="396">
        <f>IF(+NFL!$F183="Cleveland",+NFL!#REF!,IF(+NFL!$H183="Cleveland",+NFL!#REF!,0))</f>
        <v>0</v>
      </c>
      <c r="Z148" s="397">
        <f>IF(+NFL!$F183="Cleveland",+NFL!#REF!,IF(+NFL!$H183="Cleveland",+NFL!#REF!,0))</f>
        <v>0</v>
      </c>
      <c r="AA148" s="396">
        <f>IF(+NFL!$F183="Cleveland",+NFL!#REF!,IF(+NFL!$H183="Cleveland",+NFL!#REF!,0))</f>
        <v>0</v>
      </c>
      <c r="AB148" s="87">
        <f>IF(+NFL!$F183="Cleveland",+NFL!#REF!,IF(+NFL!$H183="Cleveland",+NFL!#REF!,0))</f>
        <v>0</v>
      </c>
      <c r="AC148" s="120">
        <f>IF(+NFL!$F183="Cleveland",+NFL!#REF!,IF(+NFL!$H183="Cleveland",+NFL!#REF!,0))</f>
        <v>0</v>
      </c>
      <c r="AD148" s="353">
        <f>IF(+NFL!$F183="Cleveland",+NFL!#REF!,IF(+NFL!$H183="Cleveland",+NFL!#REF!,0))</f>
        <v>0</v>
      </c>
      <c r="AE148" s="379">
        <f>IF(+NFL!$F183="Cleveland",+NFL!#REF!,IF(+NFL!$H183="Cleveland",+NFL!#REF!,0))</f>
        <v>0</v>
      </c>
      <c r="AF148" s="353">
        <f>IF(+NFL!$F183="Cleveland",+NFL!#REF!,IF(+NFL!$H183="Cleveland",+NFL!#REF!,0))</f>
        <v>0</v>
      </c>
      <c r="AG148" s="379">
        <f>IF(+NFL!$F183="Cleveland",+NFL!#REF!,IF(+NFL!$H183="Cleveland",+NFL!#REF!,0))</f>
        <v>0</v>
      </c>
      <c r="AH148" s="387">
        <f>IF(+NFL!$F183="Cleveland",+NFL!#REF!,IF(+NFL!$H183="Cleveland",+NFL!#REF!,0))</f>
        <v>0</v>
      </c>
      <c r="AI148" s="379">
        <f>IF(+NFL!$F183="Cleveland",+NFL!#REF!,IF(+NFL!$H183="Cleveland",+NFL!#REF!,0))</f>
        <v>0</v>
      </c>
      <c r="AJ148" s="387">
        <f>IF(+NFL!$F183="Cleveland",+NFL!#REF!,IF(+NFL!$H183="Cleveland",+NFL!#REF!,0))</f>
        <v>0</v>
      </c>
      <c r="AK148" s="379">
        <f>IF(+NFL!$F183="Cleveland",+NFL!#REF!,IF(+NFL!$H183="Cleveland",+NFL!#REF!,0))</f>
        <v>0</v>
      </c>
      <c r="AL148" s="68">
        <f>IF(+NFL!$F183="Cleveland",+NFL!#REF!,IF(+NFL!$H183="Cleveland",+NFL!#REF!,0))</f>
        <v>0</v>
      </c>
      <c r="AM148" s="58">
        <f>IF(+NFL!$F183="Cleveland",+NFL!#REF!,IF(+NFL!$H183="Cleveland",+NFL!#REF!,0))</f>
        <v>0</v>
      </c>
      <c r="AN148" s="57">
        <f>IF(+NFL!$F183="Cleveland",+NFL!#REF!,IF(+NFL!$H183="Cleveland",+NFL!#REF!,0))</f>
        <v>0</v>
      </c>
      <c r="AO148" s="59">
        <f>IF(+NFL!$F183="Cleveland",+NFL!#REF!,IF(+NFL!$H183="Cleveland",+NFL!#REF!,0))</f>
        <v>0</v>
      </c>
      <c r="AP148" s="348">
        <f>IF(+NFL!$F183="Cleveland",+NFL!#REF!,IF(+NFL!$H183="Cleveland",+NFL!#REF!,0))</f>
        <v>0</v>
      </c>
      <c r="AQ148" s="48">
        <f>IF(+NFL!$F183="Cleveland",+NFL!#REF!,IF(+NFL!$H183="Cleveland",+NFL!#REF!,0))</f>
        <v>0</v>
      </c>
      <c r="AR148" s="57">
        <f>IF(+NFL!$F183="Cleveland",+NFL!#REF!,IF(+NFL!$H183="Cleveland",+NFL!#REF!,0))</f>
        <v>0</v>
      </c>
      <c r="AS148" s="64">
        <f>IF(+NFL!$F183="Cleveland",+NFL!#REF!,IF(+NFL!$H183="Cleveland",+NFL!#REF!,0))</f>
        <v>0</v>
      </c>
      <c r="AT148" s="64">
        <f>IF(+NFL!$F183="Cleveland",+NFL!#REF!,IF(+NFL!$H183="Cleveland",+NFL!#REF!,0))</f>
        <v>0</v>
      </c>
      <c r="AU148" s="57">
        <f>IF(+NFL!$F183="Cleveland",+NFL!#REF!,IF(+NFL!$H183="Cleveland",+NFL!#REF!,0))</f>
        <v>0</v>
      </c>
      <c r="AV148" s="64">
        <f>IF(+NFL!$F183="Cleveland",+NFL!#REF!,IF(+NFL!$H183="Cleveland",+NFL!#REF!,0))</f>
        <v>0</v>
      </c>
      <c r="AW148" s="46">
        <f>IF(+NFL!$F183="Cleveland",+NFL!#REF!,IF(+NFL!$H183="Cleveland",+NFL!#REF!,0))</f>
        <v>0</v>
      </c>
      <c r="AX148" s="64">
        <f>IF(+NFL!$F183="Cleveland",+NFL!#REF!,IF(+NFL!$H183="Cleveland",+NFL!#REF!,0))</f>
        <v>0</v>
      </c>
      <c r="AY148" s="57">
        <f>IF(+NFL!$F183="Cleveland",+NFL!#REF!,IF(+NFL!$H183="Cleveland",+NFL!#REF!,0))</f>
        <v>0</v>
      </c>
      <c r="AZ148" s="64">
        <f>IF(+NFL!$F183="Cleveland",+NFL!#REF!,IF(+NFL!$H183="Cleveland",+NFL!#REF!,0))</f>
        <v>0</v>
      </c>
      <c r="BA148" s="46">
        <f>IF(+NFL!$F183="Cleveland",+NFL!#REF!,IF(+NFL!$H183="Cleveland",+NFL!#REF!,0))</f>
        <v>0</v>
      </c>
      <c r="BB148" s="46">
        <f>IF(+NFL!$F183="Cleveland",+NFL!#REF!,IF(+NFL!$H183="Cleveland",+NFL!#REF!,0))</f>
        <v>0</v>
      </c>
      <c r="BC148" s="403">
        <f>IF(+NFL!$F183="Cleveland",+NFL!#REF!,IF(+NFL!$H183="Cleveland",+NFL!#REF!,0))</f>
        <v>0</v>
      </c>
      <c r="BD148" s="57">
        <f>IF(+NFL!$F183="Cleveland",+NFL!#REF!,IF(+NFL!$H183="Cleveland",+NFL!#REF!,0))</f>
        <v>0</v>
      </c>
      <c r="BE148" s="64">
        <f>IF(+NFL!$F183="Cleveland",+NFL!#REF!,IF(+NFL!$H183="Cleveland",+NFL!#REF!,0))</f>
        <v>0</v>
      </c>
      <c r="BF148" s="46">
        <f>IF(+NFL!$F183="Cleveland",+NFL!#REF!,IF(+NFL!$H183="Cleveland",+NFL!#REF!,0))</f>
        <v>0</v>
      </c>
      <c r="BG148" s="57">
        <f>IF(+NFL!$F183="Cleveland",+NFL!#REF!,IF(+NFL!$H183="Cleveland",+NFL!#REF!,0))</f>
        <v>0</v>
      </c>
      <c r="BH148" s="64">
        <f>IF(+NFL!$F183="Cleveland",+NFL!#REF!,IF(+NFL!$H183="Cleveland",+NFL!#REF!,0))</f>
        <v>0</v>
      </c>
      <c r="BI148" s="46">
        <f>IF(+NFL!$F183="Cleveland",+NFL!#REF!,IF(+NFL!$H183="Cleveland",+NFL!#REF!,0))</f>
        <v>0</v>
      </c>
      <c r="BJ148" s="87">
        <f>IF(+NFL!$F183="Cleveland",+NFL!#REF!,IF(+NFL!$H183="Cleveland",+NFL!#REF!,0))</f>
        <v>0</v>
      </c>
      <c r="BK148" s="120">
        <f>IF(+NFL!$F183="Cleveland",+NFL!#REF!,IF(+NFL!$H183="Cleveland",+NFL!#REF!,0))</f>
        <v>0</v>
      </c>
    </row>
    <row r="149" spans="1:63" x14ac:dyDescent="0.8">
      <c r="A149" s="46">
        <f>IF(+NFL!$F268="Cleveland",+NFL!A268,IF(+NFL!$H268="Cleveland",+NFL!A268,0))</f>
        <v>15</v>
      </c>
      <c r="B149" s="348" t="str">
        <f>IF(+NFL!$F268="Cleveland",+NFL!B268,IF(+NFL!$H268="Cleveland",+NFL!B268,0))</f>
        <v>Sun</v>
      </c>
      <c r="C149" s="48">
        <f>IF(+NFL!$F268="Cleveland",+NFL!C268,IF(+NFL!$H268="Cleveland",+NFL!C268,0))</f>
        <v>44913</v>
      </c>
      <c r="D149" s="490">
        <f>IF(+NFL!$F268="Cleveland",+NFL!D268,IF(+NFL!$H268="Cleveland",+NFL!D268,0))</f>
        <v>0.54166666666666663</v>
      </c>
      <c r="E149" s="46" t="str">
        <f>IF(+NFL!$F268="Cleveland",+NFL!E268,IF(+NFL!$H268="Cleveland",+NFL!E268,0))</f>
        <v>CBS</v>
      </c>
      <c r="F149" s="127" t="str">
        <f>IF(+NFL!$F268="Cleveland",+NFL!F268,IF(+NFL!$H268="Cleveland",+NFL!F268,0))</f>
        <v>Baltimore</v>
      </c>
      <c r="G149" s="46" t="str">
        <f>IF(+NFL!$F268="Cleveland",+NFL!G268,IF(+NFL!$H268="Cleveland",+NFL!G268,0))</f>
        <v>AFCN</v>
      </c>
      <c r="H149" s="127" t="str">
        <f>IF(+NFL!$F268="Cleveland",+NFL!H268,IF(+NFL!$H268="Cleveland",+NFL!H268,0))</f>
        <v>Cleveland</v>
      </c>
      <c r="I149" s="46" t="str">
        <f>IF(+NFL!$F268="Cleveland",+NFL!I268,IF(+NFL!$H268="Cleveland",+NFL!I268,0))</f>
        <v>AFCN</v>
      </c>
      <c r="J149" s="353" t="str">
        <f>IF(+NFL!$F268="Cleveland",+NFL!J268,IF(+NFL!$H268="Cleveland",+NFL!J268,0))</f>
        <v>Cleveland</v>
      </c>
      <c r="K149" s="494" t="str">
        <f>IF(+NFL!$F268="Cleveland",+NFL!K268,IF(+NFL!$H268="Cleveland",+NFL!K268,0))</f>
        <v>Baltimore</v>
      </c>
      <c r="L149" s="384">
        <f>IF(+NFL!$F268="Cleveland",+NFL!L268,IF(+NFL!$H268="Cleveland",+NFL!L268,0))</f>
        <v>2.5</v>
      </c>
      <c r="M149" s="385">
        <f>IF(+NFL!$F268="Cleveland",+NFL!M268,IF(+NFL!$H268="Cleveland",+NFL!M268,0))</f>
        <v>39</v>
      </c>
      <c r="N149" s="394" t="str">
        <f>IF(+NFL!$F268="Cleveland",+NFL!N268,IF(+NFL!$H268="Cleveland",+NFL!N268,0))</f>
        <v>Cleveland</v>
      </c>
      <c r="O149" s="395">
        <f>IF(+NFL!$F268="Cleveland",+NFL!O268,IF(+NFL!$H268="Cleveland",+NFL!O268,0))</f>
        <v>13</v>
      </c>
      <c r="P149" s="394" t="str">
        <f>IF(+NFL!$F268="Cleveland",+NFL!P268,IF(+NFL!$H268="Cleveland",+NFL!P268,0))</f>
        <v>Baltimore</v>
      </c>
      <c r="Q149" s="396">
        <f>IF(+NFL!$F268="Cleveland",+NFL!Q268,IF(+NFL!$H268="Cleveland",+NFL!Q268,0))</f>
        <v>3</v>
      </c>
      <c r="R149" s="397" t="str">
        <f>IF(+NFL!$F268="Cleveland",+NFL!R268,IF(+NFL!$H268="Cleveland",+NFL!R268,0))</f>
        <v>Cleveland</v>
      </c>
      <c r="S149" s="396" t="str">
        <f>IF(+NFL!$F268="Cleveland",+NFL!S268,IF(+NFL!$H268="Cleveland",+NFL!S268,0))</f>
        <v>Baltimore</v>
      </c>
      <c r="T149" s="398">
        <f>IF(+NFL!$F268="Cleveland",+NFL!T268,IF(+NFL!$H268="Cleveland",+NFL!T268,0))</f>
        <v>0</v>
      </c>
      <c r="U149" s="396" t="str">
        <f>IF(+NFL!$F268="Cleveland",+NFL!U268,IF(+NFL!$H268="Cleveland",+NFL!U268,0))</f>
        <v>L</v>
      </c>
      <c r="V149" s="397" t="e">
        <f>IF(+NFL!#REF!="Cleveland",+NFL!#REF!,IF(+NFL!#REF!="Cleveland",+NFL!#REF!,0))</f>
        <v>#REF!</v>
      </c>
      <c r="W149" s="396" t="e">
        <f>IF(+NFL!#REF!="Cleveland",+NFL!#REF!,IF(+NFL!#REF!="Cleveland",+NFL!#REF!,0))</f>
        <v>#REF!</v>
      </c>
      <c r="X149" s="398" t="e">
        <f>IF(+NFL!#REF!="Cleveland",+NFL!#REF!,IF(+NFL!#REF!="Cleveland",+NFL!#REF!,0))</f>
        <v>#REF!</v>
      </c>
      <c r="Y149" s="396" t="e">
        <f>IF(+NFL!#REF!="Cleveland",+NFL!#REF!,IF(+NFL!#REF!="Cleveland",+NFL!#REF!,0))</f>
        <v>#REF!</v>
      </c>
      <c r="Z149" s="397" t="e">
        <f>IF(+NFL!#REF!="Cleveland",+NFL!#REF!,IF(+NFL!#REF!="Cleveland",+NFL!#REF!,0))</f>
        <v>#REF!</v>
      </c>
      <c r="AA149" s="396" t="e">
        <f>IF(+NFL!#REF!="Cleveland",+NFL!#REF!,IF(+NFL!#REF!="Cleveland",+NFL!#REF!,0))</f>
        <v>#REF!</v>
      </c>
      <c r="AB149" s="87" t="e">
        <f>IF(+NFL!#REF!="Cleveland",+NFL!#REF!,IF(+NFL!#REF!="Cleveland",+NFL!#REF!,0))</f>
        <v>#REF!</v>
      </c>
      <c r="AC149" s="120" t="e">
        <f>IF(+NFL!#REF!="Cleveland",+NFL!#REF!,IF(+NFL!#REF!="Cleveland",+NFL!#REF!,0))</f>
        <v>#REF!</v>
      </c>
      <c r="AD149" s="353" t="e">
        <f>IF(+NFL!#REF!="Cleveland",+NFL!#REF!,IF(+NFL!#REF!="Cleveland",+NFL!#REF!,0))</f>
        <v>#REF!</v>
      </c>
      <c r="AE149" s="379" t="e">
        <f>IF(+NFL!#REF!="Cleveland",+NFL!#REF!,IF(+NFL!#REF!="Cleveland",+NFL!#REF!,0))</f>
        <v>#REF!</v>
      </c>
      <c r="AF149" s="353" t="e">
        <f>IF(+NFL!#REF!="Cleveland",+NFL!#REF!,IF(+NFL!#REF!="Cleveland",+NFL!#REF!,0))</f>
        <v>#REF!</v>
      </c>
      <c r="AG149" s="379" t="e">
        <f>IF(+NFL!#REF!="Cleveland",+NFL!#REF!,IF(+NFL!#REF!="Cleveland",+NFL!#REF!,0))</f>
        <v>#REF!</v>
      </c>
      <c r="AH149" s="387" t="e">
        <f>IF(+NFL!#REF!="Cleveland",+NFL!#REF!,IF(+NFL!#REF!="Cleveland",+NFL!#REF!,0))</f>
        <v>#REF!</v>
      </c>
      <c r="AI149" s="379" t="e">
        <f>IF(+NFL!#REF!="Cleveland",+NFL!#REF!,IF(+NFL!#REF!="Cleveland",+NFL!#REF!,0))</f>
        <v>#REF!</v>
      </c>
      <c r="AJ149" s="387" t="e">
        <f>IF(+NFL!#REF!="Cleveland",+NFL!#REF!,IF(+NFL!#REF!="Cleveland",+NFL!#REF!,0))</f>
        <v>#REF!</v>
      </c>
      <c r="AK149" s="379" t="e">
        <f>IF(+NFL!#REF!="Cleveland",+NFL!#REF!,IF(+NFL!#REF!="Cleveland",+NFL!#REF!,0))</f>
        <v>#REF!</v>
      </c>
      <c r="AL149" s="68" t="e">
        <f>IF(+NFL!#REF!="Cleveland",+NFL!#REF!,IF(+NFL!#REF!="Cleveland",+NFL!#REF!,0))</f>
        <v>#REF!</v>
      </c>
      <c r="AM149" s="58" t="e">
        <f>IF(+NFL!#REF!="Cleveland",+NFL!#REF!,IF(+NFL!#REF!="Cleveland",+NFL!#REF!,0))</f>
        <v>#REF!</v>
      </c>
      <c r="AN149" s="57" t="e">
        <f>IF(+NFL!#REF!="Cleveland",+NFL!#REF!,IF(+NFL!#REF!="Cleveland",+NFL!#REF!,0))</f>
        <v>#REF!</v>
      </c>
      <c r="AO149" s="59" t="e">
        <f>IF(+NFL!#REF!="Cleveland",+NFL!#REF!,IF(+NFL!#REF!="Cleveland",+NFL!#REF!,0))</f>
        <v>#REF!</v>
      </c>
      <c r="AP149" s="348" t="e">
        <f>IF(+NFL!#REF!="Cleveland",+NFL!#REF!,IF(+NFL!#REF!="Cleveland",+NFL!#REF!,0))</f>
        <v>#REF!</v>
      </c>
      <c r="AQ149" s="48" t="e">
        <f>IF(+NFL!#REF!="Cleveland",+NFL!#REF!,IF(+NFL!#REF!="Cleveland",+NFL!#REF!,0))</f>
        <v>#REF!</v>
      </c>
      <c r="AR149" s="57" t="e">
        <f>IF(+NFL!#REF!="Cleveland",+NFL!#REF!,IF(+NFL!#REF!="Cleveland",+NFL!#REF!,0))</f>
        <v>#REF!</v>
      </c>
      <c r="AS149" s="64" t="e">
        <f>IF(+NFL!#REF!="Cleveland",+NFL!#REF!,IF(+NFL!#REF!="Cleveland",+NFL!#REF!,0))</f>
        <v>#REF!</v>
      </c>
      <c r="AT149" s="64" t="e">
        <f>IF(+NFL!#REF!="Cleveland",+NFL!#REF!,IF(+NFL!#REF!="Cleveland",+NFL!#REF!,0))</f>
        <v>#REF!</v>
      </c>
      <c r="AU149" s="57" t="e">
        <f>IF(+NFL!#REF!="Cleveland",+NFL!#REF!,IF(+NFL!#REF!="Cleveland",+NFL!#REF!,0))</f>
        <v>#REF!</v>
      </c>
      <c r="AV149" s="64" t="e">
        <f>IF(+NFL!#REF!="Cleveland",+NFL!#REF!,IF(+NFL!#REF!="Cleveland",+NFL!#REF!,0))</f>
        <v>#REF!</v>
      </c>
      <c r="AW149" s="46" t="e">
        <f>IF(+NFL!#REF!="Cleveland",+NFL!#REF!,IF(+NFL!#REF!="Cleveland",+NFL!#REF!,0))</f>
        <v>#REF!</v>
      </c>
      <c r="AX149" s="64" t="e">
        <f>IF(+NFL!#REF!="Cleveland",+NFL!#REF!,IF(+NFL!#REF!="Cleveland",+NFL!#REF!,0))</f>
        <v>#REF!</v>
      </c>
      <c r="AY149" s="57" t="e">
        <f>IF(+NFL!#REF!="Cleveland",+NFL!#REF!,IF(+NFL!#REF!="Cleveland",+NFL!#REF!,0))</f>
        <v>#REF!</v>
      </c>
      <c r="AZ149" s="64" t="e">
        <f>IF(+NFL!#REF!="Cleveland",+NFL!#REF!,IF(+NFL!#REF!="Cleveland",+NFL!#REF!,0))</f>
        <v>#REF!</v>
      </c>
      <c r="BA149" s="46" t="e">
        <f>IF(+NFL!#REF!="Cleveland",+NFL!#REF!,IF(+NFL!#REF!="Cleveland",+NFL!#REF!,0))</f>
        <v>#REF!</v>
      </c>
      <c r="BB149" s="46" t="e">
        <f>IF(+NFL!#REF!="Cleveland",+NFL!#REF!,IF(+NFL!#REF!="Cleveland",+NFL!#REF!,0))</f>
        <v>#REF!</v>
      </c>
      <c r="BC149" s="403" t="e">
        <f>IF(+NFL!#REF!="Cleveland",+NFL!#REF!,IF(+NFL!#REF!="Cleveland",+NFL!#REF!,0))</f>
        <v>#REF!</v>
      </c>
      <c r="BD149" s="57" t="e">
        <f>IF(+NFL!#REF!="Cleveland",+NFL!#REF!,IF(+NFL!#REF!="Cleveland",+NFL!#REF!,0))</f>
        <v>#REF!</v>
      </c>
      <c r="BE149" s="64" t="e">
        <f>IF(+NFL!#REF!="Cleveland",+NFL!#REF!,IF(+NFL!#REF!="Cleveland",+NFL!#REF!,0))</f>
        <v>#REF!</v>
      </c>
      <c r="BF149" s="46" t="e">
        <f>IF(+NFL!#REF!="Cleveland",+NFL!#REF!,IF(+NFL!#REF!="Cleveland",+NFL!#REF!,0))</f>
        <v>#REF!</v>
      </c>
      <c r="BG149" s="57" t="e">
        <f>IF(+NFL!#REF!="Cleveland",+NFL!#REF!,IF(+NFL!#REF!="Cleveland",+NFL!#REF!,0))</f>
        <v>#REF!</v>
      </c>
      <c r="BH149" s="64" t="e">
        <f>IF(+NFL!#REF!="Cleveland",+NFL!#REF!,IF(+NFL!#REF!="Cleveland",+NFL!#REF!,0))</f>
        <v>#REF!</v>
      </c>
      <c r="BI149" s="46" t="e">
        <f>IF(+NFL!#REF!="Cleveland",+NFL!#REF!,IF(+NFL!#REF!="Cleveland",+NFL!#REF!,0))</f>
        <v>#REF!</v>
      </c>
      <c r="BJ149" s="87" t="e">
        <f>IF(+NFL!#REF!="Cleveland",+NFL!#REF!,IF(+NFL!#REF!="Cleveland",+NFL!#REF!,0))</f>
        <v>#REF!</v>
      </c>
      <c r="BK149" s="120" t="e">
        <f>IF(+NFL!#REF!="Cleveland",+NFL!#REF!,IF(+NFL!#REF!="Cleveland",+NFL!#REF!,0))</f>
        <v>#REF!</v>
      </c>
    </row>
    <row r="150" spans="1:63" x14ac:dyDescent="0.8">
      <c r="A150" s="46">
        <f>IF(+NFL!$F285="Cleveland",+NFL!A285,IF(+NFL!$H285="Cleveland",+NFL!A285,0))</f>
        <v>16</v>
      </c>
      <c r="B150" s="348" t="str">
        <f>IF(+NFL!$F285="Cleveland",+NFL!B285,IF(+NFL!$H285="Cleveland",+NFL!B285,0))</f>
        <v>Sat</v>
      </c>
      <c r="C150" s="48">
        <f>IF(+NFL!$F285="Cleveland",+NFL!C285,IF(+NFL!$H285="Cleveland",+NFL!C285,0))</f>
        <v>44919</v>
      </c>
      <c r="D150" s="490">
        <f>IF(+NFL!$F285="Cleveland",+NFL!D285,IF(+NFL!$H285="Cleveland",+NFL!D285,0))</f>
        <v>0.54166666666666663</v>
      </c>
      <c r="E150" s="46" t="str">
        <f>IF(+NFL!$F285="Cleveland",+NFL!E285,IF(+NFL!$H285="Cleveland",+NFL!E285,0))</f>
        <v>Fox</v>
      </c>
      <c r="F150" s="127" t="str">
        <f>IF(+NFL!$F285="Cleveland",+NFL!F285,IF(+NFL!$H285="Cleveland",+NFL!F285,0))</f>
        <v>New Orleans</v>
      </c>
      <c r="G150" s="46" t="str">
        <f>IF(+NFL!$F285="Cleveland",+NFL!G285,IF(+NFL!$H285="Cleveland",+NFL!G285,0))</f>
        <v>NFCS</v>
      </c>
      <c r="H150" s="127" t="str">
        <f>IF(+NFL!$F285="Cleveland",+NFL!H285,IF(+NFL!$H285="Cleveland",+NFL!H285,0))</f>
        <v>Cleveland</v>
      </c>
      <c r="I150" s="46" t="str">
        <f>IF(+NFL!$F285="Cleveland",+NFL!I285,IF(+NFL!$H285="Cleveland",+NFL!I285,0))</f>
        <v>AFCN</v>
      </c>
      <c r="J150" s="353" t="str">
        <f>IF(+NFL!$F285="Cleveland",+NFL!J285,IF(+NFL!$H285="Cleveland",+NFL!J285,0))</f>
        <v>Cleveland</v>
      </c>
      <c r="K150" s="494" t="str">
        <f>IF(+NFL!$F285="Cleveland",+NFL!K285,IF(+NFL!$H285="Cleveland",+NFL!K285,0))</f>
        <v>New Orleans</v>
      </c>
      <c r="L150" s="384">
        <f>IF(+NFL!$F285="Cleveland",+NFL!L285,IF(+NFL!$H285="Cleveland",+NFL!L285,0))</f>
        <v>3.5</v>
      </c>
      <c r="M150" s="385">
        <f>IF(+NFL!$F285="Cleveland",+NFL!M285,IF(+NFL!$H285="Cleveland",+NFL!M285,0))</f>
        <v>32.5</v>
      </c>
      <c r="N150" s="394" t="str">
        <f>IF(+NFL!$F285="Cleveland",+NFL!N285,IF(+NFL!$H285="Cleveland",+NFL!N285,0))</f>
        <v>New Orleans</v>
      </c>
      <c r="O150" s="395">
        <f>IF(+NFL!$F285="Cleveland",+NFL!O285,IF(+NFL!$H285="Cleveland",+NFL!O285,0))</f>
        <v>17</v>
      </c>
      <c r="P150" s="394" t="str">
        <f>IF(+NFL!$F285="Cleveland",+NFL!P285,IF(+NFL!$H285="Cleveland",+NFL!P285,0))</f>
        <v>Cleveland</v>
      </c>
      <c r="Q150" s="396">
        <f>IF(+NFL!$F285="Cleveland",+NFL!Q285,IF(+NFL!$H285="Cleveland",+NFL!Q285,0))</f>
        <v>10</v>
      </c>
      <c r="R150" s="397" t="str">
        <f>IF(+NFL!$F285="Cleveland",+NFL!R285,IF(+NFL!$H285="Cleveland",+NFL!R285,0))</f>
        <v>New Orleans</v>
      </c>
      <c r="S150" s="396" t="str">
        <f>IF(+NFL!$F285="Cleveland",+NFL!S285,IF(+NFL!$H285="Cleveland",+NFL!S285,0))</f>
        <v>Cleveland</v>
      </c>
      <c r="T150" s="398">
        <f>IF(+NFL!$F285="Cleveland",+NFL!T285,IF(+NFL!$H285="Cleveland",+NFL!T285,0))</f>
        <v>0</v>
      </c>
      <c r="U150" s="396" t="str">
        <f>IF(+NFL!$F285="Cleveland",+NFL!U285,IF(+NFL!$H285="Cleveland",+NFL!U285,0))</f>
        <v>L</v>
      </c>
      <c r="V150" s="397">
        <f>IF(+NFL!$F218="Cleveland",+NFL!#REF!,IF(+NFL!$H218="Cleveland",+NFL!#REF!,0))</f>
        <v>0</v>
      </c>
      <c r="W150" s="396">
        <f>IF(+NFL!$F218="Cleveland",+NFL!#REF!,IF(+NFL!$H218="Cleveland",+NFL!#REF!,0))</f>
        <v>0</v>
      </c>
      <c r="X150" s="398">
        <f>IF(+NFL!$F218="Cleveland",+NFL!#REF!,IF(+NFL!$H218="Cleveland",+NFL!#REF!,0))</f>
        <v>0</v>
      </c>
      <c r="Y150" s="396">
        <f>IF(+NFL!$F218="Cleveland",+NFL!#REF!,IF(+NFL!$H218="Cleveland",+NFL!#REF!,0))</f>
        <v>0</v>
      </c>
      <c r="Z150" s="397">
        <f>IF(+NFL!$F218="Cleveland",+NFL!#REF!,IF(+NFL!$H218="Cleveland",+NFL!#REF!,0))</f>
        <v>0</v>
      </c>
      <c r="AA150" s="396">
        <f>IF(+NFL!$F218="Cleveland",+NFL!#REF!,IF(+NFL!$H218="Cleveland",+NFL!#REF!,0))</f>
        <v>0</v>
      </c>
      <c r="AB150" s="87">
        <f>IF(+NFL!$F218="Cleveland",+NFL!#REF!,IF(+NFL!$H218="Cleveland",+NFL!#REF!,0))</f>
        <v>0</v>
      </c>
      <c r="AC150" s="120">
        <f>IF(+NFL!$F218="Cleveland",+NFL!#REF!,IF(+NFL!$H218="Cleveland",+NFL!#REF!,0))</f>
        <v>0</v>
      </c>
      <c r="AD150" s="353">
        <f>IF(+NFL!$F218="Cleveland",+NFL!#REF!,IF(+NFL!$H218="Cleveland",+NFL!#REF!,0))</f>
        <v>0</v>
      </c>
      <c r="AE150" s="379">
        <f>IF(+NFL!$F218="Cleveland",+NFL!#REF!,IF(+NFL!$H218="Cleveland",+NFL!#REF!,0))</f>
        <v>0</v>
      </c>
      <c r="AF150" s="353">
        <f>IF(+NFL!$F218="Cleveland",+NFL!#REF!,IF(+NFL!$H218="Cleveland",+NFL!#REF!,0))</f>
        <v>0</v>
      </c>
      <c r="AG150" s="379">
        <f>IF(+NFL!$F218="Cleveland",+NFL!#REF!,IF(+NFL!$H218="Cleveland",+NFL!#REF!,0))</f>
        <v>0</v>
      </c>
      <c r="AH150" s="387">
        <f>IF(+NFL!$F218="Cleveland",+NFL!#REF!,IF(+NFL!$H218="Cleveland",+NFL!#REF!,0))</f>
        <v>0</v>
      </c>
      <c r="AI150" s="379">
        <f>IF(+NFL!$F218="Cleveland",+NFL!#REF!,IF(+NFL!$H218="Cleveland",+NFL!#REF!,0))</f>
        <v>0</v>
      </c>
      <c r="AJ150" s="387">
        <f>IF(+NFL!$F218="Cleveland",+NFL!#REF!,IF(+NFL!$H218="Cleveland",+NFL!#REF!,0))</f>
        <v>0</v>
      </c>
      <c r="AK150" s="379">
        <f>IF(+NFL!$F218="Cleveland",+NFL!#REF!,IF(+NFL!$H218="Cleveland",+NFL!#REF!,0))</f>
        <v>0</v>
      </c>
      <c r="AL150" s="68">
        <f>IF(+NFL!$F218="Cleveland",+NFL!#REF!,IF(+NFL!$H218="Cleveland",+NFL!#REF!,0))</f>
        <v>0</v>
      </c>
      <c r="AM150" s="58">
        <f>IF(+NFL!$F218="Cleveland",+NFL!#REF!,IF(+NFL!$H218="Cleveland",+NFL!#REF!,0))</f>
        <v>0</v>
      </c>
      <c r="AN150" s="57">
        <f>IF(+NFL!$F218="Cleveland",+NFL!#REF!,IF(+NFL!$H218="Cleveland",+NFL!#REF!,0))</f>
        <v>0</v>
      </c>
      <c r="AO150" s="59">
        <f>IF(+NFL!$F218="Cleveland",+NFL!#REF!,IF(+NFL!$H218="Cleveland",+NFL!#REF!,0))</f>
        <v>0</v>
      </c>
      <c r="AP150" s="348">
        <f>IF(+NFL!$F218="Cleveland",+NFL!#REF!,IF(+NFL!$H218="Cleveland",+NFL!#REF!,0))</f>
        <v>0</v>
      </c>
      <c r="AQ150" s="48">
        <f>IF(+NFL!$F218="Cleveland",+NFL!#REF!,IF(+NFL!$H218="Cleveland",+NFL!#REF!,0))</f>
        <v>0</v>
      </c>
      <c r="AR150" s="57">
        <f>IF(+NFL!$F218="Cleveland",+NFL!#REF!,IF(+NFL!$H218="Cleveland",+NFL!#REF!,0))</f>
        <v>0</v>
      </c>
      <c r="AS150" s="64">
        <f>IF(+NFL!$F218="Cleveland",+NFL!#REF!,IF(+NFL!$H218="Cleveland",+NFL!#REF!,0))</f>
        <v>0</v>
      </c>
      <c r="AT150" s="64">
        <f>IF(+NFL!$F218="Cleveland",+NFL!#REF!,IF(+NFL!$H218="Cleveland",+NFL!#REF!,0))</f>
        <v>0</v>
      </c>
      <c r="AU150" s="57">
        <f>IF(+NFL!$F218="Cleveland",+NFL!#REF!,IF(+NFL!$H218="Cleveland",+NFL!#REF!,0))</f>
        <v>0</v>
      </c>
      <c r="AV150" s="64">
        <f>IF(+NFL!$F218="Cleveland",+NFL!#REF!,IF(+NFL!$H218="Cleveland",+NFL!#REF!,0))</f>
        <v>0</v>
      </c>
      <c r="AW150" s="46">
        <f>IF(+NFL!$F218="Cleveland",+NFL!#REF!,IF(+NFL!$H218="Cleveland",+NFL!#REF!,0))</f>
        <v>0</v>
      </c>
      <c r="AX150" s="64">
        <f>IF(+NFL!$F218="Cleveland",+NFL!#REF!,IF(+NFL!$H218="Cleveland",+NFL!#REF!,0))</f>
        <v>0</v>
      </c>
      <c r="AY150" s="57">
        <f>IF(+NFL!$F218="Cleveland",+NFL!#REF!,IF(+NFL!$H218="Cleveland",+NFL!#REF!,0))</f>
        <v>0</v>
      </c>
      <c r="AZ150" s="64">
        <f>IF(+NFL!$F218="Cleveland",+NFL!#REF!,IF(+NFL!$H218="Cleveland",+NFL!#REF!,0))</f>
        <v>0</v>
      </c>
      <c r="BA150" s="46">
        <f>IF(+NFL!$F218="Cleveland",+NFL!#REF!,IF(+NFL!$H218="Cleveland",+NFL!#REF!,0))</f>
        <v>0</v>
      </c>
      <c r="BB150" s="46">
        <f>IF(+NFL!$F218="Cleveland",+NFL!#REF!,IF(+NFL!$H218="Cleveland",+NFL!#REF!,0))</f>
        <v>0</v>
      </c>
      <c r="BC150" s="403">
        <f>IF(+NFL!$F218="Cleveland",+NFL!#REF!,IF(+NFL!$H218="Cleveland",+NFL!#REF!,0))</f>
        <v>0</v>
      </c>
      <c r="BD150" s="57">
        <f>IF(+NFL!$F218="Cleveland",+NFL!#REF!,IF(+NFL!$H218="Cleveland",+NFL!#REF!,0))</f>
        <v>0</v>
      </c>
      <c r="BE150" s="64">
        <f>IF(+NFL!$F218="Cleveland",+NFL!#REF!,IF(+NFL!$H218="Cleveland",+NFL!#REF!,0))</f>
        <v>0</v>
      </c>
      <c r="BF150" s="46">
        <f>IF(+NFL!$F218="Cleveland",+NFL!#REF!,IF(+NFL!$H218="Cleveland",+NFL!#REF!,0))</f>
        <v>0</v>
      </c>
      <c r="BG150" s="57">
        <f>IF(+NFL!$F218="Cleveland",+NFL!#REF!,IF(+NFL!$H218="Cleveland",+NFL!#REF!,0))</f>
        <v>0</v>
      </c>
      <c r="BH150" s="64">
        <f>IF(+NFL!$F218="Cleveland",+NFL!#REF!,IF(+NFL!$H218="Cleveland",+NFL!#REF!,0))</f>
        <v>0</v>
      </c>
      <c r="BI150" s="46">
        <f>IF(+NFL!$F218="Cleveland",+NFL!#REF!,IF(+NFL!$H218="Cleveland",+NFL!#REF!,0))</f>
        <v>0</v>
      </c>
      <c r="BJ150" s="87">
        <f>IF(+NFL!$F218="Cleveland",+NFL!#REF!,IF(+NFL!$H218="Cleveland",+NFL!#REF!,0))</f>
        <v>0</v>
      </c>
      <c r="BK150" s="120">
        <f>IF(+NFL!$F218="Cleveland",+NFL!#REF!,IF(+NFL!$H218="Cleveland",+NFL!#REF!,0))</f>
        <v>0</v>
      </c>
    </row>
    <row r="151" spans="1:63" x14ac:dyDescent="0.8">
      <c r="A151" s="46">
        <f>IF(+NFL!$F308="Cleveland",+NFL!A308,IF(+NFL!$H308="Cleveland",+NFL!A308,0))</f>
        <v>17</v>
      </c>
      <c r="B151" s="348" t="str">
        <f>IF(+NFL!$F308="Cleveland",+NFL!B308,IF(+NFL!$H308="Cleveland",+NFL!B308,0))</f>
        <v>Sun</v>
      </c>
      <c r="C151" s="48">
        <f>IF(+NFL!$F308="Cleveland",+NFL!C308,IF(+NFL!$H308="Cleveland",+NFL!C308,0))</f>
        <v>44927</v>
      </c>
      <c r="D151" s="490">
        <f>IF(+NFL!$F308="Cleveland",+NFL!D308,IF(+NFL!$H308="Cleveland",+NFL!D308,0))</f>
        <v>0.54166666666666663</v>
      </c>
      <c r="E151" s="46" t="str">
        <f>IF(+NFL!$F308="Cleveland",+NFL!E308,IF(+NFL!$H308="Cleveland",+NFL!E308,0))</f>
        <v>CBS</v>
      </c>
      <c r="F151" s="127" t="str">
        <f>IF(+NFL!$F308="Cleveland",+NFL!F308,IF(+NFL!$H308="Cleveland",+NFL!F308,0))</f>
        <v>Cleveland</v>
      </c>
      <c r="G151" s="46" t="str">
        <f>IF(+NFL!$F308="Cleveland",+NFL!G308,IF(+NFL!$H308="Cleveland",+NFL!G308,0))</f>
        <v>AFCN</v>
      </c>
      <c r="H151" s="127" t="str">
        <f>IF(+NFL!$F308="Cleveland",+NFL!H308,IF(+NFL!$H308="Cleveland",+NFL!H308,0))</f>
        <v>Washington</v>
      </c>
      <c r="I151" s="46" t="str">
        <f>IF(+NFL!$F308="Cleveland",+NFL!I308,IF(+NFL!$H308="Cleveland",+NFL!I308,0))</f>
        <v>NFCE</v>
      </c>
      <c r="J151" s="353" t="str">
        <f>IF(+NFL!$F308="Cleveland",+NFL!J308,IF(+NFL!$H308="Cleveland",+NFL!J308,0))</f>
        <v>Washington</v>
      </c>
      <c r="K151" s="494" t="str">
        <f>IF(+NFL!$F308="Cleveland",+NFL!K308,IF(+NFL!$H308="Cleveland",+NFL!K308,0))</f>
        <v>Cleveland</v>
      </c>
      <c r="L151" s="384">
        <f>IF(+NFL!$F308="Cleveland",+NFL!L308,IF(+NFL!$H308="Cleveland",+NFL!L308,0))</f>
        <v>1.5</v>
      </c>
      <c r="M151" s="385">
        <f>IF(+NFL!$F308="Cleveland",+NFL!M308,IF(+NFL!$H308="Cleveland",+NFL!M308,0))</f>
        <v>41.5</v>
      </c>
      <c r="N151" s="394" t="str">
        <f>IF(+NFL!$F308="Cleveland",+NFL!N308,IF(+NFL!$H308="Cleveland",+NFL!N308,0))</f>
        <v>Cleveland</v>
      </c>
      <c r="O151" s="395">
        <f>IF(+NFL!$F308="Cleveland",+NFL!O308,IF(+NFL!$H308="Cleveland",+NFL!O308,0))</f>
        <v>24</v>
      </c>
      <c r="P151" s="394" t="str">
        <f>IF(+NFL!$F308="Cleveland",+NFL!P308,IF(+NFL!$H308="Cleveland",+NFL!P308,0))</f>
        <v>Washington</v>
      </c>
      <c r="Q151" s="396">
        <f>IF(+NFL!$F308="Cleveland",+NFL!Q308,IF(+NFL!$H308="Cleveland",+NFL!Q308,0))</f>
        <v>10</v>
      </c>
      <c r="R151" s="397" t="str">
        <f>IF(+NFL!$F308="Cleveland",+NFL!R308,IF(+NFL!$H308="Cleveland",+NFL!R308,0))</f>
        <v>Cleveland</v>
      </c>
      <c r="S151" s="396" t="str">
        <f>IF(+NFL!$F308="Cleveland",+NFL!S308,IF(+NFL!$H308="Cleveland",+NFL!S308,0))</f>
        <v>Washington</v>
      </c>
      <c r="T151" s="398">
        <f>IF(+NFL!$F308="Cleveland",+NFL!T308,IF(+NFL!$H308="Cleveland",+NFL!T308,0))</f>
        <v>0</v>
      </c>
      <c r="U151" s="396" t="str">
        <f>IF(+NFL!$F308="Cleveland",+NFL!U308,IF(+NFL!$H308="Cleveland",+NFL!U308,0))</f>
        <v>L</v>
      </c>
      <c r="V151" s="397">
        <f>IF(+NFL!$F245="Cleveland",+NFL!#REF!,IF(+NFL!$H245="Cleveland",+NFL!#REF!,0))</f>
        <v>0</v>
      </c>
      <c r="W151" s="396">
        <f>IF(+NFL!$F245="Cleveland",+NFL!#REF!,IF(+NFL!$H245="Cleveland",+NFL!#REF!,0))</f>
        <v>0</v>
      </c>
      <c r="X151" s="398">
        <f>IF(+NFL!$F245="Cleveland",+NFL!#REF!,IF(+NFL!$H245="Cleveland",+NFL!#REF!,0))</f>
        <v>0</v>
      </c>
      <c r="Y151" s="396">
        <f>IF(+NFL!$F245="Cleveland",+NFL!#REF!,IF(+NFL!$H245="Cleveland",+NFL!#REF!,0))</f>
        <v>0</v>
      </c>
      <c r="Z151" s="397">
        <f>IF(+NFL!$F245="Cleveland",+NFL!#REF!,IF(+NFL!$H245="Cleveland",+NFL!#REF!,0))</f>
        <v>0</v>
      </c>
      <c r="AA151" s="396">
        <f>IF(+NFL!$F245="Cleveland",+NFL!#REF!,IF(+NFL!$H245="Cleveland",+NFL!#REF!,0))</f>
        <v>0</v>
      </c>
      <c r="AB151" s="87">
        <f>IF(+NFL!$F245="Cleveland",+NFL!#REF!,IF(+NFL!$H245="Cleveland",+NFL!#REF!,0))</f>
        <v>0</v>
      </c>
      <c r="AC151" s="120">
        <f>IF(+NFL!$F245="Cleveland",+NFL!#REF!,IF(+NFL!$H245="Cleveland",+NFL!#REF!,0))</f>
        <v>0</v>
      </c>
      <c r="AD151" s="353">
        <f>IF(+NFL!$F245="Cleveland",+NFL!#REF!,IF(+NFL!$H245="Cleveland",+NFL!#REF!,0))</f>
        <v>0</v>
      </c>
      <c r="AE151" s="379">
        <f>IF(+NFL!$F245="Cleveland",+NFL!#REF!,IF(+NFL!$H245="Cleveland",+NFL!#REF!,0))</f>
        <v>0</v>
      </c>
      <c r="AF151" s="353">
        <f>IF(+NFL!$F245="Cleveland",+NFL!#REF!,IF(+NFL!$H245="Cleveland",+NFL!#REF!,0))</f>
        <v>0</v>
      </c>
      <c r="AG151" s="379">
        <f>IF(+NFL!$F245="Cleveland",+NFL!#REF!,IF(+NFL!$H245="Cleveland",+NFL!#REF!,0))</f>
        <v>0</v>
      </c>
      <c r="AH151" s="387">
        <f>IF(+NFL!$F245="Cleveland",+NFL!#REF!,IF(+NFL!$H245="Cleveland",+NFL!#REF!,0))</f>
        <v>0</v>
      </c>
      <c r="AI151" s="379">
        <f>IF(+NFL!$F245="Cleveland",+NFL!#REF!,IF(+NFL!$H245="Cleveland",+NFL!#REF!,0))</f>
        <v>0</v>
      </c>
      <c r="AJ151" s="387">
        <f>IF(+NFL!$F245="Cleveland",+NFL!#REF!,IF(+NFL!$H245="Cleveland",+NFL!#REF!,0))</f>
        <v>0</v>
      </c>
      <c r="AK151" s="379">
        <f>IF(+NFL!$F245="Cleveland",+NFL!#REF!,IF(+NFL!$H245="Cleveland",+NFL!#REF!,0))</f>
        <v>0</v>
      </c>
      <c r="AL151" s="68">
        <f>IF(+NFL!$F245="Cleveland",+NFL!#REF!,IF(+NFL!$H245="Cleveland",+NFL!#REF!,0))</f>
        <v>0</v>
      </c>
      <c r="AM151" s="58">
        <f>IF(+NFL!$F245="Cleveland",+NFL!#REF!,IF(+NFL!$H245="Cleveland",+NFL!#REF!,0))</f>
        <v>0</v>
      </c>
      <c r="AN151" s="57">
        <f>IF(+NFL!$F245="Cleveland",+NFL!#REF!,IF(+NFL!$H245="Cleveland",+NFL!#REF!,0))</f>
        <v>0</v>
      </c>
      <c r="AO151" s="59">
        <f>IF(+NFL!$F245="Cleveland",+NFL!#REF!,IF(+NFL!$H245="Cleveland",+NFL!#REF!,0))</f>
        <v>0</v>
      </c>
      <c r="AP151" s="348">
        <f>IF(+NFL!$F245="Cleveland",+NFL!#REF!,IF(+NFL!$H245="Cleveland",+NFL!#REF!,0))</f>
        <v>0</v>
      </c>
      <c r="AQ151" s="48">
        <f>IF(+NFL!$F245="Cleveland",+NFL!#REF!,IF(+NFL!$H245="Cleveland",+NFL!#REF!,0))</f>
        <v>0</v>
      </c>
      <c r="AR151" s="57">
        <f>IF(+NFL!$F245="Cleveland",+NFL!#REF!,IF(+NFL!$H245="Cleveland",+NFL!#REF!,0))</f>
        <v>0</v>
      </c>
      <c r="AS151" s="64">
        <f>IF(+NFL!$F245="Cleveland",+NFL!#REF!,IF(+NFL!$H245="Cleveland",+NFL!#REF!,0))</f>
        <v>0</v>
      </c>
      <c r="AT151" s="64">
        <f>IF(+NFL!$F245="Cleveland",+NFL!#REF!,IF(+NFL!$H245="Cleveland",+NFL!#REF!,0))</f>
        <v>0</v>
      </c>
      <c r="AU151" s="57">
        <f>IF(+NFL!$F245="Cleveland",+NFL!#REF!,IF(+NFL!$H245="Cleveland",+NFL!#REF!,0))</f>
        <v>0</v>
      </c>
      <c r="AV151" s="64">
        <f>IF(+NFL!$F245="Cleveland",+NFL!#REF!,IF(+NFL!$H245="Cleveland",+NFL!#REF!,0))</f>
        <v>0</v>
      </c>
      <c r="AW151" s="46">
        <f>IF(+NFL!$F245="Cleveland",+NFL!#REF!,IF(+NFL!$H245="Cleveland",+NFL!#REF!,0))</f>
        <v>0</v>
      </c>
      <c r="AX151" s="64">
        <f>IF(+NFL!$F245="Cleveland",+NFL!#REF!,IF(+NFL!$H245="Cleveland",+NFL!#REF!,0))</f>
        <v>0</v>
      </c>
      <c r="AY151" s="57">
        <f>IF(+NFL!$F245="Cleveland",+NFL!#REF!,IF(+NFL!$H245="Cleveland",+NFL!#REF!,0))</f>
        <v>0</v>
      </c>
      <c r="AZ151" s="64">
        <f>IF(+NFL!$F245="Cleveland",+NFL!#REF!,IF(+NFL!$H245="Cleveland",+NFL!#REF!,0))</f>
        <v>0</v>
      </c>
      <c r="BA151" s="46">
        <f>IF(+NFL!$F245="Cleveland",+NFL!#REF!,IF(+NFL!$H245="Cleveland",+NFL!#REF!,0))</f>
        <v>0</v>
      </c>
      <c r="BB151" s="46">
        <f>IF(+NFL!$F245="Cleveland",+NFL!#REF!,IF(+NFL!$H245="Cleveland",+NFL!#REF!,0))</f>
        <v>0</v>
      </c>
      <c r="BC151" s="403">
        <f>IF(+NFL!$F245="Cleveland",+NFL!#REF!,IF(+NFL!$H245="Cleveland",+NFL!#REF!,0))</f>
        <v>0</v>
      </c>
      <c r="BD151" s="57">
        <f>IF(+NFL!$F245="Cleveland",+NFL!#REF!,IF(+NFL!$H245="Cleveland",+NFL!#REF!,0))</f>
        <v>0</v>
      </c>
      <c r="BE151" s="64">
        <f>IF(+NFL!$F245="Cleveland",+NFL!#REF!,IF(+NFL!$H245="Cleveland",+NFL!#REF!,0))</f>
        <v>0</v>
      </c>
      <c r="BF151" s="46">
        <f>IF(+NFL!$F245="Cleveland",+NFL!#REF!,IF(+NFL!$H245="Cleveland",+NFL!#REF!,0))</f>
        <v>0</v>
      </c>
      <c r="BG151" s="57">
        <f>IF(+NFL!$F245="Cleveland",+NFL!#REF!,IF(+NFL!$H245="Cleveland",+NFL!#REF!,0))</f>
        <v>0</v>
      </c>
      <c r="BH151" s="64">
        <f>IF(+NFL!$F245="Cleveland",+NFL!#REF!,IF(+NFL!$H245="Cleveland",+NFL!#REF!,0))</f>
        <v>0</v>
      </c>
      <c r="BI151" s="46">
        <f>IF(+NFL!$F245="Cleveland",+NFL!#REF!,IF(+NFL!$H245="Cleveland",+NFL!#REF!,0))</f>
        <v>0</v>
      </c>
      <c r="BJ151" s="87">
        <f>IF(+NFL!$F245="Cleveland",+NFL!#REF!,IF(+NFL!$H245="Cleveland",+NFL!#REF!,0))</f>
        <v>0</v>
      </c>
      <c r="BK151" s="120">
        <f>IF(+NFL!$F245="Cleveland",+NFL!#REF!,IF(+NFL!$H245="Cleveland",+NFL!#REF!,0))</f>
        <v>0</v>
      </c>
    </row>
    <row r="152" spans="1:63" x14ac:dyDescent="0.8">
      <c r="A152" s="46">
        <f>IF(+NFL!$F327="Cleveland",+NFL!A327,IF(+NFL!$H327="Cleveland",+NFL!A327,0))</f>
        <v>0</v>
      </c>
      <c r="B152" s="348">
        <f>IF(+NFL!$F327="Cleveland",+NFL!B327,IF(+NFL!$H327="Cleveland",+NFL!B327,0))</f>
        <v>0</v>
      </c>
      <c r="C152" s="48">
        <f>IF(+NFL!$F327="Cleveland",+NFL!C327,IF(+NFL!$H327="Cleveland",+NFL!C327,0))</f>
        <v>0</v>
      </c>
      <c r="D152" s="490">
        <f>IF(+NFL!$F327="Cleveland",+NFL!D327,IF(+NFL!$H327="Cleveland",+NFL!D327,0))</f>
        <v>0</v>
      </c>
      <c r="E152" s="46">
        <f>IF(+NFL!$F327="Cleveland",+NFL!E327,IF(+NFL!$H327="Cleveland",+NFL!E327,0))</f>
        <v>0</v>
      </c>
      <c r="F152" s="127">
        <f>IF(+NFL!$F327="Cleveland",+NFL!F327,IF(+NFL!$H327="Cleveland",+NFL!F327,0))</f>
        <v>0</v>
      </c>
      <c r="G152" s="46">
        <f>IF(+NFL!$F327="Cleveland",+NFL!G327,IF(+NFL!$H327="Cleveland",+NFL!G327,0))</f>
        <v>0</v>
      </c>
      <c r="H152" s="127">
        <f>IF(+NFL!$F327="Cleveland",+NFL!H327,IF(+NFL!$H327="Cleveland",+NFL!H327,0))</f>
        <v>0</v>
      </c>
      <c r="I152" s="46">
        <f>IF(+NFL!$F327="Cleveland",+NFL!I327,IF(+NFL!$H327="Cleveland",+NFL!I327,0))</f>
        <v>0</v>
      </c>
      <c r="J152" s="353">
        <f>IF(+NFL!$F327="Cleveland",+NFL!J327,IF(+NFL!$H327="Cleveland",+NFL!J327,0))</f>
        <v>0</v>
      </c>
      <c r="K152" s="494">
        <f>IF(+NFL!$F327="Cleveland",+NFL!K327,IF(+NFL!$H327="Cleveland",+NFL!K327,0))</f>
        <v>0</v>
      </c>
      <c r="L152" s="384">
        <f>IF(+NFL!$F327="Cleveland",+NFL!L327,IF(+NFL!$H327="Cleveland",+NFL!L327,0))</f>
        <v>0</v>
      </c>
      <c r="M152" s="385">
        <f>IF(+NFL!$F327="Cleveland",+NFL!M327,IF(+NFL!$H327="Cleveland",+NFL!M327,0))</f>
        <v>0</v>
      </c>
      <c r="N152" s="394">
        <f>IF(+NFL!$F327="Cleveland",+NFL!N327,IF(+NFL!$H327="Cleveland",+NFL!N327,0))</f>
        <v>0</v>
      </c>
      <c r="O152" s="395">
        <f>IF(+NFL!$F327="Cleveland",+NFL!O327,IF(+NFL!$H327="Cleveland",+NFL!O327,0))</f>
        <v>0</v>
      </c>
      <c r="P152" s="394">
        <f>IF(+NFL!$F327="Cleveland",+NFL!P327,IF(+NFL!$H327="Cleveland",+NFL!P327,0))</f>
        <v>0</v>
      </c>
      <c r="Q152" s="396">
        <f>IF(+NFL!$F327="Cleveland",+NFL!Q327,IF(+NFL!$H327="Cleveland",+NFL!Q327,0))</f>
        <v>0</v>
      </c>
      <c r="R152" s="397">
        <f>IF(+NFL!$F327="Cleveland",+NFL!R327,IF(+NFL!$H327="Cleveland",+NFL!R327,0))</f>
        <v>0</v>
      </c>
      <c r="S152" s="396">
        <f>IF(+NFL!$F327="Cleveland",+NFL!S327,IF(+NFL!$H327="Cleveland",+NFL!S327,0))</f>
        <v>0</v>
      </c>
      <c r="T152" s="398">
        <f>IF(+NFL!$F327="Cleveland",+NFL!T327,IF(+NFL!$H327="Cleveland",+NFL!T327,0))</f>
        <v>0</v>
      </c>
      <c r="U152" s="396">
        <f>IF(+NFL!$F327="Cleveland",+NFL!U327,IF(+NFL!$H327="Cleveland",+NFL!U327,0))</f>
        <v>0</v>
      </c>
      <c r="V152" s="397">
        <f>IF(+NFL!$F278="Cleveland",+NFL!#REF!,IF(+NFL!$H278="Cleveland",+NFL!#REF!,0))</f>
        <v>0</v>
      </c>
      <c r="W152" s="396">
        <f>IF(+NFL!$F278="Cleveland",+NFL!#REF!,IF(+NFL!$H278="Cleveland",+NFL!#REF!,0))</f>
        <v>0</v>
      </c>
      <c r="X152" s="398">
        <f>IF(+NFL!$F278="Cleveland",+NFL!#REF!,IF(+NFL!$H278="Cleveland",+NFL!#REF!,0))</f>
        <v>0</v>
      </c>
      <c r="Y152" s="396">
        <f>IF(+NFL!$F278="Cleveland",+NFL!#REF!,IF(+NFL!$H278="Cleveland",+NFL!#REF!,0))</f>
        <v>0</v>
      </c>
      <c r="Z152" s="397">
        <f>IF(+NFL!$F278="Cleveland",+NFL!#REF!,IF(+NFL!$H278="Cleveland",+NFL!#REF!,0))</f>
        <v>0</v>
      </c>
      <c r="AA152" s="396">
        <f>IF(+NFL!$F278="Cleveland",+NFL!#REF!,IF(+NFL!$H278="Cleveland",+NFL!#REF!,0))</f>
        <v>0</v>
      </c>
      <c r="AB152" s="87">
        <f>IF(+NFL!$F278="Cleveland",+NFL!#REF!,IF(+NFL!$H278="Cleveland",+NFL!#REF!,0))</f>
        <v>0</v>
      </c>
      <c r="AC152" s="120">
        <f>IF(+NFL!$F278="Cleveland",+NFL!#REF!,IF(+NFL!$H278="Cleveland",+NFL!#REF!,0))</f>
        <v>0</v>
      </c>
      <c r="AD152" s="353">
        <f>IF(+NFL!$F278="Cleveland",+NFL!#REF!,IF(+NFL!$H278="Cleveland",+NFL!#REF!,0))</f>
        <v>0</v>
      </c>
      <c r="AE152" s="379">
        <f>IF(+NFL!$F278="Cleveland",+NFL!#REF!,IF(+NFL!$H278="Cleveland",+NFL!#REF!,0))</f>
        <v>0</v>
      </c>
      <c r="AF152" s="353">
        <f>IF(+NFL!$F278="Cleveland",+NFL!#REF!,IF(+NFL!$H278="Cleveland",+NFL!#REF!,0))</f>
        <v>0</v>
      </c>
      <c r="AG152" s="379">
        <f>IF(+NFL!$F278="Cleveland",+NFL!#REF!,IF(+NFL!$H278="Cleveland",+NFL!#REF!,0))</f>
        <v>0</v>
      </c>
      <c r="AH152" s="387">
        <f>IF(+NFL!$F278="Cleveland",+NFL!#REF!,IF(+NFL!$H278="Cleveland",+NFL!#REF!,0))</f>
        <v>0</v>
      </c>
      <c r="AI152" s="379">
        <f>IF(+NFL!$F278="Cleveland",+NFL!#REF!,IF(+NFL!$H278="Cleveland",+NFL!#REF!,0))</f>
        <v>0</v>
      </c>
      <c r="AJ152" s="387">
        <f>IF(+NFL!$F278="Cleveland",+NFL!#REF!,IF(+NFL!$H278="Cleveland",+NFL!#REF!,0))</f>
        <v>0</v>
      </c>
      <c r="AK152" s="379">
        <f>IF(+NFL!$F278="Cleveland",+NFL!#REF!,IF(+NFL!$H278="Cleveland",+NFL!#REF!,0))</f>
        <v>0</v>
      </c>
      <c r="AL152" s="68">
        <f>IF(+NFL!$F278="Cleveland",+NFL!#REF!,IF(+NFL!$H278="Cleveland",+NFL!#REF!,0))</f>
        <v>0</v>
      </c>
      <c r="AM152" s="58">
        <f>IF(+NFL!$F278="Cleveland",+NFL!#REF!,IF(+NFL!$H278="Cleveland",+NFL!#REF!,0))</f>
        <v>0</v>
      </c>
      <c r="AN152" s="57">
        <f>IF(+NFL!$F278="Cleveland",+NFL!#REF!,IF(+NFL!$H278="Cleveland",+NFL!#REF!,0))</f>
        <v>0</v>
      </c>
      <c r="AO152" s="59">
        <f>IF(+NFL!$F278="Cleveland",+NFL!#REF!,IF(+NFL!$H278="Cleveland",+NFL!#REF!,0))</f>
        <v>0</v>
      </c>
      <c r="AP152" s="348">
        <f>IF(+NFL!$F278="Cleveland",+NFL!#REF!,IF(+NFL!$H278="Cleveland",+NFL!#REF!,0))</f>
        <v>0</v>
      </c>
      <c r="AQ152" s="48">
        <f>IF(+NFL!$F278="Cleveland",+NFL!#REF!,IF(+NFL!$H278="Cleveland",+NFL!#REF!,0))</f>
        <v>0</v>
      </c>
      <c r="AR152" s="57">
        <f>IF(+NFL!$F278="Cleveland",+NFL!#REF!,IF(+NFL!$H278="Cleveland",+NFL!#REF!,0))</f>
        <v>0</v>
      </c>
      <c r="AS152" s="64">
        <f>IF(+NFL!$F278="Cleveland",+NFL!#REF!,IF(+NFL!$H278="Cleveland",+NFL!#REF!,0))</f>
        <v>0</v>
      </c>
      <c r="AT152" s="64">
        <f>IF(+NFL!$F278="Cleveland",+NFL!#REF!,IF(+NFL!$H278="Cleveland",+NFL!#REF!,0))</f>
        <v>0</v>
      </c>
      <c r="AU152" s="57">
        <f>IF(+NFL!$F278="Cleveland",+NFL!#REF!,IF(+NFL!$H278="Cleveland",+NFL!#REF!,0))</f>
        <v>0</v>
      </c>
      <c r="AV152" s="64">
        <f>IF(+NFL!$F278="Cleveland",+NFL!#REF!,IF(+NFL!$H278="Cleveland",+NFL!#REF!,0))</f>
        <v>0</v>
      </c>
      <c r="AW152" s="46">
        <f>IF(+NFL!$F278="Cleveland",+NFL!#REF!,IF(+NFL!$H278="Cleveland",+NFL!#REF!,0))</f>
        <v>0</v>
      </c>
      <c r="AX152" s="64">
        <f>IF(+NFL!$F278="Cleveland",+NFL!#REF!,IF(+NFL!$H278="Cleveland",+NFL!#REF!,0))</f>
        <v>0</v>
      </c>
      <c r="AY152" s="57">
        <f>IF(+NFL!$F278="Cleveland",+NFL!#REF!,IF(+NFL!$H278="Cleveland",+NFL!#REF!,0))</f>
        <v>0</v>
      </c>
      <c r="AZ152" s="64">
        <f>IF(+NFL!$F278="Cleveland",+NFL!#REF!,IF(+NFL!$H278="Cleveland",+NFL!#REF!,0))</f>
        <v>0</v>
      </c>
      <c r="BA152" s="46">
        <f>IF(+NFL!$F278="Cleveland",+NFL!#REF!,IF(+NFL!$H278="Cleveland",+NFL!#REF!,0))</f>
        <v>0</v>
      </c>
      <c r="BB152" s="46">
        <f>IF(+NFL!$F278="Cleveland",+NFL!#REF!,IF(+NFL!$H278="Cleveland",+NFL!#REF!,0))</f>
        <v>0</v>
      </c>
      <c r="BC152" s="403">
        <f>IF(+NFL!$F278="Cleveland",+NFL!#REF!,IF(+NFL!$H278="Cleveland",+NFL!#REF!,0))</f>
        <v>0</v>
      </c>
      <c r="BD152" s="57">
        <f>IF(+NFL!$F278="Cleveland",+NFL!#REF!,IF(+NFL!$H278="Cleveland",+NFL!#REF!,0))</f>
        <v>0</v>
      </c>
      <c r="BE152" s="64">
        <f>IF(+NFL!$F278="Cleveland",+NFL!#REF!,IF(+NFL!$H278="Cleveland",+NFL!#REF!,0))</f>
        <v>0</v>
      </c>
      <c r="BF152" s="46">
        <f>IF(+NFL!$F278="Cleveland",+NFL!#REF!,IF(+NFL!$H278="Cleveland",+NFL!#REF!,0))</f>
        <v>0</v>
      </c>
      <c r="BG152" s="57">
        <f>IF(+NFL!$F278="Cleveland",+NFL!#REF!,IF(+NFL!$H278="Cleveland",+NFL!#REF!,0))</f>
        <v>0</v>
      </c>
      <c r="BH152" s="64">
        <f>IF(+NFL!$F278="Cleveland",+NFL!#REF!,IF(+NFL!$H278="Cleveland",+NFL!#REF!,0))</f>
        <v>0</v>
      </c>
      <c r="BI152" s="46">
        <f>IF(+NFL!$F278="Cleveland",+NFL!#REF!,IF(+NFL!$H278="Cleveland",+NFL!#REF!,0))</f>
        <v>0</v>
      </c>
      <c r="BJ152" s="87">
        <f>IF(+NFL!$F278="Cleveland",+NFL!#REF!,IF(+NFL!$H278="Cleveland",+NFL!#REF!,0))</f>
        <v>0</v>
      </c>
      <c r="BK152" s="120">
        <f>IF(+NFL!$F278="Cleveland",+NFL!#REF!,IF(+NFL!$H278="Cleveland",+NFL!#REF!,0))</f>
        <v>0</v>
      </c>
    </row>
    <row r="153" spans="1:63" x14ac:dyDescent="0.8">
      <c r="B153" s="348"/>
      <c r="F153" s="959" t="str">
        <f>H154</f>
        <v>Dallas</v>
      </c>
      <c r="G153" s="960"/>
      <c r="H153" s="960"/>
      <c r="I153" s="961"/>
      <c r="L153" s="384"/>
      <c r="M153" s="385"/>
      <c r="N153" s="394"/>
      <c r="P153" s="394"/>
      <c r="R153" s="397"/>
      <c r="S153" s="396"/>
      <c r="T153" s="398"/>
      <c r="X153" s="398"/>
      <c r="AL153" s="69"/>
      <c r="AN153" s="70"/>
      <c r="AP153" s="348"/>
      <c r="AQ153" s="348"/>
      <c r="AY153" s="57"/>
      <c r="AZ153" s="64"/>
      <c r="BA153" s="46"/>
      <c r="BB153" s="46"/>
      <c r="BC153" s="348"/>
      <c r="BF153" s="46"/>
    </row>
    <row r="154" spans="1:63" x14ac:dyDescent="0.8">
      <c r="A154" s="46">
        <f>IF(+NFL!$F18="Dallas",+NFL!A18,IF(+NFL!$H18="Dallas",+NFL!A18,0))</f>
        <v>1</v>
      </c>
      <c r="B154" s="348" t="str">
        <f>IF(+NFL!$F18="Dallas",+NFL!B18,IF(+NFL!$H18="Dallas",+NFL!B18,0))</f>
        <v>Sun</v>
      </c>
      <c r="C154" s="48">
        <f>IF(+NFL!$F18="Dallas",+NFL!C18,IF(+NFL!$H18="Dallas",+NFL!C18,0))</f>
        <v>44815</v>
      </c>
      <c r="D154" s="490">
        <f>IF(+NFL!$F18="Dallas",+NFL!D18,IF(+NFL!$H18="Dallas",+NFL!D18,0))</f>
        <v>0.84375</v>
      </c>
      <c r="E154" s="46" t="str">
        <f>IF(+NFL!$F18="Dallas",+NFL!E18,IF(+NFL!$H18="Dallas",+NFL!E18,0))</f>
        <v>NBC</v>
      </c>
      <c r="F154" s="127" t="str">
        <f>IF(+NFL!$F18="Dallas",+NFL!F18,IF(+NFL!$H18="Dallas",+NFL!F18,0))</f>
        <v>Tampa Bay</v>
      </c>
      <c r="G154" s="46" t="str">
        <f>IF(+NFL!$F18="Dallas",+NFL!G18,IF(+NFL!$H18="Dallas",+NFL!G18,0))</f>
        <v>NFCS</v>
      </c>
      <c r="H154" s="127" t="str">
        <f>IF(+NFL!$F18="Dallas",+NFL!H18,IF(+NFL!$H18="Dallas",+NFL!H18,0))</f>
        <v>Dallas</v>
      </c>
      <c r="I154" s="46" t="str">
        <f>IF(+NFL!$F18="Dallas",+NFL!I18,IF(+NFL!$H18="Dallas",+NFL!I18,0))</f>
        <v>NFCE</v>
      </c>
      <c r="J154" s="353" t="str">
        <f>IF(+NFL!$F18="Dallas",+NFL!J18,IF(+NFL!$H18="Dallas",+NFL!J18,0))</f>
        <v>Tampa Bay</v>
      </c>
      <c r="K154" s="494" t="str">
        <f>IF(+NFL!$F18="Dallas",+NFL!K18,IF(+NFL!$H18="Dallas",+NFL!K18,0))</f>
        <v>Dallas</v>
      </c>
      <c r="L154" s="384">
        <f>IF(+NFL!$F18="Dallas",+NFL!L18,IF(+NFL!$H18="Dallas",+NFL!L18,0))</f>
        <v>2.5</v>
      </c>
      <c r="M154" s="385">
        <f>IF(+NFL!$F18="Dallas",+NFL!M18,IF(+NFL!$H18="Dallas",+NFL!M18,0))</f>
        <v>51</v>
      </c>
      <c r="N154" s="394" t="str">
        <f>IF(+NFL!$F18="Dallas",+NFL!N18,IF(+NFL!$H18="Dallas",+NFL!N18,0))</f>
        <v>Tampa Bay</v>
      </c>
      <c r="O154" s="395">
        <f>IF(+NFL!$F18="Dallas",+NFL!O18,IF(+NFL!$H18="Dallas",+NFL!O18,0))</f>
        <v>19</v>
      </c>
      <c r="P154" s="394" t="str">
        <f>IF(+NFL!$F18="Dallas",+NFL!P18,IF(+NFL!$H18="Dallas",+NFL!P18,0))</f>
        <v>Dallas</v>
      </c>
      <c r="Q154" s="396">
        <f>IF(+NFL!$F18="Dallas",+NFL!Q18,IF(+NFL!$H18="Dallas",+NFL!Q18,0))</f>
        <v>3</v>
      </c>
      <c r="R154" s="397" t="str">
        <f>IF(+NFL!$F18="Dallas",+NFL!R18,IF(+NFL!$H18="Dallas",+NFL!R18,0))</f>
        <v>Tampa Bay</v>
      </c>
      <c r="S154" s="396" t="str">
        <f>IF(+NFL!$F18="Dallas",+NFL!S18,IF(+NFL!$H18="Dallas",+NFL!S18,0))</f>
        <v>Dallas</v>
      </c>
      <c r="T154" s="398" t="str">
        <f>IF(+NFL!$F18="Dallas",+NFL!T18,IF(+NFL!$H18="Dallas",+NFL!T18,0))</f>
        <v>Tampa Bay</v>
      </c>
      <c r="U154" s="396" t="str">
        <f>IF(+NFL!$F18="Dallas",+NFL!U18,IF(+NFL!$H18="Dallas",+NFL!U18,0))</f>
        <v>W</v>
      </c>
      <c r="X154" s="398"/>
      <c r="AL154" s="69"/>
      <c r="AN154" s="70"/>
      <c r="AP154" s="348"/>
      <c r="AQ154" s="48"/>
      <c r="AS154" s="493"/>
      <c r="AT154" s="493"/>
      <c r="AV154" s="493"/>
      <c r="AX154" s="493"/>
      <c r="AY154" s="57"/>
      <c r="AZ154" s="493"/>
      <c r="BA154" s="46"/>
      <c r="BB154" s="46"/>
      <c r="BC154" s="403"/>
      <c r="BE154" s="493"/>
      <c r="BF154" s="46"/>
      <c r="BH154" s="493"/>
    </row>
    <row r="155" spans="1:63" x14ac:dyDescent="0.8">
      <c r="A155" s="46">
        <f>IF(+NFL!$F31="Dallas",+NFL!A31,IF(+NFL!$H31="Dallas",+NFL!A31,0))</f>
        <v>2</v>
      </c>
      <c r="B155" s="348" t="str">
        <f>IF(+NFL!$F31="Dallas",+NFL!B31,IF(+NFL!$H31="Dallas",+NFL!B31,0))</f>
        <v>Sun</v>
      </c>
      <c r="C155" s="48">
        <f>IF(+NFL!$F31="Dallas",+NFL!C31,IF(+NFL!$H31="Dallas",+NFL!C31,0))</f>
        <v>44822</v>
      </c>
      <c r="D155" s="490">
        <f>IF(+NFL!$F31="Dallas",+NFL!D31,IF(+NFL!$H31="Dallas",+NFL!D31,0))</f>
        <v>0.66666666666666663</v>
      </c>
      <c r="E155" s="46" t="str">
        <f>IF(+NFL!$F31="Dallas",+NFL!E31,IF(+NFL!$H31="Dallas",+NFL!E31,0))</f>
        <v>CBS</v>
      </c>
      <c r="F155" s="127" t="str">
        <f>IF(+NFL!$F31="Dallas",+NFL!F31,IF(+NFL!$H31="Dallas",+NFL!F31,0))</f>
        <v>Cincinnati</v>
      </c>
      <c r="G155" s="46" t="str">
        <f>IF(+NFL!$F31="Dallas",+NFL!G31,IF(+NFL!$H31="Dallas",+NFL!G31,0))</f>
        <v>AFCN</v>
      </c>
      <c r="H155" s="127" t="str">
        <f>IF(+NFL!$F31="Dallas",+NFL!H31,IF(+NFL!$H31="Dallas",+NFL!H31,0))</f>
        <v>Dallas</v>
      </c>
      <c r="I155" s="46" t="str">
        <f>IF(+NFL!$F31="Dallas",+NFL!I31,IF(+NFL!$H31="Dallas",+NFL!I31,0))</f>
        <v>NFCE</v>
      </c>
      <c r="J155" s="353" t="str">
        <f>IF(+NFL!$F31="Dallas",+NFL!J31,IF(+NFL!$H31="Dallas",+NFL!J31,0))</f>
        <v>Cincinnati</v>
      </c>
      <c r="K155" s="494" t="str">
        <f>IF(+NFL!$F31="Dallas",+NFL!K31,IF(+NFL!$H31="Dallas",+NFL!K31,0))</f>
        <v>Dallas</v>
      </c>
      <c r="L155" s="384">
        <f>IF(+NFL!$F31="Dallas",+NFL!L31,IF(+NFL!$H31="Dallas",+NFL!L31,0))</f>
        <v>8</v>
      </c>
      <c r="M155" s="385">
        <f>IF(+NFL!$F31="Dallas",+NFL!M31,IF(+NFL!$H31="Dallas",+NFL!M31,0))</f>
        <v>42.5</v>
      </c>
      <c r="N155" s="394" t="str">
        <f>IF(+NFL!$F31="Dallas",+NFL!N31,IF(+NFL!$H31="Dallas",+NFL!N31,0))</f>
        <v>Dallas</v>
      </c>
      <c r="O155" s="395">
        <f>IF(+NFL!$F31="Dallas",+NFL!O31,IF(+NFL!$H31="Dallas",+NFL!O31,0))</f>
        <v>20</v>
      </c>
      <c r="P155" s="394" t="str">
        <f>IF(+NFL!$F31="Dallas",+NFL!P31,IF(+NFL!$H31="Dallas",+NFL!P31,0))</f>
        <v>Cincinnati</v>
      </c>
      <c r="Q155" s="396">
        <f>IF(+NFL!$F31="Dallas",+NFL!Q31,IF(+NFL!$H31="Dallas",+NFL!Q31,0))</f>
        <v>17</v>
      </c>
      <c r="R155" s="397" t="str">
        <f>IF(+NFL!$F31="Dallas",+NFL!R31,IF(+NFL!$H31="Dallas",+NFL!R31,0))</f>
        <v>Dallas</v>
      </c>
      <c r="S155" s="396" t="str">
        <f>IF(+NFL!$F31="Dallas",+NFL!S31,IF(+NFL!$H31="Dallas",+NFL!S31,0))</f>
        <v>Cincinnati</v>
      </c>
      <c r="T155" s="398" t="str">
        <f>IF(+NFL!$F31="Dallas",+NFL!T31,IF(+NFL!$H31="Dallas",+NFL!T31,0))</f>
        <v>Cincinnati</v>
      </c>
      <c r="U155" s="396" t="str">
        <f>IF(+NFL!$F31="Dallas",+NFL!U31,IF(+NFL!$H31="Dallas",+NFL!U31,0))</f>
        <v>L</v>
      </c>
      <c r="X155" s="398"/>
      <c r="AL155" s="69"/>
      <c r="AN155" s="70"/>
      <c r="AP155" s="348"/>
      <c r="AQ155" s="48"/>
      <c r="AY155" s="57"/>
      <c r="AZ155" s="64"/>
      <c r="BA155" s="46"/>
      <c r="BB155" s="46"/>
      <c r="BC155" s="403"/>
      <c r="BF155" s="46"/>
    </row>
    <row r="156" spans="1:63" x14ac:dyDescent="0.8">
      <c r="A156" s="46">
        <f>IF(+NFL!$F53="Dallas",+NFL!A53,IF(+NFL!$H53="Dallas",+NFL!A53,0))</f>
        <v>3</v>
      </c>
      <c r="B156" s="348" t="str">
        <f>IF(+NFL!$F53="Dallas",+NFL!B53,IF(+NFL!$H53="Dallas",+NFL!B53,0))</f>
        <v>Mon</v>
      </c>
      <c r="C156" s="48">
        <f>IF(+NFL!$F53="Dallas",+NFL!C53,IF(+NFL!$H53="Dallas",+NFL!C53,0))</f>
        <v>44830</v>
      </c>
      <c r="D156" s="490">
        <f>IF(+NFL!$F53="Dallas",+NFL!D53,IF(+NFL!$H53="Dallas",+NFL!D53,0))</f>
        <v>0.84375</v>
      </c>
      <c r="E156" s="46" t="str">
        <f>IF(+NFL!$F53="Dallas",+NFL!E53,IF(+NFL!$H53="Dallas",+NFL!E53,0))</f>
        <v>ABC</v>
      </c>
      <c r="F156" s="127" t="str">
        <f>IF(+NFL!$F53="Dallas",+NFL!F53,IF(+NFL!$H53="Dallas",+NFL!F53,0))</f>
        <v>Dallas</v>
      </c>
      <c r="G156" s="46" t="str">
        <f>IF(+NFL!$F53="Dallas",+NFL!G53,IF(+NFL!$H53="Dallas",+NFL!G53,0))</f>
        <v>NFCE</v>
      </c>
      <c r="H156" s="127" t="str">
        <f>IF(+NFL!$F53="Dallas",+NFL!H53,IF(+NFL!$H53="Dallas",+NFL!H53,0))</f>
        <v>NY Giants</v>
      </c>
      <c r="I156" s="46" t="str">
        <f>IF(+NFL!$F53="Dallas",+NFL!I53,IF(+NFL!$H53="Dallas",+NFL!I53,0))</f>
        <v>NFCE</v>
      </c>
      <c r="J156" s="353" t="str">
        <f>IF(+NFL!$F53="Dallas",+NFL!J53,IF(+NFL!$H53="Dallas",+NFL!J53,0))</f>
        <v>NY Giants</v>
      </c>
      <c r="K156" s="494" t="str">
        <f>IF(+NFL!$F53="Dallas",+NFL!K53,IF(+NFL!$H53="Dallas",+NFL!K53,0))</f>
        <v>Dallas</v>
      </c>
      <c r="L156" s="384">
        <f>IF(+NFL!$F53="Dallas",+NFL!L53,IF(+NFL!$H53="Dallas",+NFL!L53,0))</f>
        <v>2.5</v>
      </c>
      <c r="M156" s="385">
        <f>IF(+NFL!$F53="Dallas",+NFL!M53,IF(+NFL!$H53="Dallas",+NFL!M53,0))</f>
        <v>39</v>
      </c>
      <c r="N156" s="394" t="str">
        <f>IF(+NFL!$F53="Dallas",+NFL!N53,IF(+NFL!$H53="Dallas",+NFL!N53,0))</f>
        <v>Dallas</v>
      </c>
      <c r="O156" s="395">
        <f>IF(+NFL!$F53="Dallas",+NFL!O53,IF(+NFL!$H53="Dallas",+NFL!O53,0))</f>
        <v>23</v>
      </c>
      <c r="P156" s="394" t="str">
        <f>IF(+NFL!$F53="Dallas",+NFL!P53,IF(+NFL!$H53="Dallas",+NFL!P53,0))</f>
        <v>NY Giants</v>
      </c>
      <c r="Q156" s="396">
        <f>IF(+NFL!$F53="Dallas",+NFL!Q53,IF(+NFL!$H53="Dallas",+NFL!Q53,0))</f>
        <v>16</v>
      </c>
      <c r="R156" s="397" t="str">
        <f>IF(+NFL!$F53="Dallas",+NFL!R53,IF(+NFL!$H53="Dallas",+NFL!R53,0))</f>
        <v>Dallas</v>
      </c>
      <c r="S156" s="396" t="str">
        <f>IF(+NFL!$F53="Dallas",+NFL!S53,IF(+NFL!$H53="Dallas",+NFL!S53,0))</f>
        <v>NY Giants</v>
      </c>
      <c r="T156" s="398" t="str">
        <f>IF(+NFL!$F53="Dallas",+NFL!T53,IF(+NFL!$H53="Dallas",+NFL!T53,0))</f>
        <v>NY Giants</v>
      </c>
      <c r="U156" s="396" t="str">
        <f>IF(+NFL!$F53="Dallas",+NFL!U53,IF(+NFL!$H53="Dallas",+NFL!U53,0))</f>
        <v>L</v>
      </c>
      <c r="V156" s="397">
        <f>IF(+NFL!$F35="Dallas",+NFL!#REF!,IF(+NFL!$H35="Dallas",+NFL!#REF!,0))</f>
        <v>0</v>
      </c>
      <c r="W156" s="396">
        <f>IF(+NFL!$F35="Dallas",+NFL!#REF!,IF(+NFL!$H35="Dallas",+NFL!#REF!,0))</f>
        <v>0</v>
      </c>
      <c r="X156" s="398">
        <f>IF(+NFL!$F35="Dallas",+NFL!#REF!,IF(+NFL!$H35="Dallas",+NFL!#REF!,0))</f>
        <v>0</v>
      </c>
      <c r="Y156" s="396">
        <f>IF(+NFL!$F35="Dallas",+NFL!#REF!,IF(+NFL!$H35="Dallas",+NFL!#REF!,0))</f>
        <v>0</v>
      </c>
      <c r="Z156" s="397">
        <f>IF(+NFL!$F35="Dallas",+NFL!#REF!,IF(+NFL!$H35="Dallas",+NFL!#REF!,0))</f>
        <v>0</v>
      </c>
      <c r="AA156" s="396">
        <f>IF(+NFL!$F35="Dallas",+NFL!#REF!,IF(+NFL!$H35="Dallas",+NFL!#REF!,0))</f>
        <v>0</v>
      </c>
      <c r="AB156" s="87">
        <f>IF(+NFL!$F35="Dallas",+NFL!#REF!,IF(+NFL!$H35="Dallas",+NFL!#REF!,0))</f>
        <v>0</v>
      </c>
      <c r="AC156" s="120">
        <f>IF(+NFL!$F35="Dallas",+NFL!#REF!,IF(+NFL!$H35="Dallas",+NFL!#REF!,0))</f>
        <v>0</v>
      </c>
      <c r="AD156" s="353">
        <f>IF(+NFL!$F35="Dallas",+NFL!#REF!,IF(+NFL!$H35="Dallas",+NFL!#REF!,0))</f>
        <v>0</v>
      </c>
      <c r="AE156" s="379">
        <f>IF(+NFL!$F35="Dallas",+NFL!#REF!,IF(+NFL!$H35="Dallas",+NFL!#REF!,0))</f>
        <v>0</v>
      </c>
      <c r="AF156" s="353">
        <f>IF(+NFL!$F35="Dallas",+NFL!#REF!,IF(+NFL!$H35="Dallas",+NFL!#REF!,0))</f>
        <v>0</v>
      </c>
      <c r="AG156" s="379">
        <f>IF(+NFL!$F35="Dallas",+NFL!#REF!,IF(+NFL!$H35="Dallas",+NFL!#REF!,0))</f>
        <v>0</v>
      </c>
      <c r="AH156" s="353">
        <f>IF(+NFL!$F35="Dallas",+NFL!#REF!,IF(+NFL!$H35="Dallas",+NFL!#REF!,0))</f>
        <v>0</v>
      </c>
      <c r="AI156" s="379">
        <f>IF(+NFL!$F35="Dallas",+NFL!#REF!,IF(+NFL!$H35="Dallas",+NFL!#REF!,0))</f>
        <v>0</v>
      </c>
      <c r="AJ156" s="353">
        <f>IF(+NFL!$F35="Dallas",+NFL!#REF!,IF(+NFL!$H35="Dallas",+NFL!#REF!,0))</f>
        <v>0</v>
      </c>
      <c r="AK156" s="379">
        <f>IF(+NFL!$F35="Dallas",+NFL!#REF!,IF(+NFL!$H35="Dallas",+NFL!#REF!,0))</f>
        <v>0</v>
      </c>
      <c r="AL156" s="69">
        <f>IF(+NFL!$F35="Dallas",+NFL!#REF!,IF(+NFL!$H35="Dallas",+NFL!#REF!,0))</f>
        <v>0</v>
      </c>
      <c r="AM156" s="58">
        <f>IF(+NFL!$F35="Dallas",+NFL!#REF!,IF(+NFL!$H35="Dallas",+NFL!#REF!,0))</f>
        <v>0</v>
      </c>
      <c r="AN156" s="70">
        <f>IF(+NFL!$F35="Dallas",+NFL!#REF!,IF(+NFL!$H35="Dallas",+NFL!#REF!,0))</f>
        <v>0</v>
      </c>
      <c r="AO156" s="59">
        <f>IF(+NFL!$F35="Dallas",+NFL!#REF!,IF(+NFL!$H35="Dallas",+NFL!#REF!,0))</f>
        <v>0</v>
      </c>
      <c r="AP156" s="348">
        <f>IF(+NFL!$F35="Dallas",+NFL!#REF!,IF(+NFL!$H35="Dallas",+NFL!#REF!,0))</f>
        <v>0</v>
      </c>
      <c r="AQ156" s="48">
        <f>IF(+NFL!$F35="Dallas",+NFL!#REF!,IF(+NFL!$H35="Dallas",+NFL!#REF!,0))</f>
        <v>0</v>
      </c>
      <c r="AR156" s="57">
        <f>IF(+NFL!$F35="Dallas",+NFL!#REF!,IF(+NFL!$H35="Dallas",+NFL!#REF!,0))</f>
        <v>0</v>
      </c>
      <c r="AS156" s="64">
        <f>IF(+NFL!$F35="Dallas",+NFL!#REF!,IF(+NFL!$H35="Dallas",+NFL!#REF!,0))</f>
        <v>0</v>
      </c>
      <c r="AT156" s="64">
        <f>IF(+NFL!$F35="Dallas",+NFL!#REF!,IF(+NFL!$H35="Dallas",+NFL!#REF!,0))</f>
        <v>0</v>
      </c>
      <c r="AU156" s="57">
        <f>IF(+NFL!$F35="Dallas",+NFL!#REF!,IF(+NFL!$H35="Dallas",+NFL!#REF!,0))</f>
        <v>0</v>
      </c>
      <c r="AV156" s="64">
        <f>IF(+NFL!$F35="Dallas",+NFL!#REF!,IF(+NFL!$H35="Dallas",+NFL!#REF!,0))</f>
        <v>0</v>
      </c>
      <c r="AW156" s="46">
        <f>IF(+NFL!$F35="Dallas",+NFL!#REF!,IF(+NFL!$H35="Dallas",+NFL!#REF!,0))</f>
        <v>0</v>
      </c>
      <c r="AX156" s="64">
        <f>IF(+NFL!$F35="Dallas",+NFL!#REF!,IF(+NFL!$H35="Dallas",+NFL!#REF!,0))</f>
        <v>0</v>
      </c>
      <c r="AY156" s="57">
        <f>IF(+NFL!$F35="Dallas",+NFL!#REF!,IF(+NFL!$H35="Dallas",+NFL!#REF!,0))</f>
        <v>0</v>
      </c>
      <c r="AZ156" s="64">
        <f>IF(+NFL!$F35="Dallas",+NFL!#REF!,IF(+NFL!$H35="Dallas",+NFL!#REF!,0))</f>
        <v>0</v>
      </c>
      <c r="BA156" s="46">
        <f>IF(+NFL!$F35="Dallas",+NFL!#REF!,IF(+NFL!$H35="Dallas",+NFL!#REF!,0))</f>
        <v>0</v>
      </c>
      <c r="BB156" s="46">
        <f>IF(+NFL!$F35="Dallas",+NFL!#REF!,IF(+NFL!$H35="Dallas",+NFL!#REF!,0))</f>
        <v>0</v>
      </c>
      <c r="BC156" s="403">
        <f>IF(+NFL!$F35="Dallas",+NFL!#REF!,IF(+NFL!$H35="Dallas",+NFL!#REF!,0))</f>
        <v>0</v>
      </c>
      <c r="BD156" s="57">
        <f>IF(+NFL!$F35="Dallas",+NFL!#REF!,IF(+NFL!$H35="Dallas",+NFL!#REF!,0))</f>
        <v>0</v>
      </c>
      <c r="BE156" s="64">
        <f>IF(+NFL!$F35="Dallas",+NFL!#REF!,IF(+NFL!$H35="Dallas",+NFL!#REF!,0))</f>
        <v>0</v>
      </c>
      <c r="BF156" s="46">
        <f>IF(+NFL!$F35="Dallas",+NFL!#REF!,IF(+NFL!$H35="Dallas",+NFL!#REF!,0))</f>
        <v>0</v>
      </c>
      <c r="BG156" s="57">
        <f>IF(+NFL!$F35="Dallas",+NFL!#REF!,IF(+NFL!$H35="Dallas",+NFL!#REF!,0))</f>
        <v>0</v>
      </c>
      <c r="BH156" s="64">
        <f>IF(+NFL!$F35="Dallas",+NFL!#REF!,IF(+NFL!$H35="Dallas",+NFL!#REF!,0))</f>
        <v>0</v>
      </c>
      <c r="BI156" s="46">
        <f>IF(+NFL!$F35="Dallas",+NFL!#REF!,IF(+NFL!$H35="Dallas",+NFL!#REF!,0))</f>
        <v>0</v>
      </c>
      <c r="BJ156" s="87">
        <f>IF(+NFL!$F35="Dallas",+NFL!#REF!,IF(+NFL!$H35="Dallas",+NFL!#REF!,0))</f>
        <v>0</v>
      </c>
      <c r="BK156" s="120">
        <f>IF(+NFL!$F35="Dallas",+NFL!#REF!,IF(+NFL!$H35="Dallas",+NFL!#REF!,0))</f>
        <v>0</v>
      </c>
    </row>
    <row r="157" spans="1:63" x14ac:dyDescent="0.8">
      <c r="A157" s="46">
        <f>IF(+NFL!$F58="Dallas",+NFL!A58,IF(+NFL!$H58="Dallas",+NFL!A58,0))</f>
        <v>4</v>
      </c>
      <c r="B157" s="348" t="str">
        <f>IF(+NFL!$F58="Dallas",+NFL!B58,IF(+NFL!$H58="Dallas",+NFL!B58,0))</f>
        <v>Sun</v>
      </c>
      <c r="C157" s="48">
        <f>IF(+NFL!$F58="Dallas",+NFL!C58,IF(+NFL!$H58="Dallas",+NFL!C58,0))</f>
        <v>44836</v>
      </c>
      <c r="D157" s="490">
        <f>IF(+NFL!$F58="Dallas",+NFL!D58,IF(+NFL!$H58="Dallas",+NFL!D58,0))</f>
        <v>0.54166666666666663</v>
      </c>
      <c r="E157" s="46" t="str">
        <f>IF(+NFL!$F58="Dallas",+NFL!E58,IF(+NFL!$H58="Dallas",+NFL!E58,0))</f>
        <v>Fox</v>
      </c>
      <c r="F157" s="127" t="str">
        <f>IF(+NFL!$F58="Dallas",+NFL!F58,IF(+NFL!$H58="Dallas",+NFL!F58,0))</f>
        <v>Washington</v>
      </c>
      <c r="G157" s="46" t="str">
        <f>IF(+NFL!$F58="Dallas",+NFL!G58,IF(+NFL!$H58="Dallas",+NFL!G58,0))</f>
        <v>NFCE</v>
      </c>
      <c r="H157" s="127" t="str">
        <f>IF(+NFL!$F58="Dallas",+NFL!H58,IF(+NFL!$H58="Dallas",+NFL!H58,0))</f>
        <v>Dallas</v>
      </c>
      <c r="I157" s="46" t="str">
        <f>IF(+NFL!$F58="Dallas",+NFL!I58,IF(+NFL!$H58="Dallas",+NFL!I58,0))</f>
        <v>NFCE</v>
      </c>
      <c r="J157" s="353" t="str">
        <f>IF(+NFL!$F58="Dallas",+NFL!J58,IF(+NFL!$H58="Dallas",+NFL!J58,0))</f>
        <v>Dallas</v>
      </c>
      <c r="K157" s="494" t="str">
        <f>IF(+NFL!$F58="Dallas",+NFL!K58,IF(+NFL!$H58="Dallas",+NFL!K58,0))</f>
        <v>Washington</v>
      </c>
      <c r="L157" s="384">
        <f>IF(+NFL!$F58="Dallas",+NFL!L58,IF(+NFL!$H58="Dallas",+NFL!L58,0))</f>
        <v>3</v>
      </c>
      <c r="M157" s="385">
        <f>IF(+NFL!$F58="Dallas",+NFL!M58,IF(+NFL!$H58="Dallas",+NFL!M58,0))</f>
        <v>42.5</v>
      </c>
      <c r="N157" s="394" t="str">
        <f>IF(+NFL!$F58="Dallas",+NFL!N58,IF(+NFL!$H58="Dallas",+NFL!N58,0))</f>
        <v>Dallas</v>
      </c>
      <c r="O157" s="395">
        <f>IF(+NFL!$F58="Dallas",+NFL!O58,IF(+NFL!$H58="Dallas",+NFL!O58,0))</f>
        <v>25</v>
      </c>
      <c r="P157" s="394" t="str">
        <f>IF(+NFL!$F58="Dallas",+NFL!P58,IF(+NFL!$H58="Dallas",+NFL!P58,0))</f>
        <v>Washington</v>
      </c>
      <c r="Q157" s="396">
        <f>IF(+NFL!$F58="Dallas",+NFL!Q58,IF(+NFL!$H58="Dallas",+NFL!Q58,0))</f>
        <v>10</v>
      </c>
      <c r="R157" s="397" t="str">
        <f>IF(+NFL!$F58="Dallas",+NFL!R58,IF(+NFL!$H58="Dallas",+NFL!R58,0))</f>
        <v>Dallas</v>
      </c>
      <c r="S157" s="396" t="str">
        <f>IF(+NFL!$F58="Dallas",+NFL!S58,IF(+NFL!$H58="Dallas",+NFL!S58,0))</f>
        <v>Washington</v>
      </c>
      <c r="T157" s="398" t="str">
        <f>IF(+NFL!$F58="Dallas",+NFL!T58,IF(+NFL!$H58="Dallas",+NFL!T58,0))</f>
        <v>Dallas</v>
      </c>
      <c r="U157" s="396" t="str">
        <f>IF(+NFL!$F58="Dallas",+NFL!U58,IF(+NFL!$H58="Dallas",+NFL!U58,0))</f>
        <v>W</v>
      </c>
      <c r="V157" s="397">
        <f>IF(+NFL!$F49="Dallas",+NFL!#REF!,IF(+NFL!$H49="Dallas",+NFL!#REF!,0))</f>
        <v>0</v>
      </c>
      <c r="W157" s="396">
        <f>IF(+NFL!$F49="Dallas",+NFL!#REF!,IF(+NFL!$H49="Dallas",+NFL!#REF!,0))</f>
        <v>0</v>
      </c>
      <c r="X157" s="398">
        <f>IF(+NFL!$F49="Dallas",+NFL!#REF!,IF(+NFL!$H49="Dallas",+NFL!#REF!,0))</f>
        <v>0</v>
      </c>
      <c r="Y157" s="396">
        <f>IF(+NFL!$F49="Dallas",+NFL!#REF!,IF(+NFL!$H49="Dallas",+NFL!#REF!,0))</f>
        <v>0</v>
      </c>
      <c r="Z157" s="397">
        <f>IF(+NFL!$F49="Dallas",+NFL!#REF!,IF(+NFL!$H49="Dallas",+NFL!#REF!,0))</f>
        <v>0</v>
      </c>
      <c r="AA157" s="396">
        <f>IF(+NFL!$F49="Dallas",+NFL!#REF!,IF(+NFL!$H49="Dallas",+NFL!#REF!,0))</f>
        <v>0</v>
      </c>
      <c r="AB157" s="87">
        <f>IF(+NFL!$F49="Dallas",+NFL!#REF!,IF(+NFL!$H49="Dallas",+NFL!#REF!,0))</f>
        <v>0</v>
      </c>
      <c r="AC157" s="120">
        <f>IF(+NFL!$F49="Dallas",+NFL!#REF!,IF(+NFL!$H49="Dallas",+NFL!#REF!,0))</f>
        <v>0</v>
      </c>
      <c r="AD157" s="353">
        <f>IF(+NFL!$F49="Dallas",+NFL!#REF!,IF(+NFL!$H49="Dallas",+NFL!#REF!,0))</f>
        <v>0</v>
      </c>
      <c r="AE157" s="379">
        <f>IF(+NFL!$F49="Dallas",+NFL!#REF!,IF(+NFL!$H49="Dallas",+NFL!#REF!,0))</f>
        <v>0</v>
      </c>
      <c r="AF157" s="353">
        <f>IF(+NFL!$F49="Dallas",+NFL!#REF!,IF(+NFL!$H49="Dallas",+NFL!#REF!,0))</f>
        <v>0</v>
      </c>
      <c r="AG157" s="379">
        <f>IF(+NFL!$F49="Dallas",+NFL!#REF!,IF(+NFL!$H49="Dallas",+NFL!#REF!,0))</f>
        <v>0</v>
      </c>
      <c r="AH157" s="353">
        <f>IF(+NFL!$F49="Dallas",+NFL!#REF!,IF(+NFL!$H49="Dallas",+NFL!#REF!,0))</f>
        <v>0</v>
      </c>
      <c r="AI157" s="379">
        <f>IF(+NFL!$F49="Dallas",+NFL!#REF!,IF(+NFL!$H49="Dallas",+NFL!#REF!,0))</f>
        <v>0</v>
      </c>
      <c r="AJ157" s="353">
        <f>IF(+NFL!$F49="Dallas",+NFL!#REF!,IF(+NFL!$H49="Dallas",+NFL!#REF!,0))</f>
        <v>0</v>
      </c>
      <c r="AK157" s="379">
        <f>IF(+NFL!$F49="Dallas",+NFL!#REF!,IF(+NFL!$H49="Dallas",+NFL!#REF!,0))</f>
        <v>0</v>
      </c>
      <c r="AL157" s="69">
        <f>IF(+NFL!$F49="Dallas",+NFL!#REF!,IF(+NFL!$H49="Dallas",+NFL!#REF!,0))</f>
        <v>0</v>
      </c>
      <c r="AM157" s="58">
        <f>IF(+NFL!$F49="Dallas",+NFL!#REF!,IF(+NFL!$H49="Dallas",+NFL!#REF!,0))</f>
        <v>0</v>
      </c>
      <c r="AN157" s="70">
        <f>IF(+NFL!$F49="Dallas",+NFL!#REF!,IF(+NFL!$H49="Dallas",+NFL!#REF!,0))</f>
        <v>0</v>
      </c>
      <c r="AO157" s="59">
        <f>IF(+NFL!$F49="Dallas",+NFL!#REF!,IF(+NFL!$H49="Dallas",+NFL!#REF!,0))</f>
        <v>0</v>
      </c>
      <c r="AP157" s="348">
        <f>IF(+NFL!$F49="Dallas",+NFL!#REF!,IF(+NFL!$H49="Dallas",+NFL!#REF!,0))</f>
        <v>0</v>
      </c>
      <c r="AQ157" s="48">
        <f>IF(+NFL!$F49="Dallas",+NFL!#REF!,IF(+NFL!$H49="Dallas",+NFL!#REF!,0))</f>
        <v>0</v>
      </c>
      <c r="AR157" s="57">
        <f>IF(+NFL!$F49="Dallas",+NFL!#REF!,IF(+NFL!$H49="Dallas",+NFL!#REF!,0))</f>
        <v>0</v>
      </c>
      <c r="AS157" s="64">
        <f>IF(+NFL!$F49="Dallas",+NFL!#REF!,IF(+NFL!$H49="Dallas",+NFL!#REF!,0))</f>
        <v>0</v>
      </c>
      <c r="AT157" s="64">
        <f>IF(+NFL!$F49="Dallas",+NFL!#REF!,IF(+NFL!$H49="Dallas",+NFL!#REF!,0))</f>
        <v>0</v>
      </c>
      <c r="AU157" s="57">
        <f>IF(+NFL!$F49="Dallas",+NFL!#REF!,IF(+NFL!$H49="Dallas",+NFL!#REF!,0))</f>
        <v>0</v>
      </c>
      <c r="AV157" s="64">
        <f>IF(+NFL!$F49="Dallas",+NFL!#REF!,IF(+NFL!$H49="Dallas",+NFL!#REF!,0))</f>
        <v>0</v>
      </c>
      <c r="AW157" s="46">
        <f>IF(+NFL!$F49="Dallas",+NFL!#REF!,IF(+NFL!$H49="Dallas",+NFL!#REF!,0))</f>
        <v>0</v>
      </c>
      <c r="AX157" s="64">
        <f>IF(+NFL!$F49="Dallas",+NFL!#REF!,IF(+NFL!$H49="Dallas",+NFL!#REF!,0))</f>
        <v>0</v>
      </c>
      <c r="AY157" s="57">
        <f>IF(+NFL!$F49="Dallas",+NFL!#REF!,IF(+NFL!$H49="Dallas",+NFL!#REF!,0))</f>
        <v>0</v>
      </c>
      <c r="AZ157" s="64">
        <f>IF(+NFL!$F49="Dallas",+NFL!#REF!,IF(+NFL!$H49="Dallas",+NFL!#REF!,0))</f>
        <v>0</v>
      </c>
      <c r="BA157" s="46">
        <f>IF(+NFL!$F49="Dallas",+NFL!#REF!,IF(+NFL!$H49="Dallas",+NFL!#REF!,0))</f>
        <v>0</v>
      </c>
      <c r="BB157" s="46">
        <f>IF(+NFL!$F49="Dallas",+NFL!#REF!,IF(+NFL!$H49="Dallas",+NFL!#REF!,0))</f>
        <v>0</v>
      </c>
      <c r="BC157" s="403">
        <f>IF(+NFL!$F49="Dallas",+NFL!#REF!,IF(+NFL!$H49="Dallas",+NFL!#REF!,0))</f>
        <v>0</v>
      </c>
      <c r="BD157" s="57">
        <f>IF(+NFL!$F49="Dallas",+NFL!#REF!,IF(+NFL!$H49="Dallas",+NFL!#REF!,0))</f>
        <v>0</v>
      </c>
      <c r="BE157" s="64">
        <f>IF(+NFL!$F49="Dallas",+NFL!#REF!,IF(+NFL!$H49="Dallas",+NFL!#REF!,0))</f>
        <v>0</v>
      </c>
      <c r="BF157" s="46">
        <f>IF(+NFL!$F49="Dallas",+NFL!#REF!,IF(+NFL!$H49="Dallas",+NFL!#REF!,0))</f>
        <v>0</v>
      </c>
      <c r="BG157" s="57">
        <f>IF(+NFL!$F49="Dallas",+NFL!#REF!,IF(+NFL!$H49="Dallas",+NFL!#REF!,0))</f>
        <v>0</v>
      </c>
      <c r="BH157" s="64">
        <f>IF(+NFL!$F49="Dallas",+NFL!#REF!,IF(+NFL!$H49="Dallas",+NFL!#REF!,0))</f>
        <v>0</v>
      </c>
      <c r="BI157" s="46">
        <f>IF(+NFL!$F49="Dallas",+NFL!#REF!,IF(+NFL!$H49="Dallas",+NFL!#REF!,0))</f>
        <v>0</v>
      </c>
      <c r="BJ157" s="87">
        <f>IF(+NFL!$F49="Dallas",+NFL!#REF!,IF(+NFL!$H49="Dallas",+NFL!#REF!,0))</f>
        <v>0</v>
      </c>
      <c r="BK157" s="120">
        <f>IF(+NFL!$F49="Dallas",+NFL!#REF!,IF(+NFL!$H49="Dallas",+NFL!#REF!,0))</f>
        <v>0</v>
      </c>
    </row>
    <row r="158" spans="1:63" x14ac:dyDescent="0.8">
      <c r="A158" s="46">
        <f>IF(+NFL!$F84="Dallas",+NFL!A84,IF(+NFL!$H84="Dallas",+NFL!A84,0))</f>
        <v>5</v>
      </c>
      <c r="B158" s="348" t="str">
        <f>IF(+NFL!$F84="Dallas",+NFL!B84,IF(+NFL!$H84="Dallas",+NFL!B84,0))</f>
        <v>Sun</v>
      </c>
      <c r="C158" s="48">
        <f>IF(+NFL!$F84="Dallas",+NFL!C84,IF(+NFL!$H84="Dallas",+NFL!C84,0))</f>
        <v>44843</v>
      </c>
      <c r="D158" s="490">
        <f>IF(+NFL!$F84="Dallas",+NFL!D84,IF(+NFL!$H84="Dallas",+NFL!D84,0))</f>
        <v>0.66666666666666663</v>
      </c>
      <c r="E158" s="46" t="str">
        <f>IF(+NFL!$F84="Dallas",+NFL!E84,IF(+NFL!$H84="Dallas",+NFL!E84,0))</f>
        <v>Fox</v>
      </c>
      <c r="F158" s="127" t="str">
        <f>IF(+NFL!$F84="Dallas",+NFL!F84,IF(+NFL!$H84="Dallas",+NFL!F84,0))</f>
        <v>Dallas</v>
      </c>
      <c r="G158" s="46" t="str">
        <f>IF(+NFL!$F84="Dallas",+NFL!G84,IF(+NFL!$H84="Dallas",+NFL!G84,0))</f>
        <v>NFCE</v>
      </c>
      <c r="H158" s="127" t="str">
        <f>IF(+NFL!$F84="Dallas",+NFL!H84,IF(+NFL!$H84="Dallas",+NFL!H84,0))</f>
        <v>LA Rams</v>
      </c>
      <c r="I158" s="46" t="str">
        <f>IF(+NFL!$F84="Dallas",+NFL!I84,IF(+NFL!$H84="Dallas",+NFL!I84,0))</f>
        <v>NFCW</v>
      </c>
      <c r="J158" s="353" t="str">
        <f>IF(+NFL!$F84="Dallas",+NFL!J84,IF(+NFL!$H84="Dallas",+NFL!J84,0))</f>
        <v>LA Rams</v>
      </c>
      <c r="K158" s="494" t="str">
        <f>IF(+NFL!$F84="Dallas",+NFL!K84,IF(+NFL!$H84="Dallas",+NFL!K84,0))</f>
        <v>Dallas</v>
      </c>
      <c r="L158" s="384">
        <f>IF(+NFL!$F84="Dallas",+NFL!L84,IF(+NFL!$H84="Dallas",+NFL!L84,0))</f>
        <v>4.5</v>
      </c>
      <c r="M158" s="385">
        <f>IF(+NFL!$F84="Dallas",+NFL!M84,IF(+NFL!$H84="Dallas",+NFL!M84,0))</f>
        <v>43</v>
      </c>
      <c r="N158" s="394" t="str">
        <f>IF(+NFL!$F84="Dallas",+NFL!N84,IF(+NFL!$H84="Dallas",+NFL!N84,0))</f>
        <v>Dallas</v>
      </c>
      <c r="O158" s="395">
        <f>IF(+NFL!$F84="Dallas",+NFL!O84,IF(+NFL!$H84="Dallas",+NFL!O84,0))</f>
        <v>22</v>
      </c>
      <c r="P158" s="394" t="str">
        <f>IF(+NFL!$F84="Dallas",+NFL!P84,IF(+NFL!$H84="Dallas",+NFL!P84,0))</f>
        <v>LA Rams</v>
      </c>
      <c r="Q158" s="396">
        <f>IF(+NFL!$F84="Dallas",+NFL!Q84,IF(+NFL!$H84="Dallas",+NFL!Q84,0))</f>
        <v>10</v>
      </c>
      <c r="R158" s="397" t="str">
        <f>IF(+NFL!$F84="Dallas",+NFL!R84,IF(+NFL!$H84="Dallas",+NFL!R84,0))</f>
        <v>Dallas</v>
      </c>
      <c r="S158" s="396" t="str">
        <f>IF(+NFL!$F84="Dallas",+NFL!S84,IF(+NFL!$H84="Dallas",+NFL!S84,0))</f>
        <v>LA Rams</v>
      </c>
      <c r="T158" s="398" t="str">
        <f>IF(+NFL!$F84="Dallas",+NFL!T84,IF(+NFL!$H84="Dallas",+NFL!T84,0))</f>
        <v>Dallas</v>
      </c>
      <c r="U158" s="396" t="str">
        <f>IF(+NFL!$F84="Dallas",+NFL!U84,IF(+NFL!$H84="Dallas",+NFL!U84,0))</f>
        <v>W</v>
      </c>
      <c r="V158" s="397">
        <f>IF(+NFL!$F83="Dallas",+NFL!#REF!,IF(+NFL!$H83="Dallas",+NFL!#REF!,0))</f>
        <v>0</v>
      </c>
      <c r="W158" s="396">
        <f>IF(+NFL!$F83="Dallas",+NFL!#REF!,IF(+NFL!$H83="Dallas",+NFL!#REF!,0))</f>
        <v>0</v>
      </c>
      <c r="X158" s="398">
        <f>IF(+NFL!$F83="Dallas",+NFL!#REF!,IF(+NFL!$H83="Dallas",+NFL!#REF!,0))</f>
        <v>0</v>
      </c>
      <c r="Y158" s="396">
        <f>IF(+NFL!$F83="Dallas",+NFL!#REF!,IF(+NFL!$H83="Dallas",+NFL!#REF!,0))</f>
        <v>0</v>
      </c>
      <c r="Z158" s="397">
        <f>IF(+NFL!$F83="Dallas",+NFL!#REF!,IF(+NFL!$H83="Dallas",+NFL!#REF!,0))</f>
        <v>0</v>
      </c>
      <c r="AA158" s="396">
        <f>IF(+NFL!$F83="Dallas",+NFL!#REF!,IF(+NFL!$H83="Dallas",+NFL!#REF!,0))</f>
        <v>0</v>
      </c>
      <c r="AB158" s="87">
        <f>IF(+NFL!$F83="Dallas",+NFL!#REF!,IF(+NFL!$H83="Dallas",+NFL!#REF!,0))</f>
        <v>0</v>
      </c>
      <c r="AC158" s="120">
        <f>IF(+NFL!$F83="Dallas",+NFL!#REF!,IF(+NFL!$H83="Dallas",+NFL!#REF!,0))</f>
        <v>0</v>
      </c>
      <c r="AD158" s="353">
        <f>IF(+NFL!$F83="Dallas",+NFL!#REF!,IF(+NFL!$H83="Dallas",+NFL!#REF!,0))</f>
        <v>0</v>
      </c>
      <c r="AE158" s="379">
        <f>IF(+NFL!$F83="Dallas",+NFL!#REF!,IF(+NFL!$H83="Dallas",+NFL!#REF!,0))</f>
        <v>0</v>
      </c>
      <c r="AF158" s="353">
        <f>IF(+NFL!$F83="Dallas",+NFL!#REF!,IF(+NFL!$H83="Dallas",+NFL!#REF!,0))</f>
        <v>0</v>
      </c>
      <c r="AG158" s="379">
        <f>IF(+NFL!$F83="Dallas",+NFL!#REF!,IF(+NFL!$H83="Dallas",+NFL!#REF!,0))</f>
        <v>0</v>
      </c>
      <c r="AH158" s="353">
        <f>IF(+NFL!$F83="Dallas",+NFL!#REF!,IF(+NFL!$H83="Dallas",+NFL!#REF!,0))</f>
        <v>0</v>
      </c>
      <c r="AI158" s="379">
        <f>IF(+NFL!$F83="Dallas",+NFL!#REF!,IF(+NFL!$H83="Dallas",+NFL!#REF!,0))</f>
        <v>0</v>
      </c>
      <c r="AJ158" s="353">
        <f>IF(+NFL!$F83="Dallas",+NFL!#REF!,IF(+NFL!$H83="Dallas",+NFL!#REF!,0))</f>
        <v>0</v>
      </c>
      <c r="AK158" s="379">
        <f>IF(+NFL!$F83="Dallas",+NFL!#REF!,IF(+NFL!$H83="Dallas",+NFL!#REF!,0))</f>
        <v>0</v>
      </c>
      <c r="AL158" s="69">
        <f>IF(+NFL!$F83="Dallas",+NFL!#REF!,IF(+NFL!$H83="Dallas",+NFL!#REF!,0))</f>
        <v>0</v>
      </c>
      <c r="AM158" s="58">
        <f>IF(+NFL!$F83="Dallas",+NFL!#REF!,IF(+NFL!$H83="Dallas",+NFL!#REF!,0))</f>
        <v>0</v>
      </c>
      <c r="AN158" s="70">
        <f>IF(+NFL!$F83="Dallas",+NFL!#REF!,IF(+NFL!$H83="Dallas",+NFL!#REF!,0))</f>
        <v>0</v>
      </c>
      <c r="AO158" s="59">
        <f>IF(+NFL!$F83="Dallas",+NFL!#REF!,IF(+NFL!$H83="Dallas",+NFL!#REF!,0))</f>
        <v>0</v>
      </c>
      <c r="AP158" s="348">
        <f>IF(+NFL!$F83="Dallas",+NFL!#REF!,IF(+NFL!$H83="Dallas",+NFL!#REF!,0))</f>
        <v>0</v>
      </c>
      <c r="AQ158" s="48">
        <f>IF(+NFL!$F83="Dallas",+NFL!#REF!,IF(+NFL!$H83="Dallas",+NFL!#REF!,0))</f>
        <v>0</v>
      </c>
      <c r="AR158" s="57">
        <f>IF(+NFL!$F83="Dallas",+NFL!#REF!,IF(+NFL!$H83="Dallas",+NFL!#REF!,0))</f>
        <v>0</v>
      </c>
      <c r="AS158" s="64">
        <f>IF(+NFL!$F83="Dallas",+NFL!#REF!,IF(+NFL!$H83="Dallas",+NFL!#REF!,0))</f>
        <v>0</v>
      </c>
      <c r="AT158" s="64">
        <f>IF(+NFL!$F83="Dallas",+NFL!#REF!,IF(+NFL!$H83="Dallas",+NFL!#REF!,0))</f>
        <v>0</v>
      </c>
      <c r="AU158" s="57">
        <f>IF(+NFL!$F83="Dallas",+NFL!#REF!,IF(+NFL!$H83="Dallas",+NFL!#REF!,0))</f>
        <v>0</v>
      </c>
      <c r="AV158" s="64">
        <f>IF(+NFL!$F83="Dallas",+NFL!#REF!,IF(+NFL!$H83="Dallas",+NFL!#REF!,0))</f>
        <v>0</v>
      </c>
      <c r="AW158" s="46">
        <f>IF(+NFL!$F83="Dallas",+NFL!#REF!,IF(+NFL!$H83="Dallas",+NFL!#REF!,0))</f>
        <v>0</v>
      </c>
      <c r="AX158" s="64">
        <f>IF(+NFL!$F83="Dallas",+NFL!#REF!,IF(+NFL!$H83="Dallas",+NFL!#REF!,0))</f>
        <v>0</v>
      </c>
      <c r="AY158" s="57">
        <f>IF(+NFL!$F83="Dallas",+NFL!#REF!,IF(+NFL!$H83="Dallas",+NFL!#REF!,0))</f>
        <v>0</v>
      </c>
      <c r="AZ158" s="64">
        <f>IF(+NFL!$F83="Dallas",+NFL!#REF!,IF(+NFL!$H83="Dallas",+NFL!#REF!,0))</f>
        <v>0</v>
      </c>
      <c r="BA158" s="46">
        <f>IF(+NFL!$F83="Dallas",+NFL!#REF!,IF(+NFL!$H83="Dallas",+NFL!#REF!,0))</f>
        <v>0</v>
      </c>
      <c r="BB158" s="46">
        <f>IF(+NFL!$F83="Dallas",+NFL!#REF!,IF(+NFL!$H83="Dallas",+NFL!#REF!,0))</f>
        <v>0</v>
      </c>
      <c r="BC158" s="403">
        <f>IF(+NFL!$F83="Dallas",+NFL!#REF!,IF(+NFL!$H83="Dallas",+NFL!#REF!,0))</f>
        <v>0</v>
      </c>
      <c r="BD158" s="57">
        <f>IF(+NFL!$F83="Dallas",+NFL!#REF!,IF(+NFL!$H83="Dallas",+NFL!#REF!,0))</f>
        <v>0</v>
      </c>
      <c r="BE158" s="64">
        <f>IF(+NFL!$F83="Dallas",+NFL!#REF!,IF(+NFL!$H83="Dallas",+NFL!#REF!,0))</f>
        <v>0</v>
      </c>
      <c r="BF158" s="46">
        <f>IF(+NFL!$F83="Dallas",+NFL!#REF!,IF(+NFL!$H83="Dallas",+NFL!#REF!,0))</f>
        <v>0</v>
      </c>
      <c r="BG158" s="57">
        <f>IF(+NFL!$F83="Dallas",+NFL!#REF!,IF(+NFL!$H83="Dallas",+NFL!#REF!,0))</f>
        <v>0</v>
      </c>
      <c r="BH158" s="64">
        <f>IF(+NFL!$F83="Dallas",+NFL!#REF!,IF(+NFL!$H83="Dallas",+NFL!#REF!,0))</f>
        <v>0</v>
      </c>
      <c r="BI158" s="46">
        <f>IF(+NFL!$F83="Dallas",+NFL!#REF!,IF(+NFL!$H83="Dallas",+NFL!#REF!,0))</f>
        <v>0</v>
      </c>
      <c r="BJ158" s="87">
        <f>IF(+NFL!$F83="Dallas",+NFL!#REF!,IF(+NFL!$H83="Dallas",+NFL!#REF!,0))</f>
        <v>0</v>
      </c>
      <c r="BK158" s="120">
        <f>IF(+NFL!$F83="Dallas",+NFL!#REF!,IF(+NFL!$H83="Dallas",+NFL!#REF!,0))</f>
        <v>0</v>
      </c>
    </row>
    <row r="159" spans="1:63" x14ac:dyDescent="0.8">
      <c r="A159" s="46">
        <f>IF(+NFL!$F101="Dallas",+NFL!A101,IF(+NFL!$H101="Dallas",+NFL!A101,0))</f>
        <v>6</v>
      </c>
      <c r="B159" s="348" t="str">
        <f>IF(+NFL!$F101="Dallas",+NFL!B101,IF(+NFL!$H101="Dallas",+NFL!B101,0))</f>
        <v>Sun</v>
      </c>
      <c r="C159" s="48">
        <f>IF(+NFL!$F101="Dallas",+NFL!C101,IF(+NFL!$H101="Dallas",+NFL!C101,0))</f>
        <v>44850</v>
      </c>
      <c r="D159" s="490">
        <f>IF(+NFL!$F101="Dallas",+NFL!D101,IF(+NFL!$H101="Dallas",+NFL!D101,0))</f>
        <v>0.84375</v>
      </c>
      <c r="E159" s="46" t="str">
        <f>IF(+NFL!$F101="Dallas",+NFL!E101,IF(+NFL!$H101="Dallas",+NFL!E101,0))</f>
        <v>NBC</v>
      </c>
      <c r="F159" s="127" t="str">
        <f>IF(+NFL!$F101="Dallas",+NFL!F101,IF(+NFL!$H101="Dallas",+NFL!F101,0))</f>
        <v>Dallas</v>
      </c>
      <c r="G159" s="46" t="str">
        <f>IF(+NFL!$F101="Dallas",+NFL!G101,IF(+NFL!$H101="Dallas",+NFL!G101,0))</f>
        <v>NFCE</v>
      </c>
      <c r="H159" s="127" t="str">
        <f>IF(+NFL!$F101="Dallas",+NFL!H101,IF(+NFL!$H101="Dallas",+NFL!H101,0))</f>
        <v>Philadelphia</v>
      </c>
      <c r="I159" s="46" t="str">
        <f>IF(+NFL!$F101="Dallas",+NFL!I101,IF(+NFL!$H101="Dallas",+NFL!I101,0))</f>
        <v>NFCE</v>
      </c>
      <c r="J159" s="353" t="str">
        <f>IF(+NFL!$F101="Dallas",+NFL!J101,IF(+NFL!$H101="Dallas",+NFL!J101,0))</f>
        <v>Philadelphia</v>
      </c>
      <c r="K159" s="494" t="str">
        <f>IF(+NFL!$F101="Dallas",+NFL!K101,IF(+NFL!$H101="Dallas",+NFL!K101,0))</f>
        <v>Dallas</v>
      </c>
      <c r="L159" s="384">
        <f>IF(+NFL!$F101="Dallas",+NFL!L101,IF(+NFL!$H101="Dallas",+NFL!L101,0))</f>
        <v>6.5</v>
      </c>
      <c r="M159" s="385">
        <f>IF(+NFL!$F101="Dallas",+NFL!M101,IF(+NFL!$H101="Dallas",+NFL!M101,0))</f>
        <v>42</v>
      </c>
      <c r="N159" s="394" t="str">
        <f>IF(+NFL!$F101="Dallas",+NFL!N101,IF(+NFL!$H101="Dallas",+NFL!N101,0))</f>
        <v>Philadelphia</v>
      </c>
      <c r="O159" s="395">
        <f>IF(+NFL!$F101="Dallas",+NFL!O101,IF(+NFL!$H101="Dallas",+NFL!O101,0))</f>
        <v>26</v>
      </c>
      <c r="P159" s="394" t="str">
        <f>IF(+NFL!$F101="Dallas",+NFL!P101,IF(+NFL!$H101="Dallas",+NFL!P101,0))</f>
        <v>Dallas</v>
      </c>
      <c r="Q159" s="396">
        <f>IF(+NFL!$F101="Dallas",+NFL!Q101,IF(+NFL!$H101="Dallas",+NFL!Q101,0))</f>
        <v>17</v>
      </c>
      <c r="R159" s="397" t="str">
        <f>IF(+NFL!$F101="Dallas",+NFL!R101,IF(+NFL!$H101="Dallas",+NFL!R101,0))</f>
        <v>Philadelphia</v>
      </c>
      <c r="S159" s="396" t="str">
        <f>IF(+NFL!$F101="Dallas",+NFL!S101,IF(+NFL!$H101="Dallas",+NFL!S101,0))</f>
        <v>Dallas</v>
      </c>
      <c r="T159" s="398" t="str">
        <f>IF(+NFL!$F101="Dallas",+NFL!T101,IF(+NFL!$H101="Dallas",+NFL!T101,0))</f>
        <v>Philadelphia</v>
      </c>
      <c r="U159" s="396" t="str">
        <f>IF(+NFL!$F101="Dallas",+NFL!U101,IF(+NFL!$H101="Dallas",+NFL!U101,0))</f>
        <v>W</v>
      </c>
      <c r="V159" s="397">
        <f>IF(+NFL!$F99="Dallas",+NFL!#REF!,IF(+NFL!$H99="Dallas",+NFL!#REF!,0))</f>
        <v>0</v>
      </c>
      <c r="W159" s="396">
        <f>IF(+NFL!$F99="Dallas",+NFL!#REF!,IF(+NFL!$H99="Dallas",+NFL!#REF!,0))</f>
        <v>0</v>
      </c>
      <c r="X159" s="398">
        <f>IF(+NFL!$F99="Dallas",+NFL!#REF!,IF(+NFL!$H99="Dallas",+NFL!#REF!,0))</f>
        <v>0</v>
      </c>
      <c r="Y159" s="396">
        <f>IF(+NFL!$F99="Dallas",+NFL!#REF!,IF(+NFL!$H99="Dallas",+NFL!#REF!,0))</f>
        <v>0</v>
      </c>
      <c r="Z159" s="397">
        <f>IF(+NFL!$F99="Dallas",+NFL!#REF!,IF(+NFL!$H99="Dallas",+NFL!#REF!,0))</f>
        <v>0</v>
      </c>
      <c r="AA159" s="396">
        <f>IF(+NFL!$F99="Dallas",+NFL!#REF!,IF(+NFL!$H99="Dallas",+NFL!#REF!,0))</f>
        <v>0</v>
      </c>
      <c r="AB159" s="87">
        <f>IF(+NFL!$F99="Dallas",+NFL!#REF!,IF(+NFL!$H99="Dallas",+NFL!#REF!,0))</f>
        <v>0</v>
      </c>
      <c r="AC159" s="120">
        <f>IF(+NFL!$F99="Dallas",+NFL!#REF!,IF(+NFL!$H99="Dallas",+NFL!#REF!,0))</f>
        <v>0</v>
      </c>
      <c r="AD159" s="353">
        <f>IF(+NFL!$F99="Dallas",+NFL!#REF!,IF(+NFL!$H99="Dallas",+NFL!#REF!,0))</f>
        <v>0</v>
      </c>
      <c r="AE159" s="379">
        <f>IF(+NFL!$F99="Dallas",+NFL!#REF!,IF(+NFL!$H99="Dallas",+NFL!#REF!,0))</f>
        <v>0</v>
      </c>
      <c r="AF159" s="353">
        <f>IF(+NFL!$F99="Dallas",+NFL!#REF!,IF(+NFL!$H99="Dallas",+NFL!#REF!,0))</f>
        <v>0</v>
      </c>
      <c r="AG159" s="379">
        <f>IF(+NFL!$F99="Dallas",+NFL!#REF!,IF(+NFL!$H99="Dallas",+NFL!#REF!,0))</f>
        <v>0</v>
      </c>
      <c r="AH159" s="353">
        <f>IF(+NFL!$F99="Dallas",+NFL!#REF!,IF(+NFL!$H99="Dallas",+NFL!#REF!,0))</f>
        <v>0</v>
      </c>
      <c r="AI159" s="379">
        <f>IF(+NFL!$F99="Dallas",+NFL!#REF!,IF(+NFL!$H99="Dallas",+NFL!#REF!,0))</f>
        <v>0</v>
      </c>
      <c r="AJ159" s="353">
        <f>IF(+NFL!$F99="Dallas",+NFL!#REF!,IF(+NFL!$H99="Dallas",+NFL!#REF!,0))</f>
        <v>0</v>
      </c>
      <c r="AK159" s="379">
        <f>IF(+NFL!$F99="Dallas",+NFL!#REF!,IF(+NFL!$H99="Dallas",+NFL!#REF!,0))</f>
        <v>0</v>
      </c>
      <c r="AL159" s="69">
        <f>IF(+NFL!$F99="Dallas",+NFL!#REF!,IF(+NFL!$H99="Dallas",+NFL!#REF!,0))</f>
        <v>0</v>
      </c>
      <c r="AM159" s="58">
        <f>IF(+NFL!$F99="Dallas",+NFL!#REF!,IF(+NFL!$H99="Dallas",+NFL!#REF!,0))</f>
        <v>0</v>
      </c>
      <c r="AN159" s="70">
        <f>IF(+NFL!$F99="Dallas",+NFL!#REF!,IF(+NFL!$H99="Dallas",+NFL!#REF!,0))</f>
        <v>0</v>
      </c>
      <c r="AO159" s="59">
        <f>IF(+NFL!$F99="Dallas",+NFL!#REF!,IF(+NFL!$H99="Dallas",+NFL!#REF!,0))</f>
        <v>0</v>
      </c>
      <c r="AP159" s="348">
        <f>IF(+NFL!$F99="Dallas",+NFL!#REF!,IF(+NFL!$H99="Dallas",+NFL!#REF!,0))</f>
        <v>0</v>
      </c>
      <c r="AQ159" s="48">
        <f>IF(+NFL!$F99="Dallas",+NFL!#REF!,IF(+NFL!$H99="Dallas",+NFL!#REF!,0))</f>
        <v>0</v>
      </c>
      <c r="AR159" s="57">
        <f>IF(+NFL!$F99="Dallas",+NFL!#REF!,IF(+NFL!$H99="Dallas",+NFL!#REF!,0))</f>
        <v>0</v>
      </c>
      <c r="AS159" s="64">
        <f>IF(+NFL!$F99="Dallas",+NFL!#REF!,IF(+NFL!$H99="Dallas",+NFL!#REF!,0))</f>
        <v>0</v>
      </c>
      <c r="AT159" s="64">
        <f>IF(+NFL!$F99="Dallas",+NFL!#REF!,IF(+NFL!$H99="Dallas",+NFL!#REF!,0))</f>
        <v>0</v>
      </c>
      <c r="AU159" s="57">
        <f>IF(+NFL!$F99="Dallas",+NFL!#REF!,IF(+NFL!$H99="Dallas",+NFL!#REF!,0))</f>
        <v>0</v>
      </c>
      <c r="AV159" s="64">
        <f>IF(+NFL!$F99="Dallas",+NFL!#REF!,IF(+NFL!$H99="Dallas",+NFL!#REF!,0))</f>
        <v>0</v>
      </c>
      <c r="AW159" s="46">
        <f>IF(+NFL!$F99="Dallas",+NFL!#REF!,IF(+NFL!$H99="Dallas",+NFL!#REF!,0))</f>
        <v>0</v>
      </c>
      <c r="AX159" s="64">
        <f>IF(+NFL!$F99="Dallas",+NFL!#REF!,IF(+NFL!$H99="Dallas",+NFL!#REF!,0))</f>
        <v>0</v>
      </c>
      <c r="AY159" s="57">
        <f>IF(+NFL!$F99="Dallas",+NFL!#REF!,IF(+NFL!$H99="Dallas",+NFL!#REF!,0))</f>
        <v>0</v>
      </c>
      <c r="AZ159" s="64">
        <f>IF(+NFL!$F99="Dallas",+NFL!#REF!,IF(+NFL!$H99="Dallas",+NFL!#REF!,0))</f>
        <v>0</v>
      </c>
      <c r="BA159" s="46">
        <f>IF(+NFL!$F99="Dallas",+NFL!#REF!,IF(+NFL!$H99="Dallas",+NFL!#REF!,0))</f>
        <v>0</v>
      </c>
      <c r="BB159" s="46">
        <f>IF(+NFL!$F99="Dallas",+NFL!#REF!,IF(+NFL!$H99="Dallas",+NFL!#REF!,0))</f>
        <v>0</v>
      </c>
      <c r="BC159" s="403">
        <f>IF(+NFL!$F99="Dallas",+NFL!#REF!,IF(+NFL!$H99="Dallas",+NFL!#REF!,0))</f>
        <v>0</v>
      </c>
      <c r="BD159" s="57">
        <f>IF(+NFL!$F99="Dallas",+NFL!#REF!,IF(+NFL!$H99="Dallas",+NFL!#REF!,0))</f>
        <v>0</v>
      </c>
      <c r="BE159" s="64">
        <f>IF(+NFL!$F99="Dallas",+NFL!#REF!,IF(+NFL!$H99="Dallas",+NFL!#REF!,0))</f>
        <v>0</v>
      </c>
      <c r="BF159" s="46">
        <f>IF(+NFL!$F99="Dallas",+NFL!#REF!,IF(+NFL!$H99="Dallas",+NFL!#REF!,0))</f>
        <v>0</v>
      </c>
      <c r="BG159" s="57">
        <f>IF(+NFL!$F99="Dallas",+NFL!#REF!,IF(+NFL!$H99="Dallas",+NFL!#REF!,0))</f>
        <v>0</v>
      </c>
      <c r="BH159" s="64">
        <f>IF(+NFL!$F99="Dallas",+NFL!#REF!,IF(+NFL!$H99="Dallas",+NFL!#REF!,0))</f>
        <v>0</v>
      </c>
      <c r="BI159" s="46">
        <f>IF(+NFL!$F99="Dallas",+NFL!#REF!,IF(+NFL!$H99="Dallas",+NFL!#REF!,0))</f>
        <v>0</v>
      </c>
      <c r="BJ159" s="87">
        <f>IF(+NFL!$F99="Dallas",+NFL!#REF!,IF(+NFL!$H99="Dallas",+NFL!#REF!,0))</f>
        <v>0</v>
      </c>
      <c r="BK159" s="120">
        <f>IF(+NFL!$F99="Dallas",+NFL!#REF!,IF(+NFL!$H99="Dallas",+NFL!#REF!,0))</f>
        <v>0</v>
      </c>
    </row>
    <row r="160" spans="1:63" x14ac:dyDescent="0.8">
      <c r="A160" s="46">
        <f>IF(+NFL!$F111="Dallas",+NFL!A111,IF(+NFL!$H111="Dallas",+NFL!A111,0))</f>
        <v>7</v>
      </c>
      <c r="B160" s="348" t="str">
        <f>IF(+NFL!$F111="Dallas",+NFL!B111,IF(+NFL!$H111="Dallas",+NFL!B111,0))</f>
        <v>Sun</v>
      </c>
      <c r="C160" s="48">
        <f>IF(+NFL!$F111="Dallas",+NFL!C111,IF(+NFL!$H111="Dallas",+NFL!C111,0))</f>
        <v>44857</v>
      </c>
      <c r="D160" s="490">
        <f>IF(+NFL!$F111="Dallas",+NFL!D111,IF(+NFL!$H111="Dallas",+NFL!D111,0))</f>
        <v>0.54166666666666663</v>
      </c>
      <c r="E160" s="46" t="str">
        <f>IF(+NFL!$F111="Dallas",+NFL!E111,IF(+NFL!$H111="Dallas",+NFL!E111,0))</f>
        <v>Fox</v>
      </c>
      <c r="F160" s="127" t="str">
        <f>IF(+NFL!$F111="Dallas",+NFL!F111,IF(+NFL!$H111="Dallas",+NFL!F111,0))</f>
        <v>Detroit</v>
      </c>
      <c r="G160" s="46" t="str">
        <f>IF(+NFL!$F111="Dallas",+NFL!G111,IF(+NFL!$H111="Dallas",+NFL!G111,0))</f>
        <v>NFCN</v>
      </c>
      <c r="H160" s="127" t="str">
        <f>IF(+NFL!$F111="Dallas",+NFL!H111,IF(+NFL!$H111="Dallas",+NFL!H111,0))</f>
        <v>Dallas</v>
      </c>
      <c r="I160" s="46" t="str">
        <f>IF(+NFL!$F111="Dallas",+NFL!I111,IF(+NFL!$H111="Dallas",+NFL!I111,0))</f>
        <v>NFCE</v>
      </c>
      <c r="J160" s="353" t="str">
        <f>IF(+NFL!$F111="Dallas",+NFL!J111,IF(+NFL!$H111="Dallas",+NFL!J111,0))</f>
        <v>Dallas</v>
      </c>
      <c r="K160" s="494" t="str">
        <f>IF(+NFL!$F111="Dallas",+NFL!K111,IF(+NFL!$H111="Dallas",+NFL!K111,0))</f>
        <v>Detroit</v>
      </c>
      <c r="L160" s="384">
        <f>IF(+NFL!$F111="Dallas",+NFL!L111,IF(+NFL!$H111="Dallas",+NFL!L111,0))</f>
        <v>7</v>
      </c>
      <c r="M160" s="385">
        <f>IF(+NFL!$F111="Dallas",+NFL!M111,IF(+NFL!$H111="Dallas",+NFL!M111,0))</f>
        <v>49</v>
      </c>
      <c r="N160" s="394" t="str">
        <f>IF(+NFL!$F111="Dallas",+NFL!N111,IF(+NFL!$H111="Dallas",+NFL!N111,0))</f>
        <v>Dallas</v>
      </c>
      <c r="O160" s="395">
        <f>IF(+NFL!$F111="Dallas",+NFL!O111,IF(+NFL!$H111="Dallas",+NFL!O111,0))</f>
        <v>24</v>
      </c>
      <c r="P160" s="394" t="str">
        <f>IF(+NFL!$F111="Dallas",+NFL!P111,IF(+NFL!$H111="Dallas",+NFL!P111,0))</f>
        <v>Detroit</v>
      </c>
      <c r="Q160" s="396">
        <f>IF(+NFL!$F111="Dallas",+NFL!Q111,IF(+NFL!$H111="Dallas",+NFL!Q111,0))</f>
        <v>6</v>
      </c>
      <c r="R160" s="397" t="str">
        <f>IF(+NFL!$F111="Dallas",+NFL!R111,IF(+NFL!$H111="Dallas",+NFL!R111,0))</f>
        <v>Dallas</v>
      </c>
      <c r="S160" s="396" t="str">
        <f>IF(+NFL!$F111="Dallas",+NFL!S111,IF(+NFL!$H111="Dallas",+NFL!S111,0))</f>
        <v>Detroit</v>
      </c>
      <c r="T160" s="398" t="str">
        <f>IF(+NFL!$F111="Dallas",+NFL!T111,IF(+NFL!$H111="Dallas",+NFL!T111,0))</f>
        <v>Detroit</v>
      </c>
      <c r="U160" s="396" t="str">
        <f>IF(+NFL!$F111="Dallas",+NFL!U111,IF(+NFL!$H111="Dallas",+NFL!U111,0))</f>
        <v>L</v>
      </c>
      <c r="V160" s="397">
        <f>IF(+NFL!$F118="Dallas",+NFL!#REF!,IF(+NFL!$H118="Dallas",+NFL!#REF!,0))</f>
        <v>0</v>
      </c>
      <c r="W160" s="396">
        <f>IF(+NFL!$F118="Dallas",+NFL!#REF!,IF(+NFL!$H118="Dallas",+NFL!#REF!,0))</f>
        <v>0</v>
      </c>
      <c r="X160" s="398">
        <f>IF(+NFL!$F118="Dallas",+NFL!#REF!,IF(+NFL!$H118="Dallas",+NFL!#REF!,0))</f>
        <v>0</v>
      </c>
      <c r="Y160" s="396">
        <f>IF(+NFL!$F118="Dallas",+NFL!#REF!,IF(+NFL!$H118="Dallas",+NFL!#REF!,0))</f>
        <v>0</v>
      </c>
      <c r="Z160" s="397">
        <f>IF(+NFL!$F118="Dallas",+NFL!#REF!,IF(+NFL!$H118="Dallas",+NFL!#REF!,0))</f>
        <v>0</v>
      </c>
      <c r="AA160" s="396">
        <f>IF(+NFL!$F118="Dallas",+NFL!#REF!,IF(+NFL!$H118="Dallas",+NFL!#REF!,0))</f>
        <v>0</v>
      </c>
      <c r="AB160" s="87">
        <f>IF(+NFL!$F118="Dallas",+NFL!#REF!,IF(+NFL!$H118="Dallas",+NFL!#REF!,0))</f>
        <v>0</v>
      </c>
      <c r="AC160" s="120">
        <f>IF(+NFL!$F118="Dallas",+NFL!#REF!,IF(+NFL!$H118="Dallas",+NFL!#REF!,0))</f>
        <v>0</v>
      </c>
      <c r="AD160" s="353">
        <f>IF(+NFL!$F118="Dallas",+NFL!#REF!,IF(+NFL!$H118="Dallas",+NFL!#REF!,0))</f>
        <v>0</v>
      </c>
      <c r="AE160" s="379">
        <f>IF(+NFL!$F118="Dallas",+NFL!#REF!,IF(+NFL!$H118="Dallas",+NFL!#REF!,0))</f>
        <v>0</v>
      </c>
      <c r="AF160" s="353">
        <f>IF(+NFL!$F118="Dallas",+NFL!#REF!,IF(+NFL!$H118="Dallas",+NFL!#REF!,0))</f>
        <v>0</v>
      </c>
      <c r="AG160" s="379">
        <f>IF(+NFL!$F118="Dallas",+NFL!#REF!,IF(+NFL!$H118="Dallas",+NFL!#REF!,0))</f>
        <v>0</v>
      </c>
      <c r="AH160" s="353">
        <f>IF(+NFL!$F118="Dallas",+NFL!#REF!,IF(+NFL!$H118="Dallas",+NFL!#REF!,0))</f>
        <v>0</v>
      </c>
      <c r="AI160" s="379">
        <f>IF(+NFL!$F118="Dallas",+NFL!#REF!,IF(+NFL!$H118="Dallas",+NFL!#REF!,0))</f>
        <v>0</v>
      </c>
      <c r="AJ160" s="353">
        <f>IF(+NFL!$F118="Dallas",+NFL!#REF!,IF(+NFL!$H118="Dallas",+NFL!#REF!,0))</f>
        <v>0</v>
      </c>
      <c r="AK160" s="379">
        <f>IF(+NFL!$F118="Dallas",+NFL!#REF!,IF(+NFL!$H118="Dallas",+NFL!#REF!,0))</f>
        <v>0</v>
      </c>
      <c r="AL160" s="69">
        <f>IF(+NFL!$F118="Dallas",+NFL!#REF!,IF(+NFL!$H118="Dallas",+NFL!#REF!,0))</f>
        <v>0</v>
      </c>
      <c r="AM160" s="58">
        <f>IF(+NFL!$F118="Dallas",+NFL!#REF!,IF(+NFL!$H118="Dallas",+NFL!#REF!,0))</f>
        <v>0</v>
      </c>
      <c r="AN160" s="70">
        <f>IF(+NFL!$F118="Dallas",+NFL!#REF!,IF(+NFL!$H118="Dallas",+NFL!#REF!,0))</f>
        <v>0</v>
      </c>
      <c r="AO160" s="59">
        <f>IF(+NFL!$F118="Dallas",+NFL!#REF!,IF(+NFL!$H118="Dallas",+NFL!#REF!,0))</f>
        <v>0</v>
      </c>
      <c r="AP160" s="348">
        <f>IF(+NFL!$F118="Dallas",+NFL!#REF!,IF(+NFL!$H118="Dallas",+NFL!#REF!,0))</f>
        <v>0</v>
      </c>
      <c r="AQ160" s="48">
        <f>IF(+NFL!$F118="Dallas",+NFL!#REF!,IF(+NFL!$H118="Dallas",+NFL!#REF!,0))</f>
        <v>0</v>
      </c>
      <c r="AR160" s="57">
        <f>IF(+NFL!$F118="Dallas",+NFL!#REF!,IF(+NFL!$H118="Dallas",+NFL!#REF!,0))</f>
        <v>0</v>
      </c>
      <c r="AS160" s="64">
        <f>IF(+NFL!$F118="Dallas",+NFL!#REF!,IF(+NFL!$H118="Dallas",+NFL!#REF!,0))</f>
        <v>0</v>
      </c>
      <c r="AT160" s="64">
        <f>IF(+NFL!$F118="Dallas",+NFL!#REF!,IF(+NFL!$H118="Dallas",+NFL!#REF!,0))</f>
        <v>0</v>
      </c>
      <c r="AU160" s="57">
        <f>IF(+NFL!$F118="Dallas",+NFL!#REF!,IF(+NFL!$H118="Dallas",+NFL!#REF!,0))</f>
        <v>0</v>
      </c>
      <c r="AV160" s="64">
        <f>IF(+NFL!$F118="Dallas",+NFL!#REF!,IF(+NFL!$H118="Dallas",+NFL!#REF!,0))</f>
        <v>0</v>
      </c>
      <c r="AW160" s="46">
        <f>IF(+NFL!$F118="Dallas",+NFL!#REF!,IF(+NFL!$H118="Dallas",+NFL!#REF!,0))</f>
        <v>0</v>
      </c>
      <c r="AX160" s="64">
        <f>IF(+NFL!$F118="Dallas",+NFL!#REF!,IF(+NFL!$H118="Dallas",+NFL!#REF!,0))</f>
        <v>0</v>
      </c>
      <c r="AY160" s="57">
        <f>IF(+NFL!$F118="Dallas",+NFL!#REF!,IF(+NFL!$H118="Dallas",+NFL!#REF!,0))</f>
        <v>0</v>
      </c>
      <c r="AZ160" s="64">
        <f>IF(+NFL!$F118="Dallas",+NFL!#REF!,IF(+NFL!$H118="Dallas",+NFL!#REF!,0))</f>
        <v>0</v>
      </c>
      <c r="BA160" s="46">
        <f>IF(+NFL!$F118="Dallas",+NFL!#REF!,IF(+NFL!$H118="Dallas",+NFL!#REF!,0))</f>
        <v>0</v>
      </c>
      <c r="BB160" s="46">
        <f>IF(+NFL!$F118="Dallas",+NFL!#REF!,IF(+NFL!$H118="Dallas",+NFL!#REF!,0))</f>
        <v>0</v>
      </c>
      <c r="BC160" s="403">
        <f>IF(+NFL!$F118="Dallas",+NFL!#REF!,IF(+NFL!$H118="Dallas",+NFL!#REF!,0))</f>
        <v>0</v>
      </c>
      <c r="BD160" s="57">
        <f>IF(+NFL!$F118="Dallas",+NFL!#REF!,IF(+NFL!$H118="Dallas",+NFL!#REF!,0))</f>
        <v>0</v>
      </c>
      <c r="BE160" s="64">
        <f>IF(+NFL!$F118="Dallas",+NFL!#REF!,IF(+NFL!$H118="Dallas",+NFL!#REF!,0))</f>
        <v>0</v>
      </c>
      <c r="BF160" s="46">
        <f>IF(+NFL!$F118="Dallas",+NFL!#REF!,IF(+NFL!$H118="Dallas",+NFL!#REF!,0))</f>
        <v>0</v>
      </c>
      <c r="BG160" s="57">
        <f>IF(+NFL!$F118="Dallas",+NFL!#REF!,IF(+NFL!$H118="Dallas",+NFL!#REF!,0))</f>
        <v>0</v>
      </c>
      <c r="BH160" s="64">
        <f>IF(+NFL!$F118="Dallas",+NFL!#REF!,IF(+NFL!$H118="Dallas",+NFL!#REF!,0))</f>
        <v>0</v>
      </c>
      <c r="BI160" s="46">
        <f>IF(+NFL!$F118="Dallas",+NFL!#REF!,IF(+NFL!$H118="Dallas",+NFL!#REF!,0))</f>
        <v>0</v>
      </c>
      <c r="BJ160" s="87">
        <f>IF(+NFL!$F118="Dallas",+NFL!#REF!,IF(+NFL!$H118="Dallas",+NFL!#REF!,0))</f>
        <v>0</v>
      </c>
      <c r="BK160" s="120">
        <f>IF(+NFL!$F118="Dallas",+NFL!#REF!,IF(+NFL!$H118="Dallas",+NFL!#REF!,0))</f>
        <v>0</v>
      </c>
    </row>
    <row r="161" spans="1:63" x14ac:dyDescent="0.8">
      <c r="A161" s="46">
        <f>IF(+NFL!$F132="Dallas",+NFL!A132,IF(+NFL!$H132="Dallas",+NFL!A132,0))</f>
        <v>8</v>
      </c>
      <c r="B161" s="348" t="str">
        <f>IF(+NFL!$F132="Dallas",+NFL!B132,IF(+NFL!$H132="Dallas",+NFL!B132,0))</f>
        <v>Sun</v>
      </c>
      <c r="C161" s="48">
        <f>IF(+NFL!$F132="Dallas",+NFL!C132,IF(+NFL!$H132="Dallas",+NFL!C132,0))</f>
        <v>44864</v>
      </c>
      <c r="D161" s="490">
        <f>IF(+NFL!$F132="Dallas",+NFL!D132,IF(+NFL!$H132="Dallas",+NFL!D132,0))</f>
        <v>0.54166666666666663</v>
      </c>
      <c r="E161" s="46" t="str">
        <f>IF(+NFL!$F132="Dallas",+NFL!E132,IF(+NFL!$H132="Dallas",+NFL!E132,0))</f>
        <v>Fox</v>
      </c>
      <c r="F161" s="127" t="str">
        <f>IF(+NFL!$F132="Dallas",+NFL!F132,IF(+NFL!$H132="Dallas",+NFL!F132,0))</f>
        <v>Chicago</v>
      </c>
      <c r="G161" s="46" t="str">
        <f>IF(+NFL!$F132="Dallas",+NFL!G132,IF(+NFL!$H132="Dallas",+NFL!G132,0))</f>
        <v>NFCN</v>
      </c>
      <c r="H161" s="127" t="str">
        <f>IF(+NFL!$F132="Dallas",+NFL!H132,IF(+NFL!$H132="Dallas",+NFL!H132,0))</f>
        <v>Dallas</v>
      </c>
      <c r="I161" s="46" t="str">
        <f>IF(+NFL!$F132="Dallas",+NFL!I132,IF(+NFL!$H132="Dallas",+NFL!I132,0))</f>
        <v>NFCE</v>
      </c>
      <c r="J161" s="353" t="str">
        <f>IF(+NFL!$F132="Dallas",+NFL!J132,IF(+NFL!$H132="Dallas",+NFL!J132,0))</f>
        <v>Dallas</v>
      </c>
      <c r="K161" s="494" t="str">
        <f>IF(+NFL!$F132="Dallas",+NFL!K132,IF(+NFL!$H132="Dallas",+NFL!K132,0))</f>
        <v>Chicago</v>
      </c>
      <c r="L161" s="384">
        <f>IF(+NFL!$F132="Dallas",+NFL!L132,IF(+NFL!$H132="Dallas",+NFL!L132,0))</f>
        <v>9.5</v>
      </c>
      <c r="M161" s="385">
        <f>IF(+NFL!$F132="Dallas",+NFL!M132,IF(+NFL!$H132="Dallas",+NFL!M132,0))</f>
        <v>43</v>
      </c>
      <c r="N161" s="394" t="str">
        <f>IF(+NFL!$F132="Dallas",+NFL!N132,IF(+NFL!$H132="Dallas",+NFL!N132,0))</f>
        <v>Dallas</v>
      </c>
      <c r="O161" s="395">
        <f>IF(+NFL!$F132="Dallas",+NFL!O132,IF(+NFL!$H132="Dallas",+NFL!O132,0))</f>
        <v>49</v>
      </c>
      <c r="P161" s="394" t="str">
        <f>IF(+NFL!$F132="Dallas",+NFL!P132,IF(+NFL!$H132="Dallas",+NFL!P132,0))</f>
        <v>Chicago</v>
      </c>
      <c r="Q161" s="396">
        <f>IF(+NFL!$F132="Dallas",+NFL!Q132,IF(+NFL!$H132="Dallas",+NFL!Q132,0))</f>
        <v>29</v>
      </c>
      <c r="R161" s="397" t="str">
        <f>IF(+NFL!$F132="Dallas",+NFL!R132,IF(+NFL!$H132="Dallas",+NFL!R132,0))</f>
        <v>Dallas</v>
      </c>
      <c r="S161" s="396" t="str">
        <f>IF(+NFL!$F132="Dallas",+NFL!S132,IF(+NFL!$H132="Dallas",+NFL!S132,0))</f>
        <v>Chicago</v>
      </c>
      <c r="T161" s="398" t="str">
        <f>IF(+NFL!$F132="Dallas",+NFL!T132,IF(+NFL!$H132="Dallas",+NFL!T132,0))</f>
        <v>Dallas</v>
      </c>
      <c r="U161" s="396" t="str">
        <f>IF(+NFL!$F132="Dallas",+NFL!U132,IF(+NFL!$H132="Dallas",+NFL!U132,0))</f>
        <v>W</v>
      </c>
      <c r="V161" s="397">
        <f>IF(+NFL!$F141="Dallas",+NFL!#REF!,IF(+NFL!$H141="Dallas",+NFL!#REF!,0))</f>
        <v>0</v>
      </c>
      <c r="W161" s="396">
        <f>IF(+NFL!$F141="Dallas",+NFL!#REF!,IF(+NFL!$H141="Dallas",+NFL!#REF!,0))</f>
        <v>0</v>
      </c>
      <c r="X161" s="398">
        <f>IF(+NFL!$F141="Dallas",+NFL!#REF!,IF(+NFL!$H141="Dallas",+NFL!#REF!,0))</f>
        <v>0</v>
      </c>
      <c r="Y161" s="396">
        <f>IF(+NFL!$F141="Dallas",+NFL!#REF!,IF(+NFL!$H141="Dallas",+NFL!#REF!,0))</f>
        <v>0</v>
      </c>
      <c r="Z161" s="397">
        <f>IF(+NFL!$F141="Dallas",+NFL!#REF!,IF(+NFL!$H141="Dallas",+NFL!#REF!,0))</f>
        <v>0</v>
      </c>
      <c r="AA161" s="396">
        <f>IF(+NFL!$F141="Dallas",+NFL!#REF!,IF(+NFL!$H141="Dallas",+NFL!#REF!,0))</f>
        <v>0</v>
      </c>
      <c r="AB161" s="87">
        <f>IF(+NFL!$F141="Dallas",+NFL!#REF!,IF(+NFL!$H141="Dallas",+NFL!#REF!,0))</f>
        <v>0</v>
      </c>
      <c r="AC161" s="120">
        <f>IF(+NFL!$F141="Dallas",+NFL!#REF!,IF(+NFL!$H141="Dallas",+NFL!#REF!,0))</f>
        <v>0</v>
      </c>
      <c r="AD161" s="353">
        <f>IF(+NFL!$F141="Dallas",+NFL!#REF!,IF(+NFL!$H141="Dallas",+NFL!#REF!,0))</f>
        <v>0</v>
      </c>
      <c r="AE161" s="379">
        <f>IF(+NFL!$F141="Dallas",+NFL!#REF!,IF(+NFL!$H141="Dallas",+NFL!#REF!,0))</f>
        <v>0</v>
      </c>
      <c r="AF161" s="353">
        <f>IF(+NFL!$F141="Dallas",+NFL!#REF!,IF(+NFL!$H141="Dallas",+NFL!#REF!,0))</f>
        <v>0</v>
      </c>
      <c r="AG161" s="379">
        <f>IF(+NFL!$F141="Dallas",+NFL!#REF!,IF(+NFL!$H141="Dallas",+NFL!#REF!,0))</f>
        <v>0</v>
      </c>
      <c r="AH161" s="353">
        <f>IF(+NFL!$F141="Dallas",+NFL!#REF!,IF(+NFL!$H141="Dallas",+NFL!#REF!,0))</f>
        <v>0</v>
      </c>
      <c r="AI161" s="379">
        <f>IF(+NFL!$F141="Dallas",+NFL!#REF!,IF(+NFL!$H141="Dallas",+NFL!#REF!,0))</f>
        <v>0</v>
      </c>
      <c r="AJ161" s="353">
        <f>IF(+NFL!$F141="Dallas",+NFL!#REF!,IF(+NFL!$H141="Dallas",+NFL!#REF!,0))</f>
        <v>0</v>
      </c>
      <c r="AK161" s="379">
        <f>IF(+NFL!$F141="Dallas",+NFL!#REF!,IF(+NFL!$H141="Dallas",+NFL!#REF!,0))</f>
        <v>0</v>
      </c>
      <c r="AL161" s="69">
        <f>IF(+NFL!$F141="Dallas",+NFL!#REF!,IF(+NFL!$H141="Dallas",+NFL!#REF!,0))</f>
        <v>0</v>
      </c>
      <c r="AM161" s="58">
        <f>IF(+NFL!$F141="Dallas",+NFL!#REF!,IF(+NFL!$H141="Dallas",+NFL!#REF!,0))</f>
        <v>0</v>
      </c>
      <c r="AN161" s="70">
        <f>IF(+NFL!$F141="Dallas",+NFL!#REF!,IF(+NFL!$H141="Dallas",+NFL!#REF!,0))</f>
        <v>0</v>
      </c>
      <c r="AO161" s="59">
        <f>IF(+NFL!$F141="Dallas",+NFL!#REF!,IF(+NFL!$H141="Dallas",+NFL!#REF!,0))</f>
        <v>0</v>
      </c>
      <c r="AP161" s="348">
        <f>IF(+NFL!$F141="Dallas",+NFL!#REF!,IF(+NFL!$H141="Dallas",+NFL!#REF!,0))</f>
        <v>0</v>
      </c>
      <c r="AQ161" s="48">
        <f>IF(+NFL!$F141="Dallas",+NFL!#REF!,IF(+NFL!$H141="Dallas",+NFL!#REF!,0))</f>
        <v>0</v>
      </c>
      <c r="AR161" s="57">
        <f>IF(+NFL!$F141="Dallas",+NFL!#REF!,IF(+NFL!$H141="Dallas",+NFL!#REF!,0))</f>
        <v>0</v>
      </c>
      <c r="AS161" s="64">
        <f>IF(+NFL!$F141="Dallas",+NFL!#REF!,IF(+NFL!$H141="Dallas",+NFL!#REF!,0))</f>
        <v>0</v>
      </c>
      <c r="AT161" s="64">
        <f>IF(+NFL!$F141="Dallas",+NFL!#REF!,IF(+NFL!$H141="Dallas",+NFL!#REF!,0))</f>
        <v>0</v>
      </c>
      <c r="AU161" s="57">
        <f>IF(+NFL!$F141="Dallas",+NFL!#REF!,IF(+NFL!$H141="Dallas",+NFL!#REF!,0))</f>
        <v>0</v>
      </c>
      <c r="AV161" s="64">
        <f>IF(+NFL!$F141="Dallas",+NFL!#REF!,IF(+NFL!$H141="Dallas",+NFL!#REF!,0))</f>
        <v>0</v>
      </c>
      <c r="AW161" s="46">
        <f>IF(+NFL!$F141="Dallas",+NFL!#REF!,IF(+NFL!$H141="Dallas",+NFL!#REF!,0))</f>
        <v>0</v>
      </c>
      <c r="AX161" s="64">
        <f>IF(+NFL!$F141="Dallas",+NFL!#REF!,IF(+NFL!$H141="Dallas",+NFL!#REF!,0))</f>
        <v>0</v>
      </c>
      <c r="AY161" s="57">
        <f>IF(+NFL!$F141="Dallas",+NFL!#REF!,IF(+NFL!$H141="Dallas",+NFL!#REF!,0))</f>
        <v>0</v>
      </c>
      <c r="AZ161" s="64">
        <f>IF(+NFL!$F141="Dallas",+NFL!#REF!,IF(+NFL!$H141="Dallas",+NFL!#REF!,0))</f>
        <v>0</v>
      </c>
      <c r="BA161" s="46">
        <f>IF(+NFL!$F141="Dallas",+NFL!#REF!,IF(+NFL!$H141="Dallas",+NFL!#REF!,0))</f>
        <v>0</v>
      </c>
      <c r="BB161" s="46">
        <f>IF(+NFL!$F141="Dallas",+NFL!#REF!,IF(+NFL!$H141="Dallas",+NFL!#REF!,0))</f>
        <v>0</v>
      </c>
      <c r="BC161" s="403">
        <f>IF(+NFL!$F141="Dallas",+NFL!#REF!,IF(+NFL!$H141="Dallas",+NFL!#REF!,0))</f>
        <v>0</v>
      </c>
      <c r="BD161" s="57">
        <f>IF(+NFL!$F141="Dallas",+NFL!#REF!,IF(+NFL!$H141="Dallas",+NFL!#REF!,0))</f>
        <v>0</v>
      </c>
      <c r="BE161" s="64">
        <f>IF(+NFL!$F141="Dallas",+NFL!#REF!,IF(+NFL!$H141="Dallas",+NFL!#REF!,0))</f>
        <v>0</v>
      </c>
      <c r="BF161" s="46">
        <f>IF(+NFL!$F141="Dallas",+NFL!#REF!,IF(+NFL!$H141="Dallas",+NFL!#REF!,0))</f>
        <v>0</v>
      </c>
      <c r="BG161" s="57">
        <f>IF(+NFL!$F141="Dallas",+NFL!#REF!,IF(+NFL!$H141="Dallas",+NFL!#REF!,0))</f>
        <v>0</v>
      </c>
      <c r="BH161" s="64">
        <f>IF(+NFL!$F141="Dallas",+NFL!#REF!,IF(+NFL!$H141="Dallas",+NFL!#REF!,0))</f>
        <v>0</v>
      </c>
      <c r="BI161" s="46">
        <f>IF(+NFL!$F141="Dallas",+NFL!#REF!,IF(+NFL!$H141="Dallas",+NFL!#REF!,0))</f>
        <v>0</v>
      </c>
      <c r="BJ161" s="87">
        <f>IF(+NFL!$F141="Dallas",+NFL!#REF!,IF(+NFL!$H141="Dallas",+NFL!#REF!,0))</f>
        <v>0</v>
      </c>
      <c r="BK161" s="120">
        <f>IF(+NFL!$F141="Dallas",+NFL!#REF!,IF(+NFL!$H141="Dallas",+NFL!#REF!,0))</f>
        <v>0</v>
      </c>
    </row>
    <row r="162" spans="1:63" x14ac:dyDescent="0.8">
      <c r="A162" s="46">
        <f>IF(+NFL!$F163="Dallas",+NFL!A163,IF(+NFL!$H163="Dallas",+NFL!A163,0))</f>
        <v>9</v>
      </c>
      <c r="B162" s="348">
        <f>IF(+NFL!$F163="Dallas",+NFL!B163,IF(+NFL!$H163="Dallas",+NFL!B163,0))</f>
        <v>0</v>
      </c>
      <c r="C162" s="48">
        <f>IF(+NFL!$F163="Dallas",+NFL!C163,IF(+NFL!$H163="Dallas",+NFL!C163,0))</f>
        <v>0</v>
      </c>
      <c r="D162" s="490">
        <f>IF(+NFL!$F163="Dallas",+NFL!D163,IF(+NFL!$H163="Dallas",+NFL!D163,0))</f>
        <v>0</v>
      </c>
      <c r="E162" s="46">
        <f>IF(+NFL!$F163="Dallas",+NFL!E163,IF(+NFL!$H163="Dallas",+NFL!E163,0))</f>
        <v>0</v>
      </c>
      <c r="F162" s="127" t="str">
        <f>IF(+NFL!$F163="Dallas",+NFL!F163,IF(+NFL!$H163="Dallas",+NFL!F163,0))</f>
        <v>Dallas</v>
      </c>
      <c r="G162" s="46" t="str">
        <f>IF(+NFL!$F163="Dallas",+NFL!G163,IF(+NFL!$H163="Dallas",+NFL!G163,0))</f>
        <v>NFCE</v>
      </c>
      <c r="H162" s="127">
        <f>IF(+NFL!$F163="Dallas",+NFL!H163,IF(+NFL!$H163="Dallas",+NFL!H163,0))</f>
        <v>0</v>
      </c>
      <c r="I162" s="46">
        <f>IF(+NFL!$F163="Dallas",+NFL!I163,IF(+NFL!$H163="Dallas",+NFL!I163,0))</f>
        <v>0</v>
      </c>
      <c r="J162" s="353">
        <f>IF(+NFL!$F163="Dallas",+NFL!J163,IF(+NFL!$H163="Dallas",+NFL!J163,0))</f>
        <v>0</v>
      </c>
      <c r="K162" s="494">
        <f>IF(+NFL!$F163="Dallas",+NFL!K163,IF(+NFL!$H163="Dallas",+NFL!K163,0))</f>
        <v>0</v>
      </c>
      <c r="L162" s="384">
        <f>IF(+NFL!$F163="Dallas",+NFL!L163,IF(+NFL!$H163="Dallas",+NFL!L163,0))</f>
        <v>0</v>
      </c>
      <c r="M162" s="385">
        <f>IF(+NFL!$F163="Dallas",+NFL!M163,IF(+NFL!$H163="Dallas",+NFL!M163,0))</f>
        <v>0</v>
      </c>
      <c r="N162" s="394">
        <f>IF(+NFL!$F163="Dallas",+NFL!N163,IF(+NFL!$H163="Dallas",+NFL!N163,0))</f>
        <v>0</v>
      </c>
      <c r="O162" s="395">
        <f>IF(+NFL!$F163="Dallas",+NFL!O163,IF(+NFL!$H163="Dallas",+NFL!O163,0))</f>
        <v>0</v>
      </c>
      <c r="P162" s="394">
        <f>IF(+NFL!$F163="Dallas",+NFL!P163,IF(+NFL!$H163="Dallas",+NFL!P163,0))</f>
        <v>0</v>
      </c>
      <c r="Q162" s="396">
        <f>IF(+NFL!$F163="Dallas",+NFL!Q163,IF(+NFL!$H163="Dallas",+NFL!Q163,0))</f>
        <v>0</v>
      </c>
      <c r="R162" s="397">
        <f>IF(+NFL!$F163="Dallas",+NFL!R163,IF(+NFL!$H163="Dallas",+NFL!R163,0))</f>
        <v>0</v>
      </c>
      <c r="S162" s="396">
        <f>IF(+NFL!$F163="Dallas",+NFL!S163,IF(+NFL!$H163="Dallas",+NFL!S163,0))</f>
        <v>0</v>
      </c>
      <c r="T162" s="398">
        <f>IF(+NFL!$F163="Dallas",+NFL!T163,IF(+NFL!$H163="Dallas",+NFL!T163,0))</f>
        <v>0</v>
      </c>
      <c r="U162" s="396">
        <f>IF(+NFL!$F163="Dallas",+NFL!U163,IF(+NFL!$H163="Dallas",+NFL!U163,0))</f>
        <v>0</v>
      </c>
      <c r="V162" s="397">
        <f>IF(+NFL!$F166="Dallas",+NFL!#REF!,IF(+NFL!$H166="Dallas",+NFL!#REF!,0))</f>
        <v>0</v>
      </c>
      <c r="W162" s="396">
        <f>IF(+NFL!$F166="Dallas",+NFL!#REF!,IF(+NFL!$H166="Dallas",+NFL!#REF!,0))</f>
        <v>0</v>
      </c>
      <c r="X162" s="398">
        <f>IF(+NFL!$F166="Dallas",+NFL!#REF!,IF(+NFL!$H166="Dallas",+NFL!#REF!,0))</f>
        <v>0</v>
      </c>
      <c r="Y162" s="396">
        <f>IF(+NFL!$F166="Dallas",+NFL!#REF!,IF(+NFL!$H166="Dallas",+NFL!#REF!,0))</f>
        <v>0</v>
      </c>
      <c r="Z162" s="397">
        <f>IF(+NFL!$F166="Dallas",+NFL!#REF!,IF(+NFL!$H166="Dallas",+NFL!#REF!,0))</f>
        <v>0</v>
      </c>
      <c r="AA162" s="396">
        <f>IF(+NFL!$F166="Dallas",+NFL!#REF!,IF(+NFL!$H166="Dallas",+NFL!#REF!,0))</f>
        <v>0</v>
      </c>
      <c r="AB162" s="87">
        <f>IF(+NFL!$F166="Dallas",+NFL!#REF!,IF(+NFL!$H166="Dallas",+NFL!#REF!,0))</f>
        <v>0</v>
      </c>
      <c r="AC162" s="120">
        <f>IF(+NFL!$F166="Dallas",+NFL!#REF!,IF(+NFL!$H166="Dallas",+NFL!#REF!,0))</f>
        <v>0</v>
      </c>
      <c r="AD162" s="353">
        <f>IF(+NFL!$F166="Dallas",+NFL!#REF!,IF(+NFL!$H166="Dallas",+NFL!#REF!,0))</f>
        <v>0</v>
      </c>
      <c r="AE162" s="379">
        <f>IF(+NFL!$F166="Dallas",+NFL!#REF!,IF(+NFL!$H166="Dallas",+NFL!#REF!,0))</f>
        <v>0</v>
      </c>
      <c r="AF162" s="353">
        <f>IF(+NFL!$F166="Dallas",+NFL!#REF!,IF(+NFL!$H166="Dallas",+NFL!#REF!,0))</f>
        <v>0</v>
      </c>
      <c r="AG162" s="379">
        <f>IF(+NFL!$F166="Dallas",+NFL!#REF!,IF(+NFL!$H166="Dallas",+NFL!#REF!,0))</f>
        <v>0</v>
      </c>
      <c r="AH162" s="353">
        <f>IF(+NFL!$F166="Dallas",+NFL!#REF!,IF(+NFL!$H166="Dallas",+NFL!#REF!,0))</f>
        <v>0</v>
      </c>
      <c r="AI162" s="379">
        <f>IF(+NFL!$F166="Dallas",+NFL!#REF!,IF(+NFL!$H166="Dallas",+NFL!#REF!,0))</f>
        <v>0</v>
      </c>
      <c r="AJ162" s="353">
        <f>IF(+NFL!$F166="Dallas",+NFL!#REF!,IF(+NFL!$H166="Dallas",+NFL!#REF!,0))</f>
        <v>0</v>
      </c>
      <c r="AK162" s="379">
        <f>IF(+NFL!$F166="Dallas",+NFL!#REF!,IF(+NFL!$H166="Dallas",+NFL!#REF!,0))</f>
        <v>0</v>
      </c>
      <c r="AL162" s="69">
        <f>IF(+NFL!$F166="Dallas",+NFL!#REF!,IF(+NFL!$H166="Dallas",+NFL!#REF!,0))</f>
        <v>0</v>
      </c>
      <c r="AM162" s="58">
        <f>IF(+NFL!$F166="Dallas",+NFL!#REF!,IF(+NFL!$H166="Dallas",+NFL!#REF!,0))</f>
        <v>0</v>
      </c>
      <c r="AN162" s="70">
        <f>IF(+NFL!$F166="Dallas",+NFL!#REF!,IF(+NFL!$H166="Dallas",+NFL!#REF!,0))</f>
        <v>0</v>
      </c>
      <c r="AO162" s="59">
        <f>IF(+NFL!$F166="Dallas",+NFL!#REF!,IF(+NFL!$H166="Dallas",+NFL!#REF!,0))</f>
        <v>0</v>
      </c>
      <c r="AP162" s="348">
        <f>IF(+NFL!$F166="Dallas",+NFL!#REF!,IF(+NFL!$H166="Dallas",+NFL!#REF!,0))</f>
        <v>0</v>
      </c>
      <c r="AQ162" s="48">
        <f>IF(+NFL!$F166="Dallas",+NFL!#REF!,IF(+NFL!$H166="Dallas",+NFL!#REF!,0))</f>
        <v>0</v>
      </c>
      <c r="AR162" s="57">
        <f>IF(+NFL!$F166="Dallas",+NFL!#REF!,IF(+NFL!$H166="Dallas",+NFL!#REF!,0))</f>
        <v>0</v>
      </c>
      <c r="AS162" s="64">
        <f>IF(+NFL!$F166="Dallas",+NFL!#REF!,IF(+NFL!$H166="Dallas",+NFL!#REF!,0))</f>
        <v>0</v>
      </c>
      <c r="AT162" s="64">
        <f>IF(+NFL!$F166="Dallas",+NFL!#REF!,IF(+NFL!$H166="Dallas",+NFL!#REF!,0))</f>
        <v>0</v>
      </c>
      <c r="AU162" s="57">
        <f>IF(+NFL!$F166="Dallas",+NFL!#REF!,IF(+NFL!$H166="Dallas",+NFL!#REF!,0))</f>
        <v>0</v>
      </c>
      <c r="AV162" s="64">
        <f>IF(+NFL!$F166="Dallas",+NFL!#REF!,IF(+NFL!$H166="Dallas",+NFL!#REF!,0))</f>
        <v>0</v>
      </c>
      <c r="AW162" s="46">
        <f>IF(+NFL!$F166="Dallas",+NFL!#REF!,IF(+NFL!$H166="Dallas",+NFL!#REF!,0))</f>
        <v>0</v>
      </c>
      <c r="AX162" s="64">
        <f>IF(+NFL!$F166="Dallas",+NFL!#REF!,IF(+NFL!$H166="Dallas",+NFL!#REF!,0))</f>
        <v>0</v>
      </c>
      <c r="AY162" s="57">
        <f>IF(+NFL!$F166="Dallas",+NFL!#REF!,IF(+NFL!$H166="Dallas",+NFL!#REF!,0))</f>
        <v>0</v>
      </c>
      <c r="AZ162" s="64">
        <f>IF(+NFL!$F166="Dallas",+NFL!#REF!,IF(+NFL!$H166="Dallas",+NFL!#REF!,0))</f>
        <v>0</v>
      </c>
      <c r="BA162" s="46">
        <f>IF(+NFL!$F166="Dallas",+NFL!#REF!,IF(+NFL!$H166="Dallas",+NFL!#REF!,0))</f>
        <v>0</v>
      </c>
      <c r="BB162" s="46">
        <f>IF(+NFL!$F166="Dallas",+NFL!#REF!,IF(+NFL!$H166="Dallas",+NFL!#REF!,0))</f>
        <v>0</v>
      </c>
      <c r="BC162" s="403">
        <f>IF(+NFL!$F166="Dallas",+NFL!#REF!,IF(+NFL!$H166="Dallas",+NFL!#REF!,0))</f>
        <v>0</v>
      </c>
      <c r="BD162" s="57">
        <f>IF(+NFL!$F166="Dallas",+NFL!#REF!,IF(+NFL!$H166="Dallas",+NFL!#REF!,0))</f>
        <v>0</v>
      </c>
      <c r="BE162" s="64">
        <f>IF(+NFL!$F166="Dallas",+NFL!#REF!,IF(+NFL!$H166="Dallas",+NFL!#REF!,0))</f>
        <v>0</v>
      </c>
      <c r="BF162" s="46">
        <f>IF(+NFL!$F166="Dallas",+NFL!#REF!,IF(+NFL!$H166="Dallas",+NFL!#REF!,0))</f>
        <v>0</v>
      </c>
      <c r="BG162" s="57">
        <f>IF(+NFL!$F166="Dallas",+NFL!#REF!,IF(+NFL!$H166="Dallas",+NFL!#REF!,0))</f>
        <v>0</v>
      </c>
      <c r="BH162" s="64">
        <f>IF(+NFL!$F166="Dallas",+NFL!#REF!,IF(+NFL!$H166="Dallas",+NFL!#REF!,0))</f>
        <v>0</v>
      </c>
      <c r="BI162" s="46">
        <f>IF(+NFL!$F166="Dallas",+NFL!#REF!,IF(+NFL!$H166="Dallas",+NFL!#REF!,0))</f>
        <v>0</v>
      </c>
      <c r="BJ162" s="87">
        <f>IF(+NFL!$F166="Dallas",+NFL!#REF!,IF(+NFL!$H166="Dallas",+NFL!#REF!,0))</f>
        <v>0</v>
      </c>
      <c r="BK162" s="120">
        <f>IF(+NFL!$F166="Dallas",+NFL!#REF!,IF(+NFL!$H166="Dallas",+NFL!#REF!,0))</f>
        <v>0</v>
      </c>
    </row>
    <row r="163" spans="1:63" x14ac:dyDescent="0.8">
      <c r="A163" s="46">
        <f>IF(+NFL!$F179="Dallas",+NFL!A179,IF(+NFL!$H179="Dallas",+NFL!A179,0))</f>
        <v>10</v>
      </c>
      <c r="B163" s="348" t="str">
        <f>IF(+NFL!$F179="Dallas",+NFL!B179,IF(+NFL!$H179="Dallas",+NFL!B179,0))</f>
        <v>Sun</v>
      </c>
      <c r="C163" s="48">
        <f>IF(+NFL!$F179="Dallas",+NFL!C179,IF(+NFL!$H179="Dallas",+NFL!C179,0))</f>
        <v>44878</v>
      </c>
      <c r="D163" s="490">
        <f>IF(+NFL!$F179="Dallas",+NFL!D179,IF(+NFL!$H179="Dallas",+NFL!D179,0))</f>
        <v>0.66666666666666663</v>
      </c>
      <c r="E163" s="46" t="str">
        <f>IF(+NFL!$F179="Dallas",+NFL!E179,IF(+NFL!$H179="Dallas",+NFL!E179,0))</f>
        <v>NBC</v>
      </c>
      <c r="F163" s="127" t="str">
        <f>IF(+NFL!$F179="Dallas",+NFL!F179,IF(+NFL!$H179="Dallas",+NFL!F179,0))</f>
        <v>Dallas</v>
      </c>
      <c r="G163" s="46" t="str">
        <f>IF(+NFL!$F179="Dallas",+NFL!G179,IF(+NFL!$H179="Dallas",+NFL!G179,0))</f>
        <v>NFCE</v>
      </c>
      <c r="H163" s="127" t="str">
        <f>IF(+NFL!$F179="Dallas",+NFL!H179,IF(+NFL!$H179="Dallas",+NFL!H179,0))</f>
        <v>Green Bay</v>
      </c>
      <c r="I163" s="46" t="str">
        <f>IF(+NFL!$F179="Dallas",+NFL!I179,IF(+NFL!$H179="Dallas",+NFL!I179,0))</f>
        <v>NFCN</v>
      </c>
      <c r="J163" s="353" t="str">
        <f>IF(+NFL!$F179="Dallas",+NFL!J179,IF(+NFL!$H179="Dallas",+NFL!J179,0))</f>
        <v>Dallas</v>
      </c>
      <c r="K163" s="494" t="str">
        <f>IF(+NFL!$F179="Dallas",+NFL!K179,IF(+NFL!$H179="Dallas",+NFL!K179,0))</f>
        <v>Green Bay</v>
      </c>
      <c r="L163" s="384">
        <f>IF(+NFL!$F179="Dallas",+NFL!L179,IF(+NFL!$H179="Dallas",+NFL!L179,0))</f>
        <v>5</v>
      </c>
      <c r="M163" s="385">
        <f>IF(+NFL!$F179="Dallas",+NFL!M179,IF(+NFL!$H179="Dallas",+NFL!M179,0))</f>
        <v>43</v>
      </c>
      <c r="N163" s="394" t="str">
        <f>IF(+NFL!$F179="Dallas",+NFL!N179,IF(+NFL!$H179="Dallas",+NFL!N179,0))</f>
        <v>Green Bay</v>
      </c>
      <c r="O163" s="395">
        <f>IF(+NFL!$F179="Dallas",+NFL!O179,IF(+NFL!$H179="Dallas",+NFL!O179,0))</f>
        <v>31</v>
      </c>
      <c r="P163" s="394" t="str">
        <f>IF(+NFL!$F179="Dallas",+NFL!P179,IF(+NFL!$H179="Dallas",+NFL!P179,0))</f>
        <v>Dallas</v>
      </c>
      <c r="Q163" s="396">
        <f>IF(+NFL!$F179="Dallas",+NFL!Q179,IF(+NFL!$H179="Dallas",+NFL!Q179,0))</f>
        <v>28</v>
      </c>
      <c r="R163" s="397" t="str">
        <f>IF(+NFL!$F179="Dallas",+NFL!R179,IF(+NFL!$H179="Dallas",+NFL!R179,0))</f>
        <v>Green Bay</v>
      </c>
      <c r="S163" s="396" t="str">
        <f>IF(+NFL!$F179="Dallas",+NFL!S179,IF(+NFL!$H179="Dallas",+NFL!S179,0))</f>
        <v>Dallas</v>
      </c>
      <c r="T163" s="398" t="str">
        <f>IF(+NFL!$F179="Dallas",+NFL!T179,IF(+NFL!$H179="Dallas",+NFL!T179,0))</f>
        <v>Dallas</v>
      </c>
      <c r="U163" s="396" t="str">
        <f>IF(+NFL!$F179="Dallas",+NFL!U179,IF(+NFL!$H179="Dallas",+NFL!U179,0))</f>
        <v>L</v>
      </c>
      <c r="V163" s="397">
        <f>IF(+NFL!$F186="Dallas",+NFL!#REF!,IF(+NFL!$H186="Dallas",+NFL!#REF!,0))</f>
        <v>0</v>
      </c>
      <c r="W163" s="396">
        <f>IF(+NFL!$F186="Dallas",+NFL!#REF!,IF(+NFL!$H186="Dallas",+NFL!#REF!,0))</f>
        <v>0</v>
      </c>
      <c r="X163" s="398">
        <f>IF(+NFL!$F186="Dallas",+NFL!#REF!,IF(+NFL!$H186="Dallas",+NFL!#REF!,0))</f>
        <v>0</v>
      </c>
      <c r="Y163" s="396">
        <f>IF(+NFL!$F186="Dallas",+NFL!#REF!,IF(+NFL!$H186="Dallas",+NFL!#REF!,0))</f>
        <v>0</v>
      </c>
      <c r="Z163" s="397">
        <f>IF(+NFL!$F186="Dallas",+NFL!#REF!,IF(+NFL!$H186="Dallas",+NFL!#REF!,0))</f>
        <v>0</v>
      </c>
      <c r="AA163" s="396">
        <f>IF(+NFL!$F186="Dallas",+NFL!#REF!,IF(+NFL!$H186="Dallas",+NFL!#REF!,0))</f>
        <v>0</v>
      </c>
      <c r="AB163" s="87">
        <f>IF(+NFL!$F186="Dallas",+NFL!#REF!,IF(+NFL!$H186="Dallas",+NFL!#REF!,0))</f>
        <v>0</v>
      </c>
      <c r="AC163" s="120">
        <f>IF(+NFL!$F186="Dallas",+NFL!#REF!,IF(+NFL!$H186="Dallas",+NFL!#REF!,0))</f>
        <v>0</v>
      </c>
      <c r="AD163" s="353">
        <f>IF(+NFL!$F186="Dallas",+NFL!#REF!,IF(+NFL!$H186="Dallas",+NFL!#REF!,0))</f>
        <v>0</v>
      </c>
      <c r="AE163" s="379">
        <f>IF(+NFL!$F186="Dallas",+NFL!#REF!,IF(+NFL!$H186="Dallas",+NFL!#REF!,0))</f>
        <v>0</v>
      </c>
      <c r="AF163" s="353">
        <f>IF(+NFL!$F186="Dallas",+NFL!#REF!,IF(+NFL!$H186="Dallas",+NFL!#REF!,0))</f>
        <v>0</v>
      </c>
      <c r="AG163" s="379">
        <f>IF(+NFL!$F186="Dallas",+NFL!#REF!,IF(+NFL!$H186="Dallas",+NFL!#REF!,0))</f>
        <v>0</v>
      </c>
      <c r="AH163" s="353">
        <f>IF(+NFL!$F186="Dallas",+NFL!#REF!,IF(+NFL!$H186="Dallas",+NFL!#REF!,0))</f>
        <v>0</v>
      </c>
      <c r="AI163" s="379">
        <f>IF(+NFL!$F186="Dallas",+NFL!#REF!,IF(+NFL!$H186="Dallas",+NFL!#REF!,0))</f>
        <v>0</v>
      </c>
      <c r="AJ163" s="353">
        <f>IF(+NFL!$F186="Dallas",+NFL!#REF!,IF(+NFL!$H186="Dallas",+NFL!#REF!,0))</f>
        <v>0</v>
      </c>
      <c r="AK163" s="379">
        <f>IF(+NFL!$F186="Dallas",+NFL!#REF!,IF(+NFL!$H186="Dallas",+NFL!#REF!,0))</f>
        <v>0</v>
      </c>
      <c r="AL163" s="69">
        <f>IF(+NFL!$F186="Dallas",+NFL!#REF!,IF(+NFL!$H186="Dallas",+NFL!#REF!,0))</f>
        <v>0</v>
      </c>
      <c r="AM163" s="58">
        <f>IF(+NFL!$F186="Dallas",+NFL!#REF!,IF(+NFL!$H186="Dallas",+NFL!#REF!,0))</f>
        <v>0</v>
      </c>
      <c r="AN163" s="70">
        <f>IF(+NFL!$F186="Dallas",+NFL!#REF!,IF(+NFL!$H186="Dallas",+NFL!#REF!,0))</f>
        <v>0</v>
      </c>
      <c r="AO163" s="59">
        <f>IF(+NFL!$F186="Dallas",+NFL!#REF!,IF(+NFL!$H186="Dallas",+NFL!#REF!,0))</f>
        <v>0</v>
      </c>
      <c r="AP163" s="348">
        <f>IF(+NFL!$F186="Dallas",+NFL!#REF!,IF(+NFL!$H186="Dallas",+NFL!#REF!,0))</f>
        <v>0</v>
      </c>
      <c r="AQ163" s="48">
        <f>IF(+NFL!$F186="Dallas",+NFL!#REF!,IF(+NFL!$H186="Dallas",+NFL!#REF!,0))</f>
        <v>0</v>
      </c>
      <c r="AR163" s="57">
        <f>IF(+NFL!$F186="Dallas",+NFL!#REF!,IF(+NFL!$H186="Dallas",+NFL!#REF!,0))</f>
        <v>0</v>
      </c>
      <c r="AS163" s="64">
        <f>IF(+NFL!$F186="Dallas",+NFL!#REF!,IF(+NFL!$H186="Dallas",+NFL!#REF!,0))</f>
        <v>0</v>
      </c>
      <c r="AT163" s="64">
        <f>IF(+NFL!$F186="Dallas",+NFL!#REF!,IF(+NFL!$H186="Dallas",+NFL!#REF!,0))</f>
        <v>0</v>
      </c>
      <c r="AU163" s="57">
        <f>IF(+NFL!$F186="Dallas",+NFL!#REF!,IF(+NFL!$H186="Dallas",+NFL!#REF!,0))</f>
        <v>0</v>
      </c>
      <c r="AV163" s="64">
        <f>IF(+NFL!$F186="Dallas",+NFL!#REF!,IF(+NFL!$H186="Dallas",+NFL!#REF!,0))</f>
        <v>0</v>
      </c>
      <c r="AW163" s="46">
        <f>IF(+NFL!$F186="Dallas",+NFL!#REF!,IF(+NFL!$H186="Dallas",+NFL!#REF!,0))</f>
        <v>0</v>
      </c>
      <c r="AX163" s="64">
        <f>IF(+NFL!$F186="Dallas",+NFL!#REF!,IF(+NFL!$H186="Dallas",+NFL!#REF!,0))</f>
        <v>0</v>
      </c>
      <c r="AY163" s="57">
        <f>IF(+NFL!$F186="Dallas",+NFL!#REF!,IF(+NFL!$H186="Dallas",+NFL!#REF!,0))</f>
        <v>0</v>
      </c>
      <c r="AZ163" s="64">
        <f>IF(+NFL!$F186="Dallas",+NFL!#REF!,IF(+NFL!$H186="Dallas",+NFL!#REF!,0))</f>
        <v>0</v>
      </c>
      <c r="BA163" s="46">
        <f>IF(+NFL!$F186="Dallas",+NFL!#REF!,IF(+NFL!$H186="Dallas",+NFL!#REF!,0))</f>
        <v>0</v>
      </c>
      <c r="BB163" s="46">
        <f>IF(+NFL!$F186="Dallas",+NFL!#REF!,IF(+NFL!$H186="Dallas",+NFL!#REF!,0))</f>
        <v>0</v>
      </c>
      <c r="BC163" s="403">
        <f>IF(+NFL!$F186="Dallas",+NFL!#REF!,IF(+NFL!$H186="Dallas",+NFL!#REF!,0))</f>
        <v>0</v>
      </c>
      <c r="BD163" s="57">
        <f>IF(+NFL!$F186="Dallas",+NFL!#REF!,IF(+NFL!$H186="Dallas",+NFL!#REF!,0))</f>
        <v>0</v>
      </c>
      <c r="BE163" s="64">
        <f>IF(+NFL!$F186="Dallas",+NFL!#REF!,IF(+NFL!$H186="Dallas",+NFL!#REF!,0))</f>
        <v>0</v>
      </c>
      <c r="BF163" s="46">
        <f>IF(+NFL!$F186="Dallas",+NFL!#REF!,IF(+NFL!$H186="Dallas",+NFL!#REF!,0))</f>
        <v>0</v>
      </c>
      <c r="BG163" s="57">
        <f>IF(+NFL!$F186="Dallas",+NFL!#REF!,IF(+NFL!$H186="Dallas",+NFL!#REF!,0))</f>
        <v>0</v>
      </c>
      <c r="BH163" s="64">
        <f>IF(+NFL!$F186="Dallas",+NFL!#REF!,IF(+NFL!$H186="Dallas",+NFL!#REF!,0))</f>
        <v>0</v>
      </c>
      <c r="BI163" s="46">
        <f>IF(+NFL!$F186="Dallas",+NFL!#REF!,IF(+NFL!$H186="Dallas",+NFL!#REF!,0))</f>
        <v>0</v>
      </c>
      <c r="BJ163" s="87">
        <f>IF(+NFL!$F186="Dallas",+NFL!#REF!,IF(+NFL!$H186="Dallas",+NFL!#REF!,0))</f>
        <v>0</v>
      </c>
      <c r="BK163" s="120">
        <f>IF(+NFL!$F186="Dallas",+NFL!#REF!,IF(+NFL!$H186="Dallas",+NFL!#REF!,0))</f>
        <v>0</v>
      </c>
    </row>
    <row r="164" spans="1:63" x14ac:dyDescent="0.8">
      <c r="A164" s="46">
        <f>IF(+NFL!$F199="Dallas",+NFL!A199,IF(+NFL!$H199="Dallas",+NFL!A199,0))</f>
        <v>11</v>
      </c>
      <c r="B164" s="348" t="str">
        <f>IF(+NFL!$F199="Dallas",+NFL!B199,IF(+NFL!$H199="Dallas",+NFL!B199,0))</f>
        <v>Sun</v>
      </c>
      <c r="C164" s="48">
        <f>IF(+NFL!$F199="Dallas",+NFL!C199,IF(+NFL!$H199="Dallas",+NFL!C199,0))</f>
        <v>44885</v>
      </c>
      <c r="D164" s="490">
        <f>IF(+NFL!$F199="Dallas",+NFL!D199,IF(+NFL!$H199="Dallas",+NFL!D199,0))</f>
        <v>0.66666666666666663</v>
      </c>
      <c r="E164" s="46" t="str">
        <f>IF(+NFL!$F199="Dallas",+NFL!E199,IF(+NFL!$H199="Dallas",+NFL!E199,0))</f>
        <v>NBC</v>
      </c>
      <c r="F164" s="127" t="str">
        <f>IF(+NFL!$F199="Dallas",+NFL!F199,IF(+NFL!$H199="Dallas",+NFL!F199,0))</f>
        <v>Dallas</v>
      </c>
      <c r="G164" s="46" t="str">
        <f>IF(+NFL!$F199="Dallas",+NFL!G199,IF(+NFL!$H199="Dallas",+NFL!G199,0))</f>
        <v>NFCE</v>
      </c>
      <c r="H164" s="127" t="str">
        <f>IF(+NFL!$F199="Dallas",+NFL!H199,IF(+NFL!$H199="Dallas",+NFL!H199,0))</f>
        <v>Minnesota</v>
      </c>
      <c r="I164" s="46" t="str">
        <f>IF(+NFL!$F199="Dallas",+NFL!I199,IF(+NFL!$H199="Dallas",+NFL!I199,0))</f>
        <v>NFCN</v>
      </c>
      <c r="J164" s="353" t="str">
        <f>IF(+NFL!$F199="Dallas",+NFL!J199,IF(+NFL!$H199="Dallas",+NFL!J199,0))</f>
        <v>Dallas</v>
      </c>
      <c r="K164" s="494" t="str">
        <f>IF(+NFL!$F199="Dallas",+NFL!K199,IF(+NFL!$H199="Dallas",+NFL!K199,0))</f>
        <v>Minnesota</v>
      </c>
      <c r="L164" s="384">
        <f>IF(+NFL!$F199="Dallas",+NFL!L199,IF(+NFL!$H199="Dallas",+NFL!L199,0))</f>
        <v>1</v>
      </c>
      <c r="M164" s="385">
        <f>IF(+NFL!$F199="Dallas",+NFL!M199,IF(+NFL!$H199="Dallas",+NFL!M199,0))</f>
        <v>47.6</v>
      </c>
      <c r="N164" s="394" t="str">
        <f>IF(+NFL!$F199="Dallas",+NFL!N199,IF(+NFL!$H199="Dallas",+NFL!N199,0))</f>
        <v>Dallas</v>
      </c>
      <c r="O164" s="395">
        <f>IF(+NFL!$F199="Dallas",+NFL!O199,IF(+NFL!$H199="Dallas",+NFL!O199,0))</f>
        <v>40</v>
      </c>
      <c r="P164" s="394" t="str">
        <f>IF(+NFL!$F199="Dallas",+NFL!P199,IF(+NFL!$H199="Dallas",+NFL!P199,0))</f>
        <v>Minnesota</v>
      </c>
      <c r="Q164" s="396">
        <f>IF(+NFL!$F199="Dallas",+NFL!Q199,IF(+NFL!$H199="Dallas",+NFL!Q199,0))</f>
        <v>3</v>
      </c>
      <c r="R164" s="397" t="str">
        <f>IF(+NFL!$F199="Dallas",+NFL!R199,IF(+NFL!$H199="Dallas",+NFL!R199,0))</f>
        <v>Dallas</v>
      </c>
      <c r="S164" s="396" t="str">
        <f>IF(+NFL!$F199="Dallas",+NFL!S199,IF(+NFL!$H199="Dallas",+NFL!S199,0))</f>
        <v>Minnesota</v>
      </c>
      <c r="T164" s="398" t="str">
        <f>IF(+NFL!$F199="Dallas",+NFL!T199,IF(+NFL!$H199="Dallas",+NFL!T199,0))</f>
        <v>Dallas</v>
      </c>
      <c r="U164" s="396" t="str">
        <f>IF(+NFL!$F199="Dallas",+NFL!U199,IF(+NFL!$H199="Dallas",+NFL!U199,0))</f>
        <v>W</v>
      </c>
      <c r="V164" s="397">
        <f>IF(+NFL!$F206="Dallas",+NFL!#REF!,IF(+NFL!$H206="Dallas",+NFL!#REF!,0))</f>
        <v>0</v>
      </c>
      <c r="W164" s="396">
        <f>IF(+NFL!$F206="Dallas",+NFL!#REF!,IF(+NFL!$H206="Dallas",+NFL!#REF!,0))</f>
        <v>0</v>
      </c>
      <c r="X164" s="398">
        <f>IF(+NFL!$F206="Dallas",+NFL!#REF!,IF(+NFL!$H206="Dallas",+NFL!#REF!,0))</f>
        <v>0</v>
      </c>
      <c r="Y164" s="396">
        <f>IF(+NFL!$F206="Dallas",+NFL!#REF!,IF(+NFL!$H206="Dallas",+NFL!#REF!,0))</f>
        <v>0</v>
      </c>
      <c r="Z164" s="397">
        <f>IF(+NFL!$F206="Dallas",+NFL!#REF!,IF(+NFL!$H206="Dallas",+NFL!#REF!,0))</f>
        <v>0</v>
      </c>
      <c r="AA164" s="396">
        <f>IF(+NFL!$F206="Dallas",+NFL!#REF!,IF(+NFL!$H206="Dallas",+NFL!#REF!,0))</f>
        <v>0</v>
      </c>
      <c r="AB164" s="87">
        <f>IF(+NFL!$F206="Dallas",+NFL!#REF!,IF(+NFL!$H206="Dallas",+NFL!#REF!,0))</f>
        <v>0</v>
      </c>
      <c r="AC164" s="120">
        <f>IF(+NFL!$F206="Dallas",+NFL!#REF!,IF(+NFL!$H206="Dallas",+NFL!#REF!,0))</f>
        <v>0</v>
      </c>
      <c r="AD164" s="353">
        <f>IF(+NFL!$F206="Dallas",+NFL!#REF!,IF(+NFL!$H206="Dallas",+NFL!#REF!,0))</f>
        <v>0</v>
      </c>
      <c r="AE164" s="379">
        <f>IF(+NFL!$F206="Dallas",+NFL!#REF!,IF(+NFL!$H206="Dallas",+NFL!#REF!,0))</f>
        <v>0</v>
      </c>
      <c r="AF164" s="353">
        <f>IF(+NFL!$F206="Dallas",+NFL!#REF!,IF(+NFL!$H206="Dallas",+NFL!#REF!,0))</f>
        <v>0</v>
      </c>
      <c r="AG164" s="379">
        <f>IF(+NFL!$F206="Dallas",+NFL!#REF!,IF(+NFL!$H206="Dallas",+NFL!#REF!,0))</f>
        <v>0</v>
      </c>
      <c r="AH164" s="353">
        <f>IF(+NFL!$F206="Dallas",+NFL!#REF!,IF(+NFL!$H206="Dallas",+NFL!#REF!,0))</f>
        <v>0</v>
      </c>
      <c r="AI164" s="379">
        <f>IF(+NFL!$F206="Dallas",+NFL!#REF!,IF(+NFL!$H206="Dallas",+NFL!#REF!,0))</f>
        <v>0</v>
      </c>
      <c r="AJ164" s="353">
        <f>IF(+NFL!$F206="Dallas",+NFL!#REF!,IF(+NFL!$H206="Dallas",+NFL!#REF!,0))</f>
        <v>0</v>
      </c>
      <c r="AK164" s="379">
        <f>IF(+NFL!$F206="Dallas",+NFL!#REF!,IF(+NFL!$H206="Dallas",+NFL!#REF!,0))</f>
        <v>0</v>
      </c>
      <c r="AL164" s="69">
        <f>IF(+NFL!$F206="Dallas",+NFL!#REF!,IF(+NFL!$H206="Dallas",+NFL!#REF!,0))</f>
        <v>0</v>
      </c>
      <c r="AM164" s="58">
        <f>IF(+NFL!$F206="Dallas",+NFL!#REF!,IF(+NFL!$H206="Dallas",+NFL!#REF!,0))</f>
        <v>0</v>
      </c>
      <c r="AN164" s="70">
        <f>IF(+NFL!$F206="Dallas",+NFL!#REF!,IF(+NFL!$H206="Dallas",+NFL!#REF!,0))</f>
        <v>0</v>
      </c>
      <c r="AO164" s="59">
        <f>IF(+NFL!$F206="Dallas",+NFL!#REF!,IF(+NFL!$H206="Dallas",+NFL!#REF!,0))</f>
        <v>0</v>
      </c>
      <c r="AP164" s="348">
        <f>IF(+NFL!$F206="Dallas",+NFL!#REF!,IF(+NFL!$H206="Dallas",+NFL!#REF!,0))</f>
        <v>0</v>
      </c>
      <c r="AQ164" s="48">
        <f>IF(+NFL!$F206="Dallas",+NFL!#REF!,IF(+NFL!$H206="Dallas",+NFL!#REF!,0))</f>
        <v>0</v>
      </c>
      <c r="AR164" s="57">
        <f>IF(+NFL!$F206="Dallas",+NFL!#REF!,IF(+NFL!$H206="Dallas",+NFL!#REF!,0))</f>
        <v>0</v>
      </c>
      <c r="AS164" s="64">
        <f>IF(+NFL!$F206="Dallas",+NFL!#REF!,IF(+NFL!$H206="Dallas",+NFL!#REF!,0))</f>
        <v>0</v>
      </c>
      <c r="AT164" s="64">
        <f>IF(+NFL!$F206="Dallas",+NFL!#REF!,IF(+NFL!$H206="Dallas",+NFL!#REF!,0))</f>
        <v>0</v>
      </c>
      <c r="AU164" s="57">
        <f>IF(+NFL!$F206="Dallas",+NFL!#REF!,IF(+NFL!$H206="Dallas",+NFL!#REF!,0))</f>
        <v>0</v>
      </c>
      <c r="AV164" s="64">
        <f>IF(+NFL!$F206="Dallas",+NFL!#REF!,IF(+NFL!$H206="Dallas",+NFL!#REF!,0))</f>
        <v>0</v>
      </c>
      <c r="AW164" s="46">
        <f>IF(+NFL!$F206="Dallas",+NFL!#REF!,IF(+NFL!$H206="Dallas",+NFL!#REF!,0))</f>
        <v>0</v>
      </c>
      <c r="AX164" s="64">
        <f>IF(+NFL!$F206="Dallas",+NFL!#REF!,IF(+NFL!$H206="Dallas",+NFL!#REF!,0))</f>
        <v>0</v>
      </c>
      <c r="AY164" s="57">
        <f>IF(+NFL!$F206="Dallas",+NFL!#REF!,IF(+NFL!$H206="Dallas",+NFL!#REF!,0))</f>
        <v>0</v>
      </c>
      <c r="AZ164" s="64">
        <f>IF(+NFL!$F206="Dallas",+NFL!#REF!,IF(+NFL!$H206="Dallas",+NFL!#REF!,0))</f>
        <v>0</v>
      </c>
      <c r="BA164" s="46">
        <f>IF(+NFL!$F206="Dallas",+NFL!#REF!,IF(+NFL!$H206="Dallas",+NFL!#REF!,0))</f>
        <v>0</v>
      </c>
      <c r="BB164" s="46">
        <f>IF(+NFL!$F206="Dallas",+NFL!#REF!,IF(+NFL!$H206="Dallas",+NFL!#REF!,0))</f>
        <v>0</v>
      </c>
      <c r="BC164" s="403">
        <f>IF(+NFL!$F206="Dallas",+NFL!#REF!,IF(+NFL!$H206="Dallas",+NFL!#REF!,0))</f>
        <v>0</v>
      </c>
      <c r="BD164" s="57">
        <f>IF(+NFL!$F206="Dallas",+NFL!#REF!,IF(+NFL!$H206="Dallas",+NFL!#REF!,0))</f>
        <v>0</v>
      </c>
      <c r="BE164" s="64">
        <f>IF(+NFL!$F206="Dallas",+NFL!#REF!,IF(+NFL!$H206="Dallas",+NFL!#REF!,0))</f>
        <v>0</v>
      </c>
      <c r="BF164" s="46">
        <f>IF(+NFL!$F206="Dallas",+NFL!#REF!,IF(+NFL!$H206="Dallas",+NFL!#REF!,0))</f>
        <v>0</v>
      </c>
      <c r="BG164" s="57">
        <f>IF(+NFL!$F206="Dallas",+NFL!#REF!,IF(+NFL!$H206="Dallas",+NFL!#REF!,0))</f>
        <v>0</v>
      </c>
      <c r="BH164" s="64">
        <f>IF(+NFL!$F206="Dallas",+NFL!#REF!,IF(+NFL!$H206="Dallas",+NFL!#REF!,0))</f>
        <v>0</v>
      </c>
      <c r="BI164" s="46">
        <f>IF(+NFL!$F206="Dallas",+NFL!#REF!,IF(+NFL!$H206="Dallas",+NFL!#REF!,0))</f>
        <v>0</v>
      </c>
      <c r="BJ164" s="87">
        <f>IF(+NFL!$F206="Dallas",+NFL!#REF!,IF(+NFL!$H206="Dallas",+NFL!#REF!,0))</f>
        <v>0</v>
      </c>
      <c r="BK164" s="120">
        <f>IF(+NFL!$F206="Dallas",+NFL!#REF!,IF(+NFL!$H206="Dallas",+NFL!#REF!,0))</f>
        <v>0</v>
      </c>
    </row>
    <row r="165" spans="1:63" x14ac:dyDescent="0.8">
      <c r="A165" s="46">
        <f>IF(+NFL!$F210="Dallas",+NFL!A210,IF(+NFL!$H210="Dallas",+NFL!A210,0))</f>
        <v>12</v>
      </c>
      <c r="B165" s="348" t="str">
        <f>IF(+NFL!$F210="Dallas",+NFL!B210,IF(+NFL!$H210="Dallas",+NFL!B210,0))</f>
        <v>Thurs</v>
      </c>
      <c r="C165" s="48">
        <f>IF(+NFL!$F210="Dallas",+NFL!C210,IF(+NFL!$H210="Dallas",+NFL!C210,0))</f>
        <v>44889</v>
      </c>
      <c r="D165" s="490">
        <f>IF(+NFL!$F210="Dallas",+NFL!D210,IF(+NFL!$H210="Dallas",+NFL!D210,0))</f>
        <v>0.6875</v>
      </c>
      <c r="E165" s="46" t="str">
        <f>IF(+NFL!$F210="Dallas",+NFL!E210,IF(+NFL!$H210="Dallas",+NFL!E210,0))</f>
        <v>Fox</v>
      </c>
      <c r="F165" s="127" t="str">
        <f>IF(+NFL!$F210="Dallas",+NFL!F210,IF(+NFL!$H210="Dallas",+NFL!F210,0))</f>
        <v>NY Giants</v>
      </c>
      <c r="G165" s="46" t="str">
        <f>IF(+NFL!$F210="Dallas",+NFL!G210,IF(+NFL!$H210="Dallas",+NFL!G210,0))</f>
        <v>NFCE</v>
      </c>
      <c r="H165" s="127" t="str">
        <f>IF(+NFL!$F210="Dallas",+NFL!H210,IF(+NFL!$H210="Dallas",+NFL!H210,0))</f>
        <v>Dallas</v>
      </c>
      <c r="I165" s="46" t="str">
        <f>IF(+NFL!$F210="Dallas",+NFL!I210,IF(+NFL!$H210="Dallas",+NFL!I210,0))</f>
        <v>NFCE</v>
      </c>
      <c r="J165" s="353" t="str">
        <f>IF(+NFL!$F210="Dallas",+NFL!J210,IF(+NFL!$H210="Dallas",+NFL!J210,0))</f>
        <v>Dallas</v>
      </c>
      <c r="K165" s="494" t="str">
        <f>IF(+NFL!$F210="Dallas",+NFL!K210,IF(+NFL!$H210="Dallas",+NFL!K210,0))</f>
        <v>NY Giants</v>
      </c>
      <c r="L165" s="384">
        <f>IF(+NFL!$F210="Dallas",+NFL!L210,IF(+NFL!$H210="Dallas",+NFL!L210,0))</f>
        <v>10</v>
      </c>
      <c r="M165" s="385">
        <f>IF(+NFL!$F210="Dallas",+NFL!M210,IF(+NFL!$H210="Dallas",+NFL!M210,0))</f>
        <v>45.5</v>
      </c>
      <c r="N165" s="394" t="str">
        <f>IF(+NFL!$F210="Dallas",+NFL!N210,IF(+NFL!$H210="Dallas",+NFL!N210,0))</f>
        <v>Dallas</v>
      </c>
      <c r="O165" s="395">
        <f>IF(+NFL!$F210="Dallas",+NFL!O210,IF(+NFL!$H210="Dallas",+NFL!O210,0))</f>
        <v>28</v>
      </c>
      <c r="P165" s="394" t="str">
        <f>IF(+NFL!$F210="Dallas",+NFL!P210,IF(+NFL!$H210="Dallas",+NFL!P210,0))</f>
        <v>NY Giants</v>
      </c>
      <c r="Q165" s="396">
        <f>IF(+NFL!$F210="Dallas",+NFL!Q210,IF(+NFL!$H210="Dallas",+NFL!Q210,0))</f>
        <v>20</v>
      </c>
      <c r="R165" s="397" t="str">
        <f>IF(+NFL!$F210="Dallas",+NFL!R210,IF(+NFL!$H210="Dallas",+NFL!R210,0))</f>
        <v>NY Giants</v>
      </c>
      <c r="S165" s="396" t="str">
        <f>IF(+NFL!$F210="Dallas",+NFL!S210,IF(+NFL!$H210="Dallas",+NFL!S210,0))</f>
        <v>Dallas</v>
      </c>
      <c r="T165" s="398" t="str">
        <f>IF(+NFL!$F210="Dallas",+NFL!T210,IF(+NFL!$H210="Dallas",+NFL!T210,0))</f>
        <v>NY Giants</v>
      </c>
      <c r="U165" s="396" t="str">
        <f>IF(+NFL!$F210="Dallas",+NFL!U210,IF(+NFL!$H210="Dallas",+NFL!U210,0))</f>
        <v>W</v>
      </c>
      <c r="V165" s="397">
        <f>IF(+NFL!$F219="Dallas",+NFL!#REF!,IF(+NFL!$H219="Dallas",+NFL!#REF!,0))</f>
        <v>0</v>
      </c>
      <c r="W165" s="396">
        <f>IF(+NFL!$F219="Dallas",+NFL!#REF!,IF(+NFL!$H219="Dallas",+NFL!#REF!,0))</f>
        <v>0</v>
      </c>
      <c r="X165" s="398">
        <f>IF(+NFL!$F219="Dallas",+NFL!#REF!,IF(+NFL!$H219="Dallas",+NFL!#REF!,0))</f>
        <v>0</v>
      </c>
      <c r="Y165" s="396">
        <f>IF(+NFL!$F219="Dallas",+NFL!#REF!,IF(+NFL!$H219="Dallas",+NFL!#REF!,0))</f>
        <v>0</v>
      </c>
      <c r="Z165" s="397">
        <f>IF(+NFL!$F219="Dallas",+NFL!#REF!,IF(+NFL!$H219="Dallas",+NFL!#REF!,0))</f>
        <v>0</v>
      </c>
      <c r="AA165" s="396">
        <f>IF(+NFL!$F219="Dallas",+NFL!#REF!,IF(+NFL!$H219="Dallas",+NFL!#REF!,0))</f>
        <v>0</v>
      </c>
      <c r="AB165" s="87">
        <f>IF(+NFL!$F219="Dallas",+NFL!#REF!,IF(+NFL!$H219="Dallas",+NFL!#REF!,0))</f>
        <v>0</v>
      </c>
      <c r="AC165" s="120">
        <f>IF(+NFL!$F219="Dallas",+NFL!#REF!,IF(+NFL!$H219="Dallas",+NFL!#REF!,0))</f>
        <v>0</v>
      </c>
      <c r="AD165" s="353">
        <f>IF(+NFL!$F219="Dallas",+NFL!#REF!,IF(+NFL!$H219="Dallas",+NFL!#REF!,0))</f>
        <v>0</v>
      </c>
      <c r="AE165" s="379">
        <f>IF(+NFL!$F219="Dallas",+NFL!#REF!,IF(+NFL!$H219="Dallas",+NFL!#REF!,0))</f>
        <v>0</v>
      </c>
      <c r="AF165" s="353">
        <f>IF(+NFL!$F219="Dallas",+NFL!#REF!,IF(+NFL!$H219="Dallas",+NFL!#REF!,0))</f>
        <v>0</v>
      </c>
      <c r="AG165" s="379">
        <f>IF(+NFL!$F219="Dallas",+NFL!#REF!,IF(+NFL!$H219="Dallas",+NFL!#REF!,0))</f>
        <v>0</v>
      </c>
      <c r="AH165" s="353">
        <f>IF(+NFL!$F219="Dallas",+NFL!#REF!,IF(+NFL!$H219="Dallas",+NFL!#REF!,0))</f>
        <v>0</v>
      </c>
      <c r="AI165" s="379">
        <f>IF(+NFL!$F219="Dallas",+NFL!#REF!,IF(+NFL!$H219="Dallas",+NFL!#REF!,0))</f>
        <v>0</v>
      </c>
      <c r="AJ165" s="353">
        <f>IF(+NFL!$F219="Dallas",+NFL!#REF!,IF(+NFL!$H219="Dallas",+NFL!#REF!,0))</f>
        <v>0</v>
      </c>
      <c r="AK165" s="379">
        <f>IF(+NFL!$F219="Dallas",+NFL!#REF!,IF(+NFL!$H219="Dallas",+NFL!#REF!,0))</f>
        <v>0</v>
      </c>
      <c r="AL165" s="69">
        <f>IF(+NFL!$F219="Dallas",+NFL!#REF!,IF(+NFL!$H219="Dallas",+NFL!#REF!,0))</f>
        <v>0</v>
      </c>
      <c r="AM165" s="58">
        <f>IF(+NFL!$F219="Dallas",+NFL!#REF!,IF(+NFL!$H219="Dallas",+NFL!#REF!,0))</f>
        <v>0</v>
      </c>
      <c r="AN165" s="70">
        <f>IF(+NFL!$F219="Dallas",+NFL!#REF!,IF(+NFL!$H219="Dallas",+NFL!#REF!,0))</f>
        <v>0</v>
      </c>
      <c r="AO165" s="59">
        <f>IF(+NFL!$F219="Dallas",+NFL!#REF!,IF(+NFL!$H219="Dallas",+NFL!#REF!,0))</f>
        <v>0</v>
      </c>
      <c r="AP165" s="348">
        <f>IF(+NFL!$F219="Dallas",+NFL!#REF!,IF(+NFL!$H219="Dallas",+NFL!#REF!,0))</f>
        <v>0</v>
      </c>
      <c r="AQ165" s="48">
        <f>IF(+NFL!$F219="Dallas",+NFL!#REF!,IF(+NFL!$H219="Dallas",+NFL!#REF!,0))</f>
        <v>0</v>
      </c>
      <c r="AR165" s="57">
        <f>IF(+NFL!$F219="Dallas",+NFL!#REF!,IF(+NFL!$H219="Dallas",+NFL!#REF!,0))</f>
        <v>0</v>
      </c>
      <c r="AS165" s="64">
        <f>IF(+NFL!$F219="Dallas",+NFL!#REF!,IF(+NFL!$H219="Dallas",+NFL!#REF!,0))</f>
        <v>0</v>
      </c>
      <c r="AT165" s="64">
        <f>IF(+NFL!$F219="Dallas",+NFL!#REF!,IF(+NFL!$H219="Dallas",+NFL!#REF!,0))</f>
        <v>0</v>
      </c>
      <c r="AU165" s="57">
        <f>IF(+NFL!$F219="Dallas",+NFL!#REF!,IF(+NFL!$H219="Dallas",+NFL!#REF!,0))</f>
        <v>0</v>
      </c>
      <c r="AV165" s="64">
        <f>IF(+NFL!$F219="Dallas",+NFL!#REF!,IF(+NFL!$H219="Dallas",+NFL!#REF!,0))</f>
        <v>0</v>
      </c>
      <c r="AW165" s="46">
        <f>IF(+NFL!$F219="Dallas",+NFL!#REF!,IF(+NFL!$H219="Dallas",+NFL!#REF!,0))</f>
        <v>0</v>
      </c>
      <c r="AX165" s="64">
        <f>IF(+NFL!$F219="Dallas",+NFL!#REF!,IF(+NFL!$H219="Dallas",+NFL!#REF!,0))</f>
        <v>0</v>
      </c>
      <c r="AY165" s="57">
        <f>IF(+NFL!$F219="Dallas",+NFL!#REF!,IF(+NFL!$H219="Dallas",+NFL!#REF!,0))</f>
        <v>0</v>
      </c>
      <c r="AZ165" s="64">
        <f>IF(+NFL!$F219="Dallas",+NFL!#REF!,IF(+NFL!$H219="Dallas",+NFL!#REF!,0))</f>
        <v>0</v>
      </c>
      <c r="BA165" s="46">
        <f>IF(+NFL!$F219="Dallas",+NFL!#REF!,IF(+NFL!$H219="Dallas",+NFL!#REF!,0))</f>
        <v>0</v>
      </c>
      <c r="BB165" s="46">
        <f>IF(+NFL!$F219="Dallas",+NFL!#REF!,IF(+NFL!$H219="Dallas",+NFL!#REF!,0))</f>
        <v>0</v>
      </c>
      <c r="BC165" s="403">
        <f>IF(+NFL!$F219="Dallas",+NFL!#REF!,IF(+NFL!$H219="Dallas",+NFL!#REF!,0))</f>
        <v>0</v>
      </c>
      <c r="BD165" s="57">
        <f>IF(+NFL!$F219="Dallas",+NFL!#REF!,IF(+NFL!$H219="Dallas",+NFL!#REF!,0))</f>
        <v>0</v>
      </c>
      <c r="BE165" s="64">
        <f>IF(+NFL!$F219="Dallas",+NFL!#REF!,IF(+NFL!$H219="Dallas",+NFL!#REF!,0))</f>
        <v>0</v>
      </c>
      <c r="BF165" s="46">
        <f>IF(+NFL!$F219="Dallas",+NFL!#REF!,IF(+NFL!$H219="Dallas",+NFL!#REF!,0))</f>
        <v>0</v>
      </c>
      <c r="BG165" s="57">
        <f>IF(+NFL!$F219="Dallas",+NFL!#REF!,IF(+NFL!$H219="Dallas",+NFL!#REF!,0))</f>
        <v>0</v>
      </c>
      <c r="BH165" s="64">
        <f>IF(+NFL!$F219="Dallas",+NFL!#REF!,IF(+NFL!$H219="Dallas",+NFL!#REF!,0))</f>
        <v>0</v>
      </c>
      <c r="BI165" s="46">
        <f>IF(+NFL!$F219="Dallas",+NFL!#REF!,IF(+NFL!$H219="Dallas",+NFL!#REF!,0))</f>
        <v>0</v>
      </c>
      <c r="BJ165" s="87">
        <f>IF(+NFL!$F219="Dallas",+NFL!#REF!,IF(+NFL!$H219="Dallas",+NFL!#REF!,0))</f>
        <v>0</v>
      </c>
      <c r="BK165" s="120">
        <f>IF(+NFL!$F219="Dallas",+NFL!#REF!,IF(+NFL!$H219="Dallas",+NFL!#REF!,0))</f>
        <v>0</v>
      </c>
    </row>
    <row r="166" spans="1:63" x14ac:dyDescent="0.8">
      <c r="A166" s="46">
        <f>IF(+NFL!$F239="Dallas",+NFL!A239,IF(+NFL!$H239="Dallas",+NFL!A239,0))</f>
        <v>13</v>
      </c>
      <c r="B166" s="348" t="str">
        <f>IF(+NFL!$F239="Dallas",+NFL!B239,IF(+NFL!$H239="Dallas",+NFL!B239,0))</f>
        <v>Sun</v>
      </c>
      <c r="C166" s="48">
        <f>IF(+NFL!$F239="Dallas",+NFL!C239,IF(+NFL!$H239="Dallas",+NFL!C239,0))</f>
        <v>44899</v>
      </c>
      <c r="D166" s="490">
        <f>IF(+NFL!$F239="Dallas",+NFL!D239,IF(+NFL!$H239="Dallas",+NFL!D239,0))</f>
        <v>0.84375</v>
      </c>
      <c r="E166" s="46" t="str">
        <f>IF(+NFL!$F239="Dallas",+NFL!E239,IF(+NFL!$H239="Dallas",+NFL!E239,0))</f>
        <v>ABC</v>
      </c>
      <c r="F166" s="127" t="str">
        <f>IF(+NFL!$F239="Dallas",+NFL!F239,IF(+NFL!$H239="Dallas",+NFL!F239,0))</f>
        <v>Indianapolis</v>
      </c>
      <c r="G166" s="46" t="str">
        <f>IF(+NFL!$F239="Dallas",+NFL!G239,IF(+NFL!$H239="Dallas",+NFL!G239,0))</f>
        <v>AFCS</v>
      </c>
      <c r="H166" s="127" t="str">
        <f>IF(+NFL!$F239="Dallas",+NFL!H239,IF(+NFL!$H239="Dallas",+NFL!H239,0))</f>
        <v>Dallas</v>
      </c>
      <c r="I166" s="46" t="str">
        <f>IF(+NFL!$F239="Dallas",+NFL!I239,IF(+NFL!$H239="Dallas",+NFL!I239,0))</f>
        <v>NFCE</v>
      </c>
      <c r="J166" s="353" t="str">
        <f>IF(+NFL!$F239="Dallas",+NFL!J239,IF(+NFL!$H239="Dallas",+NFL!J239,0))</f>
        <v>Dallas</v>
      </c>
      <c r="K166" s="494" t="str">
        <f>IF(+NFL!$F239="Dallas",+NFL!K239,IF(+NFL!$H239="Dallas",+NFL!K239,0))</f>
        <v>Indianapolis</v>
      </c>
      <c r="L166" s="384">
        <f>IF(+NFL!$F239="Dallas",+NFL!L239,IF(+NFL!$H239="Dallas",+NFL!L239,0))</f>
        <v>11</v>
      </c>
      <c r="M166" s="385">
        <f>IF(+NFL!$F239="Dallas",+NFL!M239,IF(+NFL!$H239="Dallas",+NFL!M239,0))</f>
        <v>43.5</v>
      </c>
      <c r="N166" s="394" t="str">
        <f>IF(+NFL!$F239="Dallas",+NFL!N239,IF(+NFL!$H239="Dallas",+NFL!N239,0))</f>
        <v>Dallas</v>
      </c>
      <c r="O166" s="395">
        <f>IF(+NFL!$F239="Dallas",+NFL!O239,IF(+NFL!$H239="Dallas",+NFL!O239,0))</f>
        <v>54</v>
      </c>
      <c r="P166" s="394" t="str">
        <f>IF(+NFL!$F239="Dallas",+NFL!P239,IF(+NFL!$H239="Dallas",+NFL!P239,0))</f>
        <v>Indianapolis</v>
      </c>
      <c r="Q166" s="396">
        <f>IF(+NFL!$F239="Dallas",+NFL!Q239,IF(+NFL!$H239="Dallas",+NFL!Q239,0))</f>
        <v>19</v>
      </c>
      <c r="R166" s="397" t="str">
        <f>IF(+NFL!$F239="Dallas",+NFL!R239,IF(+NFL!$H239="Dallas",+NFL!R239,0))</f>
        <v>Dallas</v>
      </c>
      <c r="S166" s="396" t="str">
        <f>IF(+NFL!$F239="Dallas",+NFL!S239,IF(+NFL!$H239="Dallas",+NFL!S239,0))</f>
        <v>Indianapolis</v>
      </c>
      <c r="T166" s="398" t="str">
        <f>IF(+NFL!$F239="Dallas",+NFL!T239,IF(+NFL!$H239="Dallas",+NFL!T239,0))</f>
        <v>Indianapolis</v>
      </c>
      <c r="U166" s="396" t="str">
        <f>IF(+NFL!$F239="Dallas",+NFL!U239,IF(+NFL!$H239="Dallas",+NFL!U239,0))</f>
        <v>L</v>
      </c>
      <c r="V166" s="397">
        <f>IF(+NFL!$F250="Dallas",+NFL!#REF!,IF(+NFL!$H250="Dallas",+NFL!#REF!,0))</f>
        <v>0</v>
      </c>
      <c r="W166" s="396">
        <f>IF(+NFL!$F250="Dallas",+NFL!#REF!,IF(+NFL!$H250="Dallas",+NFL!#REF!,0))</f>
        <v>0</v>
      </c>
      <c r="X166" s="398">
        <f>IF(+NFL!$F250="Dallas",+NFL!#REF!,IF(+NFL!$H250="Dallas",+NFL!#REF!,0))</f>
        <v>0</v>
      </c>
      <c r="Y166" s="396">
        <f>IF(+NFL!$F250="Dallas",+NFL!#REF!,IF(+NFL!$H250="Dallas",+NFL!#REF!,0))</f>
        <v>0</v>
      </c>
      <c r="Z166" s="397">
        <f>IF(+NFL!$F250="Dallas",+NFL!#REF!,IF(+NFL!$H250="Dallas",+NFL!#REF!,0))</f>
        <v>0</v>
      </c>
      <c r="AA166" s="396">
        <f>IF(+NFL!$F250="Dallas",+NFL!#REF!,IF(+NFL!$H250="Dallas",+NFL!#REF!,0))</f>
        <v>0</v>
      </c>
      <c r="AB166" s="87">
        <f>IF(+NFL!$F250="Dallas",+NFL!#REF!,IF(+NFL!$H250="Dallas",+NFL!#REF!,0))</f>
        <v>0</v>
      </c>
      <c r="AC166" s="120">
        <f>IF(+NFL!$F250="Dallas",+NFL!#REF!,IF(+NFL!$H250="Dallas",+NFL!#REF!,0))</f>
        <v>0</v>
      </c>
      <c r="AD166" s="353">
        <f>IF(+NFL!$F250="Dallas",+NFL!#REF!,IF(+NFL!$H250="Dallas",+NFL!#REF!,0))</f>
        <v>0</v>
      </c>
      <c r="AE166" s="379">
        <f>IF(+NFL!$F250="Dallas",+NFL!#REF!,IF(+NFL!$H250="Dallas",+NFL!#REF!,0))</f>
        <v>0</v>
      </c>
      <c r="AF166" s="353">
        <f>IF(+NFL!$F250="Dallas",+NFL!#REF!,IF(+NFL!$H250="Dallas",+NFL!#REF!,0))</f>
        <v>0</v>
      </c>
      <c r="AG166" s="379">
        <f>IF(+NFL!$F250="Dallas",+NFL!#REF!,IF(+NFL!$H250="Dallas",+NFL!#REF!,0))</f>
        <v>0</v>
      </c>
      <c r="AH166" s="353">
        <f>IF(+NFL!$F250="Dallas",+NFL!#REF!,IF(+NFL!$H250="Dallas",+NFL!#REF!,0))</f>
        <v>0</v>
      </c>
      <c r="AI166" s="379">
        <f>IF(+NFL!$F250="Dallas",+NFL!#REF!,IF(+NFL!$H250="Dallas",+NFL!#REF!,0))</f>
        <v>0</v>
      </c>
      <c r="AJ166" s="353">
        <f>IF(+NFL!$F250="Dallas",+NFL!#REF!,IF(+NFL!$H250="Dallas",+NFL!#REF!,0))</f>
        <v>0</v>
      </c>
      <c r="AK166" s="379">
        <f>IF(+NFL!$F250="Dallas",+NFL!#REF!,IF(+NFL!$H250="Dallas",+NFL!#REF!,0))</f>
        <v>0</v>
      </c>
      <c r="AL166" s="69">
        <f>IF(+NFL!$F250="Dallas",+NFL!#REF!,IF(+NFL!$H250="Dallas",+NFL!#REF!,0))</f>
        <v>0</v>
      </c>
      <c r="AM166" s="58">
        <f>IF(+NFL!$F250="Dallas",+NFL!#REF!,IF(+NFL!$H250="Dallas",+NFL!#REF!,0))</f>
        <v>0</v>
      </c>
      <c r="AN166" s="70">
        <f>IF(+NFL!$F250="Dallas",+NFL!#REF!,IF(+NFL!$H250="Dallas",+NFL!#REF!,0))</f>
        <v>0</v>
      </c>
      <c r="AO166" s="59">
        <f>IF(+NFL!$F250="Dallas",+NFL!#REF!,IF(+NFL!$H250="Dallas",+NFL!#REF!,0))</f>
        <v>0</v>
      </c>
      <c r="AP166" s="348">
        <f>IF(+NFL!$F250="Dallas",+NFL!#REF!,IF(+NFL!$H250="Dallas",+NFL!#REF!,0))</f>
        <v>0</v>
      </c>
      <c r="AQ166" s="48">
        <f>IF(+NFL!$F250="Dallas",+NFL!#REF!,IF(+NFL!$H250="Dallas",+NFL!#REF!,0))</f>
        <v>0</v>
      </c>
      <c r="AR166" s="57">
        <f>IF(+NFL!$F250="Dallas",+NFL!#REF!,IF(+NFL!$H250="Dallas",+NFL!#REF!,0))</f>
        <v>0</v>
      </c>
      <c r="AS166" s="64">
        <f>IF(+NFL!$F250="Dallas",+NFL!#REF!,IF(+NFL!$H250="Dallas",+NFL!#REF!,0))</f>
        <v>0</v>
      </c>
      <c r="AT166" s="64">
        <f>IF(+NFL!$F250="Dallas",+NFL!#REF!,IF(+NFL!$H250="Dallas",+NFL!#REF!,0))</f>
        <v>0</v>
      </c>
      <c r="AU166" s="57">
        <f>IF(+NFL!$F250="Dallas",+NFL!#REF!,IF(+NFL!$H250="Dallas",+NFL!#REF!,0))</f>
        <v>0</v>
      </c>
      <c r="AV166" s="64">
        <f>IF(+NFL!$F250="Dallas",+NFL!#REF!,IF(+NFL!$H250="Dallas",+NFL!#REF!,0))</f>
        <v>0</v>
      </c>
      <c r="AW166" s="46">
        <f>IF(+NFL!$F250="Dallas",+NFL!#REF!,IF(+NFL!$H250="Dallas",+NFL!#REF!,0))</f>
        <v>0</v>
      </c>
      <c r="AX166" s="64">
        <f>IF(+NFL!$F250="Dallas",+NFL!#REF!,IF(+NFL!$H250="Dallas",+NFL!#REF!,0))</f>
        <v>0</v>
      </c>
      <c r="AY166" s="57">
        <f>IF(+NFL!$F250="Dallas",+NFL!#REF!,IF(+NFL!$H250="Dallas",+NFL!#REF!,0))</f>
        <v>0</v>
      </c>
      <c r="AZ166" s="64">
        <f>IF(+NFL!$F250="Dallas",+NFL!#REF!,IF(+NFL!$H250="Dallas",+NFL!#REF!,0))</f>
        <v>0</v>
      </c>
      <c r="BA166" s="46">
        <f>IF(+NFL!$F250="Dallas",+NFL!#REF!,IF(+NFL!$H250="Dallas",+NFL!#REF!,0))</f>
        <v>0</v>
      </c>
      <c r="BB166" s="46">
        <f>IF(+NFL!$F250="Dallas",+NFL!#REF!,IF(+NFL!$H250="Dallas",+NFL!#REF!,0))</f>
        <v>0</v>
      </c>
      <c r="BC166" s="403">
        <f>IF(+NFL!$F250="Dallas",+NFL!#REF!,IF(+NFL!$H250="Dallas",+NFL!#REF!,0))</f>
        <v>0</v>
      </c>
      <c r="BD166" s="57">
        <f>IF(+NFL!$F250="Dallas",+NFL!#REF!,IF(+NFL!$H250="Dallas",+NFL!#REF!,0))</f>
        <v>0</v>
      </c>
      <c r="BE166" s="64">
        <f>IF(+NFL!$F250="Dallas",+NFL!#REF!,IF(+NFL!$H250="Dallas",+NFL!#REF!,0))</f>
        <v>0</v>
      </c>
      <c r="BF166" s="46">
        <f>IF(+NFL!$F250="Dallas",+NFL!#REF!,IF(+NFL!$H250="Dallas",+NFL!#REF!,0))</f>
        <v>0</v>
      </c>
      <c r="BG166" s="57">
        <f>IF(+NFL!$F250="Dallas",+NFL!#REF!,IF(+NFL!$H250="Dallas",+NFL!#REF!,0))</f>
        <v>0</v>
      </c>
      <c r="BH166" s="64">
        <f>IF(+NFL!$F250="Dallas",+NFL!#REF!,IF(+NFL!$H250="Dallas",+NFL!#REF!,0))</f>
        <v>0</v>
      </c>
      <c r="BI166" s="46">
        <f>IF(+NFL!$F250="Dallas",+NFL!#REF!,IF(+NFL!$H250="Dallas",+NFL!#REF!,0))</f>
        <v>0</v>
      </c>
      <c r="BJ166" s="87">
        <f>IF(+NFL!$F250="Dallas",+NFL!#REF!,IF(+NFL!$H250="Dallas",+NFL!#REF!,0))</f>
        <v>0</v>
      </c>
      <c r="BK166" s="120">
        <f>IF(+NFL!$F250="Dallas",+NFL!#REF!,IF(+NFL!$H250="Dallas",+NFL!#REF!,0))</f>
        <v>0</v>
      </c>
    </row>
    <row r="167" spans="1:63" x14ac:dyDescent="0.8">
      <c r="A167" s="46">
        <f>IF(+NFL!$F248="Dallas",+NFL!A248,IF(+NFL!$H248="Dallas",+NFL!A248,0))</f>
        <v>14</v>
      </c>
      <c r="B167" s="348" t="str">
        <f>IF(+NFL!$F248="Dallas",+NFL!B248,IF(+NFL!$H248="Dallas",+NFL!B248,0))</f>
        <v>Sun</v>
      </c>
      <c r="C167" s="48">
        <f>IF(+NFL!$F248="Dallas",+NFL!C248,IF(+NFL!$H248="Dallas",+NFL!C248,0))</f>
        <v>44906</v>
      </c>
      <c r="D167" s="490">
        <f>IF(+NFL!$F248="Dallas",+NFL!D248,IF(+NFL!$H248="Dallas",+NFL!D248,0))</f>
        <v>0.54166666666666663</v>
      </c>
      <c r="E167" s="46" t="str">
        <f>IF(+NFL!$F248="Dallas",+NFL!E248,IF(+NFL!$H248="Dallas",+NFL!E248,0))</f>
        <v>CBS</v>
      </c>
      <c r="F167" s="127" t="str">
        <f>IF(+NFL!$F248="Dallas",+NFL!F248,IF(+NFL!$H248="Dallas",+NFL!F248,0))</f>
        <v>Houston</v>
      </c>
      <c r="G167" s="46" t="str">
        <f>IF(+NFL!$F248="Dallas",+NFL!G248,IF(+NFL!$H248="Dallas",+NFL!G248,0))</f>
        <v>AFCS</v>
      </c>
      <c r="H167" s="127" t="str">
        <f>IF(+NFL!$F248="Dallas",+NFL!H248,IF(+NFL!$H248="Dallas",+NFL!H248,0))</f>
        <v>Dallas</v>
      </c>
      <c r="I167" s="46" t="str">
        <f>IF(+NFL!$F248="Dallas",+NFL!I248,IF(+NFL!$H248="Dallas",+NFL!I248,0))</f>
        <v>NFCE</v>
      </c>
      <c r="J167" s="353" t="str">
        <f>IF(+NFL!$F248="Dallas",+NFL!J248,IF(+NFL!$H248="Dallas",+NFL!J248,0))</f>
        <v>Dallas</v>
      </c>
      <c r="K167" s="494" t="str">
        <f>IF(+NFL!$F248="Dallas",+NFL!K248,IF(+NFL!$H248="Dallas",+NFL!K248,0))</f>
        <v>Houston</v>
      </c>
      <c r="L167" s="384">
        <f>IF(+NFL!$F248="Dallas",+NFL!L248,IF(+NFL!$H248="Dallas",+NFL!L248,0))</f>
        <v>14.5</v>
      </c>
      <c r="M167" s="385">
        <f>IF(+NFL!$F248="Dallas",+NFL!M248,IF(+NFL!$H248="Dallas",+NFL!M248,0))</f>
        <v>52.5</v>
      </c>
      <c r="N167" s="394" t="str">
        <f>IF(+NFL!$F248="Dallas",+NFL!N248,IF(+NFL!$H248="Dallas",+NFL!N248,0))</f>
        <v>Dallas</v>
      </c>
      <c r="O167" s="395">
        <f>IF(+NFL!$F248="Dallas",+NFL!O248,IF(+NFL!$H248="Dallas",+NFL!O248,0))</f>
        <v>27</v>
      </c>
      <c r="P167" s="394" t="str">
        <f>IF(+NFL!$F248="Dallas",+NFL!P248,IF(+NFL!$H248="Dallas",+NFL!P248,0))</f>
        <v>Houston</v>
      </c>
      <c r="Q167" s="396">
        <f>IF(+NFL!$F248="Dallas",+NFL!Q248,IF(+NFL!$H248="Dallas",+NFL!Q248,0))</f>
        <v>23</v>
      </c>
      <c r="R167" s="397" t="str">
        <f>IF(+NFL!$F248="Dallas",+NFL!R248,IF(+NFL!$H248="Dallas",+NFL!R248,0))</f>
        <v>Houston</v>
      </c>
      <c r="S167" s="396" t="str">
        <f>IF(+NFL!$F248="Dallas",+NFL!S248,IF(+NFL!$H248="Dallas",+NFL!S248,0))</f>
        <v>Dallas</v>
      </c>
      <c r="T167" s="398">
        <f>IF(+NFL!$F248="Dallas",+NFL!T248,IF(+NFL!$H248="Dallas",+NFL!T248,0))</f>
        <v>0</v>
      </c>
      <c r="U167" s="396" t="str">
        <f>IF(+NFL!$F248="Dallas",+NFL!U248,IF(+NFL!$H248="Dallas",+NFL!U248,0))</f>
        <v>L</v>
      </c>
      <c r="V167" s="397">
        <f>IF(+NFL!$F266="Dallas",+NFL!#REF!,IF(+NFL!$H266="Dallas",+NFL!#REF!,0))</f>
        <v>0</v>
      </c>
      <c r="W167" s="396">
        <f>IF(+NFL!$F266="Dallas",+NFL!#REF!,IF(+NFL!$H266="Dallas",+NFL!#REF!,0))</f>
        <v>0</v>
      </c>
      <c r="X167" s="398">
        <f>IF(+NFL!$F266="Dallas",+NFL!#REF!,IF(+NFL!$H266="Dallas",+NFL!#REF!,0))</f>
        <v>0</v>
      </c>
      <c r="Y167" s="396">
        <f>IF(+NFL!$F266="Dallas",+NFL!#REF!,IF(+NFL!$H266="Dallas",+NFL!#REF!,0))</f>
        <v>0</v>
      </c>
      <c r="Z167" s="397">
        <f>IF(+NFL!$F266="Dallas",+NFL!#REF!,IF(+NFL!$H266="Dallas",+NFL!#REF!,0))</f>
        <v>0</v>
      </c>
      <c r="AA167" s="396">
        <f>IF(+NFL!$F266="Dallas",+NFL!#REF!,IF(+NFL!$H266="Dallas",+NFL!#REF!,0))</f>
        <v>0</v>
      </c>
      <c r="AB167" s="87">
        <f>IF(+NFL!$F266="Dallas",+NFL!#REF!,IF(+NFL!$H266="Dallas",+NFL!#REF!,0))</f>
        <v>0</v>
      </c>
      <c r="AC167" s="120">
        <f>IF(+NFL!$F266="Dallas",+NFL!#REF!,IF(+NFL!$H266="Dallas",+NFL!#REF!,0))</f>
        <v>0</v>
      </c>
      <c r="AD167" s="353">
        <f>IF(+NFL!$F266="Dallas",+NFL!#REF!,IF(+NFL!$H266="Dallas",+NFL!#REF!,0))</f>
        <v>0</v>
      </c>
      <c r="AE167" s="379">
        <f>IF(+NFL!$F266="Dallas",+NFL!#REF!,IF(+NFL!$H266="Dallas",+NFL!#REF!,0))</f>
        <v>0</v>
      </c>
      <c r="AF167" s="353">
        <f>IF(+NFL!$F266="Dallas",+NFL!#REF!,IF(+NFL!$H266="Dallas",+NFL!#REF!,0))</f>
        <v>0</v>
      </c>
      <c r="AG167" s="379">
        <f>IF(+NFL!$F266="Dallas",+NFL!#REF!,IF(+NFL!$H266="Dallas",+NFL!#REF!,0))</f>
        <v>0</v>
      </c>
      <c r="AH167" s="353">
        <f>IF(+NFL!$F266="Dallas",+NFL!#REF!,IF(+NFL!$H266="Dallas",+NFL!#REF!,0))</f>
        <v>0</v>
      </c>
      <c r="AI167" s="379">
        <f>IF(+NFL!$F266="Dallas",+NFL!#REF!,IF(+NFL!$H266="Dallas",+NFL!#REF!,0))</f>
        <v>0</v>
      </c>
      <c r="AJ167" s="353">
        <f>IF(+NFL!$F266="Dallas",+NFL!#REF!,IF(+NFL!$H266="Dallas",+NFL!#REF!,0))</f>
        <v>0</v>
      </c>
      <c r="AK167" s="379">
        <f>IF(+NFL!$F266="Dallas",+NFL!#REF!,IF(+NFL!$H266="Dallas",+NFL!#REF!,0))</f>
        <v>0</v>
      </c>
      <c r="AL167" s="69">
        <f>IF(+NFL!$F266="Dallas",+NFL!#REF!,IF(+NFL!$H266="Dallas",+NFL!#REF!,0))</f>
        <v>0</v>
      </c>
      <c r="AM167" s="58">
        <f>IF(+NFL!$F266="Dallas",+NFL!#REF!,IF(+NFL!$H266="Dallas",+NFL!#REF!,0))</f>
        <v>0</v>
      </c>
      <c r="AN167" s="70">
        <f>IF(+NFL!$F266="Dallas",+NFL!#REF!,IF(+NFL!$H266="Dallas",+NFL!#REF!,0))</f>
        <v>0</v>
      </c>
      <c r="AO167" s="59">
        <f>IF(+NFL!$F266="Dallas",+NFL!#REF!,IF(+NFL!$H266="Dallas",+NFL!#REF!,0))</f>
        <v>0</v>
      </c>
      <c r="AP167" s="348">
        <f>IF(+NFL!$F266="Dallas",+NFL!#REF!,IF(+NFL!$H266="Dallas",+NFL!#REF!,0))</f>
        <v>0</v>
      </c>
      <c r="AQ167" s="48">
        <f>IF(+NFL!$F266="Dallas",+NFL!#REF!,IF(+NFL!$H266="Dallas",+NFL!#REF!,0))</f>
        <v>0</v>
      </c>
      <c r="AR167" s="57">
        <f>IF(+NFL!$F266="Dallas",+NFL!#REF!,IF(+NFL!$H266="Dallas",+NFL!#REF!,0))</f>
        <v>0</v>
      </c>
      <c r="AS167" s="64">
        <f>IF(+NFL!$F266="Dallas",+NFL!#REF!,IF(+NFL!$H266="Dallas",+NFL!#REF!,0))</f>
        <v>0</v>
      </c>
      <c r="AT167" s="64">
        <f>IF(+NFL!$F266="Dallas",+NFL!#REF!,IF(+NFL!$H266="Dallas",+NFL!#REF!,0))</f>
        <v>0</v>
      </c>
      <c r="AU167" s="57">
        <f>IF(+NFL!$F266="Dallas",+NFL!#REF!,IF(+NFL!$H266="Dallas",+NFL!#REF!,0))</f>
        <v>0</v>
      </c>
      <c r="AV167" s="64">
        <f>IF(+NFL!$F266="Dallas",+NFL!#REF!,IF(+NFL!$H266="Dallas",+NFL!#REF!,0))</f>
        <v>0</v>
      </c>
      <c r="AW167" s="46">
        <f>IF(+NFL!$F266="Dallas",+NFL!#REF!,IF(+NFL!$H266="Dallas",+NFL!#REF!,0))</f>
        <v>0</v>
      </c>
      <c r="AX167" s="64">
        <f>IF(+NFL!$F266="Dallas",+NFL!#REF!,IF(+NFL!$H266="Dallas",+NFL!#REF!,0))</f>
        <v>0</v>
      </c>
      <c r="AY167" s="57">
        <f>IF(+NFL!$F266="Dallas",+NFL!#REF!,IF(+NFL!$H266="Dallas",+NFL!#REF!,0))</f>
        <v>0</v>
      </c>
      <c r="AZ167" s="64">
        <f>IF(+NFL!$F266="Dallas",+NFL!#REF!,IF(+NFL!$H266="Dallas",+NFL!#REF!,0))</f>
        <v>0</v>
      </c>
      <c r="BA167" s="46">
        <f>IF(+NFL!$F266="Dallas",+NFL!#REF!,IF(+NFL!$H266="Dallas",+NFL!#REF!,0))</f>
        <v>0</v>
      </c>
      <c r="BB167" s="46">
        <f>IF(+NFL!$F266="Dallas",+NFL!#REF!,IF(+NFL!$H266="Dallas",+NFL!#REF!,0))</f>
        <v>0</v>
      </c>
      <c r="BC167" s="403">
        <f>IF(+NFL!$F266="Dallas",+NFL!#REF!,IF(+NFL!$H266="Dallas",+NFL!#REF!,0))</f>
        <v>0</v>
      </c>
      <c r="BD167" s="57">
        <f>IF(+NFL!$F266="Dallas",+NFL!#REF!,IF(+NFL!$H266="Dallas",+NFL!#REF!,0))</f>
        <v>0</v>
      </c>
      <c r="BE167" s="64">
        <f>IF(+NFL!$F266="Dallas",+NFL!#REF!,IF(+NFL!$H266="Dallas",+NFL!#REF!,0))</f>
        <v>0</v>
      </c>
      <c r="BF167" s="46">
        <f>IF(+NFL!$F266="Dallas",+NFL!#REF!,IF(+NFL!$H266="Dallas",+NFL!#REF!,0))</f>
        <v>0</v>
      </c>
      <c r="BG167" s="57">
        <f>IF(+NFL!$F266="Dallas",+NFL!#REF!,IF(+NFL!$H266="Dallas",+NFL!#REF!,0))</f>
        <v>0</v>
      </c>
      <c r="BH167" s="64">
        <f>IF(+NFL!$F266="Dallas",+NFL!#REF!,IF(+NFL!$H266="Dallas",+NFL!#REF!,0))</f>
        <v>0</v>
      </c>
      <c r="BI167" s="46">
        <f>IF(+NFL!$F266="Dallas",+NFL!#REF!,IF(+NFL!$H266="Dallas",+NFL!#REF!,0))</f>
        <v>0</v>
      </c>
      <c r="BJ167" s="87">
        <f>IF(+NFL!$F266="Dallas",+NFL!#REF!,IF(+NFL!$H266="Dallas",+NFL!#REF!,0))</f>
        <v>0</v>
      </c>
      <c r="BK167" s="120">
        <f>IF(+NFL!$F266="Dallas",+NFL!#REF!,IF(+NFL!$H266="Dallas",+NFL!#REF!,0))</f>
        <v>0</v>
      </c>
    </row>
    <row r="168" spans="1:63" x14ac:dyDescent="0.8">
      <c r="A168" s="46">
        <f>IF(+NFL!$F275="Dallas",+NFL!A275,IF(+NFL!$H275="Dallas",+NFL!A275,0))</f>
        <v>15</v>
      </c>
      <c r="B168" s="348" t="str">
        <f>IF(+NFL!$F275="Dallas",+NFL!B275,IF(+NFL!$H275="Dallas",+NFL!B275,0))</f>
        <v>Sun</v>
      </c>
      <c r="C168" s="48">
        <f>IF(+NFL!$F275="Dallas",+NFL!C275,IF(+NFL!$H275="Dallas",+NFL!C275,0))</f>
        <v>44913</v>
      </c>
      <c r="D168" s="490">
        <f>IF(+NFL!$F275="Dallas",+NFL!D275,IF(+NFL!$H275="Dallas",+NFL!D275,0))</f>
        <v>0.54166666666666663</v>
      </c>
      <c r="E168" s="46" t="str">
        <f>IF(+NFL!$F275="Dallas",+NFL!E275,IF(+NFL!$H275="Dallas",+NFL!E275,0))</f>
        <v>Fox</v>
      </c>
      <c r="F168" s="127" t="str">
        <f>IF(+NFL!$F275="Dallas",+NFL!F275,IF(+NFL!$H275="Dallas",+NFL!F275,0))</f>
        <v>Dallas</v>
      </c>
      <c r="G168" s="46" t="str">
        <f>IF(+NFL!$F275="Dallas",+NFL!G275,IF(+NFL!$H275="Dallas",+NFL!G275,0))</f>
        <v>NFCE</v>
      </c>
      <c r="H168" s="127" t="str">
        <f>IF(+NFL!$F275="Dallas",+NFL!H275,IF(+NFL!$H275="Dallas",+NFL!H275,0))</f>
        <v>Jacksonville</v>
      </c>
      <c r="I168" s="46" t="str">
        <f>IF(+NFL!$F275="Dallas",+NFL!I275,IF(+NFL!$H275="Dallas",+NFL!I275,0))</f>
        <v>AFCS</v>
      </c>
      <c r="J168" s="353" t="str">
        <f>IF(+NFL!$F275="Dallas",+NFL!J275,IF(+NFL!$H275="Dallas",+NFL!J275,0))</f>
        <v>Dallas</v>
      </c>
      <c r="K168" s="494" t="str">
        <f>IF(+NFL!$F275="Dallas",+NFL!K275,IF(+NFL!$H275="Dallas",+NFL!K275,0))</f>
        <v>Jacksonville</v>
      </c>
      <c r="L168" s="384">
        <f>IF(+NFL!$F275="Dallas",+NFL!L275,IF(+NFL!$H275="Dallas",+NFL!L275,0))</f>
        <v>3.5</v>
      </c>
      <c r="M168" s="385">
        <f>IF(+NFL!$F275="Dallas",+NFL!M275,IF(+NFL!$H275="Dallas",+NFL!M275,0))</f>
        <v>47.5</v>
      </c>
      <c r="N168" s="394" t="str">
        <f>IF(+NFL!$F275="Dallas",+NFL!N275,IF(+NFL!$H275="Dallas",+NFL!N275,0))</f>
        <v>Jacksonville</v>
      </c>
      <c r="O168" s="395">
        <f>IF(+NFL!$F275="Dallas",+NFL!O275,IF(+NFL!$H275="Dallas",+NFL!O275,0))</f>
        <v>40</v>
      </c>
      <c r="P168" s="394" t="str">
        <f>IF(+NFL!$F275="Dallas",+NFL!P275,IF(+NFL!$H275="Dallas",+NFL!P275,0))</f>
        <v>Dallas</v>
      </c>
      <c r="Q168" s="396">
        <f>IF(+NFL!$F275="Dallas",+NFL!Q275,IF(+NFL!$H275="Dallas",+NFL!Q275,0))</f>
        <v>34</v>
      </c>
      <c r="R168" s="397" t="str">
        <f>IF(+NFL!$F275="Dallas",+NFL!R275,IF(+NFL!$H275="Dallas",+NFL!R275,0))</f>
        <v>Jacksonville</v>
      </c>
      <c r="S168" s="396" t="str">
        <f>IF(+NFL!$F275="Dallas",+NFL!S275,IF(+NFL!$H275="Dallas",+NFL!S275,0))</f>
        <v>Dallas</v>
      </c>
      <c r="T168" s="398">
        <f>IF(+NFL!$F275="Dallas",+NFL!T275,IF(+NFL!$H275="Dallas",+NFL!T275,0))</f>
        <v>0</v>
      </c>
      <c r="U168" s="396" t="str">
        <f>IF(+NFL!$F275="Dallas",+NFL!U275,IF(+NFL!$H275="Dallas",+NFL!U275,0))</f>
        <v>L</v>
      </c>
      <c r="V168" s="397">
        <f>IF(+NFL!$F283="Dallas",+NFL!#REF!,IF(+NFL!$H283="Dallas",+NFL!#REF!,0))</f>
        <v>0</v>
      </c>
      <c r="W168" s="396">
        <f>IF(+NFL!$F283="Dallas",+NFL!#REF!,IF(+NFL!$H283="Dallas",+NFL!#REF!,0))</f>
        <v>0</v>
      </c>
      <c r="X168" s="398">
        <f>IF(+NFL!$F283="Dallas",+NFL!#REF!,IF(+NFL!$H283="Dallas",+NFL!#REF!,0))</f>
        <v>0</v>
      </c>
      <c r="Y168" s="396">
        <f>IF(+NFL!$F283="Dallas",+NFL!#REF!,IF(+NFL!$H283="Dallas",+NFL!#REF!,0))</f>
        <v>0</v>
      </c>
      <c r="Z168" s="397">
        <f>IF(+NFL!$F283="Dallas",+NFL!#REF!,IF(+NFL!$H283="Dallas",+NFL!#REF!,0))</f>
        <v>0</v>
      </c>
      <c r="AA168" s="396">
        <f>IF(+NFL!$F283="Dallas",+NFL!#REF!,IF(+NFL!$H283="Dallas",+NFL!#REF!,0))</f>
        <v>0</v>
      </c>
      <c r="AB168" s="87">
        <f>IF(+NFL!$F283="Dallas",+NFL!#REF!,IF(+NFL!$H283="Dallas",+NFL!#REF!,0))</f>
        <v>0</v>
      </c>
      <c r="AC168" s="120">
        <f>IF(+NFL!$F283="Dallas",+NFL!#REF!,IF(+NFL!$H283="Dallas",+NFL!#REF!,0))</f>
        <v>0</v>
      </c>
      <c r="AD168" s="353">
        <f>IF(+NFL!$F283="Dallas",+NFL!#REF!,IF(+NFL!$H283="Dallas",+NFL!#REF!,0))</f>
        <v>0</v>
      </c>
      <c r="AE168" s="379">
        <f>IF(+NFL!$F283="Dallas",+NFL!#REF!,IF(+NFL!$H283="Dallas",+NFL!#REF!,0))</f>
        <v>0</v>
      </c>
      <c r="AF168" s="353">
        <f>IF(+NFL!$F283="Dallas",+NFL!#REF!,IF(+NFL!$H283="Dallas",+NFL!#REF!,0))</f>
        <v>0</v>
      </c>
      <c r="AG168" s="379">
        <f>IF(+NFL!$F283="Dallas",+NFL!#REF!,IF(+NFL!$H283="Dallas",+NFL!#REF!,0))</f>
        <v>0</v>
      </c>
      <c r="AH168" s="353">
        <f>IF(+NFL!$F283="Dallas",+NFL!#REF!,IF(+NFL!$H283="Dallas",+NFL!#REF!,0))</f>
        <v>0</v>
      </c>
      <c r="AI168" s="379">
        <f>IF(+NFL!$F283="Dallas",+NFL!#REF!,IF(+NFL!$H283="Dallas",+NFL!#REF!,0))</f>
        <v>0</v>
      </c>
      <c r="AJ168" s="353">
        <f>IF(+NFL!$F283="Dallas",+NFL!#REF!,IF(+NFL!$H283="Dallas",+NFL!#REF!,0))</f>
        <v>0</v>
      </c>
      <c r="AK168" s="379">
        <f>IF(+NFL!$F283="Dallas",+NFL!#REF!,IF(+NFL!$H283="Dallas",+NFL!#REF!,0))</f>
        <v>0</v>
      </c>
      <c r="AL168" s="69">
        <f>IF(+NFL!$F283="Dallas",+NFL!#REF!,IF(+NFL!$H283="Dallas",+NFL!#REF!,0))</f>
        <v>0</v>
      </c>
      <c r="AM168" s="58">
        <f>IF(+NFL!$F283="Dallas",+NFL!#REF!,IF(+NFL!$H283="Dallas",+NFL!#REF!,0))</f>
        <v>0</v>
      </c>
      <c r="AN168" s="70">
        <f>IF(+NFL!$F283="Dallas",+NFL!#REF!,IF(+NFL!$H283="Dallas",+NFL!#REF!,0))</f>
        <v>0</v>
      </c>
      <c r="AO168" s="59">
        <f>IF(+NFL!$F283="Dallas",+NFL!#REF!,IF(+NFL!$H283="Dallas",+NFL!#REF!,0))</f>
        <v>0</v>
      </c>
      <c r="AP168" s="348">
        <f>IF(+NFL!$F283="Dallas",+NFL!#REF!,IF(+NFL!$H283="Dallas",+NFL!#REF!,0))</f>
        <v>0</v>
      </c>
      <c r="AQ168" s="48">
        <f>IF(+NFL!$F283="Dallas",+NFL!#REF!,IF(+NFL!$H283="Dallas",+NFL!#REF!,0))</f>
        <v>0</v>
      </c>
      <c r="AR168" s="57">
        <f>IF(+NFL!$F283="Dallas",+NFL!#REF!,IF(+NFL!$H283="Dallas",+NFL!#REF!,0))</f>
        <v>0</v>
      </c>
      <c r="AS168" s="64">
        <f>IF(+NFL!$F283="Dallas",+NFL!#REF!,IF(+NFL!$H283="Dallas",+NFL!#REF!,0))</f>
        <v>0</v>
      </c>
      <c r="AT168" s="64">
        <f>IF(+NFL!$F283="Dallas",+NFL!#REF!,IF(+NFL!$H283="Dallas",+NFL!#REF!,0))</f>
        <v>0</v>
      </c>
      <c r="AU168" s="57">
        <f>IF(+NFL!$F283="Dallas",+NFL!#REF!,IF(+NFL!$H283="Dallas",+NFL!#REF!,0))</f>
        <v>0</v>
      </c>
      <c r="AV168" s="64">
        <f>IF(+NFL!$F283="Dallas",+NFL!#REF!,IF(+NFL!$H283="Dallas",+NFL!#REF!,0))</f>
        <v>0</v>
      </c>
      <c r="AW168" s="46">
        <f>IF(+NFL!$F283="Dallas",+NFL!#REF!,IF(+NFL!$H283="Dallas",+NFL!#REF!,0))</f>
        <v>0</v>
      </c>
      <c r="AX168" s="64">
        <f>IF(+NFL!$F283="Dallas",+NFL!#REF!,IF(+NFL!$H283="Dallas",+NFL!#REF!,0))</f>
        <v>0</v>
      </c>
      <c r="AY168" s="57">
        <f>IF(+NFL!$F283="Dallas",+NFL!#REF!,IF(+NFL!$H283="Dallas",+NFL!#REF!,0))</f>
        <v>0</v>
      </c>
      <c r="AZ168" s="64">
        <f>IF(+NFL!$F283="Dallas",+NFL!#REF!,IF(+NFL!$H283="Dallas",+NFL!#REF!,0))</f>
        <v>0</v>
      </c>
      <c r="BA168" s="46">
        <f>IF(+NFL!$F283="Dallas",+NFL!#REF!,IF(+NFL!$H283="Dallas",+NFL!#REF!,0))</f>
        <v>0</v>
      </c>
      <c r="BB168" s="46">
        <f>IF(+NFL!$F283="Dallas",+NFL!#REF!,IF(+NFL!$H283="Dallas",+NFL!#REF!,0))</f>
        <v>0</v>
      </c>
      <c r="BC168" s="403">
        <f>IF(+NFL!$F283="Dallas",+NFL!#REF!,IF(+NFL!$H283="Dallas",+NFL!#REF!,0))</f>
        <v>0</v>
      </c>
      <c r="BD168" s="57">
        <f>IF(+NFL!$F283="Dallas",+NFL!#REF!,IF(+NFL!$H283="Dallas",+NFL!#REF!,0))</f>
        <v>0</v>
      </c>
      <c r="BE168" s="64">
        <f>IF(+NFL!$F283="Dallas",+NFL!#REF!,IF(+NFL!$H283="Dallas",+NFL!#REF!,0))</f>
        <v>0</v>
      </c>
      <c r="BF168" s="46">
        <f>IF(+NFL!$F283="Dallas",+NFL!#REF!,IF(+NFL!$H283="Dallas",+NFL!#REF!,0))</f>
        <v>0</v>
      </c>
      <c r="BG168" s="57">
        <f>IF(+NFL!$F283="Dallas",+NFL!#REF!,IF(+NFL!$H283="Dallas",+NFL!#REF!,0))</f>
        <v>0</v>
      </c>
      <c r="BH168" s="64">
        <f>IF(+NFL!$F283="Dallas",+NFL!#REF!,IF(+NFL!$H283="Dallas",+NFL!#REF!,0))</f>
        <v>0</v>
      </c>
      <c r="BI168" s="46">
        <f>IF(+NFL!$F283="Dallas",+NFL!#REF!,IF(+NFL!$H283="Dallas",+NFL!#REF!,0))</f>
        <v>0</v>
      </c>
      <c r="BJ168" s="87">
        <f>IF(+NFL!$F283="Dallas",+NFL!#REF!,IF(+NFL!$H283="Dallas",+NFL!#REF!,0))</f>
        <v>0</v>
      </c>
      <c r="BK168" s="120">
        <f>IF(+NFL!$F283="Dallas",+NFL!#REF!,IF(+NFL!$H283="Dallas",+NFL!#REF!,0))</f>
        <v>0</v>
      </c>
    </row>
    <row r="169" spans="1:63" x14ac:dyDescent="0.8">
      <c r="A169" s="46">
        <f>IF(+NFL!$F293="Dallas",+NFL!A293,IF(+NFL!$H293="Dallas",+NFL!A293,0))</f>
        <v>16</v>
      </c>
      <c r="B169" s="348" t="str">
        <f>IF(+NFL!$F293="Dallas",+NFL!B293,IF(+NFL!$H293="Dallas",+NFL!B293,0))</f>
        <v>Sat</v>
      </c>
      <c r="C169" s="48">
        <f>IF(+NFL!$F293="Dallas",+NFL!C293,IF(+NFL!$H293="Dallas",+NFL!C293,0))</f>
        <v>44919</v>
      </c>
      <c r="D169" s="490">
        <f>IF(+NFL!$F293="Dallas",+NFL!D293,IF(+NFL!$H293="Dallas",+NFL!D293,0))</f>
        <v>0.66666666666666663</v>
      </c>
      <c r="E169" s="46" t="str">
        <f>IF(+NFL!$F293="Dallas",+NFL!E293,IF(+NFL!$H293="Dallas",+NFL!E293,0))</f>
        <v>Fox</v>
      </c>
      <c r="F169" s="127" t="str">
        <f>IF(+NFL!$F293="Dallas",+NFL!F293,IF(+NFL!$H293="Dallas",+NFL!F293,0))</f>
        <v>Philadelphia</v>
      </c>
      <c r="G169" s="46" t="str">
        <f>IF(+NFL!$F293="Dallas",+NFL!G293,IF(+NFL!$H293="Dallas",+NFL!G293,0))</f>
        <v>NFCE</v>
      </c>
      <c r="H169" s="127" t="str">
        <f>IF(+NFL!$F293="Dallas",+NFL!H293,IF(+NFL!$H293="Dallas",+NFL!H293,0))</f>
        <v>Dallas</v>
      </c>
      <c r="I169" s="46" t="str">
        <f>IF(+NFL!$F293="Dallas",+NFL!I293,IF(+NFL!$H293="Dallas",+NFL!I293,0))</f>
        <v>NFCE</v>
      </c>
      <c r="J169" s="353" t="str">
        <f>IF(+NFL!$F293="Dallas",+NFL!J293,IF(+NFL!$H293="Dallas",+NFL!J293,0))</f>
        <v>Dallas</v>
      </c>
      <c r="K169" s="494" t="str">
        <f>IF(+NFL!$F293="Dallas",+NFL!K293,IF(+NFL!$H293="Dallas",+NFL!K293,0))</f>
        <v>Philadelphia</v>
      </c>
      <c r="L169" s="384">
        <f>IF(+NFL!$F293="Dallas",+NFL!L293,IF(+NFL!$H293="Dallas",+NFL!L293,0))</f>
        <v>3.5</v>
      </c>
      <c r="M169" s="385">
        <f>IF(+NFL!$F293="Dallas",+NFL!M293,IF(+NFL!$H293="Dallas",+NFL!M293,0))</f>
        <v>48.5</v>
      </c>
      <c r="N169" s="394" t="str">
        <f>IF(+NFL!$F293="Dallas",+NFL!N293,IF(+NFL!$H293="Dallas",+NFL!N293,0))</f>
        <v>Dallas</v>
      </c>
      <c r="O169" s="395">
        <f>IF(+NFL!$F293="Dallas",+NFL!O293,IF(+NFL!$H293="Dallas",+NFL!O293,0))</f>
        <v>40</v>
      </c>
      <c r="P169" s="394" t="str">
        <f>IF(+NFL!$F293="Dallas",+NFL!P293,IF(+NFL!$H293="Dallas",+NFL!P293,0))</f>
        <v>Philadelphia</v>
      </c>
      <c r="Q169" s="396">
        <f>IF(+NFL!$F293="Dallas",+NFL!Q293,IF(+NFL!$H293="Dallas",+NFL!Q293,0))</f>
        <v>34</v>
      </c>
      <c r="R169" s="397" t="str">
        <f>IF(+NFL!$F293="Dallas",+NFL!R293,IF(+NFL!$H293="Dallas",+NFL!R293,0))</f>
        <v>Dallas</v>
      </c>
      <c r="S169" s="396" t="str">
        <f>IF(+NFL!$F293="Dallas",+NFL!S293,IF(+NFL!$H293="Dallas",+NFL!S293,0))</f>
        <v>Philadelphia</v>
      </c>
      <c r="T169" s="398">
        <f>IF(+NFL!$F293="Dallas",+NFL!T293,IF(+NFL!$H293="Dallas",+NFL!T293,0))</f>
        <v>0</v>
      </c>
      <c r="U169" s="396" t="str">
        <f>IF(+NFL!$F293="Dallas",+NFL!U293,IF(+NFL!$H293="Dallas",+NFL!U293,0))</f>
        <v>L</v>
      </c>
      <c r="V169" s="397">
        <f>IF(+NFL!$F312="Dallas",+NFL!#REF!,IF(+NFL!$H312="Dallas",+NFL!#REF!,0))</f>
        <v>0</v>
      </c>
      <c r="W169" s="396">
        <f>IF(+NFL!$F312="Dallas",+NFL!#REF!,IF(+NFL!$H312="Dallas",+NFL!#REF!,0))</f>
        <v>0</v>
      </c>
      <c r="X169" s="398">
        <f>IF(+NFL!$F312="Dallas",+NFL!#REF!,IF(+NFL!$H312="Dallas",+NFL!#REF!,0))</f>
        <v>0</v>
      </c>
      <c r="Y169" s="396">
        <f>IF(+NFL!$F312="Dallas",+NFL!#REF!,IF(+NFL!$H312="Dallas",+NFL!#REF!,0))</f>
        <v>0</v>
      </c>
      <c r="Z169" s="397">
        <f>IF(+NFL!$F312="Dallas",+NFL!#REF!,IF(+NFL!$H312="Dallas",+NFL!#REF!,0))</f>
        <v>0</v>
      </c>
      <c r="AA169" s="396">
        <f>IF(+NFL!$F312="Dallas",+NFL!#REF!,IF(+NFL!$H312="Dallas",+NFL!#REF!,0))</f>
        <v>0</v>
      </c>
      <c r="AB169" s="87">
        <f>IF(+NFL!$F312="Dallas",+NFL!#REF!,IF(+NFL!$H312="Dallas",+NFL!#REF!,0))</f>
        <v>0</v>
      </c>
      <c r="AC169" s="120">
        <f>IF(+NFL!$F312="Dallas",+NFL!#REF!,IF(+NFL!$H312="Dallas",+NFL!#REF!,0))</f>
        <v>0</v>
      </c>
      <c r="AD169" s="353">
        <f>IF(+NFL!$F312="Dallas",+NFL!#REF!,IF(+NFL!$H312="Dallas",+NFL!#REF!,0))</f>
        <v>0</v>
      </c>
      <c r="AE169" s="379">
        <f>IF(+NFL!$F312="Dallas",+NFL!#REF!,IF(+NFL!$H312="Dallas",+NFL!#REF!,0))</f>
        <v>0</v>
      </c>
      <c r="AF169" s="353">
        <f>IF(+NFL!$F312="Dallas",+NFL!#REF!,IF(+NFL!$H312="Dallas",+NFL!#REF!,0))</f>
        <v>0</v>
      </c>
      <c r="AG169" s="379">
        <f>IF(+NFL!$F312="Dallas",+NFL!#REF!,IF(+NFL!$H312="Dallas",+NFL!#REF!,0))</f>
        <v>0</v>
      </c>
      <c r="AH169" s="353">
        <f>IF(+NFL!$F312="Dallas",+NFL!#REF!,IF(+NFL!$H312="Dallas",+NFL!#REF!,0))</f>
        <v>0</v>
      </c>
      <c r="AI169" s="379">
        <f>IF(+NFL!$F312="Dallas",+NFL!#REF!,IF(+NFL!$H312="Dallas",+NFL!#REF!,0))</f>
        <v>0</v>
      </c>
      <c r="AJ169" s="353">
        <f>IF(+NFL!$F312="Dallas",+NFL!#REF!,IF(+NFL!$H312="Dallas",+NFL!#REF!,0))</f>
        <v>0</v>
      </c>
      <c r="AK169" s="379">
        <f>IF(+NFL!$F312="Dallas",+NFL!#REF!,IF(+NFL!$H312="Dallas",+NFL!#REF!,0))</f>
        <v>0</v>
      </c>
      <c r="AL169" s="69">
        <f>IF(+NFL!$F312="Dallas",+NFL!#REF!,IF(+NFL!$H312="Dallas",+NFL!#REF!,0))</f>
        <v>0</v>
      </c>
      <c r="AM169" s="58">
        <f>IF(+NFL!$F312="Dallas",+NFL!#REF!,IF(+NFL!$H312="Dallas",+NFL!#REF!,0))</f>
        <v>0</v>
      </c>
      <c r="AN169" s="70">
        <f>IF(+NFL!$F312="Dallas",+NFL!#REF!,IF(+NFL!$H312="Dallas",+NFL!#REF!,0))</f>
        <v>0</v>
      </c>
      <c r="AO169" s="59">
        <f>IF(+NFL!$F312="Dallas",+NFL!#REF!,IF(+NFL!$H312="Dallas",+NFL!#REF!,0))</f>
        <v>0</v>
      </c>
      <c r="AP169" s="348">
        <f>IF(+NFL!$F312="Dallas",+NFL!#REF!,IF(+NFL!$H312="Dallas",+NFL!#REF!,0))</f>
        <v>0</v>
      </c>
      <c r="AQ169" s="48">
        <f>IF(+NFL!$F312="Dallas",+NFL!#REF!,IF(+NFL!$H312="Dallas",+NFL!#REF!,0))</f>
        <v>0</v>
      </c>
      <c r="AR169" s="57">
        <f>IF(+NFL!$F312="Dallas",+NFL!#REF!,IF(+NFL!$H312="Dallas",+NFL!#REF!,0))</f>
        <v>0</v>
      </c>
      <c r="AS169" s="64">
        <f>IF(+NFL!$F312="Dallas",+NFL!#REF!,IF(+NFL!$H312="Dallas",+NFL!#REF!,0))</f>
        <v>0</v>
      </c>
      <c r="AT169" s="64">
        <f>IF(+NFL!$F312="Dallas",+NFL!#REF!,IF(+NFL!$H312="Dallas",+NFL!#REF!,0))</f>
        <v>0</v>
      </c>
      <c r="AU169" s="57">
        <f>IF(+NFL!$F312="Dallas",+NFL!#REF!,IF(+NFL!$H312="Dallas",+NFL!#REF!,0))</f>
        <v>0</v>
      </c>
      <c r="AV169" s="64">
        <f>IF(+NFL!$F312="Dallas",+NFL!#REF!,IF(+NFL!$H312="Dallas",+NFL!#REF!,0))</f>
        <v>0</v>
      </c>
      <c r="AW169" s="46">
        <f>IF(+NFL!$F312="Dallas",+NFL!#REF!,IF(+NFL!$H312="Dallas",+NFL!#REF!,0))</f>
        <v>0</v>
      </c>
      <c r="AX169" s="64">
        <f>IF(+NFL!$F312="Dallas",+NFL!#REF!,IF(+NFL!$H312="Dallas",+NFL!#REF!,0))</f>
        <v>0</v>
      </c>
      <c r="AY169" s="57">
        <f>IF(+NFL!$F312="Dallas",+NFL!#REF!,IF(+NFL!$H312="Dallas",+NFL!#REF!,0))</f>
        <v>0</v>
      </c>
      <c r="AZ169" s="64">
        <f>IF(+NFL!$F312="Dallas",+NFL!#REF!,IF(+NFL!$H312="Dallas",+NFL!#REF!,0))</f>
        <v>0</v>
      </c>
      <c r="BA169" s="46">
        <f>IF(+NFL!$F312="Dallas",+NFL!#REF!,IF(+NFL!$H312="Dallas",+NFL!#REF!,0))</f>
        <v>0</v>
      </c>
      <c r="BB169" s="46">
        <f>IF(+NFL!$F312="Dallas",+NFL!#REF!,IF(+NFL!$H312="Dallas",+NFL!#REF!,0))</f>
        <v>0</v>
      </c>
      <c r="BC169" s="403">
        <f>IF(+NFL!$F312="Dallas",+NFL!#REF!,IF(+NFL!$H312="Dallas",+NFL!#REF!,0))</f>
        <v>0</v>
      </c>
      <c r="BD169" s="57">
        <f>IF(+NFL!$F312="Dallas",+NFL!#REF!,IF(+NFL!$H312="Dallas",+NFL!#REF!,0))</f>
        <v>0</v>
      </c>
      <c r="BE169" s="64">
        <f>IF(+NFL!$F312="Dallas",+NFL!#REF!,IF(+NFL!$H312="Dallas",+NFL!#REF!,0))</f>
        <v>0</v>
      </c>
      <c r="BF169" s="46">
        <f>IF(+NFL!$F312="Dallas",+NFL!#REF!,IF(+NFL!$H312="Dallas",+NFL!#REF!,0))</f>
        <v>0</v>
      </c>
      <c r="BG169" s="57">
        <f>IF(+NFL!$F312="Dallas",+NFL!#REF!,IF(+NFL!$H312="Dallas",+NFL!#REF!,0))</f>
        <v>0</v>
      </c>
      <c r="BH169" s="64">
        <f>IF(+NFL!$F312="Dallas",+NFL!#REF!,IF(+NFL!$H312="Dallas",+NFL!#REF!,0))</f>
        <v>0</v>
      </c>
      <c r="BI169" s="46">
        <f>IF(+NFL!$F312="Dallas",+NFL!#REF!,IF(+NFL!$H312="Dallas",+NFL!#REF!,0))</f>
        <v>0</v>
      </c>
      <c r="BJ169" s="87">
        <f>IF(+NFL!$F312="Dallas",+NFL!#REF!,IF(+NFL!$H312="Dallas",+NFL!#REF!,0))</f>
        <v>0</v>
      </c>
      <c r="BK169" s="120">
        <f>IF(+NFL!$F312="Dallas",+NFL!#REF!,IF(+NFL!$H312="Dallas",+NFL!#REF!,0))</f>
        <v>0</v>
      </c>
    </row>
    <row r="170" spans="1:63" x14ac:dyDescent="0.8">
      <c r="A170" s="46">
        <f>IF(+NFL!$F300="Dallas",+NFL!A300,IF(+NFL!$H300="Dallas",+NFL!A300,0))</f>
        <v>17</v>
      </c>
      <c r="B170" s="348" t="str">
        <f>IF(+NFL!$F300="Dallas",+NFL!B300,IF(+NFL!$H300="Dallas",+NFL!B300,0))</f>
        <v>Thurs</v>
      </c>
      <c r="C170" s="48">
        <f>IF(+NFL!$F300="Dallas",+NFL!C300,IF(+NFL!$H300="Dallas",+NFL!C300,0))</f>
        <v>44924</v>
      </c>
      <c r="D170" s="490">
        <f>IF(+NFL!$F300="Dallas",+NFL!D300,IF(+NFL!$H300="Dallas",+NFL!D300,0))</f>
        <v>0.84375</v>
      </c>
      <c r="E170" s="46" t="str">
        <f>IF(+NFL!$F300="Dallas",+NFL!E300,IF(+NFL!$H300="Dallas",+NFL!E300,0))</f>
        <v>NBC</v>
      </c>
      <c r="F170" s="127" t="str">
        <f>IF(+NFL!$F300="Dallas",+NFL!F300,IF(+NFL!$H300="Dallas",+NFL!F300,0))</f>
        <v>Dallas</v>
      </c>
      <c r="G170" s="46" t="str">
        <f>IF(+NFL!$F300="Dallas",+NFL!G300,IF(+NFL!$H300="Dallas",+NFL!G300,0))</f>
        <v>NFCE</v>
      </c>
      <c r="H170" s="127" t="str">
        <f>IF(+NFL!$F300="Dallas",+NFL!H300,IF(+NFL!$H300="Dallas",+NFL!H300,0))</f>
        <v>Tennessee</v>
      </c>
      <c r="I170" s="46" t="str">
        <f>IF(+NFL!$F300="Dallas",+NFL!I300,IF(+NFL!$H300="Dallas",+NFL!I300,0))</f>
        <v>AFCS</v>
      </c>
      <c r="J170" s="353" t="str">
        <f>IF(+NFL!$F300="Dallas",+NFL!J300,IF(+NFL!$H300="Dallas",+NFL!J300,0))</f>
        <v>Dallas</v>
      </c>
      <c r="K170" s="494" t="str">
        <f>IF(+NFL!$F300="Dallas",+NFL!K300,IF(+NFL!$H300="Dallas",+NFL!K300,0))</f>
        <v>Tennessee</v>
      </c>
      <c r="L170" s="384">
        <f>IF(+NFL!$F300="Dallas",+NFL!L300,IF(+NFL!$H300="Dallas",+NFL!L300,0))</f>
        <v>11.5</v>
      </c>
      <c r="M170" s="385">
        <f>IF(+NFL!$F300="Dallas",+NFL!M300,IF(+NFL!$H300="Dallas",+NFL!M300,0))</f>
        <v>39.5</v>
      </c>
      <c r="N170" s="394" t="str">
        <f>IF(+NFL!$F300="Dallas",+NFL!N300,IF(+NFL!$H300="Dallas",+NFL!N300,0))</f>
        <v>Dallas</v>
      </c>
      <c r="O170" s="395">
        <f>IF(+NFL!$F300="Dallas",+NFL!O300,IF(+NFL!$H300="Dallas",+NFL!O300,0))</f>
        <v>27</v>
      </c>
      <c r="P170" s="394" t="str">
        <f>IF(+NFL!$F300="Dallas",+NFL!P300,IF(+NFL!$H300="Dallas",+NFL!P300,0))</f>
        <v>Tennessee</v>
      </c>
      <c r="Q170" s="396">
        <f>IF(+NFL!$F300="Dallas",+NFL!Q300,IF(+NFL!$H300="Dallas",+NFL!Q300,0))</f>
        <v>13</v>
      </c>
      <c r="R170" s="397" t="str">
        <f>IF(+NFL!$F300="Dallas",+NFL!R300,IF(+NFL!$H300="Dallas",+NFL!R300,0))</f>
        <v>Dallas</v>
      </c>
      <c r="S170" s="396" t="str">
        <f>IF(+NFL!$F300="Dallas",+NFL!S300,IF(+NFL!$H300="Dallas",+NFL!S300,0))</f>
        <v>Tennessee</v>
      </c>
      <c r="T170" s="398">
        <f>IF(+NFL!$F300="Dallas",+NFL!T300,IF(+NFL!$H300="Dallas",+NFL!T300,0))</f>
        <v>0</v>
      </c>
      <c r="U170" s="396" t="str">
        <f>IF(+NFL!$F300="Dallas",+NFL!U300,IF(+NFL!$H300="Dallas",+NFL!U300,0))</f>
        <v>L</v>
      </c>
      <c r="X170" s="398"/>
      <c r="AL170" s="69"/>
      <c r="AN170" s="70"/>
      <c r="AP170" s="348"/>
      <c r="AQ170" s="48"/>
      <c r="AS170" s="493"/>
      <c r="AT170" s="493"/>
      <c r="AV170" s="493"/>
      <c r="AX170" s="493"/>
      <c r="AY170" s="57"/>
      <c r="AZ170" s="493"/>
      <c r="BA170" s="46"/>
      <c r="BB170" s="46"/>
      <c r="BC170" s="403"/>
      <c r="BE170" s="493"/>
      <c r="BF170" s="46"/>
      <c r="BH170" s="493"/>
    </row>
    <row r="171" spans="1:63" x14ac:dyDescent="0.8">
      <c r="A171" s="46">
        <f>IF(+NFL!$F330="Dallas",+NFL!A330,IF(+NFL!$H330="Dallas",+NFL!A330,0))</f>
        <v>18</v>
      </c>
      <c r="B171" s="348" t="str">
        <f>IF(+NFL!$F330="Dallas",+NFL!B330,IF(+NFL!$H330="Dallas",+NFL!B330,0))</f>
        <v>Sun</v>
      </c>
      <c r="C171" s="48">
        <f>IF(+NFL!$F330="Dallas",+NFL!C330,IF(+NFL!$H330="Dallas",+NFL!C330,0))</f>
        <v>44934</v>
      </c>
      <c r="D171" s="490">
        <f>IF(+NFL!$F330="Dallas",+NFL!D330,IF(+NFL!$H330="Dallas",+NFL!D330,0))</f>
        <v>0.67708333333333337</v>
      </c>
      <c r="E171" s="46" t="str">
        <f>IF(+NFL!$F330="Dallas",+NFL!E330,IF(+NFL!$H330="Dallas",+NFL!E330,0))</f>
        <v>Fox</v>
      </c>
      <c r="F171" s="127" t="str">
        <f>IF(+NFL!$F330="Dallas",+NFL!F330,IF(+NFL!$H330="Dallas",+NFL!F330,0))</f>
        <v>Dallas</v>
      </c>
      <c r="G171" s="46" t="str">
        <f>IF(+NFL!$F330="Dallas",+NFL!G330,IF(+NFL!$H330="Dallas",+NFL!G330,0))</f>
        <v>NFCE</v>
      </c>
      <c r="H171" s="127" t="str">
        <f>IF(+NFL!$F330="Dallas",+NFL!H330,IF(+NFL!$H330="Dallas",+NFL!H330,0))</f>
        <v>Washington</v>
      </c>
      <c r="I171" s="46" t="str">
        <f>IF(+NFL!$F330="Dallas",+NFL!I330,IF(+NFL!$H330="Dallas",+NFL!I330,0))</f>
        <v>NFCE</v>
      </c>
      <c r="J171" s="353" t="str">
        <f>IF(+NFL!$F330="Dallas",+NFL!J330,IF(+NFL!$H330="Dallas",+NFL!J330,0))</f>
        <v>Dallas</v>
      </c>
      <c r="K171" s="494" t="str">
        <f>IF(+NFL!$F330="Dallas",+NFL!K330,IF(+NFL!$H330="Dallas",+NFL!K330,0))</f>
        <v>Washington</v>
      </c>
      <c r="L171" s="384">
        <f>IF(+NFL!$F330="Dallas",+NFL!L330,IF(+NFL!$H330="Dallas",+NFL!L330,0))</f>
        <v>7.5</v>
      </c>
      <c r="M171" s="385">
        <f>IF(+NFL!$F330="Dallas",+NFL!M330,IF(+NFL!$H330="Dallas",+NFL!M330,0))</f>
        <v>41</v>
      </c>
      <c r="N171" s="394" t="str">
        <f>IF(+NFL!$F330="Dallas",+NFL!N330,IF(+NFL!$H330="Dallas",+NFL!N330,0))</f>
        <v>Washington</v>
      </c>
      <c r="O171" s="395">
        <f>IF(+NFL!$F330="Dallas",+NFL!O330,IF(+NFL!$H330="Dallas",+NFL!O330,0))</f>
        <v>26</v>
      </c>
      <c r="P171" s="394" t="str">
        <f>IF(+NFL!$F330="Dallas",+NFL!P330,IF(+NFL!$H330="Dallas",+NFL!P330,0))</f>
        <v>Dallas</v>
      </c>
      <c r="Q171" s="396">
        <f>IF(+NFL!$F330="Dallas",+NFL!Q330,IF(+NFL!$H330="Dallas",+NFL!Q330,0))</f>
        <v>6</v>
      </c>
      <c r="R171" s="397" t="str">
        <f>IF(+NFL!$F330="Dallas",+NFL!R330,IF(+NFL!$H330="Dallas",+NFL!R330,0))</f>
        <v>Washington</v>
      </c>
      <c r="S171" s="396" t="str">
        <f>IF(+NFL!$F330="Dallas",+NFL!S330,IF(+NFL!$H330="Dallas",+NFL!S330,0))</f>
        <v>Dallas</v>
      </c>
      <c r="T171" s="398" t="str">
        <f>IF(+NFL!$F330="Dallas",+NFL!T330,IF(+NFL!$H330="Dallas",+NFL!T330,0))</f>
        <v>Washington</v>
      </c>
      <c r="U171" s="396" t="str">
        <f>IF(+NFL!$F330="Dallas",+NFL!U330,IF(+NFL!$H330="Dallas",+NFL!U330,0))</f>
        <v>W</v>
      </c>
      <c r="V171" s="397">
        <f>IF(+NFL!$F329="Dallas",+NFL!#REF!,IF(+NFL!$H329="Dallas",+NFL!#REF!,0))</f>
        <v>0</v>
      </c>
      <c r="W171" s="396">
        <f>IF(+NFL!$F329="Dallas",+NFL!#REF!,IF(+NFL!$H329="Dallas",+NFL!#REF!,0))</f>
        <v>0</v>
      </c>
      <c r="X171" s="398">
        <f>IF(+NFL!$F329="Dallas",+NFL!#REF!,IF(+NFL!$H329="Dallas",+NFL!#REF!,0))</f>
        <v>0</v>
      </c>
      <c r="Y171" s="396">
        <f>IF(+NFL!$F329="Dallas",+NFL!#REF!,IF(+NFL!$H329="Dallas",+NFL!#REF!,0))</f>
        <v>0</v>
      </c>
      <c r="Z171" s="397">
        <f>IF(+NFL!$F329="Dallas",+NFL!#REF!,IF(+NFL!$H329="Dallas",+NFL!#REF!,0))</f>
        <v>0</v>
      </c>
      <c r="AA171" s="396">
        <f>IF(+NFL!$F329="Dallas",+NFL!#REF!,IF(+NFL!$H329="Dallas",+NFL!#REF!,0))</f>
        <v>0</v>
      </c>
      <c r="AB171" s="87">
        <f>IF(+NFL!$F329="Dallas",+NFL!#REF!,IF(+NFL!$H329="Dallas",+NFL!#REF!,0))</f>
        <v>0</v>
      </c>
      <c r="AC171" s="120">
        <f>IF(+NFL!$F329="Dallas",+NFL!#REF!,IF(+NFL!$H329="Dallas",+NFL!#REF!,0))</f>
        <v>0</v>
      </c>
      <c r="AD171" s="353">
        <f>IF(+NFL!$F329="Dallas",+NFL!#REF!,IF(+NFL!$H329="Dallas",+NFL!#REF!,0))</f>
        <v>0</v>
      </c>
      <c r="AE171" s="379">
        <f>IF(+NFL!$F329="Dallas",+NFL!#REF!,IF(+NFL!$H329="Dallas",+NFL!#REF!,0))</f>
        <v>0</v>
      </c>
      <c r="AF171" s="353">
        <f>IF(+NFL!$F329="Dallas",+NFL!#REF!,IF(+NFL!$H329="Dallas",+NFL!#REF!,0))</f>
        <v>0</v>
      </c>
      <c r="AG171" s="379">
        <f>IF(+NFL!$F329="Dallas",+NFL!#REF!,IF(+NFL!$H329="Dallas",+NFL!#REF!,0))</f>
        <v>0</v>
      </c>
      <c r="AH171" s="353">
        <f>IF(+NFL!$F329="Dallas",+NFL!#REF!,IF(+NFL!$H329="Dallas",+NFL!#REF!,0))</f>
        <v>0</v>
      </c>
      <c r="AI171" s="379">
        <f>IF(+NFL!$F329="Dallas",+NFL!#REF!,IF(+NFL!$H329="Dallas",+NFL!#REF!,0))</f>
        <v>0</v>
      </c>
      <c r="AJ171" s="353">
        <f>IF(+NFL!$F329="Dallas",+NFL!#REF!,IF(+NFL!$H329="Dallas",+NFL!#REF!,0))</f>
        <v>0</v>
      </c>
      <c r="AK171" s="379">
        <f>IF(+NFL!$F329="Dallas",+NFL!#REF!,IF(+NFL!$H329="Dallas",+NFL!#REF!,0))</f>
        <v>0</v>
      </c>
      <c r="AL171" s="69">
        <f>IF(+NFL!$F329="Dallas",+NFL!#REF!,IF(+NFL!$H329="Dallas",+NFL!#REF!,0))</f>
        <v>0</v>
      </c>
      <c r="AM171" s="58">
        <f>IF(+NFL!$F329="Dallas",+NFL!#REF!,IF(+NFL!$H329="Dallas",+NFL!#REF!,0))</f>
        <v>0</v>
      </c>
      <c r="AN171" s="70">
        <f>IF(+NFL!$F329="Dallas",+NFL!#REF!,IF(+NFL!$H329="Dallas",+NFL!#REF!,0))</f>
        <v>0</v>
      </c>
      <c r="AO171" s="59">
        <f>IF(+NFL!$F329="Dallas",+NFL!#REF!,IF(+NFL!$H329="Dallas",+NFL!#REF!,0))</f>
        <v>0</v>
      </c>
      <c r="AP171" s="348">
        <f>IF(+NFL!$F329="Dallas",+NFL!#REF!,IF(+NFL!$H329="Dallas",+NFL!#REF!,0))</f>
        <v>0</v>
      </c>
      <c r="AQ171" s="48">
        <f>IF(+NFL!$F329="Dallas",+NFL!#REF!,IF(+NFL!$H329="Dallas",+NFL!#REF!,0))</f>
        <v>0</v>
      </c>
      <c r="AR171" s="57">
        <f>IF(+NFL!$F329="Dallas",+NFL!#REF!,IF(+NFL!$H329="Dallas",+NFL!#REF!,0))</f>
        <v>0</v>
      </c>
      <c r="AS171" s="64">
        <f>IF(+NFL!$F329="Dallas",+NFL!#REF!,IF(+NFL!$H329="Dallas",+NFL!#REF!,0))</f>
        <v>0</v>
      </c>
      <c r="AT171" s="64">
        <f>IF(+NFL!$F329="Dallas",+NFL!#REF!,IF(+NFL!$H329="Dallas",+NFL!#REF!,0))</f>
        <v>0</v>
      </c>
      <c r="AU171" s="57">
        <f>IF(+NFL!$F329="Dallas",+NFL!#REF!,IF(+NFL!$H329="Dallas",+NFL!#REF!,0))</f>
        <v>0</v>
      </c>
      <c r="AV171" s="64">
        <f>IF(+NFL!$F329="Dallas",+NFL!#REF!,IF(+NFL!$H329="Dallas",+NFL!#REF!,0))</f>
        <v>0</v>
      </c>
      <c r="AW171" s="46">
        <f>IF(+NFL!$F329="Dallas",+NFL!#REF!,IF(+NFL!$H329="Dallas",+NFL!#REF!,0))</f>
        <v>0</v>
      </c>
      <c r="AX171" s="64">
        <f>IF(+NFL!$F329="Dallas",+NFL!#REF!,IF(+NFL!$H329="Dallas",+NFL!#REF!,0))</f>
        <v>0</v>
      </c>
      <c r="AY171" s="57">
        <f>IF(+NFL!$F329="Dallas",+NFL!#REF!,IF(+NFL!$H329="Dallas",+NFL!#REF!,0))</f>
        <v>0</v>
      </c>
      <c r="AZ171" s="64">
        <f>IF(+NFL!$F329="Dallas",+NFL!#REF!,IF(+NFL!$H329="Dallas",+NFL!#REF!,0))</f>
        <v>0</v>
      </c>
      <c r="BA171" s="46">
        <f>IF(+NFL!$F329="Dallas",+NFL!#REF!,IF(+NFL!$H329="Dallas",+NFL!#REF!,0))</f>
        <v>0</v>
      </c>
      <c r="BB171" s="46">
        <f>IF(+NFL!$F329="Dallas",+NFL!#REF!,IF(+NFL!$H329="Dallas",+NFL!#REF!,0))</f>
        <v>0</v>
      </c>
      <c r="BC171" s="403">
        <f>IF(+NFL!$F329="Dallas",+NFL!#REF!,IF(+NFL!$H329="Dallas",+NFL!#REF!,0))</f>
        <v>0</v>
      </c>
      <c r="BD171" s="57">
        <f>IF(+NFL!$F329="Dallas",+NFL!#REF!,IF(+NFL!$H329="Dallas",+NFL!#REF!,0))</f>
        <v>0</v>
      </c>
      <c r="BE171" s="64">
        <f>IF(+NFL!$F329="Dallas",+NFL!#REF!,IF(+NFL!$H329="Dallas",+NFL!#REF!,0))</f>
        <v>0</v>
      </c>
      <c r="BF171" s="46">
        <f>IF(+NFL!$F329="Dallas",+NFL!#REF!,IF(+NFL!$H329="Dallas",+NFL!#REF!,0))</f>
        <v>0</v>
      </c>
      <c r="BG171" s="57">
        <f>IF(+NFL!$F329="Dallas",+NFL!#REF!,IF(+NFL!$H329="Dallas",+NFL!#REF!,0))</f>
        <v>0</v>
      </c>
      <c r="BH171" s="64">
        <f>IF(+NFL!$F329="Dallas",+NFL!#REF!,IF(+NFL!$H329="Dallas",+NFL!#REF!,0))</f>
        <v>0</v>
      </c>
      <c r="BI171" s="46">
        <f>IF(+NFL!$F329="Dallas",+NFL!#REF!,IF(+NFL!$H329="Dallas",+NFL!#REF!,0))</f>
        <v>0</v>
      </c>
      <c r="BJ171" s="87">
        <f>IF(+NFL!$F329="Dallas",+NFL!#REF!,IF(+NFL!$H329="Dallas",+NFL!#REF!,0))</f>
        <v>0</v>
      </c>
      <c r="BK171" s="120">
        <f>IF(+NFL!$F329="Dallas",+NFL!#REF!,IF(+NFL!$H329="Dallas",+NFL!#REF!,0))</f>
        <v>0</v>
      </c>
    </row>
    <row r="172" spans="1:63" x14ac:dyDescent="0.8">
      <c r="F172" s="959" t="str">
        <f>F173</f>
        <v>Denver</v>
      </c>
      <c r="G172" s="960"/>
      <c r="H172" s="960"/>
      <c r="I172" s="961"/>
      <c r="N172" s="394"/>
      <c r="P172" s="394"/>
      <c r="R172" s="397"/>
      <c r="S172" s="396"/>
      <c r="AL172" s="69"/>
      <c r="AN172" s="70"/>
      <c r="AY172" s="57"/>
      <c r="AZ172" s="64"/>
      <c r="BA172" s="46"/>
      <c r="BB172" s="46"/>
      <c r="BF172" s="46"/>
    </row>
    <row r="173" spans="1:63" x14ac:dyDescent="0.8">
      <c r="A173" s="46">
        <f>IF(+NFL!$F19="Denver",+NFL!A19,IF(+NFL!$H19="Denver",+NFL!A19,0))</f>
        <v>1</v>
      </c>
      <c r="B173" s="348" t="str">
        <f>IF(+NFL!$F19="Denver",+NFL!B19,IF(+NFL!$H19="Denver",+NFL!B19,0))</f>
        <v>Mon</v>
      </c>
      <c r="C173" s="48">
        <f>IF(+NFL!$F19="Denver",+NFL!C19,IF(+NFL!$H19="Denver",+NFL!C19,0))</f>
        <v>44816</v>
      </c>
      <c r="D173" s="490">
        <f>IF(+NFL!$F19="Denver",+NFL!D19,IF(+NFL!$H19="Denver",+NFL!D19,0))</f>
        <v>0.84375</v>
      </c>
      <c r="E173" s="46" t="str">
        <f>IF(+NFL!$F19="Denver",+NFL!E19,IF(+NFL!$H19="Denver",+NFL!E19,0))</f>
        <v>ABC</v>
      </c>
      <c r="F173" s="114" t="str">
        <f>IF(+NFL!$F19="Denver",+NFL!F19,IF(+NFL!$H19="Denver",+NFL!F19,0))</f>
        <v>Denver</v>
      </c>
      <c r="G173" s="46" t="str">
        <f>IF(+NFL!$F19="Denver",+NFL!G19,IF(+NFL!$H19="Denver",+NFL!G19,0))</f>
        <v>AFCW</v>
      </c>
      <c r="H173" s="114" t="str">
        <f>IF(+NFL!$F19="Denver",+NFL!H19,IF(+NFL!$H19="Denver",+NFL!H19,0))</f>
        <v>Seattle</v>
      </c>
      <c r="I173" s="46" t="str">
        <f>IF(+NFL!$F19="Denver",+NFL!I19,IF(+NFL!$H19="Denver",+NFL!I19,0))</f>
        <v>NFCW</v>
      </c>
      <c r="J173" s="353" t="str">
        <f>IF(+NFL!$F19="Denver",+NFL!J19,IF(+NFL!$H19="Denver",+NFL!J19,0))</f>
        <v>Denver</v>
      </c>
      <c r="K173" s="494" t="str">
        <f>IF(+NFL!$F19="Denver",+NFL!K19,IF(+NFL!$H19="Denver",+NFL!K19,0))</f>
        <v>Seattle</v>
      </c>
      <c r="L173" s="362">
        <f>IF(+NFL!$F19="Denver",+NFL!L19,IF(+NFL!$H19="Denver",+NFL!L19,0))</f>
        <v>6.5</v>
      </c>
      <c r="M173" s="386">
        <f>IF(+NFL!$F19="Denver",+NFL!M19,IF(+NFL!$H19="Denver",+NFL!M19,0))</f>
        <v>45</v>
      </c>
      <c r="N173" s="394" t="str">
        <f>IF(+NFL!$F19="Denver",+NFL!N19,IF(+NFL!$H19="Denver",+NFL!N19,0))</f>
        <v>Seattle</v>
      </c>
      <c r="O173" s="395">
        <f>IF(+NFL!$F19="Denver",+NFL!O19,IF(+NFL!$H19="Denver",+NFL!O19,0))</f>
        <v>17</v>
      </c>
      <c r="P173" s="394" t="str">
        <f>IF(+NFL!$F19="Denver",+NFL!P19,IF(+NFL!$H19="Denver",+NFL!P19,0))</f>
        <v>Denver</v>
      </c>
      <c r="Q173" s="396">
        <f>IF(+NFL!$F19="Denver",+NFL!Q19,IF(+NFL!$H19="Denver",+NFL!Q19,0))</f>
        <v>16</v>
      </c>
      <c r="R173" s="397" t="str">
        <f>IF(+NFL!$F19="Denver",+NFL!R19,IF(+NFL!$H19="Denver",+NFL!R19,0))</f>
        <v>Seattle</v>
      </c>
      <c r="S173" s="396" t="str">
        <f>IF(+NFL!$F19="Denver",+NFL!S19,IF(+NFL!$H19="Denver",+NFL!S19,0))</f>
        <v>Denver</v>
      </c>
      <c r="T173" s="397" t="str">
        <f>IF(+NFL!$F19="Denver",+NFL!T19,IF(+NFL!$H19="Denver",+NFL!T19,0))</f>
        <v>Denver</v>
      </c>
      <c r="U173" s="396" t="str">
        <f>IF(+NFL!$F19="Denver",+NFL!U19,IF(+NFL!$H19="Denver",+NFL!U19,0))</f>
        <v>L</v>
      </c>
      <c r="AM173" s="493"/>
      <c r="AO173" s="46"/>
      <c r="AP173" s="348"/>
      <c r="AQ173" s="48"/>
      <c r="AS173" s="493"/>
      <c r="AT173" s="493"/>
      <c r="AV173" s="493"/>
      <c r="AX173" s="493"/>
      <c r="AY173" s="57"/>
      <c r="AZ173" s="493"/>
      <c r="BA173" s="46"/>
      <c r="BB173" s="46"/>
      <c r="BC173" s="403"/>
      <c r="BE173" s="493"/>
      <c r="BF173" s="46"/>
      <c r="BH173" s="493"/>
    </row>
    <row r="174" spans="1:63" x14ac:dyDescent="0.8">
      <c r="A174" s="46">
        <f>IF(+NFL!$F32="Denver",+NFL!A32,IF(+NFL!$H32="Denver",+NFL!A32,0))</f>
        <v>2</v>
      </c>
      <c r="B174" s="348" t="str">
        <f>IF(+NFL!$F32="Denver",+NFL!B32,IF(+NFL!$H32="Denver",+NFL!B32,0))</f>
        <v>Sun</v>
      </c>
      <c r="C174" s="48">
        <f>IF(+NFL!$F32="Denver",+NFL!C32,IF(+NFL!$H32="Denver",+NFL!C32,0))</f>
        <v>44822</v>
      </c>
      <c r="D174" s="490">
        <f>IF(+NFL!$F32="Denver",+NFL!D32,IF(+NFL!$H32="Denver",+NFL!D32,0))</f>
        <v>0.66666666666666663</v>
      </c>
      <c r="E174" s="46" t="str">
        <f>IF(+NFL!$F32="Denver",+NFL!E32,IF(+NFL!$H32="Denver",+NFL!E32,0))</f>
        <v>CBS</v>
      </c>
      <c r="F174" s="114" t="str">
        <f>IF(+NFL!$F32="Denver",+NFL!F32,IF(+NFL!$H32="Denver",+NFL!F32,0))</f>
        <v>Houston</v>
      </c>
      <c r="G174" s="46" t="str">
        <f>IF(+NFL!$F32="Denver",+NFL!G32,IF(+NFL!$H32="Denver",+NFL!G32,0))</f>
        <v>AFCS</v>
      </c>
      <c r="H174" s="114" t="str">
        <f>IF(+NFL!$F32="Denver",+NFL!H32,IF(+NFL!$H32="Denver",+NFL!H32,0))</f>
        <v>Denver</v>
      </c>
      <c r="I174" s="46" t="str">
        <f>IF(+NFL!$F32="Denver",+NFL!I32,IF(+NFL!$H32="Denver",+NFL!I32,0))</f>
        <v>AFCW</v>
      </c>
      <c r="J174" s="353" t="str">
        <f>IF(+NFL!$F32="Denver",+NFL!J32,IF(+NFL!$H32="Denver",+NFL!J32,0))</f>
        <v>Denver</v>
      </c>
      <c r="K174" s="494" t="str">
        <f>IF(+NFL!$F32="Denver",+NFL!K32,IF(+NFL!$H32="Denver",+NFL!K32,0))</f>
        <v>Houston</v>
      </c>
      <c r="L174" s="362">
        <f>IF(+NFL!$F32="Denver",+NFL!L32,IF(+NFL!$H32="Denver",+NFL!L32,0))</f>
        <v>10</v>
      </c>
      <c r="M174" s="386">
        <f>IF(+NFL!$F32="Denver",+NFL!M32,IF(+NFL!$H32="Denver",+NFL!M32,0))</f>
        <v>46.5</v>
      </c>
      <c r="N174" s="394" t="str">
        <f>IF(+NFL!$F32="Denver",+NFL!N32,IF(+NFL!$H32="Denver",+NFL!N32,0))</f>
        <v>Denver</v>
      </c>
      <c r="O174" s="395">
        <f>IF(+NFL!$F32="Denver",+NFL!O32,IF(+NFL!$H32="Denver",+NFL!O32,0))</f>
        <v>16</v>
      </c>
      <c r="P174" s="394" t="str">
        <f>IF(+NFL!$F32="Denver",+NFL!P32,IF(+NFL!$H32="Denver",+NFL!P32,0))</f>
        <v>Houston</v>
      </c>
      <c r="Q174" s="396">
        <f>IF(+NFL!$F32="Denver",+NFL!Q32,IF(+NFL!$H32="Denver",+NFL!Q32,0))</f>
        <v>9</v>
      </c>
      <c r="R174" s="397" t="str">
        <f>IF(+NFL!$F32="Denver",+NFL!R32,IF(+NFL!$H32="Denver",+NFL!R32,0))</f>
        <v>Houston</v>
      </c>
      <c r="S174" s="396" t="str">
        <f>IF(+NFL!$F32="Denver",+NFL!S32,IF(+NFL!$H32="Denver",+NFL!S32,0))</f>
        <v>Denver</v>
      </c>
      <c r="T174" s="397" t="str">
        <f>IF(+NFL!$F32="Denver",+NFL!T32,IF(+NFL!$H32="Denver",+NFL!T32,0))</f>
        <v>Denver</v>
      </c>
      <c r="U174" s="396" t="str">
        <f>IF(+NFL!$F32="Denver",+NFL!U32,IF(+NFL!$H32="Denver",+NFL!U32,0))</f>
        <v>L</v>
      </c>
      <c r="AM174" s="493"/>
      <c r="AO174" s="46"/>
      <c r="AP174" s="348"/>
      <c r="AQ174" s="48"/>
      <c r="AS174" s="493"/>
      <c r="AT174" s="493"/>
      <c r="AV174" s="493"/>
      <c r="AX174" s="493"/>
      <c r="AY174" s="57"/>
      <c r="AZ174" s="493"/>
      <c r="BA174" s="46"/>
      <c r="BB174" s="46"/>
      <c r="BC174" s="403"/>
      <c r="BE174" s="493"/>
      <c r="BF174" s="46"/>
      <c r="BH174" s="493"/>
    </row>
    <row r="175" spans="1:63" x14ac:dyDescent="0.8">
      <c r="A175" s="46">
        <f>IF(+NFL!$F52="Denver",+NFL!A52,IF(+NFL!$H52="Denver",+NFL!A52,0))</f>
        <v>3</v>
      </c>
      <c r="B175" s="348" t="str">
        <f>IF(+NFL!$F52="Denver",+NFL!B52,IF(+NFL!$H52="Denver",+NFL!B52,0))</f>
        <v>Sun</v>
      </c>
      <c r="C175" s="48">
        <f>IF(+NFL!$F52="Denver",+NFL!C52,IF(+NFL!$H52="Denver",+NFL!C52,0))</f>
        <v>44829</v>
      </c>
      <c r="D175" s="490">
        <f>IF(+NFL!$F52="Denver",+NFL!D52,IF(+NFL!$H52="Denver",+NFL!D52,0))</f>
        <v>0.84375</v>
      </c>
      <c r="E175" s="46" t="str">
        <f>IF(+NFL!$F52="Denver",+NFL!E52,IF(+NFL!$H52="Denver",+NFL!E52,0))</f>
        <v>NBC</v>
      </c>
      <c r="F175" s="114" t="str">
        <f>IF(+NFL!$F52="Denver",+NFL!F52,IF(+NFL!$H52="Denver",+NFL!F52,0))</f>
        <v>San Francisco</v>
      </c>
      <c r="G175" s="46" t="str">
        <f>IF(+NFL!$F52="Denver",+NFL!G52,IF(+NFL!$H52="Denver",+NFL!G52,0))</f>
        <v>NFCW</v>
      </c>
      <c r="H175" s="114" t="str">
        <f>IF(+NFL!$F52="Denver",+NFL!H52,IF(+NFL!$H52="Denver",+NFL!H52,0))</f>
        <v>Denver</v>
      </c>
      <c r="I175" s="46" t="str">
        <f>IF(+NFL!$F52="Denver",+NFL!I52,IF(+NFL!$H52="Denver",+NFL!I52,0))</f>
        <v>AFCW</v>
      </c>
      <c r="J175" s="353" t="str">
        <f>IF(+NFL!$F52="Denver",+NFL!J52,IF(+NFL!$H52="Denver",+NFL!J52,0))</f>
        <v>San Francisco</v>
      </c>
      <c r="K175" s="494" t="str">
        <f>IF(+NFL!$F52="Denver",+NFL!K52,IF(+NFL!$H52="Denver",+NFL!K52,0))</f>
        <v>Denver</v>
      </c>
      <c r="L175" s="362">
        <f>IF(+NFL!$F52="Denver",+NFL!L52,IF(+NFL!$H52="Denver",+NFL!L52,0))</f>
        <v>1.5</v>
      </c>
      <c r="M175" s="386">
        <f>IF(+NFL!$F52="Denver",+NFL!M52,IF(+NFL!$H52="Denver",+NFL!M52,0))</f>
        <v>45</v>
      </c>
      <c r="N175" s="394" t="str">
        <f>IF(+NFL!$F52="Denver",+NFL!N52,IF(+NFL!$H52="Denver",+NFL!N52,0))</f>
        <v>Denver</v>
      </c>
      <c r="O175" s="395">
        <f>IF(+NFL!$F52="Denver",+NFL!O52,IF(+NFL!$H52="Denver",+NFL!O52,0))</f>
        <v>11</v>
      </c>
      <c r="P175" s="394" t="str">
        <f>IF(+NFL!$F52="Denver",+NFL!P52,IF(+NFL!$H52="Denver",+NFL!P52,0))</f>
        <v>San Francisco</v>
      </c>
      <c r="Q175" s="396">
        <f>IF(+NFL!$F52="Denver",+NFL!Q52,IF(+NFL!$H52="Denver",+NFL!Q52,0))</f>
        <v>10</v>
      </c>
      <c r="R175" s="397" t="str">
        <f>IF(+NFL!$F52="Denver",+NFL!R52,IF(+NFL!$H52="Denver",+NFL!R52,0))</f>
        <v>Denver</v>
      </c>
      <c r="S175" s="396" t="str">
        <f>IF(+NFL!$F52="Denver",+NFL!S52,IF(+NFL!$H52="Denver",+NFL!S52,0))</f>
        <v>San Francisco</v>
      </c>
      <c r="T175" s="397" t="str">
        <f>IF(+NFL!$F52="Denver",+NFL!T52,IF(+NFL!$H52="Denver",+NFL!T52,0))</f>
        <v>Denver</v>
      </c>
      <c r="U175" s="396" t="str">
        <f>IF(+NFL!$F52="Denver",+NFL!U52,IF(+NFL!$H52="Denver",+NFL!U52,0))</f>
        <v>W</v>
      </c>
      <c r="AM175" s="64"/>
      <c r="AO175" s="46"/>
      <c r="AP175" s="348"/>
      <c r="AQ175" s="48"/>
      <c r="AY175" s="57"/>
      <c r="AZ175" s="64"/>
      <c r="BA175" s="46"/>
      <c r="BB175" s="46"/>
      <c r="BC175" s="403"/>
      <c r="BF175" s="46"/>
    </row>
    <row r="176" spans="1:63" x14ac:dyDescent="0.8">
      <c r="A176" s="46">
        <f>IF(+NFL!$F68="Denver",+NFL!A68,IF(+NFL!$H68="Denver",+NFL!A68,0))</f>
        <v>4</v>
      </c>
      <c r="B176" s="348" t="str">
        <f>IF(+NFL!$F68="Denver",+NFL!B68,IF(+NFL!$H68="Denver",+NFL!B68,0))</f>
        <v>Sun</v>
      </c>
      <c r="C176" s="48">
        <f>IF(+NFL!$F68="Denver",+NFL!C68,IF(+NFL!$H68="Denver",+NFL!C68,0))</f>
        <v>44836</v>
      </c>
      <c r="D176" s="490">
        <f>IF(+NFL!$F68="Denver",+NFL!D68,IF(+NFL!$H68="Denver",+NFL!D68,0))</f>
        <v>0.66666666666666663</v>
      </c>
      <c r="E176" s="46" t="str">
        <f>IF(+NFL!$F68="Denver",+NFL!E68,IF(+NFL!$H68="Denver",+NFL!E68,0))</f>
        <v>CBS</v>
      </c>
      <c r="F176" s="114" t="str">
        <f>IF(+NFL!$F68="Denver",+NFL!F68,IF(+NFL!$H68="Denver",+NFL!F68,0))</f>
        <v>Denver</v>
      </c>
      <c r="G176" s="46" t="str">
        <f>IF(+NFL!$F68="Denver",+NFL!G68,IF(+NFL!$H68="Denver",+NFL!G68,0))</f>
        <v>AFCW</v>
      </c>
      <c r="H176" s="114" t="str">
        <f>IF(+NFL!$F68="Denver",+NFL!H68,IF(+NFL!$H68="Denver",+NFL!H68,0))</f>
        <v>Las Vegas</v>
      </c>
      <c r="I176" s="46" t="str">
        <f>IF(+NFL!$F68="Denver",+NFL!I68,IF(+NFL!$H68="Denver",+NFL!I68,0))</f>
        <v>AFCW</v>
      </c>
      <c r="J176" s="353" t="str">
        <f>IF(+NFL!$F68="Denver",+NFL!J68,IF(+NFL!$H68="Denver",+NFL!J68,0))</f>
        <v>Las Vegas</v>
      </c>
      <c r="K176" s="494" t="str">
        <f>IF(+NFL!$F68="Denver",+NFL!K68,IF(+NFL!$H68="Denver",+NFL!K68,0))</f>
        <v>Denver</v>
      </c>
      <c r="L176" s="362">
        <f>IF(+NFL!$F68="Denver",+NFL!L68,IF(+NFL!$H68="Denver",+NFL!L68,0))</f>
        <v>2.5</v>
      </c>
      <c r="M176" s="386">
        <f>IF(+NFL!$F68="Denver",+NFL!M68,IF(+NFL!$H68="Denver",+NFL!M68,0))</f>
        <v>46</v>
      </c>
      <c r="N176" s="394" t="str">
        <f>IF(+NFL!$F68="Denver",+NFL!N68,IF(+NFL!$H68="Denver",+NFL!N68,0))</f>
        <v>Las Vegas</v>
      </c>
      <c r="O176" s="395">
        <f>IF(+NFL!$F68="Denver",+NFL!O68,IF(+NFL!$H68="Denver",+NFL!O68,0))</f>
        <v>32</v>
      </c>
      <c r="P176" s="394" t="str">
        <f>IF(+NFL!$F68="Denver",+NFL!P68,IF(+NFL!$H68="Denver",+NFL!P68,0))</f>
        <v>Denver</v>
      </c>
      <c r="Q176" s="396">
        <f>IF(+NFL!$F68="Denver",+NFL!Q68,IF(+NFL!$H68="Denver",+NFL!Q68,0))</f>
        <v>23</v>
      </c>
      <c r="R176" s="397" t="str">
        <f>IF(+NFL!$F68="Denver",+NFL!R68,IF(+NFL!$H68="Denver",+NFL!R68,0))</f>
        <v>Las Vegas</v>
      </c>
      <c r="S176" s="396" t="str">
        <f>IF(+NFL!$F68="Denver",+NFL!S68,IF(+NFL!$H68="Denver",+NFL!S68,0))</f>
        <v>Denver</v>
      </c>
      <c r="T176" s="397" t="str">
        <f>IF(+NFL!$F68="Denver",+NFL!T68,IF(+NFL!$H68="Denver",+NFL!T68,0))</f>
        <v>Denver</v>
      </c>
      <c r="U176" s="396" t="str">
        <f>IF(+NFL!$F68="Denver",+NFL!U68,IF(+NFL!$H68="Denver",+NFL!U68,0))</f>
        <v>L</v>
      </c>
      <c r="V176" s="397">
        <f>IF(+NFL!$F40="Denver",+NFL!#REF!,IF(+NFL!$H40="Denver",+NFL!#REF!,0))</f>
        <v>0</v>
      </c>
      <c r="W176" s="396">
        <f>IF(+NFL!$F40="Denver",+NFL!#REF!,IF(+NFL!$H40="Denver",+NFL!#REF!,0))</f>
        <v>0</v>
      </c>
      <c r="X176" s="397">
        <f>IF(+NFL!$F40="Denver",+NFL!#REF!,IF(+NFL!$H40="Denver",+NFL!#REF!,0))</f>
        <v>0</v>
      </c>
      <c r="Y176" s="396">
        <f>IF(+NFL!$F40="Denver",+NFL!#REF!,IF(+NFL!$H40="Denver",+NFL!#REF!,0))</f>
        <v>0</v>
      </c>
      <c r="Z176" s="397">
        <f>IF(+NFL!$F40="Denver",+NFL!#REF!,IF(+NFL!$H40="Denver",+NFL!#REF!,0))</f>
        <v>0</v>
      </c>
      <c r="AA176" s="396">
        <f>IF(+NFL!$F40="Denver",+NFL!#REF!,IF(+NFL!$H40="Denver",+NFL!#REF!,0))</f>
        <v>0</v>
      </c>
      <c r="AB176" s="87">
        <f>IF(+NFL!$F40="Denver",+NFL!#REF!,IF(+NFL!$H40="Denver",+NFL!#REF!,0))</f>
        <v>0</v>
      </c>
      <c r="AC176" s="120">
        <f>IF(+NFL!$F40="Denver",+NFL!#REF!,IF(+NFL!$H40="Denver",+NFL!#REF!,0))</f>
        <v>0</v>
      </c>
      <c r="AD176" s="353">
        <f>IF(+NFL!$F40="Denver",+NFL!#REF!,IF(+NFL!$H40="Denver",+NFL!#REF!,0))</f>
        <v>0</v>
      </c>
      <c r="AE176" s="379">
        <f>IF(+NFL!$F40="Denver",+NFL!#REF!,IF(+NFL!$H40="Denver",+NFL!#REF!,0))</f>
        <v>0</v>
      </c>
      <c r="AF176" s="353">
        <f>IF(+NFL!$F40="Denver",+NFL!#REF!,IF(+NFL!$H40="Denver",+NFL!#REF!,0))</f>
        <v>0</v>
      </c>
      <c r="AG176" s="379">
        <f>IF(+NFL!$F40="Denver",+NFL!#REF!,IF(+NFL!$H40="Denver",+NFL!#REF!,0))</f>
        <v>0</v>
      </c>
      <c r="AH176" s="353">
        <f>IF(+NFL!$F40="Denver",+NFL!#REF!,IF(+NFL!$H40="Denver",+NFL!#REF!,0))</f>
        <v>0</v>
      </c>
      <c r="AI176" s="379">
        <f>IF(+NFL!$F40="Denver",+NFL!#REF!,IF(+NFL!$H40="Denver",+NFL!#REF!,0))</f>
        <v>0</v>
      </c>
      <c r="AJ176" s="353">
        <f>IF(+NFL!$F40="Denver",+NFL!#REF!,IF(+NFL!$H40="Denver",+NFL!#REF!,0))</f>
        <v>0</v>
      </c>
      <c r="AK176" s="379">
        <f>IF(+NFL!$F40="Denver",+NFL!#REF!,IF(+NFL!$H40="Denver",+NFL!#REF!,0))</f>
        <v>0</v>
      </c>
      <c r="AL176" s="57">
        <f>IF(+NFL!$F40="Denver",+NFL!#REF!,IF(+NFL!$H40="Denver",+NFL!#REF!,0))</f>
        <v>0</v>
      </c>
      <c r="AM176" s="64">
        <f>IF(+NFL!$F40="Denver",+NFL!#REF!,IF(+NFL!$H40="Denver",+NFL!#REF!,0))</f>
        <v>0</v>
      </c>
      <c r="AN176" s="57">
        <f>IF(+NFL!$F40="Denver",+NFL!#REF!,IF(+NFL!$H40="Denver",+NFL!#REF!,0))</f>
        <v>0</v>
      </c>
      <c r="AO176" s="46">
        <f>IF(+NFL!$F40="Denver",+NFL!#REF!,IF(+NFL!$H40="Denver",+NFL!#REF!,0))</f>
        <v>0</v>
      </c>
      <c r="AP176" s="348">
        <f>IF(+NFL!$F40="Denver",+NFL!#REF!,IF(+NFL!$H40="Denver",+NFL!#REF!,0))</f>
        <v>0</v>
      </c>
      <c r="AQ176" s="48">
        <f>IF(+NFL!$F40="Denver",+NFL!#REF!,IF(+NFL!$H40="Denver",+NFL!#REF!,0))</f>
        <v>0</v>
      </c>
      <c r="AR176" s="57">
        <f>IF(+NFL!$F40="Denver",+NFL!#REF!,IF(+NFL!$H40="Denver",+NFL!#REF!,0))</f>
        <v>0</v>
      </c>
      <c r="AS176" s="64">
        <f>IF(+NFL!$F40="Denver",+NFL!#REF!,IF(+NFL!$H40="Denver",+NFL!#REF!,0))</f>
        <v>0</v>
      </c>
      <c r="AT176" s="64">
        <f>IF(+NFL!$F40="Denver",+NFL!#REF!,IF(+NFL!$H40="Denver",+NFL!#REF!,0))</f>
        <v>0</v>
      </c>
      <c r="AU176" s="57">
        <f>IF(+NFL!$F40="Denver",+NFL!#REF!,IF(+NFL!$H40="Denver",+NFL!#REF!,0))</f>
        <v>0</v>
      </c>
      <c r="AV176" s="64">
        <f>IF(+NFL!$F40="Denver",+NFL!#REF!,IF(+NFL!$H40="Denver",+NFL!#REF!,0))</f>
        <v>0</v>
      </c>
      <c r="AW176" s="46">
        <f>IF(+NFL!$F40="Denver",+NFL!#REF!,IF(+NFL!$H40="Denver",+NFL!#REF!,0))</f>
        <v>0</v>
      </c>
      <c r="AX176" s="64">
        <f>IF(+NFL!$F40="Denver",+NFL!#REF!,IF(+NFL!$H40="Denver",+NFL!#REF!,0))</f>
        <v>0</v>
      </c>
      <c r="AY176" s="57">
        <f>IF(+NFL!$F40="Denver",+NFL!#REF!,IF(+NFL!$H40="Denver",+NFL!#REF!,0))</f>
        <v>0</v>
      </c>
      <c r="AZ176" s="64">
        <f>IF(+NFL!$F40="Denver",+NFL!#REF!,IF(+NFL!$H40="Denver",+NFL!#REF!,0))</f>
        <v>0</v>
      </c>
      <c r="BA176" s="46">
        <f>IF(+NFL!$F40="Denver",+NFL!#REF!,IF(+NFL!$H40="Denver",+NFL!#REF!,0))</f>
        <v>0</v>
      </c>
      <c r="BB176" s="46">
        <f>IF(+NFL!$F40="Denver",+NFL!#REF!,IF(+NFL!$H40="Denver",+NFL!#REF!,0))</f>
        <v>0</v>
      </c>
      <c r="BC176" s="403">
        <f>IF(+NFL!$F40="Denver",+NFL!#REF!,IF(+NFL!$H40="Denver",+NFL!#REF!,0))</f>
        <v>0</v>
      </c>
      <c r="BD176" s="57">
        <f>IF(+NFL!$F40="Denver",+NFL!#REF!,IF(+NFL!$H40="Denver",+NFL!#REF!,0))</f>
        <v>0</v>
      </c>
      <c r="BE176" s="64">
        <f>IF(+NFL!$F40="Denver",+NFL!#REF!,IF(+NFL!$H40="Denver",+NFL!#REF!,0))</f>
        <v>0</v>
      </c>
      <c r="BF176" s="46">
        <f>IF(+NFL!$F40="Denver",+NFL!#REF!,IF(+NFL!$H40="Denver",+NFL!#REF!,0))</f>
        <v>0</v>
      </c>
      <c r="BG176" s="57">
        <f>IF(+NFL!$F40="Denver",+NFL!#REF!,IF(+NFL!$H40="Denver",+NFL!#REF!,0))</f>
        <v>0</v>
      </c>
      <c r="BH176" s="64">
        <f>IF(+NFL!$F40="Denver",+NFL!#REF!,IF(+NFL!$H40="Denver",+NFL!#REF!,0))</f>
        <v>0</v>
      </c>
      <c r="BI176" s="46">
        <f>IF(+NFL!$F40="Denver",+NFL!#REF!,IF(+NFL!$H40="Denver",+NFL!#REF!,0))</f>
        <v>0</v>
      </c>
      <c r="BJ176" s="87">
        <f>IF(+NFL!$F40="Denver",+NFL!#REF!,IF(+NFL!$H40="Denver",+NFL!#REF!,0))</f>
        <v>0</v>
      </c>
      <c r="BK176" s="120">
        <f>IF(+NFL!$F40="Denver",+NFL!#REF!,IF(+NFL!$H40="Denver",+NFL!#REF!,0))</f>
        <v>0</v>
      </c>
    </row>
    <row r="177" spans="1:63" x14ac:dyDescent="0.8">
      <c r="A177" s="46">
        <f>IF(+NFL!$F72="Denver",+NFL!A72,IF(+NFL!$H72="Denver",+NFL!A72,0))</f>
        <v>5</v>
      </c>
      <c r="B177" s="348" t="str">
        <f>IF(+NFL!$F72="Denver",+NFL!B72,IF(+NFL!$H72="Denver",+NFL!B72,0))</f>
        <v>Thurs</v>
      </c>
      <c r="C177" s="48">
        <f>IF(+NFL!$F72="Denver",+NFL!C72,IF(+NFL!$H72="Denver",+NFL!C72,0))</f>
        <v>44840</v>
      </c>
      <c r="D177" s="490">
        <f>IF(+NFL!$F72="Denver",+NFL!D72,IF(+NFL!$H72="Denver",+NFL!D72,0))</f>
        <v>0.84375</v>
      </c>
      <c r="E177" s="46" t="str">
        <f>IF(+NFL!$F72="Denver",+NFL!E72,IF(+NFL!$H72="Denver",+NFL!E72,0))</f>
        <v>NBC</v>
      </c>
      <c r="F177" s="114" t="str">
        <f>IF(+NFL!$F72="Denver",+NFL!F72,IF(+NFL!$H72="Denver",+NFL!F72,0))</f>
        <v>Indianapolis</v>
      </c>
      <c r="G177" s="46" t="str">
        <f>IF(+NFL!$F72="Denver",+NFL!G72,IF(+NFL!$H72="Denver",+NFL!G72,0))</f>
        <v>AFCS</v>
      </c>
      <c r="H177" s="114" t="str">
        <f>IF(+NFL!$F72="Denver",+NFL!H72,IF(+NFL!$H72="Denver",+NFL!H72,0))</f>
        <v>Denver</v>
      </c>
      <c r="I177" s="46" t="str">
        <f>IF(+NFL!$F72="Denver",+NFL!I72,IF(+NFL!$H72="Denver",+NFL!I72,0))</f>
        <v>AFCW</v>
      </c>
      <c r="J177" s="353" t="str">
        <f>IF(+NFL!$F72="Denver",+NFL!J72,IF(+NFL!$H72="Denver",+NFL!J72,0))</f>
        <v>Denver</v>
      </c>
      <c r="K177" s="494" t="str">
        <f>IF(+NFL!$F72="Denver",+NFL!K72,IF(+NFL!$H72="Denver",+NFL!K72,0))</f>
        <v>Indianapolis</v>
      </c>
      <c r="L177" s="362">
        <f>IF(+NFL!$F72="Denver",+NFL!L72,IF(+NFL!$H72="Denver",+NFL!L72,0))</f>
        <v>3.5</v>
      </c>
      <c r="M177" s="386">
        <f>IF(+NFL!$F72="Denver",+NFL!M72,IF(+NFL!$H72="Denver",+NFL!M72,0))</f>
        <v>42.5</v>
      </c>
      <c r="N177" s="394" t="str">
        <f>IF(+NFL!$F72="Denver",+NFL!N72,IF(+NFL!$H72="Denver",+NFL!N72,0))</f>
        <v>Indianapolis</v>
      </c>
      <c r="O177" s="395">
        <f>IF(+NFL!$F72="Denver",+NFL!O72,IF(+NFL!$H72="Denver",+NFL!O72,0))</f>
        <v>12</v>
      </c>
      <c r="P177" s="394" t="str">
        <f>IF(+NFL!$F72="Denver",+NFL!P72,IF(+NFL!$H72="Denver",+NFL!P72,0))</f>
        <v>Denver</v>
      </c>
      <c r="Q177" s="396">
        <f>IF(+NFL!$F72="Denver",+NFL!Q72,IF(+NFL!$H72="Denver",+NFL!Q72,0))</f>
        <v>9</v>
      </c>
      <c r="R177" s="397" t="str">
        <f>IF(+NFL!$F72="Denver",+NFL!R72,IF(+NFL!$H72="Denver",+NFL!R72,0))</f>
        <v>Indianapolis</v>
      </c>
      <c r="S177" s="396" t="str">
        <f>IF(+NFL!$F72="Denver",+NFL!S72,IF(+NFL!$H72="Denver",+NFL!S72,0))</f>
        <v>Denver</v>
      </c>
      <c r="T177" s="397" t="str">
        <f>IF(+NFL!$F72="Denver",+NFL!T72,IF(+NFL!$H72="Denver",+NFL!T72,0))</f>
        <v>Indianapolis</v>
      </c>
      <c r="U177" s="396" t="str">
        <f>IF(+NFL!$F72="Denver",+NFL!U72,IF(+NFL!$H72="Denver",+NFL!U72,0))</f>
        <v>W</v>
      </c>
      <c r="V177" s="397">
        <f>IF(+NFL!$F51="Denver",+NFL!#REF!,IF(+NFL!$H51="Denver",+NFL!#REF!,0))</f>
        <v>0</v>
      </c>
      <c r="W177" s="396">
        <f>IF(+NFL!$F51="Denver",+NFL!#REF!,IF(+NFL!$H51="Denver",+NFL!#REF!,0))</f>
        <v>0</v>
      </c>
      <c r="X177" s="397">
        <f>IF(+NFL!$F51="Denver",+NFL!#REF!,IF(+NFL!$H51="Denver",+NFL!#REF!,0))</f>
        <v>0</v>
      </c>
      <c r="Y177" s="396">
        <f>IF(+NFL!$F51="Denver",+NFL!#REF!,IF(+NFL!$H51="Denver",+NFL!#REF!,0))</f>
        <v>0</v>
      </c>
      <c r="Z177" s="397">
        <f>IF(+NFL!$F51="Denver",+NFL!#REF!,IF(+NFL!$H51="Denver",+NFL!#REF!,0))</f>
        <v>0</v>
      </c>
      <c r="AA177" s="396">
        <f>IF(+NFL!$F51="Denver",+NFL!#REF!,IF(+NFL!$H51="Denver",+NFL!#REF!,0))</f>
        <v>0</v>
      </c>
      <c r="AB177" s="87">
        <f>IF(+NFL!$F51="Denver",+NFL!#REF!,IF(+NFL!$H51="Denver",+NFL!#REF!,0))</f>
        <v>0</v>
      </c>
      <c r="AC177" s="120">
        <f>IF(+NFL!$F51="Denver",+NFL!#REF!,IF(+NFL!$H51="Denver",+NFL!#REF!,0))</f>
        <v>0</v>
      </c>
      <c r="AD177" s="353">
        <f>IF(+NFL!$F51="Denver",+NFL!#REF!,IF(+NFL!$H51="Denver",+NFL!#REF!,0))</f>
        <v>0</v>
      </c>
      <c r="AE177" s="379">
        <f>IF(+NFL!$F51="Denver",+NFL!#REF!,IF(+NFL!$H51="Denver",+NFL!#REF!,0))</f>
        <v>0</v>
      </c>
      <c r="AF177" s="353">
        <f>IF(+NFL!$F51="Denver",+NFL!#REF!,IF(+NFL!$H51="Denver",+NFL!#REF!,0))</f>
        <v>0</v>
      </c>
      <c r="AG177" s="379">
        <f>IF(+NFL!$F51="Denver",+NFL!#REF!,IF(+NFL!$H51="Denver",+NFL!#REF!,0))</f>
        <v>0</v>
      </c>
      <c r="AH177" s="353">
        <f>IF(+NFL!$F51="Denver",+NFL!#REF!,IF(+NFL!$H51="Denver",+NFL!#REF!,0))</f>
        <v>0</v>
      </c>
      <c r="AI177" s="379">
        <f>IF(+NFL!$F51="Denver",+NFL!#REF!,IF(+NFL!$H51="Denver",+NFL!#REF!,0))</f>
        <v>0</v>
      </c>
      <c r="AJ177" s="353">
        <f>IF(+NFL!$F51="Denver",+NFL!#REF!,IF(+NFL!$H51="Denver",+NFL!#REF!,0))</f>
        <v>0</v>
      </c>
      <c r="AK177" s="379">
        <f>IF(+NFL!$F51="Denver",+NFL!#REF!,IF(+NFL!$H51="Denver",+NFL!#REF!,0))</f>
        <v>0</v>
      </c>
      <c r="AL177" s="57">
        <f>IF(+NFL!$F51="Denver",+NFL!#REF!,IF(+NFL!$H51="Denver",+NFL!#REF!,0))</f>
        <v>0</v>
      </c>
      <c r="AM177" s="64">
        <f>IF(+NFL!$F51="Denver",+NFL!#REF!,IF(+NFL!$H51="Denver",+NFL!#REF!,0))</f>
        <v>0</v>
      </c>
      <c r="AN177" s="57">
        <f>IF(+NFL!$F51="Denver",+NFL!#REF!,IF(+NFL!$H51="Denver",+NFL!#REF!,0))</f>
        <v>0</v>
      </c>
      <c r="AO177" s="46">
        <f>IF(+NFL!$F51="Denver",+NFL!#REF!,IF(+NFL!$H51="Denver",+NFL!#REF!,0))</f>
        <v>0</v>
      </c>
      <c r="AP177" s="348">
        <f>IF(+NFL!$F51="Denver",+NFL!#REF!,IF(+NFL!$H51="Denver",+NFL!#REF!,0))</f>
        <v>0</v>
      </c>
      <c r="AQ177" s="48">
        <f>IF(+NFL!$F51="Denver",+NFL!#REF!,IF(+NFL!$H51="Denver",+NFL!#REF!,0))</f>
        <v>0</v>
      </c>
      <c r="AR177" s="57">
        <f>IF(+NFL!$F51="Denver",+NFL!#REF!,IF(+NFL!$H51="Denver",+NFL!#REF!,0))</f>
        <v>0</v>
      </c>
      <c r="AS177" s="64">
        <f>IF(+NFL!$F51="Denver",+NFL!#REF!,IF(+NFL!$H51="Denver",+NFL!#REF!,0))</f>
        <v>0</v>
      </c>
      <c r="AT177" s="64">
        <f>IF(+NFL!$F51="Denver",+NFL!#REF!,IF(+NFL!$H51="Denver",+NFL!#REF!,0))</f>
        <v>0</v>
      </c>
      <c r="AU177" s="57">
        <f>IF(+NFL!$F51="Denver",+NFL!#REF!,IF(+NFL!$H51="Denver",+NFL!#REF!,0))</f>
        <v>0</v>
      </c>
      <c r="AV177" s="64">
        <f>IF(+NFL!$F51="Denver",+NFL!#REF!,IF(+NFL!$H51="Denver",+NFL!#REF!,0))</f>
        <v>0</v>
      </c>
      <c r="AW177" s="46">
        <f>IF(+NFL!$F51="Denver",+NFL!#REF!,IF(+NFL!$H51="Denver",+NFL!#REF!,0))</f>
        <v>0</v>
      </c>
      <c r="AX177" s="64">
        <f>IF(+NFL!$F51="Denver",+NFL!#REF!,IF(+NFL!$H51="Denver",+NFL!#REF!,0))</f>
        <v>0</v>
      </c>
      <c r="AY177" s="57">
        <f>IF(+NFL!$F51="Denver",+NFL!#REF!,IF(+NFL!$H51="Denver",+NFL!#REF!,0))</f>
        <v>0</v>
      </c>
      <c r="AZ177" s="64">
        <f>IF(+NFL!$F51="Denver",+NFL!#REF!,IF(+NFL!$H51="Denver",+NFL!#REF!,0))</f>
        <v>0</v>
      </c>
      <c r="BA177" s="46">
        <f>IF(+NFL!$F51="Denver",+NFL!#REF!,IF(+NFL!$H51="Denver",+NFL!#REF!,0))</f>
        <v>0</v>
      </c>
      <c r="BB177" s="46">
        <f>IF(+NFL!$F51="Denver",+NFL!#REF!,IF(+NFL!$H51="Denver",+NFL!#REF!,0))</f>
        <v>0</v>
      </c>
      <c r="BC177" s="403">
        <f>IF(+NFL!$F51="Denver",+NFL!#REF!,IF(+NFL!$H51="Denver",+NFL!#REF!,0))</f>
        <v>0</v>
      </c>
      <c r="BD177" s="57">
        <f>IF(+NFL!$F51="Denver",+NFL!#REF!,IF(+NFL!$H51="Denver",+NFL!#REF!,0))</f>
        <v>0</v>
      </c>
      <c r="BE177" s="64">
        <f>IF(+NFL!$F51="Denver",+NFL!#REF!,IF(+NFL!$H51="Denver",+NFL!#REF!,0))</f>
        <v>0</v>
      </c>
      <c r="BF177" s="46">
        <f>IF(+NFL!$F51="Denver",+NFL!#REF!,IF(+NFL!$H51="Denver",+NFL!#REF!,0))</f>
        <v>0</v>
      </c>
      <c r="BG177" s="57">
        <f>IF(+NFL!$F51="Denver",+NFL!#REF!,IF(+NFL!$H51="Denver",+NFL!#REF!,0))</f>
        <v>0</v>
      </c>
      <c r="BH177" s="64">
        <f>IF(+NFL!$F51="Denver",+NFL!#REF!,IF(+NFL!$H51="Denver",+NFL!#REF!,0))</f>
        <v>0</v>
      </c>
      <c r="BI177" s="46">
        <f>IF(+NFL!$F51="Denver",+NFL!#REF!,IF(+NFL!$H51="Denver",+NFL!#REF!,0))</f>
        <v>0</v>
      </c>
      <c r="BJ177" s="87">
        <f>IF(+NFL!$F51="Denver",+NFL!#REF!,IF(+NFL!$H51="Denver",+NFL!#REF!,0))</f>
        <v>0</v>
      </c>
      <c r="BK177" s="120">
        <f>IF(+NFL!$F51="Denver",+NFL!#REF!,IF(+NFL!$H51="Denver",+NFL!#REF!,0))</f>
        <v>0</v>
      </c>
    </row>
    <row r="178" spans="1:63" x14ac:dyDescent="0.8">
      <c r="A178" s="46">
        <f>IF(+NFL!$F102="Denver",+NFL!A102,IF(+NFL!$H102="Denver",+NFL!A102,0))</f>
        <v>6</v>
      </c>
      <c r="B178" s="348" t="str">
        <f>IF(+NFL!$F102="Denver",+NFL!B102,IF(+NFL!$H102="Denver",+NFL!B102,0))</f>
        <v>Mon</v>
      </c>
      <c r="C178" s="48">
        <f>IF(+NFL!$F102="Denver",+NFL!C102,IF(+NFL!$H102="Denver",+NFL!C102,0))</f>
        <v>44850</v>
      </c>
      <c r="D178" s="490">
        <f>IF(+NFL!$F102="Denver",+NFL!D102,IF(+NFL!$H102="Denver",+NFL!D102,0))</f>
        <v>0.84375</v>
      </c>
      <c r="E178" s="46" t="str">
        <f>IF(+NFL!$F102="Denver",+NFL!E102,IF(+NFL!$H102="Denver",+NFL!E102,0))</f>
        <v>ABC</v>
      </c>
      <c r="F178" s="114" t="str">
        <f>IF(+NFL!$F102="Denver",+NFL!F102,IF(+NFL!$H102="Denver",+NFL!F102,0))</f>
        <v>Denver</v>
      </c>
      <c r="G178" s="46" t="str">
        <f>IF(+NFL!$F102="Denver",+NFL!G102,IF(+NFL!$H102="Denver",+NFL!G102,0))</f>
        <v>AFCW</v>
      </c>
      <c r="H178" s="114" t="str">
        <f>IF(+NFL!$F102="Denver",+NFL!H102,IF(+NFL!$H102="Denver",+NFL!H102,0))</f>
        <v>LA Chargers</v>
      </c>
      <c r="I178" s="46" t="str">
        <f>IF(+NFL!$F102="Denver",+NFL!I102,IF(+NFL!$H102="Denver",+NFL!I102,0))</f>
        <v>AFCW</v>
      </c>
      <c r="J178" s="353" t="str">
        <f>IF(+NFL!$F102="Denver",+NFL!J102,IF(+NFL!$H102="Denver",+NFL!J102,0))</f>
        <v>LA Chargers</v>
      </c>
      <c r="K178" s="494" t="str">
        <f>IF(+NFL!$F102="Denver",+NFL!K102,IF(+NFL!$H102="Denver",+NFL!K102,0))</f>
        <v>Denver</v>
      </c>
      <c r="L178" s="362">
        <f>IF(+NFL!$F102="Denver",+NFL!L102,IF(+NFL!$H102="Denver",+NFL!L102,0))</f>
        <v>5</v>
      </c>
      <c r="M178" s="386">
        <f>IF(+NFL!$F102="Denver",+NFL!M102,IF(+NFL!$H102="Denver",+NFL!M102,0))</f>
        <v>45.5</v>
      </c>
      <c r="N178" s="394" t="str">
        <f>IF(+NFL!$F102="Denver",+NFL!N102,IF(+NFL!$H102="Denver",+NFL!N102,0))</f>
        <v>LA Chargers</v>
      </c>
      <c r="O178" s="395">
        <f>IF(+NFL!$F102="Denver",+NFL!O102,IF(+NFL!$H102="Denver",+NFL!O102,0))</f>
        <v>19</v>
      </c>
      <c r="P178" s="394" t="str">
        <f>IF(+NFL!$F102="Denver",+NFL!P102,IF(+NFL!$H102="Denver",+NFL!P102,0))</f>
        <v>Denver</v>
      </c>
      <c r="Q178" s="396">
        <f>IF(+NFL!$F102="Denver",+NFL!Q102,IF(+NFL!$H102="Denver",+NFL!Q102,0))</f>
        <v>16</v>
      </c>
      <c r="R178" s="397" t="str">
        <f>IF(+NFL!$F102="Denver",+NFL!R102,IF(+NFL!$H102="Denver",+NFL!R102,0))</f>
        <v>Denver</v>
      </c>
      <c r="S178" s="396" t="str">
        <f>IF(+NFL!$F102="Denver",+NFL!S102,IF(+NFL!$H102="Denver",+NFL!S102,0))</f>
        <v>LA Chargers</v>
      </c>
      <c r="T178" s="397" t="str">
        <f>IF(+NFL!$F102="Denver",+NFL!T102,IF(+NFL!$H102="Denver",+NFL!T102,0))</f>
        <v>LA Chargers</v>
      </c>
      <c r="U178" s="396" t="str">
        <f>IF(+NFL!$F102="Denver",+NFL!U102,IF(+NFL!$H102="Denver",+NFL!U102,0))</f>
        <v>L</v>
      </c>
      <c r="V178" s="397">
        <f>IF(+NFL!$F82="Denver",+NFL!#REF!,IF(+NFL!$H82="Denver",+NFL!#REF!,0))</f>
        <v>0</v>
      </c>
      <c r="W178" s="396">
        <f>IF(+NFL!$F82="Denver",+NFL!#REF!,IF(+NFL!$H82="Denver",+NFL!#REF!,0))</f>
        <v>0</v>
      </c>
      <c r="X178" s="397">
        <f>IF(+NFL!$F82="Denver",+NFL!#REF!,IF(+NFL!$H82="Denver",+NFL!#REF!,0))</f>
        <v>0</v>
      </c>
      <c r="Y178" s="396">
        <f>IF(+NFL!$F82="Denver",+NFL!#REF!,IF(+NFL!$H82="Denver",+NFL!#REF!,0))</f>
        <v>0</v>
      </c>
      <c r="Z178" s="397">
        <f>IF(+NFL!$F82="Denver",+NFL!#REF!,IF(+NFL!$H82="Denver",+NFL!#REF!,0))</f>
        <v>0</v>
      </c>
      <c r="AA178" s="396">
        <f>IF(+NFL!$F82="Denver",+NFL!#REF!,IF(+NFL!$H82="Denver",+NFL!#REF!,0))</f>
        <v>0</v>
      </c>
      <c r="AB178" s="87">
        <f>IF(+NFL!$F82="Denver",+NFL!#REF!,IF(+NFL!$H82="Denver",+NFL!#REF!,0))</f>
        <v>0</v>
      </c>
      <c r="AC178" s="120">
        <f>IF(+NFL!$F82="Denver",+NFL!#REF!,IF(+NFL!$H82="Denver",+NFL!#REF!,0))</f>
        <v>0</v>
      </c>
      <c r="AD178" s="353">
        <f>IF(+NFL!$F82="Denver",+NFL!#REF!,IF(+NFL!$H82="Denver",+NFL!#REF!,0))</f>
        <v>0</v>
      </c>
      <c r="AE178" s="379">
        <f>IF(+NFL!$F82="Denver",+NFL!#REF!,IF(+NFL!$H82="Denver",+NFL!#REF!,0))</f>
        <v>0</v>
      </c>
      <c r="AF178" s="353">
        <f>IF(+NFL!$F82="Denver",+NFL!#REF!,IF(+NFL!$H82="Denver",+NFL!#REF!,0))</f>
        <v>0</v>
      </c>
      <c r="AG178" s="379">
        <f>IF(+NFL!$F82="Denver",+NFL!#REF!,IF(+NFL!$H82="Denver",+NFL!#REF!,0))</f>
        <v>0</v>
      </c>
      <c r="AH178" s="353">
        <f>IF(+NFL!$F82="Denver",+NFL!#REF!,IF(+NFL!$H82="Denver",+NFL!#REF!,0))</f>
        <v>0</v>
      </c>
      <c r="AI178" s="379">
        <f>IF(+NFL!$F82="Denver",+NFL!#REF!,IF(+NFL!$H82="Denver",+NFL!#REF!,0))</f>
        <v>0</v>
      </c>
      <c r="AJ178" s="353">
        <f>IF(+NFL!$F82="Denver",+NFL!#REF!,IF(+NFL!$H82="Denver",+NFL!#REF!,0))</f>
        <v>0</v>
      </c>
      <c r="AK178" s="379">
        <f>IF(+NFL!$F82="Denver",+NFL!#REF!,IF(+NFL!$H82="Denver",+NFL!#REF!,0))</f>
        <v>0</v>
      </c>
      <c r="AL178" s="57">
        <f>IF(+NFL!$F82="Denver",+NFL!#REF!,IF(+NFL!$H82="Denver",+NFL!#REF!,0))</f>
        <v>0</v>
      </c>
      <c r="AM178" s="64">
        <f>IF(+NFL!$F82="Denver",+NFL!#REF!,IF(+NFL!$H82="Denver",+NFL!#REF!,0))</f>
        <v>0</v>
      </c>
      <c r="AN178" s="57">
        <f>IF(+NFL!$F82="Denver",+NFL!#REF!,IF(+NFL!$H82="Denver",+NFL!#REF!,0))</f>
        <v>0</v>
      </c>
      <c r="AO178" s="46">
        <f>IF(+NFL!$F82="Denver",+NFL!#REF!,IF(+NFL!$H82="Denver",+NFL!#REF!,0))</f>
        <v>0</v>
      </c>
      <c r="AP178" s="348">
        <f>IF(+NFL!$F82="Denver",+NFL!#REF!,IF(+NFL!$H82="Denver",+NFL!#REF!,0))</f>
        <v>0</v>
      </c>
      <c r="AQ178" s="48">
        <f>IF(+NFL!$F82="Denver",+NFL!#REF!,IF(+NFL!$H82="Denver",+NFL!#REF!,0))</f>
        <v>0</v>
      </c>
      <c r="AR178" s="57">
        <f>IF(+NFL!$F82="Denver",+NFL!#REF!,IF(+NFL!$H82="Denver",+NFL!#REF!,0))</f>
        <v>0</v>
      </c>
      <c r="AS178" s="64">
        <f>IF(+NFL!$F82="Denver",+NFL!#REF!,IF(+NFL!$H82="Denver",+NFL!#REF!,0))</f>
        <v>0</v>
      </c>
      <c r="AT178" s="64">
        <f>IF(+NFL!$F82="Denver",+NFL!#REF!,IF(+NFL!$H82="Denver",+NFL!#REF!,0))</f>
        <v>0</v>
      </c>
      <c r="AU178" s="57">
        <f>IF(+NFL!$F82="Denver",+NFL!#REF!,IF(+NFL!$H82="Denver",+NFL!#REF!,0))</f>
        <v>0</v>
      </c>
      <c r="AV178" s="64">
        <f>IF(+NFL!$F82="Denver",+NFL!#REF!,IF(+NFL!$H82="Denver",+NFL!#REF!,0))</f>
        <v>0</v>
      </c>
      <c r="AW178" s="46">
        <f>IF(+NFL!$F82="Denver",+NFL!#REF!,IF(+NFL!$H82="Denver",+NFL!#REF!,0))</f>
        <v>0</v>
      </c>
      <c r="AX178" s="64">
        <f>IF(+NFL!$F82="Denver",+NFL!#REF!,IF(+NFL!$H82="Denver",+NFL!#REF!,0))</f>
        <v>0</v>
      </c>
      <c r="AY178" s="57">
        <f>IF(+NFL!$F82="Denver",+NFL!#REF!,IF(+NFL!$H82="Denver",+NFL!#REF!,0))</f>
        <v>0</v>
      </c>
      <c r="AZ178" s="64">
        <f>IF(+NFL!$F82="Denver",+NFL!#REF!,IF(+NFL!$H82="Denver",+NFL!#REF!,0))</f>
        <v>0</v>
      </c>
      <c r="BA178" s="46">
        <f>IF(+NFL!$F82="Denver",+NFL!#REF!,IF(+NFL!$H82="Denver",+NFL!#REF!,0))</f>
        <v>0</v>
      </c>
      <c r="BB178" s="46">
        <f>IF(+NFL!$F82="Denver",+NFL!#REF!,IF(+NFL!$H82="Denver",+NFL!#REF!,0))</f>
        <v>0</v>
      </c>
      <c r="BC178" s="403">
        <f>IF(+NFL!$F82="Denver",+NFL!#REF!,IF(+NFL!$H82="Denver",+NFL!#REF!,0))</f>
        <v>0</v>
      </c>
      <c r="BD178" s="57">
        <f>IF(+NFL!$F82="Denver",+NFL!#REF!,IF(+NFL!$H82="Denver",+NFL!#REF!,0))</f>
        <v>0</v>
      </c>
      <c r="BE178" s="64">
        <f>IF(+NFL!$F82="Denver",+NFL!#REF!,IF(+NFL!$H82="Denver",+NFL!#REF!,0))</f>
        <v>0</v>
      </c>
      <c r="BF178" s="46">
        <f>IF(+NFL!$F82="Denver",+NFL!#REF!,IF(+NFL!$H82="Denver",+NFL!#REF!,0))</f>
        <v>0</v>
      </c>
      <c r="BG178" s="57">
        <f>IF(+NFL!$F82="Denver",+NFL!#REF!,IF(+NFL!$H82="Denver",+NFL!#REF!,0))</f>
        <v>0</v>
      </c>
      <c r="BH178" s="64">
        <f>IF(+NFL!$F82="Denver",+NFL!#REF!,IF(+NFL!$H82="Denver",+NFL!#REF!,0))</f>
        <v>0</v>
      </c>
      <c r="BI178" s="46">
        <f>IF(+NFL!$F82="Denver",+NFL!#REF!,IF(+NFL!$H82="Denver",+NFL!#REF!,0))</f>
        <v>0</v>
      </c>
      <c r="BJ178" s="87">
        <f>IF(+NFL!$F82="Denver",+NFL!#REF!,IF(+NFL!$H82="Denver",+NFL!#REF!,0))</f>
        <v>0</v>
      </c>
      <c r="BK178" s="120">
        <f>IF(+NFL!$F82="Denver",+NFL!#REF!,IF(+NFL!$H82="Denver",+NFL!#REF!,0))</f>
        <v>0</v>
      </c>
    </row>
    <row r="179" spans="1:63" x14ac:dyDescent="0.8">
      <c r="A179" s="46">
        <f>IF(+NFL!$F117="Denver",+NFL!A117,IF(+NFL!$H117="Denver",+NFL!A117,0))</f>
        <v>7</v>
      </c>
      <c r="B179" s="348" t="str">
        <f>IF(+NFL!$F117="Denver",+NFL!B117,IF(+NFL!$H117="Denver",+NFL!B117,0))</f>
        <v>Sun</v>
      </c>
      <c r="C179" s="48">
        <f>IF(+NFL!$F117="Denver",+NFL!C117,IF(+NFL!$H117="Denver",+NFL!C117,0))</f>
        <v>44857</v>
      </c>
      <c r="D179" s="490">
        <f>IF(+NFL!$F117="Denver",+NFL!D117,IF(+NFL!$H117="Denver",+NFL!D117,0))</f>
        <v>0.54166666666666663</v>
      </c>
      <c r="E179" s="46" t="str">
        <f>IF(+NFL!$F117="Denver",+NFL!E117,IF(+NFL!$H117="Denver",+NFL!E117,0))</f>
        <v>CBS</v>
      </c>
      <c r="F179" s="114" t="str">
        <f>IF(+NFL!$F117="Denver",+NFL!F117,IF(+NFL!$H117="Denver",+NFL!F117,0))</f>
        <v>NY Jets</v>
      </c>
      <c r="G179" s="46" t="str">
        <f>IF(+NFL!$F117="Denver",+NFL!G117,IF(+NFL!$H117="Denver",+NFL!G117,0))</f>
        <v>AFCE</v>
      </c>
      <c r="H179" s="114" t="str">
        <f>IF(+NFL!$F117="Denver",+NFL!H117,IF(+NFL!$H117="Denver",+NFL!H117,0))</f>
        <v>Denver</v>
      </c>
      <c r="I179" s="46" t="str">
        <f>IF(+NFL!$F117="Denver",+NFL!I117,IF(+NFL!$H117="Denver",+NFL!I117,0))</f>
        <v>AFCW</v>
      </c>
      <c r="J179" s="353" t="str">
        <f>IF(+NFL!$F117="Denver",+NFL!J117,IF(+NFL!$H117="Denver",+NFL!J117,0))</f>
        <v>Denver</v>
      </c>
      <c r="K179" s="494" t="str">
        <f>IF(+NFL!$F117="Denver",+NFL!K117,IF(+NFL!$H117="Denver",+NFL!K117,0))</f>
        <v>NY Jets</v>
      </c>
      <c r="L179" s="362">
        <f>IF(+NFL!$F117="Denver",+NFL!L117,IF(+NFL!$H117="Denver",+NFL!L117,0))</f>
        <v>1</v>
      </c>
      <c r="M179" s="386">
        <f>IF(+NFL!$F117="Denver",+NFL!M117,IF(+NFL!$H117="Denver",+NFL!M117,0))</f>
        <v>38.5</v>
      </c>
      <c r="N179" s="394" t="str">
        <f>IF(+NFL!$F117="Denver",+NFL!N117,IF(+NFL!$H117="Denver",+NFL!N117,0))</f>
        <v>NY Jets</v>
      </c>
      <c r="O179" s="395">
        <f>IF(+NFL!$F117="Denver",+NFL!O117,IF(+NFL!$H117="Denver",+NFL!O117,0))</f>
        <v>16</v>
      </c>
      <c r="P179" s="394" t="str">
        <f>IF(+NFL!$F117="Denver",+NFL!P117,IF(+NFL!$H117="Denver",+NFL!P117,0))</f>
        <v>Denver</v>
      </c>
      <c r="Q179" s="396">
        <f>IF(+NFL!$F117="Denver",+NFL!Q117,IF(+NFL!$H117="Denver",+NFL!Q117,0))</f>
        <v>9</v>
      </c>
      <c r="R179" s="397" t="str">
        <f>IF(+NFL!$F117="Denver",+NFL!R117,IF(+NFL!$H117="Denver",+NFL!R117,0))</f>
        <v>NY Jets</v>
      </c>
      <c r="S179" s="396" t="str">
        <f>IF(+NFL!$F117="Denver",+NFL!S117,IF(+NFL!$H117="Denver",+NFL!S117,0))</f>
        <v>Denver</v>
      </c>
      <c r="T179" s="397" t="str">
        <f>IF(+NFL!$F117="Denver",+NFL!T117,IF(+NFL!$H117="Denver",+NFL!T117,0))</f>
        <v>Denver</v>
      </c>
      <c r="U179" s="396" t="str">
        <f>IF(+NFL!$F117="Denver",+NFL!U117,IF(+NFL!$H117="Denver",+NFL!U117,0))</f>
        <v>L</v>
      </c>
      <c r="V179" s="397">
        <f>IF(+NFL!$F98="Denver",+NFL!#REF!,IF(+NFL!$H98="Denver",+NFL!#REF!,0))</f>
        <v>0</v>
      </c>
      <c r="W179" s="396">
        <f>IF(+NFL!$F98="Denver",+NFL!#REF!,IF(+NFL!$H98="Denver",+NFL!#REF!,0))</f>
        <v>0</v>
      </c>
      <c r="X179" s="397">
        <f>IF(+NFL!$F98="Denver",+NFL!#REF!,IF(+NFL!$H98="Denver",+NFL!#REF!,0))</f>
        <v>0</v>
      </c>
      <c r="Y179" s="396">
        <f>IF(+NFL!$F98="Denver",+NFL!#REF!,IF(+NFL!$H98="Denver",+NFL!#REF!,0))</f>
        <v>0</v>
      </c>
      <c r="Z179" s="397">
        <f>IF(+NFL!$F98="Denver",+NFL!#REF!,IF(+NFL!$H98="Denver",+NFL!#REF!,0))</f>
        <v>0</v>
      </c>
      <c r="AA179" s="396">
        <f>IF(+NFL!$F98="Denver",+NFL!#REF!,IF(+NFL!$H98="Denver",+NFL!#REF!,0))</f>
        <v>0</v>
      </c>
      <c r="AB179" s="87">
        <f>IF(+NFL!$F98="Denver",+NFL!#REF!,IF(+NFL!$H98="Denver",+NFL!#REF!,0))</f>
        <v>0</v>
      </c>
      <c r="AC179" s="120">
        <f>IF(+NFL!$F98="Denver",+NFL!#REF!,IF(+NFL!$H98="Denver",+NFL!#REF!,0))</f>
        <v>0</v>
      </c>
      <c r="AD179" s="353">
        <f>IF(+NFL!$F98="Denver",+NFL!#REF!,IF(+NFL!$H98="Denver",+NFL!#REF!,0))</f>
        <v>0</v>
      </c>
      <c r="AE179" s="379">
        <f>IF(+NFL!$F98="Denver",+NFL!#REF!,IF(+NFL!$H98="Denver",+NFL!#REF!,0))</f>
        <v>0</v>
      </c>
      <c r="AF179" s="353">
        <f>IF(+NFL!$F98="Denver",+NFL!#REF!,IF(+NFL!$H98="Denver",+NFL!#REF!,0))</f>
        <v>0</v>
      </c>
      <c r="AG179" s="379">
        <f>IF(+NFL!$F98="Denver",+NFL!#REF!,IF(+NFL!$H98="Denver",+NFL!#REF!,0))</f>
        <v>0</v>
      </c>
      <c r="AH179" s="353">
        <f>IF(+NFL!$F98="Denver",+NFL!#REF!,IF(+NFL!$H98="Denver",+NFL!#REF!,0))</f>
        <v>0</v>
      </c>
      <c r="AI179" s="379">
        <f>IF(+NFL!$F98="Denver",+NFL!#REF!,IF(+NFL!$H98="Denver",+NFL!#REF!,0))</f>
        <v>0</v>
      </c>
      <c r="AJ179" s="353">
        <f>IF(+NFL!$F98="Denver",+NFL!#REF!,IF(+NFL!$H98="Denver",+NFL!#REF!,0))</f>
        <v>0</v>
      </c>
      <c r="AK179" s="379">
        <f>IF(+NFL!$F98="Denver",+NFL!#REF!,IF(+NFL!$H98="Denver",+NFL!#REF!,0))</f>
        <v>0</v>
      </c>
      <c r="AL179" s="57">
        <f>IF(+NFL!$F98="Denver",+NFL!#REF!,IF(+NFL!$H98="Denver",+NFL!#REF!,0))</f>
        <v>0</v>
      </c>
      <c r="AM179" s="64">
        <f>IF(+NFL!$F98="Denver",+NFL!#REF!,IF(+NFL!$H98="Denver",+NFL!#REF!,0))</f>
        <v>0</v>
      </c>
      <c r="AN179" s="57">
        <f>IF(+NFL!$F98="Denver",+NFL!#REF!,IF(+NFL!$H98="Denver",+NFL!#REF!,0))</f>
        <v>0</v>
      </c>
      <c r="AO179" s="46">
        <f>IF(+NFL!$F98="Denver",+NFL!#REF!,IF(+NFL!$H98="Denver",+NFL!#REF!,0))</f>
        <v>0</v>
      </c>
      <c r="AP179" s="348">
        <f>IF(+NFL!$F98="Denver",+NFL!#REF!,IF(+NFL!$H98="Denver",+NFL!#REF!,0))</f>
        <v>0</v>
      </c>
      <c r="AQ179" s="48">
        <f>IF(+NFL!$F98="Denver",+NFL!#REF!,IF(+NFL!$H98="Denver",+NFL!#REF!,0))</f>
        <v>0</v>
      </c>
      <c r="AR179" s="57">
        <f>IF(+NFL!$F98="Denver",+NFL!#REF!,IF(+NFL!$H98="Denver",+NFL!#REF!,0))</f>
        <v>0</v>
      </c>
      <c r="AS179" s="64">
        <f>IF(+NFL!$F98="Denver",+NFL!#REF!,IF(+NFL!$H98="Denver",+NFL!#REF!,0))</f>
        <v>0</v>
      </c>
      <c r="AT179" s="64">
        <f>IF(+NFL!$F98="Denver",+NFL!#REF!,IF(+NFL!$H98="Denver",+NFL!#REF!,0))</f>
        <v>0</v>
      </c>
      <c r="AU179" s="57">
        <f>IF(+NFL!$F98="Denver",+NFL!#REF!,IF(+NFL!$H98="Denver",+NFL!#REF!,0))</f>
        <v>0</v>
      </c>
      <c r="AV179" s="64">
        <f>IF(+NFL!$F98="Denver",+NFL!#REF!,IF(+NFL!$H98="Denver",+NFL!#REF!,0))</f>
        <v>0</v>
      </c>
      <c r="AW179" s="46">
        <f>IF(+NFL!$F98="Denver",+NFL!#REF!,IF(+NFL!$H98="Denver",+NFL!#REF!,0))</f>
        <v>0</v>
      </c>
      <c r="AX179" s="64">
        <f>IF(+NFL!$F98="Denver",+NFL!#REF!,IF(+NFL!$H98="Denver",+NFL!#REF!,0))</f>
        <v>0</v>
      </c>
      <c r="AY179" s="57">
        <f>IF(+NFL!$F98="Denver",+NFL!#REF!,IF(+NFL!$H98="Denver",+NFL!#REF!,0))</f>
        <v>0</v>
      </c>
      <c r="AZ179" s="64">
        <f>IF(+NFL!$F98="Denver",+NFL!#REF!,IF(+NFL!$H98="Denver",+NFL!#REF!,0))</f>
        <v>0</v>
      </c>
      <c r="BA179" s="46">
        <f>IF(+NFL!$F98="Denver",+NFL!#REF!,IF(+NFL!$H98="Denver",+NFL!#REF!,0))</f>
        <v>0</v>
      </c>
      <c r="BB179" s="46">
        <f>IF(+NFL!$F98="Denver",+NFL!#REF!,IF(+NFL!$H98="Denver",+NFL!#REF!,0))</f>
        <v>0</v>
      </c>
      <c r="BC179" s="403">
        <f>IF(+NFL!$F98="Denver",+NFL!#REF!,IF(+NFL!$H98="Denver",+NFL!#REF!,0))</f>
        <v>0</v>
      </c>
      <c r="BD179" s="57">
        <f>IF(+NFL!$F98="Denver",+NFL!#REF!,IF(+NFL!$H98="Denver",+NFL!#REF!,0))</f>
        <v>0</v>
      </c>
      <c r="BE179" s="64">
        <f>IF(+NFL!$F98="Denver",+NFL!#REF!,IF(+NFL!$H98="Denver",+NFL!#REF!,0))</f>
        <v>0</v>
      </c>
      <c r="BF179" s="46">
        <f>IF(+NFL!$F98="Denver",+NFL!#REF!,IF(+NFL!$H98="Denver",+NFL!#REF!,0))</f>
        <v>0</v>
      </c>
      <c r="BG179" s="57">
        <f>IF(+NFL!$F98="Denver",+NFL!#REF!,IF(+NFL!$H98="Denver",+NFL!#REF!,0))</f>
        <v>0</v>
      </c>
      <c r="BH179" s="64">
        <f>IF(+NFL!$F98="Denver",+NFL!#REF!,IF(+NFL!$H98="Denver",+NFL!#REF!,0))</f>
        <v>0</v>
      </c>
      <c r="BI179" s="46">
        <f>IF(+NFL!$F98="Denver",+NFL!#REF!,IF(+NFL!$H98="Denver",+NFL!#REF!,0))</f>
        <v>0</v>
      </c>
      <c r="BJ179" s="87">
        <f>IF(+NFL!$F98="Denver",+NFL!#REF!,IF(+NFL!$H98="Denver",+NFL!#REF!,0))</f>
        <v>0</v>
      </c>
      <c r="BK179" s="120">
        <f>IF(+NFL!$F98="Denver",+NFL!#REF!,IF(+NFL!$H98="Denver",+NFL!#REF!,0))</f>
        <v>0</v>
      </c>
    </row>
    <row r="180" spans="1:63" x14ac:dyDescent="0.8">
      <c r="A180" s="46">
        <f>IF(+NFL!$F130="Denver",+NFL!A130,IF(+NFL!$H130="Denver",+NFL!A130,0))</f>
        <v>8</v>
      </c>
      <c r="B180" s="348" t="str">
        <f>IF(+NFL!$F130="Denver",+NFL!B130,IF(+NFL!$H130="Denver",+NFL!B130,0))</f>
        <v>Sun</v>
      </c>
      <c r="C180" s="48">
        <f>IF(+NFL!$F130="Denver",+NFL!C130,IF(+NFL!$H130="Denver",+NFL!C130,0))</f>
        <v>44861</v>
      </c>
      <c r="D180" s="490">
        <f>IF(+NFL!$F130="Denver",+NFL!D130,IF(+NFL!$H130="Denver",+NFL!D130,0))</f>
        <v>0.39583333333333331</v>
      </c>
      <c r="E180" s="46" t="str">
        <f>IF(+NFL!$F130="Denver",+NFL!E130,IF(+NFL!$H130="Denver",+NFL!E130,0))</f>
        <v>CBS</v>
      </c>
      <c r="F180" s="114" t="str">
        <f>IF(+NFL!$F130="Denver",+NFL!F130,IF(+NFL!$H130="Denver",+NFL!F130,0))</f>
        <v>Denver</v>
      </c>
      <c r="G180" s="46" t="str">
        <f>IF(+NFL!$F130="Denver",+NFL!G130,IF(+NFL!$H130="Denver",+NFL!G130,0))</f>
        <v>AFCW</v>
      </c>
      <c r="H180" s="114" t="str">
        <f>IF(+NFL!$F130="Denver",+NFL!H130,IF(+NFL!$H130="Denver",+NFL!H130,0))</f>
        <v>Jacksonville</v>
      </c>
      <c r="I180" s="46" t="str">
        <f>IF(+NFL!$F130="Denver",+NFL!I130,IF(+NFL!$H130="Denver",+NFL!I130,0))</f>
        <v>AFCS</v>
      </c>
      <c r="J180" s="353" t="str">
        <f>IF(+NFL!$F130="Denver",+NFL!J130,IF(+NFL!$H130="Denver",+NFL!J130,0))</f>
        <v>Jacksonville</v>
      </c>
      <c r="K180" s="494" t="str">
        <f>IF(+NFL!$F130="Denver",+NFL!K130,IF(+NFL!$H130="Denver",+NFL!K130,0))</f>
        <v>Denver</v>
      </c>
      <c r="L180" s="362">
        <f>IF(+NFL!$F130="Denver",+NFL!L130,IF(+NFL!$H130="Denver",+NFL!L130,0))</f>
        <v>3</v>
      </c>
      <c r="M180" s="386">
        <f>IF(+NFL!$F130="Denver",+NFL!M130,IF(+NFL!$H130="Denver",+NFL!M130,0))</f>
        <v>39.5</v>
      </c>
      <c r="N180" s="394" t="str">
        <f>IF(+NFL!$F130="Denver",+NFL!N130,IF(+NFL!$H130="Denver",+NFL!N130,0))</f>
        <v>Denver</v>
      </c>
      <c r="O180" s="395">
        <f>IF(+NFL!$F130="Denver",+NFL!O130,IF(+NFL!$H130="Denver",+NFL!O130,0))</f>
        <v>21</v>
      </c>
      <c r="P180" s="394" t="str">
        <f>IF(+NFL!$F130="Denver",+NFL!P130,IF(+NFL!$H130="Denver",+NFL!P130,0))</f>
        <v>Jacksonville</v>
      </c>
      <c r="Q180" s="396">
        <f>IF(+NFL!$F130="Denver",+NFL!Q130,IF(+NFL!$H130="Denver",+NFL!Q130,0))</f>
        <v>17</v>
      </c>
      <c r="R180" s="397" t="str">
        <f>IF(+NFL!$F130="Denver",+NFL!R130,IF(+NFL!$H130="Denver",+NFL!R130,0))</f>
        <v>Denver</v>
      </c>
      <c r="S180" s="396" t="str">
        <f>IF(+NFL!$F130="Denver",+NFL!S130,IF(+NFL!$H130="Denver",+NFL!S130,0))</f>
        <v>Jacksonville</v>
      </c>
      <c r="T180" s="397" t="str">
        <f>IF(+NFL!$F130="Denver",+NFL!T130,IF(+NFL!$H130="Denver",+NFL!T130,0))</f>
        <v>Jacksonville</v>
      </c>
      <c r="U180" s="396" t="str">
        <f>IF(+NFL!$F130="Denver",+NFL!U130,IF(+NFL!$H130="Denver",+NFL!U130,0))</f>
        <v>L</v>
      </c>
      <c r="V180" s="397" t="e">
        <f>IF(+NFL!$F117="Denver",+NFL!#REF!,IF(+NFL!$H117="Denver",+NFL!#REF!,0))</f>
        <v>#REF!</v>
      </c>
      <c r="W180" s="396" t="e">
        <f>IF(+NFL!$F117="Denver",+NFL!#REF!,IF(+NFL!$H117="Denver",+NFL!#REF!,0))</f>
        <v>#REF!</v>
      </c>
      <c r="X180" s="397" t="e">
        <f>IF(+NFL!$F117="Denver",+NFL!#REF!,IF(+NFL!$H117="Denver",+NFL!#REF!,0))</f>
        <v>#REF!</v>
      </c>
      <c r="Y180" s="396" t="e">
        <f>IF(+NFL!$F117="Denver",+NFL!#REF!,IF(+NFL!$H117="Denver",+NFL!#REF!,0))</f>
        <v>#REF!</v>
      </c>
      <c r="Z180" s="397" t="e">
        <f>IF(+NFL!$F117="Denver",+NFL!#REF!,IF(+NFL!$H117="Denver",+NFL!#REF!,0))</f>
        <v>#REF!</v>
      </c>
      <c r="AA180" s="396" t="e">
        <f>IF(+NFL!$F117="Denver",+NFL!#REF!,IF(+NFL!$H117="Denver",+NFL!#REF!,0))</f>
        <v>#REF!</v>
      </c>
      <c r="AB180" s="87" t="e">
        <f>IF(+NFL!$F117="Denver",+NFL!#REF!,IF(+NFL!$H117="Denver",+NFL!#REF!,0))</f>
        <v>#REF!</v>
      </c>
      <c r="AC180" s="120" t="e">
        <f>IF(+NFL!$F117="Denver",+NFL!#REF!,IF(+NFL!$H117="Denver",+NFL!#REF!,0))</f>
        <v>#REF!</v>
      </c>
      <c r="AD180" s="353" t="e">
        <f>IF(+NFL!$F117="Denver",+NFL!#REF!,IF(+NFL!$H117="Denver",+NFL!#REF!,0))</f>
        <v>#REF!</v>
      </c>
      <c r="AE180" s="379" t="e">
        <f>IF(+NFL!$F117="Denver",+NFL!#REF!,IF(+NFL!$H117="Denver",+NFL!#REF!,0))</f>
        <v>#REF!</v>
      </c>
      <c r="AF180" s="353" t="e">
        <f>IF(+NFL!$F117="Denver",+NFL!#REF!,IF(+NFL!$H117="Denver",+NFL!#REF!,0))</f>
        <v>#REF!</v>
      </c>
      <c r="AG180" s="379" t="e">
        <f>IF(+NFL!$F117="Denver",+NFL!#REF!,IF(+NFL!$H117="Denver",+NFL!#REF!,0))</f>
        <v>#REF!</v>
      </c>
      <c r="AH180" s="353" t="e">
        <f>IF(+NFL!$F117="Denver",+NFL!#REF!,IF(+NFL!$H117="Denver",+NFL!#REF!,0))</f>
        <v>#REF!</v>
      </c>
      <c r="AI180" s="379" t="e">
        <f>IF(+NFL!$F117="Denver",+NFL!#REF!,IF(+NFL!$H117="Denver",+NFL!#REF!,0))</f>
        <v>#REF!</v>
      </c>
      <c r="AJ180" s="353" t="e">
        <f>IF(+NFL!$F117="Denver",+NFL!#REF!,IF(+NFL!$H117="Denver",+NFL!#REF!,0))</f>
        <v>#REF!</v>
      </c>
      <c r="AK180" s="379" t="e">
        <f>IF(+NFL!$F117="Denver",+NFL!#REF!,IF(+NFL!$H117="Denver",+NFL!#REF!,0))</f>
        <v>#REF!</v>
      </c>
      <c r="AL180" s="57" t="e">
        <f>IF(+NFL!$F117="Denver",+NFL!#REF!,IF(+NFL!$H117="Denver",+NFL!#REF!,0))</f>
        <v>#REF!</v>
      </c>
      <c r="AM180" s="64" t="e">
        <f>IF(+NFL!$F117="Denver",+NFL!#REF!,IF(+NFL!$H117="Denver",+NFL!#REF!,0))</f>
        <v>#REF!</v>
      </c>
      <c r="AN180" s="57" t="e">
        <f>IF(+NFL!$F117="Denver",+NFL!#REF!,IF(+NFL!$H117="Denver",+NFL!#REF!,0))</f>
        <v>#REF!</v>
      </c>
      <c r="AO180" s="46" t="e">
        <f>IF(+NFL!$F117="Denver",+NFL!#REF!,IF(+NFL!$H117="Denver",+NFL!#REF!,0))</f>
        <v>#REF!</v>
      </c>
      <c r="AP180" s="348" t="e">
        <f>IF(+NFL!$F117="Denver",+NFL!#REF!,IF(+NFL!$H117="Denver",+NFL!#REF!,0))</f>
        <v>#REF!</v>
      </c>
      <c r="AQ180" s="48" t="e">
        <f>IF(+NFL!$F117="Denver",+NFL!#REF!,IF(+NFL!$H117="Denver",+NFL!#REF!,0))</f>
        <v>#REF!</v>
      </c>
      <c r="AR180" s="57" t="e">
        <f>IF(+NFL!$F117="Denver",+NFL!#REF!,IF(+NFL!$H117="Denver",+NFL!#REF!,0))</f>
        <v>#REF!</v>
      </c>
      <c r="AS180" s="64" t="e">
        <f>IF(+NFL!$F117="Denver",+NFL!#REF!,IF(+NFL!$H117="Denver",+NFL!#REF!,0))</f>
        <v>#REF!</v>
      </c>
      <c r="AT180" s="64" t="e">
        <f>IF(+NFL!$F117="Denver",+NFL!#REF!,IF(+NFL!$H117="Denver",+NFL!#REF!,0))</f>
        <v>#REF!</v>
      </c>
      <c r="AU180" s="57" t="e">
        <f>IF(+NFL!$F117="Denver",+NFL!#REF!,IF(+NFL!$H117="Denver",+NFL!#REF!,0))</f>
        <v>#REF!</v>
      </c>
      <c r="AV180" s="64" t="e">
        <f>IF(+NFL!$F117="Denver",+NFL!#REF!,IF(+NFL!$H117="Denver",+NFL!#REF!,0))</f>
        <v>#REF!</v>
      </c>
      <c r="AW180" s="46" t="e">
        <f>IF(+NFL!$F117="Denver",+NFL!#REF!,IF(+NFL!$H117="Denver",+NFL!#REF!,0))</f>
        <v>#REF!</v>
      </c>
      <c r="AX180" s="64" t="e">
        <f>IF(+NFL!$F117="Denver",+NFL!#REF!,IF(+NFL!$H117="Denver",+NFL!#REF!,0))</f>
        <v>#REF!</v>
      </c>
      <c r="AY180" s="57" t="e">
        <f>IF(+NFL!$F117="Denver",+NFL!#REF!,IF(+NFL!$H117="Denver",+NFL!#REF!,0))</f>
        <v>#REF!</v>
      </c>
      <c r="AZ180" s="64" t="e">
        <f>IF(+NFL!$F117="Denver",+NFL!#REF!,IF(+NFL!$H117="Denver",+NFL!#REF!,0))</f>
        <v>#REF!</v>
      </c>
      <c r="BA180" s="46" t="e">
        <f>IF(+NFL!$F117="Denver",+NFL!#REF!,IF(+NFL!$H117="Denver",+NFL!#REF!,0))</f>
        <v>#REF!</v>
      </c>
      <c r="BB180" s="46" t="e">
        <f>IF(+NFL!$F117="Denver",+NFL!#REF!,IF(+NFL!$H117="Denver",+NFL!#REF!,0))</f>
        <v>#REF!</v>
      </c>
      <c r="BC180" s="403" t="e">
        <f>IF(+NFL!$F117="Denver",+NFL!#REF!,IF(+NFL!$H117="Denver",+NFL!#REF!,0))</f>
        <v>#REF!</v>
      </c>
      <c r="BD180" s="57" t="e">
        <f>IF(+NFL!$F117="Denver",+NFL!#REF!,IF(+NFL!$H117="Denver",+NFL!#REF!,0))</f>
        <v>#REF!</v>
      </c>
      <c r="BE180" s="64" t="e">
        <f>IF(+NFL!$F117="Denver",+NFL!#REF!,IF(+NFL!$H117="Denver",+NFL!#REF!,0))</f>
        <v>#REF!</v>
      </c>
      <c r="BF180" s="46" t="e">
        <f>IF(+NFL!$F117="Denver",+NFL!#REF!,IF(+NFL!$H117="Denver",+NFL!#REF!,0))</f>
        <v>#REF!</v>
      </c>
      <c r="BG180" s="57" t="e">
        <f>IF(+NFL!$F117="Denver",+NFL!#REF!,IF(+NFL!$H117="Denver",+NFL!#REF!,0))</f>
        <v>#REF!</v>
      </c>
      <c r="BH180" s="64" t="e">
        <f>IF(+NFL!$F117="Denver",+NFL!#REF!,IF(+NFL!$H117="Denver",+NFL!#REF!,0))</f>
        <v>#REF!</v>
      </c>
      <c r="BI180" s="46" t="e">
        <f>IF(+NFL!$F117="Denver",+NFL!#REF!,IF(+NFL!$H117="Denver",+NFL!#REF!,0))</f>
        <v>#REF!</v>
      </c>
      <c r="BJ180" s="87" t="e">
        <f>IF(+NFL!$F117="Denver",+NFL!#REF!,IF(+NFL!$H117="Denver",+NFL!#REF!,0))</f>
        <v>#REF!</v>
      </c>
      <c r="BK180" s="120" t="e">
        <f>IF(+NFL!$F117="Denver",+NFL!#REF!,IF(+NFL!$H117="Denver",+NFL!#REF!,0))</f>
        <v>#REF!</v>
      </c>
    </row>
    <row r="181" spans="1:63" x14ac:dyDescent="0.8">
      <c r="A181" s="46">
        <f>IF(+NFL!$F164="Denver",+NFL!A164,IF(+NFL!$H164="Denver",+NFL!A164,0))</f>
        <v>9</v>
      </c>
      <c r="B181" s="348">
        <f>IF(+NFL!$F164="Denver",+NFL!B164,IF(+NFL!$H164="Denver",+NFL!B164,0))</f>
        <v>0</v>
      </c>
      <c r="C181" s="48">
        <f>IF(+NFL!$F164="Denver",+NFL!C164,IF(+NFL!$H164="Denver",+NFL!C164,0))</f>
        <v>0</v>
      </c>
      <c r="D181" s="490">
        <f>IF(+NFL!$F164="Denver",+NFL!D164,IF(+NFL!$H164="Denver",+NFL!D164,0))</f>
        <v>0</v>
      </c>
      <c r="E181" s="46">
        <f>IF(+NFL!$F164="Denver",+NFL!E164,IF(+NFL!$H164="Denver",+NFL!E164,0))</f>
        <v>0</v>
      </c>
      <c r="F181" s="114" t="str">
        <f>IF(+NFL!$F164="Denver",+NFL!F164,IF(+NFL!$H164="Denver",+NFL!F164,0))</f>
        <v>Denver</v>
      </c>
      <c r="G181" s="46" t="str">
        <f>IF(+NFL!$F164="Denver",+NFL!G164,IF(+NFL!$H164="Denver",+NFL!G164,0))</f>
        <v>AFCW</v>
      </c>
      <c r="H181" s="114">
        <f>IF(+NFL!$F164="Denver",+NFL!H164,IF(+NFL!$H164="Denver",+NFL!H164,0))</f>
        <v>0</v>
      </c>
      <c r="I181" s="46">
        <f>IF(+NFL!$F164="Denver",+NFL!I164,IF(+NFL!$H164="Denver",+NFL!I164,0))</f>
        <v>0</v>
      </c>
      <c r="J181" s="353">
        <f>IF(+NFL!$F164="Denver",+NFL!J164,IF(+NFL!$H164="Denver",+NFL!J164,0))</f>
        <v>0</v>
      </c>
      <c r="K181" s="494">
        <f>IF(+NFL!$F164="Denver",+NFL!K164,IF(+NFL!$H164="Denver",+NFL!K164,0))</f>
        <v>0</v>
      </c>
      <c r="L181" s="362">
        <f>IF(+NFL!$F164="Denver",+NFL!L164,IF(+NFL!$H164="Denver",+NFL!L164,0))</f>
        <v>0</v>
      </c>
      <c r="M181" s="386">
        <f>IF(+NFL!$F164="Denver",+NFL!M164,IF(+NFL!$H164="Denver",+NFL!M164,0))</f>
        <v>0</v>
      </c>
      <c r="N181" s="394">
        <f>IF(+NFL!$F164="Denver",+NFL!N164,IF(+NFL!$H164="Denver",+NFL!N164,0))</f>
        <v>0</v>
      </c>
      <c r="O181" s="395">
        <f>IF(+NFL!$F164="Denver",+NFL!O164,IF(+NFL!$H164="Denver",+NFL!O164,0))</f>
        <v>0</v>
      </c>
      <c r="P181" s="394">
        <f>IF(+NFL!$F164="Denver",+NFL!P164,IF(+NFL!$H164="Denver",+NFL!P164,0))</f>
        <v>0</v>
      </c>
      <c r="Q181" s="396">
        <f>IF(+NFL!$F164="Denver",+NFL!Q164,IF(+NFL!$H164="Denver",+NFL!Q164,0))</f>
        <v>0</v>
      </c>
      <c r="R181" s="397">
        <f>IF(+NFL!$F164="Denver",+NFL!R164,IF(+NFL!$H164="Denver",+NFL!R164,0))</f>
        <v>0</v>
      </c>
      <c r="S181" s="396">
        <f>IF(+NFL!$F164="Denver",+NFL!S164,IF(+NFL!$H164="Denver",+NFL!S164,0))</f>
        <v>0</v>
      </c>
      <c r="T181" s="397">
        <f>IF(+NFL!$F164="Denver",+NFL!T164,IF(+NFL!$H164="Denver",+NFL!T164,0))</f>
        <v>0</v>
      </c>
      <c r="U181" s="396">
        <f>IF(+NFL!$F164="Denver",+NFL!U164,IF(+NFL!$H164="Denver",+NFL!U164,0))</f>
        <v>0</v>
      </c>
      <c r="V181" s="397">
        <f>IF(+NFL!$F127="Denver",+NFL!#REF!,IF(+NFL!$H127="Denver",+NFL!#REF!,0))</f>
        <v>0</v>
      </c>
      <c r="W181" s="396">
        <f>IF(+NFL!$F127="Denver",+NFL!#REF!,IF(+NFL!$H127="Denver",+NFL!#REF!,0))</f>
        <v>0</v>
      </c>
      <c r="X181" s="397">
        <f>IF(+NFL!$F127="Denver",+NFL!#REF!,IF(+NFL!$H127="Denver",+NFL!#REF!,0))</f>
        <v>0</v>
      </c>
      <c r="Y181" s="396">
        <f>IF(+NFL!$F127="Denver",+NFL!#REF!,IF(+NFL!$H127="Denver",+NFL!#REF!,0))</f>
        <v>0</v>
      </c>
      <c r="Z181" s="397">
        <f>IF(+NFL!$F127="Denver",+NFL!#REF!,IF(+NFL!$H127="Denver",+NFL!#REF!,0))</f>
        <v>0</v>
      </c>
      <c r="AA181" s="396">
        <f>IF(+NFL!$F127="Denver",+NFL!#REF!,IF(+NFL!$H127="Denver",+NFL!#REF!,0))</f>
        <v>0</v>
      </c>
      <c r="AB181" s="87">
        <f>IF(+NFL!$F127="Denver",+NFL!#REF!,IF(+NFL!$H127="Denver",+NFL!#REF!,0))</f>
        <v>0</v>
      </c>
      <c r="AC181" s="120">
        <f>IF(+NFL!$F127="Denver",+NFL!#REF!,IF(+NFL!$H127="Denver",+NFL!#REF!,0))</f>
        <v>0</v>
      </c>
      <c r="AD181" s="353">
        <f>IF(+NFL!$F127="Denver",+NFL!#REF!,IF(+NFL!$H127="Denver",+NFL!#REF!,0))</f>
        <v>0</v>
      </c>
      <c r="AE181" s="379">
        <f>IF(+NFL!$F127="Denver",+NFL!#REF!,IF(+NFL!$H127="Denver",+NFL!#REF!,0))</f>
        <v>0</v>
      </c>
      <c r="AF181" s="353">
        <f>IF(+NFL!$F127="Denver",+NFL!#REF!,IF(+NFL!$H127="Denver",+NFL!#REF!,0))</f>
        <v>0</v>
      </c>
      <c r="AG181" s="379">
        <f>IF(+NFL!$F127="Denver",+NFL!#REF!,IF(+NFL!$H127="Denver",+NFL!#REF!,0))</f>
        <v>0</v>
      </c>
      <c r="AH181" s="353">
        <f>IF(+NFL!$F127="Denver",+NFL!#REF!,IF(+NFL!$H127="Denver",+NFL!#REF!,0))</f>
        <v>0</v>
      </c>
      <c r="AI181" s="379">
        <f>IF(+NFL!$F127="Denver",+NFL!#REF!,IF(+NFL!$H127="Denver",+NFL!#REF!,0))</f>
        <v>0</v>
      </c>
      <c r="AJ181" s="353">
        <f>IF(+NFL!$F127="Denver",+NFL!#REF!,IF(+NFL!$H127="Denver",+NFL!#REF!,0))</f>
        <v>0</v>
      </c>
      <c r="AK181" s="379">
        <f>IF(+NFL!$F127="Denver",+NFL!#REF!,IF(+NFL!$H127="Denver",+NFL!#REF!,0))</f>
        <v>0</v>
      </c>
      <c r="AL181" s="57">
        <f>IF(+NFL!$F127="Denver",+NFL!#REF!,IF(+NFL!$H127="Denver",+NFL!#REF!,0))</f>
        <v>0</v>
      </c>
      <c r="AM181" s="64">
        <f>IF(+NFL!$F127="Denver",+NFL!#REF!,IF(+NFL!$H127="Denver",+NFL!#REF!,0))</f>
        <v>0</v>
      </c>
      <c r="AN181" s="57">
        <f>IF(+NFL!$F127="Denver",+NFL!#REF!,IF(+NFL!$H127="Denver",+NFL!#REF!,0))</f>
        <v>0</v>
      </c>
      <c r="AO181" s="46">
        <f>IF(+NFL!$F127="Denver",+NFL!#REF!,IF(+NFL!$H127="Denver",+NFL!#REF!,0))</f>
        <v>0</v>
      </c>
      <c r="AP181" s="348">
        <f>IF(+NFL!$F127="Denver",+NFL!#REF!,IF(+NFL!$H127="Denver",+NFL!#REF!,0))</f>
        <v>0</v>
      </c>
      <c r="AQ181" s="48">
        <f>IF(+NFL!$F127="Denver",+NFL!#REF!,IF(+NFL!$H127="Denver",+NFL!#REF!,0))</f>
        <v>0</v>
      </c>
      <c r="AR181" s="57">
        <f>IF(+NFL!$F127="Denver",+NFL!#REF!,IF(+NFL!$H127="Denver",+NFL!#REF!,0))</f>
        <v>0</v>
      </c>
      <c r="AS181" s="64">
        <f>IF(+NFL!$F127="Denver",+NFL!#REF!,IF(+NFL!$H127="Denver",+NFL!#REF!,0))</f>
        <v>0</v>
      </c>
      <c r="AT181" s="64">
        <f>IF(+NFL!$F127="Denver",+NFL!#REF!,IF(+NFL!$H127="Denver",+NFL!#REF!,0))</f>
        <v>0</v>
      </c>
      <c r="AU181" s="57">
        <f>IF(+NFL!$F127="Denver",+NFL!#REF!,IF(+NFL!$H127="Denver",+NFL!#REF!,0))</f>
        <v>0</v>
      </c>
      <c r="AV181" s="64">
        <f>IF(+NFL!$F127="Denver",+NFL!#REF!,IF(+NFL!$H127="Denver",+NFL!#REF!,0))</f>
        <v>0</v>
      </c>
      <c r="AW181" s="46">
        <f>IF(+NFL!$F127="Denver",+NFL!#REF!,IF(+NFL!$H127="Denver",+NFL!#REF!,0))</f>
        <v>0</v>
      </c>
      <c r="AX181" s="64">
        <f>IF(+NFL!$F127="Denver",+NFL!#REF!,IF(+NFL!$H127="Denver",+NFL!#REF!,0))</f>
        <v>0</v>
      </c>
      <c r="AY181" s="57">
        <f>IF(+NFL!$F127="Denver",+NFL!#REF!,IF(+NFL!$H127="Denver",+NFL!#REF!,0))</f>
        <v>0</v>
      </c>
      <c r="AZ181" s="64">
        <f>IF(+NFL!$F127="Denver",+NFL!#REF!,IF(+NFL!$H127="Denver",+NFL!#REF!,0))</f>
        <v>0</v>
      </c>
      <c r="BA181" s="46">
        <f>IF(+NFL!$F127="Denver",+NFL!#REF!,IF(+NFL!$H127="Denver",+NFL!#REF!,0))</f>
        <v>0</v>
      </c>
      <c r="BB181" s="46">
        <f>IF(+NFL!$F127="Denver",+NFL!#REF!,IF(+NFL!$H127="Denver",+NFL!#REF!,0))</f>
        <v>0</v>
      </c>
      <c r="BC181" s="403">
        <f>IF(+NFL!$F127="Denver",+NFL!#REF!,IF(+NFL!$H127="Denver",+NFL!#REF!,0))</f>
        <v>0</v>
      </c>
      <c r="BD181" s="57">
        <f>IF(+NFL!$F127="Denver",+NFL!#REF!,IF(+NFL!$H127="Denver",+NFL!#REF!,0))</f>
        <v>0</v>
      </c>
      <c r="BE181" s="64">
        <f>IF(+NFL!$F127="Denver",+NFL!#REF!,IF(+NFL!$H127="Denver",+NFL!#REF!,0))</f>
        <v>0</v>
      </c>
      <c r="BF181" s="46">
        <f>IF(+NFL!$F127="Denver",+NFL!#REF!,IF(+NFL!$H127="Denver",+NFL!#REF!,0))</f>
        <v>0</v>
      </c>
      <c r="BG181" s="57">
        <f>IF(+NFL!$F127="Denver",+NFL!#REF!,IF(+NFL!$H127="Denver",+NFL!#REF!,0))</f>
        <v>0</v>
      </c>
      <c r="BH181" s="64">
        <f>IF(+NFL!$F127="Denver",+NFL!#REF!,IF(+NFL!$H127="Denver",+NFL!#REF!,0))</f>
        <v>0</v>
      </c>
      <c r="BI181" s="46">
        <f>IF(+NFL!$F127="Denver",+NFL!#REF!,IF(+NFL!$H127="Denver",+NFL!#REF!,0))</f>
        <v>0</v>
      </c>
      <c r="BJ181" s="87">
        <f>IF(+NFL!$F127="Denver",+NFL!#REF!,IF(+NFL!$H127="Denver",+NFL!#REF!,0))</f>
        <v>0</v>
      </c>
      <c r="BK181" s="120">
        <f>IF(+NFL!$F127="Denver",+NFL!#REF!,IF(+NFL!$H127="Denver",+NFL!#REF!,0))</f>
        <v>0</v>
      </c>
    </row>
    <row r="182" spans="1:63" x14ac:dyDescent="0.8">
      <c r="A182" s="46">
        <f>IF(+NFL!$F173="Denver",+NFL!A173,IF(+NFL!$H173="Denver",+NFL!A173,0))</f>
        <v>10</v>
      </c>
      <c r="B182" s="348" t="str">
        <f>IF(+NFL!$F173="Denver",+NFL!B173,IF(+NFL!$H173="Denver",+NFL!B173,0))</f>
        <v>Sun</v>
      </c>
      <c r="C182" s="48">
        <f>IF(+NFL!$F173="Denver",+NFL!C173,IF(+NFL!$H173="Denver",+NFL!C173,0))</f>
        <v>44878</v>
      </c>
      <c r="D182" s="490">
        <f>IF(+NFL!$F173="Denver",+NFL!D173,IF(+NFL!$H173="Denver",+NFL!D173,0))</f>
        <v>0.54166666666666663</v>
      </c>
      <c r="E182" s="46" t="str">
        <f>IF(+NFL!$F173="Denver",+NFL!E173,IF(+NFL!$H173="Denver",+NFL!E173,0))</f>
        <v>CBS</v>
      </c>
      <c r="F182" s="114" t="str">
        <f>IF(+NFL!$F173="Denver",+NFL!F173,IF(+NFL!$H173="Denver",+NFL!F173,0))</f>
        <v>Denver</v>
      </c>
      <c r="G182" s="46" t="str">
        <f>IF(+NFL!$F173="Denver",+NFL!G173,IF(+NFL!$H173="Denver",+NFL!G173,0))</f>
        <v>AFCW</v>
      </c>
      <c r="H182" s="114" t="str">
        <f>IF(+NFL!$F173="Denver",+NFL!H173,IF(+NFL!$H173="Denver",+NFL!H173,0))</f>
        <v>Tennessee</v>
      </c>
      <c r="I182" s="46" t="str">
        <f>IF(+NFL!$F173="Denver",+NFL!I173,IF(+NFL!$H173="Denver",+NFL!I173,0))</f>
        <v>AFCS</v>
      </c>
      <c r="J182" s="353" t="str">
        <f>IF(+NFL!$F173="Denver",+NFL!J173,IF(+NFL!$H173="Denver",+NFL!J173,0))</f>
        <v>Tennessee</v>
      </c>
      <c r="K182" s="494" t="str">
        <f>IF(+NFL!$F173="Denver",+NFL!K173,IF(+NFL!$H173="Denver",+NFL!K173,0))</f>
        <v>Denver</v>
      </c>
      <c r="L182" s="362">
        <f>IF(+NFL!$F173="Denver",+NFL!L173,IF(+NFL!$H173="Denver",+NFL!L173,0))</f>
        <v>3</v>
      </c>
      <c r="M182" s="386">
        <f>IF(+NFL!$F173="Denver",+NFL!M173,IF(+NFL!$H173="Denver",+NFL!M173,0))</f>
        <v>38.5</v>
      </c>
      <c r="N182" s="394" t="str">
        <f>IF(+NFL!$F173="Denver",+NFL!N173,IF(+NFL!$H173="Denver",+NFL!N173,0))</f>
        <v>Tennessee</v>
      </c>
      <c r="O182" s="395">
        <f>IF(+NFL!$F173="Denver",+NFL!O173,IF(+NFL!$H173="Denver",+NFL!O173,0))</f>
        <v>17</v>
      </c>
      <c r="P182" s="394" t="str">
        <f>IF(+NFL!$F173="Denver",+NFL!P173,IF(+NFL!$H173="Denver",+NFL!P173,0))</f>
        <v>Denver</v>
      </c>
      <c r="Q182" s="396">
        <f>IF(+NFL!$F173="Denver",+NFL!Q173,IF(+NFL!$H173="Denver",+NFL!Q173,0))</f>
        <v>10</v>
      </c>
      <c r="R182" s="397" t="str">
        <f>IF(+NFL!$F173="Denver",+NFL!R173,IF(+NFL!$H173="Denver",+NFL!R173,0))</f>
        <v>Tennessee</v>
      </c>
      <c r="S182" s="396" t="str">
        <f>IF(+NFL!$F173="Denver",+NFL!S173,IF(+NFL!$H173="Denver",+NFL!S173,0))</f>
        <v>Denver</v>
      </c>
      <c r="T182" s="397" t="str">
        <f>IF(+NFL!$F173="Denver",+NFL!T173,IF(+NFL!$H173="Denver",+NFL!T173,0))</f>
        <v>Tennessee</v>
      </c>
      <c r="U182" s="396" t="str">
        <f>IF(+NFL!$F173="Denver",+NFL!U173,IF(+NFL!$H173="Denver",+NFL!U173,0))</f>
        <v>W</v>
      </c>
      <c r="V182" s="397">
        <f>IF(+NFL!$F161="Denver",+NFL!#REF!,IF(+NFL!$H161="Denver",+NFL!#REF!,0))</f>
        <v>0</v>
      </c>
      <c r="W182" s="396">
        <f>IF(+NFL!$F161="Denver",+NFL!#REF!,IF(+NFL!$H161="Denver",+NFL!#REF!,0))</f>
        <v>0</v>
      </c>
      <c r="X182" s="397">
        <f>IF(+NFL!$F161="Denver",+NFL!#REF!,IF(+NFL!$H161="Denver",+NFL!#REF!,0))</f>
        <v>0</v>
      </c>
      <c r="Y182" s="396">
        <f>IF(+NFL!$F161="Denver",+NFL!#REF!,IF(+NFL!$H161="Denver",+NFL!#REF!,0))</f>
        <v>0</v>
      </c>
      <c r="Z182" s="397">
        <f>IF(+NFL!$F161="Denver",+NFL!#REF!,IF(+NFL!$H161="Denver",+NFL!#REF!,0))</f>
        <v>0</v>
      </c>
      <c r="AA182" s="396">
        <f>IF(+NFL!$F161="Denver",+NFL!#REF!,IF(+NFL!$H161="Denver",+NFL!#REF!,0))</f>
        <v>0</v>
      </c>
      <c r="AB182" s="87">
        <f>IF(+NFL!$F161="Denver",+NFL!#REF!,IF(+NFL!$H161="Denver",+NFL!#REF!,0))</f>
        <v>0</v>
      </c>
      <c r="AC182" s="120">
        <f>IF(+NFL!$F161="Denver",+NFL!#REF!,IF(+NFL!$H161="Denver",+NFL!#REF!,0))</f>
        <v>0</v>
      </c>
      <c r="AD182" s="353">
        <f>IF(+NFL!$F161="Denver",+NFL!#REF!,IF(+NFL!$H161="Denver",+NFL!#REF!,0))</f>
        <v>0</v>
      </c>
      <c r="AE182" s="379">
        <f>IF(+NFL!$F161="Denver",+NFL!#REF!,IF(+NFL!$H161="Denver",+NFL!#REF!,0))</f>
        <v>0</v>
      </c>
      <c r="AF182" s="353">
        <f>IF(+NFL!$F161="Denver",+NFL!#REF!,IF(+NFL!$H161="Denver",+NFL!#REF!,0))</f>
        <v>0</v>
      </c>
      <c r="AG182" s="379">
        <f>IF(+NFL!$F161="Denver",+NFL!#REF!,IF(+NFL!$H161="Denver",+NFL!#REF!,0))</f>
        <v>0</v>
      </c>
      <c r="AH182" s="353">
        <f>IF(+NFL!$F161="Denver",+NFL!#REF!,IF(+NFL!$H161="Denver",+NFL!#REF!,0))</f>
        <v>0</v>
      </c>
      <c r="AI182" s="379">
        <f>IF(+NFL!$F161="Denver",+NFL!#REF!,IF(+NFL!$H161="Denver",+NFL!#REF!,0))</f>
        <v>0</v>
      </c>
      <c r="AJ182" s="353">
        <f>IF(+NFL!$F161="Denver",+NFL!#REF!,IF(+NFL!$H161="Denver",+NFL!#REF!,0))</f>
        <v>0</v>
      </c>
      <c r="AK182" s="379">
        <f>IF(+NFL!$F161="Denver",+NFL!#REF!,IF(+NFL!$H161="Denver",+NFL!#REF!,0))</f>
        <v>0</v>
      </c>
      <c r="AL182" s="57">
        <f>IF(+NFL!$F161="Denver",+NFL!#REF!,IF(+NFL!$H161="Denver",+NFL!#REF!,0))</f>
        <v>0</v>
      </c>
      <c r="AM182" s="64">
        <f>IF(+NFL!$F161="Denver",+NFL!#REF!,IF(+NFL!$H161="Denver",+NFL!#REF!,0))</f>
        <v>0</v>
      </c>
      <c r="AN182" s="57">
        <f>IF(+NFL!$F161="Denver",+NFL!#REF!,IF(+NFL!$H161="Denver",+NFL!#REF!,0))</f>
        <v>0</v>
      </c>
      <c r="AO182" s="46">
        <f>IF(+NFL!$F161="Denver",+NFL!#REF!,IF(+NFL!$H161="Denver",+NFL!#REF!,0))</f>
        <v>0</v>
      </c>
      <c r="AP182" s="348">
        <f>IF(+NFL!$F161="Denver",+NFL!#REF!,IF(+NFL!$H161="Denver",+NFL!#REF!,0))</f>
        <v>0</v>
      </c>
      <c r="AQ182" s="48">
        <f>IF(+NFL!$F161="Denver",+NFL!#REF!,IF(+NFL!$H161="Denver",+NFL!#REF!,0))</f>
        <v>0</v>
      </c>
      <c r="AR182" s="57">
        <f>IF(+NFL!$F161="Denver",+NFL!#REF!,IF(+NFL!$H161="Denver",+NFL!#REF!,0))</f>
        <v>0</v>
      </c>
      <c r="AS182" s="64">
        <f>IF(+NFL!$F161="Denver",+NFL!#REF!,IF(+NFL!$H161="Denver",+NFL!#REF!,0))</f>
        <v>0</v>
      </c>
      <c r="AT182" s="64">
        <f>IF(+NFL!$F161="Denver",+NFL!#REF!,IF(+NFL!$H161="Denver",+NFL!#REF!,0))</f>
        <v>0</v>
      </c>
      <c r="AU182" s="57">
        <f>IF(+NFL!$F161="Denver",+NFL!#REF!,IF(+NFL!$H161="Denver",+NFL!#REF!,0))</f>
        <v>0</v>
      </c>
      <c r="AV182" s="64">
        <f>IF(+NFL!$F161="Denver",+NFL!#REF!,IF(+NFL!$H161="Denver",+NFL!#REF!,0))</f>
        <v>0</v>
      </c>
      <c r="AW182" s="46">
        <f>IF(+NFL!$F161="Denver",+NFL!#REF!,IF(+NFL!$H161="Denver",+NFL!#REF!,0))</f>
        <v>0</v>
      </c>
      <c r="AX182" s="64">
        <f>IF(+NFL!$F161="Denver",+NFL!#REF!,IF(+NFL!$H161="Denver",+NFL!#REF!,0))</f>
        <v>0</v>
      </c>
      <c r="AY182" s="57">
        <f>IF(+NFL!$F161="Denver",+NFL!#REF!,IF(+NFL!$H161="Denver",+NFL!#REF!,0))</f>
        <v>0</v>
      </c>
      <c r="AZ182" s="64">
        <f>IF(+NFL!$F161="Denver",+NFL!#REF!,IF(+NFL!$H161="Denver",+NFL!#REF!,0))</f>
        <v>0</v>
      </c>
      <c r="BA182" s="46">
        <f>IF(+NFL!$F161="Denver",+NFL!#REF!,IF(+NFL!$H161="Denver",+NFL!#REF!,0))</f>
        <v>0</v>
      </c>
      <c r="BB182" s="46">
        <f>IF(+NFL!$F161="Denver",+NFL!#REF!,IF(+NFL!$H161="Denver",+NFL!#REF!,0))</f>
        <v>0</v>
      </c>
      <c r="BC182" s="403">
        <f>IF(+NFL!$F161="Denver",+NFL!#REF!,IF(+NFL!$H161="Denver",+NFL!#REF!,0))</f>
        <v>0</v>
      </c>
      <c r="BD182" s="57">
        <f>IF(+NFL!$F161="Denver",+NFL!#REF!,IF(+NFL!$H161="Denver",+NFL!#REF!,0))</f>
        <v>0</v>
      </c>
      <c r="BE182" s="64">
        <f>IF(+NFL!$F161="Denver",+NFL!#REF!,IF(+NFL!$H161="Denver",+NFL!#REF!,0))</f>
        <v>0</v>
      </c>
      <c r="BF182" s="46">
        <f>IF(+NFL!$F161="Denver",+NFL!#REF!,IF(+NFL!$H161="Denver",+NFL!#REF!,0))</f>
        <v>0</v>
      </c>
      <c r="BG182" s="57">
        <f>IF(+NFL!$F161="Denver",+NFL!#REF!,IF(+NFL!$H161="Denver",+NFL!#REF!,0))</f>
        <v>0</v>
      </c>
      <c r="BH182" s="64">
        <f>IF(+NFL!$F161="Denver",+NFL!#REF!,IF(+NFL!$H161="Denver",+NFL!#REF!,0))</f>
        <v>0</v>
      </c>
      <c r="BI182" s="46">
        <f>IF(+NFL!$F161="Denver",+NFL!#REF!,IF(+NFL!$H161="Denver",+NFL!#REF!,0))</f>
        <v>0</v>
      </c>
      <c r="BJ182" s="87">
        <f>IF(+NFL!$F161="Denver",+NFL!#REF!,IF(+NFL!$H161="Denver",+NFL!#REF!,0))</f>
        <v>0</v>
      </c>
      <c r="BK182" s="120">
        <f>IF(+NFL!$F161="Denver",+NFL!#REF!,IF(+NFL!$H161="Denver",+NFL!#REF!,0))</f>
        <v>0</v>
      </c>
    </row>
    <row r="183" spans="1:63" x14ac:dyDescent="0.8">
      <c r="A183" s="46">
        <f>IF(+NFL!$F198="Denver",+NFL!A198,IF(+NFL!$H198="Denver",+NFL!A198,0))</f>
        <v>11</v>
      </c>
      <c r="B183" s="348" t="str">
        <f>IF(+NFL!$F198="Denver",+NFL!B198,IF(+NFL!$H198="Denver",+NFL!B198,0))</f>
        <v>Sun</v>
      </c>
      <c r="C183" s="48">
        <f>IF(+NFL!$F198="Denver",+NFL!C198,IF(+NFL!$H198="Denver",+NFL!C198,0))</f>
        <v>44885</v>
      </c>
      <c r="D183" s="490">
        <f>IF(+NFL!$F198="Denver",+NFL!D198,IF(+NFL!$H198="Denver",+NFL!D198,0))</f>
        <v>0.66666666666666663</v>
      </c>
      <c r="E183" s="46" t="str">
        <f>IF(+NFL!$F198="Denver",+NFL!E198,IF(+NFL!$H198="Denver",+NFL!E198,0))</f>
        <v>CBS</v>
      </c>
      <c r="F183" s="114" t="str">
        <f>IF(+NFL!$F198="Denver",+NFL!F198,IF(+NFL!$H198="Denver",+NFL!F198,0))</f>
        <v>Las Vegas</v>
      </c>
      <c r="G183" s="46" t="str">
        <f>IF(+NFL!$F198="Denver",+NFL!G198,IF(+NFL!$H198="Denver",+NFL!G198,0))</f>
        <v>AFCW</v>
      </c>
      <c r="H183" s="114" t="str">
        <f>IF(+NFL!$F198="Denver",+NFL!H198,IF(+NFL!$H198="Denver",+NFL!H198,0))</f>
        <v>Denver</v>
      </c>
      <c r="I183" s="46" t="str">
        <f>IF(+NFL!$F198="Denver",+NFL!I198,IF(+NFL!$H198="Denver",+NFL!I198,0))</f>
        <v>AFCW</v>
      </c>
      <c r="J183" s="353" t="str">
        <f>IF(+NFL!$F198="Denver",+NFL!J198,IF(+NFL!$H198="Denver",+NFL!J198,0))</f>
        <v>Denver</v>
      </c>
      <c r="K183" s="494" t="str">
        <f>IF(+NFL!$F198="Denver",+NFL!K198,IF(+NFL!$H198="Denver",+NFL!K198,0))</f>
        <v>Las Vegas</v>
      </c>
      <c r="L183" s="362">
        <f>IF(+NFL!$F198="Denver",+NFL!L198,IF(+NFL!$H198="Denver",+NFL!L198,0))</f>
        <v>2.5</v>
      </c>
      <c r="M183" s="386">
        <f>IF(+NFL!$F198="Denver",+NFL!M198,IF(+NFL!$H198="Denver",+NFL!M198,0))</f>
        <v>41.5</v>
      </c>
      <c r="N183" s="394" t="str">
        <f>IF(+NFL!$F198="Denver",+NFL!N198,IF(+NFL!$H198="Denver",+NFL!N198,0))</f>
        <v>Las Vegas</v>
      </c>
      <c r="O183" s="395">
        <f>IF(+NFL!$F198="Denver",+NFL!O198,IF(+NFL!$H198="Denver",+NFL!O198,0))</f>
        <v>22</v>
      </c>
      <c r="P183" s="394" t="str">
        <f>IF(+NFL!$F198="Denver",+NFL!P198,IF(+NFL!$H198="Denver",+NFL!P198,0))</f>
        <v>Denver</v>
      </c>
      <c r="Q183" s="396">
        <f>IF(+NFL!$F198="Denver",+NFL!Q198,IF(+NFL!$H198="Denver",+NFL!Q198,0))</f>
        <v>16</v>
      </c>
      <c r="R183" s="397" t="str">
        <f>IF(+NFL!$F198="Denver",+NFL!R198,IF(+NFL!$H198="Denver",+NFL!R198,0))</f>
        <v>Las Vegas</v>
      </c>
      <c r="S183" s="396" t="str">
        <f>IF(+NFL!$F198="Denver",+NFL!S198,IF(+NFL!$H198="Denver",+NFL!S198,0))</f>
        <v>Denver</v>
      </c>
      <c r="T183" s="397" t="str">
        <f>IF(+NFL!$F198="Denver",+NFL!T198,IF(+NFL!$H198="Denver",+NFL!T198,0))</f>
        <v>Denver</v>
      </c>
      <c r="U183" s="396" t="str">
        <f>IF(+NFL!$F198="Denver",+NFL!U198,IF(+NFL!$H198="Denver",+NFL!U198,0))</f>
        <v>L</v>
      </c>
      <c r="V183" s="397">
        <f>IF(+NFL!$F183="Denver",+NFL!#REF!,IF(+NFL!$H183="Denver",+NFL!#REF!,0))</f>
        <v>0</v>
      </c>
      <c r="W183" s="396">
        <f>IF(+NFL!$F183="Denver",+NFL!#REF!,IF(+NFL!$H183="Denver",+NFL!#REF!,0))</f>
        <v>0</v>
      </c>
      <c r="X183" s="397">
        <f>IF(+NFL!$F183="Denver",+NFL!#REF!,IF(+NFL!$H183="Denver",+NFL!#REF!,0))</f>
        <v>0</v>
      </c>
      <c r="Y183" s="396">
        <f>IF(+NFL!$F183="Denver",+NFL!#REF!,IF(+NFL!$H183="Denver",+NFL!#REF!,0))</f>
        <v>0</v>
      </c>
      <c r="Z183" s="397">
        <f>IF(+NFL!$F183="Denver",+NFL!#REF!,IF(+NFL!$H183="Denver",+NFL!#REF!,0))</f>
        <v>0</v>
      </c>
      <c r="AA183" s="396">
        <f>IF(+NFL!$F183="Denver",+NFL!#REF!,IF(+NFL!$H183="Denver",+NFL!#REF!,0))</f>
        <v>0</v>
      </c>
      <c r="AB183" s="87">
        <f>IF(+NFL!$F183="Denver",+NFL!#REF!,IF(+NFL!$H183="Denver",+NFL!#REF!,0))</f>
        <v>0</v>
      </c>
      <c r="AC183" s="120">
        <f>IF(+NFL!$F183="Denver",+NFL!#REF!,IF(+NFL!$H183="Denver",+NFL!#REF!,0))</f>
        <v>0</v>
      </c>
      <c r="AD183" s="353">
        <f>IF(+NFL!$F183="Denver",+NFL!#REF!,IF(+NFL!$H183="Denver",+NFL!#REF!,0))</f>
        <v>0</v>
      </c>
      <c r="AE183" s="379">
        <f>IF(+NFL!$F183="Denver",+NFL!#REF!,IF(+NFL!$H183="Denver",+NFL!#REF!,0))</f>
        <v>0</v>
      </c>
      <c r="AF183" s="353">
        <f>IF(+NFL!$F183="Denver",+NFL!#REF!,IF(+NFL!$H183="Denver",+NFL!#REF!,0))</f>
        <v>0</v>
      </c>
      <c r="AG183" s="379">
        <f>IF(+NFL!$F183="Denver",+NFL!#REF!,IF(+NFL!$H183="Denver",+NFL!#REF!,0))</f>
        <v>0</v>
      </c>
      <c r="AH183" s="353">
        <f>IF(+NFL!$F183="Denver",+NFL!#REF!,IF(+NFL!$H183="Denver",+NFL!#REF!,0))</f>
        <v>0</v>
      </c>
      <c r="AI183" s="379">
        <f>IF(+NFL!$F183="Denver",+NFL!#REF!,IF(+NFL!$H183="Denver",+NFL!#REF!,0))</f>
        <v>0</v>
      </c>
      <c r="AJ183" s="353">
        <f>IF(+NFL!$F183="Denver",+NFL!#REF!,IF(+NFL!$H183="Denver",+NFL!#REF!,0))</f>
        <v>0</v>
      </c>
      <c r="AK183" s="379">
        <f>IF(+NFL!$F183="Denver",+NFL!#REF!,IF(+NFL!$H183="Denver",+NFL!#REF!,0))</f>
        <v>0</v>
      </c>
      <c r="AL183" s="57">
        <f>IF(+NFL!$F183="Denver",+NFL!#REF!,IF(+NFL!$H183="Denver",+NFL!#REF!,0))</f>
        <v>0</v>
      </c>
      <c r="AM183" s="64">
        <f>IF(+NFL!$F183="Denver",+NFL!#REF!,IF(+NFL!$H183="Denver",+NFL!#REF!,0))</f>
        <v>0</v>
      </c>
      <c r="AN183" s="57">
        <f>IF(+NFL!$F183="Denver",+NFL!#REF!,IF(+NFL!$H183="Denver",+NFL!#REF!,0))</f>
        <v>0</v>
      </c>
      <c r="AO183" s="46">
        <f>IF(+NFL!$F183="Denver",+NFL!#REF!,IF(+NFL!$H183="Denver",+NFL!#REF!,0))</f>
        <v>0</v>
      </c>
      <c r="AP183" s="348">
        <f>IF(+NFL!$F183="Denver",+NFL!#REF!,IF(+NFL!$H183="Denver",+NFL!#REF!,0))</f>
        <v>0</v>
      </c>
      <c r="AQ183" s="48">
        <f>IF(+NFL!$F183="Denver",+NFL!#REF!,IF(+NFL!$H183="Denver",+NFL!#REF!,0))</f>
        <v>0</v>
      </c>
      <c r="AR183" s="57">
        <f>IF(+NFL!$F183="Denver",+NFL!#REF!,IF(+NFL!$H183="Denver",+NFL!#REF!,0))</f>
        <v>0</v>
      </c>
      <c r="AS183" s="64">
        <f>IF(+NFL!$F183="Denver",+NFL!#REF!,IF(+NFL!$H183="Denver",+NFL!#REF!,0))</f>
        <v>0</v>
      </c>
      <c r="AT183" s="64">
        <f>IF(+NFL!$F183="Denver",+NFL!#REF!,IF(+NFL!$H183="Denver",+NFL!#REF!,0))</f>
        <v>0</v>
      </c>
      <c r="AU183" s="57">
        <f>IF(+NFL!$F183="Denver",+NFL!#REF!,IF(+NFL!$H183="Denver",+NFL!#REF!,0))</f>
        <v>0</v>
      </c>
      <c r="AV183" s="64">
        <f>IF(+NFL!$F183="Denver",+NFL!#REF!,IF(+NFL!$H183="Denver",+NFL!#REF!,0))</f>
        <v>0</v>
      </c>
      <c r="AW183" s="46">
        <f>IF(+NFL!$F183="Denver",+NFL!#REF!,IF(+NFL!$H183="Denver",+NFL!#REF!,0))</f>
        <v>0</v>
      </c>
      <c r="AX183" s="64">
        <f>IF(+NFL!$F183="Denver",+NFL!#REF!,IF(+NFL!$H183="Denver",+NFL!#REF!,0))</f>
        <v>0</v>
      </c>
      <c r="AY183" s="57">
        <f>IF(+NFL!$F183="Denver",+NFL!#REF!,IF(+NFL!$H183="Denver",+NFL!#REF!,0))</f>
        <v>0</v>
      </c>
      <c r="AZ183" s="64">
        <f>IF(+NFL!$F183="Denver",+NFL!#REF!,IF(+NFL!$H183="Denver",+NFL!#REF!,0))</f>
        <v>0</v>
      </c>
      <c r="BA183" s="46">
        <f>IF(+NFL!$F183="Denver",+NFL!#REF!,IF(+NFL!$H183="Denver",+NFL!#REF!,0))</f>
        <v>0</v>
      </c>
      <c r="BB183" s="46">
        <f>IF(+NFL!$F183="Denver",+NFL!#REF!,IF(+NFL!$H183="Denver",+NFL!#REF!,0))</f>
        <v>0</v>
      </c>
      <c r="BC183" s="403">
        <f>IF(+NFL!$F183="Denver",+NFL!#REF!,IF(+NFL!$H183="Denver",+NFL!#REF!,0))</f>
        <v>0</v>
      </c>
      <c r="BD183" s="57">
        <f>IF(+NFL!$F183="Denver",+NFL!#REF!,IF(+NFL!$H183="Denver",+NFL!#REF!,0))</f>
        <v>0</v>
      </c>
      <c r="BE183" s="64">
        <f>IF(+NFL!$F183="Denver",+NFL!#REF!,IF(+NFL!$H183="Denver",+NFL!#REF!,0))</f>
        <v>0</v>
      </c>
      <c r="BF183" s="46">
        <f>IF(+NFL!$F183="Denver",+NFL!#REF!,IF(+NFL!$H183="Denver",+NFL!#REF!,0))</f>
        <v>0</v>
      </c>
      <c r="BG183" s="57">
        <f>IF(+NFL!$F183="Denver",+NFL!#REF!,IF(+NFL!$H183="Denver",+NFL!#REF!,0))</f>
        <v>0</v>
      </c>
      <c r="BH183" s="64">
        <f>IF(+NFL!$F183="Denver",+NFL!#REF!,IF(+NFL!$H183="Denver",+NFL!#REF!,0))</f>
        <v>0</v>
      </c>
      <c r="BI183" s="46">
        <f>IF(+NFL!$F183="Denver",+NFL!#REF!,IF(+NFL!$H183="Denver",+NFL!#REF!,0))</f>
        <v>0</v>
      </c>
      <c r="BJ183" s="87">
        <f>IF(+NFL!$F183="Denver",+NFL!#REF!,IF(+NFL!$H183="Denver",+NFL!#REF!,0))</f>
        <v>0</v>
      </c>
      <c r="BK183" s="120">
        <f>IF(+NFL!$F183="Denver",+NFL!#REF!,IF(+NFL!$H183="Denver",+NFL!#REF!,0))</f>
        <v>0</v>
      </c>
    </row>
    <row r="184" spans="1:63" x14ac:dyDescent="0.8">
      <c r="A184" s="46">
        <f>IF(+NFL!$F217="Denver",+NFL!A217,IF(+NFL!$H217="Denver",+NFL!A217,0))</f>
        <v>12</v>
      </c>
      <c r="B184" s="348" t="str">
        <f>IF(+NFL!$F217="Denver",+NFL!B217,IF(+NFL!$H217="Denver",+NFL!B217,0))</f>
        <v>Sun</v>
      </c>
      <c r="C184" s="48">
        <f>IF(+NFL!$F217="Denver",+NFL!C217,IF(+NFL!$H217="Denver",+NFL!C217,0))</f>
        <v>44892</v>
      </c>
      <c r="D184" s="490">
        <f>IF(+NFL!$F217="Denver",+NFL!D217,IF(+NFL!$H217="Denver",+NFL!D217,0))</f>
        <v>0.54166666666666663</v>
      </c>
      <c r="E184" s="46" t="str">
        <f>IF(+NFL!$F217="Denver",+NFL!E217,IF(+NFL!$H217="Denver",+NFL!E217,0))</f>
        <v>CBS</v>
      </c>
      <c r="F184" s="114" t="str">
        <f>IF(+NFL!$F217="Denver",+NFL!F217,IF(+NFL!$H217="Denver",+NFL!F217,0))</f>
        <v>Denver</v>
      </c>
      <c r="G184" s="46" t="str">
        <f>IF(+NFL!$F217="Denver",+NFL!G217,IF(+NFL!$H217="Denver",+NFL!G217,0))</f>
        <v>AFCW</v>
      </c>
      <c r="H184" s="114" t="str">
        <f>IF(+NFL!$F217="Denver",+NFL!H217,IF(+NFL!$H217="Denver",+NFL!H217,0))</f>
        <v>Carolina</v>
      </c>
      <c r="I184" s="46" t="str">
        <f>IF(+NFL!$F217="Denver",+NFL!I217,IF(+NFL!$H217="Denver",+NFL!I217,0))</f>
        <v>NFCS</v>
      </c>
      <c r="J184" s="353" t="str">
        <f>IF(+NFL!$F217="Denver",+NFL!J217,IF(+NFL!$H217="Denver",+NFL!J217,0))</f>
        <v>Denver</v>
      </c>
      <c r="K184" s="494" t="str">
        <f>IF(+NFL!$F217="Denver",+NFL!K217,IF(+NFL!$H217="Denver",+NFL!K217,0))</f>
        <v>Carolina</v>
      </c>
      <c r="L184" s="362">
        <f>IF(+NFL!$F217="Denver",+NFL!L217,IF(+NFL!$H217="Denver",+NFL!L217,0))</f>
        <v>2</v>
      </c>
      <c r="M184" s="386">
        <f>IF(+NFL!$F217="Denver",+NFL!M217,IF(+NFL!$H217="Denver",+NFL!M217,0))</f>
        <v>36</v>
      </c>
      <c r="N184" s="394" t="str">
        <f>IF(+NFL!$F217="Denver",+NFL!N217,IF(+NFL!$H217="Denver",+NFL!N217,0))</f>
        <v>Carolina</v>
      </c>
      <c r="O184" s="395">
        <f>IF(+NFL!$F217="Denver",+NFL!O217,IF(+NFL!$H217="Denver",+NFL!O217,0))</f>
        <v>23</v>
      </c>
      <c r="P184" s="394" t="str">
        <f>IF(+NFL!$F217="Denver",+NFL!P217,IF(+NFL!$H217="Denver",+NFL!P217,0))</f>
        <v>Denver</v>
      </c>
      <c r="Q184" s="396">
        <f>IF(+NFL!$F217="Denver",+NFL!Q217,IF(+NFL!$H217="Denver",+NFL!Q217,0))</f>
        <v>20</v>
      </c>
      <c r="R184" s="397" t="str">
        <f>IF(+NFL!$F217="Denver",+NFL!R217,IF(+NFL!$H217="Denver",+NFL!R217,0))</f>
        <v>Carolina</v>
      </c>
      <c r="S184" s="396" t="str">
        <f>IF(+NFL!$F217="Denver",+NFL!S217,IF(+NFL!$H217="Denver",+NFL!S217,0))</f>
        <v>Denver</v>
      </c>
      <c r="T184" s="397" t="str">
        <f>IF(+NFL!$F217="Denver",+NFL!T217,IF(+NFL!$H217="Denver",+NFL!T217,0))</f>
        <v>Carolina</v>
      </c>
      <c r="U184" s="396" t="str">
        <f>IF(+NFL!$F217="Denver",+NFL!U217,IF(+NFL!$H217="Denver",+NFL!U217,0))</f>
        <v>W</v>
      </c>
      <c r="V184" s="397">
        <f>IF(+NFL!$F209="Denver",+NFL!#REF!,IF(+NFL!$H209="Denver",+NFL!#REF!,0))</f>
        <v>0</v>
      </c>
      <c r="W184" s="396">
        <f>IF(+NFL!$F209="Denver",+NFL!#REF!,IF(+NFL!$H209="Denver",+NFL!#REF!,0))</f>
        <v>0</v>
      </c>
      <c r="X184" s="397">
        <f>IF(+NFL!$F209="Denver",+NFL!#REF!,IF(+NFL!$H209="Denver",+NFL!#REF!,0))</f>
        <v>0</v>
      </c>
      <c r="Y184" s="396">
        <f>IF(+NFL!$F209="Denver",+NFL!#REF!,IF(+NFL!$H209="Denver",+NFL!#REF!,0))</f>
        <v>0</v>
      </c>
      <c r="Z184" s="397">
        <f>IF(+NFL!$F209="Denver",+NFL!#REF!,IF(+NFL!$H209="Denver",+NFL!#REF!,0))</f>
        <v>0</v>
      </c>
      <c r="AA184" s="396">
        <f>IF(+NFL!$F209="Denver",+NFL!#REF!,IF(+NFL!$H209="Denver",+NFL!#REF!,0))</f>
        <v>0</v>
      </c>
      <c r="AB184" s="87">
        <f>IF(+NFL!$F209="Denver",+NFL!#REF!,IF(+NFL!$H209="Denver",+NFL!#REF!,0))</f>
        <v>0</v>
      </c>
      <c r="AC184" s="120">
        <f>IF(+NFL!$F209="Denver",+NFL!#REF!,IF(+NFL!$H209="Denver",+NFL!#REF!,0))</f>
        <v>0</v>
      </c>
      <c r="AD184" s="353">
        <f>IF(+NFL!$F209="Denver",+NFL!#REF!,IF(+NFL!$H209="Denver",+NFL!#REF!,0))</f>
        <v>0</v>
      </c>
      <c r="AE184" s="379">
        <f>IF(+NFL!$F209="Denver",+NFL!#REF!,IF(+NFL!$H209="Denver",+NFL!#REF!,0))</f>
        <v>0</v>
      </c>
      <c r="AF184" s="353">
        <f>IF(+NFL!$F209="Denver",+NFL!#REF!,IF(+NFL!$H209="Denver",+NFL!#REF!,0))</f>
        <v>0</v>
      </c>
      <c r="AG184" s="379">
        <f>IF(+NFL!$F209="Denver",+NFL!#REF!,IF(+NFL!$H209="Denver",+NFL!#REF!,0))</f>
        <v>0</v>
      </c>
      <c r="AH184" s="353">
        <f>IF(+NFL!$F209="Denver",+NFL!#REF!,IF(+NFL!$H209="Denver",+NFL!#REF!,0))</f>
        <v>0</v>
      </c>
      <c r="AI184" s="379">
        <f>IF(+NFL!$F209="Denver",+NFL!#REF!,IF(+NFL!$H209="Denver",+NFL!#REF!,0))</f>
        <v>0</v>
      </c>
      <c r="AJ184" s="353">
        <f>IF(+NFL!$F209="Denver",+NFL!#REF!,IF(+NFL!$H209="Denver",+NFL!#REF!,0))</f>
        <v>0</v>
      </c>
      <c r="AK184" s="379">
        <f>IF(+NFL!$F209="Denver",+NFL!#REF!,IF(+NFL!$H209="Denver",+NFL!#REF!,0))</f>
        <v>0</v>
      </c>
      <c r="AL184" s="57">
        <f>IF(+NFL!$F209="Denver",+NFL!#REF!,IF(+NFL!$H209="Denver",+NFL!#REF!,0))</f>
        <v>0</v>
      </c>
      <c r="AM184" s="64">
        <f>IF(+NFL!$F209="Denver",+NFL!#REF!,IF(+NFL!$H209="Denver",+NFL!#REF!,0))</f>
        <v>0</v>
      </c>
      <c r="AN184" s="57">
        <f>IF(+NFL!$F209="Denver",+NFL!#REF!,IF(+NFL!$H209="Denver",+NFL!#REF!,0))</f>
        <v>0</v>
      </c>
      <c r="AO184" s="46">
        <f>IF(+NFL!$F209="Denver",+NFL!#REF!,IF(+NFL!$H209="Denver",+NFL!#REF!,0))</f>
        <v>0</v>
      </c>
      <c r="AP184" s="348">
        <f>IF(+NFL!$F209="Denver",+NFL!#REF!,IF(+NFL!$H209="Denver",+NFL!#REF!,0))</f>
        <v>0</v>
      </c>
      <c r="AQ184" s="48">
        <f>IF(+NFL!$F209="Denver",+NFL!#REF!,IF(+NFL!$H209="Denver",+NFL!#REF!,0))</f>
        <v>0</v>
      </c>
      <c r="AR184" s="57">
        <f>IF(+NFL!$F209="Denver",+NFL!#REF!,IF(+NFL!$H209="Denver",+NFL!#REF!,0))</f>
        <v>0</v>
      </c>
      <c r="AS184" s="64">
        <f>IF(+NFL!$F209="Denver",+NFL!#REF!,IF(+NFL!$H209="Denver",+NFL!#REF!,0))</f>
        <v>0</v>
      </c>
      <c r="AT184" s="64">
        <f>IF(+NFL!$F209="Denver",+NFL!#REF!,IF(+NFL!$H209="Denver",+NFL!#REF!,0))</f>
        <v>0</v>
      </c>
      <c r="AU184" s="57">
        <f>IF(+NFL!$F209="Denver",+NFL!#REF!,IF(+NFL!$H209="Denver",+NFL!#REF!,0))</f>
        <v>0</v>
      </c>
      <c r="AV184" s="64">
        <f>IF(+NFL!$F209="Denver",+NFL!#REF!,IF(+NFL!$H209="Denver",+NFL!#REF!,0))</f>
        <v>0</v>
      </c>
      <c r="AW184" s="46">
        <f>IF(+NFL!$F209="Denver",+NFL!#REF!,IF(+NFL!$H209="Denver",+NFL!#REF!,0))</f>
        <v>0</v>
      </c>
      <c r="AX184" s="64">
        <f>IF(+NFL!$F209="Denver",+NFL!#REF!,IF(+NFL!$H209="Denver",+NFL!#REF!,0))</f>
        <v>0</v>
      </c>
      <c r="AY184" s="57">
        <f>IF(+NFL!$F209="Denver",+NFL!#REF!,IF(+NFL!$H209="Denver",+NFL!#REF!,0))</f>
        <v>0</v>
      </c>
      <c r="AZ184" s="64">
        <f>IF(+NFL!$F209="Denver",+NFL!#REF!,IF(+NFL!$H209="Denver",+NFL!#REF!,0))</f>
        <v>0</v>
      </c>
      <c r="BA184" s="46">
        <f>IF(+NFL!$F209="Denver",+NFL!#REF!,IF(+NFL!$H209="Denver",+NFL!#REF!,0))</f>
        <v>0</v>
      </c>
      <c r="BB184" s="46">
        <f>IF(+NFL!$F209="Denver",+NFL!#REF!,IF(+NFL!$H209="Denver",+NFL!#REF!,0))</f>
        <v>0</v>
      </c>
      <c r="BC184" s="403">
        <f>IF(+NFL!$F209="Denver",+NFL!#REF!,IF(+NFL!$H209="Denver",+NFL!#REF!,0))</f>
        <v>0</v>
      </c>
      <c r="BD184" s="57">
        <f>IF(+NFL!$F209="Denver",+NFL!#REF!,IF(+NFL!$H209="Denver",+NFL!#REF!,0))</f>
        <v>0</v>
      </c>
      <c r="BE184" s="64">
        <f>IF(+NFL!$F209="Denver",+NFL!#REF!,IF(+NFL!$H209="Denver",+NFL!#REF!,0))</f>
        <v>0</v>
      </c>
      <c r="BF184" s="46">
        <f>IF(+NFL!$F209="Denver",+NFL!#REF!,IF(+NFL!$H209="Denver",+NFL!#REF!,0))</f>
        <v>0</v>
      </c>
      <c r="BG184" s="57">
        <f>IF(+NFL!$F209="Denver",+NFL!#REF!,IF(+NFL!$H209="Denver",+NFL!#REF!,0))</f>
        <v>0</v>
      </c>
      <c r="BH184" s="64">
        <f>IF(+NFL!$F209="Denver",+NFL!#REF!,IF(+NFL!$H209="Denver",+NFL!#REF!,0))</f>
        <v>0</v>
      </c>
      <c r="BI184" s="46">
        <f>IF(+NFL!$F209="Denver",+NFL!#REF!,IF(+NFL!$H209="Denver",+NFL!#REF!,0))</f>
        <v>0</v>
      </c>
      <c r="BJ184" s="87">
        <f>IF(+NFL!$F209="Denver",+NFL!#REF!,IF(+NFL!$H209="Denver",+NFL!#REF!,0))</f>
        <v>0</v>
      </c>
      <c r="BK184" s="120">
        <f>IF(+NFL!$F209="Denver",+NFL!#REF!,IF(+NFL!$H209="Denver",+NFL!#REF!,0))</f>
        <v>0</v>
      </c>
    </row>
    <row r="185" spans="1:63" x14ac:dyDescent="0.8">
      <c r="A185" s="46">
        <f>IF(+NFL!$F233="Denver",+NFL!A233,IF(+NFL!$H233="Denver",+NFL!A233,0))</f>
        <v>13</v>
      </c>
      <c r="B185" s="348" t="str">
        <f>IF(+NFL!$F233="Denver",+NFL!B233,IF(+NFL!$H233="Denver",+NFL!B233,0))</f>
        <v>Sun</v>
      </c>
      <c r="C185" s="48">
        <f>IF(+NFL!$F233="Denver",+NFL!C233,IF(+NFL!$H233="Denver",+NFL!C233,0))</f>
        <v>44899</v>
      </c>
      <c r="D185" s="490">
        <f>IF(+NFL!$F233="Denver",+NFL!D233,IF(+NFL!$H233="Denver",+NFL!D233,0))</f>
        <v>0.54166666666666663</v>
      </c>
      <c r="E185" s="46" t="str">
        <f>IF(+NFL!$F233="Denver",+NFL!E233,IF(+NFL!$H233="Denver",+NFL!E233,0))</f>
        <v>CBS</v>
      </c>
      <c r="F185" s="114" t="str">
        <f>IF(+NFL!$F233="Denver",+NFL!F233,IF(+NFL!$H233="Denver",+NFL!F233,0))</f>
        <v>Denver</v>
      </c>
      <c r="G185" s="46" t="str">
        <f>IF(+NFL!$F233="Denver",+NFL!G233,IF(+NFL!$H233="Denver",+NFL!G233,0))</f>
        <v>AFCW</v>
      </c>
      <c r="H185" s="114" t="str">
        <f>IF(+NFL!$F233="Denver",+NFL!H233,IF(+NFL!$H233="Denver",+NFL!H233,0))</f>
        <v>Baltimore</v>
      </c>
      <c r="I185" s="46" t="str">
        <f>IF(+NFL!$F233="Denver",+NFL!I233,IF(+NFL!$H233="Denver",+NFL!I233,0))</f>
        <v>AFCN</v>
      </c>
      <c r="J185" s="353" t="str">
        <f>IF(+NFL!$F233="Denver",+NFL!J233,IF(+NFL!$H233="Denver",+NFL!J233,0))</f>
        <v>Baltimore</v>
      </c>
      <c r="K185" s="494" t="str">
        <f>IF(+NFL!$F233="Denver",+NFL!K233,IF(+NFL!$H233="Denver",+NFL!K233,0))</f>
        <v>Denver</v>
      </c>
      <c r="L185" s="362">
        <f>IF(+NFL!$F233="Denver",+NFL!L233,IF(+NFL!$H233="Denver",+NFL!L233,0))</f>
        <v>8.5</v>
      </c>
      <c r="M185" s="386">
        <f>IF(+NFL!$F233="Denver",+NFL!M233,IF(+NFL!$H233="Denver",+NFL!M233,0))</f>
        <v>38.5</v>
      </c>
      <c r="N185" s="394" t="str">
        <f>IF(+NFL!$F233="Denver",+NFL!N233,IF(+NFL!$H233="Denver",+NFL!N233,0))</f>
        <v>Baltimore</v>
      </c>
      <c r="O185" s="395">
        <f>IF(+NFL!$F233="Denver",+NFL!O233,IF(+NFL!$H233="Denver",+NFL!O233,0))</f>
        <v>10</v>
      </c>
      <c r="P185" s="394" t="str">
        <f>IF(+NFL!$F233="Denver",+NFL!P233,IF(+NFL!$H233="Denver",+NFL!P233,0))</f>
        <v>Denver</v>
      </c>
      <c r="Q185" s="396">
        <f>IF(+NFL!$F233="Denver",+NFL!Q233,IF(+NFL!$H233="Denver",+NFL!Q233,0))</f>
        <v>9</v>
      </c>
      <c r="R185" s="397" t="str">
        <f>IF(+NFL!$F233="Denver",+NFL!R233,IF(+NFL!$H233="Denver",+NFL!R233,0))</f>
        <v>Denver</v>
      </c>
      <c r="S185" s="396" t="str">
        <f>IF(+NFL!$F233="Denver",+NFL!S233,IF(+NFL!$H233="Denver",+NFL!S233,0))</f>
        <v>Baltimore</v>
      </c>
      <c r="T185" s="397" t="str">
        <f>IF(+NFL!$F233="Denver",+NFL!T233,IF(+NFL!$H233="Denver",+NFL!T233,0))</f>
        <v>Denver</v>
      </c>
      <c r="U185" s="396" t="str">
        <f>IF(+NFL!$F233="Denver",+NFL!U233,IF(+NFL!$H233="Denver",+NFL!U233,0))</f>
        <v>W</v>
      </c>
      <c r="V185" s="397">
        <f>IF(+NFL!$F222="Denver",+NFL!#REF!,IF(+NFL!$H222="Denver",+NFL!#REF!,0))</f>
        <v>0</v>
      </c>
      <c r="W185" s="396">
        <f>IF(+NFL!$F222="Denver",+NFL!#REF!,IF(+NFL!$H222="Denver",+NFL!#REF!,0))</f>
        <v>0</v>
      </c>
      <c r="X185" s="397">
        <f>IF(+NFL!$F222="Denver",+NFL!#REF!,IF(+NFL!$H222="Denver",+NFL!#REF!,0))</f>
        <v>0</v>
      </c>
      <c r="Y185" s="396">
        <f>IF(+NFL!$F222="Denver",+NFL!#REF!,IF(+NFL!$H222="Denver",+NFL!#REF!,0))</f>
        <v>0</v>
      </c>
      <c r="Z185" s="397">
        <f>IF(+NFL!$F222="Denver",+NFL!#REF!,IF(+NFL!$H222="Denver",+NFL!#REF!,0))</f>
        <v>0</v>
      </c>
      <c r="AA185" s="396">
        <f>IF(+NFL!$F222="Denver",+NFL!#REF!,IF(+NFL!$H222="Denver",+NFL!#REF!,0))</f>
        <v>0</v>
      </c>
      <c r="AB185" s="87">
        <f>IF(+NFL!$F222="Denver",+NFL!#REF!,IF(+NFL!$H222="Denver",+NFL!#REF!,0))</f>
        <v>0</v>
      </c>
      <c r="AC185" s="120">
        <f>IF(+NFL!$F222="Denver",+NFL!#REF!,IF(+NFL!$H222="Denver",+NFL!#REF!,0))</f>
        <v>0</v>
      </c>
      <c r="AD185" s="353">
        <f>IF(+NFL!$F222="Denver",+NFL!#REF!,IF(+NFL!$H222="Denver",+NFL!#REF!,0))</f>
        <v>0</v>
      </c>
      <c r="AE185" s="379">
        <f>IF(+NFL!$F222="Denver",+NFL!#REF!,IF(+NFL!$H222="Denver",+NFL!#REF!,0))</f>
        <v>0</v>
      </c>
      <c r="AF185" s="353">
        <f>IF(+NFL!$F222="Denver",+NFL!#REF!,IF(+NFL!$H222="Denver",+NFL!#REF!,0))</f>
        <v>0</v>
      </c>
      <c r="AG185" s="379">
        <f>IF(+NFL!$F222="Denver",+NFL!#REF!,IF(+NFL!$H222="Denver",+NFL!#REF!,0))</f>
        <v>0</v>
      </c>
      <c r="AH185" s="353">
        <f>IF(+NFL!$F222="Denver",+NFL!#REF!,IF(+NFL!$H222="Denver",+NFL!#REF!,0))</f>
        <v>0</v>
      </c>
      <c r="AI185" s="379">
        <f>IF(+NFL!$F222="Denver",+NFL!#REF!,IF(+NFL!$H222="Denver",+NFL!#REF!,0))</f>
        <v>0</v>
      </c>
      <c r="AJ185" s="353">
        <f>IF(+NFL!$F222="Denver",+NFL!#REF!,IF(+NFL!$H222="Denver",+NFL!#REF!,0))</f>
        <v>0</v>
      </c>
      <c r="AK185" s="379">
        <f>IF(+NFL!$F222="Denver",+NFL!#REF!,IF(+NFL!$H222="Denver",+NFL!#REF!,0))</f>
        <v>0</v>
      </c>
      <c r="AL185" s="57">
        <f>IF(+NFL!$F222="Denver",+NFL!#REF!,IF(+NFL!$H222="Denver",+NFL!#REF!,0))</f>
        <v>0</v>
      </c>
      <c r="AM185" s="64">
        <f>IF(+NFL!$F222="Denver",+NFL!#REF!,IF(+NFL!$H222="Denver",+NFL!#REF!,0))</f>
        <v>0</v>
      </c>
      <c r="AN185" s="57">
        <f>IF(+NFL!$F222="Denver",+NFL!#REF!,IF(+NFL!$H222="Denver",+NFL!#REF!,0))</f>
        <v>0</v>
      </c>
      <c r="AO185" s="46">
        <f>IF(+NFL!$F222="Denver",+NFL!#REF!,IF(+NFL!$H222="Denver",+NFL!#REF!,0))</f>
        <v>0</v>
      </c>
      <c r="AP185" s="348">
        <f>IF(+NFL!$F222="Denver",+NFL!#REF!,IF(+NFL!$H222="Denver",+NFL!#REF!,0))</f>
        <v>0</v>
      </c>
      <c r="AQ185" s="48">
        <f>IF(+NFL!$F222="Denver",+NFL!#REF!,IF(+NFL!$H222="Denver",+NFL!#REF!,0))</f>
        <v>0</v>
      </c>
      <c r="AR185" s="57">
        <f>IF(+NFL!$F222="Denver",+NFL!#REF!,IF(+NFL!$H222="Denver",+NFL!#REF!,0))</f>
        <v>0</v>
      </c>
      <c r="AS185" s="64">
        <f>IF(+NFL!$F222="Denver",+NFL!#REF!,IF(+NFL!$H222="Denver",+NFL!#REF!,0))</f>
        <v>0</v>
      </c>
      <c r="AT185" s="64">
        <f>IF(+NFL!$F222="Denver",+NFL!#REF!,IF(+NFL!$H222="Denver",+NFL!#REF!,0))</f>
        <v>0</v>
      </c>
      <c r="AU185" s="57">
        <f>IF(+NFL!$F222="Denver",+NFL!#REF!,IF(+NFL!$H222="Denver",+NFL!#REF!,0))</f>
        <v>0</v>
      </c>
      <c r="AV185" s="64">
        <f>IF(+NFL!$F222="Denver",+NFL!#REF!,IF(+NFL!$H222="Denver",+NFL!#REF!,0))</f>
        <v>0</v>
      </c>
      <c r="AW185" s="46">
        <f>IF(+NFL!$F222="Denver",+NFL!#REF!,IF(+NFL!$H222="Denver",+NFL!#REF!,0))</f>
        <v>0</v>
      </c>
      <c r="AX185" s="64">
        <f>IF(+NFL!$F222="Denver",+NFL!#REF!,IF(+NFL!$H222="Denver",+NFL!#REF!,0))</f>
        <v>0</v>
      </c>
      <c r="AY185" s="57">
        <f>IF(+NFL!$F222="Denver",+NFL!#REF!,IF(+NFL!$H222="Denver",+NFL!#REF!,0))</f>
        <v>0</v>
      </c>
      <c r="AZ185" s="64">
        <f>IF(+NFL!$F222="Denver",+NFL!#REF!,IF(+NFL!$H222="Denver",+NFL!#REF!,0))</f>
        <v>0</v>
      </c>
      <c r="BA185" s="46">
        <f>IF(+NFL!$F222="Denver",+NFL!#REF!,IF(+NFL!$H222="Denver",+NFL!#REF!,0))</f>
        <v>0</v>
      </c>
      <c r="BB185" s="46">
        <f>IF(+NFL!$F222="Denver",+NFL!#REF!,IF(+NFL!$H222="Denver",+NFL!#REF!,0))</f>
        <v>0</v>
      </c>
      <c r="BC185" s="403">
        <f>IF(+NFL!$F222="Denver",+NFL!#REF!,IF(+NFL!$H222="Denver",+NFL!#REF!,0))</f>
        <v>0</v>
      </c>
      <c r="BD185" s="57">
        <f>IF(+NFL!$F222="Denver",+NFL!#REF!,IF(+NFL!$H222="Denver",+NFL!#REF!,0))</f>
        <v>0</v>
      </c>
      <c r="BE185" s="64">
        <f>IF(+NFL!$F222="Denver",+NFL!#REF!,IF(+NFL!$H222="Denver",+NFL!#REF!,0))</f>
        <v>0</v>
      </c>
      <c r="BF185" s="46">
        <f>IF(+NFL!$F222="Denver",+NFL!#REF!,IF(+NFL!$H222="Denver",+NFL!#REF!,0))</f>
        <v>0</v>
      </c>
      <c r="BG185" s="57">
        <f>IF(+NFL!$F222="Denver",+NFL!#REF!,IF(+NFL!$H222="Denver",+NFL!#REF!,0))</f>
        <v>0</v>
      </c>
      <c r="BH185" s="64">
        <f>IF(+NFL!$F222="Denver",+NFL!#REF!,IF(+NFL!$H222="Denver",+NFL!#REF!,0))</f>
        <v>0</v>
      </c>
      <c r="BI185" s="46">
        <f>IF(+NFL!$F222="Denver",+NFL!#REF!,IF(+NFL!$H222="Denver",+NFL!#REF!,0))</f>
        <v>0</v>
      </c>
      <c r="BJ185" s="87">
        <f>IF(+NFL!$F222="Denver",+NFL!#REF!,IF(+NFL!$H222="Denver",+NFL!#REF!,0))</f>
        <v>0</v>
      </c>
      <c r="BK185" s="120">
        <f>IF(+NFL!$F222="Denver",+NFL!#REF!,IF(+NFL!$H222="Denver",+NFL!#REF!,0))</f>
        <v>0</v>
      </c>
    </row>
    <row r="186" spans="1:63" x14ac:dyDescent="0.8">
      <c r="A186" s="46">
        <f>IF(+NFL!$F256="Denver",+NFL!A256,IF(+NFL!$H256="Denver",+NFL!A256,0))</f>
        <v>14</v>
      </c>
      <c r="B186" s="348" t="str">
        <f>IF(+NFL!$F256="Denver",+NFL!B256,IF(+NFL!$H256="Denver",+NFL!B256,0))</f>
        <v>Sun</v>
      </c>
      <c r="C186" s="48">
        <f>IF(+NFL!$F256="Denver",+NFL!C256,IF(+NFL!$H256="Denver",+NFL!C256,0))</f>
        <v>44906</v>
      </c>
      <c r="D186" s="490">
        <f>IF(+NFL!$F256="Denver",+NFL!D256,IF(+NFL!$H256="Denver",+NFL!D256,0))</f>
        <v>0.66666666666666663</v>
      </c>
      <c r="E186" s="46" t="str">
        <f>IF(+NFL!$F256="Denver",+NFL!E256,IF(+NFL!$H256="Denver",+NFL!E256,0))</f>
        <v>CBS</v>
      </c>
      <c r="F186" s="114" t="str">
        <f>IF(+NFL!$F256="Denver",+NFL!F256,IF(+NFL!$H256="Denver",+NFL!F256,0))</f>
        <v>Kansas City</v>
      </c>
      <c r="G186" s="46" t="str">
        <f>IF(+NFL!$F256="Denver",+NFL!G256,IF(+NFL!$H256="Denver",+NFL!G256,0))</f>
        <v>AFCW</v>
      </c>
      <c r="H186" s="114" t="str">
        <f>IF(+NFL!$F256="Denver",+NFL!H256,IF(+NFL!$H256="Denver",+NFL!H256,0))</f>
        <v>Denver</v>
      </c>
      <c r="I186" s="46" t="str">
        <f>IF(+NFL!$F256="Denver",+NFL!I256,IF(+NFL!$H256="Denver",+NFL!I256,0))</f>
        <v>AFCW</v>
      </c>
      <c r="J186" s="353" t="str">
        <f>IF(+NFL!$F256="Denver",+NFL!J256,IF(+NFL!$H256="Denver",+NFL!J256,0))</f>
        <v>Kansas City</v>
      </c>
      <c r="K186" s="494" t="str">
        <f>IF(+NFL!$F256="Denver",+NFL!K256,IF(+NFL!$H256="Denver",+NFL!K256,0))</f>
        <v>Denver</v>
      </c>
      <c r="L186" s="362">
        <f>IF(+NFL!$F256="Denver",+NFL!L256,IF(+NFL!$H256="Denver",+NFL!L256,0))</f>
        <v>7.5</v>
      </c>
      <c r="M186" s="386">
        <f>IF(+NFL!$F256="Denver",+NFL!M256,IF(+NFL!$H256="Denver",+NFL!M256,0))</f>
        <v>42.5</v>
      </c>
      <c r="N186" s="394" t="str">
        <f>IF(+NFL!$F256="Denver",+NFL!N256,IF(+NFL!$H256="Denver",+NFL!N256,0))</f>
        <v>Kansas City</v>
      </c>
      <c r="O186" s="395">
        <f>IF(+NFL!$F256="Denver",+NFL!O256,IF(+NFL!$H256="Denver",+NFL!O256,0))</f>
        <v>34</v>
      </c>
      <c r="P186" s="394" t="str">
        <f>IF(+NFL!$F256="Denver",+NFL!P256,IF(+NFL!$H256="Denver",+NFL!P256,0))</f>
        <v>Denver</v>
      </c>
      <c r="Q186" s="396">
        <f>IF(+NFL!$F256="Denver",+NFL!Q256,IF(+NFL!$H256="Denver",+NFL!Q256,0))</f>
        <v>28</v>
      </c>
      <c r="R186" s="397" t="str">
        <f>IF(+NFL!$F256="Denver",+NFL!R256,IF(+NFL!$H256="Denver",+NFL!R256,0))</f>
        <v>Denver</v>
      </c>
      <c r="S186" s="396" t="str">
        <f>IF(+NFL!$F256="Denver",+NFL!S256,IF(+NFL!$H256="Denver",+NFL!S256,0))</f>
        <v>Kansas City</v>
      </c>
      <c r="T186" s="397">
        <f>IF(+NFL!$F256="Denver",+NFL!T256,IF(+NFL!$H256="Denver",+NFL!T256,0))</f>
        <v>0</v>
      </c>
      <c r="U186" s="396" t="str">
        <f>IF(+NFL!$F256="Denver",+NFL!U256,IF(+NFL!$H256="Denver",+NFL!U256,0))</f>
        <v>L</v>
      </c>
      <c r="V186" s="397">
        <f>IF(+NFL!$F241="Denver",+NFL!#REF!,IF(+NFL!$H241="Denver",+NFL!#REF!,0))</f>
        <v>0</v>
      </c>
      <c r="W186" s="396">
        <f>IF(+NFL!$F241="Denver",+NFL!#REF!,IF(+NFL!$H241="Denver",+NFL!#REF!,0))</f>
        <v>0</v>
      </c>
      <c r="X186" s="397">
        <f>IF(+NFL!$F241="Denver",+NFL!#REF!,IF(+NFL!$H241="Denver",+NFL!#REF!,0))</f>
        <v>0</v>
      </c>
      <c r="Y186" s="396">
        <f>IF(+NFL!$F241="Denver",+NFL!#REF!,IF(+NFL!$H241="Denver",+NFL!#REF!,0))</f>
        <v>0</v>
      </c>
      <c r="Z186" s="397">
        <f>IF(+NFL!$F241="Denver",+NFL!#REF!,IF(+NFL!$H241="Denver",+NFL!#REF!,0))</f>
        <v>0</v>
      </c>
      <c r="AA186" s="396">
        <f>IF(+NFL!$F241="Denver",+NFL!#REF!,IF(+NFL!$H241="Denver",+NFL!#REF!,0))</f>
        <v>0</v>
      </c>
      <c r="AB186" s="87">
        <f>IF(+NFL!$F241="Denver",+NFL!#REF!,IF(+NFL!$H241="Denver",+NFL!#REF!,0))</f>
        <v>0</v>
      </c>
      <c r="AC186" s="120">
        <f>IF(+NFL!$F241="Denver",+NFL!#REF!,IF(+NFL!$H241="Denver",+NFL!#REF!,0))</f>
        <v>0</v>
      </c>
      <c r="AD186" s="353">
        <f>IF(+NFL!$F241="Denver",+NFL!#REF!,IF(+NFL!$H241="Denver",+NFL!#REF!,0))</f>
        <v>0</v>
      </c>
      <c r="AE186" s="379">
        <f>IF(+NFL!$F241="Denver",+NFL!#REF!,IF(+NFL!$H241="Denver",+NFL!#REF!,0))</f>
        <v>0</v>
      </c>
      <c r="AF186" s="353">
        <f>IF(+NFL!$F241="Denver",+NFL!#REF!,IF(+NFL!$H241="Denver",+NFL!#REF!,0))</f>
        <v>0</v>
      </c>
      <c r="AG186" s="379">
        <f>IF(+NFL!$F241="Denver",+NFL!#REF!,IF(+NFL!$H241="Denver",+NFL!#REF!,0))</f>
        <v>0</v>
      </c>
      <c r="AH186" s="353">
        <f>IF(+NFL!$F241="Denver",+NFL!#REF!,IF(+NFL!$H241="Denver",+NFL!#REF!,0))</f>
        <v>0</v>
      </c>
      <c r="AI186" s="379">
        <f>IF(+NFL!$F241="Denver",+NFL!#REF!,IF(+NFL!$H241="Denver",+NFL!#REF!,0))</f>
        <v>0</v>
      </c>
      <c r="AJ186" s="353">
        <f>IF(+NFL!$F241="Denver",+NFL!#REF!,IF(+NFL!$H241="Denver",+NFL!#REF!,0))</f>
        <v>0</v>
      </c>
      <c r="AK186" s="379">
        <f>IF(+NFL!$F241="Denver",+NFL!#REF!,IF(+NFL!$H241="Denver",+NFL!#REF!,0))</f>
        <v>0</v>
      </c>
      <c r="AL186" s="57">
        <f>IF(+NFL!$F241="Denver",+NFL!#REF!,IF(+NFL!$H241="Denver",+NFL!#REF!,0))</f>
        <v>0</v>
      </c>
      <c r="AM186" s="64">
        <f>IF(+NFL!$F241="Denver",+NFL!#REF!,IF(+NFL!$H241="Denver",+NFL!#REF!,0))</f>
        <v>0</v>
      </c>
      <c r="AN186" s="57">
        <f>IF(+NFL!$F241="Denver",+NFL!#REF!,IF(+NFL!$H241="Denver",+NFL!#REF!,0))</f>
        <v>0</v>
      </c>
      <c r="AO186" s="46">
        <f>IF(+NFL!$F241="Denver",+NFL!#REF!,IF(+NFL!$H241="Denver",+NFL!#REF!,0))</f>
        <v>0</v>
      </c>
      <c r="AP186" s="348">
        <f>IF(+NFL!$F241="Denver",+NFL!#REF!,IF(+NFL!$H241="Denver",+NFL!#REF!,0))</f>
        <v>0</v>
      </c>
      <c r="AQ186" s="48">
        <f>IF(+NFL!$F241="Denver",+NFL!#REF!,IF(+NFL!$H241="Denver",+NFL!#REF!,0))</f>
        <v>0</v>
      </c>
      <c r="AR186" s="57">
        <f>IF(+NFL!$F241="Denver",+NFL!#REF!,IF(+NFL!$H241="Denver",+NFL!#REF!,0))</f>
        <v>0</v>
      </c>
      <c r="AS186" s="64">
        <f>IF(+NFL!$F241="Denver",+NFL!#REF!,IF(+NFL!$H241="Denver",+NFL!#REF!,0))</f>
        <v>0</v>
      </c>
      <c r="AT186" s="64">
        <f>IF(+NFL!$F241="Denver",+NFL!#REF!,IF(+NFL!$H241="Denver",+NFL!#REF!,0))</f>
        <v>0</v>
      </c>
      <c r="AU186" s="57">
        <f>IF(+NFL!$F241="Denver",+NFL!#REF!,IF(+NFL!$H241="Denver",+NFL!#REF!,0))</f>
        <v>0</v>
      </c>
      <c r="AV186" s="64">
        <f>IF(+NFL!$F241="Denver",+NFL!#REF!,IF(+NFL!$H241="Denver",+NFL!#REF!,0))</f>
        <v>0</v>
      </c>
      <c r="AW186" s="46">
        <f>IF(+NFL!$F241="Denver",+NFL!#REF!,IF(+NFL!$H241="Denver",+NFL!#REF!,0))</f>
        <v>0</v>
      </c>
      <c r="AX186" s="64">
        <f>IF(+NFL!$F241="Denver",+NFL!#REF!,IF(+NFL!$H241="Denver",+NFL!#REF!,0))</f>
        <v>0</v>
      </c>
      <c r="AY186" s="57">
        <f>IF(+NFL!$F241="Denver",+NFL!#REF!,IF(+NFL!$H241="Denver",+NFL!#REF!,0))</f>
        <v>0</v>
      </c>
      <c r="AZ186" s="64">
        <f>IF(+NFL!$F241="Denver",+NFL!#REF!,IF(+NFL!$H241="Denver",+NFL!#REF!,0))</f>
        <v>0</v>
      </c>
      <c r="BA186" s="46">
        <f>IF(+NFL!$F241="Denver",+NFL!#REF!,IF(+NFL!$H241="Denver",+NFL!#REF!,0))</f>
        <v>0</v>
      </c>
      <c r="BB186" s="46">
        <f>IF(+NFL!$F241="Denver",+NFL!#REF!,IF(+NFL!$H241="Denver",+NFL!#REF!,0))</f>
        <v>0</v>
      </c>
      <c r="BC186" s="403">
        <f>IF(+NFL!$F241="Denver",+NFL!#REF!,IF(+NFL!$H241="Denver",+NFL!#REF!,0))</f>
        <v>0</v>
      </c>
      <c r="BD186" s="57">
        <f>IF(+NFL!$F241="Denver",+NFL!#REF!,IF(+NFL!$H241="Denver",+NFL!#REF!,0))</f>
        <v>0</v>
      </c>
      <c r="BE186" s="64">
        <f>IF(+NFL!$F241="Denver",+NFL!#REF!,IF(+NFL!$H241="Denver",+NFL!#REF!,0))</f>
        <v>0</v>
      </c>
      <c r="BF186" s="46">
        <f>IF(+NFL!$F241="Denver",+NFL!#REF!,IF(+NFL!$H241="Denver",+NFL!#REF!,0))</f>
        <v>0</v>
      </c>
      <c r="BG186" s="57">
        <f>IF(+NFL!$F241="Denver",+NFL!#REF!,IF(+NFL!$H241="Denver",+NFL!#REF!,0))</f>
        <v>0</v>
      </c>
      <c r="BH186" s="64">
        <f>IF(+NFL!$F241="Denver",+NFL!#REF!,IF(+NFL!$H241="Denver",+NFL!#REF!,0))</f>
        <v>0</v>
      </c>
      <c r="BI186" s="46">
        <f>IF(+NFL!$F241="Denver",+NFL!#REF!,IF(+NFL!$H241="Denver",+NFL!#REF!,0))</f>
        <v>0</v>
      </c>
      <c r="BJ186" s="87">
        <f>IF(+NFL!$F241="Denver",+NFL!#REF!,IF(+NFL!$H241="Denver",+NFL!#REF!,0))</f>
        <v>0</v>
      </c>
      <c r="BK186" s="120">
        <f>IF(+NFL!$F241="Denver",+NFL!#REF!,IF(+NFL!$H241="Denver",+NFL!#REF!,0))</f>
        <v>0</v>
      </c>
    </row>
    <row r="187" spans="1:63" x14ac:dyDescent="0.8">
      <c r="A187" s="46">
        <f>IF(+NFL!$F277="Denver",+NFL!A277,IF(+NFL!$H277="Denver",+NFL!A277,0))</f>
        <v>15</v>
      </c>
      <c r="B187" s="348" t="str">
        <f>IF(+NFL!$F277="Denver",+NFL!B277,IF(+NFL!$H277="Denver",+NFL!B277,0))</f>
        <v>Sun</v>
      </c>
      <c r="C187" s="48">
        <f>IF(+NFL!$F277="Denver",+NFL!C277,IF(+NFL!$H277="Denver",+NFL!C277,0))</f>
        <v>44913</v>
      </c>
      <c r="D187" s="490">
        <f>IF(+NFL!$F277="Denver",+NFL!D277,IF(+NFL!$H277="Denver",+NFL!D277,0))</f>
        <v>0.66666666666666663</v>
      </c>
      <c r="E187" s="46" t="str">
        <f>IF(+NFL!$F277="Denver",+NFL!E277,IF(+NFL!$H277="Denver",+NFL!E277,0))</f>
        <v>Fox</v>
      </c>
      <c r="F187" s="114" t="str">
        <f>IF(+NFL!$F277="Denver",+NFL!F277,IF(+NFL!$H277="Denver",+NFL!F277,0))</f>
        <v>Arizona</v>
      </c>
      <c r="G187" s="46" t="str">
        <f>IF(+NFL!$F277="Denver",+NFL!G277,IF(+NFL!$H277="Denver",+NFL!G277,0))</f>
        <v>NFCW</v>
      </c>
      <c r="H187" s="114" t="str">
        <f>IF(+NFL!$F277="Denver",+NFL!H277,IF(+NFL!$H277="Denver",+NFL!H277,0))</f>
        <v>Denver</v>
      </c>
      <c r="I187" s="46" t="str">
        <f>IF(+NFL!$F277="Denver",+NFL!I277,IF(+NFL!$H277="Denver",+NFL!I277,0))</f>
        <v>AFCW</v>
      </c>
      <c r="J187" s="353" t="str">
        <f>IF(+NFL!$F277="Denver",+NFL!J277,IF(+NFL!$H277="Denver",+NFL!J277,0))</f>
        <v>Denver</v>
      </c>
      <c r="K187" s="494" t="str">
        <f>IF(+NFL!$F277="Denver",+NFL!K277,IF(+NFL!$H277="Denver",+NFL!K277,0))</f>
        <v>Arizona</v>
      </c>
      <c r="L187" s="362">
        <f>IF(+NFL!$F277="Denver",+NFL!L277,IF(+NFL!$H277="Denver",+NFL!L277,0))</f>
        <v>1.5</v>
      </c>
      <c r="M187" s="386">
        <f>IF(+NFL!$F277="Denver",+NFL!M277,IF(+NFL!$H277="Denver",+NFL!M277,0))</f>
        <v>37.5</v>
      </c>
      <c r="N187" s="394" t="str">
        <f>IF(+NFL!$F277="Denver",+NFL!N277,IF(+NFL!$H277="Denver",+NFL!N277,0))</f>
        <v>Denver</v>
      </c>
      <c r="O187" s="395">
        <f>IF(+NFL!$F277="Denver",+NFL!O277,IF(+NFL!$H277="Denver",+NFL!O277,0))</f>
        <v>24</v>
      </c>
      <c r="P187" s="394" t="str">
        <f>IF(+NFL!$F277="Denver",+NFL!P277,IF(+NFL!$H277="Denver",+NFL!P277,0))</f>
        <v>Arizona</v>
      </c>
      <c r="Q187" s="396">
        <f>IF(+NFL!$F277="Denver",+NFL!Q277,IF(+NFL!$H277="Denver",+NFL!Q277,0))</f>
        <v>15</v>
      </c>
      <c r="R187" s="397" t="str">
        <f>IF(+NFL!$F277="Denver",+NFL!R277,IF(+NFL!$H277="Denver",+NFL!R277,0))</f>
        <v>Denver</v>
      </c>
      <c r="S187" s="396" t="str">
        <f>IF(+NFL!$F277="Denver",+NFL!S277,IF(+NFL!$H277="Denver",+NFL!S277,0))</f>
        <v>Arizona</v>
      </c>
      <c r="T187" s="397">
        <f>IF(+NFL!$F277="Denver",+NFL!T277,IF(+NFL!$H277="Denver",+NFL!T277,0))</f>
        <v>0</v>
      </c>
      <c r="U187" s="396" t="str">
        <f>IF(+NFL!$F277="Denver",+NFL!U277,IF(+NFL!$H277="Denver",+NFL!U277,0))</f>
        <v>L</v>
      </c>
      <c r="V187" s="397" t="e">
        <f>IF(+NFL!$F277="Denver",+NFL!#REF!,IF(+NFL!$H277="Denver",+NFL!#REF!,0))</f>
        <v>#REF!</v>
      </c>
      <c r="W187" s="396" t="e">
        <f>IF(+NFL!$F277="Denver",+NFL!#REF!,IF(+NFL!$H277="Denver",+NFL!#REF!,0))</f>
        <v>#REF!</v>
      </c>
      <c r="X187" s="397" t="e">
        <f>IF(+NFL!$F277="Denver",+NFL!#REF!,IF(+NFL!$H277="Denver",+NFL!#REF!,0))</f>
        <v>#REF!</v>
      </c>
      <c r="Y187" s="396" t="e">
        <f>IF(+NFL!$F277="Denver",+NFL!#REF!,IF(+NFL!$H277="Denver",+NFL!#REF!,0))</f>
        <v>#REF!</v>
      </c>
      <c r="Z187" s="397" t="e">
        <f>IF(+NFL!$F277="Denver",+NFL!#REF!,IF(+NFL!$H277="Denver",+NFL!#REF!,0))</f>
        <v>#REF!</v>
      </c>
      <c r="AA187" s="396" t="e">
        <f>IF(+NFL!$F277="Denver",+NFL!#REF!,IF(+NFL!$H277="Denver",+NFL!#REF!,0))</f>
        <v>#REF!</v>
      </c>
      <c r="AB187" s="87" t="e">
        <f>IF(+NFL!$F277="Denver",+NFL!#REF!,IF(+NFL!$H277="Denver",+NFL!#REF!,0))</f>
        <v>#REF!</v>
      </c>
      <c r="AC187" s="120" t="e">
        <f>IF(+NFL!$F277="Denver",+NFL!#REF!,IF(+NFL!$H277="Denver",+NFL!#REF!,0))</f>
        <v>#REF!</v>
      </c>
      <c r="AD187" s="353" t="e">
        <f>IF(+NFL!$F277="Denver",+NFL!#REF!,IF(+NFL!$H277="Denver",+NFL!#REF!,0))</f>
        <v>#REF!</v>
      </c>
      <c r="AE187" s="379" t="e">
        <f>IF(+NFL!$F277="Denver",+NFL!#REF!,IF(+NFL!$H277="Denver",+NFL!#REF!,0))</f>
        <v>#REF!</v>
      </c>
      <c r="AF187" s="353" t="e">
        <f>IF(+NFL!$F277="Denver",+NFL!#REF!,IF(+NFL!$H277="Denver",+NFL!#REF!,0))</f>
        <v>#REF!</v>
      </c>
      <c r="AG187" s="379" t="e">
        <f>IF(+NFL!$F277="Denver",+NFL!#REF!,IF(+NFL!$H277="Denver",+NFL!#REF!,0))</f>
        <v>#REF!</v>
      </c>
      <c r="AH187" s="353" t="e">
        <f>IF(+NFL!$F277="Denver",+NFL!#REF!,IF(+NFL!$H277="Denver",+NFL!#REF!,0))</f>
        <v>#REF!</v>
      </c>
      <c r="AI187" s="379" t="e">
        <f>IF(+NFL!$F277="Denver",+NFL!#REF!,IF(+NFL!$H277="Denver",+NFL!#REF!,0))</f>
        <v>#REF!</v>
      </c>
      <c r="AJ187" s="353" t="e">
        <f>IF(+NFL!$F277="Denver",+NFL!#REF!,IF(+NFL!$H277="Denver",+NFL!#REF!,0))</f>
        <v>#REF!</v>
      </c>
      <c r="AK187" s="379" t="e">
        <f>IF(+NFL!$F277="Denver",+NFL!#REF!,IF(+NFL!$H277="Denver",+NFL!#REF!,0))</f>
        <v>#REF!</v>
      </c>
      <c r="AL187" s="57" t="e">
        <f>IF(+NFL!$F277="Denver",+NFL!#REF!,IF(+NFL!$H277="Denver",+NFL!#REF!,0))</f>
        <v>#REF!</v>
      </c>
      <c r="AM187" s="64" t="e">
        <f>IF(+NFL!$F277="Denver",+NFL!#REF!,IF(+NFL!$H277="Denver",+NFL!#REF!,0))</f>
        <v>#REF!</v>
      </c>
      <c r="AN187" s="57" t="e">
        <f>IF(+NFL!$F277="Denver",+NFL!#REF!,IF(+NFL!$H277="Denver",+NFL!#REF!,0))</f>
        <v>#REF!</v>
      </c>
      <c r="AO187" s="46" t="e">
        <f>IF(+NFL!$F277="Denver",+NFL!#REF!,IF(+NFL!$H277="Denver",+NFL!#REF!,0))</f>
        <v>#REF!</v>
      </c>
      <c r="AP187" s="348" t="e">
        <f>IF(+NFL!$F277="Denver",+NFL!#REF!,IF(+NFL!$H277="Denver",+NFL!#REF!,0))</f>
        <v>#REF!</v>
      </c>
      <c r="AQ187" s="48" t="e">
        <f>IF(+NFL!$F277="Denver",+NFL!#REF!,IF(+NFL!$H277="Denver",+NFL!#REF!,0))</f>
        <v>#REF!</v>
      </c>
      <c r="AR187" s="57" t="e">
        <f>IF(+NFL!$F277="Denver",+NFL!#REF!,IF(+NFL!$H277="Denver",+NFL!#REF!,0))</f>
        <v>#REF!</v>
      </c>
      <c r="AS187" s="64" t="e">
        <f>IF(+NFL!$F277="Denver",+NFL!#REF!,IF(+NFL!$H277="Denver",+NFL!#REF!,0))</f>
        <v>#REF!</v>
      </c>
      <c r="AT187" s="64" t="e">
        <f>IF(+NFL!$F277="Denver",+NFL!#REF!,IF(+NFL!$H277="Denver",+NFL!#REF!,0))</f>
        <v>#REF!</v>
      </c>
      <c r="AU187" s="57" t="e">
        <f>IF(+NFL!$F277="Denver",+NFL!#REF!,IF(+NFL!$H277="Denver",+NFL!#REF!,0))</f>
        <v>#REF!</v>
      </c>
      <c r="AV187" s="64" t="e">
        <f>IF(+NFL!$F277="Denver",+NFL!#REF!,IF(+NFL!$H277="Denver",+NFL!#REF!,0))</f>
        <v>#REF!</v>
      </c>
      <c r="AW187" s="46" t="e">
        <f>IF(+NFL!$F277="Denver",+NFL!#REF!,IF(+NFL!$H277="Denver",+NFL!#REF!,0))</f>
        <v>#REF!</v>
      </c>
      <c r="AX187" s="64" t="e">
        <f>IF(+NFL!$F277="Denver",+NFL!#REF!,IF(+NFL!$H277="Denver",+NFL!#REF!,0))</f>
        <v>#REF!</v>
      </c>
      <c r="AY187" s="57" t="e">
        <f>IF(+NFL!$F277="Denver",+NFL!#REF!,IF(+NFL!$H277="Denver",+NFL!#REF!,0))</f>
        <v>#REF!</v>
      </c>
      <c r="AZ187" s="64" t="e">
        <f>IF(+NFL!$F277="Denver",+NFL!#REF!,IF(+NFL!$H277="Denver",+NFL!#REF!,0))</f>
        <v>#REF!</v>
      </c>
      <c r="BA187" s="46" t="e">
        <f>IF(+NFL!$F277="Denver",+NFL!#REF!,IF(+NFL!$H277="Denver",+NFL!#REF!,0))</f>
        <v>#REF!</v>
      </c>
      <c r="BB187" s="46" t="e">
        <f>IF(+NFL!$F277="Denver",+NFL!#REF!,IF(+NFL!$H277="Denver",+NFL!#REF!,0))</f>
        <v>#REF!</v>
      </c>
      <c r="BC187" s="403" t="e">
        <f>IF(+NFL!$F277="Denver",+NFL!#REF!,IF(+NFL!$H277="Denver",+NFL!#REF!,0))</f>
        <v>#REF!</v>
      </c>
      <c r="BD187" s="57" t="e">
        <f>IF(+NFL!$F277="Denver",+NFL!#REF!,IF(+NFL!$H277="Denver",+NFL!#REF!,0))</f>
        <v>#REF!</v>
      </c>
      <c r="BE187" s="64" t="e">
        <f>IF(+NFL!$F277="Denver",+NFL!#REF!,IF(+NFL!$H277="Denver",+NFL!#REF!,0))</f>
        <v>#REF!</v>
      </c>
      <c r="BF187" s="46" t="e">
        <f>IF(+NFL!$F277="Denver",+NFL!#REF!,IF(+NFL!$H277="Denver",+NFL!#REF!,0))</f>
        <v>#REF!</v>
      </c>
      <c r="BG187" s="57" t="e">
        <f>IF(+NFL!$F277="Denver",+NFL!#REF!,IF(+NFL!$H277="Denver",+NFL!#REF!,0))</f>
        <v>#REF!</v>
      </c>
      <c r="BH187" s="64" t="e">
        <f>IF(+NFL!$F277="Denver",+NFL!#REF!,IF(+NFL!$H277="Denver",+NFL!#REF!,0))</f>
        <v>#REF!</v>
      </c>
      <c r="BI187" s="46" t="e">
        <f>IF(+NFL!$F277="Denver",+NFL!#REF!,IF(+NFL!$H277="Denver",+NFL!#REF!,0))</f>
        <v>#REF!</v>
      </c>
      <c r="BJ187" s="87" t="e">
        <f>IF(+NFL!$F277="Denver",+NFL!#REF!,IF(+NFL!$H277="Denver",+NFL!#REF!,0))</f>
        <v>#REF!</v>
      </c>
      <c r="BK187" s="120" t="e">
        <f>IF(+NFL!$F277="Denver",+NFL!#REF!,IF(+NFL!$H277="Denver",+NFL!#REF!,0))</f>
        <v>#REF!</v>
      </c>
    </row>
    <row r="188" spans="1:63" x14ac:dyDescent="0.8">
      <c r="A188" s="46">
        <f>IF(+NFL!$F296="Denver",+NFL!A296,IF(+NFL!$H296="Denver",+NFL!A296,0))</f>
        <v>16</v>
      </c>
      <c r="B188" s="348" t="str">
        <f>IF(+NFL!$F296="Denver",+NFL!B296,IF(+NFL!$H296="Denver",+NFL!B296,0))</f>
        <v>Sun</v>
      </c>
      <c r="C188" s="48">
        <f>IF(+NFL!$F296="Denver",+NFL!C296,IF(+NFL!$H296="Denver",+NFL!C296,0))</f>
        <v>44920</v>
      </c>
      <c r="D188" s="490">
        <f>IF(+NFL!$F296="Denver",+NFL!D296,IF(+NFL!$H296="Denver",+NFL!D296,0))</f>
        <v>0.66666666666666663</v>
      </c>
      <c r="E188" s="46" t="str">
        <f>IF(+NFL!$F296="Denver",+NFL!E296,IF(+NFL!$H296="Denver",+NFL!E296,0))</f>
        <v>CBS</v>
      </c>
      <c r="F188" s="114" t="str">
        <f>IF(+NFL!$F296="Denver",+NFL!F296,IF(+NFL!$H296="Denver",+NFL!F296,0))</f>
        <v>Denver</v>
      </c>
      <c r="G188" s="46" t="str">
        <f>IF(+NFL!$F296="Denver",+NFL!G296,IF(+NFL!$H296="Denver",+NFL!G296,0))</f>
        <v>AFCW</v>
      </c>
      <c r="H188" s="114" t="str">
        <f>IF(+NFL!$F296="Denver",+NFL!H296,IF(+NFL!$H296="Denver",+NFL!H296,0))</f>
        <v>LA Rams</v>
      </c>
      <c r="I188" s="46" t="str">
        <f>IF(+NFL!$F296="Denver",+NFL!I296,IF(+NFL!$H296="Denver",+NFL!I296,0))</f>
        <v>NFCW</v>
      </c>
      <c r="J188" s="353" t="str">
        <f>IF(+NFL!$F296="Denver",+NFL!J296,IF(+NFL!$H296="Denver",+NFL!J296,0))</f>
        <v>Denver</v>
      </c>
      <c r="K188" s="494" t="str">
        <f>IF(+NFL!$F296="Denver",+NFL!K296,IF(+NFL!$H296="Denver",+NFL!K296,0))</f>
        <v>LA Rams</v>
      </c>
      <c r="L188" s="362">
        <f>IF(+NFL!$F296="Denver",+NFL!L296,IF(+NFL!$H296="Denver",+NFL!L296,0))</f>
        <v>3.5</v>
      </c>
      <c r="M188" s="386">
        <f>IF(+NFL!$F296="Denver",+NFL!M296,IF(+NFL!$H296="Denver",+NFL!M296,0))</f>
        <v>36.5</v>
      </c>
      <c r="N188" s="394" t="str">
        <f>IF(+NFL!$F296="Denver",+NFL!N296,IF(+NFL!$H296="Denver",+NFL!N296,0))</f>
        <v>LA Rams</v>
      </c>
      <c r="O188" s="395">
        <f>IF(+NFL!$F296="Denver",+NFL!O296,IF(+NFL!$H296="Denver",+NFL!O296,0))</f>
        <v>51</v>
      </c>
      <c r="P188" s="394" t="str">
        <f>IF(+NFL!$F296="Denver",+NFL!P296,IF(+NFL!$H296="Denver",+NFL!P296,0))</f>
        <v>Denver</v>
      </c>
      <c r="Q188" s="396">
        <f>IF(+NFL!$F296="Denver",+NFL!Q296,IF(+NFL!$H296="Denver",+NFL!Q296,0))</f>
        <v>14</v>
      </c>
      <c r="R188" s="397" t="str">
        <f>IF(+NFL!$F296="Denver",+NFL!R296,IF(+NFL!$H296="Denver",+NFL!R296,0))</f>
        <v>LA Rams</v>
      </c>
      <c r="S188" s="396" t="str">
        <f>IF(+NFL!$F296="Denver",+NFL!S296,IF(+NFL!$H296="Denver",+NFL!S296,0))</f>
        <v>Denver</v>
      </c>
      <c r="T188" s="397">
        <f>IF(+NFL!$F296="Denver",+NFL!T296,IF(+NFL!$H296="Denver",+NFL!T296,0))</f>
        <v>0</v>
      </c>
      <c r="U188" s="396" t="str">
        <f>IF(+NFL!$F296="Denver",+NFL!U296,IF(+NFL!$H296="Denver",+NFL!U296,0))</f>
        <v>L</v>
      </c>
      <c r="V188" s="397">
        <f>IF(+NFL!$F291="Denver",+NFL!#REF!,IF(+NFL!$H291="Denver",+NFL!#REF!,0))</f>
        <v>0</v>
      </c>
      <c r="W188" s="396">
        <f>IF(+NFL!$F291="Denver",+NFL!#REF!,IF(+NFL!$H291="Denver",+NFL!#REF!,0))</f>
        <v>0</v>
      </c>
      <c r="X188" s="397">
        <f>IF(+NFL!$F291="Denver",+NFL!#REF!,IF(+NFL!$H291="Denver",+NFL!#REF!,0))</f>
        <v>0</v>
      </c>
      <c r="Y188" s="396">
        <f>IF(+NFL!$F291="Denver",+NFL!#REF!,IF(+NFL!$H291="Denver",+NFL!#REF!,0))</f>
        <v>0</v>
      </c>
      <c r="Z188" s="397">
        <f>IF(+NFL!$F291="Denver",+NFL!#REF!,IF(+NFL!$H291="Denver",+NFL!#REF!,0))</f>
        <v>0</v>
      </c>
      <c r="AA188" s="396">
        <f>IF(+NFL!$F291="Denver",+NFL!#REF!,IF(+NFL!$H291="Denver",+NFL!#REF!,0))</f>
        <v>0</v>
      </c>
      <c r="AB188" s="87">
        <f>IF(+NFL!$F291="Denver",+NFL!#REF!,IF(+NFL!$H291="Denver",+NFL!#REF!,0))</f>
        <v>0</v>
      </c>
      <c r="AC188" s="120">
        <f>IF(+NFL!$F291="Denver",+NFL!#REF!,IF(+NFL!$H291="Denver",+NFL!#REF!,0))</f>
        <v>0</v>
      </c>
      <c r="AD188" s="353">
        <f>IF(+NFL!$F291="Denver",+NFL!#REF!,IF(+NFL!$H291="Denver",+NFL!#REF!,0))</f>
        <v>0</v>
      </c>
      <c r="AE188" s="379">
        <f>IF(+NFL!$F291="Denver",+NFL!#REF!,IF(+NFL!$H291="Denver",+NFL!#REF!,0))</f>
        <v>0</v>
      </c>
      <c r="AF188" s="353">
        <f>IF(+NFL!$F291="Denver",+NFL!#REF!,IF(+NFL!$H291="Denver",+NFL!#REF!,0))</f>
        <v>0</v>
      </c>
      <c r="AG188" s="379">
        <f>IF(+NFL!$F291="Denver",+NFL!#REF!,IF(+NFL!$H291="Denver",+NFL!#REF!,0))</f>
        <v>0</v>
      </c>
      <c r="AH188" s="353">
        <f>IF(+NFL!$F291="Denver",+NFL!#REF!,IF(+NFL!$H291="Denver",+NFL!#REF!,0))</f>
        <v>0</v>
      </c>
      <c r="AI188" s="379">
        <f>IF(+NFL!$F291="Denver",+NFL!#REF!,IF(+NFL!$H291="Denver",+NFL!#REF!,0))</f>
        <v>0</v>
      </c>
      <c r="AJ188" s="353">
        <f>IF(+NFL!$F291="Denver",+NFL!#REF!,IF(+NFL!$H291="Denver",+NFL!#REF!,0))</f>
        <v>0</v>
      </c>
      <c r="AK188" s="379">
        <f>IF(+NFL!$F291="Denver",+NFL!#REF!,IF(+NFL!$H291="Denver",+NFL!#REF!,0))</f>
        <v>0</v>
      </c>
      <c r="AL188" s="57">
        <f>IF(+NFL!$F291="Denver",+NFL!#REF!,IF(+NFL!$H291="Denver",+NFL!#REF!,0))</f>
        <v>0</v>
      </c>
      <c r="AM188" s="64">
        <f>IF(+NFL!$F291="Denver",+NFL!#REF!,IF(+NFL!$H291="Denver",+NFL!#REF!,0))</f>
        <v>0</v>
      </c>
      <c r="AN188" s="57">
        <f>IF(+NFL!$F291="Denver",+NFL!#REF!,IF(+NFL!$H291="Denver",+NFL!#REF!,0))</f>
        <v>0</v>
      </c>
      <c r="AO188" s="46">
        <f>IF(+NFL!$F291="Denver",+NFL!#REF!,IF(+NFL!$H291="Denver",+NFL!#REF!,0))</f>
        <v>0</v>
      </c>
      <c r="AP188" s="348">
        <f>IF(+NFL!$F291="Denver",+NFL!#REF!,IF(+NFL!$H291="Denver",+NFL!#REF!,0))</f>
        <v>0</v>
      </c>
      <c r="AQ188" s="48">
        <f>IF(+NFL!$F291="Denver",+NFL!#REF!,IF(+NFL!$H291="Denver",+NFL!#REF!,0))</f>
        <v>0</v>
      </c>
      <c r="AR188" s="57">
        <f>IF(+NFL!$F291="Denver",+NFL!#REF!,IF(+NFL!$H291="Denver",+NFL!#REF!,0))</f>
        <v>0</v>
      </c>
      <c r="AS188" s="64">
        <f>IF(+NFL!$F291="Denver",+NFL!#REF!,IF(+NFL!$H291="Denver",+NFL!#REF!,0))</f>
        <v>0</v>
      </c>
      <c r="AT188" s="64">
        <f>IF(+NFL!$F291="Denver",+NFL!#REF!,IF(+NFL!$H291="Denver",+NFL!#REF!,0))</f>
        <v>0</v>
      </c>
      <c r="AU188" s="57">
        <f>IF(+NFL!$F291="Denver",+NFL!#REF!,IF(+NFL!$H291="Denver",+NFL!#REF!,0))</f>
        <v>0</v>
      </c>
      <c r="AV188" s="64">
        <f>IF(+NFL!$F291="Denver",+NFL!#REF!,IF(+NFL!$H291="Denver",+NFL!#REF!,0))</f>
        <v>0</v>
      </c>
      <c r="AW188" s="46">
        <f>IF(+NFL!$F291="Denver",+NFL!#REF!,IF(+NFL!$H291="Denver",+NFL!#REF!,0))</f>
        <v>0</v>
      </c>
      <c r="AX188" s="64">
        <f>IF(+NFL!$F291="Denver",+NFL!#REF!,IF(+NFL!$H291="Denver",+NFL!#REF!,0))</f>
        <v>0</v>
      </c>
      <c r="AY188" s="57">
        <f>IF(+NFL!$F291="Denver",+NFL!#REF!,IF(+NFL!$H291="Denver",+NFL!#REF!,0))</f>
        <v>0</v>
      </c>
      <c r="AZ188" s="64">
        <f>IF(+NFL!$F291="Denver",+NFL!#REF!,IF(+NFL!$H291="Denver",+NFL!#REF!,0))</f>
        <v>0</v>
      </c>
      <c r="BA188" s="46">
        <f>IF(+NFL!$F291="Denver",+NFL!#REF!,IF(+NFL!$H291="Denver",+NFL!#REF!,0))</f>
        <v>0</v>
      </c>
      <c r="BB188" s="46">
        <f>IF(+NFL!$F291="Denver",+NFL!#REF!,IF(+NFL!$H291="Denver",+NFL!#REF!,0))</f>
        <v>0</v>
      </c>
      <c r="BC188" s="403">
        <f>IF(+NFL!$F291="Denver",+NFL!#REF!,IF(+NFL!$H291="Denver",+NFL!#REF!,0))</f>
        <v>0</v>
      </c>
      <c r="BD188" s="57">
        <f>IF(+NFL!$F291="Denver",+NFL!#REF!,IF(+NFL!$H291="Denver",+NFL!#REF!,0))</f>
        <v>0</v>
      </c>
      <c r="BE188" s="64">
        <f>IF(+NFL!$F291="Denver",+NFL!#REF!,IF(+NFL!$H291="Denver",+NFL!#REF!,0))</f>
        <v>0</v>
      </c>
      <c r="BF188" s="46">
        <f>IF(+NFL!$F291="Denver",+NFL!#REF!,IF(+NFL!$H291="Denver",+NFL!#REF!,0))</f>
        <v>0</v>
      </c>
      <c r="BG188" s="57">
        <f>IF(+NFL!$F291="Denver",+NFL!#REF!,IF(+NFL!$H291="Denver",+NFL!#REF!,0))</f>
        <v>0</v>
      </c>
      <c r="BH188" s="64">
        <f>IF(+NFL!$F291="Denver",+NFL!#REF!,IF(+NFL!$H291="Denver",+NFL!#REF!,0))</f>
        <v>0</v>
      </c>
      <c r="BI188" s="46">
        <f>IF(+NFL!$F291="Denver",+NFL!#REF!,IF(+NFL!$H291="Denver",+NFL!#REF!,0))</f>
        <v>0</v>
      </c>
      <c r="BJ188" s="87">
        <f>IF(+NFL!$F291="Denver",+NFL!#REF!,IF(+NFL!$H291="Denver",+NFL!#REF!,0))</f>
        <v>0</v>
      </c>
      <c r="BK188" s="120">
        <f>IF(+NFL!$F291="Denver",+NFL!#REF!,IF(+NFL!$H291="Denver",+NFL!#REF!,0))</f>
        <v>0</v>
      </c>
    </row>
    <row r="189" spans="1:63" x14ac:dyDescent="0.8">
      <c r="A189" s="46">
        <f>IF(+NFL!$F303="Denver",+NFL!A303,IF(+NFL!$H303="Denver",+NFL!A303,0))</f>
        <v>17</v>
      </c>
      <c r="B189" s="348" t="str">
        <f>IF(+NFL!$F303="Denver",+NFL!B303,IF(+NFL!$H303="Denver",+NFL!B303,0))</f>
        <v>Sun</v>
      </c>
      <c r="C189" s="48">
        <f>IF(+NFL!$F303="Denver",+NFL!C303,IF(+NFL!$H303="Denver",+NFL!C303,0))</f>
        <v>44927</v>
      </c>
      <c r="D189" s="490">
        <f>IF(+NFL!$F303="Denver",+NFL!D303,IF(+NFL!$H303="Denver",+NFL!D303,0))</f>
        <v>0.54166666666666663</v>
      </c>
      <c r="E189" s="46" t="str">
        <f>IF(+NFL!$F303="Denver",+NFL!E303,IF(+NFL!$H303="Denver",+NFL!E303,0))</f>
        <v>CBS</v>
      </c>
      <c r="F189" s="114" t="str">
        <f>IF(+NFL!$F303="Denver",+NFL!F303,IF(+NFL!$H303="Denver",+NFL!F303,0))</f>
        <v>Denver</v>
      </c>
      <c r="G189" s="46" t="str">
        <f>IF(+NFL!$F303="Denver",+NFL!G303,IF(+NFL!$H303="Denver",+NFL!G303,0))</f>
        <v>AFCW</v>
      </c>
      <c r="H189" s="114" t="str">
        <f>IF(+NFL!$F303="Denver",+NFL!H303,IF(+NFL!$H303="Denver",+NFL!H303,0))</f>
        <v>Kansas City</v>
      </c>
      <c r="I189" s="46" t="str">
        <f>IF(+NFL!$F303="Denver",+NFL!I303,IF(+NFL!$H303="Denver",+NFL!I303,0))</f>
        <v>AFCW</v>
      </c>
      <c r="J189" s="353" t="str">
        <f>IF(+NFL!$F303="Denver",+NFL!J303,IF(+NFL!$H303="Denver",+NFL!J303,0))</f>
        <v>Kansas City</v>
      </c>
      <c r="K189" s="494" t="str">
        <f>IF(+NFL!$F303="Denver",+NFL!K303,IF(+NFL!$H303="Denver",+NFL!K303,0))</f>
        <v>Denver</v>
      </c>
      <c r="L189" s="362">
        <f>IF(+NFL!$F303="Denver",+NFL!L303,IF(+NFL!$H303="Denver",+NFL!L303,0))</f>
        <v>12.5</v>
      </c>
      <c r="M189" s="386">
        <f>IF(+NFL!$F303="Denver",+NFL!M303,IF(+NFL!$H303="Denver",+NFL!M303,0))</f>
        <v>46.5</v>
      </c>
      <c r="N189" s="394" t="str">
        <f>IF(+NFL!$F303="Denver",+NFL!N303,IF(+NFL!$H303="Denver",+NFL!N303,0))</f>
        <v>Kansas City</v>
      </c>
      <c r="O189" s="395">
        <f>IF(+NFL!$F303="Denver",+NFL!O303,IF(+NFL!$H303="Denver",+NFL!O303,0))</f>
        <v>27</v>
      </c>
      <c r="P189" s="394" t="str">
        <f>IF(+NFL!$F303="Denver",+NFL!P303,IF(+NFL!$H303="Denver",+NFL!P303,0))</f>
        <v>Denver</v>
      </c>
      <c r="Q189" s="396">
        <f>IF(+NFL!$F303="Denver",+NFL!Q303,IF(+NFL!$H303="Denver",+NFL!Q303,0))</f>
        <v>24</v>
      </c>
      <c r="R189" s="397" t="str">
        <f>IF(+NFL!$F303="Denver",+NFL!R303,IF(+NFL!$H303="Denver",+NFL!R303,0))</f>
        <v>Denver</v>
      </c>
      <c r="S189" s="396" t="str">
        <f>IF(+NFL!$F303="Denver",+NFL!S303,IF(+NFL!$H303="Denver",+NFL!S303,0))</f>
        <v>Kansas City</v>
      </c>
      <c r="T189" s="397">
        <f>IF(+NFL!$F303="Denver",+NFL!T303,IF(+NFL!$H303="Denver",+NFL!T303,0))</f>
        <v>0</v>
      </c>
      <c r="U189" s="396" t="str">
        <f>IF(+NFL!$F303="Denver",+NFL!U303,IF(+NFL!$H303="Denver",+NFL!U303,0))</f>
        <v>L</v>
      </c>
      <c r="V189" s="397">
        <f>IF(+NFL!$F305="Denver",+NFL!#REF!,IF(+NFL!$H305="Denver",+NFL!#REF!,0))</f>
        <v>0</v>
      </c>
      <c r="W189" s="396">
        <f>IF(+NFL!$F305="Denver",+NFL!#REF!,IF(+NFL!$H305="Denver",+NFL!#REF!,0))</f>
        <v>0</v>
      </c>
      <c r="X189" s="397">
        <f>IF(+NFL!$F305="Denver",+NFL!#REF!,IF(+NFL!$H305="Denver",+NFL!#REF!,0))</f>
        <v>0</v>
      </c>
      <c r="Y189" s="396">
        <f>IF(+NFL!$F305="Denver",+NFL!#REF!,IF(+NFL!$H305="Denver",+NFL!#REF!,0))</f>
        <v>0</v>
      </c>
      <c r="Z189" s="397">
        <f>IF(+NFL!$F305="Denver",+NFL!#REF!,IF(+NFL!$H305="Denver",+NFL!#REF!,0))</f>
        <v>0</v>
      </c>
      <c r="AA189" s="396">
        <f>IF(+NFL!$F305="Denver",+NFL!#REF!,IF(+NFL!$H305="Denver",+NFL!#REF!,0))</f>
        <v>0</v>
      </c>
      <c r="AB189" s="87">
        <f>IF(+NFL!$F305="Denver",+NFL!#REF!,IF(+NFL!$H305="Denver",+NFL!#REF!,0))</f>
        <v>0</v>
      </c>
      <c r="AC189" s="120">
        <f>IF(+NFL!$F305="Denver",+NFL!#REF!,IF(+NFL!$H305="Denver",+NFL!#REF!,0))</f>
        <v>0</v>
      </c>
      <c r="AD189" s="353">
        <f>IF(+NFL!$F305="Denver",+NFL!#REF!,IF(+NFL!$H305="Denver",+NFL!#REF!,0))</f>
        <v>0</v>
      </c>
      <c r="AE189" s="379">
        <f>IF(+NFL!$F305="Denver",+NFL!#REF!,IF(+NFL!$H305="Denver",+NFL!#REF!,0))</f>
        <v>0</v>
      </c>
      <c r="AF189" s="353">
        <f>IF(+NFL!$F305="Denver",+NFL!#REF!,IF(+NFL!$H305="Denver",+NFL!#REF!,0))</f>
        <v>0</v>
      </c>
      <c r="AG189" s="379">
        <f>IF(+NFL!$F305="Denver",+NFL!#REF!,IF(+NFL!$H305="Denver",+NFL!#REF!,0))</f>
        <v>0</v>
      </c>
      <c r="AH189" s="353">
        <f>IF(+NFL!$F305="Denver",+NFL!#REF!,IF(+NFL!$H305="Denver",+NFL!#REF!,0))</f>
        <v>0</v>
      </c>
      <c r="AI189" s="379">
        <f>IF(+NFL!$F305="Denver",+NFL!#REF!,IF(+NFL!$H305="Denver",+NFL!#REF!,0))</f>
        <v>0</v>
      </c>
      <c r="AJ189" s="353">
        <f>IF(+NFL!$F305="Denver",+NFL!#REF!,IF(+NFL!$H305="Denver",+NFL!#REF!,0))</f>
        <v>0</v>
      </c>
      <c r="AK189" s="379">
        <f>IF(+NFL!$F305="Denver",+NFL!#REF!,IF(+NFL!$H305="Denver",+NFL!#REF!,0))</f>
        <v>0</v>
      </c>
      <c r="AL189" s="57">
        <f>IF(+NFL!$F305="Denver",+NFL!#REF!,IF(+NFL!$H305="Denver",+NFL!#REF!,0))</f>
        <v>0</v>
      </c>
      <c r="AM189" s="64">
        <f>IF(+NFL!$F305="Denver",+NFL!#REF!,IF(+NFL!$H305="Denver",+NFL!#REF!,0))</f>
        <v>0</v>
      </c>
      <c r="AN189" s="57">
        <f>IF(+NFL!$F305="Denver",+NFL!#REF!,IF(+NFL!$H305="Denver",+NFL!#REF!,0))</f>
        <v>0</v>
      </c>
      <c r="AO189" s="46">
        <f>IF(+NFL!$F305="Denver",+NFL!#REF!,IF(+NFL!$H305="Denver",+NFL!#REF!,0))</f>
        <v>0</v>
      </c>
      <c r="AP189" s="348">
        <f>IF(+NFL!$F305="Denver",+NFL!#REF!,IF(+NFL!$H305="Denver",+NFL!#REF!,0))</f>
        <v>0</v>
      </c>
      <c r="AQ189" s="48">
        <f>IF(+NFL!$F305="Denver",+NFL!#REF!,IF(+NFL!$H305="Denver",+NFL!#REF!,0))</f>
        <v>0</v>
      </c>
      <c r="AR189" s="57">
        <f>IF(+NFL!$F305="Denver",+NFL!#REF!,IF(+NFL!$H305="Denver",+NFL!#REF!,0))</f>
        <v>0</v>
      </c>
      <c r="AS189" s="64">
        <f>IF(+NFL!$F305="Denver",+NFL!#REF!,IF(+NFL!$H305="Denver",+NFL!#REF!,0))</f>
        <v>0</v>
      </c>
      <c r="AT189" s="64">
        <f>IF(+NFL!$F305="Denver",+NFL!#REF!,IF(+NFL!$H305="Denver",+NFL!#REF!,0))</f>
        <v>0</v>
      </c>
      <c r="AU189" s="57">
        <f>IF(+NFL!$F305="Denver",+NFL!#REF!,IF(+NFL!$H305="Denver",+NFL!#REF!,0))</f>
        <v>0</v>
      </c>
      <c r="AV189" s="64">
        <f>IF(+NFL!$F305="Denver",+NFL!#REF!,IF(+NFL!$H305="Denver",+NFL!#REF!,0))</f>
        <v>0</v>
      </c>
      <c r="AW189" s="46">
        <f>IF(+NFL!$F305="Denver",+NFL!#REF!,IF(+NFL!$H305="Denver",+NFL!#REF!,0))</f>
        <v>0</v>
      </c>
      <c r="AX189" s="64">
        <f>IF(+NFL!$F305="Denver",+NFL!#REF!,IF(+NFL!$H305="Denver",+NFL!#REF!,0))</f>
        <v>0</v>
      </c>
      <c r="AY189" s="57">
        <f>IF(+NFL!$F305="Denver",+NFL!#REF!,IF(+NFL!$H305="Denver",+NFL!#REF!,0))</f>
        <v>0</v>
      </c>
      <c r="AZ189" s="64">
        <f>IF(+NFL!$F305="Denver",+NFL!#REF!,IF(+NFL!$H305="Denver",+NFL!#REF!,0))</f>
        <v>0</v>
      </c>
      <c r="BA189" s="46">
        <f>IF(+NFL!$F305="Denver",+NFL!#REF!,IF(+NFL!$H305="Denver",+NFL!#REF!,0))</f>
        <v>0</v>
      </c>
      <c r="BB189" s="46">
        <f>IF(+NFL!$F305="Denver",+NFL!#REF!,IF(+NFL!$H305="Denver",+NFL!#REF!,0))</f>
        <v>0</v>
      </c>
      <c r="BC189" s="403">
        <f>IF(+NFL!$F305="Denver",+NFL!#REF!,IF(+NFL!$H305="Denver",+NFL!#REF!,0))</f>
        <v>0</v>
      </c>
      <c r="BD189" s="57">
        <f>IF(+NFL!$F305="Denver",+NFL!#REF!,IF(+NFL!$H305="Denver",+NFL!#REF!,0))</f>
        <v>0</v>
      </c>
      <c r="BE189" s="64">
        <f>IF(+NFL!$F305="Denver",+NFL!#REF!,IF(+NFL!$H305="Denver",+NFL!#REF!,0))</f>
        <v>0</v>
      </c>
      <c r="BF189" s="46">
        <f>IF(+NFL!$F305="Denver",+NFL!#REF!,IF(+NFL!$H305="Denver",+NFL!#REF!,0))</f>
        <v>0</v>
      </c>
      <c r="BG189" s="57">
        <f>IF(+NFL!$F305="Denver",+NFL!#REF!,IF(+NFL!$H305="Denver",+NFL!#REF!,0))</f>
        <v>0</v>
      </c>
      <c r="BH189" s="64">
        <f>IF(+NFL!$F305="Denver",+NFL!#REF!,IF(+NFL!$H305="Denver",+NFL!#REF!,0))</f>
        <v>0</v>
      </c>
      <c r="BI189" s="46">
        <f>IF(+NFL!$F305="Denver",+NFL!#REF!,IF(+NFL!$H305="Denver",+NFL!#REF!,0))</f>
        <v>0</v>
      </c>
      <c r="BJ189" s="87">
        <f>IF(+NFL!$F305="Denver",+NFL!#REF!,IF(+NFL!$H305="Denver",+NFL!#REF!,0))</f>
        <v>0</v>
      </c>
      <c r="BK189" s="120">
        <f>IF(+NFL!$F305="Denver",+NFL!#REF!,IF(+NFL!$H305="Denver",+NFL!#REF!,0))</f>
        <v>0</v>
      </c>
    </row>
    <row r="190" spans="1:63" x14ac:dyDescent="0.8">
      <c r="A190" s="46">
        <f>IF(+NFL!$F320="Denver",+NFL!A320,IF(+NFL!$H320="Denver",+NFL!A320,0))</f>
        <v>0</v>
      </c>
      <c r="B190" s="348">
        <f>IF(+NFL!$F320="Denver",+NFL!B320,IF(+NFL!$H320="Denver",+NFL!B320,0))</f>
        <v>0</v>
      </c>
      <c r="C190" s="48">
        <f>IF(+NFL!$F320="Denver",+NFL!C320,IF(+NFL!$H320="Denver",+NFL!C320,0))</f>
        <v>0</v>
      </c>
      <c r="D190" s="490">
        <f>IF(+NFL!$F320="Denver",+NFL!D320,IF(+NFL!$H320="Denver",+NFL!D320,0))</f>
        <v>0</v>
      </c>
      <c r="E190" s="46">
        <f>IF(+NFL!$F320="Denver",+NFL!E320,IF(+NFL!$H320="Denver",+NFL!E320,0))</f>
        <v>0</v>
      </c>
      <c r="F190" s="114">
        <f>IF(+NFL!$F320="Denver",+NFL!F320,IF(+NFL!$H320="Denver",+NFL!F320,0))</f>
        <v>0</v>
      </c>
      <c r="G190" s="46">
        <f>IF(+NFL!$F320="Denver",+NFL!G320,IF(+NFL!$H320="Denver",+NFL!G320,0))</f>
        <v>0</v>
      </c>
      <c r="H190" s="114">
        <f>IF(+NFL!$F320="Denver",+NFL!H320,IF(+NFL!$H320="Denver",+NFL!H320,0))</f>
        <v>0</v>
      </c>
      <c r="I190" s="46">
        <f>IF(+NFL!$F320="Denver",+NFL!I320,IF(+NFL!$H320="Denver",+NFL!I320,0))</f>
        <v>0</v>
      </c>
      <c r="J190" s="353">
        <f>IF(+NFL!$F320="Denver",+NFL!J320,IF(+NFL!$H320="Denver",+NFL!J320,0))</f>
        <v>0</v>
      </c>
      <c r="K190" s="494">
        <f>IF(+NFL!$F320="Denver",+NFL!K320,IF(+NFL!$H320="Denver",+NFL!K320,0))</f>
        <v>0</v>
      </c>
      <c r="L190" s="362">
        <f>IF(+NFL!$F320="Denver",+NFL!L320,IF(+NFL!$H320="Denver",+NFL!L320,0))</f>
        <v>0</v>
      </c>
      <c r="M190" s="386">
        <f>IF(+NFL!$F320="Denver",+NFL!M320,IF(+NFL!$H320="Denver",+NFL!M320,0))</f>
        <v>0</v>
      </c>
      <c r="N190" s="394">
        <f>IF(+NFL!$F320="Denver",+NFL!N320,IF(+NFL!$H320="Denver",+NFL!N320,0))</f>
        <v>0</v>
      </c>
      <c r="O190" s="395">
        <f>IF(+NFL!$F320="Denver",+NFL!O320,IF(+NFL!$H320="Denver",+NFL!O320,0))</f>
        <v>0</v>
      </c>
      <c r="P190" s="394">
        <f>IF(+NFL!$F320="Denver",+NFL!P320,IF(+NFL!$H320="Denver",+NFL!P320,0))</f>
        <v>0</v>
      </c>
      <c r="Q190" s="396">
        <f>IF(+NFL!$F320="Denver",+NFL!Q320,IF(+NFL!$H320="Denver",+NFL!Q320,0))</f>
        <v>0</v>
      </c>
      <c r="R190" s="397">
        <f>IF(+NFL!$F320="Denver",+NFL!R320,IF(+NFL!$H320="Denver",+NFL!R320,0))</f>
        <v>0</v>
      </c>
      <c r="S190" s="396">
        <f>IF(+NFL!$F320="Denver",+NFL!S320,IF(+NFL!$H320="Denver",+NFL!S320,0))</f>
        <v>0</v>
      </c>
      <c r="T190" s="397">
        <f>IF(+NFL!$F320="Denver",+NFL!T320,IF(+NFL!$H320="Denver",+NFL!T320,0))</f>
        <v>0</v>
      </c>
      <c r="U190" s="396">
        <f>IF(+NFL!$F320="Denver",+NFL!U320,IF(+NFL!$H320="Denver",+NFL!U320,0))</f>
        <v>0</v>
      </c>
      <c r="V190" s="397">
        <f>IF(+NFL!$F327="Denver",+NFL!#REF!,IF(+NFL!$H327="Denver",+NFL!#REF!,0))</f>
        <v>0</v>
      </c>
      <c r="W190" s="396">
        <f>IF(+NFL!$F327="Denver",+NFL!#REF!,IF(+NFL!$H327="Denver",+NFL!#REF!,0))</f>
        <v>0</v>
      </c>
      <c r="X190" s="397">
        <f>IF(+NFL!$F327="Denver",+NFL!#REF!,IF(+NFL!$H327="Denver",+NFL!#REF!,0))</f>
        <v>0</v>
      </c>
      <c r="Y190" s="396">
        <f>IF(+NFL!$F327="Denver",+NFL!#REF!,IF(+NFL!$H327="Denver",+NFL!#REF!,0))</f>
        <v>0</v>
      </c>
      <c r="Z190" s="397">
        <f>IF(+NFL!$F327="Denver",+NFL!#REF!,IF(+NFL!$H327="Denver",+NFL!#REF!,0))</f>
        <v>0</v>
      </c>
      <c r="AA190" s="396">
        <f>IF(+NFL!$F327="Denver",+NFL!#REF!,IF(+NFL!$H327="Denver",+NFL!#REF!,0))</f>
        <v>0</v>
      </c>
      <c r="AB190" s="87">
        <f>IF(+NFL!$F327="Denver",+NFL!#REF!,IF(+NFL!$H327="Denver",+NFL!#REF!,0))</f>
        <v>0</v>
      </c>
      <c r="AC190" s="120">
        <f>IF(+NFL!$F327="Denver",+NFL!#REF!,IF(+NFL!$H327="Denver",+NFL!#REF!,0))</f>
        <v>0</v>
      </c>
      <c r="AD190" s="353">
        <f>IF(+NFL!$F327="Denver",+NFL!#REF!,IF(+NFL!$H327="Denver",+NFL!#REF!,0))</f>
        <v>0</v>
      </c>
      <c r="AE190" s="379">
        <f>IF(+NFL!$F327="Denver",+NFL!#REF!,IF(+NFL!$H327="Denver",+NFL!#REF!,0))</f>
        <v>0</v>
      </c>
      <c r="AF190" s="353">
        <f>IF(+NFL!$F327="Denver",+NFL!#REF!,IF(+NFL!$H327="Denver",+NFL!#REF!,0))</f>
        <v>0</v>
      </c>
      <c r="AG190" s="379">
        <f>IF(+NFL!$F327="Denver",+NFL!#REF!,IF(+NFL!$H327="Denver",+NFL!#REF!,0))</f>
        <v>0</v>
      </c>
      <c r="AH190" s="353">
        <f>IF(+NFL!$F327="Denver",+NFL!#REF!,IF(+NFL!$H327="Denver",+NFL!#REF!,0))</f>
        <v>0</v>
      </c>
      <c r="AI190" s="379">
        <f>IF(+NFL!$F327="Denver",+NFL!#REF!,IF(+NFL!$H327="Denver",+NFL!#REF!,0))</f>
        <v>0</v>
      </c>
      <c r="AJ190" s="353">
        <f>IF(+NFL!$F327="Denver",+NFL!#REF!,IF(+NFL!$H327="Denver",+NFL!#REF!,0))</f>
        <v>0</v>
      </c>
      <c r="AK190" s="379">
        <f>IF(+NFL!$F327="Denver",+NFL!#REF!,IF(+NFL!$H327="Denver",+NFL!#REF!,0))</f>
        <v>0</v>
      </c>
      <c r="AL190" s="57">
        <f>IF(+NFL!$F327="Denver",+NFL!#REF!,IF(+NFL!$H327="Denver",+NFL!#REF!,0))</f>
        <v>0</v>
      </c>
      <c r="AM190" s="64">
        <f>IF(+NFL!$F327="Denver",+NFL!#REF!,IF(+NFL!$H327="Denver",+NFL!#REF!,0))</f>
        <v>0</v>
      </c>
      <c r="AN190" s="57">
        <f>IF(+NFL!$F327="Denver",+NFL!#REF!,IF(+NFL!$H327="Denver",+NFL!#REF!,0))</f>
        <v>0</v>
      </c>
      <c r="AO190" s="46">
        <f>IF(+NFL!$F327="Denver",+NFL!#REF!,IF(+NFL!$H327="Denver",+NFL!#REF!,0))</f>
        <v>0</v>
      </c>
      <c r="AP190" s="348">
        <f>IF(+NFL!$F327="Denver",+NFL!#REF!,IF(+NFL!$H327="Denver",+NFL!#REF!,0))</f>
        <v>0</v>
      </c>
      <c r="AQ190" s="48">
        <f>IF(+NFL!$F327="Denver",+NFL!#REF!,IF(+NFL!$H327="Denver",+NFL!#REF!,0))</f>
        <v>0</v>
      </c>
      <c r="AR190" s="57">
        <f>IF(+NFL!$F327="Denver",+NFL!#REF!,IF(+NFL!$H327="Denver",+NFL!#REF!,0))</f>
        <v>0</v>
      </c>
      <c r="AS190" s="64">
        <f>IF(+NFL!$F327="Denver",+NFL!#REF!,IF(+NFL!$H327="Denver",+NFL!#REF!,0))</f>
        <v>0</v>
      </c>
      <c r="AT190" s="64">
        <f>IF(+NFL!$F327="Denver",+NFL!#REF!,IF(+NFL!$H327="Denver",+NFL!#REF!,0))</f>
        <v>0</v>
      </c>
      <c r="AU190" s="57">
        <f>IF(+NFL!$F327="Denver",+NFL!#REF!,IF(+NFL!$H327="Denver",+NFL!#REF!,0))</f>
        <v>0</v>
      </c>
      <c r="AV190" s="64">
        <f>IF(+NFL!$F327="Denver",+NFL!#REF!,IF(+NFL!$H327="Denver",+NFL!#REF!,0))</f>
        <v>0</v>
      </c>
      <c r="AW190" s="46">
        <f>IF(+NFL!$F327="Denver",+NFL!#REF!,IF(+NFL!$H327="Denver",+NFL!#REF!,0))</f>
        <v>0</v>
      </c>
      <c r="AX190" s="64">
        <f>IF(+NFL!$F327="Denver",+NFL!#REF!,IF(+NFL!$H327="Denver",+NFL!#REF!,0))</f>
        <v>0</v>
      </c>
      <c r="AY190" s="57">
        <f>IF(+NFL!$F327="Denver",+NFL!#REF!,IF(+NFL!$H327="Denver",+NFL!#REF!,0))</f>
        <v>0</v>
      </c>
      <c r="AZ190" s="64">
        <f>IF(+NFL!$F327="Denver",+NFL!#REF!,IF(+NFL!$H327="Denver",+NFL!#REF!,0))</f>
        <v>0</v>
      </c>
      <c r="BA190" s="46">
        <f>IF(+NFL!$F327="Denver",+NFL!#REF!,IF(+NFL!$H327="Denver",+NFL!#REF!,0))</f>
        <v>0</v>
      </c>
      <c r="BB190" s="46">
        <f>IF(+NFL!$F327="Denver",+NFL!#REF!,IF(+NFL!$H327="Denver",+NFL!#REF!,0))</f>
        <v>0</v>
      </c>
      <c r="BC190" s="403">
        <f>IF(+NFL!$F327="Denver",+NFL!#REF!,IF(+NFL!$H327="Denver",+NFL!#REF!,0))</f>
        <v>0</v>
      </c>
      <c r="BD190" s="57">
        <f>IF(+NFL!$F327="Denver",+NFL!#REF!,IF(+NFL!$H327="Denver",+NFL!#REF!,0))</f>
        <v>0</v>
      </c>
      <c r="BE190" s="64">
        <f>IF(+NFL!$F327="Denver",+NFL!#REF!,IF(+NFL!$H327="Denver",+NFL!#REF!,0))</f>
        <v>0</v>
      </c>
      <c r="BF190" s="46">
        <f>IF(+NFL!$F327="Denver",+NFL!#REF!,IF(+NFL!$H327="Denver",+NFL!#REF!,0))</f>
        <v>0</v>
      </c>
      <c r="BG190" s="57">
        <f>IF(+NFL!$F327="Denver",+NFL!#REF!,IF(+NFL!$H327="Denver",+NFL!#REF!,0))</f>
        <v>0</v>
      </c>
      <c r="BH190" s="64">
        <f>IF(+NFL!$F327="Denver",+NFL!#REF!,IF(+NFL!$H327="Denver",+NFL!#REF!,0))</f>
        <v>0</v>
      </c>
      <c r="BI190" s="46">
        <f>IF(+NFL!$F327="Denver",+NFL!#REF!,IF(+NFL!$H327="Denver",+NFL!#REF!,0))</f>
        <v>0</v>
      </c>
      <c r="BJ190" s="87">
        <f>IF(+NFL!$F327="Denver",+NFL!#REF!,IF(+NFL!$H327="Denver",+NFL!#REF!,0))</f>
        <v>0</v>
      </c>
      <c r="BK190" s="120">
        <f>IF(+NFL!$F327="Denver",+NFL!#REF!,IF(+NFL!$H327="Denver",+NFL!#REF!,0))</f>
        <v>0</v>
      </c>
    </row>
    <row r="191" spans="1:63" x14ac:dyDescent="0.8">
      <c r="F191" s="959" t="str">
        <f>H192</f>
        <v>Detroit</v>
      </c>
      <c r="G191" s="960"/>
      <c r="H191" s="960"/>
      <c r="I191" s="961"/>
      <c r="N191" s="394"/>
      <c r="P191" s="394"/>
      <c r="R191" s="397"/>
      <c r="S191" s="396"/>
      <c r="AN191" s="70"/>
      <c r="AY191" s="57"/>
      <c r="AZ191" s="64"/>
      <c r="BA191" s="46"/>
      <c r="BB191" s="46"/>
      <c r="BF191" s="46"/>
    </row>
    <row r="192" spans="1:63" x14ac:dyDescent="0.8">
      <c r="A192" s="46">
        <f>IF(+NFL!$F8="Detroit",+NFL!A8,IF(+NFL!$H8="Detroit",+NFL!A8,0))</f>
        <v>1</v>
      </c>
      <c r="B192" s="348" t="str">
        <f>IF(+NFL!$F8="Detroit",+NFL!B8,IF(+NFL!$H8="Detroit",+NFL!B8,0))</f>
        <v>Sun</v>
      </c>
      <c r="C192" s="48">
        <f>IF(+NFL!$F8="Detroit",+NFL!C8,IF(+NFL!$H8="Detroit",+NFL!C8,0))</f>
        <v>44815</v>
      </c>
      <c r="D192" s="490">
        <f>IF(+NFL!$F8="Detroit",+NFL!D8,IF(+NFL!$H8="Detroit",+NFL!D8,0))</f>
        <v>0.54166666666666663</v>
      </c>
      <c r="E192" s="46" t="str">
        <f>IF(+NFL!$F8="Detroit",+NFL!E8,IF(+NFL!$H8="Detroit",+NFL!E8,0))</f>
        <v>Fox</v>
      </c>
      <c r="F192" s="114" t="str">
        <f>IF(+NFL!$F8="Detroit",+NFL!F8,IF(+NFL!$H8="Detroit",+NFL!F8,0))</f>
        <v>Philadelphia</v>
      </c>
      <c r="G192" s="46" t="str">
        <f>IF(+NFL!$F8="Detroit",+NFL!G8,IF(+NFL!$H8="Detroit",+NFL!G8,0))</f>
        <v>NFCE</v>
      </c>
      <c r="H192" s="114" t="str">
        <f>IF(+NFL!$F8="Detroit",+NFL!H8,IF(+NFL!$H8="Detroit",+NFL!H8,0))</f>
        <v>Detroit</v>
      </c>
      <c r="I192" s="46" t="str">
        <f>IF(+NFL!$F8="Detroit",+NFL!I8,IF(+NFL!$H8="Detroit",+NFL!I8,0))</f>
        <v>NFCN</v>
      </c>
      <c r="J192" s="353" t="str">
        <f>IF(+NFL!$F8="Detroit",+NFL!J8,IF(+NFL!$H8="Detroit",+NFL!J8,0))</f>
        <v>Philadelphia</v>
      </c>
      <c r="K192" s="494" t="str">
        <f>IF(+NFL!$F8="Detroit",+NFL!K8,IF(+NFL!$H8="Detroit",+NFL!K8,0))</f>
        <v>Detroit</v>
      </c>
      <c r="L192" s="362">
        <f>IF(+NFL!$F8="Detroit",+NFL!L8,IF(+NFL!$H8="Detroit",+NFL!L8,0))</f>
        <v>4</v>
      </c>
      <c r="M192" s="386">
        <f>IF(+NFL!$F8="Detroit",+NFL!M8,IF(+NFL!$H8="Detroit",+NFL!M8,0))</f>
        <v>49</v>
      </c>
      <c r="N192" s="394" t="str">
        <f>IF(+NFL!$F8="Detroit",+NFL!N8,IF(+NFL!$H8="Detroit",+NFL!N8,0))</f>
        <v>Philadelphia</v>
      </c>
      <c r="O192" s="395">
        <f>IF(+NFL!$F8="Detroit",+NFL!O8,IF(+NFL!$H8="Detroit",+NFL!O8,0))</f>
        <v>38</v>
      </c>
      <c r="P192" s="394" t="str">
        <f>IF(+NFL!$F8="Detroit",+NFL!P8,IF(+NFL!$H8="Detroit",+NFL!P8,0))</f>
        <v>Detroit</v>
      </c>
      <c r="Q192" s="396">
        <f>IF(+NFL!$F8="Detroit",+NFL!Q8,IF(+NFL!$H8="Detroit",+NFL!Q8,0))</f>
        <v>35</v>
      </c>
      <c r="R192" s="397" t="str">
        <f>IF(+NFL!$F8="Detroit",+NFL!R8,IF(+NFL!$H8="Detroit",+NFL!R8,0))</f>
        <v>Detroit</v>
      </c>
      <c r="S192" s="396" t="str">
        <f>IF(+NFL!$F8="Detroit",+NFL!S8,IF(+NFL!$H8="Detroit",+NFL!S8,0))</f>
        <v>Philadelphia</v>
      </c>
      <c r="T192" s="397" t="str">
        <f>IF(+NFL!$F8="Detroit",+NFL!T8,IF(+NFL!$H8="Detroit",+NFL!T8,0))</f>
        <v>Detroit</v>
      </c>
      <c r="U192" s="396" t="str">
        <f>IF(+NFL!$F8="Detroit",+NFL!U8,IF(+NFL!$H8="Detroit",+NFL!U8,0))</f>
        <v>W</v>
      </c>
      <c r="AP192" s="348"/>
      <c r="AQ192" s="48"/>
      <c r="AS192" s="493"/>
      <c r="AT192" s="493"/>
      <c r="AV192" s="493"/>
      <c r="AX192" s="493"/>
      <c r="AY192" s="57"/>
      <c r="AZ192" s="493"/>
      <c r="BA192" s="46"/>
      <c r="BB192" s="46"/>
      <c r="BC192" s="403"/>
      <c r="BE192" s="493"/>
      <c r="BF192" s="46"/>
      <c r="BH192" s="493"/>
    </row>
    <row r="193" spans="1:63" x14ac:dyDescent="0.8">
      <c r="A193" s="46">
        <f>IF(+NFL!$F23="Detroit",+NFL!A23,IF(+NFL!$H23="Detroit",+NFL!A23,0))</f>
        <v>2</v>
      </c>
      <c r="B193" s="348" t="str">
        <f>IF(+NFL!$F23="Detroit",+NFL!B23,IF(+NFL!$H23="Detroit",+NFL!B23,0))</f>
        <v>Sun</v>
      </c>
      <c r="C193" s="48">
        <f>IF(+NFL!$F23="Detroit",+NFL!C23,IF(+NFL!$H23="Detroit",+NFL!C23,0))</f>
        <v>44822</v>
      </c>
      <c r="D193" s="490">
        <f>IF(+NFL!$F23="Detroit",+NFL!D23,IF(+NFL!$H23="Detroit",+NFL!D23,0))</f>
        <v>0.54166666666666663</v>
      </c>
      <c r="E193" s="46" t="str">
        <f>IF(+NFL!$F23="Detroit",+NFL!E23,IF(+NFL!$H23="Detroit",+NFL!E23,0))</f>
        <v>Fox</v>
      </c>
      <c r="F193" s="114" t="str">
        <f>IF(+NFL!$F23="Detroit",+NFL!F23,IF(+NFL!$H23="Detroit",+NFL!F23,0))</f>
        <v>Washington</v>
      </c>
      <c r="G193" s="46" t="str">
        <f>IF(+NFL!$F23="Detroit",+NFL!G23,IF(+NFL!$H23="Detroit",+NFL!G23,0))</f>
        <v>NFCE</v>
      </c>
      <c r="H193" s="114" t="str">
        <f>IF(+NFL!$F23="Detroit",+NFL!H23,IF(+NFL!$H23="Detroit",+NFL!H23,0))</f>
        <v>Detroit</v>
      </c>
      <c r="I193" s="46" t="str">
        <f>IF(+NFL!$F23="Detroit",+NFL!I23,IF(+NFL!$H23="Detroit",+NFL!I23,0))</f>
        <v>NFCN</v>
      </c>
      <c r="J193" s="353" t="str">
        <f>IF(+NFL!$F23="Detroit",+NFL!J23,IF(+NFL!$H23="Detroit",+NFL!J23,0))</f>
        <v>Detroit</v>
      </c>
      <c r="K193" s="494" t="str">
        <f>IF(+NFL!$F23="Detroit",+NFL!K23,IF(+NFL!$H23="Detroit",+NFL!K23,0))</f>
        <v>Washington</v>
      </c>
      <c r="L193" s="362">
        <f>IF(+NFL!$F23="Detroit",+NFL!L23,IF(+NFL!$H23="Detroit",+NFL!L23,0))</f>
        <v>2.5</v>
      </c>
      <c r="M193" s="386">
        <f>IF(+NFL!$F23="Detroit",+NFL!M23,IF(+NFL!$H23="Detroit",+NFL!M23,0))</f>
        <v>49.5</v>
      </c>
      <c r="N193" s="394" t="str">
        <f>IF(+NFL!$F23="Detroit",+NFL!N23,IF(+NFL!$H23="Detroit",+NFL!N23,0))</f>
        <v>Detroit</v>
      </c>
      <c r="O193" s="395">
        <f>IF(+NFL!$F23="Detroit",+NFL!O23,IF(+NFL!$H23="Detroit",+NFL!O23,0))</f>
        <v>36</v>
      </c>
      <c r="P193" s="394" t="str">
        <f>IF(+NFL!$F23="Detroit",+NFL!P23,IF(+NFL!$H23="Detroit",+NFL!P23,0))</f>
        <v>Washington</v>
      </c>
      <c r="Q193" s="396">
        <f>IF(+NFL!$F23="Detroit",+NFL!Q23,IF(+NFL!$H23="Detroit",+NFL!Q23,0))</f>
        <v>27</v>
      </c>
      <c r="R193" s="397" t="str">
        <f>IF(+NFL!$F23="Detroit",+NFL!R23,IF(+NFL!$H23="Detroit",+NFL!R23,0))</f>
        <v>Detroit</v>
      </c>
      <c r="S193" s="396" t="str">
        <f>IF(+NFL!$F23="Detroit",+NFL!S23,IF(+NFL!$H23="Detroit",+NFL!S23,0))</f>
        <v>Washington</v>
      </c>
      <c r="T193" s="397" t="str">
        <f>IF(+NFL!$F23="Detroit",+NFL!T23,IF(+NFL!$H23="Detroit",+NFL!T23,0))</f>
        <v>Washington</v>
      </c>
      <c r="U193" s="396" t="str">
        <f>IF(+NFL!$F23="Detroit",+NFL!U23,IF(+NFL!$H23="Detroit",+NFL!U23,0))</f>
        <v>L</v>
      </c>
      <c r="AP193" s="348"/>
      <c r="AQ193" s="48"/>
      <c r="AS193" s="493"/>
      <c r="AT193" s="493"/>
      <c r="AV193" s="493"/>
      <c r="AX193" s="493"/>
      <c r="AY193" s="57"/>
      <c r="AZ193" s="493"/>
      <c r="BA193" s="46"/>
      <c r="BB193" s="46"/>
      <c r="BC193" s="403"/>
      <c r="BE193" s="493"/>
      <c r="BF193" s="46"/>
      <c r="BH193" s="493"/>
    </row>
    <row r="194" spans="1:63" x14ac:dyDescent="0.8">
      <c r="A194" s="46">
        <f>IF(+NFL!$F43="Detroit",+NFL!A43,IF(+NFL!$H43="Detroit",+NFL!A43,0))</f>
        <v>3</v>
      </c>
      <c r="B194" s="348" t="str">
        <f>IF(+NFL!$F43="Detroit",+NFL!B43,IF(+NFL!$H43="Detroit",+NFL!B43,0))</f>
        <v>Sun</v>
      </c>
      <c r="C194" s="48">
        <f>IF(+NFL!$F43="Detroit",+NFL!C43,IF(+NFL!$H43="Detroit",+NFL!C43,0))</f>
        <v>44829</v>
      </c>
      <c r="D194" s="490">
        <f>IF(+NFL!$F43="Detroit",+NFL!D43,IF(+NFL!$H43="Detroit",+NFL!D43,0))</f>
        <v>0.54166666666666663</v>
      </c>
      <c r="E194" s="46" t="str">
        <f>IF(+NFL!$F43="Detroit",+NFL!E43,IF(+NFL!$H43="Detroit",+NFL!E43,0))</f>
        <v>Fox</v>
      </c>
      <c r="F194" s="114" t="str">
        <f>IF(+NFL!$F43="Detroit",+NFL!F43,IF(+NFL!$H43="Detroit",+NFL!F43,0))</f>
        <v>Detroit</v>
      </c>
      <c r="G194" s="46" t="str">
        <f>IF(+NFL!$F43="Detroit",+NFL!G43,IF(+NFL!$H43="Detroit",+NFL!G43,0))</f>
        <v>NFCN</v>
      </c>
      <c r="H194" s="114" t="str">
        <f>IF(+NFL!$F43="Detroit",+NFL!H43,IF(+NFL!$H43="Detroit",+NFL!H43,0))</f>
        <v>Minnesota</v>
      </c>
      <c r="I194" s="46" t="str">
        <f>IF(+NFL!$F43="Detroit",+NFL!I43,IF(+NFL!$H43="Detroit",+NFL!I43,0))</f>
        <v>NFCN</v>
      </c>
      <c r="J194" s="353" t="str">
        <f>IF(+NFL!$F43="Detroit",+NFL!J43,IF(+NFL!$H43="Detroit",+NFL!J43,0))</f>
        <v>Minnesota</v>
      </c>
      <c r="K194" s="494" t="str">
        <f>IF(+NFL!$F43="Detroit",+NFL!K43,IF(+NFL!$H43="Detroit",+NFL!K43,0))</f>
        <v>Detroit</v>
      </c>
      <c r="L194" s="362">
        <f>IF(+NFL!$F43="Detroit",+NFL!L43,IF(+NFL!$H43="Detroit",+NFL!L43,0))</f>
        <v>6</v>
      </c>
      <c r="M194" s="386">
        <f>IF(+NFL!$F43="Detroit",+NFL!M43,IF(+NFL!$H43="Detroit",+NFL!M43,0))</f>
        <v>53</v>
      </c>
      <c r="N194" s="394" t="str">
        <f>IF(+NFL!$F43="Detroit",+NFL!N43,IF(+NFL!$H43="Detroit",+NFL!N43,0))</f>
        <v>Minnesota</v>
      </c>
      <c r="O194" s="395">
        <f>IF(+NFL!$F43="Detroit",+NFL!O43,IF(+NFL!$H43="Detroit",+NFL!O43,0))</f>
        <v>28</v>
      </c>
      <c r="P194" s="394" t="str">
        <f>IF(+NFL!$F43="Detroit",+NFL!P43,IF(+NFL!$H43="Detroit",+NFL!P43,0))</f>
        <v>Detroit</v>
      </c>
      <c r="Q194" s="396">
        <f>IF(+NFL!$F43="Detroit",+NFL!Q43,IF(+NFL!$H43="Detroit",+NFL!Q43,0))</f>
        <v>24</v>
      </c>
      <c r="R194" s="397" t="str">
        <f>IF(+NFL!$F43="Detroit",+NFL!R43,IF(+NFL!$H43="Detroit",+NFL!R43,0))</f>
        <v>Detroit</v>
      </c>
      <c r="S194" s="396" t="str">
        <f>IF(+NFL!$F43="Detroit",+NFL!S43,IF(+NFL!$H43="Detroit",+NFL!S43,0))</f>
        <v>Minnesota</v>
      </c>
      <c r="T194" s="397" t="str">
        <f>IF(+NFL!$F43="Detroit",+NFL!T43,IF(+NFL!$H43="Detroit",+NFL!T43,0))</f>
        <v>Detroit</v>
      </c>
      <c r="U194" s="396" t="str">
        <f>IF(+NFL!$F43="Detroit",+NFL!U43,IF(+NFL!$H43="Detroit",+NFL!U43,0))</f>
        <v>W</v>
      </c>
      <c r="AP194" s="348"/>
      <c r="AQ194" s="48"/>
      <c r="AY194" s="57"/>
      <c r="AZ194" s="64"/>
      <c r="BA194" s="46"/>
      <c r="BB194" s="46"/>
      <c r="BC194" s="403"/>
      <c r="BF194" s="46"/>
    </row>
    <row r="195" spans="1:63" x14ac:dyDescent="0.8">
      <c r="A195" s="46">
        <f>IF(+NFL!$F59="Detroit",+NFL!A59,IF(+NFL!$H59="Detroit",+NFL!A59,0))</f>
        <v>4</v>
      </c>
      <c r="B195" s="348" t="str">
        <f>IF(+NFL!$F59="Detroit",+NFL!B59,IF(+NFL!$H59="Detroit",+NFL!B59,0))</f>
        <v>Sun</v>
      </c>
      <c r="C195" s="48">
        <f>IF(+NFL!$F59="Detroit",+NFL!C59,IF(+NFL!$H59="Detroit",+NFL!C59,0))</f>
        <v>44836</v>
      </c>
      <c r="D195" s="490">
        <f>IF(+NFL!$F59="Detroit",+NFL!D59,IF(+NFL!$H59="Detroit",+NFL!D59,0))</f>
        <v>0.54166666666666663</v>
      </c>
      <c r="E195" s="46" t="str">
        <f>IF(+NFL!$F59="Detroit",+NFL!E59,IF(+NFL!$H59="Detroit",+NFL!E59,0))</f>
        <v>Fox</v>
      </c>
      <c r="F195" s="114" t="str">
        <f>IF(+NFL!$F59="Detroit",+NFL!F59,IF(+NFL!$H59="Detroit",+NFL!F59,0))</f>
        <v>Seattle</v>
      </c>
      <c r="G195" s="46" t="str">
        <f>IF(+NFL!$F59="Detroit",+NFL!G59,IF(+NFL!$H59="Detroit",+NFL!G59,0))</f>
        <v>NFCW</v>
      </c>
      <c r="H195" s="114" t="str">
        <f>IF(+NFL!$F59="Detroit",+NFL!H59,IF(+NFL!$H59="Detroit",+NFL!H59,0))</f>
        <v>Detroit</v>
      </c>
      <c r="I195" s="46" t="str">
        <f>IF(+NFL!$F59="Detroit",+NFL!I59,IF(+NFL!$H59="Detroit",+NFL!I59,0))</f>
        <v>NFCN</v>
      </c>
      <c r="J195" s="353" t="str">
        <f>IF(+NFL!$F59="Detroit",+NFL!J59,IF(+NFL!$H59="Detroit",+NFL!J59,0))</f>
        <v>Detroit</v>
      </c>
      <c r="K195" s="494" t="str">
        <f>IF(+NFL!$F59="Detroit",+NFL!K59,IF(+NFL!$H59="Detroit",+NFL!K59,0))</f>
        <v>Seattle</v>
      </c>
      <c r="L195" s="362">
        <f>IF(+NFL!$F59="Detroit",+NFL!L59,IF(+NFL!$H59="Detroit",+NFL!L59,0))</f>
        <v>4.5</v>
      </c>
      <c r="M195" s="386">
        <f>IF(+NFL!$F59="Detroit",+NFL!M59,IF(+NFL!$H59="Detroit",+NFL!M59,0))</f>
        <v>50</v>
      </c>
      <c r="N195" s="394" t="str">
        <f>IF(+NFL!$F59="Detroit",+NFL!N59,IF(+NFL!$H59="Detroit",+NFL!N59,0))</f>
        <v>Seattle</v>
      </c>
      <c r="O195" s="395">
        <f>IF(+NFL!$F59="Detroit",+NFL!O59,IF(+NFL!$H59="Detroit",+NFL!O59,0))</f>
        <v>48</v>
      </c>
      <c r="P195" s="394" t="str">
        <f>IF(+NFL!$F59="Detroit",+NFL!P59,IF(+NFL!$H59="Detroit",+NFL!P59,0))</f>
        <v>Detroit</v>
      </c>
      <c r="Q195" s="396">
        <f>IF(+NFL!$F59="Detroit",+NFL!Q59,IF(+NFL!$H59="Detroit",+NFL!Q59,0))</f>
        <v>45</v>
      </c>
      <c r="R195" s="397" t="str">
        <f>IF(+NFL!$F59="Detroit",+NFL!R59,IF(+NFL!$H59="Detroit",+NFL!R59,0))</f>
        <v>Seattle</v>
      </c>
      <c r="S195" s="396" t="str">
        <f>IF(+NFL!$F59="Detroit",+NFL!S59,IF(+NFL!$H59="Detroit",+NFL!S59,0))</f>
        <v>Detroit</v>
      </c>
      <c r="T195" s="397" t="str">
        <f>IF(+NFL!$F59="Detroit",+NFL!T59,IF(+NFL!$H59="Detroit",+NFL!T59,0))</f>
        <v>Detroit</v>
      </c>
      <c r="U195" s="396" t="str">
        <f>IF(+NFL!$F59="Detroit",+NFL!U59,IF(+NFL!$H59="Detroit",+NFL!U59,0))</f>
        <v>L</v>
      </c>
      <c r="V195" s="397">
        <f>IF(+NFL!$F29="Detroit",+NFL!#REF!,IF(+NFL!$H29="Detroit",+NFL!#REF!,0))</f>
        <v>0</v>
      </c>
      <c r="W195" s="396">
        <f>IF(+NFL!$F29="Detroit",+NFL!#REF!,IF(+NFL!$H29="Detroit",+NFL!#REF!,0))</f>
        <v>0</v>
      </c>
      <c r="X195" s="397">
        <f>IF(+NFL!$F29="Detroit",+NFL!#REF!,IF(+NFL!$H29="Detroit",+NFL!#REF!,0))</f>
        <v>0</v>
      </c>
      <c r="Y195" s="396">
        <f>IF(+NFL!$F29="Detroit",+NFL!#REF!,IF(+NFL!$H29="Detroit",+NFL!#REF!,0))</f>
        <v>0</v>
      </c>
      <c r="Z195" s="397">
        <f>IF(+NFL!$F29="Detroit",+NFL!#REF!,IF(+NFL!$H29="Detroit",+NFL!#REF!,0))</f>
        <v>0</v>
      </c>
      <c r="AA195" s="396">
        <f>IF(+NFL!$F29="Detroit",+NFL!#REF!,IF(+NFL!$H29="Detroit",+NFL!#REF!,0))</f>
        <v>0</v>
      </c>
      <c r="AB195" s="87">
        <f>IF(+NFL!$F29="Detroit",+NFL!#REF!,IF(+NFL!$H29="Detroit",+NFL!#REF!,0))</f>
        <v>0</v>
      </c>
      <c r="AC195" s="120">
        <f>IF(+NFL!$F29="Detroit",+NFL!#REF!,IF(+NFL!$H29="Detroit",+NFL!#REF!,0))</f>
        <v>0</v>
      </c>
      <c r="AD195" s="353">
        <f>IF(+NFL!$F29="Detroit",+NFL!#REF!,IF(+NFL!$H29="Detroit",+NFL!#REF!,0))</f>
        <v>0</v>
      </c>
      <c r="AE195" s="379">
        <f>IF(+NFL!$F29="Detroit",+NFL!#REF!,IF(+NFL!$H29="Detroit",+NFL!#REF!,0))</f>
        <v>0</v>
      </c>
      <c r="AF195" s="353">
        <f>IF(+NFL!$F29="Detroit",+NFL!#REF!,IF(+NFL!$H29="Detroit",+NFL!#REF!,0))</f>
        <v>0</v>
      </c>
      <c r="AG195" s="379">
        <f>IF(+NFL!$F29="Detroit",+NFL!#REF!,IF(+NFL!$H29="Detroit",+NFL!#REF!,0))</f>
        <v>0</v>
      </c>
      <c r="AH195" s="353">
        <f>IF(+NFL!$F29="Detroit",+NFL!#REF!,IF(+NFL!$H29="Detroit",+NFL!#REF!,0))</f>
        <v>0</v>
      </c>
      <c r="AI195" s="379">
        <f>IF(+NFL!$F29="Detroit",+NFL!#REF!,IF(+NFL!$H29="Detroit",+NFL!#REF!,0))</f>
        <v>0</v>
      </c>
      <c r="AJ195" s="353">
        <f>IF(+NFL!$F29="Detroit",+NFL!#REF!,IF(+NFL!$H29="Detroit",+NFL!#REF!,0))</f>
        <v>0</v>
      </c>
      <c r="AK195" s="379">
        <f>IF(+NFL!$F29="Detroit",+NFL!#REF!,IF(+NFL!$H29="Detroit",+NFL!#REF!,0))</f>
        <v>0</v>
      </c>
      <c r="AL195" s="57">
        <f>IF(+NFL!$F29="Detroit",+NFL!#REF!,IF(+NFL!$H29="Detroit",+NFL!#REF!,0))</f>
        <v>0</v>
      </c>
      <c r="AM195" s="58">
        <f>IF(+NFL!$F29="Detroit",+NFL!#REF!,IF(+NFL!$H29="Detroit",+NFL!#REF!,0))</f>
        <v>0</v>
      </c>
      <c r="AN195" s="57">
        <f>IF(+NFL!$F29="Detroit",+NFL!#REF!,IF(+NFL!$H29="Detroit",+NFL!#REF!,0))</f>
        <v>0</v>
      </c>
      <c r="AO195" s="59">
        <f>IF(+NFL!$F29="Detroit",+NFL!#REF!,IF(+NFL!$H29="Detroit",+NFL!#REF!,0))</f>
        <v>0</v>
      </c>
      <c r="AP195" s="348">
        <f>IF(+NFL!$F29="Detroit",+NFL!#REF!,IF(+NFL!$H29="Detroit",+NFL!#REF!,0))</f>
        <v>0</v>
      </c>
      <c r="AQ195" s="48">
        <f>IF(+NFL!$F29="Detroit",+NFL!#REF!,IF(+NFL!$H29="Detroit",+NFL!#REF!,0))</f>
        <v>0</v>
      </c>
      <c r="AR195" s="57">
        <f>IF(+NFL!$F29="Detroit",+NFL!#REF!,IF(+NFL!$H29="Detroit",+NFL!#REF!,0))</f>
        <v>0</v>
      </c>
      <c r="AS195" s="64">
        <f>IF(+NFL!$F29="Detroit",+NFL!#REF!,IF(+NFL!$H29="Detroit",+NFL!#REF!,0))</f>
        <v>0</v>
      </c>
      <c r="AT195" s="64">
        <f>IF(+NFL!$F29="Detroit",+NFL!#REF!,IF(+NFL!$H29="Detroit",+NFL!#REF!,0))</f>
        <v>0</v>
      </c>
      <c r="AU195" s="57">
        <f>IF(+NFL!$F29="Detroit",+NFL!#REF!,IF(+NFL!$H29="Detroit",+NFL!#REF!,0))</f>
        <v>0</v>
      </c>
      <c r="AV195" s="64">
        <f>IF(+NFL!$F29="Detroit",+NFL!#REF!,IF(+NFL!$H29="Detroit",+NFL!#REF!,0))</f>
        <v>0</v>
      </c>
      <c r="AW195" s="46">
        <f>IF(+NFL!$F29="Detroit",+NFL!#REF!,IF(+NFL!$H29="Detroit",+NFL!#REF!,0))</f>
        <v>0</v>
      </c>
      <c r="AX195" s="64">
        <f>IF(+NFL!$F29="Detroit",+NFL!#REF!,IF(+NFL!$H29="Detroit",+NFL!#REF!,0))</f>
        <v>0</v>
      </c>
      <c r="AY195" s="57">
        <f>IF(+NFL!$F29="Detroit",+NFL!#REF!,IF(+NFL!$H29="Detroit",+NFL!#REF!,0))</f>
        <v>0</v>
      </c>
      <c r="AZ195" s="64">
        <f>IF(+NFL!$F29="Detroit",+NFL!#REF!,IF(+NFL!$H29="Detroit",+NFL!#REF!,0))</f>
        <v>0</v>
      </c>
      <c r="BA195" s="46">
        <f>IF(+NFL!$F29="Detroit",+NFL!#REF!,IF(+NFL!$H29="Detroit",+NFL!#REF!,0))</f>
        <v>0</v>
      </c>
      <c r="BB195" s="46">
        <f>IF(+NFL!$F29="Detroit",+NFL!#REF!,IF(+NFL!$H29="Detroit",+NFL!#REF!,0))</f>
        <v>0</v>
      </c>
      <c r="BC195" s="403">
        <f>IF(+NFL!$F29="Detroit",+NFL!#REF!,IF(+NFL!$H29="Detroit",+NFL!#REF!,0))</f>
        <v>0</v>
      </c>
      <c r="BD195" s="57">
        <f>IF(+NFL!$F29="Detroit",+NFL!#REF!,IF(+NFL!$H29="Detroit",+NFL!#REF!,0))</f>
        <v>0</v>
      </c>
      <c r="BE195" s="64">
        <f>IF(+NFL!$F29="Detroit",+NFL!#REF!,IF(+NFL!$H29="Detroit",+NFL!#REF!,0))</f>
        <v>0</v>
      </c>
      <c r="BF195" s="46">
        <f>IF(+NFL!$F29="Detroit",+NFL!#REF!,IF(+NFL!$H29="Detroit",+NFL!#REF!,0))</f>
        <v>0</v>
      </c>
      <c r="BG195" s="57">
        <f>IF(+NFL!$F29="Detroit",+NFL!#REF!,IF(+NFL!$H29="Detroit",+NFL!#REF!,0))</f>
        <v>0</v>
      </c>
      <c r="BH195" s="64">
        <f>IF(+NFL!$F29="Detroit",+NFL!#REF!,IF(+NFL!$H29="Detroit",+NFL!#REF!,0))</f>
        <v>0</v>
      </c>
      <c r="BI195" s="46">
        <f>IF(+NFL!$F29="Detroit",+NFL!#REF!,IF(+NFL!$H29="Detroit",+NFL!#REF!,0))</f>
        <v>0</v>
      </c>
      <c r="BJ195" s="87">
        <f>IF(+NFL!$F29="Detroit",+NFL!#REF!,IF(+NFL!$H29="Detroit",+NFL!#REF!,0))</f>
        <v>0</v>
      </c>
      <c r="BK195" s="120">
        <f>IF(+NFL!$F29="Detroit",+NFL!#REF!,IF(+NFL!$H29="Detroit",+NFL!#REF!,0))</f>
        <v>0</v>
      </c>
    </row>
    <row r="196" spans="1:63" x14ac:dyDescent="0.8">
      <c r="A196" s="46">
        <f>IF(+NFL!$F77="Detroit",+NFL!A77,IF(+NFL!$H77="Detroit",+NFL!A77,0))</f>
        <v>5</v>
      </c>
      <c r="B196" s="348" t="str">
        <f>IF(+NFL!$F77="Detroit",+NFL!B77,IF(+NFL!$H77="Detroit",+NFL!B77,0))</f>
        <v>Sun</v>
      </c>
      <c r="C196" s="48">
        <f>IF(+NFL!$F77="Detroit",+NFL!C77,IF(+NFL!$H77="Detroit",+NFL!C77,0))</f>
        <v>44843</v>
      </c>
      <c r="D196" s="490">
        <f>IF(+NFL!$F77="Detroit",+NFL!D77,IF(+NFL!$H77="Detroit",+NFL!D77,0))</f>
        <v>0.54166666666666663</v>
      </c>
      <c r="E196" s="46" t="str">
        <f>IF(+NFL!$F77="Detroit",+NFL!E77,IF(+NFL!$H77="Detroit",+NFL!E77,0))</f>
        <v>Fox</v>
      </c>
      <c r="F196" s="114" t="str">
        <f>IF(+NFL!$F77="Detroit",+NFL!F77,IF(+NFL!$H77="Detroit",+NFL!F77,0))</f>
        <v>Detroit</v>
      </c>
      <c r="G196" s="46" t="str">
        <f>IF(+NFL!$F77="Detroit",+NFL!G77,IF(+NFL!$H77="Detroit",+NFL!G77,0))</f>
        <v>NFCN</v>
      </c>
      <c r="H196" s="114" t="str">
        <f>IF(+NFL!$F77="Detroit",+NFL!H77,IF(+NFL!$H77="Detroit",+NFL!H77,0))</f>
        <v>New England</v>
      </c>
      <c r="I196" s="46" t="str">
        <f>IF(+NFL!$F77="Detroit",+NFL!I77,IF(+NFL!$H77="Detroit",+NFL!I77,0))</f>
        <v>AFCE</v>
      </c>
      <c r="J196" s="353" t="str">
        <f>IF(+NFL!$F77="Detroit",+NFL!J77,IF(+NFL!$H77="Detroit",+NFL!J77,0))</f>
        <v>New England</v>
      </c>
      <c r="K196" s="494" t="str">
        <f>IF(+NFL!$F77="Detroit",+NFL!K77,IF(+NFL!$H77="Detroit",+NFL!K77,0))</f>
        <v>Detroit</v>
      </c>
      <c r="L196" s="362">
        <f>IF(+NFL!$F77="Detroit",+NFL!L77,IF(+NFL!$H77="Detroit",+NFL!L77,0))</f>
        <v>3</v>
      </c>
      <c r="M196" s="386">
        <f>IF(+NFL!$F77="Detroit",+NFL!M77,IF(+NFL!$H77="Detroit",+NFL!M77,0))</f>
        <v>46.5</v>
      </c>
      <c r="N196" s="394" t="str">
        <f>IF(+NFL!$F77="Detroit",+NFL!N77,IF(+NFL!$H77="Detroit",+NFL!N77,0))</f>
        <v>New England</v>
      </c>
      <c r="O196" s="395">
        <f>IF(+NFL!$F77="Detroit",+NFL!O77,IF(+NFL!$H77="Detroit",+NFL!O77,0))</f>
        <v>29</v>
      </c>
      <c r="P196" s="394" t="str">
        <f>IF(+NFL!$F77="Detroit",+NFL!P77,IF(+NFL!$H77="Detroit",+NFL!P77,0))</f>
        <v>Detroit</v>
      </c>
      <c r="Q196" s="396">
        <f>IF(+NFL!$F77="Detroit",+NFL!Q77,IF(+NFL!$H77="Detroit",+NFL!Q77,0))</f>
        <v>0</v>
      </c>
      <c r="R196" s="397" t="str">
        <f>IF(+NFL!$F77="Detroit",+NFL!R77,IF(+NFL!$H77="Detroit",+NFL!R77,0))</f>
        <v>New England</v>
      </c>
      <c r="S196" s="396" t="str">
        <f>IF(+NFL!$F77="Detroit",+NFL!S77,IF(+NFL!$H77="Detroit",+NFL!S77,0))</f>
        <v>Detroit</v>
      </c>
      <c r="T196" s="397" t="str">
        <f>IF(+NFL!$F77="Detroit",+NFL!T77,IF(+NFL!$H77="Detroit",+NFL!T77,0))</f>
        <v>Detroit</v>
      </c>
      <c r="U196" s="396" t="str">
        <f>IF(+NFL!$F77="Detroit",+NFL!U77,IF(+NFL!$H77="Detroit",+NFL!U77,0))</f>
        <v>L</v>
      </c>
      <c r="V196" s="397">
        <f>IF(+NFL!$F56="Detroit",+NFL!#REF!,IF(+NFL!$H56="Detroit",+NFL!#REF!,0))</f>
        <v>0</v>
      </c>
      <c r="W196" s="396">
        <f>IF(+NFL!$F56="Detroit",+NFL!#REF!,IF(+NFL!$H56="Detroit",+NFL!#REF!,0))</f>
        <v>0</v>
      </c>
      <c r="X196" s="397">
        <f>IF(+NFL!$F56="Detroit",+NFL!#REF!,IF(+NFL!$H56="Detroit",+NFL!#REF!,0))</f>
        <v>0</v>
      </c>
      <c r="Y196" s="396">
        <f>IF(+NFL!$F56="Detroit",+NFL!#REF!,IF(+NFL!$H56="Detroit",+NFL!#REF!,0))</f>
        <v>0</v>
      </c>
      <c r="Z196" s="397">
        <f>IF(+NFL!$F56="Detroit",+NFL!#REF!,IF(+NFL!$H56="Detroit",+NFL!#REF!,0))</f>
        <v>0</v>
      </c>
      <c r="AA196" s="396">
        <f>IF(+NFL!$F56="Detroit",+NFL!#REF!,IF(+NFL!$H56="Detroit",+NFL!#REF!,0))</f>
        <v>0</v>
      </c>
      <c r="AB196" s="87">
        <f>IF(+NFL!$F56="Detroit",+NFL!#REF!,IF(+NFL!$H56="Detroit",+NFL!#REF!,0))</f>
        <v>0</v>
      </c>
      <c r="AC196" s="120">
        <f>IF(+NFL!$F56="Detroit",+NFL!#REF!,IF(+NFL!$H56="Detroit",+NFL!#REF!,0))</f>
        <v>0</v>
      </c>
      <c r="AD196" s="353">
        <f>IF(+NFL!$F56="Detroit",+NFL!#REF!,IF(+NFL!$H56="Detroit",+NFL!#REF!,0))</f>
        <v>0</v>
      </c>
      <c r="AE196" s="379">
        <f>IF(+NFL!$F56="Detroit",+NFL!#REF!,IF(+NFL!$H56="Detroit",+NFL!#REF!,0))</f>
        <v>0</v>
      </c>
      <c r="AF196" s="353">
        <f>IF(+NFL!$F56="Detroit",+NFL!#REF!,IF(+NFL!$H56="Detroit",+NFL!#REF!,0))</f>
        <v>0</v>
      </c>
      <c r="AG196" s="379">
        <f>IF(+NFL!$F56="Detroit",+NFL!#REF!,IF(+NFL!$H56="Detroit",+NFL!#REF!,0))</f>
        <v>0</v>
      </c>
      <c r="AH196" s="353">
        <f>IF(+NFL!$F56="Detroit",+NFL!#REF!,IF(+NFL!$H56="Detroit",+NFL!#REF!,0))</f>
        <v>0</v>
      </c>
      <c r="AI196" s="379">
        <f>IF(+NFL!$F56="Detroit",+NFL!#REF!,IF(+NFL!$H56="Detroit",+NFL!#REF!,0))</f>
        <v>0</v>
      </c>
      <c r="AJ196" s="353">
        <f>IF(+NFL!$F56="Detroit",+NFL!#REF!,IF(+NFL!$H56="Detroit",+NFL!#REF!,0))</f>
        <v>0</v>
      </c>
      <c r="AK196" s="379">
        <f>IF(+NFL!$F56="Detroit",+NFL!#REF!,IF(+NFL!$H56="Detroit",+NFL!#REF!,0))</f>
        <v>0</v>
      </c>
      <c r="AL196" s="57">
        <f>IF(+NFL!$F56="Detroit",+NFL!#REF!,IF(+NFL!$H56="Detroit",+NFL!#REF!,0))</f>
        <v>0</v>
      </c>
      <c r="AM196" s="58">
        <f>IF(+NFL!$F56="Detroit",+NFL!#REF!,IF(+NFL!$H56="Detroit",+NFL!#REF!,0))</f>
        <v>0</v>
      </c>
      <c r="AN196" s="57">
        <f>IF(+NFL!$F56="Detroit",+NFL!#REF!,IF(+NFL!$H56="Detroit",+NFL!#REF!,0))</f>
        <v>0</v>
      </c>
      <c r="AO196" s="59">
        <f>IF(+NFL!$F56="Detroit",+NFL!#REF!,IF(+NFL!$H56="Detroit",+NFL!#REF!,0))</f>
        <v>0</v>
      </c>
      <c r="AP196" s="348">
        <f>IF(+NFL!$F56="Detroit",+NFL!#REF!,IF(+NFL!$H56="Detroit",+NFL!#REF!,0))</f>
        <v>0</v>
      </c>
      <c r="AQ196" s="48">
        <f>IF(+NFL!$F56="Detroit",+NFL!#REF!,IF(+NFL!$H56="Detroit",+NFL!#REF!,0))</f>
        <v>0</v>
      </c>
      <c r="AR196" s="57">
        <f>IF(+NFL!$F56="Detroit",+NFL!#REF!,IF(+NFL!$H56="Detroit",+NFL!#REF!,0))</f>
        <v>0</v>
      </c>
      <c r="AS196" s="64">
        <f>IF(+NFL!$F56="Detroit",+NFL!#REF!,IF(+NFL!$H56="Detroit",+NFL!#REF!,0))</f>
        <v>0</v>
      </c>
      <c r="AT196" s="64">
        <f>IF(+NFL!$F56="Detroit",+NFL!#REF!,IF(+NFL!$H56="Detroit",+NFL!#REF!,0))</f>
        <v>0</v>
      </c>
      <c r="AU196" s="57">
        <f>IF(+NFL!$F56="Detroit",+NFL!#REF!,IF(+NFL!$H56="Detroit",+NFL!#REF!,0))</f>
        <v>0</v>
      </c>
      <c r="AV196" s="64">
        <f>IF(+NFL!$F56="Detroit",+NFL!#REF!,IF(+NFL!$H56="Detroit",+NFL!#REF!,0))</f>
        <v>0</v>
      </c>
      <c r="AW196" s="46">
        <f>IF(+NFL!$F56="Detroit",+NFL!#REF!,IF(+NFL!$H56="Detroit",+NFL!#REF!,0))</f>
        <v>0</v>
      </c>
      <c r="AX196" s="64">
        <f>IF(+NFL!$F56="Detroit",+NFL!#REF!,IF(+NFL!$H56="Detroit",+NFL!#REF!,0))</f>
        <v>0</v>
      </c>
      <c r="AY196" s="57">
        <f>IF(+NFL!$F56="Detroit",+NFL!#REF!,IF(+NFL!$H56="Detroit",+NFL!#REF!,0))</f>
        <v>0</v>
      </c>
      <c r="AZ196" s="64">
        <f>IF(+NFL!$F56="Detroit",+NFL!#REF!,IF(+NFL!$H56="Detroit",+NFL!#REF!,0))</f>
        <v>0</v>
      </c>
      <c r="BA196" s="46">
        <f>IF(+NFL!$F56="Detroit",+NFL!#REF!,IF(+NFL!$H56="Detroit",+NFL!#REF!,0))</f>
        <v>0</v>
      </c>
      <c r="BB196" s="46">
        <f>IF(+NFL!$F56="Detroit",+NFL!#REF!,IF(+NFL!$H56="Detroit",+NFL!#REF!,0))</f>
        <v>0</v>
      </c>
      <c r="BC196" s="403">
        <f>IF(+NFL!$F56="Detroit",+NFL!#REF!,IF(+NFL!$H56="Detroit",+NFL!#REF!,0))</f>
        <v>0</v>
      </c>
      <c r="BD196" s="57">
        <f>IF(+NFL!$F56="Detroit",+NFL!#REF!,IF(+NFL!$H56="Detroit",+NFL!#REF!,0))</f>
        <v>0</v>
      </c>
      <c r="BE196" s="64">
        <f>IF(+NFL!$F56="Detroit",+NFL!#REF!,IF(+NFL!$H56="Detroit",+NFL!#REF!,0))</f>
        <v>0</v>
      </c>
      <c r="BF196" s="46">
        <f>IF(+NFL!$F56="Detroit",+NFL!#REF!,IF(+NFL!$H56="Detroit",+NFL!#REF!,0))</f>
        <v>0</v>
      </c>
      <c r="BG196" s="57">
        <f>IF(+NFL!$F56="Detroit",+NFL!#REF!,IF(+NFL!$H56="Detroit",+NFL!#REF!,0))</f>
        <v>0</v>
      </c>
      <c r="BH196" s="64">
        <f>IF(+NFL!$F56="Detroit",+NFL!#REF!,IF(+NFL!$H56="Detroit",+NFL!#REF!,0))</f>
        <v>0</v>
      </c>
      <c r="BI196" s="46">
        <f>IF(+NFL!$F56="Detroit",+NFL!#REF!,IF(+NFL!$H56="Detroit",+NFL!#REF!,0))</f>
        <v>0</v>
      </c>
      <c r="BJ196" s="87">
        <f>IF(+NFL!$F56="Detroit",+NFL!#REF!,IF(+NFL!$H56="Detroit",+NFL!#REF!,0))</f>
        <v>0</v>
      </c>
      <c r="BK196" s="120">
        <f>IF(+NFL!$F56="Detroit",+NFL!#REF!,IF(+NFL!$H56="Detroit",+NFL!#REF!,0))</f>
        <v>0</v>
      </c>
    </row>
    <row r="197" spans="1:63" x14ac:dyDescent="0.8">
      <c r="A197" s="46">
        <f>IF(+NFL!$F104="Detroit",+NFL!A104,IF(+NFL!$H104="Detroit",+NFL!A104,0))</f>
        <v>6</v>
      </c>
      <c r="B197" s="348">
        <f>IF(+NFL!$F104="Detroit",+NFL!B104,IF(+NFL!$H104="Detroit",+NFL!B104,0))</f>
        <v>0</v>
      </c>
      <c r="C197" s="48">
        <f>IF(+NFL!$F104="Detroit",+NFL!C104,IF(+NFL!$H104="Detroit",+NFL!C104,0))</f>
        <v>0</v>
      </c>
      <c r="D197" s="490">
        <f>IF(+NFL!$F104="Detroit",+NFL!D104,IF(+NFL!$H104="Detroit",+NFL!D104,0))</f>
        <v>0</v>
      </c>
      <c r="E197" s="46">
        <f>IF(+NFL!$F104="Detroit",+NFL!E104,IF(+NFL!$H104="Detroit",+NFL!E104,0))</f>
        <v>0</v>
      </c>
      <c r="F197" s="114" t="str">
        <f>IF(+NFL!$F104="Detroit",+NFL!F104,IF(+NFL!$H104="Detroit",+NFL!F104,0))</f>
        <v>Detroit</v>
      </c>
      <c r="G197" s="46" t="str">
        <f>IF(+NFL!$F104="Detroit",+NFL!G104,IF(+NFL!$H104="Detroit",+NFL!G104,0))</f>
        <v>NFCN</v>
      </c>
      <c r="H197" s="114">
        <f>IF(+NFL!$F104="Detroit",+NFL!H104,IF(+NFL!$H104="Detroit",+NFL!H104,0))</f>
        <v>0</v>
      </c>
      <c r="I197" s="46">
        <f>IF(+NFL!$F104="Detroit",+NFL!I104,IF(+NFL!$H104="Detroit",+NFL!I104,0))</f>
        <v>0</v>
      </c>
      <c r="J197" s="353">
        <f>IF(+NFL!$F104="Detroit",+NFL!J104,IF(+NFL!$H104="Detroit",+NFL!J104,0))</f>
        <v>0</v>
      </c>
      <c r="K197" s="494">
        <f>IF(+NFL!$F104="Detroit",+NFL!K104,IF(+NFL!$H104="Detroit",+NFL!K104,0))</f>
        <v>0</v>
      </c>
      <c r="L197" s="362">
        <f>IF(+NFL!$F104="Detroit",+NFL!L104,IF(+NFL!$H104="Detroit",+NFL!L104,0))</f>
        <v>0</v>
      </c>
      <c r="M197" s="386">
        <f>IF(+NFL!$F104="Detroit",+NFL!M104,IF(+NFL!$H104="Detroit",+NFL!M104,0))</f>
        <v>0</v>
      </c>
      <c r="N197" s="394">
        <f>IF(+NFL!$F104="Detroit",+NFL!N104,IF(+NFL!$H104="Detroit",+NFL!N104,0))</f>
        <v>0</v>
      </c>
      <c r="O197" s="395">
        <f>IF(+NFL!$F104="Detroit",+NFL!O104,IF(+NFL!$H104="Detroit",+NFL!O104,0))</f>
        <v>0</v>
      </c>
      <c r="P197" s="394">
        <f>IF(+NFL!$F104="Detroit",+NFL!P104,IF(+NFL!$H104="Detroit",+NFL!P104,0))</f>
        <v>0</v>
      </c>
      <c r="Q197" s="396">
        <f>IF(+NFL!$F104="Detroit",+NFL!Q104,IF(+NFL!$H104="Detroit",+NFL!Q104,0))</f>
        <v>0</v>
      </c>
      <c r="R197" s="397">
        <f>IF(+NFL!$F104="Detroit",+NFL!R104,IF(+NFL!$H104="Detroit",+NFL!R104,0))</f>
        <v>0</v>
      </c>
      <c r="S197" s="396">
        <f>IF(+NFL!$F104="Detroit",+NFL!S104,IF(+NFL!$H104="Detroit",+NFL!S104,0))</f>
        <v>0</v>
      </c>
      <c r="T197" s="397">
        <f>IF(+NFL!$F104="Detroit",+NFL!T104,IF(+NFL!$H104="Detroit",+NFL!T104,0))</f>
        <v>0</v>
      </c>
      <c r="U197" s="396">
        <f>IF(+NFL!$F104="Detroit",+NFL!U104,IF(+NFL!$H104="Detroit",+NFL!U104,0))</f>
        <v>0</v>
      </c>
      <c r="V197" s="397">
        <f>IF(+NFL!$F72="Detroit",+NFL!#REF!,IF(+NFL!$H72="Detroit",+NFL!#REF!,0))</f>
        <v>0</v>
      </c>
      <c r="W197" s="396">
        <f>IF(+NFL!$F72="Detroit",+NFL!#REF!,IF(+NFL!$H72="Detroit",+NFL!#REF!,0))</f>
        <v>0</v>
      </c>
      <c r="X197" s="397">
        <f>IF(+NFL!$F72="Detroit",+NFL!#REF!,IF(+NFL!$H72="Detroit",+NFL!#REF!,0))</f>
        <v>0</v>
      </c>
      <c r="Y197" s="396">
        <f>IF(+NFL!$F72="Detroit",+NFL!#REF!,IF(+NFL!$H72="Detroit",+NFL!#REF!,0))</f>
        <v>0</v>
      </c>
      <c r="Z197" s="397">
        <f>IF(+NFL!$F72="Detroit",+NFL!#REF!,IF(+NFL!$H72="Detroit",+NFL!#REF!,0))</f>
        <v>0</v>
      </c>
      <c r="AA197" s="396">
        <f>IF(+NFL!$F72="Detroit",+NFL!#REF!,IF(+NFL!$H72="Detroit",+NFL!#REF!,0))</f>
        <v>0</v>
      </c>
      <c r="AB197" s="87">
        <f>IF(+NFL!$F72="Detroit",+NFL!#REF!,IF(+NFL!$H72="Detroit",+NFL!#REF!,0))</f>
        <v>0</v>
      </c>
      <c r="AC197" s="120">
        <f>IF(+NFL!$F72="Detroit",+NFL!#REF!,IF(+NFL!$H72="Detroit",+NFL!#REF!,0))</f>
        <v>0</v>
      </c>
      <c r="AD197" s="353">
        <f>IF(+NFL!$F72="Detroit",+NFL!#REF!,IF(+NFL!$H72="Detroit",+NFL!#REF!,0))</f>
        <v>0</v>
      </c>
      <c r="AE197" s="379">
        <f>IF(+NFL!$F72="Detroit",+NFL!#REF!,IF(+NFL!$H72="Detroit",+NFL!#REF!,0))</f>
        <v>0</v>
      </c>
      <c r="AF197" s="353">
        <f>IF(+NFL!$F72="Detroit",+NFL!#REF!,IF(+NFL!$H72="Detroit",+NFL!#REF!,0))</f>
        <v>0</v>
      </c>
      <c r="AG197" s="379">
        <f>IF(+NFL!$F72="Detroit",+NFL!#REF!,IF(+NFL!$H72="Detroit",+NFL!#REF!,0))</f>
        <v>0</v>
      </c>
      <c r="AH197" s="353">
        <f>IF(+NFL!$F72="Detroit",+NFL!#REF!,IF(+NFL!$H72="Detroit",+NFL!#REF!,0))</f>
        <v>0</v>
      </c>
      <c r="AI197" s="379">
        <f>IF(+NFL!$F72="Detroit",+NFL!#REF!,IF(+NFL!$H72="Detroit",+NFL!#REF!,0))</f>
        <v>0</v>
      </c>
      <c r="AJ197" s="353">
        <f>IF(+NFL!$F72="Detroit",+NFL!#REF!,IF(+NFL!$H72="Detroit",+NFL!#REF!,0))</f>
        <v>0</v>
      </c>
      <c r="AK197" s="379">
        <f>IF(+NFL!$F72="Detroit",+NFL!#REF!,IF(+NFL!$H72="Detroit",+NFL!#REF!,0))</f>
        <v>0</v>
      </c>
      <c r="AL197" s="57">
        <f>IF(+NFL!$F72="Detroit",+NFL!#REF!,IF(+NFL!$H72="Detroit",+NFL!#REF!,0))</f>
        <v>0</v>
      </c>
      <c r="AM197" s="58">
        <f>IF(+NFL!$F72="Detroit",+NFL!#REF!,IF(+NFL!$H72="Detroit",+NFL!#REF!,0))</f>
        <v>0</v>
      </c>
      <c r="AN197" s="57">
        <f>IF(+NFL!$F72="Detroit",+NFL!#REF!,IF(+NFL!$H72="Detroit",+NFL!#REF!,0))</f>
        <v>0</v>
      </c>
      <c r="AO197" s="59">
        <f>IF(+NFL!$F72="Detroit",+NFL!#REF!,IF(+NFL!$H72="Detroit",+NFL!#REF!,0))</f>
        <v>0</v>
      </c>
      <c r="AP197" s="348">
        <f>IF(+NFL!$F72="Detroit",+NFL!#REF!,IF(+NFL!$H72="Detroit",+NFL!#REF!,0))</f>
        <v>0</v>
      </c>
      <c r="AQ197" s="48">
        <f>IF(+NFL!$F72="Detroit",+NFL!#REF!,IF(+NFL!$H72="Detroit",+NFL!#REF!,0))</f>
        <v>0</v>
      </c>
      <c r="AR197" s="57">
        <f>IF(+NFL!$F72="Detroit",+NFL!#REF!,IF(+NFL!$H72="Detroit",+NFL!#REF!,0))</f>
        <v>0</v>
      </c>
      <c r="AS197" s="64">
        <f>IF(+NFL!$F72="Detroit",+NFL!#REF!,IF(+NFL!$H72="Detroit",+NFL!#REF!,0))</f>
        <v>0</v>
      </c>
      <c r="AT197" s="64">
        <f>IF(+NFL!$F72="Detroit",+NFL!#REF!,IF(+NFL!$H72="Detroit",+NFL!#REF!,0))</f>
        <v>0</v>
      </c>
      <c r="AU197" s="57">
        <f>IF(+NFL!$F72="Detroit",+NFL!#REF!,IF(+NFL!$H72="Detroit",+NFL!#REF!,0))</f>
        <v>0</v>
      </c>
      <c r="AV197" s="64">
        <f>IF(+NFL!$F72="Detroit",+NFL!#REF!,IF(+NFL!$H72="Detroit",+NFL!#REF!,0))</f>
        <v>0</v>
      </c>
      <c r="AW197" s="46">
        <f>IF(+NFL!$F72="Detroit",+NFL!#REF!,IF(+NFL!$H72="Detroit",+NFL!#REF!,0))</f>
        <v>0</v>
      </c>
      <c r="AX197" s="64">
        <f>IF(+NFL!$F72="Detroit",+NFL!#REF!,IF(+NFL!$H72="Detroit",+NFL!#REF!,0))</f>
        <v>0</v>
      </c>
      <c r="AY197" s="57">
        <f>IF(+NFL!$F72="Detroit",+NFL!#REF!,IF(+NFL!$H72="Detroit",+NFL!#REF!,0))</f>
        <v>0</v>
      </c>
      <c r="AZ197" s="64">
        <f>IF(+NFL!$F72="Detroit",+NFL!#REF!,IF(+NFL!$H72="Detroit",+NFL!#REF!,0))</f>
        <v>0</v>
      </c>
      <c r="BA197" s="46">
        <f>IF(+NFL!$F72="Detroit",+NFL!#REF!,IF(+NFL!$H72="Detroit",+NFL!#REF!,0))</f>
        <v>0</v>
      </c>
      <c r="BB197" s="46">
        <f>IF(+NFL!$F72="Detroit",+NFL!#REF!,IF(+NFL!$H72="Detroit",+NFL!#REF!,0))</f>
        <v>0</v>
      </c>
      <c r="BC197" s="403">
        <f>IF(+NFL!$F72="Detroit",+NFL!#REF!,IF(+NFL!$H72="Detroit",+NFL!#REF!,0))</f>
        <v>0</v>
      </c>
      <c r="BD197" s="57">
        <f>IF(+NFL!$F72="Detroit",+NFL!#REF!,IF(+NFL!$H72="Detroit",+NFL!#REF!,0))</f>
        <v>0</v>
      </c>
      <c r="BE197" s="64">
        <f>IF(+NFL!$F72="Detroit",+NFL!#REF!,IF(+NFL!$H72="Detroit",+NFL!#REF!,0))</f>
        <v>0</v>
      </c>
      <c r="BF197" s="46">
        <f>IF(+NFL!$F72="Detroit",+NFL!#REF!,IF(+NFL!$H72="Detroit",+NFL!#REF!,0))</f>
        <v>0</v>
      </c>
      <c r="BG197" s="57">
        <f>IF(+NFL!$F72="Detroit",+NFL!#REF!,IF(+NFL!$H72="Detroit",+NFL!#REF!,0))</f>
        <v>0</v>
      </c>
      <c r="BH197" s="64">
        <f>IF(+NFL!$F72="Detroit",+NFL!#REF!,IF(+NFL!$H72="Detroit",+NFL!#REF!,0))</f>
        <v>0</v>
      </c>
      <c r="BI197" s="46">
        <f>IF(+NFL!$F72="Detroit",+NFL!#REF!,IF(+NFL!$H72="Detroit",+NFL!#REF!,0))</f>
        <v>0</v>
      </c>
      <c r="BJ197" s="87">
        <f>IF(+NFL!$F72="Detroit",+NFL!#REF!,IF(+NFL!$H72="Detroit",+NFL!#REF!,0))</f>
        <v>0</v>
      </c>
      <c r="BK197" s="120">
        <f>IF(+NFL!$F72="Detroit",+NFL!#REF!,IF(+NFL!$H72="Detroit",+NFL!#REF!,0))</f>
        <v>0</v>
      </c>
    </row>
    <row r="198" spans="1:63" x14ac:dyDescent="0.8">
      <c r="A198" s="46">
        <f>IF(+NFL!$F111="Detroit",+NFL!A111,IF(+NFL!$H111="Detroit",+NFL!A111,0))</f>
        <v>7</v>
      </c>
      <c r="B198" s="348" t="str">
        <f>IF(+NFL!$F111="Detroit",+NFL!B111,IF(+NFL!$H111="Detroit",+NFL!B111,0))</f>
        <v>Sun</v>
      </c>
      <c r="C198" s="48">
        <f>IF(+NFL!$F111="Detroit",+NFL!C111,IF(+NFL!$H111="Detroit",+NFL!C111,0))</f>
        <v>44857</v>
      </c>
      <c r="D198" s="490">
        <f>IF(+NFL!$F111="Detroit",+NFL!D111,IF(+NFL!$H111="Detroit",+NFL!D111,0))</f>
        <v>0.54166666666666663</v>
      </c>
      <c r="E198" s="46" t="str">
        <f>IF(+NFL!$F111="Detroit",+NFL!E111,IF(+NFL!$H111="Detroit",+NFL!E111,0))</f>
        <v>Fox</v>
      </c>
      <c r="F198" s="114" t="str">
        <f>IF(+NFL!$F111="Detroit",+NFL!F111,IF(+NFL!$H111="Detroit",+NFL!F111,0))</f>
        <v>Detroit</v>
      </c>
      <c r="G198" s="46" t="str">
        <f>IF(+NFL!$F111="Detroit",+NFL!G111,IF(+NFL!$H111="Detroit",+NFL!G111,0))</f>
        <v>NFCN</v>
      </c>
      <c r="H198" s="114" t="str">
        <f>IF(+NFL!$F111="Detroit",+NFL!H111,IF(+NFL!$H111="Detroit",+NFL!H111,0))</f>
        <v>Dallas</v>
      </c>
      <c r="I198" s="46" t="str">
        <f>IF(+NFL!$F111="Detroit",+NFL!I111,IF(+NFL!$H111="Detroit",+NFL!I111,0))</f>
        <v>NFCE</v>
      </c>
      <c r="J198" s="353" t="str">
        <f>IF(+NFL!$F111="Detroit",+NFL!J111,IF(+NFL!$H111="Detroit",+NFL!J111,0))</f>
        <v>Dallas</v>
      </c>
      <c r="K198" s="494" t="str">
        <f>IF(+NFL!$F111="Detroit",+NFL!K111,IF(+NFL!$H111="Detroit",+NFL!K111,0))</f>
        <v>Detroit</v>
      </c>
      <c r="L198" s="362">
        <f>IF(+NFL!$F111="Detroit",+NFL!L111,IF(+NFL!$H111="Detroit",+NFL!L111,0))</f>
        <v>7</v>
      </c>
      <c r="M198" s="386">
        <f>IF(+NFL!$F111="Detroit",+NFL!M111,IF(+NFL!$H111="Detroit",+NFL!M111,0))</f>
        <v>49</v>
      </c>
      <c r="N198" s="394" t="str">
        <f>IF(+NFL!$F111="Detroit",+NFL!N111,IF(+NFL!$H111="Detroit",+NFL!N111,0))</f>
        <v>Dallas</v>
      </c>
      <c r="O198" s="395">
        <f>IF(+NFL!$F111="Detroit",+NFL!O111,IF(+NFL!$H111="Detroit",+NFL!O111,0))</f>
        <v>24</v>
      </c>
      <c r="P198" s="394" t="str">
        <f>IF(+NFL!$F111="Detroit",+NFL!P111,IF(+NFL!$H111="Detroit",+NFL!P111,0))</f>
        <v>Detroit</v>
      </c>
      <c r="Q198" s="396">
        <f>IF(+NFL!$F111="Detroit",+NFL!Q111,IF(+NFL!$H111="Detroit",+NFL!Q111,0))</f>
        <v>6</v>
      </c>
      <c r="R198" s="397" t="str">
        <f>IF(+NFL!$F111="Detroit",+NFL!R111,IF(+NFL!$H111="Detroit",+NFL!R111,0))</f>
        <v>Dallas</v>
      </c>
      <c r="S198" s="396" t="str">
        <f>IF(+NFL!$F111="Detroit",+NFL!S111,IF(+NFL!$H111="Detroit",+NFL!S111,0))</f>
        <v>Detroit</v>
      </c>
      <c r="T198" s="397" t="str">
        <f>IF(+NFL!$F111="Detroit",+NFL!T111,IF(+NFL!$H111="Detroit",+NFL!T111,0))</f>
        <v>Detroit</v>
      </c>
      <c r="U198" s="396" t="str">
        <f>IF(+NFL!$F111="Detroit",+NFL!U111,IF(+NFL!$H111="Detroit",+NFL!U111,0))</f>
        <v>L</v>
      </c>
      <c r="V198" s="397">
        <f>IF(+NFL!$F103="Detroit",+NFL!#REF!,IF(+NFL!$H103="Detroit",+NFL!#REF!,0))</f>
        <v>0</v>
      </c>
      <c r="W198" s="396">
        <f>IF(+NFL!$F103="Detroit",+NFL!#REF!,IF(+NFL!$H103="Detroit",+NFL!#REF!,0))</f>
        <v>0</v>
      </c>
      <c r="X198" s="397">
        <f>IF(+NFL!$F103="Detroit",+NFL!#REF!,IF(+NFL!$H103="Detroit",+NFL!#REF!,0))</f>
        <v>0</v>
      </c>
      <c r="Y198" s="396">
        <f>IF(+NFL!$F103="Detroit",+NFL!#REF!,IF(+NFL!$H103="Detroit",+NFL!#REF!,0))</f>
        <v>0</v>
      </c>
      <c r="Z198" s="397">
        <f>IF(+NFL!$F103="Detroit",+NFL!#REF!,IF(+NFL!$H103="Detroit",+NFL!#REF!,0))</f>
        <v>0</v>
      </c>
      <c r="AA198" s="396">
        <f>IF(+NFL!$F103="Detroit",+NFL!#REF!,IF(+NFL!$H103="Detroit",+NFL!#REF!,0))</f>
        <v>0</v>
      </c>
      <c r="AB198" s="87">
        <f>IF(+NFL!$F103="Detroit",+NFL!#REF!,IF(+NFL!$H103="Detroit",+NFL!#REF!,0))</f>
        <v>0</v>
      </c>
      <c r="AC198" s="120">
        <f>IF(+NFL!$F103="Detroit",+NFL!#REF!,IF(+NFL!$H103="Detroit",+NFL!#REF!,0))</f>
        <v>0</v>
      </c>
      <c r="AD198" s="353">
        <f>IF(+NFL!$F103="Detroit",+NFL!#REF!,IF(+NFL!$H103="Detroit",+NFL!#REF!,0))</f>
        <v>0</v>
      </c>
      <c r="AE198" s="379">
        <f>IF(+NFL!$F103="Detroit",+NFL!#REF!,IF(+NFL!$H103="Detroit",+NFL!#REF!,0))</f>
        <v>0</v>
      </c>
      <c r="AF198" s="353">
        <f>IF(+NFL!$F103="Detroit",+NFL!#REF!,IF(+NFL!$H103="Detroit",+NFL!#REF!,0))</f>
        <v>0</v>
      </c>
      <c r="AG198" s="379">
        <f>IF(+NFL!$F103="Detroit",+NFL!#REF!,IF(+NFL!$H103="Detroit",+NFL!#REF!,0))</f>
        <v>0</v>
      </c>
      <c r="AH198" s="353">
        <f>IF(+NFL!$F103="Detroit",+NFL!#REF!,IF(+NFL!$H103="Detroit",+NFL!#REF!,0))</f>
        <v>0</v>
      </c>
      <c r="AI198" s="379">
        <f>IF(+NFL!$F103="Detroit",+NFL!#REF!,IF(+NFL!$H103="Detroit",+NFL!#REF!,0))</f>
        <v>0</v>
      </c>
      <c r="AJ198" s="353">
        <f>IF(+NFL!$F103="Detroit",+NFL!#REF!,IF(+NFL!$H103="Detroit",+NFL!#REF!,0))</f>
        <v>0</v>
      </c>
      <c r="AK198" s="379">
        <f>IF(+NFL!$F103="Detroit",+NFL!#REF!,IF(+NFL!$H103="Detroit",+NFL!#REF!,0))</f>
        <v>0</v>
      </c>
      <c r="AL198" s="57">
        <f>IF(+NFL!$F103="Detroit",+NFL!#REF!,IF(+NFL!$H103="Detroit",+NFL!#REF!,0))</f>
        <v>0</v>
      </c>
      <c r="AM198" s="58">
        <f>IF(+NFL!$F103="Detroit",+NFL!#REF!,IF(+NFL!$H103="Detroit",+NFL!#REF!,0))</f>
        <v>0</v>
      </c>
      <c r="AN198" s="57">
        <f>IF(+NFL!$F103="Detroit",+NFL!#REF!,IF(+NFL!$H103="Detroit",+NFL!#REF!,0))</f>
        <v>0</v>
      </c>
      <c r="AO198" s="59">
        <f>IF(+NFL!$F103="Detroit",+NFL!#REF!,IF(+NFL!$H103="Detroit",+NFL!#REF!,0))</f>
        <v>0</v>
      </c>
      <c r="AP198" s="348">
        <f>IF(+NFL!$F103="Detroit",+NFL!#REF!,IF(+NFL!$H103="Detroit",+NFL!#REF!,0))</f>
        <v>0</v>
      </c>
      <c r="AQ198" s="48">
        <f>IF(+NFL!$F103="Detroit",+NFL!#REF!,IF(+NFL!$H103="Detroit",+NFL!#REF!,0))</f>
        <v>0</v>
      </c>
      <c r="AR198" s="57">
        <f>IF(+NFL!$F103="Detroit",+NFL!#REF!,IF(+NFL!$H103="Detroit",+NFL!#REF!,0))</f>
        <v>0</v>
      </c>
      <c r="AS198" s="64">
        <f>IF(+NFL!$F103="Detroit",+NFL!#REF!,IF(+NFL!$H103="Detroit",+NFL!#REF!,0))</f>
        <v>0</v>
      </c>
      <c r="AT198" s="64">
        <f>IF(+NFL!$F103="Detroit",+NFL!#REF!,IF(+NFL!$H103="Detroit",+NFL!#REF!,0))</f>
        <v>0</v>
      </c>
      <c r="AU198" s="57">
        <f>IF(+NFL!$F103="Detroit",+NFL!#REF!,IF(+NFL!$H103="Detroit",+NFL!#REF!,0))</f>
        <v>0</v>
      </c>
      <c r="AV198" s="64">
        <f>IF(+NFL!$F103="Detroit",+NFL!#REF!,IF(+NFL!$H103="Detroit",+NFL!#REF!,0))</f>
        <v>0</v>
      </c>
      <c r="AW198" s="46">
        <f>IF(+NFL!$F103="Detroit",+NFL!#REF!,IF(+NFL!$H103="Detroit",+NFL!#REF!,0))</f>
        <v>0</v>
      </c>
      <c r="AX198" s="64">
        <f>IF(+NFL!$F103="Detroit",+NFL!#REF!,IF(+NFL!$H103="Detroit",+NFL!#REF!,0))</f>
        <v>0</v>
      </c>
      <c r="AY198" s="57">
        <f>IF(+NFL!$F103="Detroit",+NFL!#REF!,IF(+NFL!$H103="Detroit",+NFL!#REF!,0))</f>
        <v>0</v>
      </c>
      <c r="AZ198" s="64">
        <f>IF(+NFL!$F103="Detroit",+NFL!#REF!,IF(+NFL!$H103="Detroit",+NFL!#REF!,0))</f>
        <v>0</v>
      </c>
      <c r="BA198" s="46">
        <f>IF(+NFL!$F103="Detroit",+NFL!#REF!,IF(+NFL!$H103="Detroit",+NFL!#REF!,0))</f>
        <v>0</v>
      </c>
      <c r="BB198" s="46">
        <f>IF(+NFL!$F103="Detroit",+NFL!#REF!,IF(+NFL!$H103="Detroit",+NFL!#REF!,0))</f>
        <v>0</v>
      </c>
      <c r="BC198" s="403">
        <f>IF(+NFL!$F103="Detroit",+NFL!#REF!,IF(+NFL!$H103="Detroit",+NFL!#REF!,0))</f>
        <v>0</v>
      </c>
      <c r="BD198" s="57">
        <f>IF(+NFL!$F103="Detroit",+NFL!#REF!,IF(+NFL!$H103="Detroit",+NFL!#REF!,0))</f>
        <v>0</v>
      </c>
      <c r="BE198" s="64">
        <f>IF(+NFL!$F103="Detroit",+NFL!#REF!,IF(+NFL!$H103="Detroit",+NFL!#REF!,0))</f>
        <v>0</v>
      </c>
      <c r="BF198" s="46">
        <f>IF(+NFL!$F103="Detroit",+NFL!#REF!,IF(+NFL!$H103="Detroit",+NFL!#REF!,0))</f>
        <v>0</v>
      </c>
      <c r="BG198" s="57">
        <f>IF(+NFL!$F103="Detroit",+NFL!#REF!,IF(+NFL!$H103="Detroit",+NFL!#REF!,0))</f>
        <v>0</v>
      </c>
      <c r="BH198" s="64">
        <f>IF(+NFL!$F103="Detroit",+NFL!#REF!,IF(+NFL!$H103="Detroit",+NFL!#REF!,0))</f>
        <v>0</v>
      </c>
      <c r="BI198" s="46">
        <f>IF(+NFL!$F103="Detroit",+NFL!#REF!,IF(+NFL!$H103="Detroit",+NFL!#REF!,0))</f>
        <v>0</v>
      </c>
      <c r="BJ198" s="87">
        <f>IF(+NFL!$F103="Detroit",+NFL!#REF!,IF(+NFL!$H103="Detroit",+NFL!#REF!,0))</f>
        <v>0</v>
      </c>
      <c r="BK198" s="120">
        <f>IF(+NFL!$F103="Detroit",+NFL!#REF!,IF(+NFL!$H103="Detroit",+NFL!#REF!,0))</f>
        <v>0</v>
      </c>
    </row>
    <row r="199" spans="1:63" x14ac:dyDescent="0.8">
      <c r="A199" s="46">
        <f>IF(+NFL!$F133="Detroit",+NFL!A133,IF(+NFL!$H133="Detroit",+NFL!A133,0))</f>
        <v>8</v>
      </c>
      <c r="B199" s="348" t="str">
        <f>IF(+NFL!$F133="Detroit",+NFL!B133,IF(+NFL!$H133="Detroit",+NFL!B133,0))</f>
        <v>Sun</v>
      </c>
      <c r="C199" s="48">
        <f>IF(+NFL!$F133="Detroit",+NFL!C133,IF(+NFL!$H133="Detroit",+NFL!C133,0))</f>
        <v>44864</v>
      </c>
      <c r="D199" s="490">
        <f>IF(+NFL!$F133="Detroit",+NFL!D133,IF(+NFL!$H133="Detroit",+NFL!D133,0))</f>
        <v>0.54166666666666663</v>
      </c>
      <c r="E199" s="46" t="str">
        <f>IF(+NFL!$F133="Detroit",+NFL!E133,IF(+NFL!$H133="Detroit",+NFL!E133,0))</f>
        <v>CBS</v>
      </c>
      <c r="F199" s="114" t="str">
        <f>IF(+NFL!$F133="Detroit",+NFL!F133,IF(+NFL!$H133="Detroit",+NFL!F133,0))</f>
        <v>Miami</v>
      </c>
      <c r="G199" s="46" t="str">
        <f>IF(+NFL!$F133="Detroit",+NFL!G133,IF(+NFL!$H133="Detroit",+NFL!G133,0))</f>
        <v>AFCE</v>
      </c>
      <c r="H199" s="114" t="str">
        <f>IF(+NFL!$F133="Detroit",+NFL!H133,IF(+NFL!$H133="Detroit",+NFL!H133,0))</f>
        <v>Detroit</v>
      </c>
      <c r="I199" s="46" t="str">
        <f>IF(+NFL!$F133="Detroit",+NFL!I133,IF(+NFL!$H133="Detroit",+NFL!I133,0))</f>
        <v>NFCN</v>
      </c>
      <c r="J199" s="353" t="str">
        <f>IF(+NFL!$F133="Detroit",+NFL!J133,IF(+NFL!$H133="Detroit",+NFL!J133,0))</f>
        <v>Miami</v>
      </c>
      <c r="K199" s="494" t="str">
        <f>IF(+NFL!$F133="Detroit",+NFL!K133,IF(+NFL!$H133="Detroit",+NFL!K133,0))</f>
        <v>Detroit</v>
      </c>
      <c r="L199" s="362">
        <f>IF(+NFL!$F133="Detroit",+NFL!L133,IF(+NFL!$H133="Detroit",+NFL!L133,0))</f>
        <v>3</v>
      </c>
      <c r="M199" s="386">
        <f>IF(+NFL!$F133="Detroit",+NFL!M133,IF(+NFL!$H133="Detroit",+NFL!M133,0))</f>
        <v>50.5</v>
      </c>
      <c r="N199" s="394" t="str">
        <f>IF(+NFL!$F133="Detroit",+NFL!N133,IF(+NFL!$H133="Detroit",+NFL!N133,0))</f>
        <v>Miami</v>
      </c>
      <c r="O199" s="395">
        <f>IF(+NFL!$F133="Detroit",+NFL!O133,IF(+NFL!$H133="Detroit",+NFL!O133,0))</f>
        <v>31</v>
      </c>
      <c r="P199" s="394" t="str">
        <f>IF(+NFL!$F133="Detroit",+NFL!P133,IF(+NFL!$H133="Detroit",+NFL!P133,0))</f>
        <v>Detroit</v>
      </c>
      <c r="Q199" s="396">
        <f>IF(+NFL!$F133="Detroit",+NFL!Q133,IF(+NFL!$H133="Detroit",+NFL!Q133,0))</f>
        <v>27</v>
      </c>
      <c r="R199" s="397" t="str">
        <f>IF(+NFL!$F133="Detroit",+NFL!R133,IF(+NFL!$H133="Detroit",+NFL!R133,0))</f>
        <v>Miami</v>
      </c>
      <c r="S199" s="396" t="str">
        <f>IF(+NFL!$F133="Detroit",+NFL!S133,IF(+NFL!$H133="Detroit",+NFL!S133,0))</f>
        <v>Detroit</v>
      </c>
      <c r="T199" s="397" t="str">
        <f>IF(+NFL!$F133="Detroit",+NFL!T133,IF(+NFL!$H133="Detroit",+NFL!T133,0))</f>
        <v>Miami</v>
      </c>
      <c r="U199" s="396" t="str">
        <f>IF(+NFL!$F133="Detroit",+NFL!U133,IF(+NFL!$H133="Detroit",+NFL!U133,0))</f>
        <v>W</v>
      </c>
      <c r="V199" s="397">
        <f>IF(+NFL!$F120="Detroit",+NFL!#REF!,IF(+NFL!$H120="Detroit",+NFL!#REF!,0))</f>
        <v>0</v>
      </c>
      <c r="W199" s="396">
        <f>IF(+NFL!$F120="Detroit",+NFL!#REF!,IF(+NFL!$H120="Detroit",+NFL!#REF!,0))</f>
        <v>0</v>
      </c>
      <c r="X199" s="397">
        <f>IF(+NFL!$F120="Detroit",+NFL!#REF!,IF(+NFL!$H120="Detroit",+NFL!#REF!,0))</f>
        <v>0</v>
      </c>
      <c r="Y199" s="396">
        <f>IF(+NFL!$F120="Detroit",+NFL!#REF!,IF(+NFL!$H120="Detroit",+NFL!#REF!,0))</f>
        <v>0</v>
      </c>
      <c r="Z199" s="397">
        <f>IF(+NFL!$F120="Detroit",+NFL!#REF!,IF(+NFL!$H120="Detroit",+NFL!#REF!,0))</f>
        <v>0</v>
      </c>
      <c r="AA199" s="396">
        <f>IF(+NFL!$F120="Detroit",+NFL!#REF!,IF(+NFL!$H120="Detroit",+NFL!#REF!,0))</f>
        <v>0</v>
      </c>
      <c r="AB199" s="87">
        <f>IF(+NFL!$F120="Detroit",+NFL!#REF!,IF(+NFL!$H120="Detroit",+NFL!#REF!,0))</f>
        <v>0</v>
      </c>
      <c r="AC199" s="120">
        <f>IF(+NFL!$F120="Detroit",+NFL!#REF!,IF(+NFL!$H120="Detroit",+NFL!#REF!,0))</f>
        <v>0</v>
      </c>
      <c r="AD199" s="353">
        <f>IF(+NFL!$F120="Detroit",+NFL!#REF!,IF(+NFL!$H120="Detroit",+NFL!#REF!,0))</f>
        <v>0</v>
      </c>
      <c r="AE199" s="379">
        <f>IF(+NFL!$F120="Detroit",+NFL!#REF!,IF(+NFL!$H120="Detroit",+NFL!#REF!,0))</f>
        <v>0</v>
      </c>
      <c r="AF199" s="353">
        <f>IF(+NFL!$F120="Detroit",+NFL!#REF!,IF(+NFL!$H120="Detroit",+NFL!#REF!,0))</f>
        <v>0</v>
      </c>
      <c r="AG199" s="379">
        <f>IF(+NFL!$F120="Detroit",+NFL!#REF!,IF(+NFL!$H120="Detroit",+NFL!#REF!,0))</f>
        <v>0</v>
      </c>
      <c r="AH199" s="353">
        <f>IF(+NFL!$F120="Detroit",+NFL!#REF!,IF(+NFL!$H120="Detroit",+NFL!#REF!,0))</f>
        <v>0</v>
      </c>
      <c r="AI199" s="379">
        <f>IF(+NFL!$F120="Detroit",+NFL!#REF!,IF(+NFL!$H120="Detroit",+NFL!#REF!,0))</f>
        <v>0</v>
      </c>
      <c r="AJ199" s="353">
        <f>IF(+NFL!$F120="Detroit",+NFL!#REF!,IF(+NFL!$H120="Detroit",+NFL!#REF!,0))</f>
        <v>0</v>
      </c>
      <c r="AK199" s="379">
        <f>IF(+NFL!$F120="Detroit",+NFL!#REF!,IF(+NFL!$H120="Detroit",+NFL!#REF!,0))</f>
        <v>0</v>
      </c>
      <c r="AL199" s="57">
        <f>IF(+NFL!$F120="Detroit",+NFL!#REF!,IF(+NFL!$H120="Detroit",+NFL!#REF!,0))</f>
        <v>0</v>
      </c>
      <c r="AM199" s="58">
        <f>IF(+NFL!$F120="Detroit",+NFL!#REF!,IF(+NFL!$H120="Detroit",+NFL!#REF!,0))</f>
        <v>0</v>
      </c>
      <c r="AN199" s="57">
        <f>IF(+NFL!$F120="Detroit",+NFL!#REF!,IF(+NFL!$H120="Detroit",+NFL!#REF!,0))</f>
        <v>0</v>
      </c>
      <c r="AO199" s="59">
        <f>IF(+NFL!$F120="Detroit",+NFL!#REF!,IF(+NFL!$H120="Detroit",+NFL!#REF!,0))</f>
        <v>0</v>
      </c>
      <c r="AP199" s="348">
        <f>IF(+NFL!$F120="Detroit",+NFL!#REF!,IF(+NFL!$H120="Detroit",+NFL!#REF!,0))</f>
        <v>0</v>
      </c>
      <c r="AQ199" s="48">
        <f>IF(+NFL!$F120="Detroit",+NFL!#REF!,IF(+NFL!$H120="Detroit",+NFL!#REF!,0))</f>
        <v>0</v>
      </c>
      <c r="AR199" s="57">
        <f>IF(+NFL!$F120="Detroit",+NFL!#REF!,IF(+NFL!$H120="Detroit",+NFL!#REF!,0))</f>
        <v>0</v>
      </c>
      <c r="AS199" s="64">
        <f>IF(+NFL!$F120="Detroit",+NFL!#REF!,IF(+NFL!$H120="Detroit",+NFL!#REF!,0))</f>
        <v>0</v>
      </c>
      <c r="AT199" s="64">
        <f>IF(+NFL!$F120="Detroit",+NFL!#REF!,IF(+NFL!$H120="Detroit",+NFL!#REF!,0))</f>
        <v>0</v>
      </c>
      <c r="AU199" s="57">
        <f>IF(+NFL!$F120="Detroit",+NFL!#REF!,IF(+NFL!$H120="Detroit",+NFL!#REF!,0))</f>
        <v>0</v>
      </c>
      <c r="AV199" s="64">
        <f>IF(+NFL!$F120="Detroit",+NFL!#REF!,IF(+NFL!$H120="Detroit",+NFL!#REF!,0))</f>
        <v>0</v>
      </c>
      <c r="AW199" s="46">
        <f>IF(+NFL!$F120="Detroit",+NFL!#REF!,IF(+NFL!$H120="Detroit",+NFL!#REF!,0))</f>
        <v>0</v>
      </c>
      <c r="AX199" s="64">
        <f>IF(+NFL!$F120="Detroit",+NFL!#REF!,IF(+NFL!$H120="Detroit",+NFL!#REF!,0))</f>
        <v>0</v>
      </c>
      <c r="AY199" s="57">
        <f>IF(+NFL!$F120="Detroit",+NFL!#REF!,IF(+NFL!$H120="Detroit",+NFL!#REF!,0))</f>
        <v>0</v>
      </c>
      <c r="AZ199" s="64">
        <f>IF(+NFL!$F120="Detroit",+NFL!#REF!,IF(+NFL!$H120="Detroit",+NFL!#REF!,0))</f>
        <v>0</v>
      </c>
      <c r="BA199" s="46">
        <f>IF(+NFL!$F120="Detroit",+NFL!#REF!,IF(+NFL!$H120="Detroit",+NFL!#REF!,0))</f>
        <v>0</v>
      </c>
      <c r="BB199" s="46">
        <f>IF(+NFL!$F120="Detroit",+NFL!#REF!,IF(+NFL!$H120="Detroit",+NFL!#REF!,0))</f>
        <v>0</v>
      </c>
      <c r="BC199" s="403">
        <f>IF(+NFL!$F120="Detroit",+NFL!#REF!,IF(+NFL!$H120="Detroit",+NFL!#REF!,0))</f>
        <v>0</v>
      </c>
      <c r="BD199" s="57">
        <f>IF(+NFL!$F120="Detroit",+NFL!#REF!,IF(+NFL!$H120="Detroit",+NFL!#REF!,0))</f>
        <v>0</v>
      </c>
      <c r="BE199" s="64">
        <f>IF(+NFL!$F120="Detroit",+NFL!#REF!,IF(+NFL!$H120="Detroit",+NFL!#REF!,0))</f>
        <v>0</v>
      </c>
      <c r="BF199" s="46">
        <f>IF(+NFL!$F120="Detroit",+NFL!#REF!,IF(+NFL!$H120="Detroit",+NFL!#REF!,0))</f>
        <v>0</v>
      </c>
      <c r="BG199" s="57">
        <f>IF(+NFL!$F120="Detroit",+NFL!#REF!,IF(+NFL!$H120="Detroit",+NFL!#REF!,0))</f>
        <v>0</v>
      </c>
      <c r="BH199" s="64">
        <f>IF(+NFL!$F120="Detroit",+NFL!#REF!,IF(+NFL!$H120="Detroit",+NFL!#REF!,0))</f>
        <v>0</v>
      </c>
      <c r="BI199" s="46">
        <f>IF(+NFL!$F120="Detroit",+NFL!#REF!,IF(+NFL!$H120="Detroit",+NFL!#REF!,0))</f>
        <v>0</v>
      </c>
      <c r="BJ199" s="87">
        <f>IF(+NFL!$F120="Detroit",+NFL!#REF!,IF(+NFL!$H120="Detroit",+NFL!#REF!,0))</f>
        <v>0</v>
      </c>
      <c r="BK199" s="120">
        <f>IF(+NFL!$F120="Detroit",+NFL!#REF!,IF(+NFL!$H120="Detroit",+NFL!#REF!,0))</f>
        <v>0</v>
      </c>
    </row>
    <row r="200" spans="1:63" x14ac:dyDescent="0.8">
      <c r="A200" s="46">
        <f>IF(+NFL!$F151="Detroit",+NFL!A151,IF(+NFL!$H151="Detroit",+NFL!A151,0))</f>
        <v>9</v>
      </c>
      <c r="B200" s="348" t="str">
        <f>IF(+NFL!$F151="Detroit",+NFL!B151,IF(+NFL!$H151="Detroit",+NFL!B151,0))</f>
        <v>Sun</v>
      </c>
      <c r="C200" s="48">
        <f>IF(+NFL!$F151="Detroit",+NFL!C151,IF(+NFL!$H151="Detroit",+NFL!C151,0))</f>
        <v>44871</v>
      </c>
      <c r="D200" s="490">
        <f>IF(+NFL!$F151="Detroit",+NFL!D151,IF(+NFL!$H151="Detroit",+NFL!D151,0))</f>
        <v>0.54166666666666663</v>
      </c>
      <c r="E200" s="46" t="str">
        <f>IF(+NFL!$F151="Detroit",+NFL!E151,IF(+NFL!$H151="Detroit",+NFL!E151,0))</f>
        <v>Fox</v>
      </c>
      <c r="F200" s="114" t="str">
        <f>IF(+NFL!$F151="Detroit",+NFL!F151,IF(+NFL!$H151="Detroit",+NFL!F151,0))</f>
        <v>Green Bay</v>
      </c>
      <c r="G200" s="46" t="str">
        <f>IF(+NFL!$F151="Detroit",+NFL!G151,IF(+NFL!$H151="Detroit",+NFL!G151,0))</f>
        <v>NFCN</v>
      </c>
      <c r="H200" s="114" t="str">
        <f>IF(+NFL!$F151="Detroit",+NFL!H151,IF(+NFL!$H151="Detroit",+NFL!H151,0))</f>
        <v>Detroit</v>
      </c>
      <c r="I200" s="46" t="str">
        <f>IF(+NFL!$F151="Detroit",+NFL!I151,IF(+NFL!$H151="Detroit",+NFL!I151,0))</f>
        <v>NFCN</v>
      </c>
      <c r="J200" s="353" t="str">
        <f>IF(+NFL!$F151="Detroit",+NFL!J151,IF(+NFL!$H151="Detroit",+NFL!J151,0))</f>
        <v>Green Bay</v>
      </c>
      <c r="K200" s="494" t="str">
        <f>IF(+NFL!$F151="Detroit",+NFL!K151,IF(+NFL!$H151="Detroit",+NFL!K151,0))</f>
        <v>Detroit</v>
      </c>
      <c r="L200" s="362">
        <f>IF(+NFL!$F151="Detroit",+NFL!L151,IF(+NFL!$H151="Detroit",+NFL!L151,0))</f>
        <v>3.5</v>
      </c>
      <c r="M200" s="386">
        <f>IF(+NFL!$F151="Detroit",+NFL!M151,IF(+NFL!$H151="Detroit",+NFL!M151,0))</f>
        <v>50</v>
      </c>
      <c r="N200" s="394" t="str">
        <f>IF(+NFL!$F151="Detroit",+NFL!N151,IF(+NFL!$H151="Detroit",+NFL!N151,0))</f>
        <v>Detroit</v>
      </c>
      <c r="O200" s="395">
        <f>IF(+NFL!$F151="Detroit",+NFL!O151,IF(+NFL!$H151="Detroit",+NFL!O151,0))</f>
        <v>15</v>
      </c>
      <c r="P200" s="394" t="str">
        <f>IF(+NFL!$F151="Detroit",+NFL!P151,IF(+NFL!$H151="Detroit",+NFL!P151,0))</f>
        <v>Green Bay</v>
      </c>
      <c r="Q200" s="396">
        <f>IF(+NFL!$F151="Detroit",+NFL!Q151,IF(+NFL!$H151="Detroit",+NFL!Q151,0))</f>
        <v>9</v>
      </c>
      <c r="R200" s="397" t="str">
        <f>IF(+NFL!$F151="Detroit",+NFL!R151,IF(+NFL!$H151="Detroit",+NFL!R151,0))</f>
        <v>Detroit</v>
      </c>
      <c r="S200" s="396" t="str">
        <f>IF(+NFL!$F151="Detroit",+NFL!S151,IF(+NFL!$H151="Detroit",+NFL!S151,0))</f>
        <v>Green Bay</v>
      </c>
      <c r="T200" s="397" t="str">
        <f>IF(+NFL!$F151="Detroit",+NFL!T151,IF(+NFL!$H151="Detroit",+NFL!T151,0))</f>
        <v>Detroit</v>
      </c>
      <c r="U200" s="396" t="str">
        <f>IF(+NFL!$F151="Detroit",+NFL!U151,IF(+NFL!$H151="Detroit",+NFL!U151,0))</f>
        <v>W</v>
      </c>
      <c r="V200" s="397" t="e">
        <f>IF(+NFL!#REF!="Detroit",+NFL!#REF!,IF(+NFL!#REF!="Detroit",+NFL!#REF!,0))</f>
        <v>#REF!</v>
      </c>
      <c r="W200" s="396" t="e">
        <f>IF(+NFL!#REF!="Detroit",+NFL!#REF!,IF(+NFL!#REF!="Detroit",+NFL!#REF!,0))</f>
        <v>#REF!</v>
      </c>
      <c r="X200" s="397" t="e">
        <f>IF(+NFL!#REF!="Detroit",+NFL!#REF!,IF(+NFL!#REF!="Detroit",+NFL!#REF!,0))</f>
        <v>#REF!</v>
      </c>
      <c r="Y200" s="396" t="e">
        <f>IF(+NFL!#REF!="Detroit",+NFL!#REF!,IF(+NFL!#REF!="Detroit",+NFL!#REF!,0))</f>
        <v>#REF!</v>
      </c>
      <c r="Z200" s="397" t="e">
        <f>IF(+NFL!#REF!="Detroit",+NFL!#REF!,IF(+NFL!#REF!="Detroit",+NFL!#REF!,0))</f>
        <v>#REF!</v>
      </c>
      <c r="AA200" s="396" t="e">
        <f>IF(+NFL!#REF!="Detroit",+NFL!#REF!,IF(+NFL!#REF!="Detroit",+NFL!#REF!,0))</f>
        <v>#REF!</v>
      </c>
      <c r="AB200" s="87" t="e">
        <f>IF(+NFL!#REF!="Detroit",+NFL!#REF!,IF(+NFL!#REF!="Detroit",+NFL!#REF!,0))</f>
        <v>#REF!</v>
      </c>
      <c r="AC200" s="120" t="e">
        <f>IF(+NFL!#REF!="Detroit",+NFL!#REF!,IF(+NFL!#REF!="Detroit",+NFL!#REF!,0))</f>
        <v>#REF!</v>
      </c>
      <c r="AD200" s="353" t="e">
        <f>IF(+NFL!#REF!="Detroit",+NFL!#REF!,IF(+NFL!#REF!="Detroit",+NFL!#REF!,0))</f>
        <v>#REF!</v>
      </c>
      <c r="AE200" s="379" t="e">
        <f>IF(+NFL!#REF!="Detroit",+NFL!#REF!,IF(+NFL!#REF!="Detroit",+NFL!#REF!,0))</f>
        <v>#REF!</v>
      </c>
      <c r="AF200" s="353" t="e">
        <f>IF(+NFL!#REF!="Detroit",+NFL!#REF!,IF(+NFL!#REF!="Detroit",+NFL!#REF!,0))</f>
        <v>#REF!</v>
      </c>
      <c r="AG200" s="379" t="e">
        <f>IF(+NFL!#REF!="Detroit",+NFL!#REF!,IF(+NFL!#REF!="Detroit",+NFL!#REF!,0))</f>
        <v>#REF!</v>
      </c>
      <c r="AH200" s="353" t="e">
        <f>IF(+NFL!#REF!="Detroit",+NFL!#REF!,IF(+NFL!#REF!="Detroit",+NFL!#REF!,0))</f>
        <v>#REF!</v>
      </c>
      <c r="AI200" s="379" t="e">
        <f>IF(+NFL!#REF!="Detroit",+NFL!#REF!,IF(+NFL!#REF!="Detroit",+NFL!#REF!,0))</f>
        <v>#REF!</v>
      </c>
      <c r="AJ200" s="353" t="e">
        <f>IF(+NFL!#REF!="Detroit",+NFL!#REF!,IF(+NFL!#REF!="Detroit",+NFL!#REF!,0))</f>
        <v>#REF!</v>
      </c>
      <c r="AK200" s="379" t="e">
        <f>IF(+NFL!#REF!="Detroit",+NFL!#REF!,IF(+NFL!#REF!="Detroit",+NFL!#REF!,0))</f>
        <v>#REF!</v>
      </c>
      <c r="AL200" s="57" t="e">
        <f>IF(+NFL!#REF!="Detroit",+NFL!#REF!,IF(+NFL!#REF!="Detroit",+NFL!#REF!,0))</f>
        <v>#REF!</v>
      </c>
      <c r="AM200" s="58" t="e">
        <f>IF(+NFL!#REF!="Detroit",+NFL!#REF!,IF(+NFL!#REF!="Detroit",+NFL!#REF!,0))</f>
        <v>#REF!</v>
      </c>
      <c r="AN200" s="57" t="e">
        <f>IF(+NFL!#REF!="Detroit",+NFL!#REF!,IF(+NFL!#REF!="Detroit",+NFL!#REF!,0))</f>
        <v>#REF!</v>
      </c>
      <c r="AO200" s="59" t="e">
        <f>IF(+NFL!#REF!="Detroit",+NFL!#REF!,IF(+NFL!#REF!="Detroit",+NFL!#REF!,0))</f>
        <v>#REF!</v>
      </c>
      <c r="AP200" s="348" t="e">
        <f>IF(+NFL!#REF!="Detroit",+NFL!#REF!,IF(+NFL!#REF!="Detroit",+NFL!#REF!,0))</f>
        <v>#REF!</v>
      </c>
      <c r="AQ200" s="48" t="e">
        <f>IF(+NFL!#REF!="Detroit",+NFL!#REF!,IF(+NFL!#REF!="Detroit",+NFL!#REF!,0))</f>
        <v>#REF!</v>
      </c>
      <c r="AR200" s="57" t="e">
        <f>IF(+NFL!#REF!="Detroit",+NFL!#REF!,IF(+NFL!#REF!="Detroit",+NFL!#REF!,0))</f>
        <v>#REF!</v>
      </c>
      <c r="AS200" s="64" t="e">
        <f>IF(+NFL!#REF!="Detroit",+NFL!#REF!,IF(+NFL!#REF!="Detroit",+NFL!#REF!,0))</f>
        <v>#REF!</v>
      </c>
      <c r="AT200" s="64" t="e">
        <f>IF(+NFL!#REF!="Detroit",+NFL!#REF!,IF(+NFL!#REF!="Detroit",+NFL!#REF!,0))</f>
        <v>#REF!</v>
      </c>
      <c r="AU200" s="57" t="e">
        <f>IF(+NFL!#REF!="Detroit",+NFL!#REF!,IF(+NFL!#REF!="Detroit",+NFL!#REF!,0))</f>
        <v>#REF!</v>
      </c>
      <c r="AV200" s="64" t="e">
        <f>IF(+NFL!#REF!="Detroit",+NFL!#REF!,IF(+NFL!#REF!="Detroit",+NFL!#REF!,0))</f>
        <v>#REF!</v>
      </c>
      <c r="AW200" s="46" t="e">
        <f>IF(+NFL!#REF!="Detroit",+NFL!#REF!,IF(+NFL!#REF!="Detroit",+NFL!#REF!,0))</f>
        <v>#REF!</v>
      </c>
      <c r="AX200" s="64" t="e">
        <f>IF(+NFL!#REF!="Detroit",+NFL!#REF!,IF(+NFL!#REF!="Detroit",+NFL!#REF!,0))</f>
        <v>#REF!</v>
      </c>
      <c r="AY200" s="57" t="e">
        <f>IF(+NFL!#REF!="Detroit",+NFL!#REF!,IF(+NFL!#REF!="Detroit",+NFL!#REF!,0))</f>
        <v>#REF!</v>
      </c>
      <c r="AZ200" s="64" t="e">
        <f>IF(+NFL!#REF!="Detroit",+NFL!#REF!,IF(+NFL!#REF!="Detroit",+NFL!#REF!,0))</f>
        <v>#REF!</v>
      </c>
      <c r="BA200" s="46" t="e">
        <f>IF(+NFL!#REF!="Detroit",+NFL!#REF!,IF(+NFL!#REF!="Detroit",+NFL!#REF!,0))</f>
        <v>#REF!</v>
      </c>
      <c r="BB200" s="46" t="e">
        <f>IF(+NFL!#REF!="Detroit",+NFL!#REF!,IF(+NFL!#REF!="Detroit",+NFL!#REF!,0))</f>
        <v>#REF!</v>
      </c>
      <c r="BC200" s="403" t="e">
        <f>IF(+NFL!#REF!="Detroit",+NFL!#REF!,IF(+NFL!#REF!="Detroit",+NFL!#REF!,0))</f>
        <v>#REF!</v>
      </c>
      <c r="BD200" s="57" t="e">
        <f>IF(+NFL!#REF!="Detroit",+NFL!#REF!,IF(+NFL!#REF!="Detroit",+NFL!#REF!,0))</f>
        <v>#REF!</v>
      </c>
      <c r="BE200" s="64" t="e">
        <f>IF(+NFL!#REF!="Detroit",+NFL!#REF!,IF(+NFL!#REF!="Detroit",+NFL!#REF!,0))</f>
        <v>#REF!</v>
      </c>
      <c r="BF200" s="46" t="e">
        <f>IF(+NFL!#REF!="Detroit",+NFL!#REF!,IF(+NFL!#REF!="Detroit",+NFL!#REF!,0))</f>
        <v>#REF!</v>
      </c>
      <c r="BG200" s="57" t="e">
        <f>IF(+NFL!#REF!="Detroit",+NFL!#REF!,IF(+NFL!#REF!="Detroit",+NFL!#REF!,0))</f>
        <v>#REF!</v>
      </c>
      <c r="BH200" s="64" t="e">
        <f>IF(+NFL!#REF!="Detroit",+NFL!#REF!,IF(+NFL!#REF!="Detroit",+NFL!#REF!,0))</f>
        <v>#REF!</v>
      </c>
      <c r="BI200" s="46" t="e">
        <f>IF(+NFL!#REF!="Detroit",+NFL!#REF!,IF(+NFL!#REF!="Detroit",+NFL!#REF!,0))</f>
        <v>#REF!</v>
      </c>
      <c r="BJ200" s="87" t="e">
        <f>IF(+NFL!#REF!="Detroit",+NFL!#REF!,IF(+NFL!#REF!="Detroit",+NFL!#REF!,0))</f>
        <v>#REF!</v>
      </c>
      <c r="BK200" s="120" t="e">
        <f>IF(+NFL!#REF!="Detroit",+NFL!#REF!,IF(+NFL!#REF!="Detroit",+NFL!#REF!,0))</f>
        <v>#REF!</v>
      </c>
    </row>
    <row r="201" spans="1:63" x14ac:dyDescent="0.8">
      <c r="A201" s="46">
        <f>IF(+NFL!$F172="Detroit",+NFL!A172,IF(+NFL!$H172="Detroit",+NFL!A172,0))</f>
        <v>10</v>
      </c>
      <c r="B201" s="348" t="str">
        <f>IF(+NFL!$F172="Detroit",+NFL!B172,IF(+NFL!$H172="Detroit",+NFL!B172,0))</f>
        <v>Sun</v>
      </c>
      <c r="C201" s="48">
        <f>IF(+NFL!$F172="Detroit",+NFL!C172,IF(+NFL!$H172="Detroit",+NFL!C172,0))</f>
        <v>44878</v>
      </c>
      <c r="D201" s="490">
        <f>IF(+NFL!$F172="Detroit",+NFL!D172,IF(+NFL!$H172="Detroit",+NFL!D172,0))</f>
        <v>0.54166666666666663</v>
      </c>
      <c r="E201" s="46" t="str">
        <f>IF(+NFL!$F172="Detroit",+NFL!E172,IF(+NFL!$H172="Detroit",+NFL!E172,0))</f>
        <v>Fox</v>
      </c>
      <c r="F201" s="114" t="str">
        <f>IF(+NFL!$F172="Detroit",+NFL!F172,IF(+NFL!$H172="Detroit",+NFL!F172,0))</f>
        <v>Detroit</v>
      </c>
      <c r="G201" s="46" t="str">
        <f>IF(+NFL!$F172="Detroit",+NFL!G172,IF(+NFL!$H172="Detroit",+NFL!G172,0))</f>
        <v>NFCN</v>
      </c>
      <c r="H201" s="114" t="str">
        <f>IF(+NFL!$F172="Detroit",+NFL!H172,IF(+NFL!$H172="Detroit",+NFL!H172,0))</f>
        <v>Chicago</v>
      </c>
      <c r="I201" s="46" t="str">
        <f>IF(+NFL!$F172="Detroit",+NFL!I172,IF(+NFL!$H172="Detroit",+NFL!I172,0))</f>
        <v>NFCN</v>
      </c>
      <c r="J201" s="353" t="str">
        <f>IF(+NFL!$F172="Detroit",+NFL!J172,IF(+NFL!$H172="Detroit",+NFL!J172,0))</f>
        <v>Chicago</v>
      </c>
      <c r="K201" s="494" t="str">
        <f>IF(+NFL!$F172="Detroit",+NFL!K172,IF(+NFL!$H172="Detroit",+NFL!K172,0))</f>
        <v>Detroit</v>
      </c>
      <c r="L201" s="362">
        <f>IF(+NFL!$F172="Detroit",+NFL!L172,IF(+NFL!$H172="Detroit",+NFL!L172,0))</f>
        <v>2.5</v>
      </c>
      <c r="M201" s="386">
        <f>IF(+NFL!$F172="Detroit",+NFL!M172,IF(+NFL!$H172="Detroit",+NFL!M172,0))</f>
        <v>48.5</v>
      </c>
      <c r="N201" s="394" t="str">
        <f>IF(+NFL!$F172="Detroit",+NFL!N172,IF(+NFL!$H172="Detroit",+NFL!N172,0))</f>
        <v>Detroit</v>
      </c>
      <c r="O201" s="395">
        <f>IF(+NFL!$F172="Detroit",+NFL!O172,IF(+NFL!$H172="Detroit",+NFL!O172,0))</f>
        <v>31</v>
      </c>
      <c r="P201" s="394" t="str">
        <f>IF(+NFL!$F172="Detroit",+NFL!P172,IF(+NFL!$H172="Detroit",+NFL!P172,0))</f>
        <v>Chicago</v>
      </c>
      <c r="Q201" s="396">
        <f>IF(+NFL!$F172="Detroit",+NFL!Q172,IF(+NFL!$H172="Detroit",+NFL!Q172,0))</f>
        <v>30</v>
      </c>
      <c r="R201" s="397" t="str">
        <f>IF(+NFL!$F172="Detroit",+NFL!R172,IF(+NFL!$H172="Detroit",+NFL!R172,0))</f>
        <v>Detroit</v>
      </c>
      <c r="S201" s="396" t="str">
        <f>IF(+NFL!$F172="Detroit",+NFL!S172,IF(+NFL!$H172="Detroit",+NFL!S172,0))</f>
        <v>Chicago</v>
      </c>
      <c r="T201" s="397" t="str">
        <f>IF(+NFL!$F172="Detroit",+NFL!T172,IF(+NFL!$H172="Detroit",+NFL!T172,0))</f>
        <v>Detroit</v>
      </c>
      <c r="U201" s="396" t="str">
        <f>IF(+NFL!$F172="Detroit",+NFL!U172,IF(+NFL!$H172="Detroit",+NFL!U172,0))</f>
        <v>W</v>
      </c>
      <c r="V201" s="397">
        <f>IF(+NFL!$F154="Detroit",+NFL!#REF!,IF(+NFL!$H154="Detroit",+NFL!#REF!,0))</f>
        <v>0</v>
      </c>
      <c r="W201" s="396">
        <f>IF(+NFL!$F154="Detroit",+NFL!#REF!,IF(+NFL!$H154="Detroit",+NFL!#REF!,0))</f>
        <v>0</v>
      </c>
      <c r="X201" s="397">
        <f>IF(+NFL!$F154="Detroit",+NFL!#REF!,IF(+NFL!$H154="Detroit",+NFL!#REF!,0))</f>
        <v>0</v>
      </c>
      <c r="Y201" s="396">
        <f>IF(+NFL!$F154="Detroit",+NFL!#REF!,IF(+NFL!$H154="Detroit",+NFL!#REF!,0))</f>
        <v>0</v>
      </c>
      <c r="Z201" s="397">
        <f>IF(+NFL!$F154="Detroit",+NFL!#REF!,IF(+NFL!$H154="Detroit",+NFL!#REF!,0))</f>
        <v>0</v>
      </c>
      <c r="AA201" s="396">
        <f>IF(+NFL!$F154="Detroit",+NFL!#REF!,IF(+NFL!$H154="Detroit",+NFL!#REF!,0))</f>
        <v>0</v>
      </c>
      <c r="AB201" s="87">
        <f>IF(+NFL!$F154="Detroit",+NFL!#REF!,IF(+NFL!$H154="Detroit",+NFL!#REF!,0))</f>
        <v>0</v>
      </c>
      <c r="AC201" s="120">
        <f>IF(+NFL!$F154="Detroit",+NFL!#REF!,IF(+NFL!$H154="Detroit",+NFL!#REF!,0))</f>
        <v>0</v>
      </c>
      <c r="AD201" s="353">
        <f>IF(+NFL!$F154="Detroit",+NFL!#REF!,IF(+NFL!$H154="Detroit",+NFL!#REF!,0))</f>
        <v>0</v>
      </c>
      <c r="AE201" s="379">
        <f>IF(+NFL!$F154="Detroit",+NFL!#REF!,IF(+NFL!$H154="Detroit",+NFL!#REF!,0))</f>
        <v>0</v>
      </c>
      <c r="AF201" s="353">
        <f>IF(+NFL!$F154="Detroit",+NFL!#REF!,IF(+NFL!$H154="Detroit",+NFL!#REF!,0))</f>
        <v>0</v>
      </c>
      <c r="AG201" s="379">
        <f>IF(+NFL!$F154="Detroit",+NFL!#REF!,IF(+NFL!$H154="Detroit",+NFL!#REF!,0))</f>
        <v>0</v>
      </c>
      <c r="AH201" s="353">
        <f>IF(+NFL!$F154="Detroit",+NFL!#REF!,IF(+NFL!$H154="Detroit",+NFL!#REF!,0))</f>
        <v>0</v>
      </c>
      <c r="AI201" s="379">
        <f>IF(+NFL!$F154="Detroit",+NFL!#REF!,IF(+NFL!$H154="Detroit",+NFL!#REF!,0))</f>
        <v>0</v>
      </c>
      <c r="AJ201" s="353">
        <f>IF(+NFL!$F154="Detroit",+NFL!#REF!,IF(+NFL!$H154="Detroit",+NFL!#REF!,0))</f>
        <v>0</v>
      </c>
      <c r="AK201" s="379">
        <f>IF(+NFL!$F154="Detroit",+NFL!#REF!,IF(+NFL!$H154="Detroit",+NFL!#REF!,0))</f>
        <v>0</v>
      </c>
      <c r="AL201" s="57">
        <f>IF(+NFL!$F154="Detroit",+NFL!#REF!,IF(+NFL!$H154="Detroit",+NFL!#REF!,0))</f>
        <v>0</v>
      </c>
      <c r="AM201" s="58">
        <f>IF(+NFL!$F154="Detroit",+NFL!#REF!,IF(+NFL!$H154="Detroit",+NFL!#REF!,0))</f>
        <v>0</v>
      </c>
      <c r="AN201" s="57">
        <f>IF(+NFL!$F154="Detroit",+NFL!#REF!,IF(+NFL!$H154="Detroit",+NFL!#REF!,0))</f>
        <v>0</v>
      </c>
      <c r="AO201" s="59">
        <f>IF(+NFL!$F154="Detroit",+NFL!#REF!,IF(+NFL!$H154="Detroit",+NFL!#REF!,0))</f>
        <v>0</v>
      </c>
      <c r="AP201" s="348">
        <f>IF(+NFL!$F154="Detroit",+NFL!#REF!,IF(+NFL!$H154="Detroit",+NFL!#REF!,0))</f>
        <v>0</v>
      </c>
      <c r="AQ201" s="48">
        <f>IF(+NFL!$F154="Detroit",+NFL!#REF!,IF(+NFL!$H154="Detroit",+NFL!#REF!,0))</f>
        <v>0</v>
      </c>
      <c r="AR201" s="57">
        <f>IF(+NFL!$F154="Detroit",+NFL!#REF!,IF(+NFL!$H154="Detroit",+NFL!#REF!,0))</f>
        <v>0</v>
      </c>
      <c r="AS201" s="64">
        <f>IF(+NFL!$F154="Detroit",+NFL!#REF!,IF(+NFL!$H154="Detroit",+NFL!#REF!,0))</f>
        <v>0</v>
      </c>
      <c r="AT201" s="64">
        <f>IF(+NFL!$F154="Detroit",+NFL!#REF!,IF(+NFL!$H154="Detroit",+NFL!#REF!,0))</f>
        <v>0</v>
      </c>
      <c r="AU201" s="57">
        <f>IF(+NFL!$F154="Detroit",+NFL!#REF!,IF(+NFL!$H154="Detroit",+NFL!#REF!,0))</f>
        <v>0</v>
      </c>
      <c r="AV201" s="64">
        <f>IF(+NFL!$F154="Detroit",+NFL!#REF!,IF(+NFL!$H154="Detroit",+NFL!#REF!,0))</f>
        <v>0</v>
      </c>
      <c r="AW201" s="46">
        <f>IF(+NFL!$F154="Detroit",+NFL!#REF!,IF(+NFL!$H154="Detroit",+NFL!#REF!,0))</f>
        <v>0</v>
      </c>
      <c r="AX201" s="64">
        <f>IF(+NFL!$F154="Detroit",+NFL!#REF!,IF(+NFL!$H154="Detroit",+NFL!#REF!,0))</f>
        <v>0</v>
      </c>
      <c r="AY201" s="57">
        <f>IF(+NFL!$F154="Detroit",+NFL!#REF!,IF(+NFL!$H154="Detroit",+NFL!#REF!,0))</f>
        <v>0</v>
      </c>
      <c r="AZ201" s="64">
        <f>IF(+NFL!$F154="Detroit",+NFL!#REF!,IF(+NFL!$H154="Detroit",+NFL!#REF!,0))</f>
        <v>0</v>
      </c>
      <c r="BA201" s="46">
        <f>IF(+NFL!$F154="Detroit",+NFL!#REF!,IF(+NFL!$H154="Detroit",+NFL!#REF!,0))</f>
        <v>0</v>
      </c>
      <c r="BB201" s="46">
        <f>IF(+NFL!$F154="Detroit",+NFL!#REF!,IF(+NFL!$H154="Detroit",+NFL!#REF!,0))</f>
        <v>0</v>
      </c>
      <c r="BC201" s="403">
        <f>IF(+NFL!$F154="Detroit",+NFL!#REF!,IF(+NFL!$H154="Detroit",+NFL!#REF!,0))</f>
        <v>0</v>
      </c>
      <c r="BD201" s="57">
        <f>IF(+NFL!$F154="Detroit",+NFL!#REF!,IF(+NFL!$H154="Detroit",+NFL!#REF!,0))</f>
        <v>0</v>
      </c>
      <c r="BE201" s="64">
        <f>IF(+NFL!$F154="Detroit",+NFL!#REF!,IF(+NFL!$H154="Detroit",+NFL!#REF!,0))</f>
        <v>0</v>
      </c>
      <c r="BF201" s="46">
        <f>IF(+NFL!$F154="Detroit",+NFL!#REF!,IF(+NFL!$H154="Detroit",+NFL!#REF!,0))</f>
        <v>0</v>
      </c>
      <c r="BG201" s="57">
        <f>IF(+NFL!$F154="Detroit",+NFL!#REF!,IF(+NFL!$H154="Detroit",+NFL!#REF!,0))</f>
        <v>0</v>
      </c>
      <c r="BH201" s="64">
        <f>IF(+NFL!$F154="Detroit",+NFL!#REF!,IF(+NFL!$H154="Detroit",+NFL!#REF!,0))</f>
        <v>0</v>
      </c>
      <c r="BI201" s="46">
        <f>IF(+NFL!$F154="Detroit",+NFL!#REF!,IF(+NFL!$H154="Detroit",+NFL!#REF!,0))</f>
        <v>0</v>
      </c>
      <c r="BJ201" s="87">
        <f>IF(+NFL!$F154="Detroit",+NFL!#REF!,IF(+NFL!$H154="Detroit",+NFL!#REF!,0))</f>
        <v>0</v>
      </c>
      <c r="BK201" s="120">
        <f>IF(+NFL!$F154="Detroit",+NFL!#REF!,IF(+NFL!$H154="Detroit",+NFL!#REF!,0))</f>
        <v>0</v>
      </c>
    </row>
    <row r="202" spans="1:63" x14ac:dyDescent="0.8">
      <c r="A202" s="46">
        <f>IF(+NFL!$F195="Detroit",+NFL!A195,IF(+NFL!$H195="Detroit",+NFL!A195,0))</f>
        <v>11</v>
      </c>
      <c r="B202" s="348" t="str">
        <f>IF(+NFL!$F195="Detroit",+NFL!B195,IF(+NFL!$H195="Detroit",+NFL!B195,0))</f>
        <v>Sun</v>
      </c>
      <c r="C202" s="48">
        <f>IF(+NFL!$F195="Detroit",+NFL!C195,IF(+NFL!$H195="Detroit",+NFL!C195,0))</f>
        <v>44885</v>
      </c>
      <c r="D202" s="490">
        <f>IF(+NFL!$F195="Detroit",+NFL!D195,IF(+NFL!$H195="Detroit",+NFL!D195,0))</f>
        <v>0.54166666666666663</v>
      </c>
      <c r="E202" s="46" t="str">
        <f>IF(+NFL!$F195="Detroit",+NFL!E195,IF(+NFL!$H195="Detroit",+NFL!E195,0))</f>
        <v>Fox</v>
      </c>
      <c r="F202" s="114" t="str">
        <f>IF(+NFL!$F195="Detroit",+NFL!F195,IF(+NFL!$H195="Detroit",+NFL!F195,0))</f>
        <v>Detroit</v>
      </c>
      <c r="G202" s="46" t="str">
        <f>IF(+NFL!$F195="Detroit",+NFL!G195,IF(+NFL!$H195="Detroit",+NFL!G195,0))</f>
        <v>NFCN</v>
      </c>
      <c r="H202" s="114" t="str">
        <f>IF(+NFL!$F195="Detroit",+NFL!H195,IF(+NFL!$H195="Detroit",+NFL!H195,0))</f>
        <v>NY Giants</v>
      </c>
      <c r="I202" s="46" t="str">
        <f>IF(+NFL!$F195="Detroit",+NFL!I195,IF(+NFL!$H195="Detroit",+NFL!I195,0))</f>
        <v>NFCE</v>
      </c>
      <c r="J202" s="353" t="str">
        <f>IF(+NFL!$F195="Detroit",+NFL!J195,IF(+NFL!$H195="Detroit",+NFL!J195,0))</f>
        <v>NY Giants</v>
      </c>
      <c r="K202" s="494" t="str">
        <f>IF(+NFL!$F195="Detroit",+NFL!K195,IF(+NFL!$H195="Detroit",+NFL!K195,0))</f>
        <v>Detroit</v>
      </c>
      <c r="L202" s="362">
        <f>IF(+NFL!$F195="Detroit",+NFL!L195,IF(+NFL!$H195="Detroit",+NFL!L195,0))</f>
        <v>3</v>
      </c>
      <c r="M202" s="386">
        <f>IF(+NFL!$F195="Detroit",+NFL!M195,IF(+NFL!$H195="Detroit",+NFL!M195,0))</f>
        <v>46.5</v>
      </c>
      <c r="N202" s="394" t="str">
        <f>IF(+NFL!$F195="Detroit",+NFL!N195,IF(+NFL!$H195="Detroit",+NFL!N195,0))</f>
        <v>Detroit</v>
      </c>
      <c r="O202" s="395">
        <f>IF(+NFL!$F195="Detroit",+NFL!O195,IF(+NFL!$H195="Detroit",+NFL!O195,0))</f>
        <v>31</v>
      </c>
      <c r="P202" s="394" t="str">
        <f>IF(+NFL!$F195="Detroit",+NFL!P195,IF(+NFL!$H195="Detroit",+NFL!P195,0))</f>
        <v>NY Giants</v>
      </c>
      <c r="Q202" s="396">
        <f>IF(+NFL!$F195="Detroit",+NFL!Q195,IF(+NFL!$H195="Detroit",+NFL!Q195,0))</f>
        <v>18</v>
      </c>
      <c r="R202" s="397" t="str">
        <f>IF(+NFL!$F195="Detroit",+NFL!R195,IF(+NFL!$H195="Detroit",+NFL!R195,0))</f>
        <v>Detroit</v>
      </c>
      <c r="S202" s="396" t="str">
        <f>IF(+NFL!$F195="Detroit",+NFL!S195,IF(+NFL!$H195="Detroit",+NFL!S195,0))</f>
        <v>NY Giants</v>
      </c>
      <c r="T202" s="397" t="str">
        <f>IF(+NFL!$F195="Detroit",+NFL!T195,IF(+NFL!$H195="Detroit",+NFL!T195,0))</f>
        <v>Detroit</v>
      </c>
      <c r="U202" s="396" t="str">
        <f>IF(+NFL!$F195="Detroit",+NFL!U195,IF(+NFL!$H195="Detroit",+NFL!U195,0))</f>
        <v>W</v>
      </c>
      <c r="V202" s="397">
        <f>IF(+NFL!$F181="Detroit",+NFL!#REF!,IF(+NFL!$H181="Detroit",+NFL!#REF!,0))</f>
        <v>0</v>
      </c>
      <c r="W202" s="396">
        <f>IF(+NFL!$F181="Detroit",+NFL!#REF!,IF(+NFL!$H181="Detroit",+NFL!#REF!,0))</f>
        <v>0</v>
      </c>
      <c r="X202" s="397">
        <f>IF(+NFL!$F181="Detroit",+NFL!#REF!,IF(+NFL!$H181="Detroit",+NFL!#REF!,0))</f>
        <v>0</v>
      </c>
      <c r="Y202" s="396">
        <f>IF(+NFL!$F181="Detroit",+NFL!#REF!,IF(+NFL!$H181="Detroit",+NFL!#REF!,0))</f>
        <v>0</v>
      </c>
      <c r="Z202" s="397">
        <f>IF(+NFL!$F181="Detroit",+NFL!#REF!,IF(+NFL!$H181="Detroit",+NFL!#REF!,0))</f>
        <v>0</v>
      </c>
      <c r="AA202" s="396">
        <f>IF(+NFL!$F181="Detroit",+NFL!#REF!,IF(+NFL!$H181="Detroit",+NFL!#REF!,0))</f>
        <v>0</v>
      </c>
      <c r="AB202" s="87">
        <f>IF(+NFL!$F181="Detroit",+NFL!#REF!,IF(+NFL!$H181="Detroit",+NFL!#REF!,0))</f>
        <v>0</v>
      </c>
      <c r="AC202" s="120">
        <f>IF(+NFL!$F181="Detroit",+NFL!#REF!,IF(+NFL!$H181="Detroit",+NFL!#REF!,0))</f>
        <v>0</v>
      </c>
      <c r="AD202" s="353">
        <f>IF(+NFL!$F181="Detroit",+NFL!#REF!,IF(+NFL!$H181="Detroit",+NFL!#REF!,0))</f>
        <v>0</v>
      </c>
      <c r="AE202" s="379">
        <f>IF(+NFL!$F181="Detroit",+NFL!#REF!,IF(+NFL!$H181="Detroit",+NFL!#REF!,0))</f>
        <v>0</v>
      </c>
      <c r="AF202" s="353">
        <f>IF(+NFL!$F181="Detroit",+NFL!#REF!,IF(+NFL!$H181="Detroit",+NFL!#REF!,0))</f>
        <v>0</v>
      </c>
      <c r="AG202" s="379">
        <f>IF(+NFL!$F181="Detroit",+NFL!#REF!,IF(+NFL!$H181="Detroit",+NFL!#REF!,0))</f>
        <v>0</v>
      </c>
      <c r="AH202" s="353">
        <f>IF(+NFL!$F181="Detroit",+NFL!#REF!,IF(+NFL!$H181="Detroit",+NFL!#REF!,0))</f>
        <v>0</v>
      </c>
      <c r="AI202" s="379">
        <f>IF(+NFL!$F181="Detroit",+NFL!#REF!,IF(+NFL!$H181="Detroit",+NFL!#REF!,0))</f>
        <v>0</v>
      </c>
      <c r="AJ202" s="353">
        <f>IF(+NFL!$F181="Detroit",+NFL!#REF!,IF(+NFL!$H181="Detroit",+NFL!#REF!,0))</f>
        <v>0</v>
      </c>
      <c r="AK202" s="379">
        <f>IF(+NFL!$F181="Detroit",+NFL!#REF!,IF(+NFL!$H181="Detroit",+NFL!#REF!,0))</f>
        <v>0</v>
      </c>
      <c r="AL202" s="57">
        <f>IF(+NFL!$F181="Detroit",+NFL!#REF!,IF(+NFL!$H181="Detroit",+NFL!#REF!,0))</f>
        <v>0</v>
      </c>
      <c r="AM202" s="58">
        <f>IF(+NFL!$F181="Detroit",+NFL!#REF!,IF(+NFL!$H181="Detroit",+NFL!#REF!,0))</f>
        <v>0</v>
      </c>
      <c r="AN202" s="57">
        <f>IF(+NFL!$F181="Detroit",+NFL!#REF!,IF(+NFL!$H181="Detroit",+NFL!#REF!,0))</f>
        <v>0</v>
      </c>
      <c r="AO202" s="59">
        <f>IF(+NFL!$F181="Detroit",+NFL!#REF!,IF(+NFL!$H181="Detroit",+NFL!#REF!,0))</f>
        <v>0</v>
      </c>
      <c r="AP202" s="348">
        <f>IF(+NFL!$F181="Detroit",+NFL!#REF!,IF(+NFL!$H181="Detroit",+NFL!#REF!,0))</f>
        <v>0</v>
      </c>
      <c r="AQ202" s="48">
        <f>IF(+NFL!$F181="Detroit",+NFL!#REF!,IF(+NFL!$H181="Detroit",+NFL!#REF!,0))</f>
        <v>0</v>
      </c>
      <c r="AR202" s="57">
        <f>IF(+NFL!$F181="Detroit",+NFL!#REF!,IF(+NFL!$H181="Detroit",+NFL!#REF!,0))</f>
        <v>0</v>
      </c>
      <c r="AS202" s="64">
        <f>IF(+NFL!$F181="Detroit",+NFL!#REF!,IF(+NFL!$H181="Detroit",+NFL!#REF!,0))</f>
        <v>0</v>
      </c>
      <c r="AT202" s="64">
        <f>IF(+NFL!$F181="Detroit",+NFL!#REF!,IF(+NFL!$H181="Detroit",+NFL!#REF!,0))</f>
        <v>0</v>
      </c>
      <c r="AU202" s="57">
        <f>IF(+NFL!$F181="Detroit",+NFL!#REF!,IF(+NFL!$H181="Detroit",+NFL!#REF!,0))</f>
        <v>0</v>
      </c>
      <c r="AV202" s="64">
        <f>IF(+NFL!$F181="Detroit",+NFL!#REF!,IF(+NFL!$H181="Detroit",+NFL!#REF!,0))</f>
        <v>0</v>
      </c>
      <c r="AW202" s="46">
        <f>IF(+NFL!$F181="Detroit",+NFL!#REF!,IF(+NFL!$H181="Detroit",+NFL!#REF!,0))</f>
        <v>0</v>
      </c>
      <c r="AX202" s="64">
        <f>IF(+NFL!$F181="Detroit",+NFL!#REF!,IF(+NFL!$H181="Detroit",+NFL!#REF!,0))</f>
        <v>0</v>
      </c>
      <c r="AY202" s="57">
        <f>IF(+NFL!$F181="Detroit",+NFL!#REF!,IF(+NFL!$H181="Detroit",+NFL!#REF!,0))</f>
        <v>0</v>
      </c>
      <c r="AZ202" s="64">
        <f>IF(+NFL!$F181="Detroit",+NFL!#REF!,IF(+NFL!$H181="Detroit",+NFL!#REF!,0))</f>
        <v>0</v>
      </c>
      <c r="BA202" s="46">
        <f>IF(+NFL!$F181="Detroit",+NFL!#REF!,IF(+NFL!$H181="Detroit",+NFL!#REF!,0))</f>
        <v>0</v>
      </c>
      <c r="BB202" s="46">
        <f>IF(+NFL!$F181="Detroit",+NFL!#REF!,IF(+NFL!$H181="Detroit",+NFL!#REF!,0))</f>
        <v>0</v>
      </c>
      <c r="BC202" s="403">
        <f>IF(+NFL!$F181="Detroit",+NFL!#REF!,IF(+NFL!$H181="Detroit",+NFL!#REF!,0))</f>
        <v>0</v>
      </c>
      <c r="BD202" s="57">
        <f>IF(+NFL!$F181="Detroit",+NFL!#REF!,IF(+NFL!$H181="Detroit",+NFL!#REF!,0))</f>
        <v>0</v>
      </c>
      <c r="BE202" s="64">
        <f>IF(+NFL!$F181="Detroit",+NFL!#REF!,IF(+NFL!$H181="Detroit",+NFL!#REF!,0))</f>
        <v>0</v>
      </c>
      <c r="BF202" s="46">
        <f>IF(+NFL!$F181="Detroit",+NFL!#REF!,IF(+NFL!$H181="Detroit",+NFL!#REF!,0))</f>
        <v>0</v>
      </c>
      <c r="BG202" s="57">
        <f>IF(+NFL!$F181="Detroit",+NFL!#REF!,IF(+NFL!$H181="Detroit",+NFL!#REF!,0))</f>
        <v>0</v>
      </c>
      <c r="BH202" s="64">
        <f>IF(+NFL!$F181="Detroit",+NFL!#REF!,IF(+NFL!$H181="Detroit",+NFL!#REF!,0))</f>
        <v>0</v>
      </c>
      <c r="BI202" s="46">
        <f>IF(+NFL!$F181="Detroit",+NFL!#REF!,IF(+NFL!$H181="Detroit",+NFL!#REF!,0))</f>
        <v>0</v>
      </c>
      <c r="BJ202" s="87">
        <f>IF(+NFL!$F181="Detroit",+NFL!#REF!,IF(+NFL!$H181="Detroit",+NFL!#REF!,0))</f>
        <v>0</v>
      </c>
      <c r="BK202" s="120">
        <f>IF(+NFL!$F181="Detroit",+NFL!#REF!,IF(+NFL!$H181="Detroit",+NFL!#REF!,0))</f>
        <v>0</v>
      </c>
    </row>
    <row r="203" spans="1:63" x14ac:dyDescent="0.8">
      <c r="A203" s="46">
        <f>IF(+NFL!$F209="Detroit",+NFL!A209,IF(+NFL!$H209="Detroit",+NFL!A209,0))</f>
        <v>12</v>
      </c>
      <c r="B203" s="348" t="str">
        <f>IF(+NFL!$F209="Detroit",+NFL!B209,IF(+NFL!$H209="Detroit",+NFL!B209,0))</f>
        <v>Thurs</v>
      </c>
      <c r="C203" s="48">
        <f>IF(+NFL!$F209="Detroit",+NFL!C209,IF(+NFL!$H209="Detroit",+NFL!C209,0))</f>
        <v>44889</v>
      </c>
      <c r="D203" s="490">
        <f>IF(+NFL!$F209="Detroit",+NFL!D209,IF(+NFL!$H209="Detroit",+NFL!D209,0))</f>
        <v>0.52083333333333337</v>
      </c>
      <c r="E203" s="46" t="str">
        <f>IF(+NFL!$F209="Detroit",+NFL!E209,IF(+NFL!$H209="Detroit",+NFL!E209,0))</f>
        <v>CBS</v>
      </c>
      <c r="F203" s="114" t="str">
        <f>IF(+NFL!$F209="Detroit",+NFL!F209,IF(+NFL!$H209="Detroit",+NFL!F209,0))</f>
        <v>Buffalo</v>
      </c>
      <c r="G203" s="46" t="str">
        <f>IF(+NFL!$F209="Detroit",+NFL!G209,IF(+NFL!$H209="Detroit",+NFL!G209,0))</f>
        <v>AFCE</v>
      </c>
      <c r="H203" s="114" t="str">
        <f>IF(+NFL!$F209="Detroit",+NFL!H209,IF(+NFL!$H209="Detroit",+NFL!H209,0))</f>
        <v>Detroit</v>
      </c>
      <c r="I203" s="46" t="str">
        <f>IF(+NFL!$F209="Detroit",+NFL!I209,IF(+NFL!$H209="Detroit",+NFL!I209,0))</f>
        <v>NFCN</v>
      </c>
      <c r="J203" s="353" t="str">
        <f>IF(+NFL!$F209="Detroit",+NFL!J209,IF(+NFL!$H209="Detroit",+NFL!J209,0))</f>
        <v>Buffalo</v>
      </c>
      <c r="K203" s="494" t="str">
        <f>IF(+NFL!$F209="Detroit",+NFL!K209,IF(+NFL!$H209="Detroit",+NFL!K209,0))</f>
        <v>Detroit</v>
      </c>
      <c r="L203" s="362">
        <f>IF(+NFL!$F209="Detroit",+NFL!L209,IF(+NFL!$H209="Detroit",+NFL!L209,0))</f>
        <v>9.5</v>
      </c>
      <c r="M203" s="386">
        <f>IF(+NFL!$F209="Detroit",+NFL!M209,IF(+NFL!$H209="Detroit",+NFL!M209,0))</f>
        <v>54</v>
      </c>
      <c r="N203" s="394" t="str">
        <f>IF(+NFL!$F209="Detroit",+NFL!N209,IF(+NFL!$H209="Detroit",+NFL!N209,0))</f>
        <v>Buffalo</v>
      </c>
      <c r="O203" s="395">
        <f>IF(+NFL!$F209="Detroit",+NFL!O209,IF(+NFL!$H209="Detroit",+NFL!O209,0))</f>
        <v>28</v>
      </c>
      <c r="P203" s="394" t="str">
        <f>IF(+NFL!$F209="Detroit",+NFL!P209,IF(+NFL!$H209="Detroit",+NFL!P209,0))</f>
        <v>Detroit</v>
      </c>
      <c r="Q203" s="396">
        <f>IF(+NFL!$F209="Detroit",+NFL!Q209,IF(+NFL!$H209="Detroit",+NFL!Q209,0))</f>
        <v>25</v>
      </c>
      <c r="R203" s="397" t="str">
        <f>IF(+NFL!$F209="Detroit",+NFL!R209,IF(+NFL!$H209="Detroit",+NFL!R209,0))</f>
        <v>Detroit</v>
      </c>
      <c r="S203" s="396" t="str">
        <f>IF(+NFL!$F209="Detroit",+NFL!S209,IF(+NFL!$H209="Detroit",+NFL!S209,0))</f>
        <v>Buffalo</v>
      </c>
      <c r="T203" s="397" t="str">
        <f>IF(+NFL!$F209="Detroit",+NFL!T209,IF(+NFL!$H209="Detroit",+NFL!T209,0))</f>
        <v>Detroit</v>
      </c>
      <c r="U203" s="396" t="str">
        <f>IF(+NFL!$F209="Detroit",+NFL!U209,IF(+NFL!$H209="Detroit",+NFL!U209,0))</f>
        <v>W</v>
      </c>
      <c r="V203" s="397">
        <f>IF(+NFL!$F198="Detroit",+NFL!#REF!,IF(+NFL!$H198="Detroit",+NFL!#REF!,0))</f>
        <v>0</v>
      </c>
      <c r="W203" s="396">
        <f>IF(+NFL!$F198="Detroit",+NFL!#REF!,IF(+NFL!$H198="Detroit",+NFL!#REF!,0))</f>
        <v>0</v>
      </c>
      <c r="X203" s="397">
        <f>IF(+NFL!$F198="Detroit",+NFL!#REF!,IF(+NFL!$H198="Detroit",+NFL!#REF!,0))</f>
        <v>0</v>
      </c>
      <c r="Y203" s="396">
        <f>IF(+NFL!$F198="Detroit",+NFL!#REF!,IF(+NFL!$H198="Detroit",+NFL!#REF!,0))</f>
        <v>0</v>
      </c>
      <c r="Z203" s="397">
        <f>IF(+NFL!$F198="Detroit",+NFL!#REF!,IF(+NFL!$H198="Detroit",+NFL!#REF!,0))</f>
        <v>0</v>
      </c>
      <c r="AA203" s="396">
        <f>IF(+NFL!$F198="Detroit",+NFL!#REF!,IF(+NFL!$H198="Detroit",+NFL!#REF!,0))</f>
        <v>0</v>
      </c>
      <c r="AB203" s="87">
        <f>IF(+NFL!$F198="Detroit",+NFL!#REF!,IF(+NFL!$H198="Detroit",+NFL!#REF!,0))</f>
        <v>0</v>
      </c>
      <c r="AC203" s="120">
        <f>IF(+NFL!$F198="Detroit",+NFL!#REF!,IF(+NFL!$H198="Detroit",+NFL!#REF!,0))</f>
        <v>0</v>
      </c>
      <c r="AD203" s="353">
        <f>IF(+NFL!$F198="Detroit",+NFL!#REF!,IF(+NFL!$H198="Detroit",+NFL!#REF!,0))</f>
        <v>0</v>
      </c>
      <c r="AE203" s="379">
        <f>IF(+NFL!$F198="Detroit",+NFL!#REF!,IF(+NFL!$H198="Detroit",+NFL!#REF!,0))</f>
        <v>0</v>
      </c>
      <c r="AF203" s="353">
        <f>IF(+NFL!$F198="Detroit",+NFL!#REF!,IF(+NFL!$H198="Detroit",+NFL!#REF!,0))</f>
        <v>0</v>
      </c>
      <c r="AG203" s="379">
        <f>IF(+NFL!$F198="Detroit",+NFL!#REF!,IF(+NFL!$H198="Detroit",+NFL!#REF!,0))</f>
        <v>0</v>
      </c>
      <c r="AH203" s="353">
        <f>IF(+NFL!$F198="Detroit",+NFL!#REF!,IF(+NFL!$H198="Detroit",+NFL!#REF!,0))</f>
        <v>0</v>
      </c>
      <c r="AI203" s="379">
        <f>IF(+NFL!$F198="Detroit",+NFL!#REF!,IF(+NFL!$H198="Detroit",+NFL!#REF!,0))</f>
        <v>0</v>
      </c>
      <c r="AJ203" s="353">
        <f>IF(+NFL!$F198="Detroit",+NFL!#REF!,IF(+NFL!$H198="Detroit",+NFL!#REF!,0))</f>
        <v>0</v>
      </c>
      <c r="AK203" s="379">
        <f>IF(+NFL!$F198="Detroit",+NFL!#REF!,IF(+NFL!$H198="Detroit",+NFL!#REF!,0))</f>
        <v>0</v>
      </c>
      <c r="AL203" s="57">
        <f>IF(+NFL!$F198="Detroit",+NFL!#REF!,IF(+NFL!$H198="Detroit",+NFL!#REF!,0))</f>
        <v>0</v>
      </c>
      <c r="AM203" s="58">
        <f>IF(+NFL!$F198="Detroit",+NFL!#REF!,IF(+NFL!$H198="Detroit",+NFL!#REF!,0))</f>
        <v>0</v>
      </c>
      <c r="AN203" s="57">
        <f>IF(+NFL!$F198="Detroit",+NFL!#REF!,IF(+NFL!$H198="Detroit",+NFL!#REF!,0))</f>
        <v>0</v>
      </c>
      <c r="AO203" s="59">
        <f>IF(+NFL!$F198="Detroit",+NFL!#REF!,IF(+NFL!$H198="Detroit",+NFL!#REF!,0))</f>
        <v>0</v>
      </c>
      <c r="AP203" s="348">
        <f>IF(+NFL!$F198="Detroit",+NFL!#REF!,IF(+NFL!$H198="Detroit",+NFL!#REF!,0))</f>
        <v>0</v>
      </c>
      <c r="AQ203" s="48">
        <f>IF(+NFL!$F198="Detroit",+NFL!#REF!,IF(+NFL!$H198="Detroit",+NFL!#REF!,0))</f>
        <v>0</v>
      </c>
      <c r="AR203" s="57">
        <f>IF(+NFL!$F198="Detroit",+NFL!#REF!,IF(+NFL!$H198="Detroit",+NFL!#REF!,0))</f>
        <v>0</v>
      </c>
      <c r="AS203" s="64">
        <f>IF(+NFL!$F198="Detroit",+NFL!#REF!,IF(+NFL!$H198="Detroit",+NFL!#REF!,0))</f>
        <v>0</v>
      </c>
      <c r="AT203" s="64">
        <f>IF(+NFL!$F198="Detroit",+NFL!#REF!,IF(+NFL!$H198="Detroit",+NFL!#REF!,0))</f>
        <v>0</v>
      </c>
      <c r="AU203" s="57">
        <f>IF(+NFL!$F198="Detroit",+NFL!#REF!,IF(+NFL!$H198="Detroit",+NFL!#REF!,0))</f>
        <v>0</v>
      </c>
      <c r="AV203" s="64">
        <f>IF(+NFL!$F198="Detroit",+NFL!#REF!,IF(+NFL!$H198="Detroit",+NFL!#REF!,0))</f>
        <v>0</v>
      </c>
      <c r="AW203" s="46">
        <f>IF(+NFL!$F198="Detroit",+NFL!#REF!,IF(+NFL!$H198="Detroit",+NFL!#REF!,0))</f>
        <v>0</v>
      </c>
      <c r="AX203" s="64">
        <f>IF(+NFL!$F198="Detroit",+NFL!#REF!,IF(+NFL!$H198="Detroit",+NFL!#REF!,0))</f>
        <v>0</v>
      </c>
      <c r="AY203" s="57">
        <f>IF(+NFL!$F198="Detroit",+NFL!#REF!,IF(+NFL!$H198="Detroit",+NFL!#REF!,0))</f>
        <v>0</v>
      </c>
      <c r="AZ203" s="64">
        <f>IF(+NFL!$F198="Detroit",+NFL!#REF!,IF(+NFL!$H198="Detroit",+NFL!#REF!,0))</f>
        <v>0</v>
      </c>
      <c r="BA203" s="46">
        <f>IF(+NFL!$F198="Detroit",+NFL!#REF!,IF(+NFL!$H198="Detroit",+NFL!#REF!,0))</f>
        <v>0</v>
      </c>
      <c r="BB203" s="46">
        <f>IF(+NFL!$F198="Detroit",+NFL!#REF!,IF(+NFL!$H198="Detroit",+NFL!#REF!,0))</f>
        <v>0</v>
      </c>
      <c r="BC203" s="403">
        <f>IF(+NFL!$F198="Detroit",+NFL!#REF!,IF(+NFL!$H198="Detroit",+NFL!#REF!,0))</f>
        <v>0</v>
      </c>
      <c r="BD203" s="57">
        <f>IF(+NFL!$F198="Detroit",+NFL!#REF!,IF(+NFL!$H198="Detroit",+NFL!#REF!,0))</f>
        <v>0</v>
      </c>
      <c r="BE203" s="64">
        <f>IF(+NFL!$F198="Detroit",+NFL!#REF!,IF(+NFL!$H198="Detroit",+NFL!#REF!,0))</f>
        <v>0</v>
      </c>
      <c r="BF203" s="46">
        <f>IF(+NFL!$F198="Detroit",+NFL!#REF!,IF(+NFL!$H198="Detroit",+NFL!#REF!,0))</f>
        <v>0</v>
      </c>
      <c r="BG203" s="57">
        <f>IF(+NFL!$F198="Detroit",+NFL!#REF!,IF(+NFL!$H198="Detroit",+NFL!#REF!,0))</f>
        <v>0</v>
      </c>
      <c r="BH203" s="64">
        <f>IF(+NFL!$F198="Detroit",+NFL!#REF!,IF(+NFL!$H198="Detroit",+NFL!#REF!,0))</f>
        <v>0</v>
      </c>
      <c r="BI203" s="46">
        <f>IF(+NFL!$F198="Detroit",+NFL!#REF!,IF(+NFL!$H198="Detroit",+NFL!#REF!,0))</f>
        <v>0</v>
      </c>
      <c r="BJ203" s="87">
        <f>IF(+NFL!$F198="Detroit",+NFL!#REF!,IF(+NFL!$H198="Detroit",+NFL!#REF!,0))</f>
        <v>0</v>
      </c>
      <c r="BK203" s="120">
        <f>IF(+NFL!$F198="Detroit",+NFL!#REF!,IF(+NFL!$H198="Detroit",+NFL!#REF!,0))</f>
        <v>0</v>
      </c>
    </row>
    <row r="204" spans="1:63" x14ac:dyDescent="0.8">
      <c r="A204" s="46">
        <f>IF(+NFL!$F229="Detroit",+NFL!A229,IF(+NFL!$H229="Detroit",+NFL!A229,0))</f>
        <v>13</v>
      </c>
      <c r="B204" s="348" t="str">
        <f>IF(+NFL!$F229="Detroit",+NFL!B229,IF(+NFL!$H229="Detroit",+NFL!B229,0))</f>
        <v>Sun</v>
      </c>
      <c r="C204" s="48">
        <f>IF(+NFL!$F229="Detroit",+NFL!C229,IF(+NFL!$H229="Detroit",+NFL!C229,0))</f>
        <v>44899</v>
      </c>
      <c r="D204" s="490">
        <f>IF(+NFL!$F229="Detroit",+NFL!D229,IF(+NFL!$H229="Detroit",+NFL!D229,0))</f>
        <v>0.54166666666666663</v>
      </c>
      <c r="E204" s="46" t="str">
        <f>IF(+NFL!$F229="Detroit",+NFL!E229,IF(+NFL!$H229="Detroit",+NFL!E229,0))</f>
        <v>CBS</v>
      </c>
      <c r="F204" s="114" t="str">
        <f>IF(+NFL!$F229="Detroit",+NFL!F229,IF(+NFL!$H229="Detroit",+NFL!F229,0))</f>
        <v>Jacksonville</v>
      </c>
      <c r="G204" s="46" t="str">
        <f>IF(+NFL!$F229="Detroit",+NFL!G229,IF(+NFL!$H229="Detroit",+NFL!G229,0))</f>
        <v>AFCS</v>
      </c>
      <c r="H204" s="114" t="str">
        <f>IF(+NFL!$F229="Detroit",+NFL!H229,IF(+NFL!$H229="Detroit",+NFL!H229,0))</f>
        <v>Detroit</v>
      </c>
      <c r="I204" s="46" t="str">
        <f>IF(+NFL!$F229="Detroit",+NFL!I229,IF(+NFL!$H229="Detroit",+NFL!I229,0))</f>
        <v>NFCN</v>
      </c>
      <c r="J204" s="353" t="str">
        <f>IF(+NFL!$F229="Detroit",+NFL!J229,IF(+NFL!$H229="Detroit",+NFL!J229,0))</f>
        <v>Jacksonville</v>
      </c>
      <c r="K204" s="494" t="str">
        <f>IF(+NFL!$F229="Detroit",+NFL!K229,IF(+NFL!$H229="Detroit",+NFL!K229,0))</f>
        <v>Detroit</v>
      </c>
      <c r="L204" s="362">
        <f>IF(+NFL!$F229="Detroit",+NFL!L229,IF(+NFL!$H229="Detroit",+NFL!L229,0))</f>
        <v>1</v>
      </c>
      <c r="M204" s="386">
        <f>IF(+NFL!$F229="Detroit",+NFL!M229,IF(+NFL!$H229="Detroit",+NFL!M229,0))</f>
        <v>51.5</v>
      </c>
      <c r="N204" s="394" t="str">
        <f>IF(+NFL!$F229="Detroit",+NFL!N229,IF(+NFL!$H229="Detroit",+NFL!N229,0))</f>
        <v>Detroit</v>
      </c>
      <c r="O204" s="395">
        <f>IF(+NFL!$F229="Detroit",+NFL!O229,IF(+NFL!$H229="Detroit",+NFL!O229,0))</f>
        <v>40</v>
      </c>
      <c r="P204" s="394" t="str">
        <f>IF(+NFL!$F229="Detroit",+NFL!P229,IF(+NFL!$H229="Detroit",+NFL!P229,0))</f>
        <v>Jacksonville</v>
      </c>
      <c r="Q204" s="396">
        <f>IF(+NFL!$F229="Detroit",+NFL!Q229,IF(+NFL!$H229="Detroit",+NFL!Q229,0))</f>
        <v>14</v>
      </c>
      <c r="R204" s="397" t="str">
        <f>IF(+NFL!$F229="Detroit",+NFL!R229,IF(+NFL!$H229="Detroit",+NFL!R229,0))</f>
        <v>Detroit</v>
      </c>
      <c r="S204" s="396" t="str">
        <f>IF(+NFL!$F229="Detroit",+NFL!S229,IF(+NFL!$H229="Detroit",+NFL!S229,0))</f>
        <v>Jacksonville</v>
      </c>
      <c r="T204" s="397" t="str">
        <f>IF(+NFL!$F229="Detroit",+NFL!T229,IF(+NFL!$H229="Detroit",+NFL!T229,0))</f>
        <v>Detroit</v>
      </c>
      <c r="U204" s="396" t="str">
        <f>IF(+NFL!$F229="Detroit",+NFL!U229,IF(+NFL!$H229="Detroit",+NFL!U229,0))</f>
        <v>W</v>
      </c>
      <c r="V204" s="397">
        <f>IF(+NFL!$F219="Detroit",+NFL!#REF!,IF(+NFL!$H219="Detroit",+NFL!#REF!,0))</f>
        <v>0</v>
      </c>
      <c r="W204" s="396">
        <f>IF(+NFL!$F219="Detroit",+NFL!#REF!,IF(+NFL!$H219="Detroit",+NFL!#REF!,0))</f>
        <v>0</v>
      </c>
      <c r="X204" s="397">
        <f>IF(+NFL!$F219="Detroit",+NFL!#REF!,IF(+NFL!$H219="Detroit",+NFL!#REF!,0))</f>
        <v>0</v>
      </c>
      <c r="Y204" s="396">
        <f>IF(+NFL!$F219="Detroit",+NFL!#REF!,IF(+NFL!$H219="Detroit",+NFL!#REF!,0))</f>
        <v>0</v>
      </c>
      <c r="Z204" s="397">
        <f>IF(+NFL!$F219="Detroit",+NFL!#REF!,IF(+NFL!$H219="Detroit",+NFL!#REF!,0))</f>
        <v>0</v>
      </c>
      <c r="AA204" s="396">
        <f>IF(+NFL!$F219="Detroit",+NFL!#REF!,IF(+NFL!$H219="Detroit",+NFL!#REF!,0))</f>
        <v>0</v>
      </c>
      <c r="AB204" s="87">
        <f>IF(+NFL!$F219="Detroit",+NFL!#REF!,IF(+NFL!$H219="Detroit",+NFL!#REF!,0))</f>
        <v>0</v>
      </c>
      <c r="AC204" s="120">
        <f>IF(+NFL!$F219="Detroit",+NFL!#REF!,IF(+NFL!$H219="Detroit",+NFL!#REF!,0))</f>
        <v>0</v>
      </c>
      <c r="AD204" s="353">
        <f>IF(+NFL!$F219="Detroit",+NFL!#REF!,IF(+NFL!$H219="Detroit",+NFL!#REF!,0))</f>
        <v>0</v>
      </c>
      <c r="AE204" s="379">
        <f>IF(+NFL!$F219="Detroit",+NFL!#REF!,IF(+NFL!$H219="Detroit",+NFL!#REF!,0))</f>
        <v>0</v>
      </c>
      <c r="AF204" s="353">
        <f>IF(+NFL!$F219="Detroit",+NFL!#REF!,IF(+NFL!$H219="Detroit",+NFL!#REF!,0))</f>
        <v>0</v>
      </c>
      <c r="AG204" s="379">
        <f>IF(+NFL!$F219="Detroit",+NFL!#REF!,IF(+NFL!$H219="Detroit",+NFL!#REF!,0))</f>
        <v>0</v>
      </c>
      <c r="AH204" s="353">
        <f>IF(+NFL!$F219="Detroit",+NFL!#REF!,IF(+NFL!$H219="Detroit",+NFL!#REF!,0))</f>
        <v>0</v>
      </c>
      <c r="AI204" s="379">
        <f>IF(+NFL!$F219="Detroit",+NFL!#REF!,IF(+NFL!$H219="Detroit",+NFL!#REF!,0))</f>
        <v>0</v>
      </c>
      <c r="AJ204" s="353">
        <f>IF(+NFL!$F219="Detroit",+NFL!#REF!,IF(+NFL!$H219="Detroit",+NFL!#REF!,0))</f>
        <v>0</v>
      </c>
      <c r="AK204" s="379">
        <f>IF(+NFL!$F219="Detroit",+NFL!#REF!,IF(+NFL!$H219="Detroit",+NFL!#REF!,0))</f>
        <v>0</v>
      </c>
      <c r="AL204" s="57">
        <f>IF(+NFL!$F219="Detroit",+NFL!#REF!,IF(+NFL!$H219="Detroit",+NFL!#REF!,0))</f>
        <v>0</v>
      </c>
      <c r="AM204" s="58">
        <f>IF(+NFL!$F219="Detroit",+NFL!#REF!,IF(+NFL!$H219="Detroit",+NFL!#REF!,0))</f>
        <v>0</v>
      </c>
      <c r="AN204" s="57">
        <f>IF(+NFL!$F219="Detroit",+NFL!#REF!,IF(+NFL!$H219="Detroit",+NFL!#REF!,0))</f>
        <v>0</v>
      </c>
      <c r="AO204" s="59">
        <f>IF(+NFL!$F219="Detroit",+NFL!#REF!,IF(+NFL!$H219="Detroit",+NFL!#REF!,0))</f>
        <v>0</v>
      </c>
      <c r="AP204" s="348">
        <f>IF(+NFL!$F219="Detroit",+NFL!#REF!,IF(+NFL!$H219="Detroit",+NFL!#REF!,0))</f>
        <v>0</v>
      </c>
      <c r="AQ204" s="48">
        <f>IF(+NFL!$F219="Detroit",+NFL!#REF!,IF(+NFL!$H219="Detroit",+NFL!#REF!,0))</f>
        <v>0</v>
      </c>
      <c r="AR204" s="57">
        <f>IF(+NFL!$F219="Detroit",+NFL!#REF!,IF(+NFL!$H219="Detroit",+NFL!#REF!,0))</f>
        <v>0</v>
      </c>
      <c r="AS204" s="64">
        <f>IF(+NFL!$F219="Detroit",+NFL!#REF!,IF(+NFL!$H219="Detroit",+NFL!#REF!,0))</f>
        <v>0</v>
      </c>
      <c r="AT204" s="64">
        <f>IF(+NFL!$F219="Detroit",+NFL!#REF!,IF(+NFL!$H219="Detroit",+NFL!#REF!,0))</f>
        <v>0</v>
      </c>
      <c r="AU204" s="57">
        <f>IF(+NFL!$F219="Detroit",+NFL!#REF!,IF(+NFL!$H219="Detroit",+NFL!#REF!,0))</f>
        <v>0</v>
      </c>
      <c r="AV204" s="64">
        <f>IF(+NFL!$F219="Detroit",+NFL!#REF!,IF(+NFL!$H219="Detroit",+NFL!#REF!,0))</f>
        <v>0</v>
      </c>
      <c r="AW204" s="46">
        <f>IF(+NFL!$F219="Detroit",+NFL!#REF!,IF(+NFL!$H219="Detroit",+NFL!#REF!,0))</f>
        <v>0</v>
      </c>
      <c r="AX204" s="64">
        <f>IF(+NFL!$F219="Detroit",+NFL!#REF!,IF(+NFL!$H219="Detroit",+NFL!#REF!,0))</f>
        <v>0</v>
      </c>
      <c r="AY204" s="57">
        <f>IF(+NFL!$F219="Detroit",+NFL!#REF!,IF(+NFL!$H219="Detroit",+NFL!#REF!,0))</f>
        <v>0</v>
      </c>
      <c r="AZ204" s="64">
        <f>IF(+NFL!$F219="Detroit",+NFL!#REF!,IF(+NFL!$H219="Detroit",+NFL!#REF!,0))</f>
        <v>0</v>
      </c>
      <c r="BA204" s="46">
        <f>IF(+NFL!$F219="Detroit",+NFL!#REF!,IF(+NFL!$H219="Detroit",+NFL!#REF!,0))</f>
        <v>0</v>
      </c>
      <c r="BB204" s="46">
        <f>IF(+NFL!$F219="Detroit",+NFL!#REF!,IF(+NFL!$H219="Detroit",+NFL!#REF!,0))</f>
        <v>0</v>
      </c>
      <c r="BC204" s="403">
        <f>IF(+NFL!$F219="Detroit",+NFL!#REF!,IF(+NFL!$H219="Detroit",+NFL!#REF!,0))</f>
        <v>0</v>
      </c>
      <c r="BD204" s="57">
        <f>IF(+NFL!$F219="Detroit",+NFL!#REF!,IF(+NFL!$H219="Detroit",+NFL!#REF!,0))</f>
        <v>0</v>
      </c>
      <c r="BE204" s="64">
        <f>IF(+NFL!$F219="Detroit",+NFL!#REF!,IF(+NFL!$H219="Detroit",+NFL!#REF!,0))</f>
        <v>0</v>
      </c>
      <c r="BF204" s="46">
        <f>IF(+NFL!$F219="Detroit",+NFL!#REF!,IF(+NFL!$H219="Detroit",+NFL!#REF!,0))</f>
        <v>0</v>
      </c>
      <c r="BG204" s="57">
        <f>IF(+NFL!$F219="Detroit",+NFL!#REF!,IF(+NFL!$H219="Detroit",+NFL!#REF!,0))</f>
        <v>0</v>
      </c>
      <c r="BH204" s="64">
        <f>IF(+NFL!$F219="Detroit",+NFL!#REF!,IF(+NFL!$H219="Detroit",+NFL!#REF!,0))</f>
        <v>0</v>
      </c>
      <c r="BI204" s="46">
        <f>IF(+NFL!$F219="Detroit",+NFL!#REF!,IF(+NFL!$H219="Detroit",+NFL!#REF!,0))</f>
        <v>0</v>
      </c>
      <c r="BJ204" s="87">
        <f>IF(+NFL!$F219="Detroit",+NFL!#REF!,IF(+NFL!$H219="Detroit",+NFL!#REF!,0))</f>
        <v>0</v>
      </c>
      <c r="BK204" s="120">
        <f>IF(+NFL!$F219="Detroit",+NFL!#REF!,IF(+NFL!$H219="Detroit",+NFL!#REF!,0))</f>
        <v>0</v>
      </c>
    </row>
    <row r="205" spans="1:63" x14ac:dyDescent="0.8">
      <c r="A205" s="46">
        <f>IF(+NFL!$F249="Detroit",+NFL!A249,IF(+NFL!$H249="Detroit",+NFL!A249,0))</f>
        <v>14</v>
      </c>
      <c r="B205" s="348" t="str">
        <f>IF(+NFL!$F249="Detroit",+NFL!B249,IF(+NFL!$H249="Detroit",+NFL!B249,0))</f>
        <v>Sun</v>
      </c>
      <c r="C205" s="48">
        <f>IF(+NFL!$F249="Detroit",+NFL!C249,IF(+NFL!$H249="Detroit",+NFL!C249,0))</f>
        <v>44906</v>
      </c>
      <c r="D205" s="490">
        <f>IF(+NFL!$F249="Detroit",+NFL!D249,IF(+NFL!$H249="Detroit",+NFL!D249,0))</f>
        <v>0.54166666666666663</v>
      </c>
      <c r="E205" s="46" t="str">
        <f>IF(+NFL!$F249="Detroit",+NFL!E249,IF(+NFL!$H249="Detroit",+NFL!E249,0))</f>
        <v>Fox</v>
      </c>
      <c r="F205" s="114" t="str">
        <f>IF(+NFL!$F249="Detroit",+NFL!F249,IF(+NFL!$H249="Detroit",+NFL!F249,0))</f>
        <v>Minnesota</v>
      </c>
      <c r="G205" s="46" t="str">
        <f>IF(+NFL!$F249="Detroit",+NFL!G249,IF(+NFL!$H249="Detroit",+NFL!G249,0))</f>
        <v>NFCN</v>
      </c>
      <c r="H205" s="114" t="str">
        <f>IF(+NFL!$F249="Detroit",+NFL!H249,IF(+NFL!$H249="Detroit",+NFL!H249,0))</f>
        <v>Detroit</v>
      </c>
      <c r="I205" s="46" t="str">
        <f>IF(+NFL!$F249="Detroit",+NFL!I249,IF(+NFL!$H249="Detroit",+NFL!I249,0))</f>
        <v>NFCN</v>
      </c>
      <c r="J205" s="353" t="str">
        <f>IF(+NFL!$F249="Detroit",+NFL!J249,IF(+NFL!$H249="Detroit",+NFL!J249,0))</f>
        <v>Detroit</v>
      </c>
      <c r="K205" s="494" t="str">
        <f>IF(+NFL!$F249="Detroit",+NFL!K249,IF(+NFL!$H249="Detroit",+NFL!K249,0))</f>
        <v>Minnesota</v>
      </c>
      <c r="L205" s="362">
        <f>IF(+NFL!$F249="Detroit",+NFL!L249,IF(+NFL!$H249="Detroit",+NFL!L249,0))</f>
        <v>1.5</v>
      </c>
      <c r="M205" s="386">
        <f>IF(+NFL!$F249="Detroit",+NFL!M249,IF(+NFL!$H249="Detroit",+NFL!M249,0))</f>
        <v>51.5</v>
      </c>
      <c r="N205" s="394" t="str">
        <f>IF(+NFL!$F249="Detroit",+NFL!N249,IF(+NFL!$H249="Detroit",+NFL!N249,0))</f>
        <v>Detroit</v>
      </c>
      <c r="O205" s="395">
        <f>IF(+NFL!$F249="Detroit",+NFL!O249,IF(+NFL!$H249="Detroit",+NFL!O249,0))</f>
        <v>34</v>
      </c>
      <c r="P205" s="394" t="str">
        <f>IF(+NFL!$F249="Detroit",+NFL!P249,IF(+NFL!$H249="Detroit",+NFL!P249,0))</f>
        <v>Minnesota</v>
      </c>
      <c r="Q205" s="396">
        <f>IF(+NFL!$F249="Detroit",+NFL!Q249,IF(+NFL!$H249="Detroit",+NFL!Q249,0))</f>
        <v>23</v>
      </c>
      <c r="R205" s="397" t="str">
        <f>IF(+NFL!$F249="Detroit",+NFL!R249,IF(+NFL!$H249="Detroit",+NFL!R249,0))</f>
        <v>Detroit</v>
      </c>
      <c r="S205" s="396" t="str">
        <f>IF(+NFL!$F249="Detroit",+NFL!S249,IF(+NFL!$H249="Detroit",+NFL!S249,0))</f>
        <v>Minnesota</v>
      </c>
      <c r="T205" s="397">
        <f>IF(+NFL!$F249="Detroit",+NFL!T249,IF(+NFL!$H249="Detroit",+NFL!T249,0))</f>
        <v>0</v>
      </c>
      <c r="U205" s="396" t="str">
        <f>IF(+NFL!$F249="Detroit",+NFL!U249,IF(+NFL!$H249="Detroit",+NFL!U249,0))</f>
        <v>L</v>
      </c>
      <c r="V205" s="397">
        <f>IF(+NFL!$F248="Detroit",+NFL!#REF!,IF(+NFL!$H248="Detroit",+NFL!#REF!,0))</f>
        <v>0</v>
      </c>
      <c r="W205" s="396">
        <f>IF(+NFL!$F248="Detroit",+NFL!#REF!,IF(+NFL!$H248="Detroit",+NFL!#REF!,0))</f>
        <v>0</v>
      </c>
      <c r="X205" s="397">
        <f>IF(+NFL!$F248="Detroit",+NFL!#REF!,IF(+NFL!$H248="Detroit",+NFL!#REF!,0))</f>
        <v>0</v>
      </c>
      <c r="Y205" s="396">
        <f>IF(+NFL!$F248="Detroit",+NFL!#REF!,IF(+NFL!$H248="Detroit",+NFL!#REF!,0))</f>
        <v>0</v>
      </c>
      <c r="Z205" s="397">
        <f>IF(+NFL!$F248="Detroit",+NFL!#REF!,IF(+NFL!$H248="Detroit",+NFL!#REF!,0))</f>
        <v>0</v>
      </c>
      <c r="AA205" s="396">
        <f>IF(+NFL!$F248="Detroit",+NFL!#REF!,IF(+NFL!$H248="Detroit",+NFL!#REF!,0))</f>
        <v>0</v>
      </c>
      <c r="AB205" s="87">
        <f>IF(+NFL!$F248="Detroit",+NFL!#REF!,IF(+NFL!$H248="Detroit",+NFL!#REF!,0))</f>
        <v>0</v>
      </c>
      <c r="AC205" s="120">
        <f>IF(+NFL!$F248="Detroit",+NFL!#REF!,IF(+NFL!$H248="Detroit",+NFL!#REF!,0))</f>
        <v>0</v>
      </c>
      <c r="AD205" s="353">
        <f>IF(+NFL!$F248="Detroit",+NFL!#REF!,IF(+NFL!$H248="Detroit",+NFL!#REF!,0))</f>
        <v>0</v>
      </c>
      <c r="AE205" s="379">
        <f>IF(+NFL!$F248="Detroit",+NFL!#REF!,IF(+NFL!$H248="Detroit",+NFL!#REF!,0))</f>
        <v>0</v>
      </c>
      <c r="AF205" s="353">
        <f>IF(+NFL!$F248="Detroit",+NFL!#REF!,IF(+NFL!$H248="Detroit",+NFL!#REF!,0))</f>
        <v>0</v>
      </c>
      <c r="AG205" s="379">
        <f>IF(+NFL!$F248="Detroit",+NFL!#REF!,IF(+NFL!$H248="Detroit",+NFL!#REF!,0))</f>
        <v>0</v>
      </c>
      <c r="AH205" s="353">
        <f>IF(+NFL!$F248="Detroit",+NFL!#REF!,IF(+NFL!$H248="Detroit",+NFL!#REF!,0))</f>
        <v>0</v>
      </c>
      <c r="AI205" s="379">
        <f>IF(+NFL!$F248="Detroit",+NFL!#REF!,IF(+NFL!$H248="Detroit",+NFL!#REF!,0))</f>
        <v>0</v>
      </c>
      <c r="AJ205" s="353">
        <f>IF(+NFL!$F248="Detroit",+NFL!#REF!,IF(+NFL!$H248="Detroit",+NFL!#REF!,0))</f>
        <v>0</v>
      </c>
      <c r="AK205" s="379">
        <f>IF(+NFL!$F248="Detroit",+NFL!#REF!,IF(+NFL!$H248="Detroit",+NFL!#REF!,0))</f>
        <v>0</v>
      </c>
      <c r="AL205" s="57">
        <f>IF(+NFL!$F248="Detroit",+NFL!#REF!,IF(+NFL!$H248="Detroit",+NFL!#REF!,0))</f>
        <v>0</v>
      </c>
      <c r="AM205" s="58">
        <f>IF(+NFL!$F248="Detroit",+NFL!#REF!,IF(+NFL!$H248="Detroit",+NFL!#REF!,0))</f>
        <v>0</v>
      </c>
      <c r="AN205" s="57">
        <f>IF(+NFL!$F248="Detroit",+NFL!#REF!,IF(+NFL!$H248="Detroit",+NFL!#REF!,0))</f>
        <v>0</v>
      </c>
      <c r="AO205" s="59">
        <f>IF(+NFL!$F248="Detroit",+NFL!#REF!,IF(+NFL!$H248="Detroit",+NFL!#REF!,0))</f>
        <v>0</v>
      </c>
      <c r="AP205" s="348">
        <f>IF(+NFL!$F248="Detroit",+NFL!#REF!,IF(+NFL!$H248="Detroit",+NFL!#REF!,0))</f>
        <v>0</v>
      </c>
      <c r="AQ205" s="48">
        <f>IF(+NFL!$F248="Detroit",+NFL!#REF!,IF(+NFL!$H248="Detroit",+NFL!#REF!,0))</f>
        <v>0</v>
      </c>
      <c r="AR205" s="57">
        <f>IF(+NFL!$F248="Detroit",+NFL!#REF!,IF(+NFL!$H248="Detroit",+NFL!#REF!,0))</f>
        <v>0</v>
      </c>
      <c r="AS205" s="64">
        <f>IF(+NFL!$F248="Detroit",+NFL!#REF!,IF(+NFL!$H248="Detroit",+NFL!#REF!,0))</f>
        <v>0</v>
      </c>
      <c r="AT205" s="64">
        <f>IF(+NFL!$F248="Detroit",+NFL!#REF!,IF(+NFL!$H248="Detroit",+NFL!#REF!,0))</f>
        <v>0</v>
      </c>
      <c r="AU205" s="57">
        <f>IF(+NFL!$F248="Detroit",+NFL!#REF!,IF(+NFL!$H248="Detroit",+NFL!#REF!,0))</f>
        <v>0</v>
      </c>
      <c r="AV205" s="64">
        <f>IF(+NFL!$F248="Detroit",+NFL!#REF!,IF(+NFL!$H248="Detroit",+NFL!#REF!,0))</f>
        <v>0</v>
      </c>
      <c r="AW205" s="46">
        <f>IF(+NFL!$F248="Detroit",+NFL!#REF!,IF(+NFL!$H248="Detroit",+NFL!#REF!,0))</f>
        <v>0</v>
      </c>
      <c r="AX205" s="64">
        <f>IF(+NFL!$F248="Detroit",+NFL!#REF!,IF(+NFL!$H248="Detroit",+NFL!#REF!,0))</f>
        <v>0</v>
      </c>
      <c r="AY205" s="57">
        <f>IF(+NFL!$F248="Detroit",+NFL!#REF!,IF(+NFL!$H248="Detroit",+NFL!#REF!,0))</f>
        <v>0</v>
      </c>
      <c r="AZ205" s="64">
        <f>IF(+NFL!$F248="Detroit",+NFL!#REF!,IF(+NFL!$H248="Detroit",+NFL!#REF!,0))</f>
        <v>0</v>
      </c>
      <c r="BA205" s="46">
        <f>IF(+NFL!$F248="Detroit",+NFL!#REF!,IF(+NFL!$H248="Detroit",+NFL!#REF!,0))</f>
        <v>0</v>
      </c>
      <c r="BB205" s="46">
        <f>IF(+NFL!$F248="Detroit",+NFL!#REF!,IF(+NFL!$H248="Detroit",+NFL!#REF!,0))</f>
        <v>0</v>
      </c>
      <c r="BC205" s="403">
        <f>IF(+NFL!$F248="Detroit",+NFL!#REF!,IF(+NFL!$H248="Detroit",+NFL!#REF!,0))</f>
        <v>0</v>
      </c>
      <c r="BD205" s="57">
        <f>IF(+NFL!$F248="Detroit",+NFL!#REF!,IF(+NFL!$H248="Detroit",+NFL!#REF!,0))</f>
        <v>0</v>
      </c>
      <c r="BE205" s="64">
        <f>IF(+NFL!$F248="Detroit",+NFL!#REF!,IF(+NFL!$H248="Detroit",+NFL!#REF!,0))</f>
        <v>0</v>
      </c>
      <c r="BF205" s="46">
        <f>IF(+NFL!$F248="Detroit",+NFL!#REF!,IF(+NFL!$H248="Detroit",+NFL!#REF!,0))</f>
        <v>0</v>
      </c>
      <c r="BG205" s="57">
        <f>IF(+NFL!$F248="Detroit",+NFL!#REF!,IF(+NFL!$H248="Detroit",+NFL!#REF!,0))</f>
        <v>0</v>
      </c>
      <c r="BH205" s="64">
        <f>IF(+NFL!$F248="Detroit",+NFL!#REF!,IF(+NFL!$H248="Detroit",+NFL!#REF!,0))</f>
        <v>0</v>
      </c>
      <c r="BI205" s="46">
        <f>IF(+NFL!$F248="Detroit",+NFL!#REF!,IF(+NFL!$H248="Detroit",+NFL!#REF!,0))</f>
        <v>0</v>
      </c>
      <c r="BJ205" s="87">
        <f>IF(+NFL!$F248="Detroit",+NFL!#REF!,IF(+NFL!$H248="Detroit",+NFL!#REF!,0))</f>
        <v>0</v>
      </c>
      <c r="BK205" s="120">
        <f>IF(+NFL!$F248="Detroit",+NFL!#REF!,IF(+NFL!$H248="Detroit",+NFL!#REF!,0))</f>
        <v>0</v>
      </c>
    </row>
    <row r="206" spans="1:63" x14ac:dyDescent="0.8">
      <c r="A206" s="46">
        <f>IF(+NFL!$F273="Detroit",+NFL!A273,IF(+NFL!$H273="Detroit",+NFL!A273,0))</f>
        <v>15</v>
      </c>
      <c r="B206" s="348" t="str">
        <f>IF(+NFL!$F273="Detroit",+NFL!B273,IF(+NFL!$H273="Detroit",+NFL!B273,0))</f>
        <v>Sun</v>
      </c>
      <c r="C206" s="48">
        <f>IF(+NFL!$F273="Detroit",+NFL!C273,IF(+NFL!$H273="Detroit",+NFL!C273,0))</f>
        <v>44913</v>
      </c>
      <c r="D206" s="490">
        <f>IF(+NFL!$F273="Detroit",+NFL!D273,IF(+NFL!$H273="Detroit",+NFL!D273,0))</f>
        <v>0.54166666666666663</v>
      </c>
      <c r="E206" s="46" t="str">
        <f>IF(+NFL!$F273="Detroit",+NFL!E273,IF(+NFL!$H273="Detroit",+NFL!E273,0))</f>
        <v>Fox</v>
      </c>
      <c r="F206" s="114" t="str">
        <f>IF(+NFL!$F273="Detroit",+NFL!F273,IF(+NFL!$H273="Detroit",+NFL!F273,0))</f>
        <v>Detroit</v>
      </c>
      <c r="G206" s="46" t="str">
        <f>IF(+NFL!$F273="Detroit",+NFL!G273,IF(+NFL!$H273="Detroit",+NFL!G273,0))</f>
        <v>NFCN</v>
      </c>
      <c r="H206" s="114" t="str">
        <f>IF(+NFL!$F273="Detroit",+NFL!H273,IF(+NFL!$H273="Detroit",+NFL!H273,0))</f>
        <v>NY Jets</v>
      </c>
      <c r="I206" s="46" t="str">
        <f>IF(+NFL!$F273="Detroit",+NFL!I273,IF(+NFL!$H273="Detroit",+NFL!I273,0))</f>
        <v>AFCE</v>
      </c>
      <c r="J206" s="353" t="str">
        <f>IF(+NFL!$F273="Detroit",+NFL!J273,IF(+NFL!$H273="Detroit",+NFL!J273,0))</f>
        <v>NY Jets</v>
      </c>
      <c r="K206" s="494" t="str">
        <f>IF(+NFL!$F273="Detroit",+NFL!K273,IF(+NFL!$H273="Detroit",+NFL!K273,0))</f>
        <v>Detroit</v>
      </c>
      <c r="L206" s="362">
        <f>IF(+NFL!$F273="Detroit",+NFL!L273,IF(+NFL!$H273="Detroit",+NFL!L273,0))</f>
        <v>1.5</v>
      </c>
      <c r="M206" s="386">
        <f>IF(+NFL!$F273="Detroit",+NFL!M273,IF(+NFL!$H273="Detroit",+NFL!M273,0))</f>
        <v>43.5</v>
      </c>
      <c r="N206" s="394" t="str">
        <f>IF(+NFL!$F273="Detroit",+NFL!N273,IF(+NFL!$H273="Detroit",+NFL!N273,0))</f>
        <v>Detroit</v>
      </c>
      <c r="O206" s="395">
        <f>IF(+NFL!$F273="Detroit",+NFL!O273,IF(+NFL!$H273="Detroit",+NFL!O273,0))</f>
        <v>20</v>
      </c>
      <c r="P206" s="394" t="str">
        <f>IF(+NFL!$F273="Detroit",+NFL!P273,IF(+NFL!$H273="Detroit",+NFL!P273,0))</f>
        <v>NY Jets</v>
      </c>
      <c r="Q206" s="396">
        <f>IF(+NFL!$F273="Detroit",+NFL!Q273,IF(+NFL!$H273="Detroit",+NFL!Q273,0))</f>
        <v>17</v>
      </c>
      <c r="R206" s="397" t="str">
        <f>IF(+NFL!$F273="Detroit",+NFL!R273,IF(+NFL!$H273="Detroit",+NFL!R273,0))</f>
        <v>Detroit</v>
      </c>
      <c r="S206" s="396" t="str">
        <f>IF(+NFL!$F273="Detroit",+NFL!S273,IF(+NFL!$H273="Detroit",+NFL!S273,0))</f>
        <v>NY Jets</v>
      </c>
      <c r="T206" s="397">
        <f>IF(+NFL!$F273="Detroit",+NFL!T273,IF(+NFL!$H273="Detroit",+NFL!T273,0))</f>
        <v>0</v>
      </c>
      <c r="U206" s="396" t="str">
        <f>IF(+NFL!$F273="Detroit",+NFL!U273,IF(+NFL!$H273="Detroit",+NFL!U273,0))</f>
        <v>L</v>
      </c>
      <c r="V206" s="397">
        <f>IF(+NFL!$F265="Detroit",+NFL!#REF!,IF(+NFL!$H265="Detroit",+NFL!#REF!,0))</f>
        <v>0</v>
      </c>
      <c r="W206" s="396">
        <f>IF(+NFL!$F265="Detroit",+NFL!#REF!,IF(+NFL!$H265="Detroit",+NFL!#REF!,0))</f>
        <v>0</v>
      </c>
      <c r="X206" s="397">
        <f>IF(+NFL!$F265="Detroit",+NFL!#REF!,IF(+NFL!$H265="Detroit",+NFL!#REF!,0))</f>
        <v>0</v>
      </c>
      <c r="Y206" s="396">
        <f>IF(+NFL!$F265="Detroit",+NFL!#REF!,IF(+NFL!$H265="Detroit",+NFL!#REF!,0))</f>
        <v>0</v>
      </c>
      <c r="Z206" s="397">
        <f>IF(+NFL!$F265="Detroit",+NFL!#REF!,IF(+NFL!$H265="Detroit",+NFL!#REF!,0))</f>
        <v>0</v>
      </c>
      <c r="AA206" s="396">
        <f>IF(+NFL!$F265="Detroit",+NFL!#REF!,IF(+NFL!$H265="Detroit",+NFL!#REF!,0))</f>
        <v>0</v>
      </c>
      <c r="AB206" s="87">
        <f>IF(+NFL!$F265="Detroit",+NFL!#REF!,IF(+NFL!$H265="Detroit",+NFL!#REF!,0))</f>
        <v>0</v>
      </c>
      <c r="AC206" s="120">
        <f>IF(+NFL!$F265="Detroit",+NFL!#REF!,IF(+NFL!$H265="Detroit",+NFL!#REF!,0))</f>
        <v>0</v>
      </c>
      <c r="AD206" s="353">
        <f>IF(+NFL!$F265="Detroit",+NFL!#REF!,IF(+NFL!$H265="Detroit",+NFL!#REF!,0))</f>
        <v>0</v>
      </c>
      <c r="AE206" s="379">
        <f>IF(+NFL!$F265="Detroit",+NFL!#REF!,IF(+NFL!$H265="Detroit",+NFL!#REF!,0))</f>
        <v>0</v>
      </c>
      <c r="AF206" s="353">
        <f>IF(+NFL!$F265="Detroit",+NFL!#REF!,IF(+NFL!$H265="Detroit",+NFL!#REF!,0))</f>
        <v>0</v>
      </c>
      <c r="AG206" s="379">
        <f>IF(+NFL!$F265="Detroit",+NFL!#REF!,IF(+NFL!$H265="Detroit",+NFL!#REF!,0))</f>
        <v>0</v>
      </c>
      <c r="AH206" s="353">
        <f>IF(+NFL!$F265="Detroit",+NFL!#REF!,IF(+NFL!$H265="Detroit",+NFL!#REF!,0))</f>
        <v>0</v>
      </c>
      <c r="AI206" s="379">
        <f>IF(+NFL!$F265="Detroit",+NFL!#REF!,IF(+NFL!$H265="Detroit",+NFL!#REF!,0))</f>
        <v>0</v>
      </c>
      <c r="AJ206" s="353">
        <f>IF(+NFL!$F265="Detroit",+NFL!#REF!,IF(+NFL!$H265="Detroit",+NFL!#REF!,0))</f>
        <v>0</v>
      </c>
      <c r="AK206" s="379">
        <f>IF(+NFL!$F265="Detroit",+NFL!#REF!,IF(+NFL!$H265="Detroit",+NFL!#REF!,0))</f>
        <v>0</v>
      </c>
      <c r="AL206" s="57">
        <f>IF(+NFL!$F265="Detroit",+NFL!#REF!,IF(+NFL!$H265="Detroit",+NFL!#REF!,0))</f>
        <v>0</v>
      </c>
      <c r="AM206" s="58">
        <f>IF(+NFL!$F265="Detroit",+NFL!#REF!,IF(+NFL!$H265="Detroit",+NFL!#REF!,0))</f>
        <v>0</v>
      </c>
      <c r="AN206" s="57">
        <f>IF(+NFL!$F265="Detroit",+NFL!#REF!,IF(+NFL!$H265="Detroit",+NFL!#REF!,0))</f>
        <v>0</v>
      </c>
      <c r="AO206" s="59">
        <f>IF(+NFL!$F265="Detroit",+NFL!#REF!,IF(+NFL!$H265="Detroit",+NFL!#REF!,0))</f>
        <v>0</v>
      </c>
      <c r="AP206" s="348">
        <f>IF(+NFL!$F265="Detroit",+NFL!#REF!,IF(+NFL!$H265="Detroit",+NFL!#REF!,0))</f>
        <v>0</v>
      </c>
      <c r="AQ206" s="48">
        <f>IF(+NFL!$F265="Detroit",+NFL!#REF!,IF(+NFL!$H265="Detroit",+NFL!#REF!,0))</f>
        <v>0</v>
      </c>
      <c r="AR206" s="57">
        <f>IF(+NFL!$F265="Detroit",+NFL!#REF!,IF(+NFL!$H265="Detroit",+NFL!#REF!,0))</f>
        <v>0</v>
      </c>
      <c r="AS206" s="64">
        <f>IF(+NFL!$F265="Detroit",+NFL!#REF!,IF(+NFL!$H265="Detroit",+NFL!#REF!,0))</f>
        <v>0</v>
      </c>
      <c r="AT206" s="64">
        <f>IF(+NFL!$F265="Detroit",+NFL!#REF!,IF(+NFL!$H265="Detroit",+NFL!#REF!,0))</f>
        <v>0</v>
      </c>
      <c r="AU206" s="57">
        <f>IF(+NFL!$F265="Detroit",+NFL!#REF!,IF(+NFL!$H265="Detroit",+NFL!#REF!,0))</f>
        <v>0</v>
      </c>
      <c r="AV206" s="64">
        <f>IF(+NFL!$F265="Detroit",+NFL!#REF!,IF(+NFL!$H265="Detroit",+NFL!#REF!,0))</f>
        <v>0</v>
      </c>
      <c r="AW206" s="46">
        <f>IF(+NFL!$F265="Detroit",+NFL!#REF!,IF(+NFL!$H265="Detroit",+NFL!#REF!,0))</f>
        <v>0</v>
      </c>
      <c r="AX206" s="64">
        <f>IF(+NFL!$F265="Detroit",+NFL!#REF!,IF(+NFL!$H265="Detroit",+NFL!#REF!,0))</f>
        <v>0</v>
      </c>
      <c r="AY206" s="57">
        <f>IF(+NFL!$F265="Detroit",+NFL!#REF!,IF(+NFL!$H265="Detroit",+NFL!#REF!,0))</f>
        <v>0</v>
      </c>
      <c r="AZ206" s="64">
        <f>IF(+NFL!$F265="Detroit",+NFL!#REF!,IF(+NFL!$H265="Detroit",+NFL!#REF!,0))</f>
        <v>0</v>
      </c>
      <c r="BA206" s="46">
        <f>IF(+NFL!$F265="Detroit",+NFL!#REF!,IF(+NFL!$H265="Detroit",+NFL!#REF!,0))</f>
        <v>0</v>
      </c>
      <c r="BB206" s="46">
        <f>IF(+NFL!$F265="Detroit",+NFL!#REF!,IF(+NFL!$H265="Detroit",+NFL!#REF!,0))</f>
        <v>0</v>
      </c>
      <c r="BC206" s="403">
        <f>IF(+NFL!$F265="Detroit",+NFL!#REF!,IF(+NFL!$H265="Detroit",+NFL!#REF!,0))</f>
        <v>0</v>
      </c>
      <c r="BD206" s="57">
        <f>IF(+NFL!$F265="Detroit",+NFL!#REF!,IF(+NFL!$H265="Detroit",+NFL!#REF!,0))</f>
        <v>0</v>
      </c>
      <c r="BE206" s="64">
        <f>IF(+NFL!$F265="Detroit",+NFL!#REF!,IF(+NFL!$H265="Detroit",+NFL!#REF!,0))</f>
        <v>0</v>
      </c>
      <c r="BF206" s="46">
        <f>IF(+NFL!$F265="Detroit",+NFL!#REF!,IF(+NFL!$H265="Detroit",+NFL!#REF!,0))</f>
        <v>0</v>
      </c>
      <c r="BG206" s="57">
        <f>IF(+NFL!$F265="Detroit",+NFL!#REF!,IF(+NFL!$H265="Detroit",+NFL!#REF!,0))</f>
        <v>0</v>
      </c>
      <c r="BH206" s="64">
        <f>IF(+NFL!$F265="Detroit",+NFL!#REF!,IF(+NFL!$H265="Detroit",+NFL!#REF!,0))</f>
        <v>0</v>
      </c>
      <c r="BI206" s="46">
        <f>IF(+NFL!$F265="Detroit",+NFL!#REF!,IF(+NFL!$H265="Detroit",+NFL!#REF!,0))</f>
        <v>0</v>
      </c>
      <c r="BJ206" s="87">
        <f>IF(+NFL!$F265="Detroit",+NFL!#REF!,IF(+NFL!$H265="Detroit",+NFL!#REF!,0))</f>
        <v>0</v>
      </c>
      <c r="BK206" s="120">
        <f>IF(+NFL!$F265="Detroit",+NFL!#REF!,IF(+NFL!$H265="Detroit",+NFL!#REF!,0))</f>
        <v>0</v>
      </c>
    </row>
    <row r="207" spans="1:63" x14ac:dyDescent="0.8">
      <c r="A207" s="46">
        <f>IF(+NFL!$F290="Detroit",+NFL!A290,IF(+NFL!$H290="Detroit",+NFL!A290,0))</f>
        <v>16</v>
      </c>
      <c r="B207" s="348" t="str">
        <f>IF(+NFL!$F290="Detroit",+NFL!B290,IF(+NFL!$H290="Detroit",+NFL!B290,0))</f>
        <v>Sat</v>
      </c>
      <c r="C207" s="48">
        <f>IF(+NFL!$F290="Detroit",+NFL!C290,IF(+NFL!$H290="Detroit",+NFL!C290,0))</f>
        <v>44919</v>
      </c>
      <c r="D207" s="490">
        <f>IF(+NFL!$F290="Detroit",+NFL!D290,IF(+NFL!$H290="Detroit",+NFL!D290,0))</f>
        <v>0.54166666666666663</v>
      </c>
      <c r="E207" s="46" t="str">
        <f>IF(+NFL!$F290="Detroit",+NFL!E290,IF(+NFL!$H290="Detroit",+NFL!E290,0))</f>
        <v>Fox</v>
      </c>
      <c r="F207" s="114" t="str">
        <f>IF(+NFL!$F290="Detroit",+NFL!F290,IF(+NFL!$H290="Detroit",+NFL!F290,0))</f>
        <v>Detroit</v>
      </c>
      <c r="G207" s="46" t="str">
        <f>IF(+NFL!$F290="Detroit",+NFL!G290,IF(+NFL!$H290="Detroit",+NFL!G290,0))</f>
        <v>NFCN</v>
      </c>
      <c r="H207" s="114" t="str">
        <f>IF(+NFL!$F290="Detroit",+NFL!H290,IF(+NFL!$H290="Detroit",+NFL!H290,0))</f>
        <v>Carolina</v>
      </c>
      <c r="I207" s="46" t="str">
        <f>IF(+NFL!$F290="Detroit",+NFL!I290,IF(+NFL!$H290="Detroit",+NFL!I290,0))</f>
        <v>NFCS</v>
      </c>
      <c r="J207" s="353" t="str">
        <f>IF(+NFL!$F290="Detroit",+NFL!J290,IF(+NFL!$H290="Detroit",+NFL!J290,0))</f>
        <v>Detroit</v>
      </c>
      <c r="K207" s="494" t="str">
        <f>IF(+NFL!$F290="Detroit",+NFL!K290,IF(+NFL!$H290="Detroit",+NFL!K290,0))</f>
        <v>Carolina</v>
      </c>
      <c r="L207" s="362">
        <f>IF(+NFL!$F290="Detroit",+NFL!L290,IF(+NFL!$H290="Detroit",+NFL!L290,0))</f>
        <v>2.5</v>
      </c>
      <c r="M207" s="386">
        <f>IF(+NFL!$F290="Detroit",+NFL!M290,IF(+NFL!$H290="Detroit",+NFL!M290,0))</f>
        <v>43.5</v>
      </c>
      <c r="N207" s="394" t="str">
        <f>IF(+NFL!$F290="Detroit",+NFL!N290,IF(+NFL!$H290="Detroit",+NFL!N290,0))</f>
        <v>Carolina</v>
      </c>
      <c r="O207" s="395">
        <f>IF(+NFL!$F290="Detroit",+NFL!O290,IF(+NFL!$H290="Detroit",+NFL!O290,0))</f>
        <v>37</v>
      </c>
      <c r="P207" s="394" t="str">
        <f>IF(+NFL!$F290="Detroit",+NFL!P290,IF(+NFL!$H290="Detroit",+NFL!P290,0))</f>
        <v>Detroit</v>
      </c>
      <c r="Q207" s="396">
        <f>IF(+NFL!$F290="Detroit",+NFL!Q290,IF(+NFL!$H290="Detroit",+NFL!Q290,0))</f>
        <v>23</v>
      </c>
      <c r="R207" s="397" t="str">
        <f>IF(+NFL!$F290="Detroit",+NFL!R290,IF(+NFL!$H290="Detroit",+NFL!R290,0))</f>
        <v>Carolina</v>
      </c>
      <c r="S207" s="396" t="str">
        <f>IF(+NFL!$F290="Detroit",+NFL!S290,IF(+NFL!$H290="Detroit",+NFL!S290,0))</f>
        <v>Detroit</v>
      </c>
      <c r="T207" s="397">
        <f>IF(+NFL!$F290="Detroit",+NFL!T290,IF(+NFL!$H290="Detroit",+NFL!T290,0))</f>
        <v>0</v>
      </c>
      <c r="U207" s="396" t="str">
        <f>IF(+NFL!$F290="Detroit",+NFL!U290,IF(+NFL!$H290="Detroit",+NFL!U290,0))</f>
        <v>L</v>
      </c>
      <c r="V207" s="397">
        <f>IF(+NFL!$F288="Detroit",+NFL!#REF!,IF(+NFL!$H288="Detroit",+NFL!#REF!,0))</f>
        <v>0</v>
      </c>
      <c r="W207" s="396">
        <f>IF(+NFL!$F288="Detroit",+NFL!#REF!,IF(+NFL!$H288="Detroit",+NFL!#REF!,0))</f>
        <v>0</v>
      </c>
      <c r="X207" s="397">
        <f>IF(+NFL!$F288="Detroit",+NFL!#REF!,IF(+NFL!$H288="Detroit",+NFL!#REF!,0))</f>
        <v>0</v>
      </c>
      <c r="Y207" s="396">
        <f>IF(+NFL!$F288="Detroit",+NFL!#REF!,IF(+NFL!$H288="Detroit",+NFL!#REF!,0))</f>
        <v>0</v>
      </c>
      <c r="Z207" s="397">
        <f>IF(+NFL!$F288="Detroit",+NFL!#REF!,IF(+NFL!$H288="Detroit",+NFL!#REF!,0))</f>
        <v>0</v>
      </c>
      <c r="AA207" s="396">
        <f>IF(+NFL!$F288="Detroit",+NFL!#REF!,IF(+NFL!$H288="Detroit",+NFL!#REF!,0))</f>
        <v>0</v>
      </c>
      <c r="AB207" s="87">
        <f>IF(+NFL!$F288="Detroit",+NFL!#REF!,IF(+NFL!$H288="Detroit",+NFL!#REF!,0))</f>
        <v>0</v>
      </c>
      <c r="AC207" s="120">
        <f>IF(+NFL!$F288="Detroit",+NFL!#REF!,IF(+NFL!$H288="Detroit",+NFL!#REF!,0))</f>
        <v>0</v>
      </c>
      <c r="AD207" s="353">
        <f>IF(+NFL!$F288="Detroit",+NFL!#REF!,IF(+NFL!$H288="Detroit",+NFL!#REF!,0))</f>
        <v>0</v>
      </c>
      <c r="AE207" s="379">
        <f>IF(+NFL!$F288="Detroit",+NFL!#REF!,IF(+NFL!$H288="Detroit",+NFL!#REF!,0))</f>
        <v>0</v>
      </c>
      <c r="AF207" s="353">
        <f>IF(+NFL!$F288="Detroit",+NFL!#REF!,IF(+NFL!$H288="Detroit",+NFL!#REF!,0))</f>
        <v>0</v>
      </c>
      <c r="AG207" s="379">
        <f>IF(+NFL!$F288="Detroit",+NFL!#REF!,IF(+NFL!$H288="Detroit",+NFL!#REF!,0))</f>
        <v>0</v>
      </c>
      <c r="AH207" s="353">
        <f>IF(+NFL!$F288="Detroit",+NFL!#REF!,IF(+NFL!$H288="Detroit",+NFL!#REF!,0))</f>
        <v>0</v>
      </c>
      <c r="AI207" s="379">
        <f>IF(+NFL!$F288="Detroit",+NFL!#REF!,IF(+NFL!$H288="Detroit",+NFL!#REF!,0))</f>
        <v>0</v>
      </c>
      <c r="AJ207" s="353">
        <f>IF(+NFL!$F288="Detroit",+NFL!#REF!,IF(+NFL!$H288="Detroit",+NFL!#REF!,0))</f>
        <v>0</v>
      </c>
      <c r="AK207" s="379">
        <f>IF(+NFL!$F288="Detroit",+NFL!#REF!,IF(+NFL!$H288="Detroit",+NFL!#REF!,0))</f>
        <v>0</v>
      </c>
      <c r="AL207" s="57">
        <f>IF(+NFL!$F288="Detroit",+NFL!#REF!,IF(+NFL!$H288="Detroit",+NFL!#REF!,0))</f>
        <v>0</v>
      </c>
      <c r="AM207" s="58">
        <f>IF(+NFL!$F288="Detroit",+NFL!#REF!,IF(+NFL!$H288="Detroit",+NFL!#REF!,0))</f>
        <v>0</v>
      </c>
      <c r="AN207" s="57">
        <f>IF(+NFL!$F288="Detroit",+NFL!#REF!,IF(+NFL!$H288="Detroit",+NFL!#REF!,0))</f>
        <v>0</v>
      </c>
      <c r="AO207" s="59">
        <f>IF(+NFL!$F288="Detroit",+NFL!#REF!,IF(+NFL!$H288="Detroit",+NFL!#REF!,0))</f>
        <v>0</v>
      </c>
      <c r="AP207" s="348">
        <f>IF(+NFL!$F288="Detroit",+NFL!#REF!,IF(+NFL!$H288="Detroit",+NFL!#REF!,0))</f>
        <v>0</v>
      </c>
      <c r="AQ207" s="48">
        <f>IF(+NFL!$F288="Detroit",+NFL!#REF!,IF(+NFL!$H288="Detroit",+NFL!#REF!,0))</f>
        <v>0</v>
      </c>
      <c r="AR207" s="57">
        <f>IF(+NFL!$F288="Detroit",+NFL!#REF!,IF(+NFL!$H288="Detroit",+NFL!#REF!,0))</f>
        <v>0</v>
      </c>
      <c r="AS207" s="64">
        <f>IF(+NFL!$F288="Detroit",+NFL!#REF!,IF(+NFL!$H288="Detroit",+NFL!#REF!,0))</f>
        <v>0</v>
      </c>
      <c r="AT207" s="64">
        <f>IF(+NFL!$F288="Detroit",+NFL!#REF!,IF(+NFL!$H288="Detroit",+NFL!#REF!,0))</f>
        <v>0</v>
      </c>
      <c r="AU207" s="57">
        <f>IF(+NFL!$F288="Detroit",+NFL!#REF!,IF(+NFL!$H288="Detroit",+NFL!#REF!,0))</f>
        <v>0</v>
      </c>
      <c r="AV207" s="64">
        <f>IF(+NFL!$F288="Detroit",+NFL!#REF!,IF(+NFL!$H288="Detroit",+NFL!#REF!,0))</f>
        <v>0</v>
      </c>
      <c r="AW207" s="46">
        <f>IF(+NFL!$F288="Detroit",+NFL!#REF!,IF(+NFL!$H288="Detroit",+NFL!#REF!,0))</f>
        <v>0</v>
      </c>
      <c r="AX207" s="64">
        <f>IF(+NFL!$F288="Detroit",+NFL!#REF!,IF(+NFL!$H288="Detroit",+NFL!#REF!,0))</f>
        <v>0</v>
      </c>
      <c r="AY207" s="57">
        <f>IF(+NFL!$F288="Detroit",+NFL!#REF!,IF(+NFL!$H288="Detroit",+NFL!#REF!,0))</f>
        <v>0</v>
      </c>
      <c r="AZ207" s="64">
        <f>IF(+NFL!$F288="Detroit",+NFL!#REF!,IF(+NFL!$H288="Detroit",+NFL!#REF!,0))</f>
        <v>0</v>
      </c>
      <c r="BA207" s="46">
        <f>IF(+NFL!$F288="Detroit",+NFL!#REF!,IF(+NFL!$H288="Detroit",+NFL!#REF!,0))</f>
        <v>0</v>
      </c>
      <c r="BB207" s="46">
        <f>IF(+NFL!$F288="Detroit",+NFL!#REF!,IF(+NFL!$H288="Detroit",+NFL!#REF!,0))</f>
        <v>0</v>
      </c>
      <c r="BC207" s="403">
        <f>IF(+NFL!$F288="Detroit",+NFL!#REF!,IF(+NFL!$H288="Detroit",+NFL!#REF!,0))</f>
        <v>0</v>
      </c>
      <c r="BD207" s="57">
        <f>IF(+NFL!$F288="Detroit",+NFL!#REF!,IF(+NFL!$H288="Detroit",+NFL!#REF!,0))</f>
        <v>0</v>
      </c>
      <c r="BE207" s="64">
        <f>IF(+NFL!$F288="Detroit",+NFL!#REF!,IF(+NFL!$H288="Detroit",+NFL!#REF!,0))</f>
        <v>0</v>
      </c>
      <c r="BF207" s="46">
        <f>IF(+NFL!$F288="Detroit",+NFL!#REF!,IF(+NFL!$H288="Detroit",+NFL!#REF!,0))</f>
        <v>0</v>
      </c>
      <c r="BG207" s="57">
        <f>IF(+NFL!$F288="Detroit",+NFL!#REF!,IF(+NFL!$H288="Detroit",+NFL!#REF!,0))</f>
        <v>0</v>
      </c>
      <c r="BH207" s="64">
        <f>IF(+NFL!$F288="Detroit",+NFL!#REF!,IF(+NFL!$H288="Detroit",+NFL!#REF!,0))</f>
        <v>0</v>
      </c>
      <c r="BI207" s="46">
        <f>IF(+NFL!$F288="Detroit",+NFL!#REF!,IF(+NFL!$H288="Detroit",+NFL!#REF!,0))</f>
        <v>0</v>
      </c>
      <c r="BJ207" s="87">
        <f>IF(+NFL!$F288="Detroit",+NFL!#REF!,IF(+NFL!$H288="Detroit",+NFL!#REF!,0))</f>
        <v>0</v>
      </c>
      <c r="BK207" s="120">
        <f>IF(+NFL!$F288="Detroit",+NFL!#REF!,IF(+NFL!$H288="Detroit",+NFL!#REF!,0))</f>
        <v>0</v>
      </c>
    </row>
    <row r="208" spans="1:63" x14ac:dyDescent="0.8">
      <c r="A208" s="46">
        <f>IF(+NFL!$F302="Detroit",+NFL!A302,IF(+NFL!$H302="Detroit",+NFL!A302,0))</f>
        <v>17</v>
      </c>
      <c r="B208" s="348" t="str">
        <f>IF(+NFL!$F302="Detroit",+NFL!B302,IF(+NFL!$H302="Detroit",+NFL!B302,0))</f>
        <v>Sun</v>
      </c>
      <c r="C208" s="48">
        <f>IF(+NFL!$F302="Detroit",+NFL!C302,IF(+NFL!$H302="Detroit",+NFL!C302,0))</f>
        <v>44927</v>
      </c>
      <c r="D208" s="490">
        <f>IF(+NFL!$F302="Detroit",+NFL!D302,IF(+NFL!$H302="Detroit",+NFL!D302,0))</f>
        <v>0.54166666666666663</v>
      </c>
      <c r="E208" s="46" t="str">
        <f>IF(+NFL!$F302="Detroit",+NFL!E302,IF(+NFL!$H302="Detroit",+NFL!E302,0))</f>
        <v>Fox</v>
      </c>
      <c r="F208" s="114" t="str">
        <f>IF(+NFL!$F302="Detroit",+NFL!F302,IF(+NFL!$H302="Detroit",+NFL!F302,0))</f>
        <v>Chicago</v>
      </c>
      <c r="G208" s="46" t="str">
        <f>IF(+NFL!$F302="Detroit",+NFL!G302,IF(+NFL!$H302="Detroit",+NFL!G302,0))</f>
        <v>NFCN</v>
      </c>
      <c r="H208" s="114" t="str">
        <f>IF(+NFL!$F302="Detroit",+NFL!H302,IF(+NFL!$H302="Detroit",+NFL!H302,0))</f>
        <v>Detroit</v>
      </c>
      <c r="I208" s="46" t="str">
        <f>IF(+NFL!$F302="Detroit",+NFL!I302,IF(+NFL!$H302="Detroit",+NFL!I302,0))</f>
        <v>NFCN</v>
      </c>
      <c r="J208" s="353" t="str">
        <f>IF(+NFL!$F302="Detroit",+NFL!J302,IF(+NFL!$H302="Detroit",+NFL!J302,0))</f>
        <v>Detroit</v>
      </c>
      <c r="K208" s="494" t="str">
        <f>IF(+NFL!$F302="Detroit",+NFL!K302,IF(+NFL!$H302="Detroit",+NFL!K302,0))</f>
        <v>Chicago</v>
      </c>
      <c r="L208" s="362">
        <f>IF(+NFL!$F302="Detroit",+NFL!L302,IF(+NFL!$H302="Detroit",+NFL!L302,0))</f>
        <v>4.5</v>
      </c>
      <c r="M208" s="386">
        <f>IF(+NFL!$F302="Detroit",+NFL!M302,IF(+NFL!$H302="Detroit",+NFL!M302,0))</f>
        <v>52.5</v>
      </c>
      <c r="N208" s="394" t="str">
        <f>IF(+NFL!$F302="Detroit",+NFL!N302,IF(+NFL!$H302="Detroit",+NFL!N302,0))</f>
        <v>Detroit</v>
      </c>
      <c r="O208" s="395">
        <f>IF(+NFL!$F302="Detroit",+NFL!O302,IF(+NFL!$H302="Detroit",+NFL!O302,0))</f>
        <v>41</v>
      </c>
      <c r="P208" s="394" t="str">
        <f>IF(+NFL!$F302="Detroit",+NFL!P302,IF(+NFL!$H302="Detroit",+NFL!P302,0))</f>
        <v>Chicago</v>
      </c>
      <c r="Q208" s="396">
        <f>IF(+NFL!$F302="Detroit",+NFL!Q302,IF(+NFL!$H302="Detroit",+NFL!Q302,0))</f>
        <v>10</v>
      </c>
      <c r="R208" s="397" t="str">
        <f>IF(+NFL!$F302="Detroit",+NFL!R302,IF(+NFL!$H302="Detroit",+NFL!R302,0))</f>
        <v>Detroit</v>
      </c>
      <c r="S208" s="396" t="str">
        <f>IF(+NFL!$F302="Detroit",+NFL!S302,IF(+NFL!$H302="Detroit",+NFL!S302,0))</f>
        <v>Chicago</v>
      </c>
      <c r="T208" s="397">
        <f>IF(+NFL!$F302="Detroit",+NFL!T302,IF(+NFL!$H302="Detroit",+NFL!T302,0))</f>
        <v>0</v>
      </c>
      <c r="U208" s="396" t="str">
        <f>IF(+NFL!$F302="Detroit",+NFL!U302,IF(+NFL!$H302="Detroit",+NFL!U302,0))</f>
        <v>L</v>
      </c>
      <c r="V208" s="397">
        <f>IF(+NFL!$F303="Detroit",+NFL!#REF!,IF(+NFL!$H303="Detroit",+NFL!#REF!,0))</f>
        <v>0</v>
      </c>
      <c r="W208" s="396">
        <f>IF(+NFL!$F303="Detroit",+NFL!#REF!,IF(+NFL!$H303="Detroit",+NFL!#REF!,0))</f>
        <v>0</v>
      </c>
      <c r="X208" s="397">
        <f>IF(+NFL!$F303="Detroit",+NFL!#REF!,IF(+NFL!$H303="Detroit",+NFL!#REF!,0))</f>
        <v>0</v>
      </c>
      <c r="Y208" s="396">
        <f>IF(+NFL!$F303="Detroit",+NFL!#REF!,IF(+NFL!$H303="Detroit",+NFL!#REF!,0))</f>
        <v>0</v>
      </c>
      <c r="Z208" s="397">
        <f>IF(+NFL!$F303="Detroit",+NFL!#REF!,IF(+NFL!$H303="Detroit",+NFL!#REF!,0))</f>
        <v>0</v>
      </c>
      <c r="AA208" s="396">
        <f>IF(+NFL!$F303="Detroit",+NFL!#REF!,IF(+NFL!$H303="Detroit",+NFL!#REF!,0))</f>
        <v>0</v>
      </c>
      <c r="AB208" s="87">
        <f>IF(+NFL!$F303="Detroit",+NFL!#REF!,IF(+NFL!$H303="Detroit",+NFL!#REF!,0))</f>
        <v>0</v>
      </c>
      <c r="AC208" s="120">
        <f>IF(+NFL!$F303="Detroit",+NFL!#REF!,IF(+NFL!$H303="Detroit",+NFL!#REF!,0))</f>
        <v>0</v>
      </c>
      <c r="AD208" s="353">
        <f>IF(+NFL!$F303="Detroit",+NFL!#REF!,IF(+NFL!$H303="Detroit",+NFL!#REF!,0))</f>
        <v>0</v>
      </c>
      <c r="AE208" s="379">
        <f>IF(+NFL!$F303="Detroit",+NFL!#REF!,IF(+NFL!$H303="Detroit",+NFL!#REF!,0))</f>
        <v>0</v>
      </c>
      <c r="AF208" s="353">
        <f>IF(+NFL!$F303="Detroit",+NFL!#REF!,IF(+NFL!$H303="Detroit",+NFL!#REF!,0))</f>
        <v>0</v>
      </c>
      <c r="AG208" s="379">
        <f>IF(+NFL!$F303="Detroit",+NFL!#REF!,IF(+NFL!$H303="Detroit",+NFL!#REF!,0))</f>
        <v>0</v>
      </c>
      <c r="AH208" s="353">
        <f>IF(+NFL!$F303="Detroit",+NFL!#REF!,IF(+NFL!$H303="Detroit",+NFL!#REF!,0))</f>
        <v>0</v>
      </c>
      <c r="AI208" s="379">
        <f>IF(+NFL!$F303="Detroit",+NFL!#REF!,IF(+NFL!$H303="Detroit",+NFL!#REF!,0))</f>
        <v>0</v>
      </c>
      <c r="AJ208" s="353">
        <f>IF(+NFL!$F303="Detroit",+NFL!#REF!,IF(+NFL!$H303="Detroit",+NFL!#REF!,0))</f>
        <v>0</v>
      </c>
      <c r="AK208" s="379">
        <f>IF(+NFL!$F303="Detroit",+NFL!#REF!,IF(+NFL!$H303="Detroit",+NFL!#REF!,0))</f>
        <v>0</v>
      </c>
      <c r="AL208" s="57">
        <f>IF(+NFL!$F303="Detroit",+NFL!#REF!,IF(+NFL!$H303="Detroit",+NFL!#REF!,0))</f>
        <v>0</v>
      </c>
      <c r="AM208" s="58">
        <f>IF(+NFL!$F303="Detroit",+NFL!#REF!,IF(+NFL!$H303="Detroit",+NFL!#REF!,0))</f>
        <v>0</v>
      </c>
      <c r="AN208" s="57">
        <f>IF(+NFL!$F303="Detroit",+NFL!#REF!,IF(+NFL!$H303="Detroit",+NFL!#REF!,0))</f>
        <v>0</v>
      </c>
      <c r="AO208" s="59">
        <f>IF(+NFL!$F303="Detroit",+NFL!#REF!,IF(+NFL!$H303="Detroit",+NFL!#REF!,0))</f>
        <v>0</v>
      </c>
      <c r="AP208" s="348">
        <f>IF(+NFL!$F303="Detroit",+NFL!#REF!,IF(+NFL!$H303="Detroit",+NFL!#REF!,0))</f>
        <v>0</v>
      </c>
      <c r="AQ208" s="48">
        <f>IF(+NFL!$F303="Detroit",+NFL!#REF!,IF(+NFL!$H303="Detroit",+NFL!#REF!,0))</f>
        <v>0</v>
      </c>
      <c r="AR208" s="57">
        <f>IF(+NFL!$F303="Detroit",+NFL!#REF!,IF(+NFL!$H303="Detroit",+NFL!#REF!,0))</f>
        <v>0</v>
      </c>
      <c r="AS208" s="64">
        <f>IF(+NFL!$F303="Detroit",+NFL!#REF!,IF(+NFL!$H303="Detroit",+NFL!#REF!,0))</f>
        <v>0</v>
      </c>
      <c r="AT208" s="64">
        <f>IF(+NFL!$F303="Detroit",+NFL!#REF!,IF(+NFL!$H303="Detroit",+NFL!#REF!,0))</f>
        <v>0</v>
      </c>
      <c r="AU208" s="57">
        <f>IF(+NFL!$F303="Detroit",+NFL!#REF!,IF(+NFL!$H303="Detroit",+NFL!#REF!,0))</f>
        <v>0</v>
      </c>
      <c r="AV208" s="64">
        <f>IF(+NFL!$F303="Detroit",+NFL!#REF!,IF(+NFL!$H303="Detroit",+NFL!#REF!,0))</f>
        <v>0</v>
      </c>
      <c r="AW208" s="46">
        <f>IF(+NFL!$F303="Detroit",+NFL!#REF!,IF(+NFL!$H303="Detroit",+NFL!#REF!,0))</f>
        <v>0</v>
      </c>
      <c r="AX208" s="64">
        <f>IF(+NFL!$F303="Detroit",+NFL!#REF!,IF(+NFL!$H303="Detroit",+NFL!#REF!,0))</f>
        <v>0</v>
      </c>
      <c r="AY208" s="57">
        <f>IF(+NFL!$F303="Detroit",+NFL!#REF!,IF(+NFL!$H303="Detroit",+NFL!#REF!,0))</f>
        <v>0</v>
      </c>
      <c r="AZ208" s="64">
        <f>IF(+NFL!$F303="Detroit",+NFL!#REF!,IF(+NFL!$H303="Detroit",+NFL!#REF!,0))</f>
        <v>0</v>
      </c>
      <c r="BA208" s="46">
        <f>IF(+NFL!$F303="Detroit",+NFL!#REF!,IF(+NFL!$H303="Detroit",+NFL!#REF!,0))</f>
        <v>0</v>
      </c>
      <c r="BB208" s="46">
        <f>IF(+NFL!$F303="Detroit",+NFL!#REF!,IF(+NFL!$H303="Detroit",+NFL!#REF!,0))</f>
        <v>0</v>
      </c>
      <c r="BC208" s="403">
        <f>IF(+NFL!$F303="Detroit",+NFL!#REF!,IF(+NFL!$H303="Detroit",+NFL!#REF!,0))</f>
        <v>0</v>
      </c>
      <c r="BD208" s="57">
        <f>IF(+NFL!$F303="Detroit",+NFL!#REF!,IF(+NFL!$H303="Detroit",+NFL!#REF!,0))</f>
        <v>0</v>
      </c>
      <c r="BE208" s="64">
        <f>IF(+NFL!$F303="Detroit",+NFL!#REF!,IF(+NFL!$H303="Detroit",+NFL!#REF!,0))</f>
        <v>0</v>
      </c>
      <c r="BF208" s="46">
        <f>IF(+NFL!$F303="Detroit",+NFL!#REF!,IF(+NFL!$H303="Detroit",+NFL!#REF!,0))</f>
        <v>0</v>
      </c>
      <c r="BG208" s="57">
        <f>IF(+NFL!$F303="Detroit",+NFL!#REF!,IF(+NFL!$H303="Detroit",+NFL!#REF!,0))</f>
        <v>0</v>
      </c>
      <c r="BH208" s="64">
        <f>IF(+NFL!$F303="Detroit",+NFL!#REF!,IF(+NFL!$H303="Detroit",+NFL!#REF!,0))</f>
        <v>0</v>
      </c>
      <c r="BI208" s="46">
        <f>IF(+NFL!$F303="Detroit",+NFL!#REF!,IF(+NFL!$H303="Detroit",+NFL!#REF!,0))</f>
        <v>0</v>
      </c>
      <c r="BJ208" s="87">
        <f>IF(+NFL!$F303="Detroit",+NFL!#REF!,IF(+NFL!$H303="Detroit",+NFL!#REF!,0))</f>
        <v>0</v>
      </c>
      <c r="BK208" s="120">
        <f>IF(+NFL!$F303="Detroit",+NFL!#REF!,IF(+NFL!$H303="Detroit",+NFL!#REF!,0))</f>
        <v>0</v>
      </c>
    </row>
    <row r="209" spans="1:63" x14ac:dyDescent="0.8">
      <c r="A209" s="46">
        <f>IF(+NFL!$F321="Detroit",+NFL!A321,IF(+NFL!$H321="Detroit",+NFL!A321,0))</f>
        <v>0</v>
      </c>
      <c r="B209" s="348">
        <f>IF(+NFL!$F321="Detroit",+NFL!B321,IF(+NFL!$H321="Detroit",+NFL!B321,0))</f>
        <v>0</v>
      </c>
      <c r="C209" s="48">
        <f>IF(+NFL!$F321="Detroit",+NFL!C321,IF(+NFL!$H321="Detroit",+NFL!C321,0))</f>
        <v>0</v>
      </c>
      <c r="D209" s="490">
        <f>IF(+NFL!$F321="Detroit",+NFL!D321,IF(+NFL!$H321="Detroit",+NFL!D321,0))</f>
        <v>0</v>
      </c>
      <c r="E209" s="46">
        <f>IF(+NFL!$F321="Detroit",+NFL!E321,IF(+NFL!$H321="Detroit",+NFL!E321,0))</f>
        <v>0</v>
      </c>
      <c r="F209" s="114">
        <f>IF(+NFL!$F321="Detroit",+NFL!F321,IF(+NFL!$H321="Detroit",+NFL!F321,0))</f>
        <v>0</v>
      </c>
      <c r="G209" s="46">
        <f>IF(+NFL!$F321="Detroit",+NFL!G321,IF(+NFL!$H321="Detroit",+NFL!G321,0))</f>
        <v>0</v>
      </c>
      <c r="H209" s="114">
        <f>IF(+NFL!$F321="Detroit",+NFL!H321,IF(+NFL!$H321="Detroit",+NFL!H321,0))</f>
        <v>0</v>
      </c>
      <c r="I209" s="46">
        <f>IF(+NFL!$F321="Detroit",+NFL!I321,IF(+NFL!$H321="Detroit",+NFL!I321,0))</f>
        <v>0</v>
      </c>
      <c r="J209" s="353">
        <f>IF(+NFL!$F321="Detroit",+NFL!J321,IF(+NFL!$H321="Detroit",+NFL!J321,0))</f>
        <v>0</v>
      </c>
      <c r="K209" s="494">
        <f>IF(+NFL!$F321="Detroit",+NFL!K321,IF(+NFL!$H321="Detroit",+NFL!K321,0))</f>
        <v>0</v>
      </c>
      <c r="L209" s="362">
        <f>IF(+NFL!$F321="Detroit",+NFL!L321,IF(+NFL!$H321="Detroit",+NFL!L321,0))</f>
        <v>0</v>
      </c>
      <c r="M209" s="386">
        <f>IF(+NFL!$F321="Detroit",+NFL!M321,IF(+NFL!$H321="Detroit",+NFL!M321,0))</f>
        <v>0</v>
      </c>
      <c r="N209" s="394">
        <f>IF(+NFL!$F321="Detroit",+NFL!N321,IF(+NFL!$H321="Detroit",+NFL!N321,0))</f>
        <v>0</v>
      </c>
      <c r="O209" s="395">
        <f>IF(+NFL!$F321="Detroit",+NFL!O321,IF(+NFL!$H321="Detroit",+NFL!O321,0))</f>
        <v>0</v>
      </c>
      <c r="P209" s="394">
        <f>IF(+NFL!$F321="Detroit",+NFL!P321,IF(+NFL!$H321="Detroit",+NFL!P321,0))</f>
        <v>0</v>
      </c>
      <c r="Q209" s="396">
        <f>IF(+NFL!$F321="Detroit",+NFL!Q321,IF(+NFL!$H321="Detroit",+NFL!Q321,0))</f>
        <v>0</v>
      </c>
      <c r="R209" s="397">
        <f>IF(+NFL!$F321="Detroit",+NFL!R321,IF(+NFL!$H321="Detroit",+NFL!R321,0))</f>
        <v>0</v>
      </c>
      <c r="S209" s="396">
        <f>IF(+NFL!$F321="Detroit",+NFL!S321,IF(+NFL!$H321="Detroit",+NFL!S321,0))</f>
        <v>0</v>
      </c>
      <c r="T209" s="397">
        <f>IF(+NFL!$F321="Detroit",+NFL!T321,IF(+NFL!$H321="Detroit",+NFL!T321,0))</f>
        <v>0</v>
      </c>
      <c r="U209" s="396">
        <f>IF(+NFL!$F321="Detroit",+NFL!U321,IF(+NFL!$H321="Detroit",+NFL!U321,0))</f>
        <v>0</v>
      </c>
      <c r="V209" s="397">
        <f>IF(+NFL!$F327="Detroit",+NFL!#REF!,IF(+NFL!$H327="Detroit",+NFL!#REF!,0))</f>
        <v>0</v>
      </c>
      <c r="W209" s="396">
        <f>IF(+NFL!$F327="Detroit",+NFL!#REF!,IF(+NFL!$H327="Detroit",+NFL!#REF!,0))</f>
        <v>0</v>
      </c>
      <c r="X209" s="397">
        <f>IF(+NFL!$F327="Detroit",+NFL!#REF!,IF(+NFL!$H327="Detroit",+NFL!#REF!,0))</f>
        <v>0</v>
      </c>
      <c r="Y209" s="396">
        <f>IF(+NFL!$F327="Detroit",+NFL!#REF!,IF(+NFL!$H327="Detroit",+NFL!#REF!,0))</f>
        <v>0</v>
      </c>
      <c r="Z209" s="397">
        <f>IF(+NFL!$F327="Detroit",+NFL!#REF!,IF(+NFL!$H327="Detroit",+NFL!#REF!,0))</f>
        <v>0</v>
      </c>
      <c r="AA209" s="396">
        <f>IF(+NFL!$F327="Detroit",+NFL!#REF!,IF(+NFL!$H327="Detroit",+NFL!#REF!,0))</f>
        <v>0</v>
      </c>
      <c r="AB209" s="87">
        <f>IF(+NFL!$F327="Detroit",+NFL!#REF!,IF(+NFL!$H327="Detroit",+NFL!#REF!,0))</f>
        <v>0</v>
      </c>
      <c r="AC209" s="120">
        <f>IF(+NFL!$F327="Detroit",+NFL!#REF!,IF(+NFL!$H327="Detroit",+NFL!#REF!,0))</f>
        <v>0</v>
      </c>
      <c r="AD209" s="353">
        <f>IF(+NFL!$F327="Detroit",+NFL!#REF!,IF(+NFL!$H327="Detroit",+NFL!#REF!,0))</f>
        <v>0</v>
      </c>
      <c r="AE209" s="379">
        <f>IF(+NFL!$F327="Detroit",+NFL!#REF!,IF(+NFL!$H327="Detroit",+NFL!#REF!,0))</f>
        <v>0</v>
      </c>
      <c r="AF209" s="353">
        <f>IF(+NFL!$F327="Detroit",+NFL!#REF!,IF(+NFL!$H327="Detroit",+NFL!#REF!,0))</f>
        <v>0</v>
      </c>
      <c r="AG209" s="379">
        <f>IF(+NFL!$F327="Detroit",+NFL!#REF!,IF(+NFL!$H327="Detroit",+NFL!#REF!,0))</f>
        <v>0</v>
      </c>
      <c r="AH209" s="353">
        <f>IF(+NFL!$F327="Detroit",+NFL!#REF!,IF(+NFL!$H327="Detroit",+NFL!#REF!,0))</f>
        <v>0</v>
      </c>
      <c r="AI209" s="379">
        <f>IF(+NFL!$F327="Detroit",+NFL!#REF!,IF(+NFL!$H327="Detroit",+NFL!#REF!,0))</f>
        <v>0</v>
      </c>
      <c r="AJ209" s="353">
        <f>IF(+NFL!$F327="Detroit",+NFL!#REF!,IF(+NFL!$H327="Detroit",+NFL!#REF!,0))</f>
        <v>0</v>
      </c>
      <c r="AK209" s="379">
        <f>IF(+NFL!$F327="Detroit",+NFL!#REF!,IF(+NFL!$H327="Detroit",+NFL!#REF!,0))</f>
        <v>0</v>
      </c>
      <c r="AL209" s="57">
        <f>IF(+NFL!$F327="Detroit",+NFL!#REF!,IF(+NFL!$H327="Detroit",+NFL!#REF!,0))</f>
        <v>0</v>
      </c>
      <c r="AM209" s="58">
        <f>IF(+NFL!$F327="Detroit",+NFL!#REF!,IF(+NFL!$H327="Detroit",+NFL!#REF!,0))</f>
        <v>0</v>
      </c>
      <c r="AN209" s="57">
        <f>IF(+NFL!$F327="Detroit",+NFL!#REF!,IF(+NFL!$H327="Detroit",+NFL!#REF!,0))</f>
        <v>0</v>
      </c>
      <c r="AO209" s="59">
        <f>IF(+NFL!$F327="Detroit",+NFL!#REF!,IF(+NFL!$H327="Detroit",+NFL!#REF!,0))</f>
        <v>0</v>
      </c>
      <c r="AP209" s="348">
        <f>IF(+NFL!$F327="Detroit",+NFL!#REF!,IF(+NFL!$H327="Detroit",+NFL!#REF!,0))</f>
        <v>0</v>
      </c>
      <c r="AQ209" s="48">
        <f>IF(+NFL!$F327="Detroit",+NFL!#REF!,IF(+NFL!$H327="Detroit",+NFL!#REF!,0))</f>
        <v>0</v>
      </c>
      <c r="AR209" s="57">
        <f>IF(+NFL!$F327="Detroit",+NFL!#REF!,IF(+NFL!$H327="Detroit",+NFL!#REF!,0))</f>
        <v>0</v>
      </c>
      <c r="AS209" s="64">
        <f>IF(+NFL!$F327="Detroit",+NFL!#REF!,IF(+NFL!$H327="Detroit",+NFL!#REF!,0))</f>
        <v>0</v>
      </c>
      <c r="AT209" s="64">
        <f>IF(+NFL!$F327="Detroit",+NFL!#REF!,IF(+NFL!$H327="Detroit",+NFL!#REF!,0))</f>
        <v>0</v>
      </c>
      <c r="AU209" s="57">
        <f>IF(+NFL!$F327="Detroit",+NFL!#REF!,IF(+NFL!$H327="Detroit",+NFL!#REF!,0))</f>
        <v>0</v>
      </c>
      <c r="AV209" s="64">
        <f>IF(+NFL!$F327="Detroit",+NFL!#REF!,IF(+NFL!$H327="Detroit",+NFL!#REF!,0))</f>
        <v>0</v>
      </c>
      <c r="AW209" s="46">
        <f>IF(+NFL!$F327="Detroit",+NFL!#REF!,IF(+NFL!$H327="Detroit",+NFL!#REF!,0))</f>
        <v>0</v>
      </c>
      <c r="AX209" s="64">
        <f>IF(+NFL!$F327="Detroit",+NFL!#REF!,IF(+NFL!$H327="Detroit",+NFL!#REF!,0))</f>
        <v>0</v>
      </c>
      <c r="AY209" s="57">
        <f>IF(+NFL!$F327="Detroit",+NFL!#REF!,IF(+NFL!$H327="Detroit",+NFL!#REF!,0))</f>
        <v>0</v>
      </c>
      <c r="AZ209" s="64">
        <f>IF(+NFL!$F327="Detroit",+NFL!#REF!,IF(+NFL!$H327="Detroit",+NFL!#REF!,0))</f>
        <v>0</v>
      </c>
      <c r="BA209" s="46">
        <f>IF(+NFL!$F327="Detroit",+NFL!#REF!,IF(+NFL!$H327="Detroit",+NFL!#REF!,0))</f>
        <v>0</v>
      </c>
      <c r="BB209" s="46">
        <f>IF(+NFL!$F327="Detroit",+NFL!#REF!,IF(+NFL!$H327="Detroit",+NFL!#REF!,0))</f>
        <v>0</v>
      </c>
      <c r="BC209" s="403">
        <f>IF(+NFL!$F327="Detroit",+NFL!#REF!,IF(+NFL!$H327="Detroit",+NFL!#REF!,0))</f>
        <v>0</v>
      </c>
      <c r="BD209" s="57">
        <f>IF(+NFL!$F327="Detroit",+NFL!#REF!,IF(+NFL!$H327="Detroit",+NFL!#REF!,0))</f>
        <v>0</v>
      </c>
      <c r="BE209" s="64">
        <f>IF(+NFL!$F327="Detroit",+NFL!#REF!,IF(+NFL!$H327="Detroit",+NFL!#REF!,0))</f>
        <v>0</v>
      </c>
      <c r="BF209" s="46">
        <f>IF(+NFL!$F327="Detroit",+NFL!#REF!,IF(+NFL!$H327="Detroit",+NFL!#REF!,0))</f>
        <v>0</v>
      </c>
      <c r="BG209" s="57">
        <f>IF(+NFL!$F327="Detroit",+NFL!#REF!,IF(+NFL!$H327="Detroit",+NFL!#REF!,0))</f>
        <v>0</v>
      </c>
      <c r="BH209" s="64">
        <f>IF(+NFL!$F327="Detroit",+NFL!#REF!,IF(+NFL!$H327="Detroit",+NFL!#REF!,0))</f>
        <v>0</v>
      </c>
      <c r="BI209" s="46">
        <f>IF(+NFL!$F327="Detroit",+NFL!#REF!,IF(+NFL!$H327="Detroit",+NFL!#REF!,0))</f>
        <v>0</v>
      </c>
      <c r="BJ209" s="87">
        <f>IF(+NFL!$F327="Detroit",+NFL!#REF!,IF(+NFL!$H327="Detroit",+NFL!#REF!,0))</f>
        <v>0</v>
      </c>
      <c r="BK209" s="120">
        <f>IF(+NFL!$F327="Detroit",+NFL!#REF!,IF(+NFL!$H327="Detroit",+NFL!#REF!,0))</f>
        <v>0</v>
      </c>
    </row>
    <row r="210" spans="1:63" x14ac:dyDescent="0.8">
      <c r="F210" s="959" t="str">
        <f>F211</f>
        <v>Green Bay</v>
      </c>
      <c r="G210" s="960"/>
      <c r="H210" s="960"/>
      <c r="I210" s="961"/>
      <c r="L210" s="384"/>
      <c r="M210" s="385"/>
      <c r="N210" s="394"/>
      <c r="P210" s="394"/>
      <c r="R210" s="397"/>
      <c r="S210" s="396"/>
      <c r="T210" s="398"/>
      <c r="X210" s="398"/>
      <c r="AA210" s="400"/>
      <c r="AG210" s="388"/>
      <c r="AL210" s="69"/>
      <c r="AN210" s="70"/>
      <c r="AY210" s="57"/>
      <c r="AZ210" s="64"/>
      <c r="BA210" s="46"/>
      <c r="BB210" s="46"/>
      <c r="BF210" s="46"/>
    </row>
    <row r="211" spans="1:63" x14ac:dyDescent="0.8">
      <c r="A211" s="46">
        <f>IF(+NFL!$F15="Green Bay",+NFL!A15,IF(+NFL!$H15="Green Bay",+NFL!A15,0))</f>
        <v>1</v>
      </c>
      <c r="B211" s="348" t="str">
        <f>IF(+NFL!$F15="Green Bay",+NFL!B15,IF(+NFL!$H15="Green Bay",+NFL!B15,0))</f>
        <v>Sun</v>
      </c>
      <c r="C211" s="48">
        <f>IF(+NFL!$F15="Green Bay",+NFL!C15,IF(+NFL!$H15="Green Bay",+NFL!C15,0))</f>
        <v>44815</v>
      </c>
      <c r="D211" s="490">
        <f>IF(+NFL!$F15="Green Bay",+NFL!D15,IF(+NFL!$H15="Green Bay",+NFL!D15,0))</f>
        <v>0.66666666666666663</v>
      </c>
      <c r="E211" s="46" t="str">
        <f>IF(+NFL!$F15="Green Bay",+NFL!E15,IF(+NFL!$H15="Green Bay",+NFL!E15,0))</f>
        <v>Fox</v>
      </c>
      <c r="F211" s="114" t="str">
        <f>IF(+NFL!$F15="Green Bay",+NFL!F15,IF(+NFL!$H15="Green Bay",+NFL!F15,0))</f>
        <v>Green Bay</v>
      </c>
      <c r="G211" s="46" t="str">
        <f>IF(+NFL!$F15="Green Bay",+NFL!G15,IF(+NFL!$H15="Green Bay",+NFL!G15,0))</f>
        <v>NFCN</v>
      </c>
      <c r="H211" s="114" t="str">
        <f>IF(+NFL!$F15="Green Bay",+NFL!H15,IF(+NFL!$H15="Green Bay",+NFL!H15,0))</f>
        <v>Minnesota</v>
      </c>
      <c r="I211" s="46" t="str">
        <f>IF(+NFL!$F15="Green Bay",+NFL!I15,IF(+NFL!$H15="Green Bay",+NFL!I15,0))</f>
        <v>NFCN</v>
      </c>
      <c r="J211" s="353" t="str">
        <f>IF(+NFL!$F15="Green Bay",+NFL!J15,IF(+NFL!$H15="Green Bay",+NFL!J15,0))</f>
        <v>Green Bay</v>
      </c>
      <c r="K211" s="494" t="str">
        <f>IF(+NFL!$F15="Green Bay",+NFL!K15,IF(+NFL!$H15="Green Bay",+NFL!K15,0))</f>
        <v>Minnesota</v>
      </c>
      <c r="L211" s="384">
        <f>IF(+NFL!$F15="Green Bay",+NFL!L15,IF(+NFL!$H15="Green Bay",+NFL!L15,0))</f>
        <v>1.5</v>
      </c>
      <c r="M211" s="385">
        <f>IF(+NFL!$F15="Green Bay",+NFL!M15,IF(+NFL!$H15="Green Bay",+NFL!M15,0))</f>
        <v>47</v>
      </c>
      <c r="N211" s="394" t="str">
        <f>IF(+NFL!$F15="Green Bay",+NFL!N15,IF(+NFL!$H15="Green Bay",+NFL!N15,0))</f>
        <v>Minnesota</v>
      </c>
      <c r="O211" s="395">
        <f>IF(+NFL!$F15="Green Bay",+NFL!O15,IF(+NFL!$H15="Green Bay",+NFL!O15,0))</f>
        <v>23</v>
      </c>
      <c r="P211" s="394" t="str">
        <f>IF(+NFL!$F15="Green Bay",+NFL!P15,IF(+NFL!$H15="Green Bay",+NFL!P15,0))</f>
        <v>Green Bay</v>
      </c>
      <c r="Q211" s="396">
        <f>IF(+NFL!$F15="Green Bay",+NFL!Q15,IF(+NFL!$H15="Green Bay",+NFL!Q15,0))</f>
        <v>7</v>
      </c>
      <c r="R211" s="397" t="str">
        <f>IF(+NFL!$F15="Green Bay",+NFL!R15,IF(+NFL!$H15="Green Bay",+NFL!R15,0))</f>
        <v>Minnesota</v>
      </c>
      <c r="S211" s="396" t="str">
        <f>IF(+NFL!$F15="Green Bay",+NFL!S15,IF(+NFL!$H15="Green Bay",+NFL!S15,0))</f>
        <v>Green Bay</v>
      </c>
      <c r="T211" s="398" t="str">
        <f>IF(+NFL!$F15="Green Bay",+NFL!T15,IF(+NFL!$H15="Green Bay",+NFL!T15,0))</f>
        <v>Green Bay</v>
      </c>
      <c r="U211" s="396" t="str">
        <f>IF(+NFL!$F15="Green Bay",+NFL!U15,IF(+NFL!$H15="Green Bay",+NFL!U15,0))</f>
        <v>L</v>
      </c>
      <c r="X211" s="398"/>
      <c r="AA211" s="400"/>
      <c r="AG211" s="388"/>
      <c r="AP211" s="348"/>
      <c r="AQ211" s="48"/>
      <c r="AS211" s="493"/>
      <c r="AT211" s="493"/>
      <c r="AV211" s="493"/>
      <c r="AX211" s="493"/>
      <c r="AY211" s="57"/>
      <c r="AZ211" s="493"/>
      <c r="BA211" s="46"/>
      <c r="BB211" s="46"/>
      <c r="BC211" s="403"/>
      <c r="BE211" s="493"/>
      <c r="BF211" s="46"/>
      <c r="BH211" s="493"/>
    </row>
    <row r="212" spans="1:63" x14ac:dyDescent="0.8">
      <c r="A212" s="46">
        <f>IF(+NFL!$F34="Green Bay",+NFL!A34,IF(+NFL!$H34="Green Bay",+NFL!A34,0))</f>
        <v>2</v>
      </c>
      <c r="B212" s="348" t="str">
        <f>IF(+NFL!$F34="Green Bay",+NFL!B34,IF(+NFL!$H34="Green Bay",+NFL!B34,0))</f>
        <v>Sun</v>
      </c>
      <c r="C212" s="48">
        <f>IF(+NFL!$F34="Green Bay",+NFL!C34,IF(+NFL!$H34="Green Bay",+NFL!C34,0))</f>
        <v>44822</v>
      </c>
      <c r="D212" s="490">
        <f>IF(+NFL!$F34="Green Bay",+NFL!D34,IF(+NFL!$H34="Green Bay",+NFL!D34,0))</f>
        <v>0.84375</v>
      </c>
      <c r="E212" s="46" t="str">
        <f>IF(+NFL!$F34="Green Bay",+NFL!E34,IF(+NFL!$H34="Green Bay",+NFL!E34,0))</f>
        <v>Fox</v>
      </c>
      <c r="F212" s="114" t="str">
        <f>IF(+NFL!$F34="Green Bay",+NFL!F34,IF(+NFL!$H34="Green Bay",+NFL!F34,0))</f>
        <v>Chicago</v>
      </c>
      <c r="G212" s="46" t="str">
        <f>IF(+NFL!$F34="Green Bay",+NFL!G34,IF(+NFL!$H34="Green Bay",+NFL!G34,0))</f>
        <v>NFCN</v>
      </c>
      <c r="H212" s="114" t="str">
        <f>IF(+NFL!$F34="Green Bay",+NFL!H34,IF(+NFL!$H34="Green Bay",+NFL!H34,0))</f>
        <v>Green Bay</v>
      </c>
      <c r="I212" s="46" t="str">
        <f>IF(+NFL!$F34="Green Bay",+NFL!I34,IF(+NFL!$H34="Green Bay",+NFL!I34,0))</f>
        <v>NFCN</v>
      </c>
      <c r="J212" s="353" t="str">
        <f>IF(+NFL!$F34="Green Bay",+NFL!J34,IF(+NFL!$H34="Green Bay",+NFL!J34,0))</f>
        <v>Green Bay</v>
      </c>
      <c r="K212" s="494" t="str">
        <f>IF(+NFL!$F34="Green Bay",+NFL!K34,IF(+NFL!$H34="Green Bay",+NFL!K34,0))</f>
        <v>Chicago</v>
      </c>
      <c r="L212" s="384">
        <f>IF(+NFL!$F34="Green Bay",+NFL!L34,IF(+NFL!$H34="Green Bay",+NFL!L34,0))</f>
        <v>10</v>
      </c>
      <c r="M212" s="385">
        <f>IF(+NFL!$F34="Green Bay",+NFL!M34,IF(+NFL!$H34="Green Bay",+NFL!M34,0))</f>
        <v>42.5</v>
      </c>
      <c r="N212" s="394" t="str">
        <f>IF(+NFL!$F34="Green Bay",+NFL!N34,IF(+NFL!$H34="Green Bay",+NFL!N34,0))</f>
        <v>Green Bay</v>
      </c>
      <c r="O212" s="395">
        <f>IF(+NFL!$F34="Green Bay",+NFL!O34,IF(+NFL!$H34="Green Bay",+NFL!O34,0))</f>
        <v>27</v>
      </c>
      <c r="P212" s="394" t="str">
        <f>IF(+NFL!$F34="Green Bay",+NFL!P34,IF(+NFL!$H34="Green Bay",+NFL!P34,0))</f>
        <v>Chicago</v>
      </c>
      <c r="Q212" s="396">
        <f>IF(+NFL!$F34="Green Bay",+NFL!Q34,IF(+NFL!$H34="Green Bay",+NFL!Q34,0))</f>
        <v>10</v>
      </c>
      <c r="R212" s="397" t="str">
        <f>IF(+NFL!$F34="Green Bay",+NFL!R34,IF(+NFL!$H34="Green Bay",+NFL!R34,0))</f>
        <v>Green Bay</v>
      </c>
      <c r="S212" s="396" t="str">
        <f>IF(+NFL!$F34="Green Bay",+NFL!S34,IF(+NFL!$H34="Green Bay",+NFL!S34,0))</f>
        <v>Chicago</v>
      </c>
      <c r="T212" s="398" t="str">
        <f>IF(+NFL!$F34="Green Bay",+NFL!T34,IF(+NFL!$H34="Green Bay",+NFL!T34,0))</f>
        <v>Green Bay</v>
      </c>
      <c r="U212" s="396" t="str">
        <f>IF(+NFL!$F34="Green Bay",+NFL!U34,IF(+NFL!$H34="Green Bay",+NFL!U34,0))</f>
        <v>W</v>
      </c>
      <c r="X212" s="398"/>
      <c r="AA212" s="400"/>
      <c r="AG212" s="388"/>
      <c r="AP212" s="348"/>
      <c r="AQ212" s="48"/>
      <c r="AS212" s="493"/>
      <c r="AT212" s="493"/>
      <c r="AV212" s="493"/>
      <c r="AX212" s="493"/>
      <c r="AY212" s="57"/>
      <c r="AZ212" s="493"/>
      <c r="BA212" s="46"/>
      <c r="BB212" s="46"/>
      <c r="BC212" s="403"/>
      <c r="BE212" s="493"/>
      <c r="BF212" s="46"/>
      <c r="BH212" s="493"/>
    </row>
    <row r="213" spans="1:63" x14ac:dyDescent="0.8">
      <c r="A213" s="46">
        <f>IF(+NFL!$F51="Green Bay",+NFL!A51,IF(+NFL!$H51="Green Bay",+NFL!A51,0))</f>
        <v>3</v>
      </c>
      <c r="B213" s="348" t="str">
        <f>IF(+NFL!$F51="Green Bay",+NFL!B51,IF(+NFL!$H51="Green Bay",+NFL!B51,0))</f>
        <v>Sun</v>
      </c>
      <c r="C213" s="48">
        <f>IF(+NFL!$F51="Green Bay",+NFL!C51,IF(+NFL!$H51="Green Bay",+NFL!C51,0))</f>
        <v>44829</v>
      </c>
      <c r="D213" s="490">
        <f>IF(+NFL!$F51="Green Bay",+NFL!D51,IF(+NFL!$H51="Green Bay",+NFL!D51,0))</f>
        <v>0.66666666666666663</v>
      </c>
      <c r="E213" s="46" t="str">
        <f>IF(+NFL!$F51="Green Bay",+NFL!E51,IF(+NFL!$H51="Green Bay",+NFL!E51,0))</f>
        <v>Fox</v>
      </c>
      <c r="F213" s="114" t="str">
        <f>IF(+NFL!$F51="Green Bay",+NFL!F51,IF(+NFL!$H51="Green Bay",+NFL!F51,0))</f>
        <v>Green Bay</v>
      </c>
      <c r="G213" s="46" t="str">
        <f>IF(+NFL!$F51="Green Bay",+NFL!G51,IF(+NFL!$H51="Green Bay",+NFL!G51,0))</f>
        <v>NFCN</v>
      </c>
      <c r="H213" s="114" t="str">
        <f>IF(+NFL!$F51="Green Bay",+NFL!H51,IF(+NFL!$H51="Green Bay",+NFL!H51,0))</f>
        <v>Tampa Bay</v>
      </c>
      <c r="I213" s="46" t="str">
        <f>IF(+NFL!$F51="Green Bay",+NFL!I51,IF(+NFL!$H51="Green Bay",+NFL!I51,0))</f>
        <v>NFCS</v>
      </c>
      <c r="J213" s="353" t="str">
        <f>IF(+NFL!$F51="Green Bay",+NFL!J51,IF(+NFL!$H51="Green Bay",+NFL!J51,0))</f>
        <v>Tampa Bay</v>
      </c>
      <c r="K213" s="494" t="str">
        <f>IF(+NFL!$F51="Green Bay",+NFL!K51,IF(+NFL!$H51="Green Bay",+NFL!K51,0))</f>
        <v>Green Bay</v>
      </c>
      <c r="L213" s="384">
        <f>IF(+NFL!$F51="Green Bay",+NFL!L51,IF(+NFL!$H51="Green Bay",+NFL!L51,0))</f>
        <v>2</v>
      </c>
      <c r="M213" s="385">
        <f>IF(+NFL!$F51="Green Bay",+NFL!M51,IF(+NFL!$H51="Green Bay",+NFL!M51,0))</f>
        <v>42</v>
      </c>
      <c r="N213" s="394" t="str">
        <f>IF(+NFL!$F51="Green Bay",+NFL!N51,IF(+NFL!$H51="Green Bay",+NFL!N51,0))</f>
        <v>Green Bay</v>
      </c>
      <c r="O213" s="395">
        <f>IF(+NFL!$F51="Green Bay",+NFL!O51,IF(+NFL!$H51="Green Bay",+NFL!O51,0))</f>
        <v>14</v>
      </c>
      <c r="P213" s="394" t="str">
        <f>IF(+NFL!$F51="Green Bay",+NFL!P51,IF(+NFL!$H51="Green Bay",+NFL!P51,0))</f>
        <v>Tampa Bay</v>
      </c>
      <c r="Q213" s="396">
        <f>IF(+NFL!$F51="Green Bay",+NFL!Q51,IF(+NFL!$H51="Green Bay",+NFL!Q51,0))</f>
        <v>12</v>
      </c>
      <c r="R213" s="397" t="str">
        <f>IF(+NFL!$F51="Green Bay",+NFL!R51,IF(+NFL!$H51="Green Bay",+NFL!R51,0))</f>
        <v>Green Bay</v>
      </c>
      <c r="S213" s="396" t="str">
        <f>IF(+NFL!$F51="Green Bay",+NFL!S51,IF(+NFL!$H51="Green Bay",+NFL!S51,0))</f>
        <v>Tampa Bay</v>
      </c>
      <c r="T213" s="398" t="str">
        <f>IF(+NFL!$F51="Green Bay",+NFL!T51,IF(+NFL!$H51="Green Bay",+NFL!T51,0))</f>
        <v>Green Bay</v>
      </c>
      <c r="U213" s="396" t="str">
        <f>IF(+NFL!$F51="Green Bay",+NFL!U51,IF(+NFL!$H51="Green Bay",+NFL!U51,0))</f>
        <v>W</v>
      </c>
      <c r="X213" s="398"/>
      <c r="AA213" s="400"/>
      <c r="AG213" s="388"/>
      <c r="AP213" s="348"/>
      <c r="AQ213" s="48"/>
      <c r="AY213" s="57"/>
      <c r="AZ213" s="64"/>
      <c r="BA213" s="46"/>
      <c r="BB213" s="46"/>
      <c r="BC213" s="403"/>
      <c r="BF213" s="46"/>
    </row>
    <row r="214" spans="1:63" x14ac:dyDescent="0.8">
      <c r="A214" s="46">
        <f>IF(+NFL!$F67="Green Bay",+NFL!A67,IF(+NFL!$H67="Green Bay",+NFL!A67,0))</f>
        <v>4</v>
      </c>
      <c r="B214" s="348" t="str">
        <f>IF(+NFL!$F67="Green Bay",+NFL!B67,IF(+NFL!$H67="Green Bay",+NFL!B67,0))</f>
        <v>Sun</v>
      </c>
      <c r="C214" s="48">
        <f>IF(+NFL!$F67="Green Bay",+NFL!C67,IF(+NFL!$H67="Green Bay",+NFL!C67,0))</f>
        <v>44836</v>
      </c>
      <c r="D214" s="490">
        <f>IF(+NFL!$F67="Green Bay",+NFL!D67,IF(+NFL!$H67="Green Bay",+NFL!D67,0))</f>
        <v>0.66666666666666663</v>
      </c>
      <c r="E214" s="46" t="str">
        <f>IF(+NFL!$F67="Green Bay",+NFL!E67,IF(+NFL!$H67="Green Bay",+NFL!E67,0))</f>
        <v>CBS</v>
      </c>
      <c r="F214" s="114" t="str">
        <f>IF(+NFL!$F67="Green Bay",+NFL!F67,IF(+NFL!$H67="Green Bay",+NFL!F67,0))</f>
        <v>New England</v>
      </c>
      <c r="G214" s="46" t="str">
        <f>IF(+NFL!$F67="Green Bay",+NFL!G67,IF(+NFL!$H67="Green Bay",+NFL!G67,0))</f>
        <v>AFCE</v>
      </c>
      <c r="H214" s="114" t="str">
        <f>IF(+NFL!$F67="Green Bay",+NFL!H67,IF(+NFL!$H67="Green Bay",+NFL!H67,0))</f>
        <v>Green Bay</v>
      </c>
      <c r="I214" s="46" t="str">
        <f>IF(+NFL!$F67="Green Bay",+NFL!I67,IF(+NFL!$H67="Green Bay",+NFL!I67,0))</f>
        <v>NFCN</v>
      </c>
      <c r="J214" s="353" t="str">
        <f>IF(+NFL!$F67="Green Bay",+NFL!J67,IF(+NFL!$H67="Green Bay",+NFL!J67,0))</f>
        <v>Green Bay</v>
      </c>
      <c r="K214" s="494" t="str">
        <f>IF(+NFL!$F67="Green Bay",+NFL!K67,IF(+NFL!$H67="Green Bay",+NFL!K67,0))</f>
        <v>New England</v>
      </c>
      <c r="L214" s="384">
        <f>IF(+NFL!$F67="Green Bay",+NFL!L67,IF(+NFL!$H67="Green Bay",+NFL!L67,0))</f>
        <v>10.5</v>
      </c>
      <c r="M214" s="385">
        <f>IF(+NFL!$F67="Green Bay",+NFL!M67,IF(+NFL!$H67="Green Bay",+NFL!M67,0))</f>
        <v>40.5</v>
      </c>
      <c r="N214" s="394" t="str">
        <f>IF(+NFL!$F67="Green Bay",+NFL!N67,IF(+NFL!$H67="Green Bay",+NFL!N67,0))</f>
        <v>Green Bay</v>
      </c>
      <c r="O214" s="395">
        <f>IF(+NFL!$F67="Green Bay",+NFL!O67,IF(+NFL!$H67="Green Bay",+NFL!O67,0))</f>
        <v>27</v>
      </c>
      <c r="P214" s="394" t="str">
        <f>IF(+NFL!$F67="Green Bay",+NFL!P67,IF(+NFL!$H67="Green Bay",+NFL!P67,0))</f>
        <v>New England</v>
      </c>
      <c r="Q214" s="396">
        <f>IF(+NFL!$F67="Green Bay",+NFL!Q67,IF(+NFL!$H67="Green Bay",+NFL!Q67,0))</f>
        <v>24</v>
      </c>
      <c r="R214" s="397" t="str">
        <f>IF(+NFL!$F67="Green Bay",+NFL!R67,IF(+NFL!$H67="Green Bay",+NFL!R67,0))</f>
        <v>New England</v>
      </c>
      <c r="S214" s="396" t="str">
        <f>IF(+NFL!$F67="Green Bay",+NFL!S67,IF(+NFL!$H67="Green Bay",+NFL!S67,0))</f>
        <v>Green Bay</v>
      </c>
      <c r="T214" s="398" t="str">
        <f>IF(+NFL!$F67="Green Bay",+NFL!T67,IF(+NFL!$H67="Green Bay",+NFL!T67,0))</f>
        <v>New England</v>
      </c>
      <c r="U214" s="396" t="str">
        <f>IF(+NFL!$F67="Green Bay",+NFL!U67,IF(+NFL!$H67="Green Bay",+NFL!U67,0))</f>
        <v>W</v>
      </c>
      <c r="V214" s="397">
        <f>IF(+NFL!$F30="Green Bay",+NFL!#REF!,IF(+NFL!$H30="Green Bay",+NFL!#REF!,0))</f>
        <v>0</v>
      </c>
      <c r="W214" s="396">
        <f>IF(+NFL!$F30="Green Bay",+NFL!#REF!,IF(+NFL!$H30="Green Bay",+NFL!#REF!,0))</f>
        <v>0</v>
      </c>
      <c r="X214" s="398">
        <f>IF(+NFL!$F30="Green Bay",+NFL!#REF!,IF(+NFL!$H30="Green Bay",+NFL!#REF!,0))</f>
        <v>0</v>
      </c>
      <c r="Y214" s="396">
        <f>IF(+NFL!$F30="Green Bay",+NFL!#REF!,IF(+NFL!$H30="Green Bay",+NFL!#REF!,0))</f>
        <v>0</v>
      </c>
      <c r="Z214" s="397">
        <f>IF(+NFL!$F30="Green Bay",+NFL!#REF!,IF(+NFL!$H30="Green Bay",+NFL!#REF!,0))</f>
        <v>0</v>
      </c>
      <c r="AA214" s="400">
        <f>IF(+NFL!$F30="Green Bay",+NFL!#REF!,IF(+NFL!$H30="Green Bay",+NFL!#REF!,0))</f>
        <v>0</v>
      </c>
      <c r="AB214" s="87">
        <f>IF(+NFL!$F30="Green Bay",+NFL!#REF!,IF(+NFL!$H30="Green Bay",+NFL!#REF!,0))</f>
        <v>0</v>
      </c>
      <c r="AC214" s="120">
        <f>IF(+NFL!$F30="Green Bay",+NFL!#REF!,IF(+NFL!$H30="Green Bay",+NFL!#REF!,0))</f>
        <v>0</v>
      </c>
      <c r="AD214" s="353">
        <f>IF(+NFL!$F30="Green Bay",+NFL!#REF!,IF(+NFL!$H30="Green Bay",+NFL!#REF!,0))</f>
        <v>0</v>
      </c>
      <c r="AE214" s="379">
        <f>IF(+NFL!$F30="Green Bay",+NFL!#REF!,IF(+NFL!$H30="Green Bay",+NFL!#REF!,0))</f>
        <v>0</v>
      </c>
      <c r="AF214" s="353">
        <f>IF(+NFL!$F30="Green Bay",+NFL!#REF!,IF(+NFL!$H30="Green Bay",+NFL!#REF!,0))</f>
        <v>0</v>
      </c>
      <c r="AG214" s="388">
        <f>IF(+NFL!$F30="Green Bay",+NFL!#REF!,IF(+NFL!$H30="Green Bay",+NFL!#REF!,0))</f>
        <v>0</v>
      </c>
      <c r="AH214" s="353">
        <f>IF(+NFL!$F30="Green Bay",+NFL!#REF!,IF(+NFL!$H30="Green Bay",+NFL!#REF!,0))</f>
        <v>0</v>
      </c>
      <c r="AI214" s="379">
        <f>IF(+NFL!$F30="Green Bay",+NFL!#REF!,IF(+NFL!$H30="Green Bay",+NFL!#REF!,0))</f>
        <v>0</v>
      </c>
      <c r="AJ214" s="353">
        <f>IF(+NFL!$F30="Green Bay",+NFL!#REF!,IF(+NFL!$H30="Green Bay",+NFL!#REF!,0))</f>
        <v>0</v>
      </c>
      <c r="AK214" s="379">
        <f>IF(+NFL!$F30="Green Bay",+NFL!#REF!,IF(+NFL!$H30="Green Bay",+NFL!#REF!,0))</f>
        <v>0</v>
      </c>
      <c r="AL214" s="57">
        <f>IF(+NFL!$F30="Green Bay",+NFL!#REF!,IF(+NFL!$H30="Green Bay",+NFL!#REF!,0))</f>
        <v>0</v>
      </c>
      <c r="AM214" s="58">
        <f>IF(+NFL!$F30="Green Bay",+NFL!#REF!,IF(+NFL!$H30="Green Bay",+NFL!#REF!,0))</f>
        <v>0</v>
      </c>
      <c r="AN214" s="57">
        <f>IF(+NFL!$F30="Green Bay",+NFL!#REF!,IF(+NFL!$H30="Green Bay",+NFL!#REF!,0))</f>
        <v>0</v>
      </c>
      <c r="AO214" s="59">
        <f>IF(+NFL!$F30="Green Bay",+NFL!#REF!,IF(+NFL!$H30="Green Bay",+NFL!#REF!,0))</f>
        <v>0</v>
      </c>
      <c r="AP214" s="348">
        <f>IF(+NFL!$F30="Green Bay",+NFL!#REF!,IF(+NFL!$H30="Green Bay",+NFL!#REF!,0))</f>
        <v>0</v>
      </c>
      <c r="AQ214" s="48">
        <f>IF(+NFL!$F30="Green Bay",+NFL!#REF!,IF(+NFL!$H30="Green Bay",+NFL!#REF!,0))</f>
        <v>0</v>
      </c>
      <c r="AR214" s="57">
        <f>IF(+NFL!$F30="Green Bay",+NFL!#REF!,IF(+NFL!$H30="Green Bay",+NFL!#REF!,0))</f>
        <v>0</v>
      </c>
      <c r="AS214" s="64">
        <f>IF(+NFL!$F30="Green Bay",+NFL!#REF!,IF(+NFL!$H30="Green Bay",+NFL!#REF!,0))</f>
        <v>0</v>
      </c>
      <c r="AT214" s="64">
        <f>IF(+NFL!$F30="Green Bay",+NFL!#REF!,IF(+NFL!$H30="Green Bay",+NFL!#REF!,0))</f>
        <v>0</v>
      </c>
      <c r="AU214" s="57">
        <f>IF(+NFL!$F30="Green Bay",+NFL!#REF!,IF(+NFL!$H30="Green Bay",+NFL!#REF!,0))</f>
        <v>0</v>
      </c>
      <c r="AV214" s="64">
        <f>IF(+NFL!$F30="Green Bay",+NFL!#REF!,IF(+NFL!$H30="Green Bay",+NFL!#REF!,0))</f>
        <v>0</v>
      </c>
      <c r="AW214" s="46">
        <f>IF(+NFL!$F30="Green Bay",+NFL!#REF!,IF(+NFL!$H30="Green Bay",+NFL!#REF!,0))</f>
        <v>0</v>
      </c>
      <c r="AX214" s="64">
        <f>IF(+NFL!$F30="Green Bay",+NFL!#REF!,IF(+NFL!$H30="Green Bay",+NFL!#REF!,0))</f>
        <v>0</v>
      </c>
      <c r="AY214" s="57">
        <f>IF(+NFL!$F30="Green Bay",+NFL!#REF!,IF(+NFL!$H30="Green Bay",+NFL!#REF!,0))</f>
        <v>0</v>
      </c>
      <c r="AZ214" s="64">
        <f>IF(+NFL!$F30="Green Bay",+NFL!#REF!,IF(+NFL!$H30="Green Bay",+NFL!#REF!,0))</f>
        <v>0</v>
      </c>
      <c r="BA214" s="46">
        <f>IF(+NFL!$F30="Green Bay",+NFL!#REF!,IF(+NFL!$H30="Green Bay",+NFL!#REF!,0))</f>
        <v>0</v>
      </c>
      <c r="BB214" s="46">
        <f>IF(+NFL!$F30="Green Bay",+NFL!#REF!,IF(+NFL!$H30="Green Bay",+NFL!#REF!,0))</f>
        <v>0</v>
      </c>
      <c r="BC214" s="403">
        <f>IF(+NFL!$F30="Green Bay",+NFL!#REF!,IF(+NFL!$H30="Green Bay",+NFL!#REF!,0))</f>
        <v>0</v>
      </c>
      <c r="BD214" s="57">
        <f>IF(+NFL!$F30="Green Bay",+NFL!#REF!,IF(+NFL!$H30="Green Bay",+NFL!#REF!,0))</f>
        <v>0</v>
      </c>
      <c r="BE214" s="64">
        <f>IF(+NFL!$F30="Green Bay",+NFL!#REF!,IF(+NFL!$H30="Green Bay",+NFL!#REF!,0))</f>
        <v>0</v>
      </c>
      <c r="BF214" s="46">
        <f>IF(+NFL!$F30="Green Bay",+NFL!#REF!,IF(+NFL!$H30="Green Bay",+NFL!#REF!,0))</f>
        <v>0</v>
      </c>
      <c r="BG214" s="57">
        <f>IF(+NFL!$F30="Green Bay",+NFL!#REF!,IF(+NFL!$H30="Green Bay",+NFL!#REF!,0))</f>
        <v>0</v>
      </c>
      <c r="BH214" s="64">
        <f>IF(+NFL!$F30="Green Bay",+NFL!#REF!,IF(+NFL!$H30="Green Bay",+NFL!#REF!,0))</f>
        <v>0</v>
      </c>
      <c r="BI214" s="46">
        <f>IF(+NFL!$F30="Green Bay",+NFL!#REF!,IF(+NFL!$H30="Green Bay",+NFL!#REF!,0))</f>
        <v>0</v>
      </c>
      <c r="BJ214" s="87">
        <f>IF(+NFL!$F30="Green Bay",+NFL!#REF!,IF(+NFL!$H30="Green Bay",+NFL!#REF!,0))</f>
        <v>0</v>
      </c>
      <c r="BK214" s="120">
        <f>IF(+NFL!$F30="Green Bay",+NFL!#REF!,IF(+NFL!$H30="Green Bay",+NFL!#REF!,0))</f>
        <v>0</v>
      </c>
    </row>
    <row r="215" spans="1:63" x14ac:dyDescent="0.8">
      <c r="A215" s="46">
        <f>IF(+NFL!$F73="Green Bay",+NFL!A73,IF(+NFL!$H73="Green Bay",+NFL!A73,0))</f>
        <v>5</v>
      </c>
      <c r="B215" s="348" t="str">
        <f>IF(+NFL!$F73="Green Bay",+NFL!B73,IF(+NFL!$H73="Green Bay",+NFL!B73,0))</f>
        <v>Sun</v>
      </c>
      <c r="C215" s="48">
        <f>IF(+NFL!$F73="Green Bay",+NFL!C73,IF(+NFL!$H73="Green Bay",+NFL!C73,0))</f>
        <v>44840</v>
      </c>
      <c r="D215" s="490">
        <f>IF(+NFL!$F73="Green Bay",+NFL!D73,IF(+NFL!$H73="Green Bay",+NFL!D73,0))</f>
        <v>0.54166666666666663</v>
      </c>
      <c r="E215" s="46" t="str">
        <f>IF(+NFL!$F73="Green Bay",+NFL!E73,IF(+NFL!$H73="Green Bay",+NFL!E73,0))</f>
        <v>Fox</v>
      </c>
      <c r="F215" s="114" t="str">
        <f>IF(+NFL!$F73="Green Bay",+NFL!F73,IF(+NFL!$H73="Green Bay",+NFL!F73,0))</f>
        <v>NY Giants</v>
      </c>
      <c r="G215" s="46" t="str">
        <f>IF(+NFL!$F73="Green Bay",+NFL!G73,IF(+NFL!$H73="Green Bay",+NFL!G73,0))</f>
        <v>NFCE</v>
      </c>
      <c r="H215" s="114" t="str">
        <f>IF(+NFL!$F73="Green Bay",+NFL!H73,IF(+NFL!$H73="Green Bay",+NFL!H73,0))</f>
        <v>Green Bay</v>
      </c>
      <c r="I215" s="46" t="str">
        <f>IF(+NFL!$F73="Green Bay",+NFL!I73,IF(+NFL!$H73="Green Bay",+NFL!I73,0))</f>
        <v>NFCN</v>
      </c>
      <c r="J215" s="353" t="str">
        <f>IF(+NFL!$F73="Green Bay",+NFL!J73,IF(+NFL!$H73="Green Bay",+NFL!J73,0))</f>
        <v>Green Bay</v>
      </c>
      <c r="K215" s="494" t="str">
        <f>IF(+NFL!$F73="Green Bay",+NFL!K73,IF(+NFL!$H73="Green Bay",+NFL!K73,0))</f>
        <v>NY Giants</v>
      </c>
      <c r="L215" s="384">
        <f>IF(+NFL!$F73="Green Bay",+NFL!L73,IF(+NFL!$H73="Green Bay",+NFL!L73,0))</f>
        <v>8.5</v>
      </c>
      <c r="M215" s="385">
        <f>IF(+NFL!$F73="Green Bay",+NFL!M73,IF(+NFL!$H73="Green Bay",+NFL!M73,0))</f>
        <v>41</v>
      </c>
      <c r="N215" s="394" t="str">
        <f>IF(+NFL!$F73="Green Bay",+NFL!N73,IF(+NFL!$H73="Green Bay",+NFL!N73,0))</f>
        <v>NY Giants</v>
      </c>
      <c r="O215" s="395">
        <f>IF(+NFL!$F73="Green Bay",+NFL!O73,IF(+NFL!$H73="Green Bay",+NFL!O73,0))</f>
        <v>27</v>
      </c>
      <c r="P215" s="394" t="str">
        <f>IF(+NFL!$F73="Green Bay",+NFL!P73,IF(+NFL!$H73="Green Bay",+NFL!P73,0))</f>
        <v>Green Bay</v>
      </c>
      <c r="Q215" s="396">
        <f>IF(+NFL!$F73="Green Bay",+NFL!Q73,IF(+NFL!$H73="Green Bay",+NFL!Q73,0))</f>
        <v>22</v>
      </c>
      <c r="R215" s="397" t="str">
        <f>IF(+NFL!$F73="Green Bay",+NFL!R73,IF(+NFL!$H73="Green Bay",+NFL!R73,0))</f>
        <v>NY Giants</v>
      </c>
      <c r="S215" s="396" t="str">
        <f>IF(+NFL!$F73="Green Bay",+NFL!S73,IF(+NFL!$H73="Green Bay",+NFL!S73,0))</f>
        <v>Green Bay</v>
      </c>
      <c r="T215" s="398" t="str">
        <f>IF(+NFL!$F73="Green Bay",+NFL!T73,IF(+NFL!$H73="Green Bay",+NFL!T73,0))</f>
        <v>Green Bay</v>
      </c>
      <c r="U215" s="396" t="str">
        <f>IF(+NFL!$F73="Green Bay",+NFL!U73,IF(+NFL!$H73="Green Bay",+NFL!U73,0))</f>
        <v>L</v>
      </c>
      <c r="V215" s="397" t="e">
        <f>IF(+NFL!$F51="Green Bay",+NFL!#REF!,IF(+NFL!$H51="Green Bay",+NFL!#REF!,0))</f>
        <v>#REF!</v>
      </c>
      <c r="W215" s="396" t="e">
        <f>IF(+NFL!$F51="Green Bay",+NFL!#REF!,IF(+NFL!$H51="Green Bay",+NFL!#REF!,0))</f>
        <v>#REF!</v>
      </c>
      <c r="X215" s="398" t="e">
        <f>IF(+NFL!$F51="Green Bay",+NFL!#REF!,IF(+NFL!$H51="Green Bay",+NFL!#REF!,0))</f>
        <v>#REF!</v>
      </c>
      <c r="Y215" s="396" t="e">
        <f>IF(+NFL!$F51="Green Bay",+NFL!#REF!,IF(+NFL!$H51="Green Bay",+NFL!#REF!,0))</f>
        <v>#REF!</v>
      </c>
      <c r="Z215" s="397" t="e">
        <f>IF(+NFL!$F51="Green Bay",+NFL!#REF!,IF(+NFL!$H51="Green Bay",+NFL!#REF!,0))</f>
        <v>#REF!</v>
      </c>
      <c r="AA215" s="400" t="e">
        <f>IF(+NFL!$F51="Green Bay",+NFL!#REF!,IF(+NFL!$H51="Green Bay",+NFL!#REF!,0))</f>
        <v>#REF!</v>
      </c>
      <c r="AB215" s="87" t="e">
        <f>IF(+NFL!$F51="Green Bay",+NFL!#REF!,IF(+NFL!$H51="Green Bay",+NFL!#REF!,0))</f>
        <v>#REF!</v>
      </c>
      <c r="AC215" s="120" t="e">
        <f>IF(+NFL!$F51="Green Bay",+NFL!#REF!,IF(+NFL!$H51="Green Bay",+NFL!#REF!,0))</f>
        <v>#REF!</v>
      </c>
      <c r="AD215" s="353" t="e">
        <f>IF(+NFL!$F51="Green Bay",+NFL!#REF!,IF(+NFL!$H51="Green Bay",+NFL!#REF!,0))</f>
        <v>#REF!</v>
      </c>
      <c r="AE215" s="379" t="e">
        <f>IF(+NFL!$F51="Green Bay",+NFL!#REF!,IF(+NFL!$H51="Green Bay",+NFL!#REF!,0))</f>
        <v>#REF!</v>
      </c>
      <c r="AF215" s="353" t="e">
        <f>IF(+NFL!$F51="Green Bay",+NFL!#REF!,IF(+NFL!$H51="Green Bay",+NFL!#REF!,0))</f>
        <v>#REF!</v>
      </c>
      <c r="AG215" s="388" t="e">
        <f>IF(+NFL!$F51="Green Bay",+NFL!#REF!,IF(+NFL!$H51="Green Bay",+NFL!#REF!,0))</f>
        <v>#REF!</v>
      </c>
      <c r="AH215" s="353" t="e">
        <f>IF(+NFL!$F51="Green Bay",+NFL!#REF!,IF(+NFL!$H51="Green Bay",+NFL!#REF!,0))</f>
        <v>#REF!</v>
      </c>
      <c r="AI215" s="379" t="e">
        <f>IF(+NFL!$F51="Green Bay",+NFL!#REF!,IF(+NFL!$H51="Green Bay",+NFL!#REF!,0))</f>
        <v>#REF!</v>
      </c>
      <c r="AJ215" s="353" t="e">
        <f>IF(+NFL!$F51="Green Bay",+NFL!#REF!,IF(+NFL!$H51="Green Bay",+NFL!#REF!,0))</f>
        <v>#REF!</v>
      </c>
      <c r="AK215" s="379" t="e">
        <f>IF(+NFL!$F51="Green Bay",+NFL!#REF!,IF(+NFL!$H51="Green Bay",+NFL!#REF!,0))</f>
        <v>#REF!</v>
      </c>
      <c r="AL215" s="57" t="e">
        <f>IF(+NFL!$F51="Green Bay",+NFL!#REF!,IF(+NFL!$H51="Green Bay",+NFL!#REF!,0))</f>
        <v>#REF!</v>
      </c>
      <c r="AM215" s="58" t="e">
        <f>IF(+NFL!$F51="Green Bay",+NFL!#REF!,IF(+NFL!$H51="Green Bay",+NFL!#REF!,0))</f>
        <v>#REF!</v>
      </c>
      <c r="AN215" s="57" t="e">
        <f>IF(+NFL!$F51="Green Bay",+NFL!#REF!,IF(+NFL!$H51="Green Bay",+NFL!#REF!,0))</f>
        <v>#REF!</v>
      </c>
      <c r="AO215" s="59" t="e">
        <f>IF(+NFL!$F51="Green Bay",+NFL!#REF!,IF(+NFL!$H51="Green Bay",+NFL!#REF!,0))</f>
        <v>#REF!</v>
      </c>
      <c r="AP215" s="348" t="e">
        <f>IF(+NFL!$F51="Green Bay",+NFL!#REF!,IF(+NFL!$H51="Green Bay",+NFL!#REF!,0))</f>
        <v>#REF!</v>
      </c>
      <c r="AQ215" s="48" t="e">
        <f>IF(+NFL!$F51="Green Bay",+NFL!#REF!,IF(+NFL!$H51="Green Bay",+NFL!#REF!,0))</f>
        <v>#REF!</v>
      </c>
      <c r="AR215" s="57" t="e">
        <f>IF(+NFL!$F51="Green Bay",+NFL!#REF!,IF(+NFL!$H51="Green Bay",+NFL!#REF!,0))</f>
        <v>#REF!</v>
      </c>
      <c r="AS215" s="64" t="e">
        <f>IF(+NFL!$F51="Green Bay",+NFL!#REF!,IF(+NFL!$H51="Green Bay",+NFL!#REF!,0))</f>
        <v>#REF!</v>
      </c>
      <c r="AT215" s="64" t="e">
        <f>IF(+NFL!$F51="Green Bay",+NFL!#REF!,IF(+NFL!$H51="Green Bay",+NFL!#REF!,0))</f>
        <v>#REF!</v>
      </c>
      <c r="AU215" s="57" t="e">
        <f>IF(+NFL!$F51="Green Bay",+NFL!#REF!,IF(+NFL!$H51="Green Bay",+NFL!#REF!,0))</f>
        <v>#REF!</v>
      </c>
      <c r="AV215" s="64" t="e">
        <f>IF(+NFL!$F51="Green Bay",+NFL!#REF!,IF(+NFL!$H51="Green Bay",+NFL!#REF!,0))</f>
        <v>#REF!</v>
      </c>
      <c r="AW215" s="46" t="e">
        <f>IF(+NFL!$F51="Green Bay",+NFL!#REF!,IF(+NFL!$H51="Green Bay",+NFL!#REF!,0))</f>
        <v>#REF!</v>
      </c>
      <c r="AX215" s="64" t="e">
        <f>IF(+NFL!$F51="Green Bay",+NFL!#REF!,IF(+NFL!$H51="Green Bay",+NFL!#REF!,0))</f>
        <v>#REF!</v>
      </c>
      <c r="AY215" s="57" t="e">
        <f>IF(+NFL!$F51="Green Bay",+NFL!#REF!,IF(+NFL!$H51="Green Bay",+NFL!#REF!,0))</f>
        <v>#REF!</v>
      </c>
      <c r="AZ215" s="64" t="e">
        <f>IF(+NFL!$F51="Green Bay",+NFL!#REF!,IF(+NFL!$H51="Green Bay",+NFL!#REF!,0))</f>
        <v>#REF!</v>
      </c>
      <c r="BA215" s="46" t="e">
        <f>IF(+NFL!$F51="Green Bay",+NFL!#REF!,IF(+NFL!$H51="Green Bay",+NFL!#REF!,0))</f>
        <v>#REF!</v>
      </c>
      <c r="BB215" s="46" t="e">
        <f>IF(+NFL!$F51="Green Bay",+NFL!#REF!,IF(+NFL!$H51="Green Bay",+NFL!#REF!,0))</f>
        <v>#REF!</v>
      </c>
      <c r="BC215" s="403" t="e">
        <f>IF(+NFL!$F51="Green Bay",+NFL!#REF!,IF(+NFL!$H51="Green Bay",+NFL!#REF!,0))</f>
        <v>#REF!</v>
      </c>
      <c r="BD215" s="57" t="e">
        <f>IF(+NFL!$F51="Green Bay",+NFL!#REF!,IF(+NFL!$H51="Green Bay",+NFL!#REF!,0))</f>
        <v>#REF!</v>
      </c>
      <c r="BE215" s="64" t="e">
        <f>IF(+NFL!$F51="Green Bay",+NFL!#REF!,IF(+NFL!$H51="Green Bay",+NFL!#REF!,0))</f>
        <v>#REF!</v>
      </c>
      <c r="BF215" s="46" t="e">
        <f>IF(+NFL!$F51="Green Bay",+NFL!#REF!,IF(+NFL!$H51="Green Bay",+NFL!#REF!,0))</f>
        <v>#REF!</v>
      </c>
      <c r="BG215" s="57" t="e">
        <f>IF(+NFL!$F51="Green Bay",+NFL!#REF!,IF(+NFL!$H51="Green Bay",+NFL!#REF!,0))</f>
        <v>#REF!</v>
      </c>
      <c r="BH215" s="64" t="e">
        <f>IF(+NFL!$F51="Green Bay",+NFL!#REF!,IF(+NFL!$H51="Green Bay",+NFL!#REF!,0))</f>
        <v>#REF!</v>
      </c>
      <c r="BI215" s="46" t="e">
        <f>IF(+NFL!$F51="Green Bay",+NFL!#REF!,IF(+NFL!$H51="Green Bay",+NFL!#REF!,0))</f>
        <v>#REF!</v>
      </c>
      <c r="BJ215" s="87" t="e">
        <f>IF(+NFL!$F51="Green Bay",+NFL!#REF!,IF(+NFL!$H51="Green Bay",+NFL!#REF!,0))</f>
        <v>#REF!</v>
      </c>
      <c r="BK215" s="120" t="e">
        <f>IF(+NFL!$F51="Green Bay",+NFL!#REF!,IF(+NFL!$H51="Green Bay",+NFL!#REF!,0))</f>
        <v>#REF!</v>
      </c>
    </row>
    <row r="216" spans="1:63" x14ac:dyDescent="0.8">
      <c r="A216" s="46">
        <f>IF(+NFL!$F92="Green Bay",+NFL!A92,IF(+NFL!$H92="Green Bay",+NFL!A92,0))</f>
        <v>6</v>
      </c>
      <c r="B216" s="348" t="str">
        <f>IF(+NFL!$F92="Green Bay",+NFL!B92,IF(+NFL!$H92="Green Bay",+NFL!B92,0))</f>
        <v>Sun</v>
      </c>
      <c r="C216" s="48">
        <f>IF(+NFL!$F92="Green Bay",+NFL!C92,IF(+NFL!$H92="Green Bay",+NFL!C92,0))</f>
        <v>44850</v>
      </c>
      <c r="D216" s="490">
        <f>IF(+NFL!$F92="Green Bay",+NFL!D92,IF(+NFL!$H92="Green Bay",+NFL!D92,0))</f>
        <v>0.54166666666666663</v>
      </c>
      <c r="E216" s="46" t="str">
        <f>IF(+NFL!$F92="Green Bay",+NFL!E92,IF(+NFL!$H92="Green Bay",+NFL!E92,0))</f>
        <v>CBS</v>
      </c>
      <c r="F216" s="114" t="str">
        <f>IF(+NFL!$F92="Green Bay",+NFL!F92,IF(+NFL!$H92="Green Bay",+NFL!F92,0))</f>
        <v>NY Jets</v>
      </c>
      <c r="G216" s="46" t="str">
        <f>IF(+NFL!$F92="Green Bay",+NFL!G92,IF(+NFL!$H92="Green Bay",+NFL!G92,0))</f>
        <v>AFCE</v>
      </c>
      <c r="H216" s="114" t="str">
        <f>IF(+NFL!$F92="Green Bay",+NFL!H92,IF(+NFL!$H92="Green Bay",+NFL!H92,0))</f>
        <v>Green Bay</v>
      </c>
      <c r="I216" s="46" t="str">
        <f>IF(+NFL!$F92="Green Bay",+NFL!I92,IF(+NFL!$H92="Green Bay",+NFL!I92,0))</f>
        <v>NFCN</v>
      </c>
      <c r="J216" s="353" t="str">
        <f>IF(+NFL!$F92="Green Bay",+NFL!J92,IF(+NFL!$H92="Green Bay",+NFL!J92,0))</f>
        <v>Green Bay</v>
      </c>
      <c r="K216" s="494" t="str">
        <f>IF(+NFL!$F92="Green Bay",+NFL!K92,IF(+NFL!$H92="Green Bay",+NFL!K92,0))</f>
        <v>NY Jets</v>
      </c>
      <c r="L216" s="384">
        <f>IF(+NFL!$F92="Green Bay",+NFL!L92,IF(+NFL!$H92="Green Bay",+NFL!L92,0))</f>
        <v>7.4</v>
      </c>
      <c r="M216" s="385">
        <f>IF(+NFL!$F92="Green Bay",+NFL!M92,IF(+NFL!$H92="Green Bay",+NFL!M92,0))</f>
        <v>45</v>
      </c>
      <c r="N216" s="394" t="str">
        <f>IF(+NFL!$F92="Green Bay",+NFL!N92,IF(+NFL!$H92="Green Bay",+NFL!N92,0))</f>
        <v>NY Jets</v>
      </c>
      <c r="O216" s="395">
        <f>IF(+NFL!$F92="Green Bay",+NFL!O92,IF(+NFL!$H92="Green Bay",+NFL!O92,0))</f>
        <v>27</v>
      </c>
      <c r="P216" s="394" t="str">
        <f>IF(+NFL!$F92="Green Bay",+NFL!P92,IF(+NFL!$H92="Green Bay",+NFL!P92,0))</f>
        <v>Green Bay</v>
      </c>
      <c r="Q216" s="396">
        <f>IF(+NFL!$F92="Green Bay",+NFL!Q92,IF(+NFL!$H92="Green Bay",+NFL!Q92,0))</f>
        <v>20</v>
      </c>
      <c r="R216" s="397" t="str">
        <f>IF(+NFL!$F92="Green Bay",+NFL!R92,IF(+NFL!$H92="Green Bay",+NFL!R92,0))</f>
        <v>NY Jets</v>
      </c>
      <c r="S216" s="396" t="str">
        <f>IF(+NFL!$F92="Green Bay",+NFL!S92,IF(+NFL!$H92="Green Bay",+NFL!S92,0))</f>
        <v>Green Bay</v>
      </c>
      <c r="T216" s="398" t="str">
        <f>IF(+NFL!$F92="Green Bay",+NFL!T92,IF(+NFL!$H92="Green Bay",+NFL!T92,0))</f>
        <v>Green Bay</v>
      </c>
      <c r="U216" s="396" t="str">
        <f>IF(+NFL!$F92="Green Bay",+NFL!U92,IF(+NFL!$H92="Green Bay",+NFL!U92,0))</f>
        <v>L</v>
      </c>
      <c r="V216" s="397">
        <f>IF(+NFL!$F69="Green Bay",+NFL!#REF!,IF(+NFL!$H69="Green Bay",+NFL!#REF!,0))</f>
        <v>0</v>
      </c>
      <c r="W216" s="396">
        <f>IF(+NFL!$F69="Green Bay",+NFL!#REF!,IF(+NFL!$H69="Green Bay",+NFL!#REF!,0))</f>
        <v>0</v>
      </c>
      <c r="X216" s="398">
        <f>IF(+NFL!$F69="Green Bay",+NFL!#REF!,IF(+NFL!$H69="Green Bay",+NFL!#REF!,0))</f>
        <v>0</v>
      </c>
      <c r="Y216" s="396">
        <f>IF(+NFL!$F69="Green Bay",+NFL!#REF!,IF(+NFL!$H69="Green Bay",+NFL!#REF!,0))</f>
        <v>0</v>
      </c>
      <c r="Z216" s="397">
        <f>IF(+NFL!$F69="Green Bay",+NFL!#REF!,IF(+NFL!$H69="Green Bay",+NFL!#REF!,0))</f>
        <v>0</v>
      </c>
      <c r="AA216" s="400">
        <f>IF(+NFL!$F69="Green Bay",+NFL!#REF!,IF(+NFL!$H69="Green Bay",+NFL!#REF!,0))</f>
        <v>0</v>
      </c>
      <c r="AB216" s="87">
        <f>IF(+NFL!$F69="Green Bay",+NFL!#REF!,IF(+NFL!$H69="Green Bay",+NFL!#REF!,0))</f>
        <v>0</v>
      </c>
      <c r="AC216" s="120">
        <f>IF(+NFL!$F69="Green Bay",+NFL!#REF!,IF(+NFL!$H69="Green Bay",+NFL!#REF!,0))</f>
        <v>0</v>
      </c>
      <c r="AD216" s="353">
        <f>IF(+NFL!$F69="Green Bay",+NFL!#REF!,IF(+NFL!$H69="Green Bay",+NFL!#REF!,0))</f>
        <v>0</v>
      </c>
      <c r="AE216" s="379">
        <f>IF(+NFL!$F69="Green Bay",+NFL!#REF!,IF(+NFL!$H69="Green Bay",+NFL!#REF!,0))</f>
        <v>0</v>
      </c>
      <c r="AF216" s="353">
        <f>IF(+NFL!$F69="Green Bay",+NFL!#REF!,IF(+NFL!$H69="Green Bay",+NFL!#REF!,0))</f>
        <v>0</v>
      </c>
      <c r="AG216" s="388">
        <f>IF(+NFL!$F69="Green Bay",+NFL!#REF!,IF(+NFL!$H69="Green Bay",+NFL!#REF!,0))</f>
        <v>0</v>
      </c>
      <c r="AH216" s="353">
        <f>IF(+NFL!$F69="Green Bay",+NFL!#REF!,IF(+NFL!$H69="Green Bay",+NFL!#REF!,0))</f>
        <v>0</v>
      </c>
      <c r="AI216" s="379">
        <f>IF(+NFL!$F69="Green Bay",+NFL!#REF!,IF(+NFL!$H69="Green Bay",+NFL!#REF!,0))</f>
        <v>0</v>
      </c>
      <c r="AJ216" s="353">
        <f>IF(+NFL!$F69="Green Bay",+NFL!#REF!,IF(+NFL!$H69="Green Bay",+NFL!#REF!,0))</f>
        <v>0</v>
      </c>
      <c r="AK216" s="379">
        <f>IF(+NFL!$F69="Green Bay",+NFL!#REF!,IF(+NFL!$H69="Green Bay",+NFL!#REF!,0))</f>
        <v>0</v>
      </c>
      <c r="AL216" s="57">
        <f>IF(+NFL!$F69="Green Bay",+NFL!#REF!,IF(+NFL!$H69="Green Bay",+NFL!#REF!,0))</f>
        <v>0</v>
      </c>
      <c r="AM216" s="58">
        <f>IF(+NFL!$F69="Green Bay",+NFL!#REF!,IF(+NFL!$H69="Green Bay",+NFL!#REF!,0))</f>
        <v>0</v>
      </c>
      <c r="AN216" s="57">
        <f>IF(+NFL!$F69="Green Bay",+NFL!#REF!,IF(+NFL!$H69="Green Bay",+NFL!#REF!,0))</f>
        <v>0</v>
      </c>
      <c r="AO216" s="59">
        <f>IF(+NFL!$F69="Green Bay",+NFL!#REF!,IF(+NFL!$H69="Green Bay",+NFL!#REF!,0))</f>
        <v>0</v>
      </c>
      <c r="AP216" s="348">
        <f>IF(+NFL!$F69="Green Bay",+NFL!#REF!,IF(+NFL!$H69="Green Bay",+NFL!#REF!,0))</f>
        <v>0</v>
      </c>
      <c r="AQ216" s="48">
        <f>IF(+NFL!$F69="Green Bay",+NFL!#REF!,IF(+NFL!$H69="Green Bay",+NFL!#REF!,0))</f>
        <v>0</v>
      </c>
      <c r="AR216" s="57">
        <f>IF(+NFL!$F69="Green Bay",+NFL!#REF!,IF(+NFL!$H69="Green Bay",+NFL!#REF!,0))</f>
        <v>0</v>
      </c>
      <c r="AS216" s="64">
        <f>IF(+NFL!$F69="Green Bay",+NFL!#REF!,IF(+NFL!$H69="Green Bay",+NFL!#REF!,0))</f>
        <v>0</v>
      </c>
      <c r="AT216" s="64">
        <f>IF(+NFL!$F69="Green Bay",+NFL!#REF!,IF(+NFL!$H69="Green Bay",+NFL!#REF!,0))</f>
        <v>0</v>
      </c>
      <c r="AU216" s="57">
        <f>IF(+NFL!$F69="Green Bay",+NFL!#REF!,IF(+NFL!$H69="Green Bay",+NFL!#REF!,0))</f>
        <v>0</v>
      </c>
      <c r="AV216" s="64">
        <f>IF(+NFL!$F69="Green Bay",+NFL!#REF!,IF(+NFL!$H69="Green Bay",+NFL!#REF!,0))</f>
        <v>0</v>
      </c>
      <c r="AW216" s="46">
        <f>IF(+NFL!$F69="Green Bay",+NFL!#REF!,IF(+NFL!$H69="Green Bay",+NFL!#REF!,0))</f>
        <v>0</v>
      </c>
      <c r="AX216" s="64">
        <f>IF(+NFL!$F69="Green Bay",+NFL!#REF!,IF(+NFL!$H69="Green Bay",+NFL!#REF!,0))</f>
        <v>0</v>
      </c>
      <c r="AY216" s="57">
        <f>IF(+NFL!$F69="Green Bay",+NFL!#REF!,IF(+NFL!$H69="Green Bay",+NFL!#REF!,0))</f>
        <v>0</v>
      </c>
      <c r="AZ216" s="64">
        <f>IF(+NFL!$F69="Green Bay",+NFL!#REF!,IF(+NFL!$H69="Green Bay",+NFL!#REF!,0))</f>
        <v>0</v>
      </c>
      <c r="BA216" s="46">
        <f>IF(+NFL!$F69="Green Bay",+NFL!#REF!,IF(+NFL!$H69="Green Bay",+NFL!#REF!,0))</f>
        <v>0</v>
      </c>
      <c r="BB216" s="46">
        <f>IF(+NFL!$F69="Green Bay",+NFL!#REF!,IF(+NFL!$H69="Green Bay",+NFL!#REF!,0))</f>
        <v>0</v>
      </c>
      <c r="BC216" s="403">
        <f>IF(+NFL!$F69="Green Bay",+NFL!#REF!,IF(+NFL!$H69="Green Bay",+NFL!#REF!,0))</f>
        <v>0</v>
      </c>
      <c r="BD216" s="57">
        <f>IF(+NFL!$F69="Green Bay",+NFL!#REF!,IF(+NFL!$H69="Green Bay",+NFL!#REF!,0))</f>
        <v>0</v>
      </c>
      <c r="BE216" s="64">
        <f>IF(+NFL!$F69="Green Bay",+NFL!#REF!,IF(+NFL!$H69="Green Bay",+NFL!#REF!,0))</f>
        <v>0</v>
      </c>
      <c r="BF216" s="46">
        <f>IF(+NFL!$F69="Green Bay",+NFL!#REF!,IF(+NFL!$H69="Green Bay",+NFL!#REF!,0))</f>
        <v>0</v>
      </c>
      <c r="BG216" s="57">
        <f>IF(+NFL!$F69="Green Bay",+NFL!#REF!,IF(+NFL!$H69="Green Bay",+NFL!#REF!,0))</f>
        <v>0</v>
      </c>
      <c r="BH216" s="64">
        <f>IF(+NFL!$F69="Green Bay",+NFL!#REF!,IF(+NFL!$H69="Green Bay",+NFL!#REF!,0))</f>
        <v>0</v>
      </c>
      <c r="BI216" s="46">
        <f>IF(+NFL!$F69="Green Bay",+NFL!#REF!,IF(+NFL!$H69="Green Bay",+NFL!#REF!,0))</f>
        <v>0</v>
      </c>
      <c r="BJ216" s="87">
        <f>IF(+NFL!$F69="Green Bay",+NFL!#REF!,IF(+NFL!$H69="Green Bay",+NFL!#REF!,0))</f>
        <v>0</v>
      </c>
      <c r="BK216" s="120">
        <f>IF(+NFL!$F69="Green Bay",+NFL!#REF!,IF(+NFL!$H69="Green Bay",+NFL!#REF!,0))</f>
        <v>0</v>
      </c>
    </row>
    <row r="217" spans="1:63" x14ac:dyDescent="0.8">
      <c r="A217" s="46">
        <f>IF(+NFL!$F113="Green Bay",+NFL!A113,IF(+NFL!$H113="Green Bay",+NFL!A113,0))</f>
        <v>7</v>
      </c>
      <c r="B217" s="348" t="str">
        <f>IF(+NFL!$F113="Green Bay",+NFL!B113,IF(+NFL!$H113="Green Bay",+NFL!B113,0))</f>
        <v>Sun</v>
      </c>
      <c r="C217" s="48">
        <f>IF(+NFL!$F113="Green Bay",+NFL!C113,IF(+NFL!$H113="Green Bay",+NFL!C113,0))</f>
        <v>44857</v>
      </c>
      <c r="D217" s="490">
        <f>IF(+NFL!$F113="Green Bay",+NFL!D113,IF(+NFL!$H113="Green Bay",+NFL!D113,0))</f>
        <v>0.54166666666666663</v>
      </c>
      <c r="E217" s="46" t="str">
        <f>IF(+NFL!$F113="Green Bay",+NFL!E113,IF(+NFL!$H113="Green Bay",+NFL!E113,0))</f>
        <v>Fox</v>
      </c>
      <c r="F217" s="114" t="str">
        <f>IF(+NFL!$F113="Green Bay",+NFL!F113,IF(+NFL!$H113="Green Bay",+NFL!F113,0))</f>
        <v>Green Bay</v>
      </c>
      <c r="G217" s="46" t="str">
        <f>IF(+NFL!$F113="Green Bay",+NFL!G113,IF(+NFL!$H113="Green Bay",+NFL!G113,0))</f>
        <v>NFCN</v>
      </c>
      <c r="H217" s="114" t="str">
        <f>IF(+NFL!$F113="Green Bay",+NFL!H113,IF(+NFL!$H113="Green Bay",+NFL!H113,0))</f>
        <v>Washington</v>
      </c>
      <c r="I217" s="46" t="str">
        <f>IF(+NFL!$F113="Green Bay",+NFL!I113,IF(+NFL!$H113="Green Bay",+NFL!I113,0))</f>
        <v>NFCE</v>
      </c>
      <c r="J217" s="353" t="str">
        <f>IF(+NFL!$F113="Green Bay",+NFL!J113,IF(+NFL!$H113="Green Bay",+NFL!J113,0))</f>
        <v>Green Bay</v>
      </c>
      <c r="K217" s="494" t="str">
        <f>IF(+NFL!$F113="Green Bay",+NFL!K113,IF(+NFL!$H113="Green Bay",+NFL!K113,0))</f>
        <v>Washington</v>
      </c>
      <c r="L217" s="384">
        <f>IF(+NFL!$F113="Green Bay",+NFL!L113,IF(+NFL!$H113="Green Bay",+NFL!L113,0))</f>
        <v>5</v>
      </c>
      <c r="M217" s="385">
        <f>IF(+NFL!$F113="Green Bay",+NFL!M113,IF(+NFL!$H113="Green Bay",+NFL!M113,0))</f>
        <v>42</v>
      </c>
      <c r="N217" s="394" t="str">
        <f>IF(+NFL!$F113="Green Bay",+NFL!N113,IF(+NFL!$H113="Green Bay",+NFL!N113,0))</f>
        <v>Washington</v>
      </c>
      <c r="O217" s="395">
        <f>IF(+NFL!$F113="Green Bay",+NFL!O113,IF(+NFL!$H113="Green Bay",+NFL!O113,0))</f>
        <v>23</v>
      </c>
      <c r="P217" s="394" t="str">
        <f>IF(+NFL!$F113="Green Bay",+NFL!P113,IF(+NFL!$H113="Green Bay",+NFL!P113,0))</f>
        <v>Green Bay</v>
      </c>
      <c r="Q217" s="396">
        <f>IF(+NFL!$F113="Green Bay",+NFL!Q113,IF(+NFL!$H113="Green Bay",+NFL!Q113,0))</f>
        <v>21</v>
      </c>
      <c r="R217" s="397" t="str">
        <f>IF(+NFL!$F113="Green Bay",+NFL!R113,IF(+NFL!$H113="Green Bay",+NFL!R113,0))</f>
        <v>Washington</v>
      </c>
      <c r="S217" s="396" t="str">
        <f>IF(+NFL!$F113="Green Bay",+NFL!S113,IF(+NFL!$H113="Green Bay",+NFL!S113,0))</f>
        <v>Green Bay</v>
      </c>
      <c r="T217" s="398" t="str">
        <f>IF(+NFL!$F113="Green Bay",+NFL!T113,IF(+NFL!$H113="Green Bay",+NFL!T113,0))</f>
        <v>Green Bay</v>
      </c>
      <c r="U217" s="396" t="str">
        <f>IF(+NFL!$F113="Green Bay",+NFL!U113,IF(+NFL!$H113="Green Bay",+NFL!U113,0))</f>
        <v>L</v>
      </c>
      <c r="V217" s="397">
        <f>IF(+NFL!$F99="Green Bay",+NFL!#REF!,IF(+NFL!$H99="Green Bay",+NFL!#REF!,0))</f>
        <v>0</v>
      </c>
      <c r="W217" s="396">
        <f>IF(+NFL!$F99="Green Bay",+NFL!#REF!,IF(+NFL!$H99="Green Bay",+NFL!#REF!,0))</f>
        <v>0</v>
      </c>
      <c r="X217" s="398">
        <f>IF(+NFL!$F99="Green Bay",+NFL!#REF!,IF(+NFL!$H99="Green Bay",+NFL!#REF!,0))</f>
        <v>0</v>
      </c>
      <c r="Y217" s="396">
        <f>IF(+NFL!$F99="Green Bay",+NFL!#REF!,IF(+NFL!$H99="Green Bay",+NFL!#REF!,0))</f>
        <v>0</v>
      </c>
      <c r="Z217" s="397">
        <f>IF(+NFL!$F99="Green Bay",+NFL!#REF!,IF(+NFL!$H99="Green Bay",+NFL!#REF!,0))</f>
        <v>0</v>
      </c>
      <c r="AA217" s="400">
        <f>IF(+NFL!$F99="Green Bay",+NFL!#REF!,IF(+NFL!$H99="Green Bay",+NFL!#REF!,0))</f>
        <v>0</v>
      </c>
      <c r="AB217" s="87">
        <f>IF(+NFL!$F99="Green Bay",+NFL!#REF!,IF(+NFL!$H99="Green Bay",+NFL!#REF!,0))</f>
        <v>0</v>
      </c>
      <c r="AC217" s="120">
        <f>IF(+NFL!$F99="Green Bay",+NFL!#REF!,IF(+NFL!$H99="Green Bay",+NFL!#REF!,0))</f>
        <v>0</v>
      </c>
      <c r="AD217" s="353">
        <f>IF(+NFL!$F99="Green Bay",+NFL!#REF!,IF(+NFL!$H99="Green Bay",+NFL!#REF!,0))</f>
        <v>0</v>
      </c>
      <c r="AE217" s="379">
        <f>IF(+NFL!$F99="Green Bay",+NFL!#REF!,IF(+NFL!$H99="Green Bay",+NFL!#REF!,0))</f>
        <v>0</v>
      </c>
      <c r="AF217" s="353">
        <f>IF(+NFL!$F99="Green Bay",+NFL!#REF!,IF(+NFL!$H99="Green Bay",+NFL!#REF!,0))</f>
        <v>0</v>
      </c>
      <c r="AG217" s="388">
        <f>IF(+NFL!$F99="Green Bay",+NFL!#REF!,IF(+NFL!$H99="Green Bay",+NFL!#REF!,0))</f>
        <v>0</v>
      </c>
      <c r="AH217" s="353">
        <f>IF(+NFL!$F99="Green Bay",+NFL!#REF!,IF(+NFL!$H99="Green Bay",+NFL!#REF!,0))</f>
        <v>0</v>
      </c>
      <c r="AI217" s="379">
        <f>IF(+NFL!$F99="Green Bay",+NFL!#REF!,IF(+NFL!$H99="Green Bay",+NFL!#REF!,0))</f>
        <v>0</v>
      </c>
      <c r="AJ217" s="353">
        <f>IF(+NFL!$F99="Green Bay",+NFL!#REF!,IF(+NFL!$H99="Green Bay",+NFL!#REF!,0))</f>
        <v>0</v>
      </c>
      <c r="AK217" s="379">
        <f>IF(+NFL!$F99="Green Bay",+NFL!#REF!,IF(+NFL!$H99="Green Bay",+NFL!#REF!,0))</f>
        <v>0</v>
      </c>
      <c r="AL217" s="57">
        <f>IF(+NFL!$F99="Green Bay",+NFL!#REF!,IF(+NFL!$H99="Green Bay",+NFL!#REF!,0))</f>
        <v>0</v>
      </c>
      <c r="AM217" s="58">
        <f>IF(+NFL!$F99="Green Bay",+NFL!#REF!,IF(+NFL!$H99="Green Bay",+NFL!#REF!,0))</f>
        <v>0</v>
      </c>
      <c r="AN217" s="57">
        <f>IF(+NFL!$F99="Green Bay",+NFL!#REF!,IF(+NFL!$H99="Green Bay",+NFL!#REF!,0))</f>
        <v>0</v>
      </c>
      <c r="AO217" s="59">
        <f>IF(+NFL!$F99="Green Bay",+NFL!#REF!,IF(+NFL!$H99="Green Bay",+NFL!#REF!,0))</f>
        <v>0</v>
      </c>
      <c r="AP217" s="348">
        <f>IF(+NFL!$F99="Green Bay",+NFL!#REF!,IF(+NFL!$H99="Green Bay",+NFL!#REF!,0))</f>
        <v>0</v>
      </c>
      <c r="AQ217" s="48">
        <f>IF(+NFL!$F99="Green Bay",+NFL!#REF!,IF(+NFL!$H99="Green Bay",+NFL!#REF!,0))</f>
        <v>0</v>
      </c>
      <c r="AR217" s="57">
        <f>IF(+NFL!$F99="Green Bay",+NFL!#REF!,IF(+NFL!$H99="Green Bay",+NFL!#REF!,0))</f>
        <v>0</v>
      </c>
      <c r="AS217" s="64">
        <f>IF(+NFL!$F99="Green Bay",+NFL!#REF!,IF(+NFL!$H99="Green Bay",+NFL!#REF!,0))</f>
        <v>0</v>
      </c>
      <c r="AT217" s="64">
        <f>IF(+NFL!$F99="Green Bay",+NFL!#REF!,IF(+NFL!$H99="Green Bay",+NFL!#REF!,0))</f>
        <v>0</v>
      </c>
      <c r="AU217" s="57">
        <f>IF(+NFL!$F99="Green Bay",+NFL!#REF!,IF(+NFL!$H99="Green Bay",+NFL!#REF!,0))</f>
        <v>0</v>
      </c>
      <c r="AV217" s="64">
        <f>IF(+NFL!$F99="Green Bay",+NFL!#REF!,IF(+NFL!$H99="Green Bay",+NFL!#REF!,0))</f>
        <v>0</v>
      </c>
      <c r="AW217" s="46">
        <f>IF(+NFL!$F99="Green Bay",+NFL!#REF!,IF(+NFL!$H99="Green Bay",+NFL!#REF!,0))</f>
        <v>0</v>
      </c>
      <c r="AX217" s="64">
        <f>IF(+NFL!$F99="Green Bay",+NFL!#REF!,IF(+NFL!$H99="Green Bay",+NFL!#REF!,0))</f>
        <v>0</v>
      </c>
      <c r="AY217" s="57">
        <f>IF(+NFL!$F99="Green Bay",+NFL!#REF!,IF(+NFL!$H99="Green Bay",+NFL!#REF!,0))</f>
        <v>0</v>
      </c>
      <c r="AZ217" s="64">
        <f>IF(+NFL!$F99="Green Bay",+NFL!#REF!,IF(+NFL!$H99="Green Bay",+NFL!#REF!,0))</f>
        <v>0</v>
      </c>
      <c r="BA217" s="46">
        <f>IF(+NFL!$F99="Green Bay",+NFL!#REF!,IF(+NFL!$H99="Green Bay",+NFL!#REF!,0))</f>
        <v>0</v>
      </c>
      <c r="BB217" s="46">
        <f>IF(+NFL!$F99="Green Bay",+NFL!#REF!,IF(+NFL!$H99="Green Bay",+NFL!#REF!,0))</f>
        <v>0</v>
      </c>
      <c r="BC217" s="403">
        <f>IF(+NFL!$F99="Green Bay",+NFL!#REF!,IF(+NFL!$H99="Green Bay",+NFL!#REF!,0))</f>
        <v>0</v>
      </c>
      <c r="BD217" s="57">
        <f>IF(+NFL!$F99="Green Bay",+NFL!#REF!,IF(+NFL!$H99="Green Bay",+NFL!#REF!,0))</f>
        <v>0</v>
      </c>
      <c r="BE217" s="64">
        <f>IF(+NFL!$F99="Green Bay",+NFL!#REF!,IF(+NFL!$H99="Green Bay",+NFL!#REF!,0))</f>
        <v>0</v>
      </c>
      <c r="BF217" s="46">
        <f>IF(+NFL!$F99="Green Bay",+NFL!#REF!,IF(+NFL!$H99="Green Bay",+NFL!#REF!,0))</f>
        <v>0</v>
      </c>
      <c r="BG217" s="57">
        <f>IF(+NFL!$F99="Green Bay",+NFL!#REF!,IF(+NFL!$H99="Green Bay",+NFL!#REF!,0))</f>
        <v>0</v>
      </c>
      <c r="BH217" s="64">
        <f>IF(+NFL!$F99="Green Bay",+NFL!#REF!,IF(+NFL!$H99="Green Bay",+NFL!#REF!,0))</f>
        <v>0</v>
      </c>
      <c r="BI217" s="46">
        <f>IF(+NFL!$F99="Green Bay",+NFL!#REF!,IF(+NFL!$H99="Green Bay",+NFL!#REF!,0))</f>
        <v>0</v>
      </c>
      <c r="BJ217" s="87">
        <f>IF(+NFL!$F99="Green Bay",+NFL!#REF!,IF(+NFL!$H99="Green Bay",+NFL!#REF!,0))</f>
        <v>0</v>
      </c>
      <c r="BK217" s="120">
        <f>IF(+NFL!$F99="Green Bay",+NFL!#REF!,IF(+NFL!$H99="Green Bay",+NFL!#REF!,0))</f>
        <v>0</v>
      </c>
    </row>
    <row r="218" spans="1:63" x14ac:dyDescent="0.8">
      <c r="A218" s="46">
        <f>IF(+NFL!$F142="Green Bay",+NFL!A142,IF(+NFL!$H142="Green Bay",+NFL!A142,0))</f>
        <v>8</v>
      </c>
      <c r="B218" s="348" t="str">
        <f>IF(+NFL!$F142="Green Bay",+NFL!B142,IF(+NFL!$H142="Green Bay",+NFL!B142,0))</f>
        <v>Sun</v>
      </c>
      <c r="C218" s="48">
        <f>IF(+NFL!$F142="Green Bay",+NFL!C142,IF(+NFL!$H142="Green Bay",+NFL!C142,0))</f>
        <v>44864</v>
      </c>
      <c r="D218" s="490">
        <f>IF(+NFL!$F142="Green Bay",+NFL!D142,IF(+NFL!$H142="Green Bay",+NFL!D142,0))</f>
        <v>0.84375</v>
      </c>
      <c r="E218" s="46" t="str">
        <f>IF(+NFL!$F142="Green Bay",+NFL!E142,IF(+NFL!$H142="Green Bay",+NFL!E142,0))</f>
        <v>NBC</v>
      </c>
      <c r="F218" s="114" t="str">
        <f>IF(+NFL!$F142="Green Bay",+NFL!F142,IF(+NFL!$H142="Green Bay",+NFL!F142,0))</f>
        <v>Green Bay</v>
      </c>
      <c r="G218" s="46" t="str">
        <f>IF(+NFL!$F142="Green Bay",+NFL!G142,IF(+NFL!$H142="Green Bay",+NFL!G142,0))</f>
        <v>NFCN</v>
      </c>
      <c r="H218" s="114" t="str">
        <f>IF(+NFL!$F142="Green Bay",+NFL!H142,IF(+NFL!$H142="Green Bay",+NFL!H142,0))</f>
        <v>Buffalo</v>
      </c>
      <c r="I218" s="46" t="str">
        <f>IF(+NFL!$F142="Green Bay",+NFL!I142,IF(+NFL!$H142="Green Bay",+NFL!I142,0))</f>
        <v>AFCE</v>
      </c>
      <c r="J218" s="353" t="str">
        <f>IF(+NFL!$F142="Green Bay",+NFL!J142,IF(+NFL!$H142="Green Bay",+NFL!J142,0))</f>
        <v>Buffalo</v>
      </c>
      <c r="K218" s="494" t="str">
        <f>IF(+NFL!$F142="Green Bay",+NFL!K142,IF(+NFL!$H142="Green Bay",+NFL!K142,0))</f>
        <v>Green Bay</v>
      </c>
      <c r="L218" s="384">
        <f>IF(+NFL!$F142="Green Bay",+NFL!L142,IF(+NFL!$H142="Green Bay",+NFL!L142,0))</f>
        <v>10.5</v>
      </c>
      <c r="M218" s="385">
        <f>IF(+NFL!$F142="Green Bay",+NFL!M142,IF(+NFL!$H142="Green Bay",+NFL!M142,0))</f>
        <v>47</v>
      </c>
      <c r="N218" s="394" t="str">
        <f>IF(+NFL!$F142="Green Bay",+NFL!N142,IF(+NFL!$H142="Green Bay",+NFL!N142,0))</f>
        <v>Buffalo</v>
      </c>
      <c r="O218" s="395">
        <f>IF(+NFL!$F142="Green Bay",+NFL!O142,IF(+NFL!$H142="Green Bay",+NFL!O142,0))</f>
        <v>27</v>
      </c>
      <c r="P218" s="394" t="str">
        <f>IF(+NFL!$F142="Green Bay",+NFL!P142,IF(+NFL!$H142="Green Bay",+NFL!P142,0))</f>
        <v>Green Bay</v>
      </c>
      <c r="Q218" s="396">
        <f>IF(+NFL!$F142="Green Bay",+NFL!Q142,IF(+NFL!$H142="Green Bay",+NFL!Q142,0))</f>
        <v>17</v>
      </c>
      <c r="R218" s="397" t="str">
        <f>IF(+NFL!$F142="Green Bay",+NFL!R142,IF(+NFL!$H142="Green Bay",+NFL!R142,0))</f>
        <v>Green Bay</v>
      </c>
      <c r="S218" s="396" t="str">
        <f>IF(+NFL!$F142="Green Bay",+NFL!S142,IF(+NFL!$H142="Green Bay",+NFL!S142,0))</f>
        <v>Buffalo</v>
      </c>
      <c r="T218" s="398" t="str">
        <f>IF(+NFL!$F142="Green Bay",+NFL!T142,IF(+NFL!$H142="Green Bay",+NFL!T142,0))</f>
        <v>Buffalo</v>
      </c>
      <c r="U218" s="396" t="str">
        <f>IF(+NFL!$F142="Green Bay",+NFL!U142,IF(+NFL!$H142="Green Bay",+NFL!U142,0))</f>
        <v>L</v>
      </c>
      <c r="V218" s="397">
        <f>IF(+NFL!$F120="Green Bay",+NFL!#REF!,IF(+NFL!$H120="Green Bay",+NFL!#REF!,0))</f>
        <v>0</v>
      </c>
      <c r="W218" s="396">
        <f>IF(+NFL!$F120="Green Bay",+NFL!#REF!,IF(+NFL!$H120="Green Bay",+NFL!#REF!,0))</f>
        <v>0</v>
      </c>
      <c r="X218" s="398">
        <f>IF(+NFL!$F120="Green Bay",+NFL!#REF!,IF(+NFL!$H120="Green Bay",+NFL!#REF!,0))</f>
        <v>0</v>
      </c>
      <c r="Y218" s="396">
        <f>IF(+NFL!$F120="Green Bay",+NFL!#REF!,IF(+NFL!$H120="Green Bay",+NFL!#REF!,0))</f>
        <v>0</v>
      </c>
      <c r="Z218" s="397">
        <f>IF(+NFL!$F120="Green Bay",+NFL!#REF!,IF(+NFL!$H120="Green Bay",+NFL!#REF!,0))</f>
        <v>0</v>
      </c>
      <c r="AA218" s="400">
        <f>IF(+NFL!$F120="Green Bay",+NFL!#REF!,IF(+NFL!$H120="Green Bay",+NFL!#REF!,0))</f>
        <v>0</v>
      </c>
      <c r="AB218" s="87">
        <f>IF(+NFL!$F120="Green Bay",+NFL!#REF!,IF(+NFL!$H120="Green Bay",+NFL!#REF!,0))</f>
        <v>0</v>
      </c>
      <c r="AC218" s="120">
        <f>IF(+NFL!$F120="Green Bay",+NFL!#REF!,IF(+NFL!$H120="Green Bay",+NFL!#REF!,0))</f>
        <v>0</v>
      </c>
      <c r="AD218" s="353">
        <f>IF(+NFL!$F120="Green Bay",+NFL!#REF!,IF(+NFL!$H120="Green Bay",+NFL!#REF!,0))</f>
        <v>0</v>
      </c>
      <c r="AE218" s="379">
        <f>IF(+NFL!$F120="Green Bay",+NFL!#REF!,IF(+NFL!$H120="Green Bay",+NFL!#REF!,0))</f>
        <v>0</v>
      </c>
      <c r="AF218" s="353">
        <f>IF(+NFL!$F120="Green Bay",+NFL!#REF!,IF(+NFL!$H120="Green Bay",+NFL!#REF!,0))</f>
        <v>0</v>
      </c>
      <c r="AG218" s="388">
        <f>IF(+NFL!$F120="Green Bay",+NFL!#REF!,IF(+NFL!$H120="Green Bay",+NFL!#REF!,0))</f>
        <v>0</v>
      </c>
      <c r="AH218" s="353">
        <f>IF(+NFL!$F120="Green Bay",+NFL!#REF!,IF(+NFL!$H120="Green Bay",+NFL!#REF!,0))</f>
        <v>0</v>
      </c>
      <c r="AI218" s="379">
        <f>IF(+NFL!$F120="Green Bay",+NFL!#REF!,IF(+NFL!$H120="Green Bay",+NFL!#REF!,0))</f>
        <v>0</v>
      </c>
      <c r="AJ218" s="353">
        <f>IF(+NFL!$F120="Green Bay",+NFL!#REF!,IF(+NFL!$H120="Green Bay",+NFL!#REF!,0))</f>
        <v>0</v>
      </c>
      <c r="AK218" s="379">
        <f>IF(+NFL!$F120="Green Bay",+NFL!#REF!,IF(+NFL!$H120="Green Bay",+NFL!#REF!,0))</f>
        <v>0</v>
      </c>
      <c r="AL218" s="57">
        <f>IF(+NFL!$F120="Green Bay",+NFL!#REF!,IF(+NFL!$H120="Green Bay",+NFL!#REF!,0))</f>
        <v>0</v>
      </c>
      <c r="AM218" s="58">
        <f>IF(+NFL!$F120="Green Bay",+NFL!#REF!,IF(+NFL!$H120="Green Bay",+NFL!#REF!,0))</f>
        <v>0</v>
      </c>
      <c r="AN218" s="57">
        <f>IF(+NFL!$F120="Green Bay",+NFL!#REF!,IF(+NFL!$H120="Green Bay",+NFL!#REF!,0))</f>
        <v>0</v>
      </c>
      <c r="AO218" s="59">
        <f>IF(+NFL!$F120="Green Bay",+NFL!#REF!,IF(+NFL!$H120="Green Bay",+NFL!#REF!,0))</f>
        <v>0</v>
      </c>
      <c r="AP218" s="348">
        <f>IF(+NFL!$F120="Green Bay",+NFL!#REF!,IF(+NFL!$H120="Green Bay",+NFL!#REF!,0))</f>
        <v>0</v>
      </c>
      <c r="AQ218" s="48">
        <f>IF(+NFL!$F120="Green Bay",+NFL!#REF!,IF(+NFL!$H120="Green Bay",+NFL!#REF!,0))</f>
        <v>0</v>
      </c>
      <c r="AR218" s="57">
        <f>IF(+NFL!$F120="Green Bay",+NFL!#REF!,IF(+NFL!$H120="Green Bay",+NFL!#REF!,0))</f>
        <v>0</v>
      </c>
      <c r="AS218" s="64">
        <f>IF(+NFL!$F120="Green Bay",+NFL!#REF!,IF(+NFL!$H120="Green Bay",+NFL!#REF!,0))</f>
        <v>0</v>
      </c>
      <c r="AT218" s="64">
        <f>IF(+NFL!$F120="Green Bay",+NFL!#REF!,IF(+NFL!$H120="Green Bay",+NFL!#REF!,0))</f>
        <v>0</v>
      </c>
      <c r="AU218" s="57">
        <f>IF(+NFL!$F120="Green Bay",+NFL!#REF!,IF(+NFL!$H120="Green Bay",+NFL!#REF!,0))</f>
        <v>0</v>
      </c>
      <c r="AV218" s="64">
        <f>IF(+NFL!$F120="Green Bay",+NFL!#REF!,IF(+NFL!$H120="Green Bay",+NFL!#REF!,0))</f>
        <v>0</v>
      </c>
      <c r="AW218" s="46">
        <f>IF(+NFL!$F120="Green Bay",+NFL!#REF!,IF(+NFL!$H120="Green Bay",+NFL!#REF!,0))</f>
        <v>0</v>
      </c>
      <c r="AX218" s="64">
        <f>IF(+NFL!$F120="Green Bay",+NFL!#REF!,IF(+NFL!$H120="Green Bay",+NFL!#REF!,0))</f>
        <v>0</v>
      </c>
      <c r="AY218" s="57">
        <f>IF(+NFL!$F120="Green Bay",+NFL!#REF!,IF(+NFL!$H120="Green Bay",+NFL!#REF!,0))</f>
        <v>0</v>
      </c>
      <c r="AZ218" s="64">
        <f>IF(+NFL!$F120="Green Bay",+NFL!#REF!,IF(+NFL!$H120="Green Bay",+NFL!#REF!,0))</f>
        <v>0</v>
      </c>
      <c r="BA218" s="46">
        <f>IF(+NFL!$F120="Green Bay",+NFL!#REF!,IF(+NFL!$H120="Green Bay",+NFL!#REF!,0))</f>
        <v>0</v>
      </c>
      <c r="BB218" s="46">
        <f>IF(+NFL!$F120="Green Bay",+NFL!#REF!,IF(+NFL!$H120="Green Bay",+NFL!#REF!,0))</f>
        <v>0</v>
      </c>
      <c r="BC218" s="403">
        <f>IF(+NFL!$F120="Green Bay",+NFL!#REF!,IF(+NFL!$H120="Green Bay",+NFL!#REF!,0))</f>
        <v>0</v>
      </c>
      <c r="BD218" s="57">
        <f>IF(+NFL!$F120="Green Bay",+NFL!#REF!,IF(+NFL!$H120="Green Bay",+NFL!#REF!,0))</f>
        <v>0</v>
      </c>
      <c r="BE218" s="64">
        <f>IF(+NFL!$F120="Green Bay",+NFL!#REF!,IF(+NFL!$H120="Green Bay",+NFL!#REF!,0))</f>
        <v>0</v>
      </c>
      <c r="BF218" s="46">
        <f>IF(+NFL!$F120="Green Bay",+NFL!#REF!,IF(+NFL!$H120="Green Bay",+NFL!#REF!,0))</f>
        <v>0</v>
      </c>
      <c r="BG218" s="57">
        <f>IF(+NFL!$F120="Green Bay",+NFL!#REF!,IF(+NFL!$H120="Green Bay",+NFL!#REF!,0))</f>
        <v>0</v>
      </c>
      <c r="BH218" s="64">
        <f>IF(+NFL!$F120="Green Bay",+NFL!#REF!,IF(+NFL!$H120="Green Bay",+NFL!#REF!,0))</f>
        <v>0</v>
      </c>
      <c r="BI218" s="46">
        <f>IF(+NFL!$F120="Green Bay",+NFL!#REF!,IF(+NFL!$H120="Green Bay",+NFL!#REF!,0))</f>
        <v>0</v>
      </c>
      <c r="BJ218" s="87">
        <f>IF(+NFL!$F120="Green Bay",+NFL!#REF!,IF(+NFL!$H120="Green Bay",+NFL!#REF!,0))</f>
        <v>0</v>
      </c>
      <c r="BK218" s="120">
        <f>IF(+NFL!$F120="Green Bay",+NFL!#REF!,IF(+NFL!$H120="Green Bay",+NFL!#REF!,0))</f>
        <v>0</v>
      </c>
    </row>
    <row r="219" spans="1:63" x14ac:dyDescent="0.8">
      <c r="A219" s="46">
        <f>IF(+NFL!$F151="Green Bay",+NFL!A151,IF(+NFL!$H151="Green Bay",+NFL!A151,0))</f>
        <v>9</v>
      </c>
      <c r="B219" s="348" t="str">
        <f>IF(+NFL!$F151="Green Bay",+NFL!B151,IF(+NFL!$H151="Green Bay",+NFL!B151,0))</f>
        <v>Sun</v>
      </c>
      <c r="C219" s="48">
        <f>IF(+NFL!$F151="Green Bay",+NFL!C151,IF(+NFL!$H151="Green Bay",+NFL!C151,0))</f>
        <v>44871</v>
      </c>
      <c r="D219" s="490">
        <f>IF(+NFL!$F151="Green Bay",+NFL!D151,IF(+NFL!$H151="Green Bay",+NFL!D151,0))</f>
        <v>0.54166666666666663</v>
      </c>
      <c r="E219" s="46" t="str">
        <f>IF(+NFL!$F151="Green Bay",+NFL!E151,IF(+NFL!$H151="Green Bay",+NFL!E151,0))</f>
        <v>Fox</v>
      </c>
      <c r="F219" s="114" t="str">
        <f>IF(+NFL!$F151="Green Bay",+NFL!F151,IF(+NFL!$H151="Green Bay",+NFL!F151,0))</f>
        <v>Green Bay</v>
      </c>
      <c r="G219" s="46" t="str">
        <f>IF(+NFL!$F151="Green Bay",+NFL!G151,IF(+NFL!$H151="Green Bay",+NFL!G151,0))</f>
        <v>NFCN</v>
      </c>
      <c r="H219" s="114" t="str">
        <f>IF(+NFL!$F151="Green Bay",+NFL!H151,IF(+NFL!$H151="Green Bay",+NFL!H151,0))</f>
        <v>Detroit</v>
      </c>
      <c r="I219" s="46" t="str">
        <f>IF(+NFL!$F151="Green Bay",+NFL!I151,IF(+NFL!$H151="Green Bay",+NFL!I151,0))</f>
        <v>NFCN</v>
      </c>
      <c r="J219" s="353" t="str">
        <f>IF(+NFL!$F151="Green Bay",+NFL!J151,IF(+NFL!$H151="Green Bay",+NFL!J151,0))</f>
        <v>Green Bay</v>
      </c>
      <c r="K219" s="494" t="str">
        <f>IF(+NFL!$F151="Green Bay",+NFL!K151,IF(+NFL!$H151="Green Bay",+NFL!K151,0))</f>
        <v>Detroit</v>
      </c>
      <c r="L219" s="384">
        <f>IF(+NFL!$F151="Green Bay",+NFL!L151,IF(+NFL!$H151="Green Bay",+NFL!L151,0))</f>
        <v>3.5</v>
      </c>
      <c r="M219" s="385">
        <f>IF(+NFL!$F151="Green Bay",+NFL!M151,IF(+NFL!$H151="Green Bay",+NFL!M151,0))</f>
        <v>50</v>
      </c>
      <c r="N219" s="394" t="str">
        <f>IF(+NFL!$F151="Green Bay",+NFL!N151,IF(+NFL!$H151="Green Bay",+NFL!N151,0))</f>
        <v>Detroit</v>
      </c>
      <c r="O219" s="395">
        <f>IF(+NFL!$F151="Green Bay",+NFL!O151,IF(+NFL!$H151="Green Bay",+NFL!O151,0))</f>
        <v>15</v>
      </c>
      <c r="P219" s="394" t="str">
        <f>IF(+NFL!$F151="Green Bay",+NFL!P151,IF(+NFL!$H151="Green Bay",+NFL!P151,0))</f>
        <v>Green Bay</v>
      </c>
      <c r="Q219" s="396">
        <f>IF(+NFL!$F151="Green Bay",+NFL!Q151,IF(+NFL!$H151="Green Bay",+NFL!Q151,0))</f>
        <v>9</v>
      </c>
      <c r="R219" s="397" t="str">
        <f>IF(+NFL!$F151="Green Bay",+NFL!R151,IF(+NFL!$H151="Green Bay",+NFL!R151,0))</f>
        <v>Detroit</v>
      </c>
      <c r="S219" s="396" t="str">
        <f>IF(+NFL!$F151="Green Bay",+NFL!S151,IF(+NFL!$H151="Green Bay",+NFL!S151,0))</f>
        <v>Green Bay</v>
      </c>
      <c r="T219" s="398" t="str">
        <f>IF(+NFL!$F151="Green Bay",+NFL!T151,IF(+NFL!$H151="Green Bay",+NFL!T151,0))</f>
        <v>Detroit</v>
      </c>
      <c r="U219" s="396" t="str">
        <f>IF(+NFL!$F151="Green Bay",+NFL!U151,IF(+NFL!$H151="Green Bay",+NFL!U151,0))</f>
        <v>W</v>
      </c>
      <c r="V219" s="397">
        <f>IF(+NFL!$F133="Green Bay",+NFL!#REF!,IF(+NFL!$H133="Green Bay",+NFL!#REF!,0))</f>
        <v>0</v>
      </c>
      <c r="W219" s="396">
        <f>IF(+NFL!$F133="Green Bay",+NFL!#REF!,IF(+NFL!$H133="Green Bay",+NFL!#REF!,0))</f>
        <v>0</v>
      </c>
      <c r="X219" s="398">
        <f>IF(+NFL!$F133="Green Bay",+NFL!#REF!,IF(+NFL!$H133="Green Bay",+NFL!#REF!,0))</f>
        <v>0</v>
      </c>
      <c r="Y219" s="396">
        <f>IF(+NFL!$F133="Green Bay",+NFL!#REF!,IF(+NFL!$H133="Green Bay",+NFL!#REF!,0))</f>
        <v>0</v>
      </c>
      <c r="Z219" s="397">
        <f>IF(+NFL!$F133="Green Bay",+NFL!#REF!,IF(+NFL!$H133="Green Bay",+NFL!#REF!,0))</f>
        <v>0</v>
      </c>
      <c r="AA219" s="400">
        <f>IF(+NFL!$F133="Green Bay",+NFL!#REF!,IF(+NFL!$H133="Green Bay",+NFL!#REF!,0))</f>
        <v>0</v>
      </c>
      <c r="AB219" s="87">
        <f>IF(+NFL!$F133="Green Bay",+NFL!#REF!,IF(+NFL!$H133="Green Bay",+NFL!#REF!,0))</f>
        <v>0</v>
      </c>
      <c r="AC219" s="120">
        <f>IF(+NFL!$F133="Green Bay",+NFL!#REF!,IF(+NFL!$H133="Green Bay",+NFL!#REF!,0))</f>
        <v>0</v>
      </c>
      <c r="AD219" s="353">
        <f>IF(+NFL!$F133="Green Bay",+NFL!#REF!,IF(+NFL!$H133="Green Bay",+NFL!#REF!,0))</f>
        <v>0</v>
      </c>
      <c r="AE219" s="379">
        <f>IF(+NFL!$F133="Green Bay",+NFL!#REF!,IF(+NFL!$H133="Green Bay",+NFL!#REF!,0))</f>
        <v>0</v>
      </c>
      <c r="AF219" s="353">
        <f>IF(+NFL!$F133="Green Bay",+NFL!#REF!,IF(+NFL!$H133="Green Bay",+NFL!#REF!,0))</f>
        <v>0</v>
      </c>
      <c r="AG219" s="388">
        <f>IF(+NFL!$F133="Green Bay",+NFL!#REF!,IF(+NFL!$H133="Green Bay",+NFL!#REF!,0))</f>
        <v>0</v>
      </c>
      <c r="AH219" s="353">
        <f>IF(+NFL!$F133="Green Bay",+NFL!#REF!,IF(+NFL!$H133="Green Bay",+NFL!#REF!,0))</f>
        <v>0</v>
      </c>
      <c r="AI219" s="379">
        <f>IF(+NFL!$F133="Green Bay",+NFL!#REF!,IF(+NFL!$H133="Green Bay",+NFL!#REF!,0))</f>
        <v>0</v>
      </c>
      <c r="AJ219" s="353">
        <f>IF(+NFL!$F133="Green Bay",+NFL!#REF!,IF(+NFL!$H133="Green Bay",+NFL!#REF!,0))</f>
        <v>0</v>
      </c>
      <c r="AK219" s="379">
        <f>IF(+NFL!$F133="Green Bay",+NFL!#REF!,IF(+NFL!$H133="Green Bay",+NFL!#REF!,0))</f>
        <v>0</v>
      </c>
      <c r="AL219" s="57">
        <f>IF(+NFL!$F133="Green Bay",+NFL!#REF!,IF(+NFL!$H133="Green Bay",+NFL!#REF!,0))</f>
        <v>0</v>
      </c>
      <c r="AM219" s="58">
        <f>IF(+NFL!$F133="Green Bay",+NFL!#REF!,IF(+NFL!$H133="Green Bay",+NFL!#REF!,0))</f>
        <v>0</v>
      </c>
      <c r="AN219" s="57">
        <f>IF(+NFL!$F133="Green Bay",+NFL!#REF!,IF(+NFL!$H133="Green Bay",+NFL!#REF!,0))</f>
        <v>0</v>
      </c>
      <c r="AO219" s="59">
        <f>IF(+NFL!$F133="Green Bay",+NFL!#REF!,IF(+NFL!$H133="Green Bay",+NFL!#REF!,0))</f>
        <v>0</v>
      </c>
      <c r="AP219" s="348">
        <f>IF(+NFL!$F133="Green Bay",+NFL!#REF!,IF(+NFL!$H133="Green Bay",+NFL!#REF!,0))</f>
        <v>0</v>
      </c>
      <c r="AQ219" s="48">
        <f>IF(+NFL!$F133="Green Bay",+NFL!#REF!,IF(+NFL!$H133="Green Bay",+NFL!#REF!,0))</f>
        <v>0</v>
      </c>
      <c r="AR219" s="57">
        <f>IF(+NFL!$F133="Green Bay",+NFL!#REF!,IF(+NFL!$H133="Green Bay",+NFL!#REF!,0))</f>
        <v>0</v>
      </c>
      <c r="AS219" s="64">
        <f>IF(+NFL!$F133="Green Bay",+NFL!#REF!,IF(+NFL!$H133="Green Bay",+NFL!#REF!,0))</f>
        <v>0</v>
      </c>
      <c r="AT219" s="64">
        <f>IF(+NFL!$F133="Green Bay",+NFL!#REF!,IF(+NFL!$H133="Green Bay",+NFL!#REF!,0))</f>
        <v>0</v>
      </c>
      <c r="AU219" s="57">
        <f>IF(+NFL!$F133="Green Bay",+NFL!#REF!,IF(+NFL!$H133="Green Bay",+NFL!#REF!,0))</f>
        <v>0</v>
      </c>
      <c r="AV219" s="64">
        <f>IF(+NFL!$F133="Green Bay",+NFL!#REF!,IF(+NFL!$H133="Green Bay",+NFL!#REF!,0))</f>
        <v>0</v>
      </c>
      <c r="AW219" s="46">
        <f>IF(+NFL!$F133="Green Bay",+NFL!#REF!,IF(+NFL!$H133="Green Bay",+NFL!#REF!,0))</f>
        <v>0</v>
      </c>
      <c r="AX219" s="64">
        <f>IF(+NFL!$F133="Green Bay",+NFL!#REF!,IF(+NFL!$H133="Green Bay",+NFL!#REF!,0))</f>
        <v>0</v>
      </c>
      <c r="AY219" s="57">
        <f>IF(+NFL!$F133="Green Bay",+NFL!#REF!,IF(+NFL!$H133="Green Bay",+NFL!#REF!,0))</f>
        <v>0</v>
      </c>
      <c r="AZ219" s="64">
        <f>IF(+NFL!$F133="Green Bay",+NFL!#REF!,IF(+NFL!$H133="Green Bay",+NFL!#REF!,0))</f>
        <v>0</v>
      </c>
      <c r="BA219" s="46">
        <f>IF(+NFL!$F133="Green Bay",+NFL!#REF!,IF(+NFL!$H133="Green Bay",+NFL!#REF!,0))</f>
        <v>0</v>
      </c>
      <c r="BB219" s="46">
        <f>IF(+NFL!$F133="Green Bay",+NFL!#REF!,IF(+NFL!$H133="Green Bay",+NFL!#REF!,0))</f>
        <v>0</v>
      </c>
      <c r="BC219" s="403">
        <f>IF(+NFL!$F133="Green Bay",+NFL!#REF!,IF(+NFL!$H133="Green Bay",+NFL!#REF!,0))</f>
        <v>0</v>
      </c>
      <c r="BD219" s="57">
        <f>IF(+NFL!$F133="Green Bay",+NFL!#REF!,IF(+NFL!$H133="Green Bay",+NFL!#REF!,0))</f>
        <v>0</v>
      </c>
      <c r="BE219" s="64">
        <f>IF(+NFL!$F133="Green Bay",+NFL!#REF!,IF(+NFL!$H133="Green Bay",+NFL!#REF!,0))</f>
        <v>0</v>
      </c>
      <c r="BF219" s="46">
        <f>IF(+NFL!$F133="Green Bay",+NFL!#REF!,IF(+NFL!$H133="Green Bay",+NFL!#REF!,0))</f>
        <v>0</v>
      </c>
      <c r="BG219" s="57">
        <f>IF(+NFL!$F133="Green Bay",+NFL!#REF!,IF(+NFL!$H133="Green Bay",+NFL!#REF!,0))</f>
        <v>0</v>
      </c>
      <c r="BH219" s="64">
        <f>IF(+NFL!$F133="Green Bay",+NFL!#REF!,IF(+NFL!$H133="Green Bay",+NFL!#REF!,0))</f>
        <v>0</v>
      </c>
      <c r="BI219" s="46">
        <f>IF(+NFL!$F133="Green Bay",+NFL!#REF!,IF(+NFL!$H133="Green Bay",+NFL!#REF!,0))</f>
        <v>0</v>
      </c>
      <c r="BJ219" s="87">
        <f>IF(+NFL!$F133="Green Bay",+NFL!#REF!,IF(+NFL!$H133="Green Bay",+NFL!#REF!,0))</f>
        <v>0</v>
      </c>
      <c r="BK219" s="120">
        <f>IF(+NFL!$F133="Green Bay",+NFL!#REF!,IF(+NFL!$H133="Green Bay",+NFL!#REF!,0))</f>
        <v>0</v>
      </c>
    </row>
    <row r="220" spans="1:63" x14ac:dyDescent="0.8">
      <c r="A220" s="46">
        <f>IF(+NFL!$F179="Green Bay",+NFL!A179,IF(+NFL!$H179="Green Bay",+NFL!A179,0))</f>
        <v>10</v>
      </c>
      <c r="B220" s="348" t="str">
        <f>IF(+NFL!$F179="Green Bay",+NFL!B179,IF(+NFL!$H179="Green Bay",+NFL!B179,0))</f>
        <v>Sun</v>
      </c>
      <c r="C220" s="48">
        <f>IF(+NFL!$F179="Green Bay",+NFL!C179,IF(+NFL!$H179="Green Bay",+NFL!C179,0))</f>
        <v>44878</v>
      </c>
      <c r="D220" s="490">
        <f>IF(+NFL!$F179="Green Bay",+NFL!D179,IF(+NFL!$H179="Green Bay",+NFL!D179,0))</f>
        <v>0.66666666666666663</v>
      </c>
      <c r="E220" s="46" t="str">
        <f>IF(+NFL!$F179="Green Bay",+NFL!E179,IF(+NFL!$H179="Green Bay",+NFL!E179,0))</f>
        <v>NBC</v>
      </c>
      <c r="F220" s="114" t="str">
        <f>IF(+NFL!$F179="Green Bay",+NFL!F179,IF(+NFL!$H179="Green Bay",+NFL!F179,0))</f>
        <v>Dallas</v>
      </c>
      <c r="G220" s="46" t="str">
        <f>IF(+NFL!$F179="Green Bay",+NFL!G179,IF(+NFL!$H179="Green Bay",+NFL!G179,0))</f>
        <v>NFCE</v>
      </c>
      <c r="H220" s="114" t="str">
        <f>IF(+NFL!$F179="Green Bay",+NFL!H179,IF(+NFL!$H179="Green Bay",+NFL!H179,0))</f>
        <v>Green Bay</v>
      </c>
      <c r="I220" s="46" t="str">
        <f>IF(+NFL!$F179="Green Bay",+NFL!I179,IF(+NFL!$H179="Green Bay",+NFL!I179,0))</f>
        <v>NFCN</v>
      </c>
      <c r="J220" s="353" t="str">
        <f>IF(+NFL!$F179="Green Bay",+NFL!J179,IF(+NFL!$H179="Green Bay",+NFL!J179,0))</f>
        <v>Dallas</v>
      </c>
      <c r="K220" s="494" t="str">
        <f>IF(+NFL!$F179="Green Bay",+NFL!K179,IF(+NFL!$H179="Green Bay",+NFL!K179,0))</f>
        <v>Green Bay</v>
      </c>
      <c r="L220" s="384">
        <f>IF(+NFL!$F179="Green Bay",+NFL!L179,IF(+NFL!$H179="Green Bay",+NFL!L179,0))</f>
        <v>5</v>
      </c>
      <c r="M220" s="385">
        <f>IF(+NFL!$F179="Green Bay",+NFL!M179,IF(+NFL!$H179="Green Bay",+NFL!M179,0))</f>
        <v>43</v>
      </c>
      <c r="N220" s="394" t="str">
        <f>IF(+NFL!$F179="Green Bay",+NFL!N179,IF(+NFL!$H179="Green Bay",+NFL!N179,0))</f>
        <v>Green Bay</v>
      </c>
      <c r="O220" s="395">
        <f>IF(+NFL!$F179="Green Bay",+NFL!O179,IF(+NFL!$H179="Green Bay",+NFL!O179,0))</f>
        <v>31</v>
      </c>
      <c r="P220" s="394" t="str">
        <f>IF(+NFL!$F179="Green Bay",+NFL!P179,IF(+NFL!$H179="Green Bay",+NFL!P179,0))</f>
        <v>Dallas</v>
      </c>
      <c r="Q220" s="396">
        <f>IF(+NFL!$F179="Green Bay",+NFL!Q179,IF(+NFL!$H179="Green Bay",+NFL!Q179,0))</f>
        <v>28</v>
      </c>
      <c r="R220" s="397" t="str">
        <f>IF(+NFL!$F179="Green Bay",+NFL!R179,IF(+NFL!$H179="Green Bay",+NFL!R179,0))</f>
        <v>Green Bay</v>
      </c>
      <c r="S220" s="396" t="str">
        <f>IF(+NFL!$F179="Green Bay",+NFL!S179,IF(+NFL!$H179="Green Bay",+NFL!S179,0))</f>
        <v>Dallas</v>
      </c>
      <c r="T220" s="398" t="str">
        <f>IF(+NFL!$F179="Green Bay",+NFL!T179,IF(+NFL!$H179="Green Bay",+NFL!T179,0))</f>
        <v>Dallas</v>
      </c>
      <c r="U220" s="396" t="str">
        <f>IF(+NFL!$F179="Green Bay",+NFL!U179,IF(+NFL!$H179="Green Bay",+NFL!U179,0))</f>
        <v>L</v>
      </c>
      <c r="V220" s="397">
        <f>IF(+NFL!$F163="Green Bay",+NFL!#REF!,IF(+NFL!$H163="Green Bay",+NFL!#REF!,0))</f>
        <v>0</v>
      </c>
      <c r="W220" s="396">
        <f>IF(+NFL!$F163="Green Bay",+NFL!#REF!,IF(+NFL!$H163="Green Bay",+NFL!#REF!,0))</f>
        <v>0</v>
      </c>
      <c r="X220" s="398">
        <f>IF(+NFL!$F163="Green Bay",+NFL!#REF!,IF(+NFL!$H163="Green Bay",+NFL!#REF!,0))</f>
        <v>0</v>
      </c>
      <c r="Y220" s="396">
        <f>IF(+NFL!$F163="Green Bay",+NFL!#REF!,IF(+NFL!$H163="Green Bay",+NFL!#REF!,0))</f>
        <v>0</v>
      </c>
      <c r="Z220" s="397">
        <f>IF(+NFL!$F163="Green Bay",+NFL!#REF!,IF(+NFL!$H163="Green Bay",+NFL!#REF!,0))</f>
        <v>0</v>
      </c>
      <c r="AA220" s="400">
        <f>IF(+NFL!$F163="Green Bay",+NFL!#REF!,IF(+NFL!$H163="Green Bay",+NFL!#REF!,0))</f>
        <v>0</v>
      </c>
      <c r="AB220" s="87">
        <f>IF(+NFL!$F163="Green Bay",+NFL!#REF!,IF(+NFL!$H163="Green Bay",+NFL!#REF!,0))</f>
        <v>0</v>
      </c>
      <c r="AC220" s="120">
        <f>IF(+NFL!$F163="Green Bay",+NFL!#REF!,IF(+NFL!$H163="Green Bay",+NFL!#REF!,0))</f>
        <v>0</v>
      </c>
      <c r="AD220" s="353">
        <f>IF(+NFL!$F163="Green Bay",+NFL!#REF!,IF(+NFL!$H163="Green Bay",+NFL!#REF!,0))</f>
        <v>0</v>
      </c>
      <c r="AE220" s="379">
        <f>IF(+NFL!$F163="Green Bay",+NFL!#REF!,IF(+NFL!$H163="Green Bay",+NFL!#REF!,0))</f>
        <v>0</v>
      </c>
      <c r="AF220" s="353">
        <f>IF(+NFL!$F163="Green Bay",+NFL!#REF!,IF(+NFL!$H163="Green Bay",+NFL!#REF!,0))</f>
        <v>0</v>
      </c>
      <c r="AG220" s="388">
        <f>IF(+NFL!$F163="Green Bay",+NFL!#REF!,IF(+NFL!$H163="Green Bay",+NFL!#REF!,0))</f>
        <v>0</v>
      </c>
      <c r="AH220" s="353">
        <f>IF(+NFL!$F163="Green Bay",+NFL!#REF!,IF(+NFL!$H163="Green Bay",+NFL!#REF!,0))</f>
        <v>0</v>
      </c>
      <c r="AI220" s="379">
        <f>IF(+NFL!$F163="Green Bay",+NFL!#REF!,IF(+NFL!$H163="Green Bay",+NFL!#REF!,0))</f>
        <v>0</v>
      </c>
      <c r="AJ220" s="353">
        <f>IF(+NFL!$F163="Green Bay",+NFL!#REF!,IF(+NFL!$H163="Green Bay",+NFL!#REF!,0))</f>
        <v>0</v>
      </c>
      <c r="AK220" s="379">
        <f>IF(+NFL!$F163="Green Bay",+NFL!#REF!,IF(+NFL!$H163="Green Bay",+NFL!#REF!,0))</f>
        <v>0</v>
      </c>
      <c r="AL220" s="57">
        <f>IF(+NFL!$F163="Green Bay",+NFL!#REF!,IF(+NFL!$H163="Green Bay",+NFL!#REF!,0))</f>
        <v>0</v>
      </c>
      <c r="AM220" s="58">
        <f>IF(+NFL!$F163="Green Bay",+NFL!#REF!,IF(+NFL!$H163="Green Bay",+NFL!#REF!,0))</f>
        <v>0</v>
      </c>
      <c r="AN220" s="57">
        <f>IF(+NFL!$F163="Green Bay",+NFL!#REF!,IF(+NFL!$H163="Green Bay",+NFL!#REF!,0))</f>
        <v>0</v>
      </c>
      <c r="AO220" s="59">
        <f>IF(+NFL!$F163="Green Bay",+NFL!#REF!,IF(+NFL!$H163="Green Bay",+NFL!#REF!,0))</f>
        <v>0</v>
      </c>
      <c r="AP220" s="348">
        <f>IF(+NFL!$F163="Green Bay",+NFL!#REF!,IF(+NFL!$H163="Green Bay",+NFL!#REF!,0))</f>
        <v>0</v>
      </c>
      <c r="AQ220" s="48">
        <f>IF(+NFL!$F163="Green Bay",+NFL!#REF!,IF(+NFL!$H163="Green Bay",+NFL!#REF!,0))</f>
        <v>0</v>
      </c>
      <c r="AR220" s="57">
        <f>IF(+NFL!$F163="Green Bay",+NFL!#REF!,IF(+NFL!$H163="Green Bay",+NFL!#REF!,0))</f>
        <v>0</v>
      </c>
      <c r="AS220" s="64">
        <f>IF(+NFL!$F163="Green Bay",+NFL!#REF!,IF(+NFL!$H163="Green Bay",+NFL!#REF!,0))</f>
        <v>0</v>
      </c>
      <c r="AT220" s="64">
        <f>IF(+NFL!$F163="Green Bay",+NFL!#REF!,IF(+NFL!$H163="Green Bay",+NFL!#REF!,0))</f>
        <v>0</v>
      </c>
      <c r="AU220" s="57">
        <f>IF(+NFL!$F163="Green Bay",+NFL!#REF!,IF(+NFL!$H163="Green Bay",+NFL!#REF!,0))</f>
        <v>0</v>
      </c>
      <c r="AV220" s="64">
        <f>IF(+NFL!$F163="Green Bay",+NFL!#REF!,IF(+NFL!$H163="Green Bay",+NFL!#REF!,0))</f>
        <v>0</v>
      </c>
      <c r="AW220" s="46">
        <f>IF(+NFL!$F163="Green Bay",+NFL!#REF!,IF(+NFL!$H163="Green Bay",+NFL!#REF!,0))</f>
        <v>0</v>
      </c>
      <c r="AX220" s="64">
        <f>IF(+NFL!$F163="Green Bay",+NFL!#REF!,IF(+NFL!$H163="Green Bay",+NFL!#REF!,0))</f>
        <v>0</v>
      </c>
      <c r="AY220" s="57">
        <f>IF(+NFL!$F163="Green Bay",+NFL!#REF!,IF(+NFL!$H163="Green Bay",+NFL!#REF!,0))</f>
        <v>0</v>
      </c>
      <c r="AZ220" s="64">
        <f>IF(+NFL!$F163="Green Bay",+NFL!#REF!,IF(+NFL!$H163="Green Bay",+NFL!#REF!,0))</f>
        <v>0</v>
      </c>
      <c r="BA220" s="46">
        <f>IF(+NFL!$F163="Green Bay",+NFL!#REF!,IF(+NFL!$H163="Green Bay",+NFL!#REF!,0))</f>
        <v>0</v>
      </c>
      <c r="BB220" s="46">
        <f>IF(+NFL!$F163="Green Bay",+NFL!#REF!,IF(+NFL!$H163="Green Bay",+NFL!#REF!,0))</f>
        <v>0</v>
      </c>
      <c r="BC220" s="403">
        <f>IF(+NFL!$F163="Green Bay",+NFL!#REF!,IF(+NFL!$H163="Green Bay",+NFL!#REF!,0))</f>
        <v>0</v>
      </c>
      <c r="BD220" s="57">
        <f>IF(+NFL!$F163="Green Bay",+NFL!#REF!,IF(+NFL!$H163="Green Bay",+NFL!#REF!,0))</f>
        <v>0</v>
      </c>
      <c r="BE220" s="64">
        <f>IF(+NFL!$F163="Green Bay",+NFL!#REF!,IF(+NFL!$H163="Green Bay",+NFL!#REF!,0))</f>
        <v>0</v>
      </c>
      <c r="BF220" s="46">
        <f>IF(+NFL!$F163="Green Bay",+NFL!#REF!,IF(+NFL!$H163="Green Bay",+NFL!#REF!,0))</f>
        <v>0</v>
      </c>
      <c r="BG220" s="57">
        <f>IF(+NFL!$F163="Green Bay",+NFL!#REF!,IF(+NFL!$H163="Green Bay",+NFL!#REF!,0))</f>
        <v>0</v>
      </c>
      <c r="BH220" s="64">
        <f>IF(+NFL!$F163="Green Bay",+NFL!#REF!,IF(+NFL!$H163="Green Bay",+NFL!#REF!,0))</f>
        <v>0</v>
      </c>
      <c r="BI220" s="46">
        <f>IF(+NFL!$F163="Green Bay",+NFL!#REF!,IF(+NFL!$H163="Green Bay",+NFL!#REF!,0))</f>
        <v>0</v>
      </c>
      <c r="BJ220" s="87">
        <f>IF(+NFL!$F163="Green Bay",+NFL!#REF!,IF(+NFL!$H163="Green Bay",+NFL!#REF!,0))</f>
        <v>0</v>
      </c>
      <c r="BK220" s="120">
        <f>IF(+NFL!$F163="Green Bay",+NFL!#REF!,IF(+NFL!$H163="Green Bay",+NFL!#REF!,0))</f>
        <v>0</v>
      </c>
    </row>
    <row r="221" spans="1:63" x14ac:dyDescent="0.8">
      <c r="A221" s="46">
        <f>IF(+NFL!$F189="Green Bay",+NFL!A189,IF(+NFL!$H189="Green Bay",+NFL!A189,0))</f>
        <v>11</v>
      </c>
      <c r="B221" s="348" t="str">
        <f>IF(+NFL!$F189="Green Bay",+NFL!B189,IF(+NFL!$H189="Green Bay",+NFL!B189,0))</f>
        <v>Thurs</v>
      </c>
      <c r="C221" s="48">
        <f>IF(+NFL!$F189="Green Bay",+NFL!C189,IF(+NFL!$H189="Green Bay",+NFL!C189,0))</f>
        <v>44882</v>
      </c>
      <c r="D221" s="490">
        <f>IF(+NFL!$F189="Green Bay",+NFL!D189,IF(+NFL!$H189="Green Bay",+NFL!D189,0))</f>
        <v>0.39583333333333331</v>
      </c>
      <c r="E221" s="46" t="str">
        <f>IF(+NFL!$F189="Green Bay",+NFL!E189,IF(+NFL!$H189="Green Bay",+NFL!E189,0))</f>
        <v>NBC</v>
      </c>
      <c r="F221" s="114" t="str">
        <f>IF(+NFL!$F189="Green Bay",+NFL!F189,IF(+NFL!$H189="Green Bay",+NFL!F189,0))</f>
        <v>Tennessee</v>
      </c>
      <c r="G221" s="46" t="str">
        <f>IF(+NFL!$F189="Green Bay",+NFL!G189,IF(+NFL!$H189="Green Bay",+NFL!G189,0))</f>
        <v>AFCS</v>
      </c>
      <c r="H221" s="114" t="str">
        <f>IF(+NFL!$F189="Green Bay",+NFL!H189,IF(+NFL!$H189="Green Bay",+NFL!H189,0))</f>
        <v>Green Bay</v>
      </c>
      <c r="I221" s="46" t="str">
        <f>IF(+NFL!$F189="Green Bay",+NFL!I189,IF(+NFL!$H189="Green Bay",+NFL!I189,0))</f>
        <v>NFCN</v>
      </c>
      <c r="J221" s="353" t="str">
        <f>IF(+NFL!$F189="Green Bay",+NFL!J189,IF(+NFL!$H189="Green Bay",+NFL!J189,0))</f>
        <v>Green Bay</v>
      </c>
      <c r="K221" s="494" t="str">
        <f>IF(+NFL!$F189="Green Bay",+NFL!K189,IF(+NFL!$H189="Green Bay",+NFL!K189,0))</f>
        <v>Tennessee</v>
      </c>
      <c r="L221" s="384">
        <f>IF(+NFL!$F189="Green Bay",+NFL!L189,IF(+NFL!$H189="Green Bay",+NFL!L189,0))</f>
        <v>3</v>
      </c>
      <c r="M221" s="385">
        <f>IF(+NFL!$F189="Green Bay",+NFL!M189,IF(+NFL!$H189="Green Bay",+NFL!M189,0))</f>
        <v>41</v>
      </c>
      <c r="N221" s="394" t="str">
        <f>IF(+NFL!$F189="Green Bay",+NFL!N189,IF(+NFL!$H189="Green Bay",+NFL!N189,0))</f>
        <v>Tennessee</v>
      </c>
      <c r="O221" s="395">
        <f>IF(+NFL!$F189="Green Bay",+NFL!O189,IF(+NFL!$H189="Green Bay",+NFL!O189,0))</f>
        <v>27</v>
      </c>
      <c r="P221" s="394" t="str">
        <f>IF(+NFL!$F189="Green Bay",+NFL!P189,IF(+NFL!$H189="Green Bay",+NFL!P189,0))</f>
        <v>Green Bay</v>
      </c>
      <c r="Q221" s="396">
        <f>IF(+NFL!$F189="Green Bay",+NFL!Q189,IF(+NFL!$H189="Green Bay",+NFL!Q189,0))</f>
        <v>17</v>
      </c>
      <c r="R221" s="397" t="str">
        <f>IF(+NFL!$F189="Green Bay",+NFL!R189,IF(+NFL!$H189="Green Bay",+NFL!R189,0))</f>
        <v>Tennessee</v>
      </c>
      <c r="S221" s="396" t="str">
        <f>IF(+NFL!$F189="Green Bay",+NFL!S189,IF(+NFL!$H189="Green Bay",+NFL!S189,0))</f>
        <v>Green Bay</v>
      </c>
      <c r="T221" s="398" t="str">
        <f>IF(+NFL!$F189="Green Bay",+NFL!T189,IF(+NFL!$H189="Green Bay",+NFL!T189,0))</f>
        <v>Tennessee</v>
      </c>
      <c r="U221" s="396" t="str">
        <f>IF(+NFL!$F189="Green Bay",+NFL!U189,IF(+NFL!$H189="Green Bay",+NFL!U189,0))</f>
        <v>W</v>
      </c>
      <c r="V221" s="397">
        <f>IF(+NFL!$F184="Green Bay",+NFL!#REF!,IF(+NFL!$H184="Green Bay",+NFL!#REF!,0))</f>
        <v>0</v>
      </c>
      <c r="W221" s="396">
        <f>IF(+NFL!$F184="Green Bay",+NFL!#REF!,IF(+NFL!$H184="Green Bay",+NFL!#REF!,0))</f>
        <v>0</v>
      </c>
      <c r="X221" s="398">
        <f>IF(+NFL!$F184="Green Bay",+NFL!#REF!,IF(+NFL!$H184="Green Bay",+NFL!#REF!,0))</f>
        <v>0</v>
      </c>
      <c r="Y221" s="396">
        <f>IF(+NFL!$F184="Green Bay",+NFL!#REF!,IF(+NFL!$H184="Green Bay",+NFL!#REF!,0))</f>
        <v>0</v>
      </c>
      <c r="Z221" s="397">
        <f>IF(+NFL!$F184="Green Bay",+NFL!#REF!,IF(+NFL!$H184="Green Bay",+NFL!#REF!,0))</f>
        <v>0</v>
      </c>
      <c r="AA221" s="400">
        <f>IF(+NFL!$F184="Green Bay",+NFL!#REF!,IF(+NFL!$H184="Green Bay",+NFL!#REF!,0))</f>
        <v>0</v>
      </c>
      <c r="AB221" s="87">
        <f>IF(+NFL!$F184="Green Bay",+NFL!#REF!,IF(+NFL!$H184="Green Bay",+NFL!#REF!,0))</f>
        <v>0</v>
      </c>
      <c r="AC221" s="120">
        <f>IF(+NFL!$F184="Green Bay",+NFL!#REF!,IF(+NFL!$H184="Green Bay",+NFL!#REF!,0))</f>
        <v>0</v>
      </c>
      <c r="AD221" s="353">
        <f>IF(+NFL!$F184="Green Bay",+NFL!#REF!,IF(+NFL!$H184="Green Bay",+NFL!#REF!,0))</f>
        <v>0</v>
      </c>
      <c r="AE221" s="379">
        <f>IF(+NFL!$F184="Green Bay",+NFL!#REF!,IF(+NFL!$H184="Green Bay",+NFL!#REF!,0))</f>
        <v>0</v>
      </c>
      <c r="AF221" s="353">
        <f>IF(+NFL!$F184="Green Bay",+NFL!#REF!,IF(+NFL!$H184="Green Bay",+NFL!#REF!,0))</f>
        <v>0</v>
      </c>
      <c r="AG221" s="388">
        <f>IF(+NFL!$F184="Green Bay",+NFL!#REF!,IF(+NFL!$H184="Green Bay",+NFL!#REF!,0))</f>
        <v>0</v>
      </c>
      <c r="AH221" s="353">
        <f>IF(+NFL!$F184="Green Bay",+NFL!#REF!,IF(+NFL!$H184="Green Bay",+NFL!#REF!,0))</f>
        <v>0</v>
      </c>
      <c r="AI221" s="379">
        <f>IF(+NFL!$F184="Green Bay",+NFL!#REF!,IF(+NFL!$H184="Green Bay",+NFL!#REF!,0))</f>
        <v>0</v>
      </c>
      <c r="AJ221" s="353">
        <f>IF(+NFL!$F184="Green Bay",+NFL!#REF!,IF(+NFL!$H184="Green Bay",+NFL!#REF!,0))</f>
        <v>0</v>
      </c>
      <c r="AK221" s="379">
        <f>IF(+NFL!$F184="Green Bay",+NFL!#REF!,IF(+NFL!$H184="Green Bay",+NFL!#REF!,0))</f>
        <v>0</v>
      </c>
      <c r="AL221" s="57">
        <f>IF(+NFL!$F184="Green Bay",+NFL!#REF!,IF(+NFL!$H184="Green Bay",+NFL!#REF!,0))</f>
        <v>0</v>
      </c>
      <c r="AM221" s="58">
        <f>IF(+NFL!$F184="Green Bay",+NFL!#REF!,IF(+NFL!$H184="Green Bay",+NFL!#REF!,0))</f>
        <v>0</v>
      </c>
      <c r="AN221" s="57">
        <f>IF(+NFL!$F184="Green Bay",+NFL!#REF!,IF(+NFL!$H184="Green Bay",+NFL!#REF!,0))</f>
        <v>0</v>
      </c>
      <c r="AO221" s="59">
        <f>IF(+NFL!$F184="Green Bay",+NFL!#REF!,IF(+NFL!$H184="Green Bay",+NFL!#REF!,0))</f>
        <v>0</v>
      </c>
      <c r="AP221" s="348">
        <f>IF(+NFL!$F184="Green Bay",+NFL!#REF!,IF(+NFL!$H184="Green Bay",+NFL!#REF!,0))</f>
        <v>0</v>
      </c>
      <c r="AQ221" s="48">
        <f>IF(+NFL!$F184="Green Bay",+NFL!#REF!,IF(+NFL!$H184="Green Bay",+NFL!#REF!,0))</f>
        <v>0</v>
      </c>
      <c r="AR221" s="57">
        <f>IF(+NFL!$F184="Green Bay",+NFL!#REF!,IF(+NFL!$H184="Green Bay",+NFL!#REF!,0))</f>
        <v>0</v>
      </c>
      <c r="AS221" s="64">
        <f>IF(+NFL!$F184="Green Bay",+NFL!#REF!,IF(+NFL!$H184="Green Bay",+NFL!#REF!,0))</f>
        <v>0</v>
      </c>
      <c r="AT221" s="64">
        <f>IF(+NFL!$F184="Green Bay",+NFL!#REF!,IF(+NFL!$H184="Green Bay",+NFL!#REF!,0))</f>
        <v>0</v>
      </c>
      <c r="AU221" s="57">
        <f>IF(+NFL!$F184="Green Bay",+NFL!#REF!,IF(+NFL!$H184="Green Bay",+NFL!#REF!,0))</f>
        <v>0</v>
      </c>
      <c r="AV221" s="64">
        <f>IF(+NFL!$F184="Green Bay",+NFL!#REF!,IF(+NFL!$H184="Green Bay",+NFL!#REF!,0))</f>
        <v>0</v>
      </c>
      <c r="AW221" s="46">
        <f>IF(+NFL!$F184="Green Bay",+NFL!#REF!,IF(+NFL!$H184="Green Bay",+NFL!#REF!,0))</f>
        <v>0</v>
      </c>
      <c r="AX221" s="64">
        <f>IF(+NFL!$F184="Green Bay",+NFL!#REF!,IF(+NFL!$H184="Green Bay",+NFL!#REF!,0))</f>
        <v>0</v>
      </c>
      <c r="AY221" s="57">
        <f>IF(+NFL!$F184="Green Bay",+NFL!#REF!,IF(+NFL!$H184="Green Bay",+NFL!#REF!,0))</f>
        <v>0</v>
      </c>
      <c r="AZ221" s="64">
        <f>IF(+NFL!$F184="Green Bay",+NFL!#REF!,IF(+NFL!$H184="Green Bay",+NFL!#REF!,0))</f>
        <v>0</v>
      </c>
      <c r="BA221" s="46">
        <f>IF(+NFL!$F184="Green Bay",+NFL!#REF!,IF(+NFL!$H184="Green Bay",+NFL!#REF!,0))</f>
        <v>0</v>
      </c>
      <c r="BB221" s="46">
        <f>IF(+NFL!$F184="Green Bay",+NFL!#REF!,IF(+NFL!$H184="Green Bay",+NFL!#REF!,0))</f>
        <v>0</v>
      </c>
      <c r="BC221" s="403">
        <f>IF(+NFL!$F184="Green Bay",+NFL!#REF!,IF(+NFL!$H184="Green Bay",+NFL!#REF!,0))</f>
        <v>0</v>
      </c>
      <c r="BD221" s="57">
        <f>IF(+NFL!$F184="Green Bay",+NFL!#REF!,IF(+NFL!$H184="Green Bay",+NFL!#REF!,0))</f>
        <v>0</v>
      </c>
      <c r="BE221" s="64">
        <f>IF(+NFL!$F184="Green Bay",+NFL!#REF!,IF(+NFL!$H184="Green Bay",+NFL!#REF!,0))</f>
        <v>0</v>
      </c>
      <c r="BF221" s="46">
        <f>IF(+NFL!$F184="Green Bay",+NFL!#REF!,IF(+NFL!$H184="Green Bay",+NFL!#REF!,0))</f>
        <v>0</v>
      </c>
      <c r="BG221" s="57">
        <f>IF(+NFL!$F184="Green Bay",+NFL!#REF!,IF(+NFL!$H184="Green Bay",+NFL!#REF!,0))</f>
        <v>0</v>
      </c>
      <c r="BH221" s="64">
        <f>IF(+NFL!$F184="Green Bay",+NFL!#REF!,IF(+NFL!$H184="Green Bay",+NFL!#REF!,0))</f>
        <v>0</v>
      </c>
      <c r="BI221" s="46">
        <f>IF(+NFL!$F184="Green Bay",+NFL!#REF!,IF(+NFL!$H184="Green Bay",+NFL!#REF!,0))</f>
        <v>0</v>
      </c>
      <c r="BJ221" s="87">
        <f>IF(+NFL!$F184="Green Bay",+NFL!#REF!,IF(+NFL!$H184="Green Bay",+NFL!#REF!,0))</f>
        <v>0</v>
      </c>
      <c r="BK221" s="120">
        <f>IF(+NFL!$F184="Green Bay",+NFL!#REF!,IF(+NFL!$H184="Green Bay",+NFL!#REF!,0))</f>
        <v>0</v>
      </c>
    </row>
    <row r="222" spans="1:63" x14ac:dyDescent="0.8">
      <c r="A222" s="46">
        <f>IF(+NFL!$F223="Green Bay",+NFL!A223,IF(+NFL!$H223="Green Bay",+NFL!A223,0))</f>
        <v>12</v>
      </c>
      <c r="B222" s="348" t="str">
        <f>IF(+NFL!$F223="Green Bay",+NFL!B223,IF(+NFL!$H223="Green Bay",+NFL!B223,0))</f>
        <v>Sun</v>
      </c>
      <c r="C222" s="48">
        <f>IF(+NFL!$F223="Green Bay",+NFL!C223,IF(+NFL!$H223="Green Bay",+NFL!C223,0))</f>
        <v>44892</v>
      </c>
      <c r="D222" s="490">
        <f>IF(+NFL!$F223="Green Bay",+NFL!D223,IF(+NFL!$H223="Green Bay",+NFL!D223,0))</f>
        <v>0.84375</v>
      </c>
      <c r="E222" s="46" t="str">
        <f>IF(+NFL!$F223="Green Bay",+NFL!E223,IF(+NFL!$H223="Green Bay",+NFL!E223,0))</f>
        <v>NBC</v>
      </c>
      <c r="F222" s="114" t="str">
        <f>IF(+NFL!$F223="Green Bay",+NFL!F223,IF(+NFL!$H223="Green Bay",+NFL!F223,0))</f>
        <v>Green Bay</v>
      </c>
      <c r="G222" s="46" t="str">
        <f>IF(+NFL!$F223="Green Bay",+NFL!G223,IF(+NFL!$H223="Green Bay",+NFL!G223,0))</f>
        <v>NFCN</v>
      </c>
      <c r="H222" s="114" t="str">
        <f>IF(+NFL!$F223="Green Bay",+NFL!H223,IF(+NFL!$H223="Green Bay",+NFL!H223,0))</f>
        <v>Philadelphia</v>
      </c>
      <c r="I222" s="46" t="str">
        <f>IF(+NFL!$F223="Green Bay",+NFL!I223,IF(+NFL!$H223="Green Bay",+NFL!I223,0))</f>
        <v>NFCE</v>
      </c>
      <c r="J222" s="353" t="str">
        <f>IF(+NFL!$F223="Green Bay",+NFL!J223,IF(+NFL!$H223="Green Bay",+NFL!J223,0))</f>
        <v>Philadelphia</v>
      </c>
      <c r="K222" s="494" t="str">
        <f>IF(+NFL!$F223="Green Bay",+NFL!K223,IF(+NFL!$H223="Green Bay",+NFL!K223,0))</f>
        <v>Green Bay</v>
      </c>
      <c r="L222" s="384">
        <f>IF(+NFL!$F223="Green Bay",+NFL!L223,IF(+NFL!$H223="Green Bay",+NFL!L223,0))</f>
        <v>7</v>
      </c>
      <c r="M222" s="385">
        <f>IF(+NFL!$F223="Green Bay",+NFL!M223,IF(+NFL!$H223="Green Bay",+NFL!M223,0))</f>
        <v>46</v>
      </c>
      <c r="N222" s="394" t="str">
        <f>IF(+NFL!$F223="Green Bay",+NFL!N223,IF(+NFL!$H223="Green Bay",+NFL!N223,0))</f>
        <v>Philadelphia</v>
      </c>
      <c r="O222" s="395">
        <f>IF(+NFL!$F223="Green Bay",+NFL!O223,IF(+NFL!$H223="Green Bay",+NFL!O223,0))</f>
        <v>40</v>
      </c>
      <c r="P222" s="394" t="str">
        <f>IF(+NFL!$F223="Green Bay",+NFL!P223,IF(+NFL!$H223="Green Bay",+NFL!P223,0))</f>
        <v>Green Bay</v>
      </c>
      <c r="Q222" s="396">
        <f>IF(+NFL!$F223="Green Bay",+NFL!Q223,IF(+NFL!$H223="Green Bay",+NFL!Q223,0))</f>
        <v>33</v>
      </c>
      <c r="R222" s="397" t="str">
        <f>IF(+NFL!$F223="Green Bay",+NFL!R223,IF(+NFL!$H223="Green Bay",+NFL!R223,0))</f>
        <v>Philadelphia</v>
      </c>
      <c r="S222" s="396" t="str">
        <f>IF(+NFL!$F223="Green Bay",+NFL!S223,IF(+NFL!$H223="Green Bay",+NFL!S223,0))</f>
        <v>Green Bay</v>
      </c>
      <c r="T222" s="398" t="str">
        <f>IF(+NFL!$F223="Green Bay",+NFL!T223,IF(+NFL!$H223="Green Bay",+NFL!T223,0))</f>
        <v>Philadelphia</v>
      </c>
      <c r="U222" s="396" t="str">
        <f>IF(+NFL!$F223="Green Bay",+NFL!U223,IF(+NFL!$H223="Green Bay",+NFL!U223,0))</f>
        <v>T</v>
      </c>
      <c r="V222" s="397" t="e">
        <f>IF(+NFL!#REF!="Green Bay",+NFL!#REF!,IF(+NFL!#REF!="Green Bay",+NFL!#REF!,0))</f>
        <v>#REF!</v>
      </c>
      <c r="W222" s="396" t="e">
        <f>IF(+NFL!#REF!="Green Bay",+NFL!#REF!,IF(+NFL!#REF!="Green Bay",+NFL!#REF!,0))</f>
        <v>#REF!</v>
      </c>
      <c r="X222" s="398" t="e">
        <f>IF(+NFL!#REF!="Green Bay",+NFL!#REF!,IF(+NFL!#REF!="Green Bay",+NFL!#REF!,0))</f>
        <v>#REF!</v>
      </c>
      <c r="Y222" s="396" t="e">
        <f>IF(+NFL!#REF!="Green Bay",+NFL!#REF!,IF(+NFL!#REF!="Green Bay",+NFL!#REF!,0))</f>
        <v>#REF!</v>
      </c>
      <c r="Z222" s="397" t="e">
        <f>IF(+NFL!#REF!="Green Bay",+NFL!#REF!,IF(+NFL!#REF!="Green Bay",+NFL!#REF!,0))</f>
        <v>#REF!</v>
      </c>
      <c r="AA222" s="400" t="e">
        <f>IF(+NFL!#REF!="Green Bay",+NFL!#REF!,IF(+NFL!#REF!="Green Bay",+NFL!#REF!,0))</f>
        <v>#REF!</v>
      </c>
      <c r="AB222" s="87" t="e">
        <f>IF(+NFL!#REF!="Green Bay",+NFL!#REF!,IF(+NFL!#REF!="Green Bay",+NFL!#REF!,0))</f>
        <v>#REF!</v>
      </c>
      <c r="AC222" s="120" t="e">
        <f>IF(+NFL!#REF!="Green Bay",+NFL!#REF!,IF(+NFL!#REF!="Green Bay",+NFL!#REF!,0))</f>
        <v>#REF!</v>
      </c>
      <c r="AD222" s="353" t="e">
        <f>IF(+NFL!#REF!="Green Bay",+NFL!#REF!,IF(+NFL!#REF!="Green Bay",+NFL!#REF!,0))</f>
        <v>#REF!</v>
      </c>
      <c r="AE222" s="379" t="e">
        <f>IF(+NFL!#REF!="Green Bay",+NFL!#REF!,IF(+NFL!#REF!="Green Bay",+NFL!#REF!,0))</f>
        <v>#REF!</v>
      </c>
      <c r="AF222" s="353" t="e">
        <f>IF(+NFL!#REF!="Green Bay",+NFL!#REF!,IF(+NFL!#REF!="Green Bay",+NFL!#REF!,0))</f>
        <v>#REF!</v>
      </c>
      <c r="AG222" s="388" t="e">
        <f>IF(+NFL!#REF!="Green Bay",+NFL!#REF!,IF(+NFL!#REF!="Green Bay",+NFL!#REF!,0))</f>
        <v>#REF!</v>
      </c>
      <c r="AH222" s="353" t="e">
        <f>IF(+NFL!#REF!="Green Bay",+NFL!#REF!,IF(+NFL!#REF!="Green Bay",+NFL!#REF!,0))</f>
        <v>#REF!</v>
      </c>
      <c r="AI222" s="379" t="e">
        <f>IF(+NFL!#REF!="Green Bay",+NFL!#REF!,IF(+NFL!#REF!="Green Bay",+NFL!#REF!,0))</f>
        <v>#REF!</v>
      </c>
      <c r="AJ222" s="353" t="e">
        <f>IF(+NFL!#REF!="Green Bay",+NFL!#REF!,IF(+NFL!#REF!="Green Bay",+NFL!#REF!,0))</f>
        <v>#REF!</v>
      </c>
      <c r="AK222" s="379" t="e">
        <f>IF(+NFL!#REF!="Green Bay",+NFL!#REF!,IF(+NFL!#REF!="Green Bay",+NFL!#REF!,0))</f>
        <v>#REF!</v>
      </c>
      <c r="AL222" s="57" t="e">
        <f>IF(+NFL!#REF!="Green Bay",+NFL!#REF!,IF(+NFL!#REF!="Green Bay",+NFL!#REF!,0))</f>
        <v>#REF!</v>
      </c>
      <c r="AM222" s="58" t="e">
        <f>IF(+NFL!#REF!="Green Bay",+NFL!#REF!,IF(+NFL!#REF!="Green Bay",+NFL!#REF!,0))</f>
        <v>#REF!</v>
      </c>
      <c r="AN222" s="57" t="e">
        <f>IF(+NFL!#REF!="Green Bay",+NFL!#REF!,IF(+NFL!#REF!="Green Bay",+NFL!#REF!,0))</f>
        <v>#REF!</v>
      </c>
      <c r="AO222" s="59" t="e">
        <f>IF(+NFL!#REF!="Green Bay",+NFL!#REF!,IF(+NFL!#REF!="Green Bay",+NFL!#REF!,0))</f>
        <v>#REF!</v>
      </c>
      <c r="AP222" s="348" t="e">
        <f>IF(+NFL!#REF!="Green Bay",+NFL!#REF!,IF(+NFL!#REF!="Green Bay",+NFL!#REF!,0))</f>
        <v>#REF!</v>
      </c>
      <c r="AQ222" s="48" t="e">
        <f>IF(+NFL!#REF!="Green Bay",+NFL!#REF!,IF(+NFL!#REF!="Green Bay",+NFL!#REF!,0))</f>
        <v>#REF!</v>
      </c>
      <c r="AR222" s="57" t="e">
        <f>IF(+NFL!#REF!="Green Bay",+NFL!#REF!,IF(+NFL!#REF!="Green Bay",+NFL!#REF!,0))</f>
        <v>#REF!</v>
      </c>
      <c r="AS222" s="64" t="e">
        <f>IF(+NFL!#REF!="Green Bay",+NFL!#REF!,IF(+NFL!#REF!="Green Bay",+NFL!#REF!,0))</f>
        <v>#REF!</v>
      </c>
      <c r="AT222" s="64" t="e">
        <f>IF(+NFL!#REF!="Green Bay",+NFL!#REF!,IF(+NFL!#REF!="Green Bay",+NFL!#REF!,0))</f>
        <v>#REF!</v>
      </c>
      <c r="AU222" s="57" t="e">
        <f>IF(+NFL!#REF!="Green Bay",+NFL!#REF!,IF(+NFL!#REF!="Green Bay",+NFL!#REF!,0))</f>
        <v>#REF!</v>
      </c>
      <c r="AV222" s="64" t="e">
        <f>IF(+NFL!#REF!="Green Bay",+NFL!#REF!,IF(+NFL!#REF!="Green Bay",+NFL!#REF!,0))</f>
        <v>#REF!</v>
      </c>
      <c r="AW222" s="46" t="e">
        <f>IF(+NFL!#REF!="Green Bay",+NFL!#REF!,IF(+NFL!#REF!="Green Bay",+NFL!#REF!,0))</f>
        <v>#REF!</v>
      </c>
      <c r="AX222" s="64" t="e">
        <f>IF(+NFL!#REF!="Green Bay",+NFL!#REF!,IF(+NFL!#REF!="Green Bay",+NFL!#REF!,0))</f>
        <v>#REF!</v>
      </c>
      <c r="AY222" s="57" t="e">
        <f>IF(+NFL!#REF!="Green Bay",+NFL!#REF!,IF(+NFL!#REF!="Green Bay",+NFL!#REF!,0))</f>
        <v>#REF!</v>
      </c>
      <c r="AZ222" s="64" t="e">
        <f>IF(+NFL!#REF!="Green Bay",+NFL!#REF!,IF(+NFL!#REF!="Green Bay",+NFL!#REF!,0))</f>
        <v>#REF!</v>
      </c>
      <c r="BA222" s="46" t="e">
        <f>IF(+NFL!#REF!="Green Bay",+NFL!#REF!,IF(+NFL!#REF!="Green Bay",+NFL!#REF!,0))</f>
        <v>#REF!</v>
      </c>
      <c r="BB222" s="46" t="e">
        <f>IF(+NFL!#REF!="Green Bay",+NFL!#REF!,IF(+NFL!#REF!="Green Bay",+NFL!#REF!,0))</f>
        <v>#REF!</v>
      </c>
      <c r="BC222" s="403" t="e">
        <f>IF(+NFL!#REF!="Green Bay",+NFL!#REF!,IF(+NFL!#REF!="Green Bay",+NFL!#REF!,0))</f>
        <v>#REF!</v>
      </c>
      <c r="BD222" s="57" t="e">
        <f>IF(+NFL!#REF!="Green Bay",+NFL!#REF!,IF(+NFL!#REF!="Green Bay",+NFL!#REF!,0))</f>
        <v>#REF!</v>
      </c>
      <c r="BE222" s="64" t="e">
        <f>IF(+NFL!#REF!="Green Bay",+NFL!#REF!,IF(+NFL!#REF!="Green Bay",+NFL!#REF!,0))</f>
        <v>#REF!</v>
      </c>
      <c r="BF222" s="46" t="e">
        <f>IF(+NFL!#REF!="Green Bay",+NFL!#REF!,IF(+NFL!#REF!="Green Bay",+NFL!#REF!,0))</f>
        <v>#REF!</v>
      </c>
      <c r="BG222" s="57" t="e">
        <f>IF(+NFL!#REF!="Green Bay",+NFL!#REF!,IF(+NFL!#REF!="Green Bay",+NFL!#REF!,0))</f>
        <v>#REF!</v>
      </c>
      <c r="BH222" s="64" t="e">
        <f>IF(+NFL!#REF!="Green Bay",+NFL!#REF!,IF(+NFL!#REF!="Green Bay",+NFL!#REF!,0))</f>
        <v>#REF!</v>
      </c>
      <c r="BI222" s="46" t="e">
        <f>IF(+NFL!#REF!="Green Bay",+NFL!#REF!,IF(+NFL!#REF!="Green Bay",+NFL!#REF!,0))</f>
        <v>#REF!</v>
      </c>
      <c r="BJ222" s="87" t="e">
        <f>IF(+NFL!#REF!="Green Bay",+NFL!#REF!,IF(+NFL!#REF!="Green Bay",+NFL!#REF!,0))</f>
        <v>#REF!</v>
      </c>
      <c r="BK222" s="120" t="e">
        <f>IF(+NFL!#REF!="Green Bay",+NFL!#REF!,IF(+NFL!#REF!="Green Bay",+NFL!#REF!,0))</f>
        <v>#REF!</v>
      </c>
    </row>
    <row r="223" spans="1:63" x14ac:dyDescent="0.8">
      <c r="A223" s="46">
        <f>IF(+NFL!$F228="Green Bay",+NFL!A228,IF(+NFL!$H228="Green Bay",+NFL!A228,0))</f>
        <v>13</v>
      </c>
      <c r="B223" s="348" t="str">
        <f>IF(+NFL!$F228="Green Bay",+NFL!B228,IF(+NFL!$H228="Green Bay",+NFL!B228,0))</f>
        <v>Sun</v>
      </c>
      <c r="C223" s="48">
        <f>IF(+NFL!$F228="Green Bay",+NFL!C228,IF(+NFL!$H228="Green Bay",+NFL!C228,0))</f>
        <v>44899</v>
      </c>
      <c r="D223" s="490">
        <f>IF(+NFL!$F228="Green Bay",+NFL!D228,IF(+NFL!$H228="Green Bay",+NFL!D228,0))</f>
        <v>0.54166666666666663</v>
      </c>
      <c r="E223" s="46" t="str">
        <f>IF(+NFL!$F228="Green Bay",+NFL!E228,IF(+NFL!$H228="Green Bay",+NFL!E228,0))</f>
        <v>Fox</v>
      </c>
      <c r="F223" s="114" t="str">
        <f>IF(+NFL!$F228="Green Bay",+NFL!F228,IF(+NFL!$H228="Green Bay",+NFL!F228,0))</f>
        <v>Green Bay</v>
      </c>
      <c r="G223" s="46" t="str">
        <f>IF(+NFL!$F228="Green Bay",+NFL!G228,IF(+NFL!$H228="Green Bay",+NFL!G228,0))</f>
        <v>NFCN</v>
      </c>
      <c r="H223" s="114" t="str">
        <f>IF(+NFL!$F228="Green Bay",+NFL!H228,IF(+NFL!$H228="Green Bay",+NFL!H228,0))</f>
        <v>Chicago</v>
      </c>
      <c r="I223" s="46" t="str">
        <f>IF(+NFL!$F228="Green Bay",+NFL!I228,IF(+NFL!$H228="Green Bay",+NFL!I228,0))</f>
        <v>NFCN</v>
      </c>
      <c r="J223" s="353" t="str">
        <f>IF(+NFL!$F228="Green Bay",+NFL!J228,IF(+NFL!$H228="Green Bay",+NFL!J228,0))</f>
        <v>Green Bay</v>
      </c>
      <c r="K223" s="494" t="str">
        <f>IF(+NFL!$F228="Green Bay",+NFL!K228,IF(+NFL!$H228="Green Bay",+NFL!K228,0))</f>
        <v>Chicago</v>
      </c>
      <c r="L223" s="384">
        <f>IF(+NFL!$F228="Green Bay",+NFL!L228,IF(+NFL!$H228="Green Bay",+NFL!L228,0))</f>
        <v>4.5</v>
      </c>
      <c r="M223" s="385">
        <f>IF(+NFL!$F228="Green Bay",+NFL!M228,IF(+NFL!$H228="Green Bay",+NFL!M228,0))</f>
        <v>43.5</v>
      </c>
      <c r="N223" s="394" t="str">
        <f>IF(+NFL!$F228="Green Bay",+NFL!N228,IF(+NFL!$H228="Green Bay",+NFL!N228,0))</f>
        <v>Green Bay</v>
      </c>
      <c r="O223" s="395">
        <f>IF(+NFL!$F228="Green Bay",+NFL!O228,IF(+NFL!$H228="Green Bay",+NFL!O228,0))</f>
        <v>28</v>
      </c>
      <c r="P223" s="394" t="str">
        <f>IF(+NFL!$F228="Green Bay",+NFL!P228,IF(+NFL!$H228="Green Bay",+NFL!P228,0))</f>
        <v>Chicago</v>
      </c>
      <c r="Q223" s="396">
        <f>IF(+NFL!$F228="Green Bay",+NFL!Q228,IF(+NFL!$H228="Green Bay",+NFL!Q228,0))</f>
        <v>19</v>
      </c>
      <c r="R223" s="397" t="str">
        <f>IF(+NFL!$F228="Green Bay",+NFL!R228,IF(+NFL!$H228="Green Bay",+NFL!R228,0))</f>
        <v>Green Bay</v>
      </c>
      <c r="S223" s="396" t="str">
        <f>IF(+NFL!$F228="Green Bay",+NFL!S228,IF(+NFL!$H228="Green Bay",+NFL!S228,0))</f>
        <v>Chicago</v>
      </c>
      <c r="T223" s="398" t="str">
        <f>IF(+NFL!$F228="Green Bay",+NFL!T228,IF(+NFL!$H228="Green Bay",+NFL!T228,0))</f>
        <v>Chicago</v>
      </c>
      <c r="U223" s="396" t="str">
        <f>IF(+NFL!$F228="Green Bay",+NFL!U228,IF(+NFL!$H228="Green Bay",+NFL!U228,0))</f>
        <v>L</v>
      </c>
      <c r="V223" s="397">
        <f>IF(+NFL!$F232="Green Bay",+NFL!#REF!,IF(+NFL!$H232="Green Bay",+NFL!#REF!,0))</f>
        <v>0</v>
      </c>
      <c r="W223" s="396">
        <f>IF(+NFL!$F232="Green Bay",+NFL!#REF!,IF(+NFL!$H232="Green Bay",+NFL!#REF!,0))</f>
        <v>0</v>
      </c>
      <c r="X223" s="398">
        <f>IF(+NFL!$F232="Green Bay",+NFL!#REF!,IF(+NFL!$H232="Green Bay",+NFL!#REF!,0))</f>
        <v>0</v>
      </c>
      <c r="Y223" s="396">
        <f>IF(+NFL!$F232="Green Bay",+NFL!#REF!,IF(+NFL!$H232="Green Bay",+NFL!#REF!,0))</f>
        <v>0</v>
      </c>
      <c r="Z223" s="397">
        <f>IF(+NFL!$F232="Green Bay",+NFL!#REF!,IF(+NFL!$H232="Green Bay",+NFL!#REF!,0))</f>
        <v>0</v>
      </c>
      <c r="AA223" s="400">
        <f>IF(+NFL!$F232="Green Bay",+NFL!#REF!,IF(+NFL!$H232="Green Bay",+NFL!#REF!,0))</f>
        <v>0</v>
      </c>
      <c r="AB223" s="87">
        <f>IF(+NFL!$F232="Green Bay",+NFL!#REF!,IF(+NFL!$H232="Green Bay",+NFL!#REF!,0))</f>
        <v>0</v>
      </c>
      <c r="AC223" s="120">
        <f>IF(+NFL!$F232="Green Bay",+NFL!#REF!,IF(+NFL!$H232="Green Bay",+NFL!#REF!,0))</f>
        <v>0</v>
      </c>
      <c r="AD223" s="353">
        <f>IF(+NFL!$F232="Green Bay",+NFL!#REF!,IF(+NFL!$H232="Green Bay",+NFL!#REF!,0))</f>
        <v>0</v>
      </c>
      <c r="AE223" s="379">
        <f>IF(+NFL!$F232="Green Bay",+NFL!#REF!,IF(+NFL!$H232="Green Bay",+NFL!#REF!,0))</f>
        <v>0</v>
      </c>
      <c r="AF223" s="353">
        <f>IF(+NFL!$F232="Green Bay",+NFL!#REF!,IF(+NFL!$H232="Green Bay",+NFL!#REF!,0))</f>
        <v>0</v>
      </c>
      <c r="AG223" s="388">
        <f>IF(+NFL!$F232="Green Bay",+NFL!#REF!,IF(+NFL!$H232="Green Bay",+NFL!#REF!,0))</f>
        <v>0</v>
      </c>
      <c r="AH223" s="353">
        <f>IF(+NFL!$F232="Green Bay",+NFL!#REF!,IF(+NFL!$H232="Green Bay",+NFL!#REF!,0))</f>
        <v>0</v>
      </c>
      <c r="AI223" s="379">
        <f>IF(+NFL!$F232="Green Bay",+NFL!#REF!,IF(+NFL!$H232="Green Bay",+NFL!#REF!,0))</f>
        <v>0</v>
      </c>
      <c r="AJ223" s="353">
        <f>IF(+NFL!$F232="Green Bay",+NFL!#REF!,IF(+NFL!$H232="Green Bay",+NFL!#REF!,0))</f>
        <v>0</v>
      </c>
      <c r="AK223" s="379">
        <f>IF(+NFL!$F232="Green Bay",+NFL!#REF!,IF(+NFL!$H232="Green Bay",+NFL!#REF!,0))</f>
        <v>0</v>
      </c>
      <c r="AL223" s="57">
        <f>IF(+NFL!$F232="Green Bay",+NFL!#REF!,IF(+NFL!$H232="Green Bay",+NFL!#REF!,0))</f>
        <v>0</v>
      </c>
      <c r="AM223" s="58">
        <f>IF(+NFL!$F232="Green Bay",+NFL!#REF!,IF(+NFL!$H232="Green Bay",+NFL!#REF!,0))</f>
        <v>0</v>
      </c>
      <c r="AN223" s="57">
        <f>IF(+NFL!$F232="Green Bay",+NFL!#REF!,IF(+NFL!$H232="Green Bay",+NFL!#REF!,0))</f>
        <v>0</v>
      </c>
      <c r="AO223" s="59">
        <f>IF(+NFL!$F232="Green Bay",+NFL!#REF!,IF(+NFL!$H232="Green Bay",+NFL!#REF!,0))</f>
        <v>0</v>
      </c>
      <c r="AP223" s="348">
        <f>IF(+NFL!$F232="Green Bay",+NFL!#REF!,IF(+NFL!$H232="Green Bay",+NFL!#REF!,0))</f>
        <v>0</v>
      </c>
      <c r="AQ223" s="48">
        <f>IF(+NFL!$F232="Green Bay",+NFL!#REF!,IF(+NFL!$H232="Green Bay",+NFL!#REF!,0))</f>
        <v>0</v>
      </c>
      <c r="AR223" s="57">
        <f>IF(+NFL!$F232="Green Bay",+NFL!#REF!,IF(+NFL!$H232="Green Bay",+NFL!#REF!,0))</f>
        <v>0</v>
      </c>
      <c r="AS223" s="64">
        <f>IF(+NFL!$F232="Green Bay",+NFL!#REF!,IF(+NFL!$H232="Green Bay",+NFL!#REF!,0))</f>
        <v>0</v>
      </c>
      <c r="AT223" s="64">
        <f>IF(+NFL!$F232="Green Bay",+NFL!#REF!,IF(+NFL!$H232="Green Bay",+NFL!#REF!,0))</f>
        <v>0</v>
      </c>
      <c r="AU223" s="57">
        <f>IF(+NFL!$F232="Green Bay",+NFL!#REF!,IF(+NFL!$H232="Green Bay",+NFL!#REF!,0))</f>
        <v>0</v>
      </c>
      <c r="AV223" s="64">
        <f>IF(+NFL!$F232="Green Bay",+NFL!#REF!,IF(+NFL!$H232="Green Bay",+NFL!#REF!,0))</f>
        <v>0</v>
      </c>
      <c r="AW223" s="46">
        <f>IF(+NFL!$F232="Green Bay",+NFL!#REF!,IF(+NFL!$H232="Green Bay",+NFL!#REF!,0))</f>
        <v>0</v>
      </c>
      <c r="AX223" s="64">
        <f>IF(+NFL!$F232="Green Bay",+NFL!#REF!,IF(+NFL!$H232="Green Bay",+NFL!#REF!,0))</f>
        <v>0</v>
      </c>
      <c r="AY223" s="57">
        <f>IF(+NFL!$F232="Green Bay",+NFL!#REF!,IF(+NFL!$H232="Green Bay",+NFL!#REF!,0))</f>
        <v>0</v>
      </c>
      <c r="AZ223" s="64">
        <f>IF(+NFL!$F232="Green Bay",+NFL!#REF!,IF(+NFL!$H232="Green Bay",+NFL!#REF!,0))</f>
        <v>0</v>
      </c>
      <c r="BA223" s="46">
        <f>IF(+NFL!$F232="Green Bay",+NFL!#REF!,IF(+NFL!$H232="Green Bay",+NFL!#REF!,0))</f>
        <v>0</v>
      </c>
      <c r="BB223" s="46">
        <f>IF(+NFL!$F232="Green Bay",+NFL!#REF!,IF(+NFL!$H232="Green Bay",+NFL!#REF!,0))</f>
        <v>0</v>
      </c>
      <c r="BC223" s="403">
        <f>IF(+NFL!$F232="Green Bay",+NFL!#REF!,IF(+NFL!$H232="Green Bay",+NFL!#REF!,0))</f>
        <v>0</v>
      </c>
      <c r="BD223" s="57">
        <f>IF(+NFL!$F232="Green Bay",+NFL!#REF!,IF(+NFL!$H232="Green Bay",+NFL!#REF!,0))</f>
        <v>0</v>
      </c>
      <c r="BE223" s="64">
        <f>IF(+NFL!$F232="Green Bay",+NFL!#REF!,IF(+NFL!$H232="Green Bay",+NFL!#REF!,0))</f>
        <v>0</v>
      </c>
      <c r="BF223" s="46">
        <f>IF(+NFL!$F232="Green Bay",+NFL!#REF!,IF(+NFL!$H232="Green Bay",+NFL!#REF!,0))</f>
        <v>0</v>
      </c>
      <c r="BG223" s="57">
        <f>IF(+NFL!$F232="Green Bay",+NFL!#REF!,IF(+NFL!$H232="Green Bay",+NFL!#REF!,0))</f>
        <v>0</v>
      </c>
      <c r="BH223" s="64">
        <f>IF(+NFL!$F232="Green Bay",+NFL!#REF!,IF(+NFL!$H232="Green Bay",+NFL!#REF!,0))</f>
        <v>0</v>
      </c>
      <c r="BI223" s="46">
        <f>IF(+NFL!$F232="Green Bay",+NFL!#REF!,IF(+NFL!$H232="Green Bay",+NFL!#REF!,0))</f>
        <v>0</v>
      </c>
      <c r="BJ223" s="87">
        <f>IF(+NFL!$F232="Green Bay",+NFL!#REF!,IF(+NFL!$H232="Green Bay",+NFL!#REF!,0))</f>
        <v>0</v>
      </c>
      <c r="BK223" s="120">
        <f>IF(+NFL!$F232="Green Bay",+NFL!#REF!,IF(+NFL!$H232="Green Bay",+NFL!#REF!,0))</f>
        <v>0</v>
      </c>
    </row>
    <row r="224" spans="1:63" x14ac:dyDescent="0.8">
      <c r="A224" s="46">
        <f>IF(+NFL!$F261="Green Bay",+NFL!A261,IF(+NFL!$H261="Green Bay",+NFL!A261,0))</f>
        <v>14</v>
      </c>
      <c r="B224" s="348">
        <f>IF(+NFL!$F261="Green Bay",+NFL!B261,IF(+NFL!$H261="Green Bay",+NFL!B261,0))</f>
        <v>0</v>
      </c>
      <c r="C224" s="48">
        <f>IF(+NFL!$F261="Green Bay",+NFL!C261,IF(+NFL!$H261="Green Bay",+NFL!C261,0))</f>
        <v>0</v>
      </c>
      <c r="D224" s="490">
        <f>IF(+NFL!$F261="Green Bay",+NFL!D261,IF(+NFL!$H261="Green Bay",+NFL!D261,0))</f>
        <v>0</v>
      </c>
      <c r="E224" s="46">
        <f>IF(+NFL!$F261="Green Bay",+NFL!E261,IF(+NFL!$H261="Green Bay",+NFL!E261,0))</f>
        <v>0</v>
      </c>
      <c r="F224" s="114" t="str">
        <f>IF(+NFL!$F261="Green Bay",+NFL!F261,IF(+NFL!$H261="Green Bay",+NFL!F261,0))</f>
        <v>Green Bay</v>
      </c>
      <c r="G224" s="46" t="str">
        <f>IF(+NFL!$F261="Green Bay",+NFL!G261,IF(+NFL!$H261="Green Bay",+NFL!G261,0))</f>
        <v>NFCN</v>
      </c>
      <c r="H224" s="114">
        <f>IF(+NFL!$F261="Green Bay",+NFL!H261,IF(+NFL!$H261="Green Bay",+NFL!H261,0))</f>
        <v>0</v>
      </c>
      <c r="I224" s="46">
        <f>IF(+NFL!$F261="Green Bay",+NFL!I261,IF(+NFL!$H261="Green Bay",+NFL!I261,0))</f>
        <v>0</v>
      </c>
      <c r="J224" s="353">
        <f>IF(+NFL!$F261="Green Bay",+NFL!J261,IF(+NFL!$H261="Green Bay",+NFL!J261,0))</f>
        <v>0</v>
      </c>
      <c r="K224" s="494">
        <f>IF(+NFL!$F261="Green Bay",+NFL!K261,IF(+NFL!$H261="Green Bay",+NFL!K261,0))</f>
        <v>0</v>
      </c>
      <c r="L224" s="384">
        <f>IF(+NFL!$F261="Green Bay",+NFL!L261,IF(+NFL!$H261="Green Bay",+NFL!L261,0))</f>
        <v>0</v>
      </c>
      <c r="M224" s="385">
        <f>IF(+NFL!$F261="Green Bay",+NFL!M261,IF(+NFL!$H261="Green Bay",+NFL!M261,0))</f>
        <v>0</v>
      </c>
      <c r="N224" s="394">
        <f>IF(+NFL!$F261="Green Bay",+NFL!N261,IF(+NFL!$H261="Green Bay",+NFL!N261,0))</f>
        <v>0</v>
      </c>
      <c r="O224" s="395">
        <f>IF(+NFL!$F261="Green Bay",+NFL!O261,IF(+NFL!$H261="Green Bay",+NFL!O261,0))</f>
        <v>0</v>
      </c>
      <c r="P224" s="394">
        <f>IF(+NFL!$F261="Green Bay",+NFL!P261,IF(+NFL!$H261="Green Bay",+NFL!P261,0))</f>
        <v>0</v>
      </c>
      <c r="Q224" s="396">
        <f>IF(+NFL!$F261="Green Bay",+NFL!Q261,IF(+NFL!$H261="Green Bay",+NFL!Q261,0))</f>
        <v>0</v>
      </c>
      <c r="R224" s="397">
        <f>IF(+NFL!$F261="Green Bay",+NFL!R261,IF(+NFL!$H261="Green Bay",+NFL!R261,0))</f>
        <v>0</v>
      </c>
      <c r="S224" s="396">
        <f>IF(+NFL!$F261="Green Bay",+NFL!S261,IF(+NFL!$H261="Green Bay",+NFL!S261,0))</f>
        <v>0</v>
      </c>
      <c r="T224" s="398">
        <f>IF(+NFL!$F261="Green Bay",+NFL!T261,IF(+NFL!$H261="Green Bay",+NFL!T261,0))</f>
        <v>0</v>
      </c>
      <c r="U224" s="396">
        <f>IF(+NFL!$F261="Green Bay",+NFL!U261,IF(+NFL!$H261="Green Bay",+NFL!U261,0))</f>
        <v>0</v>
      </c>
      <c r="V224" s="397">
        <f>IF(+NFL!$F251="Green Bay",+NFL!#REF!,IF(+NFL!$H251="Green Bay",+NFL!#REF!,0))</f>
        <v>0</v>
      </c>
      <c r="W224" s="396">
        <f>IF(+NFL!$F251="Green Bay",+NFL!#REF!,IF(+NFL!$H251="Green Bay",+NFL!#REF!,0))</f>
        <v>0</v>
      </c>
      <c r="X224" s="398">
        <f>IF(+NFL!$F251="Green Bay",+NFL!#REF!,IF(+NFL!$H251="Green Bay",+NFL!#REF!,0))</f>
        <v>0</v>
      </c>
      <c r="Y224" s="396">
        <f>IF(+NFL!$F251="Green Bay",+NFL!#REF!,IF(+NFL!$H251="Green Bay",+NFL!#REF!,0))</f>
        <v>0</v>
      </c>
      <c r="Z224" s="397">
        <f>IF(+NFL!$F251="Green Bay",+NFL!#REF!,IF(+NFL!$H251="Green Bay",+NFL!#REF!,0))</f>
        <v>0</v>
      </c>
      <c r="AA224" s="400">
        <f>IF(+NFL!$F251="Green Bay",+NFL!#REF!,IF(+NFL!$H251="Green Bay",+NFL!#REF!,0))</f>
        <v>0</v>
      </c>
      <c r="AB224" s="87">
        <f>IF(+NFL!$F251="Green Bay",+NFL!#REF!,IF(+NFL!$H251="Green Bay",+NFL!#REF!,0))</f>
        <v>0</v>
      </c>
      <c r="AC224" s="120">
        <f>IF(+NFL!$F251="Green Bay",+NFL!#REF!,IF(+NFL!$H251="Green Bay",+NFL!#REF!,0))</f>
        <v>0</v>
      </c>
      <c r="AD224" s="353">
        <f>IF(+NFL!$F251="Green Bay",+NFL!#REF!,IF(+NFL!$H251="Green Bay",+NFL!#REF!,0))</f>
        <v>0</v>
      </c>
      <c r="AE224" s="379">
        <f>IF(+NFL!$F251="Green Bay",+NFL!#REF!,IF(+NFL!$H251="Green Bay",+NFL!#REF!,0))</f>
        <v>0</v>
      </c>
      <c r="AF224" s="353">
        <f>IF(+NFL!$F251="Green Bay",+NFL!#REF!,IF(+NFL!$H251="Green Bay",+NFL!#REF!,0))</f>
        <v>0</v>
      </c>
      <c r="AG224" s="388">
        <f>IF(+NFL!$F251="Green Bay",+NFL!#REF!,IF(+NFL!$H251="Green Bay",+NFL!#REF!,0))</f>
        <v>0</v>
      </c>
      <c r="AH224" s="353">
        <f>IF(+NFL!$F251="Green Bay",+NFL!#REF!,IF(+NFL!$H251="Green Bay",+NFL!#REF!,0))</f>
        <v>0</v>
      </c>
      <c r="AI224" s="379">
        <f>IF(+NFL!$F251="Green Bay",+NFL!#REF!,IF(+NFL!$H251="Green Bay",+NFL!#REF!,0))</f>
        <v>0</v>
      </c>
      <c r="AJ224" s="353">
        <f>IF(+NFL!$F251="Green Bay",+NFL!#REF!,IF(+NFL!$H251="Green Bay",+NFL!#REF!,0))</f>
        <v>0</v>
      </c>
      <c r="AK224" s="379">
        <f>IF(+NFL!$F251="Green Bay",+NFL!#REF!,IF(+NFL!$H251="Green Bay",+NFL!#REF!,0))</f>
        <v>0</v>
      </c>
      <c r="AL224" s="57">
        <f>IF(+NFL!$F251="Green Bay",+NFL!#REF!,IF(+NFL!$H251="Green Bay",+NFL!#REF!,0))</f>
        <v>0</v>
      </c>
      <c r="AM224" s="58">
        <f>IF(+NFL!$F251="Green Bay",+NFL!#REF!,IF(+NFL!$H251="Green Bay",+NFL!#REF!,0))</f>
        <v>0</v>
      </c>
      <c r="AN224" s="57">
        <f>IF(+NFL!$F251="Green Bay",+NFL!#REF!,IF(+NFL!$H251="Green Bay",+NFL!#REF!,0))</f>
        <v>0</v>
      </c>
      <c r="AO224" s="59">
        <f>IF(+NFL!$F251="Green Bay",+NFL!#REF!,IF(+NFL!$H251="Green Bay",+NFL!#REF!,0))</f>
        <v>0</v>
      </c>
      <c r="AP224" s="348">
        <f>IF(+NFL!$F251="Green Bay",+NFL!#REF!,IF(+NFL!$H251="Green Bay",+NFL!#REF!,0))</f>
        <v>0</v>
      </c>
      <c r="AQ224" s="48">
        <f>IF(+NFL!$F251="Green Bay",+NFL!#REF!,IF(+NFL!$H251="Green Bay",+NFL!#REF!,0))</f>
        <v>0</v>
      </c>
      <c r="AR224" s="57">
        <f>IF(+NFL!$F251="Green Bay",+NFL!#REF!,IF(+NFL!$H251="Green Bay",+NFL!#REF!,0))</f>
        <v>0</v>
      </c>
      <c r="AS224" s="64">
        <f>IF(+NFL!$F251="Green Bay",+NFL!#REF!,IF(+NFL!$H251="Green Bay",+NFL!#REF!,0))</f>
        <v>0</v>
      </c>
      <c r="AT224" s="64">
        <f>IF(+NFL!$F251="Green Bay",+NFL!#REF!,IF(+NFL!$H251="Green Bay",+NFL!#REF!,0))</f>
        <v>0</v>
      </c>
      <c r="AU224" s="57">
        <f>IF(+NFL!$F251="Green Bay",+NFL!#REF!,IF(+NFL!$H251="Green Bay",+NFL!#REF!,0))</f>
        <v>0</v>
      </c>
      <c r="AV224" s="64">
        <f>IF(+NFL!$F251="Green Bay",+NFL!#REF!,IF(+NFL!$H251="Green Bay",+NFL!#REF!,0))</f>
        <v>0</v>
      </c>
      <c r="AW224" s="46">
        <f>IF(+NFL!$F251="Green Bay",+NFL!#REF!,IF(+NFL!$H251="Green Bay",+NFL!#REF!,0))</f>
        <v>0</v>
      </c>
      <c r="AX224" s="64">
        <f>IF(+NFL!$F251="Green Bay",+NFL!#REF!,IF(+NFL!$H251="Green Bay",+NFL!#REF!,0))</f>
        <v>0</v>
      </c>
      <c r="AY224" s="57">
        <f>IF(+NFL!$F251="Green Bay",+NFL!#REF!,IF(+NFL!$H251="Green Bay",+NFL!#REF!,0))</f>
        <v>0</v>
      </c>
      <c r="AZ224" s="64">
        <f>IF(+NFL!$F251="Green Bay",+NFL!#REF!,IF(+NFL!$H251="Green Bay",+NFL!#REF!,0))</f>
        <v>0</v>
      </c>
      <c r="BA224" s="46">
        <f>IF(+NFL!$F251="Green Bay",+NFL!#REF!,IF(+NFL!$H251="Green Bay",+NFL!#REF!,0))</f>
        <v>0</v>
      </c>
      <c r="BB224" s="46">
        <f>IF(+NFL!$F251="Green Bay",+NFL!#REF!,IF(+NFL!$H251="Green Bay",+NFL!#REF!,0))</f>
        <v>0</v>
      </c>
      <c r="BC224" s="403">
        <f>IF(+NFL!$F251="Green Bay",+NFL!#REF!,IF(+NFL!$H251="Green Bay",+NFL!#REF!,0))</f>
        <v>0</v>
      </c>
      <c r="BD224" s="57">
        <f>IF(+NFL!$F251="Green Bay",+NFL!#REF!,IF(+NFL!$H251="Green Bay",+NFL!#REF!,0))</f>
        <v>0</v>
      </c>
      <c r="BE224" s="64">
        <f>IF(+NFL!$F251="Green Bay",+NFL!#REF!,IF(+NFL!$H251="Green Bay",+NFL!#REF!,0))</f>
        <v>0</v>
      </c>
      <c r="BF224" s="46">
        <f>IF(+NFL!$F251="Green Bay",+NFL!#REF!,IF(+NFL!$H251="Green Bay",+NFL!#REF!,0))</f>
        <v>0</v>
      </c>
      <c r="BG224" s="57">
        <f>IF(+NFL!$F251="Green Bay",+NFL!#REF!,IF(+NFL!$H251="Green Bay",+NFL!#REF!,0))</f>
        <v>0</v>
      </c>
      <c r="BH224" s="64">
        <f>IF(+NFL!$F251="Green Bay",+NFL!#REF!,IF(+NFL!$H251="Green Bay",+NFL!#REF!,0))</f>
        <v>0</v>
      </c>
      <c r="BI224" s="46">
        <f>IF(+NFL!$F251="Green Bay",+NFL!#REF!,IF(+NFL!$H251="Green Bay",+NFL!#REF!,0))</f>
        <v>0</v>
      </c>
      <c r="BJ224" s="87">
        <f>IF(+NFL!$F251="Green Bay",+NFL!#REF!,IF(+NFL!$H251="Green Bay",+NFL!#REF!,0))</f>
        <v>0</v>
      </c>
      <c r="BK224" s="120">
        <f>IF(+NFL!$F251="Green Bay",+NFL!#REF!,IF(+NFL!$H251="Green Bay",+NFL!#REF!,0))</f>
        <v>0</v>
      </c>
    </row>
    <row r="225" spans="1:63" x14ac:dyDescent="0.8">
      <c r="A225" s="46">
        <f>IF(+NFL!$F281="Green Bay",+NFL!A281,IF(+NFL!$H281="Green Bay",+NFL!A281,0))</f>
        <v>15</v>
      </c>
      <c r="B225" s="348" t="str">
        <f>IF(+NFL!$F281="Green Bay",+NFL!B281,IF(+NFL!$H281="Green Bay",+NFL!B281,0))</f>
        <v>Mon</v>
      </c>
      <c r="C225" s="48">
        <f>IF(+NFL!$F281="Green Bay",+NFL!C281,IF(+NFL!$H281="Green Bay",+NFL!C281,0))</f>
        <v>44914</v>
      </c>
      <c r="D225" s="490">
        <f>IF(+NFL!$F281="Green Bay",+NFL!D281,IF(+NFL!$H281="Green Bay",+NFL!D281,0))</f>
        <v>0.84375</v>
      </c>
      <c r="E225" s="46" t="str">
        <f>IF(+NFL!$F281="Green Bay",+NFL!E281,IF(+NFL!$H281="Green Bay",+NFL!E281,0))</f>
        <v>ABC</v>
      </c>
      <c r="F225" s="114" t="str">
        <f>IF(+NFL!$F281="Green Bay",+NFL!F281,IF(+NFL!$H281="Green Bay",+NFL!F281,0))</f>
        <v>LA Rams</v>
      </c>
      <c r="G225" s="46" t="str">
        <f>IF(+NFL!$F281="Green Bay",+NFL!G281,IF(+NFL!$H281="Green Bay",+NFL!G281,0))</f>
        <v>NFCW</v>
      </c>
      <c r="H225" s="114" t="str">
        <f>IF(+NFL!$F281="Green Bay",+NFL!H281,IF(+NFL!$H281="Green Bay",+NFL!H281,0))</f>
        <v>Green Bay</v>
      </c>
      <c r="I225" s="46" t="str">
        <f>IF(+NFL!$F281="Green Bay",+NFL!I281,IF(+NFL!$H281="Green Bay",+NFL!I281,0))</f>
        <v>NFCN</v>
      </c>
      <c r="J225" s="353" t="str">
        <f>IF(+NFL!$F281="Green Bay",+NFL!J281,IF(+NFL!$H281="Green Bay",+NFL!J281,0))</f>
        <v>Green Bay</v>
      </c>
      <c r="K225" s="494" t="str">
        <f>IF(+NFL!$F281="Green Bay",+NFL!K281,IF(+NFL!$H281="Green Bay",+NFL!K281,0))</f>
        <v>LA Rams</v>
      </c>
      <c r="L225" s="384">
        <f>IF(+NFL!$F281="Green Bay",+NFL!L281,IF(+NFL!$H281="Green Bay",+NFL!L281,0))</f>
        <v>7.5</v>
      </c>
      <c r="M225" s="385">
        <f>IF(+NFL!$F281="Green Bay",+NFL!M281,IF(+NFL!$H281="Green Bay",+NFL!M281,0))</f>
        <v>39.5</v>
      </c>
      <c r="N225" s="394" t="str">
        <f>IF(+NFL!$F281="Green Bay",+NFL!N281,IF(+NFL!$H281="Green Bay",+NFL!N281,0))</f>
        <v>Green Bay</v>
      </c>
      <c r="O225" s="395">
        <f>IF(+NFL!$F281="Green Bay",+NFL!O281,IF(+NFL!$H281="Green Bay",+NFL!O281,0))</f>
        <v>24</v>
      </c>
      <c r="P225" s="394" t="str">
        <f>IF(+NFL!$F281="Green Bay",+NFL!P281,IF(+NFL!$H281="Green Bay",+NFL!P281,0))</f>
        <v>LA Rams</v>
      </c>
      <c r="Q225" s="396">
        <f>IF(+NFL!$F281="Green Bay",+NFL!Q281,IF(+NFL!$H281="Green Bay",+NFL!Q281,0))</f>
        <v>12</v>
      </c>
      <c r="R225" s="397" t="str">
        <f>IF(+NFL!$F281="Green Bay",+NFL!R281,IF(+NFL!$H281="Green Bay",+NFL!R281,0))</f>
        <v>Green Bay</v>
      </c>
      <c r="S225" s="396" t="str">
        <f>IF(+NFL!$F281="Green Bay",+NFL!S281,IF(+NFL!$H281="Green Bay",+NFL!S281,0))</f>
        <v>LA Rams</v>
      </c>
      <c r="T225" s="398">
        <f>IF(+NFL!$F281="Green Bay",+NFL!T281,IF(+NFL!$H281="Green Bay",+NFL!T281,0))</f>
        <v>0</v>
      </c>
      <c r="U225" s="396" t="str">
        <f>IF(+NFL!$F281="Green Bay",+NFL!U281,IF(+NFL!$H281="Green Bay",+NFL!U281,0))</f>
        <v>L</v>
      </c>
      <c r="V225" s="397">
        <f>IF(+NFL!$F272="Green Bay",+NFL!#REF!,IF(+NFL!$H272="Green Bay",+NFL!#REF!,0))</f>
        <v>0</v>
      </c>
      <c r="W225" s="396">
        <f>IF(+NFL!$F272="Green Bay",+NFL!#REF!,IF(+NFL!$H272="Green Bay",+NFL!#REF!,0))</f>
        <v>0</v>
      </c>
      <c r="X225" s="398">
        <f>IF(+NFL!$F272="Green Bay",+NFL!#REF!,IF(+NFL!$H272="Green Bay",+NFL!#REF!,0))</f>
        <v>0</v>
      </c>
      <c r="Y225" s="396">
        <f>IF(+NFL!$F272="Green Bay",+NFL!#REF!,IF(+NFL!$H272="Green Bay",+NFL!#REF!,0))</f>
        <v>0</v>
      </c>
      <c r="Z225" s="397">
        <f>IF(+NFL!$F272="Green Bay",+NFL!#REF!,IF(+NFL!$H272="Green Bay",+NFL!#REF!,0))</f>
        <v>0</v>
      </c>
      <c r="AA225" s="400">
        <f>IF(+NFL!$F272="Green Bay",+NFL!#REF!,IF(+NFL!$H272="Green Bay",+NFL!#REF!,0))</f>
        <v>0</v>
      </c>
      <c r="AB225" s="87">
        <f>IF(+NFL!$F272="Green Bay",+NFL!#REF!,IF(+NFL!$H272="Green Bay",+NFL!#REF!,0))</f>
        <v>0</v>
      </c>
      <c r="AC225" s="120">
        <f>IF(+NFL!$F272="Green Bay",+NFL!#REF!,IF(+NFL!$H272="Green Bay",+NFL!#REF!,0))</f>
        <v>0</v>
      </c>
      <c r="AD225" s="353">
        <f>IF(+NFL!$F272="Green Bay",+NFL!#REF!,IF(+NFL!$H272="Green Bay",+NFL!#REF!,0))</f>
        <v>0</v>
      </c>
      <c r="AE225" s="379">
        <f>IF(+NFL!$F272="Green Bay",+NFL!#REF!,IF(+NFL!$H272="Green Bay",+NFL!#REF!,0))</f>
        <v>0</v>
      </c>
      <c r="AF225" s="353">
        <f>IF(+NFL!$F272="Green Bay",+NFL!#REF!,IF(+NFL!$H272="Green Bay",+NFL!#REF!,0))</f>
        <v>0</v>
      </c>
      <c r="AG225" s="388">
        <f>IF(+NFL!$F272="Green Bay",+NFL!#REF!,IF(+NFL!$H272="Green Bay",+NFL!#REF!,0))</f>
        <v>0</v>
      </c>
      <c r="AH225" s="353">
        <f>IF(+NFL!$F272="Green Bay",+NFL!#REF!,IF(+NFL!$H272="Green Bay",+NFL!#REF!,0))</f>
        <v>0</v>
      </c>
      <c r="AI225" s="379">
        <f>IF(+NFL!$F272="Green Bay",+NFL!#REF!,IF(+NFL!$H272="Green Bay",+NFL!#REF!,0))</f>
        <v>0</v>
      </c>
      <c r="AJ225" s="353">
        <f>IF(+NFL!$F272="Green Bay",+NFL!#REF!,IF(+NFL!$H272="Green Bay",+NFL!#REF!,0))</f>
        <v>0</v>
      </c>
      <c r="AK225" s="379">
        <f>IF(+NFL!$F272="Green Bay",+NFL!#REF!,IF(+NFL!$H272="Green Bay",+NFL!#REF!,0))</f>
        <v>0</v>
      </c>
      <c r="AL225" s="57">
        <f>IF(+NFL!$F272="Green Bay",+NFL!#REF!,IF(+NFL!$H272="Green Bay",+NFL!#REF!,0))</f>
        <v>0</v>
      </c>
      <c r="AM225" s="58">
        <f>IF(+NFL!$F272="Green Bay",+NFL!#REF!,IF(+NFL!$H272="Green Bay",+NFL!#REF!,0))</f>
        <v>0</v>
      </c>
      <c r="AN225" s="57">
        <f>IF(+NFL!$F272="Green Bay",+NFL!#REF!,IF(+NFL!$H272="Green Bay",+NFL!#REF!,0))</f>
        <v>0</v>
      </c>
      <c r="AO225" s="59">
        <f>IF(+NFL!$F272="Green Bay",+NFL!#REF!,IF(+NFL!$H272="Green Bay",+NFL!#REF!,0))</f>
        <v>0</v>
      </c>
      <c r="AP225" s="348">
        <f>IF(+NFL!$F272="Green Bay",+NFL!#REF!,IF(+NFL!$H272="Green Bay",+NFL!#REF!,0))</f>
        <v>0</v>
      </c>
      <c r="AQ225" s="48">
        <f>IF(+NFL!$F272="Green Bay",+NFL!#REF!,IF(+NFL!$H272="Green Bay",+NFL!#REF!,0))</f>
        <v>0</v>
      </c>
      <c r="AR225" s="57">
        <f>IF(+NFL!$F272="Green Bay",+NFL!#REF!,IF(+NFL!$H272="Green Bay",+NFL!#REF!,0))</f>
        <v>0</v>
      </c>
      <c r="AS225" s="64">
        <f>IF(+NFL!$F272="Green Bay",+NFL!#REF!,IF(+NFL!$H272="Green Bay",+NFL!#REF!,0))</f>
        <v>0</v>
      </c>
      <c r="AT225" s="64">
        <f>IF(+NFL!$F272="Green Bay",+NFL!#REF!,IF(+NFL!$H272="Green Bay",+NFL!#REF!,0))</f>
        <v>0</v>
      </c>
      <c r="AU225" s="57">
        <f>IF(+NFL!$F272="Green Bay",+NFL!#REF!,IF(+NFL!$H272="Green Bay",+NFL!#REF!,0))</f>
        <v>0</v>
      </c>
      <c r="AV225" s="64">
        <f>IF(+NFL!$F272="Green Bay",+NFL!#REF!,IF(+NFL!$H272="Green Bay",+NFL!#REF!,0))</f>
        <v>0</v>
      </c>
      <c r="AW225" s="46">
        <f>IF(+NFL!$F272="Green Bay",+NFL!#REF!,IF(+NFL!$H272="Green Bay",+NFL!#REF!,0))</f>
        <v>0</v>
      </c>
      <c r="AX225" s="64">
        <f>IF(+NFL!$F272="Green Bay",+NFL!#REF!,IF(+NFL!$H272="Green Bay",+NFL!#REF!,0))</f>
        <v>0</v>
      </c>
      <c r="AY225" s="57">
        <f>IF(+NFL!$F272="Green Bay",+NFL!#REF!,IF(+NFL!$H272="Green Bay",+NFL!#REF!,0))</f>
        <v>0</v>
      </c>
      <c r="AZ225" s="64">
        <f>IF(+NFL!$F272="Green Bay",+NFL!#REF!,IF(+NFL!$H272="Green Bay",+NFL!#REF!,0))</f>
        <v>0</v>
      </c>
      <c r="BA225" s="46">
        <f>IF(+NFL!$F272="Green Bay",+NFL!#REF!,IF(+NFL!$H272="Green Bay",+NFL!#REF!,0))</f>
        <v>0</v>
      </c>
      <c r="BB225" s="46">
        <f>IF(+NFL!$F272="Green Bay",+NFL!#REF!,IF(+NFL!$H272="Green Bay",+NFL!#REF!,0))</f>
        <v>0</v>
      </c>
      <c r="BC225" s="403">
        <f>IF(+NFL!$F272="Green Bay",+NFL!#REF!,IF(+NFL!$H272="Green Bay",+NFL!#REF!,0))</f>
        <v>0</v>
      </c>
      <c r="BD225" s="57">
        <f>IF(+NFL!$F272="Green Bay",+NFL!#REF!,IF(+NFL!$H272="Green Bay",+NFL!#REF!,0))</f>
        <v>0</v>
      </c>
      <c r="BE225" s="64">
        <f>IF(+NFL!$F272="Green Bay",+NFL!#REF!,IF(+NFL!$H272="Green Bay",+NFL!#REF!,0))</f>
        <v>0</v>
      </c>
      <c r="BF225" s="46">
        <f>IF(+NFL!$F272="Green Bay",+NFL!#REF!,IF(+NFL!$H272="Green Bay",+NFL!#REF!,0))</f>
        <v>0</v>
      </c>
      <c r="BG225" s="57">
        <f>IF(+NFL!$F272="Green Bay",+NFL!#REF!,IF(+NFL!$H272="Green Bay",+NFL!#REF!,0))</f>
        <v>0</v>
      </c>
      <c r="BH225" s="64">
        <f>IF(+NFL!$F272="Green Bay",+NFL!#REF!,IF(+NFL!$H272="Green Bay",+NFL!#REF!,0))</f>
        <v>0</v>
      </c>
      <c r="BI225" s="46">
        <f>IF(+NFL!$F272="Green Bay",+NFL!#REF!,IF(+NFL!$H272="Green Bay",+NFL!#REF!,0))</f>
        <v>0</v>
      </c>
      <c r="BJ225" s="87">
        <f>IF(+NFL!$F272="Green Bay",+NFL!#REF!,IF(+NFL!$H272="Green Bay",+NFL!#REF!,0))</f>
        <v>0</v>
      </c>
      <c r="BK225" s="120">
        <f>IF(+NFL!$F272="Green Bay",+NFL!#REF!,IF(+NFL!$H272="Green Bay",+NFL!#REF!,0))</f>
        <v>0</v>
      </c>
    </row>
    <row r="226" spans="1:63" x14ac:dyDescent="0.8">
      <c r="A226" s="46">
        <f>IF(+NFL!$F295="Green Bay",+NFL!A295,IF(+NFL!$H295="Green Bay",+NFL!A295,0))</f>
        <v>16</v>
      </c>
      <c r="B226" s="348" t="str">
        <f>IF(+NFL!$F295="Green Bay",+NFL!B295,IF(+NFL!$H295="Green Bay",+NFL!B295,0))</f>
        <v>Sun</v>
      </c>
      <c r="C226" s="48">
        <f>IF(+NFL!$F295="Green Bay",+NFL!C295,IF(+NFL!$H295="Green Bay",+NFL!C295,0))</f>
        <v>44920</v>
      </c>
      <c r="D226" s="490">
        <f>IF(+NFL!$F295="Green Bay",+NFL!D295,IF(+NFL!$H295="Green Bay",+NFL!D295,0))</f>
        <v>0.54166666666666663</v>
      </c>
      <c r="E226" s="46" t="str">
        <f>IF(+NFL!$F295="Green Bay",+NFL!E295,IF(+NFL!$H295="Green Bay",+NFL!E295,0))</f>
        <v>Fox</v>
      </c>
      <c r="F226" s="114" t="str">
        <f>IF(+NFL!$F295="Green Bay",+NFL!F295,IF(+NFL!$H295="Green Bay",+NFL!F295,0))</f>
        <v>Green Bay</v>
      </c>
      <c r="G226" s="46" t="str">
        <f>IF(+NFL!$F295="Green Bay",+NFL!G295,IF(+NFL!$H295="Green Bay",+NFL!G295,0))</f>
        <v>NFCN</v>
      </c>
      <c r="H226" s="114" t="str">
        <f>IF(+NFL!$F295="Green Bay",+NFL!H295,IF(+NFL!$H295="Green Bay",+NFL!H295,0))</f>
        <v>Miami</v>
      </c>
      <c r="I226" s="46" t="str">
        <f>IF(+NFL!$F295="Green Bay",+NFL!I295,IF(+NFL!$H295="Green Bay",+NFL!I295,0))</f>
        <v>AFCE</v>
      </c>
      <c r="J226" s="353" t="str">
        <f>IF(+NFL!$F295="Green Bay",+NFL!J295,IF(+NFL!$H295="Green Bay",+NFL!J295,0))</f>
        <v>Miami</v>
      </c>
      <c r="K226" s="494" t="str">
        <f>IF(+NFL!$F295="Green Bay",+NFL!K295,IF(+NFL!$H295="Green Bay",+NFL!K295,0))</f>
        <v>Green Bay</v>
      </c>
      <c r="L226" s="384">
        <f>IF(+NFL!$F295="Green Bay",+NFL!L295,IF(+NFL!$H295="Green Bay",+NFL!L295,0))</f>
        <v>3.5</v>
      </c>
      <c r="M226" s="385">
        <f>IF(+NFL!$F295="Green Bay",+NFL!M295,IF(+NFL!$H295="Green Bay",+NFL!M295,0))</f>
        <v>49.5</v>
      </c>
      <c r="N226" s="394" t="str">
        <f>IF(+NFL!$F295="Green Bay",+NFL!N295,IF(+NFL!$H295="Green Bay",+NFL!N295,0))</f>
        <v>Green Bay</v>
      </c>
      <c r="O226" s="395">
        <f>IF(+NFL!$F295="Green Bay",+NFL!O295,IF(+NFL!$H295="Green Bay",+NFL!O295,0))</f>
        <v>26</v>
      </c>
      <c r="P226" s="394" t="str">
        <f>IF(+NFL!$F295="Green Bay",+NFL!P295,IF(+NFL!$H295="Green Bay",+NFL!P295,0))</f>
        <v>Miami</v>
      </c>
      <c r="Q226" s="396">
        <f>IF(+NFL!$F295="Green Bay",+NFL!Q295,IF(+NFL!$H295="Green Bay",+NFL!Q295,0))</f>
        <v>20</v>
      </c>
      <c r="R226" s="397" t="str">
        <f>IF(+NFL!$F295="Green Bay",+NFL!R295,IF(+NFL!$H295="Green Bay",+NFL!R295,0))</f>
        <v>Green Bay</v>
      </c>
      <c r="S226" s="396" t="str">
        <f>IF(+NFL!$F295="Green Bay",+NFL!S295,IF(+NFL!$H295="Green Bay",+NFL!S295,0))</f>
        <v>Miami</v>
      </c>
      <c r="T226" s="398">
        <f>IF(+NFL!$F295="Green Bay",+NFL!T295,IF(+NFL!$H295="Green Bay",+NFL!T295,0))</f>
        <v>0</v>
      </c>
      <c r="U226" s="396" t="str">
        <f>IF(+NFL!$F295="Green Bay",+NFL!U295,IF(+NFL!$H295="Green Bay",+NFL!U295,0))</f>
        <v>L</v>
      </c>
      <c r="V226" s="397">
        <f>IF(+NFL!$F287="Green Bay",+NFL!#REF!,IF(+NFL!$H287="Green Bay",+NFL!#REF!,0))</f>
        <v>0</v>
      </c>
      <c r="W226" s="396">
        <f>IF(+NFL!$F287="Green Bay",+NFL!#REF!,IF(+NFL!$H287="Green Bay",+NFL!#REF!,0))</f>
        <v>0</v>
      </c>
      <c r="X226" s="398">
        <f>IF(+NFL!$F287="Green Bay",+NFL!#REF!,IF(+NFL!$H287="Green Bay",+NFL!#REF!,0))</f>
        <v>0</v>
      </c>
      <c r="Y226" s="396">
        <f>IF(+NFL!$F287="Green Bay",+NFL!#REF!,IF(+NFL!$H287="Green Bay",+NFL!#REF!,0))</f>
        <v>0</v>
      </c>
      <c r="Z226" s="397">
        <f>IF(+NFL!$F287="Green Bay",+NFL!#REF!,IF(+NFL!$H287="Green Bay",+NFL!#REF!,0))</f>
        <v>0</v>
      </c>
      <c r="AA226" s="400">
        <f>IF(+NFL!$F287="Green Bay",+NFL!#REF!,IF(+NFL!$H287="Green Bay",+NFL!#REF!,0))</f>
        <v>0</v>
      </c>
      <c r="AB226" s="87">
        <f>IF(+NFL!$F287="Green Bay",+NFL!#REF!,IF(+NFL!$H287="Green Bay",+NFL!#REF!,0))</f>
        <v>0</v>
      </c>
      <c r="AC226" s="120">
        <f>IF(+NFL!$F287="Green Bay",+NFL!#REF!,IF(+NFL!$H287="Green Bay",+NFL!#REF!,0))</f>
        <v>0</v>
      </c>
      <c r="AD226" s="353">
        <f>IF(+NFL!$F287="Green Bay",+NFL!#REF!,IF(+NFL!$H287="Green Bay",+NFL!#REF!,0))</f>
        <v>0</v>
      </c>
      <c r="AE226" s="379">
        <f>IF(+NFL!$F287="Green Bay",+NFL!#REF!,IF(+NFL!$H287="Green Bay",+NFL!#REF!,0))</f>
        <v>0</v>
      </c>
      <c r="AF226" s="353">
        <f>IF(+NFL!$F287="Green Bay",+NFL!#REF!,IF(+NFL!$H287="Green Bay",+NFL!#REF!,0))</f>
        <v>0</v>
      </c>
      <c r="AG226" s="388">
        <f>IF(+NFL!$F287="Green Bay",+NFL!#REF!,IF(+NFL!$H287="Green Bay",+NFL!#REF!,0))</f>
        <v>0</v>
      </c>
      <c r="AH226" s="353">
        <f>IF(+NFL!$F287="Green Bay",+NFL!#REF!,IF(+NFL!$H287="Green Bay",+NFL!#REF!,0))</f>
        <v>0</v>
      </c>
      <c r="AI226" s="379">
        <f>IF(+NFL!$F287="Green Bay",+NFL!#REF!,IF(+NFL!$H287="Green Bay",+NFL!#REF!,0))</f>
        <v>0</v>
      </c>
      <c r="AJ226" s="353">
        <f>IF(+NFL!$F287="Green Bay",+NFL!#REF!,IF(+NFL!$H287="Green Bay",+NFL!#REF!,0))</f>
        <v>0</v>
      </c>
      <c r="AK226" s="379">
        <f>IF(+NFL!$F287="Green Bay",+NFL!#REF!,IF(+NFL!$H287="Green Bay",+NFL!#REF!,0))</f>
        <v>0</v>
      </c>
      <c r="AL226" s="57">
        <f>IF(+NFL!$F287="Green Bay",+NFL!#REF!,IF(+NFL!$H287="Green Bay",+NFL!#REF!,0))</f>
        <v>0</v>
      </c>
      <c r="AM226" s="58">
        <f>IF(+NFL!$F287="Green Bay",+NFL!#REF!,IF(+NFL!$H287="Green Bay",+NFL!#REF!,0))</f>
        <v>0</v>
      </c>
      <c r="AN226" s="57">
        <f>IF(+NFL!$F287="Green Bay",+NFL!#REF!,IF(+NFL!$H287="Green Bay",+NFL!#REF!,0))</f>
        <v>0</v>
      </c>
      <c r="AO226" s="59">
        <f>IF(+NFL!$F287="Green Bay",+NFL!#REF!,IF(+NFL!$H287="Green Bay",+NFL!#REF!,0))</f>
        <v>0</v>
      </c>
      <c r="AP226" s="348">
        <f>IF(+NFL!$F287="Green Bay",+NFL!#REF!,IF(+NFL!$H287="Green Bay",+NFL!#REF!,0))</f>
        <v>0</v>
      </c>
      <c r="AQ226" s="48">
        <f>IF(+NFL!$F287="Green Bay",+NFL!#REF!,IF(+NFL!$H287="Green Bay",+NFL!#REF!,0))</f>
        <v>0</v>
      </c>
      <c r="AR226" s="57">
        <f>IF(+NFL!$F287="Green Bay",+NFL!#REF!,IF(+NFL!$H287="Green Bay",+NFL!#REF!,0))</f>
        <v>0</v>
      </c>
      <c r="AS226" s="64">
        <f>IF(+NFL!$F287="Green Bay",+NFL!#REF!,IF(+NFL!$H287="Green Bay",+NFL!#REF!,0))</f>
        <v>0</v>
      </c>
      <c r="AT226" s="64">
        <f>IF(+NFL!$F287="Green Bay",+NFL!#REF!,IF(+NFL!$H287="Green Bay",+NFL!#REF!,0))</f>
        <v>0</v>
      </c>
      <c r="AU226" s="57">
        <f>IF(+NFL!$F287="Green Bay",+NFL!#REF!,IF(+NFL!$H287="Green Bay",+NFL!#REF!,0))</f>
        <v>0</v>
      </c>
      <c r="AV226" s="64">
        <f>IF(+NFL!$F287="Green Bay",+NFL!#REF!,IF(+NFL!$H287="Green Bay",+NFL!#REF!,0))</f>
        <v>0</v>
      </c>
      <c r="AW226" s="46">
        <f>IF(+NFL!$F287="Green Bay",+NFL!#REF!,IF(+NFL!$H287="Green Bay",+NFL!#REF!,0))</f>
        <v>0</v>
      </c>
      <c r="AX226" s="64">
        <f>IF(+NFL!$F287="Green Bay",+NFL!#REF!,IF(+NFL!$H287="Green Bay",+NFL!#REF!,0))</f>
        <v>0</v>
      </c>
      <c r="AY226" s="57">
        <f>IF(+NFL!$F287="Green Bay",+NFL!#REF!,IF(+NFL!$H287="Green Bay",+NFL!#REF!,0))</f>
        <v>0</v>
      </c>
      <c r="AZ226" s="64">
        <f>IF(+NFL!$F287="Green Bay",+NFL!#REF!,IF(+NFL!$H287="Green Bay",+NFL!#REF!,0))</f>
        <v>0</v>
      </c>
      <c r="BA226" s="46">
        <f>IF(+NFL!$F287="Green Bay",+NFL!#REF!,IF(+NFL!$H287="Green Bay",+NFL!#REF!,0))</f>
        <v>0</v>
      </c>
      <c r="BB226" s="46">
        <f>IF(+NFL!$F287="Green Bay",+NFL!#REF!,IF(+NFL!$H287="Green Bay",+NFL!#REF!,0))</f>
        <v>0</v>
      </c>
      <c r="BC226" s="403">
        <f>IF(+NFL!$F287="Green Bay",+NFL!#REF!,IF(+NFL!$H287="Green Bay",+NFL!#REF!,0))</f>
        <v>0</v>
      </c>
      <c r="BD226" s="57">
        <f>IF(+NFL!$F287="Green Bay",+NFL!#REF!,IF(+NFL!$H287="Green Bay",+NFL!#REF!,0))</f>
        <v>0</v>
      </c>
      <c r="BE226" s="64">
        <f>IF(+NFL!$F287="Green Bay",+NFL!#REF!,IF(+NFL!$H287="Green Bay",+NFL!#REF!,0))</f>
        <v>0</v>
      </c>
      <c r="BF226" s="46">
        <f>IF(+NFL!$F287="Green Bay",+NFL!#REF!,IF(+NFL!$H287="Green Bay",+NFL!#REF!,0))</f>
        <v>0</v>
      </c>
      <c r="BG226" s="57">
        <f>IF(+NFL!$F287="Green Bay",+NFL!#REF!,IF(+NFL!$H287="Green Bay",+NFL!#REF!,0))</f>
        <v>0</v>
      </c>
      <c r="BH226" s="64">
        <f>IF(+NFL!$F287="Green Bay",+NFL!#REF!,IF(+NFL!$H287="Green Bay",+NFL!#REF!,0))</f>
        <v>0</v>
      </c>
      <c r="BI226" s="46">
        <f>IF(+NFL!$F287="Green Bay",+NFL!#REF!,IF(+NFL!$H287="Green Bay",+NFL!#REF!,0))</f>
        <v>0</v>
      </c>
      <c r="BJ226" s="87">
        <f>IF(+NFL!$F287="Green Bay",+NFL!#REF!,IF(+NFL!$H287="Green Bay",+NFL!#REF!,0))</f>
        <v>0</v>
      </c>
      <c r="BK226" s="120">
        <f>IF(+NFL!$F287="Green Bay",+NFL!#REF!,IF(+NFL!$H287="Green Bay",+NFL!#REF!,0))</f>
        <v>0</v>
      </c>
    </row>
    <row r="227" spans="1:63" x14ac:dyDescent="0.8">
      <c r="A227" s="46">
        <f>IF(+NFL!$F313="Green Bay",+NFL!A313,IF(+NFL!$H313="Green Bay",+NFL!A313,0))</f>
        <v>17</v>
      </c>
      <c r="B227" s="348" t="str">
        <f>IF(+NFL!$F313="Green Bay",+NFL!B313,IF(+NFL!$H313="Green Bay",+NFL!B313,0))</f>
        <v>Sun</v>
      </c>
      <c r="C227" s="48">
        <f>IF(+NFL!$F313="Green Bay",+NFL!C313,IF(+NFL!$H313="Green Bay",+NFL!C313,0))</f>
        <v>44927</v>
      </c>
      <c r="D227" s="490">
        <f>IF(+NFL!$F313="Green Bay",+NFL!D313,IF(+NFL!$H313="Green Bay",+NFL!D313,0))</f>
        <v>0.66666666666666663</v>
      </c>
      <c r="E227" s="46" t="str">
        <f>IF(+NFL!$F313="Green Bay",+NFL!E313,IF(+NFL!$H313="Green Bay",+NFL!E313,0))</f>
        <v>Fox</v>
      </c>
      <c r="F227" s="114" t="str">
        <f>IF(+NFL!$F313="Green Bay",+NFL!F313,IF(+NFL!$H313="Green Bay",+NFL!F313,0))</f>
        <v>Minnesota</v>
      </c>
      <c r="G227" s="46" t="str">
        <f>IF(+NFL!$F313="Green Bay",+NFL!G313,IF(+NFL!$H313="Green Bay",+NFL!G313,0))</f>
        <v>NFCN</v>
      </c>
      <c r="H227" s="114" t="str">
        <f>IF(+NFL!$F313="Green Bay",+NFL!H313,IF(+NFL!$H313="Green Bay",+NFL!H313,0))</f>
        <v>Green Bay</v>
      </c>
      <c r="I227" s="46" t="str">
        <f>IF(+NFL!$F313="Green Bay",+NFL!I313,IF(+NFL!$H313="Green Bay",+NFL!I313,0))</f>
        <v>NFCN</v>
      </c>
      <c r="J227" s="353" t="str">
        <f>IF(+NFL!$F313="Green Bay",+NFL!J313,IF(+NFL!$H313="Green Bay",+NFL!J313,0))</f>
        <v>Green Bay</v>
      </c>
      <c r="K227" s="494" t="str">
        <f>IF(+NFL!$F313="Green Bay",+NFL!K313,IF(+NFL!$H313="Green Bay",+NFL!K313,0))</f>
        <v>Minnesota</v>
      </c>
      <c r="L227" s="384">
        <f>IF(+NFL!$F313="Green Bay",+NFL!L313,IF(+NFL!$H313="Green Bay",+NFL!L313,0))</f>
        <v>3.5</v>
      </c>
      <c r="M227" s="385">
        <f>IF(+NFL!$F313="Green Bay",+NFL!M313,IF(+NFL!$H313="Green Bay",+NFL!M313,0))</f>
        <v>48.5</v>
      </c>
      <c r="N227" s="394" t="str">
        <f>IF(+NFL!$F313="Green Bay",+NFL!N313,IF(+NFL!$H313="Green Bay",+NFL!N313,0))</f>
        <v>Green Bay</v>
      </c>
      <c r="O227" s="395">
        <f>IF(+NFL!$F313="Green Bay",+NFL!O313,IF(+NFL!$H313="Green Bay",+NFL!O313,0))</f>
        <v>41</v>
      </c>
      <c r="P227" s="394" t="str">
        <f>IF(+NFL!$F313="Green Bay",+NFL!P313,IF(+NFL!$H313="Green Bay",+NFL!P313,0))</f>
        <v>Minnesota</v>
      </c>
      <c r="Q227" s="396">
        <f>IF(+NFL!$F313="Green Bay",+NFL!Q313,IF(+NFL!$H313="Green Bay",+NFL!Q313,0))</f>
        <v>17</v>
      </c>
      <c r="R227" s="397" t="str">
        <f>IF(+NFL!$F313="Green Bay",+NFL!R313,IF(+NFL!$H313="Green Bay",+NFL!R313,0))</f>
        <v>Green Bay</v>
      </c>
      <c r="S227" s="396" t="str">
        <f>IF(+NFL!$F313="Green Bay",+NFL!S313,IF(+NFL!$H313="Green Bay",+NFL!S313,0))</f>
        <v>Minnesota</v>
      </c>
      <c r="T227" s="398">
        <f>IF(+NFL!$F313="Green Bay",+NFL!T313,IF(+NFL!$H313="Green Bay",+NFL!T313,0))</f>
        <v>0</v>
      </c>
      <c r="U227" s="396" t="str">
        <f>IF(+NFL!$F313="Green Bay",+NFL!U313,IF(+NFL!$H313="Green Bay",+NFL!U313,0))</f>
        <v>L</v>
      </c>
      <c r="V227" s="397">
        <f>IF(+NFL!$F304="Green Bay",+NFL!#REF!,IF(+NFL!$H304="Green Bay",+NFL!#REF!,0))</f>
        <v>0</v>
      </c>
      <c r="W227" s="396">
        <f>IF(+NFL!$F304="Green Bay",+NFL!#REF!,IF(+NFL!$H304="Green Bay",+NFL!#REF!,0))</f>
        <v>0</v>
      </c>
      <c r="X227" s="398">
        <f>IF(+NFL!$F304="Green Bay",+NFL!#REF!,IF(+NFL!$H304="Green Bay",+NFL!#REF!,0))</f>
        <v>0</v>
      </c>
      <c r="Y227" s="396">
        <f>IF(+NFL!$F304="Green Bay",+NFL!#REF!,IF(+NFL!$H304="Green Bay",+NFL!#REF!,0))</f>
        <v>0</v>
      </c>
      <c r="Z227" s="397">
        <f>IF(+NFL!$F304="Green Bay",+NFL!#REF!,IF(+NFL!$H304="Green Bay",+NFL!#REF!,0))</f>
        <v>0</v>
      </c>
      <c r="AA227" s="400">
        <f>IF(+NFL!$F304="Green Bay",+NFL!#REF!,IF(+NFL!$H304="Green Bay",+NFL!#REF!,0))</f>
        <v>0</v>
      </c>
      <c r="AB227" s="87">
        <f>IF(+NFL!$F304="Green Bay",+NFL!#REF!,IF(+NFL!$H304="Green Bay",+NFL!#REF!,0))</f>
        <v>0</v>
      </c>
      <c r="AC227" s="120">
        <f>IF(+NFL!$F304="Green Bay",+NFL!#REF!,IF(+NFL!$H304="Green Bay",+NFL!#REF!,0))</f>
        <v>0</v>
      </c>
      <c r="AD227" s="353">
        <f>IF(+NFL!$F304="Green Bay",+NFL!#REF!,IF(+NFL!$H304="Green Bay",+NFL!#REF!,0))</f>
        <v>0</v>
      </c>
      <c r="AE227" s="379">
        <f>IF(+NFL!$F304="Green Bay",+NFL!#REF!,IF(+NFL!$H304="Green Bay",+NFL!#REF!,0))</f>
        <v>0</v>
      </c>
      <c r="AF227" s="353">
        <f>IF(+NFL!$F304="Green Bay",+NFL!#REF!,IF(+NFL!$H304="Green Bay",+NFL!#REF!,0))</f>
        <v>0</v>
      </c>
      <c r="AG227" s="388">
        <f>IF(+NFL!$F304="Green Bay",+NFL!#REF!,IF(+NFL!$H304="Green Bay",+NFL!#REF!,0))</f>
        <v>0</v>
      </c>
      <c r="AH227" s="353">
        <f>IF(+NFL!$F304="Green Bay",+NFL!#REF!,IF(+NFL!$H304="Green Bay",+NFL!#REF!,0))</f>
        <v>0</v>
      </c>
      <c r="AI227" s="379">
        <f>IF(+NFL!$F304="Green Bay",+NFL!#REF!,IF(+NFL!$H304="Green Bay",+NFL!#REF!,0))</f>
        <v>0</v>
      </c>
      <c r="AJ227" s="353">
        <f>IF(+NFL!$F304="Green Bay",+NFL!#REF!,IF(+NFL!$H304="Green Bay",+NFL!#REF!,0))</f>
        <v>0</v>
      </c>
      <c r="AK227" s="379">
        <f>IF(+NFL!$F304="Green Bay",+NFL!#REF!,IF(+NFL!$H304="Green Bay",+NFL!#REF!,0))</f>
        <v>0</v>
      </c>
      <c r="AL227" s="57">
        <f>IF(+NFL!$F304="Green Bay",+NFL!#REF!,IF(+NFL!$H304="Green Bay",+NFL!#REF!,0))</f>
        <v>0</v>
      </c>
      <c r="AM227" s="58">
        <f>IF(+NFL!$F304="Green Bay",+NFL!#REF!,IF(+NFL!$H304="Green Bay",+NFL!#REF!,0))</f>
        <v>0</v>
      </c>
      <c r="AN227" s="57">
        <f>IF(+NFL!$F304="Green Bay",+NFL!#REF!,IF(+NFL!$H304="Green Bay",+NFL!#REF!,0))</f>
        <v>0</v>
      </c>
      <c r="AO227" s="59">
        <f>IF(+NFL!$F304="Green Bay",+NFL!#REF!,IF(+NFL!$H304="Green Bay",+NFL!#REF!,0))</f>
        <v>0</v>
      </c>
      <c r="AP227" s="348">
        <f>IF(+NFL!$F304="Green Bay",+NFL!#REF!,IF(+NFL!$H304="Green Bay",+NFL!#REF!,0))</f>
        <v>0</v>
      </c>
      <c r="AQ227" s="48">
        <f>IF(+NFL!$F304="Green Bay",+NFL!#REF!,IF(+NFL!$H304="Green Bay",+NFL!#REF!,0))</f>
        <v>0</v>
      </c>
      <c r="AR227" s="57">
        <f>IF(+NFL!$F304="Green Bay",+NFL!#REF!,IF(+NFL!$H304="Green Bay",+NFL!#REF!,0))</f>
        <v>0</v>
      </c>
      <c r="AS227" s="64">
        <f>IF(+NFL!$F304="Green Bay",+NFL!#REF!,IF(+NFL!$H304="Green Bay",+NFL!#REF!,0))</f>
        <v>0</v>
      </c>
      <c r="AT227" s="64">
        <f>IF(+NFL!$F304="Green Bay",+NFL!#REF!,IF(+NFL!$H304="Green Bay",+NFL!#REF!,0))</f>
        <v>0</v>
      </c>
      <c r="AU227" s="57">
        <f>IF(+NFL!$F304="Green Bay",+NFL!#REF!,IF(+NFL!$H304="Green Bay",+NFL!#REF!,0))</f>
        <v>0</v>
      </c>
      <c r="AV227" s="64">
        <f>IF(+NFL!$F304="Green Bay",+NFL!#REF!,IF(+NFL!$H304="Green Bay",+NFL!#REF!,0))</f>
        <v>0</v>
      </c>
      <c r="AW227" s="46">
        <f>IF(+NFL!$F304="Green Bay",+NFL!#REF!,IF(+NFL!$H304="Green Bay",+NFL!#REF!,0))</f>
        <v>0</v>
      </c>
      <c r="AX227" s="64">
        <f>IF(+NFL!$F304="Green Bay",+NFL!#REF!,IF(+NFL!$H304="Green Bay",+NFL!#REF!,0))</f>
        <v>0</v>
      </c>
      <c r="AY227" s="57">
        <f>IF(+NFL!$F304="Green Bay",+NFL!#REF!,IF(+NFL!$H304="Green Bay",+NFL!#REF!,0))</f>
        <v>0</v>
      </c>
      <c r="AZ227" s="64">
        <f>IF(+NFL!$F304="Green Bay",+NFL!#REF!,IF(+NFL!$H304="Green Bay",+NFL!#REF!,0))</f>
        <v>0</v>
      </c>
      <c r="BA227" s="46">
        <f>IF(+NFL!$F304="Green Bay",+NFL!#REF!,IF(+NFL!$H304="Green Bay",+NFL!#REF!,0))</f>
        <v>0</v>
      </c>
      <c r="BB227" s="46">
        <f>IF(+NFL!$F304="Green Bay",+NFL!#REF!,IF(+NFL!$H304="Green Bay",+NFL!#REF!,0))</f>
        <v>0</v>
      </c>
      <c r="BC227" s="403">
        <f>IF(+NFL!$F304="Green Bay",+NFL!#REF!,IF(+NFL!$H304="Green Bay",+NFL!#REF!,0))</f>
        <v>0</v>
      </c>
      <c r="BD227" s="57">
        <f>IF(+NFL!$F304="Green Bay",+NFL!#REF!,IF(+NFL!$H304="Green Bay",+NFL!#REF!,0))</f>
        <v>0</v>
      </c>
      <c r="BE227" s="64">
        <f>IF(+NFL!$F304="Green Bay",+NFL!#REF!,IF(+NFL!$H304="Green Bay",+NFL!#REF!,0))</f>
        <v>0</v>
      </c>
      <c r="BF227" s="46">
        <f>IF(+NFL!$F304="Green Bay",+NFL!#REF!,IF(+NFL!$H304="Green Bay",+NFL!#REF!,0))</f>
        <v>0</v>
      </c>
      <c r="BG227" s="57">
        <f>IF(+NFL!$F304="Green Bay",+NFL!#REF!,IF(+NFL!$H304="Green Bay",+NFL!#REF!,0))</f>
        <v>0</v>
      </c>
      <c r="BH227" s="64">
        <f>IF(+NFL!$F304="Green Bay",+NFL!#REF!,IF(+NFL!$H304="Green Bay",+NFL!#REF!,0))</f>
        <v>0</v>
      </c>
      <c r="BI227" s="46">
        <f>IF(+NFL!$F304="Green Bay",+NFL!#REF!,IF(+NFL!$H304="Green Bay",+NFL!#REF!,0))</f>
        <v>0</v>
      </c>
      <c r="BJ227" s="87">
        <f>IF(+NFL!$F304="Green Bay",+NFL!#REF!,IF(+NFL!$H304="Green Bay",+NFL!#REF!,0))</f>
        <v>0</v>
      </c>
      <c r="BK227" s="120">
        <f>IF(+NFL!$F304="Green Bay",+NFL!#REF!,IF(+NFL!$H304="Green Bay",+NFL!#REF!,0))</f>
        <v>0</v>
      </c>
    </row>
    <row r="228" spans="1:63" x14ac:dyDescent="0.8">
      <c r="A228" s="46">
        <f>IF(+NFL!$F321="Green Bay",+NFL!A321,IF(+NFL!$H321="Green Bay",+NFL!A321,0))</f>
        <v>0</v>
      </c>
      <c r="B228" s="348">
        <f>IF(+NFL!$F321="Green Bay",+NFL!B321,IF(+NFL!$H321="Green Bay",+NFL!B321,0))</f>
        <v>0</v>
      </c>
      <c r="C228" s="48">
        <f>IF(+NFL!$F321="Green Bay",+NFL!C321,IF(+NFL!$H321="Green Bay",+NFL!C321,0))</f>
        <v>0</v>
      </c>
      <c r="D228" s="490">
        <f>IF(+NFL!$F321="Green Bay",+NFL!D321,IF(+NFL!$H321="Green Bay",+NFL!D321,0))</f>
        <v>0</v>
      </c>
      <c r="E228" s="46">
        <f>IF(+NFL!$F321="Green Bay",+NFL!E321,IF(+NFL!$H321="Green Bay",+NFL!E321,0))</f>
        <v>0</v>
      </c>
      <c r="F228" s="114">
        <f>IF(+NFL!$F321="Green Bay",+NFL!F321,IF(+NFL!$H321="Green Bay",+NFL!F321,0))</f>
        <v>0</v>
      </c>
      <c r="G228" s="46">
        <f>IF(+NFL!$F321="Green Bay",+NFL!G321,IF(+NFL!$H321="Green Bay",+NFL!G321,0))</f>
        <v>0</v>
      </c>
      <c r="H228" s="114">
        <f>IF(+NFL!$F321="Green Bay",+NFL!H321,IF(+NFL!$H321="Green Bay",+NFL!H321,0))</f>
        <v>0</v>
      </c>
      <c r="I228" s="46">
        <f>IF(+NFL!$F321="Green Bay",+NFL!I321,IF(+NFL!$H321="Green Bay",+NFL!I321,0))</f>
        <v>0</v>
      </c>
      <c r="J228" s="353">
        <f>IF(+NFL!$F321="Green Bay",+NFL!J321,IF(+NFL!$H321="Green Bay",+NFL!J321,0))</f>
        <v>0</v>
      </c>
      <c r="K228" s="494">
        <f>IF(+NFL!$F321="Green Bay",+NFL!K321,IF(+NFL!$H321="Green Bay",+NFL!K321,0))</f>
        <v>0</v>
      </c>
      <c r="L228" s="384">
        <f>IF(+NFL!$F321="Green Bay",+NFL!L321,IF(+NFL!$H321="Green Bay",+NFL!L321,0))</f>
        <v>0</v>
      </c>
      <c r="M228" s="385">
        <f>IF(+NFL!$F321="Green Bay",+NFL!M321,IF(+NFL!$H321="Green Bay",+NFL!M321,0))</f>
        <v>0</v>
      </c>
      <c r="N228" s="394">
        <f>IF(+NFL!$F321="Green Bay",+NFL!N321,IF(+NFL!$H321="Green Bay",+NFL!N321,0))</f>
        <v>0</v>
      </c>
      <c r="O228" s="395">
        <f>IF(+NFL!$F321="Green Bay",+NFL!O321,IF(+NFL!$H321="Green Bay",+NFL!O321,0))</f>
        <v>0</v>
      </c>
      <c r="P228" s="394">
        <f>IF(+NFL!$F321="Green Bay",+NFL!P321,IF(+NFL!$H321="Green Bay",+NFL!P321,0))</f>
        <v>0</v>
      </c>
      <c r="Q228" s="396">
        <f>IF(+NFL!$F321="Green Bay",+NFL!Q321,IF(+NFL!$H321="Green Bay",+NFL!Q321,0))</f>
        <v>0</v>
      </c>
      <c r="R228" s="397">
        <f>IF(+NFL!$F321="Green Bay",+NFL!R321,IF(+NFL!$H321="Green Bay",+NFL!R321,0))</f>
        <v>0</v>
      </c>
      <c r="S228" s="396">
        <f>IF(+NFL!$F321="Green Bay",+NFL!S321,IF(+NFL!$H321="Green Bay",+NFL!S321,0))</f>
        <v>0</v>
      </c>
      <c r="T228" s="398">
        <f>IF(+NFL!$F321="Green Bay",+NFL!T321,IF(+NFL!$H321="Green Bay",+NFL!T321,0))</f>
        <v>0</v>
      </c>
      <c r="U228" s="396">
        <f>IF(+NFL!$F321="Green Bay",+NFL!U321,IF(+NFL!$H321="Green Bay",+NFL!U321,0))</f>
        <v>0</v>
      </c>
      <c r="V228" s="397">
        <f>IF(+NFL!$F333="Green Bay",+NFL!#REF!,IF(+NFL!$H333="Green Bay",+NFL!#REF!,0))</f>
        <v>0</v>
      </c>
      <c r="W228" s="396">
        <f>IF(+NFL!$F333="Green Bay",+NFL!#REF!,IF(+NFL!$H333="Green Bay",+NFL!#REF!,0))</f>
        <v>0</v>
      </c>
      <c r="X228" s="398">
        <f>IF(+NFL!$F333="Green Bay",+NFL!#REF!,IF(+NFL!$H333="Green Bay",+NFL!#REF!,0))</f>
        <v>0</v>
      </c>
      <c r="Y228" s="396">
        <f>IF(+NFL!$F333="Green Bay",+NFL!#REF!,IF(+NFL!$H333="Green Bay",+NFL!#REF!,0))</f>
        <v>0</v>
      </c>
      <c r="Z228" s="397">
        <f>IF(+NFL!$F333="Green Bay",+NFL!#REF!,IF(+NFL!$H333="Green Bay",+NFL!#REF!,0))</f>
        <v>0</v>
      </c>
      <c r="AA228" s="400">
        <f>IF(+NFL!$F333="Green Bay",+NFL!#REF!,IF(+NFL!$H333="Green Bay",+NFL!#REF!,0))</f>
        <v>0</v>
      </c>
      <c r="AB228" s="87">
        <f>IF(+NFL!$F333="Green Bay",+NFL!#REF!,IF(+NFL!$H333="Green Bay",+NFL!#REF!,0))</f>
        <v>0</v>
      </c>
      <c r="AC228" s="120">
        <f>IF(+NFL!$F333="Green Bay",+NFL!#REF!,IF(+NFL!$H333="Green Bay",+NFL!#REF!,0))</f>
        <v>0</v>
      </c>
      <c r="AD228" s="353">
        <f>IF(+NFL!$F333="Green Bay",+NFL!#REF!,IF(+NFL!$H333="Green Bay",+NFL!#REF!,0))</f>
        <v>0</v>
      </c>
      <c r="AE228" s="379">
        <f>IF(+NFL!$F333="Green Bay",+NFL!#REF!,IF(+NFL!$H333="Green Bay",+NFL!#REF!,0))</f>
        <v>0</v>
      </c>
      <c r="AF228" s="353">
        <f>IF(+NFL!$F333="Green Bay",+NFL!#REF!,IF(+NFL!$H333="Green Bay",+NFL!#REF!,0))</f>
        <v>0</v>
      </c>
      <c r="AG228" s="388">
        <f>IF(+NFL!$F333="Green Bay",+NFL!#REF!,IF(+NFL!$H333="Green Bay",+NFL!#REF!,0))</f>
        <v>0</v>
      </c>
      <c r="AH228" s="353">
        <f>IF(+NFL!$F333="Green Bay",+NFL!#REF!,IF(+NFL!$H333="Green Bay",+NFL!#REF!,0))</f>
        <v>0</v>
      </c>
      <c r="AI228" s="379">
        <f>IF(+NFL!$F333="Green Bay",+NFL!#REF!,IF(+NFL!$H333="Green Bay",+NFL!#REF!,0))</f>
        <v>0</v>
      </c>
      <c r="AJ228" s="353">
        <f>IF(+NFL!$F333="Green Bay",+NFL!#REF!,IF(+NFL!$H333="Green Bay",+NFL!#REF!,0))</f>
        <v>0</v>
      </c>
      <c r="AK228" s="379">
        <f>IF(+NFL!$F333="Green Bay",+NFL!#REF!,IF(+NFL!$H333="Green Bay",+NFL!#REF!,0))</f>
        <v>0</v>
      </c>
      <c r="AL228" s="57">
        <f>IF(+NFL!$F333="Green Bay",+NFL!#REF!,IF(+NFL!$H333="Green Bay",+NFL!#REF!,0))</f>
        <v>0</v>
      </c>
      <c r="AM228" s="58">
        <f>IF(+NFL!$F333="Green Bay",+NFL!#REF!,IF(+NFL!$H333="Green Bay",+NFL!#REF!,0))</f>
        <v>0</v>
      </c>
      <c r="AN228" s="57">
        <f>IF(+NFL!$F333="Green Bay",+NFL!#REF!,IF(+NFL!$H333="Green Bay",+NFL!#REF!,0))</f>
        <v>0</v>
      </c>
      <c r="AO228" s="59">
        <f>IF(+NFL!$F333="Green Bay",+NFL!#REF!,IF(+NFL!$H333="Green Bay",+NFL!#REF!,0))</f>
        <v>0</v>
      </c>
      <c r="AP228" s="348">
        <f>IF(+NFL!$F333="Green Bay",+NFL!#REF!,IF(+NFL!$H333="Green Bay",+NFL!#REF!,0))</f>
        <v>0</v>
      </c>
      <c r="AQ228" s="48">
        <f>IF(+NFL!$F333="Green Bay",+NFL!#REF!,IF(+NFL!$H333="Green Bay",+NFL!#REF!,0))</f>
        <v>0</v>
      </c>
      <c r="AR228" s="57">
        <f>IF(+NFL!$F333="Green Bay",+NFL!#REF!,IF(+NFL!$H333="Green Bay",+NFL!#REF!,0))</f>
        <v>0</v>
      </c>
      <c r="AS228" s="64">
        <f>IF(+NFL!$F333="Green Bay",+NFL!#REF!,IF(+NFL!$H333="Green Bay",+NFL!#REF!,0))</f>
        <v>0</v>
      </c>
      <c r="AT228" s="64">
        <f>IF(+NFL!$F333="Green Bay",+NFL!#REF!,IF(+NFL!$H333="Green Bay",+NFL!#REF!,0))</f>
        <v>0</v>
      </c>
      <c r="AU228" s="57">
        <f>IF(+NFL!$F333="Green Bay",+NFL!#REF!,IF(+NFL!$H333="Green Bay",+NFL!#REF!,0))</f>
        <v>0</v>
      </c>
      <c r="AV228" s="64">
        <f>IF(+NFL!$F333="Green Bay",+NFL!#REF!,IF(+NFL!$H333="Green Bay",+NFL!#REF!,0))</f>
        <v>0</v>
      </c>
      <c r="AW228" s="46">
        <f>IF(+NFL!$F333="Green Bay",+NFL!#REF!,IF(+NFL!$H333="Green Bay",+NFL!#REF!,0))</f>
        <v>0</v>
      </c>
      <c r="AX228" s="64">
        <f>IF(+NFL!$F333="Green Bay",+NFL!#REF!,IF(+NFL!$H333="Green Bay",+NFL!#REF!,0))</f>
        <v>0</v>
      </c>
      <c r="AY228" s="57">
        <f>IF(+NFL!$F333="Green Bay",+NFL!#REF!,IF(+NFL!$H333="Green Bay",+NFL!#REF!,0))</f>
        <v>0</v>
      </c>
      <c r="AZ228" s="64">
        <f>IF(+NFL!$F333="Green Bay",+NFL!#REF!,IF(+NFL!$H333="Green Bay",+NFL!#REF!,0))</f>
        <v>0</v>
      </c>
      <c r="BA228" s="46">
        <f>IF(+NFL!$F333="Green Bay",+NFL!#REF!,IF(+NFL!$H333="Green Bay",+NFL!#REF!,0))</f>
        <v>0</v>
      </c>
      <c r="BB228" s="46">
        <f>IF(+NFL!$F333="Green Bay",+NFL!#REF!,IF(+NFL!$H333="Green Bay",+NFL!#REF!,0))</f>
        <v>0</v>
      </c>
      <c r="BC228" s="403">
        <f>IF(+NFL!$F333="Green Bay",+NFL!#REF!,IF(+NFL!$H333="Green Bay",+NFL!#REF!,0))</f>
        <v>0</v>
      </c>
      <c r="BD228" s="57">
        <f>IF(+NFL!$F333="Green Bay",+NFL!#REF!,IF(+NFL!$H333="Green Bay",+NFL!#REF!,0))</f>
        <v>0</v>
      </c>
      <c r="BE228" s="64">
        <f>IF(+NFL!$F333="Green Bay",+NFL!#REF!,IF(+NFL!$H333="Green Bay",+NFL!#REF!,0))</f>
        <v>0</v>
      </c>
      <c r="BF228" s="46">
        <f>IF(+NFL!$F333="Green Bay",+NFL!#REF!,IF(+NFL!$H333="Green Bay",+NFL!#REF!,0))</f>
        <v>0</v>
      </c>
      <c r="BG228" s="57">
        <f>IF(+NFL!$F333="Green Bay",+NFL!#REF!,IF(+NFL!$H333="Green Bay",+NFL!#REF!,0))</f>
        <v>0</v>
      </c>
      <c r="BH228" s="64">
        <f>IF(+NFL!$F333="Green Bay",+NFL!#REF!,IF(+NFL!$H333="Green Bay",+NFL!#REF!,0))</f>
        <v>0</v>
      </c>
      <c r="BI228" s="46">
        <f>IF(+NFL!$F333="Green Bay",+NFL!#REF!,IF(+NFL!$H333="Green Bay",+NFL!#REF!,0))</f>
        <v>0</v>
      </c>
      <c r="BJ228" s="87">
        <f>IF(+NFL!$F333="Green Bay",+NFL!#REF!,IF(+NFL!$H333="Green Bay",+NFL!#REF!,0))</f>
        <v>0</v>
      </c>
      <c r="BK228" s="120">
        <f>IF(+NFL!$F333="Green Bay",+NFL!#REF!,IF(+NFL!$H333="Green Bay",+NFL!#REF!,0))</f>
        <v>0</v>
      </c>
    </row>
    <row r="229" spans="1:63" x14ac:dyDescent="0.8">
      <c r="B229" s="46"/>
      <c r="F229" s="959" t="str">
        <f>H230</f>
        <v>Houston</v>
      </c>
      <c r="G229" s="960"/>
      <c r="H229" s="960"/>
      <c r="I229" s="961"/>
      <c r="N229" s="394"/>
      <c r="P229" s="394"/>
      <c r="R229" s="397"/>
      <c r="S229" s="399"/>
      <c r="U229" s="400"/>
      <c r="X229" s="398"/>
      <c r="AA229" s="400"/>
      <c r="AG229" s="388"/>
      <c r="AI229" s="388"/>
      <c r="AM229" s="64"/>
      <c r="AO229" s="46"/>
      <c r="AY229" s="57"/>
      <c r="AZ229" s="64"/>
      <c r="BA229" s="46"/>
      <c r="BB229" s="46"/>
      <c r="BF229" s="46"/>
    </row>
    <row r="230" spans="1:63" x14ac:dyDescent="0.8">
      <c r="A230" s="46">
        <f>IF(+NFL!$F13="Houston",+NFL!A13,IF(+NFL!$H13="Houston",+NFL!A13,0))</f>
        <v>1</v>
      </c>
      <c r="B230" s="46" t="str">
        <f>IF(+NFL!$F13="Houston",+NFL!B13,IF(+NFL!$H13="Houston",+NFL!B13,0))</f>
        <v>Sun</v>
      </c>
      <c r="C230" s="48">
        <f>IF(+NFL!$F13="Houston",+NFL!C13,IF(+NFL!$H13="Houston",+NFL!C13,0))</f>
        <v>44815</v>
      </c>
      <c r="D230" s="490">
        <f>IF(+NFL!$F13="Houston",+NFL!D13,IF(+NFL!$H13="Houston",+NFL!D13,0))</f>
        <v>0.54166666666666663</v>
      </c>
      <c r="E230" s="46" t="str">
        <f>IF(+NFL!$F13="Houston",+NFL!E13,IF(+NFL!$H13="Houston",+NFL!E13,0))</f>
        <v>CBS</v>
      </c>
      <c r="F230" s="114" t="str">
        <f>IF(+NFL!$F13="Houston",+NFL!F13,IF(+NFL!$H13="Houston",+NFL!F13,0))</f>
        <v>Indianapolis</v>
      </c>
      <c r="G230" s="46" t="str">
        <f>IF(+NFL!$F13="Houston",+NFL!G13,IF(+NFL!$H13="Houston",+NFL!G13,0))</f>
        <v>AFCS</v>
      </c>
      <c r="H230" s="114" t="str">
        <f>IF(+NFL!$F13="Houston",+NFL!H13,IF(+NFL!$H13="Houston",+NFL!H13,0))</f>
        <v>Houston</v>
      </c>
      <c r="I230" s="491" t="str">
        <f>IF(+NFL!$F13="Houston",+NFL!I13,IF(+NFL!$H13="Houston",+NFL!I13,0))</f>
        <v>AFCS</v>
      </c>
      <c r="J230" s="353" t="str">
        <f>IF(+NFL!$F13="Houston",+NFL!J13,IF(+NFL!$H13="Houston",+NFL!J13,0))</f>
        <v>Indianapolis</v>
      </c>
      <c r="K230" s="494" t="str">
        <f>IF(+NFL!$F13="Houston",+NFL!K13,IF(+NFL!$H13="Houston",+NFL!K13,0))</f>
        <v>Houston</v>
      </c>
      <c r="L230" s="362">
        <f>IF(+NFL!$F13="Houston",+NFL!L13,IF(+NFL!$H13="Houston",+NFL!L13,0))</f>
        <v>7</v>
      </c>
      <c r="M230" s="386">
        <f>IF(+NFL!$F13="Houston",+NFL!M13,IF(+NFL!$H13="Houston",+NFL!M13,0))</f>
        <v>46</v>
      </c>
      <c r="N230" s="394" t="str">
        <f>IF(+NFL!$F13="Houston",+NFL!N13,IF(+NFL!$H13="Houston",+NFL!N13,0))</f>
        <v>Indianapolis</v>
      </c>
      <c r="O230" s="395">
        <f>IF(+NFL!$F13="Houston",+NFL!O13,IF(+NFL!$H13="Houston",+NFL!O13,0))</f>
        <v>20</v>
      </c>
      <c r="P230" s="394" t="str">
        <f>IF(+NFL!$F13="Houston",+NFL!P13,IF(+NFL!$H13="Houston",+NFL!P13,0))</f>
        <v>Houston</v>
      </c>
      <c r="Q230" s="396">
        <f>IF(+NFL!$F13="Houston",+NFL!Q13,IF(+NFL!$H13="Houston",+NFL!Q13,0))</f>
        <v>20</v>
      </c>
      <c r="R230" s="397" t="str">
        <f>IF(+NFL!$F13="Houston",+NFL!R13,IF(+NFL!$H13="Houston",+NFL!R13,0))</f>
        <v>Houston</v>
      </c>
      <c r="S230" s="399" t="str">
        <f>IF(+NFL!$F13="Houston",+NFL!S13,IF(+NFL!$H13="Houston",+NFL!S13,0))</f>
        <v>Indianapolis</v>
      </c>
      <c r="T230" s="397" t="str">
        <f>IF(+NFL!$F13="Houston",+NFL!T13,IF(+NFL!$H13="Houston",+NFL!T13,0))</f>
        <v>Houston</v>
      </c>
      <c r="U230" s="400" t="str">
        <f>IF(+NFL!$F13="Houston",+NFL!U13,IF(+NFL!$H13="Houston",+NFL!U13,0))</f>
        <v>W</v>
      </c>
      <c r="X230" s="398"/>
      <c r="AA230" s="400"/>
      <c r="AG230" s="388"/>
      <c r="AI230" s="388"/>
      <c r="AM230" s="493"/>
      <c r="AO230" s="46"/>
      <c r="AP230" s="348"/>
      <c r="AQ230" s="48"/>
      <c r="AS230" s="493"/>
      <c r="AT230" s="493"/>
      <c r="AV230" s="493"/>
      <c r="AX230" s="493"/>
      <c r="AY230" s="57"/>
      <c r="AZ230" s="493"/>
      <c r="BA230" s="46"/>
      <c r="BB230" s="46"/>
      <c r="BC230" s="403"/>
      <c r="BE230" s="493"/>
      <c r="BF230" s="46"/>
      <c r="BH230" s="493"/>
    </row>
    <row r="231" spans="1:63" x14ac:dyDescent="0.8">
      <c r="A231" s="46">
        <f>IF(+NFL!$F32="Houston",+NFL!A32,IF(+NFL!$H32="Houston",+NFL!A32,0))</f>
        <v>2</v>
      </c>
      <c r="B231" s="46" t="str">
        <f>IF(+NFL!$F32="Houston",+NFL!B32,IF(+NFL!$H32="Houston",+NFL!B32,0))</f>
        <v>Sun</v>
      </c>
      <c r="C231" s="48">
        <f>IF(+NFL!$F32="Houston",+NFL!C32,IF(+NFL!$H32="Houston",+NFL!C32,0))</f>
        <v>44822</v>
      </c>
      <c r="D231" s="490">
        <f>IF(+NFL!$F32="Houston",+NFL!D32,IF(+NFL!$H32="Houston",+NFL!D32,0))</f>
        <v>0.66666666666666663</v>
      </c>
      <c r="E231" s="46" t="str">
        <f>IF(+NFL!$F32="Houston",+NFL!E32,IF(+NFL!$H32="Houston",+NFL!E32,0))</f>
        <v>CBS</v>
      </c>
      <c r="F231" s="114" t="str">
        <f>IF(+NFL!$F32="Houston",+NFL!F32,IF(+NFL!$H32="Houston",+NFL!F32,0))</f>
        <v>Houston</v>
      </c>
      <c r="G231" s="46" t="str">
        <f>IF(+NFL!$F32="Houston",+NFL!G32,IF(+NFL!$H32="Houston",+NFL!G32,0))</f>
        <v>AFCS</v>
      </c>
      <c r="H231" s="114" t="str">
        <f>IF(+NFL!$F32="Houston",+NFL!H32,IF(+NFL!$H32="Houston",+NFL!H32,0))</f>
        <v>Denver</v>
      </c>
      <c r="I231" s="491" t="str">
        <f>IF(+NFL!$F32="Houston",+NFL!I32,IF(+NFL!$H32="Houston",+NFL!I32,0))</f>
        <v>AFCW</v>
      </c>
      <c r="J231" s="353" t="str">
        <f>IF(+NFL!$F32="Houston",+NFL!J32,IF(+NFL!$H32="Houston",+NFL!J32,0))</f>
        <v>Denver</v>
      </c>
      <c r="K231" s="494" t="str">
        <f>IF(+NFL!$F32="Houston",+NFL!K32,IF(+NFL!$H32="Houston",+NFL!K32,0))</f>
        <v>Houston</v>
      </c>
      <c r="L231" s="362">
        <f>IF(+NFL!$F32="Houston",+NFL!L32,IF(+NFL!$H32="Houston",+NFL!L32,0))</f>
        <v>10</v>
      </c>
      <c r="M231" s="386">
        <f>IF(+NFL!$F32="Houston",+NFL!M32,IF(+NFL!$H32="Houston",+NFL!M32,0))</f>
        <v>46.5</v>
      </c>
      <c r="N231" s="394" t="str">
        <f>IF(+NFL!$F32="Houston",+NFL!N32,IF(+NFL!$H32="Houston",+NFL!N32,0))</f>
        <v>Denver</v>
      </c>
      <c r="O231" s="395">
        <f>IF(+NFL!$F32="Houston",+NFL!O32,IF(+NFL!$H32="Houston",+NFL!O32,0))</f>
        <v>16</v>
      </c>
      <c r="P231" s="394" t="str">
        <f>IF(+NFL!$F32="Houston",+NFL!P32,IF(+NFL!$H32="Houston",+NFL!P32,0))</f>
        <v>Houston</v>
      </c>
      <c r="Q231" s="396">
        <f>IF(+NFL!$F32="Houston",+NFL!Q32,IF(+NFL!$H32="Houston",+NFL!Q32,0))</f>
        <v>9</v>
      </c>
      <c r="R231" s="397" t="str">
        <f>IF(+NFL!$F32="Houston",+NFL!R32,IF(+NFL!$H32="Houston",+NFL!R32,0))</f>
        <v>Houston</v>
      </c>
      <c r="S231" s="399" t="str">
        <f>IF(+NFL!$F32="Houston",+NFL!S32,IF(+NFL!$H32="Houston",+NFL!S32,0))</f>
        <v>Denver</v>
      </c>
      <c r="T231" s="397" t="str">
        <f>IF(+NFL!$F32="Houston",+NFL!T32,IF(+NFL!$H32="Houston",+NFL!T32,0))</f>
        <v>Denver</v>
      </c>
      <c r="U231" s="400" t="str">
        <f>IF(+NFL!$F32="Houston",+NFL!U32,IF(+NFL!$H32="Houston",+NFL!U32,0))</f>
        <v>L</v>
      </c>
      <c r="X231" s="398"/>
      <c r="AA231" s="400"/>
      <c r="AG231" s="388"/>
      <c r="AI231" s="388"/>
      <c r="AM231" s="493"/>
      <c r="AO231" s="46"/>
      <c r="AP231" s="348"/>
      <c r="AQ231" s="48"/>
      <c r="AS231" s="493"/>
      <c r="AT231" s="493"/>
      <c r="AV231" s="493"/>
      <c r="AX231" s="493"/>
      <c r="AY231" s="57"/>
      <c r="AZ231" s="493"/>
      <c r="BA231" s="46"/>
      <c r="BB231" s="46"/>
      <c r="BC231" s="403"/>
      <c r="BE231" s="493"/>
      <c r="BF231" s="46"/>
      <c r="BH231" s="493"/>
    </row>
    <row r="232" spans="1:63" x14ac:dyDescent="0.8">
      <c r="A232" s="46">
        <f>IF(+NFL!$F39="Houston",+NFL!A39,IF(+NFL!$H39="Houston",+NFL!A39,0))</f>
        <v>3</v>
      </c>
      <c r="B232" s="46" t="str">
        <f>IF(+NFL!$F39="Houston",+NFL!B39,IF(+NFL!$H39="Houston",+NFL!B39,0))</f>
        <v>Sun</v>
      </c>
      <c r="C232" s="48">
        <f>IF(+NFL!$F39="Houston",+NFL!C39,IF(+NFL!$H39="Houston",+NFL!C39,0))</f>
        <v>44826</v>
      </c>
      <c r="D232" s="490">
        <f>IF(+NFL!$F39="Houston",+NFL!D39,IF(+NFL!$H39="Houston",+NFL!D39,0))</f>
        <v>0.54166666666666663</v>
      </c>
      <c r="E232" s="46" t="str">
        <f>IF(+NFL!$F39="Houston",+NFL!E39,IF(+NFL!$H39="Houston",+NFL!E39,0))</f>
        <v>CBS</v>
      </c>
      <c r="F232" s="114" t="str">
        <f>IF(+NFL!$F39="Houston",+NFL!F39,IF(+NFL!$H39="Houston",+NFL!F39,0))</f>
        <v>Houston</v>
      </c>
      <c r="G232" s="46" t="str">
        <f>IF(+NFL!$F39="Houston",+NFL!G39,IF(+NFL!$H39="Houston",+NFL!G39,0))</f>
        <v>AFCS</v>
      </c>
      <c r="H232" s="114" t="str">
        <f>IF(+NFL!$F39="Houston",+NFL!H39,IF(+NFL!$H39="Houston",+NFL!H39,0))</f>
        <v>Chicago</v>
      </c>
      <c r="I232" s="491" t="str">
        <f>IF(+NFL!$F39="Houston",+NFL!I39,IF(+NFL!$H39="Houston",+NFL!I39,0))</f>
        <v>NFCN</v>
      </c>
      <c r="J232" s="353" t="str">
        <f>IF(+NFL!$F39="Houston",+NFL!J39,IF(+NFL!$H39="Houston",+NFL!J39,0))</f>
        <v>Chicago</v>
      </c>
      <c r="K232" s="494" t="str">
        <f>IF(+NFL!$F39="Houston",+NFL!K39,IF(+NFL!$H39="Houston",+NFL!K39,0))</f>
        <v>Houston</v>
      </c>
      <c r="L232" s="362">
        <f>IF(+NFL!$F39="Houston",+NFL!L39,IF(+NFL!$H39="Houston",+NFL!L39,0))</f>
        <v>3</v>
      </c>
      <c r="M232" s="386">
        <f>IF(+NFL!$F39="Houston",+NFL!M39,IF(+NFL!$H39="Houston",+NFL!M39,0))</f>
        <v>40.5</v>
      </c>
      <c r="N232" s="394" t="str">
        <f>IF(+NFL!$F39="Houston",+NFL!N39,IF(+NFL!$H39="Houston",+NFL!N39,0))</f>
        <v>Chicago</v>
      </c>
      <c r="O232" s="395">
        <f>IF(+NFL!$F39="Houston",+NFL!O39,IF(+NFL!$H39="Houston",+NFL!O39,0))</f>
        <v>23</v>
      </c>
      <c r="P232" s="394" t="str">
        <f>IF(+NFL!$F39="Houston",+NFL!P39,IF(+NFL!$H39="Houston",+NFL!P39,0))</f>
        <v>Houston</v>
      </c>
      <c r="Q232" s="396">
        <f>IF(+NFL!$F39="Houston",+NFL!Q39,IF(+NFL!$H39="Houston",+NFL!Q39,0))</f>
        <v>20</v>
      </c>
      <c r="R232" s="397" t="str">
        <f>IF(+NFL!$F39="Houston",+NFL!R39,IF(+NFL!$H39="Houston",+NFL!R39,0))</f>
        <v>Chicago</v>
      </c>
      <c r="S232" s="399" t="str">
        <f>IF(+NFL!$F39="Houston",+NFL!S39,IF(+NFL!$H39="Houston",+NFL!S39,0))</f>
        <v>Houston</v>
      </c>
      <c r="T232" s="397" t="str">
        <f>IF(+NFL!$F39="Houston",+NFL!T39,IF(+NFL!$H39="Houston",+NFL!T39,0))</f>
        <v>Chicago</v>
      </c>
      <c r="U232" s="400" t="str">
        <f>IF(+NFL!$F39="Houston",+NFL!U39,IF(+NFL!$H39="Houston",+NFL!U39,0))</f>
        <v>T</v>
      </c>
      <c r="X232" s="398"/>
      <c r="AA232" s="400"/>
      <c r="AG232" s="388"/>
      <c r="AI232" s="388"/>
      <c r="AM232" s="64"/>
      <c r="AO232" s="46"/>
      <c r="AP232" s="348"/>
      <c r="AQ232" s="48"/>
      <c r="AY232" s="57"/>
      <c r="AZ232" s="64"/>
      <c r="BA232" s="46"/>
      <c r="BB232" s="46"/>
      <c r="BC232" s="403"/>
      <c r="BF232" s="46"/>
    </row>
    <row r="233" spans="1:63" x14ac:dyDescent="0.8">
      <c r="A233" s="46">
        <f>IF(+NFL!$F65="Houston",+NFL!A65,IF(+NFL!$H65="Houston",+NFL!A65,0))</f>
        <v>4</v>
      </c>
      <c r="B233" s="46" t="str">
        <f>IF(+NFL!$F65="Houston",+NFL!B65,IF(+NFL!$H65="Houston",+NFL!B65,0))</f>
        <v>Sun</v>
      </c>
      <c r="C233" s="48">
        <f>IF(+NFL!$F65="Houston",+NFL!C65,IF(+NFL!$H65="Houston",+NFL!C65,0))</f>
        <v>44836</v>
      </c>
      <c r="D233" s="490">
        <f>IF(+NFL!$F65="Houston",+NFL!D65,IF(+NFL!$H65="Houston",+NFL!D65,0))</f>
        <v>0.54166666666666663</v>
      </c>
      <c r="E233" s="46" t="str">
        <f>IF(+NFL!$F65="Houston",+NFL!E65,IF(+NFL!$H65="Houston",+NFL!E65,0))</f>
        <v>CBS</v>
      </c>
      <c r="F233" s="114" t="str">
        <f>IF(+NFL!$F65="Houston",+NFL!F65,IF(+NFL!$H65="Houston",+NFL!F65,0))</f>
        <v>LA Chargers</v>
      </c>
      <c r="G233" s="46" t="str">
        <f>IF(+NFL!$F65="Houston",+NFL!G65,IF(+NFL!$H65="Houston",+NFL!G65,0))</f>
        <v>AFCW</v>
      </c>
      <c r="H233" s="114" t="str">
        <f>IF(+NFL!$F65="Houston",+NFL!H65,IF(+NFL!$H65="Houston",+NFL!H65,0))</f>
        <v>Houston</v>
      </c>
      <c r="I233" s="491" t="str">
        <f>IF(+NFL!$F65="Houston",+NFL!I65,IF(+NFL!$H65="Houston",+NFL!I65,0))</f>
        <v>AFCS</v>
      </c>
      <c r="J233" s="353" t="str">
        <f>IF(+NFL!$F65="Houston",+NFL!J65,IF(+NFL!$H65="Houston",+NFL!J65,0))</f>
        <v>LA Chargers</v>
      </c>
      <c r="K233" s="494" t="str">
        <f>IF(+NFL!$F65="Houston",+NFL!K65,IF(+NFL!$H65="Houston",+NFL!K65,0))</f>
        <v>Houston</v>
      </c>
      <c r="L233" s="362">
        <f>IF(+NFL!$F65="Houston",+NFL!L65,IF(+NFL!$H65="Houston",+NFL!L65,0))</f>
        <v>4.5</v>
      </c>
      <c r="M233" s="386">
        <f>IF(+NFL!$F65="Houston",+NFL!M65,IF(+NFL!$H65="Houston",+NFL!M65,0))</f>
        <v>44.5</v>
      </c>
      <c r="N233" s="394" t="str">
        <f>IF(+NFL!$F65="Houston",+NFL!N65,IF(+NFL!$H65="Houston",+NFL!N65,0))</f>
        <v>LA Chargers</v>
      </c>
      <c r="O233" s="395">
        <f>IF(+NFL!$F65="Houston",+NFL!O65,IF(+NFL!$H65="Houston",+NFL!O65,0))</f>
        <v>34</v>
      </c>
      <c r="P233" s="394" t="str">
        <f>IF(+NFL!$F65="Houston",+NFL!P65,IF(+NFL!$H65="Houston",+NFL!P65,0))</f>
        <v>Houston</v>
      </c>
      <c r="Q233" s="396">
        <f>IF(+NFL!$F65="Houston",+NFL!Q65,IF(+NFL!$H65="Houston",+NFL!Q65,0))</f>
        <v>24</v>
      </c>
      <c r="R233" s="397" t="str">
        <f>IF(+NFL!$F65="Houston",+NFL!R65,IF(+NFL!$H65="Houston",+NFL!R65,0))</f>
        <v>LA Chargers</v>
      </c>
      <c r="S233" s="399" t="str">
        <f>IF(+NFL!$F65="Houston",+NFL!S65,IF(+NFL!$H65="Houston",+NFL!S65,0))</f>
        <v>Houston</v>
      </c>
      <c r="T233" s="397" t="str">
        <f>IF(+NFL!$F65="Houston",+NFL!T65,IF(+NFL!$H65="Houston",+NFL!T65,0))</f>
        <v>LA Chargers</v>
      </c>
      <c r="U233" s="400" t="str">
        <f>IF(+NFL!$F65="Houston",+NFL!U65,IF(+NFL!$H65="Houston",+NFL!U65,0))</f>
        <v>W</v>
      </c>
      <c r="V233" s="397">
        <f>IF(+NFL!$F37="Houston",+NFL!#REF!,IF(+NFL!$H37="Houston",+NFL!#REF!,0))</f>
        <v>0</v>
      </c>
      <c r="W233" s="396">
        <f>IF(+NFL!$F37="Houston",+NFL!#REF!,IF(+NFL!$H37="Houston",+NFL!#REF!,0))</f>
        <v>0</v>
      </c>
      <c r="X233" s="398">
        <f>IF(+NFL!$F37="Houston",+NFL!#REF!,IF(+NFL!$H37="Houston",+NFL!#REF!,0))</f>
        <v>0</v>
      </c>
      <c r="Y233" s="396">
        <f>IF(+NFL!$F37="Houston",+NFL!#REF!,IF(+NFL!$H37="Houston",+NFL!#REF!,0))</f>
        <v>0</v>
      </c>
      <c r="Z233" s="397">
        <f>IF(+NFL!$F37="Houston",+NFL!#REF!,IF(+NFL!$H37="Houston",+NFL!#REF!,0))</f>
        <v>0</v>
      </c>
      <c r="AA233" s="400">
        <f>IF(+NFL!$F37="Houston",+NFL!#REF!,IF(+NFL!$H37="Houston",+NFL!#REF!,0))</f>
        <v>0</v>
      </c>
      <c r="AB233" s="87">
        <f>IF(+NFL!$F37="Houston",+NFL!#REF!,IF(+NFL!$H37="Houston",+NFL!#REF!,0))</f>
        <v>0</v>
      </c>
      <c r="AC233" s="120">
        <f>IF(+NFL!$F37="Houston",+NFL!#REF!,IF(+NFL!$H37="Houston",+NFL!#REF!,0))</f>
        <v>0</v>
      </c>
      <c r="AD233" s="353">
        <f>IF(+NFL!$F37="Houston",+NFL!#REF!,IF(+NFL!$H37="Houston",+NFL!#REF!,0))</f>
        <v>0</v>
      </c>
      <c r="AE233" s="379">
        <f>IF(+NFL!$F37="Houston",+NFL!#REF!,IF(+NFL!$H37="Houston",+NFL!#REF!,0))</f>
        <v>0</v>
      </c>
      <c r="AF233" s="353">
        <f>IF(+NFL!$F37="Houston",+NFL!#REF!,IF(+NFL!$H37="Houston",+NFL!#REF!,0))</f>
        <v>0</v>
      </c>
      <c r="AG233" s="388">
        <f>IF(+NFL!$F37="Houston",+NFL!#REF!,IF(+NFL!$H37="Houston",+NFL!#REF!,0))</f>
        <v>0</v>
      </c>
      <c r="AH233" s="353">
        <f>IF(+NFL!$F37="Houston",+NFL!#REF!,IF(+NFL!$H37="Houston",+NFL!#REF!,0))</f>
        <v>0</v>
      </c>
      <c r="AI233" s="388">
        <f>IF(+NFL!$F37="Houston",+NFL!#REF!,IF(+NFL!$H37="Houston",+NFL!#REF!,0))</f>
        <v>0</v>
      </c>
      <c r="AJ233" s="353">
        <f>IF(+NFL!$F37="Houston",+NFL!#REF!,IF(+NFL!$H37="Houston",+NFL!#REF!,0))</f>
        <v>0</v>
      </c>
      <c r="AK233" s="379">
        <f>IF(+NFL!$F37="Houston",+NFL!#REF!,IF(+NFL!$H37="Houston",+NFL!#REF!,0))</f>
        <v>0</v>
      </c>
      <c r="AL233" s="57">
        <f>IF(+NFL!$F37="Houston",+NFL!#REF!,IF(+NFL!$H37="Houston",+NFL!#REF!,0))</f>
        <v>0</v>
      </c>
      <c r="AM233" s="64">
        <f>IF(+NFL!$F37="Houston",+NFL!#REF!,IF(+NFL!$H37="Houston",+NFL!#REF!,0))</f>
        <v>0</v>
      </c>
      <c r="AN233" s="57">
        <f>IF(+NFL!$F37="Houston",+NFL!#REF!,IF(+NFL!$H37="Houston",+NFL!#REF!,0))</f>
        <v>0</v>
      </c>
      <c r="AO233" s="46">
        <f>IF(+NFL!$F37="Houston",+NFL!#REF!,IF(+NFL!$H37="Houston",+NFL!#REF!,0))</f>
        <v>0</v>
      </c>
      <c r="AP233" s="348">
        <f>IF(+NFL!$F37="Houston",+NFL!#REF!,IF(+NFL!$H37="Houston",+NFL!#REF!,0))</f>
        <v>0</v>
      </c>
      <c r="AQ233" s="48">
        <f>IF(+NFL!$F37="Houston",+NFL!#REF!,IF(+NFL!$H37="Houston",+NFL!#REF!,0))</f>
        <v>0</v>
      </c>
      <c r="AR233" s="57">
        <f>IF(+NFL!$F37="Houston",+NFL!#REF!,IF(+NFL!$H37="Houston",+NFL!#REF!,0))</f>
        <v>0</v>
      </c>
      <c r="AS233" s="64">
        <f>IF(+NFL!$F37="Houston",+NFL!#REF!,IF(+NFL!$H37="Houston",+NFL!#REF!,0))</f>
        <v>0</v>
      </c>
      <c r="AT233" s="64">
        <f>IF(+NFL!$F37="Houston",+NFL!#REF!,IF(+NFL!$H37="Houston",+NFL!#REF!,0))</f>
        <v>0</v>
      </c>
      <c r="AU233" s="57">
        <f>IF(+NFL!$F37="Houston",+NFL!#REF!,IF(+NFL!$H37="Houston",+NFL!#REF!,0))</f>
        <v>0</v>
      </c>
      <c r="AV233" s="64">
        <f>IF(+NFL!$F37="Houston",+NFL!#REF!,IF(+NFL!$H37="Houston",+NFL!#REF!,0))</f>
        <v>0</v>
      </c>
      <c r="AW233" s="46">
        <f>IF(+NFL!$F37="Houston",+NFL!#REF!,IF(+NFL!$H37="Houston",+NFL!#REF!,0))</f>
        <v>0</v>
      </c>
      <c r="AX233" s="64">
        <f>IF(+NFL!$F37="Houston",+NFL!#REF!,IF(+NFL!$H37="Houston",+NFL!#REF!,0))</f>
        <v>0</v>
      </c>
      <c r="AY233" s="57">
        <f>IF(+NFL!$F37="Houston",+NFL!#REF!,IF(+NFL!$H37="Houston",+NFL!#REF!,0))</f>
        <v>0</v>
      </c>
      <c r="AZ233" s="64">
        <f>IF(+NFL!$F37="Houston",+NFL!#REF!,IF(+NFL!$H37="Houston",+NFL!#REF!,0))</f>
        <v>0</v>
      </c>
      <c r="BA233" s="46">
        <f>IF(+NFL!$F37="Houston",+NFL!#REF!,IF(+NFL!$H37="Houston",+NFL!#REF!,0))</f>
        <v>0</v>
      </c>
      <c r="BB233" s="46">
        <f>IF(+NFL!$F37="Houston",+NFL!#REF!,IF(+NFL!$H37="Houston",+NFL!#REF!,0))</f>
        <v>0</v>
      </c>
      <c r="BC233" s="403">
        <f>IF(+NFL!$F37="Houston",+NFL!#REF!,IF(+NFL!$H37="Houston",+NFL!#REF!,0))</f>
        <v>0</v>
      </c>
      <c r="BD233" s="57">
        <f>IF(+NFL!$F37="Houston",+NFL!#REF!,IF(+NFL!$H37="Houston",+NFL!#REF!,0))</f>
        <v>0</v>
      </c>
      <c r="BE233" s="64">
        <f>IF(+NFL!$F37="Houston",+NFL!#REF!,IF(+NFL!$H37="Houston",+NFL!#REF!,0))</f>
        <v>0</v>
      </c>
      <c r="BF233" s="46">
        <f>IF(+NFL!$F37="Houston",+NFL!#REF!,IF(+NFL!$H37="Houston",+NFL!#REF!,0))</f>
        <v>0</v>
      </c>
      <c r="BG233" s="57">
        <f>IF(+NFL!$F37="Houston",+NFL!#REF!,IF(+NFL!$H37="Houston",+NFL!#REF!,0))</f>
        <v>0</v>
      </c>
      <c r="BH233" s="64">
        <f>IF(+NFL!$F37="Houston",+NFL!#REF!,IF(+NFL!$H37="Houston",+NFL!#REF!,0))</f>
        <v>0</v>
      </c>
      <c r="BI233" s="46">
        <f>IF(+NFL!$F37="Houston",+NFL!#REF!,IF(+NFL!$H37="Houston",+NFL!#REF!,0))</f>
        <v>0</v>
      </c>
      <c r="BJ233" s="87">
        <f>IF(+NFL!$F37="Houston",+NFL!#REF!,IF(+NFL!$H37="Houston",+NFL!#REF!,0))</f>
        <v>0</v>
      </c>
      <c r="BK233" s="120">
        <f>IF(+NFL!$F37="Houston",+NFL!#REF!,IF(+NFL!$H37="Houston",+NFL!#REF!,0))</f>
        <v>0</v>
      </c>
    </row>
    <row r="234" spans="1:63" x14ac:dyDescent="0.8">
      <c r="A234" s="46">
        <f>IF(+NFL!$F82="Houston",+NFL!A82,IF(+NFL!$H82="Houston",+NFL!A82,0))</f>
        <v>5</v>
      </c>
      <c r="B234" s="46" t="str">
        <f>IF(+NFL!$F82="Houston",+NFL!B82,IF(+NFL!$H82="Houston",+NFL!B82,0))</f>
        <v>Sun</v>
      </c>
      <c r="C234" s="48">
        <f>IF(+NFL!$F82="Houston",+NFL!C82,IF(+NFL!$H82="Houston",+NFL!C82,0))</f>
        <v>44843</v>
      </c>
      <c r="D234" s="490">
        <f>IF(+NFL!$F82="Houston",+NFL!D82,IF(+NFL!$H82="Houston",+NFL!D82,0))</f>
        <v>0.54166666666666663</v>
      </c>
      <c r="E234" s="46" t="str">
        <f>IF(+NFL!$F82="Houston",+NFL!E82,IF(+NFL!$H82="Houston",+NFL!E82,0))</f>
        <v>CBS</v>
      </c>
      <c r="F234" s="114" t="str">
        <f>IF(+NFL!$F82="Houston",+NFL!F82,IF(+NFL!$H82="Houston",+NFL!F82,0))</f>
        <v>Houston</v>
      </c>
      <c r="G234" s="46" t="str">
        <f>IF(+NFL!$F82="Houston",+NFL!G82,IF(+NFL!$H82="Houston",+NFL!G82,0))</f>
        <v>AFCS</v>
      </c>
      <c r="H234" s="114" t="str">
        <f>IF(+NFL!$F82="Houston",+NFL!H82,IF(+NFL!$H82="Houston",+NFL!H82,0))</f>
        <v>Jacksonville</v>
      </c>
      <c r="I234" s="491" t="str">
        <f>IF(+NFL!$F82="Houston",+NFL!I82,IF(+NFL!$H82="Houston",+NFL!I82,0))</f>
        <v>AFCS</v>
      </c>
      <c r="J234" s="353" t="str">
        <f>IF(+NFL!$F82="Houston",+NFL!J82,IF(+NFL!$H82="Houston",+NFL!J82,0))</f>
        <v>Jacksonville</v>
      </c>
      <c r="K234" s="494" t="str">
        <f>IF(+NFL!$F82="Houston",+NFL!K82,IF(+NFL!$H82="Houston",+NFL!K82,0))</f>
        <v>Houston</v>
      </c>
      <c r="L234" s="362">
        <f>IF(+NFL!$F82="Houston",+NFL!L82,IF(+NFL!$H82="Houston",+NFL!L82,0))</f>
        <v>7</v>
      </c>
      <c r="M234" s="386">
        <f>IF(+NFL!$F82="Houston",+NFL!M82,IF(+NFL!$H82="Houston",+NFL!M82,0))</f>
        <v>44</v>
      </c>
      <c r="N234" s="394" t="str">
        <f>IF(+NFL!$F82="Houston",+NFL!N82,IF(+NFL!$H82="Houston",+NFL!N82,0))</f>
        <v>Houston</v>
      </c>
      <c r="O234" s="395">
        <f>IF(+NFL!$F82="Houston",+NFL!O82,IF(+NFL!$H82="Houston",+NFL!O82,0))</f>
        <v>13</v>
      </c>
      <c r="P234" s="394" t="str">
        <f>IF(+NFL!$F82="Houston",+NFL!P82,IF(+NFL!$H82="Houston",+NFL!P82,0))</f>
        <v>Jacksonville</v>
      </c>
      <c r="Q234" s="396">
        <f>IF(+NFL!$F82="Houston",+NFL!Q82,IF(+NFL!$H82="Houston",+NFL!Q82,0))</f>
        <v>6</v>
      </c>
      <c r="R234" s="397" t="str">
        <f>IF(+NFL!$F82="Houston",+NFL!R82,IF(+NFL!$H82="Houston",+NFL!R82,0))</f>
        <v>Houston</v>
      </c>
      <c r="S234" s="399" t="str">
        <f>IF(+NFL!$F82="Houston",+NFL!S82,IF(+NFL!$H82="Houston",+NFL!S82,0))</f>
        <v>Jacksonville</v>
      </c>
      <c r="T234" s="397" t="str">
        <f>IF(+NFL!$F82="Houston",+NFL!T82,IF(+NFL!$H82="Houston",+NFL!T82,0))</f>
        <v>Jacksonville</v>
      </c>
      <c r="U234" s="400" t="str">
        <f>IF(+NFL!$F82="Houston",+NFL!U82,IF(+NFL!$H82="Houston",+NFL!U82,0))</f>
        <v>L</v>
      </c>
      <c r="V234" s="397">
        <f>IF(+NFL!$F59="Houston",+NFL!#REF!,IF(+NFL!$H59="Houston",+NFL!#REF!,0))</f>
        <v>0</v>
      </c>
      <c r="W234" s="396">
        <f>IF(+NFL!$F59="Houston",+NFL!#REF!,IF(+NFL!$H59="Houston",+NFL!#REF!,0))</f>
        <v>0</v>
      </c>
      <c r="X234" s="398">
        <f>IF(+NFL!$F59="Houston",+NFL!#REF!,IF(+NFL!$H59="Houston",+NFL!#REF!,0))</f>
        <v>0</v>
      </c>
      <c r="Y234" s="396">
        <f>IF(+NFL!$F59="Houston",+NFL!#REF!,IF(+NFL!$H59="Houston",+NFL!#REF!,0))</f>
        <v>0</v>
      </c>
      <c r="Z234" s="397">
        <f>IF(+NFL!$F59="Houston",+NFL!#REF!,IF(+NFL!$H59="Houston",+NFL!#REF!,0))</f>
        <v>0</v>
      </c>
      <c r="AA234" s="400">
        <f>IF(+NFL!$F59="Houston",+NFL!#REF!,IF(+NFL!$H59="Houston",+NFL!#REF!,0))</f>
        <v>0</v>
      </c>
      <c r="AB234" s="87">
        <f>IF(+NFL!$F59="Houston",+NFL!#REF!,IF(+NFL!$H59="Houston",+NFL!#REF!,0))</f>
        <v>0</v>
      </c>
      <c r="AC234" s="120">
        <f>IF(+NFL!$F59="Houston",+NFL!#REF!,IF(+NFL!$H59="Houston",+NFL!#REF!,0))</f>
        <v>0</v>
      </c>
      <c r="AD234" s="353">
        <f>IF(+NFL!$F59="Houston",+NFL!#REF!,IF(+NFL!$H59="Houston",+NFL!#REF!,0))</f>
        <v>0</v>
      </c>
      <c r="AE234" s="379">
        <f>IF(+NFL!$F59="Houston",+NFL!#REF!,IF(+NFL!$H59="Houston",+NFL!#REF!,0))</f>
        <v>0</v>
      </c>
      <c r="AF234" s="353">
        <f>IF(+NFL!$F59="Houston",+NFL!#REF!,IF(+NFL!$H59="Houston",+NFL!#REF!,0))</f>
        <v>0</v>
      </c>
      <c r="AG234" s="388">
        <f>IF(+NFL!$F59="Houston",+NFL!#REF!,IF(+NFL!$H59="Houston",+NFL!#REF!,0))</f>
        <v>0</v>
      </c>
      <c r="AH234" s="353">
        <f>IF(+NFL!$F59="Houston",+NFL!#REF!,IF(+NFL!$H59="Houston",+NFL!#REF!,0))</f>
        <v>0</v>
      </c>
      <c r="AI234" s="388">
        <f>IF(+NFL!$F59="Houston",+NFL!#REF!,IF(+NFL!$H59="Houston",+NFL!#REF!,0))</f>
        <v>0</v>
      </c>
      <c r="AJ234" s="353">
        <f>IF(+NFL!$F59="Houston",+NFL!#REF!,IF(+NFL!$H59="Houston",+NFL!#REF!,0))</f>
        <v>0</v>
      </c>
      <c r="AK234" s="379">
        <f>IF(+NFL!$F59="Houston",+NFL!#REF!,IF(+NFL!$H59="Houston",+NFL!#REF!,0))</f>
        <v>0</v>
      </c>
      <c r="AL234" s="57">
        <f>IF(+NFL!$F59="Houston",+NFL!#REF!,IF(+NFL!$H59="Houston",+NFL!#REF!,0))</f>
        <v>0</v>
      </c>
      <c r="AM234" s="64">
        <f>IF(+NFL!$F59="Houston",+NFL!#REF!,IF(+NFL!$H59="Houston",+NFL!#REF!,0))</f>
        <v>0</v>
      </c>
      <c r="AN234" s="57">
        <f>IF(+NFL!$F59="Houston",+NFL!#REF!,IF(+NFL!$H59="Houston",+NFL!#REF!,0))</f>
        <v>0</v>
      </c>
      <c r="AO234" s="46">
        <f>IF(+NFL!$F59="Houston",+NFL!#REF!,IF(+NFL!$H59="Houston",+NFL!#REF!,0))</f>
        <v>0</v>
      </c>
      <c r="AP234" s="348">
        <f>IF(+NFL!$F59="Houston",+NFL!#REF!,IF(+NFL!$H59="Houston",+NFL!#REF!,0))</f>
        <v>0</v>
      </c>
      <c r="AQ234" s="48">
        <f>IF(+NFL!$F59="Houston",+NFL!#REF!,IF(+NFL!$H59="Houston",+NFL!#REF!,0))</f>
        <v>0</v>
      </c>
      <c r="AR234" s="57">
        <f>IF(+NFL!$F59="Houston",+NFL!#REF!,IF(+NFL!$H59="Houston",+NFL!#REF!,0))</f>
        <v>0</v>
      </c>
      <c r="AS234" s="64">
        <f>IF(+NFL!$F59="Houston",+NFL!#REF!,IF(+NFL!$H59="Houston",+NFL!#REF!,0))</f>
        <v>0</v>
      </c>
      <c r="AT234" s="64">
        <f>IF(+NFL!$F59="Houston",+NFL!#REF!,IF(+NFL!$H59="Houston",+NFL!#REF!,0))</f>
        <v>0</v>
      </c>
      <c r="AU234" s="57">
        <f>IF(+NFL!$F59="Houston",+NFL!#REF!,IF(+NFL!$H59="Houston",+NFL!#REF!,0))</f>
        <v>0</v>
      </c>
      <c r="AV234" s="64">
        <f>IF(+NFL!$F59="Houston",+NFL!#REF!,IF(+NFL!$H59="Houston",+NFL!#REF!,0))</f>
        <v>0</v>
      </c>
      <c r="AW234" s="46">
        <f>IF(+NFL!$F59="Houston",+NFL!#REF!,IF(+NFL!$H59="Houston",+NFL!#REF!,0))</f>
        <v>0</v>
      </c>
      <c r="AX234" s="64">
        <f>IF(+NFL!$F59="Houston",+NFL!#REF!,IF(+NFL!$H59="Houston",+NFL!#REF!,0))</f>
        <v>0</v>
      </c>
      <c r="AY234" s="57">
        <f>IF(+NFL!$F59="Houston",+NFL!#REF!,IF(+NFL!$H59="Houston",+NFL!#REF!,0))</f>
        <v>0</v>
      </c>
      <c r="AZ234" s="64">
        <f>IF(+NFL!$F59="Houston",+NFL!#REF!,IF(+NFL!$H59="Houston",+NFL!#REF!,0))</f>
        <v>0</v>
      </c>
      <c r="BA234" s="46">
        <f>IF(+NFL!$F59="Houston",+NFL!#REF!,IF(+NFL!$H59="Houston",+NFL!#REF!,0))</f>
        <v>0</v>
      </c>
      <c r="BB234" s="46">
        <f>IF(+NFL!$F59="Houston",+NFL!#REF!,IF(+NFL!$H59="Houston",+NFL!#REF!,0))</f>
        <v>0</v>
      </c>
      <c r="BC234" s="403">
        <f>IF(+NFL!$F59="Houston",+NFL!#REF!,IF(+NFL!$H59="Houston",+NFL!#REF!,0))</f>
        <v>0</v>
      </c>
      <c r="BD234" s="57">
        <f>IF(+NFL!$F59="Houston",+NFL!#REF!,IF(+NFL!$H59="Houston",+NFL!#REF!,0))</f>
        <v>0</v>
      </c>
      <c r="BE234" s="64">
        <f>IF(+NFL!$F59="Houston",+NFL!#REF!,IF(+NFL!$H59="Houston",+NFL!#REF!,0))</f>
        <v>0</v>
      </c>
      <c r="BF234" s="46">
        <f>IF(+NFL!$F59="Houston",+NFL!#REF!,IF(+NFL!$H59="Houston",+NFL!#REF!,0))</f>
        <v>0</v>
      </c>
      <c r="BG234" s="57">
        <f>IF(+NFL!$F59="Houston",+NFL!#REF!,IF(+NFL!$H59="Houston",+NFL!#REF!,0))</f>
        <v>0</v>
      </c>
      <c r="BH234" s="64">
        <f>IF(+NFL!$F59="Houston",+NFL!#REF!,IF(+NFL!$H59="Houston",+NFL!#REF!,0))</f>
        <v>0</v>
      </c>
      <c r="BI234" s="46">
        <f>IF(+NFL!$F59="Houston",+NFL!#REF!,IF(+NFL!$H59="Houston",+NFL!#REF!,0))</f>
        <v>0</v>
      </c>
      <c r="BJ234" s="87">
        <f>IF(+NFL!$F59="Houston",+NFL!#REF!,IF(+NFL!$H59="Houston",+NFL!#REF!,0))</f>
        <v>0</v>
      </c>
      <c r="BK234" s="120">
        <f>IF(+NFL!$F59="Houston",+NFL!#REF!,IF(+NFL!$H59="Houston",+NFL!#REF!,0))</f>
        <v>0</v>
      </c>
    </row>
    <row r="235" spans="1:63" x14ac:dyDescent="0.8">
      <c r="A235" s="46">
        <f>IF(+NFL!$F107="Houston",+NFL!A107,IF(+NFL!$H107="Houston",+NFL!A107,0))</f>
        <v>6</v>
      </c>
      <c r="B235" s="46">
        <f>IF(+NFL!$F107="Houston",+NFL!B107,IF(+NFL!$H107="Houston",+NFL!B107,0))</f>
        <v>0</v>
      </c>
      <c r="C235" s="48">
        <f>IF(+NFL!$F107="Houston",+NFL!C107,IF(+NFL!$H107="Houston",+NFL!C107,0))</f>
        <v>0</v>
      </c>
      <c r="D235" s="490">
        <f>IF(+NFL!$F107="Houston",+NFL!D107,IF(+NFL!$H107="Houston",+NFL!D107,0))</f>
        <v>0</v>
      </c>
      <c r="E235" s="46">
        <f>IF(+NFL!$F107="Houston",+NFL!E107,IF(+NFL!$H107="Houston",+NFL!E107,0))</f>
        <v>0</v>
      </c>
      <c r="F235" s="114" t="str">
        <f>IF(+NFL!$F107="Houston",+NFL!F107,IF(+NFL!$H107="Houston",+NFL!F107,0))</f>
        <v>Houston</v>
      </c>
      <c r="G235" s="46" t="str">
        <f>IF(+NFL!$F107="Houston",+NFL!G107,IF(+NFL!$H107="Houston",+NFL!G107,0))</f>
        <v>AFCS</v>
      </c>
      <c r="H235" s="114">
        <f>IF(+NFL!$F107="Houston",+NFL!H107,IF(+NFL!$H107="Houston",+NFL!H107,0))</f>
        <v>0</v>
      </c>
      <c r="I235" s="491">
        <f>IF(+NFL!$F107="Houston",+NFL!I107,IF(+NFL!$H107="Houston",+NFL!I107,0))</f>
        <v>0</v>
      </c>
      <c r="J235" s="353">
        <f>IF(+NFL!$F107="Houston",+NFL!J107,IF(+NFL!$H107="Houston",+NFL!J107,0))</f>
        <v>0</v>
      </c>
      <c r="K235" s="494">
        <f>IF(+NFL!$F107="Houston",+NFL!K107,IF(+NFL!$H107="Houston",+NFL!K107,0))</f>
        <v>0</v>
      </c>
      <c r="L235" s="362">
        <f>IF(+NFL!$F107="Houston",+NFL!L107,IF(+NFL!$H107="Houston",+NFL!L107,0))</f>
        <v>0</v>
      </c>
      <c r="M235" s="386">
        <f>IF(+NFL!$F107="Houston",+NFL!M107,IF(+NFL!$H107="Houston",+NFL!M107,0))</f>
        <v>0</v>
      </c>
      <c r="N235" s="394">
        <f>IF(+NFL!$F107="Houston",+NFL!N107,IF(+NFL!$H107="Houston",+NFL!N107,0))</f>
        <v>0</v>
      </c>
      <c r="O235" s="395">
        <f>IF(+NFL!$F107="Houston",+NFL!O107,IF(+NFL!$H107="Houston",+NFL!O107,0))</f>
        <v>0</v>
      </c>
      <c r="P235" s="394">
        <f>IF(+NFL!$F107="Houston",+NFL!P107,IF(+NFL!$H107="Houston",+NFL!P107,0))</f>
        <v>0</v>
      </c>
      <c r="Q235" s="396">
        <f>IF(+NFL!$F107="Houston",+NFL!Q107,IF(+NFL!$H107="Houston",+NFL!Q107,0))</f>
        <v>0</v>
      </c>
      <c r="R235" s="397">
        <f>IF(+NFL!$F107="Houston",+NFL!R107,IF(+NFL!$H107="Houston",+NFL!R107,0))</f>
        <v>0</v>
      </c>
      <c r="S235" s="399">
        <f>IF(+NFL!$F107="Houston",+NFL!S107,IF(+NFL!$H107="Houston",+NFL!S107,0))</f>
        <v>0</v>
      </c>
      <c r="T235" s="397">
        <f>IF(+NFL!$F107="Houston",+NFL!T107,IF(+NFL!$H107="Houston",+NFL!T107,0))</f>
        <v>0</v>
      </c>
      <c r="U235" s="400">
        <f>IF(+NFL!$F107="Houston",+NFL!U107,IF(+NFL!$H107="Houston",+NFL!U107,0))</f>
        <v>0</v>
      </c>
      <c r="V235" s="397">
        <f>IF(+NFL!$F77="Houston",+NFL!#REF!,IF(+NFL!$H77="Houston",+NFL!#REF!,0))</f>
        <v>0</v>
      </c>
      <c r="W235" s="396">
        <f>IF(+NFL!$F77="Houston",+NFL!#REF!,IF(+NFL!$H77="Houston",+NFL!#REF!,0))</f>
        <v>0</v>
      </c>
      <c r="X235" s="398">
        <f>IF(+NFL!$F77="Houston",+NFL!#REF!,IF(+NFL!$H77="Houston",+NFL!#REF!,0))</f>
        <v>0</v>
      </c>
      <c r="Y235" s="396">
        <f>IF(+NFL!$F77="Houston",+NFL!#REF!,IF(+NFL!$H77="Houston",+NFL!#REF!,0))</f>
        <v>0</v>
      </c>
      <c r="Z235" s="397">
        <f>IF(+NFL!$F77="Houston",+NFL!#REF!,IF(+NFL!$H77="Houston",+NFL!#REF!,0))</f>
        <v>0</v>
      </c>
      <c r="AA235" s="400">
        <f>IF(+NFL!$F77="Houston",+NFL!#REF!,IF(+NFL!$H77="Houston",+NFL!#REF!,0))</f>
        <v>0</v>
      </c>
      <c r="AB235" s="87">
        <f>IF(+NFL!$F77="Houston",+NFL!#REF!,IF(+NFL!$H77="Houston",+NFL!#REF!,0))</f>
        <v>0</v>
      </c>
      <c r="AC235" s="120">
        <f>IF(+NFL!$F77="Houston",+NFL!#REF!,IF(+NFL!$H77="Houston",+NFL!#REF!,0))</f>
        <v>0</v>
      </c>
      <c r="AD235" s="353">
        <f>IF(+NFL!$F77="Houston",+NFL!#REF!,IF(+NFL!$H77="Houston",+NFL!#REF!,0))</f>
        <v>0</v>
      </c>
      <c r="AE235" s="379">
        <f>IF(+NFL!$F77="Houston",+NFL!#REF!,IF(+NFL!$H77="Houston",+NFL!#REF!,0))</f>
        <v>0</v>
      </c>
      <c r="AF235" s="353">
        <f>IF(+NFL!$F77="Houston",+NFL!#REF!,IF(+NFL!$H77="Houston",+NFL!#REF!,0))</f>
        <v>0</v>
      </c>
      <c r="AG235" s="388">
        <f>IF(+NFL!$F77="Houston",+NFL!#REF!,IF(+NFL!$H77="Houston",+NFL!#REF!,0))</f>
        <v>0</v>
      </c>
      <c r="AH235" s="353">
        <f>IF(+NFL!$F77="Houston",+NFL!#REF!,IF(+NFL!$H77="Houston",+NFL!#REF!,0))</f>
        <v>0</v>
      </c>
      <c r="AI235" s="388">
        <f>IF(+NFL!$F77="Houston",+NFL!#REF!,IF(+NFL!$H77="Houston",+NFL!#REF!,0))</f>
        <v>0</v>
      </c>
      <c r="AJ235" s="353">
        <f>IF(+NFL!$F77="Houston",+NFL!#REF!,IF(+NFL!$H77="Houston",+NFL!#REF!,0))</f>
        <v>0</v>
      </c>
      <c r="AK235" s="379">
        <f>IF(+NFL!$F77="Houston",+NFL!#REF!,IF(+NFL!$H77="Houston",+NFL!#REF!,0))</f>
        <v>0</v>
      </c>
      <c r="AL235" s="57">
        <f>IF(+NFL!$F77="Houston",+NFL!#REF!,IF(+NFL!$H77="Houston",+NFL!#REF!,0))</f>
        <v>0</v>
      </c>
      <c r="AM235" s="64">
        <f>IF(+NFL!$F77="Houston",+NFL!#REF!,IF(+NFL!$H77="Houston",+NFL!#REF!,0))</f>
        <v>0</v>
      </c>
      <c r="AN235" s="57">
        <f>IF(+NFL!$F77="Houston",+NFL!#REF!,IF(+NFL!$H77="Houston",+NFL!#REF!,0))</f>
        <v>0</v>
      </c>
      <c r="AO235" s="46">
        <f>IF(+NFL!$F77="Houston",+NFL!#REF!,IF(+NFL!$H77="Houston",+NFL!#REF!,0))</f>
        <v>0</v>
      </c>
      <c r="AP235" s="348">
        <f>IF(+NFL!$F77="Houston",+NFL!#REF!,IF(+NFL!$H77="Houston",+NFL!#REF!,0))</f>
        <v>0</v>
      </c>
      <c r="AQ235" s="48">
        <f>IF(+NFL!$F77="Houston",+NFL!#REF!,IF(+NFL!$H77="Houston",+NFL!#REF!,0))</f>
        <v>0</v>
      </c>
      <c r="AR235" s="57">
        <f>IF(+NFL!$F77="Houston",+NFL!#REF!,IF(+NFL!$H77="Houston",+NFL!#REF!,0))</f>
        <v>0</v>
      </c>
      <c r="AS235" s="64">
        <f>IF(+NFL!$F77="Houston",+NFL!#REF!,IF(+NFL!$H77="Houston",+NFL!#REF!,0))</f>
        <v>0</v>
      </c>
      <c r="AT235" s="64">
        <f>IF(+NFL!$F77="Houston",+NFL!#REF!,IF(+NFL!$H77="Houston",+NFL!#REF!,0))</f>
        <v>0</v>
      </c>
      <c r="AU235" s="57">
        <f>IF(+NFL!$F77="Houston",+NFL!#REF!,IF(+NFL!$H77="Houston",+NFL!#REF!,0))</f>
        <v>0</v>
      </c>
      <c r="AV235" s="64">
        <f>IF(+NFL!$F77="Houston",+NFL!#REF!,IF(+NFL!$H77="Houston",+NFL!#REF!,0))</f>
        <v>0</v>
      </c>
      <c r="AW235" s="46">
        <f>IF(+NFL!$F77="Houston",+NFL!#REF!,IF(+NFL!$H77="Houston",+NFL!#REF!,0))</f>
        <v>0</v>
      </c>
      <c r="AX235" s="64">
        <f>IF(+NFL!$F77="Houston",+NFL!#REF!,IF(+NFL!$H77="Houston",+NFL!#REF!,0))</f>
        <v>0</v>
      </c>
      <c r="AY235" s="57">
        <f>IF(+NFL!$F77="Houston",+NFL!#REF!,IF(+NFL!$H77="Houston",+NFL!#REF!,0))</f>
        <v>0</v>
      </c>
      <c r="AZ235" s="64">
        <f>IF(+NFL!$F77="Houston",+NFL!#REF!,IF(+NFL!$H77="Houston",+NFL!#REF!,0))</f>
        <v>0</v>
      </c>
      <c r="BA235" s="46">
        <f>IF(+NFL!$F77="Houston",+NFL!#REF!,IF(+NFL!$H77="Houston",+NFL!#REF!,0))</f>
        <v>0</v>
      </c>
      <c r="BB235" s="46">
        <f>IF(+NFL!$F77="Houston",+NFL!#REF!,IF(+NFL!$H77="Houston",+NFL!#REF!,0))</f>
        <v>0</v>
      </c>
      <c r="BC235" s="403">
        <f>IF(+NFL!$F77="Houston",+NFL!#REF!,IF(+NFL!$H77="Houston",+NFL!#REF!,0))</f>
        <v>0</v>
      </c>
      <c r="BD235" s="57">
        <f>IF(+NFL!$F77="Houston",+NFL!#REF!,IF(+NFL!$H77="Houston",+NFL!#REF!,0))</f>
        <v>0</v>
      </c>
      <c r="BE235" s="64">
        <f>IF(+NFL!$F77="Houston",+NFL!#REF!,IF(+NFL!$H77="Houston",+NFL!#REF!,0))</f>
        <v>0</v>
      </c>
      <c r="BF235" s="46">
        <f>IF(+NFL!$F77="Houston",+NFL!#REF!,IF(+NFL!$H77="Houston",+NFL!#REF!,0))</f>
        <v>0</v>
      </c>
      <c r="BG235" s="57">
        <f>IF(+NFL!$F77="Houston",+NFL!#REF!,IF(+NFL!$H77="Houston",+NFL!#REF!,0))</f>
        <v>0</v>
      </c>
      <c r="BH235" s="64">
        <f>IF(+NFL!$F77="Houston",+NFL!#REF!,IF(+NFL!$H77="Houston",+NFL!#REF!,0))</f>
        <v>0</v>
      </c>
      <c r="BI235" s="46">
        <f>IF(+NFL!$F77="Houston",+NFL!#REF!,IF(+NFL!$H77="Houston",+NFL!#REF!,0))</f>
        <v>0</v>
      </c>
      <c r="BJ235" s="87">
        <f>IF(+NFL!$F77="Houston",+NFL!#REF!,IF(+NFL!$H77="Houston",+NFL!#REF!,0))</f>
        <v>0</v>
      </c>
      <c r="BK235" s="120">
        <f>IF(+NFL!$F77="Houston",+NFL!#REF!,IF(+NFL!$H77="Houston",+NFL!#REF!,0))</f>
        <v>0</v>
      </c>
    </row>
    <row r="236" spans="1:63" x14ac:dyDescent="0.8">
      <c r="A236" s="46">
        <f>IF(+NFL!$F118="Houston",+NFL!A118,IF(+NFL!$H118="Houston",+NFL!A118,0))</f>
        <v>7</v>
      </c>
      <c r="B236" s="46" t="str">
        <f>IF(+NFL!$F118="Houston",+NFL!B118,IF(+NFL!$H118="Houston",+NFL!B118,0))</f>
        <v>Sun</v>
      </c>
      <c r="C236" s="48">
        <f>IF(+NFL!$F118="Houston",+NFL!C118,IF(+NFL!$H118="Houston",+NFL!C118,0))</f>
        <v>44857</v>
      </c>
      <c r="D236" s="490">
        <f>IF(+NFL!$F118="Houston",+NFL!D118,IF(+NFL!$H118="Houston",+NFL!D118,0))</f>
        <v>0.66666666666666663</v>
      </c>
      <c r="E236" s="46" t="str">
        <f>IF(+NFL!$F118="Houston",+NFL!E118,IF(+NFL!$H118="Houston",+NFL!E118,0))</f>
        <v>CBS</v>
      </c>
      <c r="F236" s="114" t="str">
        <f>IF(+NFL!$F118="Houston",+NFL!F118,IF(+NFL!$H118="Houston",+NFL!F118,0))</f>
        <v>Houston</v>
      </c>
      <c r="G236" s="46" t="str">
        <f>IF(+NFL!$F118="Houston",+NFL!G118,IF(+NFL!$H118="Houston",+NFL!G118,0))</f>
        <v>AFCS</v>
      </c>
      <c r="H236" s="114" t="str">
        <f>IF(+NFL!$F118="Houston",+NFL!H118,IF(+NFL!$H118="Houston",+NFL!H118,0))</f>
        <v>Las Vegas</v>
      </c>
      <c r="I236" s="491" t="str">
        <f>IF(+NFL!$F118="Houston",+NFL!I118,IF(+NFL!$H118="Houston",+NFL!I118,0))</f>
        <v>AFCW</v>
      </c>
      <c r="J236" s="353" t="str">
        <f>IF(+NFL!$F118="Houston",+NFL!J118,IF(+NFL!$H118="Houston",+NFL!J118,0))</f>
        <v>Las Vegas</v>
      </c>
      <c r="K236" s="494" t="str">
        <f>IF(+NFL!$F118="Houston",+NFL!K118,IF(+NFL!$H118="Houston",+NFL!K118,0))</f>
        <v>Houston</v>
      </c>
      <c r="L236" s="362">
        <f>IF(+NFL!$F118="Houston",+NFL!L118,IF(+NFL!$H118="Houston",+NFL!L118,0))</f>
        <v>7</v>
      </c>
      <c r="M236" s="386">
        <f>IF(+NFL!$F118="Houston",+NFL!M118,IF(+NFL!$H118="Houston",+NFL!M118,0))</f>
        <v>45.5</v>
      </c>
      <c r="N236" s="394" t="str">
        <f>IF(+NFL!$F118="Houston",+NFL!N118,IF(+NFL!$H118="Houston",+NFL!N118,0))</f>
        <v>Las Vegas</v>
      </c>
      <c r="O236" s="395">
        <f>IF(+NFL!$F118="Houston",+NFL!O118,IF(+NFL!$H118="Houston",+NFL!O118,0))</f>
        <v>38</v>
      </c>
      <c r="P236" s="394" t="str">
        <f>IF(+NFL!$F118="Houston",+NFL!P118,IF(+NFL!$H118="Houston",+NFL!P118,0))</f>
        <v>Houston</v>
      </c>
      <c r="Q236" s="396">
        <f>IF(+NFL!$F118="Houston",+NFL!Q118,IF(+NFL!$H118="Houston",+NFL!Q118,0))</f>
        <v>20</v>
      </c>
      <c r="R236" s="397" t="str">
        <f>IF(+NFL!$F118="Houston",+NFL!R118,IF(+NFL!$H118="Houston",+NFL!R118,0))</f>
        <v>Las Vegas</v>
      </c>
      <c r="S236" s="399" t="str">
        <f>IF(+NFL!$F118="Houston",+NFL!S118,IF(+NFL!$H118="Houston",+NFL!S118,0))</f>
        <v>Houston</v>
      </c>
      <c r="T236" s="397" t="str">
        <f>IF(+NFL!$F118="Houston",+NFL!T118,IF(+NFL!$H118="Houston",+NFL!T118,0))</f>
        <v>Houston</v>
      </c>
      <c r="U236" s="400" t="str">
        <f>IF(+NFL!$F118="Houston",+NFL!U118,IF(+NFL!$H118="Houston",+NFL!U118,0))</f>
        <v>L</v>
      </c>
      <c r="V236" s="397">
        <f>IF(+NFL!$F97="Houston",+NFL!#REF!,IF(+NFL!$H97="Houston",+NFL!#REF!,0))</f>
        <v>0</v>
      </c>
      <c r="W236" s="396">
        <f>IF(+NFL!$F97="Houston",+NFL!#REF!,IF(+NFL!$H97="Houston",+NFL!#REF!,0))</f>
        <v>0</v>
      </c>
      <c r="X236" s="398">
        <f>IF(+NFL!$F97="Houston",+NFL!#REF!,IF(+NFL!$H97="Houston",+NFL!#REF!,0))</f>
        <v>0</v>
      </c>
      <c r="Y236" s="396">
        <f>IF(+NFL!$F97="Houston",+NFL!#REF!,IF(+NFL!$H97="Houston",+NFL!#REF!,0))</f>
        <v>0</v>
      </c>
      <c r="Z236" s="397">
        <f>IF(+NFL!$F97="Houston",+NFL!#REF!,IF(+NFL!$H97="Houston",+NFL!#REF!,0))</f>
        <v>0</v>
      </c>
      <c r="AA236" s="400">
        <f>IF(+NFL!$F97="Houston",+NFL!#REF!,IF(+NFL!$H97="Houston",+NFL!#REF!,0))</f>
        <v>0</v>
      </c>
      <c r="AB236" s="87">
        <f>IF(+NFL!$F97="Houston",+NFL!#REF!,IF(+NFL!$H97="Houston",+NFL!#REF!,0))</f>
        <v>0</v>
      </c>
      <c r="AC236" s="120">
        <f>IF(+NFL!$F97="Houston",+NFL!#REF!,IF(+NFL!$H97="Houston",+NFL!#REF!,0))</f>
        <v>0</v>
      </c>
      <c r="AD236" s="353">
        <f>IF(+NFL!$F97="Houston",+NFL!#REF!,IF(+NFL!$H97="Houston",+NFL!#REF!,0))</f>
        <v>0</v>
      </c>
      <c r="AE236" s="379">
        <f>IF(+NFL!$F97="Houston",+NFL!#REF!,IF(+NFL!$H97="Houston",+NFL!#REF!,0))</f>
        <v>0</v>
      </c>
      <c r="AF236" s="353">
        <f>IF(+NFL!$F97="Houston",+NFL!#REF!,IF(+NFL!$H97="Houston",+NFL!#REF!,0))</f>
        <v>0</v>
      </c>
      <c r="AG236" s="388">
        <f>IF(+NFL!$F97="Houston",+NFL!#REF!,IF(+NFL!$H97="Houston",+NFL!#REF!,0))</f>
        <v>0</v>
      </c>
      <c r="AH236" s="353">
        <f>IF(+NFL!$F97="Houston",+NFL!#REF!,IF(+NFL!$H97="Houston",+NFL!#REF!,0))</f>
        <v>0</v>
      </c>
      <c r="AI236" s="388">
        <f>IF(+NFL!$F97="Houston",+NFL!#REF!,IF(+NFL!$H97="Houston",+NFL!#REF!,0))</f>
        <v>0</v>
      </c>
      <c r="AJ236" s="353">
        <f>IF(+NFL!$F97="Houston",+NFL!#REF!,IF(+NFL!$H97="Houston",+NFL!#REF!,0))</f>
        <v>0</v>
      </c>
      <c r="AK236" s="379">
        <f>IF(+NFL!$F97="Houston",+NFL!#REF!,IF(+NFL!$H97="Houston",+NFL!#REF!,0))</f>
        <v>0</v>
      </c>
      <c r="AL236" s="57">
        <f>IF(+NFL!$F97="Houston",+NFL!#REF!,IF(+NFL!$H97="Houston",+NFL!#REF!,0))</f>
        <v>0</v>
      </c>
      <c r="AM236" s="64">
        <f>IF(+NFL!$F97="Houston",+NFL!#REF!,IF(+NFL!$H97="Houston",+NFL!#REF!,0))</f>
        <v>0</v>
      </c>
      <c r="AN236" s="57">
        <f>IF(+NFL!$F97="Houston",+NFL!#REF!,IF(+NFL!$H97="Houston",+NFL!#REF!,0))</f>
        <v>0</v>
      </c>
      <c r="AO236" s="46">
        <f>IF(+NFL!$F97="Houston",+NFL!#REF!,IF(+NFL!$H97="Houston",+NFL!#REF!,0))</f>
        <v>0</v>
      </c>
      <c r="AP236" s="348">
        <f>IF(+NFL!$F97="Houston",+NFL!#REF!,IF(+NFL!$H97="Houston",+NFL!#REF!,0))</f>
        <v>0</v>
      </c>
      <c r="AQ236" s="48">
        <f>IF(+NFL!$F97="Houston",+NFL!#REF!,IF(+NFL!$H97="Houston",+NFL!#REF!,0))</f>
        <v>0</v>
      </c>
      <c r="AR236" s="57">
        <f>IF(+NFL!$F97="Houston",+NFL!#REF!,IF(+NFL!$H97="Houston",+NFL!#REF!,0))</f>
        <v>0</v>
      </c>
      <c r="AS236" s="64">
        <f>IF(+NFL!$F97="Houston",+NFL!#REF!,IF(+NFL!$H97="Houston",+NFL!#REF!,0))</f>
        <v>0</v>
      </c>
      <c r="AT236" s="64">
        <f>IF(+NFL!$F97="Houston",+NFL!#REF!,IF(+NFL!$H97="Houston",+NFL!#REF!,0))</f>
        <v>0</v>
      </c>
      <c r="AU236" s="57">
        <f>IF(+NFL!$F97="Houston",+NFL!#REF!,IF(+NFL!$H97="Houston",+NFL!#REF!,0))</f>
        <v>0</v>
      </c>
      <c r="AV236" s="64">
        <f>IF(+NFL!$F97="Houston",+NFL!#REF!,IF(+NFL!$H97="Houston",+NFL!#REF!,0))</f>
        <v>0</v>
      </c>
      <c r="AW236" s="46">
        <f>IF(+NFL!$F97="Houston",+NFL!#REF!,IF(+NFL!$H97="Houston",+NFL!#REF!,0))</f>
        <v>0</v>
      </c>
      <c r="AX236" s="64">
        <f>IF(+NFL!$F97="Houston",+NFL!#REF!,IF(+NFL!$H97="Houston",+NFL!#REF!,0))</f>
        <v>0</v>
      </c>
      <c r="AY236" s="57">
        <f>IF(+NFL!$F97="Houston",+NFL!#REF!,IF(+NFL!$H97="Houston",+NFL!#REF!,0))</f>
        <v>0</v>
      </c>
      <c r="AZ236" s="64">
        <f>IF(+NFL!$F97="Houston",+NFL!#REF!,IF(+NFL!$H97="Houston",+NFL!#REF!,0))</f>
        <v>0</v>
      </c>
      <c r="BA236" s="46">
        <f>IF(+NFL!$F97="Houston",+NFL!#REF!,IF(+NFL!$H97="Houston",+NFL!#REF!,0))</f>
        <v>0</v>
      </c>
      <c r="BB236" s="46">
        <f>IF(+NFL!$F97="Houston",+NFL!#REF!,IF(+NFL!$H97="Houston",+NFL!#REF!,0))</f>
        <v>0</v>
      </c>
      <c r="BC236" s="403">
        <f>IF(+NFL!$F97="Houston",+NFL!#REF!,IF(+NFL!$H97="Houston",+NFL!#REF!,0))</f>
        <v>0</v>
      </c>
      <c r="BD236" s="57">
        <f>IF(+NFL!$F97="Houston",+NFL!#REF!,IF(+NFL!$H97="Houston",+NFL!#REF!,0))</f>
        <v>0</v>
      </c>
      <c r="BE236" s="64">
        <f>IF(+NFL!$F97="Houston",+NFL!#REF!,IF(+NFL!$H97="Houston",+NFL!#REF!,0))</f>
        <v>0</v>
      </c>
      <c r="BF236" s="46">
        <f>IF(+NFL!$F97="Houston",+NFL!#REF!,IF(+NFL!$H97="Houston",+NFL!#REF!,0))</f>
        <v>0</v>
      </c>
      <c r="BG236" s="57">
        <f>IF(+NFL!$F97="Houston",+NFL!#REF!,IF(+NFL!$H97="Houston",+NFL!#REF!,0))</f>
        <v>0</v>
      </c>
      <c r="BH236" s="64">
        <f>IF(+NFL!$F97="Houston",+NFL!#REF!,IF(+NFL!$H97="Houston",+NFL!#REF!,0))</f>
        <v>0</v>
      </c>
      <c r="BI236" s="46">
        <f>IF(+NFL!$F97="Houston",+NFL!#REF!,IF(+NFL!$H97="Houston",+NFL!#REF!,0))</f>
        <v>0</v>
      </c>
      <c r="BJ236" s="87">
        <f>IF(+NFL!$F97="Houston",+NFL!#REF!,IF(+NFL!$H97="Houston",+NFL!#REF!,0))</f>
        <v>0</v>
      </c>
      <c r="BK236" s="120">
        <f>IF(+NFL!$F97="Houston",+NFL!#REF!,IF(+NFL!$H97="Houston",+NFL!#REF!,0))</f>
        <v>0</v>
      </c>
    </row>
    <row r="237" spans="1:63" x14ac:dyDescent="0.8">
      <c r="A237" s="46">
        <f>IF(+NFL!$F138="Houston",+NFL!A138,IF(+NFL!$H138="Houston",+NFL!A138,0))</f>
        <v>8</v>
      </c>
      <c r="B237" s="46" t="str">
        <f>IF(+NFL!$F138="Houston",+NFL!B138,IF(+NFL!$H138="Houston",+NFL!B138,0))</f>
        <v>Sun</v>
      </c>
      <c r="C237" s="48">
        <f>IF(+NFL!$F138="Houston",+NFL!C138,IF(+NFL!$H138="Houston",+NFL!C138,0))</f>
        <v>44864</v>
      </c>
      <c r="D237" s="490">
        <f>IF(+NFL!$F138="Houston",+NFL!D138,IF(+NFL!$H138="Houston",+NFL!D138,0))</f>
        <v>0.66666666666666663</v>
      </c>
      <c r="E237" s="46" t="str">
        <f>IF(+NFL!$F138="Houston",+NFL!E138,IF(+NFL!$H138="Houston",+NFL!E138,0))</f>
        <v>CBS</v>
      </c>
      <c r="F237" s="114" t="str">
        <f>IF(+NFL!$F138="Houston",+NFL!F138,IF(+NFL!$H138="Houston",+NFL!F138,0))</f>
        <v>Tennessee</v>
      </c>
      <c r="G237" s="46" t="str">
        <f>IF(+NFL!$F138="Houston",+NFL!G138,IF(+NFL!$H138="Houston",+NFL!G138,0))</f>
        <v>AFCS</v>
      </c>
      <c r="H237" s="114" t="str">
        <f>IF(+NFL!$F138="Houston",+NFL!H138,IF(+NFL!$H138="Houston",+NFL!H138,0))</f>
        <v>Houston</v>
      </c>
      <c r="I237" s="491" t="str">
        <f>IF(+NFL!$F138="Houston",+NFL!I138,IF(+NFL!$H138="Houston",+NFL!I138,0))</f>
        <v>AFCS</v>
      </c>
      <c r="J237" s="353" t="str">
        <f>IF(+NFL!$F138="Houston",+NFL!J138,IF(+NFL!$H138="Houston",+NFL!J138,0))</f>
        <v>Tennessee</v>
      </c>
      <c r="K237" s="494" t="str">
        <f>IF(+NFL!$F138="Houston",+NFL!K138,IF(+NFL!$H138="Houston",+NFL!K138,0))</f>
        <v>Houston</v>
      </c>
      <c r="L237" s="362">
        <f>IF(+NFL!$F138="Houston",+NFL!L138,IF(+NFL!$H138="Houston",+NFL!L138,0))</f>
        <v>2</v>
      </c>
      <c r="M237" s="386">
        <f>IF(+NFL!$F138="Houston",+NFL!M138,IF(+NFL!$H138="Houston",+NFL!M138,0))</f>
        <v>40.5</v>
      </c>
      <c r="N237" s="394" t="str">
        <f>IF(+NFL!$F138="Houston",+NFL!N138,IF(+NFL!$H138="Houston",+NFL!N138,0))</f>
        <v>Tennessee</v>
      </c>
      <c r="O237" s="395">
        <f>IF(+NFL!$F138="Houston",+NFL!O138,IF(+NFL!$H138="Houston",+NFL!O138,0))</f>
        <v>17</v>
      </c>
      <c r="P237" s="394" t="str">
        <f>IF(+NFL!$F138="Houston",+NFL!P138,IF(+NFL!$H138="Houston",+NFL!P138,0))</f>
        <v>Houston</v>
      </c>
      <c r="Q237" s="396">
        <f>IF(+NFL!$F138="Houston",+NFL!Q138,IF(+NFL!$H138="Houston",+NFL!Q138,0))</f>
        <v>10</v>
      </c>
      <c r="R237" s="397" t="str">
        <f>IF(+NFL!$F138="Houston",+NFL!R138,IF(+NFL!$H138="Houston",+NFL!R138,0))</f>
        <v>Tennessee</v>
      </c>
      <c r="S237" s="399" t="str">
        <f>IF(+NFL!$F138="Houston",+NFL!S138,IF(+NFL!$H138="Houston",+NFL!S138,0))</f>
        <v>Houston</v>
      </c>
      <c r="T237" s="397" t="str">
        <f>IF(+NFL!$F138="Houston",+NFL!T138,IF(+NFL!$H138="Houston",+NFL!T138,0))</f>
        <v>Tennessee</v>
      </c>
      <c r="U237" s="400" t="str">
        <f>IF(+NFL!$F138="Houston",+NFL!U138,IF(+NFL!$H138="Houston",+NFL!U138,0))</f>
        <v>W</v>
      </c>
      <c r="V237" s="397">
        <f>IF(+NFL!$F111="Houston",+NFL!#REF!,IF(+NFL!$H111="Houston",+NFL!#REF!,0))</f>
        <v>0</v>
      </c>
      <c r="W237" s="396">
        <f>IF(+NFL!$F111="Houston",+NFL!#REF!,IF(+NFL!$H111="Houston",+NFL!#REF!,0))</f>
        <v>0</v>
      </c>
      <c r="X237" s="398">
        <f>IF(+NFL!$F111="Houston",+NFL!#REF!,IF(+NFL!$H111="Houston",+NFL!#REF!,0))</f>
        <v>0</v>
      </c>
      <c r="Y237" s="396">
        <f>IF(+NFL!$F111="Houston",+NFL!#REF!,IF(+NFL!$H111="Houston",+NFL!#REF!,0))</f>
        <v>0</v>
      </c>
      <c r="Z237" s="397">
        <f>IF(+NFL!$F111="Houston",+NFL!#REF!,IF(+NFL!$H111="Houston",+NFL!#REF!,0))</f>
        <v>0</v>
      </c>
      <c r="AA237" s="400">
        <f>IF(+NFL!$F111="Houston",+NFL!#REF!,IF(+NFL!$H111="Houston",+NFL!#REF!,0))</f>
        <v>0</v>
      </c>
      <c r="AB237" s="87">
        <f>IF(+NFL!$F111="Houston",+NFL!#REF!,IF(+NFL!$H111="Houston",+NFL!#REF!,0))</f>
        <v>0</v>
      </c>
      <c r="AC237" s="120">
        <f>IF(+NFL!$F111="Houston",+NFL!#REF!,IF(+NFL!$H111="Houston",+NFL!#REF!,0))</f>
        <v>0</v>
      </c>
      <c r="AD237" s="353">
        <f>IF(+NFL!$F111="Houston",+NFL!#REF!,IF(+NFL!$H111="Houston",+NFL!#REF!,0))</f>
        <v>0</v>
      </c>
      <c r="AE237" s="379">
        <f>IF(+NFL!$F111="Houston",+NFL!#REF!,IF(+NFL!$H111="Houston",+NFL!#REF!,0))</f>
        <v>0</v>
      </c>
      <c r="AF237" s="353">
        <f>IF(+NFL!$F111="Houston",+NFL!#REF!,IF(+NFL!$H111="Houston",+NFL!#REF!,0))</f>
        <v>0</v>
      </c>
      <c r="AG237" s="388">
        <f>IF(+NFL!$F111="Houston",+NFL!#REF!,IF(+NFL!$H111="Houston",+NFL!#REF!,0))</f>
        <v>0</v>
      </c>
      <c r="AH237" s="353">
        <f>IF(+NFL!$F111="Houston",+NFL!#REF!,IF(+NFL!$H111="Houston",+NFL!#REF!,0))</f>
        <v>0</v>
      </c>
      <c r="AI237" s="388">
        <f>IF(+NFL!$F111="Houston",+NFL!#REF!,IF(+NFL!$H111="Houston",+NFL!#REF!,0))</f>
        <v>0</v>
      </c>
      <c r="AJ237" s="353">
        <f>IF(+NFL!$F111="Houston",+NFL!#REF!,IF(+NFL!$H111="Houston",+NFL!#REF!,0))</f>
        <v>0</v>
      </c>
      <c r="AK237" s="379">
        <f>IF(+NFL!$F111="Houston",+NFL!#REF!,IF(+NFL!$H111="Houston",+NFL!#REF!,0))</f>
        <v>0</v>
      </c>
      <c r="AL237" s="57">
        <f>IF(+NFL!$F111="Houston",+NFL!#REF!,IF(+NFL!$H111="Houston",+NFL!#REF!,0))</f>
        <v>0</v>
      </c>
      <c r="AM237" s="64">
        <f>IF(+NFL!$F111="Houston",+NFL!#REF!,IF(+NFL!$H111="Houston",+NFL!#REF!,0))</f>
        <v>0</v>
      </c>
      <c r="AN237" s="57">
        <f>IF(+NFL!$F111="Houston",+NFL!#REF!,IF(+NFL!$H111="Houston",+NFL!#REF!,0))</f>
        <v>0</v>
      </c>
      <c r="AO237" s="46">
        <f>IF(+NFL!$F111="Houston",+NFL!#REF!,IF(+NFL!$H111="Houston",+NFL!#REF!,0))</f>
        <v>0</v>
      </c>
      <c r="AP237" s="348">
        <f>IF(+NFL!$F111="Houston",+NFL!#REF!,IF(+NFL!$H111="Houston",+NFL!#REF!,0))</f>
        <v>0</v>
      </c>
      <c r="AQ237" s="48">
        <f>IF(+NFL!$F111="Houston",+NFL!#REF!,IF(+NFL!$H111="Houston",+NFL!#REF!,0))</f>
        <v>0</v>
      </c>
      <c r="AR237" s="57">
        <f>IF(+NFL!$F111="Houston",+NFL!#REF!,IF(+NFL!$H111="Houston",+NFL!#REF!,0))</f>
        <v>0</v>
      </c>
      <c r="AS237" s="64">
        <f>IF(+NFL!$F111="Houston",+NFL!#REF!,IF(+NFL!$H111="Houston",+NFL!#REF!,0))</f>
        <v>0</v>
      </c>
      <c r="AT237" s="64">
        <f>IF(+NFL!$F111="Houston",+NFL!#REF!,IF(+NFL!$H111="Houston",+NFL!#REF!,0))</f>
        <v>0</v>
      </c>
      <c r="AU237" s="57">
        <f>IF(+NFL!$F111="Houston",+NFL!#REF!,IF(+NFL!$H111="Houston",+NFL!#REF!,0))</f>
        <v>0</v>
      </c>
      <c r="AV237" s="64">
        <f>IF(+NFL!$F111="Houston",+NFL!#REF!,IF(+NFL!$H111="Houston",+NFL!#REF!,0))</f>
        <v>0</v>
      </c>
      <c r="AW237" s="46">
        <f>IF(+NFL!$F111="Houston",+NFL!#REF!,IF(+NFL!$H111="Houston",+NFL!#REF!,0))</f>
        <v>0</v>
      </c>
      <c r="AX237" s="64">
        <f>IF(+NFL!$F111="Houston",+NFL!#REF!,IF(+NFL!$H111="Houston",+NFL!#REF!,0))</f>
        <v>0</v>
      </c>
      <c r="AY237" s="57">
        <f>IF(+NFL!$F111="Houston",+NFL!#REF!,IF(+NFL!$H111="Houston",+NFL!#REF!,0))</f>
        <v>0</v>
      </c>
      <c r="AZ237" s="64">
        <f>IF(+NFL!$F111="Houston",+NFL!#REF!,IF(+NFL!$H111="Houston",+NFL!#REF!,0))</f>
        <v>0</v>
      </c>
      <c r="BA237" s="46">
        <f>IF(+NFL!$F111="Houston",+NFL!#REF!,IF(+NFL!$H111="Houston",+NFL!#REF!,0))</f>
        <v>0</v>
      </c>
      <c r="BB237" s="46">
        <f>IF(+NFL!$F111="Houston",+NFL!#REF!,IF(+NFL!$H111="Houston",+NFL!#REF!,0))</f>
        <v>0</v>
      </c>
      <c r="BC237" s="403">
        <f>IF(+NFL!$F111="Houston",+NFL!#REF!,IF(+NFL!$H111="Houston",+NFL!#REF!,0))</f>
        <v>0</v>
      </c>
      <c r="BD237" s="57">
        <f>IF(+NFL!$F111="Houston",+NFL!#REF!,IF(+NFL!$H111="Houston",+NFL!#REF!,0))</f>
        <v>0</v>
      </c>
      <c r="BE237" s="64">
        <f>IF(+NFL!$F111="Houston",+NFL!#REF!,IF(+NFL!$H111="Houston",+NFL!#REF!,0))</f>
        <v>0</v>
      </c>
      <c r="BF237" s="46">
        <f>IF(+NFL!$F111="Houston",+NFL!#REF!,IF(+NFL!$H111="Houston",+NFL!#REF!,0))</f>
        <v>0</v>
      </c>
      <c r="BG237" s="57">
        <f>IF(+NFL!$F111="Houston",+NFL!#REF!,IF(+NFL!$H111="Houston",+NFL!#REF!,0))</f>
        <v>0</v>
      </c>
      <c r="BH237" s="64">
        <f>IF(+NFL!$F111="Houston",+NFL!#REF!,IF(+NFL!$H111="Houston",+NFL!#REF!,0))</f>
        <v>0</v>
      </c>
      <c r="BI237" s="46">
        <f>IF(+NFL!$F111="Houston",+NFL!#REF!,IF(+NFL!$H111="Houston",+NFL!#REF!,0))</f>
        <v>0</v>
      </c>
      <c r="BJ237" s="87">
        <f>IF(+NFL!$F111="Houston",+NFL!#REF!,IF(+NFL!$H111="Houston",+NFL!#REF!,0))</f>
        <v>0</v>
      </c>
      <c r="BK237" s="120">
        <f>IF(+NFL!$F111="Houston",+NFL!#REF!,IF(+NFL!$H111="Houston",+NFL!#REF!,0))</f>
        <v>0</v>
      </c>
    </row>
    <row r="238" spans="1:63" x14ac:dyDescent="0.8">
      <c r="A238" s="46">
        <f>IF(+NFL!$F148="Houston",+NFL!A148,IF(+NFL!$H148="Houston",+NFL!A148,0))</f>
        <v>9</v>
      </c>
      <c r="B238" s="46" t="str">
        <f>IF(+NFL!$F148="Houston",+NFL!B148,IF(+NFL!$H148="Houston",+NFL!B148,0))</f>
        <v>Thurs</v>
      </c>
      <c r="C238" s="48">
        <f>IF(+NFL!$F148="Houston",+NFL!C148,IF(+NFL!$H148="Houston",+NFL!C148,0))</f>
        <v>44868</v>
      </c>
      <c r="D238" s="490">
        <f>IF(+NFL!$F148="Houston",+NFL!D148,IF(+NFL!$H148="Houston",+NFL!D148,0))</f>
        <v>0.84375</v>
      </c>
      <c r="E238" s="46" t="str">
        <f>IF(+NFL!$F148="Houston",+NFL!E148,IF(+NFL!$H148="Houston",+NFL!E148,0))</f>
        <v>NBC</v>
      </c>
      <c r="F238" s="114" t="str">
        <f>IF(+NFL!$F148="Houston",+NFL!F148,IF(+NFL!$H148="Houston",+NFL!F148,0))</f>
        <v>Philadelphia</v>
      </c>
      <c r="G238" s="46" t="str">
        <f>IF(+NFL!$F148="Houston",+NFL!G148,IF(+NFL!$H148="Houston",+NFL!G148,0))</f>
        <v>NFCE</v>
      </c>
      <c r="H238" s="114" t="str">
        <f>IF(+NFL!$F148="Houston",+NFL!H148,IF(+NFL!$H148="Houston",+NFL!H148,0))</f>
        <v>Houston</v>
      </c>
      <c r="I238" s="491" t="str">
        <f>IF(+NFL!$F148="Houston",+NFL!I148,IF(+NFL!$H148="Houston",+NFL!I148,0))</f>
        <v>AFCS</v>
      </c>
      <c r="J238" s="353" t="str">
        <f>IF(+NFL!$F148="Houston",+NFL!J148,IF(+NFL!$H148="Houston",+NFL!J148,0))</f>
        <v>Philadelphia</v>
      </c>
      <c r="K238" s="494" t="str">
        <f>IF(+NFL!$F148="Houston",+NFL!K148,IF(+NFL!$H148="Houston",+NFL!K148,0))</f>
        <v>Houston</v>
      </c>
      <c r="L238" s="362">
        <f>IF(+NFL!$F148="Houston",+NFL!L148,IF(+NFL!$H148="Houston",+NFL!L148,0))</f>
        <v>14</v>
      </c>
      <c r="M238" s="386">
        <f>IF(+NFL!$F148="Houston",+NFL!M148,IF(+NFL!$H148="Houston",+NFL!M148,0))</f>
        <v>45</v>
      </c>
      <c r="N238" s="394" t="str">
        <f>IF(+NFL!$F148="Houston",+NFL!N148,IF(+NFL!$H148="Houston",+NFL!N148,0))</f>
        <v>Philadelphia</v>
      </c>
      <c r="O238" s="395">
        <f>IF(+NFL!$F148="Houston",+NFL!O148,IF(+NFL!$H148="Houston",+NFL!O148,0))</f>
        <v>29</v>
      </c>
      <c r="P238" s="394" t="str">
        <f>IF(+NFL!$F148="Houston",+NFL!P148,IF(+NFL!$H148="Houston",+NFL!P148,0))</f>
        <v>Houston</v>
      </c>
      <c r="Q238" s="396">
        <f>IF(+NFL!$F148="Houston",+NFL!Q148,IF(+NFL!$H148="Houston",+NFL!Q148,0))</f>
        <v>17</v>
      </c>
      <c r="R238" s="397" t="str">
        <f>IF(+NFL!$F148="Houston",+NFL!R148,IF(+NFL!$H148="Houston",+NFL!R148,0))</f>
        <v>Houston</v>
      </c>
      <c r="S238" s="399" t="str">
        <f>IF(+NFL!$F148="Houston",+NFL!S148,IF(+NFL!$H148="Houston",+NFL!S148,0))</f>
        <v>Philadelphia</v>
      </c>
      <c r="T238" s="397" t="str">
        <f>IF(+NFL!$F148="Houston",+NFL!T148,IF(+NFL!$H148="Houston",+NFL!T148,0))</f>
        <v>Philadelphia</v>
      </c>
      <c r="U238" s="400" t="str">
        <f>IF(+NFL!$F148="Houston",+NFL!U148,IF(+NFL!$H148="Houston",+NFL!U148,0))</f>
        <v>L</v>
      </c>
      <c r="V238" s="397">
        <f>IF(+NFL!$F134="Houston",+NFL!#REF!,IF(+NFL!$H134="Houston",+NFL!#REF!,0))</f>
        <v>0</v>
      </c>
      <c r="W238" s="396">
        <f>IF(+NFL!$F134="Houston",+NFL!#REF!,IF(+NFL!$H134="Houston",+NFL!#REF!,0))</f>
        <v>0</v>
      </c>
      <c r="X238" s="398">
        <f>IF(+NFL!$F134="Houston",+NFL!#REF!,IF(+NFL!$H134="Houston",+NFL!#REF!,0))</f>
        <v>0</v>
      </c>
      <c r="Y238" s="396">
        <f>IF(+NFL!$F134="Houston",+NFL!#REF!,IF(+NFL!$H134="Houston",+NFL!#REF!,0))</f>
        <v>0</v>
      </c>
      <c r="Z238" s="397">
        <f>IF(+NFL!$F134="Houston",+NFL!#REF!,IF(+NFL!$H134="Houston",+NFL!#REF!,0))</f>
        <v>0</v>
      </c>
      <c r="AA238" s="400">
        <f>IF(+NFL!$F134="Houston",+NFL!#REF!,IF(+NFL!$H134="Houston",+NFL!#REF!,0))</f>
        <v>0</v>
      </c>
      <c r="AB238" s="87">
        <f>IF(+NFL!$F134="Houston",+NFL!#REF!,IF(+NFL!$H134="Houston",+NFL!#REF!,0))</f>
        <v>0</v>
      </c>
      <c r="AC238" s="120">
        <f>IF(+NFL!$F134="Houston",+NFL!#REF!,IF(+NFL!$H134="Houston",+NFL!#REF!,0))</f>
        <v>0</v>
      </c>
      <c r="AD238" s="353">
        <f>IF(+NFL!$F134="Houston",+NFL!#REF!,IF(+NFL!$H134="Houston",+NFL!#REF!,0))</f>
        <v>0</v>
      </c>
      <c r="AE238" s="379">
        <f>IF(+NFL!$F134="Houston",+NFL!#REF!,IF(+NFL!$H134="Houston",+NFL!#REF!,0))</f>
        <v>0</v>
      </c>
      <c r="AF238" s="353">
        <f>IF(+NFL!$F134="Houston",+NFL!#REF!,IF(+NFL!$H134="Houston",+NFL!#REF!,0))</f>
        <v>0</v>
      </c>
      <c r="AG238" s="388">
        <f>IF(+NFL!$F134="Houston",+NFL!#REF!,IF(+NFL!$H134="Houston",+NFL!#REF!,0))</f>
        <v>0</v>
      </c>
      <c r="AH238" s="353">
        <f>IF(+NFL!$F134="Houston",+NFL!#REF!,IF(+NFL!$H134="Houston",+NFL!#REF!,0))</f>
        <v>0</v>
      </c>
      <c r="AI238" s="388">
        <f>IF(+NFL!$F134="Houston",+NFL!#REF!,IF(+NFL!$H134="Houston",+NFL!#REF!,0))</f>
        <v>0</v>
      </c>
      <c r="AJ238" s="353">
        <f>IF(+NFL!$F134="Houston",+NFL!#REF!,IF(+NFL!$H134="Houston",+NFL!#REF!,0))</f>
        <v>0</v>
      </c>
      <c r="AK238" s="379">
        <f>IF(+NFL!$F134="Houston",+NFL!#REF!,IF(+NFL!$H134="Houston",+NFL!#REF!,0))</f>
        <v>0</v>
      </c>
      <c r="AL238" s="57">
        <f>IF(+NFL!$F134="Houston",+NFL!#REF!,IF(+NFL!$H134="Houston",+NFL!#REF!,0))</f>
        <v>0</v>
      </c>
      <c r="AM238" s="64">
        <f>IF(+NFL!$F134="Houston",+NFL!#REF!,IF(+NFL!$H134="Houston",+NFL!#REF!,0))</f>
        <v>0</v>
      </c>
      <c r="AN238" s="57">
        <f>IF(+NFL!$F134="Houston",+NFL!#REF!,IF(+NFL!$H134="Houston",+NFL!#REF!,0))</f>
        <v>0</v>
      </c>
      <c r="AO238" s="46">
        <f>IF(+NFL!$F134="Houston",+NFL!#REF!,IF(+NFL!$H134="Houston",+NFL!#REF!,0))</f>
        <v>0</v>
      </c>
      <c r="AP238" s="348">
        <f>IF(+NFL!$F134="Houston",+NFL!#REF!,IF(+NFL!$H134="Houston",+NFL!#REF!,0))</f>
        <v>0</v>
      </c>
      <c r="AQ238" s="48">
        <f>IF(+NFL!$F134="Houston",+NFL!#REF!,IF(+NFL!$H134="Houston",+NFL!#REF!,0))</f>
        <v>0</v>
      </c>
      <c r="AR238" s="57">
        <f>IF(+NFL!$F134="Houston",+NFL!#REF!,IF(+NFL!$H134="Houston",+NFL!#REF!,0))</f>
        <v>0</v>
      </c>
      <c r="AS238" s="64">
        <f>IF(+NFL!$F134="Houston",+NFL!#REF!,IF(+NFL!$H134="Houston",+NFL!#REF!,0))</f>
        <v>0</v>
      </c>
      <c r="AT238" s="64">
        <f>IF(+NFL!$F134="Houston",+NFL!#REF!,IF(+NFL!$H134="Houston",+NFL!#REF!,0))</f>
        <v>0</v>
      </c>
      <c r="AU238" s="57">
        <f>IF(+NFL!$F134="Houston",+NFL!#REF!,IF(+NFL!$H134="Houston",+NFL!#REF!,0))</f>
        <v>0</v>
      </c>
      <c r="AV238" s="64">
        <f>IF(+NFL!$F134="Houston",+NFL!#REF!,IF(+NFL!$H134="Houston",+NFL!#REF!,0))</f>
        <v>0</v>
      </c>
      <c r="AW238" s="46">
        <f>IF(+NFL!$F134="Houston",+NFL!#REF!,IF(+NFL!$H134="Houston",+NFL!#REF!,0))</f>
        <v>0</v>
      </c>
      <c r="AX238" s="64">
        <f>IF(+NFL!$F134="Houston",+NFL!#REF!,IF(+NFL!$H134="Houston",+NFL!#REF!,0))</f>
        <v>0</v>
      </c>
      <c r="AY238" s="57">
        <f>IF(+NFL!$F134="Houston",+NFL!#REF!,IF(+NFL!$H134="Houston",+NFL!#REF!,0))</f>
        <v>0</v>
      </c>
      <c r="AZ238" s="64">
        <f>IF(+NFL!$F134="Houston",+NFL!#REF!,IF(+NFL!$H134="Houston",+NFL!#REF!,0))</f>
        <v>0</v>
      </c>
      <c r="BA238" s="46">
        <f>IF(+NFL!$F134="Houston",+NFL!#REF!,IF(+NFL!$H134="Houston",+NFL!#REF!,0))</f>
        <v>0</v>
      </c>
      <c r="BB238" s="46">
        <f>IF(+NFL!$F134="Houston",+NFL!#REF!,IF(+NFL!$H134="Houston",+NFL!#REF!,0))</f>
        <v>0</v>
      </c>
      <c r="BC238" s="403">
        <f>IF(+NFL!$F134="Houston",+NFL!#REF!,IF(+NFL!$H134="Houston",+NFL!#REF!,0))</f>
        <v>0</v>
      </c>
      <c r="BD238" s="57">
        <f>IF(+NFL!$F134="Houston",+NFL!#REF!,IF(+NFL!$H134="Houston",+NFL!#REF!,0))</f>
        <v>0</v>
      </c>
      <c r="BE238" s="64">
        <f>IF(+NFL!$F134="Houston",+NFL!#REF!,IF(+NFL!$H134="Houston",+NFL!#REF!,0))</f>
        <v>0</v>
      </c>
      <c r="BF238" s="46">
        <f>IF(+NFL!$F134="Houston",+NFL!#REF!,IF(+NFL!$H134="Houston",+NFL!#REF!,0))</f>
        <v>0</v>
      </c>
      <c r="BG238" s="57">
        <f>IF(+NFL!$F134="Houston",+NFL!#REF!,IF(+NFL!$H134="Houston",+NFL!#REF!,0))</f>
        <v>0</v>
      </c>
      <c r="BH238" s="64">
        <f>IF(+NFL!$F134="Houston",+NFL!#REF!,IF(+NFL!$H134="Houston",+NFL!#REF!,0))</f>
        <v>0</v>
      </c>
      <c r="BI238" s="46">
        <f>IF(+NFL!$F134="Houston",+NFL!#REF!,IF(+NFL!$H134="Houston",+NFL!#REF!,0))</f>
        <v>0</v>
      </c>
      <c r="BJ238" s="87">
        <f>IF(+NFL!$F134="Houston",+NFL!#REF!,IF(+NFL!$H134="Houston",+NFL!#REF!,0))</f>
        <v>0</v>
      </c>
      <c r="BK238" s="120">
        <f>IF(+NFL!$F134="Houston",+NFL!#REF!,IF(+NFL!$H134="Houston",+NFL!#REF!,0))</f>
        <v>0</v>
      </c>
    </row>
    <row r="239" spans="1:63" x14ac:dyDescent="0.8">
      <c r="A239" s="46">
        <f>IF(+NFL!$F176="Houston",+NFL!A176,IF(+NFL!$H176="Houston",+NFL!A176,0))</f>
        <v>10</v>
      </c>
      <c r="B239" s="46" t="str">
        <f>IF(+NFL!$F176="Houston",+NFL!B176,IF(+NFL!$H176="Houston",+NFL!B176,0))</f>
        <v>Sun</v>
      </c>
      <c r="C239" s="48">
        <f>IF(+NFL!$F176="Houston",+NFL!C176,IF(+NFL!$H176="Houston",+NFL!C176,0))</f>
        <v>44878</v>
      </c>
      <c r="D239" s="490">
        <f>IF(+NFL!$F176="Houston",+NFL!D176,IF(+NFL!$H176="Houston",+NFL!D176,0))</f>
        <v>0.54166666666666663</v>
      </c>
      <c r="E239" s="46" t="str">
        <f>IF(+NFL!$F176="Houston",+NFL!E176,IF(+NFL!$H176="Houston",+NFL!E176,0))</f>
        <v>CBS</v>
      </c>
      <c r="F239" s="114" t="str">
        <f>IF(+NFL!$F176="Houston",+NFL!F176,IF(+NFL!$H176="Houston",+NFL!F176,0))</f>
        <v>Houston</v>
      </c>
      <c r="G239" s="46" t="str">
        <f>IF(+NFL!$F176="Houston",+NFL!G176,IF(+NFL!$H176="Houston",+NFL!G176,0))</f>
        <v>AFCS</v>
      </c>
      <c r="H239" s="114" t="str">
        <f>IF(+NFL!$F176="Houston",+NFL!H176,IF(+NFL!$H176="Houston",+NFL!H176,0))</f>
        <v>NY Giants</v>
      </c>
      <c r="I239" s="491" t="str">
        <f>IF(+NFL!$F176="Houston",+NFL!I176,IF(+NFL!$H176="Houston",+NFL!I176,0))</f>
        <v>NFCE</v>
      </c>
      <c r="J239" s="353" t="str">
        <f>IF(+NFL!$F176="Houston",+NFL!J176,IF(+NFL!$H176="Houston",+NFL!J176,0))</f>
        <v>NY Giants</v>
      </c>
      <c r="K239" s="494" t="str">
        <f>IF(+NFL!$F176="Houston",+NFL!K176,IF(+NFL!$H176="Houston",+NFL!K176,0))</f>
        <v>Houston</v>
      </c>
      <c r="L239" s="362">
        <f>IF(+NFL!$F176="Houston",+NFL!L176,IF(+NFL!$H176="Houston",+NFL!L176,0))</f>
        <v>6.5</v>
      </c>
      <c r="M239" s="386">
        <f>IF(+NFL!$F176="Houston",+NFL!M176,IF(+NFL!$H176="Houston",+NFL!M176,0))</f>
        <v>41</v>
      </c>
      <c r="N239" s="394" t="str">
        <f>IF(+NFL!$F176="Houston",+NFL!N176,IF(+NFL!$H176="Houston",+NFL!N176,0))</f>
        <v>NY Giants</v>
      </c>
      <c r="O239" s="395">
        <f>IF(+NFL!$F176="Houston",+NFL!O176,IF(+NFL!$H176="Houston",+NFL!O176,0))</f>
        <v>24</v>
      </c>
      <c r="P239" s="394" t="str">
        <f>IF(+NFL!$F176="Houston",+NFL!P176,IF(+NFL!$H176="Houston",+NFL!P176,0))</f>
        <v>Houston</v>
      </c>
      <c r="Q239" s="396">
        <f>IF(+NFL!$F176="Houston",+NFL!Q176,IF(+NFL!$H176="Houston",+NFL!Q176,0))</f>
        <v>16</v>
      </c>
      <c r="R239" s="397" t="str">
        <f>IF(+NFL!$F176="Houston",+NFL!R176,IF(+NFL!$H176="Houston",+NFL!R176,0))</f>
        <v>NY Giants</v>
      </c>
      <c r="S239" s="399" t="str">
        <f>IF(+NFL!$F176="Houston",+NFL!S176,IF(+NFL!$H176="Houston",+NFL!S176,0))</f>
        <v>Houston</v>
      </c>
      <c r="T239" s="397" t="str">
        <f>IF(+NFL!$F176="Houston",+NFL!T176,IF(+NFL!$H176="Houston",+NFL!T176,0))</f>
        <v>NY Giants</v>
      </c>
      <c r="U239" s="400" t="str">
        <f>IF(+NFL!$F176="Houston",+NFL!U176,IF(+NFL!$H176="Houston",+NFL!U176,0))</f>
        <v>W</v>
      </c>
      <c r="V239" s="397">
        <f>IF(+NFL!$F159="Houston",+NFL!#REF!,IF(+NFL!$H159="Houston",+NFL!#REF!,0))</f>
        <v>0</v>
      </c>
      <c r="W239" s="396">
        <f>IF(+NFL!$F159="Houston",+NFL!#REF!,IF(+NFL!$H159="Houston",+NFL!#REF!,0))</f>
        <v>0</v>
      </c>
      <c r="X239" s="398">
        <f>IF(+NFL!$F159="Houston",+NFL!#REF!,IF(+NFL!$H159="Houston",+NFL!#REF!,0))</f>
        <v>0</v>
      </c>
      <c r="Y239" s="396">
        <f>IF(+NFL!$F159="Houston",+NFL!#REF!,IF(+NFL!$H159="Houston",+NFL!#REF!,0))</f>
        <v>0</v>
      </c>
      <c r="Z239" s="397">
        <f>IF(+NFL!$F159="Houston",+NFL!#REF!,IF(+NFL!$H159="Houston",+NFL!#REF!,0))</f>
        <v>0</v>
      </c>
      <c r="AA239" s="400">
        <f>IF(+NFL!$F159="Houston",+NFL!#REF!,IF(+NFL!$H159="Houston",+NFL!#REF!,0))</f>
        <v>0</v>
      </c>
      <c r="AB239" s="87">
        <f>IF(+NFL!$F159="Houston",+NFL!#REF!,IF(+NFL!$H159="Houston",+NFL!#REF!,0))</f>
        <v>0</v>
      </c>
      <c r="AC239" s="120">
        <f>IF(+NFL!$F159="Houston",+NFL!#REF!,IF(+NFL!$H159="Houston",+NFL!#REF!,0))</f>
        <v>0</v>
      </c>
      <c r="AD239" s="353">
        <f>IF(+NFL!$F159="Houston",+NFL!#REF!,IF(+NFL!$H159="Houston",+NFL!#REF!,0))</f>
        <v>0</v>
      </c>
      <c r="AE239" s="379">
        <f>IF(+NFL!$F159="Houston",+NFL!#REF!,IF(+NFL!$H159="Houston",+NFL!#REF!,0))</f>
        <v>0</v>
      </c>
      <c r="AF239" s="353">
        <f>IF(+NFL!$F159="Houston",+NFL!#REF!,IF(+NFL!$H159="Houston",+NFL!#REF!,0))</f>
        <v>0</v>
      </c>
      <c r="AG239" s="388">
        <f>IF(+NFL!$F159="Houston",+NFL!#REF!,IF(+NFL!$H159="Houston",+NFL!#REF!,0))</f>
        <v>0</v>
      </c>
      <c r="AH239" s="353">
        <f>IF(+NFL!$F159="Houston",+NFL!#REF!,IF(+NFL!$H159="Houston",+NFL!#REF!,0))</f>
        <v>0</v>
      </c>
      <c r="AI239" s="388">
        <f>IF(+NFL!$F159="Houston",+NFL!#REF!,IF(+NFL!$H159="Houston",+NFL!#REF!,0))</f>
        <v>0</v>
      </c>
      <c r="AJ239" s="353">
        <f>IF(+NFL!$F159="Houston",+NFL!#REF!,IF(+NFL!$H159="Houston",+NFL!#REF!,0))</f>
        <v>0</v>
      </c>
      <c r="AK239" s="379">
        <f>IF(+NFL!$F159="Houston",+NFL!#REF!,IF(+NFL!$H159="Houston",+NFL!#REF!,0))</f>
        <v>0</v>
      </c>
      <c r="AL239" s="57">
        <f>IF(+NFL!$F159="Houston",+NFL!#REF!,IF(+NFL!$H159="Houston",+NFL!#REF!,0))</f>
        <v>0</v>
      </c>
      <c r="AM239" s="64">
        <f>IF(+NFL!$F159="Houston",+NFL!#REF!,IF(+NFL!$H159="Houston",+NFL!#REF!,0))</f>
        <v>0</v>
      </c>
      <c r="AN239" s="57">
        <f>IF(+NFL!$F159="Houston",+NFL!#REF!,IF(+NFL!$H159="Houston",+NFL!#REF!,0))</f>
        <v>0</v>
      </c>
      <c r="AO239" s="46">
        <f>IF(+NFL!$F159="Houston",+NFL!#REF!,IF(+NFL!$H159="Houston",+NFL!#REF!,0))</f>
        <v>0</v>
      </c>
      <c r="AP239" s="348">
        <f>IF(+NFL!$F159="Houston",+NFL!#REF!,IF(+NFL!$H159="Houston",+NFL!#REF!,0))</f>
        <v>0</v>
      </c>
      <c r="AQ239" s="48">
        <f>IF(+NFL!$F159="Houston",+NFL!#REF!,IF(+NFL!$H159="Houston",+NFL!#REF!,0))</f>
        <v>0</v>
      </c>
      <c r="AR239" s="57">
        <f>IF(+NFL!$F159="Houston",+NFL!#REF!,IF(+NFL!$H159="Houston",+NFL!#REF!,0))</f>
        <v>0</v>
      </c>
      <c r="AS239" s="64">
        <f>IF(+NFL!$F159="Houston",+NFL!#REF!,IF(+NFL!$H159="Houston",+NFL!#REF!,0))</f>
        <v>0</v>
      </c>
      <c r="AT239" s="64">
        <f>IF(+NFL!$F159="Houston",+NFL!#REF!,IF(+NFL!$H159="Houston",+NFL!#REF!,0))</f>
        <v>0</v>
      </c>
      <c r="AU239" s="57">
        <f>IF(+NFL!$F159="Houston",+NFL!#REF!,IF(+NFL!$H159="Houston",+NFL!#REF!,0))</f>
        <v>0</v>
      </c>
      <c r="AV239" s="64">
        <f>IF(+NFL!$F159="Houston",+NFL!#REF!,IF(+NFL!$H159="Houston",+NFL!#REF!,0))</f>
        <v>0</v>
      </c>
      <c r="AW239" s="46">
        <f>IF(+NFL!$F159="Houston",+NFL!#REF!,IF(+NFL!$H159="Houston",+NFL!#REF!,0))</f>
        <v>0</v>
      </c>
      <c r="AX239" s="64">
        <f>IF(+NFL!$F159="Houston",+NFL!#REF!,IF(+NFL!$H159="Houston",+NFL!#REF!,0))</f>
        <v>0</v>
      </c>
      <c r="AY239" s="57">
        <f>IF(+NFL!$F159="Houston",+NFL!#REF!,IF(+NFL!$H159="Houston",+NFL!#REF!,0))</f>
        <v>0</v>
      </c>
      <c r="AZ239" s="64">
        <f>IF(+NFL!$F159="Houston",+NFL!#REF!,IF(+NFL!$H159="Houston",+NFL!#REF!,0))</f>
        <v>0</v>
      </c>
      <c r="BA239" s="46">
        <f>IF(+NFL!$F159="Houston",+NFL!#REF!,IF(+NFL!$H159="Houston",+NFL!#REF!,0))</f>
        <v>0</v>
      </c>
      <c r="BB239" s="46">
        <f>IF(+NFL!$F159="Houston",+NFL!#REF!,IF(+NFL!$H159="Houston",+NFL!#REF!,0))</f>
        <v>0</v>
      </c>
      <c r="BC239" s="403">
        <f>IF(+NFL!$F159="Houston",+NFL!#REF!,IF(+NFL!$H159="Houston",+NFL!#REF!,0))</f>
        <v>0</v>
      </c>
      <c r="BD239" s="57">
        <f>IF(+NFL!$F159="Houston",+NFL!#REF!,IF(+NFL!$H159="Houston",+NFL!#REF!,0))</f>
        <v>0</v>
      </c>
      <c r="BE239" s="64">
        <f>IF(+NFL!$F159="Houston",+NFL!#REF!,IF(+NFL!$H159="Houston",+NFL!#REF!,0))</f>
        <v>0</v>
      </c>
      <c r="BF239" s="46">
        <f>IF(+NFL!$F159="Houston",+NFL!#REF!,IF(+NFL!$H159="Houston",+NFL!#REF!,0))</f>
        <v>0</v>
      </c>
      <c r="BG239" s="57">
        <f>IF(+NFL!$F159="Houston",+NFL!#REF!,IF(+NFL!$H159="Houston",+NFL!#REF!,0))</f>
        <v>0</v>
      </c>
      <c r="BH239" s="64">
        <f>IF(+NFL!$F159="Houston",+NFL!#REF!,IF(+NFL!$H159="Houston",+NFL!#REF!,0))</f>
        <v>0</v>
      </c>
      <c r="BI239" s="46">
        <f>IF(+NFL!$F159="Houston",+NFL!#REF!,IF(+NFL!$H159="Houston",+NFL!#REF!,0))</f>
        <v>0</v>
      </c>
      <c r="BJ239" s="87">
        <f>IF(+NFL!$F159="Houston",+NFL!#REF!,IF(+NFL!$H159="Houston",+NFL!#REF!,0))</f>
        <v>0</v>
      </c>
      <c r="BK239" s="120">
        <f>IF(+NFL!$F159="Houston",+NFL!#REF!,IF(+NFL!$H159="Houston",+NFL!#REF!,0))</f>
        <v>0</v>
      </c>
    </row>
    <row r="240" spans="1:63" x14ac:dyDescent="0.8">
      <c r="A240" s="46">
        <f>IF(+NFL!$F197="Houston",+NFL!A197,IF(+NFL!$H197="Houston",+NFL!A197,0))</f>
        <v>11</v>
      </c>
      <c r="B240" s="46" t="str">
        <f>IF(+NFL!$F197="Houston",+NFL!B197,IF(+NFL!$H197="Houston",+NFL!B197,0))</f>
        <v>Sun</v>
      </c>
      <c r="C240" s="48">
        <f>IF(+NFL!$F197="Houston",+NFL!C197,IF(+NFL!$H197="Houston",+NFL!C197,0))</f>
        <v>44885</v>
      </c>
      <c r="D240" s="490">
        <f>IF(+NFL!$F197="Houston",+NFL!D197,IF(+NFL!$H197="Houston",+NFL!D197,0))</f>
        <v>0.54166666666666663</v>
      </c>
      <c r="E240" s="46" t="str">
        <f>IF(+NFL!$F197="Houston",+NFL!E197,IF(+NFL!$H197="Houston",+NFL!E197,0))</f>
        <v>Fox</v>
      </c>
      <c r="F240" s="114" t="str">
        <f>IF(+NFL!$F197="Houston",+NFL!F197,IF(+NFL!$H197="Houston",+NFL!F197,0))</f>
        <v>Washington</v>
      </c>
      <c r="G240" s="46" t="str">
        <f>IF(+NFL!$F197="Houston",+NFL!G197,IF(+NFL!$H197="Houston",+NFL!G197,0))</f>
        <v>NFCE</v>
      </c>
      <c r="H240" s="114" t="str">
        <f>IF(+NFL!$F197="Houston",+NFL!H197,IF(+NFL!$H197="Houston",+NFL!H197,0))</f>
        <v>Houston</v>
      </c>
      <c r="I240" s="491" t="str">
        <f>IF(+NFL!$F197="Houston",+NFL!I197,IF(+NFL!$H197="Houston",+NFL!I197,0))</f>
        <v>AFCS</v>
      </c>
      <c r="J240" s="353" t="str">
        <f>IF(+NFL!$F197="Houston",+NFL!J197,IF(+NFL!$H197="Houston",+NFL!J197,0))</f>
        <v>Washington</v>
      </c>
      <c r="K240" s="494" t="str">
        <f>IF(+NFL!$F197="Houston",+NFL!K197,IF(+NFL!$H197="Houston",+NFL!K197,0))</f>
        <v>Houston</v>
      </c>
      <c r="L240" s="362">
        <f>IF(+NFL!$F197="Houston",+NFL!L197,IF(+NFL!$H197="Houston",+NFL!L197,0))</f>
        <v>3.5</v>
      </c>
      <c r="M240" s="386">
        <f>IF(+NFL!$F197="Houston",+NFL!M197,IF(+NFL!$H197="Houston",+NFL!M197,0))</f>
        <v>40.5</v>
      </c>
      <c r="N240" s="394" t="str">
        <f>IF(+NFL!$F197="Houston",+NFL!N197,IF(+NFL!$H197="Houston",+NFL!N197,0))</f>
        <v>Washington</v>
      </c>
      <c r="O240" s="395">
        <f>IF(+NFL!$F197="Houston",+NFL!O197,IF(+NFL!$H197="Houston",+NFL!O197,0))</f>
        <v>23</v>
      </c>
      <c r="P240" s="394" t="str">
        <f>IF(+NFL!$F197="Houston",+NFL!P197,IF(+NFL!$H197="Houston",+NFL!P197,0))</f>
        <v>Houston</v>
      </c>
      <c r="Q240" s="396">
        <f>IF(+NFL!$F197="Houston",+NFL!Q197,IF(+NFL!$H197="Houston",+NFL!Q197,0))</f>
        <v>10</v>
      </c>
      <c r="R240" s="397" t="str">
        <f>IF(+NFL!$F197="Houston",+NFL!R197,IF(+NFL!$H197="Houston",+NFL!R197,0))</f>
        <v>Washington</v>
      </c>
      <c r="S240" s="399" t="str">
        <f>IF(+NFL!$F197="Houston",+NFL!S197,IF(+NFL!$H197="Houston",+NFL!S197,0))</f>
        <v>Houston</v>
      </c>
      <c r="T240" s="397" t="str">
        <f>IF(+NFL!$F197="Houston",+NFL!T197,IF(+NFL!$H197="Houston",+NFL!T197,0))</f>
        <v>Washington</v>
      </c>
      <c r="U240" s="400" t="str">
        <f>IF(+NFL!$F197="Houston",+NFL!U197,IF(+NFL!$H197="Houston",+NFL!U197,0))</f>
        <v>W</v>
      </c>
      <c r="V240" s="397">
        <f>IF(+NFL!$F174="Houston",+NFL!#REF!,IF(+NFL!$H174="Houston",+NFL!#REF!,0))</f>
        <v>0</v>
      </c>
      <c r="W240" s="396">
        <f>IF(+NFL!$F174="Houston",+NFL!#REF!,IF(+NFL!$H174="Houston",+NFL!#REF!,0))</f>
        <v>0</v>
      </c>
      <c r="X240" s="398">
        <f>IF(+NFL!$F174="Houston",+NFL!#REF!,IF(+NFL!$H174="Houston",+NFL!#REF!,0))</f>
        <v>0</v>
      </c>
      <c r="Y240" s="396">
        <f>IF(+NFL!$F174="Houston",+NFL!#REF!,IF(+NFL!$H174="Houston",+NFL!#REF!,0))</f>
        <v>0</v>
      </c>
      <c r="Z240" s="397">
        <f>IF(+NFL!$F174="Houston",+NFL!#REF!,IF(+NFL!$H174="Houston",+NFL!#REF!,0))</f>
        <v>0</v>
      </c>
      <c r="AA240" s="400">
        <f>IF(+NFL!$F174="Houston",+NFL!#REF!,IF(+NFL!$H174="Houston",+NFL!#REF!,0))</f>
        <v>0</v>
      </c>
      <c r="AB240" s="87">
        <f>IF(+NFL!$F174="Houston",+NFL!#REF!,IF(+NFL!$H174="Houston",+NFL!#REF!,0))</f>
        <v>0</v>
      </c>
      <c r="AC240" s="120">
        <f>IF(+NFL!$F174="Houston",+NFL!#REF!,IF(+NFL!$H174="Houston",+NFL!#REF!,0))</f>
        <v>0</v>
      </c>
      <c r="AD240" s="353">
        <f>IF(+NFL!$F174="Houston",+NFL!#REF!,IF(+NFL!$H174="Houston",+NFL!#REF!,0))</f>
        <v>0</v>
      </c>
      <c r="AE240" s="379">
        <f>IF(+NFL!$F174="Houston",+NFL!#REF!,IF(+NFL!$H174="Houston",+NFL!#REF!,0))</f>
        <v>0</v>
      </c>
      <c r="AF240" s="353">
        <f>IF(+NFL!$F174="Houston",+NFL!#REF!,IF(+NFL!$H174="Houston",+NFL!#REF!,0))</f>
        <v>0</v>
      </c>
      <c r="AG240" s="388">
        <f>IF(+NFL!$F174="Houston",+NFL!#REF!,IF(+NFL!$H174="Houston",+NFL!#REF!,0))</f>
        <v>0</v>
      </c>
      <c r="AH240" s="353">
        <f>IF(+NFL!$F174="Houston",+NFL!#REF!,IF(+NFL!$H174="Houston",+NFL!#REF!,0))</f>
        <v>0</v>
      </c>
      <c r="AI240" s="388">
        <f>IF(+NFL!$F174="Houston",+NFL!#REF!,IF(+NFL!$H174="Houston",+NFL!#REF!,0))</f>
        <v>0</v>
      </c>
      <c r="AJ240" s="353">
        <f>IF(+NFL!$F174="Houston",+NFL!#REF!,IF(+NFL!$H174="Houston",+NFL!#REF!,0))</f>
        <v>0</v>
      </c>
      <c r="AK240" s="379">
        <f>IF(+NFL!$F174="Houston",+NFL!#REF!,IF(+NFL!$H174="Houston",+NFL!#REF!,0))</f>
        <v>0</v>
      </c>
      <c r="AL240" s="57">
        <f>IF(+NFL!$F174="Houston",+NFL!#REF!,IF(+NFL!$H174="Houston",+NFL!#REF!,0))</f>
        <v>0</v>
      </c>
      <c r="AM240" s="64">
        <f>IF(+NFL!$F174="Houston",+NFL!#REF!,IF(+NFL!$H174="Houston",+NFL!#REF!,0))</f>
        <v>0</v>
      </c>
      <c r="AN240" s="57">
        <f>IF(+NFL!$F174="Houston",+NFL!#REF!,IF(+NFL!$H174="Houston",+NFL!#REF!,0))</f>
        <v>0</v>
      </c>
      <c r="AO240" s="46">
        <f>IF(+NFL!$F174="Houston",+NFL!#REF!,IF(+NFL!$H174="Houston",+NFL!#REF!,0))</f>
        <v>0</v>
      </c>
      <c r="AP240" s="348">
        <f>IF(+NFL!$F174="Houston",+NFL!#REF!,IF(+NFL!$H174="Houston",+NFL!#REF!,0))</f>
        <v>0</v>
      </c>
      <c r="AQ240" s="48">
        <f>IF(+NFL!$F174="Houston",+NFL!#REF!,IF(+NFL!$H174="Houston",+NFL!#REF!,0))</f>
        <v>0</v>
      </c>
      <c r="AR240" s="57">
        <f>IF(+NFL!$F174="Houston",+NFL!#REF!,IF(+NFL!$H174="Houston",+NFL!#REF!,0))</f>
        <v>0</v>
      </c>
      <c r="AS240" s="64">
        <f>IF(+NFL!$F174="Houston",+NFL!#REF!,IF(+NFL!$H174="Houston",+NFL!#REF!,0))</f>
        <v>0</v>
      </c>
      <c r="AT240" s="64">
        <f>IF(+NFL!$F174="Houston",+NFL!#REF!,IF(+NFL!$H174="Houston",+NFL!#REF!,0))</f>
        <v>0</v>
      </c>
      <c r="AU240" s="57">
        <f>IF(+NFL!$F174="Houston",+NFL!#REF!,IF(+NFL!$H174="Houston",+NFL!#REF!,0))</f>
        <v>0</v>
      </c>
      <c r="AV240" s="64">
        <f>IF(+NFL!$F174="Houston",+NFL!#REF!,IF(+NFL!$H174="Houston",+NFL!#REF!,0))</f>
        <v>0</v>
      </c>
      <c r="AW240" s="46">
        <f>IF(+NFL!$F174="Houston",+NFL!#REF!,IF(+NFL!$H174="Houston",+NFL!#REF!,0))</f>
        <v>0</v>
      </c>
      <c r="AX240" s="64">
        <f>IF(+NFL!$F174="Houston",+NFL!#REF!,IF(+NFL!$H174="Houston",+NFL!#REF!,0))</f>
        <v>0</v>
      </c>
      <c r="AY240" s="57">
        <f>IF(+NFL!$F174="Houston",+NFL!#REF!,IF(+NFL!$H174="Houston",+NFL!#REF!,0))</f>
        <v>0</v>
      </c>
      <c r="AZ240" s="64">
        <f>IF(+NFL!$F174="Houston",+NFL!#REF!,IF(+NFL!$H174="Houston",+NFL!#REF!,0))</f>
        <v>0</v>
      </c>
      <c r="BA240" s="46">
        <f>IF(+NFL!$F174="Houston",+NFL!#REF!,IF(+NFL!$H174="Houston",+NFL!#REF!,0))</f>
        <v>0</v>
      </c>
      <c r="BB240" s="46">
        <f>IF(+NFL!$F174="Houston",+NFL!#REF!,IF(+NFL!$H174="Houston",+NFL!#REF!,0))</f>
        <v>0</v>
      </c>
      <c r="BC240" s="403">
        <f>IF(+NFL!$F174="Houston",+NFL!#REF!,IF(+NFL!$H174="Houston",+NFL!#REF!,0))</f>
        <v>0</v>
      </c>
      <c r="BD240" s="57">
        <f>IF(+NFL!$F174="Houston",+NFL!#REF!,IF(+NFL!$H174="Houston",+NFL!#REF!,0))</f>
        <v>0</v>
      </c>
      <c r="BE240" s="64">
        <f>IF(+NFL!$F174="Houston",+NFL!#REF!,IF(+NFL!$H174="Houston",+NFL!#REF!,0))</f>
        <v>0</v>
      </c>
      <c r="BF240" s="46">
        <f>IF(+NFL!$F174="Houston",+NFL!#REF!,IF(+NFL!$H174="Houston",+NFL!#REF!,0))</f>
        <v>0</v>
      </c>
      <c r="BG240" s="57">
        <f>IF(+NFL!$F174="Houston",+NFL!#REF!,IF(+NFL!$H174="Houston",+NFL!#REF!,0))</f>
        <v>0</v>
      </c>
      <c r="BH240" s="64">
        <f>IF(+NFL!$F174="Houston",+NFL!#REF!,IF(+NFL!$H174="Houston",+NFL!#REF!,0))</f>
        <v>0</v>
      </c>
      <c r="BI240" s="46">
        <f>IF(+NFL!$F174="Houston",+NFL!#REF!,IF(+NFL!$H174="Houston",+NFL!#REF!,0))</f>
        <v>0</v>
      </c>
      <c r="BJ240" s="87">
        <f>IF(+NFL!$F174="Houston",+NFL!#REF!,IF(+NFL!$H174="Houston",+NFL!#REF!,0))</f>
        <v>0</v>
      </c>
      <c r="BK240" s="120">
        <f>IF(+NFL!$F174="Houston",+NFL!#REF!,IF(+NFL!$H174="Houston",+NFL!#REF!,0))</f>
        <v>0</v>
      </c>
    </row>
    <row r="241" spans="1:63" x14ac:dyDescent="0.8">
      <c r="A241" s="46">
        <f>IF(+NFL!$F214="Houston",+NFL!A214,IF(+NFL!$H214="Houston",+NFL!A214,0))</f>
        <v>12</v>
      </c>
      <c r="B241" s="46" t="str">
        <f>IF(+NFL!$F214="Houston",+NFL!B214,IF(+NFL!$H214="Houston",+NFL!B214,0))</f>
        <v>Sun</v>
      </c>
      <c r="C241" s="48">
        <f>IF(+NFL!$F214="Houston",+NFL!C214,IF(+NFL!$H214="Houston",+NFL!C214,0))</f>
        <v>44892</v>
      </c>
      <c r="D241" s="490">
        <f>IF(+NFL!$F214="Houston",+NFL!D214,IF(+NFL!$H214="Houston",+NFL!D214,0))</f>
        <v>0.54166666666666663</v>
      </c>
      <c r="E241" s="46" t="str">
        <f>IF(+NFL!$F214="Houston",+NFL!E214,IF(+NFL!$H214="Houston",+NFL!E214,0))</f>
        <v>CBS</v>
      </c>
      <c r="F241" s="114" t="str">
        <f>IF(+NFL!$F214="Houston",+NFL!F214,IF(+NFL!$H214="Houston",+NFL!F214,0))</f>
        <v>Houston</v>
      </c>
      <c r="G241" s="46" t="str">
        <f>IF(+NFL!$F214="Houston",+NFL!G214,IF(+NFL!$H214="Houston",+NFL!G214,0))</f>
        <v>AFCS</v>
      </c>
      <c r="H241" s="114" t="str">
        <f>IF(+NFL!$F214="Houston",+NFL!H214,IF(+NFL!$H214="Houston",+NFL!H214,0))</f>
        <v>Miami</v>
      </c>
      <c r="I241" s="491" t="str">
        <f>IF(+NFL!$F214="Houston",+NFL!I214,IF(+NFL!$H214="Houston",+NFL!I214,0))</f>
        <v>AFCE</v>
      </c>
      <c r="J241" s="353" t="str">
        <f>IF(+NFL!$F214="Houston",+NFL!J214,IF(+NFL!$H214="Houston",+NFL!J214,0))</f>
        <v>Miami</v>
      </c>
      <c r="K241" s="494" t="str">
        <f>IF(+NFL!$F214="Houston",+NFL!K214,IF(+NFL!$H214="Houston",+NFL!K214,0))</f>
        <v>Houston</v>
      </c>
      <c r="L241" s="362">
        <f>IF(+NFL!$F214="Houston",+NFL!L214,IF(+NFL!$H214="Houston",+NFL!L214,0))</f>
        <v>13.5</v>
      </c>
      <c r="M241" s="386">
        <f>IF(+NFL!$F214="Houston",+NFL!M214,IF(+NFL!$H214="Houston",+NFL!M214,0))</f>
        <v>47</v>
      </c>
      <c r="N241" s="394" t="str">
        <f>IF(+NFL!$F214="Houston",+NFL!N214,IF(+NFL!$H214="Houston",+NFL!N214,0))</f>
        <v>Miami</v>
      </c>
      <c r="O241" s="395">
        <f>IF(+NFL!$F214="Houston",+NFL!O214,IF(+NFL!$H214="Houston",+NFL!O214,0))</f>
        <v>30</v>
      </c>
      <c r="P241" s="394" t="str">
        <f>IF(+NFL!$F214="Houston",+NFL!P214,IF(+NFL!$H214="Houston",+NFL!P214,0))</f>
        <v>Houston</v>
      </c>
      <c r="Q241" s="396">
        <f>IF(+NFL!$F214="Houston",+NFL!Q214,IF(+NFL!$H214="Houston",+NFL!Q214,0))</f>
        <v>15</v>
      </c>
      <c r="R241" s="397" t="str">
        <f>IF(+NFL!$F214="Houston",+NFL!R214,IF(+NFL!$H214="Houston",+NFL!R214,0))</f>
        <v>Miami</v>
      </c>
      <c r="S241" s="399" t="str">
        <f>IF(+NFL!$F214="Houston",+NFL!S214,IF(+NFL!$H214="Houston",+NFL!S214,0))</f>
        <v>Houston</v>
      </c>
      <c r="T241" s="397" t="str">
        <f>IF(+NFL!$F214="Houston",+NFL!T214,IF(+NFL!$H214="Houston",+NFL!T214,0))</f>
        <v>Miami</v>
      </c>
      <c r="U241" s="400" t="str">
        <f>IF(+NFL!$F214="Houston",+NFL!U214,IF(+NFL!$H214="Houston",+NFL!U214,0))</f>
        <v>W</v>
      </c>
      <c r="V241" s="397">
        <f>IF(+NFL!$F215="Houston",+NFL!#REF!,IF(+NFL!$H215="Houston",+NFL!#REF!,0))</f>
        <v>0</v>
      </c>
      <c r="W241" s="396">
        <f>IF(+NFL!$F215="Houston",+NFL!#REF!,IF(+NFL!$H215="Houston",+NFL!#REF!,0))</f>
        <v>0</v>
      </c>
      <c r="X241" s="398">
        <f>IF(+NFL!$F215="Houston",+NFL!#REF!,IF(+NFL!$H215="Houston",+NFL!#REF!,0))</f>
        <v>0</v>
      </c>
      <c r="Y241" s="396">
        <f>IF(+NFL!$F215="Houston",+NFL!#REF!,IF(+NFL!$H215="Houston",+NFL!#REF!,0))</f>
        <v>0</v>
      </c>
      <c r="Z241" s="397">
        <f>IF(+NFL!$F215="Houston",+NFL!#REF!,IF(+NFL!$H215="Houston",+NFL!#REF!,0))</f>
        <v>0</v>
      </c>
      <c r="AA241" s="400">
        <f>IF(+NFL!$F215="Houston",+NFL!#REF!,IF(+NFL!$H215="Houston",+NFL!#REF!,0))</f>
        <v>0</v>
      </c>
      <c r="AB241" s="87">
        <f>IF(+NFL!$F215="Houston",+NFL!#REF!,IF(+NFL!$H215="Houston",+NFL!#REF!,0))</f>
        <v>0</v>
      </c>
      <c r="AC241" s="120">
        <f>IF(+NFL!$F215="Houston",+NFL!#REF!,IF(+NFL!$H215="Houston",+NFL!#REF!,0))</f>
        <v>0</v>
      </c>
      <c r="AD241" s="353">
        <f>IF(+NFL!$F215="Houston",+NFL!#REF!,IF(+NFL!$H215="Houston",+NFL!#REF!,0))</f>
        <v>0</v>
      </c>
      <c r="AE241" s="379">
        <f>IF(+NFL!$F215="Houston",+NFL!#REF!,IF(+NFL!$H215="Houston",+NFL!#REF!,0))</f>
        <v>0</v>
      </c>
      <c r="AF241" s="353">
        <f>IF(+NFL!$F215="Houston",+NFL!#REF!,IF(+NFL!$H215="Houston",+NFL!#REF!,0))</f>
        <v>0</v>
      </c>
      <c r="AG241" s="388">
        <f>IF(+NFL!$F215="Houston",+NFL!#REF!,IF(+NFL!$H215="Houston",+NFL!#REF!,0))</f>
        <v>0</v>
      </c>
      <c r="AH241" s="353">
        <f>IF(+NFL!$F215="Houston",+NFL!#REF!,IF(+NFL!$H215="Houston",+NFL!#REF!,0))</f>
        <v>0</v>
      </c>
      <c r="AI241" s="388">
        <f>IF(+NFL!$F215="Houston",+NFL!#REF!,IF(+NFL!$H215="Houston",+NFL!#REF!,0))</f>
        <v>0</v>
      </c>
      <c r="AJ241" s="353">
        <f>IF(+NFL!$F215="Houston",+NFL!#REF!,IF(+NFL!$H215="Houston",+NFL!#REF!,0))</f>
        <v>0</v>
      </c>
      <c r="AK241" s="379">
        <f>IF(+NFL!$F215="Houston",+NFL!#REF!,IF(+NFL!$H215="Houston",+NFL!#REF!,0))</f>
        <v>0</v>
      </c>
      <c r="AL241" s="57">
        <f>IF(+NFL!$F215="Houston",+NFL!#REF!,IF(+NFL!$H215="Houston",+NFL!#REF!,0))</f>
        <v>0</v>
      </c>
      <c r="AM241" s="64">
        <f>IF(+NFL!$F215="Houston",+NFL!#REF!,IF(+NFL!$H215="Houston",+NFL!#REF!,0))</f>
        <v>0</v>
      </c>
      <c r="AN241" s="57">
        <f>IF(+NFL!$F215="Houston",+NFL!#REF!,IF(+NFL!$H215="Houston",+NFL!#REF!,0))</f>
        <v>0</v>
      </c>
      <c r="AO241" s="46">
        <f>IF(+NFL!$F215="Houston",+NFL!#REF!,IF(+NFL!$H215="Houston",+NFL!#REF!,0))</f>
        <v>0</v>
      </c>
      <c r="AP241" s="348">
        <f>IF(+NFL!$F215="Houston",+NFL!#REF!,IF(+NFL!$H215="Houston",+NFL!#REF!,0))</f>
        <v>0</v>
      </c>
      <c r="AQ241" s="48">
        <f>IF(+NFL!$F215="Houston",+NFL!#REF!,IF(+NFL!$H215="Houston",+NFL!#REF!,0))</f>
        <v>0</v>
      </c>
      <c r="AR241" s="57">
        <f>IF(+NFL!$F215="Houston",+NFL!#REF!,IF(+NFL!$H215="Houston",+NFL!#REF!,0))</f>
        <v>0</v>
      </c>
      <c r="AS241" s="64">
        <f>IF(+NFL!$F215="Houston",+NFL!#REF!,IF(+NFL!$H215="Houston",+NFL!#REF!,0))</f>
        <v>0</v>
      </c>
      <c r="AT241" s="64">
        <f>IF(+NFL!$F215="Houston",+NFL!#REF!,IF(+NFL!$H215="Houston",+NFL!#REF!,0))</f>
        <v>0</v>
      </c>
      <c r="AU241" s="57">
        <f>IF(+NFL!$F215="Houston",+NFL!#REF!,IF(+NFL!$H215="Houston",+NFL!#REF!,0))</f>
        <v>0</v>
      </c>
      <c r="AV241" s="64">
        <f>IF(+NFL!$F215="Houston",+NFL!#REF!,IF(+NFL!$H215="Houston",+NFL!#REF!,0))</f>
        <v>0</v>
      </c>
      <c r="AW241" s="46">
        <f>IF(+NFL!$F215="Houston",+NFL!#REF!,IF(+NFL!$H215="Houston",+NFL!#REF!,0))</f>
        <v>0</v>
      </c>
      <c r="AX241" s="64">
        <f>IF(+NFL!$F215="Houston",+NFL!#REF!,IF(+NFL!$H215="Houston",+NFL!#REF!,0))</f>
        <v>0</v>
      </c>
      <c r="AY241" s="57">
        <f>IF(+NFL!$F215="Houston",+NFL!#REF!,IF(+NFL!$H215="Houston",+NFL!#REF!,0))</f>
        <v>0</v>
      </c>
      <c r="AZ241" s="64">
        <f>IF(+NFL!$F215="Houston",+NFL!#REF!,IF(+NFL!$H215="Houston",+NFL!#REF!,0))</f>
        <v>0</v>
      </c>
      <c r="BA241" s="46">
        <f>IF(+NFL!$F215="Houston",+NFL!#REF!,IF(+NFL!$H215="Houston",+NFL!#REF!,0))</f>
        <v>0</v>
      </c>
      <c r="BB241" s="46">
        <f>IF(+NFL!$F215="Houston",+NFL!#REF!,IF(+NFL!$H215="Houston",+NFL!#REF!,0))</f>
        <v>0</v>
      </c>
      <c r="BC241" s="403">
        <f>IF(+NFL!$F215="Houston",+NFL!#REF!,IF(+NFL!$H215="Houston",+NFL!#REF!,0))</f>
        <v>0</v>
      </c>
      <c r="BD241" s="57">
        <f>IF(+NFL!$F215="Houston",+NFL!#REF!,IF(+NFL!$H215="Houston",+NFL!#REF!,0))</f>
        <v>0</v>
      </c>
      <c r="BE241" s="64">
        <f>IF(+NFL!$F215="Houston",+NFL!#REF!,IF(+NFL!$H215="Houston",+NFL!#REF!,0))</f>
        <v>0</v>
      </c>
      <c r="BF241" s="46">
        <f>IF(+NFL!$F215="Houston",+NFL!#REF!,IF(+NFL!$H215="Houston",+NFL!#REF!,0))</f>
        <v>0</v>
      </c>
      <c r="BG241" s="57">
        <f>IF(+NFL!$F215="Houston",+NFL!#REF!,IF(+NFL!$H215="Houston",+NFL!#REF!,0))</f>
        <v>0</v>
      </c>
      <c r="BH241" s="64">
        <f>IF(+NFL!$F215="Houston",+NFL!#REF!,IF(+NFL!$H215="Houston",+NFL!#REF!,0))</f>
        <v>0</v>
      </c>
      <c r="BI241" s="46">
        <f>IF(+NFL!$F215="Houston",+NFL!#REF!,IF(+NFL!$H215="Houston",+NFL!#REF!,0))</f>
        <v>0</v>
      </c>
      <c r="BJ241" s="87">
        <f>IF(+NFL!$F215="Houston",+NFL!#REF!,IF(+NFL!$H215="Houston",+NFL!#REF!,0))</f>
        <v>0</v>
      </c>
      <c r="BK241" s="120">
        <f>IF(+NFL!$F215="Houston",+NFL!#REF!,IF(+NFL!$H215="Houston",+NFL!#REF!,0))</f>
        <v>0</v>
      </c>
    </row>
    <row r="242" spans="1:63" x14ac:dyDescent="0.8">
      <c r="A242" s="46">
        <f>IF(+NFL!$F234="Houston",+NFL!A234,IF(+NFL!$H234="Houston",+NFL!A234,0))</f>
        <v>13</v>
      </c>
      <c r="B242" s="46" t="str">
        <f>IF(+NFL!$F234="Houston",+NFL!B234,IF(+NFL!$H234="Houston",+NFL!B234,0))</f>
        <v>Sun</v>
      </c>
      <c r="C242" s="48">
        <f>IF(+NFL!$F234="Houston",+NFL!C234,IF(+NFL!$H234="Houston",+NFL!C234,0))</f>
        <v>44899</v>
      </c>
      <c r="D242" s="490">
        <f>IF(+NFL!$F234="Houston",+NFL!D234,IF(+NFL!$H234="Houston",+NFL!D234,0))</f>
        <v>0.54166666666666663</v>
      </c>
      <c r="E242" s="46" t="str">
        <f>IF(+NFL!$F234="Houston",+NFL!E234,IF(+NFL!$H234="Houston",+NFL!E234,0))</f>
        <v>CBS</v>
      </c>
      <c r="F242" s="114" t="str">
        <f>IF(+NFL!$F234="Houston",+NFL!F234,IF(+NFL!$H234="Houston",+NFL!F234,0))</f>
        <v>Cleveland</v>
      </c>
      <c r="G242" s="46" t="str">
        <f>IF(+NFL!$F234="Houston",+NFL!G234,IF(+NFL!$H234="Houston",+NFL!G234,0))</f>
        <v>AFCN</v>
      </c>
      <c r="H242" s="114" t="str">
        <f>IF(+NFL!$F234="Houston",+NFL!H234,IF(+NFL!$H234="Houston",+NFL!H234,0))</f>
        <v>Houston</v>
      </c>
      <c r="I242" s="491" t="str">
        <f>IF(+NFL!$F234="Houston",+NFL!I234,IF(+NFL!$H234="Houston",+NFL!I234,0))</f>
        <v>AFCS</v>
      </c>
      <c r="J242" s="353" t="str">
        <f>IF(+NFL!$F234="Houston",+NFL!J234,IF(+NFL!$H234="Houston",+NFL!J234,0))</f>
        <v>Cleveland</v>
      </c>
      <c r="K242" s="494" t="str">
        <f>IF(+NFL!$F234="Houston",+NFL!K234,IF(+NFL!$H234="Houston",+NFL!K234,0))</f>
        <v>Houston</v>
      </c>
      <c r="L242" s="362">
        <f>IF(+NFL!$F234="Houston",+NFL!L234,IF(+NFL!$H234="Houston",+NFL!L234,0))</f>
        <v>7</v>
      </c>
      <c r="M242" s="386">
        <f>IF(+NFL!$F234="Houston",+NFL!M234,IF(+NFL!$H234="Houston",+NFL!M234,0))</f>
        <v>47</v>
      </c>
      <c r="N242" s="394" t="str">
        <f>IF(+NFL!$F234="Houston",+NFL!N234,IF(+NFL!$H234="Houston",+NFL!N234,0))</f>
        <v>Cleveland</v>
      </c>
      <c r="O242" s="395">
        <f>IF(+NFL!$F234="Houston",+NFL!O234,IF(+NFL!$H234="Houston",+NFL!O234,0))</f>
        <v>27</v>
      </c>
      <c r="P242" s="394" t="str">
        <f>IF(+NFL!$F234="Houston",+NFL!P234,IF(+NFL!$H234="Houston",+NFL!P234,0))</f>
        <v>Houston</v>
      </c>
      <c r="Q242" s="396">
        <f>IF(+NFL!$F234="Houston",+NFL!Q234,IF(+NFL!$H234="Houston",+NFL!Q234,0))</f>
        <v>14</v>
      </c>
      <c r="R242" s="397" t="str">
        <f>IF(+NFL!$F234="Houston",+NFL!R234,IF(+NFL!$H234="Houston",+NFL!R234,0))</f>
        <v>Cleveland</v>
      </c>
      <c r="S242" s="399" t="str">
        <f>IF(+NFL!$F234="Houston",+NFL!S234,IF(+NFL!$H234="Houston",+NFL!S234,0))</f>
        <v>Houston</v>
      </c>
      <c r="T242" s="397" t="str">
        <f>IF(+NFL!$F234="Houston",+NFL!T234,IF(+NFL!$H234="Houston",+NFL!T234,0))</f>
        <v>Cleveland</v>
      </c>
      <c r="U242" s="400" t="str">
        <f>IF(+NFL!$F234="Houston",+NFL!U234,IF(+NFL!$H234="Houston",+NFL!U234,0))</f>
        <v>W</v>
      </c>
      <c r="V242" s="397">
        <f>IF(+NFL!$F226="Houston",+NFL!#REF!,IF(+NFL!$H226="Houston",+NFL!#REF!,0))</f>
        <v>0</v>
      </c>
      <c r="W242" s="396">
        <f>IF(+NFL!$F226="Houston",+NFL!#REF!,IF(+NFL!$H226="Houston",+NFL!#REF!,0))</f>
        <v>0</v>
      </c>
      <c r="X242" s="398">
        <f>IF(+NFL!$F226="Houston",+NFL!#REF!,IF(+NFL!$H226="Houston",+NFL!#REF!,0))</f>
        <v>0</v>
      </c>
      <c r="Y242" s="396">
        <f>IF(+NFL!$F226="Houston",+NFL!#REF!,IF(+NFL!$H226="Houston",+NFL!#REF!,0))</f>
        <v>0</v>
      </c>
      <c r="Z242" s="397">
        <f>IF(+NFL!$F226="Houston",+NFL!#REF!,IF(+NFL!$H226="Houston",+NFL!#REF!,0))</f>
        <v>0</v>
      </c>
      <c r="AA242" s="400">
        <f>IF(+NFL!$F226="Houston",+NFL!#REF!,IF(+NFL!$H226="Houston",+NFL!#REF!,0))</f>
        <v>0</v>
      </c>
      <c r="AB242" s="87">
        <f>IF(+NFL!$F226="Houston",+NFL!#REF!,IF(+NFL!$H226="Houston",+NFL!#REF!,0))</f>
        <v>0</v>
      </c>
      <c r="AC242" s="120">
        <f>IF(+NFL!$F226="Houston",+NFL!#REF!,IF(+NFL!$H226="Houston",+NFL!#REF!,0))</f>
        <v>0</v>
      </c>
      <c r="AD242" s="353">
        <f>IF(+NFL!$F226="Houston",+NFL!#REF!,IF(+NFL!$H226="Houston",+NFL!#REF!,0))</f>
        <v>0</v>
      </c>
      <c r="AE242" s="379">
        <f>IF(+NFL!$F226="Houston",+NFL!#REF!,IF(+NFL!$H226="Houston",+NFL!#REF!,0))</f>
        <v>0</v>
      </c>
      <c r="AF242" s="353">
        <f>IF(+NFL!$F226="Houston",+NFL!#REF!,IF(+NFL!$H226="Houston",+NFL!#REF!,0))</f>
        <v>0</v>
      </c>
      <c r="AG242" s="388">
        <f>IF(+NFL!$F226="Houston",+NFL!#REF!,IF(+NFL!$H226="Houston",+NFL!#REF!,0))</f>
        <v>0</v>
      </c>
      <c r="AH242" s="353">
        <f>IF(+NFL!$F226="Houston",+NFL!#REF!,IF(+NFL!$H226="Houston",+NFL!#REF!,0))</f>
        <v>0</v>
      </c>
      <c r="AI242" s="388">
        <f>IF(+NFL!$F226="Houston",+NFL!#REF!,IF(+NFL!$H226="Houston",+NFL!#REF!,0))</f>
        <v>0</v>
      </c>
      <c r="AJ242" s="353">
        <f>IF(+NFL!$F226="Houston",+NFL!#REF!,IF(+NFL!$H226="Houston",+NFL!#REF!,0))</f>
        <v>0</v>
      </c>
      <c r="AK242" s="379">
        <f>IF(+NFL!$F226="Houston",+NFL!#REF!,IF(+NFL!$H226="Houston",+NFL!#REF!,0))</f>
        <v>0</v>
      </c>
      <c r="AL242" s="57">
        <f>IF(+NFL!$F226="Houston",+NFL!#REF!,IF(+NFL!$H226="Houston",+NFL!#REF!,0))</f>
        <v>0</v>
      </c>
      <c r="AM242" s="64">
        <f>IF(+NFL!$F226="Houston",+NFL!#REF!,IF(+NFL!$H226="Houston",+NFL!#REF!,0))</f>
        <v>0</v>
      </c>
      <c r="AN242" s="57">
        <f>IF(+NFL!$F226="Houston",+NFL!#REF!,IF(+NFL!$H226="Houston",+NFL!#REF!,0))</f>
        <v>0</v>
      </c>
      <c r="AO242" s="46">
        <f>IF(+NFL!$F226="Houston",+NFL!#REF!,IF(+NFL!$H226="Houston",+NFL!#REF!,0))</f>
        <v>0</v>
      </c>
      <c r="AP242" s="348">
        <f>IF(+NFL!$F226="Houston",+NFL!#REF!,IF(+NFL!$H226="Houston",+NFL!#REF!,0))</f>
        <v>0</v>
      </c>
      <c r="AQ242" s="48">
        <f>IF(+NFL!$F226="Houston",+NFL!#REF!,IF(+NFL!$H226="Houston",+NFL!#REF!,0))</f>
        <v>0</v>
      </c>
      <c r="AR242" s="57">
        <f>IF(+NFL!$F226="Houston",+NFL!#REF!,IF(+NFL!$H226="Houston",+NFL!#REF!,0))</f>
        <v>0</v>
      </c>
      <c r="AS242" s="64">
        <f>IF(+NFL!$F226="Houston",+NFL!#REF!,IF(+NFL!$H226="Houston",+NFL!#REF!,0))</f>
        <v>0</v>
      </c>
      <c r="AT242" s="64">
        <f>IF(+NFL!$F226="Houston",+NFL!#REF!,IF(+NFL!$H226="Houston",+NFL!#REF!,0))</f>
        <v>0</v>
      </c>
      <c r="AU242" s="57">
        <f>IF(+NFL!$F226="Houston",+NFL!#REF!,IF(+NFL!$H226="Houston",+NFL!#REF!,0))</f>
        <v>0</v>
      </c>
      <c r="AV242" s="64">
        <f>IF(+NFL!$F226="Houston",+NFL!#REF!,IF(+NFL!$H226="Houston",+NFL!#REF!,0))</f>
        <v>0</v>
      </c>
      <c r="AW242" s="46">
        <f>IF(+NFL!$F226="Houston",+NFL!#REF!,IF(+NFL!$H226="Houston",+NFL!#REF!,0))</f>
        <v>0</v>
      </c>
      <c r="AX242" s="64">
        <f>IF(+NFL!$F226="Houston",+NFL!#REF!,IF(+NFL!$H226="Houston",+NFL!#REF!,0))</f>
        <v>0</v>
      </c>
      <c r="AY242" s="57">
        <f>IF(+NFL!$F226="Houston",+NFL!#REF!,IF(+NFL!$H226="Houston",+NFL!#REF!,0))</f>
        <v>0</v>
      </c>
      <c r="AZ242" s="64">
        <f>IF(+NFL!$F226="Houston",+NFL!#REF!,IF(+NFL!$H226="Houston",+NFL!#REF!,0))</f>
        <v>0</v>
      </c>
      <c r="BA242" s="46">
        <f>IF(+NFL!$F226="Houston",+NFL!#REF!,IF(+NFL!$H226="Houston",+NFL!#REF!,0))</f>
        <v>0</v>
      </c>
      <c r="BB242" s="46">
        <f>IF(+NFL!$F226="Houston",+NFL!#REF!,IF(+NFL!$H226="Houston",+NFL!#REF!,0))</f>
        <v>0</v>
      </c>
      <c r="BC242" s="403">
        <f>IF(+NFL!$F226="Houston",+NFL!#REF!,IF(+NFL!$H226="Houston",+NFL!#REF!,0))</f>
        <v>0</v>
      </c>
      <c r="BD242" s="57">
        <f>IF(+NFL!$F226="Houston",+NFL!#REF!,IF(+NFL!$H226="Houston",+NFL!#REF!,0))</f>
        <v>0</v>
      </c>
      <c r="BE242" s="64">
        <f>IF(+NFL!$F226="Houston",+NFL!#REF!,IF(+NFL!$H226="Houston",+NFL!#REF!,0))</f>
        <v>0</v>
      </c>
      <c r="BF242" s="46">
        <f>IF(+NFL!$F226="Houston",+NFL!#REF!,IF(+NFL!$H226="Houston",+NFL!#REF!,0))</f>
        <v>0</v>
      </c>
      <c r="BG242" s="57">
        <f>IF(+NFL!$F226="Houston",+NFL!#REF!,IF(+NFL!$H226="Houston",+NFL!#REF!,0))</f>
        <v>0</v>
      </c>
      <c r="BH242" s="64">
        <f>IF(+NFL!$F226="Houston",+NFL!#REF!,IF(+NFL!$H226="Houston",+NFL!#REF!,0))</f>
        <v>0</v>
      </c>
      <c r="BI242" s="46">
        <f>IF(+NFL!$F226="Houston",+NFL!#REF!,IF(+NFL!$H226="Houston",+NFL!#REF!,0))</f>
        <v>0</v>
      </c>
      <c r="BJ242" s="87">
        <f>IF(+NFL!$F226="Houston",+NFL!#REF!,IF(+NFL!$H226="Houston",+NFL!#REF!,0))</f>
        <v>0</v>
      </c>
      <c r="BK242" s="120">
        <f>IF(+NFL!$F226="Houston",+NFL!#REF!,IF(+NFL!$H226="Houston",+NFL!#REF!,0))</f>
        <v>0</v>
      </c>
    </row>
    <row r="243" spans="1:63" x14ac:dyDescent="0.8">
      <c r="A243" s="46">
        <f>IF(+NFL!$F248="Houston",+NFL!A248,IF(+NFL!$H248="Houston",+NFL!A248,0))</f>
        <v>14</v>
      </c>
      <c r="B243" s="46" t="str">
        <f>IF(+NFL!$F248="Houston",+NFL!B248,IF(+NFL!$H248="Houston",+NFL!B248,0))</f>
        <v>Sun</v>
      </c>
      <c r="C243" s="48">
        <f>IF(+NFL!$F248="Houston",+NFL!C248,IF(+NFL!$H248="Houston",+NFL!C248,0))</f>
        <v>44906</v>
      </c>
      <c r="D243" s="490">
        <f>IF(+NFL!$F248="Houston",+NFL!D248,IF(+NFL!$H248="Houston",+NFL!D248,0))</f>
        <v>0.54166666666666663</v>
      </c>
      <c r="E243" s="46" t="str">
        <f>IF(+NFL!$F248="Houston",+NFL!E248,IF(+NFL!$H248="Houston",+NFL!E248,0))</f>
        <v>CBS</v>
      </c>
      <c r="F243" s="114" t="str">
        <f>IF(+NFL!$F248="Houston",+NFL!F248,IF(+NFL!$H248="Houston",+NFL!F248,0))</f>
        <v>Houston</v>
      </c>
      <c r="G243" s="46" t="str">
        <f>IF(+NFL!$F248="Houston",+NFL!G248,IF(+NFL!$H248="Houston",+NFL!G248,0))</f>
        <v>AFCS</v>
      </c>
      <c r="H243" s="114" t="str">
        <f>IF(+NFL!$F248="Houston",+NFL!H248,IF(+NFL!$H248="Houston",+NFL!H248,0))</f>
        <v>Dallas</v>
      </c>
      <c r="I243" s="491" t="str">
        <f>IF(+NFL!$F248="Houston",+NFL!I248,IF(+NFL!$H248="Houston",+NFL!I248,0))</f>
        <v>NFCE</v>
      </c>
      <c r="J243" s="353" t="str">
        <f>IF(+NFL!$F248="Houston",+NFL!J248,IF(+NFL!$H248="Houston",+NFL!J248,0))</f>
        <v>Dallas</v>
      </c>
      <c r="K243" s="494" t="str">
        <f>IF(+NFL!$F248="Houston",+NFL!K248,IF(+NFL!$H248="Houston",+NFL!K248,0))</f>
        <v>Houston</v>
      </c>
      <c r="L243" s="362">
        <f>IF(+NFL!$F248="Houston",+NFL!L248,IF(+NFL!$H248="Houston",+NFL!L248,0))</f>
        <v>14.5</v>
      </c>
      <c r="M243" s="386">
        <f>IF(+NFL!$F248="Houston",+NFL!M248,IF(+NFL!$H248="Houston",+NFL!M248,0))</f>
        <v>52.5</v>
      </c>
      <c r="N243" s="394" t="str">
        <f>IF(+NFL!$F248="Houston",+NFL!N248,IF(+NFL!$H248="Houston",+NFL!N248,0))</f>
        <v>Dallas</v>
      </c>
      <c r="O243" s="395">
        <f>IF(+NFL!$F248="Houston",+NFL!O248,IF(+NFL!$H248="Houston",+NFL!O248,0))</f>
        <v>27</v>
      </c>
      <c r="P243" s="394" t="str">
        <f>IF(+NFL!$F248="Houston",+NFL!P248,IF(+NFL!$H248="Houston",+NFL!P248,0))</f>
        <v>Houston</v>
      </c>
      <c r="Q243" s="396">
        <f>IF(+NFL!$F248="Houston",+NFL!Q248,IF(+NFL!$H248="Houston",+NFL!Q248,0))</f>
        <v>23</v>
      </c>
      <c r="R243" s="397" t="str">
        <f>IF(+NFL!$F248="Houston",+NFL!R248,IF(+NFL!$H248="Houston",+NFL!R248,0))</f>
        <v>Houston</v>
      </c>
      <c r="S243" s="399" t="str">
        <f>IF(+NFL!$F248="Houston",+NFL!S248,IF(+NFL!$H248="Houston",+NFL!S248,0))</f>
        <v>Dallas</v>
      </c>
      <c r="T243" s="397">
        <f>IF(+NFL!$F248="Houston",+NFL!T248,IF(+NFL!$H248="Houston",+NFL!T248,0))</f>
        <v>0</v>
      </c>
      <c r="U243" s="400" t="str">
        <f>IF(+NFL!$F248="Houston",+NFL!U248,IF(+NFL!$H248="Houston",+NFL!U248,0))</f>
        <v>L</v>
      </c>
      <c r="V243" s="397">
        <f>IF(+NFL!$F238="Houston",+NFL!#REF!,IF(+NFL!$H238="Houston",+NFL!#REF!,0))</f>
        <v>0</v>
      </c>
      <c r="W243" s="396">
        <f>IF(+NFL!$F238="Houston",+NFL!#REF!,IF(+NFL!$H238="Houston",+NFL!#REF!,0))</f>
        <v>0</v>
      </c>
      <c r="X243" s="398">
        <f>IF(+NFL!$F238="Houston",+NFL!#REF!,IF(+NFL!$H238="Houston",+NFL!#REF!,0))</f>
        <v>0</v>
      </c>
      <c r="Y243" s="396">
        <f>IF(+NFL!$F238="Houston",+NFL!#REF!,IF(+NFL!$H238="Houston",+NFL!#REF!,0))</f>
        <v>0</v>
      </c>
      <c r="Z243" s="397">
        <f>IF(+NFL!$F238="Houston",+NFL!#REF!,IF(+NFL!$H238="Houston",+NFL!#REF!,0))</f>
        <v>0</v>
      </c>
      <c r="AA243" s="400">
        <f>IF(+NFL!$F238="Houston",+NFL!#REF!,IF(+NFL!$H238="Houston",+NFL!#REF!,0))</f>
        <v>0</v>
      </c>
      <c r="AB243" s="87">
        <f>IF(+NFL!$F238="Houston",+NFL!#REF!,IF(+NFL!$H238="Houston",+NFL!#REF!,0))</f>
        <v>0</v>
      </c>
      <c r="AC243" s="120">
        <f>IF(+NFL!$F238="Houston",+NFL!#REF!,IF(+NFL!$H238="Houston",+NFL!#REF!,0))</f>
        <v>0</v>
      </c>
      <c r="AD243" s="353">
        <f>IF(+NFL!$F238="Houston",+NFL!#REF!,IF(+NFL!$H238="Houston",+NFL!#REF!,0))</f>
        <v>0</v>
      </c>
      <c r="AE243" s="379">
        <f>IF(+NFL!$F238="Houston",+NFL!#REF!,IF(+NFL!$H238="Houston",+NFL!#REF!,0))</f>
        <v>0</v>
      </c>
      <c r="AF243" s="353">
        <f>IF(+NFL!$F238="Houston",+NFL!#REF!,IF(+NFL!$H238="Houston",+NFL!#REF!,0))</f>
        <v>0</v>
      </c>
      <c r="AG243" s="388">
        <f>IF(+NFL!$F238="Houston",+NFL!#REF!,IF(+NFL!$H238="Houston",+NFL!#REF!,0))</f>
        <v>0</v>
      </c>
      <c r="AH243" s="353">
        <f>IF(+NFL!$F238="Houston",+NFL!#REF!,IF(+NFL!$H238="Houston",+NFL!#REF!,0))</f>
        <v>0</v>
      </c>
      <c r="AI243" s="388">
        <f>IF(+NFL!$F238="Houston",+NFL!#REF!,IF(+NFL!$H238="Houston",+NFL!#REF!,0))</f>
        <v>0</v>
      </c>
      <c r="AJ243" s="353">
        <f>IF(+NFL!$F238="Houston",+NFL!#REF!,IF(+NFL!$H238="Houston",+NFL!#REF!,0))</f>
        <v>0</v>
      </c>
      <c r="AK243" s="379">
        <f>IF(+NFL!$F238="Houston",+NFL!#REF!,IF(+NFL!$H238="Houston",+NFL!#REF!,0))</f>
        <v>0</v>
      </c>
      <c r="AL243" s="57">
        <f>IF(+NFL!$F238="Houston",+NFL!#REF!,IF(+NFL!$H238="Houston",+NFL!#REF!,0))</f>
        <v>0</v>
      </c>
      <c r="AM243" s="64">
        <f>IF(+NFL!$F238="Houston",+NFL!#REF!,IF(+NFL!$H238="Houston",+NFL!#REF!,0))</f>
        <v>0</v>
      </c>
      <c r="AN243" s="57">
        <f>IF(+NFL!$F238="Houston",+NFL!#REF!,IF(+NFL!$H238="Houston",+NFL!#REF!,0))</f>
        <v>0</v>
      </c>
      <c r="AO243" s="46">
        <f>IF(+NFL!$F238="Houston",+NFL!#REF!,IF(+NFL!$H238="Houston",+NFL!#REF!,0))</f>
        <v>0</v>
      </c>
      <c r="AP243" s="348">
        <f>IF(+NFL!$F238="Houston",+NFL!#REF!,IF(+NFL!$H238="Houston",+NFL!#REF!,0))</f>
        <v>0</v>
      </c>
      <c r="AQ243" s="48">
        <f>IF(+NFL!$F238="Houston",+NFL!#REF!,IF(+NFL!$H238="Houston",+NFL!#REF!,0))</f>
        <v>0</v>
      </c>
      <c r="AR243" s="57">
        <f>IF(+NFL!$F238="Houston",+NFL!#REF!,IF(+NFL!$H238="Houston",+NFL!#REF!,0))</f>
        <v>0</v>
      </c>
      <c r="AS243" s="64">
        <f>IF(+NFL!$F238="Houston",+NFL!#REF!,IF(+NFL!$H238="Houston",+NFL!#REF!,0))</f>
        <v>0</v>
      </c>
      <c r="AT243" s="64">
        <f>IF(+NFL!$F238="Houston",+NFL!#REF!,IF(+NFL!$H238="Houston",+NFL!#REF!,0))</f>
        <v>0</v>
      </c>
      <c r="AU243" s="57">
        <f>IF(+NFL!$F238="Houston",+NFL!#REF!,IF(+NFL!$H238="Houston",+NFL!#REF!,0))</f>
        <v>0</v>
      </c>
      <c r="AV243" s="64">
        <f>IF(+NFL!$F238="Houston",+NFL!#REF!,IF(+NFL!$H238="Houston",+NFL!#REF!,0))</f>
        <v>0</v>
      </c>
      <c r="AW243" s="46">
        <f>IF(+NFL!$F238="Houston",+NFL!#REF!,IF(+NFL!$H238="Houston",+NFL!#REF!,0))</f>
        <v>0</v>
      </c>
      <c r="AX243" s="64">
        <f>IF(+NFL!$F238="Houston",+NFL!#REF!,IF(+NFL!$H238="Houston",+NFL!#REF!,0))</f>
        <v>0</v>
      </c>
      <c r="AY243" s="57">
        <f>IF(+NFL!$F238="Houston",+NFL!#REF!,IF(+NFL!$H238="Houston",+NFL!#REF!,0))</f>
        <v>0</v>
      </c>
      <c r="AZ243" s="64">
        <f>IF(+NFL!$F238="Houston",+NFL!#REF!,IF(+NFL!$H238="Houston",+NFL!#REF!,0))</f>
        <v>0</v>
      </c>
      <c r="BA243" s="46">
        <f>IF(+NFL!$F238="Houston",+NFL!#REF!,IF(+NFL!$H238="Houston",+NFL!#REF!,0))</f>
        <v>0</v>
      </c>
      <c r="BB243" s="46">
        <f>IF(+NFL!$F238="Houston",+NFL!#REF!,IF(+NFL!$H238="Houston",+NFL!#REF!,0))</f>
        <v>0</v>
      </c>
      <c r="BC243" s="403">
        <f>IF(+NFL!$F238="Houston",+NFL!#REF!,IF(+NFL!$H238="Houston",+NFL!#REF!,0))</f>
        <v>0</v>
      </c>
      <c r="BD243" s="57">
        <f>IF(+NFL!$F238="Houston",+NFL!#REF!,IF(+NFL!$H238="Houston",+NFL!#REF!,0))</f>
        <v>0</v>
      </c>
      <c r="BE243" s="64">
        <f>IF(+NFL!$F238="Houston",+NFL!#REF!,IF(+NFL!$H238="Houston",+NFL!#REF!,0))</f>
        <v>0</v>
      </c>
      <c r="BF243" s="46">
        <f>IF(+NFL!$F238="Houston",+NFL!#REF!,IF(+NFL!$H238="Houston",+NFL!#REF!,0))</f>
        <v>0</v>
      </c>
      <c r="BG243" s="57">
        <f>IF(+NFL!$F238="Houston",+NFL!#REF!,IF(+NFL!$H238="Houston",+NFL!#REF!,0))</f>
        <v>0</v>
      </c>
      <c r="BH243" s="64">
        <f>IF(+NFL!$F238="Houston",+NFL!#REF!,IF(+NFL!$H238="Houston",+NFL!#REF!,0))</f>
        <v>0</v>
      </c>
      <c r="BI243" s="46">
        <f>IF(+NFL!$F238="Houston",+NFL!#REF!,IF(+NFL!$H238="Houston",+NFL!#REF!,0))</f>
        <v>0</v>
      </c>
      <c r="BJ243" s="87">
        <f>IF(+NFL!$F238="Houston",+NFL!#REF!,IF(+NFL!$H238="Houston",+NFL!#REF!,0))</f>
        <v>0</v>
      </c>
      <c r="BK243" s="120">
        <f>IF(+NFL!$F238="Houston",+NFL!#REF!,IF(+NFL!$H238="Houston",+NFL!#REF!,0))</f>
        <v>0</v>
      </c>
    </row>
    <row r="244" spans="1:63" x14ac:dyDescent="0.8">
      <c r="A244" s="46">
        <f>IF(+NFL!$F276="Houston",+NFL!A276,IF(+NFL!$H276="Houston",+NFL!A276,0))</f>
        <v>15</v>
      </c>
      <c r="B244" s="46" t="str">
        <f>IF(+NFL!$F276="Houston",+NFL!B276,IF(+NFL!$H276="Houston",+NFL!B276,0))</f>
        <v>Sun</v>
      </c>
      <c r="C244" s="48">
        <f>IF(+NFL!$F276="Houston",+NFL!C276,IF(+NFL!$H276="Houston",+NFL!C276,0))</f>
        <v>44913</v>
      </c>
      <c r="D244" s="490">
        <f>IF(+NFL!$F276="Houston",+NFL!D276,IF(+NFL!$H276="Houston",+NFL!D276,0))</f>
        <v>0.66666666666666663</v>
      </c>
      <c r="E244" s="46" t="str">
        <f>IF(+NFL!$F276="Houston",+NFL!E276,IF(+NFL!$H276="Houston",+NFL!E276,0))</f>
        <v>CBS</v>
      </c>
      <c r="F244" s="114" t="str">
        <f>IF(+NFL!$F276="Houston",+NFL!F276,IF(+NFL!$H276="Houston",+NFL!F276,0))</f>
        <v>Kansas City</v>
      </c>
      <c r="G244" s="46" t="str">
        <f>IF(+NFL!$F276="Houston",+NFL!G276,IF(+NFL!$H276="Houston",+NFL!G276,0))</f>
        <v>AFCW</v>
      </c>
      <c r="H244" s="114" t="str">
        <f>IF(+NFL!$F276="Houston",+NFL!H276,IF(+NFL!$H276="Houston",+NFL!H276,0))</f>
        <v>Houston</v>
      </c>
      <c r="I244" s="491" t="str">
        <f>IF(+NFL!$F276="Houston",+NFL!I276,IF(+NFL!$H276="Houston",+NFL!I276,0))</f>
        <v>AFCS</v>
      </c>
      <c r="J244" s="353" t="str">
        <f>IF(+NFL!$F276="Houston",+NFL!J276,IF(+NFL!$H276="Houston",+NFL!J276,0))</f>
        <v>Kansas City</v>
      </c>
      <c r="K244" s="494" t="str">
        <f>IF(+NFL!$F276="Houston",+NFL!K276,IF(+NFL!$H276="Houston",+NFL!K276,0))</f>
        <v>Houston</v>
      </c>
      <c r="L244" s="362">
        <f>IF(+NFL!$F276="Houston",+NFL!L276,IF(+NFL!$H276="Houston",+NFL!L276,0))</f>
        <v>14.5</v>
      </c>
      <c r="M244" s="386">
        <f>IF(+NFL!$F276="Houston",+NFL!M276,IF(+NFL!$H276="Houston",+NFL!M276,0))</f>
        <v>48.5</v>
      </c>
      <c r="N244" s="394" t="str">
        <f>IF(+NFL!$F276="Houston",+NFL!N276,IF(+NFL!$H276="Houston",+NFL!N276,0))</f>
        <v>Kansas City</v>
      </c>
      <c r="O244" s="395">
        <f>IF(+NFL!$F276="Houston",+NFL!O276,IF(+NFL!$H276="Houston",+NFL!O276,0))</f>
        <v>30</v>
      </c>
      <c r="P244" s="394" t="str">
        <f>IF(+NFL!$F276="Houston",+NFL!P276,IF(+NFL!$H276="Houston",+NFL!P276,0))</f>
        <v>Houston</v>
      </c>
      <c r="Q244" s="396">
        <f>IF(+NFL!$F276="Houston",+NFL!Q276,IF(+NFL!$H276="Houston",+NFL!Q276,0))</f>
        <v>24</v>
      </c>
      <c r="R244" s="397" t="str">
        <f>IF(+NFL!$F276="Houston",+NFL!R276,IF(+NFL!$H276="Houston",+NFL!R276,0))</f>
        <v>Houston</v>
      </c>
      <c r="S244" s="399" t="str">
        <f>IF(+NFL!$F276="Houston",+NFL!S276,IF(+NFL!$H276="Houston",+NFL!S276,0))</f>
        <v>Kansas City</v>
      </c>
      <c r="T244" s="397">
        <f>IF(+NFL!$F276="Houston",+NFL!T276,IF(+NFL!$H276="Houston",+NFL!T276,0))</f>
        <v>0</v>
      </c>
      <c r="U244" s="400" t="str">
        <f>IF(+NFL!$F276="Houston",+NFL!U276,IF(+NFL!$H276="Houston",+NFL!U276,0))</f>
        <v>L</v>
      </c>
      <c r="V244" s="397">
        <f>IF(+NFL!$F279="Houston",+NFL!#REF!,IF(+NFL!$H279="Houston",+NFL!#REF!,0))</f>
        <v>0</v>
      </c>
      <c r="W244" s="396">
        <f>IF(+NFL!$F279="Houston",+NFL!#REF!,IF(+NFL!$H279="Houston",+NFL!#REF!,0))</f>
        <v>0</v>
      </c>
      <c r="X244" s="398">
        <f>IF(+NFL!$F279="Houston",+NFL!#REF!,IF(+NFL!$H279="Houston",+NFL!#REF!,0))</f>
        <v>0</v>
      </c>
      <c r="Y244" s="396">
        <f>IF(+NFL!$F279="Houston",+NFL!#REF!,IF(+NFL!$H279="Houston",+NFL!#REF!,0))</f>
        <v>0</v>
      </c>
      <c r="Z244" s="397">
        <f>IF(+NFL!$F279="Houston",+NFL!#REF!,IF(+NFL!$H279="Houston",+NFL!#REF!,0))</f>
        <v>0</v>
      </c>
      <c r="AA244" s="400">
        <f>IF(+NFL!$F279="Houston",+NFL!#REF!,IF(+NFL!$H279="Houston",+NFL!#REF!,0))</f>
        <v>0</v>
      </c>
      <c r="AB244" s="87">
        <f>IF(+NFL!$F279="Houston",+NFL!#REF!,IF(+NFL!$H279="Houston",+NFL!#REF!,0))</f>
        <v>0</v>
      </c>
      <c r="AC244" s="120">
        <f>IF(+NFL!$F279="Houston",+NFL!#REF!,IF(+NFL!$H279="Houston",+NFL!#REF!,0))</f>
        <v>0</v>
      </c>
      <c r="AD244" s="353">
        <f>IF(+NFL!$F279="Houston",+NFL!#REF!,IF(+NFL!$H279="Houston",+NFL!#REF!,0))</f>
        <v>0</v>
      </c>
      <c r="AE244" s="379">
        <f>IF(+NFL!$F279="Houston",+NFL!#REF!,IF(+NFL!$H279="Houston",+NFL!#REF!,0))</f>
        <v>0</v>
      </c>
      <c r="AF244" s="353">
        <f>IF(+NFL!$F279="Houston",+NFL!#REF!,IF(+NFL!$H279="Houston",+NFL!#REF!,0))</f>
        <v>0</v>
      </c>
      <c r="AG244" s="388">
        <f>IF(+NFL!$F279="Houston",+NFL!#REF!,IF(+NFL!$H279="Houston",+NFL!#REF!,0))</f>
        <v>0</v>
      </c>
      <c r="AH244" s="353">
        <f>IF(+NFL!$F279="Houston",+NFL!#REF!,IF(+NFL!$H279="Houston",+NFL!#REF!,0))</f>
        <v>0</v>
      </c>
      <c r="AI244" s="388">
        <f>IF(+NFL!$F279="Houston",+NFL!#REF!,IF(+NFL!$H279="Houston",+NFL!#REF!,0))</f>
        <v>0</v>
      </c>
      <c r="AJ244" s="353">
        <f>IF(+NFL!$F279="Houston",+NFL!#REF!,IF(+NFL!$H279="Houston",+NFL!#REF!,0))</f>
        <v>0</v>
      </c>
      <c r="AK244" s="379">
        <f>IF(+NFL!$F279="Houston",+NFL!#REF!,IF(+NFL!$H279="Houston",+NFL!#REF!,0))</f>
        <v>0</v>
      </c>
      <c r="AL244" s="57">
        <f>IF(+NFL!$F279="Houston",+NFL!#REF!,IF(+NFL!$H279="Houston",+NFL!#REF!,0))</f>
        <v>0</v>
      </c>
      <c r="AM244" s="64">
        <f>IF(+NFL!$F279="Houston",+NFL!#REF!,IF(+NFL!$H279="Houston",+NFL!#REF!,0))</f>
        <v>0</v>
      </c>
      <c r="AN244" s="57">
        <f>IF(+NFL!$F279="Houston",+NFL!#REF!,IF(+NFL!$H279="Houston",+NFL!#REF!,0))</f>
        <v>0</v>
      </c>
      <c r="AO244" s="46">
        <f>IF(+NFL!$F279="Houston",+NFL!#REF!,IF(+NFL!$H279="Houston",+NFL!#REF!,0))</f>
        <v>0</v>
      </c>
      <c r="AP244" s="348">
        <f>IF(+NFL!$F279="Houston",+NFL!#REF!,IF(+NFL!$H279="Houston",+NFL!#REF!,0))</f>
        <v>0</v>
      </c>
      <c r="AQ244" s="48">
        <f>IF(+NFL!$F279="Houston",+NFL!#REF!,IF(+NFL!$H279="Houston",+NFL!#REF!,0))</f>
        <v>0</v>
      </c>
      <c r="AR244" s="57">
        <f>IF(+NFL!$F279="Houston",+NFL!#REF!,IF(+NFL!$H279="Houston",+NFL!#REF!,0))</f>
        <v>0</v>
      </c>
      <c r="AS244" s="64">
        <f>IF(+NFL!$F279="Houston",+NFL!#REF!,IF(+NFL!$H279="Houston",+NFL!#REF!,0))</f>
        <v>0</v>
      </c>
      <c r="AT244" s="64">
        <f>IF(+NFL!$F279="Houston",+NFL!#REF!,IF(+NFL!$H279="Houston",+NFL!#REF!,0))</f>
        <v>0</v>
      </c>
      <c r="AU244" s="57">
        <f>IF(+NFL!$F279="Houston",+NFL!#REF!,IF(+NFL!$H279="Houston",+NFL!#REF!,0))</f>
        <v>0</v>
      </c>
      <c r="AV244" s="64">
        <f>IF(+NFL!$F279="Houston",+NFL!#REF!,IF(+NFL!$H279="Houston",+NFL!#REF!,0))</f>
        <v>0</v>
      </c>
      <c r="AW244" s="46">
        <f>IF(+NFL!$F279="Houston",+NFL!#REF!,IF(+NFL!$H279="Houston",+NFL!#REF!,0))</f>
        <v>0</v>
      </c>
      <c r="AX244" s="64">
        <f>IF(+NFL!$F279="Houston",+NFL!#REF!,IF(+NFL!$H279="Houston",+NFL!#REF!,0))</f>
        <v>0</v>
      </c>
      <c r="AY244" s="57">
        <f>IF(+NFL!$F279="Houston",+NFL!#REF!,IF(+NFL!$H279="Houston",+NFL!#REF!,0))</f>
        <v>0</v>
      </c>
      <c r="AZ244" s="64">
        <f>IF(+NFL!$F279="Houston",+NFL!#REF!,IF(+NFL!$H279="Houston",+NFL!#REF!,0))</f>
        <v>0</v>
      </c>
      <c r="BA244" s="46">
        <f>IF(+NFL!$F279="Houston",+NFL!#REF!,IF(+NFL!$H279="Houston",+NFL!#REF!,0))</f>
        <v>0</v>
      </c>
      <c r="BB244" s="46">
        <f>IF(+NFL!$F279="Houston",+NFL!#REF!,IF(+NFL!$H279="Houston",+NFL!#REF!,0))</f>
        <v>0</v>
      </c>
      <c r="BC244" s="403">
        <f>IF(+NFL!$F279="Houston",+NFL!#REF!,IF(+NFL!$H279="Houston",+NFL!#REF!,0))</f>
        <v>0</v>
      </c>
      <c r="BD244" s="57">
        <f>IF(+NFL!$F279="Houston",+NFL!#REF!,IF(+NFL!$H279="Houston",+NFL!#REF!,0))</f>
        <v>0</v>
      </c>
      <c r="BE244" s="64">
        <f>IF(+NFL!$F279="Houston",+NFL!#REF!,IF(+NFL!$H279="Houston",+NFL!#REF!,0))</f>
        <v>0</v>
      </c>
      <c r="BF244" s="46">
        <f>IF(+NFL!$F279="Houston",+NFL!#REF!,IF(+NFL!$H279="Houston",+NFL!#REF!,0))</f>
        <v>0</v>
      </c>
      <c r="BG244" s="57">
        <f>IF(+NFL!$F279="Houston",+NFL!#REF!,IF(+NFL!$H279="Houston",+NFL!#REF!,0))</f>
        <v>0</v>
      </c>
      <c r="BH244" s="64">
        <f>IF(+NFL!$F279="Houston",+NFL!#REF!,IF(+NFL!$H279="Houston",+NFL!#REF!,0))</f>
        <v>0</v>
      </c>
      <c r="BI244" s="46">
        <f>IF(+NFL!$F279="Houston",+NFL!#REF!,IF(+NFL!$H279="Houston",+NFL!#REF!,0))</f>
        <v>0</v>
      </c>
      <c r="BJ244" s="87">
        <f>IF(+NFL!$F279="Houston",+NFL!#REF!,IF(+NFL!$H279="Houston",+NFL!#REF!,0))</f>
        <v>0</v>
      </c>
      <c r="BK244" s="120">
        <f>IF(+NFL!$F279="Houston",+NFL!#REF!,IF(+NFL!$H279="Houston",+NFL!#REF!,0))</f>
        <v>0</v>
      </c>
    </row>
    <row r="245" spans="1:63" x14ac:dyDescent="0.8">
      <c r="A245" s="46">
        <f>IF(+NFL!$F286="Houston",+NFL!A286,IF(+NFL!$H286="Houston",+NFL!A286,0))</f>
        <v>16</v>
      </c>
      <c r="B245" s="46" t="str">
        <f>IF(+NFL!$F286="Houston",+NFL!B286,IF(+NFL!$H286="Houston",+NFL!B286,0))</f>
        <v>Sat</v>
      </c>
      <c r="C245" s="48">
        <f>IF(+NFL!$F286="Houston",+NFL!C286,IF(+NFL!$H286="Houston",+NFL!C286,0))</f>
        <v>44919</v>
      </c>
      <c r="D245" s="490">
        <f>IF(+NFL!$F286="Houston",+NFL!D286,IF(+NFL!$H286="Houston",+NFL!D286,0))</f>
        <v>0.54166666666666663</v>
      </c>
      <c r="E245" s="46" t="str">
        <f>IF(+NFL!$F286="Houston",+NFL!E286,IF(+NFL!$H286="Houston",+NFL!E286,0))</f>
        <v>CBS</v>
      </c>
      <c r="F245" s="114" t="str">
        <f>IF(+NFL!$F286="Houston",+NFL!F286,IF(+NFL!$H286="Houston",+NFL!F286,0))</f>
        <v>Houston</v>
      </c>
      <c r="G245" s="46" t="str">
        <f>IF(+NFL!$F286="Houston",+NFL!G286,IF(+NFL!$H286="Houston",+NFL!G286,0))</f>
        <v>AFCS</v>
      </c>
      <c r="H245" s="114" t="str">
        <f>IF(+NFL!$F286="Houston",+NFL!H286,IF(+NFL!$H286="Houston",+NFL!H286,0))</f>
        <v>Tennessee</v>
      </c>
      <c r="I245" s="491" t="str">
        <f>IF(+NFL!$F286="Houston",+NFL!I286,IF(+NFL!$H286="Houston",+NFL!I286,0))</f>
        <v>AFCS</v>
      </c>
      <c r="J245" s="353" t="str">
        <f>IF(+NFL!$F286="Houston",+NFL!J286,IF(+NFL!$H286="Houston",+NFL!J286,0))</f>
        <v>Tennessee</v>
      </c>
      <c r="K245" s="494" t="str">
        <f>IF(+NFL!$F286="Houston",+NFL!K286,IF(+NFL!$H286="Houston",+NFL!K286,0))</f>
        <v>Houston</v>
      </c>
      <c r="L245" s="362">
        <f>IF(+NFL!$F286="Houston",+NFL!L286,IF(+NFL!$H286="Houston",+NFL!L286,0))</f>
        <v>3.5</v>
      </c>
      <c r="M245" s="386">
        <f>IF(+NFL!$F286="Houston",+NFL!M286,IF(+NFL!$H286="Houston",+NFL!M286,0))</f>
        <v>34.5</v>
      </c>
      <c r="N245" s="394" t="str">
        <f>IF(+NFL!$F286="Houston",+NFL!N286,IF(+NFL!$H286="Houston",+NFL!N286,0))</f>
        <v>Houston</v>
      </c>
      <c r="O245" s="395">
        <f>IF(+NFL!$F286="Houston",+NFL!O286,IF(+NFL!$H286="Houston",+NFL!O286,0))</f>
        <v>19</v>
      </c>
      <c r="P245" s="394" t="str">
        <f>IF(+NFL!$F286="Houston",+NFL!P286,IF(+NFL!$H286="Houston",+NFL!P286,0))</f>
        <v>Tennessee</v>
      </c>
      <c r="Q245" s="396">
        <f>IF(+NFL!$F286="Houston",+NFL!Q286,IF(+NFL!$H286="Houston",+NFL!Q286,0))</f>
        <v>14</v>
      </c>
      <c r="R245" s="397" t="str">
        <f>IF(+NFL!$F286="Houston",+NFL!R286,IF(+NFL!$H286="Houston",+NFL!R286,0))</f>
        <v>Houston</v>
      </c>
      <c r="S245" s="399" t="str">
        <f>IF(+NFL!$F286="Houston",+NFL!S286,IF(+NFL!$H286="Houston",+NFL!S286,0))</f>
        <v>Tennessee</v>
      </c>
      <c r="T245" s="397">
        <f>IF(+NFL!$F286="Houston",+NFL!T286,IF(+NFL!$H286="Houston",+NFL!T286,0))</f>
        <v>0</v>
      </c>
      <c r="U245" s="400" t="str">
        <f>IF(+NFL!$F286="Houston",+NFL!U286,IF(+NFL!$H286="Houston",+NFL!U286,0))</f>
        <v>L</v>
      </c>
      <c r="V245" s="397">
        <f>IF(+NFL!$F291="Houston",+NFL!#REF!,IF(+NFL!$H291="Houston",+NFL!#REF!,0))</f>
        <v>0</v>
      </c>
      <c r="W245" s="396">
        <f>IF(+NFL!$F291="Houston",+NFL!#REF!,IF(+NFL!$H291="Houston",+NFL!#REF!,0))</f>
        <v>0</v>
      </c>
      <c r="X245" s="398">
        <f>IF(+NFL!$F291="Houston",+NFL!#REF!,IF(+NFL!$H291="Houston",+NFL!#REF!,0))</f>
        <v>0</v>
      </c>
      <c r="Y245" s="396">
        <f>IF(+NFL!$F291="Houston",+NFL!#REF!,IF(+NFL!$H291="Houston",+NFL!#REF!,0))</f>
        <v>0</v>
      </c>
      <c r="Z245" s="397">
        <f>IF(+NFL!$F291="Houston",+NFL!#REF!,IF(+NFL!$H291="Houston",+NFL!#REF!,0))</f>
        <v>0</v>
      </c>
      <c r="AA245" s="400">
        <f>IF(+NFL!$F291="Houston",+NFL!#REF!,IF(+NFL!$H291="Houston",+NFL!#REF!,0))</f>
        <v>0</v>
      </c>
      <c r="AB245" s="87">
        <f>IF(+NFL!$F291="Houston",+NFL!#REF!,IF(+NFL!$H291="Houston",+NFL!#REF!,0))</f>
        <v>0</v>
      </c>
      <c r="AC245" s="120">
        <f>IF(+NFL!$F291="Houston",+NFL!#REF!,IF(+NFL!$H291="Houston",+NFL!#REF!,0))</f>
        <v>0</v>
      </c>
      <c r="AD245" s="353">
        <f>IF(+NFL!$F291="Houston",+NFL!#REF!,IF(+NFL!$H291="Houston",+NFL!#REF!,0))</f>
        <v>0</v>
      </c>
      <c r="AE245" s="379">
        <f>IF(+NFL!$F291="Houston",+NFL!#REF!,IF(+NFL!$H291="Houston",+NFL!#REF!,0))</f>
        <v>0</v>
      </c>
      <c r="AF245" s="353">
        <f>IF(+NFL!$F291="Houston",+NFL!#REF!,IF(+NFL!$H291="Houston",+NFL!#REF!,0))</f>
        <v>0</v>
      </c>
      <c r="AG245" s="388">
        <f>IF(+NFL!$F291="Houston",+NFL!#REF!,IF(+NFL!$H291="Houston",+NFL!#REF!,0))</f>
        <v>0</v>
      </c>
      <c r="AH245" s="353">
        <f>IF(+NFL!$F291="Houston",+NFL!#REF!,IF(+NFL!$H291="Houston",+NFL!#REF!,0))</f>
        <v>0</v>
      </c>
      <c r="AI245" s="388">
        <f>IF(+NFL!$F291="Houston",+NFL!#REF!,IF(+NFL!$H291="Houston",+NFL!#REF!,0))</f>
        <v>0</v>
      </c>
      <c r="AJ245" s="353">
        <f>IF(+NFL!$F291="Houston",+NFL!#REF!,IF(+NFL!$H291="Houston",+NFL!#REF!,0))</f>
        <v>0</v>
      </c>
      <c r="AK245" s="379">
        <f>IF(+NFL!$F291="Houston",+NFL!#REF!,IF(+NFL!$H291="Houston",+NFL!#REF!,0))</f>
        <v>0</v>
      </c>
      <c r="AL245" s="57">
        <f>IF(+NFL!$F291="Houston",+NFL!#REF!,IF(+NFL!$H291="Houston",+NFL!#REF!,0))</f>
        <v>0</v>
      </c>
      <c r="AM245" s="64">
        <f>IF(+NFL!$F291="Houston",+NFL!#REF!,IF(+NFL!$H291="Houston",+NFL!#REF!,0))</f>
        <v>0</v>
      </c>
      <c r="AN245" s="57">
        <f>IF(+NFL!$F291="Houston",+NFL!#REF!,IF(+NFL!$H291="Houston",+NFL!#REF!,0))</f>
        <v>0</v>
      </c>
      <c r="AO245" s="46">
        <f>IF(+NFL!$F291="Houston",+NFL!#REF!,IF(+NFL!$H291="Houston",+NFL!#REF!,0))</f>
        <v>0</v>
      </c>
      <c r="AP245" s="348">
        <f>IF(+NFL!$F291="Houston",+NFL!#REF!,IF(+NFL!$H291="Houston",+NFL!#REF!,0))</f>
        <v>0</v>
      </c>
      <c r="AQ245" s="48">
        <f>IF(+NFL!$F291="Houston",+NFL!#REF!,IF(+NFL!$H291="Houston",+NFL!#REF!,0))</f>
        <v>0</v>
      </c>
      <c r="AR245" s="57">
        <f>IF(+NFL!$F291="Houston",+NFL!#REF!,IF(+NFL!$H291="Houston",+NFL!#REF!,0))</f>
        <v>0</v>
      </c>
      <c r="AS245" s="64">
        <f>IF(+NFL!$F291="Houston",+NFL!#REF!,IF(+NFL!$H291="Houston",+NFL!#REF!,0))</f>
        <v>0</v>
      </c>
      <c r="AT245" s="64">
        <f>IF(+NFL!$F291="Houston",+NFL!#REF!,IF(+NFL!$H291="Houston",+NFL!#REF!,0))</f>
        <v>0</v>
      </c>
      <c r="AU245" s="57">
        <f>IF(+NFL!$F291="Houston",+NFL!#REF!,IF(+NFL!$H291="Houston",+NFL!#REF!,0))</f>
        <v>0</v>
      </c>
      <c r="AV245" s="64">
        <f>IF(+NFL!$F291="Houston",+NFL!#REF!,IF(+NFL!$H291="Houston",+NFL!#REF!,0))</f>
        <v>0</v>
      </c>
      <c r="AW245" s="46">
        <f>IF(+NFL!$F291="Houston",+NFL!#REF!,IF(+NFL!$H291="Houston",+NFL!#REF!,0))</f>
        <v>0</v>
      </c>
      <c r="AX245" s="64">
        <f>IF(+NFL!$F291="Houston",+NFL!#REF!,IF(+NFL!$H291="Houston",+NFL!#REF!,0))</f>
        <v>0</v>
      </c>
      <c r="AY245" s="57">
        <f>IF(+NFL!$F291="Houston",+NFL!#REF!,IF(+NFL!$H291="Houston",+NFL!#REF!,0))</f>
        <v>0</v>
      </c>
      <c r="AZ245" s="64">
        <f>IF(+NFL!$F291="Houston",+NFL!#REF!,IF(+NFL!$H291="Houston",+NFL!#REF!,0))</f>
        <v>0</v>
      </c>
      <c r="BA245" s="46">
        <f>IF(+NFL!$F291="Houston",+NFL!#REF!,IF(+NFL!$H291="Houston",+NFL!#REF!,0))</f>
        <v>0</v>
      </c>
      <c r="BB245" s="46">
        <f>IF(+NFL!$F291="Houston",+NFL!#REF!,IF(+NFL!$H291="Houston",+NFL!#REF!,0))</f>
        <v>0</v>
      </c>
      <c r="BC245" s="403">
        <f>IF(+NFL!$F291="Houston",+NFL!#REF!,IF(+NFL!$H291="Houston",+NFL!#REF!,0))</f>
        <v>0</v>
      </c>
      <c r="BD245" s="57">
        <f>IF(+NFL!$F291="Houston",+NFL!#REF!,IF(+NFL!$H291="Houston",+NFL!#REF!,0))</f>
        <v>0</v>
      </c>
      <c r="BE245" s="64">
        <f>IF(+NFL!$F291="Houston",+NFL!#REF!,IF(+NFL!$H291="Houston",+NFL!#REF!,0))</f>
        <v>0</v>
      </c>
      <c r="BF245" s="46">
        <f>IF(+NFL!$F291="Houston",+NFL!#REF!,IF(+NFL!$H291="Houston",+NFL!#REF!,0))</f>
        <v>0</v>
      </c>
      <c r="BG245" s="57">
        <f>IF(+NFL!$F291="Houston",+NFL!#REF!,IF(+NFL!$H291="Houston",+NFL!#REF!,0))</f>
        <v>0</v>
      </c>
      <c r="BH245" s="64">
        <f>IF(+NFL!$F291="Houston",+NFL!#REF!,IF(+NFL!$H291="Houston",+NFL!#REF!,0))</f>
        <v>0</v>
      </c>
      <c r="BI245" s="46">
        <f>IF(+NFL!$F291="Houston",+NFL!#REF!,IF(+NFL!$H291="Houston",+NFL!#REF!,0))</f>
        <v>0</v>
      </c>
      <c r="BJ245" s="87">
        <f>IF(+NFL!$F291="Houston",+NFL!#REF!,IF(+NFL!$H291="Houston",+NFL!#REF!,0))</f>
        <v>0</v>
      </c>
      <c r="BK245" s="120">
        <f>IF(+NFL!$F291="Houston",+NFL!#REF!,IF(+NFL!$H291="Houston",+NFL!#REF!,0))</f>
        <v>0</v>
      </c>
    </row>
    <row r="246" spans="1:63" x14ac:dyDescent="0.8">
      <c r="A246" s="46">
        <f>IF(+NFL!$F310="Houston",+NFL!A310,IF(+NFL!$H310="Houston",+NFL!A310,0))</f>
        <v>17</v>
      </c>
      <c r="B246" s="46" t="str">
        <f>IF(+NFL!$F310="Houston",+NFL!B310,IF(+NFL!$H310="Houston",+NFL!B310,0))</f>
        <v>Sun</v>
      </c>
      <c r="C246" s="48">
        <f>IF(+NFL!$F310="Houston",+NFL!C310,IF(+NFL!$H310="Houston",+NFL!C310,0))</f>
        <v>44927</v>
      </c>
      <c r="D246" s="490">
        <f>IF(+NFL!$F310="Houston",+NFL!D310,IF(+NFL!$H310="Houston",+NFL!D310,0))</f>
        <v>0.66666666666666663</v>
      </c>
      <c r="E246" s="46" t="str">
        <f>IF(+NFL!$F310="Houston",+NFL!E310,IF(+NFL!$H310="Houston",+NFL!E310,0))</f>
        <v>CBS</v>
      </c>
      <c r="F246" s="114" t="str">
        <f>IF(+NFL!$F310="Houston",+NFL!F310,IF(+NFL!$H310="Houston",+NFL!F310,0))</f>
        <v>Jacksonville</v>
      </c>
      <c r="G246" s="46" t="str">
        <f>IF(+NFL!$F310="Houston",+NFL!G310,IF(+NFL!$H310="Houston",+NFL!G310,0))</f>
        <v>AFCS</v>
      </c>
      <c r="H246" s="114" t="str">
        <f>IF(+NFL!$F310="Houston",+NFL!H310,IF(+NFL!$H310="Houston",+NFL!H310,0))</f>
        <v>Houston</v>
      </c>
      <c r="I246" s="491" t="str">
        <f>IF(+NFL!$F310="Houston",+NFL!I310,IF(+NFL!$H310="Houston",+NFL!I310,0))</f>
        <v>AFCS</v>
      </c>
      <c r="J246" s="353" t="str">
        <f>IF(+NFL!$F310="Houston",+NFL!J310,IF(+NFL!$H310="Houston",+NFL!J310,0))</f>
        <v>Jacksonville</v>
      </c>
      <c r="K246" s="494" t="str">
        <f>IF(+NFL!$F310="Houston",+NFL!K310,IF(+NFL!$H310="Houston",+NFL!K310,0))</f>
        <v>Houston</v>
      </c>
      <c r="L246" s="362">
        <f>IF(+NFL!$F310="Houston",+NFL!L310,IF(+NFL!$H310="Houston",+NFL!L310,0))</f>
        <v>3.5</v>
      </c>
      <c r="M246" s="386">
        <f>IF(+NFL!$F310="Houston",+NFL!M310,IF(+NFL!$H310="Houston",+NFL!M310,0))</f>
        <v>43.5</v>
      </c>
      <c r="N246" s="394" t="str">
        <f>IF(+NFL!$F310="Houston",+NFL!N310,IF(+NFL!$H310="Houston",+NFL!N310,0))</f>
        <v>Jacksonville</v>
      </c>
      <c r="O246" s="395">
        <f>IF(+NFL!$F310="Houston",+NFL!O310,IF(+NFL!$H310="Houston",+NFL!O310,0))</f>
        <v>31</v>
      </c>
      <c r="P246" s="394" t="str">
        <f>IF(+NFL!$F310="Houston",+NFL!P310,IF(+NFL!$H310="Houston",+NFL!P310,0))</f>
        <v>Houston</v>
      </c>
      <c r="Q246" s="396">
        <f>IF(+NFL!$F310="Houston",+NFL!Q310,IF(+NFL!$H310="Houston",+NFL!Q310,0))</f>
        <v>3</v>
      </c>
      <c r="R246" s="397" t="str">
        <f>IF(+NFL!$F310="Houston",+NFL!R310,IF(+NFL!$H310="Houston",+NFL!R310,0))</f>
        <v>Jacksonville</v>
      </c>
      <c r="S246" s="399" t="str">
        <f>IF(+NFL!$F310="Houston",+NFL!S310,IF(+NFL!$H310="Houston",+NFL!S310,0))</f>
        <v>Houston</v>
      </c>
      <c r="T246" s="397">
        <f>IF(+NFL!$F310="Houston",+NFL!T310,IF(+NFL!$H310="Houston",+NFL!T310,0))</f>
        <v>0</v>
      </c>
      <c r="U246" s="400" t="str">
        <f>IF(+NFL!$F310="Houston",+NFL!U310,IF(+NFL!$H310="Houston",+NFL!U310,0))</f>
        <v>L</v>
      </c>
      <c r="V246" s="397" t="e">
        <f>IF(+NFL!#REF!="Houston",+NFL!#REF!,IF(+NFL!#REF!="Houston",+NFL!#REF!,0))</f>
        <v>#REF!</v>
      </c>
      <c r="W246" s="396" t="e">
        <f>IF(+NFL!#REF!="Houston",+NFL!#REF!,IF(+NFL!#REF!="Houston",+NFL!#REF!,0))</f>
        <v>#REF!</v>
      </c>
      <c r="X246" s="398" t="e">
        <f>IF(+NFL!#REF!="Houston",+NFL!#REF!,IF(+NFL!#REF!="Houston",+NFL!#REF!,0))</f>
        <v>#REF!</v>
      </c>
      <c r="Y246" s="396" t="e">
        <f>IF(+NFL!#REF!="Houston",+NFL!#REF!,IF(+NFL!#REF!="Houston",+NFL!#REF!,0))</f>
        <v>#REF!</v>
      </c>
      <c r="Z246" s="397" t="e">
        <f>IF(+NFL!#REF!="Houston",+NFL!#REF!,IF(+NFL!#REF!="Houston",+NFL!#REF!,0))</f>
        <v>#REF!</v>
      </c>
      <c r="AA246" s="400" t="e">
        <f>IF(+NFL!#REF!="Houston",+NFL!#REF!,IF(+NFL!#REF!="Houston",+NFL!#REF!,0))</f>
        <v>#REF!</v>
      </c>
      <c r="AB246" s="87" t="e">
        <f>IF(+NFL!#REF!="Houston",+NFL!#REF!,IF(+NFL!#REF!="Houston",+NFL!#REF!,0))</f>
        <v>#REF!</v>
      </c>
      <c r="AC246" s="120" t="e">
        <f>IF(+NFL!#REF!="Houston",+NFL!#REF!,IF(+NFL!#REF!="Houston",+NFL!#REF!,0))</f>
        <v>#REF!</v>
      </c>
      <c r="AD246" s="353" t="e">
        <f>IF(+NFL!#REF!="Houston",+NFL!#REF!,IF(+NFL!#REF!="Houston",+NFL!#REF!,0))</f>
        <v>#REF!</v>
      </c>
      <c r="AE246" s="379" t="e">
        <f>IF(+NFL!#REF!="Houston",+NFL!#REF!,IF(+NFL!#REF!="Houston",+NFL!#REF!,0))</f>
        <v>#REF!</v>
      </c>
      <c r="AF246" s="353" t="e">
        <f>IF(+NFL!#REF!="Houston",+NFL!#REF!,IF(+NFL!#REF!="Houston",+NFL!#REF!,0))</f>
        <v>#REF!</v>
      </c>
      <c r="AG246" s="388" t="e">
        <f>IF(+NFL!#REF!="Houston",+NFL!#REF!,IF(+NFL!#REF!="Houston",+NFL!#REF!,0))</f>
        <v>#REF!</v>
      </c>
      <c r="AH246" s="353" t="e">
        <f>IF(+NFL!#REF!="Houston",+NFL!#REF!,IF(+NFL!#REF!="Houston",+NFL!#REF!,0))</f>
        <v>#REF!</v>
      </c>
      <c r="AI246" s="388" t="e">
        <f>IF(+NFL!#REF!="Houston",+NFL!#REF!,IF(+NFL!#REF!="Houston",+NFL!#REF!,0))</f>
        <v>#REF!</v>
      </c>
      <c r="AJ246" s="353" t="e">
        <f>IF(+NFL!#REF!="Houston",+NFL!#REF!,IF(+NFL!#REF!="Houston",+NFL!#REF!,0))</f>
        <v>#REF!</v>
      </c>
      <c r="AK246" s="379" t="e">
        <f>IF(+NFL!#REF!="Houston",+NFL!#REF!,IF(+NFL!#REF!="Houston",+NFL!#REF!,0))</f>
        <v>#REF!</v>
      </c>
      <c r="AL246" s="57" t="e">
        <f>IF(+NFL!#REF!="Houston",+NFL!#REF!,IF(+NFL!#REF!="Houston",+NFL!#REF!,0))</f>
        <v>#REF!</v>
      </c>
      <c r="AM246" s="64" t="e">
        <f>IF(+NFL!#REF!="Houston",+NFL!#REF!,IF(+NFL!#REF!="Houston",+NFL!#REF!,0))</f>
        <v>#REF!</v>
      </c>
      <c r="AN246" s="57" t="e">
        <f>IF(+NFL!#REF!="Houston",+NFL!#REF!,IF(+NFL!#REF!="Houston",+NFL!#REF!,0))</f>
        <v>#REF!</v>
      </c>
      <c r="AO246" s="46" t="e">
        <f>IF(+NFL!#REF!="Houston",+NFL!#REF!,IF(+NFL!#REF!="Houston",+NFL!#REF!,0))</f>
        <v>#REF!</v>
      </c>
      <c r="AP246" s="348" t="e">
        <f>IF(+NFL!#REF!="Houston",+NFL!#REF!,IF(+NFL!#REF!="Houston",+NFL!#REF!,0))</f>
        <v>#REF!</v>
      </c>
      <c r="AQ246" s="48" t="e">
        <f>IF(+NFL!#REF!="Houston",+NFL!#REF!,IF(+NFL!#REF!="Houston",+NFL!#REF!,0))</f>
        <v>#REF!</v>
      </c>
      <c r="AR246" s="57" t="e">
        <f>IF(+NFL!#REF!="Houston",+NFL!#REF!,IF(+NFL!#REF!="Houston",+NFL!#REF!,0))</f>
        <v>#REF!</v>
      </c>
      <c r="AS246" s="64" t="e">
        <f>IF(+NFL!#REF!="Houston",+NFL!#REF!,IF(+NFL!#REF!="Houston",+NFL!#REF!,0))</f>
        <v>#REF!</v>
      </c>
      <c r="AT246" s="64" t="e">
        <f>IF(+NFL!#REF!="Houston",+NFL!#REF!,IF(+NFL!#REF!="Houston",+NFL!#REF!,0))</f>
        <v>#REF!</v>
      </c>
      <c r="AU246" s="57" t="e">
        <f>IF(+NFL!#REF!="Houston",+NFL!#REF!,IF(+NFL!#REF!="Houston",+NFL!#REF!,0))</f>
        <v>#REF!</v>
      </c>
      <c r="AV246" s="64" t="e">
        <f>IF(+NFL!#REF!="Houston",+NFL!#REF!,IF(+NFL!#REF!="Houston",+NFL!#REF!,0))</f>
        <v>#REF!</v>
      </c>
      <c r="AW246" s="46" t="e">
        <f>IF(+NFL!#REF!="Houston",+NFL!#REF!,IF(+NFL!#REF!="Houston",+NFL!#REF!,0))</f>
        <v>#REF!</v>
      </c>
      <c r="AX246" s="64" t="e">
        <f>IF(+NFL!#REF!="Houston",+NFL!#REF!,IF(+NFL!#REF!="Houston",+NFL!#REF!,0))</f>
        <v>#REF!</v>
      </c>
      <c r="AY246" s="57" t="e">
        <f>IF(+NFL!#REF!="Houston",+NFL!#REF!,IF(+NFL!#REF!="Houston",+NFL!#REF!,0))</f>
        <v>#REF!</v>
      </c>
      <c r="AZ246" s="64" t="e">
        <f>IF(+NFL!#REF!="Houston",+NFL!#REF!,IF(+NFL!#REF!="Houston",+NFL!#REF!,0))</f>
        <v>#REF!</v>
      </c>
      <c r="BA246" s="46" t="e">
        <f>IF(+NFL!#REF!="Houston",+NFL!#REF!,IF(+NFL!#REF!="Houston",+NFL!#REF!,0))</f>
        <v>#REF!</v>
      </c>
      <c r="BB246" s="46" t="e">
        <f>IF(+NFL!#REF!="Houston",+NFL!#REF!,IF(+NFL!#REF!="Houston",+NFL!#REF!,0))</f>
        <v>#REF!</v>
      </c>
      <c r="BC246" s="403" t="e">
        <f>IF(+NFL!#REF!="Houston",+NFL!#REF!,IF(+NFL!#REF!="Houston",+NFL!#REF!,0))</f>
        <v>#REF!</v>
      </c>
      <c r="BD246" s="57" t="e">
        <f>IF(+NFL!#REF!="Houston",+NFL!#REF!,IF(+NFL!#REF!="Houston",+NFL!#REF!,0))</f>
        <v>#REF!</v>
      </c>
      <c r="BE246" s="64" t="e">
        <f>IF(+NFL!#REF!="Houston",+NFL!#REF!,IF(+NFL!#REF!="Houston",+NFL!#REF!,0))</f>
        <v>#REF!</v>
      </c>
      <c r="BF246" s="46" t="e">
        <f>IF(+NFL!#REF!="Houston",+NFL!#REF!,IF(+NFL!#REF!="Houston",+NFL!#REF!,0))</f>
        <v>#REF!</v>
      </c>
      <c r="BG246" s="57" t="e">
        <f>IF(+NFL!#REF!="Houston",+NFL!#REF!,IF(+NFL!#REF!="Houston",+NFL!#REF!,0))</f>
        <v>#REF!</v>
      </c>
      <c r="BH246" s="64" t="e">
        <f>IF(+NFL!#REF!="Houston",+NFL!#REF!,IF(+NFL!#REF!="Houston",+NFL!#REF!,0))</f>
        <v>#REF!</v>
      </c>
      <c r="BI246" s="46" t="e">
        <f>IF(+NFL!#REF!="Houston",+NFL!#REF!,IF(+NFL!#REF!="Houston",+NFL!#REF!,0))</f>
        <v>#REF!</v>
      </c>
      <c r="BJ246" s="87" t="e">
        <f>IF(+NFL!#REF!="Houston",+NFL!#REF!,IF(+NFL!#REF!="Houston",+NFL!#REF!,0))</f>
        <v>#REF!</v>
      </c>
      <c r="BK246" s="120" t="e">
        <f>IF(+NFL!#REF!="Houston",+NFL!#REF!,IF(+NFL!#REF!="Houston",+NFL!#REF!,0))</f>
        <v>#REF!</v>
      </c>
    </row>
    <row r="247" spans="1:63" x14ac:dyDescent="0.8">
      <c r="A247" s="46">
        <f>IF(+NFL!$F322="Houston",+NFL!A322,IF(+NFL!$H322="Houston",+NFL!A322,0))</f>
        <v>18</v>
      </c>
      <c r="B247" s="46" t="str">
        <f>IF(+NFL!$F322="Houston",+NFL!B322,IF(+NFL!$H322="Houston",+NFL!B322,0))</f>
        <v>Sun</v>
      </c>
      <c r="C247" s="48">
        <f>IF(+NFL!$F322="Houston",+NFL!C322,IF(+NFL!$H322="Houston",+NFL!C322,0))</f>
        <v>44934</v>
      </c>
      <c r="D247" s="490">
        <f>IF(+NFL!$F322="Houston",+NFL!D322,IF(+NFL!$H322="Houston",+NFL!D322,0))</f>
        <v>0.54166666666666663</v>
      </c>
      <c r="E247" s="46" t="str">
        <f>IF(+NFL!$F322="Houston",+NFL!E322,IF(+NFL!$H322="Houston",+NFL!E322,0))</f>
        <v>CBS</v>
      </c>
      <c r="F247" s="114" t="str">
        <f>IF(+NFL!$F322="Houston",+NFL!F322,IF(+NFL!$H322="Houston",+NFL!F322,0))</f>
        <v>Houston</v>
      </c>
      <c r="G247" s="46" t="str">
        <f>IF(+NFL!$F322="Houston",+NFL!G322,IF(+NFL!$H322="Houston",+NFL!G322,0))</f>
        <v>AFCS</v>
      </c>
      <c r="H247" s="114" t="str">
        <f>IF(+NFL!$F322="Houston",+NFL!H322,IF(+NFL!$H322="Houston",+NFL!H322,0))</f>
        <v>Indianapolis</v>
      </c>
      <c r="I247" s="491" t="str">
        <f>IF(+NFL!$F322="Houston",+NFL!I322,IF(+NFL!$H322="Houston",+NFL!I322,0))</f>
        <v>AFCS</v>
      </c>
      <c r="J247" s="353" t="str">
        <f>IF(+NFL!$F322="Houston",+NFL!J322,IF(+NFL!$H322="Houston",+NFL!J322,0))</f>
        <v>Indianapolis</v>
      </c>
      <c r="K247" s="494" t="str">
        <f>IF(+NFL!$F322="Houston",+NFL!K322,IF(+NFL!$H322="Houston",+NFL!K322,0))</f>
        <v>Houston</v>
      </c>
      <c r="L247" s="362">
        <f>IF(+NFL!$F322="Houston",+NFL!L322,IF(+NFL!$H322="Houston",+NFL!L322,0))</f>
        <v>2.5</v>
      </c>
      <c r="M247" s="386">
        <f>IF(+NFL!$F322="Houston",+NFL!M322,IF(+NFL!$H322="Houston",+NFL!M322,0))</f>
        <v>38</v>
      </c>
      <c r="N247" s="394" t="str">
        <f>IF(+NFL!$F322="Houston",+NFL!N322,IF(+NFL!$H322="Houston",+NFL!N322,0))</f>
        <v>Houston</v>
      </c>
      <c r="O247" s="395">
        <f>IF(+NFL!$F322="Houston",+NFL!O322,IF(+NFL!$H322="Houston",+NFL!O322,0))</f>
        <v>32</v>
      </c>
      <c r="P247" s="394" t="str">
        <f>IF(+NFL!$F322="Houston",+NFL!P322,IF(+NFL!$H322="Houston",+NFL!P322,0))</f>
        <v>Indianapolis</v>
      </c>
      <c r="Q247" s="396">
        <f>IF(+NFL!$F322="Houston",+NFL!Q322,IF(+NFL!$H322="Houston",+NFL!Q322,0))</f>
        <v>31</v>
      </c>
      <c r="R247" s="397" t="str">
        <f>IF(+NFL!$F322="Houston",+NFL!R322,IF(+NFL!$H322="Houston",+NFL!R322,0))</f>
        <v>Houston</v>
      </c>
      <c r="S247" s="399" t="str">
        <f>IF(+NFL!$F322="Houston",+NFL!S322,IF(+NFL!$H322="Houston",+NFL!S322,0))</f>
        <v>Indianapolis</v>
      </c>
      <c r="T247" s="397" t="str">
        <f>IF(+NFL!$F322="Houston",+NFL!T322,IF(+NFL!$H322="Houston",+NFL!T322,0))</f>
        <v>Houston</v>
      </c>
      <c r="U247" s="400" t="str">
        <f>IF(+NFL!$F322="Houston",+NFL!U322,IF(+NFL!$H322="Houston",+NFL!U322,0))</f>
        <v>W</v>
      </c>
      <c r="V247" s="397">
        <f>IF(+NFL!$F324="Houston",+NFL!#REF!,IF(+NFL!$H324="Houston",+NFL!#REF!,0))</f>
        <v>0</v>
      </c>
      <c r="W247" s="396">
        <f>IF(+NFL!$F324="Houston",+NFL!#REF!,IF(+NFL!$H324="Houston",+NFL!#REF!,0))</f>
        <v>0</v>
      </c>
      <c r="X247" s="398">
        <f>IF(+NFL!$F324="Houston",+NFL!#REF!,IF(+NFL!$H324="Houston",+NFL!#REF!,0))</f>
        <v>0</v>
      </c>
      <c r="Y247" s="396">
        <f>IF(+NFL!$F324="Houston",+NFL!#REF!,IF(+NFL!$H324="Houston",+NFL!#REF!,0))</f>
        <v>0</v>
      </c>
      <c r="Z247" s="397">
        <f>IF(+NFL!$F324="Houston",+NFL!#REF!,IF(+NFL!$H324="Houston",+NFL!#REF!,0))</f>
        <v>0</v>
      </c>
      <c r="AA247" s="400">
        <f>IF(+NFL!$F324="Houston",+NFL!#REF!,IF(+NFL!$H324="Houston",+NFL!#REF!,0))</f>
        <v>0</v>
      </c>
      <c r="AB247" s="87">
        <f>IF(+NFL!$F324="Houston",+NFL!#REF!,IF(+NFL!$H324="Houston",+NFL!#REF!,0))</f>
        <v>0</v>
      </c>
      <c r="AC247" s="120">
        <f>IF(+NFL!$F324="Houston",+NFL!#REF!,IF(+NFL!$H324="Houston",+NFL!#REF!,0))</f>
        <v>0</v>
      </c>
      <c r="AD247" s="353">
        <f>IF(+NFL!$F324="Houston",+NFL!#REF!,IF(+NFL!$H324="Houston",+NFL!#REF!,0))</f>
        <v>0</v>
      </c>
      <c r="AE247" s="379">
        <f>IF(+NFL!$F324="Houston",+NFL!#REF!,IF(+NFL!$H324="Houston",+NFL!#REF!,0))</f>
        <v>0</v>
      </c>
      <c r="AF247" s="353">
        <f>IF(+NFL!$F324="Houston",+NFL!#REF!,IF(+NFL!$H324="Houston",+NFL!#REF!,0))</f>
        <v>0</v>
      </c>
      <c r="AG247" s="388">
        <f>IF(+NFL!$F324="Houston",+NFL!#REF!,IF(+NFL!$H324="Houston",+NFL!#REF!,0))</f>
        <v>0</v>
      </c>
      <c r="AH247" s="353">
        <f>IF(+NFL!$F324="Houston",+NFL!#REF!,IF(+NFL!$H324="Houston",+NFL!#REF!,0))</f>
        <v>0</v>
      </c>
      <c r="AI247" s="388">
        <f>IF(+NFL!$F324="Houston",+NFL!#REF!,IF(+NFL!$H324="Houston",+NFL!#REF!,0))</f>
        <v>0</v>
      </c>
      <c r="AJ247" s="353">
        <f>IF(+NFL!$F324="Houston",+NFL!#REF!,IF(+NFL!$H324="Houston",+NFL!#REF!,0))</f>
        <v>0</v>
      </c>
      <c r="AK247" s="379">
        <f>IF(+NFL!$F324="Houston",+NFL!#REF!,IF(+NFL!$H324="Houston",+NFL!#REF!,0))</f>
        <v>0</v>
      </c>
      <c r="AL247" s="57">
        <f>IF(+NFL!$F324="Houston",+NFL!#REF!,IF(+NFL!$H324="Houston",+NFL!#REF!,0))</f>
        <v>0</v>
      </c>
      <c r="AM247" s="64">
        <f>IF(+NFL!$F324="Houston",+NFL!#REF!,IF(+NFL!$H324="Houston",+NFL!#REF!,0))</f>
        <v>0</v>
      </c>
      <c r="AN247" s="57">
        <f>IF(+NFL!$F324="Houston",+NFL!#REF!,IF(+NFL!$H324="Houston",+NFL!#REF!,0))</f>
        <v>0</v>
      </c>
      <c r="AO247" s="46">
        <f>IF(+NFL!$F324="Houston",+NFL!#REF!,IF(+NFL!$H324="Houston",+NFL!#REF!,0))</f>
        <v>0</v>
      </c>
      <c r="AP247" s="348">
        <f>IF(+NFL!$F324="Houston",+NFL!#REF!,IF(+NFL!$H324="Houston",+NFL!#REF!,0))</f>
        <v>0</v>
      </c>
      <c r="AQ247" s="48">
        <f>IF(+NFL!$F324="Houston",+NFL!#REF!,IF(+NFL!$H324="Houston",+NFL!#REF!,0))</f>
        <v>0</v>
      </c>
      <c r="AR247" s="57">
        <f>IF(+NFL!$F324="Houston",+NFL!#REF!,IF(+NFL!$H324="Houston",+NFL!#REF!,0))</f>
        <v>0</v>
      </c>
      <c r="AS247" s="64">
        <f>IF(+NFL!$F324="Houston",+NFL!#REF!,IF(+NFL!$H324="Houston",+NFL!#REF!,0))</f>
        <v>0</v>
      </c>
      <c r="AT247" s="64">
        <f>IF(+NFL!$F324="Houston",+NFL!#REF!,IF(+NFL!$H324="Houston",+NFL!#REF!,0))</f>
        <v>0</v>
      </c>
      <c r="AU247" s="57">
        <f>IF(+NFL!$F324="Houston",+NFL!#REF!,IF(+NFL!$H324="Houston",+NFL!#REF!,0))</f>
        <v>0</v>
      </c>
      <c r="AV247" s="64">
        <f>IF(+NFL!$F324="Houston",+NFL!#REF!,IF(+NFL!$H324="Houston",+NFL!#REF!,0))</f>
        <v>0</v>
      </c>
      <c r="AW247" s="46">
        <f>IF(+NFL!$F324="Houston",+NFL!#REF!,IF(+NFL!$H324="Houston",+NFL!#REF!,0))</f>
        <v>0</v>
      </c>
      <c r="AX247" s="64">
        <f>IF(+NFL!$F324="Houston",+NFL!#REF!,IF(+NFL!$H324="Houston",+NFL!#REF!,0))</f>
        <v>0</v>
      </c>
      <c r="AY247" s="57">
        <f>IF(+NFL!$F324="Houston",+NFL!#REF!,IF(+NFL!$H324="Houston",+NFL!#REF!,0))</f>
        <v>0</v>
      </c>
      <c r="AZ247" s="64">
        <f>IF(+NFL!$F324="Houston",+NFL!#REF!,IF(+NFL!$H324="Houston",+NFL!#REF!,0))</f>
        <v>0</v>
      </c>
      <c r="BA247" s="46">
        <f>IF(+NFL!$F324="Houston",+NFL!#REF!,IF(+NFL!$H324="Houston",+NFL!#REF!,0))</f>
        <v>0</v>
      </c>
      <c r="BB247" s="46">
        <f>IF(+NFL!$F324="Houston",+NFL!#REF!,IF(+NFL!$H324="Houston",+NFL!#REF!,0))</f>
        <v>0</v>
      </c>
      <c r="BC247" s="403">
        <f>IF(+NFL!$F324="Houston",+NFL!#REF!,IF(+NFL!$H324="Houston",+NFL!#REF!,0))</f>
        <v>0</v>
      </c>
      <c r="BD247" s="57">
        <f>IF(+NFL!$F324="Houston",+NFL!#REF!,IF(+NFL!$H324="Houston",+NFL!#REF!,0))</f>
        <v>0</v>
      </c>
      <c r="BE247" s="64">
        <f>IF(+NFL!$F324="Houston",+NFL!#REF!,IF(+NFL!$H324="Houston",+NFL!#REF!,0))</f>
        <v>0</v>
      </c>
      <c r="BF247" s="46">
        <f>IF(+NFL!$F324="Houston",+NFL!#REF!,IF(+NFL!$H324="Houston",+NFL!#REF!,0))</f>
        <v>0</v>
      </c>
      <c r="BG247" s="57">
        <f>IF(+NFL!$F324="Houston",+NFL!#REF!,IF(+NFL!$H324="Houston",+NFL!#REF!,0))</f>
        <v>0</v>
      </c>
      <c r="BH247" s="64">
        <f>IF(+NFL!$F324="Houston",+NFL!#REF!,IF(+NFL!$H324="Houston",+NFL!#REF!,0))</f>
        <v>0</v>
      </c>
      <c r="BI247" s="46">
        <f>IF(+NFL!$F324="Houston",+NFL!#REF!,IF(+NFL!$H324="Houston",+NFL!#REF!,0))</f>
        <v>0</v>
      </c>
      <c r="BJ247" s="87">
        <f>IF(+NFL!$F324="Houston",+NFL!#REF!,IF(+NFL!$H324="Houston",+NFL!#REF!,0))</f>
        <v>0</v>
      </c>
      <c r="BK247" s="120">
        <f>IF(+NFL!$F324="Houston",+NFL!#REF!,IF(+NFL!$H324="Houston",+NFL!#REF!,0))</f>
        <v>0</v>
      </c>
    </row>
    <row r="248" spans="1:63" x14ac:dyDescent="0.8">
      <c r="F248" s="959" t="str">
        <f>F249</f>
        <v>Indianapolis</v>
      </c>
      <c r="G248" s="960"/>
      <c r="H248" s="960"/>
      <c r="I248" s="961"/>
      <c r="N248" s="394"/>
      <c r="P248" s="394"/>
      <c r="R248" s="397"/>
      <c r="S248" s="396"/>
      <c r="AD248" s="402"/>
      <c r="AM248" s="64"/>
      <c r="AO248" s="46"/>
      <c r="AT248" s="46"/>
      <c r="BF248" s="46"/>
    </row>
    <row r="249" spans="1:63" x14ac:dyDescent="0.8">
      <c r="A249" s="46">
        <f>IF(+NFL!$F13="Indianapolis",+NFL!A13,IF(+NFL!$H13="Indianapolis",+NFL!A13,0))</f>
        <v>1</v>
      </c>
      <c r="B249" s="348" t="str">
        <f>IF(+NFL!$F13="Indianapolis",+NFL!B13,IF(+NFL!$H13="Indianapolis",+NFL!B13,0))</f>
        <v>Sun</v>
      </c>
      <c r="C249" s="48">
        <f>IF(+NFL!$F13="Indianapolis",+NFL!C13,IF(+NFL!$H13="Indianapolis",+NFL!C13,0))</f>
        <v>44815</v>
      </c>
      <c r="D249" s="490">
        <f>IF(+NFL!$F13="Indianapolis",+NFL!D13,IF(+NFL!$H13="Indianapolis",+NFL!D13,0))</f>
        <v>0.54166666666666663</v>
      </c>
      <c r="E249" s="46" t="str">
        <f>IF(+NFL!$F13="Indianapolis",+NFL!E13,IF(+NFL!$H13="Indianapolis",+NFL!E13,0))</f>
        <v>CBS</v>
      </c>
      <c r="F249" s="127" t="str">
        <f>IF(+NFL!$F13="Indianapolis",+NFL!F13,IF(+NFL!$H13="Indianapolis",+NFL!F13,0))</f>
        <v>Indianapolis</v>
      </c>
      <c r="G249" s="46" t="str">
        <f>IF(+NFL!$F13="Indianapolis",+NFL!G13,IF(+NFL!$H13="Indianapolis",+NFL!G13,0))</f>
        <v>AFCS</v>
      </c>
      <c r="H249" s="127" t="str">
        <f>IF(+NFL!$F13="Indianapolis",+NFL!H13,IF(+NFL!$H13="Indianapolis",+NFL!H13,0))</f>
        <v>Houston</v>
      </c>
      <c r="I249" s="46" t="str">
        <f>IF(+NFL!$F13="Indianapolis",+NFL!I13,IF(+NFL!$H13="Indianapolis",+NFL!I13,0))</f>
        <v>AFCS</v>
      </c>
      <c r="J249" s="353" t="str">
        <f>IF(+NFL!$F13="Indianapolis",+NFL!J13,IF(+NFL!$H13="Indianapolis",+NFL!J13,0))</f>
        <v>Indianapolis</v>
      </c>
      <c r="K249" s="494" t="str">
        <f>IF(+NFL!$F13="Indianapolis",+NFL!K13,IF(+NFL!$H13="Indianapolis",+NFL!K13,0))</f>
        <v>Houston</v>
      </c>
      <c r="L249" s="384">
        <f>IF(+NFL!$F13="Indianapolis",+NFL!L13,IF(+NFL!$H13="Indianapolis",+NFL!L13,0))</f>
        <v>7</v>
      </c>
      <c r="M249" s="385">
        <f>IF(+NFL!$F13="Indianapolis",+NFL!M13,IF(+NFL!$H13="Indianapolis",+NFL!M13,0))</f>
        <v>46</v>
      </c>
      <c r="N249" s="394" t="str">
        <f>IF(+NFL!$F13="Indianapolis",+NFL!N13,IF(+NFL!$H13="Indianapolis",+NFL!N13,0))</f>
        <v>Indianapolis</v>
      </c>
      <c r="O249" s="395">
        <f>IF(+NFL!$F13="Indianapolis",+NFL!O13,IF(+NFL!$H13="Indianapolis",+NFL!O13,0))</f>
        <v>20</v>
      </c>
      <c r="P249" s="394" t="str">
        <f>IF(+NFL!$F13="Indianapolis",+NFL!P13,IF(+NFL!$H13="Indianapolis",+NFL!P13,0))</f>
        <v>Houston</v>
      </c>
      <c r="Q249" s="396">
        <f>IF(+NFL!$F13="Indianapolis",+NFL!Q13,IF(+NFL!$H13="Indianapolis",+NFL!Q13,0))</f>
        <v>20</v>
      </c>
      <c r="R249" s="397" t="str">
        <f>IF(+NFL!$F13="Indianapolis",+NFL!R13,IF(+NFL!$H13="Indianapolis",+NFL!R13,0))</f>
        <v>Houston</v>
      </c>
      <c r="S249" s="396" t="str">
        <f>IF(+NFL!$F13="Indianapolis",+NFL!S13,IF(+NFL!$H13="Indianapolis",+NFL!S13,0))</f>
        <v>Indianapolis</v>
      </c>
      <c r="T249" s="398" t="str">
        <f>IF(+NFL!$F13="Indianapolis",+NFL!T13,IF(+NFL!$H13="Indianapolis",+NFL!T13,0))</f>
        <v>Houston</v>
      </c>
      <c r="U249" s="396" t="str">
        <f>IF(+NFL!$F13="Indianapolis",+NFL!U13,IF(+NFL!$H13="Indianapolis",+NFL!U13,0))</f>
        <v>W</v>
      </c>
      <c r="X249" s="398"/>
      <c r="AL249" s="69"/>
      <c r="AN249" s="70"/>
      <c r="AP249" s="348"/>
      <c r="AQ249" s="48"/>
      <c r="AS249" s="493"/>
      <c r="AT249" s="46"/>
      <c r="AV249" s="493"/>
      <c r="AX249" s="493"/>
      <c r="AY249" s="57"/>
      <c r="AZ249" s="493"/>
      <c r="BA249" s="46"/>
      <c r="BB249" s="46"/>
      <c r="BC249" s="403"/>
      <c r="BE249" s="493"/>
      <c r="BF249" s="46"/>
      <c r="BH249" s="493"/>
    </row>
    <row r="250" spans="1:63" x14ac:dyDescent="0.8">
      <c r="A250" s="46">
        <f>IF(+NFL!$F27="Indianapolis",+NFL!A27,IF(+NFL!$H27="Indianapolis",+NFL!A27,0))</f>
        <v>2</v>
      </c>
      <c r="B250" s="348" t="str">
        <f>IF(+NFL!$F27="Indianapolis",+NFL!B27,IF(+NFL!$H27="Indianapolis",+NFL!B27,0))</f>
        <v>Sun</v>
      </c>
      <c r="C250" s="48">
        <f>IF(+NFL!$F27="Indianapolis",+NFL!C27,IF(+NFL!$H27="Indianapolis",+NFL!C27,0))</f>
        <v>44822</v>
      </c>
      <c r="D250" s="490">
        <f>IF(+NFL!$F27="Indianapolis",+NFL!D27,IF(+NFL!$H27="Indianapolis",+NFL!D27,0))</f>
        <v>0.54166666666666663</v>
      </c>
      <c r="E250" s="46" t="str">
        <f>IF(+NFL!$F27="Indianapolis",+NFL!E27,IF(+NFL!$H27="Indianapolis",+NFL!E27,0))</f>
        <v>CBS</v>
      </c>
      <c r="F250" s="127" t="str">
        <f>IF(+NFL!$F27="Indianapolis",+NFL!F27,IF(+NFL!$H27="Indianapolis",+NFL!F27,0))</f>
        <v>Indianapolis</v>
      </c>
      <c r="G250" s="46" t="str">
        <f>IF(+NFL!$F27="Indianapolis",+NFL!G27,IF(+NFL!$H27="Indianapolis",+NFL!G27,0))</f>
        <v>AFCS</v>
      </c>
      <c r="H250" s="127" t="str">
        <f>IF(+NFL!$F27="Indianapolis",+NFL!H27,IF(+NFL!$H27="Indianapolis",+NFL!H27,0))</f>
        <v>Jacksonville</v>
      </c>
      <c r="I250" s="46" t="str">
        <f>IF(+NFL!$F27="Indianapolis",+NFL!I27,IF(+NFL!$H27="Indianapolis",+NFL!I27,0))</f>
        <v>AFCS</v>
      </c>
      <c r="J250" s="353" t="str">
        <f>IF(+NFL!$F27="Indianapolis",+NFL!J27,IF(+NFL!$H27="Indianapolis",+NFL!J27,0))</f>
        <v>Indianapolis</v>
      </c>
      <c r="K250" s="494" t="str">
        <f>IF(+NFL!$F27="Indianapolis",+NFL!K27,IF(+NFL!$H27="Indianapolis",+NFL!K27,0))</f>
        <v>Jacksonville</v>
      </c>
      <c r="L250" s="384">
        <f>IF(+NFL!$F27="Indianapolis",+NFL!L27,IF(+NFL!$H27="Indianapolis",+NFL!L27,0))</f>
        <v>4</v>
      </c>
      <c r="M250" s="385">
        <f>IF(+NFL!$F27="Indianapolis",+NFL!M27,IF(+NFL!$H27="Indianapolis",+NFL!M27,0))</f>
        <v>46.5</v>
      </c>
      <c r="N250" s="394" t="str">
        <f>IF(+NFL!$F27="Indianapolis",+NFL!N27,IF(+NFL!$H27="Indianapolis",+NFL!N27,0))</f>
        <v>Jacksonville</v>
      </c>
      <c r="O250" s="395">
        <f>IF(+NFL!$F27="Indianapolis",+NFL!O27,IF(+NFL!$H27="Indianapolis",+NFL!O27,0))</f>
        <v>24</v>
      </c>
      <c r="P250" s="394" t="str">
        <f>IF(+NFL!$F27="Indianapolis",+NFL!P27,IF(+NFL!$H27="Indianapolis",+NFL!P27,0))</f>
        <v>Indianapolis</v>
      </c>
      <c r="Q250" s="396">
        <f>IF(+NFL!$F27="Indianapolis",+NFL!Q27,IF(+NFL!$H27="Indianapolis",+NFL!Q27,0))</f>
        <v>0</v>
      </c>
      <c r="R250" s="397" t="str">
        <f>IF(+NFL!$F27="Indianapolis",+NFL!R27,IF(+NFL!$H27="Indianapolis",+NFL!R27,0))</f>
        <v>Jacksonville</v>
      </c>
      <c r="S250" s="396" t="str">
        <f>IF(+NFL!$F27="Indianapolis",+NFL!S27,IF(+NFL!$H27="Indianapolis",+NFL!S27,0))</f>
        <v>Indianapolis</v>
      </c>
      <c r="T250" s="398" t="str">
        <f>IF(+NFL!$F27="Indianapolis",+NFL!T27,IF(+NFL!$H27="Indianapolis",+NFL!T27,0))</f>
        <v>Jacksonville</v>
      </c>
      <c r="U250" s="396" t="str">
        <f>IF(+NFL!$F27="Indianapolis",+NFL!U27,IF(+NFL!$H27="Indianapolis",+NFL!U27,0))</f>
        <v>W</v>
      </c>
      <c r="X250" s="398"/>
      <c r="AL250" s="69"/>
      <c r="AN250" s="70"/>
      <c r="AP250" s="348"/>
      <c r="AQ250" s="48"/>
      <c r="AS250" s="493"/>
      <c r="AT250" s="46"/>
      <c r="AV250" s="493"/>
      <c r="AX250" s="493"/>
      <c r="AY250" s="57"/>
      <c r="AZ250" s="493"/>
      <c r="BA250" s="46"/>
      <c r="BB250" s="46"/>
      <c r="BC250" s="403"/>
      <c r="BE250" s="493"/>
      <c r="BF250" s="46"/>
      <c r="BH250" s="493"/>
    </row>
    <row r="251" spans="1:63" x14ac:dyDescent="0.8">
      <c r="A251" s="46">
        <f>IF(+NFL!$F41="Indianapolis",+NFL!A41,IF(+NFL!$H41="Indianapolis",+NFL!A41,0))</f>
        <v>3</v>
      </c>
      <c r="B251" s="348" t="str">
        <f>IF(+NFL!$F41="Indianapolis",+NFL!B41,IF(+NFL!$H41="Indianapolis",+NFL!B41,0))</f>
        <v>Sun</v>
      </c>
      <c r="C251" s="48">
        <f>IF(+NFL!$F41="Indianapolis",+NFL!C41,IF(+NFL!$H41="Indianapolis",+NFL!C41,0))</f>
        <v>44829</v>
      </c>
      <c r="D251" s="490">
        <f>IF(+NFL!$F41="Indianapolis",+NFL!D41,IF(+NFL!$H41="Indianapolis",+NFL!D41,0))</f>
        <v>0.54166666666666663</v>
      </c>
      <c r="E251" s="46" t="str">
        <f>IF(+NFL!$F41="Indianapolis",+NFL!E41,IF(+NFL!$H41="Indianapolis",+NFL!E41,0))</f>
        <v>CBS</v>
      </c>
      <c r="F251" s="127" t="str">
        <f>IF(+NFL!$F41="Indianapolis",+NFL!F41,IF(+NFL!$H41="Indianapolis",+NFL!F41,0))</f>
        <v>Kansas City</v>
      </c>
      <c r="G251" s="46" t="str">
        <f>IF(+NFL!$F41="Indianapolis",+NFL!G41,IF(+NFL!$H41="Indianapolis",+NFL!G41,0))</f>
        <v>AFCW</v>
      </c>
      <c r="H251" s="127" t="str">
        <f>IF(+NFL!$F41="Indianapolis",+NFL!H41,IF(+NFL!$H41="Indianapolis",+NFL!H41,0))</f>
        <v>Indianapolis</v>
      </c>
      <c r="I251" s="46" t="str">
        <f>IF(+NFL!$F41="Indianapolis",+NFL!I41,IF(+NFL!$H41="Indianapolis",+NFL!I41,0))</f>
        <v>AFCS</v>
      </c>
      <c r="J251" s="353" t="str">
        <f>IF(+NFL!$F41="Indianapolis",+NFL!J41,IF(+NFL!$H41="Indianapolis",+NFL!J41,0))</f>
        <v>Kansas City</v>
      </c>
      <c r="K251" s="494" t="str">
        <f>IF(+NFL!$F41="Indianapolis",+NFL!K41,IF(+NFL!$H41="Indianapolis",+NFL!K41,0))</f>
        <v>Indianapolis</v>
      </c>
      <c r="L251" s="384">
        <f>IF(+NFL!$F41="Indianapolis",+NFL!L41,IF(+NFL!$H41="Indianapolis",+NFL!L41,0))</f>
        <v>6.5</v>
      </c>
      <c r="M251" s="385">
        <f>IF(+NFL!$F41="Indianapolis",+NFL!M41,IF(+NFL!$H41="Indianapolis",+NFL!M41,0))</f>
        <v>49.5</v>
      </c>
      <c r="N251" s="394" t="str">
        <f>IF(+NFL!$F41="Indianapolis",+NFL!N41,IF(+NFL!$H41="Indianapolis",+NFL!N41,0))</f>
        <v>Indianapolis</v>
      </c>
      <c r="O251" s="395">
        <f>IF(+NFL!$F41="Indianapolis",+NFL!O41,IF(+NFL!$H41="Indianapolis",+NFL!O41,0))</f>
        <v>20</v>
      </c>
      <c r="P251" s="394" t="str">
        <f>IF(+NFL!$F41="Indianapolis",+NFL!P41,IF(+NFL!$H41="Indianapolis",+NFL!P41,0))</f>
        <v>Kansas City</v>
      </c>
      <c r="Q251" s="396">
        <f>IF(+NFL!$F41="Indianapolis",+NFL!Q41,IF(+NFL!$H41="Indianapolis",+NFL!Q41,0))</f>
        <v>17</v>
      </c>
      <c r="R251" s="397" t="str">
        <f>IF(+NFL!$F41="Indianapolis",+NFL!R41,IF(+NFL!$H41="Indianapolis",+NFL!R41,0))</f>
        <v>Indianapolis</v>
      </c>
      <c r="S251" s="396" t="str">
        <f>IF(+NFL!$F41="Indianapolis",+NFL!S41,IF(+NFL!$H41="Indianapolis",+NFL!S41,0))</f>
        <v>Kansas City</v>
      </c>
      <c r="T251" s="398" t="str">
        <f>IF(+NFL!$F41="Indianapolis",+NFL!T41,IF(+NFL!$H41="Indianapolis",+NFL!T41,0))</f>
        <v>Indianapolis</v>
      </c>
      <c r="U251" s="396" t="str">
        <f>IF(+NFL!$F41="Indianapolis",+NFL!U41,IF(+NFL!$H41="Indianapolis",+NFL!U41,0))</f>
        <v>W</v>
      </c>
      <c r="X251" s="398"/>
      <c r="AL251" s="69"/>
      <c r="AN251" s="70"/>
      <c r="AP251" s="348"/>
      <c r="AQ251" s="48"/>
      <c r="AT251" s="46"/>
      <c r="AY251" s="57"/>
      <c r="AZ251" s="64"/>
      <c r="BA251" s="46"/>
      <c r="BB251" s="46"/>
      <c r="BC251" s="403"/>
      <c r="BF251" s="46"/>
    </row>
    <row r="252" spans="1:63" x14ac:dyDescent="0.8">
      <c r="A252" s="46">
        <f>IF(+NFL!$F60="Indianapolis",+NFL!A60,IF(+NFL!$H60="Indianapolis",+NFL!A60,0))</f>
        <v>4</v>
      </c>
      <c r="B252" s="348" t="str">
        <f>IF(+NFL!$F60="Indianapolis",+NFL!B60,IF(+NFL!$H60="Indianapolis",+NFL!B60,0))</f>
        <v>Sun</v>
      </c>
      <c r="C252" s="48">
        <f>IF(+NFL!$F60="Indianapolis",+NFL!C60,IF(+NFL!$H60="Indianapolis",+NFL!C60,0))</f>
        <v>44836</v>
      </c>
      <c r="D252" s="490">
        <f>IF(+NFL!$F60="Indianapolis",+NFL!D60,IF(+NFL!$H60="Indianapolis",+NFL!D60,0))</f>
        <v>0.54166666666666663</v>
      </c>
      <c r="E252" s="46" t="str">
        <f>IF(+NFL!$F60="Indianapolis",+NFL!E60,IF(+NFL!$H60="Indianapolis",+NFL!E60,0))</f>
        <v>CBS</v>
      </c>
      <c r="F252" s="127" t="str">
        <f>IF(+NFL!$F60="Indianapolis",+NFL!F60,IF(+NFL!$H60="Indianapolis",+NFL!F60,0))</f>
        <v>Tennessee</v>
      </c>
      <c r="G252" s="46" t="str">
        <f>IF(+NFL!$F60="Indianapolis",+NFL!G60,IF(+NFL!$H60="Indianapolis",+NFL!G60,0))</f>
        <v>AFCS</v>
      </c>
      <c r="H252" s="127" t="str">
        <f>IF(+NFL!$F60="Indianapolis",+NFL!H60,IF(+NFL!$H60="Indianapolis",+NFL!H60,0))</f>
        <v>Indianapolis</v>
      </c>
      <c r="I252" s="46" t="str">
        <f>IF(+NFL!$F60="Indianapolis",+NFL!I60,IF(+NFL!$H60="Indianapolis",+NFL!I60,0))</f>
        <v>AFCS</v>
      </c>
      <c r="J252" s="353" t="str">
        <f>IF(+NFL!$F60="Indianapolis",+NFL!J60,IF(+NFL!$H60="Indianapolis",+NFL!J60,0))</f>
        <v>Indianapolis</v>
      </c>
      <c r="K252" s="494" t="str">
        <f>IF(+NFL!$F60="Indianapolis",+NFL!K60,IF(+NFL!$H60="Indianapolis",+NFL!K60,0))</f>
        <v>Tennessee</v>
      </c>
      <c r="L252" s="384">
        <f>IF(+NFL!$F60="Indianapolis",+NFL!L60,IF(+NFL!$H60="Indianapolis",+NFL!L60,0))</f>
        <v>3.5</v>
      </c>
      <c r="M252" s="385">
        <f>IF(+NFL!$F60="Indianapolis",+NFL!M60,IF(+NFL!$H60="Indianapolis",+NFL!M60,0))</f>
        <v>42.5</v>
      </c>
      <c r="N252" s="394" t="str">
        <f>IF(+NFL!$F60="Indianapolis",+NFL!N60,IF(+NFL!$H60="Indianapolis",+NFL!N60,0))</f>
        <v>Tennessee</v>
      </c>
      <c r="O252" s="395">
        <f>IF(+NFL!$F60="Indianapolis",+NFL!O60,IF(+NFL!$H60="Indianapolis",+NFL!O60,0))</f>
        <v>24</v>
      </c>
      <c r="P252" s="394" t="str">
        <f>IF(+NFL!$F60="Indianapolis",+NFL!P60,IF(+NFL!$H60="Indianapolis",+NFL!P60,0))</f>
        <v>Indianapolis</v>
      </c>
      <c r="Q252" s="396">
        <f>IF(+NFL!$F60="Indianapolis",+NFL!Q60,IF(+NFL!$H60="Indianapolis",+NFL!Q60,0))</f>
        <v>17</v>
      </c>
      <c r="R252" s="397" t="str">
        <f>IF(+NFL!$F60="Indianapolis",+NFL!R60,IF(+NFL!$H60="Indianapolis",+NFL!R60,0))</f>
        <v>Tennessee</v>
      </c>
      <c r="S252" s="396" t="str">
        <f>IF(+NFL!$F60="Indianapolis",+NFL!S60,IF(+NFL!$H60="Indianapolis",+NFL!S60,0))</f>
        <v>Indianapolis</v>
      </c>
      <c r="T252" s="398" t="str">
        <f>IF(+NFL!$F60="Indianapolis",+NFL!T60,IF(+NFL!$H60="Indianapolis",+NFL!T60,0))</f>
        <v>Tennessee</v>
      </c>
      <c r="U252" s="396" t="str">
        <f>IF(+NFL!$F60="Indianapolis",+NFL!U60,IF(+NFL!$H60="Indianapolis",+NFL!U60,0))</f>
        <v>W</v>
      </c>
      <c r="V252" s="397">
        <f>IF(+NFL!$F31="Indianapolis",+NFL!#REF!,IF(+NFL!$H31="Indianapolis",+NFL!#REF!,0))</f>
        <v>0</v>
      </c>
      <c r="W252" s="396">
        <f>IF(+NFL!$F31="Indianapolis",+NFL!#REF!,IF(+NFL!$H31="Indianapolis",+NFL!#REF!,0))</f>
        <v>0</v>
      </c>
      <c r="X252" s="398">
        <f>IF(+NFL!$F31="Indianapolis",+NFL!#REF!,IF(+NFL!$H31="Indianapolis",+NFL!#REF!,0))</f>
        <v>0</v>
      </c>
      <c r="Y252" s="396">
        <f>IF(+NFL!$F31="Indianapolis",+NFL!#REF!,IF(+NFL!$H31="Indianapolis",+NFL!#REF!,0))</f>
        <v>0</v>
      </c>
      <c r="Z252" s="397">
        <f>IF(+NFL!$F31="Indianapolis",+NFL!#REF!,IF(+NFL!$H31="Indianapolis",+NFL!#REF!,0))</f>
        <v>0</v>
      </c>
      <c r="AA252" s="396">
        <f>IF(+NFL!$F31="Indianapolis",+NFL!#REF!,IF(+NFL!$H31="Indianapolis",+NFL!#REF!,0))</f>
        <v>0</v>
      </c>
      <c r="AB252" s="87">
        <f>IF(+NFL!$F31="Indianapolis",+NFL!#REF!,IF(+NFL!$H31="Indianapolis",+NFL!#REF!,0))</f>
        <v>0</v>
      </c>
      <c r="AC252" s="120">
        <f>IF(+NFL!$F31="Indianapolis",+NFL!#REF!,IF(+NFL!$H31="Indianapolis",+NFL!#REF!,0))</f>
        <v>0</v>
      </c>
      <c r="AD252" s="353">
        <f>IF(+NFL!$F31="Indianapolis",+NFL!#REF!,IF(+NFL!$H31="Indianapolis",+NFL!#REF!,0))</f>
        <v>0</v>
      </c>
      <c r="AE252" s="379">
        <f>IF(+NFL!$F31="Indianapolis",+NFL!#REF!,IF(+NFL!$H31="Indianapolis",+NFL!#REF!,0))</f>
        <v>0</v>
      </c>
      <c r="AF252" s="353">
        <f>IF(+NFL!$F31="Indianapolis",+NFL!#REF!,IF(+NFL!$H31="Indianapolis",+NFL!#REF!,0))</f>
        <v>0</v>
      </c>
      <c r="AG252" s="379">
        <f>IF(+NFL!$F31="Indianapolis",+NFL!#REF!,IF(+NFL!$H31="Indianapolis",+NFL!#REF!,0))</f>
        <v>0</v>
      </c>
      <c r="AH252" s="353">
        <f>IF(+NFL!$F31="Indianapolis",+NFL!#REF!,IF(+NFL!$H31="Indianapolis",+NFL!#REF!,0))</f>
        <v>0</v>
      </c>
      <c r="AI252" s="379">
        <f>IF(+NFL!$F31="Indianapolis",+NFL!#REF!,IF(+NFL!$H31="Indianapolis",+NFL!#REF!,0))</f>
        <v>0</v>
      </c>
      <c r="AJ252" s="353">
        <f>IF(+NFL!$F31="Indianapolis",+NFL!#REF!,IF(+NFL!$H31="Indianapolis",+NFL!#REF!,0))</f>
        <v>0</v>
      </c>
      <c r="AK252" s="379">
        <f>IF(+NFL!$F31="Indianapolis",+NFL!#REF!,IF(+NFL!$H31="Indianapolis",+NFL!#REF!,0))</f>
        <v>0</v>
      </c>
      <c r="AL252" s="69">
        <f>IF(+NFL!$F31="Indianapolis",+NFL!#REF!,IF(+NFL!$H31="Indianapolis",+NFL!#REF!,0))</f>
        <v>0</v>
      </c>
      <c r="AM252" s="58">
        <f>IF(+NFL!$F31="Indianapolis",+NFL!#REF!,IF(+NFL!$H31="Indianapolis",+NFL!#REF!,0))</f>
        <v>0</v>
      </c>
      <c r="AN252" s="70">
        <f>IF(+NFL!$F31="Indianapolis",+NFL!#REF!,IF(+NFL!$H31="Indianapolis",+NFL!#REF!,0))</f>
        <v>0</v>
      </c>
      <c r="AO252" s="59">
        <f>IF(+NFL!$F31="Indianapolis",+NFL!#REF!,IF(+NFL!$H31="Indianapolis",+NFL!#REF!,0))</f>
        <v>0</v>
      </c>
      <c r="AP252" s="348">
        <f>IF(+NFL!$F31="Indianapolis",+NFL!#REF!,IF(+NFL!$H31="Indianapolis",+NFL!#REF!,0))</f>
        <v>0</v>
      </c>
      <c r="AQ252" s="48">
        <f>IF(+NFL!$F31="Indianapolis",+NFL!#REF!,IF(+NFL!$H31="Indianapolis",+NFL!#REF!,0))</f>
        <v>0</v>
      </c>
      <c r="AR252" s="57">
        <f>IF(+NFL!$F31="Indianapolis",+NFL!#REF!,IF(+NFL!$H31="Indianapolis",+NFL!#REF!,0))</f>
        <v>0</v>
      </c>
      <c r="AS252" s="64">
        <f>IF(+NFL!$F31="Indianapolis",+NFL!#REF!,IF(+NFL!$H31="Indianapolis",+NFL!#REF!,0))</f>
        <v>0</v>
      </c>
      <c r="AT252" s="46">
        <f>IF(+NFL!$F31="Indianapolis",+NFL!#REF!,IF(+NFL!$H31="Indianapolis",+NFL!#REF!,0))</f>
        <v>0</v>
      </c>
      <c r="AU252" s="57">
        <f>IF(+NFL!$F31="Indianapolis",+NFL!#REF!,IF(+NFL!$H31="Indianapolis",+NFL!#REF!,0))</f>
        <v>0</v>
      </c>
      <c r="AV252" s="64">
        <f>IF(+NFL!$F31="Indianapolis",+NFL!#REF!,IF(+NFL!$H31="Indianapolis",+NFL!#REF!,0))</f>
        <v>0</v>
      </c>
      <c r="AW252" s="46">
        <f>IF(+NFL!$F31="Indianapolis",+NFL!#REF!,IF(+NFL!$H31="Indianapolis",+NFL!#REF!,0))</f>
        <v>0</v>
      </c>
      <c r="AX252" s="64">
        <f>IF(+NFL!$F31="Indianapolis",+NFL!#REF!,IF(+NFL!$H31="Indianapolis",+NFL!#REF!,0))</f>
        <v>0</v>
      </c>
      <c r="AY252" s="57">
        <f>IF(+NFL!$F31="Indianapolis",+NFL!#REF!,IF(+NFL!$H31="Indianapolis",+NFL!#REF!,0))</f>
        <v>0</v>
      </c>
      <c r="AZ252" s="64">
        <f>IF(+NFL!$F31="Indianapolis",+NFL!#REF!,IF(+NFL!$H31="Indianapolis",+NFL!#REF!,0))</f>
        <v>0</v>
      </c>
      <c r="BA252" s="46">
        <f>IF(+NFL!$F31="Indianapolis",+NFL!#REF!,IF(+NFL!$H31="Indianapolis",+NFL!#REF!,0))</f>
        <v>0</v>
      </c>
      <c r="BB252" s="46">
        <f>IF(+NFL!$F31="Indianapolis",+NFL!#REF!,IF(+NFL!$H31="Indianapolis",+NFL!#REF!,0))</f>
        <v>0</v>
      </c>
      <c r="BC252" s="403">
        <f>IF(+NFL!$F31="Indianapolis",+NFL!#REF!,IF(+NFL!$H31="Indianapolis",+NFL!#REF!,0))</f>
        <v>0</v>
      </c>
      <c r="BD252" s="57">
        <f>IF(+NFL!$F31="Indianapolis",+NFL!#REF!,IF(+NFL!$H31="Indianapolis",+NFL!#REF!,0))</f>
        <v>0</v>
      </c>
      <c r="BE252" s="64">
        <f>IF(+NFL!$F31="Indianapolis",+NFL!#REF!,IF(+NFL!$H31="Indianapolis",+NFL!#REF!,0))</f>
        <v>0</v>
      </c>
      <c r="BF252" s="46">
        <f>IF(+NFL!$F31="Indianapolis",+NFL!#REF!,IF(+NFL!$H31="Indianapolis",+NFL!#REF!,0))</f>
        <v>0</v>
      </c>
      <c r="BG252" s="57">
        <f>IF(+NFL!$F31="Indianapolis",+NFL!#REF!,IF(+NFL!$H31="Indianapolis",+NFL!#REF!,0))</f>
        <v>0</v>
      </c>
      <c r="BH252" s="64">
        <f>IF(+NFL!$F31="Indianapolis",+NFL!#REF!,IF(+NFL!$H31="Indianapolis",+NFL!#REF!,0))</f>
        <v>0</v>
      </c>
      <c r="BI252" s="46">
        <f>IF(+NFL!$F31="Indianapolis",+NFL!#REF!,IF(+NFL!$H31="Indianapolis",+NFL!#REF!,0))</f>
        <v>0</v>
      </c>
      <c r="BJ252" s="87">
        <f>IF(+NFL!$F31="Indianapolis",+NFL!#REF!,IF(+NFL!$H31="Indianapolis",+NFL!#REF!,0))</f>
        <v>0</v>
      </c>
      <c r="BK252" s="120">
        <f>IF(+NFL!$F31="Indianapolis",+NFL!#REF!,IF(+NFL!$H31="Indianapolis",+NFL!#REF!,0))</f>
        <v>0</v>
      </c>
    </row>
    <row r="253" spans="1:63" x14ac:dyDescent="0.8">
      <c r="A253" s="46">
        <f>IF(+NFL!$F72="Indianapolis",+NFL!A72,IF(+NFL!$H72="Indianapolis",+NFL!A72,0))</f>
        <v>5</v>
      </c>
      <c r="B253" s="348" t="str">
        <f>IF(+NFL!$F72="Indianapolis",+NFL!B72,IF(+NFL!$H72="Indianapolis",+NFL!B72,0))</f>
        <v>Thurs</v>
      </c>
      <c r="C253" s="48">
        <f>IF(+NFL!$F72="Indianapolis",+NFL!C72,IF(+NFL!$H72="Indianapolis",+NFL!C72,0))</f>
        <v>44840</v>
      </c>
      <c r="D253" s="490">
        <f>IF(+NFL!$F72="Indianapolis",+NFL!D72,IF(+NFL!$H72="Indianapolis",+NFL!D72,0))</f>
        <v>0.84375</v>
      </c>
      <c r="E253" s="46" t="str">
        <f>IF(+NFL!$F72="Indianapolis",+NFL!E72,IF(+NFL!$H72="Indianapolis",+NFL!E72,0))</f>
        <v>NBC</v>
      </c>
      <c r="F253" s="127" t="str">
        <f>IF(+NFL!$F72="Indianapolis",+NFL!F72,IF(+NFL!$H72="Indianapolis",+NFL!F72,0))</f>
        <v>Indianapolis</v>
      </c>
      <c r="G253" s="46" t="str">
        <f>IF(+NFL!$F72="Indianapolis",+NFL!G72,IF(+NFL!$H72="Indianapolis",+NFL!G72,0))</f>
        <v>AFCS</v>
      </c>
      <c r="H253" s="127" t="str">
        <f>IF(+NFL!$F72="Indianapolis",+NFL!H72,IF(+NFL!$H72="Indianapolis",+NFL!H72,0))</f>
        <v>Denver</v>
      </c>
      <c r="I253" s="46" t="str">
        <f>IF(+NFL!$F72="Indianapolis",+NFL!I72,IF(+NFL!$H72="Indianapolis",+NFL!I72,0))</f>
        <v>AFCW</v>
      </c>
      <c r="J253" s="353" t="str">
        <f>IF(+NFL!$F72="Indianapolis",+NFL!J72,IF(+NFL!$H72="Indianapolis",+NFL!J72,0))</f>
        <v>Denver</v>
      </c>
      <c r="K253" s="494" t="str">
        <f>IF(+NFL!$F72="Indianapolis",+NFL!K72,IF(+NFL!$H72="Indianapolis",+NFL!K72,0))</f>
        <v>Indianapolis</v>
      </c>
      <c r="L253" s="384">
        <f>IF(+NFL!$F72="Indianapolis",+NFL!L72,IF(+NFL!$H72="Indianapolis",+NFL!L72,0))</f>
        <v>3.5</v>
      </c>
      <c r="M253" s="385">
        <f>IF(+NFL!$F72="Indianapolis",+NFL!M72,IF(+NFL!$H72="Indianapolis",+NFL!M72,0))</f>
        <v>42.5</v>
      </c>
      <c r="N253" s="394" t="str">
        <f>IF(+NFL!$F72="Indianapolis",+NFL!N72,IF(+NFL!$H72="Indianapolis",+NFL!N72,0))</f>
        <v>Indianapolis</v>
      </c>
      <c r="O253" s="395">
        <f>IF(+NFL!$F72="Indianapolis",+NFL!O72,IF(+NFL!$H72="Indianapolis",+NFL!O72,0))</f>
        <v>12</v>
      </c>
      <c r="P253" s="394" t="str">
        <f>IF(+NFL!$F72="Indianapolis",+NFL!P72,IF(+NFL!$H72="Indianapolis",+NFL!P72,0))</f>
        <v>Denver</v>
      </c>
      <c r="Q253" s="396">
        <f>IF(+NFL!$F72="Indianapolis",+NFL!Q72,IF(+NFL!$H72="Indianapolis",+NFL!Q72,0))</f>
        <v>9</v>
      </c>
      <c r="R253" s="397" t="str">
        <f>IF(+NFL!$F72="Indianapolis",+NFL!R72,IF(+NFL!$H72="Indianapolis",+NFL!R72,0))</f>
        <v>Indianapolis</v>
      </c>
      <c r="S253" s="396" t="str">
        <f>IF(+NFL!$F72="Indianapolis",+NFL!S72,IF(+NFL!$H72="Indianapolis",+NFL!S72,0))</f>
        <v>Denver</v>
      </c>
      <c r="T253" s="398" t="str">
        <f>IF(+NFL!$F72="Indianapolis",+NFL!T72,IF(+NFL!$H72="Indianapolis",+NFL!T72,0))</f>
        <v>Indianapolis</v>
      </c>
      <c r="U253" s="396" t="str">
        <f>IF(+NFL!$F72="Indianapolis",+NFL!U72,IF(+NFL!$H72="Indianapolis",+NFL!U72,0))</f>
        <v>W</v>
      </c>
      <c r="V253" s="397">
        <f>IF(+NFL!$F52="Indianapolis",+NFL!#REF!,IF(+NFL!$H52="Indianapolis",+NFL!#REF!,0))</f>
        <v>0</v>
      </c>
      <c r="W253" s="396">
        <f>IF(+NFL!$F52="Indianapolis",+NFL!#REF!,IF(+NFL!$H52="Indianapolis",+NFL!#REF!,0))</f>
        <v>0</v>
      </c>
      <c r="X253" s="398">
        <f>IF(+NFL!$F52="Indianapolis",+NFL!#REF!,IF(+NFL!$H52="Indianapolis",+NFL!#REF!,0))</f>
        <v>0</v>
      </c>
      <c r="Y253" s="396">
        <f>IF(+NFL!$F52="Indianapolis",+NFL!#REF!,IF(+NFL!$H52="Indianapolis",+NFL!#REF!,0))</f>
        <v>0</v>
      </c>
      <c r="Z253" s="397">
        <f>IF(+NFL!$F52="Indianapolis",+NFL!#REF!,IF(+NFL!$H52="Indianapolis",+NFL!#REF!,0))</f>
        <v>0</v>
      </c>
      <c r="AA253" s="396">
        <f>IF(+NFL!$F52="Indianapolis",+NFL!#REF!,IF(+NFL!$H52="Indianapolis",+NFL!#REF!,0))</f>
        <v>0</v>
      </c>
      <c r="AB253" s="87">
        <f>IF(+NFL!$F52="Indianapolis",+NFL!#REF!,IF(+NFL!$H52="Indianapolis",+NFL!#REF!,0))</f>
        <v>0</v>
      </c>
      <c r="AC253" s="120">
        <f>IF(+NFL!$F52="Indianapolis",+NFL!#REF!,IF(+NFL!$H52="Indianapolis",+NFL!#REF!,0))</f>
        <v>0</v>
      </c>
      <c r="AD253" s="353">
        <f>IF(+NFL!$F52="Indianapolis",+NFL!#REF!,IF(+NFL!$H52="Indianapolis",+NFL!#REF!,0))</f>
        <v>0</v>
      </c>
      <c r="AE253" s="379">
        <f>IF(+NFL!$F52="Indianapolis",+NFL!#REF!,IF(+NFL!$H52="Indianapolis",+NFL!#REF!,0))</f>
        <v>0</v>
      </c>
      <c r="AF253" s="353">
        <f>IF(+NFL!$F52="Indianapolis",+NFL!#REF!,IF(+NFL!$H52="Indianapolis",+NFL!#REF!,0))</f>
        <v>0</v>
      </c>
      <c r="AG253" s="379">
        <f>IF(+NFL!$F52="Indianapolis",+NFL!#REF!,IF(+NFL!$H52="Indianapolis",+NFL!#REF!,0))</f>
        <v>0</v>
      </c>
      <c r="AH253" s="353">
        <f>IF(+NFL!$F52="Indianapolis",+NFL!#REF!,IF(+NFL!$H52="Indianapolis",+NFL!#REF!,0))</f>
        <v>0</v>
      </c>
      <c r="AI253" s="379">
        <f>IF(+NFL!$F52="Indianapolis",+NFL!#REF!,IF(+NFL!$H52="Indianapolis",+NFL!#REF!,0))</f>
        <v>0</v>
      </c>
      <c r="AJ253" s="353">
        <f>IF(+NFL!$F52="Indianapolis",+NFL!#REF!,IF(+NFL!$H52="Indianapolis",+NFL!#REF!,0))</f>
        <v>0</v>
      </c>
      <c r="AK253" s="379">
        <f>IF(+NFL!$F52="Indianapolis",+NFL!#REF!,IF(+NFL!$H52="Indianapolis",+NFL!#REF!,0))</f>
        <v>0</v>
      </c>
      <c r="AL253" s="69">
        <f>IF(+NFL!$F52="Indianapolis",+NFL!#REF!,IF(+NFL!$H52="Indianapolis",+NFL!#REF!,0))</f>
        <v>0</v>
      </c>
      <c r="AM253" s="58">
        <f>IF(+NFL!$F52="Indianapolis",+NFL!#REF!,IF(+NFL!$H52="Indianapolis",+NFL!#REF!,0))</f>
        <v>0</v>
      </c>
      <c r="AN253" s="70">
        <f>IF(+NFL!$F52="Indianapolis",+NFL!#REF!,IF(+NFL!$H52="Indianapolis",+NFL!#REF!,0))</f>
        <v>0</v>
      </c>
      <c r="AO253" s="59">
        <f>IF(+NFL!$F52="Indianapolis",+NFL!#REF!,IF(+NFL!$H52="Indianapolis",+NFL!#REF!,0))</f>
        <v>0</v>
      </c>
      <c r="AP253" s="348">
        <f>IF(+NFL!$F52="Indianapolis",+NFL!#REF!,IF(+NFL!$H52="Indianapolis",+NFL!#REF!,0))</f>
        <v>0</v>
      </c>
      <c r="AQ253" s="48">
        <f>IF(+NFL!$F52="Indianapolis",+NFL!#REF!,IF(+NFL!$H52="Indianapolis",+NFL!#REF!,0))</f>
        <v>0</v>
      </c>
      <c r="AR253" s="57">
        <f>IF(+NFL!$F52="Indianapolis",+NFL!#REF!,IF(+NFL!$H52="Indianapolis",+NFL!#REF!,0))</f>
        <v>0</v>
      </c>
      <c r="AS253" s="64">
        <f>IF(+NFL!$F52="Indianapolis",+NFL!#REF!,IF(+NFL!$H52="Indianapolis",+NFL!#REF!,0))</f>
        <v>0</v>
      </c>
      <c r="AT253" s="46">
        <f>IF(+NFL!$F52="Indianapolis",+NFL!#REF!,IF(+NFL!$H52="Indianapolis",+NFL!#REF!,0))</f>
        <v>0</v>
      </c>
      <c r="AU253" s="57">
        <f>IF(+NFL!$F52="Indianapolis",+NFL!#REF!,IF(+NFL!$H52="Indianapolis",+NFL!#REF!,0))</f>
        <v>0</v>
      </c>
      <c r="AV253" s="64">
        <f>IF(+NFL!$F52="Indianapolis",+NFL!#REF!,IF(+NFL!$H52="Indianapolis",+NFL!#REF!,0))</f>
        <v>0</v>
      </c>
      <c r="AW253" s="46">
        <f>IF(+NFL!$F52="Indianapolis",+NFL!#REF!,IF(+NFL!$H52="Indianapolis",+NFL!#REF!,0))</f>
        <v>0</v>
      </c>
      <c r="AX253" s="64">
        <f>IF(+NFL!$F52="Indianapolis",+NFL!#REF!,IF(+NFL!$H52="Indianapolis",+NFL!#REF!,0))</f>
        <v>0</v>
      </c>
      <c r="AY253" s="57">
        <f>IF(+NFL!$F52="Indianapolis",+NFL!#REF!,IF(+NFL!$H52="Indianapolis",+NFL!#REF!,0))</f>
        <v>0</v>
      </c>
      <c r="AZ253" s="64">
        <f>IF(+NFL!$F52="Indianapolis",+NFL!#REF!,IF(+NFL!$H52="Indianapolis",+NFL!#REF!,0))</f>
        <v>0</v>
      </c>
      <c r="BA253" s="46">
        <f>IF(+NFL!$F52="Indianapolis",+NFL!#REF!,IF(+NFL!$H52="Indianapolis",+NFL!#REF!,0))</f>
        <v>0</v>
      </c>
      <c r="BB253" s="46">
        <f>IF(+NFL!$F52="Indianapolis",+NFL!#REF!,IF(+NFL!$H52="Indianapolis",+NFL!#REF!,0))</f>
        <v>0</v>
      </c>
      <c r="BC253" s="403">
        <f>IF(+NFL!$F52="Indianapolis",+NFL!#REF!,IF(+NFL!$H52="Indianapolis",+NFL!#REF!,0))</f>
        <v>0</v>
      </c>
      <c r="BD253" s="57">
        <f>IF(+NFL!$F52="Indianapolis",+NFL!#REF!,IF(+NFL!$H52="Indianapolis",+NFL!#REF!,0))</f>
        <v>0</v>
      </c>
      <c r="BE253" s="64">
        <f>IF(+NFL!$F52="Indianapolis",+NFL!#REF!,IF(+NFL!$H52="Indianapolis",+NFL!#REF!,0))</f>
        <v>0</v>
      </c>
      <c r="BF253" s="46">
        <f>IF(+NFL!$F52="Indianapolis",+NFL!#REF!,IF(+NFL!$H52="Indianapolis",+NFL!#REF!,0))</f>
        <v>0</v>
      </c>
      <c r="BG253" s="57">
        <f>IF(+NFL!$F52="Indianapolis",+NFL!#REF!,IF(+NFL!$H52="Indianapolis",+NFL!#REF!,0))</f>
        <v>0</v>
      </c>
      <c r="BH253" s="64">
        <f>IF(+NFL!$F52="Indianapolis",+NFL!#REF!,IF(+NFL!$H52="Indianapolis",+NFL!#REF!,0))</f>
        <v>0</v>
      </c>
      <c r="BI253" s="46">
        <f>IF(+NFL!$F52="Indianapolis",+NFL!#REF!,IF(+NFL!$H52="Indianapolis",+NFL!#REF!,0))</f>
        <v>0</v>
      </c>
      <c r="BJ253" s="87">
        <f>IF(+NFL!$F52="Indianapolis",+NFL!#REF!,IF(+NFL!$H52="Indianapolis",+NFL!#REF!,0))</f>
        <v>0</v>
      </c>
      <c r="BK253" s="120">
        <f>IF(+NFL!$F52="Indianapolis",+NFL!#REF!,IF(+NFL!$H52="Indianapolis",+NFL!#REF!,0))</f>
        <v>0</v>
      </c>
    </row>
    <row r="254" spans="1:63" x14ac:dyDescent="0.8">
      <c r="A254" s="46">
        <f>IF(+NFL!$F93="Indianapolis",+NFL!A93,IF(+NFL!$H93="Indianapolis",+NFL!A93,0))</f>
        <v>6</v>
      </c>
      <c r="B254" s="348" t="str">
        <f>IF(+NFL!$F93="Indianapolis",+NFL!B93,IF(+NFL!$H93="Indianapolis",+NFL!B93,0))</f>
        <v>Sun</v>
      </c>
      <c r="C254" s="48">
        <f>IF(+NFL!$F93="Indianapolis",+NFL!C93,IF(+NFL!$H93="Indianapolis",+NFL!C93,0))</f>
        <v>44850</v>
      </c>
      <c r="D254" s="490">
        <f>IF(+NFL!$F93="Indianapolis",+NFL!D93,IF(+NFL!$H93="Indianapolis",+NFL!D93,0))</f>
        <v>0.54166666666666663</v>
      </c>
      <c r="E254" s="46" t="str">
        <f>IF(+NFL!$F93="Indianapolis",+NFL!E93,IF(+NFL!$H93="Indianapolis",+NFL!E93,0))</f>
        <v>CBS</v>
      </c>
      <c r="F254" s="127" t="str">
        <f>IF(+NFL!$F93="Indianapolis",+NFL!F93,IF(+NFL!$H93="Indianapolis",+NFL!F93,0))</f>
        <v>Jacksonville</v>
      </c>
      <c r="G254" s="46" t="str">
        <f>IF(+NFL!$F93="Indianapolis",+NFL!G93,IF(+NFL!$H93="Indianapolis",+NFL!G93,0))</f>
        <v>AFCS</v>
      </c>
      <c r="H254" s="127" t="str">
        <f>IF(+NFL!$F93="Indianapolis",+NFL!H93,IF(+NFL!$H93="Indianapolis",+NFL!H93,0))</f>
        <v>Indianapolis</v>
      </c>
      <c r="I254" s="46" t="str">
        <f>IF(+NFL!$F93="Indianapolis",+NFL!I93,IF(+NFL!$H93="Indianapolis",+NFL!I93,0))</f>
        <v>AFCS</v>
      </c>
      <c r="J254" s="353" t="str">
        <f>IF(+NFL!$F93="Indianapolis",+NFL!J93,IF(+NFL!$H93="Indianapolis",+NFL!J93,0))</f>
        <v>Indianapolis</v>
      </c>
      <c r="K254" s="494" t="str">
        <f>IF(+NFL!$F93="Indianapolis",+NFL!K93,IF(+NFL!$H93="Indianapolis",+NFL!K93,0))</f>
        <v>Jacksonville</v>
      </c>
      <c r="L254" s="384">
        <f>IF(+NFL!$F93="Indianapolis",+NFL!L93,IF(+NFL!$H93="Indianapolis",+NFL!L93,0))</f>
        <v>2</v>
      </c>
      <c r="M254" s="385">
        <f>IF(+NFL!$F93="Indianapolis",+NFL!M93,IF(+NFL!$H93="Indianapolis",+NFL!M93,0))</f>
        <v>42</v>
      </c>
      <c r="N254" s="394" t="str">
        <f>IF(+NFL!$F93="Indianapolis",+NFL!N93,IF(+NFL!$H93="Indianapolis",+NFL!N93,0))</f>
        <v>Indianapolis</v>
      </c>
      <c r="O254" s="395">
        <f>IF(+NFL!$F93="Indianapolis",+NFL!O93,IF(+NFL!$H93="Indianapolis",+NFL!O93,0))</f>
        <v>34</v>
      </c>
      <c r="P254" s="394" t="str">
        <f>IF(+NFL!$F93="Indianapolis",+NFL!P93,IF(+NFL!$H93="Indianapolis",+NFL!P93,0))</f>
        <v>Jacksonville</v>
      </c>
      <c r="Q254" s="396">
        <f>IF(+NFL!$F93="Indianapolis",+NFL!Q93,IF(+NFL!$H93="Indianapolis",+NFL!Q93,0))</f>
        <v>27</v>
      </c>
      <c r="R254" s="397" t="str">
        <f>IF(+NFL!$F93="Indianapolis",+NFL!R93,IF(+NFL!$H93="Indianapolis",+NFL!R93,0))</f>
        <v>Indianapolis</v>
      </c>
      <c r="S254" s="396" t="str">
        <f>IF(+NFL!$F93="Indianapolis",+NFL!S93,IF(+NFL!$H93="Indianapolis",+NFL!S93,0))</f>
        <v>Jacksonville</v>
      </c>
      <c r="T254" s="398" t="str">
        <f>IF(+NFL!$F93="Indianapolis",+NFL!T93,IF(+NFL!$H93="Indianapolis",+NFL!T93,0))</f>
        <v>Jacksonville</v>
      </c>
      <c r="U254" s="396" t="str">
        <f>IF(+NFL!$F93="Indianapolis",+NFL!U93,IF(+NFL!$H93="Indianapolis",+NFL!U93,0))</f>
        <v>L</v>
      </c>
      <c r="V254" s="397">
        <f>IF(+NFL!$F73="Indianapolis",+NFL!#REF!,IF(+NFL!$H73="Indianapolis",+NFL!#REF!,0))</f>
        <v>0</v>
      </c>
      <c r="W254" s="396">
        <f>IF(+NFL!$F73="Indianapolis",+NFL!#REF!,IF(+NFL!$H73="Indianapolis",+NFL!#REF!,0))</f>
        <v>0</v>
      </c>
      <c r="X254" s="398">
        <f>IF(+NFL!$F73="Indianapolis",+NFL!#REF!,IF(+NFL!$H73="Indianapolis",+NFL!#REF!,0))</f>
        <v>0</v>
      </c>
      <c r="Y254" s="396">
        <f>IF(+NFL!$F73="Indianapolis",+NFL!#REF!,IF(+NFL!$H73="Indianapolis",+NFL!#REF!,0))</f>
        <v>0</v>
      </c>
      <c r="Z254" s="397">
        <f>IF(+NFL!$F73="Indianapolis",+NFL!#REF!,IF(+NFL!$H73="Indianapolis",+NFL!#REF!,0))</f>
        <v>0</v>
      </c>
      <c r="AA254" s="396">
        <f>IF(+NFL!$F73="Indianapolis",+NFL!#REF!,IF(+NFL!$H73="Indianapolis",+NFL!#REF!,0))</f>
        <v>0</v>
      </c>
      <c r="AB254" s="87">
        <f>IF(+NFL!$F73="Indianapolis",+NFL!#REF!,IF(+NFL!$H73="Indianapolis",+NFL!#REF!,0))</f>
        <v>0</v>
      </c>
      <c r="AC254" s="120">
        <f>IF(+NFL!$F73="Indianapolis",+NFL!#REF!,IF(+NFL!$H73="Indianapolis",+NFL!#REF!,0))</f>
        <v>0</v>
      </c>
      <c r="AD254" s="353">
        <f>IF(+NFL!$F73="Indianapolis",+NFL!#REF!,IF(+NFL!$H73="Indianapolis",+NFL!#REF!,0))</f>
        <v>0</v>
      </c>
      <c r="AE254" s="379">
        <f>IF(+NFL!$F73="Indianapolis",+NFL!#REF!,IF(+NFL!$H73="Indianapolis",+NFL!#REF!,0))</f>
        <v>0</v>
      </c>
      <c r="AF254" s="353">
        <f>IF(+NFL!$F73="Indianapolis",+NFL!#REF!,IF(+NFL!$H73="Indianapolis",+NFL!#REF!,0))</f>
        <v>0</v>
      </c>
      <c r="AG254" s="379">
        <f>IF(+NFL!$F73="Indianapolis",+NFL!#REF!,IF(+NFL!$H73="Indianapolis",+NFL!#REF!,0))</f>
        <v>0</v>
      </c>
      <c r="AH254" s="353">
        <f>IF(+NFL!$F73="Indianapolis",+NFL!#REF!,IF(+NFL!$H73="Indianapolis",+NFL!#REF!,0))</f>
        <v>0</v>
      </c>
      <c r="AI254" s="379">
        <f>IF(+NFL!$F73="Indianapolis",+NFL!#REF!,IF(+NFL!$H73="Indianapolis",+NFL!#REF!,0))</f>
        <v>0</v>
      </c>
      <c r="AJ254" s="353">
        <f>IF(+NFL!$F73="Indianapolis",+NFL!#REF!,IF(+NFL!$H73="Indianapolis",+NFL!#REF!,0))</f>
        <v>0</v>
      </c>
      <c r="AK254" s="379">
        <f>IF(+NFL!$F73="Indianapolis",+NFL!#REF!,IF(+NFL!$H73="Indianapolis",+NFL!#REF!,0))</f>
        <v>0</v>
      </c>
      <c r="AL254" s="69">
        <f>IF(+NFL!$F73="Indianapolis",+NFL!#REF!,IF(+NFL!$H73="Indianapolis",+NFL!#REF!,0))</f>
        <v>0</v>
      </c>
      <c r="AM254" s="58">
        <f>IF(+NFL!$F73="Indianapolis",+NFL!#REF!,IF(+NFL!$H73="Indianapolis",+NFL!#REF!,0))</f>
        <v>0</v>
      </c>
      <c r="AN254" s="70">
        <f>IF(+NFL!$F73="Indianapolis",+NFL!#REF!,IF(+NFL!$H73="Indianapolis",+NFL!#REF!,0))</f>
        <v>0</v>
      </c>
      <c r="AO254" s="59">
        <f>IF(+NFL!$F73="Indianapolis",+NFL!#REF!,IF(+NFL!$H73="Indianapolis",+NFL!#REF!,0))</f>
        <v>0</v>
      </c>
      <c r="AP254" s="348">
        <f>IF(+NFL!$F73="Indianapolis",+NFL!#REF!,IF(+NFL!$H73="Indianapolis",+NFL!#REF!,0))</f>
        <v>0</v>
      </c>
      <c r="AQ254" s="48">
        <f>IF(+NFL!$F73="Indianapolis",+NFL!#REF!,IF(+NFL!$H73="Indianapolis",+NFL!#REF!,0))</f>
        <v>0</v>
      </c>
      <c r="AR254" s="57">
        <f>IF(+NFL!$F73="Indianapolis",+NFL!#REF!,IF(+NFL!$H73="Indianapolis",+NFL!#REF!,0))</f>
        <v>0</v>
      </c>
      <c r="AS254" s="64">
        <f>IF(+NFL!$F73="Indianapolis",+NFL!#REF!,IF(+NFL!$H73="Indianapolis",+NFL!#REF!,0))</f>
        <v>0</v>
      </c>
      <c r="AT254" s="46">
        <f>IF(+NFL!$F73="Indianapolis",+NFL!#REF!,IF(+NFL!$H73="Indianapolis",+NFL!#REF!,0))</f>
        <v>0</v>
      </c>
      <c r="AU254" s="57">
        <f>IF(+NFL!$F73="Indianapolis",+NFL!#REF!,IF(+NFL!$H73="Indianapolis",+NFL!#REF!,0))</f>
        <v>0</v>
      </c>
      <c r="AV254" s="64">
        <f>IF(+NFL!$F73="Indianapolis",+NFL!#REF!,IF(+NFL!$H73="Indianapolis",+NFL!#REF!,0))</f>
        <v>0</v>
      </c>
      <c r="AW254" s="46">
        <f>IF(+NFL!$F73="Indianapolis",+NFL!#REF!,IF(+NFL!$H73="Indianapolis",+NFL!#REF!,0))</f>
        <v>0</v>
      </c>
      <c r="AX254" s="64">
        <f>IF(+NFL!$F73="Indianapolis",+NFL!#REF!,IF(+NFL!$H73="Indianapolis",+NFL!#REF!,0))</f>
        <v>0</v>
      </c>
      <c r="AY254" s="57">
        <f>IF(+NFL!$F73="Indianapolis",+NFL!#REF!,IF(+NFL!$H73="Indianapolis",+NFL!#REF!,0))</f>
        <v>0</v>
      </c>
      <c r="AZ254" s="64">
        <f>IF(+NFL!$F73="Indianapolis",+NFL!#REF!,IF(+NFL!$H73="Indianapolis",+NFL!#REF!,0))</f>
        <v>0</v>
      </c>
      <c r="BA254" s="46">
        <f>IF(+NFL!$F73="Indianapolis",+NFL!#REF!,IF(+NFL!$H73="Indianapolis",+NFL!#REF!,0))</f>
        <v>0</v>
      </c>
      <c r="BB254" s="46">
        <f>IF(+NFL!$F73="Indianapolis",+NFL!#REF!,IF(+NFL!$H73="Indianapolis",+NFL!#REF!,0))</f>
        <v>0</v>
      </c>
      <c r="BC254" s="403">
        <f>IF(+NFL!$F73="Indianapolis",+NFL!#REF!,IF(+NFL!$H73="Indianapolis",+NFL!#REF!,0))</f>
        <v>0</v>
      </c>
      <c r="BD254" s="57">
        <f>IF(+NFL!$F73="Indianapolis",+NFL!#REF!,IF(+NFL!$H73="Indianapolis",+NFL!#REF!,0))</f>
        <v>0</v>
      </c>
      <c r="BE254" s="64">
        <f>IF(+NFL!$F73="Indianapolis",+NFL!#REF!,IF(+NFL!$H73="Indianapolis",+NFL!#REF!,0))</f>
        <v>0</v>
      </c>
      <c r="BF254" s="46">
        <f>IF(+NFL!$F73="Indianapolis",+NFL!#REF!,IF(+NFL!$H73="Indianapolis",+NFL!#REF!,0))</f>
        <v>0</v>
      </c>
      <c r="BG254" s="57">
        <f>IF(+NFL!$F73="Indianapolis",+NFL!#REF!,IF(+NFL!$H73="Indianapolis",+NFL!#REF!,0))</f>
        <v>0</v>
      </c>
      <c r="BH254" s="64">
        <f>IF(+NFL!$F73="Indianapolis",+NFL!#REF!,IF(+NFL!$H73="Indianapolis",+NFL!#REF!,0))</f>
        <v>0</v>
      </c>
      <c r="BI254" s="46">
        <f>IF(+NFL!$F73="Indianapolis",+NFL!#REF!,IF(+NFL!$H73="Indianapolis",+NFL!#REF!,0))</f>
        <v>0</v>
      </c>
      <c r="BJ254" s="87">
        <f>IF(+NFL!$F73="Indianapolis",+NFL!#REF!,IF(+NFL!$H73="Indianapolis",+NFL!#REF!,0))</f>
        <v>0</v>
      </c>
      <c r="BK254" s="120">
        <f>IF(+NFL!$F73="Indianapolis",+NFL!#REF!,IF(+NFL!$H73="Indianapolis",+NFL!#REF!,0))</f>
        <v>0</v>
      </c>
    </row>
    <row r="255" spans="1:63" x14ac:dyDescent="0.8">
      <c r="A255" s="46">
        <f>IF(+NFL!$F112="Indianapolis",+NFL!A112,IF(+NFL!$H112="Indianapolis",+NFL!A112,0))</f>
        <v>7</v>
      </c>
      <c r="B255" s="348" t="str">
        <f>IF(+NFL!$F112="Indianapolis",+NFL!B112,IF(+NFL!$H112="Indianapolis",+NFL!B112,0))</f>
        <v>Sun</v>
      </c>
      <c r="C255" s="48">
        <f>IF(+NFL!$F112="Indianapolis",+NFL!C112,IF(+NFL!$H112="Indianapolis",+NFL!C112,0))</f>
        <v>44857</v>
      </c>
      <c r="D255" s="490">
        <f>IF(+NFL!$F112="Indianapolis",+NFL!D112,IF(+NFL!$H112="Indianapolis",+NFL!D112,0))</f>
        <v>0.54166666666666663</v>
      </c>
      <c r="E255" s="46" t="str">
        <f>IF(+NFL!$F112="Indianapolis",+NFL!E112,IF(+NFL!$H112="Indianapolis",+NFL!E112,0))</f>
        <v>CBS</v>
      </c>
      <c r="F255" s="127" t="str">
        <f>IF(+NFL!$F112="Indianapolis",+NFL!F112,IF(+NFL!$H112="Indianapolis",+NFL!F112,0))</f>
        <v>Indianapolis</v>
      </c>
      <c r="G255" s="46" t="str">
        <f>IF(+NFL!$F112="Indianapolis",+NFL!G112,IF(+NFL!$H112="Indianapolis",+NFL!G112,0))</f>
        <v>AFCS</v>
      </c>
      <c r="H255" s="127" t="str">
        <f>IF(+NFL!$F112="Indianapolis",+NFL!H112,IF(+NFL!$H112="Indianapolis",+NFL!H112,0))</f>
        <v>Tennessee</v>
      </c>
      <c r="I255" s="46" t="str">
        <f>IF(+NFL!$F112="Indianapolis",+NFL!I112,IF(+NFL!$H112="Indianapolis",+NFL!I112,0))</f>
        <v>AFCS</v>
      </c>
      <c r="J255" s="353" t="str">
        <f>IF(+NFL!$F112="Indianapolis",+NFL!J112,IF(+NFL!$H112="Indianapolis",+NFL!J112,0))</f>
        <v>Tennessee</v>
      </c>
      <c r="K255" s="494" t="str">
        <f>IF(+NFL!$F112="Indianapolis",+NFL!K112,IF(+NFL!$H112="Indianapolis",+NFL!K112,0))</f>
        <v>Indianapolis</v>
      </c>
      <c r="L255" s="384">
        <f>IF(+NFL!$F112="Indianapolis",+NFL!L112,IF(+NFL!$H112="Indianapolis",+NFL!L112,0))</f>
        <v>2.5</v>
      </c>
      <c r="M255" s="385">
        <f>IF(+NFL!$F112="Indianapolis",+NFL!M112,IF(+NFL!$H112="Indianapolis",+NFL!M112,0))</f>
        <v>42.5</v>
      </c>
      <c r="N255" s="394" t="str">
        <f>IF(+NFL!$F112="Indianapolis",+NFL!N112,IF(+NFL!$H112="Indianapolis",+NFL!N112,0))</f>
        <v>Tennessee</v>
      </c>
      <c r="O255" s="395">
        <f>IF(+NFL!$F112="Indianapolis",+NFL!O112,IF(+NFL!$H112="Indianapolis",+NFL!O112,0))</f>
        <v>19</v>
      </c>
      <c r="P255" s="394" t="str">
        <f>IF(+NFL!$F112="Indianapolis",+NFL!P112,IF(+NFL!$H112="Indianapolis",+NFL!P112,0))</f>
        <v>Indianapolis</v>
      </c>
      <c r="Q255" s="396">
        <f>IF(+NFL!$F112="Indianapolis",+NFL!Q112,IF(+NFL!$H112="Indianapolis",+NFL!Q112,0))</f>
        <v>10</v>
      </c>
      <c r="R255" s="397" t="str">
        <f>IF(+NFL!$F112="Indianapolis",+NFL!R112,IF(+NFL!$H112="Indianapolis",+NFL!R112,0))</f>
        <v>Tennessee</v>
      </c>
      <c r="S255" s="396" t="str">
        <f>IF(+NFL!$F112="Indianapolis",+NFL!S112,IF(+NFL!$H112="Indianapolis",+NFL!S112,0))</f>
        <v>Indianapolis</v>
      </c>
      <c r="T255" s="398" t="str">
        <f>IF(+NFL!$F112="Indianapolis",+NFL!T112,IF(+NFL!$H112="Indianapolis",+NFL!T112,0))</f>
        <v>Tennessee</v>
      </c>
      <c r="U255" s="396" t="str">
        <f>IF(+NFL!$F112="Indianapolis",+NFL!U112,IF(+NFL!$H112="Indianapolis",+NFL!U112,0))</f>
        <v>W</v>
      </c>
      <c r="V255" s="397">
        <f>IF(+NFL!$F100="Indianapolis",+NFL!#REF!,IF(+NFL!$H100="Indianapolis",+NFL!#REF!,0))</f>
        <v>0</v>
      </c>
      <c r="W255" s="396">
        <f>IF(+NFL!$F100="Indianapolis",+NFL!#REF!,IF(+NFL!$H100="Indianapolis",+NFL!#REF!,0))</f>
        <v>0</v>
      </c>
      <c r="X255" s="398">
        <f>IF(+NFL!$F100="Indianapolis",+NFL!#REF!,IF(+NFL!$H100="Indianapolis",+NFL!#REF!,0))</f>
        <v>0</v>
      </c>
      <c r="Y255" s="396">
        <f>IF(+NFL!$F100="Indianapolis",+NFL!#REF!,IF(+NFL!$H100="Indianapolis",+NFL!#REF!,0))</f>
        <v>0</v>
      </c>
      <c r="Z255" s="397">
        <f>IF(+NFL!$F100="Indianapolis",+NFL!#REF!,IF(+NFL!$H100="Indianapolis",+NFL!#REF!,0))</f>
        <v>0</v>
      </c>
      <c r="AA255" s="396">
        <f>IF(+NFL!$F100="Indianapolis",+NFL!#REF!,IF(+NFL!$H100="Indianapolis",+NFL!#REF!,0))</f>
        <v>0</v>
      </c>
      <c r="AB255" s="87">
        <f>IF(+NFL!$F100="Indianapolis",+NFL!#REF!,IF(+NFL!$H100="Indianapolis",+NFL!#REF!,0))</f>
        <v>0</v>
      </c>
      <c r="AC255" s="120">
        <f>IF(+NFL!$F100="Indianapolis",+NFL!#REF!,IF(+NFL!$H100="Indianapolis",+NFL!#REF!,0))</f>
        <v>0</v>
      </c>
      <c r="AD255" s="353">
        <f>IF(+NFL!$F100="Indianapolis",+NFL!#REF!,IF(+NFL!$H100="Indianapolis",+NFL!#REF!,0))</f>
        <v>0</v>
      </c>
      <c r="AE255" s="379">
        <f>IF(+NFL!$F100="Indianapolis",+NFL!#REF!,IF(+NFL!$H100="Indianapolis",+NFL!#REF!,0))</f>
        <v>0</v>
      </c>
      <c r="AF255" s="353">
        <f>IF(+NFL!$F100="Indianapolis",+NFL!#REF!,IF(+NFL!$H100="Indianapolis",+NFL!#REF!,0))</f>
        <v>0</v>
      </c>
      <c r="AG255" s="379">
        <f>IF(+NFL!$F100="Indianapolis",+NFL!#REF!,IF(+NFL!$H100="Indianapolis",+NFL!#REF!,0))</f>
        <v>0</v>
      </c>
      <c r="AH255" s="353">
        <f>IF(+NFL!$F100="Indianapolis",+NFL!#REF!,IF(+NFL!$H100="Indianapolis",+NFL!#REF!,0))</f>
        <v>0</v>
      </c>
      <c r="AI255" s="379">
        <f>IF(+NFL!$F100="Indianapolis",+NFL!#REF!,IF(+NFL!$H100="Indianapolis",+NFL!#REF!,0))</f>
        <v>0</v>
      </c>
      <c r="AJ255" s="353">
        <f>IF(+NFL!$F100="Indianapolis",+NFL!#REF!,IF(+NFL!$H100="Indianapolis",+NFL!#REF!,0))</f>
        <v>0</v>
      </c>
      <c r="AK255" s="379">
        <f>IF(+NFL!$F100="Indianapolis",+NFL!#REF!,IF(+NFL!$H100="Indianapolis",+NFL!#REF!,0))</f>
        <v>0</v>
      </c>
      <c r="AL255" s="69">
        <f>IF(+NFL!$F100="Indianapolis",+NFL!#REF!,IF(+NFL!$H100="Indianapolis",+NFL!#REF!,0))</f>
        <v>0</v>
      </c>
      <c r="AM255" s="58">
        <f>IF(+NFL!$F100="Indianapolis",+NFL!#REF!,IF(+NFL!$H100="Indianapolis",+NFL!#REF!,0))</f>
        <v>0</v>
      </c>
      <c r="AN255" s="70">
        <f>IF(+NFL!$F100="Indianapolis",+NFL!#REF!,IF(+NFL!$H100="Indianapolis",+NFL!#REF!,0))</f>
        <v>0</v>
      </c>
      <c r="AO255" s="59">
        <f>IF(+NFL!$F100="Indianapolis",+NFL!#REF!,IF(+NFL!$H100="Indianapolis",+NFL!#REF!,0))</f>
        <v>0</v>
      </c>
      <c r="AP255" s="348">
        <f>IF(+NFL!$F100="Indianapolis",+NFL!#REF!,IF(+NFL!$H100="Indianapolis",+NFL!#REF!,0))</f>
        <v>0</v>
      </c>
      <c r="AQ255" s="48">
        <f>IF(+NFL!$F100="Indianapolis",+NFL!#REF!,IF(+NFL!$H100="Indianapolis",+NFL!#REF!,0))</f>
        <v>0</v>
      </c>
      <c r="AR255" s="57">
        <f>IF(+NFL!$F100="Indianapolis",+NFL!#REF!,IF(+NFL!$H100="Indianapolis",+NFL!#REF!,0))</f>
        <v>0</v>
      </c>
      <c r="AS255" s="64">
        <f>IF(+NFL!$F100="Indianapolis",+NFL!#REF!,IF(+NFL!$H100="Indianapolis",+NFL!#REF!,0))</f>
        <v>0</v>
      </c>
      <c r="AT255" s="46">
        <f>IF(+NFL!$F100="Indianapolis",+NFL!#REF!,IF(+NFL!$H100="Indianapolis",+NFL!#REF!,0))</f>
        <v>0</v>
      </c>
      <c r="AU255" s="57">
        <f>IF(+NFL!$F100="Indianapolis",+NFL!#REF!,IF(+NFL!$H100="Indianapolis",+NFL!#REF!,0))</f>
        <v>0</v>
      </c>
      <c r="AV255" s="64">
        <f>IF(+NFL!$F100="Indianapolis",+NFL!#REF!,IF(+NFL!$H100="Indianapolis",+NFL!#REF!,0))</f>
        <v>0</v>
      </c>
      <c r="AW255" s="46">
        <f>IF(+NFL!$F100="Indianapolis",+NFL!#REF!,IF(+NFL!$H100="Indianapolis",+NFL!#REF!,0))</f>
        <v>0</v>
      </c>
      <c r="AX255" s="64">
        <f>IF(+NFL!$F100="Indianapolis",+NFL!#REF!,IF(+NFL!$H100="Indianapolis",+NFL!#REF!,0))</f>
        <v>0</v>
      </c>
      <c r="AY255" s="57">
        <f>IF(+NFL!$F100="Indianapolis",+NFL!#REF!,IF(+NFL!$H100="Indianapolis",+NFL!#REF!,0))</f>
        <v>0</v>
      </c>
      <c r="AZ255" s="64">
        <f>IF(+NFL!$F100="Indianapolis",+NFL!#REF!,IF(+NFL!$H100="Indianapolis",+NFL!#REF!,0))</f>
        <v>0</v>
      </c>
      <c r="BA255" s="46">
        <f>IF(+NFL!$F100="Indianapolis",+NFL!#REF!,IF(+NFL!$H100="Indianapolis",+NFL!#REF!,0))</f>
        <v>0</v>
      </c>
      <c r="BB255" s="46">
        <f>IF(+NFL!$F100="Indianapolis",+NFL!#REF!,IF(+NFL!$H100="Indianapolis",+NFL!#REF!,0))</f>
        <v>0</v>
      </c>
      <c r="BC255" s="403">
        <f>IF(+NFL!$F100="Indianapolis",+NFL!#REF!,IF(+NFL!$H100="Indianapolis",+NFL!#REF!,0))</f>
        <v>0</v>
      </c>
      <c r="BD255" s="57">
        <f>IF(+NFL!$F100="Indianapolis",+NFL!#REF!,IF(+NFL!$H100="Indianapolis",+NFL!#REF!,0))</f>
        <v>0</v>
      </c>
      <c r="BE255" s="64">
        <f>IF(+NFL!$F100="Indianapolis",+NFL!#REF!,IF(+NFL!$H100="Indianapolis",+NFL!#REF!,0))</f>
        <v>0</v>
      </c>
      <c r="BF255" s="46">
        <f>IF(+NFL!$F100="Indianapolis",+NFL!#REF!,IF(+NFL!$H100="Indianapolis",+NFL!#REF!,0))</f>
        <v>0</v>
      </c>
      <c r="BG255" s="57">
        <f>IF(+NFL!$F100="Indianapolis",+NFL!#REF!,IF(+NFL!$H100="Indianapolis",+NFL!#REF!,0))</f>
        <v>0</v>
      </c>
      <c r="BH255" s="64">
        <f>IF(+NFL!$F100="Indianapolis",+NFL!#REF!,IF(+NFL!$H100="Indianapolis",+NFL!#REF!,0))</f>
        <v>0</v>
      </c>
      <c r="BI255" s="46">
        <f>IF(+NFL!$F100="Indianapolis",+NFL!#REF!,IF(+NFL!$H100="Indianapolis",+NFL!#REF!,0))</f>
        <v>0</v>
      </c>
      <c r="BJ255" s="87">
        <f>IF(+NFL!$F100="Indianapolis",+NFL!#REF!,IF(+NFL!$H100="Indianapolis",+NFL!#REF!,0))</f>
        <v>0</v>
      </c>
      <c r="BK255" s="120">
        <f>IF(+NFL!$F100="Indianapolis",+NFL!#REF!,IF(+NFL!$H100="Indianapolis",+NFL!#REF!,0))</f>
        <v>0</v>
      </c>
    </row>
    <row r="256" spans="1:63" x14ac:dyDescent="0.8">
      <c r="A256" s="46">
        <f>IF(+NFL!$F139="Indianapolis",+NFL!A139,IF(+NFL!$H139="Indianapolis",+NFL!A139,0))</f>
        <v>8</v>
      </c>
      <c r="B256" s="348" t="str">
        <f>IF(+NFL!$F139="Indianapolis",+NFL!B139,IF(+NFL!$H139="Indianapolis",+NFL!B139,0))</f>
        <v>Sun</v>
      </c>
      <c r="C256" s="48">
        <f>IF(+NFL!$F139="Indianapolis",+NFL!C139,IF(+NFL!$H139="Indianapolis",+NFL!C139,0))</f>
        <v>44864</v>
      </c>
      <c r="D256" s="490">
        <f>IF(+NFL!$F139="Indianapolis",+NFL!D139,IF(+NFL!$H139="Indianapolis",+NFL!D139,0))</f>
        <v>0.66666666666666663</v>
      </c>
      <c r="E256" s="46" t="str">
        <f>IF(+NFL!$F139="Indianapolis",+NFL!E139,IF(+NFL!$H139="Indianapolis",+NFL!E139,0))</f>
        <v>Fox</v>
      </c>
      <c r="F256" s="127" t="str">
        <f>IF(+NFL!$F139="Indianapolis",+NFL!F139,IF(+NFL!$H139="Indianapolis",+NFL!F139,0))</f>
        <v>Washington</v>
      </c>
      <c r="G256" s="46" t="str">
        <f>IF(+NFL!$F139="Indianapolis",+NFL!G139,IF(+NFL!$H139="Indianapolis",+NFL!G139,0))</f>
        <v>NFCE</v>
      </c>
      <c r="H256" s="127" t="str">
        <f>IF(+NFL!$F139="Indianapolis",+NFL!H139,IF(+NFL!$H139="Indianapolis",+NFL!H139,0))</f>
        <v>Indianapolis</v>
      </c>
      <c r="I256" s="46" t="str">
        <f>IF(+NFL!$F139="Indianapolis",+NFL!I139,IF(+NFL!$H139="Indianapolis",+NFL!I139,0))</f>
        <v>AFCS</v>
      </c>
      <c r="J256" s="353" t="str">
        <f>IF(+NFL!$F139="Indianapolis",+NFL!J139,IF(+NFL!$H139="Indianapolis",+NFL!J139,0))</f>
        <v>Indianapolis</v>
      </c>
      <c r="K256" s="494" t="str">
        <f>IF(+NFL!$F139="Indianapolis",+NFL!K139,IF(+NFL!$H139="Indianapolis",+NFL!K139,0))</f>
        <v>Washington</v>
      </c>
      <c r="L256" s="384">
        <f>IF(+NFL!$F139="Indianapolis",+NFL!L139,IF(+NFL!$H139="Indianapolis",+NFL!L139,0))</f>
        <v>3</v>
      </c>
      <c r="M256" s="385">
        <f>IF(+NFL!$F139="Indianapolis",+NFL!M139,IF(+NFL!$H139="Indianapolis",+NFL!M139,0))</f>
        <v>40</v>
      </c>
      <c r="N256" s="394" t="str">
        <f>IF(+NFL!$F139="Indianapolis",+NFL!N139,IF(+NFL!$H139="Indianapolis",+NFL!N139,0))</f>
        <v>Washington</v>
      </c>
      <c r="O256" s="395">
        <f>IF(+NFL!$F139="Indianapolis",+NFL!O139,IF(+NFL!$H139="Indianapolis",+NFL!O139,0))</f>
        <v>17</v>
      </c>
      <c r="P256" s="394" t="str">
        <f>IF(+NFL!$F139="Indianapolis",+NFL!P139,IF(+NFL!$H139="Indianapolis",+NFL!P139,0))</f>
        <v>Indianapolis</v>
      </c>
      <c r="Q256" s="396">
        <f>IF(+NFL!$F139="Indianapolis",+NFL!Q139,IF(+NFL!$H139="Indianapolis",+NFL!Q139,0))</f>
        <v>16</v>
      </c>
      <c r="R256" s="397" t="str">
        <f>IF(+NFL!$F139="Indianapolis",+NFL!R139,IF(+NFL!$H139="Indianapolis",+NFL!R139,0))</f>
        <v>Washington</v>
      </c>
      <c r="S256" s="396" t="str">
        <f>IF(+NFL!$F139="Indianapolis",+NFL!S139,IF(+NFL!$H139="Indianapolis",+NFL!S139,0))</f>
        <v>Indianapolis</v>
      </c>
      <c r="T256" s="398" t="str">
        <f>IF(+NFL!$F139="Indianapolis",+NFL!T139,IF(+NFL!$H139="Indianapolis",+NFL!T139,0))</f>
        <v>Indianapolis</v>
      </c>
      <c r="U256" s="396" t="str">
        <f>IF(+NFL!$F139="Indianapolis",+NFL!U139,IF(+NFL!$H139="Indianapolis",+NFL!U139,0))</f>
        <v>L</v>
      </c>
      <c r="V256" s="397">
        <f>IF(+NFL!$F124="Indianapolis",+NFL!#REF!,IF(+NFL!$H124="Indianapolis",+NFL!#REF!,0))</f>
        <v>0</v>
      </c>
      <c r="W256" s="396">
        <f>IF(+NFL!$F124="Indianapolis",+NFL!#REF!,IF(+NFL!$H124="Indianapolis",+NFL!#REF!,0))</f>
        <v>0</v>
      </c>
      <c r="X256" s="398">
        <f>IF(+NFL!$F124="Indianapolis",+NFL!#REF!,IF(+NFL!$H124="Indianapolis",+NFL!#REF!,0))</f>
        <v>0</v>
      </c>
      <c r="Y256" s="396">
        <f>IF(+NFL!$F124="Indianapolis",+NFL!#REF!,IF(+NFL!$H124="Indianapolis",+NFL!#REF!,0))</f>
        <v>0</v>
      </c>
      <c r="Z256" s="397">
        <f>IF(+NFL!$F124="Indianapolis",+NFL!#REF!,IF(+NFL!$H124="Indianapolis",+NFL!#REF!,0))</f>
        <v>0</v>
      </c>
      <c r="AA256" s="396">
        <f>IF(+NFL!$F124="Indianapolis",+NFL!#REF!,IF(+NFL!$H124="Indianapolis",+NFL!#REF!,0))</f>
        <v>0</v>
      </c>
      <c r="AB256" s="87">
        <f>IF(+NFL!$F124="Indianapolis",+NFL!#REF!,IF(+NFL!$H124="Indianapolis",+NFL!#REF!,0))</f>
        <v>0</v>
      </c>
      <c r="AC256" s="120">
        <f>IF(+NFL!$F124="Indianapolis",+NFL!#REF!,IF(+NFL!$H124="Indianapolis",+NFL!#REF!,0))</f>
        <v>0</v>
      </c>
      <c r="AD256" s="353">
        <f>IF(+NFL!$F124="Indianapolis",+NFL!#REF!,IF(+NFL!$H124="Indianapolis",+NFL!#REF!,0))</f>
        <v>0</v>
      </c>
      <c r="AE256" s="379">
        <f>IF(+NFL!$F124="Indianapolis",+NFL!#REF!,IF(+NFL!$H124="Indianapolis",+NFL!#REF!,0))</f>
        <v>0</v>
      </c>
      <c r="AF256" s="353">
        <f>IF(+NFL!$F124="Indianapolis",+NFL!#REF!,IF(+NFL!$H124="Indianapolis",+NFL!#REF!,0))</f>
        <v>0</v>
      </c>
      <c r="AG256" s="379">
        <f>IF(+NFL!$F124="Indianapolis",+NFL!#REF!,IF(+NFL!$H124="Indianapolis",+NFL!#REF!,0))</f>
        <v>0</v>
      </c>
      <c r="AH256" s="353">
        <f>IF(+NFL!$F124="Indianapolis",+NFL!#REF!,IF(+NFL!$H124="Indianapolis",+NFL!#REF!,0))</f>
        <v>0</v>
      </c>
      <c r="AI256" s="379">
        <f>IF(+NFL!$F124="Indianapolis",+NFL!#REF!,IF(+NFL!$H124="Indianapolis",+NFL!#REF!,0))</f>
        <v>0</v>
      </c>
      <c r="AJ256" s="353">
        <f>IF(+NFL!$F124="Indianapolis",+NFL!#REF!,IF(+NFL!$H124="Indianapolis",+NFL!#REF!,0))</f>
        <v>0</v>
      </c>
      <c r="AK256" s="379">
        <f>IF(+NFL!$F124="Indianapolis",+NFL!#REF!,IF(+NFL!$H124="Indianapolis",+NFL!#REF!,0))</f>
        <v>0</v>
      </c>
      <c r="AL256" s="69">
        <f>IF(+NFL!$F124="Indianapolis",+NFL!#REF!,IF(+NFL!$H124="Indianapolis",+NFL!#REF!,0))</f>
        <v>0</v>
      </c>
      <c r="AM256" s="58">
        <f>IF(+NFL!$F124="Indianapolis",+NFL!#REF!,IF(+NFL!$H124="Indianapolis",+NFL!#REF!,0))</f>
        <v>0</v>
      </c>
      <c r="AN256" s="70">
        <f>IF(+NFL!$F124="Indianapolis",+NFL!#REF!,IF(+NFL!$H124="Indianapolis",+NFL!#REF!,0))</f>
        <v>0</v>
      </c>
      <c r="AO256" s="59">
        <f>IF(+NFL!$F124="Indianapolis",+NFL!#REF!,IF(+NFL!$H124="Indianapolis",+NFL!#REF!,0))</f>
        <v>0</v>
      </c>
      <c r="AP256" s="348">
        <f>IF(+NFL!$F124="Indianapolis",+NFL!#REF!,IF(+NFL!$H124="Indianapolis",+NFL!#REF!,0))</f>
        <v>0</v>
      </c>
      <c r="AQ256" s="48">
        <f>IF(+NFL!$F124="Indianapolis",+NFL!#REF!,IF(+NFL!$H124="Indianapolis",+NFL!#REF!,0))</f>
        <v>0</v>
      </c>
      <c r="AR256" s="57">
        <f>IF(+NFL!$F124="Indianapolis",+NFL!#REF!,IF(+NFL!$H124="Indianapolis",+NFL!#REF!,0))</f>
        <v>0</v>
      </c>
      <c r="AS256" s="64">
        <f>IF(+NFL!$F124="Indianapolis",+NFL!#REF!,IF(+NFL!$H124="Indianapolis",+NFL!#REF!,0))</f>
        <v>0</v>
      </c>
      <c r="AT256" s="46">
        <f>IF(+NFL!$F124="Indianapolis",+NFL!#REF!,IF(+NFL!$H124="Indianapolis",+NFL!#REF!,0))</f>
        <v>0</v>
      </c>
      <c r="AU256" s="57">
        <f>IF(+NFL!$F124="Indianapolis",+NFL!#REF!,IF(+NFL!$H124="Indianapolis",+NFL!#REF!,0))</f>
        <v>0</v>
      </c>
      <c r="AV256" s="64">
        <f>IF(+NFL!$F124="Indianapolis",+NFL!#REF!,IF(+NFL!$H124="Indianapolis",+NFL!#REF!,0))</f>
        <v>0</v>
      </c>
      <c r="AW256" s="46">
        <f>IF(+NFL!$F124="Indianapolis",+NFL!#REF!,IF(+NFL!$H124="Indianapolis",+NFL!#REF!,0))</f>
        <v>0</v>
      </c>
      <c r="AX256" s="64">
        <f>IF(+NFL!$F124="Indianapolis",+NFL!#REF!,IF(+NFL!$H124="Indianapolis",+NFL!#REF!,0))</f>
        <v>0</v>
      </c>
      <c r="AY256" s="57">
        <f>IF(+NFL!$F124="Indianapolis",+NFL!#REF!,IF(+NFL!$H124="Indianapolis",+NFL!#REF!,0))</f>
        <v>0</v>
      </c>
      <c r="AZ256" s="64">
        <f>IF(+NFL!$F124="Indianapolis",+NFL!#REF!,IF(+NFL!$H124="Indianapolis",+NFL!#REF!,0))</f>
        <v>0</v>
      </c>
      <c r="BA256" s="46">
        <f>IF(+NFL!$F124="Indianapolis",+NFL!#REF!,IF(+NFL!$H124="Indianapolis",+NFL!#REF!,0))</f>
        <v>0</v>
      </c>
      <c r="BB256" s="46">
        <f>IF(+NFL!$F124="Indianapolis",+NFL!#REF!,IF(+NFL!$H124="Indianapolis",+NFL!#REF!,0))</f>
        <v>0</v>
      </c>
      <c r="BC256" s="403">
        <f>IF(+NFL!$F124="Indianapolis",+NFL!#REF!,IF(+NFL!$H124="Indianapolis",+NFL!#REF!,0))</f>
        <v>0</v>
      </c>
      <c r="BD256" s="57">
        <f>IF(+NFL!$F124="Indianapolis",+NFL!#REF!,IF(+NFL!$H124="Indianapolis",+NFL!#REF!,0))</f>
        <v>0</v>
      </c>
      <c r="BE256" s="64">
        <f>IF(+NFL!$F124="Indianapolis",+NFL!#REF!,IF(+NFL!$H124="Indianapolis",+NFL!#REF!,0))</f>
        <v>0</v>
      </c>
      <c r="BF256" s="46">
        <f>IF(+NFL!$F124="Indianapolis",+NFL!#REF!,IF(+NFL!$H124="Indianapolis",+NFL!#REF!,0))</f>
        <v>0</v>
      </c>
      <c r="BG256" s="57">
        <f>IF(+NFL!$F124="Indianapolis",+NFL!#REF!,IF(+NFL!$H124="Indianapolis",+NFL!#REF!,0))</f>
        <v>0</v>
      </c>
      <c r="BH256" s="64">
        <f>IF(+NFL!$F124="Indianapolis",+NFL!#REF!,IF(+NFL!$H124="Indianapolis",+NFL!#REF!,0))</f>
        <v>0</v>
      </c>
      <c r="BI256" s="46">
        <f>IF(+NFL!$F124="Indianapolis",+NFL!#REF!,IF(+NFL!$H124="Indianapolis",+NFL!#REF!,0))</f>
        <v>0</v>
      </c>
      <c r="BJ256" s="87">
        <f>IF(+NFL!$F124="Indianapolis",+NFL!#REF!,IF(+NFL!$H124="Indianapolis",+NFL!#REF!,0))</f>
        <v>0</v>
      </c>
      <c r="BK256" s="120">
        <f>IF(+NFL!$F124="Indianapolis",+NFL!#REF!,IF(+NFL!$H124="Indianapolis",+NFL!#REF!,0))</f>
        <v>0</v>
      </c>
    </row>
    <row r="257" spans="1:63" x14ac:dyDescent="0.8">
      <c r="A257" s="46">
        <f>IF(+NFL!$F152="Indianapolis",+NFL!A152,IF(+NFL!$H152="Indianapolis",+NFL!A152,0))</f>
        <v>9</v>
      </c>
      <c r="B257" s="348" t="str">
        <f>IF(+NFL!$F152="Indianapolis",+NFL!B152,IF(+NFL!$H152="Indianapolis",+NFL!B152,0))</f>
        <v>Sun</v>
      </c>
      <c r="C257" s="48">
        <f>IF(+NFL!$F152="Indianapolis",+NFL!C152,IF(+NFL!$H152="Indianapolis",+NFL!C152,0))</f>
        <v>44871</v>
      </c>
      <c r="D257" s="490">
        <f>IF(+NFL!$F152="Indianapolis",+NFL!D152,IF(+NFL!$H152="Indianapolis",+NFL!D152,0))</f>
        <v>0.54166666666666663</v>
      </c>
      <c r="E257" s="46" t="str">
        <f>IF(+NFL!$F152="Indianapolis",+NFL!E152,IF(+NFL!$H152="Indianapolis",+NFL!E152,0))</f>
        <v>CBS</v>
      </c>
      <c r="F257" s="127" t="str">
        <f>IF(+NFL!$F152="Indianapolis",+NFL!F152,IF(+NFL!$H152="Indianapolis",+NFL!F152,0))</f>
        <v>Indianapolis</v>
      </c>
      <c r="G257" s="46" t="str">
        <f>IF(+NFL!$F152="Indianapolis",+NFL!G152,IF(+NFL!$H152="Indianapolis",+NFL!G152,0))</f>
        <v>AFCS</v>
      </c>
      <c r="H257" s="127" t="str">
        <f>IF(+NFL!$F152="Indianapolis",+NFL!H152,IF(+NFL!$H152="Indianapolis",+NFL!H152,0))</f>
        <v>New England</v>
      </c>
      <c r="I257" s="46" t="str">
        <f>IF(+NFL!$F152="Indianapolis",+NFL!I152,IF(+NFL!$H152="Indianapolis",+NFL!I152,0))</f>
        <v>AFCE</v>
      </c>
      <c r="J257" s="353" t="str">
        <f>IF(+NFL!$F152="Indianapolis",+NFL!J152,IF(+NFL!$H152="Indianapolis",+NFL!J152,0))</f>
        <v>New England</v>
      </c>
      <c r="K257" s="494" t="str">
        <f>IF(+NFL!$F152="Indianapolis",+NFL!K152,IF(+NFL!$H152="Indianapolis",+NFL!K152,0))</f>
        <v>Indianapolis</v>
      </c>
      <c r="L257" s="384">
        <f>IF(+NFL!$F152="Indianapolis",+NFL!L152,IF(+NFL!$H152="Indianapolis",+NFL!L152,0))</f>
        <v>5.5</v>
      </c>
      <c r="M257" s="385">
        <f>IF(+NFL!$F152="Indianapolis",+NFL!M152,IF(+NFL!$H152="Indianapolis",+NFL!M152,0))</f>
        <v>39</v>
      </c>
      <c r="N257" s="394" t="str">
        <f>IF(+NFL!$F152="Indianapolis",+NFL!N152,IF(+NFL!$H152="Indianapolis",+NFL!N152,0))</f>
        <v>New England</v>
      </c>
      <c r="O257" s="395">
        <f>IF(+NFL!$F152="Indianapolis",+NFL!O152,IF(+NFL!$H152="Indianapolis",+NFL!O152,0))</f>
        <v>26</v>
      </c>
      <c r="P257" s="394" t="str">
        <f>IF(+NFL!$F152="Indianapolis",+NFL!P152,IF(+NFL!$H152="Indianapolis",+NFL!P152,0))</f>
        <v>Indianapolis</v>
      </c>
      <c r="Q257" s="396">
        <f>IF(+NFL!$F152="Indianapolis",+NFL!Q152,IF(+NFL!$H152="Indianapolis",+NFL!Q152,0))</f>
        <v>3</v>
      </c>
      <c r="R257" s="397" t="str">
        <f>IF(+NFL!$F152="Indianapolis",+NFL!R152,IF(+NFL!$H152="Indianapolis",+NFL!R152,0))</f>
        <v>New England</v>
      </c>
      <c r="S257" s="396" t="str">
        <f>IF(+NFL!$F152="Indianapolis",+NFL!S152,IF(+NFL!$H152="Indianapolis",+NFL!S152,0))</f>
        <v>Indianapolis</v>
      </c>
      <c r="T257" s="398" t="str">
        <f>IF(+NFL!$F152="Indianapolis",+NFL!T152,IF(+NFL!$H152="Indianapolis",+NFL!T152,0))</f>
        <v>Indianapolis</v>
      </c>
      <c r="U257" s="396" t="str">
        <f>IF(+NFL!$F152="Indianapolis",+NFL!U152,IF(+NFL!$H152="Indianapolis",+NFL!U152,0))</f>
        <v>L</v>
      </c>
      <c r="V257" s="397">
        <f>IF(+NFL!$F134="Indianapolis",+NFL!#REF!,IF(+NFL!$H134="Indianapolis",+NFL!#REF!,0))</f>
        <v>0</v>
      </c>
      <c r="W257" s="396">
        <f>IF(+NFL!$F134="Indianapolis",+NFL!#REF!,IF(+NFL!$H134="Indianapolis",+NFL!#REF!,0))</f>
        <v>0</v>
      </c>
      <c r="X257" s="398">
        <f>IF(+NFL!$F134="Indianapolis",+NFL!#REF!,IF(+NFL!$H134="Indianapolis",+NFL!#REF!,0))</f>
        <v>0</v>
      </c>
      <c r="Y257" s="396">
        <f>IF(+NFL!$F134="Indianapolis",+NFL!#REF!,IF(+NFL!$H134="Indianapolis",+NFL!#REF!,0))</f>
        <v>0</v>
      </c>
      <c r="Z257" s="397">
        <f>IF(+NFL!$F134="Indianapolis",+NFL!#REF!,IF(+NFL!$H134="Indianapolis",+NFL!#REF!,0))</f>
        <v>0</v>
      </c>
      <c r="AA257" s="396">
        <f>IF(+NFL!$F134="Indianapolis",+NFL!#REF!,IF(+NFL!$H134="Indianapolis",+NFL!#REF!,0))</f>
        <v>0</v>
      </c>
      <c r="AB257" s="87">
        <f>IF(+NFL!$F134="Indianapolis",+NFL!#REF!,IF(+NFL!$H134="Indianapolis",+NFL!#REF!,0))</f>
        <v>0</v>
      </c>
      <c r="AC257" s="120">
        <f>IF(+NFL!$F134="Indianapolis",+NFL!#REF!,IF(+NFL!$H134="Indianapolis",+NFL!#REF!,0))</f>
        <v>0</v>
      </c>
      <c r="AD257" s="353">
        <f>IF(+NFL!$F134="Indianapolis",+NFL!#REF!,IF(+NFL!$H134="Indianapolis",+NFL!#REF!,0))</f>
        <v>0</v>
      </c>
      <c r="AE257" s="379">
        <f>IF(+NFL!$F134="Indianapolis",+NFL!#REF!,IF(+NFL!$H134="Indianapolis",+NFL!#REF!,0))</f>
        <v>0</v>
      </c>
      <c r="AF257" s="353">
        <f>IF(+NFL!$F134="Indianapolis",+NFL!#REF!,IF(+NFL!$H134="Indianapolis",+NFL!#REF!,0))</f>
        <v>0</v>
      </c>
      <c r="AG257" s="379">
        <f>IF(+NFL!$F134="Indianapolis",+NFL!#REF!,IF(+NFL!$H134="Indianapolis",+NFL!#REF!,0))</f>
        <v>0</v>
      </c>
      <c r="AH257" s="353">
        <f>IF(+NFL!$F134="Indianapolis",+NFL!#REF!,IF(+NFL!$H134="Indianapolis",+NFL!#REF!,0))</f>
        <v>0</v>
      </c>
      <c r="AI257" s="379">
        <f>IF(+NFL!$F134="Indianapolis",+NFL!#REF!,IF(+NFL!$H134="Indianapolis",+NFL!#REF!,0))</f>
        <v>0</v>
      </c>
      <c r="AJ257" s="353">
        <f>IF(+NFL!$F134="Indianapolis",+NFL!#REF!,IF(+NFL!$H134="Indianapolis",+NFL!#REF!,0))</f>
        <v>0</v>
      </c>
      <c r="AK257" s="379">
        <f>IF(+NFL!$F134="Indianapolis",+NFL!#REF!,IF(+NFL!$H134="Indianapolis",+NFL!#REF!,0))</f>
        <v>0</v>
      </c>
      <c r="AL257" s="69">
        <f>IF(+NFL!$F134="Indianapolis",+NFL!#REF!,IF(+NFL!$H134="Indianapolis",+NFL!#REF!,0))</f>
        <v>0</v>
      </c>
      <c r="AM257" s="58">
        <f>IF(+NFL!$F134="Indianapolis",+NFL!#REF!,IF(+NFL!$H134="Indianapolis",+NFL!#REF!,0))</f>
        <v>0</v>
      </c>
      <c r="AN257" s="70">
        <f>IF(+NFL!$F134="Indianapolis",+NFL!#REF!,IF(+NFL!$H134="Indianapolis",+NFL!#REF!,0))</f>
        <v>0</v>
      </c>
      <c r="AO257" s="59">
        <f>IF(+NFL!$F134="Indianapolis",+NFL!#REF!,IF(+NFL!$H134="Indianapolis",+NFL!#REF!,0))</f>
        <v>0</v>
      </c>
      <c r="AP257" s="348">
        <f>IF(+NFL!$F134="Indianapolis",+NFL!#REF!,IF(+NFL!$H134="Indianapolis",+NFL!#REF!,0))</f>
        <v>0</v>
      </c>
      <c r="AQ257" s="48">
        <f>IF(+NFL!$F134="Indianapolis",+NFL!#REF!,IF(+NFL!$H134="Indianapolis",+NFL!#REF!,0))</f>
        <v>0</v>
      </c>
      <c r="AR257" s="57">
        <f>IF(+NFL!$F134="Indianapolis",+NFL!#REF!,IF(+NFL!$H134="Indianapolis",+NFL!#REF!,0))</f>
        <v>0</v>
      </c>
      <c r="AS257" s="64">
        <f>IF(+NFL!$F134="Indianapolis",+NFL!#REF!,IF(+NFL!$H134="Indianapolis",+NFL!#REF!,0))</f>
        <v>0</v>
      </c>
      <c r="AT257" s="46">
        <f>IF(+NFL!$F134="Indianapolis",+NFL!#REF!,IF(+NFL!$H134="Indianapolis",+NFL!#REF!,0))</f>
        <v>0</v>
      </c>
      <c r="AU257" s="57">
        <f>IF(+NFL!$F134="Indianapolis",+NFL!#REF!,IF(+NFL!$H134="Indianapolis",+NFL!#REF!,0))</f>
        <v>0</v>
      </c>
      <c r="AV257" s="64">
        <f>IF(+NFL!$F134="Indianapolis",+NFL!#REF!,IF(+NFL!$H134="Indianapolis",+NFL!#REF!,0))</f>
        <v>0</v>
      </c>
      <c r="AW257" s="46">
        <f>IF(+NFL!$F134="Indianapolis",+NFL!#REF!,IF(+NFL!$H134="Indianapolis",+NFL!#REF!,0))</f>
        <v>0</v>
      </c>
      <c r="AX257" s="64">
        <f>IF(+NFL!$F134="Indianapolis",+NFL!#REF!,IF(+NFL!$H134="Indianapolis",+NFL!#REF!,0))</f>
        <v>0</v>
      </c>
      <c r="AY257" s="57">
        <f>IF(+NFL!$F134="Indianapolis",+NFL!#REF!,IF(+NFL!$H134="Indianapolis",+NFL!#REF!,0))</f>
        <v>0</v>
      </c>
      <c r="AZ257" s="64">
        <f>IF(+NFL!$F134="Indianapolis",+NFL!#REF!,IF(+NFL!$H134="Indianapolis",+NFL!#REF!,0))</f>
        <v>0</v>
      </c>
      <c r="BA257" s="46">
        <f>IF(+NFL!$F134="Indianapolis",+NFL!#REF!,IF(+NFL!$H134="Indianapolis",+NFL!#REF!,0))</f>
        <v>0</v>
      </c>
      <c r="BB257" s="46">
        <f>IF(+NFL!$F134="Indianapolis",+NFL!#REF!,IF(+NFL!$H134="Indianapolis",+NFL!#REF!,0))</f>
        <v>0</v>
      </c>
      <c r="BC257" s="403">
        <f>IF(+NFL!$F134="Indianapolis",+NFL!#REF!,IF(+NFL!$H134="Indianapolis",+NFL!#REF!,0))</f>
        <v>0</v>
      </c>
      <c r="BD257" s="57">
        <f>IF(+NFL!$F134="Indianapolis",+NFL!#REF!,IF(+NFL!$H134="Indianapolis",+NFL!#REF!,0))</f>
        <v>0</v>
      </c>
      <c r="BE257" s="64">
        <f>IF(+NFL!$F134="Indianapolis",+NFL!#REF!,IF(+NFL!$H134="Indianapolis",+NFL!#REF!,0))</f>
        <v>0</v>
      </c>
      <c r="BF257" s="46">
        <f>IF(+NFL!$F134="Indianapolis",+NFL!#REF!,IF(+NFL!$H134="Indianapolis",+NFL!#REF!,0))</f>
        <v>0</v>
      </c>
      <c r="BG257" s="57">
        <f>IF(+NFL!$F134="Indianapolis",+NFL!#REF!,IF(+NFL!$H134="Indianapolis",+NFL!#REF!,0))</f>
        <v>0</v>
      </c>
      <c r="BH257" s="64">
        <f>IF(+NFL!$F134="Indianapolis",+NFL!#REF!,IF(+NFL!$H134="Indianapolis",+NFL!#REF!,0))</f>
        <v>0</v>
      </c>
      <c r="BI257" s="46">
        <f>IF(+NFL!$F134="Indianapolis",+NFL!#REF!,IF(+NFL!$H134="Indianapolis",+NFL!#REF!,0))</f>
        <v>0</v>
      </c>
      <c r="BJ257" s="87">
        <f>IF(+NFL!$F134="Indianapolis",+NFL!#REF!,IF(+NFL!$H134="Indianapolis",+NFL!#REF!,0))</f>
        <v>0</v>
      </c>
      <c r="BK257" s="120">
        <f>IF(+NFL!$F134="Indianapolis",+NFL!#REF!,IF(+NFL!$H134="Indianapolis",+NFL!#REF!,0))</f>
        <v>0</v>
      </c>
    </row>
    <row r="258" spans="1:63" x14ac:dyDescent="0.8">
      <c r="A258" s="46">
        <f>IF(+NFL!$F178="Indianapolis",+NFL!A178,IF(+NFL!$H178="Indianapolis",+NFL!A178,0))</f>
        <v>10</v>
      </c>
      <c r="B258" s="348" t="str">
        <f>IF(+NFL!$F178="Indianapolis",+NFL!B178,IF(+NFL!$H178="Indianapolis",+NFL!B178,0))</f>
        <v>Sun</v>
      </c>
      <c r="C258" s="48">
        <f>IF(+NFL!$F178="Indianapolis",+NFL!C178,IF(+NFL!$H178="Indianapolis",+NFL!C178,0))</f>
        <v>44878</v>
      </c>
      <c r="D258" s="490">
        <f>IF(+NFL!$F178="Indianapolis",+NFL!D178,IF(+NFL!$H178="Indianapolis",+NFL!D178,0))</f>
        <v>0.66666666666666663</v>
      </c>
      <c r="E258" s="46" t="str">
        <f>IF(+NFL!$F178="Indianapolis",+NFL!E178,IF(+NFL!$H178="Indianapolis",+NFL!E178,0))</f>
        <v>CBS</v>
      </c>
      <c r="F258" s="127" t="str">
        <f>IF(+NFL!$F178="Indianapolis",+NFL!F178,IF(+NFL!$H178="Indianapolis",+NFL!F178,0))</f>
        <v>Indianapolis</v>
      </c>
      <c r="G258" s="46" t="str">
        <f>IF(+NFL!$F178="Indianapolis",+NFL!G178,IF(+NFL!$H178="Indianapolis",+NFL!G178,0))</f>
        <v>AFCS</v>
      </c>
      <c r="H258" s="127" t="str">
        <f>IF(+NFL!$F178="Indianapolis",+NFL!H178,IF(+NFL!$H178="Indianapolis",+NFL!H178,0))</f>
        <v>Las Vegas</v>
      </c>
      <c r="I258" s="46" t="str">
        <f>IF(+NFL!$F178="Indianapolis",+NFL!I178,IF(+NFL!$H178="Indianapolis",+NFL!I178,0))</f>
        <v>AFCW</v>
      </c>
      <c r="J258" s="353" t="str">
        <f>IF(+NFL!$F178="Indianapolis",+NFL!J178,IF(+NFL!$H178="Indianapolis",+NFL!J178,0))</f>
        <v>Las Vegas</v>
      </c>
      <c r="K258" s="494" t="str">
        <f>IF(+NFL!$F178="Indianapolis",+NFL!K178,IF(+NFL!$H178="Indianapolis",+NFL!K178,0))</f>
        <v>Indianapolis</v>
      </c>
      <c r="L258" s="384">
        <f>IF(+NFL!$F178="Indianapolis",+NFL!L178,IF(+NFL!$H178="Indianapolis",+NFL!L178,0))</f>
        <v>6</v>
      </c>
      <c r="M258" s="385">
        <f>IF(+NFL!$F178="Indianapolis",+NFL!M178,IF(+NFL!$H178="Indianapolis",+NFL!M178,0))</f>
        <v>42.5</v>
      </c>
      <c r="N258" s="394" t="str">
        <f>IF(+NFL!$F178="Indianapolis",+NFL!N178,IF(+NFL!$H178="Indianapolis",+NFL!N178,0))</f>
        <v>Indianapolis</v>
      </c>
      <c r="O258" s="395">
        <f>IF(+NFL!$F178="Indianapolis",+NFL!O178,IF(+NFL!$H178="Indianapolis",+NFL!O178,0))</f>
        <v>25</v>
      </c>
      <c r="P258" s="394" t="str">
        <f>IF(+NFL!$F178="Indianapolis",+NFL!P178,IF(+NFL!$H178="Indianapolis",+NFL!P178,0))</f>
        <v>Las Vegas</v>
      </c>
      <c r="Q258" s="396">
        <f>IF(+NFL!$F178="Indianapolis",+NFL!Q178,IF(+NFL!$H178="Indianapolis",+NFL!Q178,0))</f>
        <v>20</v>
      </c>
      <c r="R258" s="397" t="str">
        <f>IF(+NFL!$F178="Indianapolis",+NFL!R178,IF(+NFL!$H178="Indianapolis",+NFL!R178,0))</f>
        <v>Indianapolis</v>
      </c>
      <c r="S258" s="396" t="str">
        <f>IF(+NFL!$F178="Indianapolis",+NFL!S178,IF(+NFL!$H178="Indianapolis",+NFL!S178,0))</f>
        <v>Las Vegas</v>
      </c>
      <c r="T258" s="398" t="str">
        <f>IF(+NFL!$F178="Indianapolis",+NFL!T178,IF(+NFL!$H178="Indianapolis",+NFL!T178,0))</f>
        <v>Indianapolis</v>
      </c>
      <c r="U258" s="396" t="str">
        <f>IF(+NFL!$F178="Indianapolis",+NFL!U178,IF(+NFL!$H178="Indianapolis",+NFL!U178,0))</f>
        <v>W</v>
      </c>
      <c r="V258" s="397">
        <f>IF(+NFL!$F161="Indianapolis",+NFL!#REF!,IF(+NFL!$H161="Indianapolis",+NFL!#REF!,0))</f>
        <v>0</v>
      </c>
      <c r="W258" s="396">
        <f>IF(+NFL!$F161="Indianapolis",+NFL!#REF!,IF(+NFL!$H161="Indianapolis",+NFL!#REF!,0))</f>
        <v>0</v>
      </c>
      <c r="X258" s="398">
        <f>IF(+NFL!$F161="Indianapolis",+NFL!#REF!,IF(+NFL!$H161="Indianapolis",+NFL!#REF!,0))</f>
        <v>0</v>
      </c>
      <c r="Y258" s="396">
        <f>IF(+NFL!$F161="Indianapolis",+NFL!#REF!,IF(+NFL!$H161="Indianapolis",+NFL!#REF!,0))</f>
        <v>0</v>
      </c>
      <c r="Z258" s="397">
        <f>IF(+NFL!$F161="Indianapolis",+NFL!#REF!,IF(+NFL!$H161="Indianapolis",+NFL!#REF!,0))</f>
        <v>0</v>
      </c>
      <c r="AA258" s="396">
        <f>IF(+NFL!$F161="Indianapolis",+NFL!#REF!,IF(+NFL!$H161="Indianapolis",+NFL!#REF!,0))</f>
        <v>0</v>
      </c>
      <c r="AB258" s="87">
        <f>IF(+NFL!$F161="Indianapolis",+NFL!#REF!,IF(+NFL!$H161="Indianapolis",+NFL!#REF!,0))</f>
        <v>0</v>
      </c>
      <c r="AC258" s="120">
        <f>IF(+NFL!$F161="Indianapolis",+NFL!#REF!,IF(+NFL!$H161="Indianapolis",+NFL!#REF!,0))</f>
        <v>0</v>
      </c>
      <c r="AD258" s="353">
        <f>IF(+NFL!$F161="Indianapolis",+NFL!#REF!,IF(+NFL!$H161="Indianapolis",+NFL!#REF!,0))</f>
        <v>0</v>
      </c>
      <c r="AE258" s="379">
        <f>IF(+NFL!$F161="Indianapolis",+NFL!#REF!,IF(+NFL!$H161="Indianapolis",+NFL!#REF!,0))</f>
        <v>0</v>
      </c>
      <c r="AF258" s="353">
        <f>IF(+NFL!$F161="Indianapolis",+NFL!#REF!,IF(+NFL!$H161="Indianapolis",+NFL!#REF!,0))</f>
        <v>0</v>
      </c>
      <c r="AG258" s="379">
        <f>IF(+NFL!$F161="Indianapolis",+NFL!#REF!,IF(+NFL!$H161="Indianapolis",+NFL!#REF!,0))</f>
        <v>0</v>
      </c>
      <c r="AH258" s="353">
        <f>IF(+NFL!$F161="Indianapolis",+NFL!#REF!,IF(+NFL!$H161="Indianapolis",+NFL!#REF!,0))</f>
        <v>0</v>
      </c>
      <c r="AI258" s="379">
        <f>IF(+NFL!$F161="Indianapolis",+NFL!#REF!,IF(+NFL!$H161="Indianapolis",+NFL!#REF!,0))</f>
        <v>0</v>
      </c>
      <c r="AJ258" s="353">
        <f>IF(+NFL!$F161="Indianapolis",+NFL!#REF!,IF(+NFL!$H161="Indianapolis",+NFL!#REF!,0))</f>
        <v>0</v>
      </c>
      <c r="AK258" s="379">
        <f>IF(+NFL!$F161="Indianapolis",+NFL!#REF!,IF(+NFL!$H161="Indianapolis",+NFL!#REF!,0))</f>
        <v>0</v>
      </c>
      <c r="AL258" s="69">
        <f>IF(+NFL!$F161="Indianapolis",+NFL!#REF!,IF(+NFL!$H161="Indianapolis",+NFL!#REF!,0))</f>
        <v>0</v>
      </c>
      <c r="AM258" s="58">
        <f>IF(+NFL!$F161="Indianapolis",+NFL!#REF!,IF(+NFL!$H161="Indianapolis",+NFL!#REF!,0))</f>
        <v>0</v>
      </c>
      <c r="AN258" s="70">
        <f>IF(+NFL!$F161="Indianapolis",+NFL!#REF!,IF(+NFL!$H161="Indianapolis",+NFL!#REF!,0))</f>
        <v>0</v>
      </c>
      <c r="AO258" s="59">
        <f>IF(+NFL!$F161="Indianapolis",+NFL!#REF!,IF(+NFL!$H161="Indianapolis",+NFL!#REF!,0))</f>
        <v>0</v>
      </c>
      <c r="AP258" s="348">
        <f>IF(+NFL!$F161="Indianapolis",+NFL!#REF!,IF(+NFL!$H161="Indianapolis",+NFL!#REF!,0))</f>
        <v>0</v>
      </c>
      <c r="AQ258" s="48">
        <f>IF(+NFL!$F161="Indianapolis",+NFL!#REF!,IF(+NFL!$H161="Indianapolis",+NFL!#REF!,0))</f>
        <v>0</v>
      </c>
      <c r="AR258" s="57">
        <f>IF(+NFL!$F161="Indianapolis",+NFL!#REF!,IF(+NFL!$H161="Indianapolis",+NFL!#REF!,0))</f>
        <v>0</v>
      </c>
      <c r="AS258" s="64">
        <f>IF(+NFL!$F161="Indianapolis",+NFL!#REF!,IF(+NFL!$H161="Indianapolis",+NFL!#REF!,0))</f>
        <v>0</v>
      </c>
      <c r="AT258" s="46">
        <f>IF(+NFL!$F161="Indianapolis",+NFL!#REF!,IF(+NFL!$H161="Indianapolis",+NFL!#REF!,0))</f>
        <v>0</v>
      </c>
      <c r="AU258" s="57">
        <f>IF(+NFL!$F161="Indianapolis",+NFL!#REF!,IF(+NFL!$H161="Indianapolis",+NFL!#REF!,0))</f>
        <v>0</v>
      </c>
      <c r="AV258" s="64">
        <f>IF(+NFL!$F161="Indianapolis",+NFL!#REF!,IF(+NFL!$H161="Indianapolis",+NFL!#REF!,0))</f>
        <v>0</v>
      </c>
      <c r="AW258" s="46">
        <f>IF(+NFL!$F161="Indianapolis",+NFL!#REF!,IF(+NFL!$H161="Indianapolis",+NFL!#REF!,0))</f>
        <v>0</v>
      </c>
      <c r="AX258" s="64">
        <f>IF(+NFL!$F161="Indianapolis",+NFL!#REF!,IF(+NFL!$H161="Indianapolis",+NFL!#REF!,0))</f>
        <v>0</v>
      </c>
      <c r="AY258" s="57">
        <f>IF(+NFL!$F161="Indianapolis",+NFL!#REF!,IF(+NFL!$H161="Indianapolis",+NFL!#REF!,0))</f>
        <v>0</v>
      </c>
      <c r="AZ258" s="64">
        <f>IF(+NFL!$F161="Indianapolis",+NFL!#REF!,IF(+NFL!$H161="Indianapolis",+NFL!#REF!,0))</f>
        <v>0</v>
      </c>
      <c r="BA258" s="46">
        <f>IF(+NFL!$F161="Indianapolis",+NFL!#REF!,IF(+NFL!$H161="Indianapolis",+NFL!#REF!,0))</f>
        <v>0</v>
      </c>
      <c r="BB258" s="46">
        <f>IF(+NFL!$F161="Indianapolis",+NFL!#REF!,IF(+NFL!$H161="Indianapolis",+NFL!#REF!,0))</f>
        <v>0</v>
      </c>
      <c r="BC258" s="403">
        <f>IF(+NFL!$F161="Indianapolis",+NFL!#REF!,IF(+NFL!$H161="Indianapolis",+NFL!#REF!,0))</f>
        <v>0</v>
      </c>
      <c r="BD258" s="57">
        <f>IF(+NFL!$F161="Indianapolis",+NFL!#REF!,IF(+NFL!$H161="Indianapolis",+NFL!#REF!,0))</f>
        <v>0</v>
      </c>
      <c r="BE258" s="64">
        <f>IF(+NFL!$F161="Indianapolis",+NFL!#REF!,IF(+NFL!$H161="Indianapolis",+NFL!#REF!,0))</f>
        <v>0</v>
      </c>
      <c r="BF258" s="46">
        <f>IF(+NFL!$F161="Indianapolis",+NFL!#REF!,IF(+NFL!$H161="Indianapolis",+NFL!#REF!,0))</f>
        <v>0</v>
      </c>
      <c r="BG258" s="57">
        <f>IF(+NFL!$F161="Indianapolis",+NFL!#REF!,IF(+NFL!$H161="Indianapolis",+NFL!#REF!,0))</f>
        <v>0</v>
      </c>
      <c r="BH258" s="64">
        <f>IF(+NFL!$F161="Indianapolis",+NFL!#REF!,IF(+NFL!$H161="Indianapolis",+NFL!#REF!,0))</f>
        <v>0</v>
      </c>
      <c r="BI258" s="46">
        <f>IF(+NFL!$F161="Indianapolis",+NFL!#REF!,IF(+NFL!$H161="Indianapolis",+NFL!#REF!,0))</f>
        <v>0</v>
      </c>
      <c r="BJ258" s="87">
        <f>IF(+NFL!$F161="Indianapolis",+NFL!#REF!,IF(+NFL!$H161="Indianapolis",+NFL!#REF!,0))</f>
        <v>0</v>
      </c>
      <c r="BK258" s="120">
        <f>IF(+NFL!$F161="Indianapolis",+NFL!#REF!,IF(+NFL!$H161="Indianapolis",+NFL!#REF!,0))</f>
        <v>0</v>
      </c>
    </row>
    <row r="259" spans="1:63" x14ac:dyDescent="0.8">
      <c r="A259" s="46">
        <f>IF(+NFL!$F192="Indianapolis",+NFL!A192,IF(+NFL!$H192="Indianapolis",+NFL!A192,0))</f>
        <v>11</v>
      </c>
      <c r="B259" s="348" t="str">
        <f>IF(+NFL!$F192="Indianapolis",+NFL!B192,IF(+NFL!$H192="Indianapolis",+NFL!B192,0))</f>
        <v>Sun</v>
      </c>
      <c r="C259" s="48">
        <f>IF(+NFL!$F192="Indianapolis",+NFL!C192,IF(+NFL!$H192="Indianapolis",+NFL!C192,0))</f>
        <v>44885</v>
      </c>
      <c r="D259" s="490">
        <f>IF(+NFL!$F192="Indianapolis",+NFL!D192,IF(+NFL!$H192="Indianapolis",+NFL!D192,0))</f>
        <v>0.54166666666666663</v>
      </c>
      <c r="E259" s="46" t="str">
        <f>IF(+NFL!$F192="Indianapolis",+NFL!E192,IF(+NFL!$H192="Indianapolis",+NFL!E192,0))</f>
        <v>Fox</v>
      </c>
      <c r="F259" s="127" t="str">
        <f>IF(+NFL!$F192="Indianapolis",+NFL!F192,IF(+NFL!$H192="Indianapolis",+NFL!F192,0))</f>
        <v>Philadelphia</v>
      </c>
      <c r="G259" s="46" t="str">
        <f>IF(+NFL!$F192="Indianapolis",+NFL!G192,IF(+NFL!$H192="Indianapolis",+NFL!G192,0))</f>
        <v>NFCE</v>
      </c>
      <c r="H259" s="127" t="str">
        <f>IF(+NFL!$F192="Indianapolis",+NFL!H192,IF(+NFL!$H192="Indianapolis",+NFL!H192,0))</f>
        <v>Indianapolis</v>
      </c>
      <c r="I259" s="46" t="str">
        <f>IF(+NFL!$F192="Indianapolis",+NFL!I192,IF(+NFL!$H192="Indianapolis",+NFL!I192,0))</f>
        <v>AFCS</v>
      </c>
      <c r="J259" s="353" t="str">
        <f>IF(+NFL!$F192="Indianapolis",+NFL!J192,IF(+NFL!$H192="Indianapolis",+NFL!J192,0))</f>
        <v>Philadelphia</v>
      </c>
      <c r="K259" s="494" t="str">
        <f>IF(+NFL!$F192="Indianapolis",+NFL!K192,IF(+NFL!$H192="Indianapolis",+NFL!K192,0))</f>
        <v>Indianapolis</v>
      </c>
      <c r="L259" s="384">
        <f>IF(+NFL!$F192="Indianapolis",+NFL!L192,IF(+NFL!$H192="Indianapolis",+NFL!L192,0))</f>
        <v>6.5</v>
      </c>
      <c r="M259" s="385">
        <f>IF(+NFL!$F192="Indianapolis",+NFL!M192,IF(+NFL!$H192="Indianapolis",+NFL!M192,0))</f>
        <v>45</v>
      </c>
      <c r="N259" s="394" t="str">
        <f>IF(+NFL!$F192="Indianapolis",+NFL!N192,IF(+NFL!$H192="Indianapolis",+NFL!N192,0))</f>
        <v>Philadelphia</v>
      </c>
      <c r="O259" s="395">
        <f>IF(+NFL!$F192="Indianapolis",+NFL!O192,IF(+NFL!$H192="Indianapolis",+NFL!O192,0))</f>
        <v>17</v>
      </c>
      <c r="P259" s="394" t="str">
        <f>IF(+NFL!$F192="Indianapolis",+NFL!P192,IF(+NFL!$H192="Indianapolis",+NFL!P192,0))</f>
        <v>Indianapolis</v>
      </c>
      <c r="Q259" s="396">
        <f>IF(+NFL!$F192="Indianapolis",+NFL!Q192,IF(+NFL!$H192="Indianapolis",+NFL!Q192,0))</f>
        <v>16</v>
      </c>
      <c r="R259" s="397" t="str">
        <f>IF(+NFL!$F192="Indianapolis",+NFL!R192,IF(+NFL!$H192="Indianapolis",+NFL!R192,0))</f>
        <v>Indianapolis</v>
      </c>
      <c r="S259" s="396" t="str">
        <f>IF(+NFL!$F192="Indianapolis",+NFL!S192,IF(+NFL!$H192="Indianapolis",+NFL!S192,0))</f>
        <v>Philadelphia</v>
      </c>
      <c r="T259" s="398" t="str">
        <f>IF(+NFL!$F192="Indianapolis",+NFL!T192,IF(+NFL!$H192="Indianapolis",+NFL!T192,0))</f>
        <v>Philadelphia</v>
      </c>
      <c r="U259" s="396" t="str">
        <f>IF(+NFL!$F192="Indianapolis",+NFL!U192,IF(+NFL!$H192="Indianapolis",+NFL!U192,0))</f>
        <v>L</v>
      </c>
      <c r="V259" s="397">
        <f>IF(+NFL!$F179="Indianapolis",+NFL!#REF!,IF(+NFL!$H179="Indianapolis",+NFL!#REF!,0))</f>
        <v>0</v>
      </c>
      <c r="W259" s="396">
        <f>IF(+NFL!$F179="Indianapolis",+NFL!#REF!,IF(+NFL!$H179="Indianapolis",+NFL!#REF!,0))</f>
        <v>0</v>
      </c>
      <c r="X259" s="398">
        <f>IF(+NFL!$F179="Indianapolis",+NFL!#REF!,IF(+NFL!$H179="Indianapolis",+NFL!#REF!,0))</f>
        <v>0</v>
      </c>
      <c r="Y259" s="396">
        <f>IF(+NFL!$F179="Indianapolis",+NFL!#REF!,IF(+NFL!$H179="Indianapolis",+NFL!#REF!,0))</f>
        <v>0</v>
      </c>
      <c r="Z259" s="397">
        <f>IF(+NFL!$F179="Indianapolis",+NFL!#REF!,IF(+NFL!$H179="Indianapolis",+NFL!#REF!,0))</f>
        <v>0</v>
      </c>
      <c r="AA259" s="396">
        <f>IF(+NFL!$F179="Indianapolis",+NFL!#REF!,IF(+NFL!$H179="Indianapolis",+NFL!#REF!,0))</f>
        <v>0</v>
      </c>
      <c r="AB259" s="87">
        <f>IF(+NFL!$F179="Indianapolis",+NFL!#REF!,IF(+NFL!$H179="Indianapolis",+NFL!#REF!,0))</f>
        <v>0</v>
      </c>
      <c r="AC259" s="120">
        <f>IF(+NFL!$F179="Indianapolis",+NFL!#REF!,IF(+NFL!$H179="Indianapolis",+NFL!#REF!,0))</f>
        <v>0</v>
      </c>
      <c r="AD259" s="353">
        <f>IF(+NFL!$F179="Indianapolis",+NFL!#REF!,IF(+NFL!$H179="Indianapolis",+NFL!#REF!,0))</f>
        <v>0</v>
      </c>
      <c r="AE259" s="379">
        <f>IF(+NFL!$F179="Indianapolis",+NFL!#REF!,IF(+NFL!$H179="Indianapolis",+NFL!#REF!,0))</f>
        <v>0</v>
      </c>
      <c r="AF259" s="353">
        <f>IF(+NFL!$F179="Indianapolis",+NFL!#REF!,IF(+NFL!$H179="Indianapolis",+NFL!#REF!,0))</f>
        <v>0</v>
      </c>
      <c r="AG259" s="379">
        <f>IF(+NFL!$F179="Indianapolis",+NFL!#REF!,IF(+NFL!$H179="Indianapolis",+NFL!#REF!,0))</f>
        <v>0</v>
      </c>
      <c r="AH259" s="353">
        <f>IF(+NFL!$F179="Indianapolis",+NFL!#REF!,IF(+NFL!$H179="Indianapolis",+NFL!#REF!,0))</f>
        <v>0</v>
      </c>
      <c r="AI259" s="379">
        <f>IF(+NFL!$F179="Indianapolis",+NFL!#REF!,IF(+NFL!$H179="Indianapolis",+NFL!#REF!,0))</f>
        <v>0</v>
      </c>
      <c r="AJ259" s="353">
        <f>IF(+NFL!$F179="Indianapolis",+NFL!#REF!,IF(+NFL!$H179="Indianapolis",+NFL!#REF!,0))</f>
        <v>0</v>
      </c>
      <c r="AK259" s="379">
        <f>IF(+NFL!$F179="Indianapolis",+NFL!#REF!,IF(+NFL!$H179="Indianapolis",+NFL!#REF!,0))</f>
        <v>0</v>
      </c>
      <c r="AL259" s="69">
        <f>IF(+NFL!$F179="Indianapolis",+NFL!#REF!,IF(+NFL!$H179="Indianapolis",+NFL!#REF!,0))</f>
        <v>0</v>
      </c>
      <c r="AM259" s="58">
        <f>IF(+NFL!$F179="Indianapolis",+NFL!#REF!,IF(+NFL!$H179="Indianapolis",+NFL!#REF!,0))</f>
        <v>0</v>
      </c>
      <c r="AN259" s="70">
        <f>IF(+NFL!$F179="Indianapolis",+NFL!#REF!,IF(+NFL!$H179="Indianapolis",+NFL!#REF!,0))</f>
        <v>0</v>
      </c>
      <c r="AO259" s="59">
        <f>IF(+NFL!$F179="Indianapolis",+NFL!#REF!,IF(+NFL!$H179="Indianapolis",+NFL!#REF!,0))</f>
        <v>0</v>
      </c>
      <c r="AP259" s="348">
        <f>IF(+NFL!$F179="Indianapolis",+NFL!#REF!,IF(+NFL!$H179="Indianapolis",+NFL!#REF!,0))</f>
        <v>0</v>
      </c>
      <c r="AQ259" s="48">
        <f>IF(+NFL!$F179="Indianapolis",+NFL!#REF!,IF(+NFL!$H179="Indianapolis",+NFL!#REF!,0))</f>
        <v>0</v>
      </c>
      <c r="AR259" s="57">
        <f>IF(+NFL!$F179="Indianapolis",+NFL!#REF!,IF(+NFL!$H179="Indianapolis",+NFL!#REF!,0))</f>
        <v>0</v>
      </c>
      <c r="AS259" s="64">
        <f>IF(+NFL!$F179="Indianapolis",+NFL!#REF!,IF(+NFL!$H179="Indianapolis",+NFL!#REF!,0))</f>
        <v>0</v>
      </c>
      <c r="AT259" s="46">
        <f>IF(+NFL!$F179="Indianapolis",+NFL!#REF!,IF(+NFL!$H179="Indianapolis",+NFL!#REF!,0))</f>
        <v>0</v>
      </c>
      <c r="AU259" s="57">
        <f>IF(+NFL!$F179="Indianapolis",+NFL!#REF!,IF(+NFL!$H179="Indianapolis",+NFL!#REF!,0))</f>
        <v>0</v>
      </c>
      <c r="AV259" s="64">
        <f>IF(+NFL!$F179="Indianapolis",+NFL!#REF!,IF(+NFL!$H179="Indianapolis",+NFL!#REF!,0))</f>
        <v>0</v>
      </c>
      <c r="AW259" s="46">
        <f>IF(+NFL!$F179="Indianapolis",+NFL!#REF!,IF(+NFL!$H179="Indianapolis",+NFL!#REF!,0))</f>
        <v>0</v>
      </c>
      <c r="AX259" s="64">
        <f>IF(+NFL!$F179="Indianapolis",+NFL!#REF!,IF(+NFL!$H179="Indianapolis",+NFL!#REF!,0))</f>
        <v>0</v>
      </c>
      <c r="AY259" s="57">
        <f>IF(+NFL!$F179="Indianapolis",+NFL!#REF!,IF(+NFL!$H179="Indianapolis",+NFL!#REF!,0))</f>
        <v>0</v>
      </c>
      <c r="AZ259" s="64">
        <f>IF(+NFL!$F179="Indianapolis",+NFL!#REF!,IF(+NFL!$H179="Indianapolis",+NFL!#REF!,0))</f>
        <v>0</v>
      </c>
      <c r="BA259" s="46">
        <f>IF(+NFL!$F179="Indianapolis",+NFL!#REF!,IF(+NFL!$H179="Indianapolis",+NFL!#REF!,0))</f>
        <v>0</v>
      </c>
      <c r="BB259" s="46">
        <f>IF(+NFL!$F179="Indianapolis",+NFL!#REF!,IF(+NFL!$H179="Indianapolis",+NFL!#REF!,0))</f>
        <v>0</v>
      </c>
      <c r="BC259" s="403">
        <f>IF(+NFL!$F179="Indianapolis",+NFL!#REF!,IF(+NFL!$H179="Indianapolis",+NFL!#REF!,0))</f>
        <v>0</v>
      </c>
      <c r="BD259" s="57">
        <f>IF(+NFL!$F179="Indianapolis",+NFL!#REF!,IF(+NFL!$H179="Indianapolis",+NFL!#REF!,0))</f>
        <v>0</v>
      </c>
      <c r="BE259" s="64">
        <f>IF(+NFL!$F179="Indianapolis",+NFL!#REF!,IF(+NFL!$H179="Indianapolis",+NFL!#REF!,0))</f>
        <v>0</v>
      </c>
      <c r="BF259" s="46">
        <f>IF(+NFL!$F179="Indianapolis",+NFL!#REF!,IF(+NFL!$H179="Indianapolis",+NFL!#REF!,0))</f>
        <v>0</v>
      </c>
      <c r="BG259" s="57">
        <f>IF(+NFL!$F179="Indianapolis",+NFL!#REF!,IF(+NFL!$H179="Indianapolis",+NFL!#REF!,0))</f>
        <v>0</v>
      </c>
      <c r="BH259" s="64">
        <f>IF(+NFL!$F179="Indianapolis",+NFL!#REF!,IF(+NFL!$H179="Indianapolis",+NFL!#REF!,0))</f>
        <v>0</v>
      </c>
      <c r="BI259" s="46">
        <f>IF(+NFL!$F179="Indianapolis",+NFL!#REF!,IF(+NFL!$H179="Indianapolis",+NFL!#REF!,0))</f>
        <v>0</v>
      </c>
      <c r="BJ259" s="87">
        <f>IF(+NFL!$F179="Indianapolis",+NFL!#REF!,IF(+NFL!$H179="Indianapolis",+NFL!#REF!,0))</f>
        <v>0</v>
      </c>
      <c r="BK259" s="120">
        <f>IF(+NFL!$F179="Indianapolis",+NFL!#REF!,IF(+NFL!$H179="Indianapolis",+NFL!#REF!,0))</f>
        <v>0</v>
      </c>
    </row>
    <row r="260" spans="1:63" x14ac:dyDescent="0.8">
      <c r="A260" s="46">
        <f>IF(+NFL!$F224="Indianapolis",+NFL!A224,IF(+NFL!$H224="Indianapolis",+NFL!A224,0))</f>
        <v>12</v>
      </c>
      <c r="B260" s="348" t="str">
        <f>IF(+NFL!$F224="Indianapolis",+NFL!B224,IF(+NFL!$H224="Indianapolis",+NFL!B224,0))</f>
        <v>Mon</v>
      </c>
      <c r="C260" s="48">
        <f>IF(+NFL!$F224="Indianapolis",+NFL!C224,IF(+NFL!$H224="Indianapolis",+NFL!C224,0))</f>
        <v>44893</v>
      </c>
      <c r="D260" s="490">
        <f>IF(+NFL!$F224="Indianapolis",+NFL!D224,IF(+NFL!$H224="Indianapolis",+NFL!D224,0))</f>
        <v>0.84375</v>
      </c>
      <c r="E260" s="46" t="str">
        <f>IF(+NFL!$F224="Indianapolis",+NFL!E224,IF(+NFL!$H224="Indianapolis",+NFL!E224,0))</f>
        <v>ABC</v>
      </c>
      <c r="F260" s="127" t="str">
        <f>IF(+NFL!$F224="Indianapolis",+NFL!F224,IF(+NFL!$H224="Indianapolis",+NFL!F224,0))</f>
        <v>Pittsburgh</v>
      </c>
      <c r="G260" s="46" t="str">
        <f>IF(+NFL!$F224="Indianapolis",+NFL!G224,IF(+NFL!$H224="Indianapolis",+NFL!G224,0))</f>
        <v>AFCN</v>
      </c>
      <c r="H260" s="127" t="str">
        <f>IF(+NFL!$F224="Indianapolis",+NFL!H224,IF(+NFL!$H224="Indianapolis",+NFL!H224,0))</f>
        <v>Indianapolis</v>
      </c>
      <c r="I260" s="46" t="str">
        <f>IF(+NFL!$F224="Indianapolis",+NFL!I224,IF(+NFL!$H224="Indianapolis",+NFL!I224,0))</f>
        <v>AFCS</v>
      </c>
      <c r="J260" s="353" t="str">
        <f>IF(+NFL!$F224="Indianapolis",+NFL!J224,IF(+NFL!$H224="Indianapolis",+NFL!J224,0))</f>
        <v>Indianapolis</v>
      </c>
      <c r="K260" s="494" t="str">
        <f>IF(+NFL!$F224="Indianapolis",+NFL!K224,IF(+NFL!$H224="Indianapolis",+NFL!K224,0))</f>
        <v>Pittsburgh</v>
      </c>
      <c r="L260" s="384">
        <f>IF(+NFL!$F224="Indianapolis",+NFL!L224,IF(+NFL!$H224="Indianapolis",+NFL!L224,0))</f>
        <v>2.5</v>
      </c>
      <c r="M260" s="385">
        <f>IF(+NFL!$F224="Indianapolis",+NFL!M224,IF(+NFL!$H224="Indianapolis",+NFL!M224,0))</f>
        <v>39</v>
      </c>
      <c r="N260" s="394" t="str">
        <f>IF(+NFL!$F224="Indianapolis",+NFL!N224,IF(+NFL!$H224="Indianapolis",+NFL!N224,0))</f>
        <v>Pittsburgh</v>
      </c>
      <c r="O260" s="395">
        <f>IF(+NFL!$F224="Indianapolis",+NFL!O224,IF(+NFL!$H224="Indianapolis",+NFL!O224,0))</f>
        <v>24</v>
      </c>
      <c r="P260" s="394" t="str">
        <f>IF(+NFL!$F224="Indianapolis",+NFL!P224,IF(+NFL!$H224="Indianapolis",+NFL!P224,0))</f>
        <v>Indianapolis</v>
      </c>
      <c r="Q260" s="396">
        <f>IF(+NFL!$F224="Indianapolis",+NFL!Q224,IF(+NFL!$H224="Indianapolis",+NFL!Q224,0))</f>
        <v>17</v>
      </c>
      <c r="R260" s="397" t="str">
        <f>IF(+NFL!$F224="Indianapolis",+NFL!R224,IF(+NFL!$H224="Indianapolis",+NFL!R224,0))</f>
        <v>Pittsburgh</v>
      </c>
      <c r="S260" s="396" t="str">
        <f>IF(+NFL!$F224="Indianapolis",+NFL!S224,IF(+NFL!$H224="Indianapolis",+NFL!S224,0))</f>
        <v>Indianapolis</v>
      </c>
      <c r="T260" s="398" t="str">
        <f>IF(+NFL!$F224="Indianapolis",+NFL!T224,IF(+NFL!$H224="Indianapolis",+NFL!T224,0))</f>
        <v>Pittsburgh</v>
      </c>
      <c r="U260" s="396" t="str">
        <f>IF(+NFL!$F224="Indianapolis",+NFL!U224,IF(+NFL!$H224="Indianapolis",+NFL!U224,0))</f>
        <v>W</v>
      </c>
      <c r="V260" s="397">
        <f>IF(+NFL!$F204="Indianapolis",+NFL!#REF!,IF(+NFL!$H204="Indianapolis",+NFL!#REF!,0))</f>
        <v>0</v>
      </c>
      <c r="W260" s="396">
        <f>IF(+NFL!$F204="Indianapolis",+NFL!#REF!,IF(+NFL!$H204="Indianapolis",+NFL!#REF!,0))</f>
        <v>0</v>
      </c>
      <c r="X260" s="398">
        <f>IF(+NFL!$F204="Indianapolis",+NFL!#REF!,IF(+NFL!$H204="Indianapolis",+NFL!#REF!,0))</f>
        <v>0</v>
      </c>
      <c r="Y260" s="396">
        <f>IF(+NFL!$F204="Indianapolis",+NFL!#REF!,IF(+NFL!$H204="Indianapolis",+NFL!#REF!,0))</f>
        <v>0</v>
      </c>
      <c r="Z260" s="397">
        <f>IF(+NFL!$F204="Indianapolis",+NFL!#REF!,IF(+NFL!$H204="Indianapolis",+NFL!#REF!,0))</f>
        <v>0</v>
      </c>
      <c r="AA260" s="396">
        <f>IF(+NFL!$F204="Indianapolis",+NFL!#REF!,IF(+NFL!$H204="Indianapolis",+NFL!#REF!,0))</f>
        <v>0</v>
      </c>
      <c r="AB260" s="87">
        <f>IF(+NFL!$F204="Indianapolis",+NFL!#REF!,IF(+NFL!$H204="Indianapolis",+NFL!#REF!,0))</f>
        <v>0</v>
      </c>
      <c r="AC260" s="120">
        <f>IF(+NFL!$F204="Indianapolis",+NFL!#REF!,IF(+NFL!$H204="Indianapolis",+NFL!#REF!,0))</f>
        <v>0</v>
      </c>
      <c r="AD260" s="353">
        <f>IF(+NFL!$F204="Indianapolis",+NFL!#REF!,IF(+NFL!$H204="Indianapolis",+NFL!#REF!,0))</f>
        <v>0</v>
      </c>
      <c r="AE260" s="379">
        <f>IF(+NFL!$F204="Indianapolis",+NFL!#REF!,IF(+NFL!$H204="Indianapolis",+NFL!#REF!,0))</f>
        <v>0</v>
      </c>
      <c r="AF260" s="353">
        <f>IF(+NFL!$F204="Indianapolis",+NFL!#REF!,IF(+NFL!$H204="Indianapolis",+NFL!#REF!,0))</f>
        <v>0</v>
      </c>
      <c r="AG260" s="379">
        <f>IF(+NFL!$F204="Indianapolis",+NFL!#REF!,IF(+NFL!$H204="Indianapolis",+NFL!#REF!,0))</f>
        <v>0</v>
      </c>
      <c r="AH260" s="353">
        <f>IF(+NFL!$F204="Indianapolis",+NFL!#REF!,IF(+NFL!$H204="Indianapolis",+NFL!#REF!,0))</f>
        <v>0</v>
      </c>
      <c r="AI260" s="379">
        <f>IF(+NFL!$F204="Indianapolis",+NFL!#REF!,IF(+NFL!$H204="Indianapolis",+NFL!#REF!,0))</f>
        <v>0</v>
      </c>
      <c r="AJ260" s="353">
        <f>IF(+NFL!$F204="Indianapolis",+NFL!#REF!,IF(+NFL!$H204="Indianapolis",+NFL!#REF!,0))</f>
        <v>0</v>
      </c>
      <c r="AK260" s="379">
        <f>IF(+NFL!$F204="Indianapolis",+NFL!#REF!,IF(+NFL!$H204="Indianapolis",+NFL!#REF!,0))</f>
        <v>0</v>
      </c>
      <c r="AL260" s="69">
        <f>IF(+NFL!$F204="Indianapolis",+NFL!#REF!,IF(+NFL!$H204="Indianapolis",+NFL!#REF!,0))</f>
        <v>0</v>
      </c>
      <c r="AM260" s="58">
        <f>IF(+NFL!$F204="Indianapolis",+NFL!#REF!,IF(+NFL!$H204="Indianapolis",+NFL!#REF!,0))</f>
        <v>0</v>
      </c>
      <c r="AN260" s="70">
        <f>IF(+NFL!$F204="Indianapolis",+NFL!#REF!,IF(+NFL!$H204="Indianapolis",+NFL!#REF!,0))</f>
        <v>0</v>
      </c>
      <c r="AO260" s="59">
        <f>IF(+NFL!$F204="Indianapolis",+NFL!#REF!,IF(+NFL!$H204="Indianapolis",+NFL!#REF!,0))</f>
        <v>0</v>
      </c>
      <c r="AP260" s="348">
        <f>IF(+NFL!$F204="Indianapolis",+NFL!#REF!,IF(+NFL!$H204="Indianapolis",+NFL!#REF!,0))</f>
        <v>0</v>
      </c>
      <c r="AQ260" s="48">
        <f>IF(+NFL!$F204="Indianapolis",+NFL!#REF!,IF(+NFL!$H204="Indianapolis",+NFL!#REF!,0))</f>
        <v>0</v>
      </c>
      <c r="AR260" s="57">
        <f>IF(+NFL!$F204="Indianapolis",+NFL!#REF!,IF(+NFL!$H204="Indianapolis",+NFL!#REF!,0))</f>
        <v>0</v>
      </c>
      <c r="AS260" s="64">
        <f>IF(+NFL!$F204="Indianapolis",+NFL!#REF!,IF(+NFL!$H204="Indianapolis",+NFL!#REF!,0))</f>
        <v>0</v>
      </c>
      <c r="AT260" s="46">
        <f>IF(+NFL!$F204="Indianapolis",+NFL!#REF!,IF(+NFL!$H204="Indianapolis",+NFL!#REF!,0))</f>
        <v>0</v>
      </c>
      <c r="AU260" s="57">
        <f>IF(+NFL!$F204="Indianapolis",+NFL!#REF!,IF(+NFL!$H204="Indianapolis",+NFL!#REF!,0))</f>
        <v>0</v>
      </c>
      <c r="AV260" s="64">
        <f>IF(+NFL!$F204="Indianapolis",+NFL!#REF!,IF(+NFL!$H204="Indianapolis",+NFL!#REF!,0))</f>
        <v>0</v>
      </c>
      <c r="AW260" s="46">
        <f>IF(+NFL!$F204="Indianapolis",+NFL!#REF!,IF(+NFL!$H204="Indianapolis",+NFL!#REF!,0))</f>
        <v>0</v>
      </c>
      <c r="AX260" s="64">
        <f>IF(+NFL!$F204="Indianapolis",+NFL!#REF!,IF(+NFL!$H204="Indianapolis",+NFL!#REF!,0))</f>
        <v>0</v>
      </c>
      <c r="AY260" s="57">
        <f>IF(+NFL!$F204="Indianapolis",+NFL!#REF!,IF(+NFL!$H204="Indianapolis",+NFL!#REF!,0))</f>
        <v>0</v>
      </c>
      <c r="AZ260" s="64">
        <f>IF(+NFL!$F204="Indianapolis",+NFL!#REF!,IF(+NFL!$H204="Indianapolis",+NFL!#REF!,0))</f>
        <v>0</v>
      </c>
      <c r="BA260" s="46">
        <f>IF(+NFL!$F204="Indianapolis",+NFL!#REF!,IF(+NFL!$H204="Indianapolis",+NFL!#REF!,0))</f>
        <v>0</v>
      </c>
      <c r="BB260" s="46">
        <f>IF(+NFL!$F204="Indianapolis",+NFL!#REF!,IF(+NFL!$H204="Indianapolis",+NFL!#REF!,0))</f>
        <v>0</v>
      </c>
      <c r="BC260" s="403">
        <f>IF(+NFL!$F204="Indianapolis",+NFL!#REF!,IF(+NFL!$H204="Indianapolis",+NFL!#REF!,0))</f>
        <v>0</v>
      </c>
      <c r="BD260" s="57">
        <f>IF(+NFL!$F204="Indianapolis",+NFL!#REF!,IF(+NFL!$H204="Indianapolis",+NFL!#REF!,0))</f>
        <v>0</v>
      </c>
      <c r="BE260" s="64">
        <f>IF(+NFL!$F204="Indianapolis",+NFL!#REF!,IF(+NFL!$H204="Indianapolis",+NFL!#REF!,0))</f>
        <v>0</v>
      </c>
      <c r="BF260" s="46">
        <f>IF(+NFL!$F204="Indianapolis",+NFL!#REF!,IF(+NFL!$H204="Indianapolis",+NFL!#REF!,0))</f>
        <v>0</v>
      </c>
      <c r="BG260" s="57">
        <f>IF(+NFL!$F204="Indianapolis",+NFL!#REF!,IF(+NFL!$H204="Indianapolis",+NFL!#REF!,0))</f>
        <v>0</v>
      </c>
      <c r="BH260" s="64">
        <f>IF(+NFL!$F204="Indianapolis",+NFL!#REF!,IF(+NFL!$H204="Indianapolis",+NFL!#REF!,0))</f>
        <v>0</v>
      </c>
      <c r="BI260" s="46">
        <f>IF(+NFL!$F204="Indianapolis",+NFL!#REF!,IF(+NFL!$H204="Indianapolis",+NFL!#REF!,0))</f>
        <v>0</v>
      </c>
      <c r="BJ260" s="87">
        <f>IF(+NFL!$F204="Indianapolis",+NFL!#REF!,IF(+NFL!$H204="Indianapolis",+NFL!#REF!,0))</f>
        <v>0</v>
      </c>
      <c r="BK260" s="120">
        <f>IF(+NFL!$F204="Indianapolis",+NFL!#REF!,IF(+NFL!$H204="Indianapolis",+NFL!#REF!,0))</f>
        <v>0</v>
      </c>
    </row>
    <row r="261" spans="1:63" x14ac:dyDescent="0.8">
      <c r="A261" s="46">
        <f>IF(+NFL!$F239="Indianapolis",+NFL!A239,IF(+NFL!$H239="Indianapolis",+NFL!A239,0))</f>
        <v>13</v>
      </c>
      <c r="B261" s="348" t="str">
        <f>IF(+NFL!$F239="Indianapolis",+NFL!B239,IF(+NFL!$H239="Indianapolis",+NFL!B239,0))</f>
        <v>Sun</v>
      </c>
      <c r="C261" s="48">
        <f>IF(+NFL!$F239="Indianapolis",+NFL!C239,IF(+NFL!$H239="Indianapolis",+NFL!C239,0))</f>
        <v>44899</v>
      </c>
      <c r="D261" s="490">
        <f>IF(+NFL!$F239="Indianapolis",+NFL!D239,IF(+NFL!$H239="Indianapolis",+NFL!D239,0))</f>
        <v>0.84375</v>
      </c>
      <c r="E261" s="46" t="str">
        <f>IF(+NFL!$F239="Indianapolis",+NFL!E239,IF(+NFL!$H239="Indianapolis",+NFL!E239,0))</f>
        <v>ABC</v>
      </c>
      <c r="F261" s="127" t="str">
        <f>IF(+NFL!$F239="Indianapolis",+NFL!F239,IF(+NFL!$H239="Indianapolis",+NFL!F239,0))</f>
        <v>Indianapolis</v>
      </c>
      <c r="G261" s="46" t="str">
        <f>IF(+NFL!$F239="Indianapolis",+NFL!G239,IF(+NFL!$H239="Indianapolis",+NFL!G239,0))</f>
        <v>AFCS</v>
      </c>
      <c r="H261" s="127" t="str">
        <f>IF(+NFL!$F239="Indianapolis",+NFL!H239,IF(+NFL!$H239="Indianapolis",+NFL!H239,0))</f>
        <v>Dallas</v>
      </c>
      <c r="I261" s="46" t="str">
        <f>IF(+NFL!$F239="Indianapolis",+NFL!I239,IF(+NFL!$H239="Indianapolis",+NFL!I239,0))</f>
        <v>NFCE</v>
      </c>
      <c r="J261" s="353" t="str">
        <f>IF(+NFL!$F239="Indianapolis",+NFL!J239,IF(+NFL!$H239="Indianapolis",+NFL!J239,0))</f>
        <v>Dallas</v>
      </c>
      <c r="K261" s="494" t="str">
        <f>IF(+NFL!$F239="Indianapolis",+NFL!K239,IF(+NFL!$H239="Indianapolis",+NFL!K239,0))</f>
        <v>Indianapolis</v>
      </c>
      <c r="L261" s="384">
        <f>IF(+NFL!$F239="Indianapolis",+NFL!L239,IF(+NFL!$H239="Indianapolis",+NFL!L239,0))</f>
        <v>11</v>
      </c>
      <c r="M261" s="385">
        <f>IF(+NFL!$F239="Indianapolis",+NFL!M239,IF(+NFL!$H239="Indianapolis",+NFL!M239,0))</f>
        <v>43.5</v>
      </c>
      <c r="N261" s="394" t="str">
        <f>IF(+NFL!$F239="Indianapolis",+NFL!N239,IF(+NFL!$H239="Indianapolis",+NFL!N239,0))</f>
        <v>Dallas</v>
      </c>
      <c r="O261" s="395">
        <f>IF(+NFL!$F239="Indianapolis",+NFL!O239,IF(+NFL!$H239="Indianapolis",+NFL!O239,0))</f>
        <v>54</v>
      </c>
      <c r="P261" s="394" t="str">
        <f>IF(+NFL!$F239="Indianapolis",+NFL!P239,IF(+NFL!$H239="Indianapolis",+NFL!P239,0))</f>
        <v>Indianapolis</v>
      </c>
      <c r="Q261" s="396">
        <f>IF(+NFL!$F239="Indianapolis",+NFL!Q239,IF(+NFL!$H239="Indianapolis",+NFL!Q239,0))</f>
        <v>19</v>
      </c>
      <c r="R261" s="397" t="str">
        <f>IF(+NFL!$F239="Indianapolis",+NFL!R239,IF(+NFL!$H239="Indianapolis",+NFL!R239,0))</f>
        <v>Dallas</v>
      </c>
      <c r="S261" s="396" t="str">
        <f>IF(+NFL!$F239="Indianapolis",+NFL!S239,IF(+NFL!$H239="Indianapolis",+NFL!S239,0))</f>
        <v>Indianapolis</v>
      </c>
      <c r="T261" s="398" t="str">
        <f>IF(+NFL!$F239="Indianapolis",+NFL!T239,IF(+NFL!$H239="Indianapolis",+NFL!T239,0))</f>
        <v>Indianapolis</v>
      </c>
      <c r="U261" s="396" t="str">
        <f>IF(+NFL!$F239="Indianapolis",+NFL!U239,IF(+NFL!$H239="Indianapolis",+NFL!U239,0))</f>
        <v>L</v>
      </c>
      <c r="V261" s="397">
        <f>IF(+NFL!$F220="Indianapolis",+NFL!#REF!,IF(+NFL!$H220="Indianapolis",+NFL!#REF!,0))</f>
        <v>0</v>
      </c>
      <c r="W261" s="396">
        <f>IF(+NFL!$F220="Indianapolis",+NFL!#REF!,IF(+NFL!$H220="Indianapolis",+NFL!#REF!,0))</f>
        <v>0</v>
      </c>
      <c r="X261" s="398">
        <f>IF(+NFL!$F220="Indianapolis",+NFL!#REF!,IF(+NFL!$H220="Indianapolis",+NFL!#REF!,0))</f>
        <v>0</v>
      </c>
      <c r="Y261" s="396">
        <f>IF(+NFL!$F220="Indianapolis",+NFL!#REF!,IF(+NFL!$H220="Indianapolis",+NFL!#REF!,0))</f>
        <v>0</v>
      </c>
      <c r="Z261" s="397">
        <f>IF(+NFL!$F220="Indianapolis",+NFL!#REF!,IF(+NFL!$H220="Indianapolis",+NFL!#REF!,0))</f>
        <v>0</v>
      </c>
      <c r="AA261" s="396">
        <f>IF(+NFL!$F220="Indianapolis",+NFL!#REF!,IF(+NFL!$H220="Indianapolis",+NFL!#REF!,0))</f>
        <v>0</v>
      </c>
      <c r="AB261" s="87">
        <f>IF(+NFL!$F220="Indianapolis",+NFL!#REF!,IF(+NFL!$H220="Indianapolis",+NFL!#REF!,0))</f>
        <v>0</v>
      </c>
      <c r="AC261" s="120">
        <f>IF(+NFL!$F220="Indianapolis",+NFL!#REF!,IF(+NFL!$H220="Indianapolis",+NFL!#REF!,0))</f>
        <v>0</v>
      </c>
      <c r="AD261" s="353">
        <f>IF(+NFL!$F220="Indianapolis",+NFL!#REF!,IF(+NFL!$H220="Indianapolis",+NFL!#REF!,0))</f>
        <v>0</v>
      </c>
      <c r="AE261" s="379">
        <f>IF(+NFL!$F220="Indianapolis",+NFL!#REF!,IF(+NFL!$H220="Indianapolis",+NFL!#REF!,0))</f>
        <v>0</v>
      </c>
      <c r="AF261" s="353">
        <f>IF(+NFL!$F220="Indianapolis",+NFL!#REF!,IF(+NFL!$H220="Indianapolis",+NFL!#REF!,0))</f>
        <v>0</v>
      </c>
      <c r="AG261" s="379">
        <f>IF(+NFL!$F220="Indianapolis",+NFL!#REF!,IF(+NFL!$H220="Indianapolis",+NFL!#REF!,0))</f>
        <v>0</v>
      </c>
      <c r="AH261" s="353">
        <f>IF(+NFL!$F220="Indianapolis",+NFL!#REF!,IF(+NFL!$H220="Indianapolis",+NFL!#REF!,0))</f>
        <v>0</v>
      </c>
      <c r="AI261" s="379">
        <f>IF(+NFL!$F220="Indianapolis",+NFL!#REF!,IF(+NFL!$H220="Indianapolis",+NFL!#REF!,0))</f>
        <v>0</v>
      </c>
      <c r="AJ261" s="353">
        <f>IF(+NFL!$F220="Indianapolis",+NFL!#REF!,IF(+NFL!$H220="Indianapolis",+NFL!#REF!,0))</f>
        <v>0</v>
      </c>
      <c r="AK261" s="379">
        <f>IF(+NFL!$F220="Indianapolis",+NFL!#REF!,IF(+NFL!$H220="Indianapolis",+NFL!#REF!,0))</f>
        <v>0</v>
      </c>
      <c r="AL261" s="69">
        <f>IF(+NFL!$F220="Indianapolis",+NFL!#REF!,IF(+NFL!$H220="Indianapolis",+NFL!#REF!,0))</f>
        <v>0</v>
      </c>
      <c r="AM261" s="58">
        <f>IF(+NFL!$F220="Indianapolis",+NFL!#REF!,IF(+NFL!$H220="Indianapolis",+NFL!#REF!,0))</f>
        <v>0</v>
      </c>
      <c r="AN261" s="70">
        <f>IF(+NFL!$F220="Indianapolis",+NFL!#REF!,IF(+NFL!$H220="Indianapolis",+NFL!#REF!,0))</f>
        <v>0</v>
      </c>
      <c r="AO261" s="59">
        <f>IF(+NFL!$F220="Indianapolis",+NFL!#REF!,IF(+NFL!$H220="Indianapolis",+NFL!#REF!,0))</f>
        <v>0</v>
      </c>
      <c r="AP261" s="348">
        <f>IF(+NFL!$F220="Indianapolis",+NFL!#REF!,IF(+NFL!$H220="Indianapolis",+NFL!#REF!,0))</f>
        <v>0</v>
      </c>
      <c r="AQ261" s="48">
        <f>IF(+NFL!$F220="Indianapolis",+NFL!#REF!,IF(+NFL!$H220="Indianapolis",+NFL!#REF!,0))</f>
        <v>0</v>
      </c>
      <c r="AR261" s="57">
        <f>IF(+NFL!$F220="Indianapolis",+NFL!#REF!,IF(+NFL!$H220="Indianapolis",+NFL!#REF!,0))</f>
        <v>0</v>
      </c>
      <c r="AS261" s="64">
        <f>IF(+NFL!$F220="Indianapolis",+NFL!#REF!,IF(+NFL!$H220="Indianapolis",+NFL!#REF!,0))</f>
        <v>0</v>
      </c>
      <c r="AT261" s="46">
        <f>IF(+NFL!$F220="Indianapolis",+NFL!#REF!,IF(+NFL!$H220="Indianapolis",+NFL!#REF!,0))</f>
        <v>0</v>
      </c>
      <c r="AU261" s="57">
        <f>IF(+NFL!$F220="Indianapolis",+NFL!#REF!,IF(+NFL!$H220="Indianapolis",+NFL!#REF!,0))</f>
        <v>0</v>
      </c>
      <c r="AV261" s="64">
        <f>IF(+NFL!$F220="Indianapolis",+NFL!#REF!,IF(+NFL!$H220="Indianapolis",+NFL!#REF!,0))</f>
        <v>0</v>
      </c>
      <c r="AW261" s="46">
        <f>IF(+NFL!$F220="Indianapolis",+NFL!#REF!,IF(+NFL!$H220="Indianapolis",+NFL!#REF!,0))</f>
        <v>0</v>
      </c>
      <c r="AX261" s="64">
        <f>IF(+NFL!$F220="Indianapolis",+NFL!#REF!,IF(+NFL!$H220="Indianapolis",+NFL!#REF!,0))</f>
        <v>0</v>
      </c>
      <c r="AY261" s="57">
        <f>IF(+NFL!$F220="Indianapolis",+NFL!#REF!,IF(+NFL!$H220="Indianapolis",+NFL!#REF!,0))</f>
        <v>0</v>
      </c>
      <c r="AZ261" s="64">
        <f>IF(+NFL!$F220="Indianapolis",+NFL!#REF!,IF(+NFL!$H220="Indianapolis",+NFL!#REF!,0))</f>
        <v>0</v>
      </c>
      <c r="BA261" s="46">
        <f>IF(+NFL!$F220="Indianapolis",+NFL!#REF!,IF(+NFL!$H220="Indianapolis",+NFL!#REF!,0))</f>
        <v>0</v>
      </c>
      <c r="BB261" s="46">
        <f>IF(+NFL!$F220="Indianapolis",+NFL!#REF!,IF(+NFL!$H220="Indianapolis",+NFL!#REF!,0))</f>
        <v>0</v>
      </c>
      <c r="BC261" s="403">
        <f>IF(+NFL!$F220="Indianapolis",+NFL!#REF!,IF(+NFL!$H220="Indianapolis",+NFL!#REF!,0))</f>
        <v>0</v>
      </c>
      <c r="BD261" s="57">
        <f>IF(+NFL!$F220="Indianapolis",+NFL!#REF!,IF(+NFL!$H220="Indianapolis",+NFL!#REF!,0))</f>
        <v>0</v>
      </c>
      <c r="BE261" s="64">
        <f>IF(+NFL!$F220="Indianapolis",+NFL!#REF!,IF(+NFL!$H220="Indianapolis",+NFL!#REF!,0))</f>
        <v>0</v>
      </c>
      <c r="BF261" s="46">
        <f>IF(+NFL!$F220="Indianapolis",+NFL!#REF!,IF(+NFL!$H220="Indianapolis",+NFL!#REF!,0))</f>
        <v>0</v>
      </c>
      <c r="BG261" s="57">
        <f>IF(+NFL!$F220="Indianapolis",+NFL!#REF!,IF(+NFL!$H220="Indianapolis",+NFL!#REF!,0))</f>
        <v>0</v>
      </c>
      <c r="BH261" s="64">
        <f>IF(+NFL!$F220="Indianapolis",+NFL!#REF!,IF(+NFL!$H220="Indianapolis",+NFL!#REF!,0))</f>
        <v>0</v>
      </c>
      <c r="BI261" s="46">
        <f>IF(+NFL!$F220="Indianapolis",+NFL!#REF!,IF(+NFL!$H220="Indianapolis",+NFL!#REF!,0))</f>
        <v>0</v>
      </c>
      <c r="BJ261" s="87">
        <f>IF(+NFL!$F220="Indianapolis",+NFL!#REF!,IF(+NFL!$H220="Indianapolis",+NFL!#REF!,0))</f>
        <v>0</v>
      </c>
      <c r="BK261" s="120">
        <f>IF(+NFL!$F220="Indianapolis",+NFL!#REF!,IF(+NFL!$H220="Indianapolis",+NFL!#REF!,0))</f>
        <v>0</v>
      </c>
    </row>
    <row r="262" spans="1:63" x14ac:dyDescent="0.8">
      <c r="A262" s="46">
        <f>IF(+NFL!$F262="Indianapolis",+NFL!A262,IF(+NFL!$H262="Indianapolis",+NFL!A262,0))</f>
        <v>14</v>
      </c>
      <c r="B262" s="348">
        <f>IF(+NFL!$F262="Indianapolis",+NFL!B262,IF(+NFL!$H262="Indianapolis",+NFL!B262,0))</f>
        <v>0</v>
      </c>
      <c r="C262" s="48">
        <f>IF(+NFL!$F262="Indianapolis",+NFL!C262,IF(+NFL!$H262="Indianapolis",+NFL!C262,0))</f>
        <v>0</v>
      </c>
      <c r="D262" s="490">
        <f>IF(+NFL!$F262="Indianapolis",+NFL!D262,IF(+NFL!$H262="Indianapolis",+NFL!D262,0))</f>
        <v>0</v>
      </c>
      <c r="E262" s="46">
        <f>IF(+NFL!$F262="Indianapolis",+NFL!E262,IF(+NFL!$H262="Indianapolis",+NFL!E262,0))</f>
        <v>0</v>
      </c>
      <c r="F262" s="127" t="str">
        <f>IF(+NFL!$F262="Indianapolis",+NFL!F262,IF(+NFL!$H262="Indianapolis",+NFL!F262,0))</f>
        <v>Indianapolis</v>
      </c>
      <c r="G262" s="46" t="str">
        <f>IF(+NFL!$F262="Indianapolis",+NFL!G262,IF(+NFL!$H262="Indianapolis",+NFL!G262,0))</f>
        <v>AFCS</v>
      </c>
      <c r="H262" s="127">
        <f>IF(+NFL!$F262="Indianapolis",+NFL!H262,IF(+NFL!$H262="Indianapolis",+NFL!H262,0))</f>
        <v>0</v>
      </c>
      <c r="I262" s="46">
        <f>IF(+NFL!$F262="Indianapolis",+NFL!I262,IF(+NFL!$H262="Indianapolis",+NFL!I262,0))</f>
        <v>0</v>
      </c>
      <c r="J262" s="353">
        <f>IF(+NFL!$F262="Indianapolis",+NFL!J262,IF(+NFL!$H262="Indianapolis",+NFL!J262,0))</f>
        <v>0</v>
      </c>
      <c r="K262" s="494">
        <f>IF(+NFL!$F262="Indianapolis",+NFL!K262,IF(+NFL!$H262="Indianapolis",+NFL!K262,0))</f>
        <v>0</v>
      </c>
      <c r="L262" s="384">
        <f>IF(+NFL!$F262="Indianapolis",+NFL!L262,IF(+NFL!$H262="Indianapolis",+NFL!L262,0))</f>
        <v>0</v>
      </c>
      <c r="M262" s="385">
        <f>IF(+NFL!$F262="Indianapolis",+NFL!M262,IF(+NFL!$H262="Indianapolis",+NFL!M262,0))</f>
        <v>0</v>
      </c>
      <c r="N262" s="394">
        <f>IF(+NFL!$F262="Indianapolis",+NFL!N262,IF(+NFL!$H262="Indianapolis",+NFL!N262,0))</f>
        <v>0</v>
      </c>
      <c r="O262" s="395">
        <f>IF(+NFL!$F262="Indianapolis",+NFL!O262,IF(+NFL!$H262="Indianapolis",+NFL!O262,0))</f>
        <v>0</v>
      </c>
      <c r="P262" s="394">
        <f>IF(+NFL!$F262="Indianapolis",+NFL!P262,IF(+NFL!$H262="Indianapolis",+NFL!P262,0))</f>
        <v>0</v>
      </c>
      <c r="Q262" s="396">
        <f>IF(+NFL!$F262="Indianapolis",+NFL!Q262,IF(+NFL!$H262="Indianapolis",+NFL!Q262,0))</f>
        <v>0</v>
      </c>
      <c r="R262" s="397">
        <f>IF(+NFL!$F262="Indianapolis",+NFL!R262,IF(+NFL!$H262="Indianapolis",+NFL!R262,0))</f>
        <v>0</v>
      </c>
      <c r="S262" s="396">
        <f>IF(+NFL!$F262="Indianapolis",+NFL!S262,IF(+NFL!$H262="Indianapolis",+NFL!S262,0))</f>
        <v>0</v>
      </c>
      <c r="T262" s="398">
        <f>IF(+NFL!$F262="Indianapolis",+NFL!T262,IF(+NFL!$H262="Indianapolis",+NFL!T262,0))</f>
        <v>0</v>
      </c>
      <c r="U262" s="396">
        <f>IF(+NFL!$F262="Indianapolis",+NFL!U262,IF(+NFL!$H262="Indianapolis",+NFL!U262,0))</f>
        <v>0</v>
      </c>
      <c r="V262" s="397">
        <f>IF(+NFL!$F238="Indianapolis",+NFL!#REF!,IF(+NFL!$H238="Indianapolis",+NFL!#REF!,0))</f>
        <v>0</v>
      </c>
      <c r="W262" s="396">
        <f>IF(+NFL!$F238="Indianapolis",+NFL!#REF!,IF(+NFL!$H238="Indianapolis",+NFL!#REF!,0))</f>
        <v>0</v>
      </c>
      <c r="X262" s="398">
        <f>IF(+NFL!$F238="Indianapolis",+NFL!#REF!,IF(+NFL!$H238="Indianapolis",+NFL!#REF!,0))</f>
        <v>0</v>
      </c>
      <c r="Y262" s="396">
        <f>IF(+NFL!$F238="Indianapolis",+NFL!#REF!,IF(+NFL!$H238="Indianapolis",+NFL!#REF!,0))</f>
        <v>0</v>
      </c>
      <c r="Z262" s="397">
        <f>IF(+NFL!$F238="Indianapolis",+NFL!#REF!,IF(+NFL!$H238="Indianapolis",+NFL!#REF!,0))</f>
        <v>0</v>
      </c>
      <c r="AA262" s="396">
        <f>IF(+NFL!$F238="Indianapolis",+NFL!#REF!,IF(+NFL!$H238="Indianapolis",+NFL!#REF!,0))</f>
        <v>0</v>
      </c>
      <c r="AB262" s="87">
        <f>IF(+NFL!$F238="Indianapolis",+NFL!#REF!,IF(+NFL!$H238="Indianapolis",+NFL!#REF!,0))</f>
        <v>0</v>
      </c>
      <c r="AC262" s="120">
        <f>IF(+NFL!$F238="Indianapolis",+NFL!#REF!,IF(+NFL!$H238="Indianapolis",+NFL!#REF!,0))</f>
        <v>0</v>
      </c>
      <c r="AD262" s="353">
        <f>IF(+NFL!$F238="Indianapolis",+NFL!#REF!,IF(+NFL!$H238="Indianapolis",+NFL!#REF!,0))</f>
        <v>0</v>
      </c>
      <c r="AE262" s="379">
        <f>IF(+NFL!$F238="Indianapolis",+NFL!#REF!,IF(+NFL!$H238="Indianapolis",+NFL!#REF!,0))</f>
        <v>0</v>
      </c>
      <c r="AF262" s="353">
        <f>IF(+NFL!$F238="Indianapolis",+NFL!#REF!,IF(+NFL!$H238="Indianapolis",+NFL!#REF!,0))</f>
        <v>0</v>
      </c>
      <c r="AG262" s="379">
        <f>IF(+NFL!$F238="Indianapolis",+NFL!#REF!,IF(+NFL!$H238="Indianapolis",+NFL!#REF!,0))</f>
        <v>0</v>
      </c>
      <c r="AH262" s="353">
        <f>IF(+NFL!$F238="Indianapolis",+NFL!#REF!,IF(+NFL!$H238="Indianapolis",+NFL!#REF!,0))</f>
        <v>0</v>
      </c>
      <c r="AI262" s="379">
        <f>IF(+NFL!$F238="Indianapolis",+NFL!#REF!,IF(+NFL!$H238="Indianapolis",+NFL!#REF!,0))</f>
        <v>0</v>
      </c>
      <c r="AJ262" s="353">
        <f>IF(+NFL!$F238="Indianapolis",+NFL!#REF!,IF(+NFL!$H238="Indianapolis",+NFL!#REF!,0))</f>
        <v>0</v>
      </c>
      <c r="AK262" s="379">
        <f>IF(+NFL!$F238="Indianapolis",+NFL!#REF!,IF(+NFL!$H238="Indianapolis",+NFL!#REF!,0))</f>
        <v>0</v>
      </c>
      <c r="AL262" s="69">
        <f>IF(+NFL!$F238="Indianapolis",+NFL!#REF!,IF(+NFL!$H238="Indianapolis",+NFL!#REF!,0))</f>
        <v>0</v>
      </c>
      <c r="AM262" s="58">
        <f>IF(+NFL!$F238="Indianapolis",+NFL!#REF!,IF(+NFL!$H238="Indianapolis",+NFL!#REF!,0))</f>
        <v>0</v>
      </c>
      <c r="AN262" s="70">
        <f>IF(+NFL!$F238="Indianapolis",+NFL!#REF!,IF(+NFL!$H238="Indianapolis",+NFL!#REF!,0))</f>
        <v>0</v>
      </c>
      <c r="AO262" s="59">
        <f>IF(+NFL!$F238="Indianapolis",+NFL!#REF!,IF(+NFL!$H238="Indianapolis",+NFL!#REF!,0))</f>
        <v>0</v>
      </c>
      <c r="AP262" s="348">
        <f>IF(+NFL!$F238="Indianapolis",+NFL!#REF!,IF(+NFL!$H238="Indianapolis",+NFL!#REF!,0))</f>
        <v>0</v>
      </c>
      <c r="AQ262" s="48">
        <f>IF(+NFL!$F238="Indianapolis",+NFL!#REF!,IF(+NFL!$H238="Indianapolis",+NFL!#REF!,0))</f>
        <v>0</v>
      </c>
      <c r="AR262" s="57">
        <f>IF(+NFL!$F238="Indianapolis",+NFL!#REF!,IF(+NFL!$H238="Indianapolis",+NFL!#REF!,0))</f>
        <v>0</v>
      </c>
      <c r="AS262" s="64">
        <f>IF(+NFL!$F238="Indianapolis",+NFL!#REF!,IF(+NFL!$H238="Indianapolis",+NFL!#REF!,0))</f>
        <v>0</v>
      </c>
      <c r="AT262" s="46">
        <f>IF(+NFL!$F238="Indianapolis",+NFL!#REF!,IF(+NFL!$H238="Indianapolis",+NFL!#REF!,0))</f>
        <v>0</v>
      </c>
      <c r="AU262" s="57">
        <f>IF(+NFL!$F238="Indianapolis",+NFL!#REF!,IF(+NFL!$H238="Indianapolis",+NFL!#REF!,0))</f>
        <v>0</v>
      </c>
      <c r="AV262" s="64">
        <f>IF(+NFL!$F238="Indianapolis",+NFL!#REF!,IF(+NFL!$H238="Indianapolis",+NFL!#REF!,0))</f>
        <v>0</v>
      </c>
      <c r="AW262" s="46">
        <f>IF(+NFL!$F238="Indianapolis",+NFL!#REF!,IF(+NFL!$H238="Indianapolis",+NFL!#REF!,0))</f>
        <v>0</v>
      </c>
      <c r="AX262" s="64">
        <f>IF(+NFL!$F238="Indianapolis",+NFL!#REF!,IF(+NFL!$H238="Indianapolis",+NFL!#REF!,0))</f>
        <v>0</v>
      </c>
      <c r="AY262" s="57">
        <f>IF(+NFL!$F238="Indianapolis",+NFL!#REF!,IF(+NFL!$H238="Indianapolis",+NFL!#REF!,0))</f>
        <v>0</v>
      </c>
      <c r="AZ262" s="64">
        <f>IF(+NFL!$F238="Indianapolis",+NFL!#REF!,IF(+NFL!$H238="Indianapolis",+NFL!#REF!,0))</f>
        <v>0</v>
      </c>
      <c r="BA262" s="46">
        <f>IF(+NFL!$F238="Indianapolis",+NFL!#REF!,IF(+NFL!$H238="Indianapolis",+NFL!#REF!,0))</f>
        <v>0</v>
      </c>
      <c r="BB262" s="46">
        <f>IF(+NFL!$F238="Indianapolis",+NFL!#REF!,IF(+NFL!$H238="Indianapolis",+NFL!#REF!,0))</f>
        <v>0</v>
      </c>
      <c r="BC262" s="403">
        <f>IF(+NFL!$F238="Indianapolis",+NFL!#REF!,IF(+NFL!$H238="Indianapolis",+NFL!#REF!,0))</f>
        <v>0</v>
      </c>
      <c r="BD262" s="57">
        <f>IF(+NFL!$F238="Indianapolis",+NFL!#REF!,IF(+NFL!$H238="Indianapolis",+NFL!#REF!,0))</f>
        <v>0</v>
      </c>
      <c r="BE262" s="64">
        <f>IF(+NFL!$F238="Indianapolis",+NFL!#REF!,IF(+NFL!$H238="Indianapolis",+NFL!#REF!,0))</f>
        <v>0</v>
      </c>
      <c r="BF262" s="46">
        <f>IF(+NFL!$F238="Indianapolis",+NFL!#REF!,IF(+NFL!$H238="Indianapolis",+NFL!#REF!,0))</f>
        <v>0</v>
      </c>
      <c r="BG262" s="57">
        <f>IF(+NFL!$F238="Indianapolis",+NFL!#REF!,IF(+NFL!$H238="Indianapolis",+NFL!#REF!,0))</f>
        <v>0</v>
      </c>
      <c r="BH262" s="64">
        <f>IF(+NFL!$F238="Indianapolis",+NFL!#REF!,IF(+NFL!$H238="Indianapolis",+NFL!#REF!,0))</f>
        <v>0</v>
      </c>
      <c r="BI262" s="46">
        <f>IF(+NFL!$F238="Indianapolis",+NFL!#REF!,IF(+NFL!$H238="Indianapolis",+NFL!#REF!,0))</f>
        <v>0</v>
      </c>
      <c r="BJ262" s="87">
        <f>IF(+NFL!$F238="Indianapolis",+NFL!#REF!,IF(+NFL!$H238="Indianapolis",+NFL!#REF!,0))</f>
        <v>0</v>
      </c>
      <c r="BK262" s="120">
        <f>IF(+NFL!$F238="Indianapolis",+NFL!#REF!,IF(+NFL!$H238="Indianapolis",+NFL!#REF!,0))</f>
        <v>0</v>
      </c>
    </row>
    <row r="263" spans="1:63" x14ac:dyDescent="0.8">
      <c r="A263" s="46">
        <f>IF(+NFL!$F269="Indianapolis",+NFL!A269,IF(+NFL!$H269="Indianapolis",+NFL!A269,0))</f>
        <v>15</v>
      </c>
      <c r="B263" s="348" t="str">
        <f>IF(+NFL!$F269="Indianapolis",+NFL!B269,IF(+NFL!$H269="Indianapolis",+NFL!B269,0))</f>
        <v>Sun</v>
      </c>
      <c r="C263" s="48">
        <f>IF(+NFL!$F269="Indianapolis",+NFL!C269,IF(+NFL!$H269="Indianapolis",+NFL!C269,0))</f>
        <v>44913</v>
      </c>
      <c r="D263" s="490">
        <f>IF(+NFL!$F269="Indianapolis",+NFL!D269,IF(+NFL!$H269="Indianapolis",+NFL!D269,0))</f>
        <v>0.54166666666666663</v>
      </c>
      <c r="E263" s="46" t="str">
        <f>IF(+NFL!$F269="Indianapolis",+NFL!E269,IF(+NFL!$H269="Indianapolis",+NFL!E269,0))</f>
        <v>CBS</v>
      </c>
      <c r="F263" s="127" t="str">
        <f>IF(+NFL!$F269="Indianapolis",+NFL!F269,IF(+NFL!$H269="Indianapolis",+NFL!F269,0))</f>
        <v>Indianapolis</v>
      </c>
      <c r="G263" s="46" t="str">
        <f>IF(+NFL!$F269="Indianapolis",+NFL!G269,IF(+NFL!$H269="Indianapolis",+NFL!G269,0))</f>
        <v>AFCS</v>
      </c>
      <c r="H263" s="127" t="str">
        <f>IF(+NFL!$F269="Indianapolis",+NFL!H269,IF(+NFL!$H269="Indianapolis",+NFL!H269,0))</f>
        <v>Minnesota</v>
      </c>
      <c r="I263" s="46" t="str">
        <f>IF(+NFL!$F269="Indianapolis",+NFL!I269,IF(+NFL!$H269="Indianapolis",+NFL!I269,0))</f>
        <v>NFCN</v>
      </c>
      <c r="J263" s="353" t="str">
        <f>IF(+NFL!$F269="Indianapolis",+NFL!J269,IF(+NFL!$H269="Indianapolis",+NFL!J269,0))</f>
        <v>Minnesota</v>
      </c>
      <c r="K263" s="494" t="str">
        <f>IF(+NFL!$F269="Indianapolis",+NFL!K269,IF(+NFL!$H269="Indianapolis",+NFL!K269,0))</f>
        <v>Indianapolis</v>
      </c>
      <c r="L263" s="384">
        <f>IF(+NFL!$F269="Indianapolis",+NFL!L269,IF(+NFL!$H269="Indianapolis",+NFL!L269,0))</f>
        <v>3.5</v>
      </c>
      <c r="M263" s="385">
        <f>IF(+NFL!$F269="Indianapolis",+NFL!M269,IF(+NFL!$H269="Indianapolis",+NFL!M269,0))</f>
        <v>46.5</v>
      </c>
      <c r="N263" s="394" t="str">
        <f>IF(+NFL!$F269="Indianapolis",+NFL!N269,IF(+NFL!$H269="Indianapolis",+NFL!N269,0))</f>
        <v>Minnesota</v>
      </c>
      <c r="O263" s="395">
        <f>IF(+NFL!$F269="Indianapolis",+NFL!O269,IF(+NFL!$H269="Indianapolis",+NFL!O269,0))</f>
        <v>39</v>
      </c>
      <c r="P263" s="394" t="str">
        <f>IF(+NFL!$F269="Indianapolis",+NFL!P269,IF(+NFL!$H269="Indianapolis",+NFL!P269,0))</f>
        <v>Indianapolis</v>
      </c>
      <c r="Q263" s="396">
        <f>IF(+NFL!$F269="Indianapolis",+NFL!Q269,IF(+NFL!$H269="Indianapolis",+NFL!Q269,0))</f>
        <v>36</v>
      </c>
      <c r="R263" s="397" t="str">
        <f>IF(+NFL!$F269="Indianapolis",+NFL!R269,IF(+NFL!$H269="Indianapolis",+NFL!R269,0))</f>
        <v>Indianapolis</v>
      </c>
      <c r="S263" s="396" t="str">
        <f>IF(+NFL!$F269="Indianapolis",+NFL!S269,IF(+NFL!$H269="Indianapolis",+NFL!S269,0))</f>
        <v>Minnesota</v>
      </c>
      <c r="T263" s="398">
        <f>IF(+NFL!$F269="Indianapolis",+NFL!T269,IF(+NFL!$H269="Indianapolis",+NFL!T269,0))</f>
        <v>0</v>
      </c>
      <c r="U263" s="396" t="str">
        <f>IF(+NFL!$F269="Indianapolis",+NFL!U269,IF(+NFL!$H269="Indianapolis",+NFL!U269,0))</f>
        <v>L</v>
      </c>
      <c r="V263" s="397" t="e">
        <f>IF(+NFL!$F269="Indianapolis",+NFL!#REF!,IF(+NFL!$H269="Indianapolis",+NFL!#REF!,0))</f>
        <v>#REF!</v>
      </c>
      <c r="W263" s="396" t="e">
        <f>IF(+NFL!$F269="Indianapolis",+NFL!#REF!,IF(+NFL!$H269="Indianapolis",+NFL!#REF!,0))</f>
        <v>#REF!</v>
      </c>
      <c r="X263" s="398" t="e">
        <f>IF(+NFL!$F269="Indianapolis",+NFL!#REF!,IF(+NFL!$H269="Indianapolis",+NFL!#REF!,0))</f>
        <v>#REF!</v>
      </c>
      <c r="Y263" s="396" t="e">
        <f>IF(+NFL!$F269="Indianapolis",+NFL!#REF!,IF(+NFL!$H269="Indianapolis",+NFL!#REF!,0))</f>
        <v>#REF!</v>
      </c>
      <c r="Z263" s="397" t="e">
        <f>IF(+NFL!$F269="Indianapolis",+NFL!#REF!,IF(+NFL!$H269="Indianapolis",+NFL!#REF!,0))</f>
        <v>#REF!</v>
      </c>
      <c r="AA263" s="396" t="e">
        <f>IF(+NFL!$F269="Indianapolis",+NFL!#REF!,IF(+NFL!$H269="Indianapolis",+NFL!#REF!,0))</f>
        <v>#REF!</v>
      </c>
      <c r="AB263" s="87" t="e">
        <f>IF(+NFL!$F269="Indianapolis",+NFL!#REF!,IF(+NFL!$H269="Indianapolis",+NFL!#REF!,0))</f>
        <v>#REF!</v>
      </c>
      <c r="AC263" s="120" t="e">
        <f>IF(+NFL!$F269="Indianapolis",+NFL!#REF!,IF(+NFL!$H269="Indianapolis",+NFL!#REF!,0))</f>
        <v>#REF!</v>
      </c>
      <c r="AD263" s="353" t="e">
        <f>IF(+NFL!$F269="Indianapolis",+NFL!#REF!,IF(+NFL!$H269="Indianapolis",+NFL!#REF!,0))</f>
        <v>#REF!</v>
      </c>
      <c r="AE263" s="379" t="e">
        <f>IF(+NFL!$F269="Indianapolis",+NFL!#REF!,IF(+NFL!$H269="Indianapolis",+NFL!#REF!,0))</f>
        <v>#REF!</v>
      </c>
      <c r="AF263" s="353" t="e">
        <f>IF(+NFL!$F269="Indianapolis",+NFL!#REF!,IF(+NFL!$H269="Indianapolis",+NFL!#REF!,0))</f>
        <v>#REF!</v>
      </c>
      <c r="AG263" s="379" t="e">
        <f>IF(+NFL!$F269="Indianapolis",+NFL!#REF!,IF(+NFL!$H269="Indianapolis",+NFL!#REF!,0))</f>
        <v>#REF!</v>
      </c>
      <c r="AH263" s="353" t="e">
        <f>IF(+NFL!$F269="Indianapolis",+NFL!#REF!,IF(+NFL!$H269="Indianapolis",+NFL!#REF!,0))</f>
        <v>#REF!</v>
      </c>
      <c r="AI263" s="379" t="e">
        <f>IF(+NFL!$F269="Indianapolis",+NFL!#REF!,IF(+NFL!$H269="Indianapolis",+NFL!#REF!,0))</f>
        <v>#REF!</v>
      </c>
      <c r="AJ263" s="353" t="e">
        <f>IF(+NFL!$F269="Indianapolis",+NFL!#REF!,IF(+NFL!$H269="Indianapolis",+NFL!#REF!,0))</f>
        <v>#REF!</v>
      </c>
      <c r="AK263" s="379" t="e">
        <f>IF(+NFL!$F269="Indianapolis",+NFL!#REF!,IF(+NFL!$H269="Indianapolis",+NFL!#REF!,0))</f>
        <v>#REF!</v>
      </c>
      <c r="AL263" s="69" t="e">
        <f>IF(+NFL!$F269="Indianapolis",+NFL!#REF!,IF(+NFL!$H269="Indianapolis",+NFL!#REF!,0))</f>
        <v>#REF!</v>
      </c>
      <c r="AM263" s="58" t="e">
        <f>IF(+NFL!$F269="Indianapolis",+NFL!#REF!,IF(+NFL!$H269="Indianapolis",+NFL!#REF!,0))</f>
        <v>#REF!</v>
      </c>
      <c r="AN263" s="70" t="e">
        <f>IF(+NFL!$F269="Indianapolis",+NFL!#REF!,IF(+NFL!$H269="Indianapolis",+NFL!#REF!,0))</f>
        <v>#REF!</v>
      </c>
      <c r="AO263" s="59" t="e">
        <f>IF(+NFL!$F269="Indianapolis",+NFL!#REF!,IF(+NFL!$H269="Indianapolis",+NFL!#REF!,0))</f>
        <v>#REF!</v>
      </c>
      <c r="AP263" s="348" t="e">
        <f>IF(+NFL!$F269="Indianapolis",+NFL!#REF!,IF(+NFL!$H269="Indianapolis",+NFL!#REF!,0))</f>
        <v>#REF!</v>
      </c>
      <c r="AQ263" s="48" t="e">
        <f>IF(+NFL!$F269="Indianapolis",+NFL!#REF!,IF(+NFL!$H269="Indianapolis",+NFL!#REF!,0))</f>
        <v>#REF!</v>
      </c>
      <c r="AR263" s="57" t="e">
        <f>IF(+NFL!$F269="Indianapolis",+NFL!#REF!,IF(+NFL!$H269="Indianapolis",+NFL!#REF!,0))</f>
        <v>#REF!</v>
      </c>
      <c r="AS263" s="64" t="e">
        <f>IF(+NFL!$F269="Indianapolis",+NFL!#REF!,IF(+NFL!$H269="Indianapolis",+NFL!#REF!,0))</f>
        <v>#REF!</v>
      </c>
      <c r="AT263" s="46" t="e">
        <f>IF(+NFL!$F269="Indianapolis",+NFL!#REF!,IF(+NFL!$H269="Indianapolis",+NFL!#REF!,0))</f>
        <v>#REF!</v>
      </c>
      <c r="AU263" s="57" t="e">
        <f>IF(+NFL!$F269="Indianapolis",+NFL!#REF!,IF(+NFL!$H269="Indianapolis",+NFL!#REF!,0))</f>
        <v>#REF!</v>
      </c>
      <c r="AV263" s="64" t="e">
        <f>IF(+NFL!$F269="Indianapolis",+NFL!#REF!,IF(+NFL!$H269="Indianapolis",+NFL!#REF!,0))</f>
        <v>#REF!</v>
      </c>
      <c r="AW263" s="46" t="e">
        <f>IF(+NFL!$F269="Indianapolis",+NFL!#REF!,IF(+NFL!$H269="Indianapolis",+NFL!#REF!,0))</f>
        <v>#REF!</v>
      </c>
      <c r="AX263" s="64" t="e">
        <f>IF(+NFL!$F269="Indianapolis",+NFL!#REF!,IF(+NFL!$H269="Indianapolis",+NFL!#REF!,0))</f>
        <v>#REF!</v>
      </c>
      <c r="AY263" s="57" t="e">
        <f>IF(+NFL!$F269="Indianapolis",+NFL!#REF!,IF(+NFL!$H269="Indianapolis",+NFL!#REF!,0))</f>
        <v>#REF!</v>
      </c>
      <c r="AZ263" s="64" t="e">
        <f>IF(+NFL!$F269="Indianapolis",+NFL!#REF!,IF(+NFL!$H269="Indianapolis",+NFL!#REF!,0))</f>
        <v>#REF!</v>
      </c>
      <c r="BA263" s="46" t="e">
        <f>IF(+NFL!$F269="Indianapolis",+NFL!#REF!,IF(+NFL!$H269="Indianapolis",+NFL!#REF!,0))</f>
        <v>#REF!</v>
      </c>
      <c r="BB263" s="46" t="e">
        <f>IF(+NFL!$F269="Indianapolis",+NFL!#REF!,IF(+NFL!$H269="Indianapolis",+NFL!#REF!,0))</f>
        <v>#REF!</v>
      </c>
      <c r="BC263" s="403" t="e">
        <f>IF(+NFL!$F269="Indianapolis",+NFL!#REF!,IF(+NFL!$H269="Indianapolis",+NFL!#REF!,0))</f>
        <v>#REF!</v>
      </c>
      <c r="BD263" s="57" t="e">
        <f>IF(+NFL!$F269="Indianapolis",+NFL!#REF!,IF(+NFL!$H269="Indianapolis",+NFL!#REF!,0))</f>
        <v>#REF!</v>
      </c>
      <c r="BE263" s="64" t="e">
        <f>IF(+NFL!$F269="Indianapolis",+NFL!#REF!,IF(+NFL!$H269="Indianapolis",+NFL!#REF!,0))</f>
        <v>#REF!</v>
      </c>
      <c r="BF263" s="46" t="e">
        <f>IF(+NFL!$F269="Indianapolis",+NFL!#REF!,IF(+NFL!$H269="Indianapolis",+NFL!#REF!,0))</f>
        <v>#REF!</v>
      </c>
      <c r="BG263" s="57" t="e">
        <f>IF(+NFL!$F269="Indianapolis",+NFL!#REF!,IF(+NFL!$H269="Indianapolis",+NFL!#REF!,0))</f>
        <v>#REF!</v>
      </c>
      <c r="BH263" s="64" t="e">
        <f>IF(+NFL!$F269="Indianapolis",+NFL!#REF!,IF(+NFL!$H269="Indianapolis",+NFL!#REF!,0))</f>
        <v>#REF!</v>
      </c>
      <c r="BI263" s="46" t="e">
        <f>IF(+NFL!$F269="Indianapolis",+NFL!#REF!,IF(+NFL!$H269="Indianapolis",+NFL!#REF!,0))</f>
        <v>#REF!</v>
      </c>
      <c r="BJ263" s="87" t="e">
        <f>IF(+NFL!$F269="Indianapolis",+NFL!#REF!,IF(+NFL!$H269="Indianapolis",+NFL!#REF!,0))</f>
        <v>#REF!</v>
      </c>
      <c r="BK263" s="120" t="e">
        <f>IF(+NFL!$F269="Indianapolis",+NFL!#REF!,IF(+NFL!$H269="Indianapolis",+NFL!#REF!,0))</f>
        <v>#REF!</v>
      </c>
    </row>
    <row r="264" spans="1:63" x14ac:dyDescent="0.8">
      <c r="A264" s="46">
        <f>IF(+NFL!$F298="Indianapolis",+NFL!A298,IF(+NFL!$H298="Indianapolis",+NFL!A298,0))</f>
        <v>16</v>
      </c>
      <c r="B264" s="348" t="str">
        <f>IF(+NFL!$F298="Indianapolis",+NFL!B298,IF(+NFL!$H298="Indianapolis",+NFL!B298,0))</f>
        <v>Mon</v>
      </c>
      <c r="C264" s="48">
        <f>IF(+NFL!$F298="Indianapolis",+NFL!C298,IF(+NFL!$H298="Indianapolis",+NFL!C298,0))</f>
        <v>44921</v>
      </c>
      <c r="D264" s="490">
        <f>IF(+NFL!$F298="Indianapolis",+NFL!D298,IF(+NFL!$H298="Indianapolis",+NFL!D298,0))</f>
        <v>0.84375</v>
      </c>
      <c r="E264" s="46" t="str">
        <f>IF(+NFL!$F298="Indianapolis",+NFL!E298,IF(+NFL!$H298="Indianapolis",+NFL!E298,0))</f>
        <v>ABC</v>
      </c>
      <c r="F264" s="127" t="str">
        <f>IF(+NFL!$F298="Indianapolis",+NFL!F298,IF(+NFL!$H298="Indianapolis",+NFL!F298,0))</f>
        <v>LA Chargers</v>
      </c>
      <c r="G264" s="46" t="str">
        <f>IF(+NFL!$F298="Indianapolis",+NFL!G298,IF(+NFL!$H298="Indianapolis",+NFL!G298,0))</f>
        <v>AFCW</v>
      </c>
      <c r="H264" s="127" t="str">
        <f>IF(+NFL!$F298="Indianapolis",+NFL!H298,IF(+NFL!$H298="Indianapolis",+NFL!H298,0))</f>
        <v>Indianapolis</v>
      </c>
      <c r="I264" s="46" t="str">
        <f>IF(+NFL!$F298="Indianapolis",+NFL!I298,IF(+NFL!$H298="Indianapolis",+NFL!I298,0))</f>
        <v>AFCS</v>
      </c>
      <c r="J264" s="353" t="str">
        <f>IF(+NFL!$F298="Indianapolis",+NFL!J298,IF(+NFL!$H298="Indianapolis",+NFL!J298,0))</f>
        <v>LA Chargers</v>
      </c>
      <c r="K264" s="494" t="str">
        <f>IF(+NFL!$F298="Indianapolis",+NFL!K298,IF(+NFL!$H298="Indianapolis",+NFL!K298,0))</f>
        <v>Indianapolis</v>
      </c>
      <c r="L264" s="384">
        <f>IF(+NFL!$F298="Indianapolis",+NFL!L298,IF(+NFL!$H298="Indianapolis",+NFL!L298,0))</f>
        <v>3.5</v>
      </c>
      <c r="M264" s="385">
        <f>IF(+NFL!$F298="Indianapolis",+NFL!M298,IF(+NFL!$H298="Indianapolis",+NFL!M298,0))</f>
        <v>44.5</v>
      </c>
      <c r="N264" s="394" t="str">
        <f>IF(+NFL!$F298="Indianapolis",+NFL!N298,IF(+NFL!$H298="Indianapolis",+NFL!N298,0))</f>
        <v>LA Chargers</v>
      </c>
      <c r="O264" s="395">
        <f>IF(+NFL!$F298="Indianapolis",+NFL!O298,IF(+NFL!$H298="Indianapolis",+NFL!O298,0))</f>
        <v>20</v>
      </c>
      <c r="P264" s="394" t="str">
        <f>IF(+NFL!$F298="Indianapolis",+NFL!P298,IF(+NFL!$H298="Indianapolis",+NFL!P298,0))</f>
        <v>Indianapolis</v>
      </c>
      <c r="Q264" s="396">
        <f>IF(+NFL!$F298="Indianapolis",+NFL!Q298,IF(+NFL!$H298="Indianapolis",+NFL!Q298,0))</f>
        <v>3</v>
      </c>
      <c r="R264" s="397" t="str">
        <f>IF(+NFL!$F298="Indianapolis",+NFL!R298,IF(+NFL!$H298="Indianapolis",+NFL!R298,0))</f>
        <v>LA Chargers</v>
      </c>
      <c r="S264" s="396" t="str">
        <f>IF(+NFL!$F298="Indianapolis",+NFL!S298,IF(+NFL!$H298="Indianapolis",+NFL!S298,0))</f>
        <v>Indianapolis</v>
      </c>
      <c r="T264" s="398">
        <f>IF(+NFL!$F298="Indianapolis",+NFL!T298,IF(+NFL!$H298="Indianapolis",+NFL!T298,0))</f>
        <v>0</v>
      </c>
      <c r="U264" s="396" t="str">
        <f>IF(+NFL!$F298="Indianapolis",+NFL!U298,IF(+NFL!$H298="Indianapolis",+NFL!U298,0))</f>
        <v>L</v>
      </c>
      <c r="V264" s="397">
        <f>IF(+NFL!$F290="Indianapolis",+NFL!#REF!,IF(+NFL!$H290="Indianapolis",+NFL!#REF!,0))</f>
        <v>0</v>
      </c>
      <c r="W264" s="396">
        <f>IF(+NFL!$F290="Indianapolis",+NFL!#REF!,IF(+NFL!$H290="Indianapolis",+NFL!#REF!,0))</f>
        <v>0</v>
      </c>
      <c r="X264" s="398">
        <f>IF(+NFL!$F290="Indianapolis",+NFL!#REF!,IF(+NFL!$H290="Indianapolis",+NFL!#REF!,0))</f>
        <v>0</v>
      </c>
      <c r="Y264" s="396">
        <f>IF(+NFL!$F290="Indianapolis",+NFL!#REF!,IF(+NFL!$H290="Indianapolis",+NFL!#REF!,0))</f>
        <v>0</v>
      </c>
      <c r="Z264" s="397">
        <f>IF(+NFL!$F290="Indianapolis",+NFL!#REF!,IF(+NFL!$H290="Indianapolis",+NFL!#REF!,0))</f>
        <v>0</v>
      </c>
      <c r="AA264" s="396">
        <f>IF(+NFL!$F290="Indianapolis",+NFL!#REF!,IF(+NFL!$H290="Indianapolis",+NFL!#REF!,0))</f>
        <v>0</v>
      </c>
      <c r="AB264" s="87">
        <f>IF(+NFL!$F290="Indianapolis",+NFL!#REF!,IF(+NFL!$H290="Indianapolis",+NFL!#REF!,0))</f>
        <v>0</v>
      </c>
      <c r="AC264" s="120">
        <f>IF(+NFL!$F290="Indianapolis",+NFL!#REF!,IF(+NFL!$H290="Indianapolis",+NFL!#REF!,0))</f>
        <v>0</v>
      </c>
      <c r="AD264" s="353">
        <f>IF(+NFL!$F290="Indianapolis",+NFL!#REF!,IF(+NFL!$H290="Indianapolis",+NFL!#REF!,0))</f>
        <v>0</v>
      </c>
      <c r="AE264" s="379">
        <f>IF(+NFL!$F290="Indianapolis",+NFL!#REF!,IF(+NFL!$H290="Indianapolis",+NFL!#REF!,0))</f>
        <v>0</v>
      </c>
      <c r="AF264" s="353">
        <f>IF(+NFL!$F290="Indianapolis",+NFL!#REF!,IF(+NFL!$H290="Indianapolis",+NFL!#REF!,0))</f>
        <v>0</v>
      </c>
      <c r="AG264" s="379">
        <f>IF(+NFL!$F290="Indianapolis",+NFL!#REF!,IF(+NFL!$H290="Indianapolis",+NFL!#REF!,0))</f>
        <v>0</v>
      </c>
      <c r="AH264" s="353">
        <f>IF(+NFL!$F290="Indianapolis",+NFL!#REF!,IF(+NFL!$H290="Indianapolis",+NFL!#REF!,0))</f>
        <v>0</v>
      </c>
      <c r="AI264" s="379">
        <f>IF(+NFL!$F290="Indianapolis",+NFL!#REF!,IF(+NFL!$H290="Indianapolis",+NFL!#REF!,0))</f>
        <v>0</v>
      </c>
      <c r="AJ264" s="353">
        <f>IF(+NFL!$F290="Indianapolis",+NFL!#REF!,IF(+NFL!$H290="Indianapolis",+NFL!#REF!,0))</f>
        <v>0</v>
      </c>
      <c r="AK264" s="379">
        <f>IF(+NFL!$F290="Indianapolis",+NFL!#REF!,IF(+NFL!$H290="Indianapolis",+NFL!#REF!,0))</f>
        <v>0</v>
      </c>
      <c r="AL264" s="69">
        <f>IF(+NFL!$F290="Indianapolis",+NFL!#REF!,IF(+NFL!$H290="Indianapolis",+NFL!#REF!,0))</f>
        <v>0</v>
      </c>
      <c r="AM264" s="58">
        <f>IF(+NFL!$F290="Indianapolis",+NFL!#REF!,IF(+NFL!$H290="Indianapolis",+NFL!#REF!,0))</f>
        <v>0</v>
      </c>
      <c r="AN264" s="70">
        <f>IF(+NFL!$F290="Indianapolis",+NFL!#REF!,IF(+NFL!$H290="Indianapolis",+NFL!#REF!,0))</f>
        <v>0</v>
      </c>
      <c r="AO264" s="59">
        <f>IF(+NFL!$F290="Indianapolis",+NFL!#REF!,IF(+NFL!$H290="Indianapolis",+NFL!#REF!,0))</f>
        <v>0</v>
      </c>
      <c r="AP264" s="348">
        <f>IF(+NFL!$F290="Indianapolis",+NFL!#REF!,IF(+NFL!$H290="Indianapolis",+NFL!#REF!,0))</f>
        <v>0</v>
      </c>
      <c r="AQ264" s="48">
        <f>IF(+NFL!$F290="Indianapolis",+NFL!#REF!,IF(+NFL!$H290="Indianapolis",+NFL!#REF!,0))</f>
        <v>0</v>
      </c>
      <c r="AR264" s="57">
        <f>IF(+NFL!$F290="Indianapolis",+NFL!#REF!,IF(+NFL!$H290="Indianapolis",+NFL!#REF!,0))</f>
        <v>0</v>
      </c>
      <c r="AS264" s="64">
        <f>IF(+NFL!$F290="Indianapolis",+NFL!#REF!,IF(+NFL!$H290="Indianapolis",+NFL!#REF!,0))</f>
        <v>0</v>
      </c>
      <c r="AT264" s="46">
        <f>IF(+NFL!$F290="Indianapolis",+NFL!#REF!,IF(+NFL!$H290="Indianapolis",+NFL!#REF!,0))</f>
        <v>0</v>
      </c>
      <c r="AU264" s="57">
        <f>IF(+NFL!$F290="Indianapolis",+NFL!#REF!,IF(+NFL!$H290="Indianapolis",+NFL!#REF!,0))</f>
        <v>0</v>
      </c>
      <c r="AV264" s="64">
        <f>IF(+NFL!$F290="Indianapolis",+NFL!#REF!,IF(+NFL!$H290="Indianapolis",+NFL!#REF!,0))</f>
        <v>0</v>
      </c>
      <c r="AW264" s="46">
        <f>IF(+NFL!$F290="Indianapolis",+NFL!#REF!,IF(+NFL!$H290="Indianapolis",+NFL!#REF!,0))</f>
        <v>0</v>
      </c>
      <c r="AX264" s="64">
        <f>IF(+NFL!$F290="Indianapolis",+NFL!#REF!,IF(+NFL!$H290="Indianapolis",+NFL!#REF!,0))</f>
        <v>0</v>
      </c>
      <c r="AY264" s="57">
        <f>IF(+NFL!$F290="Indianapolis",+NFL!#REF!,IF(+NFL!$H290="Indianapolis",+NFL!#REF!,0))</f>
        <v>0</v>
      </c>
      <c r="AZ264" s="64">
        <f>IF(+NFL!$F290="Indianapolis",+NFL!#REF!,IF(+NFL!$H290="Indianapolis",+NFL!#REF!,0))</f>
        <v>0</v>
      </c>
      <c r="BA264" s="46">
        <f>IF(+NFL!$F290="Indianapolis",+NFL!#REF!,IF(+NFL!$H290="Indianapolis",+NFL!#REF!,0))</f>
        <v>0</v>
      </c>
      <c r="BB264" s="46">
        <f>IF(+NFL!$F290="Indianapolis",+NFL!#REF!,IF(+NFL!$H290="Indianapolis",+NFL!#REF!,0))</f>
        <v>0</v>
      </c>
      <c r="BC264" s="403">
        <f>IF(+NFL!$F290="Indianapolis",+NFL!#REF!,IF(+NFL!$H290="Indianapolis",+NFL!#REF!,0))</f>
        <v>0</v>
      </c>
      <c r="BD264" s="57">
        <f>IF(+NFL!$F290="Indianapolis",+NFL!#REF!,IF(+NFL!$H290="Indianapolis",+NFL!#REF!,0))</f>
        <v>0</v>
      </c>
      <c r="BE264" s="64">
        <f>IF(+NFL!$F290="Indianapolis",+NFL!#REF!,IF(+NFL!$H290="Indianapolis",+NFL!#REF!,0))</f>
        <v>0</v>
      </c>
      <c r="BF264" s="46">
        <f>IF(+NFL!$F290="Indianapolis",+NFL!#REF!,IF(+NFL!$H290="Indianapolis",+NFL!#REF!,0))</f>
        <v>0</v>
      </c>
      <c r="BG264" s="57">
        <f>IF(+NFL!$F290="Indianapolis",+NFL!#REF!,IF(+NFL!$H290="Indianapolis",+NFL!#REF!,0))</f>
        <v>0</v>
      </c>
      <c r="BH264" s="64">
        <f>IF(+NFL!$F290="Indianapolis",+NFL!#REF!,IF(+NFL!$H290="Indianapolis",+NFL!#REF!,0))</f>
        <v>0</v>
      </c>
      <c r="BI264" s="46">
        <f>IF(+NFL!$F290="Indianapolis",+NFL!#REF!,IF(+NFL!$H290="Indianapolis",+NFL!#REF!,0))</f>
        <v>0</v>
      </c>
      <c r="BJ264" s="87">
        <f>IF(+NFL!$F290="Indianapolis",+NFL!#REF!,IF(+NFL!$H290="Indianapolis",+NFL!#REF!,0))</f>
        <v>0</v>
      </c>
      <c r="BK264" s="120">
        <f>IF(+NFL!$F290="Indianapolis",+NFL!#REF!,IF(+NFL!$H290="Indianapolis",+NFL!#REF!,0))</f>
        <v>0</v>
      </c>
    </row>
    <row r="265" spans="1:63" x14ac:dyDescent="0.8">
      <c r="A265" s="46">
        <f>IF(+NFL!$F305="Indianapolis",+NFL!A305,IF(+NFL!$H305="Indianapolis",+NFL!A305,0))</f>
        <v>17</v>
      </c>
      <c r="B265" s="348" t="str">
        <f>IF(+NFL!$F305="Indianapolis",+NFL!B305,IF(+NFL!$H305="Indianapolis",+NFL!B305,0))</f>
        <v>Sun</v>
      </c>
      <c r="C265" s="48">
        <f>IF(+NFL!$F305="Indianapolis",+NFL!C305,IF(+NFL!$H305="Indianapolis",+NFL!C305,0))</f>
        <v>44927</v>
      </c>
      <c r="D265" s="490">
        <f>IF(+NFL!$F305="Indianapolis",+NFL!D305,IF(+NFL!$H305="Indianapolis",+NFL!D305,0))</f>
        <v>0.54166666666666663</v>
      </c>
      <c r="E265" s="46" t="str">
        <f>IF(+NFL!$F305="Indianapolis",+NFL!E305,IF(+NFL!$H305="Indianapolis",+NFL!E305,0))</f>
        <v>CBS</v>
      </c>
      <c r="F265" s="127" t="str">
        <f>IF(+NFL!$F305="Indianapolis",+NFL!F305,IF(+NFL!$H305="Indianapolis",+NFL!F305,0))</f>
        <v>Indianapolis</v>
      </c>
      <c r="G265" s="46" t="str">
        <f>IF(+NFL!$F305="Indianapolis",+NFL!G305,IF(+NFL!$H305="Indianapolis",+NFL!G305,0))</f>
        <v>AFCS</v>
      </c>
      <c r="H265" s="127" t="str">
        <f>IF(+NFL!$F305="Indianapolis",+NFL!H305,IF(+NFL!$H305="Indianapolis",+NFL!H305,0))</f>
        <v>NY Giants</v>
      </c>
      <c r="I265" s="46" t="str">
        <f>IF(+NFL!$F305="Indianapolis",+NFL!I305,IF(+NFL!$H305="Indianapolis",+NFL!I305,0))</f>
        <v>NFCE</v>
      </c>
      <c r="J265" s="353" t="str">
        <f>IF(+NFL!$F305="Indianapolis",+NFL!J305,IF(+NFL!$H305="Indianapolis",+NFL!J305,0))</f>
        <v>NY Giants</v>
      </c>
      <c r="K265" s="494" t="str">
        <f>IF(+NFL!$F305="Indianapolis",+NFL!K305,IF(+NFL!$H305="Indianapolis",+NFL!K305,0))</f>
        <v>Indianapolis</v>
      </c>
      <c r="L265" s="384">
        <f>IF(+NFL!$F305="Indianapolis",+NFL!L305,IF(+NFL!$H305="Indianapolis",+NFL!L305,0))</f>
        <v>5.5</v>
      </c>
      <c r="M265" s="385">
        <f>IF(+NFL!$F305="Indianapolis",+NFL!M305,IF(+NFL!$H305="Indianapolis",+NFL!M305,0))</f>
        <v>38.5</v>
      </c>
      <c r="N265" s="394" t="str">
        <f>IF(+NFL!$F305="Indianapolis",+NFL!N305,IF(+NFL!$H305="Indianapolis",+NFL!N305,0))</f>
        <v>NY Giants</v>
      </c>
      <c r="O265" s="395">
        <f>IF(+NFL!$F305="Indianapolis",+NFL!O305,IF(+NFL!$H305="Indianapolis",+NFL!O305,0))</f>
        <v>38</v>
      </c>
      <c r="P265" s="394" t="str">
        <f>IF(+NFL!$F305="Indianapolis",+NFL!P305,IF(+NFL!$H305="Indianapolis",+NFL!P305,0))</f>
        <v>Indianapolis</v>
      </c>
      <c r="Q265" s="396">
        <f>IF(+NFL!$F305="Indianapolis",+NFL!Q305,IF(+NFL!$H305="Indianapolis",+NFL!Q305,0))</f>
        <v>10</v>
      </c>
      <c r="R265" s="397" t="str">
        <f>IF(+NFL!$F305="Indianapolis",+NFL!R305,IF(+NFL!$H305="Indianapolis",+NFL!R305,0))</f>
        <v>NY Giants</v>
      </c>
      <c r="S265" s="396" t="str">
        <f>IF(+NFL!$F305="Indianapolis",+NFL!S305,IF(+NFL!$H305="Indianapolis",+NFL!S305,0))</f>
        <v>Indianapolis</v>
      </c>
      <c r="T265" s="398">
        <f>IF(+NFL!$F305="Indianapolis",+NFL!T305,IF(+NFL!$H305="Indianapolis",+NFL!T305,0))</f>
        <v>0</v>
      </c>
      <c r="U265" s="396" t="str">
        <f>IF(+NFL!$F305="Indianapolis",+NFL!U305,IF(+NFL!$H305="Indianapolis",+NFL!U305,0))</f>
        <v>L</v>
      </c>
      <c r="V265" s="397" t="e">
        <f>IF(+NFL!#REF!="Indianapolis",+NFL!#REF!,IF(+NFL!#REF!="Indianapolis",+NFL!#REF!,0))</f>
        <v>#REF!</v>
      </c>
      <c r="W265" s="396" t="e">
        <f>IF(+NFL!#REF!="Indianapolis",+NFL!#REF!,IF(+NFL!#REF!="Indianapolis",+NFL!#REF!,0))</f>
        <v>#REF!</v>
      </c>
      <c r="X265" s="398" t="e">
        <f>IF(+NFL!#REF!="Indianapolis",+NFL!#REF!,IF(+NFL!#REF!="Indianapolis",+NFL!#REF!,0))</f>
        <v>#REF!</v>
      </c>
      <c r="Y265" s="396" t="e">
        <f>IF(+NFL!#REF!="Indianapolis",+NFL!#REF!,IF(+NFL!#REF!="Indianapolis",+NFL!#REF!,0))</f>
        <v>#REF!</v>
      </c>
      <c r="Z265" s="397" t="e">
        <f>IF(+NFL!#REF!="Indianapolis",+NFL!#REF!,IF(+NFL!#REF!="Indianapolis",+NFL!#REF!,0))</f>
        <v>#REF!</v>
      </c>
      <c r="AA265" s="396" t="e">
        <f>IF(+NFL!#REF!="Indianapolis",+NFL!#REF!,IF(+NFL!#REF!="Indianapolis",+NFL!#REF!,0))</f>
        <v>#REF!</v>
      </c>
      <c r="AB265" s="87" t="e">
        <f>IF(+NFL!#REF!="Indianapolis",+NFL!#REF!,IF(+NFL!#REF!="Indianapolis",+NFL!#REF!,0))</f>
        <v>#REF!</v>
      </c>
      <c r="AC265" s="120" t="e">
        <f>IF(+NFL!#REF!="Indianapolis",+NFL!#REF!,IF(+NFL!#REF!="Indianapolis",+NFL!#REF!,0))</f>
        <v>#REF!</v>
      </c>
      <c r="AD265" s="353" t="e">
        <f>IF(+NFL!#REF!="Indianapolis",+NFL!#REF!,IF(+NFL!#REF!="Indianapolis",+NFL!#REF!,0))</f>
        <v>#REF!</v>
      </c>
      <c r="AE265" s="379" t="e">
        <f>IF(+NFL!#REF!="Indianapolis",+NFL!#REF!,IF(+NFL!#REF!="Indianapolis",+NFL!#REF!,0))</f>
        <v>#REF!</v>
      </c>
      <c r="AF265" s="353" t="e">
        <f>IF(+NFL!#REF!="Indianapolis",+NFL!#REF!,IF(+NFL!#REF!="Indianapolis",+NFL!#REF!,0))</f>
        <v>#REF!</v>
      </c>
      <c r="AG265" s="379" t="e">
        <f>IF(+NFL!#REF!="Indianapolis",+NFL!#REF!,IF(+NFL!#REF!="Indianapolis",+NFL!#REF!,0))</f>
        <v>#REF!</v>
      </c>
      <c r="AH265" s="353" t="e">
        <f>IF(+NFL!#REF!="Indianapolis",+NFL!#REF!,IF(+NFL!#REF!="Indianapolis",+NFL!#REF!,0))</f>
        <v>#REF!</v>
      </c>
      <c r="AI265" s="379" t="e">
        <f>IF(+NFL!#REF!="Indianapolis",+NFL!#REF!,IF(+NFL!#REF!="Indianapolis",+NFL!#REF!,0))</f>
        <v>#REF!</v>
      </c>
      <c r="AJ265" s="353" t="e">
        <f>IF(+NFL!#REF!="Indianapolis",+NFL!#REF!,IF(+NFL!#REF!="Indianapolis",+NFL!#REF!,0))</f>
        <v>#REF!</v>
      </c>
      <c r="AK265" s="379" t="e">
        <f>IF(+NFL!#REF!="Indianapolis",+NFL!#REF!,IF(+NFL!#REF!="Indianapolis",+NFL!#REF!,0))</f>
        <v>#REF!</v>
      </c>
      <c r="AL265" s="69" t="e">
        <f>IF(+NFL!#REF!="Indianapolis",+NFL!#REF!,IF(+NFL!#REF!="Indianapolis",+NFL!#REF!,0))</f>
        <v>#REF!</v>
      </c>
      <c r="AM265" s="58" t="e">
        <f>IF(+NFL!#REF!="Indianapolis",+NFL!#REF!,IF(+NFL!#REF!="Indianapolis",+NFL!#REF!,0))</f>
        <v>#REF!</v>
      </c>
      <c r="AN265" s="70" t="e">
        <f>IF(+NFL!#REF!="Indianapolis",+NFL!#REF!,IF(+NFL!#REF!="Indianapolis",+NFL!#REF!,0))</f>
        <v>#REF!</v>
      </c>
      <c r="AO265" s="59" t="e">
        <f>IF(+NFL!#REF!="Indianapolis",+NFL!#REF!,IF(+NFL!#REF!="Indianapolis",+NFL!#REF!,0))</f>
        <v>#REF!</v>
      </c>
      <c r="AP265" s="348" t="e">
        <f>IF(+NFL!#REF!="Indianapolis",+NFL!#REF!,IF(+NFL!#REF!="Indianapolis",+NFL!#REF!,0))</f>
        <v>#REF!</v>
      </c>
      <c r="AQ265" s="48" t="e">
        <f>IF(+NFL!#REF!="Indianapolis",+NFL!#REF!,IF(+NFL!#REF!="Indianapolis",+NFL!#REF!,0))</f>
        <v>#REF!</v>
      </c>
      <c r="AR265" s="57" t="e">
        <f>IF(+NFL!#REF!="Indianapolis",+NFL!#REF!,IF(+NFL!#REF!="Indianapolis",+NFL!#REF!,0))</f>
        <v>#REF!</v>
      </c>
      <c r="AS265" s="64" t="e">
        <f>IF(+NFL!#REF!="Indianapolis",+NFL!#REF!,IF(+NFL!#REF!="Indianapolis",+NFL!#REF!,0))</f>
        <v>#REF!</v>
      </c>
      <c r="AT265" s="46" t="e">
        <f>IF(+NFL!#REF!="Indianapolis",+NFL!#REF!,IF(+NFL!#REF!="Indianapolis",+NFL!#REF!,0))</f>
        <v>#REF!</v>
      </c>
      <c r="AU265" s="57" t="e">
        <f>IF(+NFL!#REF!="Indianapolis",+NFL!#REF!,IF(+NFL!#REF!="Indianapolis",+NFL!#REF!,0))</f>
        <v>#REF!</v>
      </c>
      <c r="AV265" s="64" t="e">
        <f>IF(+NFL!#REF!="Indianapolis",+NFL!#REF!,IF(+NFL!#REF!="Indianapolis",+NFL!#REF!,0))</f>
        <v>#REF!</v>
      </c>
      <c r="AW265" s="46" t="e">
        <f>IF(+NFL!#REF!="Indianapolis",+NFL!#REF!,IF(+NFL!#REF!="Indianapolis",+NFL!#REF!,0))</f>
        <v>#REF!</v>
      </c>
      <c r="AX265" s="64" t="e">
        <f>IF(+NFL!#REF!="Indianapolis",+NFL!#REF!,IF(+NFL!#REF!="Indianapolis",+NFL!#REF!,0))</f>
        <v>#REF!</v>
      </c>
      <c r="AY265" s="57" t="e">
        <f>IF(+NFL!#REF!="Indianapolis",+NFL!#REF!,IF(+NFL!#REF!="Indianapolis",+NFL!#REF!,0))</f>
        <v>#REF!</v>
      </c>
      <c r="AZ265" s="64" t="e">
        <f>IF(+NFL!#REF!="Indianapolis",+NFL!#REF!,IF(+NFL!#REF!="Indianapolis",+NFL!#REF!,0))</f>
        <v>#REF!</v>
      </c>
      <c r="BA265" s="46" t="e">
        <f>IF(+NFL!#REF!="Indianapolis",+NFL!#REF!,IF(+NFL!#REF!="Indianapolis",+NFL!#REF!,0))</f>
        <v>#REF!</v>
      </c>
      <c r="BB265" s="46" t="e">
        <f>IF(+NFL!#REF!="Indianapolis",+NFL!#REF!,IF(+NFL!#REF!="Indianapolis",+NFL!#REF!,0))</f>
        <v>#REF!</v>
      </c>
      <c r="BC265" s="403" t="e">
        <f>IF(+NFL!#REF!="Indianapolis",+NFL!#REF!,IF(+NFL!#REF!="Indianapolis",+NFL!#REF!,0))</f>
        <v>#REF!</v>
      </c>
      <c r="BD265" s="57" t="e">
        <f>IF(+NFL!#REF!="Indianapolis",+NFL!#REF!,IF(+NFL!#REF!="Indianapolis",+NFL!#REF!,0))</f>
        <v>#REF!</v>
      </c>
      <c r="BE265" s="64" t="e">
        <f>IF(+NFL!#REF!="Indianapolis",+NFL!#REF!,IF(+NFL!#REF!="Indianapolis",+NFL!#REF!,0))</f>
        <v>#REF!</v>
      </c>
      <c r="BF265" s="46" t="e">
        <f>IF(+NFL!#REF!="Indianapolis",+NFL!#REF!,IF(+NFL!#REF!="Indianapolis",+NFL!#REF!,0))</f>
        <v>#REF!</v>
      </c>
      <c r="BG265" s="57" t="e">
        <f>IF(+NFL!#REF!="Indianapolis",+NFL!#REF!,IF(+NFL!#REF!="Indianapolis",+NFL!#REF!,0))</f>
        <v>#REF!</v>
      </c>
      <c r="BH265" s="64" t="e">
        <f>IF(+NFL!#REF!="Indianapolis",+NFL!#REF!,IF(+NFL!#REF!="Indianapolis",+NFL!#REF!,0))</f>
        <v>#REF!</v>
      </c>
      <c r="BI265" s="46" t="e">
        <f>IF(+NFL!#REF!="Indianapolis",+NFL!#REF!,IF(+NFL!#REF!="Indianapolis",+NFL!#REF!,0))</f>
        <v>#REF!</v>
      </c>
      <c r="BJ265" s="87" t="e">
        <f>IF(+NFL!#REF!="Indianapolis",+NFL!#REF!,IF(+NFL!#REF!="Indianapolis",+NFL!#REF!,0))</f>
        <v>#REF!</v>
      </c>
      <c r="BK265" s="120" t="e">
        <f>IF(+NFL!#REF!="Indianapolis",+NFL!#REF!,IF(+NFL!#REF!="Indianapolis",+NFL!#REF!,0))</f>
        <v>#REF!</v>
      </c>
    </row>
    <row r="266" spans="1:63" x14ac:dyDescent="0.8">
      <c r="A266" s="46">
        <f>IF(+NFL!$F322="Indianapolis",+NFL!A322,IF(+NFL!$H322="Indianapolis",+NFL!A322,0))</f>
        <v>18</v>
      </c>
      <c r="B266" s="348" t="str">
        <f>IF(+NFL!$F322="Indianapolis",+NFL!B322,IF(+NFL!$H322="Indianapolis",+NFL!B322,0))</f>
        <v>Sun</v>
      </c>
      <c r="C266" s="48">
        <f>IF(+NFL!$F322="Indianapolis",+NFL!C322,IF(+NFL!$H322="Indianapolis",+NFL!C322,0))</f>
        <v>44934</v>
      </c>
      <c r="D266" s="490">
        <f>IF(+NFL!$F322="Indianapolis",+NFL!D322,IF(+NFL!$H322="Indianapolis",+NFL!D322,0))</f>
        <v>0.54166666666666663</v>
      </c>
      <c r="E266" s="46" t="str">
        <f>IF(+NFL!$F322="Indianapolis",+NFL!E322,IF(+NFL!$H322="Indianapolis",+NFL!E322,0))</f>
        <v>CBS</v>
      </c>
      <c r="F266" s="127" t="str">
        <f>IF(+NFL!$F322="Indianapolis",+NFL!F322,IF(+NFL!$H322="Indianapolis",+NFL!F322,0))</f>
        <v>Houston</v>
      </c>
      <c r="G266" s="46" t="str">
        <f>IF(+NFL!$F322="Indianapolis",+NFL!G322,IF(+NFL!$H322="Indianapolis",+NFL!G322,0))</f>
        <v>AFCS</v>
      </c>
      <c r="H266" s="127" t="str">
        <f>IF(+NFL!$F322="Indianapolis",+NFL!H322,IF(+NFL!$H322="Indianapolis",+NFL!H322,0))</f>
        <v>Indianapolis</v>
      </c>
      <c r="I266" s="46" t="str">
        <f>IF(+NFL!$F322="Indianapolis",+NFL!I322,IF(+NFL!$H322="Indianapolis",+NFL!I322,0))</f>
        <v>AFCS</v>
      </c>
      <c r="J266" s="353" t="str">
        <f>IF(+NFL!$F322="Indianapolis",+NFL!J322,IF(+NFL!$H322="Indianapolis",+NFL!J322,0))</f>
        <v>Indianapolis</v>
      </c>
      <c r="K266" s="494" t="str">
        <f>IF(+NFL!$F322="Indianapolis",+NFL!K322,IF(+NFL!$H322="Indianapolis",+NFL!K322,0))</f>
        <v>Houston</v>
      </c>
      <c r="L266" s="384">
        <f>IF(+NFL!$F322="Indianapolis",+NFL!L322,IF(+NFL!$H322="Indianapolis",+NFL!L322,0))</f>
        <v>2.5</v>
      </c>
      <c r="M266" s="385">
        <f>IF(+NFL!$F322="Indianapolis",+NFL!M322,IF(+NFL!$H322="Indianapolis",+NFL!M322,0))</f>
        <v>38</v>
      </c>
      <c r="N266" s="394" t="str">
        <f>IF(+NFL!$F322="Indianapolis",+NFL!N322,IF(+NFL!$H322="Indianapolis",+NFL!N322,0))</f>
        <v>Houston</v>
      </c>
      <c r="O266" s="395">
        <f>IF(+NFL!$F322="Indianapolis",+NFL!O322,IF(+NFL!$H322="Indianapolis",+NFL!O322,0))</f>
        <v>32</v>
      </c>
      <c r="P266" s="394" t="str">
        <f>IF(+NFL!$F322="Indianapolis",+NFL!P322,IF(+NFL!$H322="Indianapolis",+NFL!P322,0))</f>
        <v>Indianapolis</v>
      </c>
      <c r="Q266" s="396">
        <f>IF(+NFL!$F322="Indianapolis",+NFL!Q322,IF(+NFL!$H322="Indianapolis",+NFL!Q322,0))</f>
        <v>31</v>
      </c>
      <c r="R266" s="397" t="str">
        <f>IF(+NFL!$F322="Indianapolis",+NFL!R322,IF(+NFL!$H322="Indianapolis",+NFL!R322,0))</f>
        <v>Houston</v>
      </c>
      <c r="S266" s="396" t="str">
        <f>IF(+NFL!$F322="Indianapolis",+NFL!S322,IF(+NFL!$H322="Indianapolis",+NFL!S322,0))</f>
        <v>Indianapolis</v>
      </c>
      <c r="T266" s="398" t="str">
        <f>IF(+NFL!$F322="Indianapolis",+NFL!T322,IF(+NFL!$H322="Indianapolis",+NFL!T322,0))</f>
        <v>Houston</v>
      </c>
      <c r="U266" s="396" t="str">
        <f>IF(+NFL!$F322="Indianapolis",+NFL!U322,IF(+NFL!$H322="Indianapolis",+NFL!U322,0))</f>
        <v>W</v>
      </c>
      <c r="V266" s="397">
        <f>IF(+NFL!$F320="Indianapolis",+NFL!#REF!,IF(+NFL!$H320="Indianapolis",+NFL!#REF!,0))</f>
        <v>0</v>
      </c>
      <c r="W266" s="396">
        <f>IF(+NFL!$F320="Indianapolis",+NFL!#REF!,IF(+NFL!$H320="Indianapolis",+NFL!#REF!,0))</f>
        <v>0</v>
      </c>
      <c r="X266" s="398">
        <f>IF(+NFL!$F320="Indianapolis",+NFL!#REF!,IF(+NFL!$H320="Indianapolis",+NFL!#REF!,0))</f>
        <v>0</v>
      </c>
      <c r="Y266" s="396">
        <f>IF(+NFL!$F320="Indianapolis",+NFL!#REF!,IF(+NFL!$H320="Indianapolis",+NFL!#REF!,0))</f>
        <v>0</v>
      </c>
      <c r="Z266" s="397">
        <f>IF(+NFL!$F320="Indianapolis",+NFL!#REF!,IF(+NFL!$H320="Indianapolis",+NFL!#REF!,0))</f>
        <v>0</v>
      </c>
      <c r="AA266" s="396">
        <f>IF(+NFL!$F320="Indianapolis",+NFL!#REF!,IF(+NFL!$H320="Indianapolis",+NFL!#REF!,0))</f>
        <v>0</v>
      </c>
      <c r="AB266" s="87">
        <f>IF(+NFL!$F320="Indianapolis",+NFL!#REF!,IF(+NFL!$H320="Indianapolis",+NFL!#REF!,0))</f>
        <v>0</v>
      </c>
      <c r="AC266" s="120">
        <f>IF(+NFL!$F320="Indianapolis",+NFL!#REF!,IF(+NFL!$H320="Indianapolis",+NFL!#REF!,0))</f>
        <v>0</v>
      </c>
      <c r="AD266" s="353">
        <f>IF(+NFL!$F320="Indianapolis",+NFL!#REF!,IF(+NFL!$H320="Indianapolis",+NFL!#REF!,0))</f>
        <v>0</v>
      </c>
      <c r="AE266" s="379">
        <f>IF(+NFL!$F320="Indianapolis",+NFL!#REF!,IF(+NFL!$H320="Indianapolis",+NFL!#REF!,0))</f>
        <v>0</v>
      </c>
      <c r="AF266" s="353">
        <f>IF(+NFL!$F320="Indianapolis",+NFL!#REF!,IF(+NFL!$H320="Indianapolis",+NFL!#REF!,0))</f>
        <v>0</v>
      </c>
      <c r="AG266" s="379">
        <f>IF(+NFL!$F320="Indianapolis",+NFL!#REF!,IF(+NFL!$H320="Indianapolis",+NFL!#REF!,0))</f>
        <v>0</v>
      </c>
      <c r="AH266" s="353">
        <f>IF(+NFL!$F320="Indianapolis",+NFL!#REF!,IF(+NFL!$H320="Indianapolis",+NFL!#REF!,0))</f>
        <v>0</v>
      </c>
      <c r="AI266" s="379">
        <f>IF(+NFL!$F320="Indianapolis",+NFL!#REF!,IF(+NFL!$H320="Indianapolis",+NFL!#REF!,0))</f>
        <v>0</v>
      </c>
      <c r="AJ266" s="353">
        <f>IF(+NFL!$F320="Indianapolis",+NFL!#REF!,IF(+NFL!$H320="Indianapolis",+NFL!#REF!,0))</f>
        <v>0</v>
      </c>
      <c r="AK266" s="379">
        <f>IF(+NFL!$F320="Indianapolis",+NFL!#REF!,IF(+NFL!$H320="Indianapolis",+NFL!#REF!,0))</f>
        <v>0</v>
      </c>
      <c r="AL266" s="69">
        <f>IF(+NFL!$F320="Indianapolis",+NFL!#REF!,IF(+NFL!$H320="Indianapolis",+NFL!#REF!,0))</f>
        <v>0</v>
      </c>
      <c r="AM266" s="58">
        <f>IF(+NFL!$F320="Indianapolis",+NFL!#REF!,IF(+NFL!$H320="Indianapolis",+NFL!#REF!,0))</f>
        <v>0</v>
      </c>
      <c r="AN266" s="70">
        <f>IF(+NFL!$F320="Indianapolis",+NFL!#REF!,IF(+NFL!$H320="Indianapolis",+NFL!#REF!,0))</f>
        <v>0</v>
      </c>
      <c r="AO266" s="59">
        <f>IF(+NFL!$F320="Indianapolis",+NFL!#REF!,IF(+NFL!$H320="Indianapolis",+NFL!#REF!,0))</f>
        <v>0</v>
      </c>
      <c r="AP266" s="348">
        <f>IF(+NFL!$F320="Indianapolis",+NFL!#REF!,IF(+NFL!$H320="Indianapolis",+NFL!#REF!,0))</f>
        <v>0</v>
      </c>
      <c r="AQ266" s="48">
        <f>IF(+NFL!$F320="Indianapolis",+NFL!#REF!,IF(+NFL!$H320="Indianapolis",+NFL!#REF!,0))</f>
        <v>0</v>
      </c>
      <c r="AR266" s="57">
        <f>IF(+NFL!$F320="Indianapolis",+NFL!#REF!,IF(+NFL!$H320="Indianapolis",+NFL!#REF!,0))</f>
        <v>0</v>
      </c>
      <c r="AS266" s="64">
        <f>IF(+NFL!$F320="Indianapolis",+NFL!#REF!,IF(+NFL!$H320="Indianapolis",+NFL!#REF!,0))</f>
        <v>0</v>
      </c>
      <c r="AT266" s="46">
        <f>IF(+NFL!$F320="Indianapolis",+NFL!#REF!,IF(+NFL!$H320="Indianapolis",+NFL!#REF!,0))</f>
        <v>0</v>
      </c>
      <c r="AU266" s="57">
        <f>IF(+NFL!$F320="Indianapolis",+NFL!#REF!,IF(+NFL!$H320="Indianapolis",+NFL!#REF!,0))</f>
        <v>0</v>
      </c>
      <c r="AV266" s="64">
        <f>IF(+NFL!$F320="Indianapolis",+NFL!#REF!,IF(+NFL!$H320="Indianapolis",+NFL!#REF!,0))</f>
        <v>0</v>
      </c>
      <c r="AW266" s="46">
        <f>IF(+NFL!$F320="Indianapolis",+NFL!#REF!,IF(+NFL!$H320="Indianapolis",+NFL!#REF!,0))</f>
        <v>0</v>
      </c>
      <c r="AX266" s="64">
        <f>IF(+NFL!$F320="Indianapolis",+NFL!#REF!,IF(+NFL!$H320="Indianapolis",+NFL!#REF!,0))</f>
        <v>0</v>
      </c>
      <c r="AY266" s="57">
        <f>IF(+NFL!$F320="Indianapolis",+NFL!#REF!,IF(+NFL!$H320="Indianapolis",+NFL!#REF!,0))</f>
        <v>0</v>
      </c>
      <c r="AZ266" s="64">
        <f>IF(+NFL!$F320="Indianapolis",+NFL!#REF!,IF(+NFL!$H320="Indianapolis",+NFL!#REF!,0))</f>
        <v>0</v>
      </c>
      <c r="BA266" s="46">
        <f>IF(+NFL!$F320="Indianapolis",+NFL!#REF!,IF(+NFL!$H320="Indianapolis",+NFL!#REF!,0))</f>
        <v>0</v>
      </c>
      <c r="BB266" s="46">
        <f>IF(+NFL!$F320="Indianapolis",+NFL!#REF!,IF(+NFL!$H320="Indianapolis",+NFL!#REF!,0))</f>
        <v>0</v>
      </c>
      <c r="BC266" s="403">
        <f>IF(+NFL!$F320="Indianapolis",+NFL!#REF!,IF(+NFL!$H320="Indianapolis",+NFL!#REF!,0))</f>
        <v>0</v>
      </c>
      <c r="BD266" s="57">
        <f>IF(+NFL!$F320="Indianapolis",+NFL!#REF!,IF(+NFL!$H320="Indianapolis",+NFL!#REF!,0))</f>
        <v>0</v>
      </c>
      <c r="BE266" s="64">
        <f>IF(+NFL!$F320="Indianapolis",+NFL!#REF!,IF(+NFL!$H320="Indianapolis",+NFL!#REF!,0))</f>
        <v>0</v>
      </c>
      <c r="BF266" s="46">
        <f>IF(+NFL!$F320="Indianapolis",+NFL!#REF!,IF(+NFL!$H320="Indianapolis",+NFL!#REF!,0))</f>
        <v>0</v>
      </c>
      <c r="BG266" s="57">
        <f>IF(+NFL!$F320="Indianapolis",+NFL!#REF!,IF(+NFL!$H320="Indianapolis",+NFL!#REF!,0))</f>
        <v>0</v>
      </c>
      <c r="BH266" s="64">
        <f>IF(+NFL!$F320="Indianapolis",+NFL!#REF!,IF(+NFL!$H320="Indianapolis",+NFL!#REF!,0))</f>
        <v>0</v>
      </c>
      <c r="BI266" s="46">
        <f>IF(+NFL!$F320="Indianapolis",+NFL!#REF!,IF(+NFL!$H320="Indianapolis",+NFL!#REF!,0))</f>
        <v>0</v>
      </c>
      <c r="BJ266" s="87">
        <f>IF(+NFL!$F320="Indianapolis",+NFL!#REF!,IF(+NFL!$H320="Indianapolis",+NFL!#REF!,0))</f>
        <v>0</v>
      </c>
      <c r="BK266" s="120">
        <f>IF(+NFL!$F320="Indianapolis",+NFL!#REF!,IF(+NFL!$H320="Indianapolis",+NFL!#REF!,0))</f>
        <v>0</v>
      </c>
    </row>
    <row r="267" spans="1:63" x14ac:dyDescent="0.8">
      <c r="F267" s="959" t="str">
        <f>F268</f>
        <v>Jacksonville</v>
      </c>
      <c r="G267" s="960"/>
      <c r="H267" s="960"/>
      <c r="I267" s="961"/>
      <c r="L267" s="384"/>
      <c r="M267" s="385"/>
      <c r="N267" s="394"/>
      <c r="P267" s="394"/>
      <c r="R267" s="397"/>
      <c r="S267" s="396"/>
      <c r="T267" s="398"/>
      <c r="X267" s="398"/>
      <c r="AL267" s="68"/>
      <c r="AY267" s="57"/>
      <c r="AZ267" s="64"/>
      <c r="BA267" s="46"/>
      <c r="BB267" s="46"/>
      <c r="BF267" s="46"/>
    </row>
    <row r="268" spans="1:63" x14ac:dyDescent="0.8">
      <c r="A268" s="46">
        <f>IF(+NFL!$F11="Jacksonville",+NFL!A11,IF(+NFL!$H11="Jacksonville",+NFL!A11,0))</f>
        <v>1</v>
      </c>
      <c r="B268" s="348" t="str">
        <f>IF(+NFL!$F11="Jacksonville",+NFL!B11,IF(+NFL!$H11="Jacksonville",+NFL!B11,0))</f>
        <v>Sun</v>
      </c>
      <c r="C268" s="48">
        <f>IF(+NFL!$F11="Jacksonville",+NFL!C11,IF(+NFL!$H11="Jacksonville",+NFL!C11,0))</f>
        <v>44815</v>
      </c>
      <c r="D268" s="490">
        <f>IF(+NFL!$F11="Jacksonville",+NFL!D11,IF(+NFL!$H11="Jacksonville",+NFL!D11,0))</f>
        <v>0.54166666666666663</v>
      </c>
      <c r="E268" s="46" t="str">
        <f>IF(+NFL!$F11="Jacksonville",+NFL!E11,IF(+NFL!$H11="Jacksonville",+NFL!E11,0))</f>
        <v>CBS</v>
      </c>
      <c r="F268" s="114" t="str">
        <f>IF(+NFL!$F11="Jacksonville",+NFL!F11,IF(+NFL!$H11="Jacksonville",+NFL!F11,0))</f>
        <v>Jacksonville</v>
      </c>
      <c r="G268" s="46" t="str">
        <f>IF(+NFL!$F11="Jacksonville",+NFL!G11,IF(+NFL!$H11="Jacksonville",+NFL!G11,0))</f>
        <v>AFCS</v>
      </c>
      <c r="H268" s="114" t="str">
        <f>IF(+NFL!$F11="Jacksonville",+NFL!H11,IF(+NFL!$H11="Jacksonville",+NFL!H11,0))</f>
        <v>Washington</v>
      </c>
      <c r="I268" s="46" t="str">
        <f>IF(+NFL!$F11="Jacksonville",+NFL!I11,IF(+NFL!$H11="Jacksonville",+NFL!I11,0))</f>
        <v>NFCE</v>
      </c>
      <c r="J268" s="353" t="str">
        <f>IF(+NFL!$F11="Jacksonville",+NFL!J11,IF(+NFL!$H11="Jacksonville",+NFL!J11,0))</f>
        <v>Washington</v>
      </c>
      <c r="K268" s="494" t="str">
        <f>IF(+NFL!$F11="Jacksonville",+NFL!K11,IF(+NFL!$H11="Jacksonville",+NFL!K11,0))</f>
        <v>Jacksonville</v>
      </c>
      <c r="L268" s="384">
        <f>IF(+NFL!$F11="Jacksonville",+NFL!L11,IF(+NFL!$H11="Jacksonville",+NFL!L11,0))</f>
        <v>2.5</v>
      </c>
      <c r="M268" s="385">
        <f>IF(+NFL!$F11="Jacksonville",+NFL!M11,IF(+NFL!$H11="Jacksonville",+NFL!M11,0))</f>
        <v>44</v>
      </c>
      <c r="N268" s="394" t="str">
        <f>IF(+NFL!$F11="Jacksonville",+NFL!N11,IF(+NFL!$H11="Jacksonville",+NFL!N11,0))</f>
        <v>Washington</v>
      </c>
      <c r="O268" s="395">
        <f>IF(+NFL!$F11="Jacksonville",+NFL!O11,IF(+NFL!$H11="Jacksonville",+NFL!O11,0))</f>
        <v>28</v>
      </c>
      <c r="P268" s="394" t="str">
        <f>IF(+NFL!$F11="Jacksonville",+NFL!P11,IF(+NFL!$H11="Jacksonville",+NFL!P11,0))</f>
        <v>Jacksonville</v>
      </c>
      <c r="Q268" s="396">
        <f>IF(+NFL!$F11="Jacksonville",+NFL!Q11,IF(+NFL!$H11="Jacksonville",+NFL!Q11,0))</f>
        <v>22</v>
      </c>
      <c r="R268" s="397" t="str">
        <f>IF(+NFL!$F11="Jacksonville",+NFL!R11,IF(+NFL!$H11="Jacksonville",+NFL!R11,0))</f>
        <v>Washington</v>
      </c>
      <c r="S268" s="396" t="str">
        <f>IF(+NFL!$F11="Jacksonville",+NFL!S11,IF(+NFL!$H11="Jacksonville",+NFL!S11,0))</f>
        <v>Jacksonville</v>
      </c>
      <c r="T268" s="398" t="str">
        <f>IF(+NFL!$F11="Jacksonville",+NFL!T11,IF(+NFL!$H11="Jacksonville",+NFL!T11,0))</f>
        <v>Jacksonville</v>
      </c>
      <c r="U268" s="396" t="str">
        <f>IF(+NFL!$F11="Jacksonville",+NFL!U11,IF(+NFL!$H11="Jacksonville",+NFL!U11,0))</f>
        <v>L</v>
      </c>
      <c r="X268" s="398"/>
      <c r="AL268" s="69"/>
      <c r="AN268" s="70"/>
      <c r="AP268" s="348"/>
      <c r="AQ268" s="48"/>
      <c r="AS268" s="493"/>
      <c r="AT268" s="493"/>
      <c r="AV268" s="493"/>
      <c r="AX268" s="493"/>
      <c r="AY268" s="57"/>
      <c r="AZ268" s="493"/>
      <c r="BA268" s="46"/>
      <c r="BB268" s="46"/>
      <c r="BC268" s="403"/>
      <c r="BE268" s="493"/>
      <c r="BF268" s="46"/>
      <c r="BH268" s="493"/>
    </row>
    <row r="269" spans="1:63" x14ac:dyDescent="0.8">
      <c r="A269" s="46">
        <f>IF(+NFL!$F27="Jacksonville",+NFL!A27,IF(+NFL!$H27="Jacksonville",+NFL!A27,0))</f>
        <v>2</v>
      </c>
      <c r="B269" s="348" t="str">
        <f>IF(+NFL!$F27="Jacksonville",+NFL!B27,IF(+NFL!$H27="Jacksonville",+NFL!B27,0))</f>
        <v>Sun</v>
      </c>
      <c r="C269" s="48">
        <f>IF(+NFL!$F27="Jacksonville",+NFL!C27,IF(+NFL!$H27="Jacksonville",+NFL!C27,0))</f>
        <v>44822</v>
      </c>
      <c r="D269" s="490">
        <f>IF(+NFL!$F27="Jacksonville",+NFL!D27,IF(+NFL!$H27="Jacksonville",+NFL!D27,0))</f>
        <v>0.54166666666666663</v>
      </c>
      <c r="E269" s="46" t="str">
        <f>IF(+NFL!$F27="Jacksonville",+NFL!E27,IF(+NFL!$H27="Jacksonville",+NFL!E27,0))</f>
        <v>CBS</v>
      </c>
      <c r="F269" s="114" t="str">
        <f>IF(+NFL!$F27="Jacksonville",+NFL!F27,IF(+NFL!$H27="Jacksonville",+NFL!F27,0))</f>
        <v>Indianapolis</v>
      </c>
      <c r="G269" s="46" t="str">
        <f>IF(+NFL!$F27="Jacksonville",+NFL!G27,IF(+NFL!$H27="Jacksonville",+NFL!G27,0))</f>
        <v>AFCS</v>
      </c>
      <c r="H269" s="114" t="str">
        <f>IF(+NFL!$F27="Jacksonville",+NFL!H27,IF(+NFL!$H27="Jacksonville",+NFL!H27,0))</f>
        <v>Jacksonville</v>
      </c>
      <c r="I269" s="46" t="str">
        <f>IF(+NFL!$F27="Jacksonville",+NFL!I27,IF(+NFL!$H27="Jacksonville",+NFL!I27,0))</f>
        <v>AFCS</v>
      </c>
      <c r="J269" s="353" t="str">
        <f>IF(+NFL!$F27="Jacksonville",+NFL!J27,IF(+NFL!$H27="Jacksonville",+NFL!J27,0))</f>
        <v>Indianapolis</v>
      </c>
      <c r="K269" s="494" t="str">
        <f>IF(+NFL!$F27="Jacksonville",+NFL!K27,IF(+NFL!$H27="Jacksonville",+NFL!K27,0))</f>
        <v>Jacksonville</v>
      </c>
      <c r="L269" s="384">
        <f>IF(+NFL!$F27="Jacksonville",+NFL!L27,IF(+NFL!$H27="Jacksonville",+NFL!L27,0))</f>
        <v>4</v>
      </c>
      <c r="M269" s="385">
        <f>IF(+NFL!$F27="Jacksonville",+NFL!M27,IF(+NFL!$H27="Jacksonville",+NFL!M27,0))</f>
        <v>46.5</v>
      </c>
      <c r="N269" s="394" t="str">
        <f>IF(+NFL!$F27="Jacksonville",+NFL!N27,IF(+NFL!$H27="Jacksonville",+NFL!N27,0))</f>
        <v>Jacksonville</v>
      </c>
      <c r="O269" s="395">
        <f>IF(+NFL!$F27="Jacksonville",+NFL!O27,IF(+NFL!$H27="Jacksonville",+NFL!O27,0))</f>
        <v>24</v>
      </c>
      <c r="P269" s="394" t="str">
        <f>IF(+NFL!$F27="Jacksonville",+NFL!P27,IF(+NFL!$H27="Jacksonville",+NFL!P27,0))</f>
        <v>Indianapolis</v>
      </c>
      <c r="Q269" s="396">
        <f>IF(+NFL!$F27="Jacksonville",+NFL!Q27,IF(+NFL!$H27="Jacksonville",+NFL!Q27,0))</f>
        <v>0</v>
      </c>
      <c r="R269" s="397" t="str">
        <f>IF(+NFL!$F27="Jacksonville",+NFL!R27,IF(+NFL!$H27="Jacksonville",+NFL!R27,0))</f>
        <v>Jacksonville</v>
      </c>
      <c r="S269" s="396" t="str">
        <f>IF(+NFL!$F27="Jacksonville",+NFL!S27,IF(+NFL!$H27="Jacksonville",+NFL!S27,0))</f>
        <v>Indianapolis</v>
      </c>
      <c r="T269" s="398" t="str">
        <f>IF(+NFL!$F27="Jacksonville",+NFL!T27,IF(+NFL!$H27="Jacksonville",+NFL!T27,0))</f>
        <v>Jacksonville</v>
      </c>
      <c r="U269" s="396" t="str">
        <f>IF(+NFL!$F27="Jacksonville",+NFL!U27,IF(+NFL!$H27="Jacksonville",+NFL!U27,0))</f>
        <v>W</v>
      </c>
      <c r="X269" s="398"/>
      <c r="AL269" s="69"/>
      <c r="AN269" s="70"/>
      <c r="AP269" s="348"/>
      <c r="AQ269" s="48"/>
      <c r="AS269" s="493"/>
      <c r="AT269" s="493"/>
      <c r="AV269" s="493"/>
      <c r="AX269" s="493"/>
      <c r="AY269" s="57"/>
      <c r="AZ269" s="493"/>
      <c r="BA269" s="46"/>
      <c r="BB269" s="46"/>
      <c r="BC269" s="403"/>
      <c r="BE269" s="493"/>
      <c r="BF269" s="46"/>
      <c r="BH269" s="493"/>
    </row>
    <row r="270" spans="1:63" x14ac:dyDescent="0.8">
      <c r="A270" s="46">
        <f>IF(+NFL!$F48="Jacksonville",+NFL!A48,IF(+NFL!$H48="Jacksonville",+NFL!A48,0))</f>
        <v>3</v>
      </c>
      <c r="B270" s="348" t="str">
        <f>IF(+NFL!$F48="Jacksonville",+NFL!B48,IF(+NFL!$H48="Jacksonville",+NFL!B48,0))</f>
        <v>Sun</v>
      </c>
      <c r="C270" s="48">
        <f>IF(+NFL!$F48="Jacksonville",+NFL!C48,IF(+NFL!$H48="Jacksonville",+NFL!C48,0))</f>
        <v>44829</v>
      </c>
      <c r="D270" s="490">
        <f>IF(+NFL!$F48="Jacksonville",+NFL!D48,IF(+NFL!$H48="Jacksonville",+NFL!D48,0))</f>
        <v>0.66666666666666663</v>
      </c>
      <c r="E270" s="46" t="str">
        <f>IF(+NFL!$F48="Jacksonville",+NFL!E48,IF(+NFL!$H48="Jacksonville",+NFL!E48,0))</f>
        <v>CBS</v>
      </c>
      <c r="F270" s="114" t="str">
        <f>IF(+NFL!$F48="Jacksonville",+NFL!F48,IF(+NFL!$H48="Jacksonville",+NFL!F48,0))</f>
        <v>Jacksonville</v>
      </c>
      <c r="G270" s="46" t="str">
        <f>IF(+NFL!$F48="Jacksonville",+NFL!G48,IF(+NFL!$H48="Jacksonville",+NFL!G48,0))</f>
        <v>AFCS</v>
      </c>
      <c r="H270" s="114" t="str">
        <f>IF(+NFL!$F48="Jacksonville",+NFL!H48,IF(+NFL!$H48="Jacksonville",+NFL!H48,0))</f>
        <v>LA Chargers</v>
      </c>
      <c r="I270" s="46" t="str">
        <f>IF(+NFL!$F48="Jacksonville",+NFL!I48,IF(+NFL!$H48="Jacksonville",+NFL!I48,0))</f>
        <v>AFCW</v>
      </c>
      <c r="J270" s="353" t="str">
        <f>IF(+NFL!$F48="Jacksonville",+NFL!J48,IF(+NFL!$H48="Jacksonville",+NFL!J48,0))</f>
        <v>LA Chargers</v>
      </c>
      <c r="K270" s="494" t="str">
        <f>IF(+NFL!$F48="Jacksonville",+NFL!K48,IF(+NFL!$H48="Jacksonville",+NFL!K48,0))</f>
        <v>Jacksonville</v>
      </c>
      <c r="L270" s="384">
        <f>IF(+NFL!$F48="Jacksonville",+NFL!L48,IF(+NFL!$H48="Jacksonville",+NFL!L48,0))</f>
        <v>7</v>
      </c>
      <c r="M270" s="385">
        <f>IF(+NFL!$F48="Jacksonville",+NFL!M48,IF(+NFL!$H48="Jacksonville",+NFL!M48,0))</f>
        <v>48</v>
      </c>
      <c r="N270" s="394" t="str">
        <f>IF(+NFL!$F48="Jacksonville",+NFL!N48,IF(+NFL!$H48="Jacksonville",+NFL!N48,0))</f>
        <v>LA Chargers</v>
      </c>
      <c r="O270" s="395">
        <f>IF(+NFL!$F48="Jacksonville",+NFL!O48,IF(+NFL!$H48="Jacksonville",+NFL!O48,0))</f>
        <v>38</v>
      </c>
      <c r="P270" s="394" t="str">
        <f>IF(+NFL!$F48="Jacksonville",+NFL!P48,IF(+NFL!$H48="Jacksonville",+NFL!P48,0))</f>
        <v>Jacksonville</v>
      </c>
      <c r="Q270" s="396">
        <f>IF(+NFL!$F48="Jacksonville",+NFL!Q48,IF(+NFL!$H48="Jacksonville",+NFL!Q48,0))</f>
        <v>10</v>
      </c>
      <c r="R270" s="397" t="str">
        <f>IF(+NFL!$F48="Jacksonville",+NFL!R48,IF(+NFL!$H48="Jacksonville",+NFL!R48,0))</f>
        <v>LA Chargers</v>
      </c>
      <c r="S270" s="396" t="str">
        <f>IF(+NFL!$F48="Jacksonville",+NFL!S48,IF(+NFL!$H48="Jacksonville",+NFL!S48,0))</f>
        <v>Jacksonville</v>
      </c>
      <c r="T270" s="398" t="str">
        <f>IF(+NFL!$F48="Jacksonville",+NFL!T48,IF(+NFL!$H48="Jacksonville",+NFL!T48,0))</f>
        <v>Jacksonville</v>
      </c>
      <c r="U270" s="396" t="str">
        <f>IF(+NFL!$F48="Jacksonville",+NFL!U48,IF(+NFL!$H48="Jacksonville",+NFL!U48,0))</f>
        <v>L</v>
      </c>
      <c r="X270" s="398"/>
      <c r="AL270" s="69"/>
      <c r="AN270" s="70"/>
      <c r="AP270" s="348"/>
      <c r="AQ270" s="48"/>
      <c r="AY270" s="57"/>
      <c r="AZ270" s="64"/>
      <c r="BA270" s="46"/>
      <c r="BB270" s="46"/>
      <c r="BC270" s="403"/>
      <c r="BF270" s="46"/>
    </row>
    <row r="271" spans="1:63" x14ac:dyDescent="0.8">
      <c r="A271" s="46">
        <f>IF(+NFL!$F62="Jacksonville",+NFL!A62,IF(+NFL!$H62="Jacksonville",+NFL!A62,0))</f>
        <v>4</v>
      </c>
      <c r="B271" s="348" t="str">
        <f>IF(+NFL!$F62="Jacksonville",+NFL!B62,IF(+NFL!$H62="Jacksonville",+NFL!B62,0))</f>
        <v>Sun</v>
      </c>
      <c r="C271" s="48">
        <f>IF(+NFL!$F62="Jacksonville",+NFL!C62,IF(+NFL!$H62="Jacksonville",+NFL!C62,0))</f>
        <v>44836</v>
      </c>
      <c r="D271" s="490">
        <f>IF(+NFL!$F62="Jacksonville",+NFL!D62,IF(+NFL!$H62="Jacksonville",+NFL!D62,0))</f>
        <v>0.54166666666666663</v>
      </c>
      <c r="E271" s="46" t="str">
        <f>IF(+NFL!$F62="Jacksonville",+NFL!E62,IF(+NFL!$H62="Jacksonville",+NFL!E62,0))</f>
        <v>CBS</v>
      </c>
      <c r="F271" s="114" t="str">
        <f>IF(+NFL!$F62="Jacksonville",+NFL!F62,IF(+NFL!$H62="Jacksonville",+NFL!F62,0))</f>
        <v>Jacksonville</v>
      </c>
      <c r="G271" s="46" t="str">
        <f>IF(+NFL!$F62="Jacksonville",+NFL!G62,IF(+NFL!$H62="Jacksonville",+NFL!G62,0))</f>
        <v>AFCS</v>
      </c>
      <c r="H271" s="114" t="str">
        <f>IF(+NFL!$F62="Jacksonville",+NFL!H62,IF(+NFL!$H62="Jacksonville",+NFL!H62,0))</f>
        <v>Philadelphia</v>
      </c>
      <c r="I271" s="46" t="str">
        <f>IF(+NFL!$F62="Jacksonville",+NFL!I62,IF(+NFL!$H62="Jacksonville",+NFL!I62,0))</f>
        <v>NFCE</v>
      </c>
      <c r="J271" s="353" t="str">
        <f>IF(+NFL!$F62="Jacksonville",+NFL!J62,IF(+NFL!$H62="Jacksonville",+NFL!J62,0))</f>
        <v>Philadelphia</v>
      </c>
      <c r="K271" s="494" t="str">
        <f>IF(+NFL!$F62="Jacksonville",+NFL!K62,IF(+NFL!$H62="Jacksonville",+NFL!K62,0))</f>
        <v>Jacksonville</v>
      </c>
      <c r="L271" s="384">
        <f>IF(+NFL!$F62="Jacksonville",+NFL!L62,IF(+NFL!$H62="Jacksonville",+NFL!L62,0))</f>
        <v>6.5</v>
      </c>
      <c r="M271" s="385">
        <f>IF(+NFL!$F62="Jacksonville",+NFL!M62,IF(+NFL!$H62="Jacksonville",+NFL!M62,0))</f>
        <v>48</v>
      </c>
      <c r="N271" s="394" t="str">
        <f>IF(+NFL!$F62="Jacksonville",+NFL!N62,IF(+NFL!$H62="Jacksonville",+NFL!N62,0))</f>
        <v>Philadelphia</v>
      </c>
      <c r="O271" s="395">
        <f>IF(+NFL!$F62="Jacksonville",+NFL!O62,IF(+NFL!$H62="Jacksonville",+NFL!O62,0))</f>
        <v>29</v>
      </c>
      <c r="P271" s="394" t="str">
        <f>IF(+NFL!$F62="Jacksonville",+NFL!P62,IF(+NFL!$H62="Jacksonville",+NFL!P62,0))</f>
        <v>Jacksonville</v>
      </c>
      <c r="Q271" s="396">
        <f>IF(+NFL!$F62="Jacksonville",+NFL!Q62,IF(+NFL!$H62="Jacksonville",+NFL!Q62,0))</f>
        <v>21</v>
      </c>
      <c r="R271" s="397" t="str">
        <f>IF(+NFL!$F62="Jacksonville",+NFL!R62,IF(+NFL!$H62="Jacksonville",+NFL!R62,0))</f>
        <v>Philadelphia</v>
      </c>
      <c r="S271" s="396" t="str">
        <f>IF(+NFL!$F62="Jacksonville",+NFL!S62,IF(+NFL!$H62="Jacksonville",+NFL!S62,0))</f>
        <v>Jacksonville</v>
      </c>
      <c r="T271" s="398" t="str">
        <f>IF(+NFL!$F62="Jacksonville",+NFL!T62,IF(+NFL!$H62="Jacksonville",+NFL!T62,0))</f>
        <v>Philadelphia</v>
      </c>
      <c r="U271" s="396" t="str">
        <f>IF(+NFL!$F62="Jacksonville",+NFL!U62,IF(+NFL!$H62="Jacksonville",+NFL!U62,0))</f>
        <v>W</v>
      </c>
      <c r="V271" s="397">
        <f>IF(+NFL!$F37="Jacksonville",+NFL!#REF!,IF(+NFL!$H37="Jacksonville",+NFL!#REF!,0))</f>
        <v>0</v>
      </c>
      <c r="W271" s="396">
        <f>IF(+NFL!$F37="Jacksonville",+NFL!#REF!,IF(+NFL!$H37="Jacksonville",+NFL!#REF!,0))</f>
        <v>0</v>
      </c>
      <c r="X271" s="398">
        <f>IF(+NFL!$F37="Jacksonville",+NFL!#REF!,IF(+NFL!$H37="Jacksonville",+NFL!#REF!,0))</f>
        <v>0</v>
      </c>
      <c r="Y271" s="396">
        <f>IF(+NFL!$F37="Jacksonville",+NFL!#REF!,IF(+NFL!$H37="Jacksonville",+NFL!#REF!,0))</f>
        <v>0</v>
      </c>
      <c r="Z271" s="397">
        <f>IF(+NFL!$F37="Jacksonville",+NFL!#REF!,IF(+NFL!$H37="Jacksonville",+NFL!#REF!,0))</f>
        <v>0</v>
      </c>
      <c r="AA271" s="396">
        <f>IF(+NFL!$F37="Jacksonville",+NFL!#REF!,IF(+NFL!$H37="Jacksonville",+NFL!#REF!,0))</f>
        <v>0</v>
      </c>
      <c r="AB271" s="87">
        <f>IF(+NFL!$F37="Jacksonville",+NFL!#REF!,IF(+NFL!$H37="Jacksonville",+NFL!#REF!,0))</f>
        <v>0</v>
      </c>
      <c r="AC271" s="120">
        <f>IF(+NFL!$F37="Jacksonville",+NFL!#REF!,IF(+NFL!$H37="Jacksonville",+NFL!#REF!,0))</f>
        <v>0</v>
      </c>
      <c r="AD271" s="353">
        <f>IF(+NFL!$F37="Jacksonville",+NFL!#REF!,IF(+NFL!$H37="Jacksonville",+NFL!#REF!,0))</f>
        <v>0</v>
      </c>
      <c r="AE271" s="379">
        <f>IF(+NFL!$F37="Jacksonville",+NFL!#REF!,IF(+NFL!$H37="Jacksonville",+NFL!#REF!,0))</f>
        <v>0</v>
      </c>
      <c r="AF271" s="353">
        <f>IF(+NFL!$F37="Jacksonville",+NFL!#REF!,IF(+NFL!$H37="Jacksonville",+NFL!#REF!,0))</f>
        <v>0</v>
      </c>
      <c r="AG271" s="379">
        <f>IF(+NFL!$F37="Jacksonville",+NFL!#REF!,IF(+NFL!$H37="Jacksonville",+NFL!#REF!,0))</f>
        <v>0</v>
      </c>
      <c r="AH271" s="353">
        <f>IF(+NFL!$F37="Jacksonville",+NFL!#REF!,IF(+NFL!$H37="Jacksonville",+NFL!#REF!,0))</f>
        <v>0</v>
      </c>
      <c r="AI271" s="379">
        <f>IF(+NFL!$F37="Jacksonville",+NFL!#REF!,IF(+NFL!$H37="Jacksonville",+NFL!#REF!,0))</f>
        <v>0</v>
      </c>
      <c r="AJ271" s="353">
        <f>IF(+NFL!$F37="Jacksonville",+NFL!#REF!,IF(+NFL!$H37="Jacksonville",+NFL!#REF!,0))</f>
        <v>0</v>
      </c>
      <c r="AK271" s="379">
        <f>IF(+NFL!$F37="Jacksonville",+NFL!#REF!,IF(+NFL!$H37="Jacksonville",+NFL!#REF!,0))</f>
        <v>0</v>
      </c>
      <c r="AL271" s="69">
        <f>IF(+NFL!$F37="Jacksonville",+NFL!#REF!,IF(+NFL!$H37="Jacksonville",+NFL!#REF!,0))</f>
        <v>0</v>
      </c>
      <c r="AM271" s="58">
        <f>IF(+NFL!$F37="Jacksonville",+NFL!#REF!,IF(+NFL!$H37="Jacksonville",+NFL!#REF!,0))</f>
        <v>0</v>
      </c>
      <c r="AN271" s="70">
        <f>IF(+NFL!$F37="Jacksonville",+NFL!#REF!,IF(+NFL!$H37="Jacksonville",+NFL!#REF!,0))</f>
        <v>0</v>
      </c>
      <c r="AO271" s="59">
        <f>IF(+NFL!$F37="Jacksonville",+NFL!#REF!,IF(+NFL!$H37="Jacksonville",+NFL!#REF!,0))</f>
        <v>0</v>
      </c>
      <c r="AP271" s="348">
        <f>IF(+NFL!$F37="Jacksonville",+NFL!#REF!,IF(+NFL!$H37="Jacksonville",+NFL!#REF!,0))</f>
        <v>0</v>
      </c>
      <c r="AQ271" s="48">
        <f>IF(+NFL!$F37="Jacksonville",+NFL!#REF!,IF(+NFL!$H37="Jacksonville",+NFL!#REF!,0))</f>
        <v>0</v>
      </c>
      <c r="AR271" s="57">
        <f>IF(+NFL!$F37="Jacksonville",+NFL!#REF!,IF(+NFL!$H37="Jacksonville",+NFL!#REF!,0))</f>
        <v>0</v>
      </c>
      <c r="AS271" s="64">
        <f>IF(+NFL!$F37="Jacksonville",+NFL!#REF!,IF(+NFL!$H37="Jacksonville",+NFL!#REF!,0))</f>
        <v>0</v>
      </c>
      <c r="AT271" s="64">
        <f>IF(+NFL!$F37="Jacksonville",+NFL!#REF!,IF(+NFL!$H37="Jacksonville",+NFL!#REF!,0))</f>
        <v>0</v>
      </c>
      <c r="AU271" s="57">
        <f>IF(+NFL!$F37="Jacksonville",+NFL!#REF!,IF(+NFL!$H37="Jacksonville",+NFL!#REF!,0))</f>
        <v>0</v>
      </c>
      <c r="AV271" s="64">
        <f>IF(+NFL!$F37="Jacksonville",+NFL!#REF!,IF(+NFL!$H37="Jacksonville",+NFL!#REF!,0))</f>
        <v>0</v>
      </c>
      <c r="AW271" s="46">
        <f>IF(+NFL!$F37="Jacksonville",+NFL!#REF!,IF(+NFL!$H37="Jacksonville",+NFL!#REF!,0))</f>
        <v>0</v>
      </c>
      <c r="AX271" s="64">
        <f>IF(+NFL!$F37="Jacksonville",+NFL!#REF!,IF(+NFL!$H37="Jacksonville",+NFL!#REF!,0))</f>
        <v>0</v>
      </c>
      <c r="AY271" s="57">
        <f>IF(+NFL!$F37="Jacksonville",+NFL!#REF!,IF(+NFL!$H37="Jacksonville",+NFL!#REF!,0))</f>
        <v>0</v>
      </c>
      <c r="AZ271" s="64">
        <f>IF(+NFL!$F37="Jacksonville",+NFL!#REF!,IF(+NFL!$H37="Jacksonville",+NFL!#REF!,0))</f>
        <v>0</v>
      </c>
      <c r="BA271" s="46">
        <f>IF(+NFL!$F37="Jacksonville",+NFL!#REF!,IF(+NFL!$H37="Jacksonville",+NFL!#REF!,0))</f>
        <v>0</v>
      </c>
      <c r="BB271" s="46">
        <f>IF(+NFL!$F37="Jacksonville",+NFL!#REF!,IF(+NFL!$H37="Jacksonville",+NFL!#REF!,0))</f>
        <v>0</v>
      </c>
      <c r="BC271" s="403">
        <f>IF(+NFL!$F37="Jacksonville",+NFL!#REF!,IF(+NFL!$H37="Jacksonville",+NFL!#REF!,0))</f>
        <v>0</v>
      </c>
      <c r="BD271" s="57">
        <f>IF(+NFL!$F37="Jacksonville",+NFL!#REF!,IF(+NFL!$H37="Jacksonville",+NFL!#REF!,0))</f>
        <v>0</v>
      </c>
      <c r="BE271" s="64">
        <f>IF(+NFL!$F37="Jacksonville",+NFL!#REF!,IF(+NFL!$H37="Jacksonville",+NFL!#REF!,0))</f>
        <v>0</v>
      </c>
      <c r="BF271" s="46">
        <f>IF(+NFL!$F37="Jacksonville",+NFL!#REF!,IF(+NFL!$H37="Jacksonville",+NFL!#REF!,0))</f>
        <v>0</v>
      </c>
      <c r="BG271" s="57">
        <f>IF(+NFL!$F37="Jacksonville",+NFL!#REF!,IF(+NFL!$H37="Jacksonville",+NFL!#REF!,0))</f>
        <v>0</v>
      </c>
      <c r="BH271" s="64">
        <f>IF(+NFL!$F37="Jacksonville",+NFL!#REF!,IF(+NFL!$H37="Jacksonville",+NFL!#REF!,0))</f>
        <v>0</v>
      </c>
      <c r="BI271" s="46">
        <f>IF(+NFL!$F37="Jacksonville",+NFL!#REF!,IF(+NFL!$H37="Jacksonville",+NFL!#REF!,0))</f>
        <v>0</v>
      </c>
      <c r="BJ271" s="87">
        <f>IF(+NFL!$F37="Jacksonville",+NFL!#REF!,IF(+NFL!$H37="Jacksonville",+NFL!#REF!,0))</f>
        <v>0</v>
      </c>
      <c r="BK271" s="120">
        <f>IF(+NFL!$F37="Jacksonville",+NFL!#REF!,IF(+NFL!$H37="Jacksonville",+NFL!#REF!,0))</f>
        <v>0</v>
      </c>
    </row>
    <row r="272" spans="1:63" x14ac:dyDescent="0.8">
      <c r="A272" s="46">
        <f>IF(+NFL!$F82="Jacksonville",+NFL!A82,IF(+NFL!$H82="Jacksonville",+NFL!A82,0))</f>
        <v>5</v>
      </c>
      <c r="B272" s="348" t="str">
        <f>IF(+NFL!$F82="Jacksonville",+NFL!B82,IF(+NFL!$H82="Jacksonville",+NFL!B82,0))</f>
        <v>Sun</v>
      </c>
      <c r="C272" s="48">
        <f>IF(+NFL!$F82="Jacksonville",+NFL!C82,IF(+NFL!$H82="Jacksonville",+NFL!C82,0))</f>
        <v>44843</v>
      </c>
      <c r="D272" s="490">
        <f>IF(+NFL!$F82="Jacksonville",+NFL!D82,IF(+NFL!$H82="Jacksonville",+NFL!D82,0))</f>
        <v>0.54166666666666663</v>
      </c>
      <c r="E272" s="46" t="str">
        <f>IF(+NFL!$F82="Jacksonville",+NFL!E82,IF(+NFL!$H82="Jacksonville",+NFL!E82,0))</f>
        <v>CBS</v>
      </c>
      <c r="F272" s="114" t="str">
        <f>IF(+NFL!$F82="Jacksonville",+NFL!F82,IF(+NFL!$H82="Jacksonville",+NFL!F82,0))</f>
        <v>Houston</v>
      </c>
      <c r="G272" s="46" t="str">
        <f>IF(+NFL!$F82="Jacksonville",+NFL!G82,IF(+NFL!$H82="Jacksonville",+NFL!G82,0))</f>
        <v>AFCS</v>
      </c>
      <c r="H272" s="114" t="str">
        <f>IF(+NFL!$F82="Jacksonville",+NFL!H82,IF(+NFL!$H82="Jacksonville",+NFL!H82,0))</f>
        <v>Jacksonville</v>
      </c>
      <c r="I272" s="46" t="str">
        <f>IF(+NFL!$F82="Jacksonville",+NFL!I82,IF(+NFL!$H82="Jacksonville",+NFL!I82,0))</f>
        <v>AFCS</v>
      </c>
      <c r="J272" s="353" t="str">
        <f>IF(+NFL!$F82="Jacksonville",+NFL!J82,IF(+NFL!$H82="Jacksonville",+NFL!J82,0))</f>
        <v>Jacksonville</v>
      </c>
      <c r="K272" s="494" t="str">
        <f>IF(+NFL!$F82="Jacksonville",+NFL!K82,IF(+NFL!$H82="Jacksonville",+NFL!K82,0))</f>
        <v>Houston</v>
      </c>
      <c r="L272" s="384">
        <f>IF(+NFL!$F82="Jacksonville",+NFL!L82,IF(+NFL!$H82="Jacksonville",+NFL!L82,0))</f>
        <v>7</v>
      </c>
      <c r="M272" s="385">
        <f>IF(+NFL!$F82="Jacksonville",+NFL!M82,IF(+NFL!$H82="Jacksonville",+NFL!M82,0))</f>
        <v>44</v>
      </c>
      <c r="N272" s="394" t="str">
        <f>IF(+NFL!$F82="Jacksonville",+NFL!N82,IF(+NFL!$H82="Jacksonville",+NFL!N82,0))</f>
        <v>Houston</v>
      </c>
      <c r="O272" s="395">
        <f>IF(+NFL!$F82="Jacksonville",+NFL!O82,IF(+NFL!$H82="Jacksonville",+NFL!O82,0))</f>
        <v>13</v>
      </c>
      <c r="P272" s="394" t="str">
        <f>IF(+NFL!$F82="Jacksonville",+NFL!P82,IF(+NFL!$H82="Jacksonville",+NFL!P82,0))</f>
        <v>Jacksonville</v>
      </c>
      <c r="Q272" s="396">
        <f>IF(+NFL!$F82="Jacksonville",+NFL!Q82,IF(+NFL!$H82="Jacksonville",+NFL!Q82,0))</f>
        <v>6</v>
      </c>
      <c r="R272" s="397" t="str">
        <f>IF(+NFL!$F82="Jacksonville",+NFL!R82,IF(+NFL!$H82="Jacksonville",+NFL!R82,0))</f>
        <v>Houston</v>
      </c>
      <c r="S272" s="396" t="str">
        <f>IF(+NFL!$F82="Jacksonville",+NFL!S82,IF(+NFL!$H82="Jacksonville",+NFL!S82,0))</f>
        <v>Jacksonville</v>
      </c>
      <c r="T272" s="398" t="str">
        <f>IF(+NFL!$F82="Jacksonville",+NFL!T82,IF(+NFL!$H82="Jacksonville",+NFL!T82,0))</f>
        <v>Jacksonville</v>
      </c>
      <c r="U272" s="396" t="str">
        <f>IF(+NFL!$F82="Jacksonville",+NFL!U82,IF(+NFL!$H82="Jacksonville",+NFL!U82,0))</f>
        <v>L</v>
      </c>
      <c r="V272" s="397">
        <f>IF(+NFL!$F47="Jacksonville",+NFL!#REF!,IF(+NFL!$H47="Jacksonville",+NFL!#REF!,0))</f>
        <v>0</v>
      </c>
      <c r="W272" s="396">
        <f>IF(+NFL!$F47="Jacksonville",+NFL!#REF!,IF(+NFL!$H47="Jacksonville",+NFL!#REF!,0))</f>
        <v>0</v>
      </c>
      <c r="X272" s="398">
        <f>IF(+NFL!$F47="Jacksonville",+NFL!#REF!,IF(+NFL!$H47="Jacksonville",+NFL!#REF!,0))</f>
        <v>0</v>
      </c>
      <c r="Y272" s="396">
        <f>IF(+NFL!$F47="Jacksonville",+NFL!#REF!,IF(+NFL!$H47="Jacksonville",+NFL!#REF!,0))</f>
        <v>0</v>
      </c>
      <c r="Z272" s="397">
        <f>IF(+NFL!$F47="Jacksonville",+NFL!#REF!,IF(+NFL!$H47="Jacksonville",+NFL!#REF!,0))</f>
        <v>0</v>
      </c>
      <c r="AA272" s="396">
        <f>IF(+NFL!$F47="Jacksonville",+NFL!#REF!,IF(+NFL!$H47="Jacksonville",+NFL!#REF!,0))</f>
        <v>0</v>
      </c>
      <c r="AB272" s="87">
        <f>IF(+NFL!$F47="Jacksonville",+NFL!#REF!,IF(+NFL!$H47="Jacksonville",+NFL!#REF!,0))</f>
        <v>0</v>
      </c>
      <c r="AC272" s="120">
        <f>IF(+NFL!$F47="Jacksonville",+NFL!#REF!,IF(+NFL!$H47="Jacksonville",+NFL!#REF!,0))</f>
        <v>0</v>
      </c>
      <c r="AD272" s="353">
        <f>IF(+NFL!$F47="Jacksonville",+NFL!#REF!,IF(+NFL!$H47="Jacksonville",+NFL!#REF!,0))</f>
        <v>0</v>
      </c>
      <c r="AE272" s="379">
        <f>IF(+NFL!$F47="Jacksonville",+NFL!#REF!,IF(+NFL!$H47="Jacksonville",+NFL!#REF!,0))</f>
        <v>0</v>
      </c>
      <c r="AF272" s="353">
        <f>IF(+NFL!$F47="Jacksonville",+NFL!#REF!,IF(+NFL!$H47="Jacksonville",+NFL!#REF!,0))</f>
        <v>0</v>
      </c>
      <c r="AG272" s="379">
        <f>IF(+NFL!$F47="Jacksonville",+NFL!#REF!,IF(+NFL!$H47="Jacksonville",+NFL!#REF!,0))</f>
        <v>0</v>
      </c>
      <c r="AH272" s="353">
        <f>IF(+NFL!$F47="Jacksonville",+NFL!#REF!,IF(+NFL!$H47="Jacksonville",+NFL!#REF!,0))</f>
        <v>0</v>
      </c>
      <c r="AI272" s="379">
        <f>IF(+NFL!$F47="Jacksonville",+NFL!#REF!,IF(+NFL!$H47="Jacksonville",+NFL!#REF!,0))</f>
        <v>0</v>
      </c>
      <c r="AJ272" s="353">
        <f>IF(+NFL!$F47="Jacksonville",+NFL!#REF!,IF(+NFL!$H47="Jacksonville",+NFL!#REF!,0))</f>
        <v>0</v>
      </c>
      <c r="AK272" s="379">
        <f>IF(+NFL!$F47="Jacksonville",+NFL!#REF!,IF(+NFL!$H47="Jacksonville",+NFL!#REF!,0))</f>
        <v>0</v>
      </c>
      <c r="AL272" s="69">
        <f>IF(+NFL!$F47="Jacksonville",+NFL!#REF!,IF(+NFL!$H47="Jacksonville",+NFL!#REF!,0))</f>
        <v>0</v>
      </c>
      <c r="AM272" s="58">
        <f>IF(+NFL!$F47="Jacksonville",+NFL!#REF!,IF(+NFL!$H47="Jacksonville",+NFL!#REF!,0))</f>
        <v>0</v>
      </c>
      <c r="AN272" s="70">
        <f>IF(+NFL!$F47="Jacksonville",+NFL!#REF!,IF(+NFL!$H47="Jacksonville",+NFL!#REF!,0))</f>
        <v>0</v>
      </c>
      <c r="AO272" s="59">
        <f>IF(+NFL!$F47="Jacksonville",+NFL!#REF!,IF(+NFL!$H47="Jacksonville",+NFL!#REF!,0))</f>
        <v>0</v>
      </c>
      <c r="AP272" s="348">
        <f>IF(+NFL!$F47="Jacksonville",+NFL!#REF!,IF(+NFL!$H47="Jacksonville",+NFL!#REF!,0))</f>
        <v>0</v>
      </c>
      <c r="AQ272" s="48">
        <f>IF(+NFL!$F47="Jacksonville",+NFL!#REF!,IF(+NFL!$H47="Jacksonville",+NFL!#REF!,0))</f>
        <v>0</v>
      </c>
      <c r="AR272" s="57">
        <f>IF(+NFL!$F47="Jacksonville",+NFL!#REF!,IF(+NFL!$H47="Jacksonville",+NFL!#REF!,0))</f>
        <v>0</v>
      </c>
      <c r="AS272" s="64">
        <f>IF(+NFL!$F47="Jacksonville",+NFL!#REF!,IF(+NFL!$H47="Jacksonville",+NFL!#REF!,0))</f>
        <v>0</v>
      </c>
      <c r="AT272" s="64">
        <f>IF(+NFL!$F47="Jacksonville",+NFL!#REF!,IF(+NFL!$H47="Jacksonville",+NFL!#REF!,0))</f>
        <v>0</v>
      </c>
      <c r="AU272" s="57">
        <f>IF(+NFL!$F47="Jacksonville",+NFL!#REF!,IF(+NFL!$H47="Jacksonville",+NFL!#REF!,0))</f>
        <v>0</v>
      </c>
      <c r="AV272" s="64">
        <f>IF(+NFL!$F47="Jacksonville",+NFL!#REF!,IF(+NFL!$H47="Jacksonville",+NFL!#REF!,0))</f>
        <v>0</v>
      </c>
      <c r="AW272" s="46">
        <f>IF(+NFL!$F47="Jacksonville",+NFL!#REF!,IF(+NFL!$H47="Jacksonville",+NFL!#REF!,0))</f>
        <v>0</v>
      </c>
      <c r="AX272" s="64">
        <f>IF(+NFL!$F47="Jacksonville",+NFL!#REF!,IF(+NFL!$H47="Jacksonville",+NFL!#REF!,0))</f>
        <v>0</v>
      </c>
      <c r="AY272" s="57">
        <f>IF(+NFL!$F47="Jacksonville",+NFL!#REF!,IF(+NFL!$H47="Jacksonville",+NFL!#REF!,0))</f>
        <v>0</v>
      </c>
      <c r="AZ272" s="64">
        <f>IF(+NFL!$F47="Jacksonville",+NFL!#REF!,IF(+NFL!$H47="Jacksonville",+NFL!#REF!,0))</f>
        <v>0</v>
      </c>
      <c r="BA272" s="46">
        <f>IF(+NFL!$F47="Jacksonville",+NFL!#REF!,IF(+NFL!$H47="Jacksonville",+NFL!#REF!,0))</f>
        <v>0</v>
      </c>
      <c r="BB272" s="46">
        <f>IF(+NFL!$F47="Jacksonville",+NFL!#REF!,IF(+NFL!$H47="Jacksonville",+NFL!#REF!,0))</f>
        <v>0</v>
      </c>
      <c r="BC272" s="403">
        <f>IF(+NFL!$F47="Jacksonville",+NFL!#REF!,IF(+NFL!$H47="Jacksonville",+NFL!#REF!,0))</f>
        <v>0</v>
      </c>
      <c r="BD272" s="57">
        <f>IF(+NFL!$F47="Jacksonville",+NFL!#REF!,IF(+NFL!$H47="Jacksonville",+NFL!#REF!,0))</f>
        <v>0</v>
      </c>
      <c r="BE272" s="64">
        <f>IF(+NFL!$F47="Jacksonville",+NFL!#REF!,IF(+NFL!$H47="Jacksonville",+NFL!#REF!,0))</f>
        <v>0</v>
      </c>
      <c r="BF272" s="46">
        <f>IF(+NFL!$F47="Jacksonville",+NFL!#REF!,IF(+NFL!$H47="Jacksonville",+NFL!#REF!,0))</f>
        <v>0</v>
      </c>
      <c r="BG272" s="57">
        <f>IF(+NFL!$F47="Jacksonville",+NFL!#REF!,IF(+NFL!$H47="Jacksonville",+NFL!#REF!,0))</f>
        <v>0</v>
      </c>
      <c r="BH272" s="64">
        <f>IF(+NFL!$F47="Jacksonville",+NFL!#REF!,IF(+NFL!$H47="Jacksonville",+NFL!#REF!,0))</f>
        <v>0</v>
      </c>
      <c r="BI272" s="46">
        <f>IF(+NFL!$F47="Jacksonville",+NFL!#REF!,IF(+NFL!$H47="Jacksonville",+NFL!#REF!,0))</f>
        <v>0</v>
      </c>
      <c r="BJ272" s="87">
        <f>IF(+NFL!$F47="Jacksonville",+NFL!#REF!,IF(+NFL!$H47="Jacksonville",+NFL!#REF!,0))</f>
        <v>0</v>
      </c>
      <c r="BK272" s="120">
        <f>IF(+NFL!$F47="Jacksonville",+NFL!#REF!,IF(+NFL!$H47="Jacksonville",+NFL!#REF!,0))</f>
        <v>0</v>
      </c>
    </row>
    <row r="273" spans="1:63" x14ac:dyDescent="0.8">
      <c r="A273" s="46">
        <f>IF(+NFL!$F93="Jacksonville",+NFL!A93,IF(+NFL!$H93="Jacksonville",+NFL!A93,0))</f>
        <v>6</v>
      </c>
      <c r="B273" s="348" t="str">
        <f>IF(+NFL!$F93="Jacksonville",+NFL!B93,IF(+NFL!$H93="Jacksonville",+NFL!B93,0))</f>
        <v>Sun</v>
      </c>
      <c r="C273" s="48">
        <f>IF(+NFL!$F93="Jacksonville",+NFL!C93,IF(+NFL!$H93="Jacksonville",+NFL!C93,0))</f>
        <v>44850</v>
      </c>
      <c r="D273" s="490">
        <f>IF(+NFL!$F93="Jacksonville",+NFL!D93,IF(+NFL!$H93="Jacksonville",+NFL!D93,0))</f>
        <v>0.54166666666666663</v>
      </c>
      <c r="E273" s="46" t="str">
        <f>IF(+NFL!$F93="Jacksonville",+NFL!E93,IF(+NFL!$H93="Jacksonville",+NFL!E93,0))</f>
        <v>CBS</v>
      </c>
      <c r="F273" s="114" t="str">
        <f>IF(+NFL!$F93="Jacksonville",+NFL!F93,IF(+NFL!$H93="Jacksonville",+NFL!F93,0))</f>
        <v>Jacksonville</v>
      </c>
      <c r="G273" s="46" t="str">
        <f>IF(+NFL!$F93="Jacksonville",+NFL!G93,IF(+NFL!$H93="Jacksonville",+NFL!G93,0))</f>
        <v>AFCS</v>
      </c>
      <c r="H273" s="114" t="str">
        <f>IF(+NFL!$F93="Jacksonville",+NFL!H93,IF(+NFL!$H93="Jacksonville",+NFL!H93,0))</f>
        <v>Indianapolis</v>
      </c>
      <c r="I273" s="46" t="str">
        <f>IF(+NFL!$F93="Jacksonville",+NFL!I93,IF(+NFL!$H93="Jacksonville",+NFL!I93,0))</f>
        <v>AFCS</v>
      </c>
      <c r="J273" s="353" t="str">
        <f>IF(+NFL!$F93="Jacksonville",+NFL!J93,IF(+NFL!$H93="Jacksonville",+NFL!J93,0))</f>
        <v>Indianapolis</v>
      </c>
      <c r="K273" s="494" t="str">
        <f>IF(+NFL!$F93="Jacksonville",+NFL!K93,IF(+NFL!$H93="Jacksonville",+NFL!K93,0))</f>
        <v>Jacksonville</v>
      </c>
      <c r="L273" s="384">
        <f>IF(+NFL!$F93="Jacksonville",+NFL!L93,IF(+NFL!$H93="Jacksonville",+NFL!L93,0))</f>
        <v>2</v>
      </c>
      <c r="M273" s="385">
        <f>IF(+NFL!$F93="Jacksonville",+NFL!M93,IF(+NFL!$H93="Jacksonville",+NFL!M93,0))</f>
        <v>42</v>
      </c>
      <c r="N273" s="394" t="str">
        <f>IF(+NFL!$F93="Jacksonville",+NFL!N93,IF(+NFL!$H93="Jacksonville",+NFL!N93,0))</f>
        <v>Indianapolis</v>
      </c>
      <c r="O273" s="395">
        <f>IF(+NFL!$F93="Jacksonville",+NFL!O93,IF(+NFL!$H93="Jacksonville",+NFL!O93,0))</f>
        <v>34</v>
      </c>
      <c r="P273" s="394" t="str">
        <f>IF(+NFL!$F93="Jacksonville",+NFL!P93,IF(+NFL!$H93="Jacksonville",+NFL!P93,0))</f>
        <v>Jacksonville</v>
      </c>
      <c r="Q273" s="396">
        <f>IF(+NFL!$F93="Jacksonville",+NFL!Q93,IF(+NFL!$H93="Jacksonville",+NFL!Q93,0))</f>
        <v>27</v>
      </c>
      <c r="R273" s="397" t="str">
        <f>IF(+NFL!$F93="Jacksonville",+NFL!R93,IF(+NFL!$H93="Jacksonville",+NFL!R93,0))</f>
        <v>Indianapolis</v>
      </c>
      <c r="S273" s="396" t="str">
        <f>IF(+NFL!$F93="Jacksonville",+NFL!S93,IF(+NFL!$H93="Jacksonville",+NFL!S93,0))</f>
        <v>Jacksonville</v>
      </c>
      <c r="T273" s="398" t="str">
        <f>IF(+NFL!$F93="Jacksonville",+NFL!T93,IF(+NFL!$H93="Jacksonville",+NFL!T93,0))</f>
        <v>Jacksonville</v>
      </c>
      <c r="U273" s="396" t="str">
        <f>IF(+NFL!$F93="Jacksonville",+NFL!U93,IF(+NFL!$H93="Jacksonville",+NFL!U93,0))</f>
        <v>L</v>
      </c>
      <c r="V273" s="397" t="e">
        <f>IF(+NFL!$F82="Jacksonville",+NFL!#REF!,IF(+NFL!$H82="Jacksonville",+NFL!#REF!,0))</f>
        <v>#REF!</v>
      </c>
      <c r="W273" s="396" t="e">
        <f>IF(+NFL!$F82="Jacksonville",+NFL!#REF!,IF(+NFL!$H82="Jacksonville",+NFL!#REF!,0))</f>
        <v>#REF!</v>
      </c>
      <c r="X273" s="398" t="e">
        <f>IF(+NFL!$F82="Jacksonville",+NFL!#REF!,IF(+NFL!$H82="Jacksonville",+NFL!#REF!,0))</f>
        <v>#REF!</v>
      </c>
      <c r="Y273" s="396" t="e">
        <f>IF(+NFL!$F82="Jacksonville",+NFL!#REF!,IF(+NFL!$H82="Jacksonville",+NFL!#REF!,0))</f>
        <v>#REF!</v>
      </c>
      <c r="Z273" s="397" t="e">
        <f>IF(+NFL!$F82="Jacksonville",+NFL!#REF!,IF(+NFL!$H82="Jacksonville",+NFL!#REF!,0))</f>
        <v>#REF!</v>
      </c>
      <c r="AA273" s="396" t="e">
        <f>IF(+NFL!$F82="Jacksonville",+NFL!#REF!,IF(+NFL!$H82="Jacksonville",+NFL!#REF!,0))</f>
        <v>#REF!</v>
      </c>
      <c r="AB273" s="87" t="e">
        <f>IF(+NFL!$F82="Jacksonville",+NFL!#REF!,IF(+NFL!$H82="Jacksonville",+NFL!#REF!,0))</f>
        <v>#REF!</v>
      </c>
      <c r="AC273" s="120" t="e">
        <f>IF(+NFL!$F82="Jacksonville",+NFL!#REF!,IF(+NFL!$H82="Jacksonville",+NFL!#REF!,0))</f>
        <v>#REF!</v>
      </c>
      <c r="AD273" s="353" t="e">
        <f>IF(+NFL!$F82="Jacksonville",+NFL!#REF!,IF(+NFL!$H82="Jacksonville",+NFL!#REF!,0))</f>
        <v>#REF!</v>
      </c>
      <c r="AE273" s="379" t="e">
        <f>IF(+NFL!$F82="Jacksonville",+NFL!#REF!,IF(+NFL!$H82="Jacksonville",+NFL!#REF!,0))</f>
        <v>#REF!</v>
      </c>
      <c r="AF273" s="353" t="e">
        <f>IF(+NFL!$F82="Jacksonville",+NFL!#REF!,IF(+NFL!$H82="Jacksonville",+NFL!#REF!,0))</f>
        <v>#REF!</v>
      </c>
      <c r="AG273" s="379" t="e">
        <f>IF(+NFL!$F82="Jacksonville",+NFL!#REF!,IF(+NFL!$H82="Jacksonville",+NFL!#REF!,0))</f>
        <v>#REF!</v>
      </c>
      <c r="AH273" s="353" t="e">
        <f>IF(+NFL!$F82="Jacksonville",+NFL!#REF!,IF(+NFL!$H82="Jacksonville",+NFL!#REF!,0))</f>
        <v>#REF!</v>
      </c>
      <c r="AI273" s="379" t="e">
        <f>IF(+NFL!$F82="Jacksonville",+NFL!#REF!,IF(+NFL!$H82="Jacksonville",+NFL!#REF!,0))</f>
        <v>#REF!</v>
      </c>
      <c r="AJ273" s="353" t="e">
        <f>IF(+NFL!$F82="Jacksonville",+NFL!#REF!,IF(+NFL!$H82="Jacksonville",+NFL!#REF!,0))</f>
        <v>#REF!</v>
      </c>
      <c r="AK273" s="379" t="e">
        <f>IF(+NFL!$F82="Jacksonville",+NFL!#REF!,IF(+NFL!$H82="Jacksonville",+NFL!#REF!,0))</f>
        <v>#REF!</v>
      </c>
      <c r="AL273" s="69" t="e">
        <f>IF(+NFL!$F82="Jacksonville",+NFL!#REF!,IF(+NFL!$H82="Jacksonville",+NFL!#REF!,0))</f>
        <v>#REF!</v>
      </c>
      <c r="AM273" s="58" t="e">
        <f>IF(+NFL!$F82="Jacksonville",+NFL!#REF!,IF(+NFL!$H82="Jacksonville",+NFL!#REF!,0))</f>
        <v>#REF!</v>
      </c>
      <c r="AN273" s="70" t="e">
        <f>IF(+NFL!$F82="Jacksonville",+NFL!#REF!,IF(+NFL!$H82="Jacksonville",+NFL!#REF!,0))</f>
        <v>#REF!</v>
      </c>
      <c r="AO273" s="59" t="e">
        <f>IF(+NFL!$F82="Jacksonville",+NFL!#REF!,IF(+NFL!$H82="Jacksonville",+NFL!#REF!,0))</f>
        <v>#REF!</v>
      </c>
      <c r="AP273" s="348" t="e">
        <f>IF(+NFL!$F82="Jacksonville",+NFL!#REF!,IF(+NFL!$H82="Jacksonville",+NFL!#REF!,0))</f>
        <v>#REF!</v>
      </c>
      <c r="AQ273" s="48" t="e">
        <f>IF(+NFL!$F82="Jacksonville",+NFL!#REF!,IF(+NFL!$H82="Jacksonville",+NFL!#REF!,0))</f>
        <v>#REF!</v>
      </c>
      <c r="AR273" s="57" t="e">
        <f>IF(+NFL!$F82="Jacksonville",+NFL!#REF!,IF(+NFL!$H82="Jacksonville",+NFL!#REF!,0))</f>
        <v>#REF!</v>
      </c>
      <c r="AS273" s="64" t="e">
        <f>IF(+NFL!$F82="Jacksonville",+NFL!#REF!,IF(+NFL!$H82="Jacksonville",+NFL!#REF!,0))</f>
        <v>#REF!</v>
      </c>
      <c r="AT273" s="64" t="e">
        <f>IF(+NFL!$F82="Jacksonville",+NFL!#REF!,IF(+NFL!$H82="Jacksonville",+NFL!#REF!,0))</f>
        <v>#REF!</v>
      </c>
      <c r="AU273" s="57" t="e">
        <f>IF(+NFL!$F82="Jacksonville",+NFL!#REF!,IF(+NFL!$H82="Jacksonville",+NFL!#REF!,0))</f>
        <v>#REF!</v>
      </c>
      <c r="AV273" s="64" t="e">
        <f>IF(+NFL!$F82="Jacksonville",+NFL!#REF!,IF(+NFL!$H82="Jacksonville",+NFL!#REF!,0))</f>
        <v>#REF!</v>
      </c>
      <c r="AW273" s="46" t="e">
        <f>IF(+NFL!$F82="Jacksonville",+NFL!#REF!,IF(+NFL!$H82="Jacksonville",+NFL!#REF!,0))</f>
        <v>#REF!</v>
      </c>
      <c r="AX273" s="64" t="e">
        <f>IF(+NFL!$F82="Jacksonville",+NFL!#REF!,IF(+NFL!$H82="Jacksonville",+NFL!#REF!,0))</f>
        <v>#REF!</v>
      </c>
      <c r="AY273" s="57" t="e">
        <f>IF(+NFL!$F82="Jacksonville",+NFL!#REF!,IF(+NFL!$H82="Jacksonville",+NFL!#REF!,0))</f>
        <v>#REF!</v>
      </c>
      <c r="AZ273" s="64" t="e">
        <f>IF(+NFL!$F82="Jacksonville",+NFL!#REF!,IF(+NFL!$H82="Jacksonville",+NFL!#REF!,0))</f>
        <v>#REF!</v>
      </c>
      <c r="BA273" s="46" t="e">
        <f>IF(+NFL!$F82="Jacksonville",+NFL!#REF!,IF(+NFL!$H82="Jacksonville",+NFL!#REF!,0))</f>
        <v>#REF!</v>
      </c>
      <c r="BB273" s="46" t="e">
        <f>IF(+NFL!$F82="Jacksonville",+NFL!#REF!,IF(+NFL!$H82="Jacksonville",+NFL!#REF!,0))</f>
        <v>#REF!</v>
      </c>
      <c r="BC273" s="403" t="e">
        <f>IF(+NFL!$F82="Jacksonville",+NFL!#REF!,IF(+NFL!$H82="Jacksonville",+NFL!#REF!,0))</f>
        <v>#REF!</v>
      </c>
      <c r="BD273" s="57" t="e">
        <f>IF(+NFL!$F82="Jacksonville",+NFL!#REF!,IF(+NFL!$H82="Jacksonville",+NFL!#REF!,0))</f>
        <v>#REF!</v>
      </c>
      <c r="BE273" s="64" t="e">
        <f>IF(+NFL!$F82="Jacksonville",+NFL!#REF!,IF(+NFL!$H82="Jacksonville",+NFL!#REF!,0))</f>
        <v>#REF!</v>
      </c>
      <c r="BF273" s="46" t="e">
        <f>IF(+NFL!$F82="Jacksonville",+NFL!#REF!,IF(+NFL!$H82="Jacksonville",+NFL!#REF!,0))</f>
        <v>#REF!</v>
      </c>
      <c r="BG273" s="57" t="e">
        <f>IF(+NFL!$F82="Jacksonville",+NFL!#REF!,IF(+NFL!$H82="Jacksonville",+NFL!#REF!,0))</f>
        <v>#REF!</v>
      </c>
      <c r="BH273" s="64" t="e">
        <f>IF(+NFL!$F82="Jacksonville",+NFL!#REF!,IF(+NFL!$H82="Jacksonville",+NFL!#REF!,0))</f>
        <v>#REF!</v>
      </c>
      <c r="BI273" s="46" t="e">
        <f>IF(+NFL!$F82="Jacksonville",+NFL!#REF!,IF(+NFL!$H82="Jacksonville",+NFL!#REF!,0))</f>
        <v>#REF!</v>
      </c>
      <c r="BJ273" s="87" t="e">
        <f>IF(+NFL!$F82="Jacksonville",+NFL!#REF!,IF(+NFL!$H82="Jacksonville",+NFL!#REF!,0))</f>
        <v>#REF!</v>
      </c>
      <c r="BK273" s="120" t="e">
        <f>IF(+NFL!$F82="Jacksonville",+NFL!#REF!,IF(+NFL!$H82="Jacksonville",+NFL!#REF!,0))</f>
        <v>#REF!</v>
      </c>
    </row>
    <row r="274" spans="1:63" x14ac:dyDescent="0.8">
      <c r="A274" s="46">
        <f>IF(+NFL!$F115="Jacksonville",+NFL!A115,IF(+NFL!$H115="Jacksonville",+NFL!A115,0))</f>
        <v>7</v>
      </c>
      <c r="B274" s="348" t="str">
        <f>IF(+NFL!$F115="Jacksonville",+NFL!B115,IF(+NFL!$H115="Jacksonville",+NFL!B115,0))</f>
        <v>Sun</v>
      </c>
      <c r="C274" s="48">
        <f>IF(+NFL!$F115="Jacksonville",+NFL!C115,IF(+NFL!$H115="Jacksonville",+NFL!C115,0))</f>
        <v>44857</v>
      </c>
      <c r="D274" s="490">
        <f>IF(+NFL!$F115="Jacksonville",+NFL!D115,IF(+NFL!$H115="Jacksonville",+NFL!D115,0))</f>
        <v>0.54166666666666663</v>
      </c>
      <c r="E274" s="46" t="str">
        <f>IF(+NFL!$F115="Jacksonville",+NFL!E115,IF(+NFL!$H115="Jacksonville",+NFL!E115,0))</f>
        <v>Fox</v>
      </c>
      <c r="F274" s="114" t="str">
        <f>IF(+NFL!$F115="Jacksonville",+NFL!F115,IF(+NFL!$H115="Jacksonville",+NFL!F115,0))</f>
        <v>NY Giants</v>
      </c>
      <c r="G274" s="46" t="str">
        <f>IF(+NFL!$F115="Jacksonville",+NFL!G115,IF(+NFL!$H115="Jacksonville",+NFL!G115,0))</f>
        <v>NFCE</v>
      </c>
      <c r="H274" s="114" t="str">
        <f>IF(+NFL!$F115="Jacksonville",+NFL!H115,IF(+NFL!$H115="Jacksonville",+NFL!H115,0))</f>
        <v>Jacksonville</v>
      </c>
      <c r="I274" s="46" t="str">
        <f>IF(+NFL!$F115="Jacksonville",+NFL!I115,IF(+NFL!$H115="Jacksonville",+NFL!I115,0))</f>
        <v>AFCS</v>
      </c>
      <c r="J274" s="353" t="str">
        <f>IF(+NFL!$F115="Jacksonville",+NFL!J115,IF(+NFL!$H115="Jacksonville",+NFL!J115,0))</f>
        <v>Jacksonville</v>
      </c>
      <c r="K274" s="494" t="str">
        <f>IF(+NFL!$F115="Jacksonville",+NFL!K115,IF(+NFL!$H115="Jacksonville",+NFL!K115,0))</f>
        <v>NY Giants</v>
      </c>
      <c r="L274" s="384">
        <f>IF(+NFL!$F115="Jacksonville",+NFL!L115,IF(+NFL!$H115="Jacksonville",+NFL!L115,0))</f>
        <v>3</v>
      </c>
      <c r="M274" s="385">
        <f>IF(+NFL!$F115="Jacksonville",+NFL!M115,IF(+NFL!$H115="Jacksonville",+NFL!M115,0))</f>
        <v>42</v>
      </c>
      <c r="N274" s="394" t="str">
        <f>IF(+NFL!$F115="Jacksonville",+NFL!N115,IF(+NFL!$H115="Jacksonville",+NFL!N115,0))</f>
        <v>NY Giants</v>
      </c>
      <c r="O274" s="395">
        <f>IF(+NFL!$F115="Jacksonville",+NFL!O115,IF(+NFL!$H115="Jacksonville",+NFL!O115,0))</f>
        <v>23</v>
      </c>
      <c r="P274" s="394" t="str">
        <f>IF(+NFL!$F115="Jacksonville",+NFL!P115,IF(+NFL!$H115="Jacksonville",+NFL!P115,0))</f>
        <v>Jacksonville</v>
      </c>
      <c r="Q274" s="396">
        <f>IF(+NFL!$F115="Jacksonville",+NFL!Q115,IF(+NFL!$H115="Jacksonville",+NFL!Q115,0))</f>
        <v>17</v>
      </c>
      <c r="R274" s="397" t="str">
        <f>IF(+NFL!$F115="Jacksonville",+NFL!R115,IF(+NFL!$H115="Jacksonville",+NFL!R115,0))</f>
        <v>NY Giants</v>
      </c>
      <c r="S274" s="396" t="str">
        <f>IF(+NFL!$F115="Jacksonville",+NFL!S115,IF(+NFL!$H115="Jacksonville",+NFL!S115,0))</f>
        <v>Jacksonville</v>
      </c>
      <c r="T274" s="398" t="str">
        <f>IF(+NFL!$F115="Jacksonville",+NFL!T115,IF(+NFL!$H115="Jacksonville",+NFL!T115,0))</f>
        <v>Jacksonville</v>
      </c>
      <c r="U274" s="396" t="str">
        <f>IF(+NFL!$F115="Jacksonville",+NFL!U115,IF(+NFL!$H115="Jacksonville",+NFL!U115,0))</f>
        <v>L</v>
      </c>
      <c r="V274" s="397">
        <f>IF(+NFL!$F96="Jacksonville",+NFL!#REF!,IF(+NFL!$H96="Jacksonville",+NFL!#REF!,0))</f>
        <v>0</v>
      </c>
      <c r="W274" s="396">
        <f>IF(+NFL!$F96="Jacksonville",+NFL!#REF!,IF(+NFL!$H96="Jacksonville",+NFL!#REF!,0))</f>
        <v>0</v>
      </c>
      <c r="X274" s="398">
        <f>IF(+NFL!$F96="Jacksonville",+NFL!#REF!,IF(+NFL!$H96="Jacksonville",+NFL!#REF!,0))</f>
        <v>0</v>
      </c>
      <c r="Y274" s="396">
        <f>IF(+NFL!$F96="Jacksonville",+NFL!#REF!,IF(+NFL!$H96="Jacksonville",+NFL!#REF!,0))</f>
        <v>0</v>
      </c>
      <c r="Z274" s="397">
        <f>IF(+NFL!$F96="Jacksonville",+NFL!#REF!,IF(+NFL!$H96="Jacksonville",+NFL!#REF!,0))</f>
        <v>0</v>
      </c>
      <c r="AA274" s="396">
        <f>IF(+NFL!$F96="Jacksonville",+NFL!#REF!,IF(+NFL!$H96="Jacksonville",+NFL!#REF!,0))</f>
        <v>0</v>
      </c>
      <c r="AB274" s="87">
        <f>IF(+NFL!$F96="Jacksonville",+NFL!#REF!,IF(+NFL!$H96="Jacksonville",+NFL!#REF!,0))</f>
        <v>0</v>
      </c>
      <c r="AC274" s="120">
        <f>IF(+NFL!$F96="Jacksonville",+NFL!#REF!,IF(+NFL!$H96="Jacksonville",+NFL!#REF!,0))</f>
        <v>0</v>
      </c>
      <c r="AD274" s="353">
        <f>IF(+NFL!$F96="Jacksonville",+NFL!#REF!,IF(+NFL!$H96="Jacksonville",+NFL!#REF!,0))</f>
        <v>0</v>
      </c>
      <c r="AE274" s="379">
        <f>IF(+NFL!$F96="Jacksonville",+NFL!#REF!,IF(+NFL!$H96="Jacksonville",+NFL!#REF!,0))</f>
        <v>0</v>
      </c>
      <c r="AF274" s="353">
        <f>IF(+NFL!$F96="Jacksonville",+NFL!#REF!,IF(+NFL!$H96="Jacksonville",+NFL!#REF!,0))</f>
        <v>0</v>
      </c>
      <c r="AG274" s="379">
        <f>IF(+NFL!$F96="Jacksonville",+NFL!#REF!,IF(+NFL!$H96="Jacksonville",+NFL!#REF!,0))</f>
        <v>0</v>
      </c>
      <c r="AH274" s="353">
        <f>IF(+NFL!$F96="Jacksonville",+NFL!#REF!,IF(+NFL!$H96="Jacksonville",+NFL!#REF!,0))</f>
        <v>0</v>
      </c>
      <c r="AI274" s="379">
        <f>IF(+NFL!$F96="Jacksonville",+NFL!#REF!,IF(+NFL!$H96="Jacksonville",+NFL!#REF!,0))</f>
        <v>0</v>
      </c>
      <c r="AJ274" s="353">
        <f>IF(+NFL!$F96="Jacksonville",+NFL!#REF!,IF(+NFL!$H96="Jacksonville",+NFL!#REF!,0))</f>
        <v>0</v>
      </c>
      <c r="AK274" s="379">
        <f>IF(+NFL!$F96="Jacksonville",+NFL!#REF!,IF(+NFL!$H96="Jacksonville",+NFL!#REF!,0))</f>
        <v>0</v>
      </c>
      <c r="AL274" s="69">
        <f>IF(+NFL!$F96="Jacksonville",+NFL!#REF!,IF(+NFL!$H96="Jacksonville",+NFL!#REF!,0))</f>
        <v>0</v>
      </c>
      <c r="AM274" s="58">
        <f>IF(+NFL!$F96="Jacksonville",+NFL!#REF!,IF(+NFL!$H96="Jacksonville",+NFL!#REF!,0))</f>
        <v>0</v>
      </c>
      <c r="AN274" s="70">
        <f>IF(+NFL!$F96="Jacksonville",+NFL!#REF!,IF(+NFL!$H96="Jacksonville",+NFL!#REF!,0))</f>
        <v>0</v>
      </c>
      <c r="AO274" s="59">
        <f>IF(+NFL!$F96="Jacksonville",+NFL!#REF!,IF(+NFL!$H96="Jacksonville",+NFL!#REF!,0))</f>
        <v>0</v>
      </c>
      <c r="AP274" s="348">
        <f>IF(+NFL!$F96="Jacksonville",+NFL!#REF!,IF(+NFL!$H96="Jacksonville",+NFL!#REF!,0))</f>
        <v>0</v>
      </c>
      <c r="AQ274" s="48">
        <f>IF(+NFL!$F96="Jacksonville",+NFL!#REF!,IF(+NFL!$H96="Jacksonville",+NFL!#REF!,0))</f>
        <v>0</v>
      </c>
      <c r="AR274" s="57">
        <f>IF(+NFL!$F96="Jacksonville",+NFL!#REF!,IF(+NFL!$H96="Jacksonville",+NFL!#REF!,0))</f>
        <v>0</v>
      </c>
      <c r="AS274" s="64">
        <f>IF(+NFL!$F96="Jacksonville",+NFL!#REF!,IF(+NFL!$H96="Jacksonville",+NFL!#REF!,0))</f>
        <v>0</v>
      </c>
      <c r="AT274" s="64">
        <f>IF(+NFL!$F96="Jacksonville",+NFL!#REF!,IF(+NFL!$H96="Jacksonville",+NFL!#REF!,0))</f>
        <v>0</v>
      </c>
      <c r="AU274" s="57">
        <f>IF(+NFL!$F96="Jacksonville",+NFL!#REF!,IF(+NFL!$H96="Jacksonville",+NFL!#REF!,0))</f>
        <v>0</v>
      </c>
      <c r="AV274" s="64">
        <f>IF(+NFL!$F96="Jacksonville",+NFL!#REF!,IF(+NFL!$H96="Jacksonville",+NFL!#REF!,0))</f>
        <v>0</v>
      </c>
      <c r="AW274" s="46">
        <f>IF(+NFL!$F96="Jacksonville",+NFL!#REF!,IF(+NFL!$H96="Jacksonville",+NFL!#REF!,0))</f>
        <v>0</v>
      </c>
      <c r="AX274" s="64">
        <f>IF(+NFL!$F96="Jacksonville",+NFL!#REF!,IF(+NFL!$H96="Jacksonville",+NFL!#REF!,0))</f>
        <v>0</v>
      </c>
      <c r="AY274" s="57">
        <f>IF(+NFL!$F96="Jacksonville",+NFL!#REF!,IF(+NFL!$H96="Jacksonville",+NFL!#REF!,0))</f>
        <v>0</v>
      </c>
      <c r="AZ274" s="64">
        <f>IF(+NFL!$F96="Jacksonville",+NFL!#REF!,IF(+NFL!$H96="Jacksonville",+NFL!#REF!,0))</f>
        <v>0</v>
      </c>
      <c r="BA274" s="46">
        <f>IF(+NFL!$F96="Jacksonville",+NFL!#REF!,IF(+NFL!$H96="Jacksonville",+NFL!#REF!,0))</f>
        <v>0</v>
      </c>
      <c r="BB274" s="46">
        <f>IF(+NFL!$F96="Jacksonville",+NFL!#REF!,IF(+NFL!$H96="Jacksonville",+NFL!#REF!,0))</f>
        <v>0</v>
      </c>
      <c r="BC274" s="403">
        <f>IF(+NFL!$F96="Jacksonville",+NFL!#REF!,IF(+NFL!$H96="Jacksonville",+NFL!#REF!,0))</f>
        <v>0</v>
      </c>
      <c r="BD274" s="57">
        <f>IF(+NFL!$F96="Jacksonville",+NFL!#REF!,IF(+NFL!$H96="Jacksonville",+NFL!#REF!,0))</f>
        <v>0</v>
      </c>
      <c r="BE274" s="64">
        <f>IF(+NFL!$F96="Jacksonville",+NFL!#REF!,IF(+NFL!$H96="Jacksonville",+NFL!#REF!,0))</f>
        <v>0</v>
      </c>
      <c r="BF274" s="46">
        <f>IF(+NFL!$F96="Jacksonville",+NFL!#REF!,IF(+NFL!$H96="Jacksonville",+NFL!#REF!,0))</f>
        <v>0</v>
      </c>
      <c r="BG274" s="57">
        <f>IF(+NFL!$F96="Jacksonville",+NFL!#REF!,IF(+NFL!$H96="Jacksonville",+NFL!#REF!,0))</f>
        <v>0</v>
      </c>
      <c r="BH274" s="64">
        <f>IF(+NFL!$F96="Jacksonville",+NFL!#REF!,IF(+NFL!$H96="Jacksonville",+NFL!#REF!,0))</f>
        <v>0</v>
      </c>
      <c r="BI274" s="46">
        <f>IF(+NFL!$F96="Jacksonville",+NFL!#REF!,IF(+NFL!$H96="Jacksonville",+NFL!#REF!,0))</f>
        <v>0</v>
      </c>
      <c r="BJ274" s="87">
        <f>IF(+NFL!$F96="Jacksonville",+NFL!#REF!,IF(+NFL!$H96="Jacksonville",+NFL!#REF!,0))</f>
        <v>0</v>
      </c>
      <c r="BK274" s="120">
        <f>IF(+NFL!$F96="Jacksonville",+NFL!#REF!,IF(+NFL!$H96="Jacksonville",+NFL!#REF!,0))</f>
        <v>0</v>
      </c>
    </row>
    <row r="275" spans="1:63" x14ac:dyDescent="0.8">
      <c r="A275" s="46">
        <f>IF(+NFL!$F130="Jacksonville",+NFL!A130,IF(+NFL!$H130="Jacksonville",+NFL!A130,0))</f>
        <v>8</v>
      </c>
      <c r="B275" s="348" t="str">
        <f>IF(+NFL!$F130="Jacksonville",+NFL!B130,IF(+NFL!$H130="Jacksonville",+NFL!B130,0))</f>
        <v>Sun</v>
      </c>
      <c r="C275" s="48">
        <f>IF(+NFL!$F130="Jacksonville",+NFL!C130,IF(+NFL!$H130="Jacksonville",+NFL!C130,0))</f>
        <v>44861</v>
      </c>
      <c r="D275" s="490">
        <f>IF(+NFL!$F130="Jacksonville",+NFL!D130,IF(+NFL!$H130="Jacksonville",+NFL!D130,0))</f>
        <v>0.39583333333333331</v>
      </c>
      <c r="E275" s="46" t="str">
        <f>IF(+NFL!$F130="Jacksonville",+NFL!E130,IF(+NFL!$H130="Jacksonville",+NFL!E130,0))</f>
        <v>CBS</v>
      </c>
      <c r="F275" s="114" t="str">
        <f>IF(+NFL!$F130="Jacksonville",+NFL!F130,IF(+NFL!$H130="Jacksonville",+NFL!F130,0))</f>
        <v>Denver</v>
      </c>
      <c r="G275" s="46" t="str">
        <f>IF(+NFL!$F130="Jacksonville",+NFL!G130,IF(+NFL!$H130="Jacksonville",+NFL!G130,0))</f>
        <v>AFCW</v>
      </c>
      <c r="H275" s="114" t="str">
        <f>IF(+NFL!$F130="Jacksonville",+NFL!H130,IF(+NFL!$H130="Jacksonville",+NFL!H130,0))</f>
        <v>Jacksonville</v>
      </c>
      <c r="I275" s="46" t="str">
        <f>IF(+NFL!$F130="Jacksonville",+NFL!I130,IF(+NFL!$H130="Jacksonville",+NFL!I130,0))</f>
        <v>AFCS</v>
      </c>
      <c r="J275" s="353" t="str">
        <f>IF(+NFL!$F130="Jacksonville",+NFL!J130,IF(+NFL!$H130="Jacksonville",+NFL!J130,0))</f>
        <v>Jacksonville</v>
      </c>
      <c r="K275" s="494" t="str">
        <f>IF(+NFL!$F130="Jacksonville",+NFL!K130,IF(+NFL!$H130="Jacksonville",+NFL!K130,0))</f>
        <v>Denver</v>
      </c>
      <c r="L275" s="384">
        <f>IF(+NFL!$F130="Jacksonville",+NFL!L130,IF(+NFL!$H130="Jacksonville",+NFL!L130,0))</f>
        <v>3</v>
      </c>
      <c r="M275" s="385">
        <f>IF(+NFL!$F130="Jacksonville",+NFL!M130,IF(+NFL!$H130="Jacksonville",+NFL!M130,0))</f>
        <v>39.5</v>
      </c>
      <c r="N275" s="394" t="str">
        <f>IF(+NFL!$F130="Jacksonville",+NFL!N130,IF(+NFL!$H130="Jacksonville",+NFL!N130,0))</f>
        <v>Denver</v>
      </c>
      <c r="O275" s="395">
        <f>IF(+NFL!$F130="Jacksonville",+NFL!O130,IF(+NFL!$H130="Jacksonville",+NFL!O130,0))</f>
        <v>21</v>
      </c>
      <c r="P275" s="394" t="str">
        <f>IF(+NFL!$F130="Jacksonville",+NFL!P130,IF(+NFL!$H130="Jacksonville",+NFL!P130,0))</f>
        <v>Jacksonville</v>
      </c>
      <c r="Q275" s="396">
        <f>IF(+NFL!$F130="Jacksonville",+NFL!Q130,IF(+NFL!$H130="Jacksonville",+NFL!Q130,0))</f>
        <v>17</v>
      </c>
      <c r="R275" s="397" t="str">
        <f>IF(+NFL!$F130="Jacksonville",+NFL!R130,IF(+NFL!$H130="Jacksonville",+NFL!R130,0))</f>
        <v>Denver</v>
      </c>
      <c r="S275" s="396" t="str">
        <f>IF(+NFL!$F130="Jacksonville",+NFL!S130,IF(+NFL!$H130="Jacksonville",+NFL!S130,0))</f>
        <v>Jacksonville</v>
      </c>
      <c r="T275" s="398" t="str">
        <f>IF(+NFL!$F130="Jacksonville",+NFL!T130,IF(+NFL!$H130="Jacksonville",+NFL!T130,0))</f>
        <v>Jacksonville</v>
      </c>
      <c r="U275" s="396" t="str">
        <f>IF(+NFL!$F130="Jacksonville",+NFL!U130,IF(+NFL!$H130="Jacksonville",+NFL!U130,0))</f>
        <v>L</v>
      </c>
      <c r="V275" s="397">
        <f>IF(+NFL!$F114="Jacksonville",+NFL!#REF!,IF(+NFL!$H114="Jacksonville",+NFL!#REF!,0))</f>
        <v>0</v>
      </c>
      <c r="W275" s="396">
        <f>IF(+NFL!$F114="Jacksonville",+NFL!#REF!,IF(+NFL!$H114="Jacksonville",+NFL!#REF!,0))</f>
        <v>0</v>
      </c>
      <c r="X275" s="398">
        <f>IF(+NFL!$F114="Jacksonville",+NFL!#REF!,IF(+NFL!$H114="Jacksonville",+NFL!#REF!,0))</f>
        <v>0</v>
      </c>
      <c r="Y275" s="396">
        <f>IF(+NFL!$F114="Jacksonville",+NFL!#REF!,IF(+NFL!$H114="Jacksonville",+NFL!#REF!,0))</f>
        <v>0</v>
      </c>
      <c r="Z275" s="397">
        <f>IF(+NFL!$F114="Jacksonville",+NFL!#REF!,IF(+NFL!$H114="Jacksonville",+NFL!#REF!,0))</f>
        <v>0</v>
      </c>
      <c r="AA275" s="396">
        <f>IF(+NFL!$F114="Jacksonville",+NFL!#REF!,IF(+NFL!$H114="Jacksonville",+NFL!#REF!,0))</f>
        <v>0</v>
      </c>
      <c r="AB275" s="87">
        <f>IF(+NFL!$F114="Jacksonville",+NFL!#REF!,IF(+NFL!$H114="Jacksonville",+NFL!#REF!,0))</f>
        <v>0</v>
      </c>
      <c r="AC275" s="120">
        <f>IF(+NFL!$F114="Jacksonville",+NFL!#REF!,IF(+NFL!$H114="Jacksonville",+NFL!#REF!,0))</f>
        <v>0</v>
      </c>
      <c r="AD275" s="353">
        <f>IF(+NFL!$F114="Jacksonville",+NFL!#REF!,IF(+NFL!$H114="Jacksonville",+NFL!#REF!,0))</f>
        <v>0</v>
      </c>
      <c r="AE275" s="379">
        <f>IF(+NFL!$F114="Jacksonville",+NFL!#REF!,IF(+NFL!$H114="Jacksonville",+NFL!#REF!,0))</f>
        <v>0</v>
      </c>
      <c r="AF275" s="353">
        <f>IF(+NFL!$F114="Jacksonville",+NFL!#REF!,IF(+NFL!$H114="Jacksonville",+NFL!#REF!,0))</f>
        <v>0</v>
      </c>
      <c r="AG275" s="379">
        <f>IF(+NFL!$F114="Jacksonville",+NFL!#REF!,IF(+NFL!$H114="Jacksonville",+NFL!#REF!,0))</f>
        <v>0</v>
      </c>
      <c r="AH275" s="353">
        <f>IF(+NFL!$F114="Jacksonville",+NFL!#REF!,IF(+NFL!$H114="Jacksonville",+NFL!#REF!,0))</f>
        <v>0</v>
      </c>
      <c r="AI275" s="379">
        <f>IF(+NFL!$F114="Jacksonville",+NFL!#REF!,IF(+NFL!$H114="Jacksonville",+NFL!#REF!,0))</f>
        <v>0</v>
      </c>
      <c r="AJ275" s="353">
        <f>IF(+NFL!$F114="Jacksonville",+NFL!#REF!,IF(+NFL!$H114="Jacksonville",+NFL!#REF!,0))</f>
        <v>0</v>
      </c>
      <c r="AK275" s="379">
        <f>IF(+NFL!$F114="Jacksonville",+NFL!#REF!,IF(+NFL!$H114="Jacksonville",+NFL!#REF!,0))</f>
        <v>0</v>
      </c>
      <c r="AL275" s="69">
        <f>IF(+NFL!$F114="Jacksonville",+NFL!#REF!,IF(+NFL!$H114="Jacksonville",+NFL!#REF!,0))</f>
        <v>0</v>
      </c>
      <c r="AM275" s="58">
        <f>IF(+NFL!$F114="Jacksonville",+NFL!#REF!,IF(+NFL!$H114="Jacksonville",+NFL!#REF!,0))</f>
        <v>0</v>
      </c>
      <c r="AN275" s="70">
        <f>IF(+NFL!$F114="Jacksonville",+NFL!#REF!,IF(+NFL!$H114="Jacksonville",+NFL!#REF!,0))</f>
        <v>0</v>
      </c>
      <c r="AO275" s="59">
        <f>IF(+NFL!$F114="Jacksonville",+NFL!#REF!,IF(+NFL!$H114="Jacksonville",+NFL!#REF!,0))</f>
        <v>0</v>
      </c>
      <c r="AP275" s="348">
        <f>IF(+NFL!$F114="Jacksonville",+NFL!#REF!,IF(+NFL!$H114="Jacksonville",+NFL!#REF!,0))</f>
        <v>0</v>
      </c>
      <c r="AQ275" s="48">
        <f>IF(+NFL!$F114="Jacksonville",+NFL!#REF!,IF(+NFL!$H114="Jacksonville",+NFL!#REF!,0))</f>
        <v>0</v>
      </c>
      <c r="AR275" s="57">
        <f>IF(+NFL!$F114="Jacksonville",+NFL!#REF!,IF(+NFL!$H114="Jacksonville",+NFL!#REF!,0))</f>
        <v>0</v>
      </c>
      <c r="AS275" s="64">
        <f>IF(+NFL!$F114="Jacksonville",+NFL!#REF!,IF(+NFL!$H114="Jacksonville",+NFL!#REF!,0))</f>
        <v>0</v>
      </c>
      <c r="AT275" s="64">
        <f>IF(+NFL!$F114="Jacksonville",+NFL!#REF!,IF(+NFL!$H114="Jacksonville",+NFL!#REF!,0))</f>
        <v>0</v>
      </c>
      <c r="AU275" s="57">
        <f>IF(+NFL!$F114="Jacksonville",+NFL!#REF!,IF(+NFL!$H114="Jacksonville",+NFL!#REF!,0))</f>
        <v>0</v>
      </c>
      <c r="AV275" s="64">
        <f>IF(+NFL!$F114="Jacksonville",+NFL!#REF!,IF(+NFL!$H114="Jacksonville",+NFL!#REF!,0))</f>
        <v>0</v>
      </c>
      <c r="AW275" s="46">
        <f>IF(+NFL!$F114="Jacksonville",+NFL!#REF!,IF(+NFL!$H114="Jacksonville",+NFL!#REF!,0))</f>
        <v>0</v>
      </c>
      <c r="AX275" s="64">
        <f>IF(+NFL!$F114="Jacksonville",+NFL!#REF!,IF(+NFL!$H114="Jacksonville",+NFL!#REF!,0))</f>
        <v>0</v>
      </c>
      <c r="AY275" s="57">
        <f>IF(+NFL!$F114="Jacksonville",+NFL!#REF!,IF(+NFL!$H114="Jacksonville",+NFL!#REF!,0))</f>
        <v>0</v>
      </c>
      <c r="AZ275" s="64">
        <f>IF(+NFL!$F114="Jacksonville",+NFL!#REF!,IF(+NFL!$H114="Jacksonville",+NFL!#REF!,0))</f>
        <v>0</v>
      </c>
      <c r="BA275" s="46">
        <f>IF(+NFL!$F114="Jacksonville",+NFL!#REF!,IF(+NFL!$H114="Jacksonville",+NFL!#REF!,0))</f>
        <v>0</v>
      </c>
      <c r="BB275" s="46">
        <f>IF(+NFL!$F114="Jacksonville",+NFL!#REF!,IF(+NFL!$H114="Jacksonville",+NFL!#REF!,0))</f>
        <v>0</v>
      </c>
      <c r="BC275" s="403">
        <f>IF(+NFL!$F114="Jacksonville",+NFL!#REF!,IF(+NFL!$H114="Jacksonville",+NFL!#REF!,0))</f>
        <v>0</v>
      </c>
      <c r="BD275" s="57">
        <f>IF(+NFL!$F114="Jacksonville",+NFL!#REF!,IF(+NFL!$H114="Jacksonville",+NFL!#REF!,0))</f>
        <v>0</v>
      </c>
      <c r="BE275" s="64">
        <f>IF(+NFL!$F114="Jacksonville",+NFL!#REF!,IF(+NFL!$H114="Jacksonville",+NFL!#REF!,0))</f>
        <v>0</v>
      </c>
      <c r="BF275" s="46">
        <f>IF(+NFL!$F114="Jacksonville",+NFL!#REF!,IF(+NFL!$H114="Jacksonville",+NFL!#REF!,0))</f>
        <v>0</v>
      </c>
      <c r="BG275" s="57">
        <f>IF(+NFL!$F114="Jacksonville",+NFL!#REF!,IF(+NFL!$H114="Jacksonville",+NFL!#REF!,0))</f>
        <v>0</v>
      </c>
      <c r="BH275" s="64">
        <f>IF(+NFL!$F114="Jacksonville",+NFL!#REF!,IF(+NFL!$H114="Jacksonville",+NFL!#REF!,0))</f>
        <v>0</v>
      </c>
      <c r="BI275" s="46">
        <f>IF(+NFL!$F114="Jacksonville",+NFL!#REF!,IF(+NFL!$H114="Jacksonville",+NFL!#REF!,0))</f>
        <v>0</v>
      </c>
      <c r="BJ275" s="87">
        <f>IF(+NFL!$F114="Jacksonville",+NFL!#REF!,IF(+NFL!$H114="Jacksonville",+NFL!#REF!,0))</f>
        <v>0</v>
      </c>
      <c r="BK275" s="120">
        <f>IF(+NFL!$F114="Jacksonville",+NFL!#REF!,IF(+NFL!$H114="Jacksonville",+NFL!#REF!,0))</f>
        <v>0</v>
      </c>
    </row>
    <row r="276" spans="1:63" x14ac:dyDescent="0.8">
      <c r="A276" s="46">
        <f>IF(+NFL!$F156="Jacksonville",+NFL!A156,IF(+NFL!$H156="Jacksonville",+NFL!A156,0))</f>
        <v>9</v>
      </c>
      <c r="B276" s="348" t="str">
        <f>IF(+NFL!$F156="Jacksonville",+NFL!B156,IF(+NFL!$H156="Jacksonville",+NFL!B156,0))</f>
        <v>Sun</v>
      </c>
      <c r="C276" s="48">
        <f>IF(+NFL!$F156="Jacksonville",+NFL!C156,IF(+NFL!$H156="Jacksonville",+NFL!C156,0))</f>
        <v>44871</v>
      </c>
      <c r="D276" s="490">
        <f>IF(+NFL!$F156="Jacksonville",+NFL!D156,IF(+NFL!$H156="Jacksonville",+NFL!D156,0))</f>
        <v>0.54166666666666663</v>
      </c>
      <c r="E276" s="46" t="str">
        <f>IF(+NFL!$F156="Jacksonville",+NFL!E156,IF(+NFL!$H156="Jacksonville",+NFL!E156,0))</f>
        <v>CBS</v>
      </c>
      <c r="F276" s="114" t="str">
        <f>IF(+NFL!$F156="Jacksonville",+NFL!F156,IF(+NFL!$H156="Jacksonville",+NFL!F156,0))</f>
        <v>Las Vegas</v>
      </c>
      <c r="G276" s="46" t="str">
        <f>IF(+NFL!$F156="Jacksonville",+NFL!G156,IF(+NFL!$H156="Jacksonville",+NFL!G156,0))</f>
        <v>AFCW</v>
      </c>
      <c r="H276" s="114" t="str">
        <f>IF(+NFL!$F156="Jacksonville",+NFL!H156,IF(+NFL!$H156="Jacksonville",+NFL!H156,0))</f>
        <v>Jacksonville</v>
      </c>
      <c r="I276" s="46" t="str">
        <f>IF(+NFL!$F156="Jacksonville",+NFL!I156,IF(+NFL!$H156="Jacksonville",+NFL!I156,0))</f>
        <v>AFCS</v>
      </c>
      <c r="J276" s="353" t="str">
        <f>IF(+NFL!$F156="Jacksonville",+NFL!J156,IF(+NFL!$H156="Jacksonville",+NFL!J156,0))</f>
        <v>Las Vegas</v>
      </c>
      <c r="K276" s="494" t="str">
        <f>IF(+NFL!$F156="Jacksonville",+NFL!K156,IF(+NFL!$H156="Jacksonville",+NFL!K156,0))</f>
        <v>Jacksonville</v>
      </c>
      <c r="L276" s="384">
        <f>IF(+NFL!$F156="Jacksonville",+NFL!L156,IF(+NFL!$H156="Jacksonville",+NFL!L156,0))</f>
        <v>2</v>
      </c>
      <c r="M276" s="385">
        <f>IF(+NFL!$F156="Jacksonville",+NFL!M156,IF(+NFL!$H156="Jacksonville",+NFL!M156,0))</f>
        <v>48</v>
      </c>
      <c r="N276" s="394" t="str">
        <f>IF(+NFL!$F156="Jacksonville",+NFL!N156,IF(+NFL!$H156="Jacksonville",+NFL!N156,0))</f>
        <v>Jacksonville</v>
      </c>
      <c r="O276" s="395">
        <f>IF(+NFL!$F156="Jacksonville",+NFL!O156,IF(+NFL!$H156="Jacksonville",+NFL!O156,0))</f>
        <v>27</v>
      </c>
      <c r="P276" s="394" t="str">
        <f>IF(+NFL!$F156="Jacksonville",+NFL!P156,IF(+NFL!$H156="Jacksonville",+NFL!P156,0))</f>
        <v>Las Vegas</v>
      </c>
      <c r="Q276" s="396">
        <f>IF(+NFL!$F156="Jacksonville",+NFL!Q156,IF(+NFL!$H156="Jacksonville",+NFL!Q156,0))</f>
        <v>20</v>
      </c>
      <c r="R276" s="397" t="str">
        <f>IF(+NFL!$F156="Jacksonville",+NFL!R156,IF(+NFL!$H156="Jacksonville",+NFL!R156,0))</f>
        <v>Jacksonville</v>
      </c>
      <c r="S276" s="396" t="str">
        <f>IF(+NFL!$F156="Jacksonville",+NFL!S156,IF(+NFL!$H156="Jacksonville",+NFL!S156,0))</f>
        <v>Las Vegas</v>
      </c>
      <c r="T276" s="398" t="str">
        <f>IF(+NFL!$F156="Jacksonville",+NFL!T156,IF(+NFL!$H156="Jacksonville",+NFL!T156,0))</f>
        <v>Jacksonville</v>
      </c>
      <c r="U276" s="396" t="str">
        <f>IF(+NFL!$F156="Jacksonville",+NFL!U156,IF(+NFL!$H156="Jacksonville",+NFL!U156,0))</f>
        <v>W</v>
      </c>
      <c r="V276" s="397" t="e">
        <f>IF(+NFL!$F130="Jacksonville",+NFL!#REF!,IF(+NFL!$H130="Jacksonville",+NFL!#REF!,0))</f>
        <v>#REF!</v>
      </c>
      <c r="W276" s="396" t="e">
        <f>IF(+NFL!$F130="Jacksonville",+NFL!#REF!,IF(+NFL!$H130="Jacksonville",+NFL!#REF!,0))</f>
        <v>#REF!</v>
      </c>
      <c r="X276" s="398" t="e">
        <f>IF(+NFL!$F130="Jacksonville",+NFL!#REF!,IF(+NFL!$H130="Jacksonville",+NFL!#REF!,0))</f>
        <v>#REF!</v>
      </c>
      <c r="Y276" s="396" t="e">
        <f>IF(+NFL!$F130="Jacksonville",+NFL!#REF!,IF(+NFL!$H130="Jacksonville",+NFL!#REF!,0))</f>
        <v>#REF!</v>
      </c>
      <c r="Z276" s="397" t="e">
        <f>IF(+NFL!$F130="Jacksonville",+NFL!#REF!,IF(+NFL!$H130="Jacksonville",+NFL!#REF!,0))</f>
        <v>#REF!</v>
      </c>
      <c r="AA276" s="396" t="e">
        <f>IF(+NFL!$F130="Jacksonville",+NFL!#REF!,IF(+NFL!$H130="Jacksonville",+NFL!#REF!,0))</f>
        <v>#REF!</v>
      </c>
      <c r="AB276" s="87" t="e">
        <f>IF(+NFL!$F130="Jacksonville",+NFL!#REF!,IF(+NFL!$H130="Jacksonville",+NFL!#REF!,0))</f>
        <v>#REF!</v>
      </c>
      <c r="AC276" s="120" t="e">
        <f>IF(+NFL!$F130="Jacksonville",+NFL!#REF!,IF(+NFL!$H130="Jacksonville",+NFL!#REF!,0))</f>
        <v>#REF!</v>
      </c>
      <c r="AD276" s="353" t="e">
        <f>IF(+NFL!$F130="Jacksonville",+NFL!#REF!,IF(+NFL!$H130="Jacksonville",+NFL!#REF!,0))</f>
        <v>#REF!</v>
      </c>
      <c r="AE276" s="379" t="e">
        <f>IF(+NFL!$F130="Jacksonville",+NFL!#REF!,IF(+NFL!$H130="Jacksonville",+NFL!#REF!,0))</f>
        <v>#REF!</v>
      </c>
      <c r="AF276" s="353" t="e">
        <f>IF(+NFL!$F130="Jacksonville",+NFL!#REF!,IF(+NFL!$H130="Jacksonville",+NFL!#REF!,0))</f>
        <v>#REF!</v>
      </c>
      <c r="AG276" s="379" t="e">
        <f>IF(+NFL!$F130="Jacksonville",+NFL!#REF!,IF(+NFL!$H130="Jacksonville",+NFL!#REF!,0))</f>
        <v>#REF!</v>
      </c>
      <c r="AH276" s="353" t="e">
        <f>IF(+NFL!$F130="Jacksonville",+NFL!#REF!,IF(+NFL!$H130="Jacksonville",+NFL!#REF!,0))</f>
        <v>#REF!</v>
      </c>
      <c r="AI276" s="379" t="e">
        <f>IF(+NFL!$F130="Jacksonville",+NFL!#REF!,IF(+NFL!$H130="Jacksonville",+NFL!#REF!,0))</f>
        <v>#REF!</v>
      </c>
      <c r="AJ276" s="353" t="e">
        <f>IF(+NFL!$F130="Jacksonville",+NFL!#REF!,IF(+NFL!$H130="Jacksonville",+NFL!#REF!,0))</f>
        <v>#REF!</v>
      </c>
      <c r="AK276" s="379" t="e">
        <f>IF(+NFL!$F130="Jacksonville",+NFL!#REF!,IF(+NFL!$H130="Jacksonville",+NFL!#REF!,0))</f>
        <v>#REF!</v>
      </c>
      <c r="AL276" s="69" t="e">
        <f>IF(+NFL!$F130="Jacksonville",+NFL!#REF!,IF(+NFL!$H130="Jacksonville",+NFL!#REF!,0))</f>
        <v>#REF!</v>
      </c>
      <c r="AM276" s="58" t="e">
        <f>IF(+NFL!$F130="Jacksonville",+NFL!#REF!,IF(+NFL!$H130="Jacksonville",+NFL!#REF!,0))</f>
        <v>#REF!</v>
      </c>
      <c r="AN276" s="70" t="e">
        <f>IF(+NFL!$F130="Jacksonville",+NFL!#REF!,IF(+NFL!$H130="Jacksonville",+NFL!#REF!,0))</f>
        <v>#REF!</v>
      </c>
      <c r="AO276" s="59" t="e">
        <f>IF(+NFL!$F130="Jacksonville",+NFL!#REF!,IF(+NFL!$H130="Jacksonville",+NFL!#REF!,0))</f>
        <v>#REF!</v>
      </c>
      <c r="AP276" s="348" t="e">
        <f>IF(+NFL!$F130="Jacksonville",+NFL!#REF!,IF(+NFL!$H130="Jacksonville",+NFL!#REF!,0))</f>
        <v>#REF!</v>
      </c>
      <c r="AQ276" s="48" t="e">
        <f>IF(+NFL!$F130="Jacksonville",+NFL!#REF!,IF(+NFL!$H130="Jacksonville",+NFL!#REF!,0))</f>
        <v>#REF!</v>
      </c>
      <c r="AR276" s="57" t="e">
        <f>IF(+NFL!$F130="Jacksonville",+NFL!#REF!,IF(+NFL!$H130="Jacksonville",+NFL!#REF!,0))</f>
        <v>#REF!</v>
      </c>
      <c r="AS276" s="64" t="e">
        <f>IF(+NFL!$F130="Jacksonville",+NFL!#REF!,IF(+NFL!$H130="Jacksonville",+NFL!#REF!,0))</f>
        <v>#REF!</v>
      </c>
      <c r="AT276" s="64" t="e">
        <f>IF(+NFL!$F130="Jacksonville",+NFL!#REF!,IF(+NFL!$H130="Jacksonville",+NFL!#REF!,0))</f>
        <v>#REF!</v>
      </c>
      <c r="AU276" s="57" t="e">
        <f>IF(+NFL!$F130="Jacksonville",+NFL!#REF!,IF(+NFL!$H130="Jacksonville",+NFL!#REF!,0))</f>
        <v>#REF!</v>
      </c>
      <c r="AV276" s="64" t="e">
        <f>IF(+NFL!$F130="Jacksonville",+NFL!#REF!,IF(+NFL!$H130="Jacksonville",+NFL!#REF!,0))</f>
        <v>#REF!</v>
      </c>
      <c r="AW276" s="46" t="e">
        <f>IF(+NFL!$F130="Jacksonville",+NFL!#REF!,IF(+NFL!$H130="Jacksonville",+NFL!#REF!,0))</f>
        <v>#REF!</v>
      </c>
      <c r="AX276" s="64" t="e">
        <f>IF(+NFL!$F130="Jacksonville",+NFL!#REF!,IF(+NFL!$H130="Jacksonville",+NFL!#REF!,0))</f>
        <v>#REF!</v>
      </c>
      <c r="AY276" s="57" t="e">
        <f>IF(+NFL!$F130="Jacksonville",+NFL!#REF!,IF(+NFL!$H130="Jacksonville",+NFL!#REF!,0))</f>
        <v>#REF!</v>
      </c>
      <c r="AZ276" s="64" t="e">
        <f>IF(+NFL!$F130="Jacksonville",+NFL!#REF!,IF(+NFL!$H130="Jacksonville",+NFL!#REF!,0))</f>
        <v>#REF!</v>
      </c>
      <c r="BA276" s="46" t="e">
        <f>IF(+NFL!$F130="Jacksonville",+NFL!#REF!,IF(+NFL!$H130="Jacksonville",+NFL!#REF!,0))</f>
        <v>#REF!</v>
      </c>
      <c r="BB276" s="46" t="e">
        <f>IF(+NFL!$F130="Jacksonville",+NFL!#REF!,IF(+NFL!$H130="Jacksonville",+NFL!#REF!,0))</f>
        <v>#REF!</v>
      </c>
      <c r="BC276" s="403" t="e">
        <f>IF(+NFL!$F130="Jacksonville",+NFL!#REF!,IF(+NFL!$H130="Jacksonville",+NFL!#REF!,0))</f>
        <v>#REF!</v>
      </c>
      <c r="BD276" s="57" t="e">
        <f>IF(+NFL!$F130="Jacksonville",+NFL!#REF!,IF(+NFL!$H130="Jacksonville",+NFL!#REF!,0))</f>
        <v>#REF!</v>
      </c>
      <c r="BE276" s="64" t="e">
        <f>IF(+NFL!$F130="Jacksonville",+NFL!#REF!,IF(+NFL!$H130="Jacksonville",+NFL!#REF!,0))</f>
        <v>#REF!</v>
      </c>
      <c r="BF276" s="46" t="e">
        <f>IF(+NFL!$F130="Jacksonville",+NFL!#REF!,IF(+NFL!$H130="Jacksonville",+NFL!#REF!,0))</f>
        <v>#REF!</v>
      </c>
      <c r="BG276" s="57" t="e">
        <f>IF(+NFL!$F130="Jacksonville",+NFL!#REF!,IF(+NFL!$H130="Jacksonville",+NFL!#REF!,0))</f>
        <v>#REF!</v>
      </c>
      <c r="BH276" s="64" t="e">
        <f>IF(+NFL!$F130="Jacksonville",+NFL!#REF!,IF(+NFL!$H130="Jacksonville",+NFL!#REF!,0))</f>
        <v>#REF!</v>
      </c>
      <c r="BI276" s="46" t="e">
        <f>IF(+NFL!$F130="Jacksonville",+NFL!#REF!,IF(+NFL!$H130="Jacksonville",+NFL!#REF!,0))</f>
        <v>#REF!</v>
      </c>
      <c r="BJ276" s="87" t="e">
        <f>IF(+NFL!$F130="Jacksonville",+NFL!#REF!,IF(+NFL!$H130="Jacksonville",+NFL!#REF!,0))</f>
        <v>#REF!</v>
      </c>
      <c r="BK276" s="120" t="e">
        <f>IF(+NFL!$F130="Jacksonville",+NFL!#REF!,IF(+NFL!$H130="Jacksonville",+NFL!#REF!,0))</f>
        <v>#REF!</v>
      </c>
    </row>
    <row r="277" spans="1:63" x14ac:dyDescent="0.8">
      <c r="A277" s="46">
        <f>IF(+NFL!$F174="Jacksonville",+NFL!A174,IF(+NFL!$H174="Jacksonville",+NFL!A174,0))</f>
        <v>10</v>
      </c>
      <c r="B277" s="348" t="str">
        <f>IF(+NFL!$F174="Jacksonville",+NFL!B174,IF(+NFL!$H174="Jacksonville",+NFL!B174,0))</f>
        <v>Sun</v>
      </c>
      <c r="C277" s="48">
        <f>IF(+NFL!$F174="Jacksonville",+NFL!C174,IF(+NFL!$H174="Jacksonville",+NFL!C174,0))</f>
        <v>44878</v>
      </c>
      <c r="D277" s="490">
        <f>IF(+NFL!$F174="Jacksonville",+NFL!D174,IF(+NFL!$H174="Jacksonville",+NFL!D174,0))</f>
        <v>0.54166666666666663</v>
      </c>
      <c r="E277" s="46" t="str">
        <f>IF(+NFL!$F174="Jacksonville",+NFL!E174,IF(+NFL!$H174="Jacksonville",+NFL!E174,0))</f>
        <v>CBS</v>
      </c>
      <c r="F277" s="114" t="str">
        <f>IF(+NFL!$F174="Jacksonville",+NFL!F174,IF(+NFL!$H174="Jacksonville",+NFL!F174,0))</f>
        <v>Jacksonville</v>
      </c>
      <c r="G277" s="46" t="str">
        <f>IF(+NFL!$F174="Jacksonville",+NFL!G174,IF(+NFL!$H174="Jacksonville",+NFL!G174,0))</f>
        <v>AFCS</v>
      </c>
      <c r="H277" s="114" t="str">
        <f>IF(+NFL!$F174="Jacksonville",+NFL!H174,IF(+NFL!$H174="Jacksonville",+NFL!H174,0))</f>
        <v>Kansas City</v>
      </c>
      <c r="I277" s="46" t="str">
        <f>IF(+NFL!$F174="Jacksonville",+NFL!I174,IF(+NFL!$H174="Jacksonville",+NFL!I174,0))</f>
        <v>AFCW</v>
      </c>
      <c r="J277" s="353" t="str">
        <f>IF(+NFL!$F174="Jacksonville",+NFL!J174,IF(+NFL!$H174="Jacksonville",+NFL!J174,0))</f>
        <v>Kansas City</v>
      </c>
      <c r="K277" s="494" t="str">
        <f>IF(+NFL!$F174="Jacksonville",+NFL!K174,IF(+NFL!$H174="Jacksonville",+NFL!K174,0))</f>
        <v>Jacksonville</v>
      </c>
      <c r="L277" s="384">
        <f>IF(+NFL!$F174="Jacksonville",+NFL!L174,IF(+NFL!$H174="Jacksonville",+NFL!L174,0))</f>
        <v>9.5</v>
      </c>
      <c r="M277" s="385">
        <f>IF(+NFL!$F174="Jacksonville",+NFL!M174,IF(+NFL!$H174="Jacksonville",+NFL!M174,0))</f>
        <v>50.5</v>
      </c>
      <c r="N277" s="394" t="str">
        <f>IF(+NFL!$F174="Jacksonville",+NFL!N174,IF(+NFL!$H174="Jacksonville",+NFL!N174,0))</f>
        <v>Kansas City</v>
      </c>
      <c r="O277" s="395">
        <f>IF(+NFL!$F174="Jacksonville",+NFL!O174,IF(+NFL!$H174="Jacksonville",+NFL!O174,0))</f>
        <v>27</v>
      </c>
      <c r="P277" s="394" t="str">
        <f>IF(+NFL!$F174="Jacksonville",+NFL!P174,IF(+NFL!$H174="Jacksonville",+NFL!P174,0))</f>
        <v>Jacksonville</v>
      </c>
      <c r="Q277" s="396">
        <f>IF(+NFL!$F174="Jacksonville",+NFL!Q174,IF(+NFL!$H174="Jacksonville",+NFL!Q174,0))</f>
        <v>17</v>
      </c>
      <c r="R277" s="397" t="str">
        <f>IF(+NFL!$F174="Jacksonville",+NFL!R174,IF(+NFL!$H174="Jacksonville",+NFL!R174,0))</f>
        <v>Kansas City</v>
      </c>
      <c r="S277" s="396" t="str">
        <f>IF(+NFL!$F174="Jacksonville",+NFL!S174,IF(+NFL!$H174="Jacksonville",+NFL!S174,0))</f>
        <v>Jacksonville</v>
      </c>
      <c r="T277" s="398" t="str">
        <f>IF(+NFL!$F174="Jacksonville",+NFL!T174,IF(+NFL!$H174="Jacksonville",+NFL!T174,0))</f>
        <v>Jacksonville</v>
      </c>
      <c r="U277" s="396" t="str">
        <f>IF(+NFL!$F174="Jacksonville",+NFL!U174,IF(+NFL!$H174="Jacksonville",+NFL!U174,0))</f>
        <v>L</v>
      </c>
      <c r="V277" s="397">
        <f>IF(+NFL!$F158="Jacksonville",+NFL!#REF!,IF(+NFL!$H158="Jacksonville",+NFL!#REF!,0))</f>
        <v>0</v>
      </c>
      <c r="W277" s="396">
        <f>IF(+NFL!$F158="Jacksonville",+NFL!#REF!,IF(+NFL!$H158="Jacksonville",+NFL!#REF!,0))</f>
        <v>0</v>
      </c>
      <c r="X277" s="398">
        <f>IF(+NFL!$F158="Jacksonville",+NFL!#REF!,IF(+NFL!$H158="Jacksonville",+NFL!#REF!,0))</f>
        <v>0</v>
      </c>
      <c r="Y277" s="396">
        <f>IF(+NFL!$F158="Jacksonville",+NFL!#REF!,IF(+NFL!$H158="Jacksonville",+NFL!#REF!,0))</f>
        <v>0</v>
      </c>
      <c r="Z277" s="397">
        <f>IF(+NFL!$F158="Jacksonville",+NFL!#REF!,IF(+NFL!$H158="Jacksonville",+NFL!#REF!,0))</f>
        <v>0</v>
      </c>
      <c r="AA277" s="396">
        <f>IF(+NFL!$F158="Jacksonville",+NFL!#REF!,IF(+NFL!$H158="Jacksonville",+NFL!#REF!,0))</f>
        <v>0</v>
      </c>
      <c r="AB277" s="87">
        <f>IF(+NFL!$F158="Jacksonville",+NFL!#REF!,IF(+NFL!$H158="Jacksonville",+NFL!#REF!,0))</f>
        <v>0</v>
      </c>
      <c r="AC277" s="120">
        <f>IF(+NFL!$F158="Jacksonville",+NFL!#REF!,IF(+NFL!$H158="Jacksonville",+NFL!#REF!,0))</f>
        <v>0</v>
      </c>
      <c r="AD277" s="353">
        <f>IF(+NFL!$F158="Jacksonville",+NFL!#REF!,IF(+NFL!$H158="Jacksonville",+NFL!#REF!,0))</f>
        <v>0</v>
      </c>
      <c r="AE277" s="379">
        <f>IF(+NFL!$F158="Jacksonville",+NFL!#REF!,IF(+NFL!$H158="Jacksonville",+NFL!#REF!,0))</f>
        <v>0</v>
      </c>
      <c r="AF277" s="353">
        <f>IF(+NFL!$F158="Jacksonville",+NFL!#REF!,IF(+NFL!$H158="Jacksonville",+NFL!#REF!,0))</f>
        <v>0</v>
      </c>
      <c r="AG277" s="379">
        <f>IF(+NFL!$F158="Jacksonville",+NFL!#REF!,IF(+NFL!$H158="Jacksonville",+NFL!#REF!,0))</f>
        <v>0</v>
      </c>
      <c r="AH277" s="353">
        <f>IF(+NFL!$F158="Jacksonville",+NFL!#REF!,IF(+NFL!$H158="Jacksonville",+NFL!#REF!,0))</f>
        <v>0</v>
      </c>
      <c r="AI277" s="379">
        <f>IF(+NFL!$F158="Jacksonville",+NFL!#REF!,IF(+NFL!$H158="Jacksonville",+NFL!#REF!,0))</f>
        <v>0</v>
      </c>
      <c r="AJ277" s="353">
        <f>IF(+NFL!$F158="Jacksonville",+NFL!#REF!,IF(+NFL!$H158="Jacksonville",+NFL!#REF!,0))</f>
        <v>0</v>
      </c>
      <c r="AK277" s="379">
        <f>IF(+NFL!$F158="Jacksonville",+NFL!#REF!,IF(+NFL!$H158="Jacksonville",+NFL!#REF!,0))</f>
        <v>0</v>
      </c>
      <c r="AL277" s="69">
        <f>IF(+NFL!$F158="Jacksonville",+NFL!#REF!,IF(+NFL!$H158="Jacksonville",+NFL!#REF!,0))</f>
        <v>0</v>
      </c>
      <c r="AM277" s="58">
        <f>IF(+NFL!$F158="Jacksonville",+NFL!#REF!,IF(+NFL!$H158="Jacksonville",+NFL!#REF!,0))</f>
        <v>0</v>
      </c>
      <c r="AN277" s="70">
        <f>IF(+NFL!$F158="Jacksonville",+NFL!#REF!,IF(+NFL!$H158="Jacksonville",+NFL!#REF!,0))</f>
        <v>0</v>
      </c>
      <c r="AO277" s="59">
        <f>IF(+NFL!$F158="Jacksonville",+NFL!#REF!,IF(+NFL!$H158="Jacksonville",+NFL!#REF!,0))</f>
        <v>0</v>
      </c>
      <c r="AP277" s="348">
        <f>IF(+NFL!$F158="Jacksonville",+NFL!#REF!,IF(+NFL!$H158="Jacksonville",+NFL!#REF!,0))</f>
        <v>0</v>
      </c>
      <c r="AQ277" s="48">
        <f>IF(+NFL!$F158="Jacksonville",+NFL!#REF!,IF(+NFL!$H158="Jacksonville",+NFL!#REF!,0))</f>
        <v>0</v>
      </c>
      <c r="AR277" s="57">
        <f>IF(+NFL!$F158="Jacksonville",+NFL!#REF!,IF(+NFL!$H158="Jacksonville",+NFL!#REF!,0))</f>
        <v>0</v>
      </c>
      <c r="AS277" s="64">
        <f>IF(+NFL!$F158="Jacksonville",+NFL!#REF!,IF(+NFL!$H158="Jacksonville",+NFL!#REF!,0))</f>
        <v>0</v>
      </c>
      <c r="AT277" s="64">
        <f>IF(+NFL!$F158="Jacksonville",+NFL!#REF!,IF(+NFL!$H158="Jacksonville",+NFL!#REF!,0))</f>
        <v>0</v>
      </c>
      <c r="AU277" s="57">
        <f>IF(+NFL!$F158="Jacksonville",+NFL!#REF!,IF(+NFL!$H158="Jacksonville",+NFL!#REF!,0))</f>
        <v>0</v>
      </c>
      <c r="AV277" s="64">
        <f>IF(+NFL!$F158="Jacksonville",+NFL!#REF!,IF(+NFL!$H158="Jacksonville",+NFL!#REF!,0))</f>
        <v>0</v>
      </c>
      <c r="AW277" s="46">
        <f>IF(+NFL!$F158="Jacksonville",+NFL!#REF!,IF(+NFL!$H158="Jacksonville",+NFL!#REF!,0))</f>
        <v>0</v>
      </c>
      <c r="AX277" s="64">
        <f>IF(+NFL!$F158="Jacksonville",+NFL!#REF!,IF(+NFL!$H158="Jacksonville",+NFL!#REF!,0))</f>
        <v>0</v>
      </c>
      <c r="AY277" s="57">
        <f>IF(+NFL!$F158="Jacksonville",+NFL!#REF!,IF(+NFL!$H158="Jacksonville",+NFL!#REF!,0))</f>
        <v>0</v>
      </c>
      <c r="AZ277" s="64">
        <f>IF(+NFL!$F158="Jacksonville",+NFL!#REF!,IF(+NFL!$H158="Jacksonville",+NFL!#REF!,0))</f>
        <v>0</v>
      </c>
      <c r="BA277" s="46">
        <f>IF(+NFL!$F158="Jacksonville",+NFL!#REF!,IF(+NFL!$H158="Jacksonville",+NFL!#REF!,0))</f>
        <v>0</v>
      </c>
      <c r="BB277" s="46">
        <f>IF(+NFL!$F158="Jacksonville",+NFL!#REF!,IF(+NFL!$H158="Jacksonville",+NFL!#REF!,0))</f>
        <v>0</v>
      </c>
      <c r="BC277" s="403">
        <f>IF(+NFL!$F158="Jacksonville",+NFL!#REF!,IF(+NFL!$H158="Jacksonville",+NFL!#REF!,0))</f>
        <v>0</v>
      </c>
      <c r="BD277" s="57">
        <f>IF(+NFL!$F158="Jacksonville",+NFL!#REF!,IF(+NFL!$H158="Jacksonville",+NFL!#REF!,0))</f>
        <v>0</v>
      </c>
      <c r="BE277" s="64">
        <f>IF(+NFL!$F158="Jacksonville",+NFL!#REF!,IF(+NFL!$H158="Jacksonville",+NFL!#REF!,0))</f>
        <v>0</v>
      </c>
      <c r="BF277" s="46">
        <f>IF(+NFL!$F158="Jacksonville",+NFL!#REF!,IF(+NFL!$H158="Jacksonville",+NFL!#REF!,0))</f>
        <v>0</v>
      </c>
      <c r="BG277" s="57">
        <f>IF(+NFL!$F158="Jacksonville",+NFL!#REF!,IF(+NFL!$H158="Jacksonville",+NFL!#REF!,0))</f>
        <v>0</v>
      </c>
      <c r="BH277" s="64">
        <f>IF(+NFL!$F158="Jacksonville",+NFL!#REF!,IF(+NFL!$H158="Jacksonville",+NFL!#REF!,0))</f>
        <v>0</v>
      </c>
      <c r="BI277" s="46">
        <f>IF(+NFL!$F158="Jacksonville",+NFL!#REF!,IF(+NFL!$H158="Jacksonville",+NFL!#REF!,0))</f>
        <v>0</v>
      </c>
      <c r="BJ277" s="87">
        <f>IF(+NFL!$F158="Jacksonville",+NFL!#REF!,IF(+NFL!$H158="Jacksonville",+NFL!#REF!,0))</f>
        <v>0</v>
      </c>
      <c r="BK277" s="120">
        <f>IF(+NFL!$F158="Jacksonville",+NFL!#REF!,IF(+NFL!$H158="Jacksonville",+NFL!#REF!,0))</f>
        <v>0</v>
      </c>
    </row>
    <row r="278" spans="1:63" x14ac:dyDescent="0.8">
      <c r="A278" s="46">
        <f>IF(+NFL!$F207="Jacksonville",+NFL!A207,IF(+NFL!$H207="Jacksonville",+NFL!A207,0))</f>
        <v>11</v>
      </c>
      <c r="B278" s="348">
        <f>IF(+NFL!$F207="Jacksonville",+NFL!B207,IF(+NFL!$H207="Jacksonville",+NFL!B207,0))</f>
        <v>0</v>
      </c>
      <c r="C278" s="48">
        <f>IF(+NFL!$F207="Jacksonville",+NFL!C207,IF(+NFL!$H207="Jacksonville",+NFL!C207,0))</f>
        <v>0</v>
      </c>
      <c r="D278" s="490">
        <f>IF(+NFL!$F207="Jacksonville",+NFL!D207,IF(+NFL!$H207="Jacksonville",+NFL!D207,0))</f>
        <v>0</v>
      </c>
      <c r="E278" s="46">
        <f>IF(+NFL!$F207="Jacksonville",+NFL!E207,IF(+NFL!$H207="Jacksonville",+NFL!E207,0))</f>
        <v>0</v>
      </c>
      <c r="F278" s="114" t="str">
        <f>IF(+NFL!$F207="Jacksonville",+NFL!F207,IF(+NFL!$H207="Jacksonville",+NFL!F207,0))</f>
        <v>Jacksonville</v>
      </c>
      <c r="G278" s="46" t="str">
        <f>IF(+NFL!$F207="Jacksonville",+NFL!G207,IF(+NFL!$H207="Jacksonville",+NFL!G207,0))</f>
        <v>AFCS</v>
      </c>
      <c r="H278" s="114">
        <f>IF(+NFL!$F207="Jacksonville",+NFL!H207,IF(+NFL!$H207="Jacksonville",+NFL!H207,0))</f>
        <v>0</v>
      </c>
      <c r="I278" s="46">
        <f>IF(+NFL!$F207="Jacksonville",+NFL!I207,IF(+NFL!$H207="Jacksonville",+NFL!I207,0))</f>
        <v>0</v>
      </c>
      <c r="J278" s="353">
        <f>IF(+NFL!$F207="Jacksonville",+NFL!J207,IF(+NFL!$H207="Jacksonville",+NFL!J207,0))</f>
        <v>0</v>
      </c>
      <c r="K278" s="494">
        <f>IF(+NFL!$F207="Jacksonville",+NFL!K207,IF(+NFL!$H207="Jacksonville",+NFL!K207,0))</f>
        <v>0</v>
      </c>
      <c r="L278" s="384">
        <f>IF(+NFL!$F207="Jacksonville",+NFL!L207,IF(+NFL!$H207="Jacksonville",+NFL!L207,0))</f>
        <v>0</v>
      </c>
      <c r="M278" s="385">
        <f>IF(+NFL!$F207="Jacksonville",+NFL!M207,IF(+NFL!$H207="Jacksonville",+NFL!M207,0))</f>
        <v>0</v>
      </c>
      <c r="N278" s="394">
        <f>IF(+NFL!$F207="Jacksonville",+NFL!N207,IF(+NFL!$H207="Jacksonville",+NFL!N207,0))</f>
        <v>0</v>
      </c>
      <c r="O278" s="395">
        <f>IF(+NFL!$F207="Jacksonville",+NFL!O207,IF(+NFL!$H207="Jacksonville",+NFL!O207,0))</f>
        <v>0</v>
      </c>
      <c r="P278" s="394">
        <f>IF(+NFL!$F207="Jacksonville",+NFL!P207,IF(+NFL!$H207="Jacksonville",+NFL!P207,0))</f>
        <v>0</v>
      </c>
      <c r="Q278" s="396">
        <f>IF(+NFL!$F207="Jacksonville",+NFL!Q207,IF(+NFL!$H207="Jacksonville",+NFL!Q207,0))</f>
        <v>0</v>
      </c>
      <c r="R278" s="397">
        <f>IF(+NFL!$F207="Jacksonville",+NFL!R207,IF(+NFL!$H207="Jacksonville",+NFL!R207,0))</f>
        <v>0</v>
      </c>
      <c r="S278" s="396">
        <f>IF(+NFL!$F207="Jacksonville",+NFL!S207,IF(+NFL!$H207="Jacksonville",+NFL!S207,0))</f>
        <v>0</v>
      </c>
      <c r="T278" s="398">
        <f>IF(+NFL!$F207="Jacksonville",+NFL!T207,IF(+NFL!$H207="Jacksonville",+NFL!T207,0))</f>
        <v>0</v>
      </c>
      <c r="U278" s="396">
        <f>IF(+NFL!$F207="Jacksonville",+NFL!U207,IF(+NFL!$H207="Jacksonville",+NFL!U207,0))</f>
        <v>0</v>
      </c>
      <c r="V278" s="397" t="e">
        <f>IF(+NFL!$F174="Jacksonville",+NFL!#REF!,IF(+NFL!$H174="Jacksonville",+NFL!#REF!,0))</f>
        <v>#REF!</v>
      </c>
      <c r="W278" s="396" t="e">
        <f>IF(+NFL!$F174="Jacksonville",+NFL!#REF!,IF(+NFL!$H174="Jacksonville",+NFL!#REF!,0))</f>
        <v>#REF!</v>
      </c>
      <c r="X278" s="398" t="e">
        <f>IF(+NFL!$F174="Jacksonville",+NFL!#REF!,IF(+NFL!$H174="Jacksonville",+NFL!#REF!,0))</f>
        <v>#REF!</v>
      </c>
      <c r="Y278" s="396" t="e">
        <f>IF(+NFL!$F174="Jacksonville",+NFL!#REF!,IF(+NFL!$H174="Jacksonville",+NFL!#REF!,0))</f>
        <v>#REF!</v>
      </c>
      <c r="Z278" s="397" t="e">
        <f>IF(+NFL!$F174="Jacksonville",+NFL!#REF!,IF(+NFL!$H174="Jacksonville",+NFL!#REF!,0))</f>
        <v>#REF!</v>
      </c>
      <c r="AA278" s="396" t="e">
        <f>IF(+NFL!$F174="Jacksonville",+NFL!#REF!,IF(+NFL!$H174="Jacksonville",+NFL!#REF!,0))</f>
        <v>#REF!</v>
      </c>
      <c r="AB278" s="87" t="e">
        <f>IF(+NFL!$F174="Jacksonville",+NFL!#REF!,IF(+NFL!$H174="Jacksonville",+NFL!#REF!,0))</f>
        <v>#REF!</v>
      </c>
      <c r="AC278" s="120" t="e">
        <f>IF(+NFL!$F174="Jacksonville",+NFL!#REF!,IF(+NFL!$H174="Jacksonville",+NFL!#REF!,0))</f>
        <v>#REF!</v>
      </c>
      <c r="AD278" s="353" t="e">
        <f>IF(+NFL!$F174="Jacksonville",+NFL!#REF!,IF(+NFL!$H174="Jacksonville",+NFL!#REF!,0))</f>
        <v>#REF!</v>
      </c>
      <c r="AE278" s="379" t="e">
        <f>IF(+NFL!$F174="Jacksonville",+NFL!#REF!,IF(+NFL!$H174="Jacksonville",+NFL!#REF!,0))</f>
        <v>#REF!</v>
      </c>
      <c r="AF278" s="353" t="e">
        <f>IF(+NFL!$F174="Jacksonville",+NFL!#REF!,IF(+NFL!$H174="Jacksonville",+NFL!#REF!,0))</f>
        <v>#REF!</v>
      </c>
      <c r="AG278" s="379" t="e">
        <f>IF(+NFL!$F174="Jacksonville",+NFL!#REF!,IF(+NFL!$H174="Jacksonville",+NFL!#REF!,0))</f>
        <v>#REF!</v>
      </c>
      <c r="AH278" s="353" t="e">
        <f>IF(+NFL!$F174="Jacksonville",+NFL!#REF!,IF(+NFL!$H174="Jacksonville",+NFL!#REF!,0))</f>
        <v>#REF!</v>
      </c>
      <c r="AI278" s="379" t="e">
        <f>IF(+NFL!$F174="Jacksonville",+NFL!#REF!,IF(+NFL!$H174="Jacksonville",+NFL!#REF!,0))</f>
        <v>#REF!</v>
      </c>
      <c r="AJ278" s="353" t="e">
        <f>IF(+NFL!$F174="Jacksonville",+NFL!#REF!,IF(+NFL!$H174="Jacksonville",+NFL!#REF!,0))</f>
        <v>#REF!</v>
      </c>
      <c r="AK278" s="379" t="e">
        <f>IF(+NFL!$F174="Jacksonville",+NFL!#REF!,IF(+NFL!$H174="Jacksonville",+NFL!#REF!,0))</f>
        <v>#REF!</v>
      </c>
      <c r="AL278" s="69" t="e">
        <f>IF(+NFL!$F174="Jacksonville",+NFL!#REF!,IF(+NFL!$H174="Jacksonville",+NFL!#REF!,0))</f>
        <v>#REF!</v>
      </c>
      <c r="AM278" s="58" t="e">
        <f>IF(+NFL!$F174="Jacksonville",+NFL!#REF!,IF(+NFL!$H174="Jacksonville",+NFL!#REF!,0))</f>
        <v>#REF!</v>
      </c>
      <c r="AN278" s="70" t="e">
        <f>IF(+NFL!$F174="Jacksonville",+NFL!#REF!,IF(+NFL!$H174="Jacksonville",+NFL!#REF!,0))</f>
        <v>#REF!</v>
      </c>
      <c r="AO278" s="59" t="e">
        <f>IF(+NFL!$F174="Jacksonville",+NFL!#REF!,IF(+NFL!$H174="Jacksonville",+NFL!#REF!,0))</f>
        <v>#REF!</v>
      </c>
      <c r="AP278" s="348" t="e">
        <f>IF(+NFL!$F174="Jacksonville",+NFL!#REF!,IF(+NFL!$H174="Jacksonville",+NFL!#REF!,0))</f>
        <v>#REF!</v>
      </c>
      <c r="AQ278" s="48" t="e">
        <f>IF(+NFL!$F174="Jacksonville",+NFL!#REF!,IF(+NFL!$H174="Jacksonville",+NFL!#REF!,0))</f>
        <v>#REF!</v>
      </c>
      <c r="AR278" s="57" t="e">
        <f>IF(+NFL!$F174="Jacksonville",+NFL!#REF!,IF(+NFL!$H174="Jacksonville",+NFL!#REF!,0))</f>
        <v>#REF!</v>
      </c>
      <c r="AS278" s="64" t="e">
        <f>IF(+NFL!$F174="Jacksonville",+NFL!#REF!,IF(+NFL!$H174="Jacksonville",+NFL!#REF!,0))</f>
        <v>#REF!</v>
      </c>
      <c r="AT278" s="64" t="e">
        <f>IF(+NFL!$F174="Jacksonville",+NFL!#REF!,IF(+NFL!$H174="Jacksonville",+NFL!#REF!,0))</f>
        <v>#REF!</v>
      </c>
      <c r="AU278" s="57" t="e">
        <f>IF(+NFL!$F174="Jacksonville",+NFL!#REF!,IF(+NFL!$H174="Jacksonville",+NFL!#REF!,0))</f>
        <v>#REF!</v>
      </c>
      <c r="AV278" s="64" t="e">
        <f>IF(+NFL!$F174="Jacksonville",+NFL!#REF!,IF(+NFL!$H174="Jacksonville",+NFL!#REF!,0))</f>
        <v>#REF!</v>
      </c>
      <c r="AW278" s="46" t="e">
        <f>IF(+NFL!$F174="Jacksonville",+NFL!#REF!,IF(+NFL!$H174="Jacksonville",+NFL!#REF!,0))</f>
        <v>#REF!</v>
      </c>
      <c r="AX278" s="64" t="e">
        <f>IF(+NFL!$F174="Jacksonville",+NFL!#REF!,IF(+NFL!$H174="Jacksonville",+NFL!#REF!,0))</f>
        <v>#REF!</v>
      </c>
      <c r="AY278" s="57" t="e">
        <f>IF(+NFL!$F174="Jacksonville",+NFL!#REF!,IF(+NFL!$H174="Jacksonville",+NFL!#REF!,0))</f>
        <v>#REF!</v>
      </c>
      <c r="AZ278" s="64" t="e">
        <f>IF(+NFL!$F174="Jacksonville",+NFL!#REF!,IF(+NFL!$H174="Jacksonville",+NFL!#REF!,0))</f>
        <v>#REF!</v>
      </c>
      <c r="BA278" s="46" t="e">
        <f>IF(+NFL!$F174="Jacksonville",+NFL!#REF!,IF(+NFL!$H174="Jacksonville",+NFL!#REF!,0))</f>
        <v>#REF!</v>
      </c>
      <c r="BB278" s="46" t="e">
        <f>IF(+NFL!$F174="Jacksonville",+NFL!#REF!,IF(+NFL!$H174="Jacksonville",+NFL!#REF!,0))</f>
        <v>#REF!</v>
      </c>
      <c r="BC278" s="403" t="e">
        <f>IF(+NFL!$F174="Jacksonville",+NFL!#REF!,IF(+NFL!$H174="Jacksonville",+NFL!#REF!,0))</f>
        <v>#REF!</v>
      </c>
      <c r="BD278" s="57" t="e">
        <f>IF(+NFL!$F174="Jacksonville",+NFL!#REF!,IF(+NFL!$H174="Jacksonville",+NFL!#REF!,0))</f>
        <v>#REF!</v>
      </c>
      <c r="BE278" s="64" t="e">
        <f>IF(+NFL!$F174="Jacksonville",+NFL!#REF!,IF(+NFL!$H174="Jacksonville",+NFL!#REF!,0))</f>
        <v>#REF!</v>
      </c>
      <c r="BF278" s="46" t="e">
        <f>IF(+NFL!$F174="Jacksonville",+NFL!#REF!,IF(+NFL!$H174="Jacksonville",+NFL!#REF!,0))</f>
        <v>#REF!</v>
      </c>
      <c r="BG278" s="57" t="e">
        <f>IF(+NFL!$F174="Jacksonville",+NFL!#REF!,IF(+NFL!$H174="Jacksonville",+NFL!#REF!,0))</f>
        <v>#REF!</v>
      </c>
      <c r="BH278" s="64" t="e">
        <f>IF(+NFL!$F174="Jacksonville",+NFL!#REF!,IF(+NFL!$H174="Jacksonville",+NFL!#REF!,0))</f>
        <v>#REF!</v>
      </c>
      <c r="BI278" s="46" t="e">
        <f>IF(+NFL!$F174="Jacksonville",+NFL!#REF!,IF(+NFL!$H174="Jacksonville",+NFL!#REF!,0))</f>
        <v>#REF!</v>
      </c>
      <c r="BJ278" s="87" t="e">
        <f>IF(+NFL!$F174="Jacksonville",+NFL!#REF!,IF(+NFL!$H174="Jacksonville",+NFL!#REF!,0))</f>
        <v>#REF!</v>
      </c>
      <c r="BK278" s="120" t="e">
        <f>IF(+NFL!$F174="Jacksonville",+NFL!#REF!,IF(+NFL!$H174="Jacksonville",+NFL!#REF!,0))</f>
        <v>#REF!</v>
      </c>
    </row>
    <row r="279" spans="1:63" x14ac:dyDescent="0.8">
      <c r="A279" s="46">
        <f>IF(+NFL!$F218="Jacksonville",+NFL!A218,IF(+NFL!$H218="Jacksonville",+NFL!A218,0))</f>
        <v>12</v>
      </c>
      <c r="B279" s="348" t="str">
        <f>IF(+NFL!$F218="Jacksonville",+NFL!B218,IF(+NFL!$H218="Jacksonville",+NFL!B218,0))</f>
        <v>Sun</v>
      </c>
      <c r="C279" s="48">
        <f>IF(+NFL!$F218="Jacksonville",+NFL!C218,IF(+NFL!$H218="Jacksonville",+NFL!C218,0))</f>
        <v>44892</v>
      </c>
      <c r="D279" s="490">
        <f>IF(+NFL!$F218="Jacksonville",+NFL!D218,IF(+NFL!$H218="Jacksonville",+NFL!D218,0))</f>
        <v>0.54166666666666663</v>
      </c>
      <c r="E279" s="46" t="str">
        <f>IF(+NFL!$F218="Jacksonville",+NFL!E218,IF(+NFL!$H218="Jacksonville",+NFL!E218,0))</f>
        <v>CBS</v>
      </c>
      <c r="F279" s="114" t="str">
        <f>IF(+NFL!$F218="Jacksonville",+NFL!F218,IF(+NFL!$H218="Jacksonville",+NFL!F218,0))</f>
        <v>Baltimore</v>
      </c>
      <c r="G279" s="46" t="str">
        <f>IF(+NFL!$F218="Jacksonville",+NFL!G218,IF(+NFL!$H218="Jacksonville",+NFL!G218,0))</f>
        <v>AFCN</v>
      </c>
      <c r="H279" s="114" t="str">
        <f>IF(+NFL!$F218="Jacksonville",+NFL!H218,IF(+NFL!$H218="Jacksonville",+NFL!H218,0))</f>
        <v>Jacksonville</v>
      </c>
      <c r="I279" s="46" t="str">
        <f>IF(+NFL!$F218="Jacksonville",+NFL!I218,IF(+NFL!$H218="Jacksonville",+NFL!I218,0))</f>
        <v>AFCS</v>
      </c>
      <c r="J279" s="353" t="str">
        <f>IF(+NFL!$F218="Jacksonville",+NFL!J218,IF(+NFL!$H218="Jacksonville",+NFL!J218,0))</f>
        <v>Baltimore</v>
      </c>
      <c r="K279" s="494" t="str">
        <f>IF(+NFL!$F218="Jacksonville",+NFL!K218,IF(+NFL!$H218="Jacksonville",+NFL!K218,0))</f>
        <v>Jacksonville</v>
      </c>
      <c r="L279" s="384">
        <f>IF(+NFL!$F218="Jacksonville",+NFL!L218,IF(+NFL!$H218="Jacksonville",+NFL!L218,0))</f>
        <v>3.5</v>
      </c>
      <c r="M279" s="385">
        <f>IF(+NFL!$F218="Jacksonville",+NFL!M218,IF(+NFL!$H218="Jacksonville",+NFL!M218,0))</f>
        <v>43.5</v>
      </c>
      <c r="N279" s="394" t="str">
        <f>IF(+NFL!$F218="Jacksonville",+NFL!N218,IF(+NFL!$H218="Jacksonville",+NFL!N218,0))</f>
        <v>Jacksonville</v>
      </c>
      <c r="O279" s="395">
        <f>IF(+NFL!$F218="Jacksonville",+NFL!O218,IF(+NFL!$H218="Jacksonville",+NFL!O218,0))</f>
        <v>28</v>
      </c>
      <c r="P279" s="394" t="str">
        <f>IF(+NFL!$F218="Jacksonville",+NFL!P218,IF(+NFL!$H218="Jacksonville",+NFL!P218,0))</f>
        <v>Baltimore</v>
      </c>
      <c r="Q279" s="396">
        <f>IF(+NFL!$F218="Jacksonville",+NFL!Q218,IF(+NFL!$H218="Jacksonville",+NFL!Q218,0))</f>
        <v>27</v>
      </c>
      <c r="R279" s="397" t="str">
        <f>IF(+NFL!$F218="Jacksonville",+NFL!R218,IF(+NFL!$H218="Jacksonville",+NFL!R218,0))</f>
        <v>Jacksonville</v>
      </c>
      <c r="S279" s="396" t="str">
        <f>IF(+NFL!$F218="Jacksonville",+NFL!S218,IF(+NFL!$H218="Jacksonville",+NFL!S218,0))</f>
        <v>Baltimore</v>
      </c>
      <c r="T279" s="398" t="str">
        <f>IF(+NFL!$F218="Jacksonville",+NFL!T218,IF(+NFL!$H218="Jacksonville",+NFL!T218,0))</f>
        <v>Baltimore</v>
      </c>
      <c r="U279" s="396" t="str">
        <f>IF(+NFL!$F218="Jacksonville",+NFL!U218,IF(+NFL!$H218="Jacksonville",+NFL!U218,0))</f>
        <v>L</v>
      </c>
      <c r="V279" s="397">
        <f>IF(+NFL!$F213="Jacksonville",+NFL!#REF!,IF(+NFL!$H213="Jacksonville",+NFL!#REF!,0))</f>
        <v>0</v>
      </c>
      <c r="W279" s="396">
        <f>IF(+NFL!$F213="Jacksonville",+NFL!#REF!,IF(+NFL!$H213="Jacksonville",+NFL!#REF!,0))</f>
        <v>0</v>
      </c>
      <c r="X279" s="398">
        <f>IF(+NFL!$F213="Jacksonville",+NFL!#REF!,IF(+NFL!$H213="Jacksonville",+NFL!#REF!,0))</f>
        <v>0</v>
      </c>
      <c r="Y279" s="396">
        <f>IF(+NFL!$F213="Jacksonville",+NFL!#REF!,IF(+NFL!$H213="Jacksonville",+NFL!#REF!,0))</f>
        <v>0</v>
      </c>
      <c r="Z279" s="397">
        <f>IF(+NFL!$F213="Jacksonville",+NFL!#REF!,IF(+NFL!$H213="Jacksonville",+NFL!#REF!,0))</f>
        <v>0</v>
      </c>
      <c r="AA279" s="396">
        <f>IF(+NFL!$F213="Jacksonville",+NFL!#REF!,IF(+NFL!$H213="Jacksonville",+NFL!#REF!,0))</f>
        <v>0</v>
      </c>
      <c r="AB279" s="87">
        <f>IF(+NFL!$F213="Jacksonville",+NFL!#REF!,IF(+NFL!$H213="Jacksonville",+NFL!#REF!,0))</f>
        <v>0</v>
      </c>
      <c r="AC279" s="120">
        <f>IF(+NFL!$F213="Jacksonville",+NFL!#REF!,IF(+NFL!$H213="Jacksonville",+NFL!#REF!,0))</f>
        <v>0</v>
      </c>
      <c r="AD279" s="353">
        <f>IF(+NFL!$F213="Jacksonville",+NFL!#REF!,IF(+NFL!$H213="Jacksonville",+NFL!#REF!,0))</f>
        <v>0</v>
      </c>
      <c r="AE279" s="379">
        <f>IF(+NFL!$F213="Jacksonville",+NFL!#REF!,IF(+NFL!$H213="Jacksonville",+NFL!#REF!,0))</f>
        <v>0</v>
      </c>
      <c r="AF279" s="353">
        <f>IF(+NFL!$F213="Jacksonville",+NFL!#REF!,IF(+NFL!$H213="Jacksonville",+NFL!#REF!,0))</f>
        <v>0</v>
      </c>
      <c r="AG279" s="379">
        <f>IF(+NFL!$F213="Jacksonville",+NFL!#REF!,IF(+NFL!$H213="Jacksonville",+NFL!#REF!,0))</f>
        <v>0</v>
      </c>
      <c r="AH279" s="353">
        <f>IF(+NFL!$F213="Jacksonville",+NFL!#REF!,IF(+NFL!$H213="Jacksonville",+NFL!#REF!,0))</f>
        <v>0</v>
      </c>
      <c r="AI279" s="379">
        <f>IF(+NFL!$F213="Jacksonville",+NFL!#REF!,IF(+NFL!$H213="Jacksonville",+NFL!#REF!,0))</f>
        <v>0</v>
      </c>
      <c r="AJ279" s="353">
        <f>IF(+NFL!$F213="Jacksonville",+NFL!#REF!,IF(+NFL!$H213="Jacksonville",+NFL!#REF!,0))</f>
        <v>0</v>
      </c>
      <c r="AK279" s="379">
        <f>IF(+NFL!$F213="Jacksonville",+NFL!#REF!,IF(+NFL!$H213="Jacksonville",+NFL!#REF!,0))</f>
        <v>0</v>
      </c>
      <c r="AL279" s="69">
        <f>IF(+NFL!$F213="Jacksonville",+NFL!#REF!,IF(+NFL!$H213="Jacksonville",+NFL!#REF!,0))</f>
        <v>0</v>
      </c>
      <c r="AM279" s="58">
        <f>IF(+NFL!$F213="Jacksonville",+NFL!#REF!,IF(+NFL!$H213="Jacksonville",+NFL!#REF!,0))</f>
        <v>0</v>
      </c>
      <c r="AN279" s="70">
        <f>IF(+NFL!$F213="Jacksonville",+NFL!#REF!,IF(+NFL!$H213="Jacksonville",+NFL!#REF!,0))</f>
        <v>0</v>
      </c>
      <c r="AO279" s="59">
        <f>IF(+NFL!$F213="Jacksonville",+NFL!#REF!,IF(+NFL!$H213="Jacksonville",+NFL!#REF!,0))</f>
        <v>0</v>
      </c>
      <c r="AP279" s="348">
        <f>IF(+NFL!$F213="Jacksonville",+NFL!#REF!,IF(+NFL!$H213="Jacksonville",+NFL!#REF!,0))</f>
        <v>0</v>
      </c>
      <c r="AQ279" s="48">
        <f>IF(+NFL!$F213="Jacksonville",+NFL!#REF!,IF(+NFL!$H213="Jacksonville",+NFL!#REF!,0))</f>
        <v>0</v>
      </c>
      <c r="AR279" s="57">
        <f>IF(+NFL!$F213="Jacksonville",+NFL!#REF!,IF(+NFL!$H213="Jacksonville",+NFL!#REF!,0))</f>
        <v>0</v>
      </c>
      <c r="AS279" s="64">
        <f>IF(+NFL!$F213="Jacksonville",+NFL!#REF!,IF(+NFL!$H213="Jacksonville",+NFL!#REF!,0))</f>
        <v>0</v>
      </c>
      <c r="AT279" s="64">
        <f>IF(+NFL!$F213="Jacksonville",+NFL!#REF!,IF(+NFL!$H213="Jacksonville",+NFL!#REF!,0))</f>
        <v>0</v>
      </c>
      <c r="AU279" s="57">
        <f>IF(+NFL!$F213="Jacksonville",+NFL!#REF!,IF(+NFL!$H213="Jacksonville",+NFL!#REF!,0))</f>
        <v>0</v>
      </c>
      <c r="AV279" s="64">
        <f>IF(+NFL!$F213="Jacksonville",+NFL!#REF!,IF(+NFL!$H213="Jacksonville",+NFL!#REF!,0))</f>
        <v>0</v>
      </c>
      <c r="AW279" s="46">
        <f>IF(+NFL!$F213="Jacksonville",+NFL!#REF!,IF(+NFL!$H213="Jacksonville",+NFL!#REF!,0))</f>
        <v>0</v>
      </c>
      <c r="AX279" s="64">
        <f>IF(+NFL!$F213="Jacksonville",+NFL!#REF!,IF(+NFL!$H213="Jacksonville",+NFL!#REF!,0))</f>
        <v>0</v>
      </c>
      <c r="AY279" s="57">
        <f>IF(+NFL!$F213="Jacksonville",+NFL!#REF!,IF(+NFL!$H213="Jacksonville",+NFL!#REF!,0))</f>
        <v>0</v>
      </c>
      <c r="AZ279" s="64">
        <f>IF(+NFL!$F213="Jacksonville",+NFL!#REF!,IF(+NFL!$H213="Jacksonville",+NFL!#REF!,0))</f>
        <v>0</v>
      </c>
      <c r="BA279" s="46">
        <f>IF(+NFL!$F213="Jacksonville",+NFL!#REF!,IF(+NFL!$H213="Jacksonville",+NFL!#REF!,0))</f>
        <v>0</v>
      </c>
      <c r="BB279" s="46">
        <f>IF(+NFL!$F213="Jacksonville",+NFL!#REF!,IF(+NFL!$H213="Jacksonville",+NFL!#REF!,0))</f>
        <v>0</v>
      </c>
      <c r="BC279" s="403">
        <f>IF(+NFL!$F213="Jacksonville",+NFL!#REF!,IF(+NFL!$H213="Jacksonville",+NFL!#REF!,0))</f>
        <v>0</v>
      </c>
      <c r="BD279" s="57">
        <f>IF(+NFL!$F213="Jacksonville",+NFL!#REF!,IF(+NFL!$H213="Jacksonville",+NFL!#REF!,0))</f>
        <v>0</v>
      </c>
      <c r="BE279" s="64">
        <f>IF(+NFL!$F213="Jacksonville",+NFL!#REF!,IF(+NFL!$H213="Jacksonville",+NFL!#REF!,0))</f>
        <v>0</v>
      </c>
      <c r="BF279" s="46">
        <f>IF(+NFL!$F213="Jacksonville",+NFL!#REF!,IF(+NFL!$H213="Jacksonville",+NFL!#REF!,0))</f>
        <v>0</v>
      </c>
      <c r="BG279" s="57">
        <f>IF(+NFL!$F213="Jacksonville",+NFL!#REF!,IF(+NFL!$H213="Jacksonville",+NFL!#REF!,0))</f>
        <v>0</v>
      </c>
      <c r="BH279" s="64">
        <f>IF(+NFL!$F213="Jacksonville",+NFL!#REF!,IF(+NFL!$H213="Jacksonville",+NFL!#REF!,0))</f>
        <v>0</v>
      </c>
      <c r="BI279" s="46">
        <f>IF(+NFL!$F213="Jacksonville",+NFL!#REF!,IF(+NFL!$H213="Jacksonville",+NFL!#REF!,0))</f>
        <v>0</v>
      </c>
      <c r="BJ279" s="87">
        <f>IF(+NFL!$F213="Jacksonville",+NFL!#REF!,IF(+NFL!$H213="Jacksonville",+NFL!#REF!,0))</f>
        <v>0</v>
      </c>
      <c r="BK279" s="120">
        <f>IF(+NFL!$F213="Jacksonville",+NFL!#REF!,IF(+NFL!$H213="Jacksonville",+NFL!#REF!,0))</f>
        <v>0</v>
      </c>
    </row>
    <row r="280" spans="1:63" x14ac:dyDescent="0.8">
      <c r="A280" s="46">
        <f>IF(+NFL!$F229="Jacksonville",+NFL!A229,IF(+NFL!$H229="Jacksonville",+NFL!A229,0))</f>
        <v>13</v>
      </c>
      <c r="B280" s="348" t="str">
        <f>IF(+NFL!$F229="Jacksonville",+NFL!B229,IF(+NFL!$H229="Jacksonville",+NFL!B229,0))</f>
        <v>Sun</v>
      </c>
      <c r="C280" s="48">
        <f>IF(+NFL!$F229="Jacksonville",+NFL!C229,IF(+NFL!$H229="Jacksonville",+NFL!C229,0))</f>
        <v>44899</v>
      </c>
      <c r="D280" s="490">
        <f>IF(+NFL!$F229="Jacksonville",+NFL!D229,IF(+NFL!$H229="Jacksonville",+NFL!D229,0))</f>
        <v>0.54166666666666663</v>
      </c>
      <c r="E280" s="46" t="str">
        <f>IF(+NFL!$F229="Jacksonville",+NFL!E229,IF(+NFL!$H229="Jacksonville",+NFL!E229,0))</f>
        <v>CBS</v>
      </c>
      <c r="F280" s="114" t="str">
        <f>IF(+NFL!$F229="Jacksonville",+NFL!F229,IF(+NFL!$H229="Jacksonville",+NFL!F229,0))</f>
        <v>Jacksonville</v>
      </c>
      <c r="G280" s="46" t="str">
        <f>IF(+NFL!$F229="Jacksonville",+NFL!G229,IF(+NFL!$H229="Jacksonville",+NFL!G229,0))</f>
        <v>AFCS</v>
      </c>
      <c r="H280" s="114" t="str">
        <f>IF(+NFL!$F229="Jacksonville",+NFL!H229,IF(+NFL!$H229="Jacksonville",+NFL!H229,0))</f>
        <v>Detroit</v>
      </c>
      <c r="I280" s="46" t="str">
        <f>IF(+NFL!$F229="Jacksonville",+NFL!I229,IF(+NFL!$H229="Jacksonville",+NFL!I229,0))</f>
        <v>NFCN</v>
      </c>
      <c r="J280" s="353" t="str">
        <f>IF(+NFL!$F229="Jacksonville",+NFL!J229,IF(+NFL!$H229="Jacksonville",+NFL!J229,0))</f>
        <v>Jacksonville</v>
      </c>
      <c r="K280" s="494" t="str">
        <f>IF(+NFL!$F229="Jacksonville",+NFL!K229,IF(+NFL!$H229="Jacksonville",+NFL!K229,0))</f>
        <v>Detroit</v>
      </c>
      <c r="L280" s="384">
        <f>IF(+NFL!$F229="Jacksonville",+NFL!L229,IF(+NFL!$H229="Jacksonville",+NFL!L229,0))</f>
        <v>1</v>
      </c>
      <c r="M280" s="385">
        <f>IF(+NFL!$F229="Jacksonville",+NFL!M229,IF(+NFL!$H229="Jacksonville",+NFL!M229,0))</f>
        <v>51.5</v>
      </c>
      <c r="N280" s="394" t="str">
        <f>IF(+NFL!$F229="Jacksonville",+NFL!N229,IF(+NFL!$H229="Jacksonville",+NFL!N229,0))</f>
        <v>Detroit</v>
      </c>
      <c r="O280" s="395">
        <f>IF(+NFL!$F229="Jacksonville",+NFL!O229,IF(+NFL!$H229="Jacksonville",+NFL!O229,0))</f>
        <v>40</v>
      </c>
      <c r="P280" s="394" t="str">
        <f>IF(+NFL!$F229="Jacksonville",+NFL!P229,IF(+NFL!$H229="Jacksonville",+NFL!P229,0))</f>
        <v>Jacksonville</v>
      </c>
      <c r="Q280" s="396">
        <f>IF(+NFL!$F229="Jacksonville",+NFL!Q229,IF(+NFL!$H229="Jacksonville",+NFL!Q229,0))</f>
        <v>14</v>
      </c>
      <c r="R280" s="397" t="str">
        <f>IF(+NFL!$F229="Jacksonville",+NFL!R229,IF(+NFL!$H229="Jacksonville",+NFL!R229,0))</f>
        <v>Detroit</v>
      </c>
      <c r="S280" s="396" t="str">
        <f>IF(+NFL!$F229="Jacksonville",+NFL!S229,IF(+NFL!$H229="Jacksonville",+NFL!S229,0))</f>
        <v>Jacksonville</v>
      </c>
      <c r="T280" s="398" t="str">
        <f>IF(+NFL!$F229="Jacksonville",+NFL!T229,IF(+NFL!$H229="Jacksonville",+NFL!T229,0))</f>
        <v>Detroit</v>
      </c>
      <c r="U280" s="396" t="str">
        <f>IF(+NFL!$F229="Jacksonville",+NFL!U229,IF(+NFL!$H229="Jacksonville",+NFL!U229,0))</f>
        <v>W</v>
      </c>
      <c r="V280" s="397">
        <f>IF(+NFL!$F220="Jacksonville",+NFL!#REF!,IF(+NFL!$H220="Jacksonville",+NFL!#REF!,0))</f>
        <v>0</v>
      </c>
      <c r="W280" s="396">
        <f>IF(+NFL!$F220="Jacksonville",+NFL!#REF!,IF(+NFL!$H220="Jacksonville",+NFL!#REF!,0))</f>
        <v>0</v>
      </c>
      <c r="X280" s="398">
        <f>IF(+NFL!$F220="Jacksonville",+NFL!#REF!,IF(+NFL!$H220="Jacksonville",+NFL!#REF!,0))</f>
        <v>0</v>
      </c>
      <c r="Y280" s="396">
        <f>IF(+NFL!$F220="Jacksonville",+NFL!#REF!,IF(+NFL!$H220="Jacksonville",+NFL!#REF!,0))</f>
        <v>0</v>
      </c>
      <c r="Z280" s="397">
        <f>IF(+NFL!$F220="Jacksonville",+NFL!#REF!,IF(+NFL!$H220="Jacksonville",+NFL!#REF!,0))</f>
        <v>0</v>
      </c>
      <c r="AA280" s="396">
        <f>IF(+NFL!$F220="Jacksonville",+NFL!#REF!,IF(+NFL!$H220="Jacksonville",+NFL!#REF!,0))</f>
        <v>0</v>
      </c>
      <c r="AB280" s="87">
        <f>IF(+NFL!$F220="Jacksonville",+NFL!#REF!,IF(+NFL!$H220="Jacksonville",+NFL!#REF!,0))</f>
        <v>0</v>
      </c>
      <c r="AC280" s="120">
        <f>IF(+NFL!$F220="Jacksonville",+NFL!#REF!,IF(+NFL!$H220="Jacksonville",+NFL!#REF!,0))</f>
        <v>0</v>
      </c>
      <c r="AD280" s="353">
        <f>IF(+NFL!$F220="Jacksonville",+NFL!#REF!,IF(+NFL!$H220="Jacksonville",+NFL!#REF!,0))</f>
        <v>0</v>
      </c>
      <c r="AE280" s="379">
        <f>IF(+NFL!$F220="Jacksonville",+NFL!#REF!,IF(+NFL!$H220="Jacksonville",+NFL!#REF!,0))</f>
        <v>0</v>
      </c>
      <c r="AF280" s="353">
        <f>IF(+NFL!$F220="Jacksonville",+NFL!#REF!,IF(+NFL!$H220="Jacksonville",+NFL!#REF!,0))</f>
        <v>0</v>
      </c>
      <c r="AG280" s="379">
        <f>IF(+NFL!$F220="Jacksonville",+NFL!#REF!,IF(+NFL!$H220="Jacksonville",+NFL!#REF!,0))</f>
        <v>0</v>
      </c>
      <c r="AH280" s="353">
        <f>IF(+NFL!$F220="Jacksonville",+NFL!#REF!,IF(+NFL!$H220="Jacksonville",+NFL!#REF!,0))</f>
        <v>0</v>
      </c>
      <c r="AI280" s="379">
        <f>IF(+NFL!$F220="Jacksonville",+NFL!#REF!,IF(+NFL!$H220="Jacksonville",+NFL!#REF!,0))</f>
        <v>0</v>
      </c>
      <c r="AJ280" s="353">
        <f>IF(+NFL!$F220="Jacksonville",+NFL!#REF!,IF(+NFL!$H220="Jacksonville",+NFL!#REF!,0))</f>
        <v>0</v>
      </c>
      <c r="AK280" s="379">
        <f>IF(+NFL!$F220="Jacksonville",+NFL!#REF!,IF(+NFL!$H220="Jacksonville",+NFL!#REF!,0))</f>
        <v>0</v>
      </c>
      <c r="AL280" s="69">
        <f>IF(+NFL!$F220="Jacksonville",+NFL!#REF!,IF(+NFL!$H220="Jacksonville",+NFL!#REF!,0))</f>
        <v>0</v>
      </c>
      <c r="AM280" s="58">
        <f>IF(+NFL!$F220="Jacksonville",+NFL!#REF!,IF(+NFL!$H220="Jacksonville",+NFL!#REF!,0))</f>
        <v>0</v>
      </c>
      <c r="AN280" s="70">
        <f>IF(+NFL!$F220="Jacksonville",+NFL!#REF!,IF(+NFL!$H220="Jacksonville",+NFL!#REF!,0))</f>
        <v>0</v>
      </c>
      <c r="AO280" s="59">
        <f>IF(+NFL!$F220="Jacksonville",+NFL!#REF!,IF(+NFL!$H220="Jacksonville",+NFL!#REF!,0))</f>
        <v>0</v>
      </c>
      <c r="AP280" s="348">
        <f>IF(+NFL!$F220="Jacksonville",+NFL!#REF!,IF(+NFL!$H220="Jacksonville",+NFL!#REF!,0))</f>
        <v>0</v>
      </c>
      <c r="AQ280" s="48">
        <f>IF(+NFL!$F220="Jacksonville",+NFL!#REF!,IF(+NFL!$H220="Jacksonville",+NFL!#REF!,0))</f>
        <v>0</v>
      </c>
      <c r="AR280" s="57">
        <f>IF(+NFL!$F220="Jacksonville",+NFL!#REF!,IF(+NFL!$H220="Jacksonville",+NFL!#REF!,0))</f>
        <v>0</v>
      </c>
      <c r="AS280" s="64">
        <f>IF(+NFL!$F220="Jacksonville",+NFL!#REF!,IF(+NFL!$H220="Jacksonville",+NFL!#REF!,0))</f>
        <v>0</v>
      </c>
      <c r="AT280" s="64">
        <f>IF(+NFL!$F220="Jacksonville",+NFL!#REF!,IF(+NFL!$H220="Jacksonville",+NFL!#REF!,0))</f>
        <v>0</v>
      </c>
      <c r="AU280" s="57">
        <f>IF(+NFL!$F220="Jacksonville",+NFL!#REF!,IF(+NFL!$H220="Jacksonville",+NFL!#REF!,0))</f>
        <v>0</v>
      </c>
      <c r="AV280" s="64">
        <f>IF(+NFL!$F220="Jacksonville",+NFL!#REF!,IF(+NFL!$H220="Jacksonville",+NFL!#REF!,0))</f>
        <v>0</v>
      </c>
      <c r="AW280" s="46">
        <f>IF(+NFL!$F220="Jacksonville",+NFL!#REF!,IF(+NFL!$H220="Jacksonville",+NFL!#REF!,0))</f>
        <v>0</v>
      </c>
      <c r="AX280" s="64">
        <f>IF(+NFL!$F220="Jacksonville",+NFL!#REF!,IF(+NFL!$H220="Jacksonville",+NFL!#REF!,0))</f>
        <v>0</v>
      </c>
      <c r="AY280" s="57">
        <f>IF(+NFL!$F220="Jacksonville",+NFL!#REF!,IF(+NFL!$H220="Jacksonville",+NFL!#REF!,0))</f>
        <v>0</v>
      </c>
      <c r="AZ280" s="64">
        <f>IF(+NFL!$F220="Jacksonville",+NFL!#REF!,IF(+NFL!$H220="Jacksonville",+NFL!#REF!,0))</f>
        <v>0</v>
      </c>
      <c r="BA280" s="46">
        <f>IF(+NFL!$F220="Jacksonville",+NFL!#REF!,IF(+NFL!$H220="Jacksonville",+NFL!#REF!,0))</f>
        <v>0</v>
      </c>
      <c r="BB280" s="46">
        <f>IF(+NFL!$F220="Jacksonville",+NFL!#REF!,IF(+NFL!$H220="Jacksonville",+NFL!#REF!,0))</f>
        <v>0</v>
      </c>
      <c r="BC280" s="403">
        <f>IF(+NFL!$F220="Jacksonville",+NFL!#REF!,IF(+NFL!$H220="Jacksonville",+NFL!#REF!,0))</f>
        <v>0</v>
      </c>
      <c r="BD280" s="57">
        <f>IF(+NFL!$F220="Jacksonville",+NFL!#REF!,IF(+NFL!$H220="Jacksonville",+NFL!#REF!,0))</f>
        <v>0</v>
      </c>
      <c r="BE280" s="64">
        <f>IF(+NFL!$F220="Jacksonville",+NFL!#REF!,IF(+NFL!$H220="Jacksonville",+NFL!#REF!,0))</f>
        <v>0</v>
      </c>
      <c r="BF280" s="46">
        <f>IF(+NFL!$F220="Jacksonville",+NFL!#REF!,IF(+NFL!$H220="Jacksonville",+NFL!#REF!,0))</f>
        <v>0</v>
      </c>
      <c r="BG280" s="57">
        <f>IF(+NFL!$F220="Jacksonville",+NFL!#REF!,IF(+NFL!$H220="Jacksonville",+NFL!#REF!,0))</f>
        <v>0</v>
      </c>
      <c r="BH280" s="64">
        <f>IF(+NFL!$F220="Jacksonville",+NFL!#REF!,IF(+NFL!$H220="Jacksonville",+NFL!#REF!,0))</f>
        <v>0</v>
      </c>
      <c r="BI280" s="46">
        <f>IF(+NFL!$F220="Jacksonville",+NFL!#REF!,IF(+NFL!$H220="Jacksonville",+NFL!#REF!,0))</f>
        <v>0</v>
      </c>
      <c r="BJ280" s="87">
        <f>IF(+NFL!$F220="Jacksonville",+NFL!#REF!,IF(+NFL!$H220="Jacksonville",+NFL!#REF!,0))</f>
        <v>0</v>
      </c>
      <c r="BK280" s="120">
        <f>IF(+NFL!$F220="Jacksonville",+NFL!#REF!,IF(+NFL!$H220="Jacksonville",+NFL!#REF!,0))</f>
        <v>0</v>
      </c>
    </row>
    <row r="281" spans="1:63" x14ac:dyDescent="0.8">
      <c r="A281" s="46">
        <f>IF(+NFL!$F250="Jacksonville",+NFL!A250,IF(+NFL!$H250="Jacksonville",+NFL!A250,0))</f>
        <v>14</v>
      </c>
      <c r="B281" s="348" t="str">
        <f>IF(+NFL!$F250="Jacksonville",+NFL!B250,IF(+NFL!$H250="Jacksonville",+NFL!B250,0))</f>
        <v>Sun</v>
      </c>
      <c r="C281" s="48">
        <f>IF(+NFL!$F250="Jacksonville",+NFL!C250,IF(+NFL!$H250="Jacksonville",+NFL!C250,0))</f>
        <v>44906</v>
      </c>
      <c r="D281" s="490">
        <f>IF(+NFL!$F250="Jacksonville",+NFL!D250,IF(+NFL!$H250="Jacksonville",+NFL!D250,0))</f>
        <v>0.54166666666666663</v>
      </c>
      <c r="E281" s="46" t="str">
        <f>IF(+NFL!$F250="Jacksonville",+NFL!E250,IF(+NFL!$H250="Jacksonville",+NFL!E250,0))</f>
        <v>CBS</v>
      </c>
      <c r="F281" s="114" t="str">
        <f>IF(+NFL!$F250="Jacksonville",+NFL!F250,IF(+NFL!$H250="Jacksonville",+NFL!F250,0))</f>
        <v>Jacksonville</v>
      </c>
      <c r="G281" s="46" t="str">
        <f>IF(+NFL!$F250="Jacksonville",+NFL!G250,IF(+NFL!$H250="Jacksonville",+NFL!G250,0))</f>
        <v>AFCS</v>
      </c>
      <c r="H281" s="114" t="str">
        <f>IF(+NFL!$F250="Jacksonville",+NFL!H250,IF(+NFL!$H250="Jacksonville",+NFL!H250,0))</f>
        <v>Tennessee</v>
      </c>
      <c r="I281" s="46" t="str">
        <f>IF(+NFL!$F250="Jacksonville",+NFL!I250,IF(+NFL!$H250="Jacksonville",+NFL!I250,0))</f>
        <v>AFCS</v>
      </c>
      <c r="J281" s="353" t="str">
        <f>IF(+NFL!$F250="Jacksonville",+NFL!J250,IF(+NFL!$H250="Jacksonville",+NFL!J250,0))</f>
        <v>Tennessee</v>
      </c>
      <c r="K281" s="494" t="str">
        <f>IF(+NFL!$F250="Jacksonville",+NFL!K250,IF(+NFL!$H250="Jacksonville",+NFL!K250,0))</f>
        <v>Jacksonville</v>
      </c>
      <c r="L281" s="384">
        <f>IF(+NFL!$F250="Jacksonville",+NFL!L250,IF(+NFL!$H250="Jacksonville",+NFL!L250,0))</f>
        <v>3.5</v>
      </c>
      <c r="M281" s="385">
        <f>IF(+NFL!$F250="Jacksonville",+NFL!M250,IF(+NFL!$H250="Jacksonville",+NFL!M250,0))</f>
        <v>41.5</v>
      </c>
      <c r="N281" s="394" t="str">
        <f>IF(+NFL!$F250="Jacksonville",+NFL!N250,IF(+NFL!$H250="Jacksonville",+NFL!N250,0))</f>
        <v>Jacksonville</v>
      </c>
      <c r="O281" s="395">
        <f>IF(+NFL!$F250="Jacksonville",+NFL!O250,IF(+NFL!$H250="Jacksonville",+NFL!O250,0))</f>
        <v>36</v>
      </c>
      <c r="P281" s="394" t="str">
        <f>IF(+NFL!$F250="Jacksonville",+NFL!P250,IF(+NFL!$H250="Jacksonville",+NFL!P250,0))</f>
        <v>Tennessee</v>
      </c>
      <c r="Q281" s="396">
        <f>IF(+NFL!$F250="Jacksonville",+NFL!Q250,IF(+NFL!$H250="Jacksonville",+NFL!Q250,0))</f>
        <v>22</v>
      </c>
      <c r="R281" s="397" t="str">
        <f>IF(+NFL!$F250="Jacksonville",+NFL!R250,IF(+NFL!$H250="Jacksonville",+NFL!R250,0))</f>
        <v>Jacksonville</v>
      </c>
      <c r="S281" s="396" t="str">
        <f>IF(+NFL!$F250="Jacksonville",+NFL!S250,IF(+NFL!$H250="Jacksonville",+NFL!S250,0))</f>
        <v>Tennessee</v>
      </c>
      <c r="T281" s="398">
        <f>IF(+NFL!$F250="Jacksonville",+NFL!T250,IF(+NFL!$H250="Jacksonville",+NFL!T250,0))</f>
        <v>0</v>
      </c>
      <c r="U281" s="396" t="str">
        <f>IF(+NFL!$F250="Jacksonville",+NFL!U250,IF(+NFL!$H250="Jacksonville",+NFL!U250,0))</f>
        <v>L</v>
      </c>
      <c r="V281" s="397">
        <f>IF(+NFL!$F249="Jacksonville",+NFL!#REF!,IF(+NFL!$H249="Jacksonville",+NFL!#REF!,0))</f>
        <v>0</v>
      </c>
      <c r="W281" s="396">
        <f>IF(+NFL!$F249="Jacksonville",+NFL!#REF!,IF(+NFL!$H249="Jacksonville",+NFL!#REF!,0))</f>
        <v>0</v>
      </c>
      <c r="X281" s="398">
        <f>IF(+NFL!$F249="Jacksonville",+NFL!#REF!,IF(+NFL!$H249="Jacksonville",+NFL!#REF!,0))</f>
        <v>0</v>
      </c>
      <c r="Y281" s="396">
        <f>IF(+NFL!$F249="Jacksonville",+NFL!#REF!,IF(+NFL!$H249="Jacksonville",+NFL!#REF!,0))</f>
        <v>0</v>
      </c>
      <c r="Z281" s="397">
        <f>IF(+NFL!$F249="Jacksonville",+NFL!#REF!,IF(+NFL!$H249="Jacksonville",+NFL!#REF!,0))</f>
        <v>0</v>
      </c>
      <c r="AA281" s="396">
        <f>IF(+NFL!$F249="Jacksonville",+NFL!#REF!,IF(+NFL!$H249="Jacksonville",+NFL!#REF!,0))</f>
        <v>0</v>
      </c>
      <c r="AB281" s="87">
        <f>IF(+NFL!$F249="Jacksonville",+NFL!#REF!,IF(+NFL!$H249="Jacksonville",+NFL!#REF!,0))</f>
        <v>0</v>
      </c>
      <c r="AC281" s="120">
        <f>IF(+NFL!$F249="Jacksonville",+NFL!#REF!,IF(+NFL!$H249="Jacksonville",+NFL!#REF!,0))</f>
        <v>0</v>
      </c>
      <c r="AD281" s="353">
        <f>IF(+NFL!$F249="Jacksonville",+NFL!#REF!,IF(+NFL!$H249="Jacksonville",+NFL!#REF!,0))</f>
        <v>0</v>
      </c>
      <c r="AE281" s="379">
        <f>IF(+NFL!$F249="Jacksonville",+NFL!#REF!,IF(+NFL!$H249="Jacksonville",+NFL!#REF!,0))</f>
        <v>0</v>
      </c>
      <c r="AF281" s="353">
        <f>IF(+NFL!$F249="Jacksonville",+NFL!#REF!,IF(+NFL!$H249="Jacksonville",+NFL!#REF!,0))</f>
        <v>0</v>
      </c>
      <c r="AG281" s="379">
        <f>IF(+NFL!$F249="Jacksonville",+NFL!#REF!,IF(+NFL!$H249="Jacksonville",+NFL!#REF!,0))</f>
        <v>0</v>
      </c>
      <c r="AH281" s="353">
        <f>IF(+NFL!$F249="Jacksonville",+NFL!#REF!,IF(+NFL!$H249="Jacksonville",+NFL!#REF!,0))</f>
        <v>0</v>
      </c>
      <c r="AI281" s="379">
        <f>IF(+NFL!$F249="Jacksonville",+NFL!#REF!,IF(+NFL!$H249="Jacksonville",+NFL!#REF!,0))</f>
        <v>0</v>
      </c>
      <c r="AJ281" s="353">
        <f>IF(+NFL!$F249="Jacksonville",+NFL!#REF!,IF(+NFL!$H249="Jacksonville",+NFL!#REF!,0))</f>
        <v>0</v>
      </c>
      <c r="AK281" s="379">
        <f>IF(+NFL!$F249="Jacksonville",+NFL!#REF!,IF(+NFL!$H249="Jacksonville",+NFL!#REF!,0))</f>
        <v>0</v>
      </c>
      <c r="AL281" s="69">
        <f>IF(+NFL!$F249="Jacksonville",+NFL!#REF!,IF(+NFL!$H249="Jacksonville",+NFL!#REF!,0))</f>
        <v>0</v>
      </c>
      <c r="AM281" s="58">
        <f>IF(+NFL!$F249="Jacksonville",+NFL!#REF!,IF(+NFL!$H249="Jacksonville",+NFL!#REF!,0))</f>
        <v>0</v>
      </c>
      <c r="AN281" s="70">
        <f>IF(+NFL!$F249="Jacksonville",+NFL!#REF!,IF(+NFL!$H249="Jacksonville",+NFL!#REF!,0))</f>
        <v>0</v>
      </c>
      <c r="AO281" s="59">
        <f>IF(+NFL!$F249="Jacksonville",+NFL!#REF!,IF(+NFL!$H249="Jacksonville",+NFL!#REF!,0))</f>
        <v>0</v>
      </c>
      <c r="AP281" s="348">
        <f>IF(+NFL!$F249="Jacksonville",+NFL!#REF!,IF(+NFL!$H249="Jacksonville",+NFL!#REF!,0))</f>
        <v>0</v>
      </c>
      <c r="AQ281" s="48">
        <f>IF(+NFL!$F249="Jacksonville",+NFL!#REF!,IF(+NFL!$H249="Jacksonville",+NFL!#REF!,0))</f>
        <v>0</v>
      </c>
      <c r="AR281" s="57">
        <f>IF(+NFL!$F249="Jacksonville",+NFL!#REF!,IF(+NFL!$H249="Jacksonville",+NFL!#REF!,0))</f>
        <v>0</v>
      </c>
      <c r="AS281" s="64">
        <f>IF(+NFL!$F249="Jacksonville",+NFL!#REF!,IF(+NFL!$H249="Jacksonville",+NFL!#REF!,0))</f>
        <v>0</v>
      </c>
      <c r="AT281" s="64">
        <f>IF(+NFL!$F249="Jacksonville",+NFL!#REF!,IF(+NFL!$H249="Jacksonville",+NFL!#REF!,0))</f>
        <v>0</v>
      </c>
      <c r="AU281" s="57">
        <f>IF(+NFL!$F249="Jacksonville",+NFL!#REF!,IF(+NFL!$H249="Jacksonville",+NFL!#REF!,0))</f>
        <v>0</v>
      </c>
      <c r="AV281" s="64">
        <f>IF(+NFL!$F249="Jacksonville",+NFL!#REF!,IF(+NFL!$H249="Jacksonville",+NFL!#REF!,0))</f>
        <v>0</v>
      </c>
      <c r="AW281" s="46">
        <f>IF(+NFL!$F249="Jacksonville",+NFL!#REF!,IF(+NFL!$H249="Jacksonville",+NFL!#REF!,0))</f>
        <v>0</v>
      </c>
      <c r="AX281" s="64">
        <f>IF(+NFL!$F249="Jacksonville",+NFL!#REF!,IF(+NFL!$H249="Jacksonville",+NFL!#REF!,0))</f>
        <v>0</v>
      </c>
      <c r="AY281" s="57">
        <f>IF(+NFL!$F249="Jacksonville",+NFL!#REF!,IF(+NFL!$H249="Jacksonville",+NFL!#REF!,0))</f>
        <v>0</v>
      </c>
      <c r="AZ281" s="64">
        <f>IF(+NFL!$F249="Jacksonville",+NFL!#REF!,IF(+NFL!$H249="Jacksonville",+NFL!#REF!,0))</f>
        <v>0</v>
      </c>
      <c r="BA281" s="46">
        <f>IF(+NFL!$F249="Jacksonville",+NFL!#REF!,IF(+NFL!$H249="Jacksonville",+NFL!#REF!,0))</f>
        <v>0</v>
      </c>
      <c r="BB281" s="46">
        <f>IF(+NFL!$F249="Jacksonville",+NFL!#REF!,IF(+NFL!$H249="Jacksonville",+NFL!#REF!,0))</f>
        <v>0</v>
      </c>
      <c r="BC281" s="403">
        <f>IF(+NFL!$F249="Jacksonville",+NFL!#REF!,IF(+NFL!$H249="Jacksonville",+NFL!#REF!,0))</f>
        <v>0</v>
      </c>
      <c r="BD281" s="57">
        <f>IF(+NFL!$F249="Jacksonville",+NFL!#REF!,IF(+NFL!$H249="Jacksonville",+NFL!#REF!,0))</f>
        <v>0</v>
      </c>
      <c r="BE281" s="64">
        <f>IF(+NFL!$F249="Jacksonville",+NFL!#REF!,IF(+NFL!$H249="Jacksonville",+NFL!#REF!,0))</f>
        <v>0</v>
      </c>
      <c r="BF281" s="46">
        <f>IF(+NFL!$F249="Jacksonville",+NFL!#REF!,IF(+NFL!$H249="Jacksonville",+NFL!#REF!,0))</f>
        <v>0</v>
      </c>
      <c r="BG281" s="57">
        <f>IF(+NFL!$F249="Jacksonville",+NFL!#REF!,IF(+NFL!$H249="Jacksonville",+NFL!#REF!,0))</f>
        <v>0</v>
      </c>
      <c r="BH281" s="64">
        <f>IF(+NFL!$F249="Jacksonville",+NFL!#REF!,IF(+NFL!$H249="Jacksonville",+NFL!#REF!,0))</f>
        <v>0</v>
      </c>
      <c r="BI281" s="46">
        <f>IF(+NFL!$F249="Jacksonville",+NFL!#REF!,IF(+NFL!$H249="Jacksonville",+NFL!#REF!,0))</f>
        <v>0</v>
      </c>
      <c r="BJ281" s="87">
        <f>IF(+NFL!$F249="Jacksonville",+NFL!#REF!,IF(+NFL!$H249="Jacksonville",+NFL!#REF!,0))</f>
        <v>0</v>
      </c>
      <c r="BK281" s="120">
        <f>IF(+NFL!$F249="Jacksonville",+NFL!#REF!,IF(+NFL!$H249="Jacksonville",+NFL!#REF!,0))</f>
        <v>0</v>
      </c>
    </row>
    <row r="282" spans="1:63" x14ac:dyDescent="0.8">
      <c r="A282" s="46">
        <f>IF(+NFL!$F275="Jacksonville",+NFL!A275,IF(+NFL!$H275="Jacksonville",+NFL!A275,0))</f>
        <v>15</v>
      </c>
      <c r="B282" s="348" t="str">
        <f>IF(+NFL!$F275="Jacksonville",+NFL!B275,IF(+NFL!$H275="Jacksonville",+NFL!B275,0))</f>
        <v>Sun</v>
      </c>
      <c r="C282" s="48">
        <f>IF(+NFL!$F275="Jacksonville",+NFL!C275,IF(+NFL!$H275="Jacksonville",+NFL!C275,0))</f>
        <v>44913</v>
      </c>
      <c r="D282" s="490">
        <f>IF(+NFL!$F275="Jacksonville",+NFL!D275,IF(+NFL!$H275="Jacksonville",+NFL!D275,0))</f>
        <v>0.54166666666666663</v>
      </c>
      <c r="E282" s="46" t="str">
        <f>IF(+NFL!$F275="Jacksonville",+NFL!E275,IF(+NFL!$H275="Jacksonville",+NFL!E275,0))</f>
        <v>Fox</v>
      </c>
      <c r="F282" s="114" t="str">
        <f>IF(+NFL!$F275="Jacksonville",+NFL!F275,IF(+NFL!$H275="Jacksonville",+NFL!F275,0))</f>
        <v>Dallas</v>
      </c>
      <c r="G282" s="46" t="str">
        <f>IF(+NFL!$F275="Jacksonville",+NFL!G275,IF(+NFL!$H275="Jacksonville",+NFL!G275,0))</f>
        <v>NFCE</v>
      </c>
      <c r="H282" s="114" t="str">
        <f>IF(+NFL!$F275="Jacksonville",+NFL!H275,IF(+NFL!$H275="Jacksonville",+NFL!H275,0))</f>
        <v>Jacksonville</v>
      </c>
      <c r="I282" s="46" t="str">
        <f>IF(+NFL!$F275="Jacksonville",+NFL!I275,IF(+NFL!$H275="Jacksonville",+NFL!I275,0))</f>
        <v>AFCS</v>
      </c>
      <c r="J282" s="353" t="str">
        <f>IF(+NFL!$F275="Jacksonville",+NFL!J275,IF(+NFL!$H275="Jacksonville",+NFL!J275,0))</f>
        <v>Dallas</v>
      </c>
      <c r="K282" s="494" t="str">
        <f>IF(+NFL!$F275="Jacksonville",+NFL!K275,IF(+NFL!$H275="Jacksonville",+NFL!K275,0))</f>
        <v>Jacksonville</v>
      </c>
      <c r="L282" s="384">
        <f>IF(+NFL!$F275="Jacksonville",+NFL!L275,IF(+NFL!$H275="Jacksonville",+NFL!L275,0))</f>
        <v>3.5</v>
      </c>
      <c r="M282" s="385">
        <f>IF(+NFL!$F275="Jacksonville",+NFL!M275,IF(+NFL!$H275="Jacksonville",+NFL!M275,0))</f>
        <v>47.5</v>
      </c>
      <c r="N282" s="394" t="str">
        <f>IF(+NFL!$F275="Jacksonville",+NFL!N275,IF(+NFL!$H275="Jacksonville",+NFL!N275,0))</f>
        <v>Jacksonville</v>
      </c>
      <c r="O282" s="395">
        <f>IF(+NFL!$F275="Jacksonville",+NFL!O275,IF(+NFL!$H275="Jacksonville",+NFL!O275,0))</f>
        <v>40</v>
      </c>
      <c r="P282" s="394" t="str">
        <f>IF(+NFL!$F275="Jacksonville",+NFL!P275,IF(+NFL!$H275="Jacksonville",+NFL!P275,0))</f>
        <v>Dallas</v>
      </c>
      <c r="Q282" s="396">
        <f>IF(+NFL!$F275="Jacksonville",+NFL!Q275,IF(+NFL!$H275="Jacksonville",+NFL!Q275,0))</f>
        <v>34</v>
      </c>
      <c r="R282" s="397" t="str">
        <f>IF(+NFL!$F275="Jacksonville",+NFL!R275,IF(+NFL!$H275="Jacksonville",+NFL!R275,0))</f>
        <v>Jacksonville</v>
      </c>
      <c r="S282" s="396" t="str">
        <f>IF(+NFL!$F275="Jacksonville",+NFL!S275,IF(+NFL!$H275="Jacksonville",+NFL!S275,0))</f>
        <v>Dallas</v>
      </c>
      <c r="T282" s="398">
        <f>IF(+NFL!$F275="Jacksonville",+NFL!T275,IF(+NFL!$H275="Jacksonville",+NFL!T275,0))</f>
        <v>0</v>
      </c>
      <c r="U282" s="396" t="str">
        <f>IF(+NFL!$F275="Jacksonville",+NFL!U275,IF(+NFL!$H275="Jacksonville",+NFL!U275,0))</f>
        <v>L</v>
      </c>
      <c r="V282" s="397">
        <f>IF(+NFL!$F274="Jacksonville",+NFL!#REF!,IF(+NFL!$H274="Jacksonville",+NFL!#REF!,0))</f>
        <v>0</v>
      </c>
      <c r="W282" s="396">
        <f>IF(+NFL!$F274="Jacksonville",+NFL!#REF!,IF(+NFL!$H274="Jacksonville",+NFL!#REF!,0))</f>
        <v>0</v>
      </c>
      <c r="X282" s="398">
        <f>IF(+NFL!$F274="Jacksonville",+NFL!#REF!,IF(+NFL!$H274="Jacksonville",+NFL!#REF!,0))</f>
        <v>0</v>
      </c>
      <c r="Y282" s="396">
        <f>IF(+NFL!$F274="Jacksonville",+NFL!#REF!,IF(+NFL!$H274="Jacksonville",+NFL!#REF!,0))</f>
        <v>0</v>
      </c>
      <c r="Z282" s="397">
        <f>IF(+NFL!$F274="Jacksonville",+NFL!#REF!,IF(+NFL!$H274="Jacksonville",+NFL!#REF!,0))</f>
        <v>0</v>
      </c>
      <c r="AA282" s="396">
        <f>IF(+NFL!$F274="Jacksonville",+NFL!#REF!,IF(+NFL!$H274="Jacksonville",+NFL!#REF!,0))</f>
        <v>0</v>
      </c>
      <c r="AB282" s="87">
        <f>IF(+NFL!$F274="Jacksonville",+NFL!#REF!,IF(+NFL!$H274="Jacksonville",+NFL!#REF!,0))</f>
        <v>0</v>
      </c>
      <c r="AC282" s="120">
        <f>IF(+NFL!$F274="Jacksonville",+NFL!#REF!,IF(+NFL!$H274="Jacksonville",+NFL!#REF!,0))</f>
        <v>0</v>
      </c>
      <c r="AD282" s="353">
        <f>IF(+NFL!$F274="Jacksonville",+NFL!#REF!,IF(+NFL!$H274="Jacksonville",+NFL!#REF!,0))</f>
        <v>0</v>
      </c>
      <c r="AE282" s="379">
        <f>IF(+NFL!$F274="Jacksonville",+NFL!#REF!,IF(+NFL!$H274="Jacksonville",+NFL!#REF!,0))</f>
        <v>0</v>
      </c>
      <c r="AF282" s="353">
        <f>IF(+NFL!$F274="Jacksonville",+NFL!#REF!,IF(+NFL!$H274="Jacksonville",+NFL!#REF!,0))</f>
        <v>0</v>
      </c>
      <c r="AG282" s="379">
        <f>IF(+NFL!$F274="Jacksonville",+NFL!#REF!,IF(+NFL!$H274="Jacksonville",+NFL!#REF!,0))</f>
        <v>0</v>
      </c>
      <c r="AH282" s="353">
        <f>IF(+NFL!$F274="Jacksonville",+NFL!#REF!,IF(+NFL!$H274="Jacksonville",+NFL!#REF!,0))</f>
        <v>0</v>
      </c>
      <c r="AI282" s="379">
        <f>IF(+NFL!$F274="Jacksonville",+NFL!#REF!,IF(+NFL!$H274="Jacksonville",+NFL!#REF!,0))</f>
        <v>0</v>
      </c>
      <c r="AJ282" s="353">
        <f>IF(+NFL!$F274="Jacksonville",+NFL!#REF!,IF(+NFL!$H274="Jacksonville",+NFL!#REF!,0))</f>
        <v>0</v>
      </c>
      <c r="AK282" s="379">
        <f>IF(+NFL!$F274="Jacksonville",+NFL!#REF!,IF(+NFL!$H274="Jacksonville",+NFL!#REF!,0))</f>
        <v>0</v>
      </c>
      <c r="AL282" s="69">
        <f>IF(+NFL!$F274="Jacksonville",+NFL!#REF!,IF(+NFL!$H274="Jacksonville",+NFL!#REF!,0))</f>
        <v>0</v>
      </c>
      <c r="AM282" s="58">
        <f>IF(+NFL!$F274="Jacksonville",+NFL!#REF!,IF(+NFL!$H274="Jacksonville",+NFL!#REF!,0))</f>
        <v>0</v>
      </c>
      <c r="AN282" s="70">
        <f>IF(+NFL!$F274="Jacksonville",+NFL!#REF!,IF(+NFL!$H274="Jacksonville",+NFL!#REF!,0))</f>
        <v>0</v>
      </c>
      <c r="AO282" s="59">
        <f>IF(+NFL!$F274="Jacksonville",+NFL!#REF!,IF(+NFL!$H274="Jacksonville",+NFL!#REF!,0))</f>
        <v>0</v>
      </c>
      <c r="AP282" s="348">
        <f>IF(+NFL!$F274="Jacksonville",+NFL!#REF!,IF(+NFL!$H274="Jacksonville",+NFL!#REF!,0))</f>
        <v>0</v>
      </c>
      <c r="AQ282" s="48">
        <f>IF(+NFL!$F274="Jacksonville",+NFL!#REF!,IF(+NFL!$H274="Jacksonville",+NFL!#REF!,0))</f>
        <v>0</v>
      </c>
      <c r="AR282" s="57">
        <f>IF(+NFL!$F274="Jacksonville",+NFL!#REF!,IF(+NFL!$H274="Jacksonville",+NFL!#REF!,0))</f>
        <v>0</v>
      </c>
      <c r="AS282" s="64">
        <f>IF(+NFL!$F274="Jacksonville",+NFL!#REF!,IF(+NFL!$H274="Jacksonville",+NFL!#REF!,0))</f>
        <v>0</v>
      </c>
      <c r="AT282" s="64">
        <f>IF(+NFL!$F274="Jacksonville",+NFL!#REF!,IF(+NFL!$H274="Jacksonville",+NFL!#REF!,0))</f>
        <v>0</v>
      </c>
      <c r="AU282" s="57">
        <f>IF(+NFL!$F274="Jacksonville",+NFL!#REF!,IF(+NFL!$H274="Jacksonville",+NFL!#REF!,0))</f>
        <v>0</v>
      </c>
      <c r="AV282" s="64">
        <f>IF(+NFL!$F274="Jacksonville",+NFL!#REF!,IF(+NFL!$H274="Jacksonville",+NFL!#REF!,0))</f>
        <v>0</v>
      </c>
      <c r="AW282" s="46">
        <f>IF(+NFL!$F274="Jacksonville",+NFL!#REF!,IF(+NFL!$H274="Jacksonville",+NFL!#REF!,0))</f>
        <v>0</v>
      </c>
      <c r="AX282" s="64">
        <f>IF(+NFL!$F274="Jacksonville",+NFL!#REF!,IF(+NFL!$H274="Jacksonville",+NFL!#REF!,0))</f>
        <v>0</v>
      </c>
      <c r="AY282" s="57">
        <f>IF(+NFL!$F274="Jacksonville",+NFL!#REF!,IF(+NFL!$H274="Jacksonville",+NFL!#REF!,0))</f>
        <v>0</v>
      </c>
      <c r="AZ282" s="64">
        <f>IF(+NFL!$F274="Jacksonville",+NFL!#REF!,IF(+NFL!$H274="Jacksonville",+NFL!#REF!,0))</f>
        <v>0</v>
      </c>
      <c r="BA282" s="46">
        <f>IF(+NFL!$F274="Jacksonville",+NFL!#REF!,IF(+NFL!$H274="Jacksonville",+NFL!#REF!,0))</f>
        <v>0</v>
      </c>
      <c r="BB282" s="46">
        <f>IF(+NFL!$F274="Jacksonville",+NFL!#REF!,IF(+NFL!$H274="Jacksonville",+NFL!#REF!,0))</f>
        <v>0</v>
      </c>
      <c r="BC282" s="403">
        <f>IF(+NFL!$F274="Jacksonville",+NFL!#REF!,IF(+NFL!$H274="Jacksonville",+NFL!#REF!,0))</f>
        <v>0</v>
      </c>
      <c r="BD282" s="57">
        <f>IF(+NFL!$F274="Jacksonville",+NFL!#REF!,IF(+NFL!$H274="Jacksonville",+NFL!#REF!,0))</f>
        <v>0</v>
      </c>
      <c r="BE282" s="64">
        <f>IF(+NFL!$F274="Jacksonville",+NFL!#REF!,IF(+NFL!$H274="Jacksonville",+NFL!#REF!,0))</f>
        <v>0</v>
      </c>
      <c r="BF282" s="46">
        <f>IF(+NFL!$F274="Jacksonville",+NFL!#REF!,IF(+NFL!$H274="Jacksonville",+NFL!#REF!,0))</f>
        <v>0</v>
      </c>
      <c r="BG282" s="57">
        <f>IF(+NFL!$F274="Jacksonville",+NFL!#REF!,IF(+NFL!$H274="Jacksonville",+NFL!#REF!,0))</f>
        <v>0</v>
      </c>
      <c r="BH282" s="64">
        <f>IF(+NFL!$F274="Jacksonville",+NFL!#REF!,IF(+NFL!$H274="Jacksonville",+NFL!#REF!,0))</f>
        <v>0</v>
      </c>
      <c r="BI282" s="46">
        <f>IF(+NFL!$F274="Jacksonville",+NFL!#REF!,IF(+NFL!$H274="Jacksonville",+NFL!#REF!,0))</f>
        <v>0</v>
      </c>
      <c r="BJ282" s="87">
        <f>IF(+NFL!$F274="Jacksonville",+NFL!#REF!,IF(+NFL!$H274="Jacksonville",+NFL!#REF!,0))</f>
        <v>0</v>
      </c>
      <c r="BK282" s="120">
        <f>IF(+NFL!$F274="Jacksonville",+NFL!#REF!,IF(+NFL!$H274="Jacksonville",+NFL!#REF!,0))</f>
        <v>0</v>
      </c>
    </row>
    <row r="283" spans="1:63" x14ac:dyDescent="0.8">
      <c r="A283" s="46">
        <f>IF(+NFL!$F283="Jacksonville",+NFL!A283,IF(+NFL!$H283="Jacksonville",+NFL!A283,0))</f>
        <v>16</v>
      </c>
      <c r="B283" s="348" t="str">
        <f>IF(+NFL!$F283="Jacksonville",+NFL!B283,IF(+NFL!$H283="Jacksonville",+NFL!B283,0))</f>
        <v>Thurs</v>
      </c>
      <c r="C283" s="48">
        <f>IF(+NFL!$F283="Jacksonville",+NFL!C283,IF(+NFL!$H283="Jacksonville",+NFL!C283,0))</f>
        <v>44917</v>
      </c>
      <c r="D283" s="490">
        <f>IF(+NFL!$F283="Jacksonville",+NFL!D283,IF(+NFL!$H283="Jacksonville",+NFL!D283,0))</f>
        <v>0.84375</v>
      </c>
      <c r="E283" s="46" t="str">
        <f>IF(+NFL!$F283="Jacksonville",+NFL!E283,IF(+NFL!$H283="Jacksonville",+NFL!E283,0))</f>
        <v>NBC</v>
      </c>
      <c r="F283" s="114" t="str">
        <f>IF(+NFL!$F283="Jacksonville",+NFL!F283,IF(+NFL!$H283="Jacksonville",+NFL!F283,0))</f>
        <v>Jacksonville</v>
      </c>
      <c r="G283" s="46" t="str">
        <f>IF(+NFL!$F283="Jacksonville",+NFL!G283,IF(+NFL!$H283="Jacksonville",+NFL!G283,0))</f>
        <v>AFCS</v>
      </c>
      <c r="H283" s="114" t="str">
        <f>IF(+NFL!$F283="Jacksonville",+NFL!H283,IF(+NFL!$H283="Jacksonville",+NFL!H283,0))</f>
        <v>NY Jets</v>
      </c>
      <c r="I283" s="46" t="str">
        <f>IF(+NFL!$F283="Jacksonville",+NFL!I283,IF(+NFL!$H283="Jacksonville",+NFL!I283,0))</f>
        <v>AFCE</v>
      </c>
      <c r="J283" s="353" t="str">
        <f>IF(+NFL!$F283="Jacksonville",+NFL!J283,IF(+NFL!$H283="Jacksonville",+NFL!J283,0))</f>
        <v>NY Jets</v>
      </c>
      <c r="K283" s="494" t="str">
        <f>IF(+NFL!$F283="Jacksonville",+NFL!K283,IF(+NFL!$H283="Jacksonville",+NFL!K283,0))</f>
        <v>Jacksonville</v>
      </c>
      <c r="L283" s="384">
        <f>IF(+NFL!$F283="Jacksonville",+NFL!L283,IF(+NFL!$H283="Jacksonville",+NFL!L283,0))</f>
        <v>2.5</v>
      </c>
      <c r="M283" s="385">
        <f>IF(+NFL!$F283="Jacksonville",+NFL!M283,IF(+NFL!$H283="Jacksonville",+NFL!M283,0))</f>
        <v>36.5</v>
      </c>
      <c r="N283" s="394" t="str">
        <f>IF(+NFL!$F283="Jacksonville",+NFL!N283,IF(+NFL!$H283="Jacksonville",+NFL!N283,0))</f>
        <v>Jacksonville</v>
      </c>
      <c r="O283" s="395">
        <f>IF(+NFL!$F283="Jacksonville",+NFL!O283,IF(+NFL!$H283="Jacksonville",+NFL!O283,0))</f>
        <v>19</v>
      </c>
      <c r="P283" s="394" t="str">
        <f>IF(+NFL!$F283="Jacksonville",+NFL!P283,IF(+NFL!$H283="Jacksonville",+NFL!P283,0))</f>
        <v>NY Jets</v>
      </c>
      <c r="Q283" s="396">
        <f>IF(+NFL!$F283="Jacksonville",+NFL!Q283,IF(+NFL!$H283="Jacksonville",+NFL!Q283,0))</f>
        <v>3</v>
      </c>
      <c r="R283" s="397" t="str">
        <f>IF(+NFL!$F283="Jacksonville",+NFL!R283,IF(+NFL!$H283="Jacksonville",+NFL!R283,0))</f>
        <v>Jacksonville</v>
      </c>
      <c r="S283" s="396" t="str">
        <f>IF(+NFL!$F283="Jacksonville",+NFL!S283,IF(+NFL!$H283="Jacksonville",+NFL!S283,0))</f>
        <v>NY Jets</v>
      </c>
      <c r="T283" s="398">
        <f>IF(+NFL!$F283="Jacksonville",+NFL!T283,IF(+NFL!$H283="Jacksonville",+NFL!T283,0))</f>
        <v>0</v>
      </c>
      <c r="U283" s="396" t="str">
        <f>IF(+NFL!$F283="Jacksonville",+NFL!U283,IF(+NFL!$H283="Jacksonville",+NFL!U283,0))</f>
        <v>L</v>
      </c>
      <c r="V283" s="397">
        <f>IF(+NFL!$F292="Jacksonville",+NFL!#REF!,IF(+NFL!$H292="Jacksonville",+NFL!#REF!,0))</f>
        <v>0</v>
      </c>
      <c r="W283" s="396">
        <f>IF(+NFL!$F292="Jacksonville",+NFL!#REF!,IF(+NFL!$H292="Jacksonville",+NFL!#REF!,0))</f>
        <v>0</v>
      </c>
      <c r="X283" s="398">
        <f>IF(+NFL!$F292="Jacksonville",+NFL!#REF!,IF(+NFL!$H292="Jacksonville",+NFL!#REF!,0))</f>
        <v>0</v>
      </c>
      <c r="Y283" s="396">
        <f>IF(+NFL!$F292="Jacksonville",+NFL!#REF!,IF(+NFL!$H292="Jacksonville",+NFL!#REF!,0))</f>
        <v>0</v>
      </c>
      <c r="Z283" s="397">
        <f>IF(+NFL!$F292="Jacksonville",+NFL!#REF!,IF(+NFL!$H292="Jacksonville",+NFL!#REF!,0))</f>
        <v>0</v>
      </c>
      <c r="AA283" s="396">
        <f>IF(+NFL!$F292="Jacksonville",+NFL!#REF!,IF(+NFL!$H292="Jacksonville",+NFL!#REF!,0))</f>
        <v>0</v>
      </c>
      <c r="AB283" s="87">
        <f>IF(+NFL!$F292="Jacksonville",+NFL!#REF!,IF(+NFL!$H292="Jacksonville",+NFL!#REF!,0))</f>
        <v>0</v>
      </c>
      <c r="AC283" s="120">
        <f>IF(+NFL!$F292="Jacksonville",+NFL!#REF!,IF(+NFL!$H292="Jacksonville",+NFL!#REF!,0))</f>
        <v>0</v>
      </c>
      <c r="AD283" s="353">
        <f>IF(+NFL!$F292="Jacksonville",+NFL!#REF!,IF(+NFL!$H292="Jacksonville",+NFL!#REF!,0))</f>
        <v>0</v>
      </c>
      <c r="AE283" s="379">
        <f>IF(+NFL!$F292="Jacksonville",+NFL!#REF!,IF(+NFL!$H292="Jacksonville",+NFL!#REF!,0))</f>
        <v>0</v>
      </c>
      <c r="AF283" s="353">
        <f>IF(+NFL!$F292="Jacksonville",+NFL!#REF!,IF(+NFL!$H292="Jacksonville",+NFL!#REF!,0))</f>
        <v>0</v>
      </c>
      <c r="AG283" s="379">
        <f>IF(+NFL!$F292="Jacksonville",+NFL!#REF!,IF(+NFL!$H292="Jacksonville",+NFL!#REF!,0))</f>
        <v>0</v>
      </c>
      <c r="AH283" s="353">
        <f>IF(+NFL!$F292="Jacksonville",+NFL!#REF!,IF(+NFL!$H292="Jacksonville",+NFL!#REF!,0))</f>
        <v>0</v>
      </c>
      <c r="AI283" s="379">
        <f>IF(+NFL!$F292="Jacksonville",+NFL!#REF!,IF(+NFL!$H292="Jacksonville",+NFL!#REF!,0))</f>
        <v>0</v>
      </c>
      <c r="AJ283" s="353">
        <f>IF(+NFL!$F292="Jacksonville",+NFL!#REF!,IF(+NFL!$H292="Jacksonville",+NFL!#REF!,0))</f>
        <v>0</v>
      </c>
      <c r="AK283" s="379">
        <f>IF(+NFL!$F292="Jacksonville",+NFL!#REF!,IF(+NFL!$H292="Jacksonville",+NFL!#REF!,0))</f>
        <v>0</v>
      </c>
      <c r="AL283" s="69">
        <f>IF(+NFL!$F292="Jacksonville",+NFL!#REF!,IF(+NFL!$H292="Jacksonville",+NFL!#REF!,0))</f>
        <v>0</v>
      </c>
      <c r="AM283" s="58">
        <f>IF(+NFL!$F292="Jacksonville",+NFL!#REF!,IF(+NFL!$H292="Jacksonville",+NFL!#REF!,0))</f>
        <v>0</v>
      </c>
      <c r="AN283" s="70">
        <f>IF(+NFL!$F292="Jacksonville",+NFL!#REF!,IF(+NFL!$H292="Jacksonville",+NFL!#REF!,0))</f>
        <v>0</v>
      </c>
      <c r="AO283" s="59">
        <f>IF(+NFL!$F292="Jacksonville",+NFL!#REF!,IF(+NFL!$H292="Jacksonville",+NFL!#REF!,0))</f>
        <v>0</v>
      </c>
      <c r="AP283" s="348">
        <f>IF(+NFL!$F292="Jacksonville",+NFL!#REF!,IF(+NFL!$H292="Jacksonville",+NFL!#REF!,0))</f>
        <v>0</v>
      </c>
      <c r="AQ283" s="48">
        <f>IF(+NFL!$F292="Jacksonville",+NFL!#REF!,IF(+NFL!$H292="Jacksonville",+NFL!#REF!,0))</f>
        <v>0</v>
      </c>
      <c r="AR283" s="57">
        <f>IF(+NFL!$F292="Jacksonville",+NFL!#REF!,IF(+NFL!$H292="Jacksonville",+NFL!#REF!,0))</f>
        <v>0</v>
      </c>
      <c r="AS283" s="64">
        <f>IF(+NFL!$F292="Jacksonville",+NFL!#REF!,IF(+NFL!$H292="Jacksonville",+NFL!#REF!,0))</f>
        <v>0</v>
      </c>
      <c r="AT283" s="64">
        <f>IF(+NFL!$F292="Jacksonville",+NFL!#REF!,IF(+NFL!$H292="Jacksonville",+NFL!#REF!,0))</f>
        <v>0</v>
      </c>
      <c r="AU283" s="57">
        <f>IF(+NFL!$F292="Jacksonville",+NFL!#REF!,IF(+NFL!$H292="Jacksonville",+NFL!#REF!,0))</f>
        <v>0</v>
      </c>
      <c r="AV283" s="64">
        <f>IF(+NFL!$F292="Jacksonville",+NFL!#REF!,IF(+NFL!$H292="Jacksonville",+NFL!#REF!,0))</f>
        <v>0</v>
      </c>
      <c r="AW283" s="46">
        <f>IF(+NFL!$F292="Jacksonville",+NFL!#REF!,IF(+NFL!$H292="Jacksonville",+NFL!#REF!,0))</f>
        <v>0</v>
      </c>
      <c r="AX283" s="64">
        <f>IF(+NFL!$F292="Jacksonville",+NFL!#REF!,IF(+NFL!$H292="Jacksonville",+NFL!#REF!,0))</f>
        <v>0</v>
      </c>
      <c r="AY283" s="57">
        <f>IF(+NFL!$F292="Jacksonville",+NFL!#REF!,IF(+NFL!$H292="Jacksonville",+NFL!#REF!,0))</f>
        <v>0</v>
      </c>
      <c r="AZ283" s="64">
        <f>IF(+NFL!$F292="Jacksonville",+NFL!#REF!,IF(+NFL!$H292="Jacksonville",+NFL!#REF!,0))</f>
        <v>0</v>
      </c>
      <c r="BA283" s="46">
        <f>IF(+NFL!$F292="Jacksonville",+NFL!#REF!,IF(+NFL!$H292="Jacksonville",+NFL!#REF!,0))</f>
        <v>0</v>
      </c>
      <c r="BB283" s="46">
        <f>IF(+NFL!$F292="Jacksonville",+NFL!#REF!,IF(+NFL!$H292="Jacksonville",+NFL!#REF!,0))</f>
        <v>0</v>
      </c>
      <c r="BC283" s="403">
        <f>IF(+NFL!$F292="Jacksonville",+NFL!#REF!,IF(+NFL!$H292="Jacksonville",+NFL!#REF!,0))</f>
        <v>0</v>
      </c>
      <c r="BD283" s="57">
        <f>IF(+NFL!$F292="Jacksonville",+NFL!#REF!,IF(+NFL!$H292="Jacksonville",+NFL!#REF!,0))</f>
        <v>0</v>
      </c>
      <c r="BE283" s="64">
        <f>IF(+NFL!$F292="Jacksonville",+NFL!#REF!,IF(+NFL!$H292="Jacksonville",+NFL!#REF!,0))</f>
        <v>0</v>
      </c>
      <c r="BF283" s="46">
        <f>IF(+NFL!$F292="Jacksonville",+NFL!#REF!,IF(+NFL!$H292="Jacksonville",+NFL!#REF!,0))</f>
        <v>0</v>
      </c>
      <c r="BG283" s="57">
        <f>IF(+NFL!$F292="Jacksonville",+NFL!#REF!,IF(+NFL!$H292="Jacksonville",+NFL!#REF!,0))</f>
        <v>0</v>
      </c>
      <c r="BH283" s="64">
        <f>IF(+NFL!$F292="Jacksonville",+NFL!#REF!,IF(+NFL!$H292="Jacksonville",+NFL!#REF!,0))</f>
        <v>0</v>
      </c>
      <c r="BI283" s="46">
        <f>IF(+NFL!$F292="Jacksonville",+NFL!#REF!,IF(+NFL!$H292="Jacksonville",+NFL!#REF!,0))</f>
        <v>0</v>
      </c>
      <c r="BJ283" s="87">
        <f>IF(+NFL!$F292="Jacksonville",+NFL!#REF!,IF(+NFL!$H292="Jacksonville",+NFL!#REF!,0))</f>
        <v>0</v>
      </c>
      <c r="BK283" s="120">
        <f>IF(+NFL!$F292="Jacksonville",+NFL!#REF!,IF(+NFL!$H292="Jacksonville",+NFL!#REF!,0))</f>
        <v>0</v>
      </c>
    </row>
    <row r="284" spans="1:63" x14ac:dyDescent="0.8">
      <c r="A284" s="46">
        <f>IF(+NFL!$F310="Jacksonville",+NFL!A310,IF(+NFL!$H310="Jacksonville",+NFL!A310,0))</f>
        <v>17</v>
      </c>
      <c r="B284" s="348" t="str">
        <f>IF(+NFL!$F310="Jacksonville",+NFL!B310,IF(+NFL!$H310="Jacksonville",+NFL!B310,0))</f>
        <v>Sun</v>
      </c>
      <c r="C284" s="48">
        <f>IF(+NFL!$F310="Jacksonville",+NFL!C310,IF(+NFL!$H310="Jacksonville",+NFL!C310,0))</f>
        <v>44927</v>
      </c>
      <c r="D284" s="490">
        <f>IF(+NFL!$F310="Jacksonville",+NFL!D310,IF(+NFL!$H310="Jacksonville",+NFL!D310,0))</f>
        <v>0.66666666666666663</v>
      </c>
      <c r="E284" s="46" t="str">
        <f>IF(+NFL!$F310="Jacksonville",+NFL!E310,IF(+NFL!$H310="Jacksonville",+NFL!E310,0))</f>
        <v>CBS</v>
      </c>
      <c r="F284" s="114" t="str">
        <f>IF(+NFL!$F310="Jacksonville",+NFL!F310,IF(+NFL!$H310="Jacksonville",+NFL!F310,0))</f>
        <v>Jacksonville</v>
      </c>
      <c r="G284" s="46" t="str">
        <f>IF(+NFL!$F310="Jacksonville",+NFL!G310,IF(+NFL!$H310="Jacksonville",+NFL!G310,0))</f>
        <v>AFCS</v>
      </c>
      <c r="H284" s="114" t="str">
        <f>IF(+NFL!$F310="Jacksonville",+NFL!H310,IF(+NFL!$H310="Jacksonville",+NFL!H310,0))</f>
        <v>Houston</v>
      </c>
      <c r="I284" s="46" t="str">
        <f>IF(+NFL!$F310="Jacksonville",+NFL!I310,IF(+NFL!$H310="Jacksonville",+NFL!I310,0))</f>
        <v>AFCS</v>
      </c>
      <c r="J284" s="353" t="str">
        <f>IF(+NFL!$F310="Jacksonville",+NFL!J310,IF(+NFL!$H310="Jacksonville",+NFL!J310,0))</f>
        <v>Jacksonville</v>
      </c>
      <c r="K284" s="494" t="str">
        <f>IF(+NFL!$F310="Jacksonville",+NFL!K310,IF(+NFL!$H310="Jacksonville",+NFL!K310,0))</f>
        <v>Houston</v>
      </c>
      <c r="L284" s="384">
        <f>IF(+NFL!$F310="Jacksonville",+NFL!L310,IF(+NFL!$H310="Jacksonville",+NFL!L310,0))</f>
        <v>3.5</v>
      </c>
      <c r="M284" s="385">
        <f>IF(+NFL!$F310="Jacksonville",+NFL!M310,IF(+NFL!$H310="Jacksonville",+NFL!M310,0))</f>
        <v>43.5</v>
      </c>
      <c r="N284" s="394" t="str">
        <f>IF(+NFL!$F310="Jacksonville",+NFL!N310,IF(+NFL!$H310="Jacksonville",+NFL!N310,0))</f>
        <v>Jacksonville</v>
      </c>
      <c r="O284" s="395">
        <f>IF(+NFL!$F310="Jacksonville",+NFL!O310,IF(+NFL!$H310="Jacksonville",+NFL!O310,0))</f>
        <v>31</v>
      </c>
      <c r="P284" s="394" t="str">
        <f>IF(+NFL!$F310="Jacksonville",+NFL!P310,IF(+NFL!$H310="Jacksonville",+NFL!P310,0))</f>
        <v>Houston</v>
      </c>
      <c r="Q284" s="396">
        <f>IF(+NFL!$F310="Jacksonville",+NFL!Q310,IF(+NFL!$H310="Jacksonville",+NFL!Q310,0))</f>
        <v>3</v>
      </c>
      <c r="R284" s="397" t="str">
        <f>IF(+NFL!$F310="Jacksonville",+NFL!R310,IF(+NFL!$H310="Jacksonville",+NFL!R310,0))</f>
        <v>Jacksonville</v>
      </c>
      <c r="S284" s="396" t="str">
        <f>IF(+NFL!$F310="Jacksonville",+NFL!S310,IF(+NFL!$H310="Jacksonville",+NFL!S310,0))</f>
        <v>Houston</v>
      </c>
      <c r="T284" s="398">
        <f>IF(+NFL!$F310="Jacksonville",+NFL!T310,IF(+NFL!$H310="Jacksonville",+NFL!T310,0))</f>
        <v>0</v>
      </c>
      <c r="U284" s="396" t="str">
        <f>IF(+NFL!$F310="Jacksonville",+NFL!U310,IF(+NFL!$H310="Jacksonville",+NFL!U310,0))</f>
        <v>L</v>
      </c>
      <c r="V284" s="397" t="e">
        <f>IF(+NFL!$F310="Jacksonville",+NFL!#REF!,IF(+NFL!$H310="Jacksonville",+NFL!#REF!,0))</f>
        <v>#REF!</v>
      </c>
      <c r="W284" s="396" t="e">
        <f>IF(+NFL!$F310="Jacksonville",+NFL!#REF!,IF(+NFL!$H310="Jacksonville",+NFL!#REF!,0))</f>
        <v>#REF!</v>
      </c>
      <c r="X284" s="398" t="e">
        <f>IF(+NFL!$F310="Jacksonville",+NFL!#REF!,IF(+NFL!$H310="Jacksonville",+NFL!#REF!,0))</f>
        <v>#REF!</v>
      </c>
      <c r="Y284" s="396" t="e">
        <f>IF(+NFL!$F310="Jacksonville",+NFL!#REF!,IF(+NFL!$H310="Jacksonville",+NFL!#REF!,0))</f>
        <v>#REF!</v>
      </c>
      <c r="Z284" s="397" t="e">
        <f>IF(+NFL!$F310="Jacksonville",+NFL!#REF!,IF(+NFL!$H310="Jacksonville",+NFL!#REF!,0))</f>
        <v>#REF!</v>
      </c>
      <c r="AA284" s="396" t="e">
        <f>IF(+NFL!$F310="Jacksonville",+NFL!#REF!,IF(+NFL!$H310="Jacksonville",+NFL!#REF!,0))</f>
        <v>#REF!</v>
      </c>
      <c r="AB284" s="87" t="e">
        <f>IF(+NFL!$F310="Jacksonville",+NFL!#REF!,IF(+NFL!$H310="Jacksonville",+NFL!#REF!,0))</f>
        <v>#REF!</v>
      </c>
      <c r="AC284" s="120" t="e">
        <f>IF(+NFL!$F310="Jacksonville",+NFL!#REF!,IF(+NFL!$H310="Jacksonville",+NFL!#REF!,0))</f>
        <v>#REF!</v>
      </c>
      <c r="AD284" s="353" t="e">
        <f>IF(+NFL!$F310="Jacksonville",+NFL!#REF!,IF(+NFL!$H310="Jacksonville",+NFL!#REF!,0))</f>
        <v>#REF!</v>
      </c>
      <c r="AE284" s="379" t="e">
        <f>IF(+NFL!$F310="Jacksonville",+NFL!#REF!,IF(+NFL!$H310="Jacksonville",+NFL!#REF!,0))</f>
        <v>#REF!</v>
      </c>
      <c r="AF284" s="353" t="e">
        <f>IF(+NFL!$F310="Jacksonville",+NFL!#REF!,IF(+NFL!$H310="Jacksonville",+NFL!#REF!,0))</f>
        <v>#REF!</v>
      </c>
      <c r="AG284" s="379" t="e">
        <f>IF(+NFL!$F310="Jacksonville",+NFL!#REF!,IF(+NFL!$H310="Jacksonville",+NFL!#REF!,0))</f>
        <v>#REF!</v>
      </c>
      <c r="AH284" s="353" t="e">
        <f>IF(+NFL!$F310="Jacksonville",+NFL!#REF!,IF(+NFL!$H310="Jacksonville",+NFL!#REF!,0))</f>
        <v>#REF!</v>
      </c>
      <c r="AI284" s="379" t="e">
        <f>IF(+NFL!$F310="Jacksonville",+NFL!#REF!,IF(+NFL!$H310="Jacksonville",+NFL!#REF!,0))</f>
        <v>#REF!</v>
      </c>
      <c r="AJ284" s="353" t="e">
        <f>IF(+NFL!$F310="Jacksonville",+NFL!#REF!,IF(+NFL!$H310="Jacksonville",+NFL!#REF!,0))</f>
        <v>#REF!</v>
      </c>
      <c r="AK284" s="379" t="e">
        <f>IF(+NFL!$F310="Jacksonville",+NFL!#REF!,IF(+NFL!$H310="Jacksonville",+NFL!#REF!,0))</f>
        <v>#REF!</v>
      </c>
      <c r="AL284" s="69" t="e">
        <f>IF(+NFL!$F310="Jacksonville",+NFL!#REF!,IF(+NFL!$H310="Jacksonville",+NFL!#REF!,0))</f>
        <v>#REF!</v>
      </c>
      <c r="AM284" s="58" t="e">
        <f>IF(+NFL!$F310="Jacksonville",+NFL!#REF!,IF(+NFL!$H310="Jacksonville",+NFL!#REF!,0))</f>
        <v>#REF!</v>
      </c>
      <c r="AN284" s="70" t="e">
        <f>IF(+NFL!$F310="Jacksonville",+NFL!#REF!,IF(+NFL!$H310="Jacksonville",+NFL!#REF!,0))</f>
        <v>#REF!</v>
      </c>
      <c r="AO284" s="59" t="e">
        <f>IF(+NFL!$F310="Jacksonville",+NFL!#REF!,IF(+NFL!$H310="Jacksonville",+NFL!#REF!,0))</f>
        <v>#REF!</v>
      </c>
      <c r="AP284" s="348" t="e">
        <f>IF(+NFL!$F310="Jacksonville",+NFL!#REF!,IF(+NFL!$H310="Jacksonville",+NFL!#REF!,0))</f>
        <v>#REF!</v>
      </c>
      <c r="AQ284" s="48" t="e">
        <f>IF(+NFL!$F310="Jacksonville",+NFL!#REF!,IF(+NFL!$H310="Jacksonville",+NFL!#REF!,0))</f>
        <v>#REF!</v>
      </c>
      <c r="AR284" s="57" t="e">
        <f>IF(+NFL!$F310="Jacksonville",+NFL!#REF!,IF(+NFL!$H310="Jacksonville",+NFL!#REF!,0))</f>
        <v>#REF!</v>
      </c>
      <c r="AS284" s="64" t="e">
        <f>IF(+NFL!$F310="Jacksonville",+NFL!#REF!,IF(+NFL!$H310="Jacksonville",+NFL!#REF!,0))</f>
        <v>#REF!</v>
      </c>
      <c r="AT284" s="64" t="e">
        <f>IF(+NFL!$F310="Jacksonville",+NFL!#REF!,IF(+NFL!$H310="Jacksonville",+NFL!#REF!,0))</f>
        <v>#REF!</v>
      </c>
      <c r="AU284" s="57" t="e">
        <f>IF(+NFL!$F310="Jacksonville",+NFL!#REF!,IF(+NFL!$H310="Jacksonville",+NFL!#REF!,0))</f>
        <v>#REF!</v>
      </c>
      <c r="AV284" s="64" t="e">
        <f>IF(+NFL!$F310="Jacksonville",+NFL!#REF!,IF(+NFL!$H310="Jacksonville",+NFL!#REF!,0))</f>
        <v>#REF!</v>
      </c>
      <c r="AW284" s="46" t="e">
        <f>IF(+NFL!$F310="Jacksonville",+NFL!#REF!,IF(+NFL!$H310="Jacksonville",+NFL!#REF!,0))</f>
        <v>#REF!</v>
      </c>
      <c r="AX284" s="64" t="e">
        <f>IF(+NFL!$F310="Jacksonville",+NFL!#REF!,IF(+NFL!$H310="Jacksonville",+NFL!#REF!,0))</f>
        <v>#REF!</v>
      </c>
      <c r="AY284" s="57" t="e">
        <f>IF(+NFL!$F310="Jacksonville",+NFL!#REF!,IF(+NFL!$H310="Jacksonville",+NFL!#REF!,0))</f>
        <v>#REF!</v>
      </c>
      <c r="AZ284" s="64" t="e">
        <f>IF(+NFL!$F310="Jacksonville",+NFL!#REF!,IF(+NFL!$H310="Jacksonville",+NFL!#REF!,0))</f>
        <v>#REF!</v>
      </c>
      <c r="BA284" s="46" t="e">
        <f>IF(+NFL!$F310="Jacksonville",+NFL!#REF!,IF(+NFL!$H310="Jacksonville",+NFL!#REF!,0))</f>
        <v>#REF!</v>
      </c>
      <c r="BB284" s="46" t="e">
        <f>IF(+NFL!$F310="Jacksonville",+NFL!#REF!,IF(+NFL!$H310="Jacksonville",+NFL!#REF!,0))</f>
        <v>#REF!</v>
      </c>
      <c r="BC284" s="403" t="e">
        <f>IF(+NFL!$F310="Jacksonville",+NFL!#REF!,IF(+NFL!$H310="Jacksonville",+NFL!#REF!,0))</f>
        <v>#REF!</v>
      </c>
      <c r="BD284" s="57" t="e">
        <f>IF(+NFL!$F310="Jacksonville",+NFL!#REF!,IF(+NFL!$H310="Jacksonville",+NFL!#REF!,0))</f>
        <v>#REF!</v>
      </c>
      <c r="BE284" s="64" t="e">
        <f>IF(+NFL!$F310="Jacksonville",+NFL!#REF!,IF(+NFL!$H310="Jacksonville",+NFL!#REF!,0))</f>
        <v>#REF!</v>
      </c>
      <c r="BF284" s="46" t="e">
        <f>IF(+NFL!$F310="Jacksonville",+NFL!#REF!,IF(+NFL!$H310="Jacksonville",+NFL!#REF!,0))</f>
        <v>#REF!</v>
      </c>
      <c r="BG284" s="57" t="e">
        <f>IF(+NFL!$F310="Jacksonville",+NFL!#REF!,IF(+NFL!$H310="Jacksonville",+NFL!#REF!,0))</f>
        <v>#REF!</v>
      </c>
      <c r="BH284" s="64" t="e">
        <f>IF(+NFL!$F310="Jacksonville",+NFL!#REF!,IF(+NFL!$H310="Jacksonville",+NFL!#REF!,0))</f>
        <v>#REF!</v>
      </c>
      <c r="BI284" s="46" t="e">
        <f>IF(+NFL!$F310="Jacksonville",+NFL!#REF!,IF(+NFL!$H310="Jacksonville",+NFL!#REF!,0))</f>
        <v>#REF!</v>
      </c>
      <c r="BJ284" s="87" t="e">
        <f>IF(+NFL!$F310="Jacksonville",+NFL!#REF!,IF(+NFL!$H310="Jacksonville",+NFL!#REF!,0))</f>
        <v>#REF!</v>
      </c>
      <c r="BK284" s="120" t="e">
        <f>IF(+NFL!$F310="Jacksonville",+NFL!#REF!,IF(+NFL!$H310="Jacksonville",+NFL!#REF!,0))</f>
        <v>#REF!</v>
      </c>
    </row>
    <row r="285" spans="1:63" x14ac:dyDescent="0.8">
      <c r="A285" s="46" t="str">
        <f>IF(+NFL!$F365="Jacksonville",+NFL!A365,IF(+NFL!$H365="Jacksonville",+NFL!A365,0))</f>
        <v>Sag</v>
      </c>
      <c r="B285" s="348">
        <f>IF(+NFL!$F365="Jacksonville",+NFL!B365,IF(+NFL!$H365="Jacksonville",+NFL!B365,0))</f>
        <v>6.5</v>
      </c>
      <c r="C285" s="48">
        <f>IF(+NFL!$F365="Jacksonville",+NFL!C365,IF(+NFL!$H365="Jacksonville",+NFL!C365,0))</f>
        <v>0</v>
      </c>
      <c r="D285" s="490">
        <f>IF(+NFL!$F365="Jacksonville",+NFL!D365,IF(+NFL!$H365="Jacksonville",+NFL!D365,0))</f>
        <v>0</v>
      </c>
      <c r="E285" s="46">
        <f>IF(+NFL!$F365="Jacksonville",+NFL!E365,IF(+NFL!$H365="Jacksonville",+NFL!E365,0))</f>
        <v>0</v>
      </c>
      <c r="F285" s="114" t="str">
        <f>IF(+NFL!$F365="Jacksonville",+NFL!F365,IF(+NFL!$H365="Jacksonville",+NFL!F365,0))</f>
        <v>Jacksonville</v>
      </c>
      <c r="G285" s="46" t="str">
        <f>IF(+NFL!$F365="Jacksonville",+NFL!G365,IF(+NFL!$H365="Jacksonville",+NFL!G365,0))</f>
        <v>AFCS</v>
      </c>
      <c r="H285" s="114" t="str">
        <f>IF(+NFL!$F365="Jacksonville",+NFL!H365,IF(+NFL!$H365="Jacksonville",+NFL!H365,0))</f>
        <v>CBS</v>
      </c>
      <c r="I285" s="46">
        <f>IF(+NFL!$F365="Jacksonville",+NFL!I365,IF(+NFL!$H365="Jacksonville",+NFL!I365,0))</f>
        <v>1</v>
      </c>
      <c r="J285" s="353">
        <f>IF(+NFL!$F365="Jacksonville",+NFL!J365,IF(+NFL!$H365="Jacksonville",+NFL!J365,0))</f>
        <v>0</v>
      </c>
      <c r="K285" s="494">
        <f>IF(+NFL!$F365="Jacksonville",+NFL!K365,IF(+NFL!$H365="Jacksonville",+NFL!K365,0))</f>
        <v>0</v>
      </c>
      <c r="L285" s="384">
        <f>IF(+NFL!$F365="Jacksonville",+NFL!L365,IF(+NFL!$H365="Jacksonville",+NFL!L365,0))</f>
        <v>0</v>
      </c>
      <c r="M285" s="385">
        <f>IF(+NFL!$F365="Jacksonville",+NFL!M365,IF(+NFL!$H365="Jacksonville",+NFL!M365,0))</f>
        <v>0</v>
      </c>
      <c r="N285" s="394">
        <f>IF(+NFL!$F365="Jacksonville",+NFL!N365,IF(+NFL!$H365="Jacksonville",+NFL!N365,0))</f>
        <v>0</v>
      </c>
      <c r="O285" s="395">
        <f>IF(+NFL!$F365="Jacksonville",+NFL!O365,IF(+NFL!$H365="Jacksonville",+NFL!O365,0))</f>
        <v>0</v>
      </c>
      <c r="P285" s="394">
        <f>IF(+NFL!$F365="Jacksonville",+NFL!P365,IF(+NFL!$H365="Jacksonville",+NFL!P365,0))</f>
        <v>0</v>
      </c>
      <c r="Q285" s="396">
        <f>IF(+NFL!$F365="Jacksonville",+NFL!Q365,IF(+NFL!$H365="Jacksonville",+NFL!Q365,0))</f>
        <v>0</v>
      </c>
      <c r="R285" s="397">
        <f>IF(+NFL!$F365="Jacksonville",+NFL!R365,IF(+NFL!$H365="Jacksonville",+NFL!R365,0))</f>
        <v>0</v>
      </c>
      <c r="S285" s="396">
        <f>IF(+NFL!$F365="Jacksonville",+NFL!S365,IF(+NFL!$H365="Jacksonville",+NFL!S365,0))</f>
        <v>0</v>
      </c>
      <c r="T285" s="398">
        <f>IF(+NFL!$F365="Jacksonville",+NFL!T365,IF(+NFL!$H365="Jacksonville",+NFL!T365,0))</f>
        <v>0</v>
      </c>
      <c r="U285" s="396">
        <f>IF(+NFL!$F365="Jacksonville",+NFL!U365,IF(+NFL!$H365="Jacksonville",+NFL!U365,0))</f>
        <v>0</v>
      </c>
      <c r="V285" s="397">
        <f>IF(+NFL!$F347="Jacksonville",+NFL!#REF!,IF(+NFL!$H347="Jacksonville",+NFL!#REF!,0))</f>
        <v>0</v>
      </c>
      <c r="W285" s="396">
        <f>IF(+NFL!$F347="Jacksonville",+NFL!#REF!,IF(+NFL!$H347="Jacksonville",+NFL!#REF!,0))</f>
        <v>0</v>
      </c>
      <c r="X285" s="398">
        <f>IF(+NFL!$F347="Jacksonville",+NFL!#REF!,IF(+NFL!$H347="Jacksonville",+NFL!#REF!,0))</f>
        <v>0</v>
      </c>
      <c r="Y285" s="396">
        <f>IF(+NFL!$F347="Jacksonville",+NFL!#REF!,IF(+NFL!$H347="Jacksonville",+NFL!#REF!,0))</f>
        <v>0</v>
      </c>
      <c r="Z285" s="397">
        <f>IF(+NFL!$F347="Jacksonville",+NFL!#REF!,IF(+NFL!$H347="Jacksonville",+NFL!#REF!,0))</f>
        <v>0</v>
      </c>
      <c r="AA285" s="396">
        <f>IF(+NFL!$F347="Jacksonville",+NFL!#REF!,IF(+NFL!$H347="Jacksonville",+NFL!#REF!,0))</f>
        <v>0</v>
      </c>
      <c r="AB285" s="87">
        <f>IF(+NFL!$F347="Jacksonville",+NFL!#REF!,IF(+NFL!$H347="Jacksonville",+NFL!#REF!,0))</f>
        <v>0</v>
      </c>
      <c r="AC285" s="120">
        <f>IF(+NFL!$F347="Jacksonville",+NFL!#REF!,IF(+NFL!$H347="Jacksonville",+NFL!#REF!,0))</f>
        <v>0</v>
      </c>
      <c r="AD285" s="353">
        <f>IF(+NFL!$F347="Jacksonville",+NFL!#REF!,IF(+NFL!$H347="Jacksonville",+NFL!#REF!,0))</f>
        <v>0</v>
      </c>
      <c r="AE285" s="379">
        <f>IF(+NFL!$F347="Jacksonville",+NFL!#REF!,IF(+NFL!$H347="Jacksonville",+NFL!#REF!,0))</f>
        <v>0</v>
      </c>
      <c r="AF285" s="353">
        <f>IF(+NFL!$F347="Jacksonville",+NFL!#REF!,IF(+NFL!$H347="Jacksonville",+NFL!#REF!,0))</f>
        <v>0</v>
      </c>
      <c r="AG285" s="379">
        <f>IF(+NFL!$F347="Jacksonville",+NFL!#REF!,IF(+NFL!$H347="Jacksonville",+NFL!#REF!,0))</f>
        <v>0</v>
      </c>
      <c r="AH285" s="353">
        <f>IF(+NFL!$F347="Jacksonville",+NFL!#REF!,IF(+NFL!$H347="Jacksonville",+NFL!#REF!,0))</f>
        <v>0</v>
      </c>
      <c r="AI285" s="379">
        <f>IF(+NFL!$F347="Jacksonville",+NFL!#REF!,IF(+NFL!$H347="Jacksonville",+NFL!#REF!,0))</f>
        <v>0</v>
      </c>
      <c r="AJ285" s="353">
        <f>IF(+NFL!$F347="Jacksonville",+NFL!#REF!,IF(+NFL!$H347="Jacksonville",+NFL!#REF!,0))</f>
        <v>0</v>
      </c>
      <c r="AK285" s="379">
        <f>IF(+NFL!$F347="Jacksonville",+NFL!#REF!,IF(+NFL!$H347="Jacksonville",+NFL!#REF!,0))</f>
        <v>0</v>
      </c>
      <c r="AL285" s="69">
        <f>IF(+NFL!$F347="Jacksonville",+NFL!#REF!,IF(+NFL!$H347="Jacksonville",+NFL!#REF!,0))</f>
        <v>0</v>
      </c>
      <c r="AM285" s="58">
        <f>IF(+NFL!$F347="Jacksonville",+NFL!#REF!,IF(+NFL!$H347="Jacksonville",+NFL!#REF!,0))</f>
        <v>0</v>
      </c>
      <c r="AN285" s="70">
        <f>IF(+NFL!$F347="Jacksonville",+NFL!#REF!,IF(+NFL!$H347="Jacksonville",+NFL!#REF!,0))</f>
        <v>0</v>
      </c>
      <c r="AO285" s="59">
        <f>IF(+NFL!$F347="Jacksonville",+NFL!#REF!,IF(+NFL!$H347="Jacksonville",+NFL!#REF!,0))</f>
        <v>0</v>
      </c>
      <c r="AP285" s="348">
        <f>IF(+NFL!$F347="Jacksonville",+NFL!#REF!,IF(+NFL!$H347="Jacksonville",+NFL!#REF!,0))</f>
        <v>0</v>
      </c>
      <c r="AQ285" s="48">
        <f>IF(+NFL!$F347="Jacksonville",+NFL!#REF!,IF(+NFL!$H347="Jacksonville",+NFL!#REF!,0))</f>
        <v>0</v>
      </c>
      <c r="AR285" s="57">
        <f>IF(+NFL!$F347="Jacksonville",+NFL!#REF!,IF(+NFL!$H347="Jacksonville",+NFL!#REF!,0))</f>
        <v>0</v>
      </c>
      <c r="AS285" s="64">
        <f>IF(+NFL!$F347="Jacksonville",+NFL!#REF!,IF(+NFL!$H347="Jacksonville",+NFL!#REF!,0))</f>
        <v>0</v>
      </c>
      <c r="AT285" s="64">
        <f>IF(+NFL!$F347="Jacksonville",+NFL!#REF!,IF(+NFL!$H347="Jacksonville",+NFL!#REF!,0))</f>
        <v>0</v>
      </c>
      <c r="AU285" s="57">
        <f>IF(+NFL!$F347="Jacksonville",+NFL!#REF!,IF(+NFL!$H347="Jacksonville",+NFL!#REF!,0))</f>
        <v>0</v>
      </c>
      <c r="AV285" s="64">
        <f>IF(+NFL!$F347="Jacksonville",+NFL!#REF!,IF(+NFL!$H347="Jacksonville",+NFL!#REF!,0))</f>
        <v>0</v>
      </c>
      <c r="AW285" s="46">
        <f>IF(+NFL!$F347="Jacksonville",+NFL!#REF!,IF(+NFL!$H347="Jacksonville",+NFL!#REF!,0))</f>
        <v>0</v>
      </c>
      <c r="AX285" s="64">
        <f>IF(+NFL!$F347="Jacksonville",+NFL!#REF!,IF(+NFL!$H347="Jacksonville",+NFL!#REF!,0))</f>
        <v>0</v>
      </c>
      <c r="AY285" s="57">
        <f>IF(+NFL!$F347="Jacksonville",+NFL!#REF!,IF(+NFL!$H347="Jacksonville",+NFL!#REF!,0))</f>
        <v>0</v>
      </c>
      <c r="AZ285" s="64">
        <f>IF(+NFL!$F347="Jacksonville",+NFL!#REF!,IF(+NFL!$H347="Jacksonville",+NFL!#REF!,0))</f>
        <v>0</v>
      </c>
      <c r="BA285" s="46">
        <f>IF(+NFL!$F347="Jacksonville",+NFL!#REF!,IF(+NFL!$H347="Jacksonville",+NFL!#REF!,0))</f>
        <v>0</v>
      </c>
      <c r="BB285" s="46">
        <f>IF(+NFL!$F347="Jacksonville",+NFL!#REF!,IF(+NFL!$H347="Jacksonville",+NFL!#REF!,0))</f>
        <v>0</v>
      </c>
      <c r="BC285" s="403">
        <f>IF(+NFL!$F347="Jacksonville",+NFL!#REF!,IF(+NFL!$H347="Jacksonville",+NFL!#REF!,0))</f>
        <v>0</v>
      </c>
      <c r="BD285" s="57">
        <f>IF(+NFL!$F347="Jacksonville",+NFL!#REF!,IF(+NFL!$H347="Jacksonville",+NFL!#REF!,0))</f>
        <v>0</v>
      </c>
      <c r="BE285" s="64">
        <f>IF(+NFL!$F347="Jacksonville",+NFL!#REF!,IF(+NFL!$H347="Jacksonville",+NFL!#REF!,0))</f>
        <v>0</v>
      </c>
      <c r="BF285" s="46">
        <f>IF(+NFL!$F347="Jacksonville",+NFL!#REF!,IF(+NFL!$H347="Jacksonville",+NFL!#REF!,0))</f>
        <v>0</v>
      </c>
      <c r="BG285" s="57">
        <f>IF(+NFL!$F347="Jacksonville",+NFL!#REF!,IF(+NFL!$H347="Jacksonville",+NFL!#REF!,0))</f>
        <v>0</v>
      </c>
      <c r="BH285" s="64">
        <f>IF(+NFL!$F347="Jacksonville",+NFL!#REF!,IF(+NFL!$H347="Jacksonville",+NFL!#REF!,0))</f>
        <v>0</v>
      </c>
      <c r="BI285" s="46">
        <f>IF(+NFL!$F347="Jacksonville",+NFL!#REF!,IF(+NFL!$H347="Jacksonville",+NFL!#REF!,0))</f>
        <v>0</v>
      </c>
      <c r="BJ285" s="87">
        <f>IF(+NFL!$F347="Jacksonville",+NFL!#REF!,IF(+NFL!$H347="Jacksonville",+NFL!#REF!,0))</f>
        <v>0</v>
      </c>
      <c r="BK285" s="120">
        <f>IF(+NFL!$F347="Jacksonville",+NFL!#REF!,IF(+NFL!$H347="Jacksonville",+NFL!#REF!,0))</f>
        <v>0</v>
      </c>
    </row>
    <row r="286" spans="1:63" x14ac:dyDescent="0.8">
      <c r="F286" s="959" t="str">
        <f>F287</f>
        <v>Kansas City</v>
      </c>
      <c r="G286" s="960"/>
      <c r="H286" s="960"/>
      <c r="I286" s="961"/>
      <c r="L286" s="384"/>
      <c r="M286" s="385"/>
      <c r="N286" s="394"/>
      <c r="P286" s="394"/>
      <c r="R286" s="397"/>
      <c r="S286" s="396"/>
      <c r="T286" s="398"/>
      <c r="X286" s="398"/>
      <c r="AL286" s="68"/>
      <c r="AY286" s="57"/>
      <c r="AZ286" s="64"/>
      <c r="BA286" s="46"/>
      <c r="BB286" s="46"/>
      <c r="BF286" s="46"/>
    </row>
    <row r="287" spans="1:63" s="246" customFormat="1" x14ac:dyDescent="0.8">
      <c r="A287" s="46">
        <f>IF(+NFL!$F16="Kansas City",+NFL!A16,IF(+NFL!$H16="Kansas City",+NFL!A16,0))</f>
        <v>1</v>
      </c>
      <c r="B287" s="348" t="str">
        <f>IF(+NFL!$F16="Kansas City",+NFL!B16,IF(+NFL!$H16="Kansas City",+NFL!B16,0))</f>
        <v>Sun</v>
      </c>
      <c r="C287" s="48">
        <f>IF(+NFL!$F16="Kansas City",+NFL!C16,IF(+NFL!$H16="Kansas City",+NFL!C16,0))</f>
        <v>44815</v>
      </c>
      <c r="D287" s="490">
        <f>IF(+NFL!$F16="Kansas City",+NFL!D16,IF(+NFL!$H16="Kansas City",+NFL!D16,0))</f>
        <v>0.66666666666666663</v>
      </c>
      <c r="E287" s="46" t="str">
        <f>IF(+NFL!$F16="Kansas City",+NFL!E16,IF(+NFL!$H16="Kansas City",+NFL!E16,0))</f>
        <v>CBS</v>
      </c>
      <c r="F287" s="114" t="str">
        <f>IF(+NFL!$F16="Kansas City",+NFL!F16,IF(+NFL!$H16="Kansas City",+NFL!F16,0))</f>
        <v>Kansas City</v>
      </c>
      <c r="G287" s="46" t="str">
        <f>IF(+NFL!$F16="Kansas City",+NFL!G16,IF(+NFL!$H16="Kansas City",+NFL!G16,0))</f>
        <v>AFCW</v>
      </c>
      <c r="H287" s="114" t="str">
        <f>IF(+NFL!$F16="Kansas City",+NFL!H16,IF(+NFL!$H16="Kansas City",+NFL!H16,0))</f>
        <v>Arizona</v>
      </c>
      <c r="I287" s="46" t="str">
        <f>IF(+NFL!$F16="Kansas City",+NFL!I16,IF(+NFL!$H16="Kansas City",+NFL!I16,0))</f>
        <v>NFCW</v>
      </c>
      <c r="J287" s="353" t="str">
        <f>IF(+NFL!$F16="Kansas City",+NFL!J16,IF(+NFL!$H16="Kansas City",+NFL!J16,0))</f>
        <v>Kansas City</v>
      </c>
      <c r="K287" s="494" t="str">
        <f>IF(+NFL!$F16="Kansas City",+NFL!K16,IF(+NFL!$H16="Kansas City",+NFL!K16,0))</f>
        <v>Arizona</v>
      </c>
      <c r="L287" s="384">
        <f>IF(+NFL!$F16="Kansas City",+NFL!L16,IF(+NFL!$H16="Kansas City",+NFL!L16,0))</f>
        <v>6</v>
      </c>
      <c r="M287" s="385">
        <f>IF(+NFL!$F16="Kansas City",+NFL!M16,IF(+NFL!$H16="Kansas City",+NFL!M16,0))</f>
        <v>54</v>
      </c>
      <c r="N287" s="394" t="str">
        <f>IF(+NFL!$F16="Kansas City",+NFL!N16,IF(+NFL!$H16="Kansas City",+NFL!N16,0))</f>
        <v>Kansas City</v>
      </c>
      <c r="O287" s="395">
        <f>IF(+NFL!$F16="Kansas City",+NFL!O16,IF(+NFL!$H16="Kansas City",+NFL!O16,0))</f>
        <v>44</v>
      </c>
      <c r="P287" s="394" t="str">
        <f>IF(+NFL!$F16="Kansas City",+NFL!P16,IF(+NFL!$H16="Kansas City",+NFL!P16,0))</f>
        <v>Arizona</v>
      </c>
      <c r="Q287" s="396">
        <f>IF(+NFL!$F16="Kansas City",+NFL!Q16,IF(+NFL!$H16="Kansas City",+NFL!Q16,0))</f>
        <v>21</v>
      </c>
      <c r="R287" s="397" t="str">
        <f>IF(+NFL!$F16="Kansas City",+NFL!R16,IF(+NFL!$H16="Kansas City",+NFL!R16,0))</f>
        <v>Kansas City</v>
      </c>
      <c r="S287" s="396" t="str">
        <f>IF(+NFL!$F16="Kansas City",+NFL!S16,IF(+NFL!$H16="Kansas City",+NFL!S16,0))</f>
        <v>Arizona</v>
      </c>
      <c r="T287" s="398" t="str">
        <f>IF(+NFL!$F16="Kansas City",+NFL!T16,IF(+NFL!$H16="Kansas City",+NFL!T16,0))</f>
        <v>Kansas City</v>
      </c>
      <c r="U287" s="396" t="str">
        <f>IF(+NFL!$F16="Kansas City",+NFL!U16,IF(+NFL!$H16="Kansas City",+NFL!U16,0))</f>
        <v>W</v>
      </c>
      <c r="V287" s="397"/>
      <c r="W287" s="396"/>
      <c r="X287" s="398"/>
      <c r="Y287" s="396"/>
      <c r="Z287" s="397"/>
      <c r="AA287" s="396"/>
      <c r="AB287" s="87"/>
      <c r="AC287" s="120"/>
      <c r="AD287" s="353"/>
      <c r="AE287" s="379"/>
      <c r="AF287" s="353"/>
      <c r="AG287" s="379"/>
      <c r="AH287" s="353"/>
      <c r="AI287" s="379"/>
      <c r="AJ287" s="353"/>
      <c r="AK287" s="379"/>
      <c r="AL287" s="68"/>
      <c r="AM287" s="58"/>
      <c r="AN287" s="57"/>
      <c r="AO287" s="59"/>
      <c r="AP287" s="348"/>
      <c r="AQ287" s="48"/>
      <c r="AR287" s="57"/>
      <c r="AS287" s="493"/>
      <c r="AT287" s="493"/>
      <c r="AU287" s="57"/>
      <c r="AV287" s="493"/>
      <c r="AW287" s="46"/>
      <c r="AX287" s="493"/>
      <c r="AY287" s="57"/>
      <c r="AZ287" s="493"/>
      <c r="BA287" s="46"/>
      <c r="BB287" s="46"/>
      <c r="BC287" s="403"/>
      <c r="BD287" s="57"/>
      <c r="BE287" s="493"/>
      <c r="BF287" s="46"/>
      <c r="BG287" s="57"/>
      <c r="BH287" s="493"/>
      <c r="BI287" s="46"/>
      <c r="BJ287" s="87"/>
      <c r="BK287" s="120"/>
    </row>
    <row r="288" spans="1:63" s="246" customFormat="1" x14ac:dyDescent="0.8">
      <c r="A288" s="46">
        <f>IF(+NFL!$F21="Kansas City",+NFL!A21,IF(+NFL!$H21="Kansas City",+NFL!A21,0))</f>
        <v>2</v>
      </c>
      <c r="B288" s="348" t="str">
        <f>IF(+NFL!$F21="Kansas City",+NFL!B21,IF(+NFL!$H21="Kansas City",+NFL!B21,0))</f>
        <v>Thurs</v>
      </c>
      <c r="C288" s="48">
        <f>IF(+NFL!$F21="Kansas City",+NFL!C21,IF(+NFL!$H21="Kansas City",+NFL!C21,0))</f>
        <v>44819</v>
      </c>
      <c r="D288" s="490">
        <f>IF(+NFL!$F21="Kansas City",+NFL!D21,IF(+NFL!$H21="Kansas City",+NFL!D21,0))</f>
        <v>0.84375</v>
      </c>
      <c r="E288" s="46" t="str">
        <f>IF(+NFL!$F21="Kansas City",+NFL!E21,IF(+NFL!$H21="Kansas City",+NFL!E21,0))</f>
        <v>NBC</v>
      </c>
      <c r="F288" s="114" t="str">
        <f>IF(+NFL!$F21="Kansas City",+NFL!F21,IF(+NFL!$H21="Kansas City",+NFL!F21,0))</f>
        <v>LA Chargers</v>
      </c>
      <c r="G288" s="46" t="str">
        <f>IF(+NFL!$F21="Kansas City",+NFL!G21,IF(+NFL!$H21="Kansas City",+NFL!G21,0))</f>
        <v>AFCW</v>
      </c>
      <c r="H288" s="114" t="str">
        <f>IF(+NFL!$F21="Kansas City",+NFL!H21,IF(+NFL!$H21="Kansas City",+NFL!H21,0))</f>
        <v>Kansas City</v>
      </c>
      <c r="I288" s="46" t="str">
        <f>IF(+NFL!$F21="Kansas City",+NFL!I21,IF(+NFL!$H21="Kansas City",+NFL!I21,0))</f>
        <v>AFCW</v>
      </c>
      <c r="J288" s="353" t="str">
        <f>IF(+NFL!$F21="Kansas City",+NFL!J21,IF(+NFL!$H21="Kansas City",+NFL!J21,0))</f>
        <v>Kansas City</v>
      </c>
      <c r="K288" s="494" t="str">
        <f>IF(+NFL!$F21="Kansas City",+NFL!K21,IF(+NFL!$H21="Kansas City",+NFL!K21,0))</f>
        <v>LA Chargers</v>
      </c>
      <c r="L288" s="384">
        <f>IF(+NFL!$F21="Kansas City",+NFL!L21,IF(+NFL!$H21="Kansas City",+NFL!L21,0))</f>
        <v>4.5</v>
      </c>
      <c r="M288" s="385">
        <f>IF(+NFL!$F21="Kansas City",+NFL!M21,IF(+NFL!$H21="Kansas City",+NFL!M21,0))</f>
        <v>54.5</v>
      </c>
      <c r="N288" s="394" t="str">
        <f>IF(+NFL!$F21="Kansas City",+NFL!N21,IF(+NFL!$H21="Kansas City",+NFL!N21,0))</f>
        <v>Kansas City</v>
      </c>
      <c r="O288" s="395">
        <f>IF(+NFL!$F21="Kansas City",+NFL!O21,IF(+NFL!$H21="Kansas City",+NFL!O21,0))</f>
        <v>27</v>
      </c>
      <c r="P288" s="394" t="str">
        <f>IF(+NFL!$F21="Kansas City",+NFL!P21,IF(+NFL!$H21="Kansas City",+NFL!P21,0))</f>
        <v>LA Chargers</v>
      </c>
      <c r="Q288" s="396">
        <f>IF(+NFL!$F21="Kansas City",+NFL!Q21,IF(+NFL!$H21="Kansas City",+NFL!Q21,0))</f>
        <v>24</v>
      </c>
      <c r="R288" s="397" t="str">
        <f>IF(+NFL!$F21="Kansas City",+NFL!R21,IF(+NFL!$H21="Kansas City",+NFL!R21,0))</f>
        <v>LA Chargers</v>
      </c>
      <c r="S288" s="396" t="str">
        <f>IF(+NFL!$F21="Kansas City",+NFL!S21,IF(+NFL!$H21="Kansas City",+NFL!S21,0))</f>
        <v>Kansas City</v>
      </c>
      <c r="T288" s="398" t="str">
        <f>IF(+NFL!$F21="Kansas City",+NFL!T21,IF(+NFL!$H21="Kansas City",+NFL!T21,0))</f>
        <v>LA Chargers</v>
      </c>
      <c r="U288" s="396" t="str">
        <f>IF(+NFL!$F21="Kansas City",+NFL!U21,IF(+NFL!$H21="Kansas City",+NFL!U21,0))</f>
        <v>W</v>
      </c>
      <c r="V288" s="397"/>
      <c r="W288" s="396"/>
      <c r="X288" s="398"/>
      <c r="Y288" s="396"/>
      <c r="Z288" s="397"/>
      <c r="AA288" s="396"/>
      <c r="AB288" s="87"/>
      <c r="AC288" s="120"/>
      <c r="AD288" s="353"/>
      <c r="AE288" s="379"/>
      <c r="AF288" s="353"/>
      <c r="AG288" s="379"/>
      <c r="AH288" s="353"/>
      <c r="AI288" s="379"/>
      <c r="AJ288" s="353"/>
      <c r="AK288" s="379"/>
      <c r="AL288" s="68"/>
      <c r="AM288" s="58"/>
      <c r="AN288" s="57"/>
      <c r="AO288" s="59"/>
      <c r="AP288" s="348"/>
      <c r="AQ288" s="48"/>
      <c r="AR288" s="57"/>
      <c r="AS288" s="493"/>
      <c r="AT288" s="493"/>
      <c r="AU288" s="57"/>
      <c r="AV288" s="493"/>
      <c r="AW288" s="46"/>
      <c r="AX288" s="493"/>
      <c r="AY288" s="57"/>
      <c r="AZ288" s="493"/>
      <c r="BA288" s="46"/>
      <c r="BB288" s="46"/>
      <c r="BC288" s="403"/>
      <c r="BD288" s="57"/>
      <c r="BE288" s="493"/>
      <c r="BF288" s="46"/>
      <c r="BG288" s="57"/>
      <c r="BH288" s="493"/>
      <c r="BI288" s="46"/>
      <c r="BJ288" s="87"/>
      <c r="BK288" s="120"/>
    </row>
    <row r="289" spans="1:63" s="246" customFormat="1" x14ac:dyDescent="0.8">
      <c r="A289" s="46">
        <f>IF(+NFL!$F41="Kansas City",+NFL!A41,IF(+NFL!$H41="Kansas City",+NFL!A41,0))</f>
        <v>3</v>
      </c>
      <c r="B289" s="348" t="str">
        <f>IF(+NFL!$F41="Kansas City",+NFL!B41,IF(+NFL!$H41="Kansas City",+NFL!B41,0))</f>
        <v>Sun</v>
      </c>
      <c r="C289" s="48">
        <f>IF(+NFL!$F41="Kansas City",+NFL!C41,IF(+NFL!$H41="Kansas City",+NFL!C41,0))</f>
        <v>44829</v>
      </c>
      <c r="D289" s="490">
        <f>IF(+NFL!$F41="Kansas City",+NFL!D41,IF(+NFL!$H41="Kansas City",+NFL!D41,0))</f>
        <v>0.54166666666666663</v>
      </c>
      <c r="E289" s="46" t="str">
        <f>IF(+NFL!$F41="Kansas City",+NFL!E41,IF(+NFL!$H41="Kansas City",+NFL!E41,0))</f>
        <v>CBS</v>
      </c>
      <c r="F289" s="114" t="str">
        <f>IF(+NFL!$F41="Kansas City",+NFL!F41,IF(+NFL!$H41="Kansas City",+NFL!F41,0))</f>
        <v>Kansas City</v>
      </c>
      <c r="G289" s="46" t="str">
        <f>IF(+NFL!$F41="Kansas City",+NFL!G41,IF(+NFL!$H41="Kansas City",+NFL!G41,0))</f>
        <v>AFCW</v>
      </c>
      <c r="H289" s="114" t="str">
        <f>IF(+NFL!$F41="Kansas City",+NFL!H41,IF(+NFL!$H41="Kansas City",+NFL!H41,0))</f>
        <v>Indianapolis</v>
      </c>
      <c r="I289" s="46" t="str">
        <f>IF(+NFL!$F41="Kansas City",+NFL!I41,IF(+NFL!$H41="Kansas City",+NFL!I41,0))</f>
        <v>AFCS</v>
      </c>
      <c r="J289" s="353" t="str">
        <f>IF(+NFL!$F41="Kansas City",+NFL!J41,IF(+NFL!$H41="Kansas City",+NFL!J41,0))</f>
        <v>Kansas City</v>
      </c>
      <c r="K289" s="494" t="str">
        <f>IF(+NFL!$F41="Kansas City",+NFL!K41,IF(+NFL!$H41="Kansas City",+NFL!K41,0))</f>
        <v>Indianapolis</v>
      </c>
      <c r="L289" s="384">
        <f>IF(+NFL!$F41="Kansas City",+NFL!L41,IF(+NFL!$H41="Kansas City",+NFL!L41,0))</f>
        <v>6.5</v>
      </c>
      <c r="M289" s="385">
        <f>IF(+NFL!$F41="Kansas City",+NFL!M41,IF(+NFL!$H41="Kansas City",+NFL!M41,0))</f>
        <v>49.5</v>
      </c>
      <c r="N289" s="394" t="str">
        <f>IF(+NFL!$F41="Kansas City",+NFL!N41,IF(+NFL!$H41="Kansas City",+NFL!N41,0))</f>
        <v>Indianapolis</v>
      </c>
      <c r="O289" s="395">
        <f>IF(+NFL!$F41="Kansas City",+NFL!O41,IF(+NFL!$H41="Kansas City",+NFL!O41,0))</f>
        <v>20</v>
      </c>
      <c r="P289" s="394" t="str">
        <f>IF(+NFL!$F41="Kansas City",+NFL!P41,IF(+NFL!$H41="Kansas City",+NFL!P41,0))</f>
        <v>Kansas City</v>
      </c>
      <c r="Q289" s="396">
        <f>IF(+NFL!$F41="Kansas City",+NFL!Q41,IF(+NFL!$H41="Kansas City",+NFL!Q41,0))</f>
        <v>17</v>
      </c>
      <c r="R289" s="397" t="str">
        <f>IF(+NFL!$F41="Kansas City",+NFL!R41,IF(+NFL!$H41="Kansas City",+NFL!R41,0))</f>
        <v>Indianapolis</v>
      </c>
      <c r="S289" s="396" t="str">
        <f>IF(+NFL!$F41="Kansas City",+NFL!S41,IF(+NFL!$H41="Kansas City",+NFL!S41,0))</f>
        <v>Kansas City</v>
      </c>
      <c r="T289" s="398" t="str">
        <f>IF(+NFL!$F41="Kansas City",+NFL!T41,IF(+NFL!$H41="Kansas City",+NFL!T41,0))</f>
        <v>Indianapolis</v>
      </c>
      <c r="U289" s="396" t="str">
        <f>IF(+NFL!$F41="Kansas City",+NFL!U41,IF(+NFL!$H41="Kansas City",+NFL!U41,0))</f>
        <v>W</v>
      </c>
      <c r="V289" s="397"/>
      <c r="W289" s="396"/>
      <c r="X289" s="398"/>
      <c r="Y289" s="396"/>
      <c r="Z289" s="397"/>
      <c r="AA289" s="396"/>
      <c r="AB289" s="87"/>
      <c r="AC289" s="120"/>
      <c r="AD289" s="353"/>
      <c r="AE289" s="379"/>
      <c r="AF289" s="353"/>
      <c r="AG289" s="379"/>
      <c r="AH289" s="353"/>
      <c r="AI289" s="379"/>
      <c r="AJ289" s="353"/>
      <c r="AK289" s="379"/>
      <c r="AL289" s="68"/>
      <c r="AM289" s="58"/>
      <c r="AN289" s="57"/>
      <c r="AO289" s="59"/>
      <c r="AP289" s="348"/>
      <c r="AQ289" s="48"/>
      <c r="AR289" s="57"/>
      <c r="AS289" s="64"/>
      <c r="AT289" s="64"/>
      <c r="AU289" s="57"/>
      <c r="AV289" s="64"/>
      <c r="AW289" s="46"/>
      <c r="AX289" s="64"/>
      <c r="AY289" s="57"/>
      <c r="AZ289" s="64"/>
      <c r="BA289" s="46"/>
      <c r="BB289" s="46"/>
      <c r="BC289" s="403"/>
      <c r="BD289" s="57"/>
      <c r="BE289" s="64"/>
      <c r="BF289" s="46"/>
      <c r="BG289" s="57"/>
      <c r="BH289" s="64"/>
      <c r="BI289" s="46"/>
      <c r="BJ289" s="87"/>
      <c r="BK289" s="120"/>
    </row>
    <row r="290" spans="1:63" s="246" customFormat="1" x14ac:dyDescent="0.8">
      <c r="A290" s="46">
        <f>IF(+NFL!$F69="Kansas City",+NFL!A69,IF(+NFL!$H69="Kansas City",+NFL!A69,0))</f>
        <v>4</v>
      </c>
      <c r="B290" s="348" t="str">
        <f>IF(+NFL!$F69="Kansas City",+NFL!B69,IF(+NFL!$H69="Kansas City",+NFL!B69,0))</f>
        <v>Sun</v>
      </c>
      <c r="C290" s="48">
        <f>IF(+NFL!$F69="Kansas City",+NFL!C69,IF(+NFL!$H69="Kansas City",+NFL!C69,0))</f>
        <v>44836</v>
      </c>
      <c r="D290" s="490">
        <f>IF(+NFL!$F69="Kansas City",+NFL!D69,IF(+NFL!$H69="Kansas City",+NFL!D69,0))</f>
        <v>0.84375</v>
      </c>
      <c r="E290" s="46" t="str">
        <f>IF(+NFL!$F69="Kansas City",+NFL!E69,IF(+NFL!$H69="Kansas City",+NFL!E69,0))</f>
        <v>NBC</v>
      </c>
      <c r="F290" s="114" t="str">
        <f>IF(+NFL!$F69="Kansas City",+NFL!F69,IF(+NFL!$H69="Kansas City",+NFL!F69,0))</f>
        <v>Kansas City</v>
      </c>
      <c r="G290" s="46" t="str">
        <f>IF(+NFL!$F69="Kansas City",+NFL!G69,IF(+NFL!$H69="Kansas City",+NFL!G69,0))</f>
        <v>AFCW</v>
      </c>
      <c r="H290" s="114" t="str">
        <f>IF(+NFL!$F69="Kansas City",+NFL!H69,IF(+NFL!$H69="Kansas City",+NFL!H69,0))</f>
        <v>Tampa Bay</v>
      </c>
      <c r="I290" s="46" t="str">
        <f>IF(+NFL!$F69="Kansas City",+NFL!I69,IF(+NFL!$H69="Kansas City",+NFL!I69,0))</f>
        <v>NFCS</v>
      </c>
      <c r="J290" s="353" t="str">
        <f>IF(+NFL!$F69="Kansas City",+NFL!J69,IF(+NFL!$H69="Kansas City",+NFL!J69,0))</f>
        <v>Kansas City</v>
      </c>
      <c r="K290" s="494" t="str">
        <f>IF(+NFL!$F69="Kansas City",+NFL!K69,IF(+NFL!$H69="Kansas City",+NFL!K69,0))</f>
        <v>Tampa Bay</v>
      </c>
      <c r="L290" s="384">
        <f>IF(+NFL!$F69="Kansas City",+NFL!L69,IF(+NFL!$H69="Kansas City",+NFL!L69,0))</f>
        <v>2</v>
      </c>
      <c r="M290" s="385">
        <f>IF(+NFL!$F69="Kansas City",+NFL!M69,IF(+NFL!$H69="Kansas City",+NFL!M69,0))</f>
        <v>45</v>
      </c>
      <c r="N290" s="394" t="str">
        <f>IF(+NFL!$F69="Kansas City",+NFL!N69,IF(+NFL!$H69="Kansas City",+NFL!N69,0))</f>
        <v>Kansas City</v>
      </c>
      <c r="O290" s="395">
        <f>IF(+NFL!$F69="Kansas City",+NFL!O69,IF(+NFL!$H69="Kansas City",+NFL!O69,0))</f>
        <v>41</v>
      </c>
      <c r="P290" s="394" t="str">
        <f>IF(+NFL!$F69="Kansas City",+NFL!P69,IF(+NFL!$H69="Kansas City",+NFL!P69,0))</f>
        <v>Tampa Bay</v>
      </c>
      <c r="Q290" s="396">
        <f>IF(+NFL!$F69="Kansas City",+NFL!Q69,IF(+NFL!$H69="Kansas City",+NFL!Q69,0))</f>
        <v>31</v>
      </c>
      <c r="R290" s="397" t="str">
        <f>IF(+NFL!$F69="Kansas City",+NFL!R69,IF(+NFL!$H69="Kansas City",+NFL!R69,0))</f>
        <v>Kansas City</v>
      </c>
      <c r="S290" s="396" t="str">
        <f>IF(+NFL!$F69="Kansas City",+NFL!S69,IF(+NFL!$H69="Kansas City",+NFL!S69,0))</f>
        <v>Tampa Bay</v>
      </c>
      <c r="T290" s="398" t="str">
        <f>IF(+NFL!$F69="Kansas City",+NFL!T69,IF(+NFL!$H69="Kansas City",+NFL!T69,0))</f>
        <v>Kansas City</v>
      </c>
      <c r="U290" s="396" t="str">
        <f>IF(+NFL!$F69="Kansas City",+NFL!U69,IF(+NFL!$H69="Kansas City",+NFL!U69,0))</f>
        <v>W</v>
      </c>
      <c r="V290" s="397">
        <f>IF(+NFL!$F38="Kansas City",+NFL!#REF!,IF(+NFL!$H38="Kansas City",+NFL!#REF!,0))</f>
        <v>0</v>
      </c>
      <c r="W290" s="396">
        <f>IF(+NFL!$F38="Kansas City",+NFL!#REF!,IF(+NFL!$H38="Kansas City",+NFL!#REF!,0))</f>
        <v>0</v>
      </c>
      <c r="X290" s="398">
        <f>IF(+NFL!$F38="Kansas City",+NFL!#REF!,IF(+NFL!$H38="Kansas City",+NFL!#REF!,0))</f>
        <v>0</v>
      </c>
      <c r="Y290" s="396">
        <f>IF(+NFL!$F38="Kansas City",+NFL!#REF!,IF(+NFL!$H38="Kansas City",+NFL!#REF!,0))</f>
        <v>0</v>
      </c>
      <c r="Z290" s="397">
        <f>IF(+NFL!$F38="Kansas City",+NFL!#REF!,IF(+NFL!$H38="Kansas City",+NFL!#REF!,0))</f>
        <v>0</v>
      </c>
      <c r="AA290" s="396">
        <f>IF(+NFL!$F38="Kansas City",+NFL!#REF!,IF(+NFL!$H38="Kansas City",+NFL!#REF!,0))</f>
        <v>0</v>
      </c>
      <c r="AB290" s="87">
        <f>IF(+NFL!$F38="Kansas City",+NFL!#REF!,IF(+NFL!$H38="Kansas City",+NFL!#REF!,0))</f>
        <v>0</v>
      </c>
      <c r="AC290" s="120">
        <f>IF(+NFL!$F38="Kansas City",+NFL!#REF!,IF(+NFL!$H38="Kansas City",+NFL!#REF!,0))</f>
        <v>0</v>
      </c>
      <c r="AD290" s="353">
        <f>IF(+NFL!$F38="Kansas City",+NFL!#REF!,IF(+NFL!$H38="Kansas City",+NFL!#REF!,0))</f>
        <v>0</v>
      </c>
      <c r="AE290" s="379">
        <f>IF(+NFL!$F38="Kansas City",+NFL!#REF!,IF(+NFL!$H38="Kansas City",+NFL!#REF!,0))</f>
        <v>0</v>
      </c>
      <c r="AF290" s="353">
        <f>IF(+NFL!$F38="Kansas City",+NFL!#REF!,IF(+NFL!$H38="Kansas City",+NFL!#REF!,0))</f>
        <v>0</v>
      </c>
      <c r="AG290" s="379">
        <f>IF(+NFL!$F38="Kansas City",+NFL!#REF!,IF(+NFL!$H38="Kansas City",+NFL!#REF!,0))</f>
        <v>0</v>
      </c>
      <c r="AH290" s="353">
        <f>IF(+NFL!$F38="Kansas City",+NFL!#REF!,IF(+NFL!$H38="Kansas City",+NFL!#REF!,0))</f>
        <v>0</v>
      </c>
      <c r="AI290" s="379">
        <f>IF(+NFL!$F38="Kansas City",+NFL!#REF!,IF(+NFL!$H38="Kansas City",+NFL!#REF!,0))</f>
        <v>0</v>
      </c>
      <c r="AJ290" s="353">
        <f>IF(+NFL!$F38="Kansas City",+NFL!#REF!,IF(+NFL!$H38="Kansas City",+NFL!#REF!,0))</f>
        <v>0</v>
      </c>
      <c r="AK290" s="379">
        <f>IF(+NFL!$F38="Kansas City",+NFL!#REF!,IF(+NFL!$H38="Kansas City",+NFL!#REF!,0))</f>
        <v>0</v>
      </c>
      <c r="AL290" s="68">
        <f>IF(+NFL!$F38="Kansas City",+NFL!#REF!,IF(+NFL!$H38="Kansas City",+NFL!#REF!,0))</f>
        <v>0</v>
      </c>
      <c r="AM290" s="58">
        <f>IF(+NFL!$F38="Kansas City",+NFL!#REF!,IF(+NFL!$H38="Kansas City",+NFL!#REF!,0))</f>
        <v>0</v>
      </c>
      <c r="AN290" s="57">
        <f>IF(+NFL!$F38="Kansas City",+NFL!#REF!,IF(+NFL!$H38="Kansas City",+NFL!#REF!,0))</f>
        <v>0</v>
      </c>
      <c r="AO290" s="59">
        <f>IF(+NFL!$F38="Kansas City",+NFL!#REF!,IF(+NFL!$H38="Kansas City",+NFL!#REF!,0))</f>
        <v>0</v>
      </c>
      <c r="AP290" s="348">
        <f>IF(+NFL!$F38="Kansas City",+NFL!#REF!,IF(+NFL!$H38="Kansas City",+NFL!#REF!,0))</f>
        <v>0</v>
      </c>
      <c r="AQ290" s="48">
        <f>IF(+NFL!$F38="Kansas City",+NFL!#REF!,IF(+NFL!$H38="Kansas City",+NFL!#REF!,0))</f>
        <v>0</v>
      </c>
      <c r="AR290" s="57">
        <f>IF(+NFL!$F38="Kansas City",+NFL!#REF!,IF(+NFL!$H38="Kansas City",+NFL!#REF!,0))</f>
        <v>0</v>
      </c>
      <c r="AS290" s="64">
        <f>IF(+NFL!$F38="Kansas City",+NFL!#REF!,IF(+NFL!$H38="Kansas City",+NFL!#REF!,0))</f>
        <v>0</v>
      </c>
      <c r="AT290" s="64">
        <f>IF(+NFL!$F38="Kansas City",+NFL!#REF!,IF(+NFL!$H38="Kansas City",+NFL!#REF!,0))</f>
        <v>0</v>
      </c>
      <c r="AU290" s="57">
        <f>IF(+NFL!$F38="Kansas City",+NFL!#REF!,IF(+NFL!$H38="Kansas City",+NFL!#REF!,0))</f>
        <v>0</v>
      </c>
      <c r="AV290" s="64">
        <f>IF(+NFL!$F38="Kansas City",+NFL!#REF!,IF(+NFL!$H38="Kansas City",+NFL!#REF!,0))</f>
        <v>0</v>
      </c>
      <c r="AW290" s="46">
        <f>IF(+NFL!$F38="Kansas City",+NFL!#REF!,IF(+NFL!$H38="Kansas City",+NFL!#REF!,0))</f>
        <v>0</v>
      </c>
      <c r="AX290" s="64">
        <f>IF(+NFL!$F38="Kansas City",+NFL!#REF!,IF(+NFL!$H38="Kansas City",+NFL!#REF!,0))</f>
        <v>0</v>
      </c>
      <c r="AY290" s="57">
        <f>IF(+NFL!$F38="Kansas City",+NFL!#REF!,IF(+NFL!$H38="Kansas City",+NFL!#REF!,0))</f>
        <v>0</v>
      </c>
      <c r="AZ290" s="64">
        <f>IF(+NFL!$F38="Kansas City",+NFL!#REF!,IF(+NFL!$H38="Kansas City",+NFL!#REF!,0))</f>
        <v>0</v>
      </c>
      <c r="BA290" s="46">
        <f>IF(+NFL!$F38="Kansas City",+NFL!#REF!,IF(+NFL!$H38="Kansas City",+NFL!#REF!,0))</f>
        <v>0</v>
      </c>
      <c r="BB290" s="46">
        <f>IF(+NFL!$F38="Kansas City",+NFL!#REF!,IF(+NFL!$H38="Kansas City",+NFL!#REF!,0))</f>
        <v>0</v>
      </c>
      <c r="BC290" s="403">
        <f>IF(+NFL!$F38="Kansas City",+NFL!#REF!,IF(+NFL!$H38="Kansas City",+NFL!#REF!,0))</f>
        <v>0</v>
      </c>
      <c r="BD290" s="57">
        <f>IF(+NFL!$F38="Kansas City",+NFL!#REF!,IF(+NFL!$H38="Kansas City",+NFL!#REF!,0))</f>
        <v>0</v>
      </c>
      <c r="BE290" s="64">
        <f>IF(+NFL!$F38="Kansas City",+NFL!#REF!,IF(+NFL!$H38="Kansas City",+NFL!#REF!,0))</f>
        <v>0</v>
      </c>
      <c r="BF290" s="46">
        <f>IF(+NFL!$F38="Kansas City",+NFL!#REF!,IF(+NFL!$H38="Kansas City",+NFL!#REF!,0))</f>
        <v>0</v>
      </c>
      <c r="BG290" s="57">
        <f>IF(+NFL!$F38="Kansas City",+NFL!#REF!,IF(+NFL!$H38="Kansas City",+NFL!#REF!,0))</f>
        <v>0</v>
      </c>
      <c r="BH290" s="64">
        <f>IF(+NFL!$F38="Kansas City",+NFL!#REF!,IF(+NFL!$H38="Kansas City",+NFL!#REF!,0))</f>
        <v>0</v>
      </c>
      <c r="BI290" s="46">
        <f>IF(+NFL!$F38="Kansas City",+NFL!#REF!,IF(+NFL!$H38="Kansas City",+NFL!#REF!,0))</f>
        <v>0</v>
      </c>
      <c r="BJ290" s="87">
        <f>IF(+NFL!$F38="Kansas City",+NFL!#REF!,IF(+NFL!$H38="Kansas City",+NFL!#REF!,0))</f>
        <v>0</v>
      </c>
      <c r="BK290" s="120">
        <f>IF(+NFL!$F38="Kansas City",+NFL!#REF!,IF(+NFL!$H38="Kansas City",+NFL!#REF!,0))</f>
        <v>0</v>
      </c>
    </row>
    <row r="291" spans="1:63" s="246" customFormat="1" x14ac:dyDescent="0.8">
      <c r="A291" s="46">
        <f>IF(+NFL!$F87="Kansas City",+NFL!A87,IF(+NFL!$H87="Kansas City",+NFL!A87,0))</f>
        <v>5</v>
      </c>
      <c r="B291" s="348" t="str">
        <f>IF(+NFL!$F87="Kansas City",+NFL!B87,IF(+NFL!$H87="Kansas City",+NFL!B87,0))</f>
        <v>Mon</v>
      </c>
      <c r="C291" s="48">
        <f>IF(+NFL!$F87="Kansas City",+NFL!C87,IF(+NFL!$H87="Kansas City",+NFL!C87,0))</f>
        <v>44844</v>
      </c>
      <c r="D291" s="490">
        <f>IF(+NFL!$F87="Kansas City",+NFL!D87,IF(+NFL!$H87="Kansas City",+NFL!D87,0))</f>
        <v>0.84375</v>
      </c>
      <c r="E291" s="46" t="str">
        <f>IF(+NFL!$F87="Kansas City",+NFL!E87,IF(+NFL!$H87="Kansas City",+NFL!E87,0))</f>
        <v>ABC</v>
      </c>
      <c r="F291" s="114" t="str">
        <f>IF(+NFL!$F87="Kansas City",+NFL!F87,IF(+NFL!$H87="Kansas City",+NFL!F87,0))</f>
        <v>Las Vegas</v>
      </c>
      <c r="G291" s="46" t="str">
        <f>IF(+NFL!$F87="Kansas City",+NFL!G87,IF(+NFL!$H87="Kansas City",+NFL!G87,0))</f>
        <v>AFCW</v>
      </c>
      <c r="H291" s="114" t="str">
        <f>IF(+NFL!$F87="Kansas City",+NFL!H87,IF(+NFL!$H87="Kansas City",+NFL!H87,0))</f>
        <v>Kansas City</v>
      </c>
      <c r="I291" s="46" t="str">
        <f>IF(+NFL!$F87="Kansas City",+NFL!I87,IF(+NFL!$H87="Kansas City",+NFL!I87,0))</f>
        <v>AFCW</v>
      </c>
      <c r="J291" s="353" t="str">
        <f>IF(+NFL!$F87="Kansas City",+NFL!J87,IF(+NFL!$H87="Kansas City",+NFL!J87,0))</f>
        <v>Kansas City</v>
      </c>
      <c r="K291" s="494" t="str">
        <f>IF(+NFL!$F87="Kansas City",+NFL!K87,IF(+NFL!$H87="Kansas City",+NFL!K87,0))</f>
        <v>Las Vegas</v>
      </c>
      <c r="L291" s="384">
        <f>IF(+NFL!$F87="Kansas City",+NFL!L87,IF(+NFL!$H87="Kansas City",+NFL!L87,0))</f>
        <v>7</v>
      </c>
      <c r="M291" s="385">
        <f>IF(+NFL!$F87="Kansas City",+NFL!M87,IF(+NFL!$H87="Kansas City",+NFL!M87,0))</f>
        <v>51</v>
      </c>
      <c r="N291" s="394" t="str">
        <f>IF(+NFL!$F87="Kansas City",+NFL!N87,IF(+NFL!$H87="Kansas City",+NFL!N87,0))</f>
        <v>Kansas City</v>
      </c>
      <c r="O291" s="395">
        <f>IF(+NFL!$F87="Kansas City",+NFL!O87,IF(+NFL!$H87="Kansas City",+NFL!O87,0))</f>
        <v>30</v>
      </c>
      <c r="P291" s="394" t="str">
        <f>IF(+NFL!$F87="Kansas City",+NFL!P87,IF(+NFL!$H87="Kansas City",+NFL!P87,0))</f>
        <v>Las Vegas</v>
      </c>
      <c r="Q291" s="396">
        <f>IF(+NFL!$F87="Kansas City",+NFL!Q87,IF(+NFL!$H87="Kansas City",+NFL!Q87,0))</f>
        <v>29</v>
      </c>
      <c r="R291" s="397" t="str">
        <f>IF(+NFL!$F87="Kansas City",+NFL!R87,IF(+NFL!$H87="Kansas City",+NFL!R87,0))</f>
        <v>Las Vegas</v>
      </c>
      <c r="S291" s="396" t="str">
        <f>IF(+NFL!$F87="Kansas City",+NFL!S87,IF(+NFL!$H87="Kansas City",+NFL!S87,0))</f>
        <v>Kansas City</v>
      </c>
      <c r="T291" s="398" t="str">
        <f>IF(+NFL!$F87="Kansas City",+NFL!T87,IF(+NFL!$H87="Kansas City",+NFL!T87,0))</f>
        <v>Las Vegas</v>
      </c>
      <c r="U291" s="396" t="str">
        <f>IF(+NFL!$F87="Kansas City",+NFL!U87,IF(+NFL!$H87="Kansas City",+NFL!U87,0))</f>
        <v>W</v>
      </c>
      <c r="V291" s="397">
        <f>IF(+NFL!$F53="Kansas City",+NFL!#REF!,IF(+NFL!$H53="Kansas City",+NFL!#REF!,0))</f>
        <v>0</v>
      </c>
      <c r="W291" s="396">
        <f>IF(+NFL!$F53="Kansas City",+NFL!#REF!,IF(+NFL!$H53="Kansas City",+NFL!#REF!,0))</f>
        <v>0</v>
      </c>
      <c r="X291" s="398">
        <f>IF(+NFL!$F53="Kansas City",+NFL!#REF!,IF(+NFL!$H53="Kansas City",+NFL!#REF!,0))</f>
        <v>0</v>
      </c>
      <c r="Y291" s="396">
        <f>IF(+NFL!$F53="Kansas City",+NFL!#REF!,IF(+NFL!$H53="Kansas City",+NFL!#REF!,0))</f>
        <v>0</v>
      </c>
      <c r="Z291" s="397">
        <f>IF(+NFL!$F53="Kansas City",+NFL!#REF!,IF(+NFL!$H53="Kansas City",+NFL!#REF!,0))</f>
        <v>0</v>
      </c>
      <c r="AA291" s="396">
        <f>IF(+NFL!$F53="Kansas City",+NFL!#REF!,IF(+NFL!$H53="Kansas City",+NFL!#REF!,0))</f>
        <v>0</v>
      </c>
      <c r="AB291" s="87">
        <f>IF(+NFL!$F53="Kansas City",+NFL!#REF!,IF(+NFL!$H53="Kansas City",+NFL!#REF!,0))</f>
        <v>0</v>
      </c>
      <c r="AC291" s="120">
        <f>IF(+NFL!$F53="Kansas City",+NFL!#REF!,IF(+NFL!$H53="Kansas City",+NFL!#REF!,0))</f>
        <v>0</v>
      </c>
      <c r="AD291" s="353">
        <f>IF(+NFL!$F53="Kansas City",+NFL!#REF!,IF(+NFL!$H53="Kansas City",+NFL!#REF!,0))</f>
        <v>0</v>
      </c>
      <c r="AE291" s="379">
        <f>IF(+NFL!$F53="Kansas City",+NFL!#REF!,IF(+NFL!$H53="Kansas City",+NFL!#REF!,0))</f>
        <v>0</v>
      </c>
      <c r="AF291" s="353">
        <f>IF(+NFL!$F53="Kansas City",+NFL!#REF!,IF(+NFL!$H53="Kansas City",+NFL!#REF!,0))</f>
        <v>0</v>
      </c>
      <c r="AG291" s="379">
        <f>IF(+NFL!$F53="Kansas City",+NFL!#REF!,IF(+NFL!$H53="Kansas City",+NFL!#REF!,0))</f>
        <v>0</v>
      </c>
      <c r="AH291" s="353">
        <f>IF(+NFL!$F53="Kansas City",+NFL!#REF!,IF(+NFL!$H53="Kansas City",+NFL!#REF!,0))</f>
        <v>0</v>
      </c>
      <c r="AI291" s="379">
        <f>IF(+NFL!$F53="Kansas City",+NFL!#REF!,IF(+NFL!$H53="Kansas City",+NFL!#REF!,0))</f>
        <v>0</v>
      </c>
      <c r="AJ291" s="353">
        <f>IF(+NFL!$F53="Kansas City",+NFL!#REF!,IF(+NFL!$H53="Kansas City",+NFL!#REF!,0))</f>
        <v>0</v>
      </c>
      <c r="AK291" s="379">
        <f>IF(+NFL!$F53="Kansas City",+NFL!#REF!,IF(+NFL!$H53="Kansas City",+NFL!#REF!,0))</f>
        <v>0</v>
      </c>
      <c r="AL291" s="68">
        <f>IF(+NFL!$F53="Kansas City",+NFL!#REF!,IF(+NFL!$H53="Kansas City",+NFL!#REF!,0))</f>
        <v>0</v>
      </c>
      <c r="AM291" s="58">
        <f>IF(+NFL!$F53="Kansas City",+NFL!#REF!,IF(+NFL!$H53="Kansas City",+NFL!#REF!,0))</f>
        <v>0</v>
      </c>
      <c r="AN291" s="57">
        <f>IF(+NFL!$F53="Kansas City",+NFL!#REF!,IF(+NFL!$H53="Kansas City",+NFL!#REF!,0))</f>
        <v>0</v>
      </c>
      <c r="AO291" s="59">
        <f>IF(+NFL!$F53="Kansas City",+NFL!#REF!,IF(+NFL!$H53="Kansas City",+NFL!#REF!,0))</f>
        <v>0</v>
      </c>
      <c r="AP291" s="348">
        <f>IF(+NFL!$F53="Kansas City",+NFL!#REF!,IF(+NFL!$H53="Kansas City",+NFL!#REF!,0))</f>
        <v>0</v>
      </c>
      <c r="AQ291" s="48">
        <f>IF(+NFL!$F53="Kansas City",+NFL!#REF!,IF(+NFL!$H53="Kansas City",+NFL!#REF!,0))</f>
        <v>0</v>
      </c>
      <c r="AR291" s="57">
        <f>IF(+NFL!$F53="Kansas City",+NFL!#REF!,IF(+NFL!$H53="Kansas City",+NFL!#REF!,0))</f>
        <v>0</v>
      </c>
      <c r="AS291" s="64">
        <f>IF(+NFL!$F53="Kansas City",+NFL!#REF!,IF(+NFL!$H53="Kansas City",+NFL!#REF!,0))</f>
        <v>0</v>
      </c>
      <c r="AT291" s="64">
        <f>IF(+NFL!$F53="Kansas City",+NFL!#REF!,IF(+NFL!$H53="Kansas City",+NFL!#REF!,0))</f>
        <v>0</v>
      </c>
      <c r="AU291" s="57">
        <f>IF(+NFL!$F53="Kansas City",+NFL!#REF!,IF(+NFL!$H53="Kansas City",+NFL!#REF!,0))</f>
        <v>0</v>
      </c>
      <c r="AV291" s="64">
        <f>IF(+NFL!$F53="Kansas City",+NFL!#REF!,IF(+NFL!$H53="Kansas City",+NFL!#REF!,0))</f>
        <v>0</v>
      </c>
      <c r="AW291" s="46">
        <f>IF(+NFL!$F53="Kansas City",+NFL!#REF!,IF(+NFL!$H53="Kansas City",+NFL!#REF!,0))</f>
        <v>0</v>
      </c>
      <c r="AX291" s="64">
        <f>IF(+NFL!$F53="Kansas City",+NFL!#REF!,IF(+NFL!$H53="Kansas City",+NFL!#REF!,0))</f>
        <v>0</v>
      </c>
      <c r="AY291" s="57">
        <f>IF(+NFL!$F53="Kansas City",+NFL!#REF!,IF(+NFL!$H53="Kansas City",+NFL!#REF!,0))</f>
        <v>0</v>
      </c>
      <c r="AZ291" s="64">
        <f>IF(+NFL!$F53="Kansas City",+NFL!#REF!,IF(+NFL!$H53="Kansas City",+NFL!#REF!,0))</f>
        <v>0</v>
      </c>
      <c r="BA291" s="46">
        <f>IF(+NFL!$F53="Kansas City",+NFL!#REF!,IF(+NFL!$H53="Kansas City",+NFL!#REF!,0))</f>
        <v>0</v>
      </c>
      <c r="BB291" s="46">
        <f>IF(+NFL!$F53="Kansas City",+NFL!#REF!,IF(+NFL!$H53="Kansas City",+NFL!#REF!,0))</f>
        <v>0</v>
      </c>
      <c r="BC291" s="403">
        <f>IF(+NFL!$F53="Kansas City",+NFL!#REF!,IF(+NFL!$H53="Kansas City",+NFL!#REF!,0))</f>
        <v>0</v>
      </c>
      <c r="BD291" s="57">
        <f>IF(+NFL!$F53="Kansas City",+NFL!#REF!,IF(+NFL!$H53="Kansas City",+NFL!#REF!,0))</f>
        <v>0</v>
      </c>
      <c r="BE291" s="64">
        <f>IF(+NFL!$F53="Kansas City",+NFL!#REF!,IF(+NFL!$H53="Kansas City",+NFL!#REF!,0))</f>
        <v>0</v>
      </c>
      <c r="BF291" s="46">
        <f>IF(+NFL!$F53="Kansas City",+NFL!#REF!,IF(+NFL!$H53="Kansas City",+NFL!#REF!,0))</f>
        <v>0</v>
      </c>
      <c r="BG291" s="57">
        <f>IF(+NFL!$F53="Kansas City",+NFL!#REF!,IF(+NFL!$H53="Kansas City",+NFL!#REF!,0))</f>
        <v>0</v>
      </c>
      <c r="BH291" s="64">
        <f>IF(+NFL!$F53="Kansas City",+NFL!#REF!,IF(+NFL!$H53="Kansas City",+NFL!#REF!,0))</f>
        <v>0</v>
      </c>
      <c r="BI291" s="46">
        <f>IF(+NFL!$F53="Kansas City",+NFL!#REF!,IF(+NFL!$H53="Kansas City",+NFL!#REF!,0))</f>
        <v>0</v>
      </c>
      <c r="BJ291" s="87">
        <f>IF(+NFL!$F53="Kansas City",+NFL!#REF!,IF(+NFL!$H53="Kansas City",+NFL!#REF!,0))</f>
        <v>0</v>
      </c>
      <c r="BK291" s="120">
        <f>IF(+NFL!$F53="Kansas City",+NFL!#REF!,IF(+NFL!$H53="Kansas City",+NFL!#REF!,0))</f>
        <v>0</v>
      </c>
    </row>
    <row r="292" spans="1:63" s="246" customFormat="1" x14ac:dyDescent="0.8">
      <c r="A292" s="46">
        <f>IF(+NFL!$F100="Kansas City",+NFL!A100,IF(+NFL!$H100="Kansas City",+NFL!A100,0))</f>
        <v>6</v>
      </c>
      <c r="B292" s="348" t="str">
        <f>IF(+NFL!$F100="Kansas City",+NFL!B100,IF(+NFL!$H100="Kansas City",+NFL!B100,0))</f>
        <v>Sun</v>
      </c>
      <c r="C292" s="48">
        <f>IF(+NFL!$F100="Kansas City",+NFL!C100,IF(+NFL!$H100="Kansas City",+NFL!C100,0))</f>
        <v>44850</v>
      </c>
      <c r="D292" s="490">
        <f>IF(+NFL!$F100="Kansas City",+NFL!D100,IF(+NFL!$H100="Kansas City",+NFL!D100,0))</f>
        <v>0.66666666666666663</v>
      </c>
      <c r="E292" s="46" t="str">
        <f>IF(+NFL!$F100="Kansas City",+NFL!E100,IF(+NFL!$H100="Kansas City",+NFL!E100,0))</f>
        <v>CBS</v>
      </c>
      <c r="F292" s="114" t="str">
        <f>IF(+NFL!$F100="Kansas City",+NFL!F100,IF(+NFL!$H100="Kansas City",+NFL!F100,0))</f>
        <v>Buffalo</v>
      </c>
      <c r="G292" s="46" t="str">
        <f>IF(+NFL!$F100="Kansas City",+NFL!G100,IF(+NFL!$H100="Kansas City",+NFL!G100,0))</f>
        <v>AFCE</v>
      </c>
      <c r="H292" s="114" t="str">
        <f>IF(+NFL!$F100="Kansas City",+NFL!H100,IF(+NFL!$H100="Kansas City",+NFL!H100,0))</f>
        <v>Kansas City</v>
      </c>
      <c r="I292" s="46" t="str">
        <f>IF(+NFL!$F100="Kansas City",+NFL!I100,IF(+NFL!$H100="Kansas City",+NFL!I100,0))</f>
        <v>AFCW</v>
      </c>
      <c r="J292" s="353" t="str">
        <f>IF(+NFL!$F100="Kansas City",+NFL!J100,IF(+NFL!$H100="Kansas City",+NFL!J100,0))</f>
        <v>Buffalo</v>
      </c>
      <c r="K292" s="494" t="str">
        <f>IF(+NFL!$F100="Kansas City",+NFL!K100,IF(+NFL!$H100="Kansas City",+NFL!K100,0))</f>
        <v>Kansas City</v>
      </c>
      <c r="L292" s="384">
        <f>IF(+NFL!$F100="Kansas City",+NFL!L100,IF(+NFL!$H100="Kansas City",+NFL!L100,0))</f>
        <v>2.5</v>
      </c>
      <c r="M292" s="385">
        <f>IF(+NFL!$F100="Kansas City",+NFL!M100,IF(+NFL!$H100="Kansas City",+NFL!M100,0))</f>
        <v>54</v>
      </c>
      <c r="N292" s="394" t="str">
        <f>IF(+NFL!$F100="Kansas City",+NFL!N100,IF(+NFL!$H100="Kansas City",+NFL!N100,0))</f>
        <v>Buffalo</v>
      </c>
      <c r="O292" s="395">
        <f>IF(+NFL!$F100="Kansas City",+NFL!O100,IF(+NFL!$H100="Kansas City",+NFL!O100,0))</f>
        <v>24</v>
      </c>
      <c r="P292" s="394" t="str">
        <f>IF(+NFL!$F100="Kansas City",+NFL!P100,IF(+NFL!$H100="Kansas City",+NFL!P100,0))</f>
        <v>Kansas City</v>
      </c>
      <c r="Q292" s="396">
        <f>IF(+NFL!$F100="Kansas City",+NFL!Q100,IF(+NFL!$H100="Kansas City",+NFL!Q100,0))</f>
        <v>20</v>
      </c>
      <c r="R292" s="397" t="str">
        <f>IF(+NFL!$F100="Kansas City",+NFL!R100,IF(+NFL!$H100="Kansas City",+NFL!R100,0))</f>
        <v>Buffalo</v>
      </c>
      <c r="S292" s="396" t="str">
        <f>IF(+NFL!$F100="Kansas City",+NFL!S100,IF(+NFL!$H100="Kansas City",+NFL!S100,0))</f>
        <v>Kansas City</v>
      </c>
      <c r="T292" s="398" t="str">
        <f>IF(+NFL!$F100="Kansas City",+NFL!T100,IF(+NFL!$H100="Kansas City",+NFL!T100,0))</f>
        <v>Buffalo</v>
      </c>
      <c r="U292" s="396" t="str">
        <f>IF(+NFL!$F100="Kansas City",+NFL!U100,IF(+NFL!$H100="Kansas City",+NFL!U100,0))</f>
        <v>W</v>
      </c>
      <c r="V292" s="397">
        <f>IF(+NFL!$F72="Kansas City",+NFL!#REF!,IF(+NFL!$H72="Kansas City",+NFL!#REF!,0))</f>
        <v>0</v>
      </c>
      <c r="W292" s="396">
        <f>IF(+NFL!$F72="Kansas City",+NFL!#REF!,IF(+NFL!$H72="Kansas City",+NFL!#REF!,0))</f>
        <v>0</v>
      </c>
      <c r="X292" s="398">
        <f>IF(+NFL!$F72="Kansas City",+NFL!#REF!,IF(+NFL!$H72="Kansas City",+NFL!#REF!,0))</f>
        <v>0</v>
      </c>
      <c r="Y292" s="396">
        <f>IF(+NFL!$F72="Kansas City",+NFL!#REF!,IF(+NFL!$H72="Kansas City",+NFL!#REF!,0))</f>
        <v>0</v>
      </c>
      <c r="Z292" s="397">
        <f>IF(+NFL!$F72="Kansas City",+NFL!#REF!,IF(+NFL!$H72="Kansas City",+NFL!#REF!,0))</f>
        <v>0</v>
      </c>
      <c r="AA292" s="396">
        <f>IF(+NFL!$F72="Kansas City",+NFL!#REF!,IF(+NFL!$H72="Kansas City",+NFL!#REF!,0))</f>
        <v>0</v>
      </c>
      <c r="AB292" s="87">
        <f>IF(+NFL!$F72="Kansas City",+NFL!#REF!,IF(+NFL!$H72="Kansas City",+NFL!#REF!,0))</f>
        <v>0</v>
      </c>
      <c r="AC292" s="120">
        <f>IF(+NFL!$F72="Kansas City",+NFL!#REF!,IF(+NFL!$H72="Kansas City",+NFL!#REF!,0))</f>
        <v>0</v>
      </c>
      <c r="AD292" s="353">
        <f>IF(+NFL!$F72="Kansas City",+NFL!#REF!,IF(+NFL!$H72="Kansas City",+NFL!#REF!,0))</f>
        <v>0</v>
      </c>
      <c r="AE292" s="379">
        <f>IF(+NFL!$F72="Kansas City",+NFL!#REF!,IF(+NFL!$H72="Kansas City",+NFL!#REF!,0))</f>
        <v>0</v>
      </c>
      <c r="AF292" s="353">
        <f>IF(+NFL!$F72="Kansas City",+NFL!#REF!,IF(+NFL!$H72="Kansas City",+NFL!#REF!,0))</f>
        <v>0</v>
      </c>
      <c r="AG292" s="379">
        <f>IF(+NFL!$F72="Kansas City",+NFL!#REF!,IF(+NFL!$H72="Kansas City",+NFL!#REF!,0))</f>
        <v>0</v>
      </c>
      <c r="AH292" s="353">
        <f>IF(+NFL!$F72="Kansas City",+NFL!#REF!,IF(+NFL!$H72="Kansas City",+NFL!#REF!,0))</f>
        <v>0</v>
      </c>
      <c r="AI292" s="379">
        <f>IF(+NFL!$F72="Kansas City",+NFL!#REF!,IF(+NFL!$H72="Kansas City",+NFL!#REF!,0))</f>
        <v>0</v>
      </c>
      <c r="AJ292" s="353">
        <f>IF(+NFL!$F72="Kansas City",+NFL!#REF!,IF(+NFL!$H72="Kansas City",+NFL!#REF!,0))</f>
        <v>0</v>
      </c>
      <c r="AK292" s="379">
        <f>IF(+NFL!$F72="Kansas City",+NFL!#REF!,IF(+NFL!$H72="Kansas City",+NFL!#REF!,0))</f>
        <v>0</v>
      </c>
      <c r="AL292" s="68">
        <f>IF(+NFL!$F72="Kansas City",+NFL!#REF!,IF(+NFL!$H72="Kansas City",+NFL!#REF!,0))</f>
        <v>0</v>
      </c>
      <c r="AM292" s="58">
        <f>IF(+NFL!$F72="Kansas City",+NFL!#REF!,IF(+NFL!$H72="Kansas City",+NFL!#REF!,0))</f>
        <v>0</v>
      </c>
      <c r="AN292" s="57">
        <f>IF(+NFL!$F72="Kansas City",+NFL!#REF!,IF(+NFL!$H72="Kansas City",+NFL!#REF!,0))</f>
        <v>0</v>
      </c>
      <c r="AO292" s="59">
        <f>IF(+NFL!$F72="Kansas City",+NFL!#REF!,IF(+NFL!$H72="Kansas City",+NFL!#REF!,0))</f>
        <v>0</v>
      </c>
      <c r="AP292" s="348">
        <f>IF(+NFL!$F72="Kansas City",+NFL!#REF!,IF(+NFL!$H72="Kansas City",+NFL!#REF!,0))</f>
        <v>0</v>
      </c>
      <c r="AQ292" s="48">
        <f>IF(+NFL!$F72="Kansas City",+NFL!#REF!,IF(+NFL!$H72="Kansas City",+NFL!#REF!,0))</f>
        <v>0</v>
      </c>
      <c r="AR292" s="57">
        <f>IF(+NFL!$F72="Kansas City",+NFL!#REF!,IF(+NFL!$H72="Kansas City",+NFL!#REF!,0))</f>
        <v>0</v>
      </c>
      <c r="AS292" s="64">
        <f>IF(+NFL!$F72="Kansas City",+NFL!#REF!,IF(+NFL!$H72="Kansas City",+NFL!#REF!,0))</f>
        <v>0</v>
      </c>
      <c r="AT292" s="64">
        <f>IF(+NFL!$F72="Kansas City",+NFL!#REF!,IF(+NFL!$H72="Kansas City",+NFL!#REF!,0))</f>
        <v>0</v>
      </c>
      <c r="AU292" s="57">
        <f>IF(+NFL!$F72="Kansas City",+NFL!#REF!,IF(+NFL!$H72="Kansas City",+NFL!#REF!,0))</f>
        <v>0</v>
      </c>
      <c r="AV292" s="64">
        <f>IF(+NFL!$F72="Kansas City",+NFL!#REF!,IF(+NFL!$H72="Kansas City",+NFL!#REF!,0))</f>
        <v>0</v>
      </c>
      <c r="AW292" s="46">
        <f>IF(+NFL!$F72="Kansas City",+NFL!#REF!,IF(+NFL!$H72="Kansas City",+NFL!#REF!,0))</f>
        <v>0</v>
      </c>
      <c r="AX292" s="64">
        <f>IF(+NFL!$F72="Kansas City",+NFL!#REF!,IF(+NFL!$H72="Kansas City",+NFL!#REF!,0))</f>
        <v>0</v>
      </c>
      <c r="AY292" s="57">
        <f>IF(+NFL!$F72="Kansas City",+NFL!#REF!,IF(+NFL!$H72="Kansas City",+NFL!#REF!,0))</f>
        <v>0</v>
      </c>
      <c r="AZ292" s="64">
        <f>IF(+NFL!$F72="Kansas City",+NFL!#REF!,IF(+NFL!$H72="Kansas City",+NFL!#REF!,0))</f>
        <v>0</v>
      </c>
      <c r="BA292" s="46">
        <f>IF(+NFL!$F72="Kansas City",+NFL!#REF!,IF(+NFL!$H72="Kansas City",+NFL!#REF!,0))</f>
        <v>0</v>
      </c>
      <c r="BB292" s="46">
        <f>IF(+NFL!$F72="Kansas City",+NFL!#REF!,IF(+NFL!$H72="Kansas City",+NFL!#REF!,0))</f>
        <v>0</v>
      </c>
      <c r="BC292" s="403">
        <f>IF(+NFL!$F72="Kansas City",+NFL!#REF!,IF(+NFL!$H72="Kansas City",+NFL!#REF!,0))</f>
        <v>0</v>
      </c>
      <c r="BD292" s="57">
        <f>IF(+NFL!$F72="Kansas City",+NFL!#REF!,IF(+NFL!$H72="Kansas City",+NFL!#REF!,0))</f>
        <v>0</v>
      </c>
      <c r="BE292" s="64">
        <f>IF(+NFL!$F72="Kansas City",+NFL!#REF!,IF(+NFL!$H72="Kansas City",+NFL!#REF!,0))</f>
        <v>0</v>
      </c>
      <c r="BF292" s="46">
        <f>IF(+NFL!$F72="Kansas City",+NFL!#REF!,IF(+NFL!$H72="Kansas City",+NFL!#REF!,0))</f>
        <v>0</v>
      </c>
      <c r="BG292" s="57">
        <f>IF(+NFL!$F72="Kansas City",+NFL!#REF!,IF(+NFL!$H72="Kansas City",+NFL!#REF!,0))</f>
        <v>0</v>
      </c>
      <c r="BH292" s="64">
        <f>IF(+NFL!$F72="Kansas City",+NFL!#REF!,IF(+NFL!$H72="Kansas City",+NFL!#REF!,0))</f>
        <v>0</v>
      </c>
      <c r="BI292" s="46">
        <f>IF(+NFL!$F72="Kansas City",+NFL!#REF!,IF(+NFL!$H72="Kansas City",+NFL!#REF!,0))</f>
        <v>0</v>
      </c>
      <c r="BJ292" s="87">
        <f>IF(+NFL!$F72="Kansas City",+NFL!#REF!,IF(+NFL!$H72="Kansas City",+NFL!#REF!,0))</f>
        <v>0</v>
      </c>
      <c r="BK292" s="120">
        <f>IF(+NFL!$F72="Kansas City",+NFL!#REF!,IF(+NFL!$H72="Kansas City",+NFL!#REF!,0))</f>
        <v>0</v>
      </c>
    </row>
    <row r="293" spans="1:63" s="246" customFormat="1" x14ac:dyDescent="0.8">
      <c r="A293" s="46">
        <f>IF(+NFL!$F120="Kansas City",+NFL!A120,IF(+NFL!$H120="Kansas City",+NFL!A120,0))</f>
        <v>7</v>
      </c>
      <c r="B293" s="348" t="str">
        <f>IF(+NFL!$F120="Kansas City",+NFL!B120,IF(+NFL!$H120="Kansas City",+NFL!B120,0))</f>
        <v>Sun</v>
      </c>
      <c r="C293" s="48">
        <f>IF(+NFL!$F120="Kansas City",+NFL!C120,IF(+NFL!$H120="Kansas City",+NFL!C120,0))</f>
        <v>44857</v>
      </c>
      <c r="D293" s="490">
        <f>IF(+NFL!$F120="Kansas City",+NFL!D120,IF(+NFL!$H120="Kansas City",+NFL!D120,0))</f>
        <v>0.66666666666666663</v>
      </c>
      <c r="E293" s="46" t="str">
        <f>IF(+NFL!$F120="Kansas City",+NFL!E120,IF(+NFL!$H120="Kansas City",+NFL!E120,0))</f>
        <v>CBS</v>
      </c>
      <c r="F293" s="114" t="str">
        <f>IF(+NFL!$F120="Kansas City",+NFL!F120,IF(+NFL!$H120="Kansas City",+NFL!F120,0))</f>
        <v>Kansas City</v>
      </c>
      <c r="G293" s="46" t="str">
        <f>IF(+NFL!$F120="Kansas City",+NFL!G120,IF(+NFL!$H120="Kansas City",+NFL!G120,0))</f>
        <v>AFCW</v>
      </c>
      <c r="H293" s="114" t="str">
        <f>IF(+NFL!$F120="Kansas City",+NFL!H120,IF(+NFL!$H120="Kansas City",+NFL!H120,0))</f>
        <v>San Francisco</v>
      </c>
      <c r="I293" s="46" t="str">
        <f>IF(+NFL!$F120="Kansas City",+NFL!I120,IF(+NFL!$H120="Kansas City",+NFL!I120,0))</f>
        <v>NFCW</v>
      </c>
      <c r="J293" s="353" t="str">
        <f>IF(+NFL!$F120="Kansas City",+NFL!J120,IF(+NFL!$H120="Kansas City",+NFL!J120,0))</f>
        <v>Kansas City</v>
      </c>
      <c r="K293" s="494" t="str">
        <f>IF(+NFL!$F120="Kansas City",+NFL!K120,IF(+NFL!$H120="Kansas City",+NFL!K120,0))</f>
        <v>San Francisco</v>
      </c>
      <c r="L293" s="384">
        <f>IF(+NFL!$F120="Kansas City",+NFL!L120,IF(+NFL!$H120="Kansas City",+NFL!L120,0))</f>
        <v>3</v>
      </c>
      <c r="M293" s="385">
        <f>IF(+NFL!$F120="Kansas City",+NFL!M120,IF(+NFL!$H120="Kansas City",+NFL!M120,0))</f>
        <v>48.5</v>
      </c>
      <c r="N293" s="394" t="str">
        <f>IF(+NFL!$F120="Kansas City",+NFL!N120,IF(+NFL!$H120="Kansas City",+NFL!N120,0))</f>
        <v>Kansas City</v>
      </c>
      <c r="O293" s="395">
        <f>IF(+NFL!$F120="Kansas City",+NFL!O120,IF(+NFL!$H120="Kansas City",+NFL!O120,0))</f>
        <v>44</v>
      </c>
      <c r="P293" s="394" t="str">
        <f>IF(+NFL!$F120="Kansas City",+NFL!P120,IF(+NFL!$H120="Kansas City",+NFL!P120,0))</f>
        <v>San Francisco</v>
      </c>
      <c r="Q293" s="396">
        <f>IF(+NFL!$F120="Kansas City",+NFL!Q120,IF(+NFL!$H120="Kansas City",+NFL!Q120,0))</f>
        <v>23</v>
      </c>
      <c r="R293" s="397" t="str">
        <f>IF(+NFL!$F120="Kansas City",+NFL!R120,IF(+NFL!$H120="Kansas City",+NFL!R120,0))</f>
        <v>Kansas City</v>
      </c>
      <c r="S293" s="396" t="str">
        <f>IF(+NFL!$F120="Kansas City",+NFL!S120,IF(+NFL!$H120="Kansas City",+NFL!S120,0))</f>
        <v>San Francisco</v>
      </c>
      <c r="T293" s="398" t="str">
        <f>IF(+NFL!$F120="Kansas City",+NFL!T120,IF(+NFL!$H120="Kansas City",+NFL!T120,0))</f>
        <v>San Francisco</v>
      </c>
      <c r="U293" s="396" t="str">
        <f>IF(+NFL!$F120="Kansas City",+NFL!U120,IF(+NFL!$H120="Kansas City",+NFL!U120,0))</f>
        <v>L</v>
      </c>
      <c r="V293" s="397" t="e">
        <f>IF(+NFL!$F100="Kansas City",+NFL!#REF!,IF(+NFL!$H100="Kansas City",+NFL!#REF!,0))</f>
        <v>#REF!</v>
      </c>
      <c r="W293" s="396" t="e">
        <f>IF(+NFL!$F100="Kansas City",+NFL!#REF!,IF(+NFL!$H100="Kansas City",+NFL!#REF!,0))</f>
        <v>#REF!</v>
      </c>
      <c r="X293" s="398" t="e">
        <f>IF(+NFL!$F100="Kansas City",+NFL!#REF!,IF(+NFL!$H100="Kansas City",+NFL!#REF!,0))</f>
        <v>#REF!</v>
      </c>
      <c r="Y293" s="396" t="e">
        <f>IF(+NFL!$F100="Kansas City",+NFL!#REF!,IF(+NFL!$H100="Kansas City",+NFL!#REF!,0))</f>
        <v>#REF!</v>
      </c>
      <c r="Z293" s="397" t="e">
        <f>IF(+NFL!$F100="Kansas City",+NFL!#REF!,IF(+NFL!$H100="Kansas City",+NFL!#REF!,0))</f>
        <v>#REF!</v>
      </c>
      <c r="AA293" s="396" t="e">
        <f>IF(+NFL!$F100="Kansas City",+NFL!#REF!,IF(+NFL!$H100="Kansas City",+NFL!#REF!,0))</f>
        <v>#REF!</v>
      </c>
      <c r="AB293" s="87" t="e">
        <f>IF(+NFL!$F100="Kansas City",+NFL!#REF!,IF(+NFL!$H100="Kansas City",+NFL!#REF!,0))</f>
        <v>#REF!</v>
      </c>
      <c r="AC293" s="120" t="e">
        <f>IF(+NFL!$F100="Kansas City",+NFL!#REF!,IF(+NFL!$H100="Kansas City",+NFL!#REF!,0))</f>
        <v>#REF!</v>
      </c>
      <c r="AD293" s="353" t="e">
        <f>IF(+NFL!$F100="Kansas City",+NFL!#REF!,IF(+NFL!$H100="Kansas City",+NFL!#REF!,0))</f>
        <v>#REF!</v>
      </c>
      <c r="AE293" s="379" t="e">
        <f>IF(+NFL!$F100="Kansas City",+NFL!#REF!,IF(+NFL!$H100="Kansas City",+NFL!#REF!,0))</f>
        <v>#REF!</v>
      </c>
      <c r="AF293" s="353" t="e">
        <f>IF(+NFL!$F100="Kansas City",+NFL!#REF!,IF(+NFL!$H100="Kansas City",+NFL!#REF!,0))</f>
        <v>#REF!</v>
      </c>
      <c r="AG293" s="379" t="e">
        <f>IF(+NFL!$F100="Kansas City",+NFL!#REF!,IF(+NFL!$H100="Kansas City",+NFL!#REF!,0))</f>
        <v>#REF!</v>
      </c>
      <c r="AH293" s="353" t="e">
        <f>IF(+NFL!$F100="Kansas City",+NFL!#REF!,IF(+NFL!$H100="Kansas City",+NFL!#REF!,0))</f>
        <v>#REF!</v>
      </c>
      <c r="AI293" s="379" t="e">
        <f>IF(+NFL!$F100="Kansas City",+NFL!#REF!,IF(+NFL!$H100="Kansas City",+NFL!#REF!,0))</f>
        <v>#REF!</v>
      </c>
      <c r="AJ293" s="353" t="e">
        <f>IF(+NFL!$F100="Kansas City",+NFL!#REF!,IF(+NFL!$H100="Kansas City",+NFL!#REF!,0))</f>
        <v>#REF!</v>
      </c>
      <c r="AK293" s="379" t="e">
        <f>IF(+NFL!$F100="Kansas City",+NFL!#REF!,IF(+NFL!$H100="Kansas City",+NFL!#REF!,0))</f>
        <v>#REF!</v>
      </c>
      <c r="AL293" s="68" t="e">
        <f>IF(+NFL!$F100="Kansas City",+NFL!#REF!,IF(+NFL!$H100="Kansas City",+NFL!#REF!,0))</f>
        <v>#REF!</v>
      </c>
      <c r="AM293" s="58" t="e">
        <f>IF(+NFL!$F100="Kansas City",+NFL!#REF!,IF(+NFL!$H100="Kansas City",+NFL!#REF!,0))</f>
        <v>#REF!</v>
      </c>
      <c r="AN293" s="57" t="e">
        <f>IF(+NFL!$F100="Kansas City",+NFL!#REF!,IF(+NFL!$H100="Kansas City",+NFL!#REF!,0))</f>
        <v>#REF!</v>
      </c>
      <c r="AO293" s="59" t="e">
        <f>IF(+NFL!$F100="Kansas City",+NFL!#REF!,IF(+NFL!$H100="Kansas City",+NFL!#REF!,0))</f>
        <v>#REF!</v>
      </c>
      <c r="AP293" s="348" t="e">
        <f>IF(+NFL!$F100="Kansas City",+NFL!#REF!,IF(+NFL!$H100="Kansas City",+NFL!#REF!,0))</f>
        <v>#REF!</v>
      </c>
      <c r="AQ293" s="48" t="e">
        <f>IF(+NFL!$F100="Kansas City",+NFL!#REF!,IF(+NFL!$H100="Kansas City",+NFL!#REF!,0))</f>
        <v>#REF!</v>
      </c>
      <c r="AR293" s="57" t="e">
        <f>IF(+NFL!$F100="Kansas City",+NFL!#REF!,IF(+NFL!$H100="Kansas City",+NFL!#REF!,0))</f>
        <v>#REF!</v>
      </c>
      <c r="AS293" s="64" t="e">
        <f>IF(+NFL!$F100="Kansas City",+NFL!#REF!,IF(+NFL!$H100="Kansas City",+NFL!#REF!,0))</f>
        <v>#REF!</v>
      </c>
      <c r="AT293" s="64" t="e">
        <f>IF(+NFL!$F100="Kansas City",+NFL!#REF!,IF(+NFL!$H100="Kansas City",+NFL!#REF!,0))</f>
        <v>#REF!</v>
      </c>
      <c r="AU293" s="57" t="e">
        <f>IF(+NFL!$F100="Kansas City",+NFL!#REF!,IF(+NFL!$H100="Kansas City",+NFL!#REF!,0))</f>
        <v>#REF!</v>
      </c>
      <c r="AV293" s="64" t="e">
        <f>IF(+NFL!$F100="Kansas City",+NFL!#REF!,IF(+NFL!$H100="Kansas City",+NFL!#REF!,0))</f>
        <v>#REF!</v>
      </c>
      <c r="AW293" s="46" t="e">
        <f>IF(+NFL!$F100="Kansas City",+NFL!#REF!,IF(+NFL!$H100="Kansas City",+NFL!#REF!,0))</f>
        <v>#REF!</v>
      </c>
      <c r="AX293" s="64" t="e">
        <f>IF(+NFL!$F100="Kansas City",+NFL!#REF!,IF(+NFL!$H100="Kansas City",+NFL!#REF!,0))</f>
        <v>#REF!</v>
      </c>
      <c r="AY293" s="57" t="e">
        <f>IF(+NFL!$F100="Kansas City",+NFL!#REF!,IF(+NFL!$H100="Kansas City",+NFL!#REF!,0))</f>
        <v>#REF!</v>
      </c>
      <c r="AZ293" s="64" t="e">
        <f>IF(+NFL!$F100="Kansas City",+NFL!#REF!,IF(+NFL!$H100="Kansas City",+NFL!#REF!,0))</f>
        <v>#REF!</v>
      </c>
      <c r="BA293" s="46" t="e">
        <f>IF(+NFL!$F100="Kansas City",+NFL!#REF!,IF(+NFL!$H100="Kansas City",+NFL!#REF!,0))</f>
        <v>#REF!</v>
      </c>
      <c r="BB293" s="46" t="e">
        <f>IF(+NFL!$F100="Kansas City",+NFL!#REF!,IF(+NFL!$H100="Kansas City",+NFL!#REF!,0))</f>
        <v>#REF!</v>
      </c>
      <c r="BC293" s="403" t="e">
        <f>IF(+NFL!$F100="Kansas City",+NFL!#REF!,IF(+NFL!$H100="Kansas City",+NFL!#REF!,0))</f>
        <v>#REF!</v>
      </c>
      <c r="BD293" s="57" t="e">
        <f>IF(+NFL!$F100="Kansas City",+NFL!#REF!,IF(+NFL!$H100="Kansas City",+NFL!#REF!,0))</f>
        <v>#REF!</v>
      </c>
      <c r="BE293" s="64" t="e">
        <f>IF(+NFL!$F100="Kansas City",+NFL!#REF!,IF(+NFL!$H100="Kansas City",+NFL!#REF!,0))</f>
        <v>#REF!</v>
      </c>
      <c r="BF293" s="46" t="e">
        <f>IF(+NFL!$F100="Kansas City",+NFL!#REF!,IF(+NFL!$H100="Kansas City",+NFL!#REF!,0))</f>
        <v>#REF!</v>
      </c>
      <c r="BG293" s="57" t="e">
        <f>IF(+NFL!$F100="Kansas City",+NFL!#REF!,IF(+NFL!$H100="Kansas City",+NFL!#REF!,0))</f>
        <v>#REF!</v>
      </c>
      <c r="BH293" s="64" t="e">
        <f>IF(+NFL!$F100="Kansas City",+NFL!#REF!,IF(+NFL!$H100="Kansas City",+NFL!#REF!,0))</f>
        <v>#REF!</v>
      </c>
      <c r="BI293" s="46" t="e">
        <f>IF(+NFL!$F100="Kansas City",+NFL!#REF!,IF(+NFL!$H100="Kansas City",+NFL!#REF!,0))</f>
        <v>#REF!</v>
      </c>
      <c r="BJ293" s="87" t="e">
        <f>IF(+NFL!$F100="Kansas City",+NFL!#REF!,IF(+NFL!$H100="Kansas City",+NFL!#REF!,0))</f>
        <v>#REF!</v>
      </c>
      <c r="BK293" s="120" t="e">
        <f>IF(+NFL!$F100="Kansas City",+NFL!#REF!,IF(+NFL!$H100="Kansas City",+NFL!#REF!,0))</f>
        <v>#REF!</v>
      </c>
    </row>
    <row r="294" spans="1:63" s="246" customFormat="1" x14ac:dyDescent="0.8">
      <c r="A294" s="46">
        <f>IF(+NFL!$F145="Kansas City",+NFL!A145,IF(+NFL!$H145="Kansas City",+NFL!A145,0))</f>
        <v>8</v>
      </c>
      <c r="B294" s="348">
        <f>IF(+NFL!$F145="Kansas City",+NFL!B145,IF(+NFL!$H145="Kansas City",+NFL!B145,0))</f>
        <v>0</v>
      </c>
      <c r="C294" s="48">
        <f>IF(+NFL!$F145="Kansas City",+NFL!C145,IF(+NFL!$H145="Kansas City",+NFL!C145,0))</f>
        <v>0</v>
      </c>
      <c r="D294" s="490">
        <f>IF(+NFL!$F145="Kansas City",+NFL!D145,IF(+NFL!$H145="Kansas City",+NFL!D145,0))</f>
        <v>0</v>
      </c>
      <c r="E294" s="46">
        <f>IF(+NFL!$F145="Kansas City",+NFL!E145,IF(+NFL!$H145="Kansas City",+NFL!E145,0))</f>
        <v>0</v>
      </c>
      <c r="F294" s="114" t="str">
        <f>IF(+NFL!$F145="Kansas City",+NFL!F145,IF(+NFL!$H145="Kansas City",+NFL!F145,0))</f>
        <v>Kansas City</v>
      </c>
      <c r="G294" s="46" t="str">
        <f>IF(+NFL!$F145="Kansas City",+NFL!G145,IF(+NFL!$H145="Kansas City",+NFL!G145,0))</f>
        <v>AFCW</v>
      </c>
      <c r="H294" s="114">
        <f>IF(+NFL!$F145="Kansas City",+NFL!H145,IF(+NFL!$H145="Kansas City",+NFL!H145,0))</f>
        <v>0</v>
      </c>
      <c r="I294" s="46">
        <f>IF(+NFL!$F145="Kansas City",+NFL!I145,IF(+NFL!$H145="Kansas City",+NFL!I145,0))</f>
        <v>0</v>
      </c>
      <c r="J294" s="353">
        <f>IF(+NFL!$F145="Kansas City",+NFL!J145,IF(+NFL!$H145="Kansas City",+NFL!J145,0))</f>
        <v>0</v>
      </c>
      <c r="K294" s="494">
        <f>IF(+NFL!$F145="Kansas City",+NFL!K145,IF(+NFL!$H145="Kansas City",+NFL!K145,0))</f>
        <v>0</v>
      </c>
      <c r="L294" s="384">
        <f>IF(+NFL!$F145="Kansas City",+NFL!L145,IF(+NFL!$H145="Kansas City",+NFL!L145,0))</f>
        <v>0</v>
      </c>
      <c r="M294" s="385">
        <f>IF(+NFL!$F145="Kansas City",+NFL!M145,IF(+NFL!$H145="Kansas City",+NFL!M145,0))</f>
        <v>0</v>
      </c>
      <c r="N294" s="394">
        <f>IF(+NFL!$F145="Kansas City",+NFL!N145,IF(+NFL!$H145="Kansas City",+NFL!N145,0))</f>
        <v>0</v>
      </c>
      <c r="O294" s="395">
        <f>IF(+NFL!$F145="Kansas City",+NFL!O145,IF(+NFL!$H145="Kansas City",+NFL!O145,0))</f>
        <v>0</v>
      </c>
      <c r="P294" s="394">
        <f>IF(+NFL!$F145="Kansas City",+NFL!P145,IF(+NFL!$H145="Kansas City",+NFL!P145,0))</f>
        <v>0</v>
      </c>
      <c r="Q294" s="396">
        <f>IF(+NFL!$F145="Kansas City",+NFL!Q145,IF(+NFL!$H145="Kansas City",+NFL!Q145,0))</f>
        <v>0</v>
      </c>
      <c r="R294" s="397">
        <f>IF(+NFL!$F145="Kansas City",+NFL!R145,IF(+NFL!$H145="Kansas City",+NFL!R145,0))</f>
        <v>0</v>
      </c>
      <c r="S294" s="396">
        <f>IF(+NFL!$F145="Kansas City",+NFL!S145,IF(+NFL!$H145="Kansas City",+NFL!S145,0))</f>
        <v>0</v>
      </c>
      <c r="T294" s="398">
        <f>IF(+NFL!$F145="Kansas City",+NFL!T145,IF(+NFL!$H145="Kansas City",+NFL!T145,0))</f>
        <v>0</v>
      </c>
      <c r="U294" s="396">
        <f>IF(+NFL!$F145="Kansas City",+NFL!U145,IF(+NFL!$H145="Kansas City",+NFL!U145,0))</f>
        <v>0</v>
      </c>
      <c r="V294" s="397">
        <f>IF(+NFL!$F111="Kansas City",+NFL!#REF!,IF(+NFL!$H111="Kansas City",+NFL!#REF!,0))</f>
        <v>0</v>
      </c>
      <c r="W294" s="396">
        <f>IF(+NFL!$F111="Kansas City",+NFL!#REF!,IF(+NFL!$H111="Kansas City",+NFL!#REF!,0))</f>
        <v>0</v>
      </c>
      <c r="X294" s="398">
        <f>IF(+NFL!$F111="Kansas City",+NFL!#REF!,IF(+NFL!$H111="Kansas City",+NFL!#REF!,0))</f>
        <v>0</v>
      </c>
      <c r="Y294" s="396">
        <f>IF(+NFL!$F111="Kansas City",+NFL!#REF!,IF(+NFL!$H111="Kansas City",+NFL!#REF!,0))</f>
        <v>0</v>
      </c>
      <c r="Z294" s="397">
        <f>IF(+NFL!$F111="Kansas City",+NFL!#REF!,IF(+NFL!$H111="Kansas City",+NFL!#REF!,0))</f>
        <v>0</v>
      </c>
      <c r="AA294" s="396">
        <f>IF(+NFL!$F111="Kansas City",+NFL!#REF!,IF(+NFL!$H111="Kansas City",+NFL!#REF!,0))</f>
        <v>0</v>
      </c>
      <c r="AB294" s="87">
        <f>IF(+NFL!$F111="Kansas City",+NFL!#REF!,IF(+NFL!$H111="Kansas City",+NFL!#REF!,0))</f>
        <v>0</v>
      </c>
      <c r="AC294" s="120">
        <f>IF(+NFL!$F111="Kansas City",+NFL!#REF!,IF(+NFL!$H111="Kansas City",+NFL!#REF!,0))</f>
        <v>0</v>
      </c>
      <c r="AD294" s="353">
        <f>IF(+NFL!$F111="Kansas City",+NFL!#REF!,IF(+NFL!$H111="Kansas City",+NFL!#REF!,0))</f>
        <v>0</v>
      </c>
      <c r="AE294" s="379">
        <f>IF(+NFL!$F111="Kansas City",+NFL!#REF!,IF(+NFL!$H111="Kansas City",+NFL!#REF!,0))</f>
        <v>0</v>
      </c>
      <c r="AF294" s="353">
        <f>IF(+NFL!$F111="Kansas City",+NFL!#REF!,IF(+NFL!$H111="Kansas City",+NFL!#REF!,0))</f>
        <v>0</v>
      </c>
      <c r="AG294" s="379">
        <f>IF(+NFL!$F111="Kansas City",+NFL!#REF!,IF(+NFL!$H111="Kansas City",+NFL!#REF!,0))</f>
        <v>0</v>
      </c>
      <c r="AH294" s="353">
        <f>IF(+NFL!$F111="Kansas City",+NFL!#REF!,IF(+NFL!$H111="Kansas City",+NFL!#REF!,0))</f>
        <v>0</v>
      </c>
      <c r="AI294" s="379">
        <f>IF(+NFL!$F111="Kansas City",+NFL!#REF!,IF(+NFL!$H111="Kansas City",+NFL!#REF!,0))</f>
        <v>0</v>
      </c>
      <c r="AJ294" s="353">
        <f>IF(+NFL!$F111="Kansas City",+NFL!#REF!,IF(+NFL!$H111="Kansas City",+NFL!#REF!,0))</f>
        <v>0</v>
      </c>
      <c r="AK294" s="379">
        <f>IF(+NFL!$F111="Kansas City",+NFL!#REF!,IF(+NFL!$H111="Kansas City",+NFL!#REF!,0))</f>
        <v>0</v>
      </c>
      <c r="AL294" s="68">
        <f>IF(+NFL!$F111="Kansas City",+NFL!#REF!,IF(+NFL!$H111="Kansas City",+NFL!#REF!,0))</f>
        <v>0</v>
      </c>
      <c r="AM294" s="58">
        <f>IF(+NFL!$F111="Kansas City",+NFL!#REF!,IF(+NFL!$H111="Kansas City",+NFL!#REF!,0))</f>
        <v>0</v>
      </c>
      <c r="AN294" s="57">
        <f>IF(+NFL!$F111="Kansas City",+NFL!#REF!,IF(+NFL!$H111="Kansas City",+NFL!#REF!,0))</f>
        <v>0</v>
      </c>
      <c r="AO294" s="59">
        <f>IF(+NFL!$F111="Kansas City",+NFL!#REF!,IF(+NFL!$H111="Kansas City",+NFL!#REF!,0))</f>
        <v>0</v>
      </c>
      <c r="AP294" s="348">
        <f>IF(+NFL!$F111="Kansas City",+NFL!#REF!,IF(+NFL!$H111="Kansas City",+NFL!#REF!,0))</f>
        <v>0</v>
      </c>
      <c r="AQ294" s="48">
        <f>IF(+NFL!$F111="Kansas City",+NFL!#REF!,IF(+NFL!$H111="Kansas City",+NFL!#REF!,0))</f>
        <v>0</v>
      </c>
      <c r="AR294" s="57">
        <f>IF(+NFL!$F111="Kansas City",+NFL!#REF!,IF(+NFL!$H111="Kansas City",+NFL!#REF!,0))</f>
        <v>0</v>
      </c>
      <c r="AS294" s="64">
        <f>IF(+NFL!$F111="Kansas City",+NFL!#REF!,IF(+NFL!$H111="Kansas City",+NFL!#REF!,0))</f>
        <v>0</v>
      </c>
      <c r="AT294" s="64">
        <f>IF(+NFL!$F111="Kansas City",+NFL!#REF!,IF(+NFL!$H111="Kansas City",+NFL!#REF!,0))</f>
        <v>0</v>
      </c>
      <c r="AU294" s="57">
        <f>IF(+NFL!$F111="Kansas City",+NFL!#REF!,IF(+NFL!$H111="Kansas City",+NFL!#REF!,0))</f>
        <v>0</v>
      </c>
      <c r="AV294" s="64">
        <f>IF(+NFL!$F111="Kansas City",+NFL!#REF!,IF(+NFL!$H111="Kansas City",+NFL!#REF!,0))</f>
        <v>0</v>
      </c>
      <c r="AW294" s="46">
        <f>IF(+NFL!$F111="Kansas City",+NFL!#REF!,IF(+NFL!$H111="Kansas City",+NFL!#REF!,0))</f>
        <v>0</v>
      </c>
      <c r="AX294" s="64">
        <f>IF(+NFL!$F111="Kansas City",+NFL!#REF!,IF(+NFL!$H111="Kansas City",+NFL!#REF!,0))</f>
        <v>0</v>
      </c>
      <c r="AY294" s="57">
        <f>IF(+NFL!$F111="Kansas City",+NFL!#REF!,IF(+NFL!$H111="Kansas City",+NFL!#REF!,0))</f>
        <v>0</v>
      </c>
      <c r="AZ294" s="64">
        <f>IF(+NFL!$F111="Kansas City",+NFL!#REF!,IF(+NFL!$H111="Kansas City",+NFL!#REF!,0))</f>
        <v>0</v>
      </c>
      <c r="BA294" s="46">
        <f>IF(+NFL!$F111="Kansas City",+NFL!#REF!,IF(+NFL!$H111="Kansas City",+NFL!#REF!,0))</f>
        <v>0</v>
      </c>
      <c r="BB294" s="46">
        <f>IF(+NFL!$F111="Kansas City",+NFL!#REF!,IF(+NFL!$H111="Kansas City",+NFL!#REF!,0))</f>
        <v>0</v>
      </c>
      <c r="BC294" s="403">
        <f>IF(+NFL!$F111="Kansas City",+NFL!#REF!,IF(+NFL!$H111="Kansas City",+NFL!#REF!,0))</f>
        <v>0</v>
      </c>
      <c r="BD294" s="57">
        <f>IF(+NFL!$F111="Kansas City",+NFL!#REF!,IF(+NFL!$H111="Kansas City",+NFL!#REF!,0))</f>
        <v>0</v>
      </c>
      <c r="BE294" s="64">
        <f>IF(+NFL!$F111="Kansas City",+NFL!#REF!,IF(+NFL!$H111="Kansas City",+NFL!#REF!,0))</f>
        <v>0</v>
      </c>
      <c r="BF294" s="46">
        <f>IF(+NFL!$F111="Kansas City",+NFL!#REF!,IF(+NFL!$H111="Kansas City",+NFL!#REF!,0))</f>
        <v>0</v>
      </c>
      <c r="BG294" s="57">
        <f>IF(+NFL!$F111="Kansas City",+NFL!#REF!,IF(+NFL!$H111="Kansas City",+NFL!#REF!,0))</f>
        <v>0</v>
      </c>
      <c r="BH294" s="64">
        <f>IF(+NFL!$F111="Kansas City",+NFL!#REF!,IF(+NFL!$H111="Kansas City",+NFL!#REF!,0))</f>
        <v>0</v>
      </c>
      <c r="BI294" s="46">
        <f>IF(+NFL!$F111="Kansas City",+NFL!#REF!,IF(+NFL!$H111="Kansas City",+NFL!#REF!,0))</f>
        <v>0</v>
      </c>
      <c r="BJ294" s="87">
        <f>IF(+NFL!$F111="Kansas City",+NFL!#REF!,IF(+NFL!$H111="Kansas City",+NFL!#REF!,0))</f>
        <v>0</v>
      </c>
      <c r="BK294" s="120">
        <f>IF(+NFL!$F111="Kansas City",+NFL!#REF!,IF(+NFL!$H111="Kansas City",+NFL!#REF!,0))</f>
        <v>0</v>
      </c>
    </row>
    <row r="295" spans="1:63" s="246" customFormat="1" x14ac:dyDescent="0.8">
      <c r="A295" s="46">
        <f>IF(+NFL!$F159="Kansas City",+NFL!A159,IF(+NFL!$H159="Kansas City",+NFL!A159,0))</f>
        <v>9</v>
      </c>
      <c r="B295" s="348" t="str">
        <f>IF(+NFL!$F159="Kansas City",+NFL!B159,IF(+NFL!$H159="Kansas City",+NFL!B159,0))</f>
        <v>Sun</v>
      </c>
      <c r="C295" s="48">
        <f>IF(+NFL!$F159="Kansas City",+NFL!C159,IF(+NFL!$H159="Kansas City",+NFL!C159,0))</f>
        <v>44871</v>
      </c>
      <c r="D295" s="490">
        <f>IF(+NFL!$F159="Kansas City",+NFL!D159,IF(+NFL!$H159="Kansas City",+NFL!D159,0))</f>
        <v>0.84375</v>
      </c>
      <c r="E295" s="46" t="str">
        <f>IF(+NFL!$F159="Kansas City",+NFL!E159,IF(+NFL!$H159="Kansas City",+NFL!E159,0))</f>
        <v>NBC</v>
      </c>
      <c r="F295" s="114" t="str">
        <f>IF(+NFL!$F159="Kansas City",+NFL!F159,IF(+NFL!$H159="Kansas City",+NFL!F159,0))</f>
        <v>Tennessee</v>
      </c>
      <c r="G295" s="46" t="str">
        <f>IF(+NFL!$F159="Kansas City",+NFL!G159,IF(+NFL!$H159="Kansas City",+NFL!G159,0))</f>
        <v>NFCW</v>
      </c>
      <c r="H295" s="114" t="str">
        <f>IF(+NFL!$F159="Kansas City",+NFL!H159,IF(+NFL!$H159="Kansas City",+NFL!H159,0))</f>
        <v>Kansas City</v>
      </c>
      <c r="I295" s="46" t="str">
        <f>IF(+NFL!$F159="Kansas City",+NFL!I159,IF(+NFL!$H159="Kansas City",+NFL!I159,0))</f>
        <v>AFCW</v>
      </c>
      <c r="J295" s="353" t="str">
        <f>IF(+NFL!$F159="Kansas City",+NFL!J159,IF(+NFL!$H159="Kansas City",+NFL!J159,0))</f>
        <v>Kansas City</v>
      </c>
      <c r="K295" s="494" t="str">
        <f>IF(+NFL!$F159="Kansas City",+NFL!K159,IF(+NFL!$H159="Kansas City",+NFL!K159,0))</f>
        <v>Tennessee</v>
      </c>
      <c r="L295" s="384">
        <f>IF(+NFL!$F159="Kansas City",+NFL!L159,IF(+NFL!$H159="Kansas City",+NFL!L159,0))</f>
        <v>12.5</v>
      </c>
      <c r="M295" s="385">
        <f>IF(+NFL!$F159="Kansas City",+NFL!M159,IF(+NFL!$H159="Kansas City",+NFL!M159,0))</f>
        <v>46</v>
      </c>
      <c r="N295" s="394" t="str">
        <f>IF(+NFL!$F159="Kansas City",+NFL!N159,IF(+NFL!$H159="Kansas City",+NFL!N159,0))</f>
        <v>Kansas City</v>
      </c>
      <c r="O295" s="395">
        <f>IF(+NFL!$F159="Kansas City",+NFL!O159,IF(+NFL!$H159="Kansas City",+NFL!O159,0))</f>
        <v>20</v>
      </c>
      <c r="P295" s="394" t="str">
        <f>IF(+NFL!$F159="Kansas City",+NFL!P159,IF(+NFL!$H159="Kansas City",+NFL!P159,0))</f>
        <v>Tennessee</v>
      </c>
      <c r="Q295" s="396">
        <f>IF(+NFL!$F159="Kansas City",+NFL!Q159,IF(+NFL!$H159="Kansas City",+NFL!Q159,0))</f>
        <v>13</v>
      </c>
      <c r="R295" s="397" t="str">
        <f>IF(+NFL!$F159="Kansas City",+NFL!R159,IF(+NFL!$H159="Kansas City",+NFL!R159,0))</f>
        <v>Tennessee</v>
      </c>
      <c r="S295" s="396" t="str">
        <f>IF(+NFL!$F159="Kansas City",+NFL!S159,IF(+NFL!$H159="Kansas City",+NFL!S159,0))</f>
        <v>Kansas City</v>
      </c>
      <c r="T295" s="398" t="str">
        <f>IF(+NFL!$F159="Kansas City",+NFL!T159,IF(+NFL!$H159="Kansas City",+NFL!T159,0))</f>
        <v>Tennessee</v>
      </c>
      <c r="U295" s="396" t="str">
        <f>IF(+NFL!$F159="Kansas City",+NFL!U159,IF(+NFL!$H159="Kansas City",+NFL!U159,0))</f>
        <v>W</v>
      </c>
      <c r="V295" s="397">
        <f>IF(+NFL!$F127="Kansas City",+NFL!#REF!,IF(+NFL!$H127="Kansas City",+NFL!#REF!,0))</f>
        <v>0</v>
      </c>
      <c r="W295" s="396">
        <f>IF(+NFL!$F127="Kansas City",+NFL!#REF!,IF(+NFL!$H127="Kansas City",+NFL!#REF!,0))</f>
        <v>0</v>
      </c>
      <c r="X295" s="398">
        <f>IF(+NFL!$F127="Kansas City",+NFL!#REF!,IF(+NFL!$H127="Kansas City",+NFL!#REF!,0))</f>
        <v>0</v>
      </c>
      <c r="Y295" s="396">
        <f>IF(+NFL!$F127="Kansas City",+NFL!#REF!,IF(+NFL!$H127="Kansas City",+NFL!#REF!,0))</f>
        <v>0</v>
      </c>
      <c r="Z295" s="397">
        <f>IF(+NFL!$F127="Kansas City",+NFL!#REF!,IF(+NFL!$H127="Kansas City",+NFL!#REF!,0))</f>
        <v>0</v>
      </c>
      <c r="AA295" s="396">
        <f>IF(+NFL!$F127="Kansas City",+NFL!#REF!,IF(+NFL!$H127="Kansas City",+NFL!#REF!,0))</f>
        <v>0</v>
      </c>
      <c r="AB295" s="87">
        <f>IF(+NFL!$F127="Kansas City",+NFL!#REF!,IF(+NFL!$H127="Kansas City",+NFL!#REF!,0))</f>
        <v>0</v>
      </c>
      <c r="AC295" s="120">
        <f>IF(+NFL!$F127="Kansas City",+NFL!#REF!,IF(+NFL!$H127="Kansas City",+NFL!#REF!,0))</f>
        <v>0</v>
      </c>
      <c r="AD295" s="353">
        <f>IF(+NFL!$F127="Kansas City",+NFL!#REF!,IF(+NFL!$H127="Kansas City",+NFL!#REF!,0))</f>
        <v>0</v>
      </c>
      <c r="AE295" s="379">
        <f>IF(+NFL!$F127="Kansas City",+NFL!#REF!,IF(+NFL!$H127="Kansas City",+NFL!#REF!,0))</f>
        <v>0</v>
      </c>
      <c r="AF295" s="353">
        <f>IF(+NFL!$F127="Kansas City",+NFL!#REF!,IF(+NFL!$H127="Kansas City",+NFL!#REF!,0))</f>
        <v>0</v>
      </c>
      <c r="AG295" s="379">
        <f>IF(+NFL!$F127="Kansas City",+NFL!#REF!,IF(+NFL!$H127="Kansas City",+NFL!#REF!,0))</f>
        <v>0</v>
      </c>
      <c r="AH295" s="353">
        <f>IF(+NFL!$F127="Kansas City",+NFL!#REF!,IF(+NFL!$H127="Kansas City",+NFL!#REF!,0))</f>
        <v>0</v>
      </c>
      <c r="AI295" s="379">
        <f>IF(+NFL!$F127="Kansas City",+NFL!#REF!,IF(+NFL!$H127="Kansas City",+NFL!#REF!,0))</f>
        <v>0</v>
      </c>
      <c r="AJ295" s="353">
        <f>IF(+NFL!$F127="Kansas City",+NFL!#REF!,IF(+NFL!$H127="Kansas City",+NFL!#REF!,0))</f>
        <v>0</v>
      </c>
      <c r="AK295" s="379">
        <f>IF(+NFL!$F127="Kansas City",+NFL!#REF!,IF(+NFL!$H127="Kansas City",+NFL!#REF!,0))</f>
        <v>0</v>
      </c>
      <c r="AL295" s="68">
        <f>IF(+NFL!$F127="Kansas City",+NFL!#REF!,IF(+NFL!$H127="Kansas City",+NFL!#REF!,0))</f>
        <v>0</v>
      </c>
      <c r="AM295" s="58">
        <f>IF(+NFL!$F127="Kansas City",+NFL!#REF!,IF(+NFL!$H127="Kansas City",+NFL!#REF!,0))</f>
        <v>0</v>
      </c>
      <c r="AN295" s="57">
        <f>IF(+NFL!$F127="Kansas City",+NFL!#REF!,IF(+NFL!$H127="Kansas City",+NFL!#REF!,0))</f>
        <v>0</v>
      </c>
      <c r="AO295" s="59">
        <f>IF(+NFL!$F127="Kansas City",+NFL!#REF!,IF(+NFL!$H127="Kansas City",+NFL!#REF!,0))</f>
        <v>0</v>
      </c>
      <c r="AP295" s="348">
        <f>IF(+NFL!$F127="Kansas City",+NFL!#REF!,IF(+NFL!$H127="Kansas City",+NFL!#REF!,0))</f>
        <v>0</v>
      </c>
      <c r="AQ295" s="48">
        <f>IF(+NFL!$F127="Kansas City",+NFL!#REF!,IF(+NFL!$H127="Kansas City",+NFL!#REF!,0))</f>
        <v>0</v>
      </c>
      <c r="AR295" s="57">
        <f>IF(+NFL!$F127="Kansas City",+NFL!#REF!,IF(+NFL!$H127="Kansas City",+NFL!#REF!,0))</f>
        <v>0</v>
      </c>
      <c r="AS295" s="64">
        <f>IF(+NFL!$F127="Kansas City",+NFL!#REF!,IF(+NFL!$H127="Kansas City",+NFL!#REF!,0))</f>
        <v>0</v>
      </c>
      <c r="AT295" s="64">
        <f>IF(+NFL!$F127="Kansas City",+NFL!#REF!,IF(+NFL!$H127="Kansas City",+NFL!#REF!,0))</f>
        <v>0</v>
      </c>
      <c r="AU295" s="57">
        <f>IF(+NFL!$F127="Kansas City",+NFL!#REF!,IF(+NFL!$H127="Kansas City",+NFL!#REF!,0))</f>
        <v>0</v>
      </c>
      <c r="AV295" s="64">
        <f>IF(+NFL!$F127="Kansas City",+NFL!#REF!,IF(+NFL!$H127="Kansas City",+NFL!#REF!,0))</f>
        <v>0</v>
      </c>
      <c r="AW295" s="46">
        <f>IF(+NFL!$F127="Kansas City",+NFL!#REF!,IF(+NFL!$H127="Kansas City",+NFL!#REF!,0))</f>
        <v>0</v>
      </c>
      <c r="AX295" s="64">
        <f>IF(+NFL!$F127="Kansas City",+NFL!#REF!,IF(+NFL!$H127="Kansas City",+NFL!#REF!,0))</f>
        <v>0</v>
      </c>
      <c r="AY295" s="57">
        <f>IF(+NFL!$F127="Kansas City",+NFL!#REF!,IF(+NFL!$H127="Kansas City",+NFL!#REF!,0))</f>
        <v>0</v>
      </c>
      <c r="AZ295" s="64">
        <f>IF(+NFL!$F127="Kansas City",+NFL!#REF!,IF(+NFL!$H127="Kansas City",+NFL!#REF!,0))</f>
        <v>0</v>
      </c>
      <c r="BA295" s="46">
        <f>IF(+NFL!$F127="Kansas City",+NFL!#REF!,IF(+NFL!$H127="Kansas City",+NFL!#REF!,0))</f>
        <v>0</v>
      </c>
      <c r="BB295" s="46">
        <f>IF(+NFL!$F127="Kansas City",+NFL!#REF!,IF(+NFL!$H127="Kansas City",+NFL!#REF!,0))</f>
        <v>0</v>
      </c>
      <c r="BC295" s="403">
        <f>IF(+NFL!$F127="Kansas City",+NFL!#REF!,IF(+NFL!$H127="Kansas City",+NFL!#REF!,0))</f>
        <v>0</v>
      </c>
      <c r="BD295" s="57">
        <f>IF(+NFL!$F127="Kansas City",+NFL!#REF!,IF(+NFL!$H127="Kansas City",+NFL!#REF!,0))</f>
        <v>0</v>
      </c>
      <c r="BE295" s="64">
        <f>IF(+NFL!$F127="Kansas City",+NFL!#REF!,IF(+NFL!$H127="Kansas City",+NFL!#REF!,0))</f>
        <v>0</v>
      </c>
      <c r="BF295" s="46">
        <f>IF(+NFL!$F127="Kansas City",+NFL!#REF!,IF(+NFL!$H127="Kansas City",+NFL!#REF!,0))</f>
        <v>0</v>
      </c>
      <c r="BG295" s="57">
        <f>IF(+NFL!$F127="Kansas City",+NFL!#REF!,IF(+NFL!$H127="Kansas City",+NFL!#REF!,0))</f>
        <v>0</v>
      </c>
      <c r="BH295" s="64">
        <f>IF(+NFL!$F127="Kansas City",+NFL!#REF!,IF(+NFL!$H127="Kansas City",+NFL!#REF!,0))</f>
        <v>0</v>
      </c>
      <c r="BI295" s="46">
        <f>IF(+NFL!$F127="Kansas City",+NFL!#REF!,IF(+NFL!$H127="Kansas City",+NFL!#REF!,0))</f>
        <v>0</v>
      </c>
      <c r="BJ295" s="87">
        <f>IF(+NFL!$F127="Kansas City",+NFL!#REF!,IF(+NFL!$H127="Kansas City",+NFL!#REF!,0))</f>
        <v>0</v>
      </c>
      <c r="BK295" s="120">
        <f>IF(+NFL!$F127="Kansas City",+NFL!#REF!,IF(+NFL!$H127="Kansas City",+NFL!#REF!,0))</f>
        <v>0</v>
      </c>
    </row>
    <row r="296" spans="1:63" s="246" customFormat="1" x14ac:dyDescent="0.8">
      <c r="A296" s="46">
        <f>IF(+NFL!$F174="Kansas City",+NFL!A174,IF(+NFL!$H174="Kansas City",+NFL!A174,0))</f>
        <v>10</v>
      </c>
      <c r="B296" s="348" t="str">
        <f>IF(+NFL!$F174="Kansas City",+NFL!B174,IF(+NFL!$H174="Kansas City",+NFL!B174,0))</f>
        <v>Sun</v>
      </c>
      <c r="C296" s="48">
        <f>IF(+NFL!$F174="Kansas City",+NFL!C174,IF(+NFL!$H174="Kansas City",+NFL!C174,0))</f>
        <v>44878</v>
      </c>
      <c r="D296" s="490">
        <f>IF(+NFL!$F174="Kansas City",+NFL!D174,IF(+NFL!$H174="Kansas City",+NFL!D174,0))</f>
        <v>0.54166666666666663</v>
      </c>
      <c r="E296" s="46" t="str">
        <f>IF(+NFL!$F174="Kansas City",+NFL!E174,IF(+NFL!$H174="Kansas City",+NFL!E174,0))</f>
        <v>CBS</v>
      </c>
      <c r="F296" s="114" t="str">
        <f>IF(+NFL!$F174="Kansas City",+NFL!F174,IF(+NFL!$H174="Kansas City",+NFL!F174,0))</f>
        <v>Jacksonville</v>
      </c>
      <c r="G296" s="46" t="str">
        <f>IF(+NFL!$F174="Kansas City",+NFL!G174,IF(+NFL!$H174="Kansas City",+NFL!G174,0))</f>
        <v>AFCS</v>
      </c>
      <c r="H296" s="114" t="str">
        <f>IF(+NFL!$F174="Kansas City",+NFL!H174,IF(+NFL!$H174="Kansas City",+NFL!H174,0))</f>
        <v>Kansas City</v>
      </c>
      <c r="I296" s="46" t="str">
        <f>IF(+NFL!$F174="Kansas City",+NFL!I174,IF(+NFL!$H174="Kansas City",+NFL!I174,0))</f>
        <v>AFCW</v>
      </c>
      <c r="J296" s="353" t="str">
        <f>IF(+NFL!$F174="Kansas City",+NFL!J174,IF(+NFL!$H174="Kansas City",+NFL!J174,0))</f>
        <v>Kansas City</v>
      </c>
      <c r="K296" s="494" t="str">
        <f>IF(+NFL!$F174="Kansas City",+NFL!K174,IF(+NFL!$H174="Kansas City",+NFL!K174,0))</f>
        <v>Jacksonville</v>
      </c>
      <c r="L296" s="384">
        <f>IF(+NFL!$F174="Kansas City",+NFL!L174,IF(+NFL!$H174="Kansas City",+NFL!L174,0))</f>
        <v>9.5</v>
      </c>
      <c r="M296" s="385">
        <f>IF(+NFL!$F174="Kansas City",+NFL!M174,IF(+NFL!$H174="Kansas City",+NFL!M174,0))</f>
        <v>50.5</v>
      </c>
      <c r="N296" s="394" t="str">
        <f>IF(+NFL!$F174="Kansas City",+NFL!N174,IF(+NFL!$H174="Kansas City",+NFL!N174,0))</f>
        <v>Kansas City</v>
      </c>
      <c r="O296" s="395">
        <f>IF(+NFL!$F174="Kansas City",+NFL!O174,IF(+NFL!$H174="Kansas City",+NFL!O174,0))</f>
        <v>27</v>
      </c>
      <c r="P296" s="394" t="str">
        <f>IF(+NFL!$F174="Kansas City",+NFL!P174,IF(+NFL!$H174="Kansas City",+NFL!P174,0))</f>
        <v>Jacksonville</v>
      </c>
      <c r="Q296" s="396">
        <f>IF(+NFL!$F174="Kansas City",+NFL!Q174,IF(+NFL!$H174="Kansas City",+NFL!Q174,0))</f>
        <v>17</v>
      </c>
      <c r="R296" s="397" t="str">
        <f>IF(+NFL!$F174="Kansas City",+NFL!R174,IF(+NFL!$H174="Kansas City",+NFL!R174,0))</f>
        <v>Kansas City</v>
      </c>
      <c r="S296" s="396" t="str">
        <f>IF(+NFL!$F174="Kansas City",+NFL!S174,IF(+NFL!$H174="Kansas City",+NFL!S174,0))</f>
        <v>Jacksonville</v>
      </c>
      <c r="T296" s="398" t="str">
        <f>IF(+NFL!$F174="Kansas City",+NFL!T174,IF(+NFL!$H174="Kansas City",+NFL!T174,0))</f>
        <v>Jacksonville</v>
      </c>
      <c r="U296" s="396" t="str">
        <f>IF(+NFL!$F174="Kansas City",+NFL!U174,IF(+NFL!$H174="Kansas City",+NFL!U174,0))</f>
        <v>L</v>
      </c>
      <c r="V296" s="397">
        <f>IF(+NFL!$F163="Kansas City",+NFL!#REF!,IF(+NFL!$H163="Kansas City",+NFL!#REF!,0))</f>
        <v>0</v>
      </c>
      <c r="W296" s="396">
        <f>IF(+NFL!$F163="Kansas City",+NFL!#REF!,IF(+NFL!$H163="Kansas City",+NFL!#REF!,0))</f>
        <v>0</v>
      </c>
      <c r="X296" s="398">
        <f>IF(+NFL!$F163="Kansas City",+NFL!#REF!,IF(+NFL!$H163="Kansas City",+NFL!#REF!,0))</f>
        <v>0</v>
      </c>
      <c r="Y296" s="396">
        <f>IF(+NFL!$F163="Kansas City",+NFL!#REF!,IF(+NFL!$H163="Kansas City",+NFL!#REF!,0))</f>
        <v>0</v>
      </c>
      <c r="Z296" s="397">
        <f>IF(+NFL!$F163="Kansas City",+NFL!#REF!,IF(+NFL!$H163="Kansas City",+NFL!#REF!,0))</f>
        <v>0</v>
      </c>
      <c r="AA296" s="396">
        <f>IF(+NFL!$F163="Kansas City",+NFL!#REF!,IF(+NFL!$H163="Kansas City",+NFL!#REF!,0))</f>
        <v>0</v>
      </c>
      <c r="AB296" s="87">
        <f>IF(+NFL!$F163="Kansas City",+NFL!#REF!,IF(+NFL!$H163="Kansas City",+NFL!#REF!,0))</f>
        <v>0</v>
      </c>
      <c r="AC296" s="120">
        <f>IF(+NFL!$F163="Kansas City",+NFL!#REF!,IF(+NFL!$H163="Kansas City",+NFL!#REF!,0))</f>
        <v>0</v>
      </c>
      <c r="AD296" s="353">
        <f>IF(+NFL!$F163="Kansas City",+NFL!#REF!,IF(+NFL!$H163="Kansas City",+NFL!#REF!,0))</f>
        <v>0</v>
      </c>
      <c r="AE296" s="379">
        <f>IF(+NFL!$F163="Kansas City",+NFL!#REF!,IF(+NFL!$H163="Kansas City",+NFL!#REF!,0))</f>
        <v>0</v>
      </c>
      <c r="AF296" s="353">
        <f>IF(+NFL!$F163="Kansas City",+NFL!#REF!,IF(+NFL!$H163="Kansas City",+NFL!#REF!,0))</f>
        <v>0</v>
      </c>
      <c r="AG296" s="379">
        <f>IF(+NFL!$F163="Kansas City",+NFL!#REF!,IF(+NFL!$H163="Kansas City",+NFL!#REF!,0))</f>
        <v>0</v>
      </c>
      <c r="AH296" s="353">
        <f>IF(+NFL!$F163="Kansas City",+NFL!#REF!,IF(+NFL!$H163="Kansas City",+NFL!#REF!,0))</f>
        <v>0</v>
      </c>
      <c r="AI296" s="379">
        <f>IF(+NFL!$F163="Kansas City",+NFL!#REF!,IF(+NFL!$H163="Kansas City",+NFL!#REF!,0))</f>
        <v>0</v>
      </c>
      <c r="AJ296" s="353">
        <f>IF(+NFL!$F163="Kansas City",+NFL!#REF!,IF(+NFL!$H163="Kansas City",+NFL!#REF!,0))</f>
        <v>0</v>
      </c>
      <c r="AK296" s="379">
        <f>IF(+NFL!$F163="Kansas City",+NFL!#REF!,IF(+NFL!$H163="Kansas City",+NFL!#REF!,0))</f>
        <v>0</v>
      </c>
      <c r="AL296" s="68">
        <f>IF(+NFL!$F163="Kansas City",+NFL!#REF!,IF(+NFL!$H163="Kansas City",+NFL!#REF!,0))</f>
        <v>0</v>
      </c>
      <c r="AM296" s="58">
        <f>IF(+NFL!$F163="Kansas City",+NFL!#REF!,IF(+NFL!$H163="Kansas City",+NFL!#REF!,0))</f>
        <v>0</v>
      </c>
      <c r="AN296" s="57">
        <f>IF(+NFL!$F163="Kansas City",+NFL!#REF!,IF(+NFL!$H163="Kansas City",+NFL!#REF!,0))</f>
        <v>0</v>
      </c>
      <c r="AO296" s="59">
        <f>IF(+NFL!$F163="Kansas City",+NFL!#REF!,IF(+NFL!$H163="Kansas City",+NFL!#REF!,0))</f>
        <v>0</v>
      </c>
      <c r="AP296" s="348">
        <f>IF(+NFL!$F163="Kansas City",+NFL!#REF!,IF(+NFL!$H163="Kansas City",+NFL!#REF!,0))</f>
        <v>0</v>
      </c>
      <c r="AQ296" s="48">
        <f>IF(+NFL!$F163="Kansas City",+NFL!#REF!,IF(+NFL!$H163="Kansas City",+NFL!#REF!,0))</f>
        <v>0</v>
      </c>
      <c r="AR296" s="57">
        <f>IF(+NFL!$F163="Kansas City",+NFL!#REF!,IF(+NFL!$H163="Kansas City",+NFL!#REF!,0))</f>
        <v>0</v>
      </c>
      <c r="AS296" s="64">
        <f>IF(+NFL!$F163="Kansas City",+NFL!#REF!,IF(+NFL!$H163="Kansas City",+NFL!#REF!,0))</f>
        <v>0</v>
      </c>
      <c r="AT296" s="64">
        <f>IF(+NFL!$F163="Kansas City",+NFL!#REF!,IF(+NFL!$H163="Kansas City",+NFL!#REF!,0))</f>
        <v>0</v>
      </c>
      <c r="AU296" s="57">
        <f>IF(+NFL!$F163="Kansas City",+NFL!#REF!,IF(+NFL!$H163="Kansas City",+NFL!#REF!,0))</f>
        <v>0</v>
      </c>
      <c r="AV296" s="64">
        <f>IF(+NFL!$F163="Kansas City",+NFL!#REF!,IF(+NFL!$H163="Kansas City",+NFL!#REF!,0))</f>
        <v>0</v>
      </c>
      <c r="AW296" s="46">
        <f>IF(+NFL!$F163="Kansas City",+NFL!#REF!,IF(+NFL!$H163="Kansas City",+NFL!#REF!,0))</f>
        <v>0</v>
      </c>
      <c r="AX296" s="64">
        <f>IF(+NFL!$F163="Kansas City",+NFL!#REF!,IF(+NFL!$H163="Kansas City",+NFL!#REF!,0))</f>
        <v>0</v>
      </c>
      <c r="AY296" s="57">
        <f>IF(+NFL!$F163="Kansas City",+NFL!#REF!,IF(+NFL!$H163="Kansas City",+NFL!#REF!,0))</f>
        <v>0</v>
      </c>
      <c r="AZ296" s="64">
        <f>IF(+NFL!$F163="Kansas City",+NFL!#REF!,IF(+NFL!$H163="Kansas City",+NFL!#REF!,0))</f>
        <v>0</v>
      </c>
      <c r="BA296" s="46">
        <f>IF(+NFL!$F163="Kansas City",+NFL!#REF!,IF(+NFL!$H163="Kansas City",+NFL!#REF!,0))</f>
        <v>0</v>
      </c>
      <c r="BB296" s="46">
        <f>IF(+NFL!$F163="Kansas City",+NFL!#REF!,IF(+NFL!$H163="Kansas City",+NFL!#REF!,0))</f>
        <v>0</v>
      </c>
      <c r="BC296" s="403">
        <f>IF(+NFL!$F163="Kansas City",+NFL!#REF!,IF(+NFL!$H163="Kansas City",+NFL!#REF!,0))</f>
        <v>0</v>
      </c>
      <c r="BD296" s="57">
        <f>IF(+NFL!$F163="Kansas City",+NFL!#REF!,IF(+NFL!$H163="Kansas City",+NFL!#REF!,0))</f>
        <v>0</v>
      </c>
      <c r="BE296" s="64">
        <f>IF(+NFL!$F163="Kansas City",+NFL!#REF!,IF(+NFL!$H163="Kansas City",+NFL!#REF!,0))</f>
        <v>0</v>
      </c>
      <c r="BF296" s="46">
        <f>IF(+NFL!$F163="Kansas City",+NFL!#REF!,IF(+NFL!$H163="Kansas City",+NFL!#REF!,0))</f>
        <v>0</v>
      </c>
      <c r="BG296" s="57">
        <f>IF(+NFL!$F163="Kansas City",+NFL!#REF!,IF(+NFL!$H163="Kansas City",+NFL!#REF!,0))</f>
        <v>0</v>
      </c>
      <c r="BH296" s="64">
        <f>IF(+NFL!$F163="Kansas City",+NFL!#REF!,IF(+NFL!$H163="Kansas City",+NFL!#REF!,0))</f>
        <v>0</v>
      </c>
      <c r="BI296" s="46">
        <f>IF(+NFL!$F163="Kansas City",+NFL!#REF!,IF(+NFL!$H163="Kansas City",+NFL!#REF!,0))</f>
        <v>0</v>
      </c>
      <c r="BJ296" s="87">
        <f>IF(+NFL!$F163="Kansas City",+NFL!#REF!,IF(+NFL!$H163="Kansas City",+NFL!#REF!,0))</f>
        <v>0</v>
      </c>
      <c r="BK296" s="120">
        <f>IF(+NFL!$F163="Kansas City",+NFL!#REF!,IF(+NFL!$H163="Kansas City",+NFL!#REF!,0))</f>
        <v>0</v>
      </c>
    </row>
    <row r="297" spans="1:63" s="246" customFormat="1" x14ac:dyDescent="0.8">
      <c r="A297" s="46">
        <f>IF(+NFL!$F200="Kansas City",+NFL!A200,IF(+NFL!$H200="Kansas City",+NFL!A200,0))</f>
        <v>11</v>
      </c>
      <c r="B297" s="348" t="str">
        <f>IF(+NFL!$F200="Kansas City",+NFL!B200,IF(+NFL!$H200="Kansas City",+NFL!B200,0))</f>
        <v>Sun</v>
      </c>
      <c r="C297" s="48">
        <f>IF(+NFL!$F200="Kansas City",+NFL!C200,IF(+NFL!$H200="Kansas City",+NFL!C200,0))</f>
        <v>44886</v>
      </c>
      <c r="D297" s="490">
        <f>IF(+NFL!$F200="Kansas City",+NFL!D200,IF(+NFL!$H200="Kansas City",+NFL!D200,0))</f>
        <v>0.66666666666666663</v>
      </c>
      <c r="E297" s="46" t="str">
        <f>IF(+NFL!$F200="Kansas City",+NFL!E200,IF(+NFL!$H200="Kansas City",+NFL!E200,0))</f>
        <v>ABC</v>
      </c>
      <c r="F297" s="114" t="str">
        <f>IF(+NFL!$F200="Kansas City",+NFL!F200,IF(+NFL!$H200="Kansas City",+NFL!F200,0))</f>
        <v>Kansas City</v>
      </c>
      <c r="G297" s="46" t="str">
        <f>IF(+NFL!$F200="Kansas City",+NFL!G200,IF(+NFL!$H200="Kansas City",+NFL!G200,0))</f>
        <v>AFCW</v>
      </c>
      <c r="H297" s="114" t="str">
        <f>IF(+NFL!$F200="Kansas City",+NFL!H200,IF(+NFL!$H200="Kansas City",+NFL!H200,0))</f>
        <v>LA Chargers</v>
      </c>
      <c r="I297" s="46" t="str">
        <f>IF(+NFL!$F200="Kansas City",+NFL!I200,IF(+NFL!$H200="Kansas City",+NFL!I200,0))</f>
        <v>AFCW</v>
      </c>
      <c r="J297" s="353" t="str">
        <f>IF(+NFL!$F200="Kansas City",+NFL!J200,IF(+NFL!$H200="Kansas City",+NFL!J200,0))</f>
        <v>Kansas City</v>
      </c>
      <c r="K297" s="494" t="str">
        <f>IF(+NFL!$F200="Kansas City",+NFL!K200,IF(+NFL!$H200="Kansas City",+NFL!K200,0))</f>
        <v>LA Chargers</v>
      </c>
      <c r="L297" s="384">
        <f>IF(+NFL!$F200="Kansas City",+NFL!L200,IF(+NFL!$H200="Kansas City",+NFL!L200,0))</f>
        <v>6.5</v>
      </c>
      <c r="M297" s="385">
        <f>IF(+NFL!$F200="Kansas City",+NFL!M200,IF(+NFL!$H200="Kansas City",+NFL!M200,0))</f>
        <v>50</v>
      </c>
      <c r="N297" s="394" t="str">
        <f>IF(+NFL!$F200="Kansas City",+NFL!N200,IF(+NFL!$H200="Kansas City",+NFL!N200,0))</f>
        <v>Kansas City</v>
      </c>
      <c r="O297" s="395">
        <f>IF(+NFL!$F200="Kansas City",+NFL!O200,IF(+NFL!$H200="Kansas City",+NFL!O200,0))</f>
        <v>30</v>
      </c>
      <c r="P297" s="394" t="str">
        <f>IF(+NFL!$F200="Kansas City",+NFL!P200,IF(+NFL!$H200="Kansas City",+NFL!P200,0))</f>
        <v>LA Chargers</v>
      </c>
      <c r="Q297" s="396">
        <f>IF(+NFL!$F200="Kansas City",+NFL!Q200,IF(+NFL!$H200="Kansas City",+NFL!Q200,0))</f>
        <v>27</v>
      </c>
      <c r="R297" s="397" t="str">
        <f>IF(+NFL!$F200="Kansas City",+NFL!R200,IF(+NFL!$H200="Kansas City",+NFL!R200,0))</f>
        <v>LA Chargers</v>
      </c>
      <c r="S297" s="396" t="str">
        <f>IF(+NFL!$F200="Kansas City",+NFL!S200,IF(+NFL!$H200="Kansas City",+NFL!S200,0))</f>
        <v>Kansas City</v>
      </c>
      <c r="T297" s="398" t="str">
        <f>IF(+NFL!$F200="Kansas City",+NFL!T200,IF(+NFL!$H200="Kansas City",+NFL!T200,0))</f>
        <v>Kansas City</v>
      </c>
      <c r="U297" s="396" t="str">
        <f>IF(+NFL!$F200="Kansas City",+NFL!U200,IF(+NFL!$H200="Kansas City",+NFL!U200,0))</f>
        <v>L</v>
      </c>
      <c r="V297" s="397">
        <f>IF(+NFL!$F176="Kansas City",+NFL!#REF!,IF(+NFL!$H176="Kansas City",+NFL!#REF!,0))</f>
        <v>0</v>
      </c>
      <c r="W297" s="396">
        <f>IF(+NFL!$F176="Kansas City",+NFL!#REF!,IF(+NFL!$H176="Kansas City",+NFL!#REF!,0))</f>
        <v>0</v>
      </c>
      <c r="X297" s="398">
        <f>IF(+NFL!$F176="Kansas City",+NFL!#REF!,IF(+NFL!$H176="Kansas City",+NFL!#REF!,0))</f>
        <v>0</v>
      </c>
      <c r="Y297" s="396">
        <f>IF(+NFL!$F176="Kansas City",+NFL!#REF!,IF(+NFL!$H176="Kansas City",+NFL!#REF!,0))</f>
        <v>0</v>
      </c>
      <c r="Z297" s="397">
        <f>IF(+NFL!$F176="Kansas City",+NFL!#REF!,IF(+NFL!$H176="Kansas City",+NFL!#REF!,0))</f>
        <v>0</v>
      </c>
      <c r="AA297" s="396">
        <f>IF(+NFL!$F176="Kansas City",+NFL!#REF!,IF(+NFL!$H176="Kansas City",+NFL!#REF!,0))</f>
        <v>0</v>
      </c>
      <c r="AB297" s="87">
        <f>IF(+NFL!$F176="Kansas City",+NFL!#REF!,IF(+NFL!$H176="Kansas City",+NFL!#REF!,0))</f>
        <v>0</v>
      </c>
      <c r="AC297" s="120">
        <f>IF(+NFL!$F176="Kansas City",+NFL!#REF!,IF(+NFL!$H176="Kansas City",+NFL!#REF!,0))</f>
        <v>0</v>
      </c>
      <c r="AD297" s="353">
        <f>IF(+NFL!$F176="Kansas City",+NFL!#REF!,IF(+NFL!$H176="Kansas City",+NFL!#REF!,0))</f>
        <v>0</v>
      </c>
      <c r="AE297" s="379">
        <f>IF(+NFL!$F176="Kansas City",+NFL!#REF!,IF(+NFL!$H176="Kansas City",+NFL!#REF!,0))</f>
        <v>0</v>
      </c>
      <c r="AF297" s="353">
        <f>IF(+NFL!$F176="Kansas City",+NFL!#REF!,IF(+NFL!$H176="Kansas City",+NFL!#REF!,0))</f>
        <v>0</v>
      </c>
      <c r="AG297" s="379">
        <f>IF(+NFL!$F176="Kansas City",+NFL!#REF!,IF(+NFL!$H176="Kansas City",+NFL!#REF!,0))</f>
        <v>0</v>
      </c>
      <c r="AH297" s="353">
        <f>IF(+NFL!$F176="Kansas City",+NFL!#REF!,IF(+NFL!$H176="Kansas City",+NFL!#REF!,0))</f>
        <v>0</v>
      </c>
      <c r="AI297" s="379">
        <f>IF(+NFL!$F176="Kansas City",+NFL!#REF!,IF(+NFL!$H176="Kansas City",+NFL!#REF!,0))</f>
        <v>0</v>
      </c>
      <c r="AJ297" s="353">
        <f>IF(+NFL!$F176="Kansas City",+NFL!#REF!,IF(+NFL!$H176="Kansas City",+NFL!#REF!,0))</f>
        <v>0</v>
      </c>
      <c r="AK297" s="379">
        <f>IF(+NFL!$F176="Kansas City",+NFL!#REF!,IF(+NFL!$H176="Kansas City",+NFL!#REF!,0))</f>
        <v>0</v>
      </c>
      <c r="AL297" s="68">
        <f>IF(+NFL!$F176="Kansas City",+NFL!#REF!,IF(+NFL!$H176="Kansas City",+NFL!#REF!,0))</f>
        <v>0</v>
      </c>
      <c r="AM297" s="58">
        <f>IF(+NFL!$F176="Kansas City",+NFL!#REF!,IF(+NFL!$H176="Kansas City",+NFL!#REF!,0))</f>
        <v>0</v>
      </c>
      <c r="AN297" s="57">
        <f>IF(+NFL!$F176="Kansas City",+NFL!#REF!,IF(+NFL!$H176="Kansas City",+NFL!#REF!,0))</f>
        <v>0</v>
      </c>
      <c r="AO297" s="59">
        <f>IF(+NFL!$F176="Kansas City",+NFL!#REF!,IF(+NFL!$H176="Kansas City",+NFL!#REF!,0))</f>
        <v>0</v>
      </c>
      <c r="AP297" s="348">
        <f>IF(+NFL!$F176="Kansas City",+NFL!#REF!,IF(+NFL!$H176="Kansas City",+NFL!#REF!,0))</f>
        <v>0</v>
      </c>
      <c r="AQ297" s="48">
        <f>IF(+NFL!$F176="Kansas City",+NFL!#REF!,IF(+NFL!$H176="Kansas City",+NFL!#REF!,0))</f>
        <v>0</v>
      </c>
      <c r="AR297" s="57">
        <f>IF(+NFL!$F176="Kansas City",+NFL!#REF!,IF(+NFL!$H176="Kansas City",+NFL!#REF!,0))</f>
        <v>0</v>
      </c>
      <c r="AS297" s="64">
        <f>IF(+NFL!$F176="Kansas City",+NFL!#REF!,IF(+NFL!$H176="Kansas City",+NFL!#REF!,0))</f>
        <v>0</v>
      </c>
      <c r="AT297" s="64">
        <f>IF(+NFL!$F176="Kansas City",+NFL!#REF!,IF(+NFL!$H176="Kansas City",+NFL!#REF!,0))</f>
        <v>0</v>
      </c>
      <c r="AU297" s="57">
        <f>IF(+NFL!$F176="Kansas City",+NFL!#REF!,IF(+NFL!$H176="Kansas City",+NFL!#REF!,0))</f>
        <v>0</v>
      </c>
      <c r="AV297" s="64">
        <f>IF(+NFL!$F176="Kansas City",+NFL!#REF!,IF(+NFL!$H176="Kansas City",+NFL!#REF!,0))</f>
        <v>0</v>
      </c>
      <c r="AW297" s="46">
        <f>IF(+NFL!$F176="Kansas City",+NFL!#REF!,IF(+NFL!$H176="Kansas City",+NFL!#REF!,0))</f>
        <v>0</v>
      </c>
      <c r="AX297" s="64">
        <f>IF(+NFL!$F176="Kansas City",+NFL!#REF!,IF(+NFL!$H176="Kansas City",+NFL!#REF!,0))</f>
        <v>0</v>
      </c>
      <c r="AY297" s="57">
        <f>IF(+NFL!$F176="Kansas City",+NFL!#REF!,IF(+NFL!$H176="Kansas City",+NFL!#REF!,0))</f>
        <v>0</v>
      </c>
      <c r="AZ297" s="64">
        <f>IF(+NFL!$F176="Kansas City",+NFL!#REF!,IF(+NFL!$H176="Kansas City",+NFL!#REF!,0))</f>
        <v>0</v>
      </c>
      <c r="BA297" s="46">
        <f>IF(+NFL!$F176="Kansas City",+NFL!#REF!,IF(+NFL!$H176="Kansas City",+NFL!#REF!,0))</f>
        <v>0</v>
      </c>
      <c r="BB297" s="46">
        <f>IF(+NFL!$F176="Kansas City",+NFL!#REF!,IF(+NFL!$H176="Kansas City",+NFL!#REF!,0))</f>
        <v>0</v>
      </c>
      <c r="BC297" s="403">
        <f>IF(+NFL!$F176="Kansas City",+NFL!#REF!,IF(+NFL!$H176="Kansas City",+NFL!#REF!,0))</f>
        <v>0</v>
      </c>
      <c r="BD297" s="57">
        <f>IF(+NFL!$F176="Kansas City",+NFL!#REF!,IF(+NFL!$H176="Kansas City",+NFL!#REF!,0))</f>
        <v>0</v>
      </c>
      <c r="BE297" s="64">
        <f>IF(+NFL!$F176="Kansas City",+NFL!#REF!,IF(+NFL!$H176="Kansas City",+NFL!#REF!,0))</f>
        <v>0</v>
      </c>
      <c r="BF297" s="46">
        <f>IF(+NFL!$F176="Kansas City",+NFL!#REF!,IF(+NFL!$H176="Kansas City",+NFL!#REF!,0))</f>
        <v>0</v>
      </c>
      <c r="BG297" s="57">
        <f>IF(+NFL!$F176="Kansas City",+NFL!#REF!,IF(+NFL!$H176="Kansas City",+NFL!#REF!,0))</f>
        <v>0</v>
      </c>
      <c r="BH297" s="64">
        <f>IF(+NFL!$F176="Kansas City",+NFL!#REF!,IF(+NFL!$H176="Kansas City",+NFL!#REF!,0))</f>
        <v>0</v>
      </c>
      <c r="BI297" s="46">
        <f>IF(+NFL!$F176="Kansas City",+NFL!#REF!,IF(+NFL!$H176="Kansas City",+NFL!#REF!,0))</f>
        <v>0</v>
      </c>
      <c r="BJ297" s="87">
        <f>IF(+NFL!$F176="Kansas City",+NFL!#REF!,IF(+NFL!$H176="Kansas City",+NFL!#REF!,0))</f>
        <v>0</v>
      </c>
      <c r="BK297" s="120">
        <f>IF(+NFL!$F176="Kansas City",+NFL!#REF!,IF(+NFL!$H176="Kansas City",+NFL!#REF!,0))</f>
        <v>0</v>
      </c>
    </row>
    <row r="298" spans="1:63" s="246" customFormat="1" x14ac:dyDescent="0.8">
      <c r="A298" s="46">
        <f>IF(+NFL!$F219="Kansas City",+NFL!A219,IF(+NFL!$H219="Kansas City",+NFL!A219,0))</f>
        <v>12</v>
      </c>
      <c r="B298" s="348" t="str">
        <f>IF(+NFL!$F219="Kansas City",+NFL!B219,IF(+NFL!$H219="Kansas City",+NFL!B219,0))</f>
        <v>Sun</v>
      </c>
      <c r="C298" s="48">
        <f>IF(+NFL!$F219="Kansas City",+NFL!C219,IF(+NFL!$H219="Kansas City",+NFL!C219,0))</f>
        <v>44892</v>
      </c>
      <c r="D298" s="490">
        <f>IF(+NFL!$F219="Kansas City",+NFL!D219,IF(+NFL!$H219="Kansas City",+NFL!D219,0))</f>
        <v>0.66666666666666663</v>
      </c>
      <c r="E298" s="46" t="str">
        <f>IF(+NFL!$F219="Kansas City",+NFL!E219,IF(+NFL!$H219="Kansas City",+NFL!E219,0))</f>
        <v>Fox</v>
      </c>
      <c r="F298" s="114" t="str">
        <f>IF(+NFL!$F219="Kansas City",+NFL!F219,IF(+NFL!$H219="Kansas City",+NFL!F219,0))</f>
        <v>LA Rams</v>
      </c>
      <c r="G298" s="46" t="str">
        <f>IF(+NFL!$F219="Kansas City",+NFL!G219,IF(+NFL!$H219="Kansas City",+NFL!G219,0))</f>
        <v>NFCW</v>
      </c>
      <c r="H298" s="114" t="str">
        <f>IF(+NFL!$F219="Kansas City",+NFL!H219,IF(+NFL!$H219="Kansas City",+NFL!H219,0))</f>
        <v>Kansas City</v>
      </c>
      <c r="I298" s="46" t="str">
        <f>IF(+NFL!$F219="Kansas City",+NFL!I219,IF(+NFL!$H219="Kansas City",+NFL!I219,0))</f>
        <v>NFCW</v>
      </c>
      <c r="J298" s="353" t="str">
        <f>IF(+NFL!$F219="Kansas City",+NFL!J219,IF(+NFL!$H219="Kansas City",+NFL!J219,0))</f>
        <v>Kansas City</v>
      </c>
      <c r="K298" s="494" t="str">
        <f>IF(+NFL!$F219="Kansas City",+NFL!K219,IF(+NFL!$H219="Kansas City",+NFL!K219,0))</f>
        <v>LA Rams</v>
      </c>
      <c r="L298" s="384">
        <f>IF(+NFL!$F219="Kansas City",+NFL!L219,IF(+NFL!$H219="Kansas City",+NFL!L219,0))</f>
        <v>14.5</v>
      </c>
      <c r="M298" s="385">
        <f>IF(+NFL!$F219="Kansas City",+NFL!M219,IF(+NFL!$H219="Kansas City",+NFL!M219,0))</f>
        <v>44</v>
      </c>
      <c r="N298" s="394" t="str">
        <f>IF(+NFL!$F219="Kansas City",+NFL!N219,IF(+NFL!$H219="Kansas City",+NFL!N219,0))</f>
        <v>Kansas City</v>
      </c>
      <c r="O298" s="395">
        <f>IF(+NFL!$F219="Kansas City",+NFL!O219,IF(+NFL!$H219="Kansas City",+NFL!O219,0))</f>
        <v>26</v>
      </c>
      <c r="P298" s="394" t="str">
        <f>IF(+NFL!$F219="Kansas City",+NFL!P219,IF(+NFL!$H219="Kansas City",+NFL!P219,0))</f>
        <v>LA Rams</v>
      </c>
      <c r="Q298" s="396">
        <f>IF(+NFL!$F219="Kansas City",+NFL!Q219,IF(+NFL!$H219="Kansas City",+NFL!Q219,0))</f>
        <v>10</v>
      </c>
      <c r="R298" s="397" t="str">
        <f>IF(+NFL!$F219="Kansas City",+NFL!R219,IF(+NFL!$H219="Kansas City",+NFL!R219,0))</f>
        <v>Kansas City</v>
      </c>
      <c r="S298" s="396" t="str">
        <f>IF(+NFL!$F219="Kansas City",+NFL!S219,IF(+NFL!$H219="Kansas City",+NFL!S219,0))</f>
        <v>LA Rams</v>
      </c>
      <c r="T298" s="398" t="str">
        <f>IF(+NFL!$F219="Kansas City",+NFL!T219,IF(+NFL!$H219="Kansas City",+NFL!T219,0))</f>
        <v>Kansas City</v>
      </c>
      <c r="U298" s="396" t="str">
        <f>IF(+NFL!$F219="Kansas City",+NFL!U219,IF(+NFL!$H219="Kansas City",+NFL!U219,0))</f>
        <v>W</v>
      </c>
      <c r="V298" s="397" t="e">
        <f>IF(+NFL!$F219="Kansas City",+NFL!#REF!,IF(+NFL!$H219="Kansas City",+NFL!#REF!,0))</f>
        <v>#REF!</v>
      </c>
      <c r="W298" s="396" t="e">
        <f>IF(+NFL!$F219="Kansas City",+NFL!#REF!,IF(+NFL!$H219="Kansas City",+NFL!#REF!,0))</f>
        <v>#REF!</v>
      </c>
      <c r="X298" s="398" t="e">
        <f>IF(+NFL!$F219="Kansas City",+NFL!#REF!,IF(+NFL!$H219="Kansas City",+NFL!#REF!,0))</f>
        <v>#REF!</v>
      </c>
      <c r="Y298" s="396" t="e">
        <f>IF(+NFL!$F219="Kansas City",+NFL!#REF!,IF(+NFL!$H219="Kansas City",+NFL!#REF!,0))</f>
        <v>#REF!</v>
      </c>
      <c r="Z298" s="397" t="e">
        <f>IF(+NFL!$F219="Kansas City",+NFL!#REF!,IF(+NFL!$H219="Kansas City",+NFL!#REF!,0))</f>
        <v>#REF!</v>
      </c>
      <c r="AA298" s="396" t="e">
        <f>IF(+NFL!$F219="Kansas City",+NFL!#REF!,IF(+NFL!$H219="Kansas City",+NFL!#REF!,0))</f>
        <v>#REF!</v>
      </c>
      <c r="AB298" s="87" t="e">
        <f>IF(+NFL!$F219="Kansas City",+NFL!#REF!,IF(+NFL!$H219="Kansas City",+NFL!#REF!,0))</f>
        <v>#REF!</v>
      </c>
      <c r="AC298" s="120" t="e">
        <f>IF(+NFL!$F219="Kansas City",+NFL!#REF!,IF(+NFL!$H219="Kansas City",+NFL!#REF!,0))</f>
        <v>#REF!</v>
      </c>
      <c r="AD298" s="353" t="e">
        <f>IF(+NFL!$F219="Kansas City",+NFL!#REF!,IF(+NFL!$H219="Kansas City",+NFL!#REF!,0))</f>
        <v>#REF!</v>
      </c>
      <c r="AE298" s="379" t="e">
        <f>IF(+NFL!$F219="Kansas City",+NFL!#REF!,IF(+NFL!$H219="Kansas City",+NFL!#REF!,0))</f>
        <v>#REF!</v>
      </c>
      <c r="AF298" s="353" t="e">
        <f>IF(+NFL!$F219="Kansas City",+NFL!#REF!,IF(+NFL!$H219="Kansas City",+NFL!#REF!,0))</f>
        <v>#REF!</v>
      </c>
      <c r="AG298" s="379" t="e">
        <f>IF(+NFL!$F219="Kansas City",+NFL!#REF!,IF(+NFL!$H219="Kansas City",+NFL!#REF!,0))</f>
        <v>#REF!</v>
      </c>
      <c r="AH298" s="353" t="e">
        <f>IF(+NFL!$F219="Kansas City",+NFL!#REF!,IF(+NFL!$H219="Kansas City",+NFL!#REF!,0))</f>
        <v>#REF!</v>
      </c>
      <c r="AI298" s="379" t="e">
        <f>IF(+NFL!$F219="Kansas City",+NFL!#REF!,IF(+NFL!$H219="Kansas City",+NFL!#REF!,0))</f>
        <v>#REF!</v>
      </c>
      <c r="AJ298" s="353" t="e">
        <f>IF(+NFL!$F219="Kansas City",+NFL!#REF!,IF(+NFL!$H219="Kansas City",+NFL!#REF!,0))</f>
        <v>#REF!</v>
      </c>
      <c r="AK298" s="379" t="e">
        <f>IF(+NFL!$F219="Kansas City",+NFL!#REF!,IF(+NFL!$H219="Kansas City",+NFL!#REF!,0))</f>
        <v>#REF!</v>
      </c>
      <c r="AL298" s="68" t="e">
        <f>IF(+NFL!$F219="Kansas City",+NFL!#REF!,IF(+NFL!$H219="Kansas City",+NFL!#REF!,0))</f>
        <v>#REF!</v>
      </c>
      <c r="AM298" s="58" t="e">
        <f>IF(+NFL!$F219="Kansas City",+NFL!#REF!,IF(+NFL!$H219="Kansas City",+NFL!#REF!,0))</f>
        <v>#REF!</v>
      </c>
      <c r="AN298" s="57" t="e">
        <f>IF(+NFL!$F219="Kansas City",+NFL!#REF!,IF(+NFL!$H219="Kansas City",+NFL!#REF!,0))</f>
        <v>#REF!</v>
      </c>
      <c r="AO298" s="59" t="e">
        <f>IF(+NFL!$F219="Kansas City",+NFL!#REF!,IF(+NFL!$H219="Kansas City",+NFL!#REF!,0))</f>
        <v>#REF!</v>
      </c>
      <c r="AP298" s="348" t="e">
        <f>IF(+NFL!$F219="Kansas City",+NFL!#REF!,IF(+NFL!$H219="Kansas City",+NFL!#REF!,0))</f>
        <v>#REF!</v>
      </c>
      <c r="AQ298" s="48" t="e">
        <f>IF(+NFL!$F219="Kansas City",+NFL!#REF!,IF(+NFL!$H219="Kansas City",+NFL!#REF!,0))</f>
        <v>#REF!</v>
      </c>
      <c r="AR298" s="57" t="e">
        <f>IF(+NFL!$F219="Kansas City",+NFL!#REF!,IF(+NFL!$H219="Kansas City",+NFL!#REF!,0))</f>
        <v>#REF!</v>
      </c>
      <c r="AS298" s="493" t="e">
        <f>IF(+NFL!$F219="Kansas City",+NFL!#REF!,IF(+NFL!$H219="Kansas City",+NFL!#REF!,0))</f>
        <v>#REF!</v>
      </c>
      <c r="AT298" s="493" t="e">
        <f>IF(+NFL!$F219="Kansas City",+NFL!#REF!,IF(+NFL!$H219="Kansas City",+NFL!#REF!,0))</f>
        <v>#REF!</v>
      </c>
      <c r="AU298" s="57" t="e">
        <f>IF(+NFL!$F219="Kansas City",+NFL!#REF!,IF(+NFL!$H219="Kansas City",+NFL!#REF!,0))</f>
        <v>#REF!</v>
      </c>
      <c r="AV298" s="493" t="e">
        <f>IF(+NFL!$F219="Kansas City",+NFL!#REF!,IF(+NFL!$H219="Kansas City",+NFL!#REF!,0))</f>
        <v>#REF!</v>
      </c>
      <c r="AW298" s="46" t="e">
        <f>IF(+NFL!$F219="Kansas City",+NFL!#REF!,IF(+NFL!$H219="Kansas City",+NFL!#REF!,0))</f>
        <v>#REF!</v>
      </c>
      <c r="AX298" s="493" t="e">
        <f>IF(+NFL!$F219="Kansas City",+NFL!#REF!,IF(+NFL!$H219="Kansas City",+NFL!#REF!,0))</f>
        <v>#REF!</v>
      </c>
      <c r="AY298" s="57" t="e">
        <f>IF(+NFL!$F219="Kansas City",+NFL!#REF!,IF(+NFL!$H219="Kansas City",+NFL!#REF!,0))</f>
        <v>#REF!</v>
      </c>
      <c r="AZ298" s="493" t="e">
        <f>IF(+NFL!$F219="Kansas City",+NFL!#REF!,IF(+NFL!$H219="Kansas City",+NFL!#REF!,0))</f>
        <v>#REF!</v>
      </c>
      <c r="BA298" s="46" t="e">
        <f>IF(+NFL!$F219="Kansas City",+NFL!#REF!,IF(+NFL!$H219="Kansas City",+NFL!#REF!,0))</f>
        <v>#REF!</v>
      </c>
      <c r="BB298" s="46" t="e">
        <f>IF(+NFL!$F219="Kansas City",+NFL!#REF!,IF(+NFL!$H219="Kansas City",+NFL!#REF!,0))</f>
        <v>#REF!</v>
      </c>
      <c r="BC298" s="403" t="e">
        <f>IF(+NFL!$F219="Kansas City",+NFL!#REF!,IF(+NFL!$H219="Kansas City",+NFL!#REF!,0))</f>
        <v>#REF!</v>
      </c>
      <c r="BD298" s="57" t="e">
        <f>IF(+NFL!$F219="Kansas City",+NFL!#REF!,IF(+NFL!$H219="Kansas City",+NFL!#REF!,0))</f>
        <v>#REF!</v>
      </c>
      <c r="BE298" s="493" t="e">
        <f>IF(+NFL!$F219="Kansas City",+NFL!#REF!,IF(+NFL!$H219="Kansas City",+NFL!#REF!,0))</f>
        <v>#REF!</v>
      </c>
      <c r="BF298" s="46" t="e">
        <f>IF(+NFL!$F219="Kansas City",+NFL!#REF!,IF(+NFL!$H219="Kansas City",+NFL!#REF!,0))</f>
        <v>#REF!</v>
      </c>
      <c r="BG298" s="57" t="e">
        <f>IF(+NFL!$F219="Kansas City",+NFL!#REF!,IF(+NFL!$H219="Kansas City",+NFL!#REF!,0))</f>
        <v>#REF!</v>
      </c>
      <c r="BH298" s="493" t="e">
        <f>IF(+NFL!$F219="Kansas City",+NFL!#REF!,IF(+NFL!$H219="Kansas City",+NFL!#REF!,0))</f>
        <v>#REF!</v>
      </c>
      <c r="BI298" s="46" t="e">
        <f>IF(+NFL!$F219="Kansas City",+NFL!#REF!,IF(+NFL!$H219="Kansas City",+NFL!#REF!,0))</f>
        <v>#REF!</v>
      </c>
      <c r="BJ298" s="87" t="e">
        <f>IF(+NFL!$F219="Kansas City",+NFL!#REF!,IF(+NFL!$H219="Kansas City",+NFL!#REF!,0))</f>
        <v>#REF!</v>
      </c>
      <c r="BK298" s="120" t="e">
        <f>IF(+NFL!$F219="Kansas City",+NFL!#REF!,IF(+NFL!$H219="Kansas City",+NFL!#REF!,0))</f>
        <v>#REF!</v>
      </c>
    </row>
    <row r="299" spans="1:63" s="246" customFormat="1" x14ac:dyDescent="0.8">
      <c r="A299" s="46">
        <f>IF(+NFL!$F237="Kansas City",+NFL!A237,IF(+NFL!$H237="Kansas City",+NFL!A237,0))</f>
        <v>13</v>
      </c>
      <c r="B299" s="348" t="str">
        <f>IF(+NFL!$F237="Kansas City",+NFL!B237,IF(+NFL!$H237="Kansas City",+NFL!B237,0))</f>
        <v>Sun</v>
      </c>
      <c r="C299" s="48">
        <f>IF(+NFL!$F237="Kansas City",+NFL!C237,IF(+NFL!$H237="Kansas City",+NFL!C237,0))</f>
        <v>44899</v>
      </c>
      <c r="D299" s="490">
        <f>IF(+NFL!$F237="Kansas City",+NFL!D237,IF(+NFL!$H237="Kansas City",+NFL!D237,0))</f>
        <v>0.66666666666666663</v>
      </c>
      <c r="E299" s="46" t="str">
        <f>IF(+NFL!$F237="Kansas City",+NFL!E237,IF(+NFL!$H237="Kansas City",+NFL!E237,0))</f>
        <v>CBS</v>
      </c>
      <c r="F299" s="114" t="str">
        <f>IF(+NFL!$F237="Kansas City",+NFL!F237,IF(+NFL!$H237="Kansas City",+NFL!F237,0))</f>
        <v>Kansas City</v>
      </c>
      <c r="G299" s="46" t="str">
        <f>IF(+NFL!$F237="Kansas City",+NFL!G237,IF(+NFL!$H237="Kansas City",+NFL!G237,0))</f>
        <v>AFCW</v>
      </c>
      <c r="H299" s="114" t="str">
        <f>IF(+NFL!$F237="Kansas City",+NFL!H237,IF(+NFL!$H237="Kansas City",+NFL!H237,0))</f>
        <v>Cincinnati</v>
      </c>
      <c r="I299" s="46" t="str">
        <f>IF(+NFL!$F237="Kansas City",+NFL!I237,IF(+NFL!$H237="Kansas City",+NFL!I237,0))</f>
        <v>AFCN</v>
      </c>
      <c r="J299" s="353" t="str">
        <f>IF(+NFL!$F237="Kansas City",+NFL!J237,IF(+NFL!$H237="Kansas City",+NFL!J237,0))</f>
        <v>Kansas City</v>
      </c>
      <c r="K299" s="494" t="str">
        <f>IF(+NFL!$F237="Kansas City",+NFL!K237,IF(+NFL!$H237="Kansas City",+NFL!K237,0))</f>
        <v>Cincinnati</v>
      </c>
      <c r="L299" s="384">
        <f>IF(+NFL!$F237="Kansas City",+NFL!L237,IF(+NFL!$H237="Kansas City",+NFL!L237,0))</f>
        <v>1.5</v>
      </c>
      <c r="M299" s="385">
        <f>IF(+NFL!$F237="Kansas City",+NFL!M237,IF(+NFL!$H237="Kansas City",+NFL!M237,0))</f>
        <v>52</v>
      </c>
      <c r="N299" s="394" t="str">
        <f>IF(+NFL!$F237="Kansas City",+NFL!N237,IF(+NFL!$H237="Kansas City",+NFL!N237,0))</f>
        <v>Cincinnati</v>
      </c>
      <c r="O299" s="395">
        <f>IF(+NFL!$F237="Kansas City",+NFL!O237,IF(+NFL!$H237="Kansas City",+NFL!O237,0))</f>
        <v>27</v>
      </c>
      <c r="P299" s="394" t="str">
        <f>IF(+NFL!$F237="Kansas City",+NFL!P237,IF(+NFL!$H237="Kansas City",+NFL!P237,0))</f>
        <v>Kansas City</v>
      </c>
      <c r="Q299" s="396">
        <f>IF(+NFL!$F237="Kansas City",+NFL!Q237,IF(+NFL!$H237="Kansas City",+NFL!Q237,0))</f>
        <v>24</v>
      </c>
      <c r="R299" s="397" t="str">
        <f>IF(+NFL!$F237="Kansas City",+NFL!R237,IF(+NFL!$H237="Kansas City",+NFL!R237,0))</f>
        <v>Cincinnati</v>
      </c>
      <c r="S299" s="396" t="str">
        <f>IF(+NFL!$F237="Kansas City",+NFL!S237,IF(+NFL!$H237="Kansas City",+NFL!S237,0))</f>
        <v>Kansas City</v>
      </c>
      <c r="T299" s="398" t="str">
        <f>IF(+NFL!$F237="Kansas City",+NFL!T237,IF(+NFL!$H237="Kansas City",+NFL!T237,0))</f>
        <v>Cincinnati</v>
      </c>
      <c r="U299" s="396" t="str">
        <f>IF(+NFL!$F237="Kansas City",+NFL!U237,IF(+NFL!$H237="Kansas City",+NFL!U237,0))</f>
        <v>W</v>
      </c>
      <c r="V299" s="397">
        <f>IF(+NFL!$F230="Kansas City",+NFL!#REF!,IF(+NFL!$H230="Kansas City",+NFL!#REF!,0))</f>
        <v>0</v>
      </c>
      <c r="W299" s="396">
        <f>IF(+NFL!$F230="Kansas City",+NFL!#REF!,IF(+NFL!$H230="Kansas City",+NFL!#REF!,0))</f>
        <v>0</v>
      </c>
      <c r="X299" s="398">
        <f>IF(+NFL!$F230="Kansas City",+NFL!#REF!,IF(+NFL!$H230="Kansas City",+NFL!#REF!,0))</f>
        <v>0</v>
      </c>
      <c r="Y299" s="396">
        <f>IF(+NFL!$F230="Kansas City",+NFL!#REF!,IF(+NFL!$H230="Kansas City",+NFL!#REF!,0))</f>
        <v>0</v>
      </c>
      <c r="Z299" s="397">
        <f>IF(+NFL!$F230="Kansas City",+NFL!#REF!,IF(+NFL!$H230="Kansas City",+NFL!#REF!,0))</f>
        <v>0</v>
      </c>
      <c r="AA299" s="396">
        <f>IF(+NFL!$F230="Kansas City",+NFL!#REF!,IF(+NFL!$H230="Kansas City",+NFL!#REF!,0))</f>
        <v>0</v>
      </c>
      <c r="AB299" s="87">
        <f>IF(+NFL!$F230="Kansas City",+NFL!#REF!,IF(+NFL!$H230="Kansas City",+NFL!#REF!,0))</f>
        <v>0</v>
      </c>
      <c r="AC299" s="120">
        <f>IF(+NFL!$F230="Kansas City",+NFL!#REF!,IF(+NFL!$H230="Kansas City",+NFL!#REF!,0))</f>
        <v>0</v>
      </c>
      <c r="AD299" s="353">
        <f>IF(+NFL!$F230="Kansas City",+NFL!#REF!,IF(+NFL!$H230="Kansas City",+NFL!#REF!,0))</f>
        <v>0</v>
      </c>
      <c r="AE299" s="379">
        <f>IF(+NFL!$F230="Kansas City",+NFL!#REF!,IF(+NFL!$H230="Kansas City",+NFL!#REF!,0))</f>
        <v>0</v>
      </c>
      <c r="AF299" s="353">
        <f>IF(+NFL!$F230="Kansas City",+NFL!#REF!,IF(+NFL!$H230="Kansas City",+NFL!#REF!,0))</f>
        <v>0</v>
      </c>
      <c r="AG299" s="379">
        <f>IF(+NFL!$F230="Kansas City",+NFL!#REF!,IF(+NFL!$H230="Kansas City",+NFL!#REF!,0))</f>
        <v>0</v>
      </c>
      <c r="AH299" s="353">
        <f>IF(+NFL!$F230="Kansas City",+NFL!#REF!,IF(+NFL!$H230="Kansas City",+NFL!#REF!,0))</f>
        <v>0</v>
      </c>
      <c r="AI299" s="379">
        <f>IF(+NFL!$F230="Kansas City",+NFL!#REF!,IF(+NFL!$H230="Kansas City",+NFL!#REF!,0))</f>
        <v>0</v>
      </c>
      <c r="AJ299" s="353">
        <f>IF(+NFL!$F230="Kansas City",+NFL!#REF!,IF(+NFL!$H230="Kansas City",+NFL!#REF!,0))</f>
        <v>0</v>
      </c>
      <c r="AK299" s="379">
        <f>IF(+NFL!$F230="Kansas City",+NFL!#REF!,IF(+NFL!$H230="Kansas City",+NFL!#REF!,0))</f>
        <v>0</v>
      </c>
      <c r="AL299" s="68">
        <f>IF(+NFL!$F230="Kansas City",+NFL!#REF!,IF(+NFL!$H230="Kansas City",+NFL!#REF!,0))</f>
        <v>0</v>
      </c>
      <c r="AM299" s="58">
        <f>IF(+NFL!$F230="Kansas City",+NFL!#REF!,IF(+NFL!$H230="Kansas City",+NFL!#REF!,0))</f>
        <v>0</v>
      </c>
      <c r="AN299" s="57">
        <f>IF(+NFL!$F230="Kansas City",+NFL!#REF!,IF(+NFL!$H230="Kansas City",+NFL!#REF!,0))</f>
        <v>0</v>
      </c>
      <c r="AO299" s="59">
        <f>IF(+NFL!$F230="Kansas City",+NFL!#REF!,IF(+NFL!$H230="Kansas City",+NFL!#REF!,0))</f>
        <v>0</v>
      </c>
      <c r="AP299" s="348">
        <f>IF(+NFL!$F230="Kansas City",+NFL!#REF!,IF(+NFL!$H230="Kansas City",+NFL!#REF!,0))</f>
        <v>0</v>
      </c>
      <c r="AQ299" s="48">
        <f>IF(+NFL!$F230="Kansas City",+NFL!#REF!,IF(+NFL!$H230="Kansas City",+NFL!#REF!,0))</f>
        <v>0</v>
      </c>
      <c r="AR299" s="57">
        <f>IF(+NFL!$F230="Kansas City",+NFL!#REF!,IF(+NFL!$H230="Kansas City",+NFL!#REF!,0))</f>
        <v>0</v>
      </c>
      <c r="AS299" s="64">
        <f>IF(+NFL!$F230="Kansas City",+NFL!#REF!,IF(+NFL!$H230="Kansas City",+NFL!#REF!,0))</f>
        <v>0</v>
      </c>
      <c r="AT299" s="64">
        <f>IF(+NFL!$F230="Kansas City",+NFL!#REF!,IF(+NFL!$H230="Kansas City",+NFL!#REF!,0))</f>
        <v>0</v>
      </c>
      <c r="AU299" s="57">
        <f>IF(+NFL!$F230="Kansas City",+NFL!#REF!,IF(+NFL!$H230="Kansas City",+NFL!#REF!,0))</f>
        <v>0</v>
      </c>
      <c r="AV299" s="64">
        <f>IF(+NFL!$F230="Kansas City",+NFL!#REF!,IF(+NFL!$H230="Kansas City",+NFL!#REF!,0))</f>
        <v>0</v>
      </c>
      <c r="AW299" s="46">
        <f>IF(+NFL!$F230="Kansas City",+NFL!#REF!,IF(+NFL!$H230="Kansas City",+NFL!#REF!,0))</f>
        <v>0</v>
      </c>
      <c r="AX299" s="64">
        <f>IF(+NFL!$F230="Kansas City",+NFL!#REF!,IF(+NFL!$H230="Kansas City",+NFL!#REF!,0))</f>
        <v>0</v>
      </c>
      <c r="AY299" s="57">
        <f>IF(+NFL!$F230="Kansas City",+NFL!#REF!,IF(+NFL!$H230="Kansas City",+NFL!#REF!,0))</f>
        <v>0</v>
      </c>
      <c r="AZ299" s="64">
        <f>IF(+NFL!$F230="Kansas City",+NFL!#REF!,IF(+NFL!$H230="Kansas City",+NFL!#REF!,0))</f>
        <v>0</v>
      </c>
      <c r="BA299" s="46">
        <f>IF(+NFL!$F230="Kansas City",+NFL!#REF!,IF(+NFL!$H230="Kansas City",+NFL!#REF!,0))</f>
        <v>0</v>
      </c>
      <c r="BB299" s="46">
        <f>IF(+NFL!$F230="Kansas City",+NFL!#REF!,IF(+NFL!$H230="Kansas City",+NFL!#REF!,0))</f>
        <v>0</v>
      </c>
      <c r="BC299" s="403">
        <f>IF(+NFL!$F230="Kansas City",+NFL!#REF!,IF(+NFL!$H230="Kansas City",+NFL!#REF!,0))</f>
        <v>0</v>
      </c>
      <c r="BD299" s="57">
        <f>IF(+NFL!$F230="Kansas City",+NFL!#REF!,IF(+NFL!$H230="Kansas City",+NFL!#REF!,0))</f>
        <v>0</v>
      </c>
      <c r="BE299" s="64">
        <f>IF(+NFL!$F230="Kansas City",+NFL!#REF!,IF(+NFL!$H230="Kansas City",+NFL!#REF!,0))</f>
        <v>0</v>
      </c>
      <c r="BF299" s="46">
        <f>IF(+NFL!$F230="Kansas City",+NFL!#REF!,IF(+NFL!$H230="Kansas City",+NFL!#REF!,0))</f>
        <v>0</v>
      </c>
      <c r="BG299" s="57">
        <f>IF(+NFL!$F230="Kansas City",+NFL!#REF!,IF(+NFL!$H230="Kansas City",+NFL!#REF!,0))</f>
        <v>0</v>
      </c>
      <c r="BH299" s="64">
        <f>IF(+NFL!$F230="Kansas City",+NFL!#REF!,IF(+NFL!$H230="Kansas City",+NFL!#REF!,0))</f>
        <v>0</v>
      </c>
      <c r="BI299" s="46">
        <f>IF(+NFL!$F230="Kansas City",+NFL!#REF!,IF(+NFL!$H230="Kansas City",+NFL!#REF!,0))</f>
        <v>0</v>
      </c>
      <c r="BJ299" s="87">
        <f>IF(+NFL!$F230="Kansas City",+NFL!#REF!,IF(+NFL!$H230="Kansas City",+NFL!#REF!,0))</f>
        <v>0</v>
      </c>
      <c r="BK299" s="120">
        <f>IF(+NFL!$F230="Kansas City",+NFL!#REF!,IF(+NFL!$H230="Kansas City",+NFL!#REF!,0))</f>
        <v>0</v>
      </c>
    </row>
    <row r="300" spans="1:63" s="246" customFormat="1" x14ac:dyDescent="0.8">
      <c r="A300" s="46">
        <f>IF(+NFL!$F256="Kansas City",+NFL!A256,IF(+NFL!$H256="Kansas City",+NFL!A256,0))</f>
        <v>14</v>
      </c>
      <c r="B300" s="348" t="str">
        <f>IF(+NFL!$F256="Kansas City",+NFL!B256,IF(+NFL!$H256="Kansas City",+NFL!B256,0))</f>
        <v>Sun</v>
      </c>
      <c r="C300" s="48">
        <f>IF(+NFL!$F256="Kansas City",+NFL!C256,IF(+NFL!$H256="Kansas City",+NFL!C256,0))</f>
        <v>44906</v>
      </c>
      <c r="D300" s="490">
        <f>IF(+NFL!$F256="Kansas City",+NFL!D256,IF(+NFL!$H256="Kansas City",+NFL!D256,0))</f>
        <v>0.66666666666666663</v>
      </c>
      <c r="E300" s="46" t="str">
        <f>IF(+NFL!$F256="Kansas City",+NFL!E256,IF(+NFL!$H256="Kansas City",+NFL!E256,0))</f>
        <v>CBS</v>
      </c>
      <c r="F300" s="114" t="str">
        <f>IF(+NFL!$F256="Kansas City",+NFL!F256,IF(+NFL!$H256="Kansas City",+NFL!F256,0))</f>
        <v>Kansas City</v>
      </c>
      <c r="G300" s="46" t="str">
        <f>IF(+NFL!$F256="Kansas City",+NFL!G256,IF(+NFL!$H256="Kansas City",+NFL!G256,0))</f>
        <v>AFCW</v>
      </c>
      <c r="H300" s="114" t="str">
        <f>IF(+NFL!$F256="Kansas City",+NFL!H256,IF(+NFL!$H256="Kansas City",+NFL!H256,0))</f>
        <v>Denver</v>
      </c>
      <c r="I300" s="46" t="str">
        <f>IF(+NFL!$F256="Kansas City",+NFL!I256,IF(+NFL!$H256="Kansas City",+NFL!I256,0))</f>
        <v>AFCW</v>
      </c>
      <c r="J300" s="353" t="str">
        <f>IF(+NFL!$F256="Kansas City",+NFL!J256,IF(+NFL!$H256="Kansas City",+NFL!J256,0))</f>
        <v>Kansas City</v>
      </c>
      <c r="K300" s="494" t="str">
        <f>IF(+NFL!$F256="Kansas City",+NFL!K256,IF(+NFL!$H256="Kansas City",+NFL!K256,0))</f>
        <v>Denver</v>
      </c>
      <c r="L300" s="384">
        <f>IF(+NFL!$F256="Kansas City",+NFL!L256,IF(+NFL!$H256="Kansas City",+NFL!L256,0))</f>
        <v>7.5</v>
      </c>
      <c r="M300" s="385">
        <f>IF(+NFL!$F256="Kansas City",+NFL!M256,IF(+NFL!$H256="Kansas City",+NFL!M256,0))</f>
        <v>42.5</v>
      </c>
      <c r="N300" s="394" t="str">
        <f>IF(+NFL!$F256="Kansas City",+NFL!N256,IF(+NFL!$H256="Kansas City",+NFL!N256,0))</f>
        <v>Kansas City</v>
      </c>
      <c r="O300" s="395">
        <f>IF(+NFL!$F256="Kansas City",+NFL!O256,IF(+NFL!$H256="Kansas City",+NFL!O256,0))</f>
        <v>34</v>
      </c>
      <c r="P300" s="394" t="str">
        <f>IF(+NFL!$F256="Kansas City",+NFL!P256,IF(+NFL!$H256="Kansas City",+NFL!P256,0))</f>
        <v>Denver</v>
      </c>
      <c r="Q300" s="396">
        <f>IF(+NFL!$F256="Kansas City",+NFL!Q256,IF(+NFL!$H256="Kansas City",+NFL!Q256,0))</f>
        <v>28</v>
      </c>
      <c r="R300" s="397" t="str">
        <f>IF(+NFL!$F256="Kansas City",+NFL!R256,IF(+NFL!$H256="Kansas City",+NFL!R256,0))</f>
        <v>Denver</v>
      </c>
      <c r="S300" s="396" t="str">
        <f>IF(+NFL!$F256="Kansas City",+NFL!S256,IF(+NFL!$H256="Kansas City",+NFL!S256,0))</f>
        <v>Kansas City</v>
      </c>
      <c r="T300" s="398">
        <f>IF(+NFL!$F256="Kansas City",+NFL!T256,IF(+NFL!$H256="Kansas City",+NFL!T256,0))</f>
        <v>0</v>
      </c>
      <c r="U300" s="396" t="str">
        <f>IF(+NFL!$F256="Kansas City",+NFL!U256,IF(+NFL!$H256="Kansas City",+NFL!U256,0))</f>
        <v>L</v>
      </c>
      <c r="V300" s="397">
        <f>IF(+NFL!$F255="Kansas City",+NFL!#REF!,IF(+NFL!$H255="Kansas City",+NFL!#REF!,0))</f>
        <v>0</v>
      </c>
      <c r="W300" s="396">
        <f>IF(+NFL!$F255="Kansas City",+NFL!#REF!,IF(+NFL!$H255="Kansas City",+NFL!#REF!,0))</f>
        <v>0</v>
      </c>
      <c r="X300" s="398">
        <f>IF(+NFL!$F255="Kansas City",+NFL!#REF!,IF(+NFL!$H255="Kansas City",+NFL!#REF!,0))</f>
        <v>0</v>
      </c>
      <c r="Y300" s="396">
        <f>IF(+NFL!$F255="Kansas City",+NFL!#REF!,IF(+NFL!$H255="Kansas City",+NFL!#REF!,0))</f>
        <v>0</v>
      </c>
      <c r="Z300" s="397">
        <f>IF(+NFL!$F255="Kansas City",+NFL!#REF!,IF(+NFL!$H255="Kansas City",+NFL!#REF!,0))</f>
        <v>0</v>
      </c>
      <c r="AA300" s="396">
        <f>IF(+NFL!$F255="Kansas City",+NFL!#REF!,IF(+NFL!$H255="Kansas City",+NFL!#REF!,0))</f>
        <v>0</v>
      </c>
      <c r="AB300" s="87">
        <f>IF(+NFL!$F255="Kansas City",+NFL!#REF!,IF(+NFL!$H255="Kansas City",+NFL!#REF!,0))</f>
        <v>0</v>
      </c>
      <c r="AC300" s="120">
        <f>IF(+NFL!$F255="Kansas City",+NFL!#REF!,IF(+NFL!$H255="Kansas City",+NFL!#REF!,0))</f>
        <v>0</v>
      </c>
      <c r="AD300" s="353">
        <f>IF(+NFL!$F255="Kansas City",+NFL!#REF!,IF(+NFL!$H255="Kansas City",+NFL!#REF!,0))</f>
        <v>0</v>
      </c>
      <c r="AE300" s="379">
        <f>IF(+NFL!$F255="Kansas City",+NFL!#REF!,IF(+NFL!$H255="Kansas City",+NFL!#REF!,0))</f>
        <v>0</v>
      </c>
      <c r="AF300" s="353">
        <f>IF(+NFL!$F255="Kansas City",+NFL!#REF!,IF(+NFL!$H255="Kansas City",+NFL!#REF!,0))</f>
        <v>0</v>
      </c>
      <c r="AG300" s="379">
        <f>IF(+NFL!$F255="Kansas City",+NFL!#REF!,IF(+NFL!$H255="Kansas City",+NFL!#REF!,0))</f>
        <v>0</v>
      </c>
      <c r="AH300" s="353">
        <f>IF(+NFL!$F255="Kansas City",+NFL!#REF!,IF(+NFL!$H255="Kansas City",+NFL!#REF!,0))</f>
        <v>0</v>
      </c>
      <c r="AI300" s="379">
        <f>IF(+NFL!$F255="Kansas City",+NFL!#REF!,IF(+NFL!$H255="Kansas City",+NFL!#REF!,0))</f>
        <v>0</v>
      </c>
      <c r="AJ300" s="353">
        <f>IF(+NFL!$F255="Kansas City",+NFL!#REF!,IF(+NFL!$H255="Kansas City",+NFL!#REF!,0))</f>
        <v>0</v>
      </c>
      <c r="AK300" s="379">
        <f>IF(+NFL!$F255="Kansas City",+NFL!#REF!,IF(+NFL!$H255="Kansas City",+NFL!#REF!,0))</f>
        <v>0</v>
      </c>
      <c r="AL300" s="68">
        <f>IF(+NFL!$F255="Kansas City",+NFL!#REF!,IF(+NFL!$H255="Kansas City",+NFL!#REF!,0))</f>
        <v>0</v>
      </c>
      <c r="AM300" s="58">
        <f>IF(+NFL!$F255="Kansas City",+NFL!#REF!,IF(+NFL!$H255="Kansas City",+NFL!#REF!,0))</f>
        <v>0</v>
      </c>
      <c r="AN300" s="57">
        <f>IF(+NFL!$F255="Kansas City",+NFL!#REF!,IF(+NFL!$H255="Kansas City",+NFL!#REF!,0))</f>
        <v>0</v>
      </c>
      <c r="AO300" s="59">
        <f>IF(+NFL!$F255="Kansas City",+NFL!#REF!,IF(+NFL!$H255="Kansas City",+NFL!#REF!,0))</f>
        <v>0</v>
      </c>
      <c r="AP300" s="348">
        <f>IF(+NFL!$F255="Kansas City",+NFL!#REF!,IF(+NFL!$H255="Kansas City",+NFL!#REF!,0))</f>
        <v>0</v>
      </c>
      <c r="AQ300" s="48">
        <f>IF(+NFL!$F255="Kansas City",+NFL!#REF!,IF(+NFL!$H255="Kansas City",+NFL!#REF!,0))</f>
        <v>0</v>
      </c>
      <c r="AR300" s="57">
        <f>IF(+NFL!$F255="Kansas City",+NFL!#REF!,IF(+NFL!$H255="Kansas City",+NFL!#REF!,0))</f>
        <v>0</v>
      </c>
      <c r="AS300" s="64">
        <f>IF(+NFL!$F255="Kansas City",+NFL!#REF!,IF(+NFL!$H255="Kansas City",+NFL!#REF!,0))</f>
        <v>0</v>
      </c>
      <c r="AT300" s="64">
        <f>IF(+NFL!$F255="Kansas City",+NFL!#REF!,IF(+NFL!$H255="Kansas City",+NFL!#REF!,0))</f>
        <v>0</v>
      </c>
      <c r="AU300" s="57">
        <f>IF(+NFL!$F255="Kansas City",+NFL!#REF!,IF(+NFL!$H255="Kansas City",+NFL!#REF!,0))</f>
        <v>0</v>
      </c>
      <c r="AV300" s="64">
        <f>IF(+NFL!$F255="Kansas City",+NFL!#REF!,IF(+NFL!$H255="Kansas City",+NFL!#REF!,0))</f>
        <v>0</v>
      </c>
      <c r="AW300" s="46">
        <f>IF(+NFL!$F255="Kansas City",+NFL!#REF!,IF(+NFL!$H255="Kansas City",+NFL!#REF!,0))</f>
        <v>0</v>
      </c>
      <c r="AX300" s="64">
        <f>IF(+NFL!$F255="Kansas City",+NFL!#REF!,IF(+NFL!$H255="Kansas City",+NFL!#REF!,0))</f>
        <v>0</v>
      </c>
      <c r="AY300" s="57">
        <f>IF(+NFL!$F255="Kansas City",+NFL!#REF!,IF(+NFL!$H255="Kansas City",+NFL!#REF!,0))</f>
        <v>0</v>
      </c>
      <c r="AZ300" s="64">
        <f>IF(+NFL!$F255="Kansas City",+NFL!#REF!,IF(+NFL!$H255="Kansas City",+NFL!#REF!,0))</f>
        <v>0</v>
      </c>
      <c r="BA300" s="46">
        <f>IF(+NFL!$F255="Kansas City",+NFL!#REF!,IF(+NFL!$H255="Kansas City",+NFL!#REF!,0))</f>
        <v>0</v>
      </c>
      <c r="BB300" s="46">
        <f>IF(+NFL!$F255="Kansas City",+NFL!#REF!,IF(+NFL!$H255="Kansas City",+NFL!#REF!,0))</f>
        <v>0</v>
      </c>
      <c r="BC300" s="403">
        <f>IF(+NFL!$F255="Kansas City",+NFL!#REF!,IF(+NFL!$H255="Kansas City",+NFL!#REF!,0))</f>
        <v>0</v>
      </c>
      <c r="BD300" s="57">
        <f>IF(+NFL!$F255="Kansas City",+NFL!#REF!,IF(+NFL!$H255="Kansas City",+NFL!#REF!,0))</f>
        <v>0</v>
      </c>
      <c r="BE300" s="64">
        <f>IF(+NFL!$F255="Kansas City",+NFL!#REF!,IF(+NFL!$H255="Kansas City",+NFL!#REF!,0))</f>
        <v>0</v>
      </c>
      <c r="BF300" s="46">
        <f>IF(+NFL!$F255="Kansas City",+NFL!#REF!,IF(+NFL!$H255="Kansas City",+NFL!#REF!,0))</f>
        <v>0</v>
      </c>
      <c r="BG300" s="57">
        <f>IF(+NFL!$F255="Kansas City",+NFL!#REF!,IF(+NFL!$H255="Kansas City",+NFL!#REF!,0))</f>
        <v>0</v>
      </c>
      <c r="BH300" s="64">
        <f>IF(+NFL!$F255="Kansas City",+NFL!#REF!,IF(+NFL!$H255="Kansas City",+NFL!#REF!,0))</f>
        <v>0</v>
      </c>
      <c r="BI300" s="46">
        <f>IF(+NFL!$F255="Kansas City",+NFL!#REF!,IF(+NFL!$H255="Kansas City",+NFL!#REF!,0))</f>
        <v>0</v>
      </c>
      <c r="BJ300" s="87">
        <f>IF(+NFL!$F255="Kansas City",+NFL!#REF!,IF(+NFL!$H255="Kansas City",+NFL!#REF!,0))</f>
        <v>0</v>
      </c>
      <c r="BK300" s="120">
        <f>IF(+NFL!$F255="Kansas City",+NFL!#REF!,IF(+NFL!$H255="Kansas City",+NFL!#REF!,0))</f>
        <v>0</v>
      </c>
    </row>
    <row r="301" spans="1:63" s="246" customFormat="1" x14ac:dyDescent="0.8">
      <c r="A301" s="46">
        <f>IF(+NFL!$F276="Kansas City",+NFL!A276,IF(+NFL!$H276="Kansas City",+NFL!A276,0))</f>
        <v>15</v>
      </c>
      <c r="B301" s="348" t="str">
        <f>IF(+NFL!$F276="Kansas City",+NFL!B276,IF(+NFL!$H276="Kansas City",+NFL!B276,0))</f>
        <v>Sun</v>
      </c>
      <c r="C301" s="48">
        <f>IF(+NFL!$F276="Kansas City",+NFL!C276,IF(+NFL!$H276="Kansas City",+NFL!C276,0))</f>
        <v>44913</v>
      </c>
      <c r="D301" s="490">
        <f>IF(+NFL!$F276="Kansas City",+NFL!D276,IF(+NFL!$H276="Kansas City",+NFL!D276,0))</f>
        <v>0.66666666666666663</v>
      </c>
      <c r="E301" s="46" t="str">
        <f>IF(+NFL!$F276="Kansas City",+NFL!E276,IF(+NFL!$H276="Kansas City",+NFL!E276,0))</f>
        <v>CBS</v>
      </c>
      <c r="F301" s="114" t="str">
        <f>IF(+NFL!$F276="Kansas City",+NFL!F276,IF(+NFL!$H276="Kansas City",+NFL!F276,0))</f>
        <v>Kansas City</v>
      </c>
      <c r="G301" s="46" t="str">
        <f>IF(+NFL!$F276="Kansas City",+NFL!G276,IF(+NFL!$H276="Kansas City",+NFL!G276,0))</f>
        <v>AFCW</v>
      </c>
      <c r="H301" s="114" t="str">
        <f>IF(+NFL!$F276="Kansas City",+NFL!H276,IF(+NFL!$H276="Kansas City",+NFL!H276,0))</f>
        <v>Houston</v>
      </c>
      <c r="I301" s="46" t="str">
        <f>IF(+NFL!$F276="Kansas City",+NFL!I276,IF(+NFL!$H276="Kansas City",+NFL!I276,0))</f>
        <v>AFCS</v>
      </c>
      <c r="J301" s="353" t="str">
        <f>IF(+NFL!$F276="Kansas City",+NFL!J276,IF(+NFL!$H276="Kansas City",+NFL!J276,0))</f>
        <v>Kansas City</v>
      </c>
      <c r="K301" s="494" t="str">
        <f>IF(+NFL!$F276="Kansas City",+NFL!K276,IF(+NFL!$H276="Kansas City",+NFL!K276,0))</f>
        <v>Houston</v>
      </c>
      <c r="L301" s="384">
        <f>IF(+NFL!$F276="Kansas City",+NFL!L276,IF(+NFL!$H276="Kansas City",+NFL!L276,0))</f>
        <v>14.5</v>
      </c>
      <c r="M301" s="385">
        <f>IF(+NFL!$F276="Kansas City",+NFL!M276,IF(+NFL!$H276="Kansas City",+NFL!M276,0))</f>
        <v>48.5</v>
      </c>
      <c r="N301" s="394" t="str">
        <f>IF(+NFL!$F276="Kansas City",+NFL!N276,IF(+NFL!$H276="Kansas City",+NFL!N276,0))</f>
        <v>Kansas City</v>
      </c>
      <c r="O301" s="395">
        <f>IF(+NFL!$F276="Kansas City",+NFL!O276,IF(+NFL!$H276="Kansas City",+NFL!O276,0))</f>
        <v>30</v>
      </c>
      <c r="P301" s="394" t="str">
        <f>IF(+NFL!$F276="Kansas City",+NFL!P276,IF(+NFL!$H276="Kansas City",+NFL!P276,0))</f>
        <v>Houston</v>
      </c>
      <c r="Q301" s="396">
        <f>IF(+NFL!$F276="Kansas City",+NFL!Q276,IF(+NFL!$H276="Kansas City",+NFL!Q276,0))</f>
        <v>24</v>
      </c>
      <c r="R301" s="397" t="str">
        <f>IF(+NFL!$F276="Kansas City",+NFL!R276,IF(+NFL!$H276="Kansas City",+NFL!R276,0))</f>
        <v>Houston</v>
      </c>
      <c r="S301" s="396" t="str">
        <f>IF(+NFL!$F276="Kansas City",+NFL!S276,IF(+NFL!$H276="Kansas City",+NFL!S276,0))</f>
        <v>Kansas City</v>
      </c>
      <c r="T301" s="398">
        <f>IF(+NFL!$F276="Kansas City",+NFL!T276,IF(+NFL!$H276="Kansas City",+NFL!T276,0))</f>
        <v>0</v>
      </c>
      <c r="U301" s="396" t="str">
        <f>IF(+NFL!$F276="Kansas City",+NFL!U276,IF(+NFL!$H276="Kansas City",+NFL!U276,0))</f>
        <v>L</v>
      </c>
      <c r="V301" s="397">
        <f>IF(+NFL!$F270="Kansas City",+NFL!#REF!,IF(+NFL!$H270="Kansas City",+NFL!#REF!,0))</f>
        <v>0</v>
      </c>
      <c r="W301" s="396">
        <f>IF(+NFL!$F270="Kansas City",+NFL!#REF!,IF(+NFL!$H270="Kansas City",+NFL!#REF!,0))</f>
        <v>0</v>
      </c>
      <c r="X301" s="398">
        <f>IF(+NFL!$F270="Kansas City",+NFL!#REF!,IF(+NFL!$H270="Kansas City",+NFL!#REF!,0))</f>
        <v>0</v>
      </c>
      <c r="Y301" s="396">
        <f>IF(+NFL!$F270="Kansas City",+NFL!#REF!,IF(+NFL!$H270="Kansas City",+NFL!#REF!,0))</f>
        <v>0</v>
      </c>
      <c r="Z301" s="397">
        <f>IF(+NFL!$F270="Kansas City",+NFL!#REF!,IF(+NFL!$H270="Kansas City",+NFL!#REF!,0))</f>
        <v>0</v>
      </c>
      <c r="AA301" s="396">
        <f>IF(+NFL!$F270="Kansas City",+NFL!#REF!,IF(+NFL!$H270="Kansas City",+NFL!#REF!,0))</f>
        <v>0</v>
      </c>
      <c r="AB301" s="87">
        <f>IF(+NFL!$F270="Kansas City",+NFL!#REF!,IF(+NFL!$H270="Kansas City",+NFL!#REF!,0))</f>
        <v>0</v>
      </c>
      <c r="AC301" s="120">
        <f>IF(+NFL!$F270="Kansas City",+NFL!#REF!,IF(+NFL!$H270="Kansas City",+NFL!#REF!,0))</f>
        <v>0</v>
      </c>
      <c r="AD301" s="353">
        <f>IF(+NFL!$F270="Kansas City",+NFL!#REF!,IF(+NFL!$H270="Kansas City",+NFL!#REF!,0))</f>
        <v>0</v>
      </c>
      <c r="AE301" s="379">
        <f>IF(+NFL!$F270="Kansas City",+NFL!#REF!,IF(+NFL!$H270="Kansas City",+NFL!#REF!,0))</f>
        <v>0</v>
      </c>
      <c r="AF301" s="353">
        <f>IF(+NFL!$F270="Kansas City",+NFL!#REF!,IF(+NFL!$H270="Kansas City",+NFL!#REF!,0))</f>
        <v>0</v>
      </c>
      <c r="AG301" s="379">
        <f>IF(+NFL!$F270="Kansas City",+NFL!#REF!,IF(+NFL!$H270="Kansas City",+NFL!#REF!,0))</f>
        <v>0</v>
      </c>
      <c r="AH301" s="353">
        <f>IF(+NFL!$F270="Kansas City",+NFL!#REF!,IF(+NFL!$H270="Kansas City",+NFL!#REF!,0))</f>
        <v>0</v>
      </c>
      <c r="AI301" s="379">
        <f>IF(+NFL!$F270="Kansas City",+NFL!#REF!,IF(+NFL!$H270="Kansas City",+NFL!#REF!,0))</f>
        <v>0</v>
      </c>
      <c r="AJ301" s="353">
        <f>IF(+NFL!$F270="Kansas City",+NFL!#REF!,IF(+NFL!$H270="Kansas City",+NFL!#REF!,0))</f>
        <v>0</v>
      </c>
      <c r="AK301" s="379">
        <f>IF(+NFL!$F270="Kansas City",+NFL!#REF!,IF(+NFL!$H270="Kansas City",+NFL!#REF!,0))</f>
        <v>0</v>
      </c>
      <c r="AL301" s="68">
        <f>IF(+NFL!$F270="Kansas City",+NFL!#REF!,IF(+NFL!$H270="Kansas City",+NFL!#REF!,0))</f>
        <v>0</v>
      </c>
      <c r="AM301" s="58">
        <f>IF(+NFL!$F270="Kansas City",+NFL!#REF!,IF(+NFL!$H270="Kansas City",+NFL!#REF!,0))</f>
        <v>0</v>
      </c>
      <c r="AN301" s="57">
        <f>IF(+NFL!$F270="Kansas City",+NFL!#REF!,IF(+NFL!$H270="Kansas City",+NFL!#REF!,0))</f>
        <v>0</v>
      </c>
      <c r="AO301" s="59">
        <f>IF(+NFL!$F270="Kansas City",+NFL!#REF!,IF(+NFL!$H270="Kansas City",+NFL!#REF!,0))</f>
        <v>0</v>
      </c>
      <c r="AP301" s="348">
        <f>IF(+NFL!$F270="Kansas City",+NFL!#REF!,IF(+NFL!$H270="Kansas City",+NFL!#REF!,0))</f>
        <v>0</v>
      </c>
      <c r="AQ301" s="48">
        <f>IF(+NFL!$F270="Kansas City",+NFL!#REF!,IF(+NFL!$H270="Kansas City",+NFL!#REF!,0))</f>
        <v>0</v>
      </c>
      <c r="AR301" s="57">
        <f>IF(+NFL!$F270="Kansas City",+NFL!#REF!,IF(+NFL!$H270="Kansas City",+NFL!#REF!,0))</f>
        <v>0</v>
      </c>
      <c r="AS301" s="64">
        <f>IF(+NFL!$F270="Kansas City",+NFL!#REF!,IF(+NFL!$H270="Kansas City",+NFL!#REF!,0))</f>
        <v>0</v>
      </c>
      <c r="AT301" s="64">
        <f>IF(+NFL!$F270="Kansas City",+NFL!#REF!,IF(+NFL!$H270="Kansas City",+NFL!#REF!,0))</f>
        <v>0</v>
      </c>
      <c r="AU301" s="57">
        <f>IF(+NFL!$F270="Kansas City",+NFL!#REF!,IF(+NFL!$H270="Kansas City",+NFL!#REF!,0))</f>
        <v>0</v>
      </c>
      <c r="AV301" s="64">
        <f>IF(+NFL!$F270="Kansas City",+NFL!#REF!,IF(+NFL!$H270="Kansas City",+NFL!#REF!,0))</f>
        <v>0</v>
      </c>
      <c r="AW301" s="46">
        <f>IF(+NFL!$F270="Kansas City",+NFL!#REF!,IF(+NFL!$H270="Kansas City",+NFL!#REF!,0))</f>
        <v>0</v>
      </c>
      <c r="AX301" s="64">
        <f>IF(+NFL!$F270="Kansas City",+NFL!#REF!,IF(+NFL!$H270="Kansas City",+NFL!#REF!,0))</f>
        <v>0</v>
      </c>
      <c r="AY301" s="57">
        <f>IF(+NFL!$F270="Kansas City",+NFL!#REF!,IF(+NFL!$H270="Kansas City",+NFL!#REF!,0))</f>
        <v>0</v>
      </c>
      <c r="AZ301" s="64">
        <f>IF(+NFL!$F270="Kansas City",+NFL!#REF!,IF(+NFL!$H270="Kansas City",+NFL!#REF!,0))</f>
        <v>0</v>
      </c>
      <c r="BA301" s="46">
        <f>IF(+NFL!$F270="Kansas City",+NFL!#REF!,IF(+NFL!$H270="Kansas City",+NFL!#REF!,0))</f>
        <v>0</v>
      </c>
      <c r="BB301" s="46">
        <f>IF(+NFL!$F270="Kansas City",+NFL!#REF!,IF(+NFL!$H270="Kansas City",+NFL!#REF!,0))</f>
        <v>0</v>
      </c>
      <c r="BC301" s="403">
        <f>IF(+NFL!$F270="Kansas City",+NFL!#REF!,IF(+NFL!$H270="Kansas City",+NFL!#REF!,0))</f>
        <v>0</v>
      </c>
      <c r="BD301" s="57">
        <f>IF(+NFL!$F270="Kansas City",+NFL!#REF!,IF(+NFL!$H270="Kansas City",+NFL!#REF!,0))</f>
        <v>0</v>
      </c>
      <c r="BE301" s="64">
        <f>IF(+NFL!$F270="Kansas City",+NFL!#REF!,IF(+NFL!$H270="Kansas City",+NFL!#REF!,0))</f>
        <v>0</v>
      </c>
      <c r="BF301" s="46">
        <f>IF(+NFL!$F270="Kansas City",+NFL!#REF!,IF(+NFL!$H270="Kansas City",+NFL!#REF!,0))</f>
        <v>0</v>
      </c>
      <c r="BG301" s="57">
        <f>IF(+NFL!$F270="Kansas City",+NFL!#REF!,IF(+NFL!$H270="Kansas City",+NFL!#REF!,0))</f>
        <v>0</v>
      </c>
      <c r="BH301" s="64">
        <f>IF(+NFL!$F270="Kansas City",+NFL!#REF!,IF(+NFL!$H270="Kansas City",+NFL!#REF!,0))</f>
        <v>0</v>
      </c>
      <c r="BI301" s="46">
        <f>IF(+NFL!$F270="Kansas City",+NFL!#REF!,IF(+NFL!$H270="Kansas City",+NFL!#REF!,0))</f>
        <v>0</v>
      </c>
      <c r="BJ301" s="87">
        <f>IF(+NFL!$F270="Kansas City",+NFL!#REF!,IF(+NFL!$H270="Kansas City",+NFL!#REF!,0))</f>
        <v>0</v>
      </c>
      <c r="BK301" s="120">
        <f>IF(+NFL!$F270="Kansas City",+NFL!#REF!,IF(+NFL!$H270="Kansas City",+NFL!#REF!,0))</f>
        <v>0</v>
      </c>
    </row>
    <row r="302" spans="1:63" s="246" customFormat="1" x14ac:dyDescent="0.8">
      <c r="A302" s="46">
        <f>IF(+NFL!$F287="Kansas City",+NFL!A287,IF(+NFL!$H287="Kansas City",+NFL!A287,0))</f>
        <v>16</v>
      </c>
      <c r="B302" s="348" t="str">
        <f>IF(+NFL!$F287="Kansas City",+NFL!B287,IF(+NFL!$H287="Kansas City",+NFL!B287,0))</f>
        <v>Sat</v>
      </c>
      <c r="C302" s="48">
        <f>IF(+NFL!$F287="Kansas City",+NFL!C287,IF(+NFL!$H287="Kansas City",+NFL!C287,0))</f>
        <v>44919</v>
      </c>
      <c r="D302" s="490">
        <f>IF(+NFL!$F287="Kansas City",+NFL!D287,IF(+NFL!$H287="Kansas City",+NFL!D287,0))</f>
        <v>0.54166666666666663</v>
      </c>
      <c r="E302" s="46" t="str">
        <f>IF(+NFL!$F287="Kansas City",+NFL!E287,IF(+NFL!$H287="Kansas City",+NFL!E287,0))</f>
        <v>Fox</v>
      </c>
      <c r="F302" s="114" t="str">
        <f>IF(+NFL!$F287="Kansas City",+NFL!F287,IF(+NFL!$H287="Kansas City",+NFL!F287,0))</f>
        <v>Seattle</v>
      </c>
      <c r="G302" s="46" t="str">
        <f>IF(+NFL!$F287="Kansas City",+NFL!G287,IF(+NFL!$H287="Kansas City",+NFL!G287,0))</f>
        <v>NFCW</v>
      </c>
      <c r="H302" s="114" t="str">
        <f>IF(+NFL!$F287="Kansas City",+NFL!H287,IF(+NFL!$H287="Kansas City",+NFL!H287,0))</f>
        <v>Kansas City</v>
      </c>
      <c r="I302" s="46" t="str">
        <f>IF(+NFL!$F287="Kansas City",+NFL!I287,IF(+NFL!$H287="Kansas City",+NFL!I287,0))</f>
        <v>AFCW</v>
      </c>
      <c r="J302" s="353" t="str">
        <f>IF(+NFL!$F287="Kansas City",+NFL!J287,IF(+NFL!$H287="Kansas City",+NFL!J287,0))</f>
        <v>Kansas City</v>
      </c>
      <c r="K302" s="494" t="str">
        <f>IF(+NFL!$F287="Kansas City",+NFL!K287,IF(+NFL!$H287="Kansas City",+NFL!K287,0))</f>
        <v>Seattle</v>
      </c>
      <c r="L302" s="384">
        <f>IF(+NFL!$F287="Kansas City",+NFL!L287,IF(+NFL!$H287="Kansas City",+NFL!L287,0))</f>
        <v>10.5</v>
      </c>
      <c r="M302" s="385">
        <f>IF(+NFL!$F287="Kansas City",+NFL!M287,IF(+NFL!$H287="Kansas City",+NFL!M287,0))</f>
        <v>50.5</v>
      </c>
      <c r="N302" s="394" t="str">
        <f>IF(+NFL!$F287="Kansas City",+NFL!N287,IF(+NFL!$H287="Kansas City",+NFL!N287,0))</f>
        <v>Kansas City</v>
      </c>
      <c r="O302" s="395">
        <f>IF(+NFL!$F287="Kansas City",+NFL!O287,IF(+NFL!$H287="Kansas City",+NFL!O287,0))</f>
        <v>24</v>
      </c>
      <c r="P302" s="394" t="str">
        <f>IF(+NFL!$F287="Kansas City",+NFL!P287,IF(+NFL!$H287="Kansas City",+NFL!P287,0))</f>
        <v>Seattle</v>
      </c>
      <c r="Q302" s="396">
        <f>IF(+NFL!$F287="Kansas City",+NFL!Q287,IF(+NFL!$H287="Kansas City",+NFL!Q287,0))</f>
        <v>10</v>
      </c>
      <c r="R302" s="397" t="str">
        <f>IF(+NFL!$F287="Kansas City",+NFL!R287,IF(+NFL!$H287="Kansas City",+NFL!R287,0))</f>
        <v>Kansas City</v>
      </c>
      <c r="S302" s="396" t="str">
        <f>IF(+NFL!$F287="Kansas City",+NFL!S287,IF(+NFL!$H287="Kansas City",+NFL!S287,0))</f>
        <v>Seattle</v>
      </c>
      <c r="T302" s="398">
        <f>IF(+NFL!$F287="Kansas City",+NFL!T287,IF(+NFL!$H287="Kansas City",+NFL!T287,0))</f>
        <v>0</v>
      </c>
      <c r="U302" s="396" t="str">
        <f>IF(+NFL!$F287="Kansas City",+NFL!U287,IF(+NFL!$H287="Kansas City",+NFL!U287,0))</f>
        <v>L</v>
      </c>
      <c r="V302" s="397">
        <f>IF(+NFL!$F294="Kansas City",+NFL!#REF!,IF(+NFL!$H294="Kansas City",+NFL!#REF!,0))</f>
        <v>0</v>
      </c>
      <c r="W302" s="396">
        <f>IF(+NFL!$F294="Kansas City",+NFL!#REF!,IF(+NFL!$H294="Kansas City",+NFL!#REF!,0))</f>
        <v>0</v>
      </c>
      <c r="X302" s="398">
        <f>IF(+NFL!$F294="Kansas City",+NFL!#REF!,IF(+NFL!$H294="Kansas City",+NFL!#REF!,0))</f>
        <v>0</v>
      </c>
      <c r="Y302" s="396">
        <f>IF(+NFL!$F294="Kansas City",+NFL!#REF!,IF(+NFL!$H294="Kansas City",+NFL!#REF!,0))</f>
        <v>0</v>
      </c>
      <c r="Z302" s="397">
        <f>IF(+NFL!$F294="Kansas City",+NFL!#REF!,IF(+NFL!$H294="Kansas City",+NFL!#REF!,0))</f>
        <v>0</v>
      </c>
      <c r="AA302" s="396">
        <f>IF(+NFL!$F294="Kansas City",+NFL!#REF!,IF(+NFL!$H294="Kansas City",+NFL!#REF!,0))</f>
        <v>0</v>
      </c>
      <c r="AB302" s="87">
        <f>IF(+NFL!$F294="Kansas City",+NFL!#REF!,IF(+NFL!$H294="Kansas City",+NFL!#REF!,0))</f>
        <v>0</v>
      </c>
      <c r="AC302" s="120">
        <f>IF(+NFL!$F294="Kansas City",+NFL!#REF!,IF(+NFL!$H294="Kansas City",+NFL!#REF!,0))</f>
        <v>0</v>
      </c>
      <c r="AD302" s="353">
        <f>IF(+NFL!$F294="Kansas City",+NFL!#REF!,IF(+NFL!$H294="Kansas City",+NFL!#REF!,0))</f>
        <v>0</v>
      </c>
      <c r="AE302" s="379">
        <f>IF(+NFL!$F294="Kansas City",+NFL!#REF!,IF(+NFL!$H294="Kansas City",+NFL!#REF!,0))</f>
        <v>0</v>
      </c>
      <c r="AF302" s="353">
        <f>IF(+NFL!$F294="Kansas City",+NFL!#REF!,IF(+NFL!$H294="Kansas City",+NFL!#REF!,0))</f>
        <v>0</v>
      </c>
      <c r="AG302" s="379">
        <f>IF(+NFL!$F294="Kansas City",+NFL!#REF!,IF(+NFL!$H294="Kansas City",+NFL!#REF!,0))</f>
        <v>0</v>
      </c>
      <c r="AH302" s="353">
        <f>IF(+NFL!$F294="Kansas City",+NFL!#REF!,IF(+NFL!$H294="Kansas City",+NFL!#REF!,0))</f>
        <v>0</v>
      </c>
      <c r="AI302" s="379">
        <f>IF(+NFL!$F294="Kansas City",+NFL!#REF!,IF(+NFL!$H294="Kansas City",+NFL!#REF!,0))</f>
        <v>0</v>
      </c>
      <c r="AJ302" s="353">
        <f>IF(+NFL!$F294="Kansas City",+NFL!#REF!,IF(+NFL!$H294="Kansas City",+NFL!#REF!,0))</f>
        <v>0</v>
      </c>
      <c r="AK302" s="379">
        <f>IF(+NFL!$F294="Kansas City",+NFL!#REF!,IF(+NFL!$H294="Kansas City",+NFL!#REF!,0))</f>
        <v>0</v>
      </c>
      <c r="AL302" s="68">
        <f>IF(+NFL!$F294="Kansas City",+NFL!#REF!,IF(+NFL!$H294="Kansas City",+NFL!#REF!,0))</f>
        <v>0</v>
      </c>
      <c r="AM302" s="58">
        <f>IF(+NFL!$F294="Kansas City",+NFL!#REF!,IF(+NFL!$H294="Kansas City",+NFL!#REF!,0))</f>
        <v>0</v>
      </c>
      <c r="AN302" s="57">
        <f>IF(+NFL!$F294="Kansas City",+NFL!#REF!,IF(+NFL!$H294="Kansas City",+NFL!#REF!,0))</f>
        <v>0</v>
      </c>
      <c r="AO302" s="59">
        <f>IF(+NFL!$F294="Kansas City",+NFL!#REF!,IF(+NFL!$H294="Kansas City",+NFL!#REF!,0))</f>
        <v>0</v>
      </c>
      <c r="AP302" s="348">
        <f>IF(+NFL!$F294="Kansas City",+NFL!#REF!,IF(+NFL!$H294="Kansas City",+NFL!#REF!,0))</f>
        <v>0</v>
      </c>
      <c r="AQ302" s="48">
        <f>IF(+NFL!$F294="Kansas City",+NFL!#REF!,IF(+NFL!$H294="Kansas City",+NFL!#REF!,0))</f>
        <v>0</v>
      </c>
      <c r="AR302" s="57">
        <f>IF(+NFL!$F294="Kansas City",+NFL!#REF!,IF(+NFL!$H294="Kansas City",+NFL!#REF!,0))</f>
        <v>0</v>
      </c>
      <c r="AS302" s="64">
        <f>IF(+NFL!$F294="Kansas City",+NFL!#REF!,IF(+NFL!$H294="Kansas City",+NFL!#REF!,0))</f>
        <v>0</v>
      </c>
      <c r="AT302" s="64">
        <f>IF(+NFL!$F294="Kansas City",+NFL!#REF!,IF(+NFL!$H294="Kansas City",+NFL!#REF!,0))</f>
        <v>0</v>
      </c>
      <c r="AU302" s="57">
        <f>IF(+NFL!$F294="Kansas City",+NFL!#REF!,IF(+NFL!$H294="Kansas City",+NFL!#REF!,0))</f>
        <v>0</v>
      </c>
      <c r="AV302" s="64">
        <f>IF(+NFL!$F294="Kansas City",+NFL!#REF!,IF(+NFL!$H294="Kansas City",+NFL!#REF!,0))</f>
        <v>0</v>
      </c>
      <c r="AW302" s="46">
        <f>IF(+NFL!$F294="Kansas City",+NFL!#REF!,IF(+NFL!$H294="Kansas City",+NFL!#REF!,0))</f>
        <v>0</v>
      </c>
      <c r="AX302" s="64">
        <f>IF(+NFL!$F294="Kansas City",+NFL!#REF!,IF(+NFL!$H294="Kansas City",+NFL!#REF!,0))</f>
        <v>0</v>
      </c>
      <c r="AY302" s="57">
        <f>IF(+NFL!$F294="Kansas City",+NFL!#REF!,IF(+NFL!$H294="Kansas City",+NFL!#REF!,0))</f>
        <v>0</v>
      </c>
      <c r="AZ302" s="64">
        <f>IF(+NFL!$F294="Kansas City",+NFL!#REF!,IF(+NFL!$H294="Kansas City",+NFL!#REF!,0))</f>
        <v>0</v>
      </c>
      <c r="BA302" s="46">
        <f>IF(+NFL!$F294="Kansas City",+NFL!#REF!,IF(+NFL!$H294="Kansas City",+NFL!#REF!,0))</f>
        <v>0</v>
      </c>
      <c r="BB302" s="46">
        <f>IF(+NFL!$F294="Kansas City",+NFL!#REF!,IF(+NFL!$H294="Kansas City",+NFL!#REF!,0))</f>
        <v>0</v>
      </c>
      <c r="BC302" s="403">
        <f>IF(+NFL!$F294="Kansas City",+NFL!#REF!,IF(+NFL!$H294="Kansas City",+NFL!#REF!,0))</f>
        <v>0</v>
      </c>
      <c r="BD302" s="57">
        <f>IF(+NFL!$F294="Kansas City",+NFL!#REF!,IF(+NFL!$H294="Kansas City",+NFL!#REF!,0))</f>
        <v>0</v>
      </c>
      <c r="BE302" s="64">
        <f>IF(+NFL!$F294="Kansas City",+NFL!#REF!,IF(+NFL!$H294="Kansas City",+NFL!#REF!,0))</f>
        <v>0</v>
      </c>
      <c r="BF302" s="46">
        <f>IF(+NFL!$F294="Kansas City",+NFL!#REF!,IF(+NFL!$H294="Kansas City",+NFL!#REF!,0))</f>
        <v>0</v>
      </c>
      <c r="BG302" s="57">
        <f>IF(+NFL!$F294="Kansas City",+NFL!#REF!,IF(+NFL!$H294="Kansas City",+NFL!#REF!,0))</f>
        <v>0</v>
      </c>
      <c r="BH302" s="64">
        <f>IF(+NFL!$F294="Kansas City",+NFL!#REF!,IF(+NFL!$H294="Kansas City",+NFL!#REF!,0))</f>
        <v>0</v>
      </c>
      <c r="BI302" s="46">
        <f>IF(+NFL!$F294="Kansas City",+NFL!#REF!,IF(+NFL!$H294="Kansas City",+NFL!#REF!,0))</f>
        <v>0</v>
      </c>
      <c r="BJ302" s="87">
        <f>IF(+NFL!$F294="Kansas City",+NFL!#REF!,IF(+NFL!$H294="Kansas City",+NFL!#REF!,0))</f>
        <v>0</v>
      </c>
      <c r="BK302" s="120">
        <f>IF(+NFL!$F294="Kansas City",+NFL!#REF!,IF(+NFL!$H294="Kansas City",+NFL!#REF!,0))</f>
        <v>0</v>
      </c>
    </row>
    <row r="303" spans="1:63" s="246" customFormat="1" x14ac:dyDescent="0.8">
      <c r="A303" s="46">
        <f>IF(+NFL!$F303="Kansas City",+NFL!A303,IF(+NFL!$H303="Kansas City",+NFL!A303,0))</f>
        <v>17</v>
      </c>
      <c r="B303" s="348" t="str">
        <f>IF(+NFL!$F303="Kansas City",+NFL!B303,IF(+NFL!$H303="Kansas City",+NFL!B303,0))</f>
        <v>Sun</v>
      </c>
      <c r="C303" s="48">
        <f>IF(+NFL!$F303="Kansas City",+NFL!C303,IF(+NFL!$H303="Kansas City",+NFL!C303,0))</f>
        <v>44927</v>
      </c>
      <c r="D303" s="490">
        <f>IF(+NFL!$F303="Kansas City",+NFL!D303,IF(+NFL!$H303="Kansas City",+NFL!D303,0))</f>
        <v>0.54166666666666663</v>
      </c>
      <c r="E303" s="46" t="str">
        <f>IF(+NFL!$F303="Kansas City",+NFL!E303,IF(+NFL!$H303="Kansas City",+NFL!E303,0))</f>
        <v>CBS</v>
      </c>
      <c r="F303" s="114" t="str">
        <f>IF(+NFL!$F303="Kansas City",+NFL!F303,IF(+NFL!$H303="Kansas City",+NFL!F303,0))</f>
        <v>Denver</v>
      </c>
      <c r="G303" s="46" t="str">
        <f>IF(+NFL!$F303="Kansas City",+NFL!G303,IF(+NFL!$H303="Kansas City",+NFL!G303,0))</f>
        <v>AFCW</v>
      </c>
      <c r="H303" s="114" t="str">
        <f>IF(+NFL!$F303="Kansas City",+NFL!H303,IF(+NFL!$H303="Kansas City",+NFL!H303,0))</f>
        <v>Kansas City</v>
      </c>
      <c r="I303" s="46" t="str">
        <f>IF(+NFL!$F303="Kansas City",+NFL!I303,IF(+NFL!$H303="Kansas City",+NFL!I303,0))</f>
        <v>AFCW</v>
      </c>
      <c r="J303" s="353" t="str">
        <f>IF(+NFL!$F303="Kansas City",+NFL!J303,IF(+NFL!$H303="Kansas City",+NFL!J303,0))</f>
        <v>Kansas City</v>
      </c>
      <c r="K303" s="494" t="str">
        <f>IF(+NFL!$F303="Kansas City",+NFL!K303,IF(+NFL!$H303="Kansas City",+NFL!K303,0))</f>
        <v>Denver</v>
      </c>
      <c r="L303" s="384">
        <f>IF(+NFL!$F303="Kansas City",+NFL!L303,IF(+NFL!$H303="Kansas City",+NFL!L303,0))</f>
        <v>12.5</v>
      </c>
      <c r="M303" s="385">
        <f>IF(+NFL!$F303="Kansas City",+NFL!M303,IF(+NFL!$H303="Kansas City",+NFL!M303,0))</f>
        <v>46.5</v>
      </c>
      <c r="N303" s="394" t="str">
        <f>IF(+NFL!$F303="Kansas City",+NFL!N303,IF(+NFL!$H303="Kansas City",+NFL!N303,0))</f>
        <v>Kansas City</v>
      </c>
      <c r="O303" s="395">
        <f>IF(+NFL!$F303="Kansas City",+NFL!O303,IF(+NFL!$H303="Kansas City",+NFL!O303,0))</f>
        <v>27</v>
      </c>
      <c r="P303" s="394" t="str">
        <f>IF(+NFL!$F303="Kansas City",+NFL!P303,IF(+NFL!$H303="Kansas City",+NFL!P303,0))</f>
        <v>Denver</v>
      </c>
      <c r="Q303" s="396">
        <f>IF(+NFL!$F303="Kansas City",+NFL!Q303,IF(+NFL!$H303="Kansas City",+NFL!Q303,0))</f>
        <v>24</v>
      </c>
      <c r="R303" s="397" t="str">
        <f>IF(+NFL!$F303="Kansas City",+NFL!R303,IF(+NFL!$H303="Kansas City",+NFL!R303,0))</f>
        <v>Denver</v>
      </c>
      <c r="S303" s="396" t="str">
        <f>IF(+NFL!$F303="Kansas City",+NFL!S303,IF(+NFL!$H303="Kansas City",+NFL!S303,0))</f>
        <v>Kansas City</v>
      </c>
      <c r="T303" s="398">
        <f>IF(+NFL!$F303="Kansas City",+NFL!T303,IF(+NFL!$H303="Kansas City",+NFL!T303,0))</f>
        <v>0</v>
      </c>
      <c r="U303" s="396" t="str">
        <f>IF(+NFL!$F303="Kansas City",+NFL!U303,IF(+NFL!$H303="Kansas City",+NFL!U303,0))</f>
        <v>L</v>
      </c>
      <c r="V303" s="397">
        <f>IF(+NFL!$F305="Kansas City",+NFL!#REF!,IF(+NFL!$H305="Kansas City",+NFL!#REF!,0))</f>
        <v>0</v>
      </c>
      <c r="W303" s="396">
        <f>IF(+NFL!$F305="Kansas City",+NFL!#REF!,IF(+NFL!$H305="Kansas City",+NFL!#REF!,0))</f>
        <v>0</v>
      </c>
      <c r="X303" s="398">
        <f>IF(+NFL!$F305="Kansas City",+NFL!#REF!,IF(+NFL!$H305="Kansas City",+NFL!#REF!,0))</f>
        <v>0</v>
      </c>
      <c r="Y303" s="396">
        <f>IF(+NFL!$F305="Kansas City",+NFL!#REF!,IF(+NFL!$H305="Kansas City",+NFL!#REF!,0))</f>
        <v>0</v>
      </c>
      <c r="Z303" s="397">
        <f>IF(+NFL!$F305="Kansas City",+NFL!#REF!,IF(+NFL!$H305="Kansas City",+NFL!#REF!,0))</f>
        <v>0</v>
      </c>
      <c r="AA303" s="396">
        <f>IF(+NFL!$F305="Kansas City",+NFL!#REF!,IF(+NFL!$H305="Kansas City",+NFL!#REF!,0))</f>
        <v>0</v>
      </c>
      <c r="AB303" s="87">
        <f>IF(+NFL!$F305="Kansas City",+NFL!#REF!,IF(+NFL!$H305="Kansas City",+NFL!#REF!,0))</f>
        <v>0</v>
      </c>
      <c r="AC303" s="120">
        <f>IF(+NFL!$F305="Kansas City",+NFL!#REF!,IF(+NFL!$H305="Kansas City",+NFL!#REF!,0))</f>
        <v>0</v>
      </c>
      <c r="AD303" s="353">
        <f>IF(+NFL!$F305="Kansas City",+NFL!#REF!,IF(+NFL!$H305="Kansas City",+NFL!#REF!,0))</f>
        <v>0</v>
      </c>
      <c r="AE303" s="379">
        <f>IF(+NFL!$F305="Kansas City",+NFL!#REF!,IF(+NFL!$H305="Kansas City",+NFL!#REF!,0))</f>
        <v>0</v>
      </c>
      <c r="AF303" s="353">
        <f>IF(+NFL!$F305="Kansas City",+NFL!#REF!,IF(+NFL!$H305="Kansas City",+NFL!#REF!,0))</f>
        <v>0</v>
      </c>
      <c r="AG303" s="379">
        <f>IF(+NFL!$F305="Kansas City",+NFL!#REF!,IF(+NFL!$H305="Kansas City",+NFL!#REF!,0))</f>
        <v>0</v>
      </c>
      <c r="AH303" s="353">
        <f>IF(+NFL!$F305="Kansas City",+NFL!#REF!,IF(+NFL!$H305="Kansas City",+NFL!#REF!,0))</f>
        <v>0</v>
      </c>
      <c r="AI303" s="379">
        <f>IF(+NFL!$F305="Kansas City",+NFL!#REF!,IF(+NFL!$H305="Kansas City",+NFL!#REF!,0))</f>
        <v>0</v>
      </c>
      <c r="AJ303" s="353">
        <f>IF(+NFL!$F305="Kansas City",+NFL!#REF!,IF(+NFL!$H305="Kansas City",+NFL!#REF!,0))</f>
        <v>0</v>
      </c>
      <c r="AK303" s="379">
        <f>IF(+NFL!$F305="Kansas City",+NFL!#REF!,IF(+NFL!$H305="Kansas City",+NFL!#REF!,0))</f>
        <v>0</v>
      </c>
      <c r="AL303" s="68">
        <f>IF(+NFL!$F305="Kansas City",+NFL!#REF!,IF(+NFL!$H305="Kansas City",+NFL!#REF!,0))</f>
        <v>0</v>
      </c>
      <c r="AM303" s="58">
        <f>IF(+NFL!$F305="Kansas City",+NFL!#REF!,IF(+NFL!$H305="Kansas City",+NFL!#REF!,0))</f>
        <v>0</v>
      </c>
      <c r="AN303" s="57">
        <f>IF(+NFL!$F305="Kansas City",+NFL!#REF!,IF(+NFL!$H305="Kansas City",+NFL!#REF!,0))</f>
        <v>0</v>
      </c>
      <c r="AO303" s="59">
        <f>IF(+NFL!$F305="Kansas City",+NFL!#REF!,IF(+NFL!$H305="Kansas City",+NFL!#REF!,0))</f>
        <v>0</v>
      </c>
      <c r="AP303" s="348">
        <f>IF(+NFL!$F305="Kansas City",+NFL!#REF!,IF(+NFL!$H305="Kansas City",+NFL!#REF!,0))</f>
        <v>0</v>
      </c>
      <c r="AQ303" s="48">
        <f>IF(+NFL!$F305="Kansas City",+NFL!#REF!,IF(+NFL!$H305="Kansas City",+NFL!#REF!,0))</f>
        <v>0</v>
      </c>
      <c r="AR303" s="57">
        <f>IF(+NFL!$F305="Kansas City",+NFL!#REF!,IF(+NFL!$H305="Kansas City",+NFL!#REF!,0))</f>
        <v>0</v>
      </c>
      <c r="AS303" s="64">
        <f>IF(+NFL!$F305="Kansas City",+NFL!#REF!,IF(+NFL!$H305="Kansas City",+NFL!#REF!,0))</f>
        <v>0</v>
      </c>
      <c r="AT303" s="64">
        <f>IF(+NFL!$F305="Kansas City",+NFL!#REF!,IF(+NFL!$H305="Kansas City",+NFL!#REF!,0))</f>
        <v>0</v>
      </c>
      <c r="AU303" s="57">
        <f>IF(+NFL!$F305="Kansas City",+NFL!#REF!,IF(+NFL!$H305="Kansas City",+NFL!#REF!,0))</f>
        <v>0</v>
      </c>
      <c r="AV303" s="64">
        <f>IF(+NFL!$F305="Kansas City",+NFL!#REF!,IF(+NFL!$H305="Kansas City",+NFL!#REF!,0))</f>
        <v>0</v>
      </c>
      <c r="AW303" s="46">
        <f>IF(+NFL!$F305="Kansas City",+NFL!#REF!,IF(+NFL!$H305="Kansas City",+NFL!#REF!,0))</f>
        <v>0</v>
      </c>
      <c r="AX303" s="64">
        <f>IF(+NFL!$F305="Kansas City",+NFL!#REF!,IF(+NFL!$H305="Kansas City",+NFL!#REF!,0))</f>
        <v>0</v>
      </c>
      <c r="AY303" s="57">
        <f>IF(+NFL!$F305="Kansas City",+NFL!#REF!,IF(+NFL!$H305="Kansas City",+NFL!#REF!,0))</f>
        <v>0</v>
      </c>
      <c r="AZ303" s="64">
        <f>IF(+NFL!$F305="Kansas City",+NFL!#REF!,IF(+NFL!$H305="Kansas City",+NFL!#REF!,0))</f>
        <v>0</v>
      </c>
      <c r="BA303" s="46">
        <f>IF(+NFL!$F305="Kansas City",+NFL!#REF!,IF(+NFL!$H305="Kansas City",+NFL!#REF!,0))</f>
        <v>0</v>
      </c>
      <c r="BB303" s="46">
        <f>IF(+NFL!$F305="Kansas City",+NFL!#REF!,IF(+NFL!$H305="Kansas City",+NFL!#REF!,0))</f>
        <v>0</v>
      </c>
      <c r="BC303" s="403">
        <f>IF(+NFL!$F305="Kansas City",+NFL!#REF!,IF(+NFL!$H305="Kansas City",+NFL!#REF!,0))</f>
        <v>0</v>
      </c>
      <c r="BD303" s="57">
        <f>IF(+NFL!$F305="Kansas City",+NFL!#REF!,IF(+NFL!$H305="Kansas City",+NFL!#REF!,0))</f>
        <v>0</v>
      </c>
      <c r="BE303" s="64">
        <f>IF(+NFL!$F305="Kansas City",+NFL!#REF!,IF(+NFL!$H305="Kansas City",+NFL!#REF!,0))</f>
        <v>0</v>
      </c>
      <c r="BF303" s="46">
        <f>IF(+NFL!$F305="Kansas City",+NFL!#REF!,IF(+NFL!$H305="Kansas City",+NFL!#REF!,0))</f>
        <v>0</v>
      </c>
      <c r="BG303" s="57">
        <f>IF(+NFL!$F305="Kansas City",+NFL!#REF!,IF(+NFL!$H305="Kansas City",+NFL!#REF!,0))</f>
        <v>0</v>
      </c>
      <c r="BH303" s="64">
        <f>IF(+NFL!$F305="Kansas City",+NFL!#REF!,IF(+NFL!$H305="Kansas City",+NFL!#REF!,0))</f>
        <v>0</v>
      </c>
      <c r="BI303" s="46">
        <f>IF(+NFL!$F305="Kansas City",+NFL!#REF!,IF(+NFL!$H305="Kansas City",+NFL!#REF!,0))</f>
        <v>0</v>
      </c>
      <c r="BJ303" s="87">
        <f>IF(+NFL!$F305="Kansas City",+NFL!#REF!,IF(+NFL!$H305="Kansas City",+NFL!#REF!,0))</f>
        <v>0</v>
      </c>
      <c r="BK303" s="120">
        <f>IF(+NFL!$F305="Kansas City",+NFL!#REF!,IF(+NFL!$H305="Kansas City",+NFL!#REF!,0))</f>
        <v>0</v>
      </c>
    </row>
    <row r="304" spans="1:63" s="246" customFormat="1" x14ac:dyDescent="0.8">
      <c r="A304" s="46">
        <f>IF(+NFL!$F323="Kansas City",+NFL!A323,IF(+NFL!$H323="Kansas City",+NFL!A323,0))</f>
        <v>0</v>
      </c>
      <c r="B304" s="348">
        <f>IF(+NFL!$F323="Kansas City",+NFL!B323,IF(+NFL!$H323="Kansas City",+NFL!B323,0))</f>
        <v>0</v>
      </c>
      <c r="C304" s="48">
        <f>IF(+NFL!$F323="Kansas City",+NFL!C323,IF(+NFL!$H323="Kansas City",+NFL!C323,0))</f>
        <v>0</v>
      </c>
      <c r="D304" s="490">
        <f>IF(+NFL!$F323="Kansas City",+NFL!D323,IF(+NFL!$H323="Kansas City",+NFL!D323,0))</f>
        <v>0</v>
      </c>
      <c r="E304" s="46">
        <f>IF(+NFL!$F323="Kansas City",+NFL!E323,IF(+NFL!$H323="Kansas City",+NFL!E323,0))</f>
        <v>0</v>
      </c>
      <c r="F304" s="114">
        <f>IF(+NFL!$F323="Kansas City",+NFL!F323,IF(+NFL!$H323="Kansas City",+NFL!F323,0))</f>
        <v>0</v>
      </c>
      <c r="G304" s="46">
        <f>IF(+NFL!$F323="Kansas City",+NFL!G323,IF(+NFL!$H323="Kansas City",+NFL!G323,0))</f>
        <v>0</v>
      </c>
      <c r="H304" s="114">
        <f>IF(+NFL!$F323="Kansas City",+NFL!H323,IF(+NFL!$H323="Kansas City",+NFL!H323,0))</f>
        <v>0</v>
      </c>
      <c r="I304" s="46">
        <f>IF(+NFL!$F323="Kansas City",+NFL!I323,IF(+NFL!$H323="Kansas City",+NFL!I323,0))</f>
        <v>0</v>
      </c>
      <c r="J304" s="353">
        <f>IF(+NFL!$F323="Kansas City",+NFL!J323,IF(+NFL!$H323="Kansas City",+NFL!J323,0))</f>
        <v>0</v>
      </c>
      <c r="K304" s="494">
        <f>IF(+NFL!$F323="Kansas City",+NFL!K323,IF(+NFL!$H323="Kansas City",+NFL!K323,0))</f>
        <v>0</v>
      </c>
      <c r="L304" s="384">
        <f>IF(+NFL!$F323="Kansas City",+NFL!L323,IF(+NFL!$H323="Kansas City",+NFL!L323,0))</f>
        <v>0</v>
      </c>
      <c r="M304" s="385">
        <f>IF(+NFL!$F323="Kansas City",+NFL!M323,IF(+NFL!$H323="Kansas City",+NFL!M323,0))</f>
        <v>0</v>
      </c>
      <c r="N304" s="394">
        <f>IF(+NFL!$F323="Kansas City",+NFL!N323,IF(+NFL!$H323="Kansas City",+NFL!N323,0))</f>
        <v>0</v>
      </c>
      <c r="O304" s="395">
        <f>IF(+NFL!$F323="Kansas City",+NFL!O323,IF(+NFL!$H323="Kansas City",+NFL!O323,0))</f>
        <v>0</v>
      </c>
      <c r="P304" s="394">
        <f>IF(+NFL!$F323="Kansas City",+NFL!P323,IF(+NFL!$H323="Kansas City",+NFL!P323,0))</f>
        <v>0</v>
      </c>
      <c r="Q304" s="396">
        <f>IF(+NFL!$F323="Kansas City",+NFL!Q323,IF(+NFL!$H323="Kansas City",+NFL!Q323,0))</f>
        <v>0</v>
      </c>
      <c r="R304" s="397">
        <f>IF(+NFL!$F323="Kansas City",+NFL!R323,IF(+NFL!$H323="Kansas City",+NFL!R323,0))</f>
        <v>0</v>
      </c>
      <c r="S304" s="396">
        <f>IF(+NFL!$F323="Kansas City",+NFL!S323,IF(+NFL!$H323="Kansas City",+NFL!S323,0))</f>
        <v>0</v>
      </c>
      <c r="T304" s="398">
        <f>IF(+NFL!$F323="Kansas City",+NFL!T323,IF(+NFL!$H323="Kansas City",+NFL!T323,0))</f>
        <v>0</v>
      </c>
      <c r="U304" s="396">
        <f>IF(+NFL!$F323="Kansas City",+NFL!U323,IF(+NFL!$H323="Kansas City",+NFL!U323,0))</f>
        <v>0</v>
      </c>
      <c r="V304" s="397">
        <f>IF(+NFL!$F332="Kansas City",+NFL!#REF!,IF(+NFL!$H332="Kansas City",+NFL!#REF!,0))</f>
        <v>0</v>
      </c>
      <c r="W304" s="396">
        <f>IF(+NFL!$F332="Kansas City",+NFL!#REF!,IF(+NFL!$H332="Kansas City",+NFL!#REF!,0))</f>
        <v>0</v>
      </c>
      <c r="X304" s="398">
        <f>IF(+NFL!$F332="Kansas City",+NFL!#REF!,IF(+NFL!$H332="Kansas City",+NFL!#REF!,0))</f>
        <v>0</v>
      </c>
      <c r="Y304" s="396">
        <f>IF(+NFL!$F332="Kansas City",+NFL!#REF!,IF(+NFL!$H332="Kansas City",+NFL!#REF!,0))</f>
        <v>0</v>
      </c>
      <c r="Z304" s="397">
        <f>IF(+NFL!$F332="Kansas City",+NFL!#REF!,IF(+NFL!$H332="Kansas City",+NFL!#REF!,0))</f>
        <v>0</v>
      </c>
      <c r="AA304" s="396">
        <f>IF(+NFL!$F332="Kansas City",+NFL!#REF!,IF(+NFL!$H332="Kansas City",+NFL!#REF!,0))</f>
        <v>0</v>
      </c>
      <c r="AB304" s="87">
        <f>IF(+NFL!$F332="Kansas City",+NFL!#REF!,IF(+NFL!$H332="Kansas City",+NFL!#REF!,0))</f>
        <v>0</v>
      </c>
      <c r="AC304" s="120">
        <f>IF(+NFL!$F332="Kansas City",+NFL!#REF!,IF(+NFL!$H332="Kansas City",+NFL!#REF!,0))</f>
        <v>0</v>
      </c>
      <c r="AD304" s="353">
        <f>IF(+NFL!$F332="Kansas City",+NFL!#REF!,IF(+NFL!$H332="Kansas City",+NFL!#REF!,0))</f>
        <v>0</v>
      </c>
      <c r="AE304" s="379">
        <f>IF(+NFL!$F332="Kansas City",+NFL!#REF!,IF(+NFL!$H332="Kansas City",+NFL!#REF!,0))</f>
        <v>0</v>
      </c>
      <c r="AF304" s="353">
        <f>IF(+NFL!$F332="Kansas City",+NFL!#REF!,IF(+NFL!$H332="Kansas City",+NFL!#REF!,0))</f>
        <v>0</v>
      </c>
      <c r="AG304" s="379">
        <f>IF(+NFL!$F332="Kansas City",+NFL!#REF!,IF(+NFL!$H332="Kansas City",+NFL!#REF!,0))</f>
        <v>0</v>
      </c>
      <c r="AH304" s="353">
        <f>IF(+NFL!$F332="Kansas City",+NFL!#REF!,IF(+NFL!$H332="Kansas City",+NFL!#REF!,0))</f>
        <v>0</v>
      </c>
      <c r="AI304" s="379">
        <f>IF(+NFL!$F332="Kansas City",+NFL!#REF!,IF(+NFL!$H332="Kansas City",+NFL!#REF!,0))</f>
        <v>0</v>
      </c>
      <c r="AJ304" s="353">
        <f>IF(+NFL!$F332="Kansas City",+NFL!#REF!,IF(+NFL!$H332="Kansas City",+NFL!#REF!,0))</f>
        <v>0</v>
      </c>
      <c r="AK304" s="379">
        <f>IF(+NFL!$F332="Kansas City",+NFL!#REF!,IF(+NFL!$H332="Kansas City",+NFL!#REF!,0))</f>
        <v>0</v>
      </c>
      <c r="AL304" s="68">
        <f>IF(+NFL!$F332="Kansas City",+NFL!#REF!,IF(+NFL!$H332="Kansas City",+NFL!#REF!,0))</f>
        <v>0</v>
      </c>
      <c r="AM304" s="58">
        <f>IF(+NFL!$F332="Kansas City",+NFL!#REF!,IF(+NFL!$H332="Kansas City",+NFL!#REF!,0))</f>
        <v>0</v>
      </c>
      <c r="AN304" s="57">
        <f>IF(+NFL!$F332="Kansas City",+NFL!#REF!,IF(+NFL!$H332="Kansas City",+NFL!#REF!,0))</f>
        <v>0</v>
      </c>
      <c r="AO304" s="59">
        <f>IF(+NFL!$F332="Kansas City",+NFL!#REF!,IF(+NFL!$H332="Kansas City",+NFL!#REF!,0))</f>
        <v>0</v>
      </c>
      <c r="AP304" s="348">
        <f>IF(+NFL!$F332="Kansas City",+NFL!#REF!,IF(+NFL!$H332="Kansas City",+NFL!#REF!,0))</f>
        <v>0</v>
      </c>
      <c r="AQ304" s="48">
        <f>IF(+NFL!$F332="Kansas City",+NFL!#REF!,IF(+NFL!$H332="Kansas City",+NFL!#REF!,0))</f>
        <v>0</v>
      </c>
      <c r="AR304" s="57">
        <f>IF(+NFL!$F332="Kansas City",+NFL!#REF!,IF(+NFL!$H332="Kansas City",+NFL!#REF!,0))</f>
        <v>0</v>
      </c>
      <c r="AS304" s="64">
        <f>IF(+NFL!$F332="Kansas City",+NFL!#REF!,IF(+NFL!$H332="Kansas City",+NFL!#REF!,0))</f>
        <v>0</v>
      </c>
      <c r="AT304" s="64">
        <f>IF(+NFL!$F332="Kansas City",+NFL!#REF!,IF(+NFL!$H332="Kansas City",+NFL!#REF!,0))</f>
        <v>0</v>
      </c>
      <c r="AU304" s="57">
        <f>IF(+NFL!$F332="Kansas City",+NFL!#REF!,IF(+NFL!$H332="Kansas City",+NFL!#REF!,0))</f>
        <v>0</v>
      </c>
      <c r="AV304" s="64">
        <f>IF(+NFL!$F332="Kansas City",+NFL!#REF!,IF(+NFL!$H332="Kansas City",+NFL!#REF!,0))</f>
        <v>0</v>
      </c>
      <c r="AW304" s="46">
        <f>IF(+NFL!$F332="Kansas City",+NFL!#REF!,IF(+NFL!$H332="Kansas City",+NFL!#REF!,0))</f>
        <v>0</v>
      </c>
      <c r="AX304" s="64">
        <f>IF(+NFL!$F332="Kansas City",+NFL!#REF!,IF(+NFL!$H332="Kansas City",+NFL!#REF!,0))</f>
        <v>0</v>
      </c>
      <c r="AY304" s="57">
        <f>IF(+NFL!$F332="Kansas City",+NFL!#REF!,IF(+NFL!$H332="Kansas City",+NFL!#REF!,0))</f>
        <v>0</v>
      </c>
      <c r="AZ304" s="64">
        <f>IF(+NFL!$F332="Kansas City",+NFL!#REF!,IF(+NFL!$H332="Kansas City",+NFL!#REF!,0))</f>
        <v>0</v>
      </c>
      <c r="BA304" s="46">
        <f>IF(+NFL!$F332="Kansas City",+NFL!#REF!,IF(+NFL!$H332="Kansas City",+NFL!#REF!,0))</f>
        <v>0</v>
      </c>
      <c r="BB304" s="46">
        <f>IF(+NFL!$F332="Kansas City",+NFL!#REF!,IF(+NFL!$H332="Kansas City",+NFL!#REF!,0))</f>
        <v>0</v>
      </c>
      <c r="BC304" s="403">
        <f>IF(+NFL!$F332="Kansas City",+NFL!#REF!,IF(+NFL!$H332="Kansas City",+NFL!#REF!,0))</f>
        <v>0</v>
      </c>
      <c r="BD304" s="57">
        <f>IF(+NFL!$F332="Kansas City",+NFL!#REF!,IF(+NFL!$H332="Kansas City",+NFL!#REF!,0))</f>
        <v>0</v>
      </c>
      <c r="BE304" s="64">
        <f>IF(+NFL!$F332="Kansas City",+NFL!#REF!,IF(+NFL!$H332="Kansas City",+NFL!#REF!,0))</f>
        <v>0</v>
      </c>
      <c r="BF304" s="46">
        <f>IF(+NFL!$F332="Kansas City",+NFL!#REF!,IF(+NFL!$H332="Kansas City",+NFL!#REF!,0))</f>
        <v>0</v>
      </c>
      <c r="BG304" s="57">
        <f>IF(+NFL!$F332="Kansas City",+NFL!#REF!,IF(+NFL!$H332="Kansas City",+NFL!#REF!,0))</f>
        <v>0</v>
      </c>
      <c r="BH304" s="64">
        <f>IF(+NFL!$F332="Kansas City",+NFL!#REF!,IF(+NFL!$H332="Kansas City",+NFL!#REF!,0))</f>
        <v>0</v>
      </c>
      <c r="BI304" s="46">
        <f>IF(+NFL!$F332="Kansas City",+NFL!#REF!,IF(+NFL!$H332="Kansas City",+NFL!#REF!,0))</f>
        <v>0</v>
      </c>
      <c r="BJ304" s="87">
        <f>IF(+NFL!$F332="Kansas City",+NFL!#REF!,IF(+NFL!$H332="Kansas City",+NFL!#REF!,0))</f>
        <v>0</v>
      </c>
      <c r="BK304" s="120">
        <f>IF(+NFL!$F332="Kansas City",+NFL!#REF!,IF(+NFL!$H332="Kansas City",+NFL!#REF!,0))</f>
        <v>0</v>
      </c>
    </row>
    <row r="305" spans="1:68" s="246" customFormat="1" x14ac:dyDescent="0.8">
      <c r="A305" s="46"/>
      <c r="B305" s="47"/>
      <c r="C305" s="48"/>
      <c r="D305" s="49"/>
      <c r="E305" s="46"/>
      <c r="F305" s="959" t="str">
        <f>H306</f>
        <v>LA Chargers</v>
      </c>
      <c r="G305" s="960"/>
      <c r="H305" s="960"/>
      <c r="I305" s="961"/>
      <c r="J305" s="353"/>
      <c r="K305" s="364"/>
      <c r="L305" s="362"/>
      <c r="M305" s="386"/>
      <c r="N305" s="394"/>
      <c r="O305" s="395"/>
      <c r="P305" s="394"/>
      <c r="Q305" s="396"/>
      <c r="R305" s="397"/>
      <c r="S305" s="396"/>
      <c r="T305" s="397"/>
      <c r="U305" s="396"/>
      <c r="V305" s="397"/>
      <c r="W305" s="396"/>
      <c r="X305" s="397"/>
      <c r="Y305" s="396"/>
      <c r="Z305" s="397"/>
      <c r="AA305" s="396"/>
      <c r="AB305" s="87"/>
      <c r="AC305" s="120"/>
      <c r="AD305" s="353"/>
      <c r="AE305" s="379"/>
      <c r="AF305" s="353"/>
      <c r="AG305" s="379"/>
      <c r="AH305" s="353"/>
      <c r="AI305" s="379"/>
      <c r="AJ305" s="353"/>
      <c r="AK305" s="379"/>
      <c r="AL305" s="57"/>
      <c r="AM305" s="64"/>
      <c r="AN305" s="57"/>
      <c r="AO305" s="46"/>
      <c r="AP305" s="47"/>
      <c r="AQ305" s="47"/>
      <c r="AR305" s="57"/>
      <c r="AS305" s="64"/>
      <c r="AT305" s="64"/>
      <c r="AU305" s="57"/>
      <c r="AV305" s="64"/>
      <c r="AW305" s="46"/>
      <c r="AX305" s="64"/>
      <c r="AY305" s="57"/>
      <c r="AZ305" s="64"/>
      <c r="BA305" s="46"/>
      <c r="BB305" s="46"/>
      <c r="BC305" s="47"/>
      <c r="BD305" s="57"/>
      <c r="BE305" s="64"/>
      <c r="BF305" s="46"/>
      <c r="BG305" s="57"/>
      <c r="BH305" s="64"/>
      <c r="BI305" s="46"/>
      <c r="BJ305" s="87"/>
      <c r="BK305" s="120"/>
    </row>
    <row r="306" spans="1:68" s="246" customFormat="1" x14ac:dyDescent="0.8">
      <c r="A306" s="46">
        <f>IF(+NFL!$F17="LA Chargers",+NFL!A17,IF(+NFL!$H17="LA Chargers",+NFL!A17,0))</f>
        <v>1</v>
      </c>
      <c r="B306" s="348" t="str">
        <f>IF(+NFL!$F17="LA Chargers",+NFL!B17,IF(+NFL!$H17="LA Chargers",+NFL!B17,0))</f>
        <v>Sun</v>
      </c>
      <c r="C306" s="48">
        <f>IF(+NFL!$F17="LA Chargers",+NFL!C17,IF(+NFL!$H17="LA Chargers",+NFL!C17,0))</f>
        <v>44815</v>
      </c>
      <c r="D306" s="490">
        <f>IF(+NFL!$F17="LA Chargers",+NFL!D17,IF(+NFL!$H17="LA Chargers",+NFL!D17,0))</f>
        <v>0.66666666666666663</v>
      </c>
      <c r="E306" s="46" t="str">
        <f>IF(+NFL!$F17="LA Chargers",+NFL!E17,IF(+NFL!$H17="LA Chargers",+NFL!E17,0))</f>
        <v>CBS</v>
      </c>
      <c r="F306" s="114" t="str">
        <f>IF(+NFL!$F17="LA Chargers",+NFL!F17,IF(+NFL!$H17="LA Chargers",+NFL!F17,0))</f>
        <v>Las Vegas</v>
      </c>
      <c r="G306" s="46" t="str">
        <f>IF(+NFL!$F17="LA Chargers",+NFL!G17,IF(+NFL!$H17="LA Chargers",+NFL!G17,0))</f>
        <v>AFCW</v>
      </c>
      <c r="H306" s="114" t="str">
        <f>IF(+NFL!$F17="LA Chargers",+NFL!H17,IF(+NFL!$H17="LA Chargers",+NFL!H17,0))</f>
        <v>LA Chargers</v>
      </c>
      <c r="I306" s="46" t="str">
        <f>IF(+NFL!$F17="LA Chargers",+NFL!I17,IF(+NFL!$H17="LA Chargers",+NFL!I17,0))</f>
        <v>AFCW</v>
      </c>
      <c r="J306" s="353" t="str">
        <f>IF(+NFL!$F17="LA Chargers",+NFL!J17,IF(+NFL!$H17="LA Chargers",+NFL!J17,0))</f>
        <v>LA Chargers</v>
      </c>
      <c r="K306" s="494" t="str">
        <f>IF(+NFL!$F17="LA Chargers",+NFL!K17,IF(+NFL!$H17="LA Chargers",+NFL!K17,0))</f>
        <v>Las Vegas</v>
      </c>
      <c r="L306" s="384">
        <f>IF(+NFL!$F17="LA Chargers",+NFL!L17,IF(+NFL!$H17="LA Chargers",+NFL!L17,0))</f>
        <v>3.5</v>
      </c>
      <c r="M306" s="385">
        <f>IF(+NFL!$F17="LA Chargers",+NFL!M17,IF(+NFL!$H17="LA Chargers",+NFL!M17,0))</f>
        <v>52.5</v>
      </c>
      <c r="N306" s="394" t="str">
        <f>IF(+NFL!$F17="LA Chargers",+NFL!N17,IF(+NFL!$H17="LA Chargers",+NFL!N17,0))</f>
        <v>LA Chargers</v>
      </c>
      <c r="O306" s="395">
        <f>IF(+NFL!$F17="LA Chargers",+NFL!O17,IF(+NFL!$H17="LA Chargers",+NFL!O17,0))</f>
        <v>24</v>
      </c>
      <c r="P306" s="394" t="str">
        <f>IF(+NFL!$F17="LA Chargers",+NFL!P17,IF(+NFL!$H17="LA Chargers",+NFL!P17,0))</f>
        <v>Las Vegas</v>
      </c>
      <c r="Q306" s="396">
        <f>IF(+NFL!$F17="LA Chargers",+NFL!Q17,IF(+NFL!$H17="LA Chargers",+NFL!Q17,0))</f>
        <v>19</v>
      </c>
      <c r="R306" s="397" t="str">
        <f>IF(+NFL!$F17="LA Chargers",+NFL!R17,IF(+NFL!$H17="LA Chargers",+NFL!R17,0))</f>
        <v>LA Chargers</v>
      </c>
      <c r="S306" s="396" t="str">
        <f>IF(+NFL!$F17="LA Chargers",+NFL!S17,IF(+NFL!$H17="LA Chargers",+NFL!S17,0))</f>
        <v>Las Vegas</v>
      </c>
      <c r="T306" s="398" t="str">
        <f>IF(+NFL!$F17="LA Chargers",+NFL!T17,IF(+NFL!$H17="LA Chargers",+NFL!T17,0))</f>
        <v>Las Vegas</v>
      </c>
      <c r="U306" s="396" t="str">
        <f>IF(+NFL!$F17="LA Chargers",+NFL!U17,IF(+NFL!$H17="LA Chargers",+NFL!U17,0))</f>
        <v>L</v>
      </c>
      <c r="V306" s="397"/>
      <c r="W306" s="396"/>
      <c r="X306" s="398"/>
      <c r="Y306" s="396"/>
      <c r="Z306" s="397"/>
      <c r="AA306" s="396"/>
      <c r="AB306" s="87"/>
      <c r="AC306" s="120"/>
      <c r="AD306" s="353"/>
      <c r="AE306" s="379"/>
      <c r="AF306" s="353"/>
      <c r="AG306" s="379"/>
      <c r="AH306" s="353"/>
      <c r="AI306" s="379"/>
      <c r="AJ306" s="353"/>
      <c r="AK306" s="379"/>
      <c r="AL306" s="68"/>
      <c r="AM306" s="58"/>
      <c r="AN306" s="57"/>
      <c r="AO306" s="59"/>
      <c r="AP306" s="348"/>
      <c r="AQ306" s="48"/>
      <c r="AR306" s="57"/>
      <c r="AS306" s="493"/>
      <c r="AT306" s="493"/>
      <c r="AU306" s="57"/>
      <c r="AV306" s="493"/>
      <c r="AW306" s="46"/>
      <c r="AX306" s="493"/>
      <c r="AY306" s="57"/>
      <c r="AZ306" s="493"/>
      <c r="BA306" s="46"/>
      <c r="BB306" s="46"/>
      <c r="BC306" s="403"/>
      <c r="BD306" s="57"/>
      <c r="BE306" s="493"/>
      <c r="BF306" s="46"/>
      <c r="BG306" s="57"/>
      <c r="BH306" s="493"/>
      <c r="BI306" s="46"/>
      <c r="BJ306" s="87"/>
      <c r="BK306" s="120"/>
    </row>
    <row r="307" spans="1:68" s="246" customFormat="1" x14ac:dyDescent="0.8">
      <c r="A307" s="46">
        <f>IF(+NFL!$F21="LA Chargers",+NFL!A21,IF(+NFL!$H21="LA Chargers",+NFL!A21,0))</f>
        <v>2</v>
      </c>
      <c r="B307" s="348" t="str">
        <f>IF(+NFL!$F21="LA Chargers",+NFL!B21,IF(+NFL!$H21="LA Chargers",+NFL!B21,0))</f>
        <v>Thurs</v>
      </c>
      <c r="C307" s="48">
        <f>IF(+NFL!$F21="LA Chargers",+NFL!C21,IF(+NFL!$H21="LA Chargers",+NFL!C21,0))</f>
        <v>44819</v>
      </c>
      <c r="D307" s="490">
        <f>IF(+NFL!$F21="LA Chargers",+NFL!D21,IF(+NFL!$H21="LA Chargers",+NFL!D21,0))</f>
        <v>0.84375</v>
      </c>
      <c r="E307" s="46" t="str">
        <f>IF(+NFL!$F21="LA Chargers",+NFL!E21,IF(+NFL!$H21="LA Chargers",+NFL!E21,0))</f>
        <v>NBC</v>
      </c>
      <c r="F307" s="114" t="str">
        <f>IF(+NFL!$F21="LA Chargers",+NFL!F21,IF(+NFL!$H21="LA Chargers",+NFL!F21,0))</f>
        <v>LA Chargers</v>
      </c>
      <c r="G307" s="46" t="str">
        <f>IF(+NFL!$F21="LA Chargers",+NFL!G21,IF(+NFL!$H21="LA Chargers",+NFL!G21,0))</f>
        <v>AFCW</v>
      </c>
      <c r="H307" s="114" t="str">
        <f>IF(+NFL!$F21="LA Chargers",+NFL!H21,IF(+NFL!$H21="LA Chargers",+NFL!H21,0))</f>
        <v>Kansas City</v>
      </c>
      <c r="I307" s="46" t="str">
        <f>IF(+NFL!$F21="LA Chargers",+NFL!I21,IF(+NFL!$H21="LA Chargers",+NFL!I21,0))</f>
        <v>AFCW</v>
      </c>
      <c r="J307" s="353" t="str">
        <f>IF(+NFL!$F21="LA Chargers",+NFL!J21,IF(+NFL!$H21="LA Chargers",+NFL!J21,0))</f>
        <v>Kansas City</v>
      </c>
      <c r="K307" s="494" t="str">
        <f>IF(+NFL!$F21="LA Chargers",+NFL!K21,IF(+NFL!$H21="LA Chargers",+NFL!K21,0))</f>
        <v>LA Chargers</v>
      </c>
      <c r="L307" s="384">
        <f>IF(+NFL!$F21="LA Chargers",+NFL!L21,IF(+NFL!$H21="LA Chargers",+NFL!L21,0))</f>
        <v>4.5</v>
      </c>
      <c r="M307" s="385">
        <f>IF(+NFL!$F21="LA Chargers",+NFL!M21,IF(+NFL!$H21="LA Chargers",+NFL!M21,0))</f>
        <v>54.5</v>
      </c>
      <c r="N307" s="394" t="str">
        <f>IF(+NFL!$F21="LA Chargers",+NFL!N21,IF(+NFL!$H21="LA Chargers",+NFL!N21,0))</f>
        <v>Kansas City</v>
      </c>
      <c r="O307" s="395">
        <f>IF(+NFL!$F21="LA Chargers",+NFL!O21,IF(+NFL!$H21="LA Chargers",+NFL!O21,0))</f>
        <v>27</v>
      </c>
      <c r="P307" s="394" t="str">
        <f>IF(+NFL!$F21="LA Chargers",+NFL!P21,IF(+NFL!$H21="LA Chargers",+NFL!P21,0))</f>
        <v>LA Chargers</v>
      </c>
      <c r="Q307" s="396">
        <f>IF(+NFL!$F21="LA Chargers",+NFL!Q21,IF(+NFL!$H21="LA Chargers",+NFL!Q21,0))</f>
        <v>24</v>
      </c>
      <c r="R307" s="397" t="str">
        <f>IF(+NFL!$F21="LA Chargers",+NFL!R21,IF(+NFL!$H21="LA Chargers",+NFL!R21,0))</f>
        <v>LA Chargers</v>
      </c>
      <c r="S307" s="396" t="str">
        <f>IF(+NFL!$F21="LA Chargers",+NFL!S21,IF(+NFL!$H21="LA Chargers",+NFL!S21,0))</f>
        <v>Kansas City</v>
      </c>
      <c r="T307" s="398" t="str">
        <f>IF(+NFL!$F21="LA Chargers",+NFL!T21,IF(+NFL!$H21="LA Chargers",+NFL!T21,0))</f>
        <v>LA Chargers</v>
      </c>
      <c r="U307" s="396" t="str">
        <f>IF(+NFL!$F21="LA Chargers",+NFL!U21,IF(+NFL!$H21="LA Chargers",+NFL!U21,0))</f>
        <v>W</v>
      </c>
      <c r="V307" s="397"/>
      <c r="W307" s="396"/>
      <c r="X307" s="398"/>
      <c r="Y307" s="396"/>
      <c r="Z307" s="397"/>
      <c r="AA307" s="396"/>
      <c r="AB307" s="87"/>
      <c r="AC307" s="120"/>
      <c r="AD307" s="353"/>
      <c r="AE307" s="379"/>
      <c r="AF307" s="353"/>
      <c r="AG307" s="379"/>
      <c r="AH307" s="353"/>
      <c r="AI307" s="379"/>
      <c r="AJ307" s="353"/>
      <c r="AK307" s="379"/>
      <c r="AL307" s="68"/>
      <c r="AM307" s="58"/>
      <c r="AN307" s="57"/>
      <c r="AO307" s="59"/>
      <c r="AP307" s="348"/>
      <c r="AQ307" s="48"/>
      <c r="AR307" s="57"/>
      <c r="AS307" s="493"/>
      <c r="AT307" s="493"/>
      <c r="AU307" s="57"/>
      <c r="AV307" s="493"/>
      <c r="AW307" s="46"/>
      <c r="AX307" s="493"/>
      <c r="AY307" s="57"/>
      <c r="AZ307" s="493"/>
      <c r="BA307" s="46"/>
      <c r="BB307" s="46"/>
      <c r="BC307" s="403"/>
      <c r="BD307" s="57"/>
      <c r="BE307" s="493"/>
      <c r="BF307" s="46"/>
      <c r="BG307" s="57"/>
      <c r="BH307" s="493"/>
      <c r="BI307" s="46"/>
      <c r="BJ307" s="87"/>
      <c r="BK307" s="120"/>
    </row>
    <row r="308" spans="1:68" s="246" customFormat="1" x14ac:dyDescent="0.8">
      <c r="A308" s="46">
        <f>IF(+NFL!$F48="LA Chargers",+NFL!A48,IF(+NFL!$H48="LA Chargers",+NFL!A48,0))</f>
        <v>3</v>
      </c>
      <c r="B308" s="348" t="str">
        <f>IF(+NFL!$F48="LA Chargers",+NFL!B48,IF(+NFL!$H48="LA Chargers",+NFL!B48,0))</f>
        <v>Sun</v>
      </c>
      <c r="C308" s="48">
        <f>IF(+NFL!$F48="LA Chargers",+NFL!C48,IF(+NFL!$H48="LA Chargers",+NFL!C48,0))</f>
        <v>44829</v>
      </c>
      <c r="D308" s="490">
        <f>IF(+NFL!$F48="LA Chargers",+NFL!D48,IF(+NFL!$H48="LA Chargers",+NFL!D48,0))</f>
        <v>0.66666666666666663</v>
      </c>
      <c r="E308" s="46" t="str">
        <f>IF(+NFL!$F48="LA Chargers",+NFL!E48,IF(+NFL!$H48="LA Chargers",+NFL!E48,0))</f>
        <v>CBS</v>
      </c>
      <c r="F308" s="114" t="str">
        <f>IF(+NFL!$F48="LA Chargers",+NFL!F48,IF(+NFL!$H48="LA Chargers",+NFL!F48,0))</f>
        <v>Jacksonville</v>
      </c>
      <c r="G308" s="46" t="str">
        <f>IF(+NFL!$F48="LA Chargers",+NFL!G48,IF(+NFL!$H48="LA Chargers",+NFL!G48,0))</f>
        <v>AFCS</v>
      </c>
      <c r="H308" s="114" t="str">
        <f>IF(+NFL!$F48="LA Chargers",+NFL!H48,IF(+NFL!$H48="LA Chargers",+NFL!H48,0))</f>
        <v>LA Chargers</v>
      </c>
      <c r="I308" s="46" t="str">
        <f>IF(+NFL!$F48="LA Chargers",+NFL!I48,IF(+NFL!$H48="LA Chargers",+NFL!I48,0))</f>
        <v>AFCW</v>
      </c>
      <c r="J308" s="353" t="str">
        <f>IF(+NFL!$F48="LA Chargers",+NFL!J48,IF(+NFL!$H48="LA Chargers",+NFL!J48,0))</f>
        <v>LA Chargers</v>
      </c>
      <c r="K308" s="494" t="str">
        <f>IF(+NFL!$F48="LA Chargers",+NFL!K48,IF(+NFL!$H48="LA Chargers",+NFL!K48,0))</f>
        <v>Jacksonville</v>
      </c>
      <c r="L308" s="384">
        <f>IF(+NFL!$F48="LA Chargers",+NFL!L48,IF(+NFL!$H48="LA Chargers",+NFL!L48,0))</f>
        <v>7</v>
      </c>
      <c r="M308" s="385">
        <f>IF(+NFL!$F48="LA Chargers",+NFL!M48,IF(+NFL!$H48="LA Chargers",+NFL!M48,0))</f>
        <v>48</v>
      </c>
      <c r="N308" s="394" t="str">
        <f>IF(+NFL!$F48="LA Chargers",+NFL!N48,IF(+NFL!$H48="LA Chargers",+NFL!N48,0))</f>
        <v>LA Chargers</v>
      </c>
      <c r="O308" s="395">
        <f>IF(+NFL!$F48="LA Chargers",+NFL!O48,IF(+NFL!$H48="LA Chargers",+NFL!O48,0))</f>
        <v>38</v>
      </c>
      <c r="P308" s="394" t="str">
        <f>IF(+NFL!$F48="LA Chargers",+NFL!P48,IF(+NFL!$H48="LA Chargers",+NFL!P48,0))</f>
        <v>Jacksonville</v>
      </c>
      <c r="Q308" s="396">
        <f>IF(+NFL!$F48="LA Chargers",+NFL!Q48,IF(+NFL!$H48="LA Chargers",+NFL!Q48,0))</f>
        <v>10</v>
      </c>
      <c r="R308" s="397" t="str">
        <f>IF(+NFL!$F48="LA Chargers",+NFL!R48,IF(+NFL!$H48="LA Chargers",+NFL!R48,0))</f>
        <v>LA Chargers</v>
      </c>
      <c r="S308" s="396" t="str">
        <f>IF(+NFL!$F48="LA Chargers",+NFL!S48,IF(+NFL!$H48="LA Chargers",+NFL!S48,0))</f>
        <v>Jacksonville</v>
      </c>
      <c r="T308" s="398" t="str">
        <f>IF(+NFL!$F48="LA Chargers",+NFL!T48,IF(+NFL!$H48="LA Chargers",+NFL!T48,0))</f>
        <v>Jacksonville</v>
      </c>
      <c r="U308" s="396" t="str">
        <f>IF(+NFL!$F48="LA Chargers",+NFL!U48,IF(+NFL!$H48="LA Chargers",+NFL!U48,0))</f>
        <v>L</v>
      </c>
      <c r="V308" s="397"/>
      <c r="W308" s="396"/>
      <c r="X308" s="398"/>
      <c r="Y308" s="396"/>
      <c r="Z308" s="397"/>
      <c r="AA308" s="396"/>
      <c r="AB308" s="87"/>
      <c r="AC308" s="120"/>
      <c r="AD308" s="353"/>
      <c r="AE308" s="379"/>
      <c r="AF308" s="353"/>
      <c r="AG308" s="379"/>
      <c r="AH308" s="353"/>
      <c r="AI308" s="379"/>
      <c r="AJ308" s="353"/>
      <c r="AK308" s="379"/>
      <c r="AL308" s="68"/>
      <c r="AM308" s="58"/>
      <c r="AN308" s="57"/>
      <c r="AO308" s="59"/>
      <c r="AP308" s="348"/>
      <c r="AQ308" s="48"/>
      <c r="AR308" s="57"/>
      <c r="AS308" s="64"/>
      <c r="AT308" s="64"/>
      <c r="AU308" s="57"/>
      <c r="AV308" s="64"/>
      <c r="AW308" s="46"/>
      <c r="AX308" s="64"/>
      <c r="AY308" s="57"/>
      <c r="AZ308" s="64"/>
      <c r="BA308" s="46"/>
      <c r="BB308" s="46"/>
      <c r="BC308" s="403"/>
      <c r="BD308" s="57"/>
      <c r="BE308" s="64"/>
      <c r="BF308" s="46"/>
      <c r="BG308" s="57"/>
      <c r="BH308" s="64"/>
      <c r="BI308" s="46"/>
      <c r="BJ308" s="87"/>
      <c r="BK308" s="120"/>
    </row>
    <row r="309" spans="1:68" s="246" customFormat="1" x14ac:dyDescent="0.8">
      <c r="A309" s="46">
        <f>IF(+NFL!$F65="LA Chargers",+NFL!A65,IF(+NFL!$H65="LA Chargers",+NFL!A65,0))</f>
        <v>4</v>
      </c>
      <c r="B309" s="348" t="str">
        <f>IF(+NFL!$F65="LA Chargers",+NFL!B65,IF(+NFL!$H65="LA Chargers",+NFL!B65,0))</f>
        <v>Sun</v>
      </c>
      <c r="C309" s="48">
        <f>IF(+NFL!$F65="LA Chargers",+NFL!C65,IF(+NFL!$H65="LA Chargers",+NFL!C65,0))</f>
        <v>44836</v>
      </c>
      <c r="D309" s="490">
        <f>IF(+NFL!$F65="LA Chargers",+NFL!D65,IF(+NFL!$H65="LA Chargers",+NFL!D65,0))</f>
        <v>0.54166666666666663</v>
      </c>
      <c r="E309" s="46" t="str">
        <f>IF(+NFL!$F65="LA Chargers",+NFL!E65,IF(+NFL!$H65="LA Chargers",+NFL!E65,0))</f>
        <v>CBS</v>
      </c>
      <c r="F309" s="114" t="str">
        <f>IF(+NFL!$F65="LA Chargers",+NFL!F65,IF(+NFL!$H65="LA Chargers",+NFL!F65,0))</f>
        <v>LA Chargers</v>
      </c>
      <c r="G309" s="46" t="str">
        <f>IF(+NFL!$F65="LA Chargers",+NFL!G65,IF(+NFL!$H65="LA Chargers",+NFL!G65,0))</f>
        <v>AFCW</v>
      </c>
      <c r="H309" s="114" t="str">
        <f>IF(+NFL!$F65="LA Chargers",+NFL!H65,IF(+NFL!$H65="LA Chargers",+NFL!H65,0))</f>
        <v>Houston</v>
      </c>
      <c r="I309" s="46" t="str">
        <f>IF(+NFL!$F65="LA Chargers",+NFL!I65,IF(+NFL!$H65="LA Chargers",+NFL!I65,0))</f>
        <v>AFCS</v>
      </c>
      <c r="J309" s="353" t="str">
        <f>IF(+NFL!$F65="LA Chargers",+NFL!J65,IF(+NFL!$H65="LA Chargers",+NFL!J65,0))</f>
        <v>LA Chargers</v>
      </c>
      <c r="K309" s="494" t="str">
        <f>IF(+NFL!$F65="LA Chargers",+NFL!K65,IF(+NFL!$H65="LA Chargers",+NFL!K65,0))</f>
        <v>Houston</v>
      </c>
      <c r="L309" s="384">
        <f>IF(+NFL!$F65="LA Chargers",+NFL!L65,IF(+NFL!$H65="LA Chargers",+NFL!L65,0))</f>
        <v>4.5</v>
      </c>
      <c r="M309" s="385">
        <f>IF(+NFL!$F65="LA Chargers",+NFL!M65,IF(+NFL!$H65="LA Chargers",+NFL!M65,0))</f>
        <v>44.5</v>
      </c>
      <c r="N309" s="394" t="str">
        <f>IF(+NFL!$F65="LA Chargers",+NFL!N65,IF(+NFL!$H65="LA Chargers",+NFL!N65,0))</f>
        <v>LA Chargers</v>
      </c>
      <c r="O309" s="395">
        <f>IF(+NFL!$F65="LA Chargers",+NFL!O65,IF(+NFL!$H65="LA Chargers",+NFL!O65,0))</f>
        <v>34</v>
      </c>
      <c r="P309" s="394" t="str">
        <f>IF(+NFL!$F65="LA Chargers",+NFL!P65,IF(+NFL!$H65="LA Chargers",+NFL!P65,0))</f>
        <v>Houston</v>
      </c>
      <c r="Q309" s="396">
        <f>IF(+NFL!$F65="LA Chargers",+NFL!Q65,IF(+NFL!$H65="LA Chargers",+NFL!Q65,0))</f>
        <v>24</v>
      </c>
      <c r="R309" s="397" t="str">
        <f>IF(+NFL!$F65="LA Chargers",+NFL!R65,IF(+NFL!$H65="LA Chargers",+NFL!R65,0))</f>
        <v>LA Chargers</v>
      </c>
      <c r="S309" s="396" t="str">
        <f>IF(+NFL!$F65="LA Chargers",+NFL!S65,IF(+NFL!$H65="LA Chargers",+NFL!S65,0))</f>
        <v>Houston</v>
      </c>
      <c r="T309" s="398" t="str">
        <f>IF(+NFL!$F65="LA Chargers",+NFL!T65,IF(+NFL!$H65="LA Chargers",+NFL!T65,0))</f>
        <v>LA Chargers</v>
      </c>
      <c r="U309" s="396" t="str">
        <f>IF(+NFL!$F65="LA Chargers",+NFL!U65,IF(+NFL!$H65="LA Chargers",+NFL!U65,0))</f>
        <v>W</v>
      </c>
      <c r="V309" s="397">
        <f>IF(+NFL!$F29="LA Chargers",+NFL!#REF!,IF(+NFL!$H29="LA Chargers",+NFL!#REF!,0))</f>
        <v>0</v>
      </c>
      <c r="W309" s="396">
        <f>IF(+NFL!$F29="LA Chargers",+NFL!#REF!,IF(+NFL!$H29="LA Chargers",+NFL!#REF!,0))</f>
        <v>0</v>
      </c>
      <c r="X309" s="398">
        <f>IF(+NFL!$F29="LA Chargers",+NFL!#REF!,IF(+NFL!$H29="LA Chargers",+NFL!#REF!,0))</f>
        <v>0</v>
      </c>
      <c r="Y309" s="396">
        <f>IF(+NFL!$F29="LA Chargers",+NFL!#REF!,IF(+NFL!$H29="LA Chargers",+NFL!#REF!,0))</f>
        <v>0</v>
      </c>
      <c r="Z309" s="397">
        <f>IF(+NFL!$F29="LA Chargers",+NFL!#REF!,IF(+NFL!$H29="LA Chargers",+NFL!#REF!,0))</f>
        <v>0</v>
      </c>
      <c r="AA309" s="396">
        <f>IF(+NFL!$F29="LA Chargers",+NFL!#REF!,IF(+NFL!$H29="LA Chargers",+NFL!#REF!,0))</f>
        <v>0</v>
      </c>
      <c r="AB309" s="87">
        <f>IF(+NFL!$F29="LA Chargers",+NFL!#REF!,IF(+NFL!$H29="LA Chargers",+NFL!#REF!,0))</f>
        <v>0</v>
      </c>
      <c r="AC309" s="120">
        <f>IF(+NFL!$F29="LA Chargers",+NFL!#REF!,IF(+NFL!$H29="LA Chargers",+NFL!#REF!,0))</f>
        <v>0</v>
      </c>
      <c r="AD309" s="353">
        <f>IF(+NFL!$F29="LA Chargers",+NFL!#REF!,IF(+NFL!$H29="LA Chargers",+NFL!#REF!,0))</f>
        <v>0</v>
      </c>
      <c r="AE309" s="379">
        <f>IF(+NFL!$F29="LA Chargers",+NFL!#REF!,IF(+NFL!$H29="LA Chargers",+NFL!#REF!,0))</f>
        <v>0</v>
      </c>
      <c r="AF309" s="353">
        <f>IF(+NFL!$F29="LA Chargers",+NFL!#REF!,IF(+NFL!$H29="LA Chargers",+NFL!#REF!,0))</f>
        <v>0</v>
      </c>
      <c r="AG309" s="379">
        <f>IF(+NFL!$F29="LA Chargers",+NFL!#REF!,IF(+NFL!$H29="LA Chargers",+NFL!#REF!,0))</f>
        <v>0</v>
      </c>
      <c r="AH309" s="353">
        <f>IF(+NFL!$F29="LA Chargers",+NFL!#REF!,IF(+NFL!$H29="LA Chargers",+NFL!#REF!,0))</f>
        <v>0</v>
      </c>
      <c r="AI309" s="379">
        <f>IF(+NFL!$F29="LA Chargers",+NFL!#REF!,IF(+NFL!$H29="LA Chargers",+NFL!#REF!,0))</f>
        <v>0</v>
      </c>
      <c r="AJ309" s="353">
        <f>IF(+NFL!$F29="LA Chargers",+NFL!#REF!,IF(+NFL!$H29="LA Chargers",+NFL!#REF!,0))</f>
        <v>0</v>
      </c>
      <c r="AK309" s="379">
        <f>IF(+NFL!$F29="LA Chargers",+NFL!#REF!,IF(+NFL!$H29="LA Chargers",+NFL!#REF!,0))</f>
        <v>0</v>
      </c>
      <c r="AL309" s="68">
        <f>IF(+NFL!$F29="LA Chargers",+NFL!#REF!,IF(+NFL!$H29="LA Chargers",+NFL!#REF!,0))</f>
        <v>0</v>
      </c>
      <c r="AM309" s="58">
        <f>IF(+NFL!$F29="LA Chargers",+NFL!#REF!,IF(+NFL!$H29="LA Chargers",+NFL!#REF!,0))</f>
        <v>0</v>
      </c>
      <c r="AN309" s="57">
        <f>IF(+NFL!$F29="LA Chargers",+NFL!#REF!,IF(+NFL!$H29="LA Chargers",+NFL!#REF!,0))</f>
        <v>0</v>
      </c>
      <c r="AO309" s="59">
        <f>IF(+NFL!$F29="LA Chargers",+NFL!#REF!,IF(+NFL!$H29="LA Chargers",+NFL!#REF!,0))</f>
        <v>0</v>
      </c>
      <c r="AP309" s="348">
        <f>IF(+NFL!$F29="LA Chargers",+NFL!#REF!,IF(+NFL!$H29="LA Chargers",+NFL!#REF!,0))</f>
        <v>0</v>
      </c>
      <c r="AQ309" s="48">
        <f>IF(+NFL!$F29="LA Chargers",+NFL!#REF!,IF(+NFL!$H29="LA Chargers",+NFL!#REF!,0))</f>
        <v>0</v>
      </c>
      <c r="AR309" s="57">
        <f>IF(+NFL!$F29="LA Chargers",+NFL!#REF!,IF(+NFL!$H29="LA Chargers",+NFL!#REF!,0))</f>
        <v>0</v>
      </c>
      <c r="AS309" s="64">
        <f>IF(+NFL!$F29="LA Chargers",+NFL!#REF!,IF(+NFL!$H29="LA Chargers",+NFL!#REF!,0))</f>
        <v>0</v>
      </c>
      <c r="AT309" s="64">
        <f>IF(+NFL!$F29="LA Chargers",+NFL!#REF!,IF(+NFL!$H29="LA Chargers",+NFL!#REF!,0))</f>
        <v>0</v>
      </c>
      <c r="AU309" s="57">
        <f>IF(+NFL!$F29="LA Chargers",+NFL!#REF!,IF(+NFL!$H29="LA Chargers",+NFL!#REF!,0))</f>
        <v>0</v>
      </c>
      <c r="AV309" s="64">
        <f>IF(+NFL!$F29="LA Chargers",+NFL!#REF!,IF(+NFL!$H29="LA Chargers",+NFL!#REF!,0))</f>
        <v>0</v>
      </c>
      <c r="AW309" s="46">
        <f>IF(+NFL!$F29="LA Chargers",+NFL!#REF!,IF(+NFL!$H29="LA Chargers",+NFL!#REF!,0))</f>
        <v>0</v>
      </c>
      <c r="AX309" s="64">
        <f>IF(+NFL!$F29="LA Chargers",+NFL!#REF!,IF(+NFL!$H29="LA Chargers",+NFL!#REF!,0))</f>
        <v>0</v>
      </c>
      <c r="AY309" s="57">
        <f>IF(+NFL!$F29="LA Chargers",+NFL!#REF!,IF(+NFL!$H29="LA Chargers",+NFL!#REF!,0))</f>
        <v>0</v>
      </c>
      <c r="AZ309" s="64">
        <f>IF(+NFL!$F29="LA Chargers",+NFL!#REF!,IF(+NFL!$H29="LA Chargers",+NFL!#REF!,0))</f>
        <v>0</v>
      </c>
      <c r="BA309" s="46">
        <f>IF(+NFL!$F29="LA Chargers",+NFL!#REF!,IF(+NFL!$H29="LA Chargers",+NFL!#REF!,0))</f>
        <v>0</v>
      </c>
      <c r="BB309" s="46">
        <f>IF(+NFL!$F29="LA Chargers",+NFL!#REF!,IF(+NFL!$H29="LA Chargers",+NFL!#REF!,0))</f>
        <v>0</v>
      </c>
      <c r="BC309" s="403">
        <f>IF(+NFL!$F29="LA Chargers",+NFL!#REF!,IF(+NFL!$H29="LA Chargers",+NFL!#REF!,0))</f>
        <v>0</v>
      </c>
      <c r="BD309" s="57">
        <f>IF(+NFL!$F29="LA Chargers",+NFL!#REF!,IF(+NFL!$H29="LA Chargers",+NFL!#REF!,0))</f>
        <v>0</v>
      </c>
      <c r="BE309" s="64">
        <f>IF(+NFL!$F29="LA Chargers",+NFL!#REF!,IF(+NFL!$H29="LA Chargers",+NFL!#REF!,0))</f>
        <v>0</v>
      </c>
      <c r="BF309" s="46">
        <f>IF(+NFL!$F29="LA Chargers",+NFL!#REF!,IF(+NFL!$H29="LA Chargers",+NFL!#REF!,0))</f>
        <v>0</v>
      </c>
      <c r="BG309" s="57">
        <f>IF(+NFL!$F29="LA Chargers",+NFL!#REF!,IF(+NFL!$H29="LA Chargers",+NFL!#REF!,0))</f>
        <v>0</v>
      </c>
      <c r="BH309" s="64">
        <f>IF(+NFL!$F29="LA Chargers",+NFL!#REF!,IF(+NFL!$H29="LA Chargers",+NFL!#REF!,0))</f>
        <v>0</v>
      </c>
      <c r="BI309" s="46">
        <f>IF(+NFL!$F29="LA Chargers",+NFL!#REF!,IF(+NFL!$H29="LA Chargers",+NFL!#REF!,0))</f>
        <v>0</v>
      </c>
      <c r="BJ309" s="87">
        <f>IF(+NFL!$F29="LA Chargers",+NFL!#REF!,IF(+NFL!$H29="LA Chargers",+NFL!#REF!,0))</f>
        <v>0</v>
      </c>
      <c r="BK309" s="120">
        <f>IF(+NFL!$F29="LA Chargers",+NFL!#REF!,IF(+NFL!$H29="LA Chargers",+NFL!#REF!,0))</f>
        <v>0</v>
      </c>
    </row>
    <row r="310" spans="1:68" s="246" customFormat="1" x14ac:dyDescent="0.8">
      <c r="A310" s="46">
        <f>IF(+NFL!$F75="LA Chargers",+NFL!A75,IF(+NFL!$H75="LA Chargers",+NFL!A75,0))</f>
        <v>5</v>
      </c>
      <c r="B310" s="348" t="str">
        <f>IF(+NFL!$F75="LA Chargers",+NFL!B75,IF(+NFL!$H75="LA Chargers",+NFL!B75,0))</f>
        <v>Sun</v>
      </c>
      <c r="C310" s="48">
        <f>IF(+NFL!$F75="LA Chargers",+NFL!C75,IF(+NFL!$H75="LA Chargers",+NFL!C75,0))</f>
        <v>44843</v>
      </c>
      <c r="D310" s="490">
        <f>IF(+NFL!$F75="LA Chargers",+NFL!D75,IF(+NFL!$H75="LA Chargers",+NFL!D75,0))</f>
        <v>0.54166666666666663</v>
      </c>
      <c r="E310" s="46" t="str">
        <f>IF(+NFL!$F75="LA Chargers",+NFL!E75,IF(+NFL!$H75="LA Chargers",+NFL!E75,0))</f>
        <v>CBS</v>
      </c>
      <c r="F310" s="114" t="str">
        <f>IF(+NFL!$F75="LA Chargers",+NFL!F75,IF(+NFL!$H75="LA Chargers",+NFL!F75,0))</f>
        <v>LA Chargers</v>
      </c>
      <c r="G310" s="46" t="str">
        <f>IF(+NFL!$F75="LA Chargers",+NFL!G75,IF(+NFL!$H75="LA Chargers",+NFL!G75,0))</f>
        <v>AFCW</v>
      </c>
      <c r="H310" s="114" t="str">
        <f>IF(+NFL!$F75="LA Chargers",+NFL!H75,IF(+NFL!$H75="LA Chargers",+NFL!H75,0))</f>
        <v>Cleveland</v>
      </c>
      <c r="I310" s="46" t="str">
        <f>IF(+NFL!$F75="LA Chargers",+NFL!I75,IF(+NFL!$H75="LA Chargers",+NFL!I75,0))</f>
        <v>AFCN</v>
      </c>
      <c r="J310" s="353" t="str">
        <f>IF(+NFL!$F75="LA Chargers",+NFL!J75,IF(+NFL!$H75="LA Chargers",+NFL!J75,0))</f>
        <v>LA Chargers</v>
      </c>
      <c r="K310" s="494" t="str">
        <f>IF(+NFL!$F75="LA Chargers",+NFL!K75,IF(+NFL!$H75="LA Chargers",+NFL!K75,0))</f>
        <v>Cleveland</v>
      </c>
      <c r="L310" s="384">
        <f>IF(+NFL!$F75="LA Chargers",+NFL!L75,IF(+NFL!$H75="LA Chargers",+NFL!L75,0))</f>
        <v>3</v>
      </c>
      <c r="M310" s="385">
        <f>IF(+NFL!$F75="LA Chargers",+NFL!M75,IF(+NFL!$H75="LA Chargers",+NFL!M75,0))</f>
        <v>47.5</v>
      </c>
      <c r="N310" s="394" t="str">
        <f>IF(+NFL!$F75="LA Chargers",+NFL!N75,IF(+NFL!$H75="LA Chargers",+NFL!N75,0))</f>
        <v>LA Chargers</v>
      </c>
      <c r="O310" s="395">
        <f>IF(+NFL!$F75="LA Chargers",+NFL!O75,IF(+NFL!$H75="LA Chargers",+NFL!O75,0))</f>
        <v>30</v>
      </c>
      <c r="P310" s="394" t="str">
        <f>IF(+NFL!$F75="LA Chargers",+NFL!P75,IF(+NFL!$H75="LA Chargers",+NFL!P75,0))</f>
        <v>Cleveland</v>
      </c>
      <c r="Q310" s="396">
        <f>IF(+NFL!$F75="LA Chargers",+NFL!Q75,IF(+NFL!$H75="LA Chargers",+NFL!Q75,0))</f>
        <v>28</v>
      </c>
      <c r="R310" s="397" t="str">
        <f>IF(+NFL!$F75="LA Chargers",+NFL!R75,IF(+NFL!$H75="LA Chargers",+NFL!R75,0))</f>
        <v>Cleveland</v>
      </c>
      <c r="S310" s="396" t="str">
        <f>IF(+NFL!$F75="LA Chargers",+NFL!S75,IF(+NFL!$H75="LA Chargers",+NFL!S75,0))</f>
        <v>LA Chargers</v>
      </c>
      <c r="T310" s="398" t="str">
        <f>IF(+NFL!$F75="LA Chargers",+NFL!T75,IF(+NFL!$H75="LA Chargers",+NFL!T75,0))</f>
        <v>Cleveland</v>
      </c>
      <c r="U310" s="396" t="str">
        <f>IF(+NFL!$F75="LA Chargers",+NFL!U75,IF(+NFL!$H75="LA Chargers",+NFL!U75,0))</f>
        <v>W</v>
      </c>
      <c r="V310" s="397">
        <f>IF(+NFL!$F74="LA Chargers",+NFL!#REF!,IF(+NFL!$H74="LA Chargers",+NFL!#REF!,0))</f>
        <v>0</v>
      </c>
      <c r="W310" s="396">
        <f>IF(+NFL!$F74="LA Chargers",+NFL!#REF!,IF(+NFL!$H74="LA Chargers",+NFL!#REF!,0))</f>
        <v>0</v>
      </c>
      <c r="X310" s="398">
        <f>IF(+NFL!$F74="LA Chargers",+NFL!#REF!,IF(+NFL!$H74="LA Chargers",+NFL!#REF!,0))</f>
        <v>0</v>
      </c>
      <c r="Y310" s="396">
        <f>IF(+NFL!$F74="LA Chargers",+NFL!#REF!,IF(+NFL!$H74="LA Chargers",+NFL!#REF!,0))</f>
        <v>0</v>
      </c>
      <c r="Z310" s="397">
        <f>IF(+NFL!$F74="LA Chargers",+NFL!#REF!,IF(+NFL!$H74="LA Chargers",+NFL!#REF!,0))</f>
        <v>0</v>
      </c>
      <c r="AA310" s="396">
        <f>IF(+NFL!$F74="LA Chargers",+NFL!#REF!,IF(+NFL!$H74="LA Chargers",+NFL!#REF!,0))</f>
        <v>0</v>
      </c>
      <c r="AB310" s="87">
        <f>IF(+NFL!$F74="LA Chargers",+NFL!#REF!,IF(+NFL!$H74="LA Chargers",+NFL!#REF!,0))</f>
        <v>0</v>
      </c>
      <c r="AC310" s="120">
        <f>IF(+NFL!$F74="LA Chargers",+NFL!#REF!,IF(+NFL!$H74="LA Chargers",+NFL!#REF!,0))</f>
        <v>0</v>
      </c>
      <c r="AD310" s="353">
        <f>IF(+NFL!$F74="LA Chargers",+NFL!#REF!,IF(+NFL!$H74="LA Chargers",+NFL!#REF!,0))</f>
        <v>0</v>
      </c>
      <c r="AE310" s="379">
        <f>IF(+NFL!$F74="LA Chargers",+NFL!#REF!,IF(+NFL!$H74="LA Chargers",+NFL!#REF!,0))</f>
        <v>0</v>
      </c>
      <c r="AF310" s="353">
        <f>IF(+NFL!$F74="LA Chargers",+NFL!#REF!,IF(+NFL!$H74="LA Chargers",+NFL!#REF!,0))</f>
        <v>0</v>
      </c>
      <c r="AG310" s="379">
        <f>IF(+NFL!$F74="LA Chargers",+NFL!#REF!,IF(+NFL!$H74="LA Chargers",+NFL!#REF!,0))</f>
        <v>0</v>
      </c>
      <c r="AH310" s="353">
        <f>IF(+NFL!$F74="LA Chargers",+NFL!#REF!,IF(+NFL!$H74="LA Chargers",+NFL!#REF!,0))</f>
        <v>0</v>
      </c>
      <c r="AI310" s="379">
        <f>IF(+NFL!$F74="LA Chargers",+NFL!#REF!,IF(+NFL!$H74="LA Chargers",+NFL!#REF!,0))</f>
        <v>0</v>
      </c>
      <c r="AJ310" s="353">
        <f>IF(+NFL!$F74="LA Chargers",+NFL!#REF!,IF(+NFL!$H74="LA Chargers",+NFL!#REF!,0))</f>
        <v>0</v>
      </c>
      <c r="AK310" s="379">
        <f>IF(+NFL!$F74="LA Chargers",+NFL!#REF!,IF(+NFL!$H74="LA Chargers",+NFL!#REF!,0))</f>
        <v>0</v>
      </c>
      <c r="AL310" s="68">
        <f>IF(+NFL!$F74="LA Chargers",+NFL!#REF!,IF(+NFL!$H74="LA Chargers",+NFL!#REF!,0))</f>
        <v>0</v>
      </c>
      <c r="AM310" s="58">
        <f>IF(+NFL!$F74="LA Chargers",+NFL!#REF!,IF(+NFL!$H74="LA Chargers",+NFL!#REF!,0))</f>
        <v>0</v>
      </c>
      <c r="AN310" s="57">
        <f>IF(+NFL!$F74="LA Chargers",+NFL!#REF!,IF(+NFL!$H74="LA Chargers",+NFL!#REF!,0))</f>
        <v>0</v>
      </c>
      <c r="AO310" s="59">
        <f>IF(+NFL!$F74="LA Chargers",+NFL!#REF!,IF(+NFL!$H74="LA Chargers",+NFL!#REF!,0))</f>
        <v>0</v>
      </c>
      <c r="AP310" s="348">
        <f>IF(+NFL!$F74="LA Chargers",+NFL!#REF!,IF(+NFL!$H74="LA Chargers",+NFL!#REF!,0))</f>
        <v>0</v>
      </c>
      <c r="AQ310" s="48">
        <f>IF(+NFL!$F74="LA Chargers",+NFL!#REF!,IF(+NFL!$H74="LA Chargers",+NFL!#REF!,0))</f>
        <v>0</v>
      </c>
      <c r="AR310" s="57">
        <f>IF(+NFL!$F74="LA Chargers",+NFL!#REF!,IF(+NFL!$H74="LA Chargers",+NFL!#REF!,0))</f>
        <v>0</v>
      </c>
      <c r="AS310" s="64">
        <f>IF(+NFL!$F74="LA Chargers",+NFL!#REF!,IF(+NFL!$H74="LA Chargers",+NFL!#REF!,0))</f>
        <v>0</v>
      </c>
      <c r="AT310" s="64">
        <f>IF(+NFL!$F74="LA Chargers",+NFL!#REF!,IF(+NFL!$H74="LA Chargers",+NFL!#REF!,0))</f>
        <v>0</v>
      </c>
      <c r="AU310" s="57">
        <f>IF(+NFL!$F74="LA Chargers",+NFL!#REF!,IF(+NFL!$H74="LA Chargers",+NFL!#REF!,0))</f>
        <v>0</v>
      </c>
      <c r="AV310" s="64">
        <f>IF(+NFL!$F74="LA Chargers",+NFL!#REF!,IF(+NFL!$H74="LA Chargers",+NFL!#REF!,0))</f>
        <v>0</v>
      </c>
      <c r="AW310" s="46">
        <f>IF(+NFL!$F74="LA Chargers",+NFL!#REF!,IF(+NFL!$H74="LA Chargers",+NFL!#REF!,0))</f>
        <v>0</v>
      </c>
      <c r="AX310" s="64">
        <f>IF(+NFL!$F74="LA Chargers",+NFL!#REF!,IF(+NFL!$H74="LA Chargers",+NFL!#REF!,0))</f>
        <v>0</v>
      </c>
      <c r="AY310" s="57">
        <f>IF(+NFL!$F74="LA Chargers",+NFL!#REF!,IF(+NFL!$H74="LA Chargers",+NFL!#REF!,0))</f>
        <v>0</v>
      </c>
      <c r="AZ310" s="64">
        <f>IF(+NFL!$F74="LA Chargers",+NFL!#REF!,IF(+NFL!$H74="LA Chargers",+NFL!#REF!,0))</f>
        <v>0</v>
      </c>
      <c r="BA310" s="46">
        <f>IF(+NFL!$F74="LA Chargers",+NFL!#REF!,IF(+NFL!$H74="LA Chargers",+NFL!#REF!,0))</f>
        <v>0</v>
      </c>
      <c r="BB310" s="46">
        <f>IF(+NFL!$F74="LA Chargers",+NFL!#REF!,IF(+NFL!$H74="LA Chargers",+NFL!#REF!,0))</f>
        <v>0</v>
      </c>
      <c r="BC310" s="403">
        <f>IF(+NFL!$F74="LA Chargers",+NFL!#REF!,IF(+NFL!$H74="LA Chargers",+NFL!#REF!,0))</f>
        <v>0</v>
      </c>
      <c r="BD310" s="57">
        <f>IF(+NFL!$F74="LA Chargers",+NFL!#REF!,IF(+NFL!$H74="LA Chargers",+NFL!#REF!,0))</f>
        <v>0</v>
      </c>
      <c r="BE310" s="64">
        <f>IF(+NFL!$F74="LA Chargers",+NFL!#REF!,IF(+NFL!$H74="LA Chargers",+NFL!#REF!,0))</f>
        <v>0</v>
      </c>
      <c r="BF310" s="46">
        <f>IF(+NFL!$F74="LA Chargers",+NFL!#REF!,IF(+NFL!$H74="LA Chargers",+NFL!#REF!,0))</f>
        <v>0</v>
      </c>
      <c r="BG310" s="57">
        <f>IF(+NFL!$F74="LA Chargers",+NFL!#REF!,IF(+NFL!$H74="LA Chargers",+NFL!#REF!,0))</f>
        <v>0</v>
      </c>
      <c r="BH310" s="64">
        <f>IF(+NFL!$F74="LA Chargers",+NFL!#REF!,IF(+NFL!$H74="LA Chargers",+NFL!#REF!,0))</f>
        <v>0</v>
      </c>
      <c r="BI310" s="46">
        <f>IF(+NFL!$F74="LA Chargers",+NFL!#REF!,IF(+NFL!$H74="LA Chargers",+NFL!#REF!,0))</f>
        <v>0</v>
      </c>
      <c r="BJ310" s="87">
        <f>IF(+NFL!$F74="LA Chargers",+NFL!#REF!,IF(+NFL!$H74="LA Chargers",+NFL!#REF!,0))</f>
        <v>0</v>
      </c>
      <c r="BK310" s="120">
        <f>IF(+NFL!$F74="LA Chargers",+NFL!#REF!,IF(+NFL!$H74="LA Chargers",+NFL!#REF!,0))</f>
        <v>0</v>
      </c>
    </row>
    <row r="311" spans="1:68" s="246" customFormat="1" x14ac:dyDescent="0.8">
      <c r="A311" s="46">
        <f>IF(+NFL!$F102="LA Chargers",+NFL!A102,IF(+NFL!$H102="LA Chargers",+NFL!A102,0))</f>
        <v>6</v>
      </c>
      <c r="B311" s="348" t="str">
        <f>IF(+NFL!$F102="LA Chargers",+NFL!B102,IF(+NFL!$H102="LA Chargers",+NFL!B102,0))</f>
        <v>Mon</v>
      </c>
      <c r="C311" s="48">
        <f>IF(+NFL!$F102="LA Chargers",+NFL!C102,IF(+NFL!$H102="LA Chargers",+NFL!C102,0))</f>
        <v>44850</v>
      </c>
      <c r="D311" s="490">
        <f>IF(+NFL!$F102="LA Chargers",+NFL!D102,IF(+NFL!$H102="LA Chargers",+NFL!D102,0))</f>
        <v>0.84375</v>
      </c>
      <c r="E311" s="46" t="str">
        <f>IF(+NFL!$F102="LA Chargers",+NFL!E102,IF(+NFL!$H102="LA Chargers",+NFL!E102,0))</f>
        <v>ABC</v>
      </c>
      <c r="F311" s="114" t="str">
        <f>IF(+NFL!$F102="LA Chargers",+NFL!F102,IF(+NFL!$H102="LA Chargers",+NFL!F102,0))</f>
        <v>Denver</v>
      </c>
      <c r="G311" s="46" t="str">
        <f>IF(+NFL!$F102="LA Chargers",+NFL!G102,IF(+NFL!$H102="LA Chargers",+NFL!G102,0))</f>
        <v>AFCW</v>
      </c>
      <c r="H311" s="114" t="str">
        <f>IF(+NFL!$F102="LA Chargers",+NFL!H102,IF(+NFL!$H102="LA Chargers",+NFL!H102,0))</f>
        <v>LA Chargers</v>
      </c>
      <c r="I311" s="46" t="str">
        <f>IF(+NFL!$F102="LA Chargers",+NFL!I102,IF(+NFL!$H102="LA Chargers",+NFL!I102,0))</f>
        <v>AFCW</v>
      </c>
      <c r="J311" s="353" t="str">
        <f>IF(+NFL!$F102="LA Chargers",+NFL!J102,IF(+NFL!$H102="LA Chargers",+NFL!J102,0))</f>
        <v>LA Chargers</v>
      </c>
      <c r="K311" s="494" t="str">
        <f>IF(+NFL!$F102="LA Chargers",+NFL!K102,IF(+NFL!$H102="LA Chargers",+NFL!K102,0))</f>
        <v>Denver</v>
      </c>
      <c r="L311" s="384">
        <f>IF(+NFL!$F102="LA Chargers",+NFL!L102,IF(+NFL!$H102="LA Chargers",+NFL!L102,0))</f>
        <v>5</v>
      </c>
      <c r="M311" s="385">
        <f>IF(+NFL!$F102="LA Chargers",+NFL!M102,IF(+NFL!$H102="LA Chargers",+NFL!M102,0))</f>
        <v>45.5</v>
      </c>
      <c r="N311" s="394" t="str">
        <f>IF(+NFL!$F102="LA Chargers",+NFL!N102,IF(+NFL!$H102="LA Chargers",+NFL!N102,0))</f>
        <v>LA Chargers</v>
      </c>
      <c r="O311" s="395">
        <f>IF(+NFL!$F102="LA Chargers",+NFL!O102,IF(+NFL!$H102="LA Chargers",+NFL!O102,0))</f>
        <v>19</v>
      </c>
      <c r="P311" s="394" t="str">
        <f>IF(+NFL!$F102="LA Chargers",+NFL!P102,IF(+NFL!$H102="LA Chargers",+NFL!P102,0))</f>
        <v>Denver</v>
      </c>
      <c r="Q311" s="396">
        <f>IF(+NFL!$F102="LA Chargers",+NFL!Q102,IF(+NFL!$H102="LA Chargers",+NFL!Q102,0))</f>
        <v>16</v>
      </c>
      <c r="R311" s="397" t="str">
        <f>IF(+NFL!$F102="LA Chargers",+NFL!R102,IF(+NFL!$H102="LA Chargers",+NFL!R102,0))</f>
        <v>Denver</v>
      </c>
      <c r="S311" s="396" t="str">
        <f>IF(+NFL!$F102="LA Chargers",+NFL!S102,IF(+NFL!$H102="LA Chargers",+NFL!S102,0))</f>
        <v>LA Chargers</v>
      </c>
      <c r="T311" s="398" t="str">
        <f>IF(+NFL!$F102="LA Chargers",+NFL!T102,IF(+NFL!$H102="LA Chargers",+NFL!T102,0))</f>
        <v>LA Chargers</v>
      </c>
      <c r="U311" s="396" t="str">
        <f>IF(+NFL!$F102="LA Chargers",+NFL!U102,IF(+NFL!$H102="LA Chargers",+NFL!U102,0))</f>
        <v>L</v>
      </c>
      <c r="V311" s="397">
        <f>IF(+NFL!$F98="LA Chargers",+NFL!#REF!,IF(+NFL!$H98="LA Chargers",+NFL!#REF!,0))</f>
        <v>0</v>
      </c>
      <c r="W311" s="396">
        <f>IF(+NFL!$F98="LA Chargers",+NFL!#REF!,IF(+NFL!$H98="LA Chargers",+NFL!#REF!,0))</f>
        <v>0</v>
      </c>
      <c r="X311" s="398">
        <f>IF(+NFL!$F98="LA Chargers",+NFL!#REF!,IF(+NFL!$H98="LA Chargers",+NFL!#REF!,0))</f>
        <v>0</v>
      </c>
      <c r="Y311" s="396">
        <f>IF(+NFL!$F98="LA Chargers",+NFL!#REF!,IF(+NFL!$H98="LA Chargers",+NFL!#REF!,0))</f>
        <v>0</v>
      </c>
      <c r="Z311" s="397">
        <f>IF(+NFL!$F98="LA Chargers",+NFL!#REF!,IF(+NFL!$H98="LA Chargers",+NFL!#REF!,0))</f>
        <v>0</v>
      </c>
      <c r="AA311" s="396">
        <f>IF(+NFL!$F98="LA Chargers",+NFL!#REF!,IF(+NFL!$H98="LA Chargers",+NFL!#REF!,0))</f>
        <v>0</v>
      </c>
      <c r="AB311" s="87">
        <f>IF(+NFL!$F98="LA Chargers",+NFL!#REF!,IF(+NFL!$H98="LA Chargers",+NFL!#REF!,0))</f>
        <v>0</v>
      </c>
      <c r="AC311" s="120">
        <f>IF(+NFL!$F98="LA Chargers",+NFL!#REF!,IF(+NFL!$H98="LA Chargers",+NFL!#REF!,0))</f>
        <v>0</v>
      </c>
      <c r="AD311" s="353">
        <f>IF(+NFL!$F98="LA Chargers",+NFL!#REF!,IF(+NFL!$H98="LA Chargers",+NFL!#REF!,0))</f>
        <v>0</v>
      </c>
      <c r="AE311" s="379">
        <f>IF(+NFL!$F98="LA Chargers",+NFL!#REF!,IF(+NFL!$H98="LA Chargers",+NFL!#REF!,0))</f>
        <v>0</v>
      </c>
      <c r="AF311" s="353">
        <f>IF(+NFL!$F98="LA Chargers",+NFL!#REF!,IF(+NFL!$H98="LA Chargers",+NFL!#REF!,0))</f>
        <v>0</v>
      </c>
      <c r="AG311" s="379">
        <f>IF(+NFL!$F98="LA Chargers",+NFL!#REF!,IF(+NFL!$H98="LA Chargers",+NFL!#REF!,0))</f>
        <v>0</v>
      </c>
      <c r="AH311" s="353">
        <f>IF(+NFL!$F98="LA Chargers",+NFL!#REF!,IF(+NFL!$H98="LA Chargers",+NFL!#REF!,0))</f>
        <v>0</v>
      </c>
      <c r="AI311" s="379">
        <f>IF(+NFL!$F98="LA Chargers",+NFL!#REF!,IF(+NFL!$H98="LA Chargers",+NFL!#REF!,0))</f>
        <v>0</v>
      </c>
      <c r="AJ311" s="353">
        <f>IF(+NFL!$F98="LA Chargers",+NFL!#REF!,IF(+NFL!$H98="LA Chargers",+NFL!#REF!,0))</f>
        <v>0</v>
      </c>
      <c r="AK311" s="379">
        <f>IF(+NFL!$F98="LA Chargers",+NFL!#REF!,IF(+NFL!$H98="LA Chargers",+NFL!#REF!,0))</f>
        <v>0</v>
      </c>
      <c r="AL311" s="68">
        <f>IF(+NFL!$F98="LA Chargers",+NFL!#REF!,IF(+NFL!$H98="LA Chargers",+NFL!#REF!,0))</f>
        <v>0</v>
      </c>
      <c r="AM311" s="58">
        <f>IF(+NFL!$F98="LA Chargers",+NFL!#REF!,IF(+NFL!$H98="LA Chargers",+NFL!#REF!,0))</f>
        <v>0</v>
      </c>
      <c r="AN311" s="57">
        <f>IF(+NFL!$F98="LA Chargers",+NFL!#REF!,IF(+NFL!$H98="LA Chargers",+NFL!#REF!,0))</f>
        <v>0</v>
      </c>
      <c r="AO311" s="59">
        <f>IF(+NFL!$F98="LA Chargers",+NFL!#REF!,IF(+NFL!$H98="LA Chargers",+NFL!#REF!,0))</f>
        <v>0</v>
      </c>
      <c r="AP311" s="348">
        <f>IF(+NFL!$F98="LA Chargers",+NFL!#REF!,IF(+NFL!$H98="LA Chargers",+NFL!#REF!,0))</f>
        <v>0</v>
      </c>
      <c r="AQ311" s="48">
        <f>IF(+NFL!$F98="LA Chargers",+NFL!#REF!,IF(+NFL!$H98="LA Chargers",+NFL!#REF!,0))</f>
        <v>0</v>
      </c>
      <c r="AR311" s="57">
        <f>IF(+NFL!$F98="LA Chargers",+NFL!#REF!,IF(+NFL!$H98="LA Chargers",+NFL!#REF!,0))</f>
        <v>0</v>
      </c>
      <c r="AS311" s="64">
        <f>IF(+NFL!$F98="LA Chargers",+NFL!#REF!,IF(+NFL!$H98="LA Chargers",+NFL!#REF!,0))</f>
        <v>0</v>
      </c>
      <c r="AT311" s="64">
        <f>IF(+NFL!$F98="LA Chargers",+NFL!#REF!,IF(+NFL!$H98="LA Chargers",+NFL!#REF!,0))</f>
        <v>0</v>
      </c>
      <c r="AU311" s="57">
        <f>IF(+NFL!$F98="LA Chargers",+NFL!#REF!,IF(+NFL!$H98="LA Chargers",+NFL!#REF!,0))</f>
        <v>0</v>
      </c>
      <c r="AV311" s="64">
        <f>IF(+NFL!$F98="LA Chargers",+NFL!#REF!,IF(+NFL!$H98="LA Chargers",+NFL!#REF!,0))</f>
        <v>0</v>
      </c>
      <c r="AW311" s="46">
        <f>IF(+NFL!$F98="LA Chargers",+NFL!#REF!,IF(+NFL!$H98="LA Chargers",+NFL!#REF!,0))</f>
        <v>0</v>
      </c>
      <c r="AX311" s="64">
        <f>IF(+NFL!$F98="LA Chargers",+NFL!#REF!,IF(+NFL!$H98="LA Chargers",+NFL!#REF!,0))</f>
        <v>0</v>
      </c>
      <c r="AY311" s="57">
        <f>IF(+NFL!$F98="LA Chargers",+NFL!#REF!,IF(+NFL!$H98="LA Chargers",+NFL!#REF!,0))</f>
        <v>0</v>
      </c>
      <c r="AZ311" s="64">
        <f>IF(+NFL!$F98="LA Chargers",+NFL!#REF!,IF(+NFL!$H98="LA Chargers",+NFL!#REF!,0))</f>
        <v>0</v>
      </c>
      <c r="BA311" s="46">
        <f>IF(+NFL!$F98="LA Chargers",+NFL!#REF!,IF(+NFL!$H98="LA Chargers",+NFL!#REF!,0))</f>
        <v>0</v>
      </c>
      <c r="BB311" s="46">
        <f>IF(+NFL!$F98="LA Chargers",+NFL!#REF!,IF(+NFL!$H98="LA Chargers",+NFL!#REF!,0))</f>
        <v>0</v>
      </c>
      <c r="BC311" s="403">
        <f>IF(+NFL!$F98="LA Chargers",+NFL!#REF!,IF(+NFL!$H98="LA Chargers",+NFL!#REF!,0))</f>
        <v>0</v>
      </c>
      <c r="BD311" s="57">
        <f>IF(+NFL!$F98="LA Chargers",+NFL!#REF!,IF(+NFL!$H98="LA Chargers",+NFL!#REF!,0))</f>
        <v>0</v>
      </c>
      <c r="BE311" s="64">
        <f>IF(+NFL!$F98="LA Chargers",+NFL!#REF!,IF(+NFL!$H98="LA Chargers",+NFL!#REF!,0))</f>
        <v>0</v>
      </c>
      <c r="BF311" s="46">
        <f>IF(+NFL!$F98="LA Chargers",+NFL!#REF!,IF(+NFL!$H98="LA Chargers",+NFL!#REF!,0))</f>
        <v>0</v>
      </c>
      <c r="BG311" s="57">
        <f>IF(+NFL!$F98="LA Chargers",+NFL!#REF!,IF(+NFL!$H98="LA Chargers",+NFL!#REF!,0))</f>
        <v>0</v>
      </c>
      <c r="BH311" s="64">
        <f>IF(+NFL!$F98="LA Chargers",+NFL!#REF!,IF(+NFL!$H98="LA Chargers",+NFL!#REF!,0))</f>
        <v>0</v>
      </c>
      <c r="BI311" s="46">
        <f>IF(+NFL!$F98="LA Chargers",+NFL!#REF!,IF(+NFL!$H98="LA Chargers",+NFL!#REF!,0))</f>
        <v>0</v>
      </c>
      <c r="BJ311" s="87">
        <f>IF(+NFL!$F98="LA Chargers",+NFL!#REF!,IF(+NFL!$H98="LA Chargers",+NFL!#REF!,0))</f>
        <v>0</v>
      </c>
      <c r="BK311" s="120">
        <f>IF(+NFL!$F98="LA Chargers",+NFL!#REF!,IF(+NFL!$H98="LA Chargers",+NFL!#REF!,0))</f>
        <v>0</v>
      </c>
    </row>
    <row r="312" spans="1:68" s="246" customFormat="1" x14ac:dyDescent="0.8">
      <c r="A312" s="46">
        <f>IF(+NFL!$F119="LA Chargers",+NFL!A119,IF(+NFL!$H119="LA Chargers",+NFL!A119,0))</f>
        <v>7</v>
      </c>
      <c r="B312" s="348" t="str">
        <f>IF(+NFL!$F119="LA Chargers",+NFL!B119,IF(+NFL!$H119="LA Chargers",+NFL!B119,0))</f>
        <v>Sun</v>
      </c>
      <c r="C312" s="48">
        <f>IF(+NFL!$F119="LA Chargers",+NFL!C119,IF(+NFL!$H119="LA Chargers",+NFL!C119,0))</f>
        <v>44857</v>
      </c>
      <c r="D312" s="490">
        <f>IF(+NFL!$F119="LA Chargers",+NFL!D119,IF(+NFL!$H119="LA Chargers",+NFL!D119,0))</f>
        <v>0.66666666666666663</v>
      </c>
      <c r="E312" s="46" t="str">
        <f>IF(+NFL!$F119="LA Chargers",+NFL!E119,IF(+NFL!$H119="LA Chargers",+NFL!E119,0))</f>
        <v>Fox</v>
      </c>
      <c r="F312" s="114" t="str">
        <f>IF(+NFL!$F119="LA Chargers",+NFL!F119,IF(+NFL!$H119="LA Chargers",+NFL!F119,0))</f>
        <v>Seattle</v>
      </c>
      <c r="G312" s="46" t="str">
        <f>IF(+NFL!$F119="LA Chargers",+NFL!G119,IF(+NFL!$H119="LA Chargers",+NFL!G119,0))</f>
        <v>NFCW</v>
      </c>
      <c r="H312" s="114" t="str">
        <f>IF(+NFL!$F119="LA Chargers",+NFL!H119,IF(+NFL!$H119="LA Chargers",+NFL!H119,0))</f>
        <v>LA Chargers</v>
      </c>
      <c r="I312" s="46" t="str">
        <f>IF(+NFL!$F119="LA Chargers",+NFL!I119,IF(+NFL!$H119="LA Chargers",+NFL!I119,0))</f>
        <v>AFCW</v>
      </c>
      <c r="J312" s="353" t="str">
        <f>IF(+NFL!$F119="LA Chargers",+NFL!J119,IF(+NFL!$H119="LA Chargers",+NFL!J119,0))</f>
        <v>LA Chargers</v>
      </c>
      <c r="K312" s="494" t="str">
        <f>IF(+NFL!$F119="LA Chargers",+NFL!K119,IF(+NFL!$H119="LA Chargers",+NFL!K119,0))</f>
        <v>Seattle</v>
      </c>
      <c r="L312" s="384">
        <f>IF(+NFL!$F119="LA Chargers",+NFL!L119,IF(+NFL!$H119="LA Chargers",+NFL!L119,0))</f>
        <v>6</v>
      </c>
      <c r="M312" s="385">
        <f>IF(+NFL!$F119="LA Chargers",+NFL!M119,IF(+NFL!$H119="LA Chargers",+NFL!M119,0))</f>
        <v>51</v>
      </c>
      <c r="N312" s="394" t="str">
        <f>IF(+NFL!$F119="LA Chargers",+NFL!N119,IF(+NFL!$H119="LA Chargers",+NFL!N119,0))</f>
        <v>Seattle</v>
      </c>
      <c r="O312" s="395">
        <f>IF(+NFL!$F119="LA Chargers",+NFL!O119,IF(+NFL!$H119="LA Chargers",+NFL!O119,0))</f>
        <v>37</v>
      </c>
      <c r="P312" s="394" t="str">
        <f>IF(+NFL!$F119="LA Chargers",+NFL!P119,IF(+NFL!$H119="LA Chargers",+NFL!P119,0))</f>
        <v>LA Chargers</v>
      </c>
      <c r="Q312" s="396">
        <f>IF(+NFL!$F119="LA Chargers",+NFL!Q119,IF(+NFL!$H119="LA Chargers",+NFL!Q119,0))</f>
        <v>23</v>
      </c>
      <c r="R312" s="397" t="str">
        <f>IF(+NFL!$F119="LA Chargers",+NFL!R119,IF(+NFL!$H119="LA Chargers",+NFL!R119,0))</f>
        <v>Seattle</v>
      </c>
      <c r="S312" s="396" t="str">
        <f>IF(+NFL!$F119="LA Chargers",+NFL!S119,IF(+NFL!$H119="LA Chargers",+NFL!S119,0))</f>
        <v>LA Chargers</v>
      </c>
      <c r="T312" s="398" t="str">
        <f>IF(+NFL!$F119="LA Chargers",+NFL!T119,IF(+NFL!$H119="LA Chargers",+NFL!T119,0))</f>
        <v>Seattle</v>
      </c>
      <c r="U312" s="396" t="str">
        <f>IF(+NFL!$F119="LA Chargers",+NFL!U119,IF(+NFL!$H119="LA Chargers",+NFL!U119,0))</f>
        <v>W</v>
      </c>
      <c r="V312" s="397" t="e">
        <f>IF(+NFL!$F119="LA Chargers",+NFL!#REF!,IF(+NFL!$H119="LA Chargers",+NFL!#REF!,0))</f>
        <v>#REF!</v>
      </c>
      <c r="W312" s="396" t="e">
        <f>IF(+NFL!$F119="LA Chargers",+NFL!#REF!,IF(+NFL!$H119="LA Chargers",+NFL!#REF!,0))</f>
        <v>#REF!</v>
      </c>
      <c r="X312" s="398" t="e">
        <f>IF(+NFL!$F119="LA Chargers",+NFL!#REF!,IF(+NFL!$H119="LA Chargers",+NFL!#REF!,0))</f>
        <v>#REF!</v>
      </c>
      <c r="Y312" s="396" t="e">
        <f>IF(+NFL!$F119="LA Chargers",+NFL!#REF!,IF(+NFL!$H119="LA Chargers",+NFL!#REF!,0))</f>
        <v>#REF!</v>
      </c>
      <c r="Z312" s="397" t="e">
        <f>IF(+NFL!$F119="LA Chargers",+NFL!#REF!,IF(+NFL!$H119="LA Chargers",+NFL!#REF!,0))</f>
        <v>#REF!</v>
      </c>
      <c r="AA312" s="396" t="e">
        <f>IF(+NFL!$F119="LA Chargers",+NFL!#REF!,IF(+NFL!$H119="LA Chargers",+NFL!#REF!,0))</f>
        <v>#REF!</v>
      </c>
      <c r="AB312" s="87" t="e">
        <f>IF(+NFL!$F119="LA Chargers",+NFL!#REF!,IF(+NFL!$H119="LA Chargers",+NFL!#REF!,0))</f>
        <v>#REF!</v>
      </c>
      <c r="AC312" s="120" t="e">
        <f>IF(+NFL!$F119="LA Chargers",+NFL!#REF!,IF(+NFL!$H119="LA Chargers",+NFL!#REF!,0))</f>
        <v>#REF!</v>
      </c>
      <c r="AD312" s="353" t="e">
        <f>IF(+NFL!$F119="LA Chargers",+NFL!#REF!,IF(+NFL!$H119="LA Chargers",+NFL!#REF!,0))</f>
        <v>#REF!</v>
      </c>
      <c r="AE312" s="379" t="e">
        <f>IF(+NFL!$F119="LA Chargers",+NFL!#REF!,IF(+NFL!$H119="LA Chargers",+NFL!#REF!,0))</f>
        <v>#REF!</v>
      </c>
      <c r="AF312" s="353" t="e">
        <f>IF(+NFL!$F119="LA Chargers",+NFL!#REF!,IF(+NFL!$H119="LA Chargers",+NFL!#REF!,0))</f>
        <v>#REF!</v>
      </c>
      <c r="AG312" s="379" t="e">
        <f>IF(+NFL!$F119="LA Chargers",+NFL!#REF!,IF(+NFL!$H119="LA Chargers",+NFL!#REF!,0))</f>
        <v>#REF!</v>
      </c>
      <c r="AH312" s="353" t="e">
        <f>IF(+NFL!$F119="LA Chargers",+NFL!#REF!,IF(+NFL!$H119="LA Chargers",+NFL!#REF!,0))</f>
        <v>#REF!</v>
      </c>
      <c r="AI312" s="379" t="e">
        <f>IF(+NFL!$F119="LA Chargers",+NFL!#REF!,IF(+NFL!$H119="LA Chargers",+NFL!#REF!,0))</f>
        <v>#REF!</v>
      </c>
      <c r="AJ312" s="353" t="e">
        <f>IF(+NFL!$F119="LA Chargers",+NFL!#REF!,IF(+NFL!$H119="LA Chargers",+NFL!#REF!,0))</f>
        <v>#REF!</v>
      </c>
      <c r="AK312" s="379" t="e">
        <f>IF(+NFL!$F119="LA Chargers",+NFL!#REF!,IF(+NFL!$H119="LA Chargers",+NFL!#REF!,0))</f>
        <v>#REF!</v>
      </c>
      <c r="AL312" s="68" t="e">
        <f>IF(+NFL!$F119="LA Chargers",+NFL!#REF!,IF(+NFL!$H119="LA Chargers",+NFL!#REF!,0))</f>
        <v>#REF!</v>
      </c>
      <c r="AM312" s="58" t="e">
        <f>IF(+NFL!$F119="LA Chargers",+NFL!#REF!,IF(+NFL!$H119="LA Chargers",+NFL!#REF!,0))</f>
        <v>#REF!</v>
      </c>
      <c r="AN312" s="57" t="e">
        <f>IF(+NFL!$F119="LA Chargers",+NFL!#REF!,IF(+NFL!$H119="LA Chargers",+NFL!#REF!,0))</f>
        <v>#REF!</v>
      </c>
      <c r="AO312" s="59" t="e">
        <f>IF(+NFL!$F119="LA Chargers",+NFL!#REF!,IF(+NFL!$H119="LA Chargers",+NFL!#REF!,0))</f>
        <v>#REF!</v>
      </c>
      <c r="AP312" s="348" t="e">
        <f>IF(+NFL!$F119="LA Chargers",+NFL!#REF!,IF(+NFL!$H119="LA Chargers",+NFL!#REF!,0))</f>
        <v>#REF!</v>
      </c>
      <c r="AQ312" s="48" t="e">
        <f>IF(+NFL!$F119="LA Chargers",+NFL!#REF!,IF(+NFL!$H119="LA Chargers",+NFL!#REF!,0))</f>
        <v>#REF!</v>
      </c>
      <c r="AR312" s="57" t="e">
        <f>IF(+NFL!$F119="LA Chargers",+NFL!#REF!,IF(+NFL!$H119="LA Chargers",+NFL!#REF!,0))</f>
        <v>#REF!</v>
      </c>
      <c r="AS312" s="64" t="e">
        <f>IF(+NFL!$F119="LA Chargers",+NFL!#REF!,IF(+NFL!$H119="LA Chargers",+NFL!#REF!,0))</f>
        <v>#REF!</v>
      </c>
      <c r="AT312" s="64" t="e">
        <f>IF(+NFL!$F119="LA Chargers",+NFL!#REF!,IF(+NFL!$H119="LA Chargers",+NFL!#REF!,0))</f>
        <v>#REF!</v>
      </c>
      <c r="AU312" s="57" t="e">
        <f>IF(+NFL!$F119="LA Chargers",+NFL!#REF!,IF(+NFL!$H119="LA Chargers",+NFL!#REF!,0))</f>
        <v>#REF!</v>
      </c>
      <c r="AV312" s="64" t="e">
        <f>IF(+NFL!$F119="LA Chargers",+NFL!#REF!,IF(+NFL!$H119="LA Chargers",+NFL!#REF!,0))</f>
        <v>#REF!</v>
      </c>
      <c r="AW312" s="46" t="e">
        <f>IF(+NFL!$F119="LA Chargers",+NFL!#REF!,IF(+NFL!$H119="LA Chargers",+NFL!#REF!,0))</f>
        <v>#REF!</v>
      </c>
      <c r="AX312" s="64" t="e">
        <f>IF(+NFL!$F119="LA Chargers",+NFL!#REF!,IF(+NFL!$H119="LA Chargers",+NFL!#REF!,0))</f>
        <v>#REF!</v>
      </c>
      <c r="AY312" s="57" t="e">
        <f>IF(+NFL!$F119="LA Chargers",+NFL!#REF!,IF(+NFL!$H119="LA Chargers",+NFL!#REF!,0))</f>
        <v>#REF!</v>
      </c>
      <c r="AZ312" s="64" t="e">
        <f>IF(+NFL!$F119="LA Chargers",+NFL!#REF!,IF(+NFL!$H119="LA Chargers",+NFL!#REF!,0))</f>
        <v>#REF!</v>
      </c>
      <c r="BA312" s="46" t="e">
        <f>IF(+NFL!$F119="LA Chargers",+NFL!#REF!,IF(+NFL!$H119="LA Chargers",+NFL!#REF!,0))</f>
        <v>#REF!</v>
      </c>
      <c r="BB312" s="46" t="e">
        <f>IF(+NFL!$F119="LA Chargers",+NFL!#REF!,IF(+NFL!$H119="LA Chargers",+NFL!#REF!,0))</f>
        <v>#REF!</v>
      </c>
      <c r="BC312" s="403" t="e">
        <f>IF(+NFL!$F119="LA Chargers",+NFL!#REF!,IF(+NFL!$H119="LA Chargers",+NFL!#REF!,0))</f>
        <v>#REF!</v>
      </c>
      <c r="BD312" s="57" t="e">
        <f>IF(+NFL!$F119="LA Chargers",+NFL!#REF!,IF(+NFL!$H119="LA Chargers",+NFL!#REF!,0))</f>
        <v>#REF!</v>
      </c>
      <c r="BE312" s="64" t="e">
        <f>IF(+NFL!$F119="LA Chargers",+NFL!#REF!,IF(+NFL!$H119="LA Chargers",+NFL!#REF!,0))</f>
        <v>#REF!</v>
      </c>
      <c r="BF312" s="46" t="e">
        <f>IF(+NFL!$F119="LA Chargers",+NFL!#REF!,IF(+NFL!$H119="LA Chargers",+NFL!#REF!,0))</f>
        <v>#REF!</v>
      </c>
      <c r="BG312" s="57" t="e">
        <f>IF(+NFL!$F119="LA Chargers",+NFL!#REF!,IF(+NFL!$H119="LA Chargers",+NFL!#REF!,0))</f>
        <v>#REF!</v>
      </c>
      <c r="BH312" s="64" t="e">
        <f>IF(+NFL!$F119="LA Chargers",+NFL!#REF!,IF(+NFL!$H119="LA Chargers",+NFL!#REF!,0))</f>
        <v>#REF!</v>
      </c>
      <c r="BI312" s="46" t="e">
        <f>IF(+NFL!$F119="LA Chargers",+NFL!#REF!,IF(+NFL!$H119="LA Chargers",+NFL!#REF!,0))</f>
        <v>#REF!</v>
      </c>
      <c r="BJ312" s="87" t="e">
        <f>IF(+NFL!$F119="LA Chargers",+NFL!#REF!,IF(+NFL!$H119="LA Chargers",+NFL!#REF!,0))</f>
        <v>#REF!</v>
      </c>
      <c r="BK312" s="120" t="e">
        <f>IF(+NFL!$F119="LA Chargers",+NFL!#REF!,IF(+NFL!$H119="LA Chargers",+NFL!#REF!,0))</f>
        <v>#REF!</v>
      </c>
    </row>
    <row r="313" spans="1:68" s="246" customFormat="1" x14ac:dyDescent="0.8">
      <c r="A313" s="46">
        <f>IF(+NFL!$F146="LA Chargers",+NFL!A146,IF(+NFL!$H146="LA Chargers",+NFL!A146,0))</f>
        <v>8</v>
      </c>
      <c r="B313" s="348">
        <f>IF(+NFL!$F146="LA Chargers",+NFL!B146,IF(+NFL!$H146="LA Chargers",+NFL!B146,0))</f>
        <v>0</v>
      </c>
      <c r="C313" s="48">
        <f>IF(+NFL!$F146="LA Chargers",+NFL!C146,IF(+NFL!$H146="LA Chargers",+NFL!C146,0))</f>
        <v>0</v>
      </c>
      <c r="D313" s="490">
        <f>IF(+NFL!$F146="LA Chargers",+NFL!D146,IF(+NFL!$H146="LA Chargers",+NFL!D146,0))</f>
        <v>0</v>
      </c>
      <c r="E313" s="46">
        <f>IF(+NFL!$F146="LA Chargers",+NFL!E146,IF(+NFL!$H146="LA Chargers",+NFL!E146,0))</f>
        <v>0</v>
      </c>
      <c r="F313" s="114" t="str">
        <f>IF(+NFL!$F146="LA Chargers",+NFL!F146,IF(+NFL!$H146="LA Chargers",+NFL!F146,0))</f>
        <v>LA Chargers</v>
      </c>
      <c r="G313" s="46" t="str">
        <f>IF(+NFL!$F146="LA Chargers",+NFL!G146,IF(+NFL!$H146="LA Chargers",+NFL!G146,0))</f>
        <v>AFCW</v>
      </c>
      <c r="H313" s="114">
        <f>IF(+NFL!$F146="LA Chargers",+NFL!H146,IF(+NFL!$H146="LA Chargers",+NFL!H146,0))</f>
        <v>0</v>
      </c>
      <c r="I313" s="46">
        <f>IF(+NFL!$F146="LA Chargers",+NFL!I146,IF(+NFL!$H146="LA Chargers",+NFL!I146,0))</f>
        <v>0</v>
      </c>
      <c r="J313" s="353">
        <f>IF(+NFL!$F146="LA Chargers",+NFL!J146,IF(+NFL!$H146="LA Chargers",+NFL!J146,0))</f>
        <v>0</v>
      </c>
      <c r="K313" s="494">
        <f>IF(+NFL!$F146="LA Chargers",+NFL!K146,IF(+NFL!$H146="LA Chargers",+NFL!K146,0))</f>
        <v>0</v>
      </c>
      <c r="L313" s="384">
        <f>IF(+NFL!$F146="LA Chargers",+NFL!L146,IF(+NFL!$H146="LA Chargers",+NFL!L146,0))</f>
        <v>0</v>
      </c>
      <c r="M313" s="385">
        <f>IF(+NFL!$F146="LA Chargers",+NFL!M146,IF(+NFL!$H146="LA Chargers",+NFL!M146,0))</f>
        <v>0</v>
      </c>
      <c r="N313" s="394">
        <f>IF(+NFL!$F146="LA Chargers",+NFL!N146,IF(+NFL!$H146="LA Chargers",+NFL!N146,0))</f>
        <v>0</v>
      </c>
      <c r="O313" s="395">
        <f>IF(+NFL!$F146="LA Chargers",+NFL!O146,IF(+NFL!$H146="LA Chargers",+NFL!O146,0))</f>
        <v>0</v>
      </c>
      <c r="P313" s="394">
        <f>IF(+NFL!$F146="LA Chargers",+NFL!P146,IF(+NFL!$H146="LA Chargers",+NFL!P146,0))</f>
        <v>0</v>
      </c>
      <c r="Q313" s="396">
        <f>IF(+NFL!$F146="LA Chargers",+NFL!Q146,IF(+NFL!$H146="LA Chargers",+NFL!Q146,0))</f>
        <v>0</v>
      </c>
      <c r="R313" s="397">
        <f>IF(+NFL!$F146="LA Chargers",+NFL!R146,IF(+NFL!$H146="LA Chargers",+NFL!R146,0))</f>
        <v>0</v>
      </c>
      <c r="S313" s="396">
        <f>IF(+NFL!$F146="LA Chargers",+NFL!S146,IF(+NFL!$H146="LA Chargers",+NFL!S146,0))</f>
        <v>0</v>
      </c>
      <c r="T313" s="398">
        <f>IF(+NFL!$F146="LA Chargers",+NFL!T146,IF(+NFL!$H146="LA Chargers",+NFL!T146,0))</f>
        <v>0</v>
      </c>
      <c r="U313" s="396">
        <f>IF(+NFL!$F146="LA Chargers",+NFL!U146,IF(+NFL!$H146="LA Chargers",+NFL!U146,0))</f>
        <v>0</v>
      </c>
      <c r="V313" s="397">
        <f>IF(+NFL!$F137="LA Chargers",+NFL!#REF!,IF(+NFL!$H137="LA Chargers",+NFL!#REF!,0))</f>
        <v>0</v>
      </c>
      <c r="W313" s="396">
        <f>IF(+NFL!$F137="LA Chargers",+NFL!#REF!,IF(+NFL!$H137="LA Chargers",+NFL!#REF!,0))</f>
        <v>0</v>
      </c>
      <c r="X313" s="398">
        <f>IF(+NFL!$F137="LA Chargers",+NFL!#REF!,IF(+NFL!$H137="LA Chargers",+NFL!#REF!,0))</f>
        <v>0</v>
      </c>
      <c r="Y313" s="396">
        <f>IF(+NFL!$F137="LA Chargers",+NFL!#REF!,IF(+NFL!$H137="LA Chargers",+NFL!#REF!,0))</f>
        <v>0</v>
      </c>
      <c r="Z313" s="397">
        <f>IF(+NFL!$F137="LA Chargers",+NFL!#REF!,IF(+NFL!$H137="LA Chargers",+NFL!#REF!,0))</f>
        <v>0</v>
      </c>
      <c r="AA313" s="396">
        <f>IF(+NFL!$F137="LA Chargers",+NFL!#REF!,IF(+NFL!$H137="LA Chargers",+NFL!#REF!,0))</f>
        <v>0</v>
      </c>
      <c r="AB313" s="87">
        <f>IF(+NFL!$F137="LA Chargers",+NFL!#REF!,IF(+NFL!$H137="LA Chargers",+NFL!#REF!,0))</f>
        <v>0</v>
      </c>
      <c r="AC313" s="120">
        <f>IF(+NFL!$F137="LA Chargers",+NFL!#REF!,IF(+NFL!$H137="LA Chargers",+NFL!#REF!,0))</f>
        <v>0</v>
      </c>
      <c r="AD313" s="353">
        <f>IF(+NFL!$F137="LA Chargers",+NFL!#REF!,IF(+NFL!$H137="LA Chargers",+NFL!#REF!,0))</f>
        <v>0</v>
      </c>
      <c r="AE313" s="379">
        <f>IF(+NFL!$F137="LA Chargers",+NFL!#REF!,IF(+NFL!$H137="LA Chargers",+NFL!#REF!,0))</f>
        <v>0</v>
      </c>
      <c r="AF313" s="353">
        <f>IF(+NFL!$F137="LA Chargers",+NFL!#REF!,IF(+NFL!$H137="LA Chargers",+NFL!#REF!,0))</f>
        <v>0</v>
      </c>
      <c r="AG313" s="379">
        <f>IF(+NFL!$F137="LA Chargers",+NFL!#REF!,IF(+NFL!$H137="LA Chargers",+NFL!#REF!,0))</f>
        <v>0</v>
      </c>
      <c r="AH313" s="353">
        <f>IF(+NFL!$F137="LA Chargers",+NFL!#REF!,IF(+NFL!$H137="LA Chargers",+NFL!#REF!,0))</f>
        <v>0</v>
      </c>
      <c r="AI313" s="379">
        <f>IF(+NFL!$F137="LA Chargers",+NFL!#REF!,IF(+NFL!$H137="LA Chargers",+NFL!#REF!,0))</f>
        <v>0</v>
      </c>
      <c r="AJ313" s="353">
        <f>IF(+NFL!$F137="LA Chargers",+NFL!#REF!,IF(+NFL!$H137="LA Chargers",+NFL!#REF!,0))</f>
        <v>0</v>
      </c>
      <c r="AK313" s="379">
        <f>IF(+NFL!$F137="LA Chargers",+NFL!#REF!,IF(+NFL!$H137="LA Chargers",+NFL!#REF!,0))</f>
        <v>0</v>
      </c>
      <c r="AL313" s="68">
        <f>IF(+NFL!$F137="LA Chargers",+NFL!#REF!,IF(+NFL!$H137="LA Chargers",+NFL!#REF!,0))</f>
        <v>0</v>
      </c>
      <c r="AM313" s="58">
        <f>IF(+NFL!$F137="LA Chargers",+NFL!#REF!,IF(+NFL!$H137="LA Chargers",+NFL!#REF!,0))</f>
        <v>0</v>
      </c>
      <c r="AN313" s="57">
        <f>IF(+NFL!$F137="LA Chargers",+NFL!#REF!,IF(+NFL!$H137="LA Chargers",+NFL!#REF!,0))</f>
        <v>0</v>
      </c>
      <c r="AO313" s="59">
        <f>IF(+NFL!$F137="LA Chargers",+NFL!#REF!,IF(+NFL!$H137="LA Chargers",+NFL!#REF!,0))</f>
        <v>0</v>
      </c>
      <c r="AP313" s="348">
        <f>IF(+NFL!$F137="LA Chargers",+NFL!#REF!,IF(+NFL!$H137="LA Chargers",+NFL!#REF!,0))</f>
        <v>0</v>
      </c>
      <c r="AQ313" s="48">
        <f>IF(+NFL!$F137="LA Chargers",+NFL!#REF!,IF(+NFL!$H137="LA Chargers",+NFL!#REF!,0))</f>
        <v>0</v>
      </c>
      <c r="AR313" s="57">
        <f>IF(+NFL!$F137="LA Chargers",+NFL!#REF!,IF(+NFL!$H137="LA Chargers",+NFL!#REF!,0))</f>
        <v>0</v>
      </c>
      <c r="AS313" s="64">
        <f>IF(+NFL!$F137="LA Chargers",+NFL!#REF!,IF(+NFL!$H137="LA Chargers",+NFL!#REF!,0))</f>
        <v>0</v>
      </c>
      <c r="AT313" s="64">
        <f>IF(+NFL!$F137="LA Chargers",+NFL!#REF!,IF(+NFL!$H137="LA Chargers",+NFL!#REF!,0))</f>
        <v>0</v>
      </c>
      <c r="AU313" s="57">
        <f>IF(+NFL!$F137="LA Chargers",+NFL!#REF!,IF(+NFL!$H137="LA Chargers",+NFL!#REF!,0))</f>
        <v>0</v>
      </c>
      <c r="AV313" s="64">
        <f>IF(+NFL!$F137="LA Chargers",+NFL!#REF!,IF(+NFL!$H137="LA Chargers",+NFL!#REF!,0))</f>
        <v>0</v>
      </c>
      <c r="AW313" s="46">
        <f>IF(+NFL!$F137="LA Chargers",+NFL!#REF!,IF(+NFL!$H137="LA Chargers",+NFL!#REF!,0))</f>
        <v>0</v>
      </c>
      <c r="AX313" s="64">
        <f>IF(+NFL!$F137="LA Chargers",+NFL!#REF!,IF(+NFL!$H137="LA Chargers",+NFL!#REF!,0))</f>
        <v>0</v>
      </c>
      <c r="AY313" s="57">
        <f>IF(+NFL!$F137="LA Chargers",+NFL!#REF!,IF(+NFL!$H137="LA Chargers",+NFL!#REF!,0))</f>
        <v>0</v>
      </c>
      <c r="AZ313" s="64">
        <f>IF(+NFL!$F137="LA Chargers",+NFL!#REF!,IF(+NFL!$H137="LA Chargers",+NFL!#REF!,0))</f>
        <v>0</v>
      </c>
      <c r="BA313" s="46">
        <f>IF(+NFL!$F137="LA Chargers",+NFL!#REF!,IF(+NFL!$H137="LA Chargers",+NFL!#REF!,0))</f>
        <v>0</v>
      </c>
      <c r="BB313" s="46">
        <f>IF(+NFL!$F137="LA Chargers",+NFL!#REF!,IF(+NFL!$H137="LA Chargers",+NFL!#REF!,0))</f>
        <v>0</v>
      </c>
      <c r="BC313" s="403">
        <f>IF(+NFL!$F137="LA Chargers",+NFL!#REF!,IF(+NFL!$H137="LA Chargers",+NFL!#REF!,0))</f>
        <v>0</v>
      </c>
      <c r="BD313" s="57">
        <f>IF(+NFL!$F137="LA Chargers",+NFL!#REF!,IF(+NFL!$H137="LA Chargers",+NFL!#REF!,0))</f>
        <v>0</v>
      </c>
      <c r="BE313" s="64">
        <f>IF(+NFL!$F137="LA Chargers",+NFL!#REF!,IF(+NFL!$H137="LA Chargers",+NFL!#REF!,0))</f>
        <v>0</v>
      </c>
      <c r="BF313" s="46">
        <f>IF(+NFL!$F137="LA Chargers",+NFL!#REF!,IF(+NFL!$H137="LA Chargers",+NFL!#REF!,0))</f>
        <v>0</v>
      </c>
      <c r="BG313" s="57">
        <f>IF(+NFL!$F137="LA Chargers",+NFL!#REF!,IF(+NFL!$H137="LA Chargers",+NFL!#REF!,0))</f>
        <v>0</v>
      </c>
      <c r="BH313" s="64">
        <f>IF(+NFL!$F137="LA Chargers",+NFL!#REF!,IF(+NFL!$H137="LA Chargers",+NFL!#REF!,0))</f>
        <v>0</v>
      </c>
      <c r="BI313" s="46">
        <f>IF(+NFL!$F137="LA Chargers",+NFL!#REF!,IF(+NFL!$H137="LA Chargers",+NFL!#REF!,0))</f>
        <v>0</v>
      </c>
      <c r="BJ313" s="87">
        <f>IF(+NFL!$F137="LA Chargers",+NFL!#REF!,IF(+NFL!$H137="LA Chargers",+NFL!#REF!,0))</f>
        <v>0</v>
      </c>
      <c r="BK313" s="120">
        <f>IF(+NFL!$F137="LA Chargers",+NFL!#REF!,IF(+NFL!$H137="LA Chargers",+NFL!#REF!,0))</f>
        <v>0</v>
      </c>
    </row>
    <row r="314" spans="1:68" s="246" customFormat="1" x14ac:dyDescent="0.8">
      <c r="A314" s="46">
        <f>IF(+NFL!$F149="LA Chargers",+NFL!A149,IF(+NFL!$H149="LA Chargers",+NFL!A149,0))</f>
        <v>9</v>
      </c>
      <c r="B314" s="348" t="str">
        <f>IF(+NFL!$F149="LA Chargers",+NFL!B149,IF(+NFL!$H149="LA Chargers",+NFL!B149,0))</f>
        <v>Sun</v>
      </c>
      <c r="C314" s="48">
        <f>IF(+NFL!$F149="LA Chargers",+NFL!C149,IF(+NFL!$H149="LA Chargers",+NFL!C149,0))</f>
        <v>44871</v>
      </c>
      <c r="D314" s="490">
        <f>IF(+NFL!$F149="LA Chargers",+NFL!D149,IF(+NFL!$H149="LA Chargers",+NFL!D149,0))</f>
        <v>0.39583333333333331</v>
      </c>
      <c r="E314" s="46" t="str">
        <f>IF(+NFL!$F149="LA Chargers",+NFL!E149,IF(+NFL!$H149="LA Chargers",+NFL!E149,0))</f>
        <v>CBS</v>
      </c>
      <c r="F314" s="114" t="str">
        <f>IF(+NFL!$F149="LA Chargers",+NFL!F149,IF(+NFL!$H149="LA Chargers",+NFL!F149,0))</f>
        <v>LA Chargers</v>
      </c>
      <c r="G314" s="46" t="str">
        <f>IF(+NFL!$F149="LA Chargers",+NFL!G149,IF(+NFL!$H149="LA Chargers",+NFL!G149,0))</f>
        <v>AFCW</v>
      </c>
      <c r="H314" s="114" t="str">
        <f>IF(+NFL!$F149="LA Chargers",+NFL!H149,IF(+NFL!$H149="LA Chargers",+NFL!H149,0))</f>
        <v>Atlanta</v>
      </c>
      <c r="I314" s="46" t="str">
        <f>IF(+NFL!$F149="LA Chargers",+NFL!I149,IF(+NFL!$H149="LA Chargers",+NFL!I149,0))</f>
        <v>NFCS</v>
      </c>
      <c r="J314" s="353" t="str">
        <f>IF(+NFL!$F149="LA Chargers",+NFL!J149,IF(+NFL!$H149="LA Chargers",+NFL!J149,0))</f>
        <v>LA Chargers</v>
      </c>
      <c r="K314" s="494" t="str">
        <f>IF(+NFL!$F149="LA Chargers",+NFL!K149,IF(+NFL!$H149="LA Chargers",+NFL!K149,0))</f>
        <v>Atlanta</v>
      </c>
      <c r="L314" s="384">
        <f>IF(+NFL!$F149="LA Chargers",+NFL!L149,IF(+NFL!$H149="LA Chargers",+NFL!L149,0))</f>
        <v>3</v>
      </c>
      <c r="M314" s="385">
        <f>IF(+NFL!$F149="LA Chargers",+NFL!M149,IF(+NFL!$H149="LA Chargers",+NFL!M149,0))</f>
        <v>49.5</v>
      </c>
      <c r="N314" s="394" t="str">
        <f>IF(+NFL!$F149="LA Chargers",+NFL!N149,IF(+NFL!$H149="LA Chargers",+NFL!N149,0))</f>
        <v>LA Chargers</v>
      </c>
      <c r="O314" s="395">
        <f>IF(+NFL!$F149="LA Chargers",+NFL!O149,IF(+NFL!$H149="LA Chargers",+NFL!O149,0))</f>
        <v>20</v>
      </c>
      <c r="P314" s="394" t="str">
        <f>IF(+NFL!$F149="LA Chargers",+NFL!P149,IF(+NFL!$H149="LA Chargers",+NFL!P149,0))</f>
        <v>Atlanta</v>
      </c>
      <c r="Q314" s="396">
        <f>IF(+NFL!$F149="LA Chargers",+NFL!Q149,IF(+NFL!$H149="LA Chargers",+NFL!Q149,0))</f>
        <v>17</v>
      </c>
      <c r="R314" s="397" t="str">
        <f>IF(+NFL!$F149="LA Chargers",+NFL!R149,IF(+NFL!$H149="LA Chargers",+NFL!R149,0))</f>
        <v>LA Chargers</v>
      </c>
      <c r="S314" s="396" t="str">
        <f>IF(+NFL!$F149="LA Chargers",+NFL!S149,IF(+NFL!$H149="LA Chargers",+NFL!S149,0))</f>
        <v>Atlanta</v>
      </c>
      <c r="T314" s="398" t="str">
        <f>IF(+NFL!$F149="LA Chargers",+NFL!T149,IF(+NFL!$H149="LA Chargers",+NFL!T149,0))</f>
        <v>Atlanta</v>
      </c>
      <c r="U314" s="396" t="str">
        <f>IF(+NFL!$F149="LA Chargers",+NFL!U149,IF(+NFL!$H149="LA Chargers",+NFL!U149,0))</f>
        <v>T</v>
      </c>
      <c r="V314" s="397">
        <f>IF(+NFL!$F153="LA Chargers",+NFL!#REF!,IF(+NFL!$H153="LA Chargers",+NFL!#REF!,0))</f>
        <v>0</v>
      </c>
      <c r="W314" s="396">
        <f>IF(+NFL!$F153="LA Chargers",+NFL!#REF!,IF(+NFL!$H153="LA Chargers",+NFL!#REF!,0))</f>
        <v>0</v>
      </c>
      <c r="X314" s="398">
        <f>IF(+NFL!$F153="LA Chargers",+NFL!#REF!,IF(+NFL!$H153="LA Chargers",+NFL!#REF!,0))</f>
        <v>0</v>
      </c>
      <c r="Y314" s="396">
        <f>IF(+NFL!$F153="LA Chargers",+NFL!#REF!,IF(+NFL!$H153="LA Chargers",+NFL!#REF!,0))</f>
        <v>0</v>
      </c>
      <c r="Z314" s="397">
        <f>IF(+NFL!$F153="LA Chargers",+NFL!#REF!,IF(+NFL!$H153="LA Chargers",+NFL!#REF!,0))</f>
        <v>0</v>
      </c>
      <c r="AA314" s="396">
        <f>IF(+NFL!$F153="LA Chargers",+NFL!#REF!,IF(+NFL!$H153="LA Chargers",+NFL!#REF!,0))</f>
        <v>0</v>
      </c>
      <c r="AB314" s="87">
        <f>IF(+NFL!$F153="LA Chargers",+NFL!#REF!,IF(+NFL!$H153="LA Chargers",+NFL!#REF!,0))</f>
        <v>0</v>
      </c>
      <c r="AC314" s="120">
        <f>IF(+NFL!$F153="LA Chargers",+NFL!#REF!,IF(+NFL!$H153="LA Chargers",+NFL!#REF!,0))</f>
        <v>0</v>
      </c>
      <c r="AD314" s="353">
        <f>IF(+NFL!$F153="LA Chargers",+NFL!#REF!,IF(+NFL!$H153="LA Chargers",+NFL!#REF!,0))</f>
        <v>0</v>
      </c>
      <c r="AE314" s="379">
        <f>IF(+NFL!$F153="LA Chargers",+NFL!#REF!,IF(+NFL!$H153="LA Chargers",+NFL!#REF!,0))</f>
        <v>0</v>
      </c>
      <c r="AF314" s="353">
        <f>IF(+NFL!$F153="LA Chargers",+NFL!#REF!,IF(+NFL!$H153="LA Chargers",+NFL!#REF!,0))</f>
        <v>0</v>
      </c>
      <c r="AG314" s="379">
        <f>IF(+NFL!$F153="LA Chargers",+NFL!#REF!,IF(+NFL!$H153="LA Chargers",+NFL!#REF!,0))</f>
        <v>0</v>
      </c>
      <c r="AH314" s="353">
        <f>IF(+NFL!$F153="LA Chargers",+NFL!#REF!,IF(+NFL!$H153="LA Chargers",+NFL!#REF!,0))</f>
        <v>0</v>
      </c>
      <c r="AI314" s="379">
        <f>IF(+NFL!$F153="LA Chargers",+NFL!#REF!,IF(+NFL!$H153="LA Chargers",+NFL!#REF!,0))</f>
        <v>0</v>
      </c>
      <c r="AJ314" s="353">
        <f>IF(+NFL!$F153="LA Chargers",+NFL!#REF!,IF(+NFL!$H153="LA Chargers",+NFL!#REF!,0))</f>
        <v>0</v>
      </c>
      <c r="AK314" s="379">
        <f>IF(+NFL!$F153="LA Chargers",+NFL!#REF!,IF(+NFL!$H153="LA Chargers",+NFL!#REF!,0))</f>
        <v>0</v>
      </c>
      <c r="AL314" s="68">
        <f>IF(+NFL!$F153="LA Chargers",+NFL!#REF!,IF(+NFL!$H153="LA Chargers",+NFL!#REF!,0))</f>
        <v>0</v>
      </c>
      <c r="AM314" s="58">
        <f>IF(+NFL!$F153="LA Chargers",+NFL!#REF!,IF(+NFL!$H153="LA Chargers",+NFL!#REF!,0))</f>
        <v>0</v>
      </c>
      <c r="AN314" s="57">
        <f>IF(+NFL!$F153="LA Chargers",+NFL!#REF!,IF(+NFL!$H153="LA Chargers",+NFL!#REF!,0))</f>
        <v>0</v>
      </c>
      <c r="AO314" s="59">
        <f>IF(+NFL!$F153="LA Chargers",+NFL!#REF!,IF(+NFL!$H153="LA Chargers",+NFL!#REF!,0))</f>
        <v>0</v>
      </c>
      <c r="AP314" s="348">
        <f>IF(+NFL!$F153="LA Chargers",+NFL!#REF!,IF(+NFL!$H153="LA Chargers",+NFL!#REF!,0))</f>
        <v>0</v>
      </c>
      <c r="AQ314" s="48">
        <f>IF(+NFL!$F153="LA Chargers",+NFL!#REF!,IF(+NFL!$H153="LA Chargers",+NFL!#REF!,0))</f>
        <v>0</v>
      </c>
      <c r="AR314" s="57">
        <f>IF(+NFL!$F153="LA Chargers",+NFL!#REF!,IF(+NFL!$H153="LA Chargers",+NFL!#REF!,0))</f>
        <v>0</v>
      </c>
      <c r="AS314" s="64">
        <f>IF(+NFL!$F153="LA Chargers",+NFL!#REF!,IF(+NFL!$H153="LA Chargers",+NFL!#REF!,0))</f>
        <v>0</v>
      </c>
      <c r="AT314" s="64">
        <f>IF(+NFL!$F153="LA Chargers",+NFL!#REF!,IF(+NFL!$H153="LA Chargers",+NFL!#REF!,0))</f>
        <v>0</v>
      </c>
      <c r="AU314" s="57">
        <f>IF(+NFL!$F153="LA Chargers",+NFL!#REF!,IF(+NFL!$H153="LA Chargers",+NFL!#REF!,0))</f>
        <v>0</v>
      </c>
      <c r="AV314" s="64">
        <f>IF(+NFL!$F153="LA Chargers",+NFL!#REF!,IF(+NFL!$H153="LA Chargers",+NFL!#REF!,0))</f>
        <v>0</v>
      </c>
      <c r="AW314" s="46">
        <f>IF(+NFL!$F153="LA Chargers",+NFL!#REF!,IF(+NFL!$H153="LA Chargers",+NFL!#REF!,0))</f>
        <v>0</v>
      </c>
      <c r="AX314" s="64">
        <f>IF(+NFL!$F153="LA Chargers",+NFL!#REF!,IF(+NFL!$H153="LA Chargers",+NFL!#REF!,0))</f>
        <v>0</v>
      </c>
      <c r="AY314" s="57">
        <f>IF(+NFL!$F153="LA Chargers",+NFL!#REF!,IF(+NFL!$H153="LA Chargers",+NFL!#REF!,0))</f>
        <v>0</v>
      </c>
      <c r="AZ314" s="64">
        <f>IF(+NFL!$F153="LA Chargers",+NFL!#REF!,IF(+NFL!$H153="LA Chargers",+NFL!#REF!,0))</f>
        <v>0</v>
      </c>
      <c r="BA314" s="46">
        <f>IF(+NFL!$F153="LA Chargers",+NFL!#REF!,IF(+NFL!$H153="LA Chargers",+NFL!#REF!,0))</f>
        <v>0</v>
      </c>
      <c r="BB314" s="46">
        <f>IF(+NFL!$F153="LA Chargers",+NFL!#REF!,IF(+NFL!$H153="LA Chargers",+NFL!#REF!,0))</f>
        <v>0</v>
      </c>
      <c r="BC314" s="403">
        <f>IF(+NFL!$F153="LA Chargers",+NFL!#REF!,IF(+NFL!$H153="LA Chargers",+NFL!#REF!,0))</f>
        <v>0</v>
      </c>
      <c r="BD314" s="57">
        <f>IF(+NFL!$F153="LA Chargers",+NFL!#REF!,IF(+NFL!$H153="LA Chargers",+NFL!#REF!,0))</f>
        <v>0</v>
      </c>
      <c r="BE314" s="64">
        <f>IF(+NFL!$F153="LA Chargers",+NFL!#REF!,IF(+NFL!$H153="LA Chargers",+NFL!#REF!,0))</f>
        <v>0</v>
      </c>
      <c r="BF314" s="46">
        <f>IF(+NFL!$F153="LA Chargers",+NFL!#REF!,IF(+NFL!$H153="LA Chargers",+NFL!#REF!,0))</f>
        <v>0</v>
      </c>
      <c r="BG314" s="57">
        <f>IF(+NFL!$F153="LA Chargers",+NFL!#REF!,IF(+NFL!$H153="LA Chargers",+NFL!#REF!,0))</f>
        <v>0</v>
      </c>
      <c r="BH314" s="64">
        <f>IF(+NFL!$F153="LA Chargers",+NFL!#REF!,IF(+NFL!$H153="LA Chargers",+NFL!#REF!,0))</f>
        <v>0</v>
      </c>
      <c r="BI314" s="46">
        <f>IF(+NFL!$F153="LA Chargers",+NFL!#REF!,IF(+NFL!$H153="LA Chargers",+NFL!#REF!,0))</f>
        <v>0</v>
      </c>
      <c r="BJ314" s="87">
        <f>IF(+NFL!$F153="LA Chargers",+NFL!#REF!,IF(+NFL!$H153="LA Chargers",+NFL!#REF!,0))</f>
        <v>0</v>
      </c>
      <c r="BK314" s="120">
        <f>IF(+NFL!$F153="LA Chargers",+NFL!#REF!,IF(+NFL!$H153="LA Chargers",+NFL!#REF!,0))</f>
        <v>0</v>
      </c>
    </row>
    <row r="315" spans="1:68" s="246" customFormat="1" x14ac:dyDescent="0.8">
      <c r="A315" s="46">
        <f>IF(+NFL!$F181="LA Chargers",+NFL!A181,IF(+NFL!$H181="LA Chargers",+NFL!A181,0))</f>
        <v>10</v>
      </c>
      <c r="B315" s="348" t="str">
        <f>IF(+NFL!$F181="LA Chargers",+NFL!B181,IF(+NFL!$H181="LA Chargers",+NFL!B181,0))</f>
        <v>Sun</v>
      </c>
      <c r="C315" s="48">
        <f>IF(+NFL!$F181="LA Chargers",+NFL!C181,IF(+NFL!$H181="LA Chargers",+NFL!C181,0))</f>
        <v>44879</v>
      </c>
      <c r="D315" s="490">
        <f>IF(+NFL!$F181="LA Chargers",+NFL!D181,IF(+NFL!$H181="LA Chargers",+NFL!D181,0))</f>
        <v>0.84375</v>
      </c>
      <c r="E315" s="46" t="str">
        <f>IF(+NFL!$F181="LA Chargers",+NFL!E181,IF(+NFL!$H181="LA Chargers",+NFL!E181,0))</f>
        <v>NBC</v>
      </c>
      <c r="F315" s="114" t="str">
        <f>IF(+NFL!$F181="LA Chargers",+NFL!F181,IF(+NFL!$H181="LA Chargers",+NFL!F181,0))</f>
        <v>LA Chargers</v>
      </c>
      <c r="G315" s="46" t="str">
        <f>IF(+NFL!$F181="LA Chargers",+NFL!G181,IF(+NFL!$H181="LA Chargers",+NFL!G181,0))</f>
        <v>AFCW</v>
      </c>
      <c r="H315" s="114" t="str">
        <f>IF(+NFL!$F181="LA Chargers",+NFL!H181,IF(+NFL!$H181="LA Chargers",+NFL!H181,0))</f>
        <v>San Francisco</v>
      </c>
      <c r="I315" s="46" t="str">
        <f>IF(+NFL!$F181="LA Chargers",+NFL!I181,IF(+NFL!$H181="LA Chargers",+NFL!I181,0))</f>
        <v>NFCW</v>
      </c>
      <c r="J315" s="353" t="str">
        <f>IF(+NFL!$F181="LA Chargers",+NFL!J181,IF(+NFL!$H181="LA Chargers",+NFL!J181,0))</f>
        <v>San Francisco</v>
      </c>
      <c r="K315" s="494" t="str">
        <f>IF(+NFL!$F181="LA Chargers",+NFL!K181,IF(+NFL!$H181="LA Chargers",+NFL!K181,0))</f>
        <v>LA Chargers</v>
      </c>
      <c r="L315" s="384">
        <f>IF(+NFL!$F181="LA Chargers",+NFL!L181,IF(+NFL!$H181="LA Chargers",+NFL!L181,0))</f>
        <v>7</v>
      </c>
      <c r="M315" s="385">
        <f>IF(+NFL!$F181="LA Chargers",+NFL!M181,IF(+NFL!$H181="LA Chargers",+NFL!M181,0))</f>
        <v>45.5</v>
      </c>
      <c r="N315" s="394" t="str">
        <f>IF(+NFL!$F181="LA Chargers",+NFL!N181,IF(+NFL!$H181="LA Chargers",+NFL!N181,0))</f>
        <v>San Francisco</v>
      </c>
      <c r="O315" s="395">
        <f>IF(+NFL!$F181="LA Chargers",+NFL!O181,IF(+NFL!$H181="LA Chargers",+NFL!O181,0))</f>
        <v>22</v>
      </c>
      <c r="P315" s="394" t="str">
        <f>IF(+NFL!$F181="LA Chargers",+NFL!P181,IF(+NFL!$H181="LA Chargers",+NFL!P181,0))</f>
        <v>LA Chargers</v>
      </c>
      <c r="Q315" s="396">
        <f>IF(+NFL!$F181="LA Chargers",+NFL!Q181,IF(+NFL!$H181="LA Chargers",+NFL!Q181,0))</f>
        <v>16</v>
      </c>
      <c r="R315" s="397" t="str">
        <f>IF(+NFL!$F181="LA Chargers",+NFL!R181,IF(+NFL!$H181="LA Chargers",+NFL!R181,0))</f>
        <v>LA Chargers</v>
      </c>
      <c r="S315" s="396" t="str">
        <f>IF(+NFL!$F181="LA Chargers",+NFL!S181,IF(+NFL!$H181="LA Chargers",+NFL!S181,0))</f>
        <v>San Francisco</v>
      </c>
      <c r="T315" s="398" t="str">
        <f>IF(+NFL!$F181="LA Chargers",+NFL!T181,IF(+NFL!$H181="LA Chargers",+NFL!T181,0))</f>
        <v>San Francisco</v>
      </c>
      <c r="U315" s="396" t="str">
        <f>IF(+NFL!$F181="LA Chargers",+NFL!U181,IF(+NFL!$H181="LA Chargers",+NFL!U181,0))</f>
        <v>L</v>
      </c>
      <c r="V315" s="397">
        <f>IF(+NFL!$F184="LA Chargers",+NFL!#REF!,IF(+NFL!$H184="LA Chargers",+NFL!#REF!,0))</f>
        <v>0</v>
      </c>
      <c r="W315" s="396">
        <f>IF(+NFL!$F184="LA Chargers",+NFL!#REF!,IF(+NFL!$H184="LA Chargers",+NFL!#REF!,0))</f>
        <v>0</v>
      </c>
      <c r="X315" s="398">
        <f>IF(+NFL!$F184="LA Chargers",+NFL!#REF!,IF(+NFL!$H184="LA Chargers",+NFL!#REF!,0))</f>
        <v>0</v>
      </c>
      <c r="Y315" s="396">
        <f>IF(+NFL!$F184="LA Chargers",+NFL!#REF!,IF(+NFL!$H184="LA Chargers",+NFL!#REF!,0))</f>
        <v>0</v>
      </c>
      <c r="Z315" s="397">
        <f>IF(+NFL!$F184="LA Chargers",+NFL!#REF!,IF(+NFL!$H184="LA Chargers",+NFL!#REF!,0))</f>
        <v>0</v>
      </c>
      <c r="AA315" s="396">
        <f>IF(+NFL!$F184="LA Chargers",+NFL!#REF!,IF(+NFL!$H184="LA Chargers",+NFL!#REF!,0))</f>
        <v>0</v>
      </c>
      <c r="AB315" s="87">
        <f>IF(+NFL!$F184="LA Chargers",+NFL!#REF!,IF(+NFL!$H184="LA Chargers",+NFL!#REF!,0))</f>
        <v>0</v>
      </c>
      <c r="AC315" s="120">
        <f>IF(+NFL!$F184="LA Chargers",+NFL!#REF!,IF(+NFL!$H184="LA Chargers",+NFL!#REF!,0))</f>
        <v>0</v>
      </c>
      <c r="AD315" s="353">
        <f>IF(+NFL!$F184="LA Chargers",+NFL!#REF!,IF(+NFL!$H184="LA Chargers",+NFL!#REF!,0))</f>
        <v>0</v>
      </c>
      <c r="AE315" s="379">
        <f>IF(+NFL!$F184="LA Chargers",+NFL!#REF!,IF(+NFL!$H184="LA Chargers",+NFL!#REF!,0))</f>
        <v>0</v>
      </c>
      <c r="AF315" s="353">
        <f>IF(+NFL!$F184="LA Chargers",+NFL!#REF!,IF(+NFL!$H184="LA Chargers",+NFL!#REF!,0))</f>
        <v>0</v>
      </c>
      <c r="AG315" s="379">
        <f>IF(+NFL!$F184="LA Chargers",+NFL!#REF!,IF(+NFL!$H184="LA Chargers",+NFL!#REF!,0))</f>
        <v>0</v>
      </c>
      <c r="AH315" s="353">
        <f>IF(+NFL!$F184="LA Chargers",+NFL!#REF!,IF(+NFL!$H184="LA Chargers",+NFL!#REF!,0))</f>
        <v>0</v>
      </c>
      <c r="AI315" s="379">
        <f>IF(+NFL!$F184="LA Chargers",+NFL!#REF!,IF(+NFL!$H184="LA Chargers",+NFL!#REF!,0))</f>
        <v>0</v>
      </c>
      <c r="AJ315" s="353">
        <f>IF(+NFL!$F184="LA Chargers",+NFL!#REF!,IF(+NFL!$H184="LA Chargers",+NFL!#REF!,0))</f>
        <v>0</v>
      </c>
      <c r="AK315" s="379">
        <f>IF(+NFL!$F184="LA Chargers",+NFL!#REF!,IF(+NFL!$H184="LA Chargers",+NFL!#REF!,0))</f>
        <v>0</v>
      </c>
      <c r="AL315" s="68">
        <f>IF(+NFL!$F184="LA Chargers",+NFL!#REF!,IF(+NFL!$H184="LA Chargers",+NFL!#REF!,0))</f>
        <v>0</v>
      </c>
      <c r="AM315" s="58">
        <f>IF(+NFL!$F184="LA Chargers",+NFL!#REF!,IF(+NFL!$H184="LA Chargers",+NFL!#REF!,0))</f>
        <v>0</v>
      </c>
      <c r="AN315" s="57">
        <f>IF(+NFL!$F184="LA Chargers",+NFL!#REF!,IF(+NFL!$H184="LA Chargers",+NFL!#REF!,0))</f>
        <v>0</v>
      </c>
      <c r="AO315" s="59">
        <f>IF(+NFL!$F184="LA Chargers",+NFL!#REF!,IF(+NFL!$H184="LA Chargers",+NFL!#REF!,0))</f>
        <v>0</v>
      </c>
      <c r="AP315" s="348">
        <f>IF(+NFL!$F184="LA Chargers",+NFL!#REF!,IF(+NFL!$H184="LA Chargers",+NFL!#REF!,0))</f>
        <v>0</v>
      </c>
      <c r="AQ315" s="48">
        <f>IF(+NFL!$F184="LA Chargers",+NFL!#REF!,IF(+NFL!$H184="LA Chargers",+NFL!#REF!,0))</f>
        <v>0</v>
      </c>
      <c r="AR315" s="57">
        <f>IF(+NFL!$F184="LA Chargers",+NFL!#REF!,IF(+NFL!$H184="LA Chargers",+NFL!#REF!,0))</f>
        <v>0</v>
      </c>
      <c r="AS315" s="64">
        <f>IF(+NFL!$F184="LA Chargers",+NFL!#REF!,IF(+NFL!$H184="LA Chargers",+NFL!#REF!,0))</f>
        <v>0</v>
      </c>
      <c r="AT315" s="64">
        <f>IF(+NFL!$F184="LA Chargers",+NFL!#REF!,IF(+NFL!$H184="LA Chargers",+NFL!#REF!,0))</f>
        <v>0</v>
      </c>
      <c r="AU315" s="57">
        <f>IF(+NFL!$F184="LA Chargers",+NFL!#REF!,IF(+NFL!$H184="LA Chargers",+NFL!#REF!,0))</f>
        <v>0</v>
      </c>
      <c r="AV315" s="64">
        <f>IF(+NFL!$F184="LA Chargers",+NFL!#REF!,IF(+NFL!$H184="LA Chargers",+NFL!#REF!,0))</f>
        <v>0</v>
      </c>
      <c r="AW315" s="46">
        <f>IF(+NFL!$F184="LA Chargers",+NFL!#REF!,IF(+NFL!$H184="LA Chargers",+NFL!#REF!,0))</f>
        <v>0</v>
      </c>
      <c r="AX315" s="64">
        <f>IF(+NFL!$F184="LA Chargers",+NFL!#REF!,IF(+NFL!$H184="LA Chargers",+NFL!#REF!,0))</f>
        <v>0</v>
      </c>
      <c r="AY315" s="57">
        <f>IF(+NFL!$F184="LA Chargers",+NFL!#REF!,IF(+NFL!$H184="LA Chargers",+NFL!#REF!,0))</f>
        <v>0</v>
      </c>
      <c r="AZ315" s="64">
        <f>IF(+NFL!$F184="LA Chargers",+NFL!#REF!,IF(+NFL!$H184="LA Chargers",+NFL!#REF!,0))</f>
        <v>0</v>
      </c>
      <c r="BA315" s="46">
        <f>IF(+NFL!$F184="LA Chargers",+NFL!#REF!,IF(+NFL!$H184="LA Chargers",+NFL!#REF!,0))</f>
        <v>0</v>
      </c>
      <c r="BB315" s="46">
        <f>IF(+NFL!$F184="LA Chargers",+NFL!#REF!,IF(+NFL!$H184="LA Chargers",+NFL!#REF!,0))</f>
        <v>0</v>
      </c>
      <c r="BC315" s="403">
        <f>IF(+NFL!$F184="LA Chargers",+NFL!#REF!,IF(+NFL!$H184="LA Chargers",+NFL!#REF!,0))</f>
        <v>0</v>
      </c>
      <c r="BD315" s="57">
        <f>IF(+NFL!$F184="LA Chargers",+NFL!#REF!,IF(+NFL!$H184="LA Chargers",+NFL!#REF!,0))</f>
        <v>0</v>
      </c>
      <c r="BE315" s="64">
        <f>IF(+NFL!$F184="LA Chargers",+NFL!#REF!,IF(+NFL!$H184="LA Chargers",+NFL!#REF!,0))</f>
        <v>0</v>
      </c>
      <c r="BF315" s="46">
        <f>IF(+NFL!$F184="LA Chargers",+NFL!#REF!,IF(+NFL!$H184="LA Chargers",+NFL!#REF!,0))</f>
        <v>0</v>
      </c>
      <c r="BG315" s="57">
        <f>IF(+NFL!$F184="LA Chargers",+NFL!#REF!,IF(+NFL!$H184="LA Chargers",+NFL!#REF!,0))</f>
        <v>0</v>
      </c>
      <c r="BH315" s="64">
        <f>IF(+NFL!$F184="LA Chargers",+NFL!#REF!,IF(+NFL!$H184="LA Chargers",+NFL!#REF!,0))</f>
        <v>0</v>
      </c>
      <c r="BI315" s="46">
        <f>IF(+NFL!$F184="LA Chargers",+NFL!#REF!,IF(+NFL!$H184="LA Chargers",+NFL!#REF!,0))</f>
        <v>0</v>
      </c>
      <c r="BJ315" s="87">
        <f>IF(+NFL!$F184="LA Chargers",+NFL!#REF!,IF(+NFL!$H184="LA Chargers",+NFL!#REF!,0))</f>
        <v>0</v>
      </c>
      <c r="BK315" s="120">
        <f>IF(+NFL!$F184="LA Chargers",+NFL!#REF!,IF(+NFL!$H184="LA Chargers",+NFL!#REF!,0))</f>
        <v>0</v>
      </c>
    </row>
    <row r="316" spans="1:68" s="246" customFormat="1" x14ac:dyDescent="0.8">
      <c r="A316" s="46">
        <f>IF(+NFL!$F200="LA Chargers",+NFL!A200,IF(+NFL!$H200="LA Chargers",+NFL!A200,0))</f>
        <v>11</v>
      </c>
      <c r="B316" s="348" t="str">
        <f>IF(+NFL!$F200="LA Chargers",+NFL!B200,IF(+NFL!$H200="LA Chargers",+NFL!B200,0))</f>
        <v>Sun</v>
      </c>
      <c r="C316" s="48">
        <f>IF(+NFL!$F200="LA Chargers",+NFL!C200,IF(+NFL!$H200="LA Chargers",+NFL!C200,0))</f>
        <v>44886</v>
      </c>
      <c r="D316" s="490">
        <f>IF(+NFL!$F200="LA Chargers",+NFL!D200,IF(+NFL!$H200="LA Chargers",+NFL!D200,0))</f>
        <v>0.66666666666666663</v>
      </c>
      <c r="E316" s="46" t="str">
        <f>IF(+NFL!$F200="LA Chargers",+NFL!E200,IF(+NFL!$H200="LA Chargers",+NFL!E200,0))</f>
        <v>ABC</v>
      </c>
      <c r="F316" s="114" t="str">
        <f>IF(+NFL!$F200="LA Chargers",+NFL!F200,IF(+NFL!$H200="LA Chargers",+NFL!F200,0))</f>
        <v>Kansas City</v>
      </c>
      <c r="G316" s="46" t="str">
        <f>IF(+NFL!$F200="LA Chargers",+NFL!G200,IF(+NFL!$H200="LA Chargers",+NFL!G200,0))</f>
        <v>AFCW</v>
      </c>
      <c r="H316" s="114" t="str">
        <f>IF(+NFL!$F200="LA Chargers",+NFL!H200,IF(+NFL!$H200="LA Chargers",+NFL!H200,0))</f>
        <v>LA Chargers</v>
      </c>
      <c r="I316" s="46" t="str">
        <f>IF(+NFL!$F200="LA Chargers",+NFL!I200,IF(+NFL!$H200="LA Chargers",+NFL!I200,0))</f>
        <v>AFCW</v>
      </c>
      <c r="J316" s="353" t="str">
        <f>IF(+NFL!$F200="LA Chargers",+NFL!J200,IF(+NFL!$H200="LA Chargers",+NFL!J200,0))</f>
        <v>Kansas City</v>
      </c>
      <c r="K316" s="494" t="str">
        <f>IF(+NFL!$F200="LA Chargers",+NFL!K200,IF(+NFL!$H200="LA Chargers",+NFL!K200,0))</f>
        <v>LA Chargers</v>
      </c>
      <c r="L316" s="384">
        <f>IF(+NFL!$F200="LA Chargers",+NFL!L200,IF(+NFL!$H200="LA Chargers",+NFL!L200,0))</f>
        <v>6.5</v>
      </c>
      <c r="M316" s="385">
        <f>IF(+NFL!$F200="LA Chargers",+NFL!M200,IF(+NFL!$H200="LA Chargers",+NFL!M200,0))</f>
        <v>50</v>
      </c>
      <c r="N316" s="394" t="str">
        <f>IF(+NFL!$F200="LA Chargers",+NFL!N200,IF(+NFL!$H200="LA Chargers",+NFL!N200,0))</f>
        <v>Kansas City</v>
      </c>
      <c r="O316" s="395">
        <f>IF(+NFL!$F200="LA Chargers",+NFL!O200,IF(+NFL!$H200="LA Chargers",+NFL!O200,0))</f>
        <v>30</v>
      </c>
      <c r="P316" s="394" t="str">
        <f>IF(+NFL!$F200="LA Chargers",+NFL!P200,IF(+NFL!$H200="LA Chargers",+NFL!P200,0))</f>
        <v>LA Chargers</v>
      </c>
      <c r="Q316" s="396">
        <f>IF(+NFL!$F200="LA Chargers",+NFL!Q200,IF(+NFL!$H200="LA Chargers",+NFL!Q200,0))</f>
        <v>27</v>
      </c>
      <c r="R316" s="397" t="str">
        <f>IF(+NFL!$F200="LA Chargers",+NFL!R200,IF(+NFL!$H200="LA Chargers",+NFL!R200,0))</f>
        <v>LA Chargers</v>
      </c>
      <c r="S316" s="396" t="str">
        <f>IF(+NFL!$F200="LA Chargers",+NFL!S200,IF(+NFL!$H200="LA Chargers",+NFL!S200,0))</f>
        <v>Kansas City</v>
      </c>
      <c r="T316" s="398" t="str">
        <f>IF(+NFL!$F200="LA Chargers",+NFL!T200,IF(+NFL!$H200="LA Chargers",+NFL!T200,0))</f>
        <v>Kansas City</v>
      </c>
      <c r="U316" s="396" t="str">
        <f>IF(+NFL!$F200="LA Chargers",+NFL!U200,IF(+NFL!$H200="LA Chargers",+NFL!U200,0))</f>
        <v>L</v>
      </c>
      <c r="V316" s="397">
        <f>IF(+NFL!$F197="LA Chargers",+NFL!#REF!,IF(+NFL!$H197="LA Chargers",+NFL!#REF!,0))</f>
        <v>0</v>
      </c>
      <c r="W316" s="396">
        <f>IF(+NFL!$F197="LA Chargers",+NFL!#REF!,IF(+NFL!$H197="LA Chargers",+NFL!#REF!,0))</f>
        <v>0</v>
      </c>
      <c r="X316" s="398">
        <f>IF(+NFL!$F197="LA Chargers",+NFL!#REF!,IF(+NFL!$H197="LA Chargers",+NFL!#REF!,0))</f>
        <v>0</v>
      </c>
      <c r="Y316" s="396">
        <f>IF(+NFL!$F197="LA Chargers",+NFL!#REF!,IF(+NFL!$H197="LA Chargers",+NFL!#REF!,0))</f>
        <v>0</v>
      </c>
      <c r="Z316" s="397">
        <f>IF(+NFL!$F197="LA Chargers",+NFL!#REF!,IF(+NFL!$H197="LA Chargers",+NFL!#REF!,0))</f>
        <v>0</v>
      </c>
      <c r="AA316" s="396">
        <f>IF(+NFL!$F197="LA Chargers",+NFL!#REF!,IF(+NFL!$H197="LA Chargers",+NFL!#REF!,0))</f>
        <v>0</v>
      </c>
      <c r="AB316" s="87">
        <f>IF(+NFL!$F197="LA Chargers",+NFL!#REF!,IF(+NFL!$H197="LA Chargers",+NFL!#REF!,0))</f>
        <v>0</v>
      </c>
      <c r="AC316" s="120">
        <f>IF(+NFL!$F197="LA Chargers",+NFL!#REF!,IF(+NFL!$H197="LA Chargers",+NFL!#REF!,0))</f>
        <v>0</v>
      </c>
      <c r="AD316" s="353">
        <f>IF(+NFL!$F197="LA Chargers",+NFL!#REF!,IF(+NFL!$H197="LA Chargers",+NFL!#REF!,0))</f>
        <v>0</v>
      </c>
      <c r="AE316" s="379">
        <f>IF(+NFL!$F197="LA Chargers",+NFL!#REF!,IF(+NFL!$H197="LA Chargers",+NFL!#REF!,0))</f>
        <v>0</v>
      </c>
      <c r="AF316" s="353">
        <f>IF(+NFL!$F197="LA Chargers",+NFL!#REF!,IF(+NFL!$H197="LA Chargers",+NFL!#REF!,0))</f>
        <v>0</v>
      </c>
      <c r="AG316" s="379">
        <f>IF(+NFL!$F197="LA Chargers",+NFL!#REF!,IF(+NFL!$H197="LA Chargers",+NFL!#REF!,0))</f>
        <v>0</v>
      </c>
      <c r="AH316" s="353">
        <f>IF(+NFL!$F197="LA Chargers",+NFL!#REF!,IF(+NFL!$H197="LA Chargers",+NFL!#REF!,0))</f>
        <v>0</v>
      </c>
      <c r="AI316" s="379">
        <f>IF(+NFL!$F197="LA Chargers",+NFL!#REF!,IF(+NFL!$H197="LA Chargers",+NFL!#REF!,0))</f>
        <v>0</v>
      </c>
      <c r="AJ316" s="353">
        <f>IF(+NFL!$F197="LA Chargers",+NFL!#REF!,IF(+NFL!$H197="LA Chargers",+NFL!#REF!,0))</f>
        <v>0</v>
      </c>
      <c r="AK316" s="379">
        <f>IF(+NFL!$F197="LA Chargers",+NFL!#REF!,IF(+NFL!$H197="LA Chargers",+NFL!#REF!,0))</f>
        <v>0</v>
      </c>
      <c r="AL316" s="68">
        <f>IF(+NFL!$F197="LA Chargers",+NFL!#REF!,IF(+NFL!$H197="LA Chargers",+NFL!#REF!,0))</f>
        <v>0</v>
      </c>
      <c r="AM316" s="58">
        <f>IF(+NFL!$F197="LA Chargers",+NFL!#REF!,IF(+NFL!$H197="LA Chargers",+NFL!#REF!,0))</f>
        <v>0</v>
      </c>
      <c r="AN316" s="57">
        <f>IF(+NFL!$F197="LA Chargers",+NFL!#REF!,IF(+NFL!$H197="LA Chargers",+NFL!#REF!,0))</f>
        <v>0</v>
      </c>
      <c r="AO316" s="59">
        <f>IF(+NFL!$F197="LA Chargers",+NFL!#REF!,IF(+NFL!$H197="LA Chargers",+NFL!#REF!,0))</f>
        <v>0</v>
      </c>
      <c r="AP316" s="348">
        <f>IF(+NFL!$F197="LA Chargers",+NFL!#REF!,IF(+NFL!$H197="LA Chargers",+NFL!#REF!,0))</f>
        <v>0</v>
      </c>
      <c r="AQ316" s="48">
        <f>IF(+NFL!$F197="LA Chargers",+NFL!#REF!,IF(+NFL!$H197="LA Chargers",+NFL!#REF!,0))</f>
        <v>0</v>
      </c>
      <c r="AR316" s="57">
        <f>IF(+NFL!$F197="LA Chargers",+NFL!#REF!,IF(+NFL!$H197="LA Chargers",+NFL!#REF!,0))</f>
        <v>0</v>
      </c>
      <c r="AS316" s="64">
        <f>IF(+NFL!$F197="LA Chargers",+NFL!#REF!,IF(+NFL!$H197="LA Chargers",+NFL!#REF!,0))</f>
        <v>0</v>
      </c>
      <c r="AT316" s="64">
        <f>IF(+NFL!$F197="LA Chargers",+NFL!#REF!,IF(+NFL!$H197="LA Chargers",+NFL!#REF!,0))</f>
        <v>0</v>
      </c>
      <c r="AU316" s="57">
        <f>IF(+NFL!$F197="LA Chargers",+NFL!#REF!,IF(+NFL!$H197="LA Chargers",+NFL!#REF!,0))</f>
        <v>0</v>
      </c>
      <c r="AV316" s="64">
        <f>IF(+NFL!$F197="LA Chargers",+NFL!#REF!,IF(+NFL!$H197="LA Chargers",+NFL!#REF!,0))</f>
        <v>0</v>
      </c>
      <c r="AW316" s="46">
        <f>IF(+NFL!$F197="LA Chargers",+NFL!#REF!,IF(+NFL!$H197="LA Chargers",+NFL!#REF!,0))</f>
        <v>0</v>
      </c>
      <c r="AX316" s="64">
        <f>IF(+NFL!$F197="LA Chargers",+NFL!#REF!,IF(+NFL!$H197="LA Chargers",+NFL!#REF!,0))</f>
        <v>0</v>
      </c>
      <c r="AY316" s="57">
        <f>IF(+NFL!$F197="LA Chargers",+NFL!#REF!,IF(+NFL!$H197="LA Chargers",+NFL!#REF!,0))</f>
        <v>0</v>
      </c>
      <c r="AZ316" s="64">
        <f>IF(+NFL!$F197="LA Chargers",+NFL!#REF!,IF(+NFL!$H197="LA Chargers",+NFL!#REF!,0))</f>
        <v>0</v>
      </c>
      <c r="BA316" s="46">
        <f>IF(+NFL!$F197="LA Chargers",+NFL!#REF!,IF(+NFL!$H197="LA Chargers",+NFL!#REF!,0))</f>
        <v>0</v>
      </c>
      <c r="BB316" s="46">
        <f>IF(+NFL!$F197="LA Chargers",+NFL!#REF!,IF(+NFL!$H197="LA Chargers",+NFL!#REF!,0))</f>
        <v>0</v>
      </c>
      <c r="BC316" s="403">
        <f>IF(+NFL!$F197="LA Chargers",+NFL!#REF!,IF(+NFL!$H197="LA Chargers",+NFL!#REF!,0))</f>
        <v>0</v>
      </c>
      <c r="BD316" s="57">
        <f>IF(+NFL!$F197="LA Chargers",+NFL!#REF!,IF(+NFL!$H197="LA Chargers",+NFL!#REF!,0))</f>
        <v>0</v>
      </c>
      <c r="BE316" s="64">
        <f>IF(+NFL!$F197="LA Chargers",+NFL!#REF!,IF(+NFL!$H197="LA Chargers",+NFL!#REF!,0))</f>
        <v>0</v>
      </c>
      <c r="BF316" s="46">
        <f>IF(+NFL!$F197="LA Chargers",+NFL!#REF!,IF(+NFL!$H197="LA Chargers",+NFL!#REF!,0))</f>
        <v>0</v>
      </c>
      <c r="BG316" s="57">
        <f>IF(+NFL!$F197="LA Chargers",+NFL!#REF!,IF(+NFL!$H197="LA Chargers",+NFL!#REF!,0))</f>
        <v>0</v>
      </c>
      <c r="BH316" s="64">
        <f>IF(+NFL!$F197="LA Chargers",+NFL!#REF!,IF(+NFL!$H197="LA Chargers",+NFL!#REF!,0))</f>
        <v>0</v>
      </c>
      <c r="BI316" s="46">
        <f>IF(+NFL!$F197="LA Chargers",+NFL!#REF!,IF(+NFL!$H197="LA Chargers",+NFL!#REF!,0))</f>
        <v>0</v>
      </c>
      <c r="BJ316" s="87">
        <f>IF(+NFL!$F197="LA Chargers",+NFL!#REF!,IF(+NFL!$H197="LA Chargers",+NFL!#REF!,0))</f>
        <v>0</v>
      </c>
      <c r="BK316" s="120">
        <f>IF(+NFL!$F197="LA Chargers",+NFL!#REF!,IF(+NFL!$H197="LA Chargers",+NFL!#REF!,0))</f>
        <v>0</v>
      </c>
    </row>
    <row r="317" spans="1:68" s="246" customFormat="1" x14ac:dyDescent="0.8">
      <c r="A317" s="46">
        <f>IF(+NFL!$F221="LA Chargers",+NFL!A221,IF(+NFL!$H221="LA Chargers",+NFL!A221,0))</f>
        <v>12</v>
      </c>
      <c r="B317" s="348" t="str">
        <f>IF(+NFL!$F221="LA Chargers",+NFL!B221,IF(+NFL!$H221="LA Chargers",+NFL!B221,0))</f>
        <v>Sun</v>
      </c>
      <c r="C317" s="48">
        <f>IF(+NFL!$F221="LA Chargers",+NFL!C221,IF(+NFL!$H221="LA Chargers",+NFL!C221,0))</f>
        <v>44892</v>
      </c>
      <c r="D317" s="490">
        <f>IF(+NFL!$F221="LA Chargers",+NFL!D221,IF(+NFL!$H221="LA Chargers",+NFL!D221,0))</f>
        <v>0.66666666666666663</v>
      </c>
      <c r="E317" s="46" t="str">
        <f>IF(+NFL!$F221="LA Chargers",+NFL!E221,IF(+NFL!$H221="LA Chargers",+NFL!E221,0))</f>
        <v>Fox</v>
      </c>
      <c r="F317" s="114" t="str">
        <f>IF(+NFL!$F221="LA Chargers",+NFL!F221,IF(+NFL!$H221="LA Chargers",+NFL!F221,0))</f>
        <v>LA Chargers</v>
      </c>
      <c r="G317" s="46" t="str">
        <f>IF(+NFL!$F221="LA Chargers",+NFL!G221,IF(+NFL!$H221="LA Chargers",+NFL!G221,0))</f>
        <v>NFCW</v>
      </c>
      <c r="H317" s="114" t="str">
        <f>IF(+NFL!$F221="LA Chargers",+NFL!H221,IF(+NFL!$H221="LA Chargers",+NFL!H221,0))</f>
        <v>Arizona</v>
      </c>
      <c r="I317" s="46" t="str">
        <f>IF(+NFL!$F221="LA Chargers",+NFL!I221,IF(+NFL!$H221="LA Chargers",+NFL!I221,0))</f>
        <v>AFCW</v>
      </c>
      <c r="J317" s="353" t="str">
        <f>IF(+NFL!$F221="LA Chargers",+NFL!J221,IF(+NFL!$H221="LA Chargers",+NFL!J221,0))</f>
        <v>LA Chargers</v>
      </c>
      <c r="K317" s="494" t="str">
        <f>IF(+NFL!$F221="LA Chargers",+NFL!K221,IF(+NFL!$H221="LA Chargers",+NFL!K221,0))</f>
        <v>Arizona</v>
      </c>
      <c r="L317" s="384">
        <f>IF(+NFL!$F221="LA Chargers",+NFL!L221,IF(+NFL!$H221="LA Chargers",+NFL!L221,0))</f>
        <v>4.5</v>
      </c>
      <c r="M317" s="385">
        <f>IF(+NFL!$F221="LA Chargers",+NFL!M221,IF(+NFL!$H221="LA Chargers",+NFL!M221,0))</f>
        <v>47.5</v>
      </c>
      <c r="N317" s="394" t="str">
        <f>IF(+NFL!$F221="LA Chargers",+NFL!N221,IF(+NFL!$H221="LA Chargers",+NFL!N221,0))</f>
        <v>LA Chargers</v>
      </c>
      <c r="O317" s="395">
        <f>IF(+NFL!$F221="LA Chargers",+NFL!O221,IF(+NFL!$H221="LA Chargers",+NFL!O221,0))</f>
        <v>25</v>
      </c>
      <c r="P317" s="394" t="str">
        <f>IF(+NFL!$F221="LA Chargers",+NFL!P221,IF(+NFL!$H221="LA Chargers",+NFL!P221,0))</f>
        <v>Arizona</v>
      </c>
      <c r="Q317" s="396">
        <f>IF(+NFL!$F221="LA Chargers",+NFL!Q221,IF(+NFL!$H221="LA Chargers",+NFL!Q221,0))</f>
        <v>24</v>
      </c>
      <c r="R317" s="397" t="str">
        <f>IF(+NFL!$F221="LA Chargers",+NFL!R221,IF(+NFL!$H221="LA Chargers",+NFL!R221,0))</f>
        <v>Arizona</v>
      </c>
      <c r="S317" s="396" t="str">
        <f>IF(+NFL!$F221="LA Chargers",+NFL!S221,IF(+NFL!$H221="LA Chargers",+NFL!S221,0))</f>
        <v>LA Chargers</v>
      </c>
      <c r="T317" s="398" t="str">
        <f>IF(+NFL!$F221="LA Chargers",+NFL!T221,IF(+NFL!$H221="LA Chargers",+NFL!T221,0))</f>
        <v>Arizona</v>
      </c>
      <c r="U317" s="396" t="str">
        <f>IF(+NFL!$F221="LA Chargers",+NFL!U221,IF(+NFL!$H221="LA Chargers",+NFL!U221,0))</f>
        <v>W</v>
      </c>
      <c r="V317" s="397" t="e">
        <f>IF(+NFL!$F221="LA Chargers",+NFL!#REF!,IF(+NFL!$H221="LA Chargers",+NFL!#REF!,0))</f>
        <v>#REF!</v>
      </c>
      <c r="W317" s="396" t="e">
        <f>IF(+NFL!$F221="LA Chargers",+NFL!#REF!,IF(+NFL!$H221="LA Chargers",+NFL!#REF!,0))</f>
        <v>#REF!</v>
      </c>
      <c r="X317" s="398" t="e">
        <f>IF(+NFL!$F221="LA Chargers",+NFL!#REF!,IF(+NFL!$H221="LA Chargers",+NFL!#REF!,0))</f>
        <v>#REF!</v>
      </c>
      <c r="Y317" s="396" t="e">
        <f>IF(+NFL!$F221="LA Chargers",+NFL!#REF!,IF(+NFL!$H221="LA Chargers",+NFL!#REF!,0))</f>
        <v>#REF!</v>
      </c>
      <c r="Z317" s="397" t="e">
        <f>IF(+NFL!$F221="LA Chargers",+NFL!#REF!,IF(+NFL!$H221="LA Chargers",+NFL!#REF!,0))</f>
        <v>#REF!</v>
      </c>
      <c r="AA317" s="396" t="e">
        <f>IF(+NFL!$F221="LA Chargers",+NFL!#REF!,IF(+NFL!$H221="LA Chargers",+NFL!#REF!,0))</f>
        <v>#REF!</v>
      </c>
      <c r="AB317" s="87" t="e">
        <f>IF(+NFL!$F221="LA Chargers",+NFL!#REF!,IF(+NFL!$H221="LA Chargers",+NFL!#REF!,0))</f>
        <v>#REF!</v>
      </c>
      <c r="AC317" s="120" t="e">
        <f>IF(+NFL!$F221="LA Chargers",+NFL!#REF!,IF(+NFL!$H221="LA Chargers",+NFL!#REF!,0))</f>
        <v>#REF!</v>
      </c>
      <c r="AD317" s="353" t="e">
        <f>IF(+NFL!$F221="LA Chargers",+NFL!#REF!,IF(+NFL!$H221="LA Chargers",+NFL!#REF!,0))</f>
        <v>#REF!</v>
      </c>
      <c r="AE317" s="379" t="e">
        <f>IF(+NFL!$F221="LA Chargers",+NFL!#REF!,IF(+NFL!$H221="LA Chargers",+NFL!#REF!,0))</f>
        <v>#REF!</v>
      </c>
      <c r="AF317" s="353" t="e">
        <f>IF(+NFL!$F221="LA Chargers",+NFL!#REF!,IF(+NFL!$H221="LA Chargers",+NFL!#REF!,0))</f>
        <v>#REF!</v>
      </c>
      <c r="AG317" s="379" t="e">
        <f>IF(+NFL!$F221="LA Chargers",+NFL!#REF!,IF(+NFL!$H221="LA Chargers",+NFL!#REF!,0))</f>
        <v>#REF!</v>
      </c>
      <c r="AH317" s="353" t="e">
        <f>IF(+NFL!$F221="LA Chargers",+NFL!#REF!,IF(+NFL!$H221="LA Chargers",+NFL!#REF!,0))</f>
        <v>#REF!</v>
      </c>
      <c r="AI317" s="379" t="e">
        <f>IF(+NFL!$F221="LA Chargers",+NFL!#REF!,IF(+NFL!$H221="LA Chargers",+NFL!#REF!,0))</f>
        <v>#REF!</v>
      </c>
      <c r="AJ317" s="353" t="e">
        <f>IF(+NFL!$F221="LA Chargers",+NFL!#REF!,IF(+NFL!$H221="LA Chargers",+NFL!#REF!,0))</f>
        <v>#REF!</v>
      </c>
      <c r="AK317" s="379" t="e">
        <f>IF(+NFL!$F221="LA Chargers",+NFL!#REF!,IF(+NFL!$H221="LA Chargers",+NFL!#REF!,0))</f>
        <v>#REF!</v>
      </c>
      <c r="AL317" s="68" t="e">
        <f>IF(+NFL!$F221="LA Chargers",+NFL!#REF!,IF(+NFL!$H221="LA Chargers",+NFL!#REF!,0))</f>
        <v>#REF!</v>
      </c>
      <c r="AM317" s="58" t="e">
        <f>IF(+NFL!$F221="LA Chargers",+NFL!#REF!,IF(+NFL!$H221="LA Chargers",+NFL!#REF!,0))</f>
        <v>#REF!</v>
      </c>
      <c r="AN317" s="57" t="e">
        <f>IF(+NFL!$F221="LA Chargers",+NFL!#REF!,IF(+NFL!$H221="LA Chargers",+NFL!#REF!,0))</f>
        <v>#REF!</v>
      </c>
      <c r="AO317" s="59" t="e">
        <f>IF(+NFL!$F221="LA Chargers",+NFL!#REF!,IF(+NFL!$H221="LA Chargers",+NFL!#REF!,0))</f>
        <v>#REF!</v>
      </c>
      <c r="AP317" s="348" t="e">
        <f>IF(+NFL!$F221="LA Chargers",+NFL!#REF!,IF(+NFL!$H221="LA Chargers",+NFL!#REF!,0))</f>
        <v>#REF!</v>
      </c>
      <c r="AQ317" s="48" t="e">
        <f>IF(+NFL!$F221="LA Chargers",+NFL!#REF!,IF(+NFL!$H221="LA Chargers",+NFL!#REF!,0))</f>
        <v>#REF!</v>
      </c>
      <c r="AR317" s="57" t="e">
        <f>IF(+NFL!$F221="LA Chargers",+NFL!#REF!,IF(+NFL!$H221="LA Chargers",+NFL!#REF!,0))</f>
        <v>#REF!</v>
      </c>
      <c r="AS317" s="493" t="e">
        <f>IF(+NFL!$F221="LA Chargers",+NFL!#REF!,IF(+NFL!$H221="LA Chargers",+NFL!#REF!,0))</f>
        <v>#REF!</v>
      </c>
      <c r="AT317" s="493" t="e">
        <f>IF(+NFL!$F221="LA Chargers",+NFL!#REF!,IF(+NFL!$H221="LA Chargers",+NFL!#REF!,0))</f>
        <v>#REF!</v>
      </c>
      <c r="AU317" s="57" t="e">
        <f>IF(+NFL!$F221="LA Chargers",+NFL!#REF!,IF(+NFL!$H221="LA Chargers",+NFL!#REF!,0))</f>
        <v>#REF!</v>
      </c>
      <c r="AV317" s="493" t="e">
        <f>IF(+NFL!$F221="LA Chargers",+NFL!#REF!,IF(+NFL!$H221="LA Chargers",+NFL!#REF!,0))</f>
        <v>#REF!</v>
      </c>
      <c r="AW317" s="46" t="e">
        <f>IF(+NFL!$F221="LA Chargers",+NFL!#REF!,IF(+NFL!$H221="LA Chargers",+NFL!#REF!,0))</f>
        <v>#REF!</v>
      </c>
      <c r="AX317" s="493" t="e">
        <f>IF(+NFL!$F221="LA Chargers",+NFL!#REF!,IF(+NFL!$H221="LA Chargers",+NFL!#REF!,0))</f>
        <v>#REF!</v>
      </c>
      <c r="AY317" s="57" t="e">
        <f>IF(+NFL!$F221="LA Chargers",+NFL!#REF!,IF(+NFL!$H221="LA Chargers",+NFL!#REF!,0))</f>
        <v>#REF!</v>
      </c>
      <c r="AZ317" s="493" t="e">
        <f>IF(+NFL!$F221="LA Chargers",+NFL!#REF!,IF(+NFL!$H221="LA Chargers",+NFL!#REF!,0))</f>
        <v>#REF!</v>
      </c>
      <c r="BA317" s="46" t="e">
        <f>IF(+NFL!$F221="LA Chargers",+NFL!#REF!,IF(+NFL!$H221="LA Chargers",+NFL!#REF!,0))</f>
        <v>#REF!</v>
      </c>
      <c r="BB317" s="46" t="e">
        <f>IF(+NFL!$F221="LA Chargers",+NFL!#REF!,IF(+NFL!$H221="LA Chargers",+NFL!#REF!,0))</f>
        <v>#REF!</v>
      </c>
      <c r="BC317" s="403" t="e">
        <f>IF(+NFL!$F221="LA Chargers",+NFL!#REF!,IF(+NFL!$H221="LA Chargers",+NFL!#REF!,0))</f>
        <v>#REF!</v>
      </c>
      <c r="BD317" s="57" t="e">
        <f>IF(+NFL!$F221="LA Chargers",+NFL!#REF!,IF(+NFL!$H221="LA Chargers",+NFL!#REF!,0))</f>
        <v>#REF!</v>
      </c>
      <c r="BE317" s="493" t="e">
        <f>IF(+NFL!$F221="LA Chargers",+NFL!#REF!,IF(+NFL!$H221="LA Chargers",+NFL!#REF!,0))</f>
        <v>#REF!</v>
      </c>
      <c r="BF317" s="46" t="e">
        <f>IF(+NFL!$F221="LA Chargers",+NFL!#REF!,IF(+NFL!$H221="LA Chargers",+NFL!#REF!,0))</f>
        <v>#REF!</v>
      </c>
      <c r="BG317" s="57" t="e">
        <f>IF(+NFL!$F221="LA Chargers",+NFL!#REF!,IF(+NFL!$H221="LA Chargers",+NFL!#REF!,0))</f>
        <v>#REF!</v>
      </c>
      <c r="BH317" s="493" t="e">
        <f>IF(+NFL!$F221="LA Chargers",+NFL!#REF!,IF(+NFL!$H221="LA Chargers",+NFL!#REF!,0))</f>
        <v>#REF!</v>
      </c>
      <c r="BI317" s="46" t="e">
        <f>IF(+NFL!$F221="LA Chargers",+NFL!#REF!,IF(+NFL!$H221="LA Chargers",+NFL!#REF!,0))</f>
        <v>#REF!</v>
      </c>
      <c r="BJ317" s="87" t="e">
        <f>IF(+NFL!$F221="LA Chargers",+NFL!#REF!,IF(+NFL!$H221="LA Chargers",+NFL!#REF!,0))</f>
        <v>#REF!</v>
      </c>
      <c r="BK317" s="120" t="e">
        <f>IF(+NFL!$F221="LA Chargers",+NFL!#REF!,IF(+NFL!$H221="LA Chargers",+NFL!#REF!,0))</f>
        <v>#REF!</v>
      </c>
      <c r="BL317" s="246" t="e">
        <f>IF(+NFL!$F221="LA Chargers",+NFL!#REF!,IF(+NFL!$H221="LA Chargers",+NFL!#REF!,0))</f>
        <v>#REF!</v>
      </c>
      <c r="BM317" s="246" t="e">
        <f>IF(+NFL!$F221="LA Chargers",+NFL!#REF!,IF(+NFL!$H221="LA Chargers",+NFL!#REF!,0))</f>
        <v>#REF!</v>
      </c>
      <c r="BN317" s="246" t="e">
        <f>IF(+NFL!$F221="LA Chargers",+NFL!#REF!,IF(+NFL!$H221="LA Chargers",+NFL!#REF!,0))</f>
        <v>#REF!</v>
      </c>
      <c r="BO317" s="246" t="e">
        <f>IF(+NFL!$F221="LA Chargers",+NFL!#REF!,IF(+NFL!$H221="LA Chargers",+NFL!#REF!,0))</f>
        <v>#REF!</v>
      </c>
      <c r="BP317" s="246" t="e">
        <f>IF(+NFL!$F221="LA Chargers",+NFL!#REF!,IF(+NFL!$H221="LA Chargers",+NFL!#REF!,0))</f>
        <v>#REF!</v>
      </c>
    </row>
    <row r="318" spans="1:68" s="246" customFormat="1" x14ac:dyDescent="0.8">
      <c r="A318" s="46">
        <f>IF(+NFL!$F238="LA Chargers",+NFL!A238,IF(+NFL!$H238="LA Chargers",+NFL!A238,0))</f>
        <v>13</v>
      </c>
      <c r="B318" s="348" t="str">
        <f>IF(+NFL!$F238="LA Chargers",+NFL!B238,IF(+NFL!$H238="LA Chargers",+NFL!B238,0))</f>
        <v>Sun</v>
      </c>
      <c r="C318" s="48">
        <f>IF(+NFL!$F238="LA Chargers",+NFL!C238,IF(+NFL!$H238="LA Chargers",+NFL!C238,0))</f>
        <v>44899</v>
      </c>
      <c r="D318" s="490">
        <f>IF(+NFL!$F238="LA Chargers",+NFL!D238,IF(+NFL!$H238="LA Chargers",+NFL!D238,0))</f>
        <v>0.66666666666666663</v>
      </c>
      <c r="E318" s="46" t="str">
        <f>IF(+NFL!$F238="LA Chargers",+NFL!E238,IF(+NFL!$H238="LA Chargers",+NFL!E238,0))</f>
        <v>NBC</v>
      </c>
      <c r="F318" s="114" t="str">
        <f>IF(+NFL!$F238="LA Chargers",+NFL!F238,IF(+NFL!$H238="LA Chargers",+NFL!F238,0))</f>
        <v>LA Chargers</v>
      </c>
      <c r="G318" s="46" t="str">
        <f>IF(+NFL!$F238="LA Chargers",+NFL!G238,IF(+NFL!$H238="LA Chargers",+NFL!G238,0))</f>
        <v>AFCW</v>
      </c>
      <c r="H318" s="114" t="str">
        <f>IF(+NFL!$F238="LA Chargers",+NFL!H238,IF(+NFL!$H238="LA Chargers",+NFL!H238,0))</f>
        <v>Las Vegas</v>
      </c>
      <c r="I318" s="46" t="str">
        <f>IF(+NFL!$F238="LA Chargers",+NFL!I238,IF(+NFL!$H238="LA Chargers",+NFL!I238,0))</f>
        <v>AFCW</v>
      </c>
      <c r="J318" s="353" t="str">
        <f>IF(+NFL!$F238="LA Chargers",+NFL!J238,IF(+NFL!$H238="LA Chargers",+NFL!J238,0))</f>
        <v>LA Chargers</v>
      </c>
      <c r="K318" s="494" t="str">
        <f>IF(+NFL!$F238="LA Chargers",+NFL!K238,IF(+NFL!$H238="LA Chargers",+NFL!K238,0))</f>
        <v>Las Vegas</v>
      </c>
      <c r="L318" s="384">
        <f>IF(+NFL!$F238="LA Chargers",+NFL!L238,IF(+NFL!$H238="LA Chargers",+NFL!L238,0))</f>
        <v>1.5</v>
      </c>
      <c r="M318" s="385">
        <f>IF(+NFL!$F238="LA Chargers",+NFL!M238,IF(+NFL!$H238="LA Chargers",+NFL!M238,0))</f>
        <v>50.5</v>
      </c>
      <c r="N318" s="394" t="str">
        <f>IF(+NFL!$F238="LA Chargers",+NFL!N238,IF(+NFL!$H238="LA Chargers",+NFL!N238,0))</f>
        <v>Las Vegas</v>
      </c>
      <c r="O318" s="395">
        <f>IF(+NFL!$F238="LA Chargers",+NFL!O238,IF(+NFL!$H238="LA Chargers",+NFL!O238,0))</f>
        <v>27</v>
      </c>
      <c r="P318" s="394" t="str">
        <f>IF(+NFL!$F238="LA Chargers",+NFL!P238,IF(+NFL!$H238="LA Chargers",+NFL!P238,0))</f>
        <v>LA Chargers</v>
      </c>
      <c r="Q318" s="396">
        <f>IF(+NFL!$F238="LA Chargers",+NFL!Q238,IF(+NFL!$H238="LA Chargers",+NFL!Q238,0))</f>
        <v>20</v>
      </c>
      <c r="R318" s="397" t="str">
        <f>IF(+NFL!$F238="LA Chargers",+NFL!R238,IF(+NFL!$H238="LA Chargers",+NFL!R238,0))</f>
        <v>Las Vegas</v>
      </c>
      <c r="S318" s="396" t="str">
        <f>IF(+NFL!$F238="LA Chargers",+NFL!S238,IF(+NFL!$H238="LA Chargers",+NFL!S238,0))</f>
        <v>LA Chargers</v>
      </c>
      <c r="T318" s="398" t="str">
        <f>IF(+NFL!$F238="LA Chargers",+NFL!T238,IF(+NFL!$H238="LA Chargers",+NFL!T238,0))</f>
        <v>Las Vegas</v>
      </c>
      <c r="U318" s="396" t="str">
        <f>IF(+NFL!$F238="LA Chargers",+NFL!U238,IF(+NFL!$H238="LA Chargers",+NFL!U238,0))</f>
        <v>W</v>
      </c>
      <c r="V318" s="397">
        <f>IF(+NFL!$F230="LA Chargers",+NFL!#REF!,IF(+NFL!$H230="LA Chargers",+NFL!#REF!,0))</f>
        <v>0</v>
      </c>
      <c r="W318" s="396">
        <f>IF(+NFL!$F230="LA Chargers",+NFL!#REF!,IF(+NFL!$H230="LA Chargers",+NFL!#REF!,0))</f>
        <v>0</v>
      </c>
      <c r="X318" s="398">
        <f>IF(+NFL!$F230="LA Chargers",+NFL!#REF!,IF(+NFL!$H230="LA Chargers",+NFL!#REF!,0))</f>
        <v>0</v>
      </c>
      <c r="Y318" s="396">
        <f>IF(+NFL!$F230="LA Chargers",+NFL!#REF!,IF(+NFL!$H230="LA Chargers",+NFL!#REF!,0))</f>
        <v>0</v>
      </c>
      <c r="Z318" s="397">
        <f>IF(+NFL!$F230="LA Chargers",+NFL!#REF!,IF(+NFL!$H230="LA Chargers",+NFL!#REF!,0))</f>
        <v>0</v>
      </c>
      <c r="AA318" s="396">
        <f>IF(+NFL!$F230="LA Chargers",+NFL!#REF!,IF(+NFL!$H230="LA Chargers",+NFL!#REF!,0))</f>
        <v>0</v>
      </c>
      <c r="AB318" s="87">
        <f>IF(+NFL!$F230="LA Chargers",+NFL!#REF!,IF(+NFL!$H230="LA Chargers",+NFL!#REF!,0))</f>
        <v>0</v>
      </c>
      <c r="AC318" s="120">
        <f>IF(+NFL!$F230="LA Chargers",+NFL!#REF!,IF(+NFL!$H230="LA Chargers",+NFL!#REF!,0))</f>
        <v>0</v>
      </c>
      <c r="AD318" s="353">
        <f>IF(+NFL!$F230="LA Chargers",+NFL!#REF!,IF(+NFL!$H230="LA Chargers",+NFL!#REF!,0))</f>
        <v>0</v>
      </c>
      <c r="AE318" s="379">
        <f>IF(+NFL!$F230="LA Chargers",+NFL!#REF!,IF(+NFL!$H230="LA Chargers",+NFL!#REF!,0))</f>
        <v>0</v>
      </c>
      <c r="AF318" s="353">
        <f>IF(+NFL!$F230="LA Chargers",+NFL!#REF!,IF(+NFL!$H230="LA Chargers",+NFL!#REF!,0))</f>
        <v>0</v>
      </c>
      <c r="AG318" s="379">
        <f>IF(+NFL!$F230="LA Chargers",+NFL!#REF!,IF(+NFL!$H230="LA Chargers",+NFL!#REF!,0))</f>
        <v>0</v>
      </c>
      <c r="AH318" s="353">
        <f>IF(+NFL!$F230="LA Chargers",+NFL!#REF!,IF(+NFL!$H230="LA Chargers",+NFL!#REF!,0))</f>
        <v>0</v>
      </c>
      <c r="AI318" s="379">
        <f>IF(+NFL!$F230="LA Chargers",+NFL!#REF!,IF(+NFL!$H230="LA Chargers",+NFL!#REF!,0))</f>
        <v>0</v>
      </c>
      <c r="AJ318" s="353">
        <f>IF(+NFL!$F230="LA Chargers",+NFL!#REF!,IF(+NFL!$H230="LA Chargers",+NFL!#REF!,0))</f>
        <v>0</v>
      </c>
      <c r="AK318" s="379">
        <f>IF(+NFL!$F230="LA Chargers",+NFL!#REF!,IF(+NFL!$H230="LA Chargers",+NFL!#REF!,0))</f>
        <v>0</v>
      </c>
      <c r="AL318" s="68">
        <f>IF(+NFL!$F230="LA Chargers",+NFL!#REF!,IF(+NFL!$H230="LA Chargers",+NFL!#REF!,0))</f>
        <v>0</v>
      </c>
      <c r="AM318" s="58">
        <f>IF(+NFL!$F230="LA Chargers",+NFL!#REF!,IF(+NFL!$H230="LA Chargers",+NFL!#REF!,0))</f>
        <v>0</v>
      </c>
      <c r="AN318" s="57">
        <f>IF(+NFL!$F230="LA Chargers",+NFL!#REF!,IF(+NFL!$H230="LA Chargers",+NFL!#REF!,0))</f>
        <v>0</v>
      </c>
      <c r="AO318" s="59">
        <f>IF(+NFL!$F230="LA Chargers",+NFL!#REF!,IF(+NFL!$H230="LA Chargers",+NFL!#REF!,0))</f>
        <v>0</v>
      </c>
      <c r="AP318" s="348">
        <f>IF(+NFL!$F230="LA Chargers",+NFL!#REF!,IF(+NFL!$H230="LA Chargers",+NFL!#REF!,0))</f>
        <v>0</v>
      </c>
      <c r="AQ318" s="48">
        <f>IF(+NFL!$F230="LA Chargers",+NFL!#REF!,IF(+NFL!$H230="LA Chargers",+NFL!#REF!,0))</f>
        <v>0</v>
      </c>
      <c r="AR318" s="57">
        <f>IF(+NFL!$F230="LA Chargers",+NFL!#REF!,IF(+NFL!$H230="LA Chargers",+NFL!#REF!,0))</f>
        <v>0</v>
      </c>
      <c r="AS318" s="64">
        <f>IF(+NFL!$F230="LA Chargers",+NFL!#REF!,IF(+NFL!$H230="LA Chargers",+NFL!#REF!,0))</f>
        <v>0</v>
      </c>
      <c r="AT318" s="64">
        <f>IF(+NFL!$F230="LA Chargers",+NFL!#REF!,IF(+NFL!$H230="LA Chargers",+NFL!#REF!,0))</f>
        <v>0</v>
      </c>
      <c r="AU318" s="57">
        <f>IF(+NFL!$F230="LA Chargers",+NFL!#REF!,IF(+NFL!$H230="LA Chargers",+NFL!#REF!,0))</f>
        <v>0</v>
      </c>
      <c r="AV318" s="64">
        <f>IF(+NFL!$F230="LA Chargers",+NFL!#REF!,IF(+NFL!$H230="LA Chargers",+NFL!#REF!,0))</f>
        <v>0</v>
      </c>
      <c r="AW318" s="46">
        <f>IF(+NFL!$F230="LA Chargers",+NFL!#REF!,IF(+NFL!$H230="LA Chargers",+NFL!#REF!,0))</f>
        <v>0</v>
      </c>
      <c r="AX318" s="64">
        <f>IF(+NFL!$F230="LA Chargers",+NFL!#REF!,IF(+NFL!$H230="LA Chargers",+NFL!#REF!,0))</f>
        <v>0</v>
      </c>
      <c r="AY318" s="57">
        <f>IF(+NFL!$F230="LA Chargers",+NFL!#REF!,IF(+NFL!$H230="LA Chargers",+NFL!#REF!,0))</f>
        <v>0</v>
      </c>
      <c r="AZ318" s="64">
        <f>IF(+NFL!$F230="LA Chargers",+NFL!#REF!,IF(+NFL!$H230="LA Chargers",+NFL!#REF!,0))</f>
        <v>0</v>
      </c>
      <c r="BA318" s="46">
        <f>IF(+NFL!$F230="LA Chargers",+NFL!#REF!,IF(+NFL!$H230="LA Chargers",+NFL!#REF!,0))</f>
        <v>0</v>
      </c>
      <c r="BB318" s="46">
        <f>IF(+NFL!$F230="LA Chargers",+NFL!#REF!,IF(+NFL!$H230="LA Chargers",+NFL!#REF!,0))</f>
        <v>0</v>
      </c>
      <c r="BC318" s="403">
        <f>IF(+NFL!$F230="LA Chargers",+NFL!#REF!,IF(+NFL!$H230="LA Chargers",+NFL!#REF!,0))</f>
        <v>0</v>
      </c>
      <c r="BD318" s="57">
        <f>IF(+NFL!$F230="LA Chargers",+NFL!#REF!,IF(+NFL!$H230="LA Chargers",+NFL!#REF!,0))</f>
        <v>0</v>
      </c>
      <c r="BE318" s="64">
        <f>IF(+NFL!$F230="LA Chargers",+NFL!#REF!,IF(+NFL!$H230="LA Chargers",+NFL!#REF!,0))</f>
        <v>0</v>
      </c>
      <c r="BF318" s="46">
        <f>IF(+NFL!$F230="LA Chargers",+NFL!#REF!,IF(+NFL!$H230="LA Chargers",+NFL!#REF!,0))</f>
        <v>0</v>
      </c>
      <c r="BG318" s="57">
        <f>IF(+NFL!$F230="LA Chargers",+NFL!#REF!,IF(+NFL!$H230="LA Chargers",+NFL!#REF!,0))</f>
        <v>0</v>
      </c>
      <c r="BH318" s="64">
        <f>IF(+NFL!$F230="LA Chargers",+NFL!#REF!,IF(+NFL!$H230="LA Chargers",+NFL!#REF!,0))</f>
        <v>0</v>
      </c>
      <c r="BI318" s="46">
        <f>IF(+NFL!$F230="LA Chargers",+NFL!#REF!,IF(+NFL!$H230="LA Chargers",+NFL!#REF!,0))</f>
        <v>0</v>
      </c>
      <c r="BJ318" s="87">
        <f>IF(+NFL!$F230="LA Chargers",+NFL!#REF!,IF(+NFL!$H230="LA Chargers",+NFL!#REF!,0))</f>
        <v>0</v>
      </c>
      <c r="BK318" s="120">
        <f>IF(+NFL!$F230="LA Chargers",+NFL!#REF!,IF(+NFL!$H230="LA Chargers",+NFL!#REF!,0))</f>
        <v>0</v>
      </c>
    </row>
    <row r="319" spans="1:68" s="246" customFormat="1" x14ac:dyDescent="0.8">
      <c r="A319" s="46">
        <f>IF(+NFL!$F253="LA Chargers",+NFL!A253,IF(+NFL!$H253="LA Chargers",+NFL!A253,0))</f>
        <v>14</v>
      </c>
      <c r="B319" s="348" t="str">
        <f>IF(+NFL!$F253="LA Chargers",+NFL!B253,IF(+NFL!$H253="LA Chargers",+NFL!B253,0))</f>
        <v>Sun</v>
      </c>
      <c r="C319" s="48">
        <f>IF(+NFL!$F253="LA Chargers",+NFL!C253,IF(+NFL!$H253="LA Chargers",+NFL!C253,0))</f>
        <v>44906</v>
      </c>
      <c r="D319" s="490">
        <f>IF(+NFL!$F253="LA Chargers",+NFL!D253,IF(+NFL!$H253="LA Chargers",+NFL!D253,0))</f>
        <v>0.54166666666666663</v>
      </c>
      <c r="E319" s="46" t="str">
        <f>IF(+NFL!$F253="LA Chargers",+NFL!E253,IF(+NFL!$H253="LA Chargers",+NFL!E253,0))</f>
        <v>CBS</v>
      </c>
      <c r="F319" s="114" t="str">
        <f>IF(+NFL!$F253="LA Chargers",+NFL!F253,IF(+NFL!$H253="LA Chargers",+NFL!F253,0))</f>
        <v>Miami</v>
      </c>
      <c r="G319" s="46" t="str">
        <f>IF(+NFL!$F253="LA Chargers",+NFL!G253,IF(+NFL!$H253="LA Chargers",+NFL!G253,0))</f>
        <v>AFCE</v>
      </c>
      <c r="H319" s="114" t="str">
        <f>IF(+NFL!$F253="LA Chargers",+NFL!H253,IF(+NFL!$H253="LA Chargers",+NFL!H253,0))</f>
        <v>LA Chargers</v>
      </c>
      <c r="I319" s="46" t="str">
        <f>IF(+NFL!$F253="LA Chargers",+NFL!I253,IF(+NFL!$H253="LA Chargers",+NFL!I253,0))</f>
        <v>AFCW</v>
      </c>
      <c r="J319" s="353" t="str">
        <f>IF(+NFL!$F253="LA Chargers",+NFL!J253,IF(+NFL!$H253="LA Chargers",+NFL!J253,0))</f>
        <v>Miami</v>
      </c>
      <c r="K319" s="494" t="str">
        <f>IF(+NFL!$F253="LA Chargers",+NFL!K253,IF(+NFL!$H253="LA Chargers",+NFL!K253,0))</f>
        <v>LA Chargers</v>
      </c>
      <c r="L319" s="384">
        <f>IF(+NFL!$F253="LA Chargers",+NFL!L253,IF(+NFL!$H253="LA Chargers",+NFL!L253,0))</f>
        <v>2.5</v>
      </c>
      <c r="M319" s="385">
        <f>IF(+NFL!$F253="LA Chargers",+NFL!M253,IF(+NFL!$H253="LA Chargers",+NFL!M253,0))</f>
        <v>54.5</v>
      </c>
      <c r="N319" s="394" t="str">
        <f>IF(+NFL!$F253="LA Chargers",+NFL!N253,IF(+NFL!$H253="LA Chargers",+NFL!N253,0))</f>
        <v>LA Chargers</v>
      </c>
      <c r="O319" s="395">
        <f>IF(+NFL!$F253="LA Chargers",+NFL!O253,IF(+NFL!$H253="LA Chargers",+NFL!O253,0))</f>
        <v>23</v>
      </c>
      <c r="P319" s="394" t="str">
        <f>IF(+NFL!$F253="LA Chargers",+NFL!P253,IF(+NFL!$H253="LA Chargers",+NFL!P253,0))</f>
        <v>Miami</v>
      </c>
      <c r="Q319" s="396">
        <f>IF(+NFL!$F253="LA Chargers",+NFL!Q253,IF(+NFL!$H253="LA Chargers",+NFL!Q253,0))</f>
        <v>17</v>
      </c>
      <c r="R319" s="397" t="str">
        <f>IF(+NFL!$F253="LA Chargers",+NFL!R253,IF(+NFL!$H253="LA Chargers",+NFL!R253,0))</f>
        <v>LA Chargers</v>
      </c>
      <c r="S319" s="396" t="str">
        <f>IF(+NFL!$F253="LA Chargers",+NFL!S253,IF(+NFL!$H253="LA Chargers",+NFL!S253,0))</f>
        <v>Miami</v>
      </c>
      <c r="T319" s="398">
        <f>IF(+NFL!$F253="LA Chargers",+NFL!T253,IF(+NFL!$H253="LA Chargers",+NFL!T253,0))</f>
        <v>0</v>
      </c>
      <c r="U319" s="396" t="str">
        <f>IF(+NFL!$F253="LA Chargers",+NFL!U253,IF(+NFL!$H253="LA Chargers",+NFL!U253,0))</f>
        <v>L</v>
      </c>
      <c r="V319" s="397">
        <f>IF(+NFL!$F258="LA Chargers",+NFL!#REF!,IF(+NFL!$H258="LA Chargers",+NFL!#REF!,0))</f>
        <v>0</v>
      </c>
      <c r="W319" s="396">
        <f>IF(+NFL!$F258="LA Chargers",+NFL!#REF!,IF(+NFL!$H258="LA Chargers",+NFL!#REF!,0))</f>
        <v>0</v>
      </c>
      <c r="X319" s="398">
        <f>IF(+NFL!$F258="LA Chargers",+NFL!#REF!,IF(+NFL!$H258="LA Chargers",+NFL!#REF!,0))</f>
        <v>0</v>
      </c>
      <c r="Y319" s="396">
        <f>IF(+NFL!$F258="LA Chargers",+NFL!#REF!,IF(+NFL!$H258="LA Chargers",+NFL!#REF!,0))</f>
        <v>0</v>
      </c>
      <c r="Z319" s="397">
        <f>IF(+NFL!$F258="LA Chargers",+NFL!#REF!,IF(+NFL!$H258="LA Chargers",+NFL!#REF!,0))</f>
        <v>0</v>
      </c>
      <c r="AA319" s="396">
        <f>IF(+NFL!$F258="LA Chargers",+NFL!#REF!,IF(+NFL!$H258="LA Chargers",+NFL!#REF!,0))</f>
        <v>0</v>
      </c>
      <c r="AB319" s="87">
        <f>IF(+NFL!$F258="LA Chargers",+NFL!#REF!,IF(+NFL!$H258="LA Chargers",+NFL!#REF!,0))</f>
        <v>0</v>
      </c>
      <c r="AC319" s="120">
        <f>IF(+NFL!$F258="LA Chargers",+NFL!#REF!,IF(+NFL!$H258="LA Chargers",+NFL!#REF!,0))</f>
        <v>0</v>
      </c>
      <c r="AD319" s="353">
        <f>IF(+NFL!$F258="LA Chargers",+NFL!#REF!,IF(+NFL!$H258="LA Chargers",+NFL!#REF!,0))</f>
        <v>0</v>
      </c>
      <c r="AE319" s="379">
        <f>IF(+NFL!$F258="LA Chargers",+NFL!#REF!,IF(+NFL!$H258="LA Chargers",+NFL!#REF!,0))</f>
        <v>0</v>
      </c>
      <c r="AF319" s="353">
        <f>IF(+NFL!$F258="LA Chargers",+NFL!#REF!,IF(+NFL!$H258="LA Chargers",+NFL!#REF!,0))</f>
        <v>0</v>
      </c>
      <c r="AG319" s="379">
        <f>IF(+NFL!$F258="LA Chargers",+NFL!#REF!,IF(+NFL!$H258="LA Chargers",+NFL!#REF!,0))</f>
        <v>0</v>
      </c>
      <c r="AH319" s="353">
        <f>IF(+NFL!$F258="LA Chargers",+NFL!#REF!,IF(+NFL!$H258="LA Chargers",+NFL!#REF!,0))</f>
        <v>0</v>
      </c>
      <c r="AI319" s="379">
        <f>IF(+NFL!$F258="LA Chargers",+NFL!#REF!,IF(+NFL!$H258="LA Chargers",+NFL!#REF!,0))</f>
        <v>0</v>
      </c>
      <c r="AJ319" s="353">
        <f>IF(+NFL!$F258="LA Chargers",+NFL!#REF!,IF(+NFL!$H258="LA Chargers",+NFL!#REF!,0))</f>
        <v>0</v>
      </c>
      <c r="AK319" s="379">
        <f>IF(+NFL!$F258="LA Chargers",+NFL!#REF!,IF(+NFL!$H258="LA Chargers",+NFL!#REF!,0))</f>
        <v>0</v>
      </c>
      <c r="AL319" s="68">
        <f>IF(+NFL!$F258="LA Chargers",+NFL!#REF!,IF(+NFL!$H258="LA Chargers",+NFL!#REF!,0))</f>
        <v>0</v>
      </c>
      <c r="AM319" s="58">
        <f>IF(+NFL!$F258="LA Chargers",+NFL!#REF!,IF(+NFL!$H258="LA Chargers",+NFL!#REF!,0))</f>
        <v>0</v>
      </c>
      <c r="AN319" s="57">
        <f>IF(+NFL!$F258="LA Chargers",+NFL!#REF!,IF(+NFL!$H258="LA Chargers",+NFL!#REF!,0))</f>
        <v>0</v>
      </c>
      <c r="AO319" s="59">
        <f>IF(+NFL!$F258="LA Chargers",+NFL!#REF!,IF(+NFL!$H258="LA Chargers",+NFL!#REF!,0))</f>
        <v>0</v>
      </c>
      <c r="AP319" s="348">
        <f>IF(+NFL!$F258="LA Chargers",+NFL!#REF!,IF(+NFL!$H258="LA Chargers",+NFL!#REF!,0))</f>
        <v>0</v>
      </c>
      <c r="AQ319" s="48">
        <f>IF(+NFL!$F258="LA Chargers",+NFL!#REF!,IF(+NFL!$H258="LA Chargers",+NFL!#REF!,0))</f>
        <v>0</v>
      </c>
      <c r="AR319" s="57">
        <f>IF(+NFL!$F258="LA Chargers",+NFL!#REF!,IF(+NFL!$H258="LA Chargers",+NFL!#REF!,0))</f>
        <v>0</v>
      </c>
      <c r="AS319" s="64">
        <f>IF(+NFL!$F258="LA Chargers",+NFL!#REF!,IF(+NFL!$H258="LA Chargers",+NFL!#REF!,0))</f>
        <v>0</v>
      </c>
      <c r="AT319" s="64">
        <f>IF(+NFL!$F258="LA Chargers",+NFL!#REF!,IF(+NFL!$H258="LA Chargers",+NFL!#REF!,0))</f>
        <v>0</v>
      </c>
      <c r="AU319" s="57">
        <f>IF(+NFL!$F258="LA Chargers",+NFL!#REF!,IF(+NFL!$H258="LA Chargers",+NFL!#REF!,0))</f>
        <v>0</v>
      </c>
      <c r="AV319" s="64">
        <f>IF(+NFL!$F258="LA Chargers",+NFL!#REF!,IF(+NFL!$H258="LA Chargers",+NFL!#REF!,0))</f>
        <v>0</v>
      </c>
      <c r="AW319" s="46">
        <f>IF(+NFL!$F258="LA Chargers",+NFL!#REF!,IF(+NFL!$H258="LA Chargers",+NFL!#REF!,0))</f>
        <v>0</v>
      </c>
      <c r="AX319" s="64">
        <f>IF(+NFL!$F258="LA Chargers",+NFL!#REF!,IF(+NFL!$H258="LA Chargers",+NFL!#REF!,0))</f>
        <v>0</v>
      </c>
      <c r="AY319" s="57">
        <f>IF(+NFL!$F258="LA Chargers",+NFL!#REF!,IF(+NFL!$H258="LA Chargers",+NFL!#REF!,0))</f>
        <v>0</v>
      </c>
      <c r="AZ319" s="64">
        <f>IF(+NFL!$F258="LA Chargers",+NFL!#REF!,IF(+NFL!$H258="LA Chargers",+NFL!#REF!,0))</f>
        <v>0</v>
      </c>
      <c r="BA319" s="46">
        <f>IF(+NFL!$F258="LA Chargers",+NFL!#REF!,IF(+NFL!$H258="LA Chargers",+NFL!#REF!,0))</f>
        <v>0</v>
      </c>
      <c r="BB319" s="46">
        <f>IF(+NFL!$F258="LA Chargers",+NFL!#REF!,IF(+NFL!$H258="LA Chargers",+NFL!#REF!,0))</f>
        <v>0</v>
      </c>
      <c r="BC319" s="403">
        <f>IF(+NFL!$F258="LA Chargers",+NFL!#REF!,IF(+NFL!$H258="LA Chargers",+NFL!#REF!,0))</f>
        <v>0</v>
      </c>
      <c r="BD319" s="57">
        <f>IF(+NFL!$F258="LA Chargers",+NFL!#REF!,IF(+NFL!$H258="LA Chargers",+NFL!#REF!,0))</f>
        <v>0</v>
      </c>
      <c r="BE319" s="64">
        <f>IF(+NFL!$F258="LA Chargers",+NFL!#REF!,IF(+NFL!$H258="LA Chargers",+NFL!#REF!,0))</f>
        <v>0</v>
      </c>
      <c r="BF319" s="46">
        <f>IF(+NFL!$F258="LA Chargers",+NFL!#REF!,IF(+NFL!$H258="LA Chargers",+NFL!#REF!,0))</f>
        <v>0</v>
      </c>
      <c r="BG319" s="57">
        <f>IF(+NFL!$F258="LA Chargers",+NFL!#REF!,IF(+NFL!$H258="LA Chargers",+NFL!#REF!,0))</f>
        <v>0</v>
      </c>
      <c r="BH319" s="64">
        <f>IF(+NFL!$F258="LA Chargers",+NFL!#REF!,IF(+NFL!$H258="LA Chargers",+NFL!#REF!,0))</f>
        <v>0</v>
      </c>
      <c r="BI319" s="46">
        <f>IF(+NFL!$F258="LA Chargers",+NFL!#REF!,IF(+NFL!$H258="LA Chargers",+NFL!#REF!,0))</f>
        <v>0</v>
      </c>
      <c r="BJ319" s="87">
        <f>IF(+NFL!$F258="LA Chargers",+NFL!#REF!,IF(+NFL!$H258="LA Chargers",+NFL!#REF!,0))</f>
        <v>0</v>
      </c>
      <c r="BK319" s="120">
        <f>IF(+NFL!$F258="LA Chargers",+NFL!#REF!,IF(+NFL!$H258="LA Chargers",+NFL!#REF!,0))</f>
        <v>0</v>
      </c>
    </row>
    <row r="320" spans="1:68" s="246" customFormat="1" x14ac:dyDescent="0.8">
      <c r="A320" s="46">
        <f>IF(+NFL!$F278="LA Chargers",+NFL!A278,IF(+NFL!$H278="LA Chargers",+NFL!A278,0))</f>
        <v>15</v>
      </c>
      <c r="B320" s="348" t="str">
        <f>IF(+NFL!$F278="LA Chargers",+NFL!B278,IF(+NFL!$H278="LA Chargers",+NFL!B278,0))</f>
        <v>Sun</v>
      </c>
      <c r="C320" s="48">
        <f>IF(+NFL!$F278="LA Chargers",+NFL!C278,IF(+NFL!$H278="LA Chargers",+NFL!C278,0))</f>
        <v>44913</v>
      </c>
      <c r="D320" s="490">
        <f>IF(+NFL!$F278="LA Chargers",+NFL!D278,IF(+NFL!$H278="LA Chargers",+NFL!D278,0))</f>
        <v>0.66666666666666663</v>
      </c>
      <c r="E320" s="46" t="str">
        <f>IF(+NFL!$F278="LA Chargers",+NFL!E278,IF(+NFL!$H278="LA Chargers",+NFL!E278,0))</f>
        <v>CBS</v>
      </c>
      <c r="F320" s="114" t="str">
        <f>IF(+NFL!$F278="LA Chargers",+NFL!F278,IF(+NFL!$H278="LA Chargers",+NFL!F278,0))</f>
        <v>Tennessee</v>
      </c>
      <c r="G320" s="46" t="str">
        <f>IF(+NFL!$F278="LA Chargers",+NFL!G278,IF(+NFL!$H278="LA Chargers",+NFL!G278,0))</f>
        <v>AFCS</v>
      </c>
      <c r="H320" s="114" t="str">
        <f>IF(+NFL!$F278="LA Chargers",+NFL!H278,IF(+NFL!$H278="LA Chargers",+NFL!H278,0))</f>
        <v>LA Chargers</v>
      </c>
      <c r="I320" s="46" t="str">
        <f>IF(+NFL!$F278="LA Chargers",+NFL!I278,IF(+NFL!$H278="LA Chargers",+NFL!I278,0))</f>
        <v>AFCW</v>
      </c>
      <c r="J320" s="353" t="str">
        <f>IF(+NFL!$F278="LA Chargers",+NFL!J278,IF(+NFL!$H278="LA Chargers",+NFL!J278,0))</f>
        <v>LA Chargers</v>
      </c>
      <c r="K320" s="494" t="str">
        <f>IF(+NFL!$F278="LA Chargers",+NFL!K278,IF(+NFL!$H278="LA Chargers",+NFL!K278,0))</f>
        <v>Tennessee</v>
      </c>
      <c r="L320" s="384">
        <f>IF(+NFL!$F278="LA Chargers",+NFL!L278,IF(+NFL!$H278="LA Chargers",+NFL!L278,0))</f>
        <v>3</v>
      </c>
      <c r="M320" s="385">
        <f>IF(+NFL!$F278="LA Chargers",+NFL!M278,IF(+NFL!$H278="LA Chargers",+NFL!M278,0))</f>
        <v>46.5</v>
      </c>
      <c r="N320" s="394" t="str">
        <f>IF(+NFL!$F278="LA Chargers",+NFL!N278,IF(+NFL!$H278="LA Chargers",+NFL!N278,0))</f>
        <v>LA Chargers</v>
      </c>
      <c r="O320" s="395">
        <f>IF(+NFL!$F278="LA Chargers",+NFL!O278,IF(+NFL!$H278="LA Chargers",+NFL!O278,0))</f>
        <v>17</v>
      </c>
      <c r="P320" s="394" t="str">
        <f>IF(+NFL!$F278="LA Chargers",+NFL!P278,IF(+NFL!$H278="LA Chargers",+NFL!P278,0))</f>
        <v>Tennessee</v>
      </c>
      <c r="Q320" s="396">
        <f>IF(+NFL!$F278="LA Chargers",+NFL!Q278,IF(+NFL!$H278="LA Chargers",+NFL!Q278,0))</f>
        <v>14</v>
      </c>
      <c r="R320" s="397" t="str">
        <f>IF(+NFL!$F278="LA Chargers",+NFL!R278,IF(+NFL!$H278="LA Chargers",+NFL!R278,0))</f>
        <v>LA Chargers</v>
      </c>
      <c r="S320" s="396" t="str">
        <f>IF(+NFL!$F278="LA Chargers",+NFL!S278,IF(+NFL!$H278="LA Chargers",+NFL!S278,0))</f>
        <v>Tennessee</v>
      </c>
      <c r="T320" s="398">
        <f>IF(+NFL!$F278="LA Chargers",+NFL!T278,IF(+NFL!$H278="LA Chargers",+NFL!T278,0))</f>
        <v>0</v>
      </c>
      <c r="U320" s="396" t="str">
        <f>IF(+NFL!$F278="LA Chargers",+NFL!U278,IF(+NFL!$H278="LA Chargers",+NFL!U278,0))</f>
        <v>T</v>
      </c>
      <c r="V320" s="397">
        <f>IF(+NFL!$F277="LA Chargers",+NFL!#REF!,IF(+NFL!$H277="LA Chargers",+NFL!#REF!,0))</f>
        <v>0</v>
      </c>
      <c r="W320" s="396">
        <f>IF(+NFL!$F277="LA Chargers",+NFL!#REF!,IF(+NFL!$H277="LA Chargers",+NFL!#REF!,0))</f>
        <v>0</v>
      </c>
      <c r="X320" s="398">
        <f>IF(+NFL!$F277="LA Chargers",+NFL!#REF!,IF(+NFL!$H277="LA Chargers",+NFL!#REF!,0))</f>
        <v>0</v>
      </c>
      <c r="Y320" s="396">
        <f>IF(+NFL!$F277="LA Chargers",+NFL!#REF!,IF(+NFL!$H277="LA Chargers",+NFL!#REF!,0))</f>
        <v>0</v>
      </c>
      <c r="Z320" s="397">
        <f>IF(+NFL!$F277="LA Chargers",+NFL!#REF!,IF(+NFL!$H277="LA Chargers",+NFL!#REF!,0))</f>
        <v>0</v>
      </c>
      <c r="AA320" s="396">
        <f>IF(+NFL!$F277="LA Chargers",+NFL!#REF!,IF(+NFL!$H277="LA Chargers",+NFL!#REF!,0))</f>
        <v>0</v>
      </c>
      <c r="AB320" s="87">
        <f>IF(+NFL!$F277="LA Chargers",+NFL!#REF!,IF(+NFL!$H277="LA Chargers",+NFL!#REF!,0))</f>
        <v>0</v>
      </c>
      <c r="AC320" s="120">
        <f>IF(+NFL!$F277="LA Chargers",+NFL!#REF!,IF(+NFL!$H277="LA Chargers",+NFL!#REF!,0))</f>
        <v>0</v>
      </c>
      <c r="AD320" s="353">
        <f>IF(+NFL!$F277="LA Chargers",+NFL!#REF!,IF(+NFL!$H277="LA Chargers",+NFL!#REF!,0))</f>
        <v>0</v>
      </c>
      <c r="AE320" s="379">
        <f>IF(+NFL!$F277="LA Chargers",+NFL!#REF!,IF(+NFL!$H277="LA Chargers",+NFL!#REF!,0))</f>
        <v>0</v>
      </c>
      <c r="AF320" s="353">
        <f>IF(+NFL!$F277="LA Chargers",+NFL!#REF!,IF(+NFL!$H277="LA Chargers",+NFL!#REF!,0))</f>
        <v>0</v>
      </c>
      <c r="AG320" s="379">
        <f>IF(+NFL!$F277="LA Chargers",+NFL!#REF!,IF(+NFL!$H277="LA Chargers",+NFL!#REF!,0))</f>
        <v>0</v>
      </c>
      <c r="AH320" s="353">
        <f>IF(+NFL!$F277="LA Chargers",+NFL!#REF!,IF(+NFL!$H277="LA Chargers",+NFL!#REF!,0))</f>
        <v>0</v>
      </c>
      <c r="AI320" s="379">
        <f>IF(+NFL!$F277="LA Chargers",+NFL!#REF!,IF(+NFL!$H277="LA Chargers",+NFL!#REF!,0))</f>
        <v>0</v>
      </c>
      <c r="AJ320" s="353">
        <f>IF(+NFL!$F277="LA Chargers",+NFL!#REF!,IF(+NFL!$H277="LA Chargers",+NFL!#REF!,0))</f>
        <v>0</v>
      </c>
      <c r="AK320" s="379">
        <f>IF(+NFL!$F277="LA Chargers",+NFL!#REF!,IF(+NFL!$H277="LA Chargers",+NFL!#REF!,0))</f>
        <v>0</v>
      </c>
      <c r="AL320" s="68">
        <f>IF(+NFL!$F277="LA Chargers",+NFL!#REF!,IF(+NFL!$H277="LA Chargers",+NFL!#REF!,0))</f>
        <v>0</v>
      </c>
      <c r="AM320" s="58">
        <f>IF(+NFL!$F277="LA Chargers",+NFL!#REF!,IF(+NFL!$H277="LA Chargers",+NFL!#REF!,0))</f>
        <v>0</v>
      </c>
      <c r="AN320" s="57">
        <f>IF(+NFL!$F277="LA Chargers",+NFL!#REF!,IF(+NFL!$H277="LA Chargers",+NFL!#REF!,0))</f>
        <v>0</v>
      </c>
      <c r="AO320" s="59">
        <f>IF(+NFL!$F277="LA Chargers",+NFL!#REF!,IF(+NFL!$H277="LA Chargers",+NFL!#REF!,0))</f>
        <v>0</v>
      </c>
      <c r="AP320" s="348">
        <f>IF(+NFL!$F277="LA Chargers",+NFL!#REF!,IF(+NFL!$H277="LA Chargers",+NFL!#REF!,0))</f>
        <v>0</v>
      </c>
      <c r="AQ320" s="48">
        <f>IF(+NFL!$F277="LA Chargers",+NFL!#REF!,IF(+NFL!$H277="LA Chargers",+NFL!#REF!,0))</f>
        <v>0</v>
      </c>
      <c r="AR320" s="57">
        <f>IF(+NFL!$F277="LA Chargers",+NFL!#REF!,IF(+NFL!$H277="LA Chargers",+NFL!#REF!,0))</f>
        <v>0</v>
      </c>
      <c r="AS320" s="64">
        <f>IF(+NFL!$F277="LA Chargers",+NFL!#REF!,IF(+NFL!$H277="LA Chargers",+NFL!#REF!,0))</f>
        <v>0</v>
      </c>
      <c r="AT320" s="64">
        <f>IF(+NFL!$F277="LA Chargers",+NFL!#REF!,IF(+NFL!$H277="LA Chargers",+NFL!#REF!,0))</f>
        <v>0</v>
      </c>
      <c r="AU320" s="57">
        <f>IF(+NFL!$F277="LA Chargers",+NFL!#REF!,IF(+NFL!$H277="LA Chargers",+NFL!#REF!,0))</f>
        <v>0</v>
      </c>
      <c r="AV320" s="64">
        <f>IF(+NFL!$F277="LA Chargers",+NFL!#REF!,IF(+NFL!$H277="LA Chargers",+NFL!#REF!,0))</f>
        <v>0</v>
      </c>
      <c r="AW320" s="46">
        <f>IF(+NFL!$F277="LA Chargers",+NFL!#REF!,IF(+NFL!$H277="LA Chargers",+NFL!#REF!,0))</f>
        <v>0</v>
      </c>
      <c r="AX320" s="64">
        <f>IF(+NFL!$F277="LA Chargers",+NFL!#REF!,IF(+NFL!$H277="LA Chargers",+NFL!#REF!,0))</f>
        <v>0</v>
      </c>
      <c r="AY320" s="57">
        <f>IF(+NFL!$F277="LA Chargers",+NFL!#REF!,IF(+NFL!$H277="LA Chargers",+NFL!#REF!,0))</f>
        <v>0</v>
      </c>
      <c r="AZ320" s="64">
        <f>IF(+NFL!$F277="LA Chargers",+NFL!#REF!,IF(+NFL!$H277="LA Chargers",+NFL!#REF!,0))</f>
        <v>0</v>
      </c>
      <c r="BA320" s="46">
        <f>IF(+NFL!$F277="LA Chargers",+NFL!#REF!,IF(+NFL!$H277="LA Chargers",+NFL!#REF!,0))</f>
        <v>0</v>
      </c>
      <c r="BB320" s="46">
        <f>IF(+NFL!$F277="LA Chargers",+NFL!#REF!,IF(+NFL!$H277="LA Chargers",+NFL!#REF!,0))</f>
        <v>0</v>
      </c>
      <c r="BC320" s="403">
        <f>IF(+NFL!$F277="LA Chargers",+NFL!#REF!,IF(+NFL!$H277="LA Chargers",+NFL!#REF!,0))</f>
        <v>0</v>
      </c>
      <c r="BD320" s="57">
        <f>IF(+NFL!$F277="LA Chargers",+NFL!#REF!,IF(+NFL!$H277="LA Chargers",+NFL!#REF!,0))</f>
        <v>0</v>
      </c>
      <c r="BE320" s="64">
        <f>IF(+NFL!$F277="LA Chargers",+NFL!#REF!,IF(+NFL!$H277="LA Chargers",+NFL!#REF!,0))</f>
        <v>0</v>
      </c>
      <c r="BF320" s="46">
        <f>IF(+NFL!$F277="LA Chargers",+NFL!#REF!,IF(+NFL!$H277="LA Chargers",+NFL!#REF!,0))</f>
        <v>0</v>
      </c>
      <c r="BG320" s="57">
        <f>IF(+NFL!$F277="LA Chargers",+NFL!#REF!,IF(+NFL!$H277="LA Chargers",+NFL!#REF!,0))</f>
        <v>0</v>
      </c>
      <c r="BH320" s="64">
        <f>IF(+NFL!$F277="LA Chargers",+NFL!#REF!,IF(+NFL!$H277="LA Chargers",+NFL!#REF!,0))</f>
        <v>0</v>
      </c>
      <c r="BI320" s="46">
        <f>IF(+NFL!$F277="LA Chargers",+NFL!#REF!,IF(+NFL!$H277="LA Chargers",+NFL!#REF!,0))</f>
        <v>0</v>
      </c>
      <c r="BJ320" s="87">
        <f>IF(+NFL!$F277="LA Chargers",+NFL!#REF!,IF(+NFL!$H277="LA Chargers",+NFL!#REF!,0))</f>
        <v>0</v>
      </c>
      <c r="BK320" s="120">
        <f>IF(+NFL!$F277="LA Chargers",+NFL!#REF!,IF(+NFL!$H277="LA Chargers",+NFL!#REF!,0))</f>
        <v>0</v>
      </c>
    </row>
    <row r="321" spans="1:63" s="246" customFormat="1" x14ac:dyDescent="0.8">
      <c r="A321" s="46">
        <f>IF(+NFL!$F298="LA Chargers",+NFL!A298,IF(+NFL!$H298="LA Chargers",+NFL!A298,0))</f>
        <v>16</v>
      </c>
      <c r="B321" s="348" t="str">
        <f>IF(+NFL!$F298="LA Chargers",+NFL!B298,IF(+NFL!$H298="LA Chargers",+NFL!B298,0))</f>
        <v>Mon</v>
      </c>
      <c r="C321" s="48">
        <f>IF(+NFL!$F298="LA Chargers",+NFL!C298,IF(+NFL!$H298="LA Chargers",+NFL!C298,0))</f>
        <v>44921</v>
      </c>
      <c r="D321" s="490">
        <f>IF(+NFL!$F298="LA Chargers",+NFL!D298,IF(+NFL!$H298="LA Chargers",+NFL!D298,0))</f>
        <v>0.84375</v>
      </c>
      <c r="E321" s="46" t="str">
        <f>IF(+NFL!$F298="LA Chargers",+NFL!E298,IF(+NFL!$H298="LA Chargers",+NFL!E298,0))</f>
        <v>ABC</v>
      </c>
      <c r="F321" s="114" t="str">
        <f>IF(+NFL!$F298="LA Chargers",+NFL!F298,IF(+NFL!$H298="LA Chargers",+NFL!F298,0))</f>
        <v>LA Chargers</v>
      </c>
      <c r="G321" s="46" t="str">
        <f>IF(+NFL!$F298="LA Chargers",+NFL!G298,IF(+NFL!$H298="LA Chargers",+NFL!G298,0))</f>
        <v>AFCW</v>
      </c>
      <c r="H321" s="114" t="str">
        <f>IF(+NFL!$F298="LA Chargers",+NFL!H298,IF(+NFL!$H298="LA Chargers",+NFL!H298,0))</f>
        <v>Indianapolis</v>
      </c>
      <c r="I321" s="46" t="str">
        <f>IF(+NFL!$F298="LA Chargers",+NFL!I298,IF(+NFL!$H298="LA Chargers",+NFL!I298,0))</f>
        <v>AFCS</v>
      </c>
      <c r="J321" s="353" t="str">
        <f>IF(+NFL!$F298="LA Chargers",+NFL!J298,IF(+NFL!$H298="LA Chargers",+NFL!J298,0))</f>
        <v>LA Chargers</v>
      </c>
      <c r="K321" s="494" t="str">
        <f>IF(+NFL!$F298="LA Chargers",+NFL!K298,IF(+NFL!$H298="LA Chargers",+NFL!K298,0))</f>
        <v>Indianapolis</v>
      </c>
      <c r="L321" s="384">
        <f>IF(+NFL!$F298="LA Chargers",+NFL!L298,IF(+NFL!$H298="LA Chargers",+NFL!L298,0))</f>
        <v>3.5</v>
      </c>
      <c r="M321" s="385">
        <f>IF(+NFL!$F298="LA Chargers",+NFL!M298,IF(+NFL!$H298="LA Chargers",+NFL!M298,0))</f>
        <v>44.5</v>
      </c>
      <c r="N321" s="394" t="str">
        <f>IF(+NFL!$F298="LA Chargers",+NFL!N298,IF(+NFL!$H298="LA Chargers",+NFL!N298,0))</f>
        <v>LA Chargers</v>
      </c>
      <c r="O321" s="395">
        <f>IF(+NFL!$F298="LA Chargers",+NFL!O298,IF(+NFL!$H298="LA Chargers",+NFL!O298,0))</f>
        <v>20</v>
      </c>
      <c r="P321" s="394" t="str">
        <f>IF(+NFL!$F298="LA Chargers",+NFL!P298,IF(+NFL!$H298="LA Chargers",+NFL!P298,0))</f>
        <v>Indianapolis</v>
      </c>
      <c r="Q321" s="396">
        <f>IF(+NFL!$F298="LA Chargers",+NFL!Q298,IF(+NFL!$H298="LA Chargers",+NFL!Q298,0))</f>
        <v>3</v>
      </c>
      <c r="R321" s="397" t="str">
        <f>IF(+NFL!$F298="LA Chargers",+NFL!R298,IF(+NFL!$H298="LA Chargers",+NFL!R298,0))</f>
        <v>LA Chargers</v>
      </c>
      <c r="S321" s="396" t="str">
        <f>IF(+NFL!$F298="LA Chargers",+NFL!S298,IF(+NFL!$H298="LA Chargers",+NFL!S298,0))</f>
        <v>Indianapolis</v>
      </c>
      <c r="T321" s="398">
        <f>IF(+NFL!$F298="LA Chargers",+NFL!T298,IF(+NFL!$H298="LA Chargers",+NFL!T298,0))</f>
        <v>0</v>
      </c>
      <c r="U321" s="396" t="str">
        <f>IF(+NFL!$F298="LA Chargers",+NFL!U298,IF(+NFL!$H298="LA Chargers",+NFL!U298,0))</f>
        <v>L</v>
      </c>
      <c r="V321" s="397">
        <f>IF(+NFL!$F292="LA Chargers",+NFL!#REF!,IF(+NFL!$H292="LA Chargers",+NFL!#REF!,0))</f>
        <v>0</v>
      </c>
      <c r="W321" s="396">
        <f>IF(+NFL!$F292="LA Chargers",+NFL!#REF!,IF(+NFL!$H292="LA Chargers",+NFL!#REF!,0))</f>
        <v>0</v>
      </c>
      <c r="X321" s="398">
        <f>IF(+NFL!$F292="LA Chargers",+NFL!#REF!,IF(+NFL!$H292="LA Chargers",+NFL!#REF!,0))</f>
        <v>0</v>
      </c>
      <c r="Y321" s="396">
        <f>IF(+NFL!$F292="LA Chargers",+NFL!#REF!,IF(+NFL!$H292="LA Chargers",+NFL!#REF!,0))</f>
        <v>0</v>
      </c>
      <c r="Z321" s="397">
        <f>IF(+NFL!$F292="LA Chargers",+NFL!#REF!,IF(+NFL!$H292="LA Chargers",+NFL!#REF!,0))</f>
        <v>0</v>
      </c>
      <c r="AA321" s="396">
        <f>IF(+NFL!$F292="LA Chargers",+NFL!#REF!,IF(+NFL!$H292="LA Chargers",+NFL!#REF!,0))</f>
        <v>0</v>
      </c>
      <c r="AB321" s="87">
        <f>IF(+NFL!$F292="LA Chargers",+NFL!#REF!,IF(+NFL!$H292="LA Chargers",+NFL!#REF!,0))</f>
        <v>0</v>
      </c>
      <c r="AC321" s="120">
        <f>IF(+NFL!$F292="LA Chargers",+NFL!#REF!,IF(+NFL!$H292="LA Chargers",+NFL!#REF!,0))</f>
        <v>0</v>
      </c>
      <c r="AD321" s="353">
        <f>IF(+NFL!$F292="LA Chargers",+NFL!#REF!,IF(+NFL!$H292="LA Chargers",+NFL!#REF!,0))</f>
        <v>0</v>
      </c>
      <c r="AE321" s="379">
        <f>IF(+NFL!$F292="LA Chargers",+NFL!#REF!,IF(+NFL!$H292="LA Chargers",+NFL!#REF!,0))</f>
        <v>0</v>
      </c>
      <c r="AF321" s="353">
        <f>IF(+NFL!$F292="LA Chargers",+NFL!#REF!,IF(+NFL!$H292="LA Chargers",+NFL!#REF!,0))</f>
        <v>0</v>
      </c>
      <c r="AG321" s="379">
        <f>IF(+NFL!$F292="LA Chargers",+NFL!#REF!,IF(+NFL!$H292="LA Chargers",+NFL!#REF!,0))</f>
        <v>0</v>
      </c>
      <c r="AH321" s="353">
        <f>IF(+NFL!$F292="LA Chargers",+NFL!#REF!,IF(+NFL!$H292="LA Chargers",+NFL!#REF!,0))</f>
        <v>0</v>
      </c>
      <c r="AI321" s="379">
        <f>IF(+NFL!$F292="LA Chargers",+NFL!#REF!,IF(+NFL!$H292="LA Chargers",+NFL!#REF!,0))</f>
        <v>0</v>
      </c>
      <c r="AJ321" s="353">
        <f>IF(+NFL!$F292="LA Chargers",+NFL!#REF!,IF(+NFL!$H292="LA Chargers",+NFL!#REF!,0))</f>
        <v>0</v>
      </c>
      <c r="AK321" s="379">
        <f>IF(+NFL!$F292="LA Chargers",+NFL!#REF!,IF(+NFL!$H292="LA Chargers",+NFL!#REF!,0))</f>
        <v>0</v>
      </c>
      <c r="AL321" s="68">
        <f>IF(+NFL!$F292="LA Chargers",+NFL!#REF!,IF(+NFL!$H292="LA Chargers",+NFL!#REF!,0))</f>
        <v>0</v>
      </c>
      <c r="AM321" s="58">
        <f>IF(+NFL!$F292="LA Chargers",+NFL!#REF!,IF(+NFL!$H292="LA Chargers",+NFL!#REF!,0))</f>
        <v>0</v>
      </c>
      <c r="AN321" s="57">
        <f>IF(+NFL!$F292="LA Chargers",+NFL!#REF!,IF(+NFL!$H292="LA Chargers",+NFL!#REF!,0))</f>
        <v>0</v>
      </c>
      <c r="AO321" s="59">
        <f>IF(+NFL!$F292="LA Chargers",+NFL!#REF!,IF(+NFL!$H292="LA Chargers",+NFL!#REF!,0))</f>
        <v>0</v>
      </c>
      <c r="AP321" s="348">
        <f>IF(+NFL!$F292="LA Chargers",+NFL!#REF!,IF(+NFL!$H292="LA Chargers",+NFL!#REF!,0))</f>
        <v>0</v>
      </c>
      <c r="AQ321" s="48">
        <f>IF(+NFL!$F292="LA Chargers",+NFL!#REF!,IF(+NFL!$H292="LA Chargers",+NFL!#REF!,0))</f>
        <v>0</v>
      </c>
      <c r="AR321" s="57">
        <f>IF(+NFL!$F292="LA Chargers",+NFL!#REF!,IF(+NFL!$H292="LA Chargers",+NFL!#REF!,0))</f>
        <v>0</v>
      </c>
      <c r="AS321" s="64">
        <f>IF(+NFL!$F292="LA Chargers",+NFL!#REF!,IF(+NFL!$H292="LA Chargers",+NFL!#REF!,0))</f>
        <v>0</v>
      </c>
      <c r="AT321" s="64">
        <f>IF(+NFL!$F292="LA Chargers",+NFL!#REF!,IF(+NFL!$H292="LA Chargers",+NFL!#REF!,0))</f>
        <v>0</v>
      </c>
      <c r="AU321" s="57">
        <f>IF(+NFL!$F292="LA Chargers",+NFL!#REF!,IF(+NFL!$H292="LA Chargers",+NFL!#REF!,0))</f>
        <v>0</v>
      </c>
      <c r="AV321" s="64">
        <f>IF(+NFL!$F292="LA Chargers",+NFL!#REF!,IF(+NFL!$H292="LA Chargers",+NFL!#REF!,0))</f>
        <v>0</v>
      </c>
      <c r="AW321" s="46">
        <f>IF(+NFL!$F292="LA Chargers",+NFL!#REF!,IF(+NFL!$H292="LA Chargers",+NFL!#REF!,0))</f>
        <v>0</v>
      </c>
      <c r="AX321" s="64">
        <f>IF(+NFL!$F292="LA Chargers",+NFL!#REF!,IF(+NFL!$H292="LA Chargers",+NFL!#REF!,0))</f>
        <v>0</v>
      </c>
      <c r="AY321" s="57">
        <f>IF(+NFL!$F292="LA Chargers",+NFL!#REF!,IF(+NFL!$H292="LA Chargers",+NFL!#REF!,0))</f>
        <v>0</v>
      </c>
      <c r="AZ321" s="64">
        <f>IF(+NFL!$F292="LA Chargers",+NFL!#REF!,IF(+NFL!$H292="LA Chargers",+NFL!#REF!,0))</f>
        <v>0</v>
      </c>
      <c r="BA321" s="46">
        <f>IF(+NFL!$F292="LA Chargers",+NFL!#REF!,IF(+NFL!$H292="LA Chargers",+NFL!#REF!,0))</f>
        <v>0</v>
      </c>
      <c r="BB321" s="46">
        <f>IF(+NFL!$F292="LA Chargers",+NFL!#REF!,IF(+NFL!$H292="LA Chargers",+NFL!#REF!,0))</f>
        <v>0</v>
      </c>
      <c r="BC321" s="403">
        <f>IF(+NFL!$F292="LA Chargers",+NFL!#REF!,IF(+NFL!$H292="LA Chargers",+NFL!#REF!,0))</f>
        <v>0</v>
      </c>
      <c r="BD321" s="57">
        <f>IF(+NFL!$F292="LA Chargers",+NFL!#REF!,IF(+NFL!$H292="LA Chargers",+NFL!#REF!,0))</f>
        <v>0</v>
      </c>
      <c r="BE321" s="64">
        <f>IF(+NFL!$F292="LA Chargers",+NFL!#REF!,IF(+NFL!$H292="LA Chargers",+NFL!#REF!,0))</f>
        <v>0</v>
      </c>
      <c r="BF321" s="46">
        <f>IF(+NFL!$F292="LA Chargers",+NFL!#REF!,IF(+NFL!$H292="LA Chargers",+NFL!#REF!,0))</f>
        <v>0</v>
      </c>
      <c r="BG321" s="57">
        <f>IF(+NFL!$F292="LA Chargers",+NFL!#REF!,IF(+NFL!$H292="LA Chargers",+NFL!#REF!,0))</f>
        <v>0</v>
      </c>
      <c r="BH321" s="64">
        <f>IF(+NFL!$F292="LA Chargers",+NFL!#REF!,IF(+NFL!$H292="LA Chargers",+NFL!#REF!,0))</f>
        <v>0</v>
      </c>
      <c r="BI321" s="46">
        <f>IF(+NFL!$F292="LA Chargers",+NFL!#REF!,IF(+NFL!$H292="LA Chargers",+NFL!#REF!,0))</f>
        <v>0</v>
      </c>
      <c r="BJ321" s="87">
        <f>IF(+NFL!$F292="LA Chargers",+NFL!#REF!,IF(+NFL!$H292="LA Chargers",+NFL!#REF!,0))</f>
        <v>0</v>
      </c>
      <c r="BK321" s="120">
        <f>IF(+NFL!$F292="LA Chargers",+NFL!#REF!,IF(+NFL!$H292="LA Chargers",+NFL!#REF!,0))</f>
        <v>0</v>
      </c>
    </row>
    <row r="322" spans="1:63" s="246" customFormat="1" x14ac:dyDescent="0.8">
      <c r="A322" s="46">
        <f>IF(+NFL!$F314="LA Chargers",+NFL!A314,IF(+NFL!$H314="LA Chargers",+NFL!A314,0))</f>
        <v>17</v>
      </c>
      <c r="B322" s="348" t="str">
        <f>IF(+NFL!$F314="LA Chargers",+NFL!B314,IF(+NFL!$H314="LA Chargers",+NFL!B314,0))</f>
        <v>Sun</v>
      </c>
      <c r="C322" s="48">
        <f>IF(+NFL!$F314="LA Chargers",+NFL!C314,IF(+NFL!$H314="LA Chargers",+NFL!C314,0))</f>
        <v>44927</v>
      </c>
      <c r="D322" s="490">
        <f>IF(+NFL!$F314="LA Chargers",+NFL!D314,IF(+NFL!$H314="LA Chargers",+NFL!D314,0))</f>
        <v>0.84375</v>
      </c>
      <c r="E322" s="46" t="str">
        <f>IF(+NFL!$F314="LA Chargers",+NFL!E314,IF(+NFL!$H314="LA Chargers",+NFL!E314,0))</f>
        <v>NBC</v>
      </c>
      <c r="F322" s="114" t="str">
        <f>IF(+NFL!$F314="LA Chargers",+NFL!F314,IF(+NFL!$H314="LA Chargers",+NFL!F314,0))</f>
        <v>LA Rams</v>
      </c>
      <c r="G322" s="46" t="str">
        <f>IF(+NFL!$F314="LA Chargers",+NFL!G314,IF(+NFL!$H314="LA Chargers",+NFL!G314,0))</f>
        <v>NFCW</v>
      </c>
      <c r="H322" s="114" t="str">
        <f>IF(+NFL!$F314="LA Chargers",+NFL!H314,IF(+NFL!$H314="LA Chargers",+NFL!H314,0))</f>
        <v>LA Chargers</v>
      </c>
      <c r="I322" s="46" t="str">
        <f>IF(+NFL!$F314="LA Chargers",+NFL!I314,IF(+NFL!$H314="LA Chargers",+NFL!I314,0))</f>
        <v>AFCW</v>
      </c>
      <c r="J322" s="353" t="str">
        <f>IF(+NFL!$F314="LA Chargers",+NFL!J314,IF(+NFL!$H314="LA Chargers",+NFL!J314,0))</f>
        <v>LA Chargers</v>
      </c>
      <c r="K322" s="494" t="str">
        <f>IF(+NFL!$F314="LA Chargers",+NFL!K314,IF(+NFL!$H314="LA Chargers",+NFL!K314,0))</f>
        <v>LA Rams</v>
      </c>
      <c r="L322" s="384">
        <f>IF(+NFL!$F314="LA Chargers",+NFL!L314,IF(+NFL!$H314="LA Chargers",+NFL!L314,0))</f>
        <v>6.5</v>
      </c>
      <c r="M322" s="385">
        <f>IF(+NFL!$F314="LA Chargers",+NFL!M314,IF(+NFL!$H314="LA Chargers",+NFL!M314,0))</f>
        <v>41.5</v>
      </c>
      <c r="N322" s="394" t="str">
        <f>IF(+NFL!$F314="LA Chargers",+NFL!N314,IF(+NFL!$H314="LA Chargers",+NFL!N314,0))</f>
        <v>LA Chargers</v>
      </c>
      <c r="O322" s="395">
        <f>IF(+NFL!$F314="LA Chargers",+NFL!O314,IF(+NFL!$H314="LA Chargers",+NFL!O314,0))</f>
        <v>31</v>
      </c>
      <c r="P322" s="394" t="str">
        <f>IF(+NFL!$F314="LA Chargers",+NFL!P314,IF(+NFL!$H314="LA Chargers",+NFL!P314,0))</f>
        <v>LA Rams</v>
      </c>
      <c r="Q322" s="396">
        <f>IF(+NFL!$F314="LA Chargers",+NFL!Q314,IF(+NFL!$H314="LA Chargers",+NFL!Q314,0))</f>
        <v>10</v>
      </c>
      <c r="R322" s="397" t="str">
        <f>IF(+NFL!$F314="LA Chargers",+NFL!R314,IF(+NFL!$H314="LA Chargers",+NFL!R314,0))</f>
        <v>LA Chargers</v>
      </c>
      <c r="S322" s="396" t="str">
        <f>IF(+NFL!$F314="LA Chargers",+NFL!S314,IF(+NFL!$H314="LA Chargers",+NFL!S314,0))</f>
        <v>LA Rams</v>
      </c>
      <c r="T322" s="398">
        <f>IF(+NFL!$F314="LA Chargers",+NFL!T314,IF(+NFL!$H314="LA Chargers",+NFL!T314,0))</f>
        <v>0</v>
      </c>
      <c r="U322" s="396" t="str">
        <f>IF(+NFL!$F314="LA Chargers",+NFL!U314,IF(+NFL!$H314="LA Chargers",+NFL!U314,0))</f>
        <v>L</v>
      </c>
      <c r="V322" s="397" t="e">
        <f>IF(+NFL!$F314="LA Chargers",+NFL!#REF!,IF(+NFL!$H314="LA Chargers",+NFL!#REF!,0))</f>
        <v>#REF!</v>
      </c>
      <c r="W322" s="396" t="e">
        <f>IF(+NFL!$F314="LA Chargers",+NFL!#REF!,IF(+NFL!$H314="LA Chargers",+NFL!#REF!,0))</f>
        <v>#REF!</v>
      </c>
      <c r="X322" s="398" t="e">
        <f>IF(+NFL!$F314="LA Chargers",+NFL!#REF!,IF(+NFL!$H314="LA Chargers",+NFL!#REF!,0))</f>
        <v>#REF!</v>
      </c>
      <c r="Y322" s="396" t="e">
        <f>IF(+NFL!$F314="LA Chargers",+NFL!#REF!,IF(+NFL!$H314="LA Chargers",+NFL!#REF!,0))</f>
        <v>#REF!</v>
      </c>
      <c r="Z322" s="397" t="e">
        <f>IF(+NFL!$F314="LA Chargers",+NFL!#REF!,IF(+NFL!$H314="LA Chargers",+NFL!#REF!,0))</f>
        <v>#REF!</v>
      </c>
      <c r="AA322" s="396" t="e">
        <f>IF(+NFL!$F314="LA Chargers",+NFL!#REF!,IF(+NFL!$H314="LA Chargers",+NFL!#REF!,0))</f>
        <v>#REF!</v>
      </c>
      <c r="AB322" s="87" t="e">
        <f>IF(+NFL!$F314="LA Chargers",+NFL!#REF!,IF(+NFL!$H314="LA Chargers",+NFL!#REF!,0))</f>
        <v>#REF!</v>
      </c>
      <c r="AC322" s="120" t="e">
        <f>IF(+NFL!$F314="LA Chargers",+NFL!#REF!,IF(+NFL!$H314="LA Chargers",+NFL!#REF!,0))</f>
        <v>#REF!</v>
      </c>
      <c r="AD322" s="353" t="e">
        <f>IF(+NFL!$F314="LA Chargers",+NFL!#REF!,IF(+NFL!$H314="LA Chargers",+NFL!#REF!,0))</f>
        <v>#REF!</v>
      </c>
      <c r="AE322" s="379" t="e">
        <f>IF(+NFL!$F314="LA Chargers",+NFL!#REF!,IF(+NFL!$H314="LA Chargers",+NFL!#REF!,0))</f>
        <v>#REF!</v>
      </c>
      <c r="AF322" s="353" t="e">
        <f>IF(+NFL!$F314="LA Chargers",+NFL!#REF!,IF(+NFL!$H314="LA Chargers",+NFL!#REF!,0))</f>
        <v>#REF!</v>
      </c>
      <c r="AG322" s="379" t="e">
        <f>IF(+NFL!$F314="LA Chargers",+NFL!#REF!,IF(+NFL!$H314="LA Chargers",+NFL!#REF!,0))</f>
        <v>#REF!</v>
      </c>
      <c r="AH322" s="353" t="e">
        <f>IF(+NFL!$F314="LA Chargers",+NFL!#REF!,IF(+NFL!$H314="LA Chargers",+NFL!#REF!,0))</f>
        <v>#REF!</v>
      </c>
      <c r="AI322" s="379" t="e">
        <f>IF(+NFL!$F314="LA Chargers",+NFL!#REF!,IF(+NFL!$H314="LA Chargers",+NFL!#REF!,0))</f>
        <v>#REF!</v>
      </c>
      <c r="AJ322" s="353" t="e">
        <f>IF(+NFL!$F314="LA Chargers",+NFL!#REF!,IF(+NFL!$H314="LA Chargers",+NFL!#REF!,0))</f>
        <v>#REF!</v>
      </c>
      <c r="AK322" s="379" t="e">
        <f>IF(+NFL!$F314="LA Chargers",+NFL!#REF!,IF(+NFL!$H314="LA Chargers",+NFL!#REF!,0))</f>
        <v>#REF!</v>
      </c>
      <c r="AL322" s="68" t="e">
        <f>IF(+NFL!$F314="LA Chargers",+NFL!#REF!,IF(+NFL!$H314="LA Chargers",+NFL!#REF!,0))</f>
        <v>#REF!</v>
      </c>
      <c r="AM322" s="58" t="e">
        <f>IF(+NFL!$F314="LA Chargers",+NFL!#REF!,IF(+NFL!$H314="LA Chargers",+NFL!#REF!,0))</f>
        <v>#REF!</v>
      </c>
      <c r="AN322" s="57" t="e">
        <f>IF(+NFL!$F314="LA Chargers",+NFL!#REF!,IF(+NFL!$H314="LA Chargers",+NFL!#REF!,0))</f>
        <v>#REF!</v>
      </c>
      <c r="AO322" s="59" t="e">
        <f>IF(+NFL!$F314="LA Chargers",+NFL!#REF!,IF(+NFL!$H314="LA Chargers",+NFL!#REF!,0))</f>
        <v>#REF!</v>
      </c>
      <c r="AP322" s="348" t="e">
        <f>IF(+NFL!$F314="LA Chargers",+NFL!#REF!,IF(+NFL!$H314="LA Chargers",+NFL!#REF!,0))</f>
        <v>#REF!</v>
      </c>
      <c r="AQ322" s="48" t="e">
        <f>IF(+NFL!$F314="LA Chargers",+NFL!#REF!,IF(+NFL!$H314="LA Chargers",+NFL!#REF!,0))</f>
        <v>#REF!</v>
      </c>
      <c r="AR322" s="57" t="e">
        <f>IF(+NFL!$F314="LA Chargers",+NFL!#REF!,IF(+NFL!$H314="LA Chargers",+NFL!#REF!,0))</f>
        <v>#REF!</v>
      </c>
      <c r="AS322" s="64" t="e">
        <f>IF(+NFL!$F314="LA Chargers",+NFL!#REF!,IF(+NFL!$H314="LA Chargers",+NFL!#REF!,0))</f>
        <v>#REF!</v>
      </c>
      <c r="AT322" s="64" t="e">
        <f>IF(+NFL!$F314="LA Chargers",+NFL!#REF!,IF(+NFL!$H314="LA Chargers",+NFL!#REF!,0))</f>
        <v>#REF!</v>
      </c>
      <c r="AU322" s="57" t="e">
        <f>IF(+NFL!$F314="LA Chargers",+NFL!#REF!,IF(+NFL!$H314="LA Chargers",+NFL!#REF!,0))</f>
        <v>#REF!</v>
      </c>
      <c r="AV322" s="64" t="e">
        <f>IF(+NFL!$F314="LA Chargers",+NFL!#REF!,IF(+NFL!$H314="LA Chargers",+NFL!#REF!,0))</f>
        <v>#REF!</v>
      </c>
      <c r="AW322" s="46" t="e">
        <f>IF(+NFL!$F314="LA Chargers",+NFL!#REF!,IF(+NFL!$H314="LA Chargers",+NFL!#REF!,0))</f>
        <v>#REF!</v>
      </c>
      <c r="AX322" s="64" t="e">
        <f>IF(+NFL!$F314="LA Chargers",+NFL!#REF!,IF(+NFL!$H314="LA Chargers",+NFL!#REF!,0))</f>
        <v>#REF!</v>
      </c>
      <c r="AY322" s="57" t="e">
        <f>IF(+NFL!$F314="LA Chargers",+NFL!#REF!,IF(+NFL!$H314="LA Chargers",+NFL!#REF!,0))</f>
        <v>#REF!</v>
      </c>
      <c r="AZ322" s="64" t="e">
        <f>IF(+NFL!$F314="LA Chargers",+NFL!#REF!,IF(+NFL!$H314="LA Chargers",+NFL!#REF!,0))</f>
        <v>#REF!</v>
      </c>
      <c r="BA322" s="46" t="e">
        <f>IF(+NFL!$F314="LA Chargers",+NFL!#REF!,IF(+NFL!$H314="LA Chargers",+NFL!#REF!,0))</f>
        <v>#REF!</v>
      </c>
      <c r="BB322" s="46" t="e">
        <f>IF(+NFL!$F314="LA Chargers",+NFL!#REF!,IF(+NFL!$H314="LA Chargers",+NFL!#REF!,0))</f>
        <v>#REF!</v>
      </c>
      <c r="BC322" s="403" t="e">
        <f>IF(+NFL!$F314="LA Chargers",+NFL!#REF!,IF(+NFL!$H314="LA Chargers",+NFL!#REF!,0))</f>
        <v>#REF!</v>
      </c>
      <c r="BD322" s="57" t="e">
        <f>IF(+NFL!$F314="LA Chargers",+NFL!#REF!,IF(+NFL!$H314="LA Chargers",+NFL!#REF!,0))</f>
        <v>#REF!</v>
      </c>
      <c r="BE322" s="64" t="e">
        <f>IF(+NFL!$F314="LA Chargers",+NFL!#REF!,IF(+NFL!$H314="LA Chargers",+NFL!#REF!,0))</f>
        <v>#REF!</v>
      </c>
      <c r="BF322" s="46" t="e">
        <f>IF(+NFL!$F314="LA Chargers",+NFL!#REF!,IF(+NFL!$H314="LA Chargers",+NFL!#REF!,0))</f>
        <v>#REF!</v>
      </c>
      <c r="BG322" s="57" t="e">
        <f>IF(+NFL!$F314="LA Chargers",+NFL!#REF!,IF(+NFL!$H314="LA Chargers",+NFL!#REF!,0))</f>
        <v>#REF!</v>
      </c>
      <c r="BH322" s="64" t="e">
        <f>IF(+NFL!$F314="LA Chargers",+NFL!#REF!,IF(+NFL!$H314="LA Chargers",+NFL!#REF!,0))</f>
        <v>#REF!</v>
      </c>
      <c r="BI322" s="46" t="e">
        <f>IF(+NFL!$F314="LA Chargers",+NFL!#REF!,IF(+NFL!$H314="LA Chargers",+NFL!#REF!,0))</f>
        <v>#REF!</v>
      </c>
      <c r="BJ322" s="87" t="e">
        <f>IF(+NFL!$F314="LA Chargers",+NFL!#REF!,IF(+NFL!$H314="LA Chargers",+NFL!#REF!,0))</f>
        <v>#REF!</v>
      </c>
      <c r="BK322" s="120" t="e">
        <f>IF(+NFL!$F314="LA Chargers",+NFL!#REF!,IF(+NFL!$H314="LA Chargers",+NFL!#REF!,0))</f>
        <v>#REF!</v>
      </c>
    </row>
    <row r="323" spans="1:63" s="246" customFormat="1" x14ac:dyDescent="0.8">
      <c r="A323" s="46">
        <f>IF(+NFL!$F320="LA Chargers",+NFL!A320,IF(+NFL!$H320="LA Chargers",+NFL!A320,0))</f>
        <v>0</v>
      </c>
      <c r="B323" s="348">
        <f>IF(+NFL!$F320="LA Chargers",+NFL!B320,IF(+NFL!$H320="LA Chargers",+NFL!B320,0))</f>
        <v>0</v>
      </c>
      <c r="C323" s="48">
        <f>IF(+NFL!$F320="LA Chargers",+NFL!C320,IF(+NFL!$H320="LA Chargers",+NFL!C320,0))</f>
        <v>0</v>
      </c>
      <c r="D323" s="490">
        <f>IF(+NFL!$F320="LA Chargers",+NFL!D320,IF(+NFL!$H320="LA Chargers",+NFL!D320,0))</f>
        <v>0</v>
      </c>
      <c r="E323" s="46">
        <f>IF(+NFL!$F320="LA Chargers",+NFL!E320,IF(+NFL!$H320="LA Chargers",+NFL!E320,0))</f>
        <v>0</v>
      </c>
      <c r="F323" s="114">
        <f>IF(+NFL!$F320="LA Chargers",+NFL!F320,IF(+NFL!$H320="LA Chargers",+NFL!F320,0))</f>
        <v>0</v>
      </c>
      <c r="G323" s="46">
        <f>IF(+NFL!$F320="LA Chargers",+NFL!G320,IF(+NFL!$H320="LA Chargers",+NFL!G320,0))</f>
        <v>0</v>
      </c>
      <c r="H323" s="114">
        <f>IF(+NFL!$F320="LA Chargers",+NFL!H320,IF(+NFL!$H320="LA Chargers",+NFL!H320,0))</f>
        <v>0</v>
      </c>
      <c r="I323" s="46">
        <f>IF(+NFL!$F320="LA Chargers",+NFL!I320,IF(+NFL!$H320="LA Chargers",+NFL!I320,0))</f>
        <v>0</v>
      </c>
      <c r="J323" s="353">
        <f>IF(+NFL!$F320="LA Chargers",+NFL!J320,IF(+NFL!$H320="LA Chargers",+NFL!J320,0))</f>
        <v>0</v>
      </c>
      <c r="K323" s="494">
        <f>IF(+NFL!$F320="LA Chargers",+NFL!K320,IF(+NFL!$H320="LA Chargers",+NFL!K320,0))</f>
        <v>0</v>
      </c>
      <c r="L323" s="384">
        <f>IF(+NFL!$F320="LA Chargers",+NFL!L320,IF(+NFL!$H320="LA Chargers",+NFL!L320,0))</f>
        <v>0</v>
      </c>
      <c r="M323" s="385">
        <f>IF(+NFL!$F320="LA Chargers",+NFL!M320,IF(+NFL!$H320="LA Chargers",+NFL!M320,0))</f>
        <v>0</v>
      </c>
      <c r="N323" s="394">
        <f>IF(+NFL!$F320="LA Chargers",+NFL!N320,IF(+NFL!$H320="LA Chargers",+NFL!N320,0))</f>
        <v>0</v>
      </c>
      <c r="O323" s="395">
        <f>IF(+NFL!$F320="LA Chargers",+NFL!O320,IF(+NFL!$H320="LA Chargers",+NFL!O320,0))</f>
        <v>0</v>
      </c>
      <c r="P323" s="394">
        <f>IF(+NFL!$F320="LA Chargers",+NFL!P320,IF(+NFL!$H320="LA Chargers",+NFL!P320,0))</f>
        <v>0</v>
      </c>
      <c r="Q323" s="396">
        <f>IF(+NFL!$F320="LA Chargers",+NFL!Q320,IF(+NFL!$H320="LA Chargers",+NFL!Q320,0))</f>
        <v>0</v>
      </c>
      <c r="R323" s="397">
        <f>IF(+NFL!$F320="LA Chargers",+NFL!R320,IF(+NFL!$H320="LA Chargers",+NFL!R320,0))</f>
        <v>0</v>
      </c>
      <c r="S323" s="396">
        <f>IF(+NFL!$F320="LA Chargers",+NFL!S320,IF(+NFL!$H320="LA Chargers",+NFL!S320,0))</f>
        <v>0</v>
      </c>
      <c r="T323" s="398">
        <f>IF(+NFL!$F320="LA Chargers",+NFL!T320,IF(+NFL!$H320="LA Chargers",+NFL!T320,0))</f>
        <v>0</v>
      </c>
      <c r="U323" s="396">
        <f>IF(+NFL!$F320="LA Chargers",+NFL!U320,IF(+NFL!$H320="LA Chargers",+NFL!U320,0))</f>
        <v>0</v>
      </c>
      <c r="V323" s="397">
        <f>IF(+NFL!$F328="LA Chargers",+NFL!#REF!,IF(+NFL!$H328="LA Chargers",+NFL!#REF!,0))</f>
        <v>0</v>
      </c>
      <c r="W323" s="396">
        <f>IF(+NFL!$F328="LA Chargers",+NFL!#REF!,IF(+NFL!$H328="LA Chargers",+NFL!#REF!,0))</f>
        <v>0</v>
      </c>
      <c r="X323" s="398">
        <f>IF(+NFL!$F328="LA Chargers",+NFL!#REF!,IF(+NFL!$H328="LA Chargers",+NFL!#REF!,0))</f>
        <v>0</v>
      </c>
      <c r="Y323" s="396">
        <f>IF(+NFL!$F328="LA Chargers",+NFL!#REF!,IF(+NFL!$H328="LA Chargers",+NFL!#REF!,0))</f>
        <v>0</v>
      </c>
      <c r="Z323" s="397">
        <f>IF(+NFL!$F328="LA Chargers",+NFL!#REF!,IF(+NFL!$H328="LA Chargers",+NFL!#REF!,0))</f>
        <v>0</v>
      </c>
      <c r="AA323" s="396">
        <f>IF(+NFL!$F328="LA Chargers",+NFL!#REF!,IF(+NFL!$H328="LA Chargers",+NFL!#REF!,0))</f>
        <v>0</v>
      </c>
      <c r="AB323" s="87">
        <f>IF(+NFL!$F328="LA Chargers",+NFL!#REF!,IF(+NFL!$H328="LA Chargers",+NFL!#REF!,0))</f>
        <v>0</v>
      </c>
      <c r="AC323" s="120">
        <f>IF(+NFL!$F328="LA Chargers",+NFL!#REF!,IF(+NFL!$H328="LA Chargers",+NFL!#REF!,0))</f>
        <v>0</v>
      </c>
      <c r="AD323" s="353">
        <f>IF(+NFL!$F328="LA Chargers",+NFL!#REF!,IF(+NFL!$H328="LA Chargers",+NFL!#REF!,0))</f>
        <v>0</v>
      </c>
      <c r="AE323" s="379">
        <f>IF(+NFL!$F328="LA Chargers",+NFL!#REF!,IF(+NFL!$H328="LA Chargers",+NFL!#REF!,0))</f>
        <v>0</v>
      </c>
      <c r="AF323" s="353">
        <f>IF(+NFL!$F328="LA Chargers",+NFL!#REF!,IF(+NFL!$H328="LA Chargers",+NFL!#REF!,0))</f>
        <v>0</v>
      </c>
      <c r="AG323" s="379">
        <f>IF(+NFL!$F328="LA Chargers",+NFL!#REF!,IF(+NFL!$H328="LA Chargers",+NFL!#REF!,0))</f>
        <v>0</v>
      </c>
      <c r="AH323" s="353">
        <f>IF(+NFL!$F328="LA Chargers",+NFL!#REF!,IF(+NFL!$H328="LA Chargers",+NFL!#REF!,0))</f>
        <v>0</v>
      </c>
      <c r="AI323" s="379">
        <f>IF(+NFL!$F328="LA Chargers",+NFL!#REF!,IF(+NFL!$H328="LA Chargers",+NFL!#REF!,0))</f>
        <v>0</v>
      </c>
      <c r="AJ323" s="353">
        <f>IF(+NFL!$F328="LA Chargers",+NFL!#REF!,IF(+NFL!$H328="LA Chargers",+NFL!#REF!,0))</f>
        <v>0</v>
      </c>
      <c r="AK323" s="379">
        <f>IF(+NFL!$F328="LA Chargers",+NFL!#REF!,IF(+NFL!$H328="LA Chargers",+NFL!#REF!,0))</f>
        <v>0</v>
      </c>
      <c r="AL323" s="68">
        <f>IF(+NFL!$F328="LA Chargers",+NFL!#REF!,IF(+NFL!$H328="LA Chargers",+NFL!#REF!,0))</f>
        <v>0</v>
      </c>
      <c r="AM323" s="58">
        <f>IF(+NFL!$F328="LA Chargers",+NFL!#REF!,IF(+NFL!$H328="LA Chargers",+NFL!#REF!,0))</f>
        <v>0</v>
      </c>
      <c r="AN323" s="57">
        <f>IF(+NFL!$F328="LA Chargers",+NFL!#REF!,IF(+NFL!$H328="LA Chargers",+NFL!#REF!,0))</f>
        <v>0</v>
      </c>
      <c r="AO323" s="59">
        <f>IF(+NFL!$F328="LA Chargers",+NFL!#REF!,IF(+NFL!$H328="LA Chargers",+NFL!#REF!,0))</f>
        <v>0</v>
      </c>
      <c r="AP323" s="348">
        <f>IF(+NFL!$F328="LA Chargers",+NFL!#REF!,IF(+NFL!$H328="LA Chargers",+NFL!#REF!,0))</f>
        <v>0</v>
      </c>
      <c r="AQ323" s="48">
        <f>IF(+NFL!$F328="LA Chargers",+NFL!#REF!,IF(+NFL!$H328="LA Chargers",+NFL!#REF!,0))</f>
        <v>0</v>
      </c>
      <c r="AR323" s="57">
        <f>IF(+NFL!$F328="LA Chargers",+NFL!#REF!,IF(+NFL!$H328="LA Chargers",+NFL!#REF!,0))</f>
        <v>0</v>
      </c>
      <c r="AS323" s="64">
        <f>IF(+NFL!$F328="LA Chargers",+NFL!#REF!,IF(+NFL!$H328="LA Chargers",+NFL!#REF!,0))</f>
        <v>0</v>
      </c>
      <c r="AT323" s="64">
        <f>IF(+NFL!$F328="LA Chargers",+NFL!#REF!,IF(+NFL!$H328="LA Chargers",+NFL!#REF!,0))</f>
        <v>0</v>
      </c>
      <c r="AU323" s="57">
        <f>IF(+NFL!$F328="LA Chargers",+NFL!#REF!,IF(+NFL!$H328="LA Chargers",+NFL!#REF!,0))</f>
        <v>0</v>
      </c>
      <c r="AV323" s="64">
        <f>IF(+NFL!$F328="LA Chargers",+NFL!#REF!,IF(+NFL!$H328="LA Chargers",+NFL!#REF!,0))</f>
        <v>0</v>
      </c>
      <c r="AW323" s="46">
        <f>IF(+NFL!$F328="LA Chargers",+NFL!#REF!,IF(+NFL!$H328="LA Chargers",+NFL!#REF!,0))</f>
        <v>0</v>
      </c>
      <c r="AX323" s="64">
        <f>IF(+NFL!$F328="LA Chargers",+NFL!#REF!,IF(+NFL!$H328="LA Chargers",+NFL!#REF!,0))</f>
        <v>0</v>
      </c>
      <c r="AY323" s="57">
        <f>IF(+NFL!$F328="LA Chargers",+NFL!#REF!,IF(+NFL!$H328="LA Chargers",+NFL!#REF!,0))</f>
        <v>0</v>
      </c>
      <c r="AZ323" s="64">
        <f>IF(+NFL!$F328="LA Chargers",+NFL!#REF!,IF(+NFL!$H328="LA Chargers",+NFL!#REF!,0))</f>
        <v>0</v>
      </c>
      <c r="BA323" s="46">
        <f>IF(+NFL!$F328="LA Chargers",+NFL!#REF!,IF(+NFL!$H328="LA Chargers",+NFL!#REF!,0))</f>
        <v>0</v>
      </c>
      <c r="BB323" s="46">
        <f>IF(+NFL!$F328="LA Chargers",+NFL!#REF!,IF(+NFL!$H328="LA Chargers",+NFL!#REF!,0))</f>
        <v>0</v>
      </c>
      <c r="BC323" s="403">
        <f>IF(+NFL!$F328="LA Chargers",+NFL!#REF!,IF(+NFL!$H328="LA Chargers",+NFL!#REF!,0))</f>
        <v>0</v>
      </c>
      <c r="BD323" s="57">
        <f>IF(+NFL!$F328="LA Chargers",+NFL!#REF!,IF(+NFL!$H328="LA Chargers",+NFL!#REF!,0))</f>
        <v>0</v>
      </c>
      <c r="BE323" s="64">
        <f>IF(+NFL!$F328="LA Chargers",+NFL!#REF!,IF(+NFL!$H328="LA Chargers",+NFL!#REF!,0))</f>
        <v>0</v>
      </c>
      <c r="BF323" s="46">
        <f>IF(+NFL!$F328="LA Chargers",+NFL!#REF!,IF(+NFL!$H328="LA Chargers",+NFL!#REF!,0))</f>
        <v>0</v>
      </c>
      <c r="BG323" s="57">
        <f>IF(+NFL!$F328="LA Chargers",+NFL!#REF!,IF(+NFL!$H328="LA Chargers",+NFL!#REF!,0))</f>
        <v>0</v>
      </c>
      <c r="BH323" s="64">
        <f>IF(+NFL!$F328="LA Chargers",+NFL!#REF!,IF(+NFL!$H328="LA Chargers",+NFL!#REF!,0))</f>
        <v>0</v>
      </c>
      <c r="BI323" s="46">
        <f>IF(+NFL!$F328="LA Chargers",+NFL!#REF!,IF(+NFL!$H328="LA Chargers",+NFL!#REF!,0))</f>
        <v>0</v>
      </c>
      <c r="BJ323" s="87">
        <f>IF(+NFL!$F328="LA Chargers",+NFL!#REF!,IF(+NFL!$H328="LA Chargers",+NFL!#REF!,0))</f>
        <v>0</v>
      </c>
      <c r="BK323" s="120">
        <f>IF(+NFL!$F328="LA Chargers",+NFL!#REF!,IF(+NFL!$H328="LA Chargers",+NFL!#REF!,0))</f>
        <v>0</v>
      </c>
    </row>
    <row r="324" spans="1:63" s="246" customFormat="1" x14ac:dyDescent="0.8">
      <c r="A324" s="46"/>
      <c r="B324" s="47"/>
      <c r="C324" s="48"/>
      <c r="D324" s="49"/>
      <c r="E324" s="46"/>
      <c r="F324" s="959" t="str">
        <f>H325</f>
        <v>LA Rams</v>
      </c>
      <c r="G324" s="960"/>
      <c r="H324" s="960"/>
      <c r="I324" s="961"/>
      <c r="J324" s="353"/>
      <c r="K324" s="364"/>
      <c r="L324" s="362"/>
      <c r="M324" s="386"/>
      <c r="N324" s="394"/>
      <c r="O324" s="395"/>
      <c r="P324" s="394"/>
      <c r="Q324" s="396"/>
      <c r="R324" s="397"/>
      <c r="S324" s="396"/>
      <c r="T324" s="397"/>
      <c r="U324" s="396"/>
      <c r="V324" s="397"/>
      <c r="W324" s="396"/>
      <c r="X324" s="397"/>
      <c r="Y324" s="396"/>
      <c r="Z324" s="397"/>
      <c r="AA324" s="396"/>
      <c r="AB324" s="87"/>
      <c r="AC324" s="120"/>
      <c r="AD324" s="353"/>
      <c r="AE324" s="379"/>
      <c r="AF324" s="353"/>
      <c r="AG324" s="379"/>
      <c r="AH324" s="353"/>
      <c r="AI324" s="379"/>
      <c r="AJ324" s="353"/>
      <c r="AK324" s="379"/>
      <c r="AL324" s="57"/>
      <c r="AM324" s="64"/>
      <c r="AN324" s="57"/>
      <c r="AO324" s="46"/>
      <c r="AP324" s="47"/>
      <c r="AQ324" s="47"/>
      <c r="AR324" s="57"/>
      <c r="AS324" s="64"/>
      <c r="AT324" s="64"/>
      <c r="AU324" s="57"/>
      <c r="AV324" s="64"/>
      <c r="AW324" s="46"/>
      <c r="AX324" s="64"/>
      <c r="AY324" s="57"/>
      <c r="AZ324" s="64"/>
      <c r="BA324" s="46"/>
      <c r="BB324" s="46"/>
      <c r="BC324" s="47"/>
      <c r="BD324" s="57"/>
      <c r="BE324" s="64"/>
      <c r="BF324" s="46"/>
      <c r="BG324" s="57"/>
      <c r="BH324" s="64"/>
      <c r="BI324" s="46"/>
      <c r="BJ324" s="87"/>
      <c r="BK324" s="120"/>
    </row>
    <row r="325" spans="1:63" s="246" customFormat="1" x14ac:dyDescent="0.8">
      <c r="A325" s="46">
        <f>IF(+NFL!$F4="LA Rams",+NFL!A4,IF(+NFL!$H4="LA Rams",+NFL!A4,0))</f>
        <v>1</v>
      </c>
      <c r="B325" s="348" t="str">
        <f>IF(+NFL!$F4="LA Rams",+NFL!B4,IF(+NFL!$H4="LA Rams",+NFL!B4,0))</f>
        <v>Thurs</v>
      </c>
      <c r="C325" s="48">
        <f>IF(+NFL!$F4="LA Rams",+NFL!C4,IF(+NFL!$H4="LA Rams",+NFL!C4,0))</f>
        <v>44812</v>
      </c>
      <c r="D325" s="490">
        <f>IF(+NFL!$F4="LA Rams",+NFL!D4,IF(+NFL!$H4="LA Rams",+NFL!D4,0))</f>
        <v>0.84375</v>
      </c>
      <c r="E325" s="46" t="str">
        <f>IF(+NFL!$F4="LA Rams",+NFL!E4,IF(+NFL!$H4="LA Rams",+NFL!E4,0))</f>
        <v>NBC</v>
      </c>
      <c r="F325" s="114" t="str">
        <f>IF(+NFL!$F4="LA Rams",+NFL!F4,IF(+NFL!$H4="LA Rams",+NFL!F4,0))</f>
        <v>Buffalo</v>
      </c>
      <c r="G325" s="46" t="str">
        <f>IF(+NFL!$F4="LA Rams",+NFL!G4,IF(+NFL!$H4="LA Rams",+NFL!G4,0))</f>
        <v>AFCE</v>
      </c>
      <c r="H325" s="114" t="str">
        <f>IF(+NFL!$F4="LA Rams",+NFL!H4,IF(+NFL!$H4="LA Rams",+NFL!H4,0))</f>
        <v>LA Rams</v>
      </c>
      <c r="I325" s="46" t="str">
        <f>IF(+NFL!$F4="LA Rams",+NFL!I4,IF(+NFL!$H4="LA Rams",+NFL!I4,0))</f>
        <v>NFCW</v>
      </c>
      <c r="J325" s="353" t="str">
        <f>IF(+NFL!$F4="LA Rams",+NFL!J4,IF(+NFL!$H4="LA Rams",+NFL!J4,0))</f>
        <v>Buffalo</v>
      </c>
      <c r="K325" s="494" t="str">
        <f>IF(+NFL!$F4="LA Rams",+NFL!K4,IF(+NFL!$H4="LA Rams",+NFL!K4,0))</f>
        <v>LA Rams</v>
      </c>
      <c r="L325" s="384">
        <f>IF(+NFL!$F4="LA Rams",+NFL!L4,IF(+NFL!$H4="LA Rams",+NFL!L4,0))</f>
        <v>2</v>
      </c>
      <c r="M325" s="385">
        <f>IF(+NFL!$F4="LA Rams",+NFL!M4,IF(+NFL!$H4="LA Rams",+NFL!M4,0))</f>
        <v>52</v>
      </c>
      <c r="N325" s="394" t="str">
        <f>IF(+NFL!$F4="LA Rams",+NFL!N4,IF(+NFL!$H4="LA Rams",+NFL!N4,0))</f>
        <v>Buffalo</v>
      </c>
      <c r="O325" s="395">
        <f>IF(+NFL!$F4="LA Rams",+NFL!O4,IF(+NFL!$H4="LA Rams",+NFL!O4,0))</f>
        <v>31</v>
      </c>
      <c r="P325" s="394" t="str">
        <f>IF(+NFL!$F4="LA Rams",+NFL!P4,IF(+NFL!$H4="LA Rams",+NFL!P4,0))</f>
        <v>LA Rams</v>
      </c>
      <c r="Q325" s="396">
        <f>IF(+NFL!$F4="LA Rams",+NFL!Q4,IF(+NFL!$H4="LA Rams",+NFL!Q4,0))</f>
        <v>10</v>
      </c>
      <c r="R325" s="397" t="str">
        <f>IF(+NFL!$F4="LA Rams",+NFL!R4,IF(+NFL!$H4="LA Rams",+NFL!R4,0))</f>
        <v>Buffalo</v>
      </c>
      <c r="S325" s="396" t="str">
        <f>IF(+NFL!$F4="LA Rams",+NFL!S4,IF(+NFL!$H4="LA Rams",+NFL!S4,0))</f>
        <v>LA Rams</v>
      </c>
      <c r="T325" s="398" t="str">
        <f>IF(+NFL!$F4="LA Rams",+NFL!T4,IF(+NFL!$H4="LA Rams",+NFL!T4,0))</f>
        <v>LA Rams</v>
      </c>
      <c r="U325" s="396" t="str">
        <f>IF(+NFL!$F4="LA Rams",+NFL!U4,IF(+NFL!$H4="LA Rams",+NFL!U4,0))</f>
        <v>L</v>
      </c>
      <c r="V325" s="397"/>
      <c r="W325" s="396"/>
      <c r="X325" s="398"/>
      <c r="Y325" s="396"/>
      <c r="Z325" s="397"/>
      <c r="AA325" s="396"/>
      <c r="AB325" s="87"/>
      <c r="AC325" s="120"/>
      <c r="AD325" s="353"/>
      <c r="AE325" s="379"/>
      <c r="AF325" s="353"/>
      <c r="AG325" s="379"/>
      <c r="AH325" s="353"/>
      <c r="AI325" s="379"/>
      <c r="AJ325" s="353"/>
      <c r="AK325" s="379"/>
      <c r="AL325" s="68"/>
      <c r="AM325" s="58"/>
      <c r="AN325" s="57"/>
      <c r="AO325" s="59"/>
      <c r="AP325" s="348"/>
      <c r="AQ325" s="48"/>
      <c r="AR325" s="57"/>
      <c r="AS325" s="493"/>
      <c r="AT325" s="493"/>
      <c r="AU325" s="57"/>
      <c r="AV325" s="493"/>
      <c r="AW325" s="46"/>
      <c r="AX325" s="493"/>
      <c r="AY325" s="57"/>
      <c r="AZ325" s="493"/>
      <c r="BA325" s="46"/>
      <c r="BB325" s="46"/>
      <c r="BC325" s="403"/>
      <c r="BD325" s="57"/>
      <c r="BE325" s="493"/>
      <c r="BF325" s="46"/>
      <c r="BG325" s="57"/>
      <c r="BH325" s="493"/>
      <c r="BI325" s="46"/>
      <c r="BJ325" s="87"/>
      <c r="BK325" s="120"/>
    </row>
    <row r="326" spans="1:63" s="246" customFormat="1" x14ac:dyDescent="0.8">
      <c r="A326" s="46">
        <f>IF(+NFL!$F29="LA Rams",+NFL!A29,IF(+NFL!$H29="LA Rams",+NFL!A29,0))</f>
        <v>2</v>
      </c>
      <c r="B326" s="348" t="str">
        <f>IF(+NFL!$F29="LA Rams",+NFL!B29,IF(+NFL!$H29="LA Rams",+NFL!B29,0))</f>
        <v>Sun</v>
      </c>
      <c r="C326" s="48">
        <f>IF(+NFL!$F29="LA Rams",+NFL!C29,IF(+NFL!$H29="LA Rams",+NFL!C29,0))</f>
        <v>44822</v>
      </c>
      <c r="D326" s="490">
        <f>IF(+NFL!$F29="LA Rams",+NFL!D29,IF(+NFL!$H29="LA Rams",+NFL!D29,0))</f>
        <v>0.66666666666666663</v>
      </c>
      <c r="E326" s="46" t="str">
        <f>IF(+NFL!$F29="LA Rams",+NFL!E29,IF(+NFL!$H29="LA Rams",+NFL!E29,0))</f>
        <v>Fox</v>
      </c>
      <c r="F326" s="114" t="str">
        <f>IF(+NFL!$F29="LA Rams",+NFL!F29,IF(+NFL!$H29="LA Rams",+NFL!F29,0))</f>
        <v>Atlanta</v>
      </c>
      <c r="G326" s="46" t="str">
        <f>IF(+NFL!$F29="LA Rams",+NFL!G29,IF(+NFL!$H29="LA Rams",+NFL!G29,0))</f>
        <v>NFCS</v>
      </c>
      <c r="H326" s="114" t="str">
        <f>IF(+NFL!$F29="LA Rams",+NFL!H29,IF(+NFL!$H29="LA Rams",+NFL!H29,0))</f>
        <v>LA Rams</v>
      </c>
      <c r="I326" s="46" t="str">
        <f>IF(+NFL!$F29="LA Rams",+NFL!I29,IF(+NFL!$H29="LA Rams",+NFL!I29,0))</f>
        <v>NFCW</v>
      </c>
      <c r="J326" s="353" t="str">
        <f>IF(+NFL!$F29="LA Rams",+NFL!J29,IF(+NFL!$H29="LA Rams",+NFL!J29,0))</f>
        <v>LA Rams</v>
      </c>
      <c r="K326" s="494" t="str">
        <f>IF(+NFL!$F29="LA Rams",+NFL!K29,IF(+NFL!$H29="LA Rams",+NFL!K29,0))</f>
        <v>Atlanta</v>
      </c>
      <c r="L326" s="384">
        <f>IF(+NFL!$F29="LA Rams",+NFL!L29,IF(+NFL!$H29="LA Rams",+NFL!L29,0))</f>
        <v>10.5</v>
      </c>
      <c r="M326" s="385">
        <f>IF(+NFL!$F29="LA Rams",+NFL!M29,IF(+NFL!$H29="LA Rams",+NFL!M29,0))</f>
        <v>47</v>
      </c>
      <c r="N326" s="394" t="str">
        <f>IF(+NFL!$F29="LA Rams",+NFL!N29,IF(+NFL!$H29="LA Rams",+NFL!N29,0))</f>
        <v>LA Rams</v>
      </c>
      <c r="O326" s="395">
        <f>IF(+NFL!$F29="LA Rams",+NFL!O29,IF(+NFL!$H29="LA Rams",+NFL!O29,0))</f>
        <v>31</v>
      </c>
      <c r="P326" s="394" t="str">
        <f>IF(+NFL!$F29="LA Rams",+NFL!P29,IF(+NFL!$H29="LA Rams",+NFL!P29,0))</f>
        <v>Atlanta</v>
      </c>
      <c r="Q326" s="396">
        <f>IF(+NFL!$F29="LA Rams",+NFL!Q29,IF(+NFL!$H29="LA Rams",+NFL!Q29,0))</f>
        <v>27</v>
      </c>
      <c r="R326" s="397" t="str">
        <f>IF(+NFL!$F29="LA Rams",+NFL!R29,IF(+NFL!$H29="LA Rams",+NFL!R29,0))</f>
        <v>Atlanta</v>
      </c>
      <c r="S326" s="396" t="str">
        <f>IF(+NFL!$F29="LA Rams",+NFL!S29,IF(+NFL!$H29="LA Rams",+NFL!S29,0))</f>
        <v>LA Rams</v>
      </c>
      <c r="T326" s="398" t="str">
        <f>IF(+NFL!$F29="LA Rams",+NFL!T29,IF(+NFL!$H29="LA Rams",+NFL!T29,0))</f>
        <v>LA Rams</v>
      </c>
      <c r="U326" s="396" t="str">
        <f>IF(+NFL!$F29="LA Rams",+NFL!U29,IF(+NFL!$H29="LA Rams",+NFL!U29,0))</f>
        <v>L</v>
      </c>
      <c r="V326" s="397"/>
      <c r="W326" s="396"/>
      <c r="X326" s="398"/>
      <c r="Y326" s="396"/>
      <c r="Z326" s="397"/>
      <c r="AA326" s="396"/>
      <c r="AB326" s="87"/>
      <c r="AC326" s="120"/>
      <c r="AD326" s="353"/>
      <c r="AE326" s="379"/>
      <c r="AF326" s="353"/>
      <c r="AG326" s="379"/>
      <c r="AH326" s="353"/>
      <c r="AI326" s="379"/>
      <c r="AJ326" s="353"/>
      <c r="AK326" s="379"/>
      <c r="AL326" s="68"/>
      <c r="AM326" s="58"/>
      <c r="AN326" s="57"/>
      <c r="AO326" s="59"/>
      <c r="AP326" s="348"/>
      <c r="AQ326" s="48"/>
      <c r="AR326" s="57"/>
      <c r="AS326" s="493"/>
      <c r="AT326" s="493"/>
      <c r="AU326" s="57"/>
      <c r="AV326" s="493"/>
      <c r="AW326" s="46"/>
      <c r="AX326" s="493"/>
      <c r="AY326" s="57"/>
      <c r="AZ326" s="493"/>
      <c r="BA326" s="46"/>
      <c r="BB326" s="46"/>
      <c r="BC326" s="403"/>
      <c r="BD326" s="57"/>
      <c r="BE326" s="493"/>
      <c r="BF326" s="46"/>
      <c r="BG326" s="57"/>
      <c r="BH326" s="493"/>
      <c r="BI326" s="46"/>
      <c r="BJ326" s="87"/>
      <c r="BK326" s="120"/>
    </row>
    <row r="327" spans="1:63" s="246" customFormat="1" x14ac:dyDescent="0.8">
      <c r="A327" s="46">
        <f>IF(+NFL!$F49="LA Rams",+NFL!A49,IF(+NFL!$H49="LA Rams",+NFL!A49,0))</f>
        <v>3</v>
      </c>
      <c r="B327" s="348" t="str">
        <f>IF(+NFL!$F49="LA Rams",+NFL!B49,IF(+NFL!$H49="LA Rams",+NFL!B49,0))</f>
        <v>Sun</v>
      </c>
      <c r="C327" s="48">
        <f>IF(+NFL!$F49="LA Rams",+NFL!C49,IF(+NFL!$H49="LA Rams",+NFL!C49,0))</f>
        <v>44829</v>
      </c>
      <c r="D327" s="490">
        <f>IF(+NFL!$F49="LA Rams",+NFL!D49,IF(+NFL!$H49="LA Rams",+NFL!D49,0))</f>
        <v>0.66666666666666663</v>
      </c>
      <c r="E327" s="46" t="str">
        <f>IF(+NFL!$F49="LA Rams",+NFL!E49,IF(+NFL!$H49="LA Rams",+NFL!E49,0))</f>
        <v>Fox</v>
      </c>
      <c r="F327" s="114" t="str">
        <f>IF(+NFL!$F49="LA Rams",+NFL!F49,IF(+NFL!$H49="LA Rams",+NFL!F49,0))</f>
        <v>LA Rams</v>
      </c>
      <c r="G327" s="46" t="str">
        <f>IF(+NFL!$F49="LA Rams",+NFL!G49,IF(+NFL!$H49="LA Rams",+NFL!G49,0))</f>
        <v>NFCW</v>
      </c>
      <c r="H327" s="114" t="str">
        <f>IF(+NFL!$F49="LA Rams",+NFL!H49,IF(+NFL!$H49="LA Rams",+NFL!H49,0))</f>
        <v>Arizona</v>
      </c>
      <c r="I327" s="46" t="str">
        <f>IF(+NFL!$F49="LA Rams",+NFL!I49,IF(+NFL!$H49="LA Rams",+NFL!I49,0))</f>
        <v>NFCW</v>
      </c>
      <c r="J327" s="353" t="str">
        <f>IF(+NFL!$F49="LA Rams",+NFL!J49,IF(+NFL!$H49="LA Rams",+NFL!J49,0))</f>
        <v>LA Rams</v>
      </c>
      <c r="K327" s="494" t="str">
        <f>IF(+NFL!$F49="LA Rams",+NFL!K49,IF(+NFL!$H49="LA Rams",+NFL!K49,0))</f>
        <v>Arizona</v>
      </c>
      <c r="L327" s="384">
        <f>IF(+NFL!$F49="LA Rams",+NFL!L49,IF(+NFL!$H49="LA Rams",+NFL!L49,0))</f>
        <v>3.5</v>
      </c>
      <c r="M327" s="385">
        <f>IF(+NFL!$F49="LA Rams",+NFL!M49,IF(+NFL!$H49="LA Rams",+NFL!M49,0))</f>
        <v>48.5</v>
      </c>
      <c r="N327" s="394" t="str">
        <f>IF(+NFL!$F49="LA Rams",+NFL!N49,IF(+NFL!$H49="LA Rams",+NFL!N49,0))</f>
        <v>LA Rams</v>
      </c>
      <c r="O327" s="395">
        <f>IF(+NFL!$F49="LA Rams",+NFL!O49,IF(+NFL!$H49="LA Rams",+NFL!O49,0))</f>
        <v>20</v>
      </c>
      <c r="P327" s="394" t="str">
        <f>IF(+NFL!$F49="LA Rams",+NFL!P49,IF(+NFL!$H49="LA Rams",+NFL!P49,0))</f>
        <v>Arizona</v>
      </c>
      <c r="Q327" s="396">
        <f>IF(+NFL!$F49="LA Rams",+NFL!Q49,IF(+NFL!$H49="LA Rams",+NFL!Q49,0))</f>
        <v>12</v>
      </c>
      <c r="R327" s="397" t="str">
        <f>IF(+NFL!$F49="LA Rams",+NFL!R49,IF(+NFL!$H49="LA Rams",+NFL!R49,0))</f>
        <v>LA Rams</v>
      </c>
      <c r="S327" s="396" t="str">
        <f>IF(+NFL!$F49="LA Rams",+NFL!S49,IF(+NFL!$H49="LA Rams",+NFL!S49,0))</f>
        <v>Arizona</v>
      </c>
      <c r="T327" s="398" t="str">
        <f>IF(+NFL!$F49="LA Rams",+NFL!T49,IF(+NFL!$H49="LA Rams",+NFL!T49,0))</f>
        <v>LA Rams</v>
      </c>
      <c r="U327" s="396" t="str">
        <f>IF(+NFL!$F49="LA Rams",+NFL!U49,IF(+NFL!$H49="LA Rams",+NFL!U49,0))</f>
        <v>W</v>
      </c>
      <c r="V327" s="397">
        <f>IF(+NFL!$F41="LA Rams",+NFL!#REF!,IF(+NFL!$H41="LA Rams",+NFL!#REF!,0))</f>
        <v>0</v>
      </c>
      <c r="W327" s="396">
        <f>IF(+NFL!$F41="LA Rams",+NFL!#REF!,IF(+NFL!$H41="LA Rams",+NFL!#REF!,0))</f>
        <v>0</v>
      </c>
      <c r="X327" s="398">
        <f>IF(+NFL!$F41="LA Rams",+NFL!#REF!,IF(+NFL!$H41="LA Rams",+NFL!#REF!,0))</f>
        <v>0</v>
      </c>
      <c r="Y327" s="396">
        <f>IF(+NFL!$F41="LA Rams",+NFL!#REF!,IF(+NFL!$H41="LA Rams",+NFL!#REF!,0))</f>
        <v>0</v>
      </c>
      <c r="Z327" s="397">
        <f>IF(+NFL!$F41="LA Rams",+NFL!#REF!,IF(+NFL!$H41="LA Rams",+NFL!#REF!,0))</f>
        <v>0</v>
      </c>
      <c r="AA327" s="396">
        <f>IF(+NFL!$F41="LA Rams",+NFL!#REF!,IF(+NFL!$H41="LA Rams",+NFL!#REF!,0))</f>
        <v>0</v>
      </c>
      <c r="AB327" s="87">
        <f>IF(+NFL!$F41="LA Rams",+NFL!#REF!,IF(+NFL!$H41="LA Rams",+NFL!#REF!,0))</f>
        <v>0</v>
      </c>
      <c r="AC327" s="120">
        <f>IF(+NFL!$F41="LA Rams",+NFL!#REF!,IF(+NFL!$H41="LA Rams",+NFL!#REF!,0))</f>
        <v>0</v>
      </c>
      <c r="AD327" s="353">
        <f>IF(+NFL!$F41="LA Rams",+NFL!#REF!,IF(+NFL!$H41="LA Rams",+NFL!#REF!,0))</f>
        <v>0</v>
      </c>
      <c r="AE327" s="379">
        <f>IF(+NFL!$F41="LA Rams",+NFL!#REF!,IF(+NFL!$H41="LA Rams",+NFL!#REF!,0))</f>
        <v>0</v>
      </c>
      <c r="AF327" s="353">
        <f>IF(+NFL!$F41="LA Rams",+NFL!#REF!,IF(+NFL!$H41="LA Rams",+NFL!#REF!,0))</f>
        <v>0</v>
      </c>
      <c r="AG327" s="379">
        <f>IF(+NFL!$F41="LA Rams",+NFL!#REF!,IF(+NFL!$H41="LA Rams",+NFL!#REF!,0))</f>
        <v>0</v>
      </c>
      <c r="AH327" s="353">
        <f>IF(+NFL!$F41="LA Rams",+NFL!#REF!,IF(+NFL!$H41="LA Rams",+NFL!#REF!,0))</f>
        <v>0</v>
      </c>
      <c r="AI327" s="379">
        <f>IF(+NFL!$F41="LA Rams",+NFL!#REF!,IF(+NFL!$H41="LA Rams",+NFL!#REF!,0))</f>
        <v>0</v>
      </c>
      <c r="AJ327" s="353">
        <f>IF(+NFL!$F41="LA Rams",+NFL!#REF!,IF(+NFL!$H41="LA Rams",+NFL!#REF!,0))</f>
        <v>0</v>
      </c>
      <c r="AK327" s="379">
        <f>IF(+NFL!$F41="LA Rams",+NFL!#REF!,IF(+NFL!$H41="LA Rams",+NFL!#REF!,0))</f>
        <v>0</v>
      </c>
      <c r="AL327" s="68">
        <f>IF(+NFL!$F41="LA Rams",+NFL!#REF!,IF(+NFL!$H41="LA Rams",+NFL!#REF!,0))</f>
        <v>0</v>
      </c>
      <c r="AM327" s="58">
        <f>IF(+NFL!$F41="LA Rams",+NFL!#REF!,IF(+NFL!$H41="LA Rams",+NFL!#REF!,0))</f>
        <v>0</v>
      </c>
      <c r="AN327" s="57">
        <f>IF(+NFL!$F41="LA Rams",+NFL!#REF!,IF(+NFL!$H41="LA Rams",+NFL!#REF!,0))</f>
        <v>0</v>
      </c>
      <c r="AO327" s="59">
        <f>IF(+NFL!$F41="LA Rams",+NFL!#REF!,IF(+NFL!$H41="LA Rams",+NFL!#REF!,0))</f>
        <v>0</v>
      </c>
      <c r="AP327" s="348">
        <f>IF(+NFL!$F41="LA Rams",+NFL!#REF!,IF(+NFL!$H41="LA Rams",+NFL!#REF!,0))</f>
        <v>0</v>
      </c>
      <c r="AQ327" s="48">
        <f>IF(+NFL!$F41="LA Rams",+NFL!#REF!,IF(+NFL!$H41="LA Rams",+NFL!#REF!,0))</f>
        <v>0</v>
      </c>
      <c r="AR327" s="57">
        <f>IF(+NFL!$F41="LA Rams",+NFL!#REF!,IF(+NFL!$H41="LA Rams",+NFL!#REF!,0))</f>
        <v>0</v>
      </c>
      <c r="AS327" s="64">
        <f>IF(+NFL!$F41="LA Rams",+NFL!#REF!,IF(+NFL!$H41="LA Rams",+NFL!#REF!,0))</f>
        <v>0</v>
      </c>
      <c r="AT327" s="64">
        <f>IF(+NFL!$F41="LA Rams",+NFL!#REF!,IF(+NFL!$H41="LA Rams",+NFL!#REF!,0))</f>
        <v>0</v>
      </c>
      <c r="AU327" s="57">
        <f>IF(+NFL!$F41="LA Rams",+NFL!#REF!,IF(+NFL!$H41="LA Rams",+NFL!#REF!,0))</f>
        <v>0</v>
      </c>
      <c r="AV327" s="64">
        <f>IF(+NFL!$F41="LA Rams",+NFL!#REF!,IF(+NFL!$H41="LA Rams",+NFL!#REF!,0))</f>
        <v>0</v>
      </c>
      <c r="AW327" s="46">
        <f>IF(+NFL!$F41="LA Rams",+NFL!#REF!,IF(+NFL!$H41="LA Rams",+NFL!#REF!,0))</f>
        <v>0</v>
      </c>
      <c r="AX327" s="64">
        <f>IF(+NFL!$F41="LA Rams",+NFL!#REF!,IF(+NFL!$H41="LA Rams",+NFL!#REF!,0))</f>
        <v>0</v>
      </c>
      <c r="AY327" s="57">
        <f>IF(+NFL!$F41="LA Rams",+NFL!#REF!,IF(+NFL!$H41="LA Rams",+NFL!#REF!,0))</f>
        <v>0</v>
      </c>
      <c r="AZ327" s="64">
        <f>IF(+NFL!$F41="LA Rams",+NFL!#REF!,IF(+NFL!$H41="LA Rams",+NFL!#REF!,0))</f>
        <v>0</v>
      </c>
      <c r="BA327" s="46">
        <f>IF(+NFL!$F41="LA Rams",+NFL!#REF!,IF(+NFL!$H41="LA Rams",+NFL!#REF!,0))</f>
        <v>0</v>
      </c>
      <c r="BB327" s="46">
        <f>IF(+NFL!$F41="LA Rams",+NFL!#REF!,IF(+NFL!$H41="LA Rams",+NFL!#REF!,0))</f>
        <v>0</v>
      </c>
      <c r="BC327" s="403">
        <f>IF(+NFL!$F41="LA Rams",+NFL!#REF!,IF(+NFL!$H41="LA Rams",+NFL!#REF!,0))</f>
        <v>0</v>
      </c>
      <c r="BD327" s="57">
        <f>IF(+NFL!$F41="LA Rams",+NFL!#REF!,IF(+NFL!$H41="LA Rams",+NFL!#REF!,0))</f>
        <v>0</v>
      </c>
      <c r="BE327" s="64">
        <f>IF(+NFL!$F41="LA Rams",+NFL!#REF!,IF(+NFL!$H41="LA Rams",+NFL!#REF!,0))</f>
        <v>0</v>
      </c>
      <c r="BF327" s="46">
        <f>IF(+NFL!$F41="LA Rams",+NFL!#REF!,IF(+NFL!$H41="LA Rams",+NFL!#REF!,0))</f>
        <v>0</v>
      </c>
      <c r="BG327" s="57">
        <f>IF(+NFL!$F41="LA Rams",+NFL!#REF!,IF(+NFL!$H41="LA Rams",+NFL!#REF!,0))</f>
        <v>0</v>
      </c>
      <c r="BH327" s="64">
        <f>IF(+NFL!$F41="LA Rams",+NFL!#REF!,IF(+NFL!$H41="LA Rams",+NFL!#REF!,0))</f>
        <v>0</v>
      </c>
      <c r="BI327" s="46">
        <f>IF(+NFL!$F41="LA Rams",+NFL!#REF!,IF(+NFL!$H41="LA Rams",+NFL!#REF!,0))</f>
        <v>0</v>
      </c>
      <c r="BJ327" s="87">
        <f>IF(+NFL!$F41="LA Rams",+NFL!#REF!,IF(+NFL!$H41="LA Rams",+NFL!#REF!,0))</f>
        <v>0</v>
      </c>
      <c r="BK327" s="120">
        <f>IF(+NFL!$F41="LA Rams",+NFL!#REF!,IF(+NFL!$H41="LA Rams",+NFL!#REF!,0))</f>
        <v>0</v>
      </c>
    </row>
    <row r="328" spans="1:63" s="246" customFormat="1" x14ac:dyDescent="0.8">
      <c r="A328" s="46">
        <f>IF(+NFL!$F70="LA Rams",+NFL!A70,IF(+NFL!$H70="LA Rams",+NFL!A70,0))</f>
        <v>4</v>
      </c>
      <c r="B328" s="348" t="str">
        <f>IF(+NFL!$F70="LA Rams",+NFL!B70,IF(+NFL!$H70="LA Rams",+NFL!B70,0))</f>
        <v>Mon</v>
      </c>
      <c r="C328" s="48">
        <f>IF(+NFL!$F70="LA Rams",+NFL!C70,IF(+NFL!$H70="LA Rams",+NFL!C70,0))</f>
        <v>44837</v>
      </c>
      <c r="D328" s="490">
        <f>IF(+NFL!$F70="LA Rams",+NFL!D70,IF(+NFL!$H70="LA Rams",+NFL!D70,0))</f>
        <v>0.84375</v>
      </c>
      <c r="E328" s="46" t="str">
        <f>IF(+NFL!$F70="LA Rams",+NFL!E70,IF(+NFL!$H70="LA Rams",+NFL!E70,0))</f>
        <v>ABC</v>
      </c>
      <c r="F328" s="114" t="str">
        <f>IF(+NFL!$F70="LA Rams",+NFL!F70,IF(+NFL!$H70="LA Rams",+NFL!F70,0))</f>
        <v>LA Rams</v>
      </c>
      <c r="G328" s="46" t="str">
        <f>IF(+NFL!$F70="LA Rams",+NFL!G70,IF(+NFL!$H70="LA Rams",+NFL!G70,0))</f>
        <v>NFCW</v>
      </c>
      <c r="H328" s="114" t="str">
        <f>IF(+NFL!$F70="LA Rams",+NFL!H70,IF(+NFL!$H70="LA Rams",+NFL!H70,0))</f>
        <v>San Francisco</v>
      </c>
      <c r="I328" s="46" t="str">
        <f>IF(+NFL!$F70="LA Rams",+NFL!I70,IF(+NFL!$H70="LA Rams",+NFL!I70,0))</f>
        <v>NFCW</v>
      </c>
      <c r="J328" s="353" t="str">
        <f>IF(+NFL!$F70="LA Rams",+NFL!J70,IF(+NFL!$H70="LA Rams",+NFL!J70,0))</f>
        <v>San Francisco</v>
      </c>
      <c r="K328" s="494" t="str">
        <f>IF(+NFL!$F70="LA Rams",+NFL!K70,IF(+NFL!$H70="LA Rams",+NFL!K70,0))</f>
        <v>LA Rams</v>
      </c>
      <c r="L328" s="384">
        <f>IF(+NFL!$F70="LA Rams",+NFL!L70,IF(+NFL!$H70="LA Rams",+NFL!L70,0))</f>
        <v>2</v>
      </c>
      <c r="M328" s="385">
        <f>IF(+NFL!$F70="LA Rams",+NFL!M70,IF(+NFL!$H70="LA Rams",+NFL!M70,0))</f>
        <v>41.5</v>
      </c>
      <c r="N328" s="394" t="str">
        <f>IF(+NFL!$F70="LA Rams",+NFL!N70,IF(+NFL!$H70="LA Rams",+NFL!N70,0))</f>
        <v>San Francisco</v>
      </c>
      <c r="O328" s="395">
        <f>IF(+NFL!$F70="LA Rams",+NFL!O70,IF(+NFL!$H70="LA Rams",+NFL!O70,0))</f>
        <v>24</v>
      </c>
      <c r="P328" s="394" t="str">
        <f>IF(+NFL!$F70="LA Rams",+NFL!P70,IF(+NFL!$H70="LA Rams",+NFL!P70,0))</f>
        <v>LA Rams</v>
      </c>
      <c r="Q328" s="396">
        <f>IF(+NFL!$F70="LA Rams",+NFL!Q70,IF(+NFL!$H70="LA Rams",+NFL!Q70,0))</f>
        <v>9</v>
      </c>
      <c r="R328" s="397" t="str">
        <f>IF(+NFL!$F70="LA Rams",+NFL!R70,IF(+NFL!$H70="LA Rams",+NFL!R70,0))</f>
        <v>San Francisco</v>
      </c>
      <c r="S328" s="396" t="str">
        <f>IF(+NFL!$F70="LA Rams",+NFL!S70,IF(+NFL!$H70="LA Rams",+NFL!S70,0))</f>
        <v>LA Rams</v>
      </c>
      <c r="T328" s="398" t="str">
        <f>IF(+NFL!$F70="LA Rams",+NFL!T70,IF(+NFL!$H70="LA Rams",+NFL!T70,0))</f>
        <v>San Francisco</v>
      </c>
      <c r="U328" s="396" t="str">
        <f>IF(+NFL!$F70="LA Rams",+NFL!U70,IF(+NFL!$H70="LA Rams",+NFL!U70,0))</f>
        <v>W</v>
      </c>
      <c r="V328" s="397"/>
      <c r="W328" s="396"/>
      <c r="X328" s="398"/>
      <c r="Y328" s="396"/>
      <c r="Z328" s="397"/>
      <c r="AA328" s="396"/>
      <c r="AB328" s="87"/>
      <c r="AC328" s="120"/>
      <c r="AD328" s="353"/>
      <c r="AE328" s="379"/>
      <c r="AF328" s="353"/>
      <c r="AG328" s="379"/>
      <c r="AH328" s="353"/>
      <c r="AI328" s="379"/>
      <c r="AJ328" s="353"/>
      <c r="AK328" s="379"/>
      <c r="AL328" s="68"/>
      <c r="AM328" s="58"/>
      <c r="AN328" s="57"/>
      <c r="AO328" s="59"/>
      <c r="AP328" s="348"/>
      <c r="AQ328" s="48"/>
      <c r="AR328" s="57"/>
      <c r="AS328" s="493"/>
      <c r="AT328" s="493"/>
      <c r="AU328" s="57"/>
      <c r="AV328" s="493"/>
      <c r="AW328" s="46"/>
      <c r="AX328" s="493"/>
      <c r="AY328" s="57"/>
      <c r="AZ328" s="493"/>
      <c r="BA328" s="46"/>
      <c r="BB328" s="46"/>
      <c r="BC328" s="403"/>
      <c r="BD328" s="57"/>
      <c r="BE328" s="493"/>
      <c r="BF328" s="493"/>
      <c r="BG328" s="57"/>
      <c r="BH328" s="493"/>
      <c r="BI328" s="46"/>
      <c r="BJ328" s="87"/>
      <c r="BK328" s="120"/>
    </row>
    <row r="329" spans="1:63" x14ac:dyDescent="0.8">
      <c r="A329" s="46">
        <f>IF(+NFL!$F84="LA Rams",+NFL!A84,IF(+NFL!$H84="LA Rams",+NFL!A84,0))</f>
        <v>5</v>
      </c>
      <c r="B329" s="348" t="str">
        <f>IF(+NFL!$F84="LA Rams",+NFL!B84,IF(+NFL!$H84="LA Rams",+NFL!B84,0))</f>
        <v>Sun</v>
      </c>
      <c r="C329" s="48">
        <f>IF(+NFL!$F84="LA Rams",+NFL!C84,IF(+NFL!$H84="LA Rams",+NFL!C84,0))</f>
        <v>44843</v>
      </c>
      <c r="D329" s="490">
        <f>IF(+NFL!$F84="LA Rams",+NFL!D84,IF(+NFL!$H84="LA Rams",+NFL!D84,0))</f>
        <v>0.66666666666666663</v>
      </c>
      <c r="E329" s="46" t="str">
        <f>IF(+NFL!$F84="LA Rams",+NFL!E84,IF(+NFL!$H84="LA Rams",+NFL!E84,0))</f>
        <v>Fox</v>
      </c>
      <c r="F329" s="114" t="str">
        <f>IF(+NFL!$F84="LA Rams",+NFL!F84,IF(+NFL!$H84="LA Rams",+NFL!F84,0))</f>
        <v>Dallas</v>
      </c>
      <c r="G329" s="46" t="str">
        <f>IF(+NFL!$F84="LA Rams",+NFL!G84,IF(+NFL!$H84="LA Rams",+NFL!G84,0))</f>
        <v>NFCE</v>
      </c>
      <c r="H329" s="114" t="str">
        <f>IF(+NFL!$F84="LA Rams",+NFL!H84,IF(+NFL!$H84="LA Rams",+NFL!H84,0))</f>
        <v>LA Rams</v>
      </c>
      <c r="I329" s="46" t="str">
        <f>IF(+NFL!$F84="LA Rams",+NFL!I84,IF(+NFL!$H84="LA Rams",+NFL!I84,0))</f>
        <v>NFCW</v>
      </c>
      <c r="J329" s="353" t="str">
        <f>IF(+NFL!$F84="LA Rams",+NFL!J84,IF(+NFL!$H84="LA Rams",+NFL!J84,0))</f>
        <v>LA Rams</v>
      </c>
      <c r="K329" s="494" t="str">
        <f>IF(+NFL!$F84="LA Rams",+NFL!K84,IF(+NFL!$H84="LA Rams",+NFL!K84,0))</f>
        <v>Dallas</v>
      </c>
      <c r="L329" s="384">
        <f>IF(+NFL!$F84="LA Rams",+NFL!L84,IF(+NFL!$H84="LA Rams",+NFL!L84,0))</f>
        <v>4.5</v>
      </c>
      <c r="M329" s="385">
        <f>IF(+NFL!$F84="LA Rams",+NFL!M84,IF(+NFL!$H84="LA Rams",+NFL!M84,0))</f>
        <v>43</v>
      </c>
      <c r="N329" s="394" t="str">
        <f>IF(+NFL!$F84="LA Rams",+NFL!N84,IF(+NFL!$H84="LA Rams",+NFL!N84,0))</f>
        <v>Dallas</v>
      </c>
      <c r="O329" s="395">
        <f>IF(+NFL!$F84="LA Rams",+NFL!O84,IF(+NFL!$H84="LA Rams",+NFL!O84,0))</f>
        <v>22</v>
      </c>
      <c r="P329" s="394" t="str">
        <f>IF(+NFL!$F84="LA Rams",+NFL!P84,IF(+NFL!$H84="LA Rams",+NFL!P84,0))</f>
        <v>LA Rams</v>
      </c>
      <c r="Q329" s="396">
        <f>IF(+NFL!$F84="LA Rams",+NFL!Q84,IF(+NFL!$H84="LA Rams",+NFL!Q84,0))</f>
        <v>10</v>
      </c>
      <c r="R329" s="397" t="str">
        <f>IF(+NFL!$F84="LA Rams",+NFL!R84,IF(+NFL!$H84="LA Rams",+NFL!R84,0))</f>
        <v>Dallas</v>
      </c>
      <c r="S329" s="396" t="str">
        <f>IF(+NFL!$F84="LA Rams",+NFL!S84,IF(+NFL!$H84="LA Rams",+NFL!S84,0))</f>
        <v>LA Rams</v>
      </c>
      <c r="T329" s="398" t="str">
        <f>IF(+NFL!$F84="LA Rams",+NFL!T84,IF(+NFL!$H84="LA Rams",+NFL!T84,0))</f>
        <v>Dallas</v>
      </c>
      <c r="U329" s="396" t="str">
        <f>IF(+NFL!$F84="LA Rams",+NFL!U84,IF(+NFL!$H84="LA Rams",+NFL!U84,0))</f>
        <v>W</v>
      </c>
    </row>
    <row r="330" spans="1:63" s="246" customFormat="1" x14ac:dyDescent="0.8">
      <c r="A330" s="46">
        <f>IF(+NFL!$F98="LA Rams",+NFL!A98,IF(+NFL!$H98="LA Rams",+NFL!A98,0))</f>
        <v>6</v>
      </c>
      <c r="B330" s="348" t="str">
        <f>IF(+NFL!$F98="LA Rams",+NFL!B98,IF(+NFL!$H98="LA Rams",+NFL!B98,0))</f>
        <v>Sun</v>
      </c>
      <c r="C330" s="48">
        <f>IF(+NFL!$F98="LA Rams",+NFL!C98,IF(+NFL!$H98="LA Rams",+NFL!C98,0))</f>
        <v>44850</v>
      </c>
      <c r="D330" s="490">
        <f>IF(+NFL!$F98="LA Rams",+NFL!D98,IF(+NFL!$H98="LA Rams",+NFL!D98,0))</f>
        <v>0.66666666666666663</v>
      </c>
      <c r="E330" s="46" t="str">
        <f>IF(+NFL!$F98="LA Rams",+NFL!E98,IF(+NFL!$H98="LA Rams",+NFL!E98,0))</f>
        <v>Fox</v>
      </c>
      <c r="F330" s="114" t="str">
        <f>IF(+NFL!$F98="LA Rams",+NFL!F98,IF(+NFL!$H98="LA Rams",+NFL!F98,0))</f>
        <v>Carolina</v>
      </c>
      <c r="G330" s="46" t="str">
        <f>IF(+NFL!$F98="LA Rams",+NFL!G98,IF(+NFL!$H98="LA Rams",+NFL!G98,0))</f>
        <v>NFCS</v>
      </c>
      <c r="H330" s="114" t="str">
        <f>IF(+NFL!$F98="LA Rams",+NFL!H98,IF(+NFL!$H98="LA Rams",+NFL!H98,0))</f>
        <v>LA Rams</v>
      </c>
      <c r="I330" s="46" t="str">
        <f>IF(+NFL!$F98="LA Rams",+NFL!I98,IF(+NFL!$H98="LA Rams",+NFL!I98,0))</f>
        <v>NFCW</v>
      </c>
      <c r="J330" s="353" t="str">
        <f>IF(+NFL!$F98="LA Rams",+NFL!J98,IF(+NFL!$H98="LA Rams",+NFL!J98,0))</f>
        <v>LA Rams</v>
      </c>
      <c r="K330" s="494" t="str">
        <f>IF(+NFL!$F98="LA Rams",+NFL!K98,IF(+NFL!$H98="LA Rams",+NFL!K98,0))</f>
        <v>Carolina</v>
      </c>
      <c r="L330" s="384">
        <f>IF(+NFL!$F98="LA Rams",+NFL!L98,IF(+NFL!$H98="LA Rams",+NFL!L98,0))</f>
        <v>9.5</v>
      </c>
      <c r="M330" s="385">
        <f>IF(+NFL!$F98="LA Rams",+NFL!M98,IF(+NFL!$H98="LA Rams",+NFL!M98,0))</f>
        <v>41</v>
      </c>
      <c r="N330" s="394" t="str">
        <f>IF(+NFL!$F98="LA Rams",+NFL!N98,IF(+NFL!$H98="LA Rams",+NFL!N98,0))</f>
        <v>LA Rams</v>
      </c>
      <c r="O330" s="395">
        <f>IF(+NFL!$F98="LA Rams",+NFL!O98,IF(+NFL!$H98="LA Rams",+NFL!O98,0))</f>
        <v>24</v>
      </c>
      <c r="P330" s="394" t="str">
        <f>IF(+NFL!$F98="LA Rams",+NFL!P98,IF(+NFL!$H98="LA Rams",+NFL!P98,0))</f>
        <v>Carolina</v>
      </c>
      <c r="Q330" s="396">
        <f>IF(+NFL!$F98="LA Rams",+NFL!Q98,IF(+NFL!$H98="LA Rams",+NFL!Q98,0))</f>
        <v>10</v>
      </c>
      <c r="R330" s="397" t="str">
        <f>IF(+NFL!$F98="LA Rams",+NFL!R98,IF(+NFL!$H98="LA Rams",+NFL!R98,0))</f>
        <v>LA Rams</v>
      </c>
      <c r="S330" s="396" t="str">
        <f>IF(+NFL!$F98="LA Rams",+NFL!S98,IF(+NFL!$H98="LA Rams",+NFL!S98,0))</f>
        <v>Carolina</v>
      </c>
      <c r="T330" s="398" t="str">
        <f>IF(+NFL!$F98="LA Rams",+NFL!T98,IF(+NFL!$H98="LA Rams",+NFL!T98,0))</f>
        <v>Carolina</v>
      </c>
      <c r="U330" s="396" t="str">
        <f>IF(+NFL!$F98="LA Rams",+NFL!U98,IF(+NFL!$H98="LA Rams",+NFL!U98,0))</f>
        <v>L</v>
      </c>
      <c r="V330" s="397">
        <f>IF(+NFL!$F63="LA Rams",+NFL!#REF!,IF(+NFL!$H63="LA Rams",+NFL!#REF!,0))</f>
        <v>0</v>
      </c>
      <c r="W330" s="396">
        <f>IF(+NFL!$F63="LA Rams",+NFL!#REF!,IF(+NFL!$H63="LA Rams",+NFL!#REF!,0))</f>
        <v>0</v>
      </c>
      <c r="X330" s="398">
        <f>IF(+NFL!$F63="LA Rams",+NFL!#REF!,IF(+NFL!$H63="LA Rams",+NFL!#REF!,0))</f>
        <v>0</v>
      </c>
      <c r="Y330" s="396">
        <f>IF(+NFL!$F63="LA Rams",+NFL!#REF!,IF(+NFL!$H63="LA Rams",+NFL!#REF!,0))</f>
        <v>0</v>
      </c>
      <c r="Z330" s="397">
        <f>IF(+NFL!$F63="LA Rams",+NFL!#REF!,IF(+NFL!$H63="LA Rams",+NFL!#REF!,0))</f>
        <v>0</v>
      </c>
      <c r="AA330" s="396">
        <f>IF(+NFL!$F63="LA Rams",+NFL!#REF!,IF(+NFL!$H63="LA Rams",+NFL!#REF!,0))</f>
        <v>0</v>
      </c>
      <c r="AB330" s="87">
        <f>IF(+NFL!$F63="LA Rams",+NFL!#REF!,IF(+NFL!$H63="LA Rams",+NFL!#REF!,0))</f>
        <v>0</v>
      </c>
      <c r="AC330" s="120">
        <f>IF(+NFL!$F63="LA Rams",+NFL!#REF!,IF(+NFL!$H63="LA Rams",+NFL!#REF!,0))</f>
        <v>0</v>
      </c>
      <c r="AD330" s="353">
        <f>IF(+NFL!$F63="LA Rams",+NFL!#REF!,IF(+NFL!$H63="LA Rams",+NFL!#REF!,0))</f>
        <v>0</v>
      </c>
      <c r="AE330" s="379">
        <f>IF(+NFL!$F63="LA Rams",+NFL!#REF!,IF(+NFL!$H63="LA Rams",+NFL!#REF!,0))</f>
        <v>0</v>
      </c>
      <c r="AF330" s="353">
        <f>IF(+NFL!$F63="LA Rams",+NFL!#REF!,IF(+NFL!$H63="LA Rams",+NFL!#REF!,0))</f>
        <v>0</v>
      </c>
      <c r="AG330" s="379">
        <f>IF(+NFL!$F63="LA Rams",+NFL!#REF!,IF(+NFL!$H63="LA Rams",+NFL!#REF!,0))</f>
        <v>0</v>
      </c>
      <c r="AH330" s="353">
        <f>IF(+NFL!$F63="LA Rams",+NFL!#REF!,IF(+NFL!$H63="LA Rams",+NFL!#REF!,0))</f>
        <v>0</v>
      </c>
      <c r="AI330" s="379">
        <f>IF(+NFL!$F63="LA Rams",+NFL!#REF!,IF(+NFL!$H63="LA Rams",+NFL!#REF!,0))</f>
        <v>0</v>
      </c>
      <c r="AJ330" s="353">
        <f>IF(+NFL!$F63="LA Rams",+NFL!#REF!,IF(+NFL!$H63="LA Rams",+NFL!#REF!,0))</f>
        <v>0</v>
      </c>
      <c r="AK330" s="379">
        <f>IF(+NFL!$F63="LA Rams",+NFL!#REF!,IF(+NFL!$H63="LA Rams",+NFL!#REF!,0))</f>
        <v>0</v>
      </c>
      <c r="AL330" s="68">
        <f>IF(+NFL!$F63="LA Rams",+NFL!#REF!,IF(+NFL!$H63="LA Rams",+NFL!#REF!,0))</f>
        <v>0</v>
      </c>
      <c r="AM330" s="58">
        <f>IF(+NFL!$F63="LA Rams",+NFL!#REF!,IF(+NFL!$H63="LA Rams",+NFL!#REF!,0))</f>
        <v>0</v>
      </c>
      <c r="AN330" s="57">
        <f>IF(+NFL!$F63="LA Rams",+NFL!#REF!,IF(+NFL!$H63="LA Rams",+NFL!#REF!,0))</f>
        <v>0</v>
      </c>
      <c r="AO330" s="59">
        <f>IF(+NFL!$F63="LA Rams",+NFL!#REF!,IF(+NFL!$H63="LA Rams",+NFL!#REF!,0))</f>
        <v>0</v>
      </c>
      <c r="AP330" s="348">
        <f>IF(+NFL!$F63="LA Rams",+NFL!#REF!,IF(+NFL!$H63="LA Rams",+NFL!#REF!,0))</f>
        <v>0</v>
      </c>
      <c r="AQ330" s="48">
        <f>IF(+NFL!$F63="LA Rams",+NFL!#REF!,IF(+NFL!$H63="LA Rams",+NFL!#REF!,0))</f>
        <v>0</v>
      </c>
      <c r="AR330" s="57">
        <f>IF(+NFL!$F63="LA Rams",+NFL!#REF!,IF(+NFL!$H63="LA Rams",+NFL!#REF!,0))</f>
        <v>0</v>
      </c>
      <c r="AS330" s="64">
        <f>IF(+NFL!$F63="LA Rams",+NFL!#REF!,IF(+NFL!$H63="LA Rams",+NFL!#REF!,0))</f>
        <v>0</v>
      </c>
      <c r="AT330" s="64">
        <f>IF(+NFL!$F63="LA Rams",+NFL!#REF!,IF(+NFL!$H63="LA Rams",+NFL!#REF!,0))</f>
        <v>0</v>
      </c>
      <c r="AU330" s="57">
        <f>IF(+NFL!$F63="LA Rams",+NFL!#REF!,IF(+NFL!$H63="LA Rams",+NFL!#REF!,0))</f>
        <v>0</v>
      </c>
      <c r="AV330" s="64">
        <f>IF(+NFL!$F63="LA Rams",+NFL!#REF!,IF(+NFL!$H63="LA Rams",+NFL!#REF!,0))</f>
        <v>0</v>
      </c>
      <c r="AW330" s="46">
        <f>IF(+NFL!$F63="LA Rams",+NFL!#REF!,IF(+NFL!$H63="LA Rams",+NFL!#REF!,0))</f>
        <v>0</v>
      </c>
      <c r="AX330" s="64">
        <f>IF(+NFL!$F63="LA Rams",+NFL!#REF!,IF(+NFL!$H63="LA Rams",+NFL!#REF!,0))</f>
        <v>0</v>
      </c>
      <c r="AY330" s="57">
        <f>IF(+NFL!$F63="LA Rams",+NFL!#REF!,IF(+NFL!$H63="LA Rams",+NFL!#REF!,0))</f>
        <v>0</v>
      </c>
      <c r="AZ330" s="64">
        <f>IF(+NFL!$F63="LA Rams",+NFL!#REF!,IF(+NFL!$H63="LA Rams",+NFL!#REF!,0))</f>
        <v>0</v>
      </c>
      <c r="BA330" s="46">
        <f>IF(+NFL!$F63="LA Rams",+NFL!#REF!,IF(+NFL!$H63="LA Rams",+NFL!#REF!,0))</f>
        <v>0</v>
      </c>
      <c r="BB330" s="46">
        <f>IF(+NFL!$F63="LA Rams",+NFL!#REF!,IF(+NFL!$H63="LA Rams",+NFL!#REF!,0))</f>
        <v>0</v>
      </c>
      <c r="BC330" s="403">
        <f>IF(+NFL!$F63="LA Rams",+NFL!#REF!,IF(+NFL!$H63="LA Rams",+NFL!#REF!,0))</f>
        <v>0</v>
      </c>
      <c r="BD330" s="57">
        <f>IF(+NFL!$F63="LA Rams",+NFL!#REF!,IF(+NFL!$H63="LA Rams",+NFL!#REF!,0))</f>
        <v>0</v>
      </c>
      <c r="BE330" s="64">
        <f>IF(+NFL!$F63="LA Rams",+NFL!#REF!,IF(+NFL!$H63="LA Rams",+NFL!#REF!,0))</f>
        <v>0</v>
      </c>
      <c r="BF330" s="46">
        <f>IF(+NFL!$F63="LA Rams",+NFL!#REF!,IF(+NFL!$H63="LA Rams",+NFL!#REF!,0))</f>
        <v>0</v>
      </c>
      <c r="BG330" s="57">
        <f>IF(+NFL!$F63="LA Rams",+NFL!#REF!,IF(+NFL!$H63="LA Rams",+NFL!#REF!,0))</f>
        <v>0</v>
      </c>
      <c r="BH330" s="64">
        <f>IF(+NFL!$F63="LA Rams",+NFL!#REF!,IF(+NFL!$H63="LA Rams",+NFL!#REF!,0))</f>
        <v>0</v>
      </c>
      <c r="BI330" s="46">
        <f>IF(+NFL!$F63="LA Rams",+NFL!#REF!,IF(+NFL!$H63="LA Rams",+NFL!#REF!,0))</f>
        <v>0</v>
      </c>
      <c r="BJ330" s="87">
        <f>IF(+NFL!$F63="LA Rams",+NFL!#REF!,IF(+NFL!$H63="LA Rams",+NFL!#REF!,0))</f>
        <v>0</v>
      </c>
      <c r="BK330" s="120">
        <f>IF(+NFL!$F63="LA Rams",+NFL!#REF!,IF(+NFL!$H63="LA Rams",+NFL!#REF!,0))</f>
        <v>0</v>
      </c>
    </row>
    <row r="331" spans="1:63" s="246" customFormat="1" x14ac:dyDescent="0.8">
      <c r="A331" s="46">
        <f>IF(+NFL!$F125="LA Rams",+NFL!A125,IF(+NFL!$H125="LA Rams",+NFL!A125,0))</f>
        <v>7</v>
      </c>
      <c r="B331" s="348">
        <f>IF(+NFL!$F125="LA Rams",+NFL!B125,IF(+NFL!$H125="LA Rams",+NFL!B125,0))</f>
        <v>0</v>
      </c>
      <c r="C331" s="48">
        <f>IF(+NFL!$F125="LA Rams",+NFL!C125,IF(+NFL!$H125="LA Rams",+NFL!C125,0))</f>
        <v>0</v>
      </c>
      <c r="D331" s="490">
        <f>IF(+NFL!$F125="LA Rams",+NFL!D125,IF(+NFL!$H125="LA Rams",+NFL!D125,0))</f>
        <v>0</v>
      </c>
      <c r="E331" s="46">
        <f>IF(+NFL!$F125="LA Rams",+NFL!E125,IF(+NFL!$H125="LA Rams",+NFL!E125,0))</f>
        <v>0</v>
      </c>
      <c r="F331" s="114" t="str">
        <f>IF(+NFL!$F125="LA Rams",+NFL!F125,IF(+NFL!$H125="LA Rams",+NFL!F125,0))</f>
        <v>LA Rams</v>
      </c>
      <c r="G331" s="46" t="str">
        <f>IF(+NFL!$F125="LA Rams",+NFL!G125,IF(+NFL!$H125="LA Rams",+NFL!G125,0))</f>
        <v>NFCW</v>
      </c>
      <c r="H331" s="114">
        <f>IF(+NFL!$F125="LA Rams",+NFL!H125,IF(+NFL!$H125="LA Rams",+NFL!H125,0))</f>
        <v>0</v>
      </c>
      <c r="I331" s="46">
        <f>IF(+NFL!$F125="LA Rams",+NFL!I125,IF(+NFL!$H125="LA Rams",+NFL!I125,0))</f>
        <v>0</v>
      </c>
      <c r="J331" s="353">
        <f>IF(+NFL!$F125="LA Rams",+NFL!J125,IF(+NFL!$H125="LA Rams",+NFL!J125,0))</f>
        <v>0</v>
      </c>
      <c r="K331" s="494">
        <f>IF(+NFL!$F125="LA Rams",+NFL!K125,IF(+NFL!$H125="LA Rams",+NFL!K125,0))</f>
        <v>0</v>
      </c>
      <c r="L331" s="384">
        <f>IF(+NFL!$F125="LA Rams",+NFL!L125,IF(+NFL!$H125="LA Rams",+NFL!L125,0))</f>
        <v>0</v>
      </c>
      <c r="M331" s="385">
        <f>IF(+NFL!$F125="LA Rams",+NFL!M125,IF(+NFL!$H125="LA Rams",+NFL!M125,0))</f>
        <v>0</v>
      </c>
      <c r="N331" s="394">
        <f>IF(+NFL!$F125="LA Rams",+NFL!N125,IF(+NFL!$H125="LA Rams",+NFL!N125,0))</f>
        <v>0</v>
      </c>
      <c r="O331" s="395">
        <f>IF(+NFL!$F125="LA Rams",+NFL!O125,IF(+NFL!$H125="LA Rams",+NFL!O125,0))</f>
        <v>0</v>
      </c>
      <c r="P331" s="394">
        <f>IF(+NFL!$F125="LA Rams",+NFL!P125,IF(+NFL!$H125="LA Rams",+NFL!P125,0))</f>
        <v>0</v>
      </c>
      <c r="Q331" s="396">
        <f>IF(+NFL!$F125="LA Rams",+NFL!Q125,IF(+NFL!$H125="LA Rams",+NFL!Q125,0))</f>
        <v>0</v>
      </c>
      <c r="R331" s="397">
        <f>IF(+NFL!$F125="LA Rams",+NFL!R125,IF(+NFL!$H125="LA Rams",+NFL!R125,0))</f>
        <v>0</v>
      </c>
      <c r="S331" s="396">
        <f>IF(+NFL!$F125="LA Rams",+NFL!S125,IF(+NFL!$H125="LA Rams",+NFL!S125,0))</f>
        <v>0</v>
      </c>
      <c r="T331" s="398">
        <f>IF(+NFL!$F125="LA Rams",+NFL!T125,IF(+NFL!$H125="LA Rams",+NFL!T125,0))</f>
        <v>0</v>
      </c>
      <c r="U331" s="396">
        <f>IF(+NFL!$F125="LA Rams",+NFL!U125,IF(+NFL!$H125="LA Rams",+NFL!U125,0))</f>
        <v>0</v>
      </c>
      <c r="V331" s="397">
        <f>IF(+NFL!$F78="LA Rams",+NFL!#REF!,IF(+NFL!$H78="LA Rams",+NFL!#REF!,0))</f>
        <v>0</v>
      </c>
      <c r="W331" s="396">
        <f>IF(+NFL!$F78="LA Rams",+NFL!#REF!,IF(+NFL!$H78="LA Rams",+NFL!#REF!,0))</f>
        <v>0</v>
      </c>
      <c r="X331" s="398">
        <f>IF(+NFL!$F78="LA Rams",+NFL!#REF!,IF(+NFL!$H78="LA Rams",+NFL!#REF!,0))</f>
        <v>0</v>
      </c>
      <c r="Y331" s="396">
        <f>IF(+NFL!$F78="LA Rams",+NFL!#REF!,IF(+NFL!$H78="LA Rams",+NFL!#REF!,0))</f>
        <v>0</v>
      </c>
      <c r="Z331" s="397">
        <f>IF(+NFL!$F78="LA Rams",+NFL!#REF!,IF(+NFL!$H78="LA Rams",+NFL!#REF!,0))</f>
        <v>0</v>
      </c>
      <c r="AA331" s="396">
        <f>IF(+NFL!$F78="LA Rams",+NFL!#REF!,IF(+NFL!$H78="LA Rams",+NFL!#REF!,0))</f>
        <v>0</v>
      </c>
      <c r="AB331" s="87">
        <f>IF(+NFL!$F78="LA Rams",+NFL!#REF!,IF(+NFL!$H78="LA Rams",+NFL!#REF!,0))</f>
        <v>0</v>
      </c>
      <c r="AC331" s="120">
        <f>IF(+NFL!$F78="LA Rams",+NFL!#REF!,IF(+NFL!$H78="LA Rams",+NFL!#REF!,0))</f>
        <v>0</v>
      </c>
      <c r="AD331" s="353">
        <f>IF(+NFL!$F78="LA Rams",+NFL!#REF!,IF(+NFL!$H78="LA Rams",+NFL!#REF!,0))</f>
        <v>0</v>
      </c>
      <c r="AE331" s="379">
        <f>IF(+NFL!$F78="LA Rams",+NFL!#REF!,IF(+NFL!$H78="LA Rams",+NFL!#REF!,0))</f>
        <v>0</v>
      </c>
      <c r="AF331" s="353">
        <f>IF(+NFL!$F78="LA Rams",+NFL!#REF!,IF(+NFL!$H78="LA Rams",+NFL!#REF!,0))</f>
        <v>0</v>
      </c>
      <c r="AG331" s="379">
        <f>IF(+NFL!$F78="LA Rams",+NFL!#REF!,IF(+NFL!$H78="LA Rams",+NFL!#REF!,0))</f>
        <v>0</v>
      </c>
      <c r="AH331" s="353">
        <f>IF(+NFL!$F78="LA Rams",+NFL!#REF!,IF(+NFL!$H78="LA Rams",+NFL!#REF!,0))</f>
        <v>0</v>
      </c>
      <c r="AI331" s="379">
        <f>IF(+NFL!$F78="LA Rams",+NFL!#REF!,IF(+NFL!$H78="LA Rams",+NFL!#REF!,0))</f>
        <v>0</v>
      </c>
      <c r="AJ331" s="353">
        <f>IF(+NFL!$F78="LA Rams",+NFL!#REF!,IF(+NFL!$H78="LA Rams",+NFL!#REF!,0))</f>
        <v>0</v>
      </c>
      <c r="AK331" s="379">
        <f>IF(+NFL!$F78="LA Rams",+NFL!#REF!,IF(+NFL!$H78="LA Rams",+NFL!#REF!,0))</f>
        <v>0</v>
      </c>
      <c r="AL331" s="68">
        <f>IF(+NFL!$F78="LA Rams",+NFL!#REF!,IF(+NFL!$H78="LA Rams",+NFL!#REF!,0))</f>
        <v>0</v>
      </c>
      <c r="AM331" s="58">
        <f>IF(+NFL!$F78="LA Rams",+NFL!#REF!,IF(+NFL!$H78="LA Rams",+NFL!#REF!,0))</f>
        <v>0</v>
      </c>
      <c r="AN331" s="57">
        <f>IF(+NFL!$F78="LA Rams",+NFL!#REF!,IF(+NFL!$H78="LA Rams",+NFL!#REF!,0))</f>
        <v>0</v>
      </c>
      <c r="AO331" s="59">
        <f>IF(+NFL!$F78="LA Rams",+NFL!#REF!,IF(+NFL!$H78="LA Rams",+NFL!#REF!,0))</f>
        <v>0</v>
      </c>
      <c r="AP331" s="348">
        <f>IF(+NFL!$F78="LA Rams",+NFL!#REF!,IF(+NFL!$H78="LA Rams",+NFL!#REF!,0))</f>
        <v>0</v>
      </c>
      <c r="AQ331" s="48">
        <f>IF(+NFL!$F78="LA Rams",+NFL!#REF!,IF(+NFL!$H78="LA Rams",+NFL!#REF!,0))</f>
        <v>0</v>
      </c>
      <c r="AR331" s="57">
        <f>IF(+NFL!$F78="LA Rams",+NFL!#REF!,IF(+NFL!$H78="LA Rams",+NFL!#REF!,0))</f>
        <v>0</v>
      </c>
      <c r="AS331" s="64">
        <f>IF(+NFL!$F78="LA Rams",+NFL!#REF!,IF(+NFL!$H78="LA Rams",+NFL!#REF!,0))</f>
        <v>0</v>
      </c>
      <c r="AT331" s="64">
        <f>IF(+NFL!$F78="LA Rams",+NFL!#REF!,IF(+NFL!$H78="LA Rams",+NFL!#REF!,0))</f>
        <v>0</v>
      </c>
      <c r="AU331" s="57">
        <f>IF(+NFL!$F78="LA Rams",+NFL!#REF!,IF(+NFL!$H78="LA Rams",+NFL!#REF!,0))</f>
        <v>0</v>
      </c>
      <c r="AV331" s="64">
        <f>IF(+NFL!$F78="LA Rams",+NFL!#REF!,IF(+NFL!$H78="LA Rams",+NFL!#REF!,0))</f>
        <v>0</v>
      </c>
      <c r="AW331" s="46">
        <f>IF(+NFL!$F78="LA Rams",+NFL!#REF!,IF(+NFL!$H78="LA Rams",+NFL!#REF!,0))</f>
        <v>0</v>
      </c>
      <c r="AX331" s="64">
        <f>IF(+NFL!$F78="LA Rams",+NFL!#REF!,IF(+NFL!$H78="LA Rams",+NFL!#REF!,0))</f>
        <v>0</v>
      </c>
      <c r="AY331" s="57">
        <f>IF(+NFL!$F78="LA Rams",+NFL!#REF!,IF(+NFL!$H78="LA Rams",+NFL!#REF!,0))</f>
        <v>0</v>
      </c>
      <c r="AZ331" s="64">
        <f>IF(+NFL!$F78="LA Rams",+NFL!#REF!,IF(+NFL!$H78="LA Rams",+NFL!#REF!,0))</f>
        <v>0</v>
      </c>
      <c r="BA331" s="46">
        <f>IF(+NFL!$F78="LA Rams",+NFL!#REF!,IF(+NFL!$H78="LA Rams",+NFL!#REF!,0))</f>
        <v>0</v>
      </c>
      <c r="BB331" s="46">
        <f>IF(+NFL!$F78="LA Rams",+NFL!#REF!,IF(+NFL!$H78="LA Rams",+NFL!#REF!,0))</f>
        <v>0</v>
      </c>
      <c r="BC331" s="403">
        <f>IF(+NFL!$F78="LA Rams",+NFL!#REF!,IF(+NFL!$H78="LA Rams",+NFL!#REF!,0))</f>
        <v>0</v>
      </c>
      <c r="BD331" s="57">
        <f>IF(+NFL!$F78="LA Rams",+NFL!#REF!,IF(+NFL!$H78="LA Rams",+NFL!#REF!,0))</f>
        <v>0</v>
      </c>
      <c r="BE331" s="64">
        <f>IF(+NFL!$F78="LA Rams",+NFL!#REF!,IF(+NFL!$H78="LA Rams",+NFL!#REF!,0))</f>
        <v>0</v>
      </c>
      <c r="BF331" s="46">
        <f>IF(+NFL!$F78="LA Rams",+NFL!#REF!,IF(+NFL!$H78="LA Rams",+NFL!#REF!,0))</f>
        <v>0</v>
      </c>
      <c r="BG331" s="57">
        <f>IF(+NFL!$F78="LA Rams",+NFL!#REF!,IF(+NFL!$H78="LA Rams",+NFL!#REF!,0))</f>
        <v>0</v>
      </c>
      <c r="BH331" s="64">
        <f>IF(+NFL!$F78="LA Rams",+NFL!#REF!,IF(+NFL!$H78="LA Rams",+NFL!#REF!,0))</f>
        <v>0</v>
      </c>
      <c r="BI331" s="46">
        <f>IF(+NFL!$F78="LA Rams",+NFL!#REF!,IF(+NFL!$H78="LA Rams",+NFL!#REF!,0))</f>
        <v>0</v>
      </c>
      <c r="BJ331" s="87">
        <f>IF(+NFL!$F78="LA Rams",+NFL!#REF!,IF(+NFL!$H78="LA Rams",+NFL!#REF!,0))</f>
        <v>0</v>
      </c>
      <c r="BK331" s="120">
        <f>IF(+NFL!$F78="LA Rams",+NFL!#REF!,IF(+NFL!$H78="LA Rams",+NFL!#REF!,0))</f>
        <v>0</v>
      </c>
    </row>
    <row r="332" spans="1:63" s="246" customFormat="1" x14ac:dyDescent="0.8">
      <c r="A332" s="46">
        <f>IF(+NFL!$F140="LA Rams",+NFL!A140,IF(+NFL!$H140="LA Rams",+NFL!A140,0))</f>
        <v>8</v>
      </c>
      <c r="B332" s="348" t="str">
        <f>IF(+NFL!$F140="LA Rams",+NFL!B140,IF(+NFL!$H140="LA Rams",+NFL!B140,0))</f>
        <v>Sun</v>
      </c>
      <c r="C332" s="48">
        <f>IF(+NFL!$F140="LA Rams",+NFL!C140,IF(+NFL!$H140="LA Rams",+NFL!C140,0))</f>
        <v>44864</v>
      </c>
      <c r="D332" s="490">
        <f>IF(+NFL!$F140="LA Rams",+NFL!D140,IF(+NFL!$H140="LA Rams",+NFL!D140,0))</f>
        <v>0.66666666666666663</v>
      </c>
      <c r="E332" s="46" t="str">
        <f>IF(+NFL!$F140="LA Rams",+NFL!E140,IF(+NFL!$H140="LA Rams",+NFL!E140,0))</f>
        <v>Fox</v>
      </c>
      <c r="F332" s="114" t="str">
        <f>IF(+NFL!$F140="LA Rams",+NFL!F140,IF(+NFL!$H140="LA Rams",+NFL!F140,0))</f>
        <v>San Francisco</v>
      </c>
      <c r="G332" s="46" t="str">
        <f>IF(+NFL!$F140="LA Rams",+NFL!G140,IF(+NFL!$H140="LA Rams",+NFL!G140,0))</f>
        <v>NFCW</v>
      </c>
      <c r="H332" s="114" t="str">
        <f>IF(+NFL!$F140="LA Rams",+NFL!H140,IF(+NFL!$H140="LA Rams",+NFL!H140,0))</f>
        <v>LA Rams</v>
      </c>
      <c r="I332" s="46" t="str">
        <f>IF(+NFL!$F140="LA Rams",+NFL!I140,IF(+NFL!$H140="LA Rams",+NFL!I140,0))</f>
        <v>NFCW</v>
      </c>
      <c r="J332" s="353" t="str">
        <f>IF(+NFL!$F140="LA Rams",+NFL!J140,IF(+NFL!$H140="LA Rams",+NFL!J140,0))</f>
        <v>San Francisco</v>
      </c>
      <c r="K332" s="494" t="str">
        <f>IF(+NFL!$F140="LA Rams",+NFL!K140,IF(+NFL!$H140="LA Rams",+NFL!K140,0))</f>
        <v>LA Rams</v>
      </c>
      <c r="L332" s="384">
        <f>IF(+NFL!$F140="LA Rams",+NFL!L140,IF(+NFL!$H140="LA Rams",+NFL!L140,0))</f>
        <v>1.5</v>
      </c>
      <c r="M332" s="385">
        <f>IF(+NFL!$F140="LA Rams",+NFL!M140,IF(+NFL!$H140="LA Rams",+NFL!M140,0))</f>
        <v>42</v>
      </c>
      <c r="N332" s="394" t="str">
        <f>IF(+NFL!$F140="LA Rams",+NFL!N140,IF(+NFL!$H140="LA Rams",+NFL!N140,0))</f>
        <v>San Francisco</v>
      </c>
      <c r="O332" s="395">
        <f>IF(+NFL!$F140="LA Rams",+NFL!O140,IF(+NFL!$H140="LA Rams",+NFL!O140,0))</f>
        <v>31</v>
      </c>
      <c r="P332" s="394" t="str">
        <f>IF(+NFL!$F140="LA Rams",+NFL!P140,IF(+NFL!$H140="LA Rams",+NFL!P140,0))</f>
        <v>LA Rams</v>
      </c>
      <c r="Q332" s="396">
        <f>IF(+NFL!$F140="LA Rams",+NFL!Q140,IF(+NFL!$H140="LA Rams",+NFL!Q140,0))</f>
        <v>14</v>
      </c>
      <c r="R332" s="397" t="str">
        <f>IF(+NFL!$F140="LA Rams",+NFL!R140,IF(+NFL!$H140="LA Rams",+NFL!R140,0))</f>
        <v>San Francisco</v>
      </c>
      <c r="S332" s="396" t="str">
        <f>IF(+NFL!$F140="LA Rams",+NFL!S140,IF(+NFL!$H140="LA Rams",+NFL!S140,0))</f>
        <v>LA Rams</v>
      </c>
      <c r="T332" s="398" t="str">
        <f>IF(+NFL!$F140="LA Rams",+NFL!T140,IF(+NFL!$H140="LA Rams",+NFL!T140,0))</f>
        <v>San Francisco</v>
      </c>
      <c r="U332" s="396" t="str">
        <f>IF(+NFL!$F140="LA Rams",+NFL!U140,IF(+NFL!$H140="LA Rams",+NFL!U140,0))</f>
        <v>W</v>
      </c>
      <c r="V332" s="397">
        <f>IF(+NFL!$F89="LA Rams",+NFL!#REF!,IF(+NFL!$H89="LA Rams",+NFL!#REF!,0))</f>
        <v>0</v>
      </c>
      <c r="W332" s="396">
        <f>IF(+NFL!$F89="LA Rams",+NFL!#REF!,IF(+NFL!$H89="LA Rams",+NFL!#REF!,0))</f>
        <v>0</v>
      </c>
      <c r="X332" s="398">
        <f>IF(+NFL!$F89="LA Rams",+NFL!#REF!,IF(+NFL!$H89="LA Rams",+NFL!#REF!,0))</f>
        <v>0</v>
      </c>
      <c r="Y332" s="396">
        <f>IF(+NFL!$F89="LA Rams",+NFL!#REF!,IF(+NFL!$H89="LA Rams",+NFL!#REF!,0))</f>
        <v>0</v>
      </c>
      <c r="Z332" s="397">
        <f>IF(+NFL!$F89="LA Rams",+NFL!#REF!,IF(+NFL!$H89="LA Rams",+NFL!#REF!,0))</f>
        <v>0</v>
      </c>
      <c r="AA332" s="396">
        <f>IF(+NFL!$F89="LA Rams",+NFL!#REF!,IF(+NFL!$H89="LA Rams",+NFL!#REF!,0))</f>
        <v>0</v>
      </c>
      <c r="AB332" s="87">
        <f>IF(+NFL!$F89="LA Rams",+NFL!#REF!,IF(+NFL!$H89="LA Rams",+NFL!#REF!,0))</f>
        <v>0</v>
      </c>
      <c r="AC332" s="120">
        <f>IF(+NFL!$F89="LA Rams",+NFL!#REF!,IF(+NFL!$H89="LA Rams",+NFL!#REF!,0))</f>
        <v>0</v>
      </c>
      <c r="AD332" s="353">
        <f>IF(+NFL!$F89="LA Rams",+NFL!#REF!,IF(+NFL!$H89="LA Rams",+NFL!#REF!,0))</f>
        <v>0</v>
      </c>
      <c r="AE332" s="379">
        <f>IF(+NFL!$F89="LA Rams",+NFL!#REF!,IF(+NFL!$H89="LA Rams",+NFL!#REF!,0))</f>
        <v>0</v>
      </c>
      <c r="AF332" s="353">
        <f>IF(+NFL!$F89="LA Rams",+NFL!#REF!,IF(+NFL!$H89="LA Rams",+NFL!#REF!,0))</f>
        <v>0</v>
      </c>
      <c r="AG332" s="379">
        <f>IF(+NFL!$F89="LA Rams",+NFL!#REF!,IF(+NFL!$H89="LA Rams",+NFL!#REF!,0))</f>
        <v>0</v>
      </c>
      <c r="AH332" s="353">
        <f>IF(+NFL!$F89="LA Rams",+NFL!#REF!,IF(+NFL!$H89="LA Rams",+NFL!#REF!,0))</f>
        <v>0</v>
      </c>
      <c r="AI332" s="379">
        <f>IF(+NFL!$F89="LA Rams",+NFL!#REF!,IF(+NFL!$H89="LA Rams",+NFL!#REF!,0))</f>
        <v>0</v>
      </c>
      <c r="AJ332" s="353">
        <f>IF(+NFL!$F89="LA Rams",+NFL!#REF!,IF(+NFL!$H89="LA Rams",+NFL!#REF!,0))</f>
        <v>0</v>
      </c>
      <c r="AK332" s="379">
        <f>IF(+NFL!$F89="LA Rams",+NFL!#REF!,IF(+NFL!$H89="LA Rams",+NFL!#REF!,0))</f>
        <v>0</v>
      </c>
      <c r="AL332" s="68">
        <f>IF(+NFL!$F89="LA Rams",+NFL!#REF!,IF(+NFL!$H89="LA Rams",+NFL!#REF!,0))</f>
        <v>0</v>
      </c>
      <c r="AM332" s="58">
        <f>IF(+NFL!$F89="LA Rams",+NFL!#REF!,IF(+NFL!$H89="LA Rams",+NFL!#REF!,0))</f>
        <v>0</v>
      </c>
      <c r="AN332" s="57">
        <f>IF(+NFL!$F89="LA Rams",+NFL!#REF!,IF(+NFL!$H89="LA Rams",+NFL!#REF!,0))</f>
        <v>0</v>
      </c>
      <c r="AO332" s="59">
        <f>IF(+NFL!$F89="LA Rams",+NFL!#REF!,IF(+NFL!$H89="LA Rams",+NFL!#REF!,0))</f>
        <v>0</v>
      </c>
      <c r="AP332" s="348">
        <f>IF(+NFL!$F89="LA Rams",+NFL!#REF!,IF(+NFL!$H89="LA Rams",+NFL!#REF!,0))</f>
        <v>0</v>
      </c>
      <c r="AQ332" s="48">
        <f>IF(+NFL!$F89="LA Rams",+NFL!#REF!,IF(+NFL!$H89="LA Rams",+NFL!#REF!,0))</f>
        <v>0</v>
      </c>
      <c r="AR332" s="57">
        <f>IF(+NFL!$F89="LA Rams",+NFL!#REF!,IF(+NFL!$H89="LA Rams",+NFL!#REF!,0))</f>
        <v>0</v>
      </c>
      <c r="AS332" s="64">
        <f>IF(+NFL!$F89="LA Rams",+NFL!#REF!,IF(+NFL!$H89="LA Rams",+NFL!#REF!,0))</f>
        <v>0</v>
      </c>
      <c r="AT332" s="64">
        <f>IF(+NFL!$F89="LA Rams",+NFL!#REF!,IF(+NFL!$H89="LA Rams",+NFL!#REF!,0))</f>
        <v>0</v>
      </c>
      <c r="AU332" s="57">
        <f>IF(+NFL!$F89="LA Rams",+NFL!#REF!,IF(+NFL!$H89="LA Rams",+NFL!#REF!,0))</f>
        <v>0</v>
      </c>
      <c r="AV332" s="64">
        <f>IF(+NFL!$F89="LA Rams",+NFL!#REF!,IF(+NFL!$H89="LA Rams",+NFL!#REF!,0))</f>
        <v>0</v>
      </c>
      <c r="AW332" s="46">
        <f>IF(+NFL!$F89="LA Rams",+NFL!#REF!,IF(+NFL!$H89="LA Rams",+NFL!#REF!,0))</f>
        <v>0</v>
      </c>
      <c r="AX332" s="64">
        <f>IF(+NFL!$F89="LA Rams",+NFL!#REF!,IF(+NFL!$H89="LA Rams",+NFL!#REF!,0))</f>
        <v>0</v>
      </c>
      <c r="AY332" s="57">
        <f>IF(+NFL!$F89="LA Rams",+NFL!#REF!,IF(+NFL!$H89="LA Rams",+NFL!#REF!,0))</f>
        <v>0</v>
      </c>
      <c r="AZ332" s="64">
        <f>IF(+NFL!$F89="LA Rams",+NFL!#REF!,IF(+NFL!$H89="LA Rams",+NFL!#REF!,0))</f>
        <v>0</v>
      </c>
      <c r="BA332" s="46">
        <f>IF(+NFL!$F89="LA Rams",+NFL!#REF!,IF(+NFL!$H89="LA Rams",+NFL!#REF!,0))</f>
        <v>0</v>
      </c>
      <c r="BB332" s="46">
        <f>IF(+NFL!$F89="LA Rams",+NFL!#REF!,IF(+NFL!$H89="LA Rams",+NFL!#REF!,0))</f>
        <v>0</v>
      </c>
      <c r="BC332" s="403">
        <f>IF(+NFL!$F89="LA Rams",+NFL!#REF!,IF(+NFL!$H89="LA Rams",+NFL!#REF!,0))</f>
        <v>0</v>
      </c>
      <c r="BD332" s="57">
        <f>IF(+NFL!$F89="LA Rams",+NFL!#REF!,IF(+NFL!$H89="LA Rams",+NFL!#REF!,0))</f>
        <v>0</v>
      </c>
      <c r="BE332" s="64">
        <f>IF(+NFL!$F89="LA Rams",+NFL!#REF!,IF(+NFL!$H89="LA Rams",+NFL!#REF!,0))</f>
        <v>0</v>
      </c>
      <c r="BF332" s="46">
        <f>IF(+NFL!$F89="LA Rams",+NFL!#REF!,IF(+NFL!$H89="LA Rams",+NFL!#REF!,0))</f>
        <v>0</v>
      </c>
      <c r="BG332" s="57">
        <f>IF(+NFL!$F89="LA Rams",+NFL!#REF!,IF(+NFL!$H89="LA Rams",+NFL!#REF!,0))</f>
        <v>0</v>
      </c>
      <c r="BH332" s="64">
        <f>IF(+NFL!$F89="LA Rams",+NFL!#REF!,IF(+NFL!$H89="LA Rams",+NFL!#REF!,0))</f>
        <v>0</v>
      </c>
      <c r="BI332" s="46">
        <f>IF(+NFL!$F89="LA Rams",+NFL!#REF!,IF(+NFL!$H89="LA Rams",+NFL!#REF!,0))</f>
        <v>0</v>
      </c>
      <c r="BJ332" s="87">
        <f>IF(+NFL!$F89="LA Rams",+NFL!#REF!,IF(+NFL!$H89="LA Rams",+NFL!#REF!,0))</f>
        <v>0</v>
      </c>
      <c r="BK332" s="120">
        <f>IF(+NFL!$F89="LA Rams",+NFL!#REF!,IF(+NFL!$H89="LA Rams",+NFL!#REF!,0))</f>
        <v>0</v>
      </c>
    </row>
    <row r="333" spans="1:63" s="246" customFormat="1" x14ac:dyDescent="0.8">
      <c r="A333" s="46">
        <f>IF(+NFL!$F158="LA Rams",+NFL!A158,IF(+NFL!$H158="LA Rams",+NFL!A158,0))</f>
        <v>9</v>
      </c>
      <c r="B333" s="348" t="str">
        <f>IF(+NFL!$F158="LA Rams",+NFL!B158,IF(+NFL!$H158="LA Rams",+NFL!B158,0))</f>
        <v>Sun</v>
      </c>
      <c r="C333" s="48">
        <f>IF(+NFL!$F158="LA Rams",+NFL!C158,IF(+NFL!$H158="LA Rams",+NFL!C158,0))</f>
        <v>44871</v>
      </c>
      <c r="D333" s="490">
        <f>IF(+NFL!$F158="LA Rams",+NFL!D158,IF(+NFL!$H158="LA Rams",+NFL!D158,0))</f>
        <v>0.66666666666666663</v>
      </c>
      <c r="E333" s="46" t="str">
        <f>IF(+NFL!$F158="LA Rams",+NFL!E158,IF(+NFL!$H158="LA Rams",+NFL!E158,0))</f>
        <v>Fox</v>
      </c>
      <c r="F333" s="114" t="str">
        <f>IF(+NFL!$F158="LA Rams",+NFL!F158,IF(+NFL!$H158="LA Rams",+NFL!F158,0))</f>
        <v>LA Rams</v>
      </c>
      <c r="G333" s="46" t="str">
        <f>IF(+NFL!$F158="LA Rams",+NFL!G158,IF(+NFL!$H158="LA Rams",+NFL!G158,0))</f>
        <v>NFCW</v>
      </c>
      <c r="H333" s="114" t="str">
        <f>IF(+NFL!$F158="LA Rams",+NFL!H158,IF(+NFL!$H158="LA Rams",+NFL!H158,0))</f>
        <v>Tampa Bay</v>
      </c>
      <c r="I333" s="46" t="str">
        <f>IF(+NFL!$F158="LA Rams",+NFL!I158,IF(+NFL!$H158="LA Rams",+NFL!I158,0))</f>
        <v>NFCS</v>
      </c>
      <c r="J333" s="353" t="str">
        <f>IF(+NFL!$F158="LA Rams",+NFL!J158,IF(+NFL!$H158="LA Rams",+NFL!J158,0))</f>
        <v>Tampa Bay</v>
      </c>
      <c r="K333" s="494" t="str">
        <f>IF(+NFL!$F158="LA Rams",+NFL!K158,IF(+NFL!$H158="LA Rams",+NFL!K158,0))</f>
        <v>LA Rams</v>
      </c>
      <c r="L333" s="384">
        <f>IF(+NFL!$F158="LA Rams",+NFL!L158,IF(+NFL!$H158="LA Rams",+NFL!L158,0))</f>
        <v>2.5</v>
      </c>
      <c r="M333" s="385">
        <f>IF(+NFL!$F158="LA Rams",+NFL!M158,IF(+NFL!$H158="LA Rams",+NFL!M158,0))</f>
        <v>42.5</v>
      </c>
      <c r="N333" s="394" t="str">
        <f>IF(+NFL!$F158="LA Rams",+NFL!N158,IF(+NFL!$H158="LA Rams",+NFL!N158,0))</f>
        <v>Tampa Bay</v>
      </c>
      <c r="O333" s="395">
        <f>IF(+NFL!$F158="LA Rams",+NFL!O158,IF(+NFL!$H158="LA Rams",+NFL!O158,0))</f>
        <v>16</v>
      </c>
      <c r="P333" s="394" t="str">
        <f>IF(+NFL!$F158="LA Rams",+NFL!P158,IF(+NFL!$H158="LA Rams",+NFL!P158,0))</f>
        <v>LA Rams</v>
      </c>
      <c r="Q333" s="396">
        <f>IF(+NFL!$F158="LA Rams",+NFL!Q158,IF(+NFL!$H158="LA Rams",+NFL!Q158,0))</f>
        <v>13</v>
      </c>
      <c r="R333" s="397" t="str">
        <f>IF(+NFL!$F158="LA Rams",+NFL!R158,IF(+NFL!$H158="LA Rams",+NFL!R158,0))</f>
        <v>Tampa Bay</v>
      </c>
      <c r="S333" s="396" t="str">
        <f>IF(+NFL!$F158="LA Rams",+NFL!S158,IF(+NFL!$H158="LA Rams",+NFL!S158,0))</f>
        <v>LA Rams</v>
      </c>
      <c r="T333" s="398" t="str">
        <f>IF(+NFL!$F158="LA Rams",+NFL!T158,IF(+NFL!$H158="LA Rams",+NFL!T158,0))</f>
        <v>LA Rams</v>
      </c>
      <c r="U333" s="396" t="str">
        <f>IF(+NFL!$F158="LA Rams",+NFL!U158,IF(+NFL!$H158="LA Rams",+NFL!U158,0))</f>
        <v>L</v>
      </c>
      <c r="V333" s="397" t="e">
        <f>IF(+NFL!#REF!="LA Rams",+NFL!#REF!,IF(+NFL!#REF!="LA Rams",+NFL!#REF!,0))</f>
        <v>#REF!</v>
      </c>
      <c r="W333" s="396" t="e">
        <f>IF(+NFL!#REF!="LA Rams",+NFL!#REF!,IF(+NFL!#REF!="LA Rams",+NFL!#REF!,0))</f>
        <v>#REF!</v>
      </c>
      <c r="X333" s="398" t="e">
        <f>IF(+NFL!#REF!="LA Rams",+NFL!#REF!,IF(+NFL!#REF!="LA Rams",+NFL!#REF!,0))</f>
        <v>#REF!</v>
      </c>
      <c r="Y333" s="396" t="e">
        <f>IF(+NFL!#REF!="LA Rams",+NFL!#REF!,IF(+NFL!#REF!="LA Rams",+NFL!#REF!,0))</f>
        <v>#REF!</v>
      </c>
      <c r="Z333" s="397" t="e">
        <f>IF(+NFL!#REF!="LA Rams",+NFL!#REF!,IF(+NFL!#REF!="LA Rams",+NFL!#REF!,0))</f>
        <v>#REF!</v>
      </c>
      <c r="AA333" s="396" t="e">
        <f>IF(+NFL!#REF!="LA Rams",+NFL!#REF!,IF(+NFL!#REF!="LA Rams",+NFL!#REF!,0))</f>
        <v>#REF!</v>
      </c>
      <c r="AB333" s="87" t="e">
        <f>IF(+NFL!#REF!="LA Rams",+NFL!#REF!,IF(+NFL!#REF!="LA Rams",+NFL!#REF!,0))</f>
        <v>#REF!</v>
      </c>
      <c r="AC333" s="120" t="e">
        <f>IF(+NFL!#REF!="LA Rams",+NFL!#REF!,IF(+NFL!#REF!="LA Rams",+NFL!#REF!,0))</f>
        <v>#REF!</v>
      </c>
      <c r="AD333" s="353" t="e">
        <f>IF(+NFL!#REF!="LA Rams",+NFL!#REF!,IF(+NFL!#REF!="LA Rams",+NFL!#REF!,0))</f>
        <v>#REF!</v>
      </c>
      <c r="AE333" s="379" t="e">
        <f>IF(+NFL!#REF!="LA Rams",+NFL!#REF!,IF(+NFL!#REF!="LA Rams",+NFL!#REF!,0))</f>
        <v>#REF!</v>
      </c>
      <c r="AF333" s="353" t="e">
        <f>IF(+NFL!#REF!="LA Rams",+NFL!#REF!,IF(+NFL!#REF!="LA Rams",+NFL!#REF!,0))</f>
        <v>#REF!</v>
      </c>
      <c r="AG333" s="379" t="e">
        <f>IF(+NFL!#REF!="LA Rams",+NFL!#REF!,IF(+NFL!#REF!="LA Rams",+NFL!#REF!,0))</f>
        <v>#REF!</v>
      </c>
      <c r="AH333" s="353" t="e">
        <f>IF(+NFL!#REF!="LA Rams",+NFL!#REF!,IF(+NFL!#REF!="LA Rams",+NFL!#REF!,0))</f>
        <v>#REF!</v>
      </c>
      <c r="AI333" s="379" t="e">
        <f>IF(+NFL!#REF!="LA Rams",+NFL!#REF!,IF(+NFL!#REF!="LA Rams",+NFL!#REF!,0))</f>
        <v>#REF!</v>
      </c>
      <c r="AJ333" s="353" t="e">
        <f>IF(+NFL!#REF!="LA Rams",+NFL!#REF!,IF(+NFL!#REF!="LA Rams",+NFL!#REF!,0))</f>
        <v>#REF!</v>
      </c>
      <c r="AK333" s="379" t="e">
        <f>IF(+NFL!#REF!="LA Rams",+NFL!#REF!,IF(+NFL!#REF!="LA Rams",+NFL!#REF!,0))</f>
        <v>#REF!</v>
      </c>
      <c r="AL333" s="68" t="e">
        <f>IF(+NFL!#REF!="LA Rams",+NFL!#REF!,IF(+NFL!#REF!="LA Rams",+NFL!#REF!,0))</f>
        <v>#REF!</v>
      </c>
      <c r="AM333" s="58" t="e">
        <f>IF(+NFL!#REF!="LA Rams",+NFL!#REF!,IF(+NFL!#REF!="LA Rams",+NFL!#REF!,0))</f>
        <v>#REF!</v>
      </c>
      <c r="AN333" s="57" t="e">
        <f>IF(+NFL!#REF!="LA Rams",+NFL!#REF!,IF(+NFL!#REF!="LA Rams",+NFL!#REF!,0))</f>
        <v>#REF!</v>
      </c>
      <c r="AO333" s="59" t="e">
        <f>IF(+NFL!#REF!="LA Rams",+NFL!#REF!,IF(+NFL!#REF!="LA Rams",+NFL!#REF!,0))</f>
        <v>#REF!</v>
      </c>
      <c r="AP333" s="348" t="e">
        <f>IF(+NFL!#REF!="LA Rams",+NFL!#REF!,IF(+NFL!#REF!="LA Rams",+NFL!#REF!,0))</f>
        <v>#REF!</v>
      </c>
      <c r="AQ333" s="48" t="e">
        <f>IF(+NFL!#REF!="LA Rams",+NFL!#REF!,IF(+NFL!#REF!="LA Rams",+NFL!#REF!,0))</f>
        <v>#REF!</v>
      </c>
      <c r="AR333" s="57" t="e">
        <f>IF(+NFL!#REF!="LA Rams",+NFL!#REF!,IF(+NFL!#REF!="LA Rams",+NFL!#REF!,0))</f>
        <v>#REF!</v>
      </c>
      <c r="AS333" s="64" t="e">
        <f>IF(+NFL!#REF!="LA Rams",+NFL!#REF!,IF(+NFL!#REF!="LA Rams",+NFL!#REF!,0))</f>
        <v>#REF!</v>
      </c>
      <c r="AT333" s="64" t="e">
        <f>IF(+NFL!#REF!="LA Rams",+NFL!#REF!,IF(+NFL!#REF!="LA Rams",+NFL!#REF!,0))</f>
        <v>#REF!</v>
      </c>
      <c r="AU333" s="57" t="e">
        <f>IF(+NFL!#REF!="LA Rams",+NFL!#REF!,IF(+NFL!#REF!="LA Rams",+NFL!#REF!,0))</f>
        <v>#REF!</v>
      </c>
      <c r="AV333" s="64" t="e">
        <f>IF(+NFL!#REF!="LA Rams",+NFL!#REF!,IF(+NFL!#REF!="LA Rams",+NFL!#REF!,0))</f>
        <v>#REF!</v>
      </c>
      <c r="AW333" s="46" t="e">
        <f>IF(+NFL!#REF!="LA Rams",+NFL!#REF!,IF(+NFL!#REF!="LA Rams",+NFL!#REF!,0))</f>
        <v>#REF!</v>
      </c>
      <c r="AX333" s="64" t="e">
        <f>IF(+NFL!#REF!="LA Rams",+NFL!#REF!,IF(+NFL!#REF!="LA Rams",+NFL!#REF!,0))</f>
        <v>#REF!</v>
      </c>
      <c r="AY333" s="57" t="e">
        <f>IF(+NFL!#REF!="LA Rams",+NFL!#REF!,IF(+NFL!#REF!="LA Rams",+NFL!#REF!,0))</f>
        <v>#REF!</v>
      </c>
      <c r="AZ333" s="64" t="e">
        <f>IF(+NFL!#REF!="LA Rams",+NFL!#REF!,IF(+NFL!#REF!="LA Rams",+NFL!#REF!,0))</f>
        <v>#REF!</v>
      </c>
      <c r="BA333" s="46" t="e">
        <f>IF(+NFL!#REF!="LA Rams",+NFL!#REF!,IF(+NFL!#REF!="LA Rams",+NFL!#REF!,0))</f>
        <v>#REF!</v>
      </c>
      <c r="BB333" s="46" t="e">
        <f>IF(+NFL!#REF!="LA Rams",+NFL!#REF!,IF(+NFL!#REF!="LA Rams",+NFL!#REF!,0))</f>
        <v>#REF!</v>
      </c>
      <c r="BC333" s="403" t="e">
        <f>IF(+NFL!#REF!="LA Rams",+NFL!#REF!,IF(+NFL!#REF!="LA Rams",+NFL!#REF!,0))</f>
        <v>#REF!</v>
      </c>
      <c r="BD333" s="57" t="e">
        <f>IF(+NFL!#REF!="LA Rams",+NFL!#REF!,IF(+NFL!#REF!="LA Rams",+NFL!#REF!,0))</f>
        <v>#REF!</v>
      </c>
      <c r="BE333" s="64" t="e">
        <f>IF(+NFL!#REF!="LA Rams",+NFL!#REF!,IF(+NFL!#REF!="LA Rams",+NFL!#REF!,0))</f>
        <v>#REF!</v>
      </c>
      <c r="BF333" s="46" t="e">
        <f>IF(+NFL!#REF!="LA Rams",+NFL!#REF!,IF(+NFL!#REF!="LA Rams",+NFL!#REF!,0))</f>
        <v>#REF!</v>
      </c>
      <c r="BG333" s="57" t="e">
        <f>IF(+NFL!#REF!="LA Rams",+NFL!#REF!,IF(+NFL!#REF!="LA Rams",+NFL!#REF!,0))</f>
        <v>#REF!</v>
      </c>
      <c r="BH333" s="64" t="e">
        <f>IF(+NFL!#REF!="LA Rams",+NFL!#REF!,IF(+NFL!#REF!="LA Rams",+NFL!#REF!,0))</f>
        <v>#REF!</v>
      </c>
      <c r="BI333" s="46" t="e">
        <f>IF(+NFL!#REF!="LA Rams",+NFL!#REF!,IF(+NFL!#REF!="LA Rams",+NFL!#REF!,0))</f>
        <v>#REF!</v>
      </c>
      <c r="BJ333" s="87" t="e">
        <f>IF(+NFL!#REF!="LA Rams",+NFL!#REF!,IF(+NFL!#REF!="LA Rams",+NFL!#REF!,0))</f>
        <v>#REF!</v>
      </c>
      <c r="BK333" s="120" t="e">
        <f>IF(+NFL!#REF!="LA Rams",+NFL!#REF!,IF(+NFL!#REF!="LA Rams",+NFL!#REF!,0))</f>
        <v>#REF!</v>
      </c>
    </row>
    <row r="334" spans="1:63" s="246" customFormat="1" x14ac:dyDescent="0.8">
      <c r="A334" s="46">
        <f>IF(+NFL!$F180="LA Rams",+NFL!A180,IF(+NFL!$H180="LA Rams",+NFL!A180,0))</f>
        <v>10</v>
      </c>
      <c r="B334" s="348" t="str">
        <f>IF(+NFL!$F180="LA Rams",+NFL!B180,IF(+NFL!$H180="LA Rams",+NFL!B180,0))</f>
        <v>Sun</v>
      </c>
      <c r="C334" s="48">
        <f>IF(+NFL!$F180="LA Rams",+NFL!C180,IF(+NFL!$H180="LA Rams",+NFL!C180,0))</f>
        <v>44879</v>
      </c>
      <c r="D334" s="490">
        <f>IF(+NFL!$F180="LA Rams",+NFL!D180,IF(+NFL!$H180="LA Rams",+NFL!D180,0))</f>
        <v>0.66666666666666663</v>
      </c>
      <c r="E334" s="46" t="str">
        <f>IF(+NFL!$F180="LA Rams",+NFL!E180,IF(+NFL!$H180="LA Rams",+NFL!E180,0))</f>
        <v>ABC</v>
      </c>
      <c r="F334" s="114" t="str">
        <f>IF(+NFL!$F180="LA Rams",+NFL!F180,IF(+NFL!$H180="LA Rams",+NFL!F180,0))</f>
        <v>Arizona</v>
      </c>
      <c r="G334" s="46" t="str">
        <f>IF(+NFL!$F180="LA Rams",+NFL!G180,IF(+NFL!$H180="LA Rams",+NFL!G180,0))</f>
        <v>NFCW</v>
      </c>
      <c r="H334" s="114" t="str">
        <f>IF(+NFL!$F180="LA Rams",+NFL!H180,IF(+NFL!$H180="LA Rams",+NFL!H180,0))</f>
        <v>LA Rams</v>
      </c>
      <c r="I334" s="46" t="str">
        <f>IF(+NFL!$F180="LA Rams",+NFL!I180,IF(+NFL!$H180="LA Rams",+NFL!I180,0))</f>
        <v>NFCW</v>
      </c>
      <c r="J334" s="353" t="str">
        <f>IF(+NFL!$F180="LA Rams",+NFL!J180,IF(+NFL!$H180="LA Rams",+NFL!J180,0))</f>
        <v>LA Rams</v>
      </c>
      <c r="K334" s="494" t="str">
        <f>IF(+NFL!$F180="LA Rams",+NFL!K180,IF(+NFL!$H180="LA Rams",+NFL!K180,0))</f>
        <v>Arizona</v>
      </c>
      <c r="L334" s="384">
        <f>IF(+NFL!$F180="LA Rams",+NFL!L180,IF(+NFL!$H180="LA Rams",+NFL!L180,0))</f>
        <v>3</v>
      </c>
      <c r="M334" s="385">
        <f>IF(+NFL!$F180="LA Rams",+NFL!M180,IF(+NFL!$H180="LA Rams",+NFL!M180,0))</f>
        <v>43</v>
      </c>
      <c r="N334" s="394" t="str">
        <f>IF(+NFL!$F180="LA Rams",+NFL!N180,IF(+NFL!$H180="LA Rams",+NFL!N180,0))</f>
        <v>Arizona</v>
      </c>
      <c r="O334" s="395">
        <f>IF(+NFL!$F180="LA Rams",+NFL!O180,IF(+NFL!$H180="LA Rams",+NFL!O180,0))</f>
        <v>27</v>
      </c>
      <c r="P334" s="394" t="str">
        <f>IF(+NFL!$F180="LA Rams",+NFL!P180,IF(+NFL!$H180="LA Rams",+NFL!P180,0))</f>
        <v>LA Rams</v>
      </c>
      <c r="Q334" s="396">
        <f>IF(+NFL!$F180="LA Rams",+NFL!Q180,IF(+NFL!$H180="LA Rams",+NFL!Q180,0))</f>
        <v>17</v>
      </c>
      <c r="R334" s="397" t="str">
        <f>IF(+NFL!$F180="LA Rams",+NFL!R180,IF(+NFL!$H180="LA Rams",+NFL!R180,0))</f>
        <v>Arizona</v>
      </c>
      <c r="S334" s="396" t="str">
        <f>IF(+NFL!$F180="LA Rams",+NFL!S180,IF(+NFL!$H180="LA Rams",+NFL!S180,0))</f>
        <v>LA Rams</v>
      </c>
      <c r="T334" s="398" t="str">
        <f>IF(+NFL!$F180="LA Rams",+NFL!T180,IF(+NFL!$H180="LA Rams",+NFL!T180,0))</f>
        <v>Arizona</v>
      </c>
      <c r="U334" s="396" t="str">
        <f>IF(+NFL!$F180="LA Rams",+NFL!U180,IF(+NFL!$H180="LA Rams",+NFL!U180,0))</f>
        <v>W</v>
      </c>
      <c r="V334" s="397">
        <f>IF(+NFL!$F128="LA Rams",+NFL!#REF!,IF(+NFL!$H128="LA Rams",+NFL!#REF!,0))</f>
        <v>0</v>
      </c>
      <c r="W334" s="396">
        <f>IF(+NFL!$F128="LA Rams",+NFL!#REF!,IF(+NFL!$H128="LA Rams",+NFL!#REF!,0))</f>
        <v>0</v>
      </c>
      <c r="X334" s="398">
        <f>IF(+NFL!$F128="LA Rams",+NFL!#REF!,IF(+NFL!$H128="LA Rams",+NFL!#REF!,0))</f>
        <v>0</v>
      </c>
      <c r="Y334" s="396">
        <f>IF(+NFL!$F128="LA Rams",+NFL!#REF!,IF(+NFL!$H128="LA Rams",+NFL!#REF!,0))</f>
        <v>0</v>
      </c>
      <c r="Z334" s="397">
        <f>IF(+NFL!$F128="LA Rams",+NFL!#REF!,IF(+NFL!$H128="LA Rams",+NFL!#REF!,0))</f>
        <v>0</v>
      </c>
      <c r="AA334" s="396">
        <f>IF(+NFL!$F128="LA Rams",+NFL!#REF!,IF(+NFL!$H128="LA Rams",+NFL!#REF!,0))</f>
        <v>0</v>
      </c>
      <c r="AB334" s="87">
        <f>IF(+NFL!$F128="LA Rams",+NFL!#REF!,IF(+NFL!$H128="LA Rams",+NFL!#REF!,0))</f>
        <v>0</v>
      </c>
      <c r="AC334" s="120">
        <f>IF(+NFL!$F128="LA Rams",+NFL!#REF!,IF(+NFL!$H128="LA Rams",+NFL!#REF!,0))</f>
        <v>0</v>
      </c>
      <c r="AD334" s="353">
        <f>IF(+NFL!$F128="LA Rams",+NFL!#REF!,IF(+NFL!$H128="LA Rams",+NFL!#REF!,0))</f>
        <v>0</v>
      </c>
      <c r="AE334" s="379">
        <f>IF(+NFL!$F128="LA Rams",+NFL!#REF!,IF(+NFL!$H128="LA Rams",+NFL!#REF!,0))</f>
        <v>0</v>
      </c>
      <c r="AF334" s="353">
        <f>IF(+NFL!$F128="LA Rams",+NFL!#REF!,IF(+NFL!$H128="LA Rams",+NFL!#REF!,0))</f>
        <v>0</v>
      </c>
      <c r="AG334" s="379">
        <f>IF(+NFL!$F128="LA Rams",+NFL!#REF!,IF(+NFL!$H128="LA Rams",+NFL!#REF!,0))</f>
        <v>0</v>
      </c>
      <c r="AH334" s="353">
        <f>IF(+NFL!$F128="LA Rams",+NFL!#REF!,IF(+NFL!$H128="LA Rams",+NFL!#REF!,0))</f>
        <v>0</v>
      </c>
      <c r="AI334" s="379">
        <f>IF(+NFL!$F128="LA Rams",+NFL!#REF!,IF(+NFL!$H128="LA Rams",+NFL!#REF!,0))</f>
        <v>0</v>
      </c>
      <c r="AJ334" s="353">
        <f>IF(+NFL!$F128="LA Rams",+NFL!#REF!,IF(+NFL!$H128="LA Rams",+NFL!#REF!,0))</f>
        <v>0</v>
      </c>
      <c r="AK334" s="379">
        <f>IF(+NFL!$F128="LA Rams",+NFL!#REF!,IF(+NFL!$H128="LA Rams",+NFL!#REF!,0))</f>
        <v>0</v>
      </c>
      <c r="AL334" s="68">
        <f>IF(+NFL!$F128="LA Rams",+NFL!#REF!,IF(+NFL!$H128="LA Rams",+NFL!#REF!,0))</f>
        <v>0</v>
      </c>
      <c r="AM334" s="58">
        <f>IF(+NFL!$F128="LA Rams",+NFL!#REF!,IF(+NFL!$H128="LA Rams",+NFL!#REF!,0))</f>
        <v>0</v>
      </c>
      <c r="AN334" s="57">
        <f>IF(+NFL!$F128="LA Rams",+NFL!#REF!,IF(+NFL!$H128="LA Rams",+NFL!#REF!,0))</f>
        <v>0</v>
      </c>
      <c r="AO334" s="59">
        <f>IF(+NFL!$F128="LA Rams",+NFL!#REF!,IF(+NFL!$H128="LA Rams",+NFL!#REF!,0))</f>
        <v>0</v>
      </c>
      <c r="AP334" s="348">
        <f>IF(+NFL!$F128="LA Rams",+NFL!#REF!,IF(+NFL!$H128="LA Rams",+NFL!#REF!,0))</f>
        <v>0</v>
      </c>
      <c r="AQ334" s="48">
        <f>IF(+NFL!$F128="LA Rams",+NFL!#REF!,IF(+NFL!$H128="LA Rams",+NFL!#REF!,0))</f>
        <v>0</v>
      </c>
      <c r="AR334" s="57">
        <f>IF(+NFL!$F128="LA Rams",+NFL!#REF!,IF(+NFL!$H128="LA Rams",+NFL!#REF!,0))</f>
        <v>0</v>
      </c>
      <c r="AS334" s="64">
        <f>IF(+NFL!$F128="LA Rams",+NFL!#REF!,IF(+NFL!$H128="LA Rams",+NFL!#REF!,0))</f>
        <v>0</v>
      </c>
      <c r="AT334" s="64">
        <f>IF(+NFL!$F128="LA Rams",+NFL!#REF!,IF(+NFL!$H128="LA Rams",+NFL!#REF!,0))</f>
        <v>0</v>
      </c>
      <c r="AU334" s="57">
        <f>IF(+NFL!$F128="LA Rams",+NFL!#REF!,IF(+NFL!$H128="LA Rams",+NFL!#REF!,0))</f>
        <v>0</v>
      </c>
      <c r="AV334" s="64">
        <f>IF(+NFL!$F128="LA Rams",+NFL!#REF!,IF(+NFL!$H128="LA Rams",+NFL!#REF!,0))</f>
        <v>0</v>
      </c>
      <c r="AW334" s="46">
        <f>IF(+NFL!$F128="LA Rams",+NFL!#REF!,IF(+NFL!$H128="LA Rams",+NFL!#REF!,0))</f>
        <v>0</v>
      </c>
      <c r="AX334" s="64">
        <f>IF(+NFL!$F128="LA Rams",+NFL!#REF!,IF(+NFL!$H128="LA Rams",+NFL!#REF!,0))</f>
        <v>0</v>
      </c>
      <c r="AY334" s="57">
        <f>IF(+NFL!$F128="LA Rams",+NFL!#REF!,IF(+NFL!$H128="LA Rams",+NFL!#REF!,0))</f>
        <v>0</v>
      </c>
      <c r="AZ334" s="64">
        <f>IF(+NFL!$F128="LA Rams",+NFL!#REF!,IF(+NFL!$H128="LA Rams",+NFL!#REF!,0))</f>
        <v>0</v>
      </c>
      <c r="BA334" s="46">
        <f>IF(+NFL!$F128="LA Rams",+NFL!#REF!,IF(+NFL!$H128="LA Rams",+NFL!#REF!,0))</f>
        <v>0</v>
      </c>
      <c r="BB334" s="46">
        <f>IF(+NFL!$F128="LA Rams",+NFL!#REF!,IF(+NFL!$H128="LA Rams",+NFL!#REF!,0))</f>
        <v>0</v>
      </c>
      <c r="BC334" s="403">
        <f>IF(+NFL!$F128="LA Rams",+NFL!#REF!,IF(+NFL!$H128="LA Rams",+NFL!#REF!,0))</f>
        <v>0</v>
      </c>
      <c r="BD334" s="57">
        <f>IF(+NFL!$F128="LA Rams",+NFL!#REF!,IF(+NFL!$H128="LA Rams",+NFL!#REF!,0))</f>
        <v>0</v>
      </c>
      <c r="BE334" s="64">
        <f>IF(+NFL!$F128="LA Rams",+NFL!#REF!,IF(+NFL!$H128="LA Rams",+NFL!#REF!,0))</f>
        <v>0</v>
      </c>
      <c r="BF334" s="46">
        <f>IF(+NFL!$F128="LA Rams",+NFL!#REF!,IF(+NFL!$H128="LA Rams",+NFL!#REF!,0))</f>
        <v>0</v>
      </c>
      <c r="BG334" s="57">
        <f>IF(+NFL!$F128="LA Rams",+NFL!#REF!,IF(+NFL!$H128="LA Rams",+NFL!#REF!,0))</f>
        <v>0</v>
      </c>
      <c r="BH334" s="64">
        <f>IF(+NFL!$F128="LA Rams",+NFL!#REF!,IF(+NFL!$H128="LA Rams",+NFL!#REF!,0))</f>
        <v>0</v>
      </c>
      <c r="BI334" s="46">
        <f>IF(+NFL!$F128="LA Rams",+NFL!#REF!,IF(+NFL!$H128="LA Rams",+NFL!#REF!,0))</f>
        <v>0</v>
      </c>
      <c r="BJ334" s="87">
        <f>IF(+NFL!$F128="LA Rams",+NFL!#REF!,IF(+NFL!$H128="LA Rams",+NFL!#REF!,0))</f>
        <v>0</v>
      </c>
      <c r="BK334" s="120">
        <f>IF(+NFL!$F128="LA Rams",+NFL!#REF!,IF(+NFL!$H128="LA Rams",+NFL!#REF!,0))</f>
        <v>0</v>
      </c>
    </row>
    <row r="335" spans="1:63" s="246" customFormat="1" x14ac:dyDescent="0.8">
      <c r="A335" s="46">
        <f>IF(+NFL!$F194="LA Rams",+NFL!A194,IF(+NFL!$H194="LA Rams",+NFL!A194,0))</f>
        <v>11</v>
      </c>
      <c r="B335" s="348" t="str">
        <f>IF(+NFL!$F194="LA Rams",+NFL!B194,IF(+NFL!$H194="LA Rams",+NFL!B194,0))</f>
        <v>Sun</v>
      </c>
      <c r="C335" s="48">
        <f>IF(+NFL!$F194="LA Rams",+NFL!C194,IF(+NFL!$H194="LA Rams",+NFL!C194,0))</f>
        <v>44885</v>
      </c>
      <c r="D335" s="490">
        <f>IF(+NFL!$F194="LA Rams",+NFL!D194,IF(+NFL!$H194="LA Rams",+NFL!D194,0))</f>
        <v>0.54166666666666663</v>
      </c>
      <c r="E335" s="46" t="str">
        <f>IF(+NFL!$F194="LA Rams",+NFL!E194,IF(+NFL!$H194="LA Rams",+NFL!E194,0))</f>
        <v>Fox</v>
      </c>
      <c r="F335" s="114" t="str">
        <f>IF(+NFL!$F194="LA Rams",+NFL!F194,IF(+NFL!$H194="LA Rams",+NFL!F194,0))</f>
        <v>LA Rams</v>
      </c>
      <c r="G335" s="46" t="str">
        <f>IF(+NFL!$F194="LA Rams",+NFL!G194,IF(+NFL!$H194="LA Rams",+NFL!G194,0))</f>
        <v>NFCW</v>
      </c>
      <c r="H335" s="114" t="str">
        <f>IF(+NFL!$F194="LA Rams",+NFL!H194,IF(+NFL!$H194="LA Rams",+NFL!H194,0))</f>
        <v>New Orleans</v>
      </c>
      <c r="I335" s="46" t="str">
        <f>IF(+NFL!$F194="LA Rams",+NFL!I194,IF(+NFL!$H194="LA Rams",+NFL!I194,0))</f>
        <v>NFCS</v>
      </c>
      <c r="J335" s="353" t="str">
        <f>IF(+NFL!$F194="LA Rams",+NFL!J194,IF(+NFL!$H194="LA Rams",+NFL!J194,0))</f>
        <v>New Orleans</v>
      </c>
      <c r="K335" s="494" t="str">
        <f>IF(+NFL!$F194="LA Rams",+NFL!K194,IF(+NFL!$H194="LA Rams",+NFL!K194,0))</f>
        <v>LA Rams</v>
      </c>
      <c r="L335" s="384">
        <f>IF(+NFL!$F194="LA Rams",+NFL!L194,IF(+NFL!$H194="LA Rams",+NFL!L194,0))</f>
        <v>4</v>
      </c>
      <c r="M335" s="385">
        <f>IF(+NFL!$F194="LA Rams",+NFL!M194,IF(+NFL!$H194="LA Rams",+NFL!M194,0))</f>
        <v>38.5</v>
      </c>
      <c r="N335" s="394" t="str">
        <f>IF(+NFL!$F194="LA Rams",+NFL!N194,IF(+NFL!$H194="LA Rams",+NFL!N194,0))</f>
        <v>New Orleans</v>
      </c>
      <c r="O335" s="395">
        <f>IF(+NFL!$F194="LA Rams",+NFL!O194,IF(+NFL!$H194="LA Rams",+NFL!O194,0))</f>
        <v>27</v>
      </c>
      <c r="P335" s="394" t="str">
        <f>IF(+NFL!$F194="LA Rams",+NFL!P194,IF(+NFL!$H194="LA Rams",+NFL!P194,0))</f>
        <v>LA Rams</v>
      </c>
      <c r="Q335" s="396">
        <f>IF(+NFL!$F194="LA Rams",+NFL!Q194,IF(+NFL!$H194="LA Rams",+NFL!Q194,0))</f>
        <v>20</v>
      </c>
      <c r="R335" s="397" t="str">
        <f>IF(+NFL!$F194="LA Rams",+NFL!R194,IF(+NFL!$H194="LA Rams",+NFL!R194,0))</f>
        <v>New Orleans</v>
      </c>
      <c r="S335" s="396" t="str">
        <f>IF(+NFL!$F194="LA Rams",+NFL!S194,IF(+NFL!$H194="LA Rams",+NFL!S194,0))</f>
        <v>LA Rams</v>
      </c>
      <c r="T335" s="398" t="str">
        <f>IF(+NFL!$F194="LA Rams",+NFL!T194,IF(+NFL!$H194="LA Rams",+NFL!T194,0))</f>
        <v>LA Rams</v>
      </c>
      <c r="U335" s="396" t="str">
        <f>IF(+NFL!$F194="LA Rams",+NFL!U194,IF(+NFL!$H194="LA Rams",+NFL!U194,0))</f>
        <v>L</v>
      </c>
      <c r="V335" s="397">
        <f>IF(+NFL!$F156="LA Rams",+NFL!#REF!,IF(+NFL!$H156="LA Rams",+NFL!#REF!,0))</f>
        <v>0</v>
      </c>
      <c r="W335" s="396">
        <f>IF(+NFL!$F156="LA Rams",+NFL!#REF!,IF(+NFL!$H156="LA Rams",+NFL!#REF!,0))</f>
        <v>0</v>
      </c>
      <c r="X335" s="398">
        <f>IF(+NFL!$F156="LA Rams",+NFL!#REF!,IF(+NFL!$H156="LA Rams",+NFL!#REF!,0))</f>
        <v>0</v>
      </c>
      <c r="Y335" s="396">
        <f>IF(+NFL!$F156="LA Rams",+NFL!#REF!,IF(+NFL!$H156="LA Rams",+NFL!#REF!,0))</f>
        <v>0</v>
      </c>
      <c r="Z335" s="397">
        <f>IF(+NFL!$F156="LA Rams",+NFL!#REF!,IF(+NFL!$H156="LA Rams",+NFL!#REF!,0))</f>
        <v>0</v>
      </c>
      <c r="AA335" s="396">
        <f>IF(+NFL!$F156="LA Rams",+NFL!#REF!,IF(+NFL!$H156="LA Rams",+NFL!#REF!,0))</f>
        <v>0</v>
      </c>
      <c r="AB335" s="87">
        <f>IF(+NFL!$F156="LA Rams",+NFL!#REF!,IF(+NFL!$H156="LA Rams",+NFL!#REF!,0))</f>
        <v>0</v>
      </c>
      <c r="AC335" s="120">
        <f>IF(+NFL!$F156="LA Rams",+NFL!#REF!,IF(+NFL!$H156="LA Rams",+NFL!#REF!,0))</f>
        <v>0</v>
      </c>
      <c r="AD335" s="353">
        <f>IF(+NFL!$F156="LA Rams",+NFL!#REF!,IF(+NFL!$H156="LA Rams",+NFL!#REF!,0))</f>
        <v>0</v>
      </c>
      <c r="AE335" s="379">
        <f>IF(+NFL!$F156="LA Rams",+NFL!#REF!,IF(+NFL!$H156="LA Rams",+NFL!#REF!,0))</f>
        <v>0</v>
      </c>
      <c r="AF335" s="353">
        <f>IF(+NFL!$F156="LA Rams",+NFL!#REF!,IF(+NFL!$H156="LA Rams",+NFL!#REF!,0))</f>
        <v>0</v>
      </c>
      <c r="AG335" s="379">
        <f>IF(+NFL!$F156="LA Rams",+NFL!#REF!,IF(+NFL!$H156="LA Rams",+NFL!#REF!,0))</f>
        <v>0</v>
      </c>
      <c r="AH335" s="353">
        <f>IF(+NFL!$F156="LA Rams",+NFL!#REF!,IF(+NFL!$H156="LA Rams",+NFL!#REF!,0))</f>
        <v>0</v>
      </c>
      <c r="AI335" s="379">
        <f>IF(+NFL!$F156="LA Rams",+NFL!#REF!,IF(+NFL!$H156="LA Rams",+NFL!#REF!,0))</f>
        <v>0</v>
      </c>
      <c r="AJ335" s="353">
        <f>IF(+NFL!$F156="LA Rams",+NFL!#REF!,IF(+NFL!$H156="LA Rams",+NFL!#REF!,0))</f>
        <v>0</v>
      </c>
      <c r="AK335" s="379">
        <f>IF(+NFL!$F156="LA Rams",+NFL!#REF!,IF(+NFL!$H156="LA Rams",+NFL!#REF!,0))</f>
        <v>0</v>
      </c>
      <c r="AL335" s="68">
        <f>IF(+NFL!$F156="LA Rams",+NFL!#REF!,IF(+NFL!$H156="LA Rams",+NFL!#REF!,0))</f>
        <v>0</v>
      </c>
      <c r="AM335" s="58">
        <f>IF(+NFL!$F156="LA Rams",+NFL!#REF!,IF(+NFL!$H156="LA Rams",+NFL!#REF!,0))</f>
        <v>0</v>
      </c>
      <c r="AN335" s="57">
        <f>IF(+NFL!$F156="LA Rams",+NFL!#REF!,IF(+NFL!$H156="LA Rams",+NFL!#REF!,0))</f>
        <v>0</v>
      </c>
      <c r="AO335" s="59">
        <f>IF(+NFL!$F156="LA Rams",+NFL!#REF!,IF(+NFL!$H156="LA Rams",+NFL!#REF!,0))</f>
        <v>0</v>
      </c>
      <c r="AP335" s="348">
        <f>IF(+NFL!$F156="LA Rams",+NFL!#REF!,IF(+NFL!$H156="LA Rams",+NFL!#REF!,0))</f>
        <v>0</v>
      </c>
      <c r="AQ335" s="48">
        <f>IF(+NFL!$F156="LA Rams",+NFL!#REF!,IF(+NFL!$H156="LA Rams",+NFL!#REF!,0))</f>
        <v>0</v>
      </c>
      <c r="AR335" s="57">
        <f>IF(+NFL!$F156="LA Rams",+NFL!#REF!,IF(+NFL!$H156="LA Rams",+NFL!#REF!,0))</f>
        <v>0</v>
      </c>
      <c r="AS335" s="64">
        <f>IF(+NFL!$F156="LA Rams",+NFL!#REF!,IF(+NFL!$H156="LA Rams",+NFL!#REF!,0))</f>
        <v>0</v>
      </c>
      <c r="AT335" s="64">
        <f>IF(+NFL!$F156="LA Rams",+NFL!#REF!,IF(+NFL!$H156="LA Rams",+NFL!#REF!,0))</f>
        <v>0</v>
      </c>
      <c r="AU335" s="57">
        <f>IF(+NFL!$F156="LA Rams",+NFL!#REF!,IF(+NFL!$H156="LA Rams",+NFL!#REF!,0))</f>
        <v>0</v>
      </c>
      <c r="AV335" s="64">
        <f>IF(+NFL!$F156="LA Rams",+NFL!#REF!,IF(+NFL!$H156="LA Rams",+NFL!#REF!,0))</f>
        <v>0</v>
      </c>
      <c r="AW335" s="46">
        <f>IF(+NFL!$F156="LA Rams",+NFL!#REF!,IF(+NFL!$H156="LA Rams",+NFL!#REF!,0))</f>
        <v>0</v>
      </c>
      <c r="AX335" s="64">
        <f>IF(+NFL!$F156="LA Rams",+NFL!#REF!,IF(+NFL!$H156="LA Rams",+NFL!#REF!,0))</f>
        <v>0</v>
      </c>
      <c r="AY335" s="57">
        <f>IF(+NFL!$F156="LA Rams",+NFL!#REF!,IF(+NFL!$H156="LA Rams",+NFL!#REF!,0))</f>
        <v>0</v>
      </c>
      <c r="AZ335" s="64">
        <f>IF(+NFL!$F156="LA Rams",+NFL!#REF!,IF(+NFL!$H156="LA Rams",+NFL!#REF!,0))</f>
        <v>0</v>
      </c>
      <c r="BA335" s="46">
        <f>IF(+NFL!$F156="LA Rams",+NFL!#REF!,IF(+NFL!$H156="LA Rams",+NFL!#REF!,0))</f>
        <v>0</v>
      </c>
      <c r="BB335" s="46">
        <f>IF(+NFL!$F156="LA Rams",+NFL!#REF!,IF(+NFL!$H156="LA Rams",+NFL!#REF!,0))</f>
        <v>0</v>
      </c>
      <c r="BC335" s="403">
        <f>IF(+NFL!$F156="LA Rams",+NFL!#REF!,IF(+NFL!$H156="LA Rams",+NFL!#REF!,0))</f>
        <v>0</v>
      </c>
      <c r="BD335" s="57">
        <f>IF(+NFL!$F156="LA Rams",+NFL!#REF!,IF(+NFL!$H156="LA Rams",+NFL!#REF!,0))</f>
        <v>0</v>
      </c>
      <c r="BE335" s="64">
        <f>IF(+NFL!$F156="LA Rams",+NFL!#REF!,IF(+NFL!$H156="LA Rams",+NFL!#REF!,0))</f>
        <v>0</v>
      </c>
      <c r="BF335" s="46">
        <f>IF(+NFL!$F156="LA Rams",+NFL!#REF!,IF(+NFL!$H156="LA Rams",+NFL!#REF!,0))</f>
        <v>0</v>
      </c>
      <c r="BG335" s="57">
        <f>IF(+NFL!$F156="LA Rams",+NFL!#REF!,IF(+NFL!$H156="LA Rams",+NFL!#REF!,0))</f>
        <v>0</v>
      </c>
      <c r="BH335" s="64">
        <f>IF(+NFL!$F156="LA Rams",+NFL!#REF!,IF(+NFL!$H156="LA Rams",+NFL!#REF!,0))</f>
        <v>0</v>
      </c>
      <c r="BI335" s="46">
        <f>IF(+NFL!$F156="LA Rams",+NFL!#REF!,IF(+NFL!$H156="LA Rams",+NFL!#REF!,0))</f>
        <v>0</v>
      </c>
      <c r="BJ335" s="87">
        <f>IF(+NFL!$F156="LA Rams",+NFL!#REF!,IF(+NFL!$H156="LA Rams",+NFL!#REF!,0))</f>
        <v>0</v>
      </c>
      <c r="BK335" s="120">
        <f>IF(+NFL!$F156="LA Rams",+NFL!#REF!,IF(+NFL!$H156="LA Rams",+NFL!#REF!,0))</f>
        <v>0</v>
      </c>
    </row>
    <row r="336" spans="1:63" s="246" customFormat="1" x14ac:dyDescent="0.8">
      <c r="A336" s="46">
        <f>IF(+NFL!$F219="LA Rams",+NFL!A219,IF(+NFL!$H219="LA Rams",+NFL!A219,0))</f>
        <v>12</v>
      </c>
      <c r="B336" s="348" t="str">
        <f>IF(+NFL!$F219="LA Rams",+NFL!B219,IF(+NFL!$H219="LA Rams",+NFL!B219,0))</f>
        <v>Sun</v>
      </c>
      <c r="C336" s="48">
        <f>IF(+NFL!$F219="LA Rams",+NFL!C219,IF(+NFL!$H219="LA Rams",+NFL!C219,0))</f>
        <v>44892</v>
      </c>
      <c r="D336" s="490">
        <f>IF(+NFL!$F219="LA Rams",+NFL!D219,IF(+NFL!$H219="LA Rams",+NFL!D219,0))</f>
        <v>0.66666666666666663</v>
      </c>
      <c r="E336" s="46" t="str">
        <f>IF(+NFL!$F219="LA Rams",+NFL!E219,IF(+NFL!$H219="LA Rams",+NFL!E219,0))</f>
        <v>Fox</v>
      </c>
      <c r="F336" s="114" t="str">
        <f>IF(+NFL!$F219="LA Rams",+NFL!F219,IF(+NFL!$H219="LA Rams",+NFL!F219,0))</f>
        <v>LA Rams</v>
      </c>
      <c r="G336" s="46" t="str">
        <f>IF(+NFL!$F219="LA Rams",+NFL!G219,IF(+NFL!$H219="LA Rams",+NFL!G219,0))</f>
        <v>NFCW</v>
      </c>
      <c r="H336" s="114" t="str">
        <f>IF(+NFL!$F219="LA Rams",+NFL!H219,IF(+NFL!$H219="LA Rams",+NFL!H219,0))</f>
        <v>Kansas City</v>
      </c>
      <c r="I336" s="46" t="str">
        <f>IF(+NFL!$F219="LA Rams",+NFL!I219,IF(+NFL!$H219="LA Rams",+NFL!I219,0))</f>
        <v>NFCW</v>
      </c>
      <c r="J336" s="353" t="str">
        <f>IF(+NFL!$F219="LA Rams",+NFL!J219,IF(+NFL!$H219="LA Rams",+NFL!J219,0))</f>
        <v>Kansas City</v>
      </c>
      <c r="K336" s="494" t="str">
        <f>IF(+NFL!$F219="LA Rams",+NFL!K219,IF(+NFL!$H219="LA Rams",+NFL!K219,0))</f>
        <v>LA Rams</v>
      </c>
      <c r="L336" s="384">
        <f>IF(+NFL!$F219="LA Rams",+NFL!L219,IF(+NFL!$H219="LA Rams",+NFL!L219,0))</f>
        <v>14.5</v>
      </c>
      <c r="M336" s="385">
        <f>IF(+NFL!$F219="LA Rams",+NFL!M219,IF(+NFL!$H219="LA Rams",+NFL!M219,0))</f>
        <v>44</v>
      </c>
      <c r="N336" s="394" t="str">
        <f>IF(+NFL!$F219="LA Rams",+NFL!N219,IF(+NFL!$H219="LA Rams",+NFL!N219,0))</f>
        <v>Kansas City</v>
      </c>
      <c r="O336" s="395">
        <f>IF(+NFL!$F219="LA Rams",+NFL!O219,IF(+NFL!$H219="LA Rams",+NFL!O219,0))</f>
        <v>26</v>
      </c>
      <c r="P336" s="394" t="str">
        <f>IF(+NFL!$F219="LA Rams",+NFL!P219,IF(+NFL!$H219="LA Rams",+NFL!P219,0))</f>
        <v>LA Rams</v>
      </c>
      <c r="Q336" s="396">
        <f>IF(+NFL!$F219="LA Rams",+NFL!Q219,IF(+NFL!$H219="LA Rams",+NFL!Q219,0))</f>
        <v>10</v>
      </c>
      <c r="R336" s="397" t="str">
        <f>IF(+NFL!$F219="LA Rams",+NFL!R219,IF(+NFL!$H219="LA Rams",+NFL!R219,0))</f>
        <v>Kansas City</v>
      </c>
      <c r="S336" s="396" t="str">
        <f>IF(+NFL!$F219="LA Rams",+NFL!S219,IF(+NFL!$H219="LA Rams",+NFL!S219,0))</f>
        <v>LA Rams</v>
      </c>
      <c r="T336" s="398" t="str">
        <f>IF(+NFL!$F219="LA Rams",+NFL!T219,IF(+NFL!$H219="LA Rams",+NFL!T219,0))</f>
        <v>Kansas City</v>
      </c>
      <c r="U336" s="396" t="str">
        <f>IF(+NFL!$F219="LA Rams",+NFL!U219,IF(+NFL!$H219="LA Rams",+NFL!U219,0))</f>
        <v>W</v>
      </c>
      <c r="V336" s="397">
        <f>IF(+NFL!$F191="LA Rams",+NFL!#REF!,IF(+NFL!$H191="LA Rams",+NFL!#REF!,0))</f>
        <v>0</v>
      </c>
      <c r="W336" s="396">
        <f>IF(+NFL!$F191="LA Rams",+NFL!#REF!,IF(+NFL!$H191="LA Rams",+NFL!#REF!,0))</f>
        <v>0</v>
      </c>
      <c r="X336" s="398">
        <f>IF(+NFL!$F191="LA Rams",+NFL!#REF!,IF(+NFL!$H191="LA Rams",+NFL!#REF!,0))</f>
        <v>0</v>
      </c>
      <c r="Y336" s="396">
        <f>IF(+NFL!$F191="LA Rams",+NFL!#REF!,IF(+NFL!$H191="LA Rams",+NFL!#REF!,0))</f>
        <v>0</v>
      </c>
      <c r="Z336" s="397">
        <f>IF(+NFL!$F191="LA Rams",+NFL!#REF!,IF(+NFL!$H191="LA Rams",+NFL!#REF!,0))</f>
        <v>0</v>
      </c>
      <c r="AA336" s="396">
        <f>IF(+NFL!$F191="LA Rams",+NFL!#REF!,IF(+NFL!$H191="LA Rams",+NFL!#REF!,0))</f>
        <v>0</v>
      </c>
      <c r="AB336" s="87">
        <f>IF(+NFL!$F191="LA Rams",+NFL!#REF!,IF(+NFL!$H191="LA Rams",+NFL!#REF!,0))</f>
        <v>0</v>
      </c>
      <c r="AC336" s="120">
        <f>IF(+NFL!$F191="LA Rams",+NFL!#REF!,IF(+NFL!$H191="LA Rams",+NFL!#REF!,0))</f>
        <v>0</v>
      </c>
      <c r="AD336" s="353">
        <f>IF(+NFL!$F191="LA Rams",+NFL!#REF!,IF(+NFL!$H191="LA Rams",+NFL!#REF!,0))</f>
        <v>0</v>
      </c>
      <c r="AE336" s="379">
        <f>IF(+NFL!$F191="LA Rams",+NFL!#REF!,IF(+NFL!$H191="LA Rams",+NFL!#REF!,0))</f>
        <v>0</v>
      </c>
      <c r="AF336" s="353">
        <f>IF(+NFL!$F191="LA Rams",+NFL!#REF!,IF(+NFL!$H191="LA Rams",+NFL!#REF!,0))</f>
        <v>0</v>
      </c>
      <c r="AG336" s="379">
        <f>IF(+NFL!$F191="LA Rams",+NFL!#REF!,IF(+NFL!$H191="LA Rams",+NFL!#REF!,0))</f>
        <v>0</v>
      </c>
      <c r="AH336" s="353">
        <f>IF(+NFL!$F191="LA Rams",+NFL!#REF!,IF(+NFL!$H191="LA Rams",+NFL!#REF!,0))</f>
        <v>0</v>
      </c>
      <c r="AI336" s="379">
        <f>IF(+NFL!$F191="LA Rams",+NFL!#REF!,IF(+NFL!$H191="LA Rams",+NFL!#REF!,0))</f>
        <v>0</v>
      </c>
      <c r="AJ336" s="353">
        <f>IF(+NFL!$F191="LA Rams",+NFL!#REF!,IF(+NFL!$H191="LA Rams",+NFL!#REF!,0))</f>
        <v>0</v>
      </c>
      <c r="AK336" s="379">
        <f>IF(+NFL!$F191="LA Rams",+NFL!#REF!,IF(+NFL!$H191="LA Rams",+NFL!#REF!,0))</f>
        <v>0</v>
      </c>
      <c r="AL336" s="68">
        <f>IF(+NFL!$F191="LA Rams",+NFL!#REF!,IF(+NFL!$H191="LA Rams",+NFL!#REF!,0))</f>
        <v>0</v>
      </c>
      <c r="AM336" s="58">
        <f>IF(+NFL!$F191="LA Rams",+NFL!#REF!,IF(+NFL!$H191="LA Rams",+NFL!#REF!,0))</f>
        <v>0</v>
      </c>
      <c r="AN336" s="57">
        <f>IF(+NFL!$F191="LA Rams",+NFL!#REF!,IF(+NFL!$H191="LA Rams",+NFL!#REF!,0))</f>
        <v>0</v>
      </c>
      <c r="AO336" s="59">
        <f>IF(+NFL!$F191="LA Rams",+NFL!#REF!,IF(+NFL!$H191="LA Rams",+NFL!#REF!,0))</f>
        <v>0</v>
      </c>
      <c r="AP336" s="348">
        <f>IF(+NFL!$F191="LA Rams",+NFL!#REF!,IF(+NFL!$H191="LA Rams",+NFL!#REF!,0))</f>
        <v>0</v>
      </c>
      <c r="AQ336" s="48">
        <f>IF(+NFL!$F191="LA Rams",+NFL!#REF!,IF(+NFL!$H191="LA Rams",+NFL!#REF!,0))</f>
        <v>0</v>
      </c>
      <c r="AR336" s="57">
        <f>IF(+NFL!$F191="LA Rams",+NFL!#REF!,IF(+NFL!$H191="LA Rams",+NFL!#REF!,0))</f>
        <v>0</v>
      </c>
      <c r="AS336" s="64">
        <f>IF(+NFL!$F191="LA Rams",+NFL!#REF!,IF(+NFL!$H191="LA Rams",+NFL!#REF!,0))</f>
        <v>0</v>
      </c>
      <c r="AT336" s="64">
        <f>IF(+NFL!$F191="LA Rams",+NFL!#REF!,IF(+NFL!$H191="LA Rams",+NFL!#REF!,0))</f>
        <v>0</v>
      </c>
      <c r="AU336" s="57">
        <f>IF(+NFL!$F191="LA Rams",+NFL!#REF!,IF(+NFL!$H191="LA Rams",+NFL!#REF!,0))</f>
        <v>0</v>
      </c>
      <c r="AV336" s="64">
        <f>IF(+NFL!$F191="LA Rams",+NFL!#REF!,IF(+NFL!$H191="LA Rams",+NFL!#REF!,0))</f>
        <v>0</v>
      </c>
      <c r="AW336" s="46">
        <f>IF(+NFL!$F191="LA Rams",+NFL!#REF!,IF(+NFL!$H191="LA Rams",+NFL!#REF!,0))</f>
        <v>0</v>
      </c>
      <c r="AX336" s="64">
        <f>IF(+NFL!$F191="LA Rams",+NFL!#REF!,IF(+NFL!$H191="LA Rams",+NFL!#REF!,0))</f>
        <v>0</v>
      </c>
      <c r="AY336" s="57">
        <f>IF(+NFL!$F191="LA Rams",+NFL!#REF!,IF(+NFL!$H191="LA Rams",+NFL!#REF!,0))</f>
        <v>0</v>
      </c>
      <c r="AZ336" s="64">
        <f>IF(+NFL!$F191="LA Rams",+NFL!#REF!,IF(+NFL!$H191="LA Rams",+NFL!#REF!,0))</f>
        <v>0</v>
      </c>
      <c r="BA336" s="46">
        <f>IF(+NFL!$F191="LA Rams",+NFL!#REF!,IF(+NFL!$H191="LA Rams",+NFL!#REF!,0))</f>
        <v>0</v>
      </c>
      <c r="BB336" s="46">
        <f>IF(+NFL!$F191="LA Rams",+NFL!#REF!,IF(+NFL!$H191="LA Rams",+NFL!#REF!,0))</f>
        <v>0</v>
      </c>
      <c r="BC336" s="403">
        <f>IF(+NFL!$F191="LA Rams",+NFL!#REF!,IF(+NFL!$H191="LA Rams",+NFL!#REF!,0))</f>
        <v>0</v>
      </c>
      <c r="BD336" s="57">
        <f>IF(+NFL!$F191="LA Rams",+NFL!#REF!,IF(+NFL!$H191="LA Rams",+NFL!#REF!,0))</f>
        <v>0</v>
      </c>
      <c r="BE336" s="64">
        <f>IF(+NFL!$F191="LA Rams",+NFL!#REF!,IF(+NFL!$H191="LA Rams",+NFL!#REF!,0))</f>
        <v>0</v>
      </c>
      <c r="BF336" s="46">
        <f>IF(+NFL!$F191="LA Rams",+NFL!#REF!,IF(+NFL!$H191="LA Rams",+NFL!#REF!,0))</f>
        <v>0</v>
      </c>
      <c r="BG336" s="57">
        <f>IF(+NFL!$F191="LA Rams",+NFL!#REF!,IF(+NFL!$H191="LA Rams",+NFL!#REF!,0))</f>
        <v>0</v>
      </c>
      <c r="BH336" s="64">
        <f>IF(+NFL!$F191="LA Rams",+NFL!#REF!,IF(+NFL!$H191="LA Rams",+NFL!#REF!,0))</f>
        <v>0</v>
      </c>
      <c r="BI336" s="46">
        <f>IF(+NFL!$F191="LA Rams",+NFL!#REF!,IF(+NFL!$H191="LA Rams",+NFL!#REF!,0))</f>
        <v>0</v>
      </c>
      <c r="BJ336" s="87">
        <f>IF(+NFL!$F191="LA Rams",+NFL!#REF!,IF(+NFL!$H191="LA Rams",+NFL!#REF!,0))</f>
        <v>0</v>
      </c>
      <c r="BK336" s="120">
        <f>IF(+NFL!$F191="LA Rams",+NFL!#REF!,IF(+NFL!$H191="LA Rams",+NFL!#REF!,0))</f>
        <v>0</v>
      </c>
    </row>
    <row r="337" spans="1:63" s="246" customFormat="1" x14ac:dyDescent="0.8">
      <c r="A337" s="46">
        <f>IF(+NFL!$F235="LA Rams",+NFL!A235,IF(+NFL!$H235="LA Rams",+NFL!A235,0))</f>
        <v>13</v>
      </c>
      <c r="B337" s="348" t="str">
        <f>IF(+NFL!$F235="LA Rams",+NFL!B235,IF(+NFL!$H235="LA Rams",+NFL!B235,0))</f>
        <v>Sun</v>
      </c>
      <c r="C337" s="48">
        <f>IF(+NFL!$F235="LA Rams",+NFL!C235,IF(+NFL!$H235="LA Rams",+NFL!C235,0))</f>
        <v>44899</v>
      </c>
      <c r="D337" s="490">
        <f>IF(+NFL!$F235="LA Rams",+NFL!D235,IF(+NFL!$H235="LA Rams",+NFL!D235,0))</f>
        <v>0.66666666666666663</v>
      </c>
      <c r="E337" s="46" t="str">
        <f>IF(+NFL!$F235="LA Rams",+NFL!E235,IF(+NFL!$H235="LA Rams",+NFL!E235,0))</f>
        <v>Fox</v>
      </c>
      <c r="F337" s="114" t="str">
        <f>IF(+NFL!$F235="LA Rams",+NFL!F235,IF(+NFL!$H235="LA Rams",+NFL!F235,0))</f>
        <v>Seattle</v>
      </c>
      <c r="G337" s="46" t="str">
        <f>IF(+NFL!$F235="LA Rams",+NFL!G235,IF(+NFL!$H235="LA Rams",+NFL!G235,0))</f>
        <v>NFCW</v>
      </c>
      <c r="H337" s="114" t="str">
        <f>IF(+NFL!$F235="LA Rams",+NFL!H235,IF(+NFL!$H235="LA Rams",+NFL!H235,0))</f>
        <v>LA Rams</v>
      </c>
      <c r="I337" s="46" t="str">
        <f>IF(+NFL!$F235="LA Rams",+NFL!I235,IF(+NFL!$H235="LA Rams",+NFL!I235,0))</f>
        <v>NFCW</v>
      </c>
      <c r="J337" s="353" t="str">
        <f>IF(+NFL!$F235="LA Rams",+NFL!J235,IF(+NFL!$H235="LA Rams",+NFL!J235,0))</f>
        <v>Seattle</v>
      </c>
      <c r="K337" s="494" t="str">
        <f>IF(+NFL!$F235="LA Rams",+NFL!K235,IF(+NFL!$H235="LA Rams",+NFL!K235,0))</f>
        <v>LA Rams</v>
      </c>
      <c r="L337" s="384">
        <f>IF(+NFL!$F235="LA Rams",+NFL!L235,IF(+NFL!$H235="LA Rams",+NFL!L235,0))</f>
        <v>7.5</v>
      </c>
      <c r="M337" s="385">
        <f>IF(+NFL!$F235="LA Rams",+NFL!M235,IF(+NFL!$H235="LA Rams",+NFL!M235,0))</f>
        <v>41</v>
      </c>
      <c r="N337" s="394" t="str">
        <f>IF(+NFL!$F235="LA Rams",+NFL!N235,IF(+NFL!$H235="LA Rams",+NFL!N235,0))</f>
        <v>Seattle</v>
      </c>
      <c r="O337" s="395">
        <f>IF(+NFL!$F235="LA Rams",+NFL!O235,IF(+NFL!$H235="LA Rams",+NFL!O235,0))</f>
        <v>27</v>
      </c>
      <c r="P337" s="394" t="str">
        <f>IF(+NFL!$F235="LA Rams",+NFL!P235,IF(+NFL!$H235="LA Rams",+NFL!P235,0))</f>
        <v>LA Rams</v>
      </c>
      <c r="Q337" s="396">
        <f>IF(+NFL!$F235="LA Rams",+NFL!Q235,IF(+NFL!$H235="LA Rams",+NFL!Q235,0))</f>
        <v>23</v>
      </c>
      <c r="R337" s="397" t="str">
        <f>IF(+NFL!$F235="LA Rams",+NFL!R235,IF(+NFL!$H235="LA Rams",+NFL!R235,0))</f>
        <v>LA Rams</v>
      </c>
      <c r="S337" s="396" t="str">
        <f>IF(+NFL!$F235="LA Rams",+NFL!S235,IF(+NFL!$H235="LA Rams",+NFL!S235,0))</f>
        <v>Seattle</v>
      </c>
      <c r="T337" s="398" t="str">
        <f>IF(+NFL!$F235="LA Rams",+NFL!T235,IF(+NFL!$H235="LA Rams",+NFL!T235,0))</f>
        <v>Seattle</v>
      </c>
      <c r="U337" s="396" t="str">
        <f>IF(+NFL!$F235="LA Rams",+NFL!U235,IF(+NFL!$H235="LA Rams",+NFL!U235,0))</f>
        <v>L</v>
      </c>
      <c r="V337" s="397">
        <f>IF(+NFL!$F229="LA Rams",+NFL!#REF!,IF(+NFL!$H229="LA Rams",+NFL!#REF!,0))</f>
        <v>0</v>
      </c>
      <c r="W337" s="396">
        <f>IF(+NFL!$F229="LA Rams",+NFL!#REF!,IF(+NFL!$H229="LA Rams",+NFL!#REF!,0))</f>
        <v>0</v>
      </c>
      <c r="X337" s="398">
        <f>IF(+NFL!$F229="LA Rams",+NFL!#REF!,IF(+NFL!$H229="LA Rams",+NFL!#REF!,0))</f>
        <v>0</v>
      </c>
      <c r="Y337" s="396">
        <f>IF(+NFL!$F229="LA Rams",+NFL!#REF!,IF(+NFL!$H229="LA Rams",+NFL!#REF!,0))</f>
        <v>0</v>
      </c>
      <c r="Z337" s="397">
        <f>IF(+NFL!$F229="LA Rams",+NFL!#REF!,IF(+NFL!$H229="LA Rams",+NFL!#REF!,0))</f>
        <v>0</v>
      </c>
      <c r="AA337" s="396">
        <f>IF(+NFL!$F229="LA Rams",+NFL!#REF!,IF(+NFL!$H229="LA Rams",+NFL!#REF!,0))</f>
        <v>0</v>
      </c>
      <c r="AB337" s="87">
        <f>IF(+NFL!$F229="LA Rams",+NFL!#REF!,IF(+NFL!$H229="LA Rams",+NFL!#REF!,0))</f>
        <v>0</v>
      </c>
      <c r="AC337" s="120">
        <f>IF(+NFL!$F229="LA Rams",+NFL!#REF!,IF(+NFL!$H229="LA Rams",+NFL!#REF!,0))</f>
        <v>0</v>
      </c>
      <c r="AD337" s="353">
        <f>IF(+NFL!$F229="LA Rams",+NFL!#REF!,IF(+NFL!$H229="LA Rams",+NFL!#REF!,0))</f>
        <v>0</v>
      </c>
      <c r="AE337" s="379">
        <f>IF(+NFL!$F229="LA Rams",+NFL!#REF!,IF(+NFL!$H229="LA Rams",+NFL!#REF!,0))</f>
        <v>0</v>
      </c>
      <c r="AF337" s="353">
        <f>IF(+NFL!$F229="LA Rams",+NFL!#REF!,IF(+NFL!$H229="LA Rams",+NFL!#REF!,0))</f>
        <v>0</v>
      </c>
      <c r="AG337" s="379">
        <f>IF(+NFL!$F229="LA Rams",+NFL!#REF!,IF(+NFL!$H229="LA Rams",+NFL!#REF!,0))</f>
        <v>0</v>
      </c>
      <c r="AH337" s="353">
        <f>IF(+NFL!$F229="LA Rams",+NFL!#REF!,IF(+NFL!$H229="LA Rams",+NFL!#REF!,0))</f>
        <v>0</v>
      </c>
      <c r="AI337" s="379">
        <f>IF(+NFL!$F229="LA Rams",+NFL!#REF!,IF(+NFL!$H229="LA Rams",+NFL!#REF!,0))</f>
        <v>0</v>
      </c>
      <c r="AJ337" s="353">
        <f>IF(+NFL!$F229="LA Rams",+NFL!#REF!,IF(+NFL!$H229="LA Rams",+NFL!#REF!,0))</f>
        <v>0</v>
      </c>
      <c r="AK337" s="379">
        <f>IF(+NFL!$F229="LA Rams",+NFL!#REF!,IF(+NFL!$H229="LA Rams",+NFL!#REF!,0))</f>
        <v>0</v>
      </c>
      <c r="AL337" s="68">
        <f>IF(+NFL!$F229="LA Rams",+NFL!#REF!,IF(+NFL!$H229="LA Rams",+NFL!#REF!,0))</f>
        <v>0</v>
      </c>
      <c r="AM337" s="58">
        <f>IF(+NFL!$F229="LA Rams",+NFL!#REF!,IF(+NFL!$H229="LA Rams",+NFL!#REF!,0))</f>
        <v>0</v>
      </c>
      <c r="AN337" s="57">
        <f>IF(+NFL!$F229="LA Rams",+NFL!#REF!,IF(+NFL!$H229="LA Rams",+NFL!#REF!,0))</f>
        <v>0</v>
      </c>
      <c r="AO337" s="59">
        <f>IF(+NFL!$F229="LA Rams",+NFL!#REF!,IF(+NFL!$H229="LA Rams",+NFL!#REF!,0))</f>
        <v>0</v>
      </c>
      <c r="AP337" s="348">
        <f>IF(+NFL!$F229="LA Rams",+NFL!#REF!,IF(+NFL!$H229="LA Rams",+NFL!#REF!,0))</f>
        <v>0</v>
      </c>
      <c r="AQ337" s="48">
        <f>IF(+NFL!$F229="LA Rams",+NFL!#REF!,IF(+NFL!$H229="LA Rams",+NFL!#REF!,0))</f>
        <v>0</v>
      </c>
      <c r="AR337" s="57">
        <f>IF(+NFL!$F229="LA Rams",+NFL!#REF!,IF(+NFL!$H229="LA Rams",+NFL!#REF!,0))</f>
        <v>0</v>
      </c>
      <c r="AS337" s="64">
        <f>IF(+NFL!$F229="LA Rams",+NFL!#REF!,IF(+NFL!$H229="LA Rams",+NFL!#REF!,0))</f>
        <v>0</v>
      </c>
      <c r="AT337" s="64">
        <f>IF(+NFL!$F229="LA Rams",+NFL!#REF!,IF(+NFL!$H229="LA Rams",+NFL!#REF!,0))</f>
        <v>0</v>
      </c>
      <c r="AU337" s="57">
        <f>IF(+NFL!$F229="LA Rams",+NFL!#REF!,IF(+NFL!$H229="LA Rams",+NFL!#REF!,0))</f>
        <v>0</v>
      </c>
      <c r="AV337" s="64">
        <f>IF(+NFL!$F229="LA Rams",+NFL!#REF!,IF(+NFL!$H229="LA Rams",+NFL!#REF!,0))</f>
        <v>0</v>
      </c>
      <c r="AW337" s="46">
        <f>IF(+NFL!$F229="LA Rams",+NFL!#REF!,IF(+NFL!$H229="LA Rams",+NFL!#REF!,0))</f>
        <v>0</v>
      </c>
      <c r="AX337" s="64">
        <f>IF(+NFL!$F229="LA Rams",+NFL!#REF!,IF(+NFL!$H229="LA Rams",+NFL!#REF!,0))</f>
        <v>0</v>
      </c>
      <c r="AY337" s="57">
        <f>IF(+NFL!$F229="LA Rams",+NFL!#REF!,IF(+NFL!$H229="LA Rams",+NFL!#REF!,0))</f>
        <v>0</v>
      </c>
      <c r="AZ337" s="64">
        <f>IF(+NFL!$F229="LA Rams",+NFL!#REF!,IF(+NFL!$H229="LA Rams",+NFL!#REF!,0))</f>
        <v>0</v>
      </c>
      <c r="BA337" s="46">
        <f>IF(+NFL!$F229="LA Rams",+NFL!#REF!,IF(+NFL!$H229="LA Rams",+NFL!#REF!,0))</f>
        <v>0</v>
      </c>
      <c r="BB337" s="46">
        <f>IF(+NFL!$F229="LA Rams",+NFL!#REF!,IF(+NFL!$H229="LA Rams",+NFL!#REF!,0))</f>
        <v>0</v>
      </c>
      <c r="BC337" s="403">
        <f>IF(+NFL!$F229="LA Rams",+NFL!#REF!,IF(+NFL!$H229="LA Rams",+NFL!#REF!,0))</f>
        <v>0</v>
      </c>
      <c r="BD337" s="57">
        <f>IF(+NFL!$F229="LA Rams",+NFL!#REF!,IF(+NFL!$H229="LA Rams",+NFL!#REF!,0))</f>
        <v>0</v>
      </c>
      <c r="BE337" s="64">
        <f>IF(+NFL!$F229="LA Rams",+NFL!#REF!,IF(+NFL!$H229="LA Rams",+NFL!#REF!,0))</f>
        <v>0</v>
      </c>
      <c r="BF337" s="46">
        <f>IF(+NFL!$F229="LA Rams",+NFL!#REF!,IF(+NFL!$H229="LA Rams",+NFL!#REF!,0))</f>
        <v>0</v>
      </c>
      <c r="BG337" s="57">
        <f>IF(+NFL!$F229="LA Rams",+NFL!#REF!,IF(+NFL!$H229="LA Rams",+NFL!#REF!,0))</f>
        <v>0</v>
      </c>
      <c r="BH337" s="64">
        <f>IF(+NFL!$F229="LA Rams",+NFL!#REF!,IF(+NFL!$H229="LA Rams",+NFL!#REF!,0))</f>
        <v>0</v>
      </c>
      <c r="BI337" s="46">
        <f>IF(+NFL!$F229="LA Rams",+NFL!#REF!,IF(+NFL!$H229="LA Rams",+NFL!#REF!,0))</f>
        <v>0</v>
      </c>
      <c r="BJ337" s="87">
        <f>IF(+NFL!$F229="LA Rams",+NFL!#REF!,IF(+NFL!$H229="LA Rams",+NFL!#REF!,0))</f>
        <v>0</v>
      </c>
      <c r="BK337" s="120">
        <f>IF(+NFL!$F229="LA Rams",+NFL!#REF!,IF(+NFL!$H229="LA Rams",+NFL!#REF!,0))</f>
        <v>0</v>
      </c>
    </row>
    <row r="338" spans="1:63" s="246" customFormat="1" x14ac:dyDescent="0.8">
      <c r="A338" s="46">
        <f>IF(+NFL!$F245="LA Rams",+NFL!A245,IF(+NFL!$H245="LA Rams",+NFL!A245,0))</f>
        <v>14</v>
      </c>
      <c r="B338" s="348" t="str">
        <f>IF(+NFL!$F245="LA Rams",+NFL!B245,IF(+NFL!$H245="LA Rams",+NFL!B245,0))</f>
        <v>Thurs</v>
      </c>
      <c r="C338" s="48">
        <f>IF(+NFL!$F245="LA Rams",+NFL!C245,IF(+NFL!$H245="LA Rams",+NFL!C245,0))</f>
        <v>44903</v>
      </c>
      <c r="D338" s="490">
        <f>IF(+NFL!$F245="LA Rams",+NFL!D245,IF(+NFL!$H245="LA Rams",+NFL!D245,0))</f>
        <v>0.84375</v>
      </c>
      <c r="E338" s="46" t="str">
        <f>IF(+NFL!$F245="LA Rams",+NFL!E245,IF(+NFL!$H245="LA Rams",+NFL!E245,0))</f>
        <v>NBC</v>
      </c>
      <c r="F338" s="114" t="str">
        <f>IF(+NFL!$F245="LA Rams",+NFL!F245,IF(+NFL!$H245="LA Rams",+NFL!F245,0))</f>
        <v>Las Vegas</v>
      </c>
      <c r="G338" s="46" t="str">
        <f>IF(+NFL!$F245="LA Rams",+NFL!G245,IF(+NFL!$H245="LA Rams",+NFL!G245,0))</f>
        <v>AFCW</v>
      </c>
      <c r="H338" s="114" t="str">
        <f>IF(+NFL!$F245="LA Rams",+NFL!H245,IF(+NFL!$H245="LA Rams",+NFL!H245,0))</f>
        <v>LA Rams</v>
      </c>
      <c r="I338" s="46" t="str">
        <f>IF(+NFL!$F245="LA Rams",+NFL!I245,IF(+NFL!$H245="LA Rams",+NFL!I245,0))</f>
        <v>NFCW</v>
      </c>
      <c r="J338" s="353" t="str">
        <f>IF(+NFL!$F245="LA Rams",+NFL!J245,IF(+NFL!$H245="LA Rams",+NFL!J245,0))</f>
        <v>Las Vegas</v>
      </c>
      <c r="K338" s="494" t="str">
        <f>IF(+NFL!$F245="LA Rams",+NFL!K245,IF(+NFL!$H245="LA Rams",+NFL!K245,0))</f>
        <v>LA Rams</v>
      </c>
      <c r="L338" s="384">
        <f>IF(+NFL!$F245="LA Rams",+NFL!L245,IF(+NFL!$H245="LA Rams",+NFL!L245,0))</f>
        <v>13.5</v>
      </c>
      <c r="M338" s="385">
        <f>IF(+NFL!$F245="LA Rams",+NFL!M245,IF(+NFL!$H245="LA Rams",+NFL!M245,0))</f>
        <v>46.5</v>
      </c>
      <c r="N338" s="394" t="str">
        <f>IF(+NFL!$F245="LA Rams",+NFL!N245,IF(+NFL!$H245="LA Rams",+NFL!N245,0))</f>
        <v>LA Rams</v>
      </c>
      <c r="O338" s="395">
        <f>IF(+NFL!$F245="LA Rams",+NFL!O245,IF(+NFL!$H245="LA Rams",+NFL!O245,0))</f>
        <v>17</v>
      </c>
      <c r="P338" s="394" t="str">
        <f>IF(+NFL!$F245="LA Rams",+NFL!P245,IF(+NFL!$H245="LA Rams",+NFL!P245,0))</f>
        <v>Las Vegas</v>
      </c>
      <c r="Q338" s="396">
        <f>IF(+NFL!$F245="LA Rams",+NFL!Q245,IF(+NFL!$H245="LA Rams",+NFL!Q245,0))</f>
        <v>15</v>
      </c>
      <c r="R338" s="397" t="str">
        <f>IF(+NFL!$F245="LA Rams",+NFL!R245,IF(+NFL!$H245="LA Rams",+NFL!R245,0))</f>
        <v>LA Rams</v>
      </c>
      <c r="S338" s="396" t="str">
        <f>IF(+NFL!$F245="LA Rams",+NFL!S245,IF(+NFL!$H245="LA Rams",+NFL!S245,0))</f>
        <v>Las Vegas</v>
      </c>
      <c r="T338" s="398">
        <f>IF(+NFL!$F245="LA Rams",+NFL!T245,IF(+NFL!$H245="LA Rams",+NFL!T245,0))</f>
        <v>0</v>
      </c>
      <c r="U338" s="396" t="str">
        <f>IF(+NFL!$F245="LA Rams",+NFL!U245,IF(+NFL!$H245="LA Rams",+NFL!U245,0))</f>
        <v>L</v>
      </c>
      <c r="V338" s="397">
        <f>IF(+NFL!$F253="LA Rams",+NFL!#REF!,IF(+NFL!$H253="LA Rams",+NFL!#REF!,0))</f>
        <v>0</v>
      </c>
      <c r="W338" s="396">
        <f>IF(+NFL!$F253="LA Rams",+NFL!#REF!,IF(+NFL!$H253="LA Rams",+NFL!#REF!,0))</f>
        <v>0</v>
      </c>
      <c r="X338" s="398">
        <f>IF(+NFL!$F253="LA Rams",+NFL!#REF!,IF(+NFL!$H253="LA Rams",+NFL!#REF!,0))</f>
        <v>0</v>
      </c>
      <c r="Y338" s="396">
        <f>IF(+NFL!$F253="LA Rams",+NFL!#REF!,IF(+NFL!$H253="LA Rams",+NFL!#REF!,0))</f>
        <v>0</v>
      </c>
      <c r="Z338" s="397">
        <f>IF(+NFL!$F253="LA Rams",+NFL!#REF!,IF(+NFL!$H253="LA Rams",+NFL!#REF!,0))</f>
        <v>0</v>
      </c>
      <c r="AA338" s="396">
        <f>IF(+NFL!$F253="LA Rams",+NFL!#REF!,IF(+NFL!$H253="LA Rams",+NFL!#REF!,0))</f>
        <v>0</v>
      </c>
      <c r="AB338" s="87">
        <f>IF(+NFL!$F253="LA Rams",+NFL!#REF!,IF(+NFL!$H253="LA Rams",+NFL!#REF!,0))</f>
        <v>0</v>
      </c>
      <c r="AC338" s="120">
        <f>IF(+NFL!$F253="LA Rams",+NFL!#REF!,IF(+NFL!$H253="LA Rams",+NFL!#REF!,0))</f>
        <v>0</v>
      </c>
      <c r="AD338" s="353">
        <f>IF(+NFL!$F253="LA Rams",+NFL!#REF!,IF(+NFL!$H253="LA Rams",+NFL!#REF!,0))</f>
        <v>0</v>
      </c>
      <c r="AE338" s="379">
        <f>IF(+NFL!$F253="LA Rams",+NFL!#REF!,IF(+NFL!$H253="LA Rams",+NFL!#REF!,0))</f>
        <v>0</v>
      </c>
      <c r="AF338" s="353">
        <f>IF(+NFL!$F253="LA Rams",+NFL!#REF!,IF(+NFL!$H253="LA Rams",+NFL!#REF!,0))</f>
        <v>0</v>
      </c>
      <c r="AG338" s="379">
        <f>IF(+NFL!$F253="LA Rams",+NFL!#REF!,IF(+NFL!$H253="LA Rams",+NFL!#REF!,0))</f>
        <v>0</v>
      </c>
      <c r="AH338" s="353">
        <f>IF(+NFL!$F253="LA Rams",+NFL!#REF!,IF(+NFL!$H253="LA Rams",+NFL!#REF!,0))</f>
        <v>0</v>
      </c>
      <c r="AI338" s="379">
        <f>IF(+NFL!$F253="LA Rams",+NFL!#REF!,IF(+NFL!$H253="LA Rams",+NFL!#REF!,0))</f>
        <v>0</v>
      </c>
      <c r="AJ338" s="353">
        <f>IF(+NFL!$F253="LA Rams",+NFL!#REF!,IF(+NFL!$H253="LA Rams",+NFL!#REF!,0))</f>
        <v>0</v>
      </c>
      <c r="AK338" s="379">
        <f>IF(+NFL!$F253="LA Rams",+NFL!#REF!,IF(+NFL!$H253="LA Rams",+NFL!#REF!,0))</f>
        <v>0</v>
      </c>
      <c r="AL338" s="68">
        <f>IF(+NFL!$F253="LA Rams",+NFL!#REF!,IF(+NFL!$H253="LA Rams",+NFL!#REF!,0))</f>
        <v>0</v>
      </c>
      <c r="AM338" s="58">
        <f>IF(+NFL!$F253="LA Rams",+NFL!#REF!,IF(+NFL!$H253="LA Rams",+NFL!#REF!,0))</f>
        <v>0</v>
      </c>
      <c r="AN338" s="57">
        <f>IF(+NFL!$F253="LA Rams",+NFL!#REF!,IF(+NFL!$H253="LA Rams",+NFL!#REF!,0))</f>
        <v>0</v>
      </c>
      <c r="AO338" s="59">
        <f>IF(+NFL!$F253="LA Rams",+NFL!#REF!,IF(+NFL!$H253="LA Rams",+NFL!#REF!,0))</f>
        <v>0</v>
      </c>
      <c r="AP338" s="348">
        <f>IF(+NFL!$F253="LA Rams",+NFL!#REF!,IF(+NFL!$H253="LA Rams",+NFL!#REF!,0))</f>
        <v>0</v>
      </c>
      <c r="AQ338" s="48">
        <f>IF(+NFL!$F253="LA Rams",+NFL!#REF!,IF(+NFL!$H253="LA Rams",+NFL!#REF!,0))</f>
        <v>0</v>
      </c>
      <c r="AR338" s="57">
        <f>IF(+NFL!$F253="LA Rams",+NFL!#REF!,IF(+NFL!$H253="LA Rams",+NFL!#REF!,0))</f>
        <v>0</v>
      </c>
      <c r="AS338" s="64">
        <f>IF(+NFL!$F253="LA Rams",+NFL!#REF!,IF(+NFL!$H253="LA Rams",+NFL!#REF!,0))</f>
        <v>0</v>
      </c>
      <c r="AT338" s="64">
        <f>IF(+NFL!$F253="LA Rams",+NFL!#REF!,IF(+NFL!$H253="LA Rams",+NFL!#REF!,0))</f>
        <v>0</v>
      </c>
      <c r="AU338" s="57">
        <f>IF(+NFL!$F253="LA Rams",+NFL!#REF!,IF(+NFL!$H253="LA Rams",+NFL!#REF!,0))</f>
        <v>0</v>
      </c>
      <c r="AV338" s="64">
        <f>IF(+NFL!$F253="LA Rams",+NFL!#REF!,IF(+NFL!$H253="LA Rams",+NFL!#REF!,0))</f>
        <v>0</v>
      </c>
      <c r="AW338" s="46">
        <f>IF(+NFL!$F253="LA Rams",+NFL!#REF!,IF(+NFL!$H253="LA Rams",+NFL!#REF!,0))</f>
        <v>0</v>
      </c>
      <c r="AX338" s="64">
        <f>IF(+NFL!$F253="LA Rams",+NFL!#REF!,IF(+NFL!$H253="LA Rams",+NFL!#REF!,0))</f>
        <v>0</v>
      </c>
      <c r="AY338" s="57">
        <f>IF(+NFL!$F253="LA Rams",+NFL!#REF!,IF(+NFL!$H253="LA Rams",+NFL!#REF!,0))</f>
        <v>0</v>
      </c>
      <c r="AZ338" s="64">
        <f>IF(+NFL!$F253="LA Rams",+NFL!#REF!,IF(+NFL!$H253="LA Rams",+NFL!#REF!,0))</f>
        <v>0</v>
      </c>
      <c r="BA338" s="46">
        <f>IF(+NFL!$F253="LA Rams",+NFL!#REF!,IF(+NFL!$H253="LA Rams",+NFL!#REF!,0))</f>
        <v>0</v>
      </c>
      <c r="BB338" s="46">
        <f>IF(+NFL!$F253="LA Rams",+NFL!#REF!,IF(+NFL!$H253="LA Rams",+NFL!#REF!,0))</f>
        <v>0</v>
      </c>
      <c r="BC338" s="403">
        <f>IF(+NFL!$F253="LA Rams",+NFL!#REF!,IF(+NFL!$H253="LA Rams",+NFL!#REF!,0))</f>
        <v>0</v>
      </c>
      <c r="BD338" s="57">
        <f>IF(+NFL!$F253="LA Rams",+NFL!#REF!,IF(+NFL!$H253="LA Rams",+NFL!#REF!,0))</f>
        <v>0</v>
      </c>
      <c r="BE338" s="64">
        <f>IF(+NFL!$F253="LA Rams",+NFL!#REF!,IF(+NFL!$H253="LA Rams",+NFL!#REF!,0))</f>
        <v>0</v>
      </c>
      <c r="BF338" s="46">
        <f>IF(+NFL!$F253="LA Rams",+NFL!#REF!,IF(+NFL!$H253="LA Rams",+NFL!#REF!,0))</f>
        <v>0</v>
      </c>
      <c r="BG338" s="57">
        <f>IF(+NFL!$F253="LA Rams",+NFL!#REF!,IF(+NFL!$H253="LA Rams",+NFL!#REF!,0))</f>
        <v>0</v>
      </c>
      <c r="BH338" s="64">
        <f>IF(+NFL!$F253="LA Rams",+NFL!#REF!,IF(+NFL!$H253="LA Rams",+NFL!#REF!,0))</f>
        <v>0</v>
      </c>
      <c r="BI338" s="46">
        <f>IF(+NFL!$F253="LA Rams",+NFL!#REF!,IF(+NFL!$H253="LA Rams",+NFL!#REF!,0))</f>
        <v>0</v>
      </c>
      <c r="BJ338" s="87">
        <f>IF(+NFL!$F253="LA Rams",+NFL!#REF!,IF(+NFL!$H253="LA Rams",+NFL!#REF!,0))</f>
        <v>0</v>
      </c>
      <c r="BK338" s="120">
        <f>IF(+NFL!$F253="LA Rams",+NFL!#REF!,IF(+NFL!$H253="LA Rams",+NFL!#REF!,0))</f>
        <v>0</v>
      </c>
    </row>
    <row r="339" spans="1:63" s="246" customFormat="1" x14ac:dyDescent="0.8">
      <c r="A339" s="46">
        <f>IF(+NFL!$F281="LA Rams",+NFL!A281,IF(+NFL!$H281="LA Rams",+NFL!A281,0))</f>
        <v>15</v>
      </c>
      <c r="B339" s="348" t="str">
        <f>IF(+NFL!$F281="LA Rams",+NFL!B281,IF(+NFL!$H281="LA Rams",+NFL!B281,0))</f>
        <v>Mon</v>
      </c>
      <c r="C339" s="48">
        <f>IF(+NFL!$F281="LA Rams",+NFL!C281,IF(+NFL!$H281="LA Rams",+NFL!C281,0))</f>
        <v>44914</v>
      </c>
      <c r="D339" s="490">
        <f>IF(+NFL!$F281="LA Rams",+NFL!D281,IF(+NFL!$H281="LA Rams",+NFL!D281,0))</f>
        <v>0.84375</v>
      </c>
      <c r="E339" s="46" t="str">
        <f>IF(+NFL!$F281="LA Rams",+NFL!E281,IF(+NFL!$H281="LA Rams",+NFL!E281,0))</f>
        <v>ABC</v>
      </c>
      <c r="F339" s="114" t="str">
        <f>IF(+NFL!$F281="LA Rams",+NFL!F281,IF(+NFL!$H281="LA Rams",+NFL!F281,0))</f>
        <v>LA Rams</v>
      </c>
      <c r="G339" s="46" t="str">
        <f>IF(+NFL!$F281="LA Rams",+NFL!G281,IF(+NFL!$H281="LA Rams",+NFL!G281,0))</f>
        <v>NFCW</v>
      </c>
      <c r="H339" s="114" t="str">
        <f>IF(+NFL!$F281="LA Rams",+NFL!H281,IF(+NFL!$H281="LA Rams",+NFL!H281,0))</f>
        <v>Green Bay</v>
      </c>
      <c r="I339" s="46" t="str">
        <f>IF(+NFL!$F281="LA Rams",+NFL!I281,IF(+NFL!$H281="LA Rams",+NFL!I281,0))</f>
        <v>NFCN</v>
      </c>
      <c r="J339" s="353" t="str">
        <f>IF(+NFL!$F281="LA Rams",+NFL!J281,IF(+NFL!$H281="LA Rams",+NFL!J281,0))</f>
        <v>Green Bay</v>
      </c>
      <c r="K339" s="494" t="str">
        <f>IF(+NFL!$F281="LA Rams",+NFL!K281,IF(+NFL!$H281="LA Rams",+NFL!K281,0))</f>
        <v>LA Rams</v>
      </c>
      <c r="L339" s="384">
        <f>IF(+NFL!$F281="LA Rams",+NFL!L281,IF(+NFL!$H281="LA Rams",+NFL!L281,0))</f>
        <v>7.5</v>
      </c>
      <c r="M339" s="385">
        <f>IF(+NFL!$F281="LA Rams",+NFL!M281,IF(+NFL!$H281="LA Rams",+NFL!M281,0))</f>
        <v>39.5</v>
      </c>
      <c r="N339" s="394" t="str">
        <f>IF(+NFL!$F281="LA Rams",+NFL!N281,IF(+NFL!$H281="LA Rams",+NFL!N281,0))</f>
        <v>Green Bay</v>
      </c>
      <c r="O339" s="395">
        <f>IF(+NFL!$F281="LA Rams",+NFL!O281,IF(+NFL!$H281="LA Rams",+NFL!O281,0))</f>
        <v>24</v>
      </c>
      <c r="P339" s="394" t="str">
        <f>IF(+NFL!$F281="LA Rams",+NFL!P281,IF(+NFL!$H281="LA Rams",+NFL!P281,0))</f>
        <v>LA Rams</v>
      </c>
      <c r="Q339" s="396">
        <f>IF(+NFL!$F281="LA Rams",+NFL!Q281,IF(+NFL!$H281="LA Rams",+NFL!Q281,0))</f>
        <v>12</v>
      </c>
      <c r="R339" s="397" t="str">
        <f>IF(+NFL!$F281="LA Rams",+NFL!R281,IF(+NFL!$H281="LA Rams",+NFL!R281,0))</f>
        <v>Green Bay</v>
      </c>
      <c r="S339" s="396" t="str">
        <f>IF(+NFL!$F281="LA Rams",+NFL!S281,IF(+NFL!$H281="LA Rams",+NFL!S281,0))</f>
        <v>LA Rams</v>
      </c>
      <c r="T339" s="398">
        <f>IF(+NFL!$F281="LA Rams",+NFL!T281,IF(+NFL!$H281="LA Rams",+NFL!T281,0))</f>
        <v>0</v>
      </c>
      <c r="U339" s="396" t="str">
        <f>IF(+NFL!$F281="LA Rams",+NFL!U281,IF(+NFL!$H281="LA Rams",+NFL!U281,0))</f>
        <v>L</v>
      </c>
      <c r="V339" s="397">
        <f>IF(+NFL!$F276="LA Rams",+NFL!#REF!,IF(+NFL!$H276="LA Rams",+NFL!#REF!,0))</f>
        <v>0</v>
      </c>
      <c r="W339" s="396">
        <f>IF(+NFL!$F276="LA Rams",+NFL!#REF!,IF(+NFL!$H276="LA Rams",+NFL!#REF!,0))</f>
        <v>0</v>
      </c>
      <c r="X339" s="398">
        <f>IF(+NFL!$F276="LA Rams",+NFL!#REF!,IF(+NFL!$H276="LA Rams",+NFL!#REF!,0))</f>
        <v>0</v>
      </c>
      <c r="Y339" s="396">
        <f>IF(+NFL!$F276="LA Rams",+NFL!#REF!,IF(+NFL!$H276="LA Rams",+NFL!#REF!,0))</f>
        <v>0</v>
      </c>
      <c r="Z339" s="397">
        <f>IF(+NFL!$F276="LA Rams",+NFL!#REF!,IF(+NFL!$H276="LA Rams",+NFL!#REF!,0))</f>
        <v>0</v>
      </c>
      <c r="AA339" s="396">
        <f>IF(+NFL!$F276="LA Rams",+NFL!#REF!,IF(+NFL!$H276="LA Rams",+NFL!#REF!,0))</f>
        <v>0</v>
      </c>
      <c r="AB339" s="87">
        <f>IF(+NFL!$F276="LA Rams",+NFL!#REF!,IF(+NFL!$H276="LA Rams",+NFL!#REF!,0))</f>
        <v>0</v>
      </c>
      <c r="AC339" s="120">
        <f>IF(+NFL!$F276="LA Rams",+NFL!#REF!,IF(+NFL!$H276="LA Rams",+NFL!#REF!,0))</f>
        <v>0</v>
      </c>
      <c r="AD339" s="353">
        <f>IF(+NFL!$F276="LA Rams",+NFL!#REF!,IF(+NFL!$H276="LA Rams",+NFL!#REF!,0))</f>
        <v>0</v>
      </c>
      <c r="AE339" s="379">
        <f>IF(+NFL!$F276="LA Rams",+NFL!#REF!,IF(+NFL!$H276="LA Rams",+NFL!#REF!,0))</f>
        <v>0</v>
      </c>
      <c r="AF339" s="353">
        <f>IF(+NFL!$F276="LA Rams",+NFL!#REF!,IF(+NFL!$H276="LA Rams",+NFL!#REF!,0))</f>
        <v>0</v>
      </c>
      <c r="AG339" s="379">
        <f>IF(+NFL!$F276="LA Rams",+NFL!#REF!,IF(+NFL!$H276="LA Rams",+NFL!#REF!,0))</f>
        <v>0</v>
      </c>
      <c r="AH339" s="353">
        <f>IF(+NFL!$F276="LA Rams",+NFL!#REF!,IF(+NFL!$H276="LA Rams",+NFL!#REF!,0))</f>
        <v>0</v>
      </c>
      <c r="AI339" s="379">
        <f>IF(+NFL!$F276="LA Rams",+NFL!#REF!,IF(+NFL!$H276="LA Rams",+NFL!#REF!,0))</f>
        <v>0</v>
      </c>
      <c r="AJ339" s="353">
        <f>IF(+NFL!$F276="LA Rams",+NFL!#REF!,IF(+NFL!$H276="LA Rams",+NFL!#REF!,0))</f>
        <v>0</v>
      </c>
      <c r="AK339" s="379">
        <f>IF(+NFL!$F276="LA Rams",+NFL!#REF!,IF(+NFL!$H276="LA Rams",+NFL!#REF!,0))</f>
        <v>0</v>
      </c>
      <c r="AL339" s="68">
        <f>IF(+NFL!$F276="LA Rams",+NFL!#REF!,IF(+NFL!$H276="LA Rams",+NFL!#REF!,0))</f>
        <v>0</v>
      </c>
      <c r="AM339" s="58">
        <f>IF(+NFL!$F276="LA Rams",+NFL!#REF!,IF(+NFL!$H276="LA Rams",+NFL!#REF!,0))</f>
        <v>0</v>
      </c>
      <c r="AN339" s="57">
        <f>IF(+NFL!$F276="LA Rams",+NFL!#REF!,IF(+NFL!$H276="LA Rams",+NFL!#REF!,0))</f>
        <v>0</v>
      </c>
      <c r="AO339" s="59">
        <f>IF(+NFL!$F276="LA Rams",+NFL!#REF!,IF(+NFL!$H276="LA Rams",+NFL!#REF!,0))</f>
        <v>0</v>
      </c>
      <c r="AP339" s="348">
        <f>IF(+NFL!$F276="LA Rams",+NFL!#REF!,IF(+NFL!$H276="LA Rams",+NFL!#REF!,0))</f>
        <v>0</v>
      </c>
      <c r="AQ339" s="48">
        <f>IF(+NFL!$F276="LA Rams",+NFL!#REF!,IF(+NFL!$H276="LA Rams",+NFL!#REF!,0))</f>
        <v>0</v>
      </c>
      <c r="AR339" s="57">
        <f>IF(+NFL!$F276="LA Rams",+NFL!#REF!,IF(+NFL!$H276="LA Rams",+NFL!#REF!,0))</f>
        <v>0</v>
      </c>
      <c r="AS339" s="64">
        <f>IF(+NFL!$F276="LA Rams",+NFL!#REF!,IF(+NFL!$H276="LA Rams",+NFL!#REF!,0))</f>
        <v>0</v>
      </c>
      <c r="AT339" s="64">
        <f>IF(+NFL!$F276="LA Rams",+NFL!#REF!,IF(+NFL!$H276="LA Rams",+NFL!#REF!,0))</f>
        <v>0</v>
      </c>
      <c r="AU339" s="57">
        <f>IF(+NFL!$F276="LA Rams",+NFL!#REF!,IF(+NFL!$H276="LA Rams",+NFL!#REF!,0))</f>
        <v>0</v>
      </c>
      <c r="AV339" s="64">
        <f>IF(+NFL!$F276="LA Rams",+NFL!#REF!,IF(+NFL!$H276="LA Rams",+NFL!#REF!,0))</f>
        <v>0</v>
      </c>
      <c r="AW339" s="46">
        <f>IF(+NFL!$F276="LA Rams",+NFL!#REF!,IF(+NFL!$H276="LA Rams",+NFL!#REF!,0))</f>
        <v>0</v>
      </c>
      <c r="AX339" s="64">
        <f>IF(+NFL!$F276="LA Rams",+NFL!#REF!,IF(+NFL!$H276="LA Rams",+NFL!#REF!,0))</f>
        <v>0</v>
      </c>
      <c r="AY339" s="57">
        <f>IF(+NFL!$F276="LA Rams",+NFL!#REF!,IF(+NFL!$H276="LA Rams",+NFL!#REF!,0))</f>
        <v>0</v>
      </c>
      <c r="AZ339" s="64">
        <f>IF(+NFL!$F276="LA Rams",+NFL!#REF!,IF(+NFL!$H276="LA Rams",+NFL!#REF!,0))</f>
        <v>0</v>
      </c>
      <c r="BA339" s="46">
        <f>IF(+NFL!$F276="LA Rams",+NFL!#REF!,IF(+NFL!$H276="LA Rams",+NFL!#REF!,0))</f>
        <v>0</v>
      </c>
      <c r="BB339" s="46">
        <f>IF(+NFL!$F276="LA Rams",+NFL!#REF!,IF(+NFL!$H276="LA Rams",+NFL!#REF!,0))</f>
        <v>0</v>
      </c>
      <c r="BC339" s="403">
        <f>IF(+NFL!$F276="LA Rams",+NFL!#REF!,IF(+NFL!$H276="LA Rams",+NFL!#REF!,0))</f>
        <v>0</v>
      </c>
      <c r="BD339" s="57">
        <f>IF(+NFL!$F276="LA Rams",+NFL!#REF!,IF(+NFL!$H276="LA Rams",+NFL!#REF!,0))</f>
        <v>0</v>
      </c>
      <c r="BE339" s="64">
        <f>IF(+NFL!$F276="LA Rams",+NFL!#REF!,IF(+NFL!$H276="LA Rams",+NFL!#REF!,0))</f>
        <v>0</v>
      </c>
      <c r="BF339" s="46">
        <f>IF(+NFL!$F276="LA Rams",+NFL!#REF!,IF(+NFL!$H276="LA Rams",+NFL!#REF!,0))</f>
        <v>0</v>
      </c>
      <c r="BG339" s="57">
        <f>IF(+NFL!$F276="LA Rams",+NFL!#REF!,IF(+NFL!$H276="LA Rams",+NFL!#REF!,0))</f>
        <v>0</v>
      </c>
      <c r="BH339" s="64">
        <f>IF(+NFL!$F276="LA Rams",+NFL!#REF!,IF(+NFL!$H276="LA Rams",+NFL!#REF!,0))</f>
        <v>0</v>
      </c>
      <c r="BI339" s="46">
        <f>IF(+NFL!$F276="LA Rams",+NFL!#REF!,IF(+NFL!$H276="LA Rams",+NFL!#REF!,0))</f>
        <v>0</v>
      </c>
      <c r="BJ339" s="87">
        <f>IF(+NFL!$F276="LA Rams",+NFL!#REF!,IF(+NFL!$H276="LA Rams",+NFL!#REF!,0))</f>
        <v>0</v>
      </c>
      <c r="BK339" s="120">
        <f>IF(+NFL!$F276="LA Rams",+NFL!#REF!,IF(+NFL!$H276="LA Rams",+NFL!#REF!,0))</f>
        <v>0</v>
      </c>
    </row>
    <row r="340" spans="1:63" s="246" customFormat="1" x14ac:dyDescent="0.8">
      <c r="A340" s="46">
        <f>IF(+NFL!$F296="LA Rams",+NFL!A296,IF(+NFL!$H296="LA Rams",+NFL!A296,0))</f>
        <v>16</v>
      </c>
      <c r="B340" s="348" t="str">
        <f>IF(+NFL!$F296="LA Rams",+NFL!B296,IF(+NFL!$H296="LA Rams",+NFL!B296,0))</f>
        <v>Sun</v>
      </c>
      <c r="C340" s="48">
        <f>IF(+NFL!$F296="LA Rams",+NFL!C296,IF(+NFL!$H296="LA Rams",+NFL!C296,0))</f>
        <v>44920</v>
      </c>
      <c r="D340" s="490">
        <f>IF(+NFL!$F296="LA Rams",+NFL!D296,IF(+NFL!$H296="LA Rams",+NFL!D296,0))</f>
        <v>0.66666666666666663</v>
      </c>
      <c r="E340" s="46" t="str">
        <f>IF(+NFL!$F296="LA Rams",+NFL!E296,IF(+NFL!$H296="LA Rams",+NFL!E296,0))</f>
        <v>CBS</v>
      </c>
      <c r="F340" s="114" t="str">
        <f>IF(+NFL!$F296="LA Rams",+NFL!F296,IF(+NFL!$H296="LA Rams",+NFL!F296,0))</f>
        <v>Denver</v>
      </c>
      <c r="G340" s="46" t="str">
        <f>IF(+NFL!$F296="LA Rams",+NFL!G296,IF(+NFL!$H296="LA Rams",+NFL!G296,0))</f>
        <v>AFCW</v>
      </c>
      <c r="H340" s="114" t="str">
        <f>IF(+NFL!$F296="LA Rams",+NFL!H296,IF(+NFL!$H296="LA Rams",+NFL!H296,0))</f>
        <v>LA Rams</v>
      </c>
      <c r="I340" s="46" t="str">
        <f>IF(+NFL!$F296="LA Rams",+NFL!I296,IF(+NFL!$H296="LA Rams",+NFL!I296,0))</f>
        <v>NFCW</v>
      </c>
      <c r="J340" s="353" t="str">
        <f>IF(+NFL!$F296="LA Rams",+NFL!J296,IF(+NFL!$H296="LA Rams",+NFL!J296,0))</f>
        <v>Denver</v>
      </c>
      <c r="K340" s="494" t="str">
        <f>IF(+NFL!$F296="LA Rams",+NFL!K296,IF(+NFL!$H296="LA Rams",+NFL!K296,0))</f>
        <v>LA Rams</v>
      </c>
      <c r="L340" s="384">
        <f>IF(+NFL!$F296="LA Rams",+NFL!L296,IF(+NFL!$H296="LA Rams",+NFL!L296,0))</f>
        <v>3.5</v>
      </c>
      <c r="M340" s="385">
        <f>IF(+NFL!$F296="LA Rams",+NFL!M296,IF(+NFL!$H296="LA Rams",+NFL!M296,0))</f>
        <v>36.5</v>
      </c>
      <c r="N340" s="394" t="str">
        <f>IF(+NFL!$F296="LA Rams",+NFL!N296,IF(+NFL!$H296="LA Rams",+NFL!N296,0))</f>
        <v>LA Rams</v>
      </c>
      <c r="O340" s="395">
        <f>IF(+NFL!$F296="LA Rams",+NFL!O296,IF(+NFL!$H296="LA Rams",+NFL!O296,0))</f>
        <v>51</v>
      </c>
      <c r="P340" s="394" t="str">
        <f>IF(+NFL!$F296="LA Rams",+NFL!P296,IF(+NFL!$H296="LA Rams",+NFL!P296,0))</f>
        <v>Denver</v>
      </c>
      <c r="Q340" s="396">
        <f>IF(+NFL!$F296="LA Rams",+NFL!Q296,IF(+NFL!$H296="LA Rams",+NFL!Q296,0))</f>
        <v>14</v>
      </c>
      <c r="R340" s="397" t="str">
        <f>IF(+NFL!$F296="LA Rams",+NFL!R296,IF(+NFL!$H296="LA Rams",+NFL!R296,0))</f>
        <v>LA Rams</v>
      </c>
      <c r="S340" s="396" t="str">
        <f>IF(+NFL!$F296="LA Rams",+NFL!S296,IF(+NFL!$H296="LA Rams",+NFL!S296,0))</f>
        <v>Denver</v>
      </c>
      <c r="T340" s="398">
        <f>IF(+NFL!$F296="LA Rams",+NFL!T296,IF(+NFL!$H296="LA Rams",+NFL!T296,0))</f>
        <v>0</v>
      </c>
      <c r="U340" s="396" t="str">
        <f>IF(+NFL!$F296="LA Rams",+NFL!U296,IF(+NFL!$H296="LA Rams",+NFL!U296,0))</f>
        <v>L</v>
      </c>
      <c r="V340" s="397" t="e">
        <f>IF(+NFL!$F296="LA Rams",+NFL!#REF!,IF(+NFL!$H296="LA Rams",+NFL!#REF!,0))</f>
        <v>#REF!</v>
      </c>
      <c r="W340" s="396" t="e">
        <f>IF(+NFL!$F296="LA Rams",+NFL!#REF!,IF(+NFL!$H296="LA Rams",+NFL!#REF!,0))</f>
        <v>#REF!</v>
      </c>
      <c r="X340" s="398" t="e">
        <f>IF(+NFL!$F296="LA Rams",+NFL!#REF!,IF(+NFL!$H296="LA Rams",+NFL!#REF!,0))</f>
        <v>#REF!</v>
      </c>
      <c r="Y340" s="396" t="e">
        <f>IF(+NFL!$F296="LA Rams",+NFL!#REF!,IF(+NFL!$H296="LA Rams",+NFL!#REF!,0))</f>
        <v>#REF!</v>
      </c>
      <c r="Z340" s="397" t="e">
        <f>IF(+NFL!$F296="LA Rams",+NFL!#REF!,IF(+NFL!$H296="LA Rams",+NFL!#REF!,0))</f>
        <v>#REF!</v>
      </c>
      <c r="AA340" s="396" t="e">
        <f>IF(+NFL!$F296="LA Rams",+NFL!#REF!,IF(+NFL!$H296="LA Rams",+NFL!#REF!,0))</f>
        <v>#REF!</v>
      </c>
      <c r="AB340" s="87" t="e">
        <f>IF(+NFL!$F296="LA Rams",+NFL!#REF!,IF(+NFL!$H296="LA Rams",+NFL!#REF!,0))</f>
        <v>#REF!</v>
      </c>
      <c r="AC340" s="120" t="e">
        <f>IF(+NFL!$F296="LA Rams",+NFL!#REF!,IF(+NFL!$H296="LA Rams",+NFL!#REF!,0))</f>
        <v>#REF!</v>
      </c>
      <c r="AD340" s="353" t="e">
        <f>IF(+NFL!$F296="LA Rams",+NFL!#REF!,IF(+NFL!$H296="LA Rams",+NFL!#REF!,0))</f>
        <v>#REF!</v>
      </c>
      <c r="AE340" s="379" t="e">
        <f>IF(+NFL!$F296="LA Rams",+NFL!#REF!,IF(+NFL!$H296="LA Rams",+NFL!#REF!,0))</f>
        <v>#REF!</v>
      </c>
      <c r="AF340" s="353" t="e">
        <f>IF(+NFL!$F296="LA Rams",+NFL!#REF!,IF(+NFL!$H296="LA Rams",+NFL!#REF!,0))</f>
        <v>#REF!</v>
      </c>
      <c r="AG340" s="379" t="e">
        <f>IF(+NFL!$F296="LA Rams",+NFL!#REF!,IF(+NFL!$H296="LA Rams",+NFL!#REF!,0))</f>
        <v>#REF!</v>
      </c>
      <c r="AH340" s="353" t="e">
        <f>IF(+NFL!$F296="LA Rams",+NFL!#REF!,IF(+NFL!$H296="LA Rams",+NFL!#REF!,0))</f>
        <v>#REF!</v>
      </c>
      <c r="AI340" s="379" t="e">
        <f>IF(+NFL!$F296="LA Rams",+NFL!#REF!,IF(+NFL!$H296="LA Rams",+NFL!#REF!,0))</f>
        <v>#REF!</v>
      </c>
      <c r="AJ340" s="353" t="e">
        <f>IF(+NFL!$F296="LA Rams",+NFL!#REF!,IF(+NFL!$H296="LA Rams",+NFL!#REF!,0))</f>
        <v>#REF!</v>
      </c>
      <c r="AK340" s="379" t="e">
        <f>IF(+NFL!$F296="LA Rams",+NFL!#REF!,IF(+NFL!$H296="LA Rams",+NFL!#REF!,0))</f>
        <v>#REF!</v>
      </c>
      <c r="AL340" s="68" t="e">
        <f>IF(+NFL!$F296="LA Rams",+NFL!#REF!,IF(+NFL!$H296="LA Rams",+NFL!#REF!,0))</f>
        <v>#REF!</v>
      </c>
      <c r="AM340" s="58" t="e">
        <f>IF(+NFL!$F296="LA Rams",+NFL!#REF!,IF(+NFL!$H296="LA Rams",+NFL!#REF!,0))</f>
        <v>#REF!</v>
      </c>
      <c r="AN340" s="57" t="e">
        <f>IF(+NFL!$F296="LA Rams",+NFL!#REF!,IF(+NFL!$H296="LA Rams",+NFL!#REF!,0))</f>
        <v>#REF!</v>
      </c>
      <c r="AO340" s="59" t="e">
        <f>IF(+NFL!$F296="LA Rams",+NFL!#REF!,IF(+NFL!$H296="LA Rams",+NFL!#REF!,0))</f>
        <v>#REF!</v>
      </c>
      <c r="AP340" s="348" t="e">
        <f>IF(+NFL!$F296="LA Rams",+NFL!#REF!,IF(+NFL!$H296="LA Rams",+NFL!#REF!,0))</f>
        <v>#REF!</v>
      </c>
      <c r="AQ340" s="48" t="e">
        <f>IF(+NFL!$F296="LA Rams",+NFL!#REF!,IF(+NFL!$H296="LA Rams",+NFL!#REF!,0))</f>
        <v>#REF!</v>
      </c>
      <c r="AR340" s="57" t="e">
        <f>IF(+NFL!$F296="LA Rams",+NFL!#REF!,IF(+NFL!$H296="LA Rams",+NFL!#REF!,0))</f>
        <v>#REF!</v>
      </c>
      <c r="AS340" s="64" t="e">
        <f>IF(+NFL!$F296="LA Rams",+NFL!#REF!,IF(+NFL!$H296="LA Rams",+NFL!#REF!,0))</f>
        <v>#REF!</v>
      </c>
      <c r="AT340" s="64" t="e">
        <f>IF(+NFL!$F296="LA Rams",+NFL!#REF!,IF(+NFL!$H296="LA Rams",+NFL!#REF!,0))</f>
        <v>#REF!</v>
      </c>
      <c r="AU340" s="57" t="e">
        <f>IF(+NFL!$F296="LA Rams",+NFL!#REF!,IF(+NFL!$H296="LA Rams",+NFL!#REF!,0))</f>
        <v>#REF!</v>
      </c>
      <c r="AV340" s="64" t="e">
        <f>IF(+NFL!$F296="LA Rams",+NFL!#REF!,IF(+NFL!$H296="LA Rams",+NFL!#REF!,0))</f>
        <v>#REF!</v>
      </c>
      <c r="AW340" s="46" t="e">
        <f>IF(+NFL!$F296="LA Rams",+NFL!#REF!,IF(+NFL!$H296="LA Rams",+NFL!#REF!,0))</f>
        <v>#REF!</v>
      </c>
      <c r="AX340" s="64" t="e">
        <f>IF(+NFL!$F296="LA Rams",+NFL!#REF!,IF(+NFL!$H296="LA Rams",+NFL!#REF!,0))</f>
        <v>#REF!</v>
      </c>
      <c r="AY340" s="57" t="e">
        <f>IF(+NFL!$F296="LA Rams",+NFL!#REF!,IF(+NFL!$H296="LA Rams",+NFL!#REF!,0))</f>
        <v>#REF!</v>
      </c>
      <c r="AZ340" s="64" t="e">
        <f>IF(+NFL!$F296="LA Rams",+NFL!#REF!,IF(+NFL!$H296="LA Rams",+NFL!#REF!,0))</f>
        <v>#REF!</v>
      </c>
      <c r="BA340" s="46" t="e">
        <f>IF(+NFL!$F296="LA Rams",+NFL!#REF!,IF(+NFL!$H296="LA Rams",+NFL!#REF!,0))</f>
        <v>#REF!</v>
      </c>
      <c r="BB340" s="46" t="e">
        <f>IF(+NFL!$F296="LA Rams",+NFL!#REF!,IF(+NFL!$H296="LA Rams",+NFL!#REF!,0))</f>
        <v>#REF!</v>
      </c>
      <c r="BC340" s="403" t="e">
        <f>IF(+NFL!$F296="LA Rams",+NFL!#REF!,IF(+NFL!$H296="LA Rams",+NFL!#REF!,0))</f>
        <v>#REF!</v>
      </c>
      <c r="BD340" s="57" t="e">
        <f>IF(+NFL!$F296="LA Rams",+NFL!#REF!,IF(+NFL!$H296="LA Rams",+NFL!#REF!,0))</f>
        <v>#REF!</v>
      </c>
      <c r="BE340" s="64" t="e">
        <f>IF(+NFL!$F296="LA Rams",+NFL!#REF!,IF(+NFL!$H296="LA Rams",+NFL!#REF!,0))</f>
        <v>#REF!</v>
      </c>
      <c r="BF340" s="46" t="e">
        <f>IF(+NFL!$F296="LA Rams",+NFL!#REF!,IF(+NFL!$H296="LA Rams",+NFL!#REF!,0))</f>
        <v>#REF!</v>
      </c>
      <c r="BG340" s="57" t="e">
        <f>IF(+NFL!$F296="LA Rams",+NFL!#REF!,IF(+NFL!$H296="LA Rams",+NFL!#REF!,0))</f>
        <v>#REF!</v>
      </c>
      <c r="BH340" s="64" t="e">
        <f>IF(+NFL!$F296="LA Rams",+NFL!#REF!,IF(+NFL!$H296="LA Rams",+NFL!#REF!,0))</f>
        <v>#REF!</v>
      </c>
      <c r="BI340" s="46" t="e">
        <f>IF(+NFL!$F296="LA Rams",+NFL!#REF!,IF(+NFL!$H296="LA Rams",+NFL!#REF!,0))</f>
        <v>#REF!</v>
      </c>
      <c r="BJ340" s="87" t="e">
        <f>IF(+NFL!$F296="LA Rams",+NFL!#REF!,IF(+NFL!$H296="LA Rams",+NFL!#REF!,0))</f>
        <v>#REF!</v>
      </c>
      <c r="BK340" s="120" t="e">
        <f>IF(+NFL!$F296="LA Rams",+NFL!#REF!,IF(+NFL!$H296="LA Rams",+NFL!#REF!,0))</f>
        <v>#REF!</v>
      </c>
    </row>
    <row r="341" spans="1:63" s="246" customFormat="1" x14ac:dyDescent="0.8">
      <c r="A341" s="46">
        <f>IF(+NFL!$F314="LA Rams",+NFL!A314,IF(+NFL!$H314="LA Rams",+NFL!A314,0))</f>
        <v>17</v>
      </c>
      <c r="B341" s="348" t="str">
        <f>IF(+NFL!$F314="LA Rams",+NFL!B314,IF(+NFL!$H314="LA Rams",+NFL!B314,0))</f>
        <v>Sun</v>
      </c>
      <c r="C341" s="48">
        <f>IF(+NFL!$F314="LA Rams",+NFL!C314,IF(+NFL!$H314="LA Rams",+NFL!C314,0))</f>
        <v>44927</v>
      </c>
      <c r="D341" s="490">
        <f>IF(+NFL!$F314="LA Rams",+NFL!D314,IF(+NFL!$H314="LA Rams",+NFL!D314,0))</f>
        <v>0.84375</v>
      </c>
      <c r="E341" s="46" t="str">
        <f>IF(+NFL!$F314="LA Rams",+NFL!E314,IF(+NFL!$H314="LA Rams",+NFL!E314,0))</f>
        <v>NBC</v>
      </c>
      <c r="F341" s="114" t="str">
        <f>IF(+NFL!$F314="LA Rams",+NFL!F314,IF(+NFL!$H314="LA Rams",+NFL!F314,0))</f>
        <v>LA Rams</v>
      </c>
      <c r="G341" s="46" t="str">
        <f>IF(+NFL!$F314="LA Rams",+NFL!G314,IF(+NFL!$H314="LA Rams",+NFL!G314,0))</f>
        <v>NFCW</v>
      </c>
      <c r="H341" s="114" t="str">
        <f>IF(+NFL!$F314="LA Rams",+NFL!H314,IF(+NFL!$H314="LA Rams",+NFL!H314,0))</f>
        <v>LA Chargers</v>
      </c>
      <c r="I341" s="46" t="str">
        <f>IF(+NFL!$F314="LA Rams",+NFL!I314,IF(+NFL!$H314="LA Rams",+NFL!I314,0))</f>
        <v>AFCW</v>
      </c>
      <c r="J341" s="353" t="str">
        <f>IF(+NFL!$F314="LA Rams",+NFL!J314,IF(+NFL!$H314="LA Rams",+NFL!J314,0))</f>
        <v>LA Chargers</v>
      </c>
      <c r="K341" s="494" t="str">
        <f>IF(+NFL!$F314="LA Rams",+NFL!K314,IF(+NFL!$H314="LA Rams",+NFL!K314,0))</f>
        <v>LA Rams</v>
      </c>
      <c r="L341" s="384">
        <f>IF(+NFL!$F314="LA Rams",+NFL!L314,IF(+NFL!$H314="LA Rams",+NFL!L314,0))</f>
        <v>6.5</v>
      </c>
      <c r="M341" s="385">
        <f>IF(+NFL!$F314="LA Rams",+NFL!M314,IF(+NFL!$H314="LA Rams",+NFL!M314,0))</f>
        <v>41.5</v>
      </c>
      <c r="N341" s="394" t="str">
        <f>IF(+NFL!$F314="LA Rams",+NFL!N314,IF(+NFL!$H314="LA Rams",+NFL!N314,0))</f>
        <v>LA Chargers</v>
      </c>
      <c r="O341" s="395">
        <f>IF(+NFL!$F314="LA Rams",+NFL!O314,IF(+NFL!$H314="LA Rams",+NFL!O314,0))</f>
        <v>31</v>
      </c>
      <c r="P341" s="394" t="str">
        <f>IF(+NFL!$F314="LA Rams",+NFL!P314,IF(+NFL!$H314="LA Rams",+NFL!P314,0))</f>
        <v>LA Rams</v>
      </c>
      <c r="Q341" s="396">
        <f>IF(+NFL!$F314="LA Rams",+NFL!Q314,IF(+NFL!$H314="LA Rams",+NFL!Q314,0))</f>
        <v>10</v>
      </c>
      <c r="R341" s="397" t="str">
        <f>IF(+NFL!$F314="LA Rams",+NFL!R314,IF(+NFL!$H314="LA Rams",+NFL!R314,0))</f>
        <v>LA Chargers</v>
      </c>
      <c r="S341" s="396" t="str">
        <f>IF(+NFL!$F314="LA Rams",+NFL!S314,IF(+NFL!$H314="LA Rams",+NFL!S314,0))</f>
        <v>LA Rams</v>
      </c>
      <c r="T341" s="398">
        <f>IF(+NFL!$F314="LA Rams",+NFL!T314,IF(+NFL!$H314="LA Rams",+NFL!T314,0))</f>
        <v>0</v>
      </c>
      <c r="U341" s="396" t="str">
        <f>IF(+NFL!$F314="LA Rams",+NFL!U314,IF(+NFL!$H314="LA Rams",+NFL!U314,0))</f>
        <v>L</v>
      </c>
      <c r="V341" s="397">
        <f>IF(+NFL!$F312="LA Rams",+NFL!#REF!,IF(+NFL!$H312="LA Rams",+NFL!#REF!,0))</f>
        <v>0</v>
      </c>
      <c r="W341" s="396">
        <f>IF(+NFL!$F312="LA Rams",+NFL!#REF!,IF(+NFL!$H312="LA Rams",+NFL!#REF!,0))</f>
        <v>0</v>
      </c>
      <c r="X341" s="398">
        <f>IF(+NFL!$F312="LA Rams",+NFL!#REF!,IF(+NFL!$H312="LA Rams",+NFL!#REF!,0))</f>
        <v>0</v>
      </c>
      <c r="Y341" s="396">
        <f>IF(+NFL!$F312="LA Rams",+NFL!#REF!,IF(+NFL!$H312="LA Rams",+NFL!#REF!,0))</f>
        <v>0</v>
      </c>
      <c r="Z341" s="397">
        <f>IF(+NFL!$F312="LA Rams",+NFL!#REF!,IF(+NFL!$H312="LA Rams",+NFL!#REF!,0))</f>
        <v>0</v>
      </c>
      <c r="AA341" s="396">
        <f>IF(+NFL!$F312="LA Rams",+NFL!#REF!,IF(+NFL!$H312="LA Rams",+NFL!#REF!,0))</f>
        <v>0</v>
      </c>
      <c r="AB341" s="87">
        <f>IF(+NFL!$F312="LA Rams",+NFL!#REF!,IF(+NFL!$H312="LA Rams",+NFL!#REF!,0))</f>
        <v>0</v>
      </c>
      <c r="AC341" s="120">
        <f>IF(+NFL!$F312="LA Rams",+NFL!#REF!,IF(+NFL!$H312="LA Rams",+NFL!#REF!,0))</f>
        <v>0</v>
      </c>
      <c r="AD341" s="353">
        <f>IF(+NFL!$F312="LA Rams",+NFL!#REF!,IF(+NFL!$H312="LA Rams",+NFL!#REF!,0))</f>
        <v>0</v>
      </c>
      <c r="AE341" s="379">
        <f>IF(+NFL!$F312="LA Rams",+NFL!#REF!,IF(+NFL!$H312="LA Rams",+NFL!#REF!,0))</f>
        <v>0</v>
      </c>
      <c r="AF341" s="353">
        <f>IF(+NFL!$F312="LA Rams",+NFL!#REF!,IF(+NFL!$H312="LA Rams",+NFL!#REF!,0))</f>
        <v>0</v>
      </c>
      <c r="AG341" s="379">
        <f>IF(+NFL!$F312="LA Rams",+NFL!#REF!,IF(+NFL!$H312="LA Rams",+NFL!#REF!,0))</f>
        <v>0</v>
      </c>
      <c r="AH341" s="353">
        <f>IF(+NFL!$F312="LA Rams",+NFL!#REF!,IF(+NFL!$H312="LA Rams",+NFL!#REF!,0))</f>
        <v>0</v>
      </c>
      <c r="AI341" s="379">
        <f>IF(+NFL!$F312="LA Rams",+NFL!#REF!,IF(+NFL!$H312="LA Rams",+NFL!#REF!,0))</f>
        <v>0</v>
      </c>
      <c r="AJ341" s="353">
        <f>IF(+NFL!$F312="LA Rams",+NFL!#REF!,IF(+NFL!$H312="LA Rams",+NFL!#REF!,0))</f>
        <v>0</v>
      </c>
      <c r="AK341" s="379">
        <f>IF(+NFL!$F312="LA Rams",+NFL!#REF!,IF(+NFL!$H312="LA Rams",+NFL!#REF!,0))</f>
        <v>0</v>
      </c>
      <c r="AL341" s="68">
        <f>IF(+NFL!$F312="LA Rams",+NFL!#REF!,IF(+NFL!$H312="LA Rams",+NFL!#REF!,0))</f>
        <v>0</v>
      </c>
      <c r="AM341" s="58">
        <f>IF(+NFL!$F312="LA Rams",+NFL!#REF!,IF(+NFL!$H312="LA Rams",+NFL!#REF!,0))</f>
        <v>0</v>
      </c>
      <c r="AN341" s="57">
        <f>IF(+NFL!$F312="LA Rams",+NFL!#REF!,IF(+NFL!$H312="LA Rams",+NFL!#REF!,0))</f>
        <v>0</v>
      </c>
      <c r="AO341" s="59">
        <f>IF(+NFL!$F312="LA Rams",+NFL!#REF!,IF(+NFL!$H312="LA Rams",+NFL!#REF!,0))</f>
        <v>0</v>
      </c>
      <c r="AP341" s="348">
        <f>IF(+NFL!$F312="LA Rams",+NFL!#REF!,IF(+NFL!$H312="LA Rams",+NFL!#REF!,0))</f>
        <v>0</v>
      </c>
      <c r="AQ341" s="48">
        <f>IF(+NFL!$F312="LA Rams",+NFL!#REF!,IF(+NFL!$H312="LA Rams",+NFL!#REF!,0))</f>
        <v>0</v>
      </c>
      <c r="AR341" s="57">
        <f>IF(+NFL!$F312="LA Rams",+NFL!#REF!,IF(+NFL!$H312="LA Rams",+NFL!#REF!,0))</f>
        <v>0</v>
      </c>
      <c r="AS341" s="64">
        <f>IF(+NFL!$F312="LA Rams",+NFL!#REF!,IF(+NFL!$H312="LA Rams",+NFL!#REF!,0))</f>
        <v>0</v>
      </c>
      <c r="AT341" s="64">
        <f>IF(+NFL!$F312="LA Rams",+NFL!#REF!,IF(+NFL!$H312="LA Rams",+NFL!#REF!,0))</f>
        <v>0</v>
      </c>
      <c r="AU341" s="57">
        <f>IF(+NFL!$F312="LA Rams",+NFL!#REF!,IF(+NFL!$H312="LA Rams",+NFL!#REF!,0))</f>
        <v>0</v>
      </c>
      <c r="AV341" s="64">
        <f>IF(+NFL!$F312="LA Rams",+NFL!#REF!,IF(+NFL!$H312="LA Rams",+NFL!#REF!,0))</f>
        <v>0</v>
      </c>
      <c r="AW341" s="46">
        <f>IF(+NFL!$F312="LA Rams",+NFL!#REF!,IF(+NFL!$H312="LA Rams",+NFL!#REF!,0))</f>
        <v>0</v>
      </c>
      <c r="AX341" s="64">
        <f>IF(+NFL!$F312="LA Rams",+NFL!#REF!,IF(+NFL!$H312="LA Rams",+NFL!#REF!,0))</f>
        <v>0</v>
      </c>
      <c r="AY341" s="57">
        <f>IF(+NFL!$F312="LA Rams",+NFL!#REF!,IF(+NFL!$H312="LA Rams",+NFL!#REF!,0))</f>
        <v>0</v>
      </c>
      <c r="AZ341" s="64">
        <f>IF(+NFL!$F312="LA Rams",+NFL!#REF!,IF(+NFL!$H312="LA Rams",+NFL!#REF!,0))</f>
        <v>0</v>
      </c>
      <c r="BA341" s="46">
        <f>IF(+NFL!$F312="LA Rams",+NFL!#REF!,IF(+NFL!$H312="LA Rams",+NFL!#REF!,0))</f>
        <v>0</v>
      </c>
      <c r="BB341" s="46">
        <f>IF(+NFL!$F312="LA Rams",+NFL!#REF!,IF(+NFL!$H312="LA Rams",+NFL!#REF!,0))</f>
        <v>0</v>
      </c>
      <c r="BC341" s="403">
        <f>IF(+NFL!$F312="LA Rams",+NFL!#REF!,IF(+NFL!$H312="LA Rams",+NFL!#REF!,0))</f>
        <v>0</v>
      </c>
      <c r="BD341" s="57">
        <f>IF(+NFL!$F312="LA Rams",+NFL!#REF!,IF(+NFL!$H312="LA Rams",+NFL!#REF!,0))</f>
        <v>0</v>
      </c>
      <c r="BE341" s="64">
        <f>IF(+NFL!$F312="LA Rams",+NFL!#REF!,IF(+NFL!$H312="LA Rams",+NFL!#REF!,0))</f>
        <v>0</v>
      </c>
      <c r="BF341" s="46">
        <f>IF(+NFL!$F312="LA Rams",+NFL!#REF!,IF(+NFL!$H312="LA Rams",+NFL!#REF!,0))</f>
        <v>0</v>
      </c>
      <c r="BG341" s="57">
        <f>IF(+NFL!$F312="LA Rams",+NFL!#REF!,IF(+NFL!$H312="LA Rams",+NFL!#REF!,0))</f>
        <v>0</v>
      </c>
      <c r="BH341" s="64">
        <f>IF(+NFL!$F312="LA Rams",+NFL!#REF!,IF(+NFL!$H312="LA Rams",+NFL!#REF!,0))</f>
        <v>0</v>
      </c>
      <c r="BI341" s="46">
        <f>IF(+NFL!$F312="LA Rams",+NFL!#REF!,IF(+NFL!$H312="LA Rams",+NFL!#REF!,0))</f>
        <v>0</v>
      </c>
      <c r="BJ341" s="87">
        <f>IF(+NFL!$F312="LA Rams",+NFL!#REF!,IF(+NFL!$H312="LA Rams",+NFL!#REF!,0))</f>
        <v>0</v>
      </c>
      <c r="BK341" s="120">
        <f>IF(+NFL!$F312="LA Rams",+NFL!#REF!,IF(+NFL!$H312="LA Rams",+NFL!#REF!,0))</f>
        <v>0</v>
      </c>
    </row>
    <row r="342" spans="1:63" s="246" customFormat="1" x14ac:dyDescent="0.8">
      <c r="A342" s="46">
        <f>IF(+NFL!$F329="LA Rams",+NFL!A329,IF(+NFL!$H329="LA Rams",+NFL!A329,0))</f>
        <v>18</v>
      </c>
      <c r="B342" s="348" t="str">
        <f>IF(+NFL!$F329="LA Rams",+NFL!B329,IF(+NFL!$H329="LA Rams",+NFL!B329,0))</f>
        <v>Sun</v>
      </c>
      <c r="C342" s="48">
        <f>IF(+NFL!$F329="LA Rams",+NFL!C329,IF(+NFL!$H329="LA Rams",+NFL!C329,0))</f>
        <v>44934</v>
      </c>
      <c r="D342" s="490">
        <f>IF(+NFL!$F329="LA Rams",+NFL!D329,IF(+NFL!$H329="LA Rams",+NFL!D329,0))</f>
        <v>0.67708333333333337</v>
      </c>
      <c r="E342" s="46" t="str">
        <f>IF(+NFL!$F329="LA Rams",+NFL!E329,IF(+NFL!$H329="LA Rams",+NFL!E329,0))</f>
        <v>Fox</v>
      </c>
      <c r="F342" s="114" t="str">
        <f>IF(+NFL!$F329="LA Rams",+NFL!F329,IF(+NFL!$H329="LA Rams",+NFL!F329,0))</f>
        <v>LA Rams</v>
      </c>
      <c r="G342" s="46" t="str">
        <f>IF(+NFL!$F329="LA Rams",+NFL!G329,IF(+NFL!$H329="LA Rams",+NFL!G329,0))</f>
        <v>NFCW</v>
      </c>
      <c r="H342" s="114" t="str">
        <f>IF(+NFL!$F329="LA Rams",+NFL!H329,IF(+NFL!$H329="LA Rams",+NFL!H329,0))</f>
        <v>Seattle</v>
      </c>
      <c r="I342" s="46" t="str">
        <f>IF(+NFL!$F329="LA Rams",+NFL!I329,IF(+NFL!$H329="LA Rams",+NFL!I329,0))</f>
        <v>NFCW</v>
      </c>
      <c r="J342" s="353" t="str">
        <f>IF(+NFL!$F329="LA Rams",+NFL!J329,IF(+NFL!$H329="LA Rams",+NFL!J329,0))</f>
        <v>Seattle</v>
      </c>
      <c r="K342" s="494" t="str">
        <f>IF(+NFL!$F329="LA Rams",+NFL!K329,IF(+NFL!$H329="LA Rams",+NFL!K329,0))</f>
        <v>LA Rams</v>
      </c>
      <c r="L342" s="384">
        <f>IF(+NFL!$F329="LA Rams",+NFL!L329,IF(+NFL!$H329="LA Rams",+NFL!L329,0))</f>
        <v>6.5</v>
      </c>
      <c r="M342" s="385">
        <f>IF(+NFL!$F329="LA Rams",+NFL!M329,IF(+NFL!$H329="LA Rams",+NFL!M329,0))</f>
        <v>41.5</v>
      </c>
      <c r="N342" s="394" t="str">
        <f>IF(+NFL!$F329="LA Rams",+NFL!N329,IF(+NFL!$H329="LA Rams",+NFL!N329,0))</f>
        <v>Seattle</v>
      </c>
      <c r="O342" s="395">
        <f>IF(+NFL!$F329="LA Rams",+NFL!O329,IF(+NFL!$H329="LA Rams",+NFL!O329,0))</f>
        <v>19</v>
      </c>
      <c r="P342" s="394" t="str">
        <f>IF(+NFL!$F329="LA Rams",+NFL!P329,IF(+NFL!$H329="LA Rams",+NFL!P329,0))</f>
        <v>LA Rams</v>
      </c>
      <c r="Q342" s="396">
        <f>IF(+NFL!$F329="LA Rams",+NFL!Q329,IF(+NFL!$H329="LA Rams",+NFL!Q329,0))</f>
        <v>16</v>
      </c>
      <c r="R342" s="397" t="str">
        <f>IF(+NFL!$F329="LA Rams",+NFL!R329,IF(+NFL!$H329="LA Rams",+NFL!R329,0))</f>
        <v>LA Rams</v>
      </c>
      <c r="S342" s="396" t="str">
        <f>IF(+NFL!$F329="LA Rams",+NFL!S329,IF(+NFL!$H329="LA Rams",+NFL!S329,0))</f>
        <v>Seattle</v>
      </c>
      <c r="T342" s="398" t="str">
        <f>IF(+NFL!$F329="LA Rams",+NFL!T329,IF(+NFL!$H329="LA Rams",+NFL!T329,0))</f>
        <v>LA Rams</v>
      </c>
      <c r="U342" s="396" t="str">
        <f>IF(+NFL!$F329="LA Rams",+NFL!U329,IF(+NFL!$H329="LA Rams",+NFL!U329,0))</f>
        <v>W</v>
      </c>
      <c r="V342" s="397">
        <f>IF(+NFL!$F330="LA Rams",+NFL!#REF!,IF(+NFL!$H330="LA Rams",+NFL!#REF!,0))</f>
        <v>0</v>
      </c>
      <c r="W342" s="396">
        <f>IF(+NFL!$F330="LA Rams",+NFL!#REF!,IF(+NFL!$H330="LA Rams",+NFL!#REF!,0))</f>
        <v>0</v>
      </c>
      <c r="X342" s="398">
        <f>IF(+NFL!$F330="LA Rams",+NFL!#REF!,IF(+NFL!$H330="LA Rams",+NFL!#REF!,0))</f>
        <v>0</v>
      </c>
      <c r="Y342" s="396">
        <f>IF(+NFL!$F330="LA Rams",+NFL!#REF!,IF(+NFL!$H330="LA Rams",+NFL!#REF!,0))</f>
        <v>0</v>
      </c>
      <c r="Z342" s="397">
        <f>IF(+NFL!$F330="LA Rams",+NFL!#REF!,IF(+NFL!$H330="LA Rams",+NFL!#REF!,0))</f>
        <v>0</v>
      </c>
      <c r="AA342" s="396">
        <f>IF(+NFL!$F330="LA Rams",+NFL!#REF!,IF(+NFL!$H330="LA Rams",+NFL!#REF!,0))</f>
        <v>0</v>
      </c>
      <c r="AB342" s="87">
        <f>IF(+NFL!$F330="LA Rams",+NFL!#REF!,IF(+NFL!$H330="LA Rams",+NFL!#REF!,0))</f>
        <v>0</v>
      </c>
      <c r="AC342" s="120">
        <f>IF(+NFL!$F330="LA Rams",+NFL!#REF!,IF(+NFL!$H330="LA Rams",+NFL!#REF!,0))</f>
        <v>0</v>
      </c>
      <c r="AD342" s="353">
        <f>IF(+NFL!$F330="LA Rams",+NFL!#REF!,IF(+NFL!$H330="LA Rams",+NFL!#REF!,0))</f>
        <v>0</v>
      </c>
      <c r="AE342" s="379">
        <f>IF(+NFL!$F330="LA Rams",+NFL!#REF!,IF(+NFL!$H330="LA Rams",+NFL!#REF!,0))</f>
        <v>0</v>
      </c>
      <c r="AF342" s="353">
        <f>IF(+NFL!$F330="LA Rams",+NFL!#REF!,IF(+NFL!$H330="LA Rams",+NFL!#REF!,0))</f>
        <v>0</v>
      </c>
      <c r="AG342" s="379">
        <f>IF(+NFL!$F330="LA Rams",+NFL!#REF!,IF(+NFL!$H330="LA Rams",+NFL!#REF!,0))</f>
        <v>0</v>
      </c>
      <c r="AH342" s="353">
        <f>IF(+NFL!$F330="LA Rams",+NFL!#REF!,IF(+NFL!$H330="LA Rams",+NFL!#REF!,0))</f>
        <v>0</v>
      </c>
      <c r="AI342" s="379">
        <f>IF(+NFL!$F330="LA Rams",+NFL!#REF!,IF(+NFL!$H330="LA Rams",+NFL!#REF!,0))</f>
        <v>0</v>
      </c>
      <c r="AJ342" s="353">
        <f>IF(+NFL!$F330="LA Rams",+NFL!#REF!,IF(+NFL!$H330="LA Rams",+NFL!#REF!,0))</f>
        <v>0</v>
      </c>
      <c r="AK342" s="379">
        <f>IF(+NFL!$F330="LA Rams",+NFL!#REF!,IF(+NFL!$H330="LA Rams",+NFL!#REF!,0))</f>
        <v>0</v>
      </c>
      <c r="AL342" s="68">
        <f>IF(+NFL!$F330="LA Rams",+NFL!#REF!,IF(+NFL!$H330="LA Rams",+NFL!#REF!,0))</f>
        <v>0</v>
      </c>
      <c r="AM342" s="58">
        <f>IF(+NFL!$F330="LA Rams",+NFL!#REF!,IF(+NFL!$H330="LA Rams",+NFL!#REF!,0))</f>
        <v>0</v>
      </c>
      <c r="AN342" s="57">
        <f>IF(+NFL!$F330="LA Rams",+NFL!#REF!,IF(+NFL!$H330="LA Rams",+NFL!#REF!,0))</f>
        <v>0</v>
      </c>
      <c r="AO342" s="59">
        <f>IF(+NFL!$F330="LA Rams",+NFL!#REF!,IF(+NFL!$H330="LA Rams",+NFL!#REF!,0))</f>
        <v>0</v>
      </c>
      <c r="AP342" s="348">
        <f>IF(+NFL!$F330="LA Rams",+NFL!#REF!,IF(+NFL!$H330="LA Rams",+NFL!#REF!,0))</f>
        <v>0</v>
      </c>
      <c r="AQ342" s="48">
        <f>IF(+NFL!$F330="LA Rams",+NFL!#REF!,IF(+NFL!$H330="LA Rams",+NFL!#REF!,0))</f>
        <v>0</v>
      </c>
      <c r="AR342" s="57">
        <f>IF(+NFL!$F330="LA Rams",+NFL!#REF!,IF(+NFL!$H330="LA Rams",+NFL!#REF!,0))</f>
        <v>0</v>
      </c>
      <c r="AS342" s="64">
        <f>IF(+NFL!$F330="LA Rams",+NFL!#REF!,IF(+NFL!$H330="LA Rams",+NFL!#REF!,0))</f>
        <v>0</v>
      </c>
      <c r="AT342" s="64">
        <f>IF(+NFL!$F330="LA Rams",+NFL!#REF!,IF(+NFL!$H330="LA Rams",+NFL!#REF!,0))</f>
        <v>0</v>
      </c>
      <c r="AU342" s="57">
        <f>IF(+NFL!$F330="LA Rams",+NFL!#REF!,IF(+NFL!$H330="LA Rams",+NFL!#REF!,0))</f>
        <v>0</v>
      </c>
      <c r="AV342" s="64">
        <f>IF(+NFL!$F330="LA Rams",+NFL!#REF!,IF(+NFL!$H330="LA Rams",+NFL!#REF!,0))</f>
        <v>0</v>
      </c>
      <c r="AW342" s="46">
        <f>IF(+NFL!$F330="LA Rams",+NFL!#REF!,IF(+NFL!$H330="LA Rams",+NFL!#REF!,0))</f>
        <v>0</v>
      </c>
      <c r="AX342" s="64">
        <f>IF(+NFL!$F330="LA Rams",+NFL!#REF!,IF(+NFL!$H330="LA Rams",+NFL!#REF!,0))</f>
        <v>0</v>
      </c>
      <c r="AY342" s="57">
        <f>IF(+NFL!$F330="LA Rams",+NFL!#REF!,IF(+NFL!$H330="LA Rams",+NFL!#REF!,0))</f>
        <v>0</v>
      </c>
      <c r="AZ342" s="64">
        <f>IF(+NFL!$F330="LA Rams",+NFL!#REF!,IF(+NFL!$H330="LA Rams",+NFL!#REF!,0))</f>
        <v>0</v>
      </c>
      <c r="BA342" s="46">
        <f>IF(+NFL!$F330="LA Rams",+NFL!#REF!,IF(+NFL!$H330="LA Rams",+NFL!#REF!,0))</f>
        <v>0</v>
      </c>
      <c r="BB342" s="46">
        <f>IF(+NFL!$F330="LA Rams",+NFL!#REF!,IF(+NFL!$H330="LA Rams",+NFL!#REF!,0))</f>
        <v>0</v>
      </c>
      <c r="BC342" s="403">
        <f>IF(+NFL!$F330="LA Rams",+NFL!#REF!,IF(+NFL!$H330="LA Rams",+NFL!#REF!,0))</f>
        <v>0</v>
      </c>
      <c r="BD342" s="57">
        <f>IF(+NFL!$F330="LA Rams",+NFL!#REF!,IF(+NFL!$H330="LA Rams",+NFL!#REF!,0))</f>
        <v>0</v>
      </c>
      <c r="BE342" s="64">
        <f>IF(+NFL!$F330="LA Rams",+NFL!#REF!,IF(+NFL!$H330="LA Rams",+NFL!#REF!,0))</f>
        <v>0</v>
      </c>
      <c r="BF342" s="46">
        <f>IF(+NFL!$F330="LA Rams",+NFL!#REF!,IF(+NFL!$H330="LA Rams",+NFL!#REF!,0))</f>
        <v>0</v>
      </c>
      <c r="BG342" s="57">
        <f>IF(+NFL!$F330="LA Rams",+NFL!#REF!,IF(+NFL!$H330="LA Rams",+NFL!#REF!,0))</f>
        <v>0</v>
      </c>
      <c r="BH342" s="64">
        <f>IF(+NFL!$F330="LA Rams",+NFL!#REF!,IF(+NFL!$H330="LA Rams",+NFL!#REF!,0))</f>
        <v>0</v>
      </c>
      <c r="BI342" s="46">
        <f>IF(+NFL!$F330="LA Rams",+NFL!#REF!,IF(+NFL!$H330="LA Rams",+NFL!#REF!,0))</f>
        <v>0</v>
      </c>
      <c r="BJ342" s="87">
        <f>IF(+NFL!$F330="LA Rams",+NFL!#REF!,IF(+NFL!$H330="LA Rams",+NFL!#REF!,0))</f>
        <v>0</v>
      </c>
      <c r="BK342" s="120">
        <f>IF(+NFL!$F330="LA Rams",+NFL!#REF!,IF(+NFL!$H330="LA Rams",+NFL!#REF!,0))</f>
        <v>0</v>
      </c>
    </row>
    <row r="343" spans="1:63" s="246" customFormat="1" x14ac:dyDescent="0.8">
      <c r="A343" s="46"/>
      <c r="B343" s="348"/>
      <c r="C343" s="48"/>
      <c r="D343" s="49"/>
      <c r="E343" s="46"/>
      <c r="F343" s="959" t="str">
        <f>F344</f>
        <v>Las Vegas</v>
      </c>
      <c r="G343" s="960"/>
      <c r="H343" s="960"/>
      <c r="I343" s="961"/>
      <c r="J343" s="353"/>
      <c r="K343" s="364"/>
      <c r="L343" s="384"/>
      <c r="M343" s="385"/>
      <c r="N343" s="394"/>
      <c r="O343" s="395"/>
      <c r="P343" s="394"/>
      <c r="Q343" s="396"/>
      <c r="R343" s="397"/>
      <c r="S343" s="396"/>
      <c r="T343" s="398"/>
      <c r="U343" s="396"/>
      <c r="V343" s="397"/>
      <c r="W343" s="396"/>
      <c r="X343" s="398"/>
      <c r="Y343" s="396"/>
      <c r="Z343" s="397"/>
      <c r="AA343" s="396"/>
      <c r="AB343" s="87"/>
      <c r="AC343" s="120"/>
      <c r="AD343" s="353"/>
      <c r="AE343" s="379"/>
      <c r="AF343" s="353"/>
      <c r="AG343" s="379"/>
      <c r="AH343" s="353"/>
      <c r="AI343" s="379"/>
      <c r="AJ343" s="353"/>
      <c r="AK343" s="379"/>
      <c r="AL343" s="68"/>
      <c r="AM343" s="58"/>
      <c r="AN343" s="57"/>
      <c r="AO343" s="59"/>
      <c r="AP343" s="348"/>
      <c r="AQ343" s="348"/>
      <c r="AR343" s="57"/>
      <c r="AS343" s="64"/>
      <c r="AT343" s="64"/>
      <c r="AU343" s="57"/>
      <c r="AV343" s="64"/>
      <c r="AW343" s="46"/>
      <c r="AX343" s="64"/>
      <c r="AY343" s="57"/>
      <c r="AZ343" s="64"/>
      <c r="BA343" s="46"/>
      <c r="BB343" s="46"/>
      <c r="BC343" s="348"/>
      <c r="BD343" s="57"/>
      <c r="BE343" s="64"/>
      <c r="BF343" s="46"/>
      <c r="BG343" s="57"/>
      <c r="BH343" s="64"/>
      <c r="BI343" s="46"/>
      <c r="BJ343" s="87"/>
      <c r="BK343" s="120"/>
    </row>
    <row r="344" spans="1:63" s="246" customFormat="1" x14ac:dyDescent="0.8">
      <c r="A344" s="46">
        <f>IF(+NFL!$F17="Las Vegas",+NFL!A17,IF(+NFL!$H17="Las Vegas",+NFL!A17,0))</f>
        <v>1</v>
      </c>
      <c r="B344" s="348" t="str">
        <f>IF(+NFL!$F17="Las Vegas",+NFL!B17,IF(+NFL!$H17="Las Vegas",+NFL!B17,0))</f>
        <v>Sun</v>
      </c>
      <c r="C344" s="48">
        <f>IF(+NFL!$F17="Las Vegas",+NFL!C17,IF(+NFL!$H17="Las Vegas",+NFL!C17,0))</f>
        <v>44815</v>
      </c>
      <c r="D344" s="490">
        <f>IF(+NFL!$F17="Las Vegas",+NFL!D17,IF(+NFL!$H17="Las Vegas",+NFL!D17,0))</f>
        <v>0.66666666666666663</v>
      </c>
      <c r="E344" s="46" t="str">
        <f>IF(+NFL!$F17="Las Vegas",+NFL!E17,IF(+NFL!$H17="Las Vegas",+NFL!E17,0))</f>
        <v>CBS</v>
      </c>
      <c r="F344" s="127" t="str">
        <f>IF(+NFL!$F17="Las Vegas",+NFL!F17,IF(+NFL!$H17="Las Vegas",+NFL!F17,0))</f>
        <v>Las Vegas</v>
      </c>
      <c r="G344" s="46" t="str">
        <f>IF(+NFL!$F17="Las Vegas",+NFL!G17,IF(+NFL!$H17="Las Vegas",+NFL!G17,0))</f>
        <v>AFCW</v>
      </c>
      <c r="H344" s="127" t="str">
        <f>IF(+NFL!$F17="Las Vegas",+NFL!H17,IF(+NFL!$H17="Las Vegas",+NFL!H17,0))</f>
        <v>LA Chargers</v>
      </c>
      <c r="I344" s="46" t="str">
        <f>IF(+NFL!$F17="Las Vegas",+NFL!I17,IF(+NFL!$H17="Las Vegas",+NFL!I17,0))</f>
        <v>AFCW</v>
      </c>
      <c r="J344" s="353" t="str">
        <f>IF(+NFL!$F17="Las Vegas",+NFL!J17,IF(+NFL!$H17="Las Vegas",+NFL!J17,0))</f>
        <v>LA Chargers</v>
      </c>
      <c r="K344" s="494" t="str">
        <f>IF(+NFL!$F17="Las Vegas",+NFL!K17,IF(+NFL!$H17="Las Vegas",+NFL!K17,0))</f>
        <v>Las Vegas</v>
      </c>
      <c r="L344" s="384">
        <f>IF(+NFL!$F17="Las Vegas",+NFL!L17,IF(+NFL!$H17="Las Vegas",+NFL!L17,0))</f>
        <v>3.5</v>
      </c>
      <c r="M344" s="385">
        <f>IF(+NFL!$F17="Las Vegas",+NFL!M17,IF(+NFL!$H17="Las Vegas",+NFL!M17,0))</f>
        <v>52.5</v>
      </c>
      <c r="N344" s="394" t="str">
        <f>IF(+NFL!$F17="Las Vegas",+NFL!N17,IF(+NFL!$H17="Las Vegas",+NFL!N17,0))</f>
        <v>LA Chargers</v>
      </c>
      <c r="O344" s="395">
        <f>IF(+NFL!$F17="Las Vegas",+NFL!O17,IF(+NFL!$H17="Las Vegas",+NFL!O17,0))</f>
        <v>24</v>
      </c>
      <c r="P344" s="394" t="str">
        <f>IF(+NFL!$F17="Las Vegas",+NFL!P17,IF(+NFL!$H17="Las Vegas",+NFL!P17,0))</f>
        <v>Las Vegas</v>
      </c>
      <c r="Q344" s="396">
        <f>IF(+NFL!$F17="Las Vegas",+NFL!Q17,IF(+NFL!$H17="Las Vegas",+NFL!Q17,0))</f>
        <v>19</v>
      </c>
      <c r="R344" s="397" t="str">
        <f>IF(+NFL!$F17="Las Vegas",+NFL!R17,IF(+NFL!$H17="Las Vegas",+NFL!R17,0))</f>
        <v>LA Chargers</v>
      </c>
      <c r="S344" s="396" t="str">
        <f>IF(+NFL!$F17="Las Vegas",+NFL!S17,IF(+NFL!$H17="Las Vegas",+NFL!S17,0))</f>
        <v>Las Vegas</v>
      </c>
      <c r="T344" s="398" t="str">
        <f>IF(+NFL!$F17="Las Vegas",+NFL!T17,IF(+NFL!$H17="Las Vegas",+NFL!T17,0))</f>
        <v>Las Vegas</v>
      </c>
      <c r="U344" s="396" t="str">
        <f>IF(+NFL!$F17="Las Vegas",+NFL!U17,IF(+NFL!$H17="Las Vegas",+NFL!U17,0))</f>
        <v>L</v>
      </c>
      <c r="V344" s="397"/>
      <c r="W344" s="396"/>
      <c r="X344" s="398"/>
      <c r="Y344" s="396"/>
      <c r="Z344" s="397"/>
      <c r="AA344" s="396"/>
      <c r="AB344" s="87"/>
      <c r="AC344" s="120"/>
      <c r="AD344" s="353"/>
      <c r="AE344" s="379"/>
      <c r="AF344" s="353"/>
      <c r="AG344" s="379"/>
      <c r="AH344" s="353"/>
      <c r="AI344" s="379"/>
      <c r="AJ344" s="353"/>
      <c r="AK344" s="379"/>
      <c r="AL344" s="68"/>
      <c r="AM344" s="58"/>
      <c r="AN344" s="57"/>
      <c r="AO344" s="59"/>
      <c r="AP344" s="348"/>
      <c r="AQ344" s="48"/>
      <c r="AR344" s="57"/>
      <c r="AS344" s="493"/>
      <c r="AT344" s="493"/>
      <c r="AU344" s="57"/>
      <c r="AV344" s="493"/>
      <c r="AW344" s="46"/>
      <c r="AX344" s="493"/>
      <c r="AY344" s="57"/>
      <c r="AZ344" s="493"/>
      <c r="BA344" s="46"/>
      <c r="BB344" s="46"/>
      <c r="BC344" s="403"/>
      <c r="BD344" s="57"/>
      <c r="BE344" s="493"/>
      <c r="BF344" s="46"/>
      <c r="BG344" s="57"/>
      <c r="BH344" s="493"/>
      <c r="BI344" s="46"/>
      <c r="BJ344" s="87"/>
      <c r="BK344" s="120"/>
    </row>
    <row r="345" spans="1:63" s="246" customFormat="1" x14ac:dyDescent="0.8">
      <c r="A345" s="46">
        <f>IF(+NFL!$F33="Las Vegas",+NFL!A33,IF(+NFL!$H33="Las Vegas",+NFL!A33,0))</f>
        <v>2</v>
      </c>
      <c r="B345" s="348" t="str">
        <f>IF(+NFL!$F33="Las Vegas",+NFL!B33,IF(+NFL!$H33="Las Vegas",+NFL!B33,0))</f>
        <v>Sun</v>
      </c>
      <c r="C345" s="48">
        <f>IF(+NFL!$F33="Las Vegas",+NFL!C33,IF(+NFL!$H33="Las Vegas",+NFL!C33,0))</f>
        <v>44822</v>
      </c>
      <c r="D345" s="490">
        <f>IF(+NFL!$F33="Las Vegas",+NFL!D33,IF(+NFL!$H33="Las Vegas",+NFL!D33,0))</f>
        <v>0.66666666666666663</v>
      </c>
      <c r="E345" s="46" t="str">
        <f>IF(+NFL!$F33="Las Vegas",+NFL!E33,IF(+NFL!$H33="Las Vegas",+NFL!E33,0))</f>
        <v>Fox</v>
      </c>
      <c r="F345" s="127" t="str">
        <f>IF(+NFL!$F33="Las Vegas",+NFL!F33,IF(+NFL!$H33="Las Vegas",+NFL!F33,0))</f>
        <v>Arizona</v>
      </c>
      <c r="G345" s="46" t="str">
        <f>IF(+NFL!$F33="Las Vegas",+NFL!G33,IF(+NFL!$H33="Las Vegas",+NFL!G33,0))</f>
        <v>NFCW</v>
      </c>
      <c r="H345" s="127" t="str">
        <f>IF(+NFL!$F33="Las Vegas",+NFL!H33,IF(+NFL!$H33="Las Vegas",+NFL!H33,0))</f>
        <v>Las Vegas</v>
      </c>
      <c r="I345" s="46" t="str">
        <f>IF(+NFL!$F33="Las Vegas",+NFL!I33,IF(+NFL!$H33="Las Vegas",+NFL!I33,0))</f>
        <v>AFCW</v>
      </c>
      <c r="J345" s="353" t="str">
        <f>IF(+NFL!$F33="Las Vegas",+NFL!J33,IF(+NFL!$H33="Las Vegas",+NFL!J33,0))</f>
        <v>Las Vegas</v>
      </c>
      <c r="K345" s="494" t="str">
        <f>IF(+NFL!$F33="Las Vegas",+NFL!K33,IF(+NFL!$H33="Las Vegas",+NFL!K33,0))</f>
        <v>Arizona</v>
      </c>
      <c r="L345" s="384">
        <f>IF(+NFL!$F33="Las Vegas",+NFL!L33,IF(+NFL!$H33="Las Vegas",+NFL!L33,0))</f>
        <v>6</v>
      </c>
      <c r="M345" s="385">
        <f>IF(+NFL!$F33="Las Vegas",+NFL!M33,IF(+NFL!$H33="Las Vegas",+NFL!M33,0))</f>
        <v>51.5</v>
      </c>
      <c r="N345" s="394" t="str">
        <f>IF(+NFL!$F33="Las Vegas",+NFL!N33,IF(+NFL!$H33="Las Vegas",+NFL!N33,0))</f>
        <v>Arizona</v>
      </c>
      <c r="O345" s="395">
        <f>IF(+NFL!$F33="Las Vegas",+NFL!O33,IF(+NFL!$H33="Las Vegas",+NFL!O33,0))</f>
        <v>29</v>
      </c>
      <c r="P345" s="394" t="str">
        <f>IF(+NFL!$F33="Las Vegas",+NFL!P33,IF(+NFL!$H33="Las Vegas",+NFL!P33,0))</f>
        <v>Las Vegas</v>
      </c>
      <c r="Q345" s="396">
        <f>IF(+NFL!$F33="Las Vegas",+NFL!Q33,IF(+NFL!$H33="Las Vegas",+NFL!Q33,0))</f>
        <v>23</v>
      </c>
      <c r="R345" s="397" t="str">
        <f>IF(+NFL!$F33="Las Vegas",+NFL!R33,IF(+NFL!$H33="Las Vegas",+NFL!R33,0))</f>
        <v>Arizona</v>
      </c>
      <c r="S345" s="396" t="str">
        <f>IF(+NFL!$F33="Las Vegas",+NFL!S33,IF(+NFL!$H33="Las Vegas",+NFL!S33,0))</f>
        <v>Las Vegas</v>
      </c>
      <c r="T345" s="398" t="str">
        <f>IF(+NFL!$F33="Las Vegas",+NFL!T33,IF(+NFL!$H33="Las Vegas",+NFL!T33,0))</f>
        <v>Arizona</v>
      </c>
      <c r="U345" s="396" t="str">
        <f>IF(+NFL!$F33="Las Vegas",+NFL!U33,IF(+NFL!$H33="Las Vegas",+NFL!U33,0))</f>
        <v>W</v>
      </c>
      <c r="V345" s="397"/>
      <c r="W345" s="396"/>
      <c r="X345" s="398"/>
      <c r="Y345" s="396"/>
      <c r="Z345" s="397"/>
      <c r="AA345" s="396"/>
      <c r="AB345" s="87"/>
      <c r="AC345" s="120"/>
      <c r="AD345" s="353"/>
      <c r="AE345" s="379"/>
      <c r="AF345" s="353"/>
      <c r="AG345" s="379"/>
      <c r="AH345" s="353"/>
      <c r="AI345" s="379"/>
      <c r="AJ345" s="353"/>
      <c r="AK345" s="379"/>
      <c r="AL345" s="68"/>
      <c r="AM345" s="58"/>
      <c r="AN345" s="57"/>
      <c r="AO345" s="59"/>
      <c r="AP345" s="348"/>
      <c r="AQ345" s="48"/>
      <c r="AR345" s="57"/>
      <c r="AS345" s="493"/>
      <c r="AT345" s="493"/>
      <c r="AU345" s="57"/>
      <c r="AV345" s="493"/>
      <c r="AW345" s="46"/>
      <c r="AX345" s="493"/>
      <c r="AY345" s="57"/>
      <c r="AZ345" s="493"/>
      <c r="BA345" s="46"/>
      <c r="BB345" s="46"/>
      <c r="BC345" s="403"/>
      <c r="BD345" s="57"/>
      <c r="BE345" s="493"/>
      <c r="BF345" s="46"/>
      <c r="BG345" s="57"/>
      <c r="BH345" s="493"/>
      <c r="BI345" s="46"/>
      <c r="BJ345" s="87"/>
      <c r="BK345" s="120"/>
    </row>
    <row r="346" spans="1:63" s="246" customFormat="1" x14ac:dyDescent="0.8">
      <c r="A346" s="46">
        <f>IF(+NFL!$F40="Las Vegas",+NFL!A40,IF(+NFL!$H40="Las Vegas",+NFL!A40,0))</f>
        <v>3</v>
      </c>
      <c r="B346" s="348" t="str">
        <f>IF(+NFL!$F40="Las Vegas",+NFL!B40,IF(+NFL!$H40="Las Vegas",+NFL!B40,0))</f>
        <v>Sun</v>
      </c>
      <c r="C346" s="48">
        <f>IF(+NFL!$F40="Las Vegas",+NFL!C40,IF(+NFL!$H40="Las Vegas",+NFL!C40,0))</f>
        <v>44829</v>
      </c>
      <c r="D346" s="490">
        <f>IF(+NFL!$F40="Las Vegas",+NFL!D40,IF(+NFL!$H40="Las Vegas",+NFL!D40,0))</f>
        <v>0.54166666666666663</v>
      </c>
      <c r="E346" s="46" t="str">
        <f>IF(+NFL!$F40="Las Vegas",+NFL!E40,IF(+NFL!$H40="Las Vegas",+NFL!E40,0))</f>
        <v>CBS</v>
      </c>
      <c r="F346" s="127" t="str">
        <f>IF(+NFL!$F40="Las Vegas",+NFL!F40,IF(+NFL!$H40="Las Vegas",+NFL!F40,0))</f>
        <v>Las Vegas</v>
      </c>
      <c r="G346" s="46" t="str">
        <f>IF(+NFL!$F40="Las Vegas",+NFL!G40,IF(+NFL!$H40="Las Vegas",+NFL!G40,0))</f>
        <v>AFCW</v>
      </c>
      <c r="H346" s="127" t="str">
        <f>IF(+NFL!$F40="Las Vegas",+NFL!H40,IF(+NFL!$H40="Las Vegas",+NFL!H40,0))</f>
        <v>Tennessee</v>
      </c>
      <c r="I346" s="46" t="str">
        <f>IF(+NFL!$F40="Las Vegas",+NFL!I40,IF(+NFL!$H40="Las Vegas",+NFL!I40,0))</f>
        <v>AFCS</v>
      </c>
      <c r="J346" s="353" t="str">
        <f>IF(+NFL!$F40="Las Vegas",+NFL!J40,IF(+NFL!$H40="Las Vegas",+NFL!J40,0))</f>
        <v>Las Vegas</v>
      </c>
      <c r="K346" s="494" t="str">
        <f>IF(+NFL!$F40="Las Vegas",+NFL!K40,IF(+NFL!$H40="Las Vegas",+NFL!K40,0))</f>
        <v>Tennessee</v>
      </c>
      <c r="L346" s="384">
        <f>IF(+NFL!$F40="Las Vegas",+NFL!L40,IF(+NFL!$H40="Las Vegas",+NFL!L40,0))</f>
        <v>2</v>
      </c>
      <c r="M346" s="385">
        <f>IF(+NFL!$F40="Las Vegas",+NFL!M40,IF(+NFL!$H40="Las Vegas",+NFL!M40,0))</f>
        <v>45.5</v>
      </c>
      <c r="N346" s="394" t="str">
        <f>IF(+NFL!$F40="Las Vegas",+NFL!N40,IF(+NFL!$H40="Las Vegas",+NFL!N40,0))</f>
        <v>Tennessee</v>
      </c>
      <c r="O346" s="395">
        <f>IF(+NFL!$F40="Las Vegas",+NFL!O40,IF(+NFL!$H40="Las Vegas",+NFL!O40,0))</f>
        <v>24</v>
      </c>
      <c r="P346" s="394" t="str">
        <f>IF(+NFL!$F40="Las Vegas",+NFL!P40,IF(+NFL!$H40="Las Vegas",+NFL!P40,0))</f>
        <v>Las Vegas</v>
      </c>
      <c r="Q346" s="396">
        <f>IF(+NFL!$F40="Las Vegas",+NFL!Q40,IF(+NFL!$H40="Las Vegas",+NFL!Q40,0))</f>
        <v>22</v>
      </c>
      <c r="R346" s="397" t="str">
        <f>IF(+NFL!$F40="Las Vegas",+NFL!R40,IF(+NFL!$H40="Las Vegas",+NFL!R40,0))</f>
        <v>Tennessee</v>
      </c>
      <c r="S346" s="396" t="str">
        <f>IF(+NFL!$F40="Las Vegas",+NFL!S40,IF(+NFL!$H40="Las Vegas",+NFL!S40,0))</f>
        <v>Las Vegas</v>
      </c>
      <c r="T346" s="398" t="str">
        <f>IF(+NFL!$F40="Las Vegas",+NFL!T40,IF(+NFL!$H40="Las Vegas",+NFL!T40,0))</f>
        <v>Las Vegas</v>
      </c>
      <c r="U346" s="396" t="str">
        <f>IF(+NFL!$F40="Las Vegas",+NFL!U40,IF(+NFL!$H40="Las Vegas",+NFL!U40,0))</f>
        <v>L</v>
      </c>
      <c r="V346" s="397"/>
      <c r="W346" s="396"/>
      <c r="X346" s="398"/>
      <c r="Y346" s="396"/>
      <c r="Z346" s="397"/>
      <c r="AA346" s="396"/>
      <c r="AB346" s="87"/>
      <c r="AC346" s="120"/>
      <c r="AD346" s="353"/>
      <c r="AE346" s="379"/>
      <c r="AF346" s="353"/>
      <c r="AG346" s="379"/>
      <c r="AH346" s="353"/>
      <c r="AI346" s="379"/>
      <c r="AJ346" s="353"/>
      <c r="AK346" s="379"/>
      <c r="AL346" s="68"/>
      <c r="AM346" s="58"/>
      <c r="AN346" s="57"/>
      <c r="AO346" s="59"/>
      <c r="AP346" s="348"/>
      <c r="AQ346" s="48"/>
      <c r="AR346" s="57"/>
      <c r="AS346" s="64"/>
      <c r="AT346" s="64"/>
      <c r="AU346" s="57"/>
      <c r="AV346" s="64"/>
      <c r="AW346" s="46"/>
      <c r="AX346" s="64"/>
      <c r="AY346" s="57"/>
      <c r="AZ346" s="64"/>
      <c r="BA346" s="46"/>
      <c r="BB346" s="46"/>
      <c r="BC346" s="403"/>
      <c r="BD346" s="57"/>
      <c r="BE346" s="64"/>
      <c r="BF346" s="46"/>
      <c r="BG346" s="57"/>
      <c r="BH346" s="64"/>
      <c r="BI346" s="46"/>
      <c r="BJ346" s="87"/>
      <c r="BK346" s="120"/>
    </row>
    <row r="347" spans="1:63" s="246" customFormat="1" x14ac:dyDescent="0.8">
      <c r="A347" s="46">
        <f>IF(+NFL!$F68="Las Vegas",+NFL!A68,IF(+NFL!$H68="Las Vegas",+NFL!A68,0))</f>
        <v>4</v>
      </c>
      <c r="B347" s="348" t="str">
        <f>IF(+NFL!$F68="Las Vegas",+NFL!B68,IF(+NFL!$H68="Las Vegas",+NFL!B68,0))</f>
        <v>Sun</v>
      </c>
      <c r="C347" s="48">
        <f>IF(+NFL!$F68="Las Vegas",+NFL!C68,IF(+NFL!$H68="Las Vegas",+NFL!C68,0))</f>
        <v>44836</v>
      </c>
      <c r="D347" s="490">
        <f>IF(+NFL!$F68="Las Vegas",+NFL!D68,IF(+NFL!$H68="Las Vegas",+NFL!D68,0))</f>
        <v>0.66666666666666663</v>
      </c>
      <c r="E347" s="46" t="str">
        <f>IF(+NFL!$F68="Las Vegas",+NFL!E68,IF(+NFL!$H68="Las Vegas",+NFL!E68,0))</f>
        <v>CBS</v>
      </c>
      <c r="F347" s="127" t="str">
        <f>IF(+NFL!$F68="Las Vegas",+NFL!F68,IF(+NFL!$H68="Las Vegas",+NFL!F68,0))</f>
        <v>Denver</v>
      </c>
      <c r="G347" s="46" t="str">
        <f>IF(+NFL!$F68="Las Vegas",+NFL!G68,IF(+NFL!$H68="Las Vegas",+NFL!G68,0))</f>
        <v>AFCW</v>
      </c>
      <c r="H347" s="127" t="str">
        <f>IF(+NFL!$F68="Las Vegas",+NFL!H68,IF(+NFL!$H68="Las Vegas",+NFL!H68,0))</f>
        <v>Las Vegas</v>
      </c>
      <c r="I347" s="46" t="str">
        <f>IF(+NFL!$F68="Las Vegas",+NFL!I68,IF(+NFL!$H68="Las Vegas",+NFL!I68,0))</f>
        <v>AFCW</v>
      </c>
      <c r="J347" s="353" t="str">
        <f>IF(+NFL!$F68="Las Vegas",+NFL!J68,IF(+NFL!$H68="Las Vegas",+NFL!J68,0))</f>
        <v>Las Vegas</v>
      </c>
      <c r="K347" s="494" t="str">
        <f>IF(+NFL!$F68="Las Vegas",+NFL!K68,IF(+NFL!$H68="Las Vegas",+NFL!K68,0))</f>
        <v>Denver</v>
      </c>
      <c r="L347" s="384">
        <f>IF(+NFL!$F68="Las Vegas",+NFL!L68,IF(+NFL!$H68="Las Vegas",+NFL!L68,0))</f>
        <v>2.5</v>
      </c>
      <c r="M347" s="385">
        <f>IF(+NFL!$F68="Las Vegas",+NFL!M68,IF(+NFL!$H68="Las Vegas",+NFL!M68,0))</f>
        <v>46</v>
      </c>
      <c r="N347" s="394" t="str">
        <f>IF(+NFL!$F68="Las Vegas",+NFL!N68,IF(+NFL!$H68="Las Vegas",+NFL!N68,0))</f>
        <v>Las Vegas</v>
      </c>
      <c r="O347" s="395">
        <f>IF(+NFL!$F68="Las Vegas",+NFL!O68,IF(+NFL!$H68="Las Vegas",+NFL!O68,0))</f>
        <v>32</v>
      </c>
      <c r="P347" s="394" t="str">
        <f>IF(+NFL!$F68="Las Vegas",+NFL!P68,IF(+NFL!$H68="Las Vegas",+NFL!P68,0))</f>
        <v>Denver</v>
      </c>
      <c r="Q347" s="396">
        <f>IF(+NFL!$F68="Las Vegas",+NFL!Q68,IF(+NFL!$H68="Las Vegas",+NFL!Q68,0))</f>
        <v>23</v>
      </c>
      <c r="R347" s="397" t="str">
        <f>IF(+NFL!$F68="Las Vegas",+NFL!R68,IF(+NFL!$H68="Las Vegas",+NFL!R68,0))</f>
        <v>Las Vegas</v>
      </c>
      <c r="S347" s="396" t="str">
        <f>IF(+NFL!$F68="Las Vegas",+NFL!S68,IF(+NFL!$H68="Las Vegas",+NFL!S68,0))</f>
        <v>Denver</v>
      </c>
      <c r="T347" s="398" t="str">
        <f>IF(+NFL!$F68="Las Vegas",+NFL!T68,IF(+NFL!$H68="Las Vegas",+NFL!T68,0))</f>
        <v>Denver</v>
      </c>
      <c r="U347" s="396" t="str">
        <f>IF(+NFL!$F68="Las Vegas",+NFL!U68,IF(+NFL!$H68="Las Vegas",+NFL!U68,0))</f>
        <v>L</v>
      </c>
      <c r="V347" s="397">
        <f>IF(+NFL!$F38="Oakland",+NFL!#REF!,IF(+NFL!$H38="Oakland",+NFL!#REF!,0))</f>
        <v>0</v>
      </c>
      <c r="W347" s="396">
        <f>IF(+NFL!$F38="Oakland",+NFL!#REF!,IF(+NFL!$H38="Oakland",+NFL!#REF!,0))</f>
        <v>0</v>
      </c>
      <c r="X347" s="398">
        <f>IF(+NFL!$F38="Oakland",+NFL!#REF!,IF(+NFL!$H38="Oakland",+NFL!#REF!,0))</f>
        <v>0</v>
      </c>
      <c r="Y347" s="396">
        <f>IF(+NFL!$F38="Oakland",+NFL!#REF!,IF(+NFL!$H38="Oakland",+NFL!#REF!,0))</f>
        <v>0</v>
      </c>
      <c r="Z347" s="397">
        <f>IF(+NFL!$F38="Oakland",+NFL!#REF!,IF(+NFL!$H38="Oakland",+NFL!#REF!,0))</f>
        <v>0</v>
      </c>
      <c r="AA347" s="396">
        <f>IF(+NFL!$F38="Oakland",+NFL!#REF!,IF(+NFL!$H38="Oakland",+NFL!#REF!,0))</f>
        <v>0</v>
      </c>
      <c r="AB347" s="87">
        <f>IF(+NFL!$F38="Oakland",+NFL!#REF!,IF(+NFL!$H38="Oakland",+NFL!#REF!,0))</f>
        <v>0</v>
      </c>
      <c r="AC347" s="120">
        <f>IF(+NFL!$F38="Oakland",+NFL!#REF!,IF(+NFL!$H38="Oakland",+NFL!#REF!,0))</f>
        <v>0</v>
      </c>
      <c r="AD347" s="353">
        <f>IF(+NFL!$F38="Oakland",+NFL!#REF!,IF(+NFL!$H38="Oakland",+NFL!#REF!,0))</f>
        <v>0</v>
      </c>
      <c r="AE347" s="379">
        <f>IF(+NFL!$F38="Oakland",+NFL!#REF!,IF(+NFL!$H38="Oakland",+NFL!#REF!,0))</f>
        <v>0</v>
      </c>
      <c r="AF347" s="353">
        <f>IF(+NFL!$F38="Oakland",+NFL!#REF!,IF(+NFL!$H38="Oakland",+NFL!#REF!,0))</f>
        <v>0</v>
      </c>
      <c r="AG347" s="379">
        <f>IF(+NFL!$F38="Oakland",+NFL!#REF!,IF(+NFL!$H38="Oakland",+NFL!#REF!,0))</f>
        <v>0</v>
      </c>
      <c r="AH347" s="353">
        <f>IF(+NFL!$F38="Oakland",+NFL!#REF!,IF(+NFL!$H38="Oakland",+NFL!#REF!,0))</f>
        <v>0</v>
      </c>
      <c r="AI347" s="379">
        <f>IF(+NFL!$F38="Oakland",+NFL!#REF!,IF(+NFL!$H38="Oakland",+NFL!#REF!,0))</f>
        <v>0</v>
      </c>
      <c r="AJ347" s="353">
        <f>IF(+NFL!$F38="Oakland",+NFL!#REF!,IF(+NFL!$H38="Oakland",+NFL!#REF!,0))</f>
        <v>0</v>
      </c>
      <c r="AK347" s="379">
        <f>IF(+NFL!$F38="Oakland",+NFL!#REF!,IF(+NFL!$H38="Oakland",+NFL!#REF!,0))</f>
        <v>0</v>
      </c>
      <c r="AL347" s="68">
        <f>IF(+NFL!$F38="Oakland",+NFL!#REF!,IF(+NFL!$H38="Oakland",+NFL!#REF!,0))</f>
        <v>0</v>
      </c>
      <c r="AM347" s="58">
        <f>IF(+NFL!$F38="Oakland",+NFL!#REF!,IF(+NFL!$H38="Oakland",+NFL!#REF!,0))</f>
        <v>0</v>
      </c>
      <c r="AN347" s="57">
        <f>IF(+NFL!$F38="Oakland",+NFL!#REF!,IF(+NFL!$H38="Oakland",+NFL!#REF!,0))</f>
        <v>0</v>
      </c>
      <c r="AO347" s="59">
        <f>IF(+NFL!$F38="Oakland",+NFL!#REF!,IF(+NFL!$H38="Oakland",+NFL!#REF!,0))</f>
        <v>0</v>
      </c>
      <c r="AP347" s="348">
        <f>IF(+NFL!$F38="Oakland",+NFL!#REF!,IF(+NFL!$H38="Oakland",+NFL!#REF!,0))</f>
        <v>0</v>
      </c>
      <c r="AQ347" s="48">
        <f>IF(+NFL!$F38="Oakland",+NFL!#REF!,IF(+NFL!$H38="Oakland",+NFL!#REF!,0))</f>
        <v>0</v>
      </c>
      <c r="AR347" s="57">
        <f>IF(+NFL!$F38="Oakland",+NFL!#REF!,IF(+NFL!$H38="Oakland",+NFL!#REF!,0))</f>
        <v>0</v>
      </c>
      <c r="AS347" s="64">
        <f>IF(+NFL!$F38="Oakland",+NFL!#REF!,IF(+NFL!$H38="Oakland",+NFL!#REF!,0))</f>
        <v>0</v>
      </c>
      <c r="AT347" s="64">
        <f>IF(+NFL!$F38="Oakland",+NFL!#REF!,IF(+NFL!$H38="Oakland",+NFL!#REF!,0))</f>
        <v>0</v>
      </c>
      <c r="AU347" s="57">
        <f>IF(+NFL!$F38="Oakland",+NFL!#REF!,IF(+NFL!$H38="Oakland",+NFL!#REF!,0))</f>
        <v>0</v>
      </c>
      <c r="AV347" s="64">
        <f>IF(+NFL!$F38="Oakland",+NFL!#REF!,IF(+NFL!$H38="Oakland",+NFL!#REF!,0))</f>
        <v>0</v>
      </c>
      <c r="AW347" s="46">
        <f>IF(+NFL!$F38="Oakland",+NFL!#REF!,IF(+NFL!$H38="Oakland",+NFL!#REF!,0))</f>
        <v>0</v>
      </c>
      <c r="AX347" s="64">
        <f>IF(+NFL!$F38="Oakland",+NFL!#REF!,IF(+NFL!$H38="Oakland",+NFL!#REF!,0))</f>
        <v>0</v>
      </c>
      <c r="AY347" s="57">
        <f>IF(+NFL!$F38="Oakland",+NFL!#REF!,IF(+NFL!$H38="Oakland",+NFL!#REF!,0))</f>
        <v>0</v>
      </c>
      <c r="AZ347" s="64">
        <f>IF(+NFL!$F38="Oakland",+NFL!#REF!,IF(+NFL!$H38="Oakland",+NFL!#REF!,0))</f>
        <v>0</v>
      </c>
      <c r="BA347" s="46">
        <f>IF(+NFL!$F38="Oakland",+NFL!#REF!,IF(+NFL!$H38="Oakland",+NFL!#REF!,0))</f>
        <v>0</v>
      </c>
      <c r="BB347" s="46">
        <f>IF(+NFL!$F38="Oakland",+NFL!#REF!,IF(+NFL!$H38="Oakland",+NFL!#REF!,0))</f>
        <v>0</v>
      </c>
      <c r="BC347" s="403">
        <f>IF(+NFL!$F38="Oakland",+NFL!#REF!,IF(+NFL!$H38="Oakland",+NFL!#REF!,0))</f>
        <v>0</v>
      </c>
      <c r="BD347" s="57">
        <f>IF(+NFL!$F38="Oakland",+NFL!#REF!,IF(+NFL!$H38="Oakland",+NFL!#REF!,0))</f>
        <v>0</v>
      </c>
      <c r="BE347" s="64">
        <f>IF(+NFL!$F38="Oakland",+NFL!#REF!,IF(+NFL!$H38="Oakland",+NFL!#REF!,0))</f>
        <v>0</v>
      </c>
      <c r="BF347" s="46">
        <f>IF(+NFL!$F38="Oakland",+NFL!#REF!,IF(+NFL!$H38="Oakland",+NFL!#REF!,0))</f>
        <v>0</v>
      </c>
      <c r="BG347" s="57">
        <f>IF(+NFL!$F38="Oakland",+NFL!#REF!,IF(+NFL!$H38="Oakland",+NFL!#REF!,0))</f>
        <v>0</v>
      </c>
      <c r="BH347" s="64">
        <f>IF(+NFL!$F38="Oakland",+NFL!#REF!,IF(+NFL!$H38="Oakland",+NFL!#REF!,0))</f>
        <v>0</v>
      </c>
      <c r="BI347" s="46">
        <f>IF(+NFL!$F38="Oakland",+NFL!#REF!,IF(+NFL!$H38="Oakland",+NFL!#REF!,0))</f>
        <v>0</v>
      </c>
      <c r="BJ347" s="87">
        <f>IF(+NFL!$F38="Oakland",+NFL!#REF!,IF(+NFL!$H38="Oakland",+NFL!#REF!,0))</f>
        <v>0</v>
      </c>
      <c r="BK347" s="120">
        <f>IF(+NFL!$F38="Oakland",+NFL!#REF!,IF(+NFL!$H38="Oakland",+NFL!#REF!,0))</f>
        <v>0</v>
      </c>
    </row>
    <row r="348" spans="1:63" s="246" customFormat="1" x14ac:dyDescent="0.8">
      <c r="A348" s="46">
        <f>IF(+NFL!$F87="Las Vegas",+NFL!A87,IF(+NFL!$H87="Las Vegas",+NFL!A87,0))</f>
        <v>5</v>
      </c>
      <c r="B348" s="348" t="str">
        <f>IF(+NFL!$F87="Las Vegas",+NFL!B87,IF(+NFL!$H87="Las Vegas",+NFL!B87,0))</f>
        <v>Mon</v>
      </c>
      <c r="C348" s="48">
        <f>IF(+NFL!$F87="Las Vegas",+NFL!C87,IF(+NFL!$H87="Las Vegas",+NFL!C87,0))</f>
        <v>44844</v>
      </c>
      <c r="D348" s="490">
        <f>IF(+NFL!$F87="Las Vegas",+NFL!D87,IF(+NFL!$H87="Las Vegas",+NFL!D87,0))</f>
        <v>0.84375</v>
      </c>
      <c r="E348" s="46" t="str">
        <f>IF(+NFL!$F87="Las Vegas",+NFL!E87,IF(+NFL!$H87="Las Vegas",+NFL!E87,0))</f>
        <v>ABC</v>
      </c>
      <c r="F348" s="127" t="str">
        <f>IF(+NFL!$F87="Las Vegas",+NFL!F87,IF(+NFL!$H87="Las Vegas",+NFL!F87,0))</f>
        <v>Las Vegas</v>
      </c>
      <c r="G348" s="46" t="str">
        <f>IF(+NFL!$F87="Las Vegas",+NFL!G87,IF(+NFL!$H87="Las Vegas",+NFL!G87,0))</f>
        <v>AFCW</v>
      </c>
      <c r="H348" s="127" t="str">
        <f>IF(+NFL!$F87="Las Vegas",+NFL!H87,IF(+NFL!$H87="Las Vegas",+NFL!H87,0))</f>
        <v>Kansas City</v>
      </c>
      <c r="I348" s="46" t="str">
        <f>IF(+NFL!$F87="Las Vegas",+NFL!I87,IF(+NFL!$H87="Las Vegas",+NFL!I87,0))</f>
        <v>AFCW</v>
      </c>
      <c r="J348" s="353" t="str">
        <f>IF(+NFL!$F87="Las Vegas",+NFL!J87,IF(+NFL!$H87="Las Vegas",+NFL!J87,0))</f>
        <v>Kansas City</v>
      </c>
      <c r="K348" s="494" t="str">
        <f>IF(+NFL!$F87="Las Vegas",+NFL!K87,IF(+NFL!$H87="Las Vegas",+NFL!K87,0))</f>
        <v>Las Vegas</v>
      </c>
      <c r="L348" s="384">
        <f>IF(+NFL!$F87="Las Vegas",+NFL!L87,IF(+NFL!$H87="Las Vegas",+NFL!L87,0))</f>
        <v>7</v>
      </c>
      <c r="M348" s="385">
        <f>IF(+NFL!$F87="Las Vegas",+NFL!M87,IF(+NFL!$H87="Las Vegas",+NFL!M87,0))</f>
        <v>51</v>
      </c>
      <c r="N348" s="394" t="str">
        <f>IF(+NFL!$F87="Las Vegas",+NFL!N87,IF(+NFL!$H87="Las Vegas",+NFL!N87,0))</f>
        <v>Kansas City</v>
      </c>
      <c r="O348" s="395">
        <f>IF(+NFL!$F87="Las Vegas",+NFL!O87,IF(+NFL!$H87="Las Vegas",+NFL!O87,0))</f>
        <v>30</v>
      </c>
      <c r="P348" s="394" t="str">
        <f>IF(+NFL!$F87="Las Vegas",+NFL!P87,IF(+NFL!$H87="Las Vegas",+NFL!P87,0))</f>
        <v>Las Vegas</v>
      </c>
      <c r="Q348" s="396">
        <f>IF(+NFL!$F87="Las Vegas",+NFL!Q87,IF(+NFL!$H87="Las Vegas",+NFL!Q87,0))</f>
        <v>29</v>
      </c>
      <c r="R348" s="397" t="str">
        <f>IF(+NFL!$F87="Las Vegas",+NFL!R87,IF(+NFL!$H87="Las Vegas",+NFL!R87,0))</f>
        <v>Las Vegas</v>
      </c>
      <c r="S348" s="396" t="str">
        <f>IF(+NFL!$F87="Las Vegas",+NFL!S87,IF(+NFL!$H87="Las Vegas",+NFL!S87,0))</f>
        <v>Kansas City</v>
      </c>
      <c r="T348" s="398" t="str">
        <f>IF(+NFL!$F87="Las Vegas",+NFL!T87,IF(+NFL!$H87="Las Vegas",+NFL!T87,0))</f>
        <v>Las Vegas</v>
      </c>
      <c r="U348" s="396" t="str">
        <f>IF(+NFL!$F87="Las Vegas",+NFL!U87,IF(+NFL!$H87="Las Vegas",+NFL!U87,0))</f>
        <v>W</v>
      </c>
      <c r="V348" s="397">
        <f>IF(+NFL!$F54="Oakland",+NFL!#REF!,IF(+NFL!$H54="Oakland",+NFL!#REF!,0))</f>
        <v>0</v>
      </c>
      <c r="W348" s="396">
        <f>IF(+NFL!$F54="Oakland",+NFL!#REF!,IF(+NFL!$H54="Oakland",+NFL!#REF!,0))</f>
        <v>0</v>
      </c>
      <c r="X348" s="398">
        <f>IF(+NFL!$F54="Oakland",+NFL!#REF!,IF(+NFL!$H54="Oakland",+NFL!#REF!,0))</f>
        <v>0</v>
      </c>
      <c r="Y348" s="396">
        <f>IF(+NFL!$F54="Oakland",+NFL!#REF!,IF(+NFL!$H54="Oakland",+NFL!#REF!,0))</f>
        <v>0</v>
      </c>
      <c r="Z348" s="397">
        <f>IF(+NFL!$F54="Oakland",+NFL!#REF!,IF(+NFL!$H54="Oakland",+NFL!#REF!,0))</f>
        <v>0</v>
      </c>
      <c r="AA348" s="396">
        <f>IF(+NFL!$F54="Oakland",+NFL!#REF!,IF(+NFL!$H54="Oakland",+NFL!#REF!,0))</f>
        <v>0</v>
      </c>
      <c r="AB348" s="87">
        <f>IF(+NFL!$F54="Oakland",+NFL!#REF!,IF(+NFL!$H54="Oakland",+NFL!#REF!,0))</f>
        <v>0</v>
      </c>
      <c r="AC348" s="120">
        <f>IF(+NFL!$F54="Oakland",+NFL!#REF!,IF(+NFL!$H54="Oakland",+NFL!#REF!,0))</f>
        <v>0</v>
      </c>
      <c r="AD348" s="353">
        <f>IF(+NFL!$F54="Oakland",+NFL!#REF!,IF(+NFL!$H54="Oakland",+NFL!#REF!,0))</f>
        <v>0</v>
      </c>
      <c r="AE348" s="379">
        <f>IF(+NFL!$F54="Oakland",+NFL!#REF!,IF(+NFL!$H54="Oakland",+NFL!#REF!,0))</f>
        <v>0</v>
      </c>
      <c r="AF348" s="353">
        <f>IF(+NFL!$F54="Oakland",+NFL!#REF!,IF(+NFL!$H54="Oakland",+NFL!#REF!,0))</f>
        <v>0</v>
      </c>
      <c r="AG348" s="379">
        <f>IF(+NFL!$F54="Oakland",+NFL!#REF!,IF(+NFL!$H54="Oakland",+NFL!#REF!,0))</f>
        <v>0</v>
      </c>
      <c r="AH348" s="353">
        <f>IF(+NFL!$F54="Oakland",+NFL!#REF!,IF(+NFL!$H54="Oakland",+NFL!#REF!,0))</f>
        <v>0</v>
      </c>
      <c r="AI348" s="379">
        <f>IF(+NFL!$F54="Oakland",+NFL!#REF!,IF(+NFL!$H54="Oakland",+NFL!#REF!,0))</f>
        <v>0</v>
      </c>
      <c r="AJ348" s="353">
        <f>IF(+NFL!$F54="Oakland",+NFL!#REF!,IF(+NFL!$H54="Oakland",+NFL!#REF!,0))</f>
        <v>0</v>
      </c>
      <c r="AK348" s="379">
        <f>IF(+NFL!$F54="Oakland",+NFL!#REF!,IF(+NFL!$H54="Oakland",+NFL!#REF!,0))</f>
        <v>0</v>
      </c>
      <c r="AL348" s="68">
        <f>IF(+NFL!$F54="Oakland",+NFL!#REF!,IF(+NFL!$H54="Oakland",+NFL!#REF!,0))</f>
        <v>0</v>
      </c>
      <c r="AM348" s="58">
        <f>IF(+NFL!$F54="Oakland",+NFL!#REF!,IF(+NFL!$H54="Oakland",+NFL!#REF!,0))</f>
        <v>0</v>
      </c>
      <c r="AN348" s="57">
        <f>IF(+NFL!$F54="Oakland",+NFL!#REF!,IF(+NFL!$H54="Oakland",+NFL!#REF!,0))</f>
        <v>0</v>
      </c>
      <c r="AO348" s="59">
        <f>IF(+NFL!$F54="Oakland",+NFL!#REF!,IF(+NFL!$H54="Oakland",+NFL!#REF!,0))</f>
        <v>0</v>
      </c>
      <c r="AP348" s="348">
        <f>IF(+NFL!$F54="Oakland",+NFL!#REF!,IF(+NFL!$H54="Oakland",+NFL!#REF!,0))</f>
        <v>0</v>
      </c>
      <c r="AQ348" s="48">
        <f>IF(+NFL!$F54="Oakland",+NFL!#REF!,IF(+NFL!$H54="Oakland",+NFL!#REF!,0))</f>
        <v>0</v>
      </c>
      <c r="AR348" s="57">
        <f>IF(+NFL!$F54="Oakland",+NFL!#REF!,IF(+NFL!$H54="Oakland",+NFL!#REF!,0))</f>
        <v>0</v>
      </c>
      <c r="AS348" s="64">
        <f>IF(+NFL!$F54="Oakland",+NFL!#REF!,IF(+NFL!$H54="Oakland",+NFL!#REF!,0))</f>
        <v>0</v>
      </c>
      <c r="AT348" s="64">
        <f>IF(+NFL!$F54="Oakland",+NFL!#REF!,IF(+NFL!$H54="Oakland",+NFL!#REF!,0))</f>
        <v>0</v>
      </c>
      <c r="AU348" s="57">
        <f>IF(+NFL!$F54="Oakland",+NFL!#REF!,IF(+NFL!$H54="Oakland",+NFL!#REF!,0))</f>
        <v>0</v>
      </c>
      <c r="AV348" s="64">
        <f>IF(+NFL!$F54="Oakland",+NFL!#REF!,IF(+NFL!$H54="Oakland",+NFL!#REF!,0))</f>
        <v>0</v>
      </c>
      <c r="AW348" s="46">
        <f>IF(+NFL!$F54="Oakland",+NFL!#REF!,IF(+NFL!$H54="Oakland",+NFL!#REF!,0))</f>
        <v>0</v>
      </c>
      <c r="AX348" s="64">
        <f>IF(+NFL!$F54="Oakland",+NFL!#REF!,IF(+NFL!$H54="Oakland",+NFL!#REF!,0))</f>
        <v>0</v>
      </c>
      <c r="AY348" s="57">
        <f>IF(+NFL!$F54="Oakland",+NFL!#REF!,IF(+NFL!$H54="Oakland",+NFL!#REF!,0))</f>
        <v>0</v>
      </c>
      <c r="AZ348" s="64">
        <f>IF(+NFL!$F54="Oakland",+NFL!#REF!,IF(+NFL!$H54="Oakland",+NFL!#REF!,0))</f>
        <v>0</v>
      </c>
      <c r="BA348" s="46">
        <f>IF(+NFL!$F54="Oakland",+NFL!#REF!,IF(+NFL!$H54="Oakland",+NFL!#REF!,0))</f>
        <v>0</v>
      </c>
      <c r="BB348" s="46">
        <f>IF(+NFL!$F54="Oakland",+NFL!#REF!,IF(+NFL!$H54="Oakland",+NFL!#REF!,0))</f>
        <v>0</v>
      </c>
      <c r="BC348" s="403">
        <f>IF(+NFL!$F54="Oakland",+NFL!#REF!,IF(+NFL!$H54="Oakland",+NFL!#REF!,0))</f>
        <v>0</v>
      </c>
      <c r="BD348" s="57">
        <f>IF(+NFL!$F54="Oakland",+NFL!#REF!,IF(+NFL!$H54="Oakland",+NFL!#REF!,0))</f>
        <v>0</v>
      </c>
      <c r="BE348" s="64">
        <f>IF(+NFL!$F54="Oakland",+NFL!#REF!,IF(+NFL!$H54="Oakland",+NFL!#REF!,0))</f>
        <v>0</v>
      </c>
      <c r="BF348" s="46">
        <f>IF(+NFL!$F54="Oakland",+NFL!#REF!,IF(+NFL!$H54="Oakland",+NFL!#REF!,0))</f>
        <v>0</v>
      </c>
      <c r="BG348" s="57">
        <f>IF(+NFL!$F54="Oakland",+NFL!#REF!,IF(+NFL!$H54="Oakland",+NFL!#REF!,0))</f>
        <v>0</v>
      </c>
      <c r="BH348" s="64">
        <f>IF(+NFL!$F54="Oakland",+NFL!#REF!,IF(+NFL!$H54="Oakland",+NFL!#REF!,0))</f>
        <v>0</v>
      </c>
      <c r="BI348" s="46">
        <f>IF(+NFL!$F54="Oakland",+NFL!#REF!,IF(+NFL!$H54="Oakland",+NFL!#REF!,0))</f>
        <v>0</v>
      </c>
      <c r="BJ348" s="87">
        <f>IF(+NFL!$F54="Oakland",+NFL!#REF!,IF(+NFL!$H54="Oakland",+NFL!#REF!,0))</f>
        <v>0</v>
      </c>
      <c r="BK348" s="120">
        <f>IF(+NFL!$F54="Oakland",+NFL!#REF!,IF(+NFL!$H54="Oakland",+NFL!#REF!,0))</f>
        <v>0</v>
      </c>
    </row>
    <row r="349" spans="1:63" s="246" customFormat="1" x14ac:dyDescent="0.8">
      <c r="A349" s="46">
        <f>IF(+NFL!$F106="Las Vegas",+NFL!A106,IF(+NFL!$H106="Las Vegas",+NFL!A106,0))</f>
        <v>6</v>
      </c>
      <c r="B349" s="348">
        <f>IF(+NFL!$F106="Las Vegas",+NFL!B106,IF(+NFL!$H106="Las Vegas",+NFL!B106,0))</f>
        <v>0</v>
      </c>
      <c r="C349" s="48">
        <f>IF(+NFL!$F106="Las Vegas",+NFL!C106,IF(+NFL!$H106="Las Vegas",+NFL!C106,0))</f>
        <v>0</v>
      </c>
      <c r="D349" s="490">
        <f>IF(+NFL!$F106="Las Vegas",+NFL!D106,IF(+NFL!$H106="Las Vegas",+NFL!D106,0))</f>
        <v>0</v>
      </c>
      <c r="E349" s="46">
        <f>IF(+NFL!$F106="Las Vegas",+NFL!E106,IF(+NFL!$H106="Las Vegas",+NFL!E106,0))</f>
        <v>0</v>
      </c>
      <c r="F349" s="127" t="str">
        <f>IF(+NFL!$F106="Las Vegas",+NFL!F106,IF(+NFL!$H106="Las Vegas",+NFL!F106,0))</f>
        <v>Las Vegas</v>
      </c>
      <c r="G349" s="46" t="str">
        <f>IF(+NFL!$F106="Las Vegas",+NFL!G106,IF(+NFL!$H106="Las Vegas",+NFL!G106,0))</f>
        <v>AFCW</v>
      </c>
      <c r="H349" s="127">
        <f>IF(+NFL!$F106="Las Vegas",+NFL!H106,IF(+NFL!$H106="Las Vegas",+NFL!H106,0))</f>
        <v>0</v>
      </c>
      <c r="I349" s="46">
        <f>IF(+NFL!$F106="Las Vegas",+NFL!I106,IF(+NFL!$H106="Las Vegas",+NFL!I106,0))</f>
        <v>0</v>
      </c>
      <c r="J349" s="353">
        <f>IF(+NFL!$F106="Las Vegas",+NFL!J106,IF(+NFL!$H106="Las Vegas",+NFL!J106,0))</f>
        <v>0</v>
      </c>
      <c r="K349" s="494">
        <f>IF(+NFL!$F106="Las Vegas",+NFL!K106,IF(+NFL!$H106="Las Vegas",+NFL!K106,0))</f>
        <v>0</v>
      </c>
      <c r="L349" s="384">
        <f>IF(+NFL!$F106="Las Vegas",+NFL!L106,IF(+NFL!$H106="Las Vegas",+NFL!L106,0))</f>
        <v>0</v>
      </c>
      <c r="M349" s="385">
        <f>IF(+NFL!$F106="Las Vegas",+NFL!M106,IF(+NFL!$H106="Las Vegas",+NFL!M106,0))</f>
        <v>0</v>
      </c>
      <c r="N349" s="394">
        <f>IF(+NFL!$F106="Las Vegas",+NFL!N106,IF(+NFL!$H106="Las Vegas",+NFL!N106,0))</f>
        <v>0</v>
      </c>
      <c r="O349" s="395">
        <f>IF(+NFL!$F106="Las Vegas",+NFL!O106,IF(+NFL!$H106="Las Vegas",+NFL!O106,0))</f>
        <v>0</v>
      </c>
      <c r="P349" s="394">
        <f>IF(+NFL!$F106="Las Vegas",+NFL!P106,IF(+NFL!$H106="Las Vegas",+NFL!P106,0))</f>
        <v>0</v>
      </c>
      <c r="Q349" s="396">
        <f>IF(+NFL!$F106="Las Vegas",+NFL!Q106,IF(+NFL!$H106="Las Vegas",+NFL!Q106,0))</f>
        <v>0</v>
      </c>
      <c r="R349" s="397">
        <f>IF(+NFL!$F106="Las Vegas",+NFL!R106,IF(+NFL!$H106="Las Vegas",+NFL!R106,0))</f>
        <v>0</v>
      </c>
      <c r="S349" s="396">
        <f>IF(+NFL!$F106="Las Vegas",+NFL!S106,IF(+NFL!$H106="Las Vegas",+NFL!S106,0))</f>
        <v>0</v>
      </c>
      <c r="T349" s="398">
        <f>IF(+NFL!$F106="Las Vegas",+NFL!T106,IF(+NFL!$H106="Las Vegas",+NFL!T106,0))</f>
        <v>0</v>
      </c>
      <c r="U349" s="396">
        <f>IF(+NFL!$F106="Las Vegas",+NFL!U106,IF(+NFL!$H106="Las Vegas",+NFL!U106,0))</f>
        <v>0</v>
      </c>
      <c r="V349" s="397">
        <f>IF(+NFL!$F73="Oakland",+NFL!#REF!,IF(+NFL!$H73="Oakland",+NFL!#REF!,0))</f>
        <v>0</v>
      </c>
      <c r="W349" s="396">
        <f>IF(+NFL!$F73="Oakland",+NFL!#REF!,IF(+NFL!$H73="Oakland",+NFL!#REF!,0))</f>
        <v>0</v>
      </c>
      <c r="X349" s="398">
        <f>IF(+NFL!$F73="Oakland",+NFL!#REF!,IF(+NFL!$H73="Oakland",+NFL!#REF!,0))</f>
        <v>0</v>
      </c>
      <c r="Y349" s="396">
        <f>IF(+NFL!$F73="Oakland",+NFL!#REF!,IF(+NFL!$H73="Oakland",+NFL!#REF!,0))</f>
        <v>0</v>
      </c>
      <c r="Z349" s="397">
        <f>IF(+NFL!$F73="Oakland",+NFL!#REF!,IF(+NFL!$H73="Oakland",+NFL!#REF!,0))</f>
        <v>0</v>
      </c>
      <c r="AA349" s="396">
        <f>IF(+NFL!$F73="Oakland",+NFL!#REF!,IF(+NFL!$H73="Oakland",+NFL!#REF!,0))</f>
        <v>0</v>
      </c>
      <c r="AB349" s="87">
        <f>IF(+NFL!$F73="Oakland",+NFL!#REF!,IF(+NFL!$H73="Oakland",+NFL!#REF!,0))</f>
        <v>0</v>
      </c>
      <c r="AC349" s="120">
        <f>IF(+NFL!$F73="Oakland",+NFL!#REF!,IF(+NFL!$H73="Oakland",+NFL!#REF!,0))</f>
        <v>0</v>
      </c>
      <c r="AD349" s="353">
        <f>IF(+NFL!$F73="Oakland",+NFL!#REF!,IF(+NFL!$H73="Oakland",+NFL!#REF!,0))</f>
        <v>0</v>
      </c>
      <c r="AE349" s="379">
        <f>IF(+NFL!$F73="Oakland",+NFL!#REF!,IF(+NFL!$H73="Oakland",+NFL!#REF!,0))</f>
        <v>0</v>
      </c>
      <c r="AF349" s="353">
        <f>IF(+NFL!$F73="Oakland",+NFL!#REF!,IF(+NFL!$H73="Oakland",+NFL!#REF!,0))</f>
        <v>0</v>
      </c>
      <c r="AG349" s="379">
        <f>IF(+NFL!$F73="Oakland",+NFL!#REF!,IF(+NFL!$H73="Oakland",+NFL!#REF!,0))</f>
        <v>0</v>
      </c>
      <c r="AH349" s="353">
        <f>IF(+NFL!$F73="Oakland",+NFL!#REF!,IF(+NFL!$H73="Oakland",+NFL!#REF!,0))</f>
        <v>0</v>
      </c>
      <c r="AI349" s="379">
        <f>IF(+NFL!$F73="Oakland",+NFL!#REF!,IF(+NFL!$H73="Oakland",+NFL!#REF!,0))</f>
        <v>0</v>
      </c>
      <c r="AJ349" s="353">
        <f>IF(+NFL!$F73="Oakland",+NFL!#REF!,IF(+NFL!$H73="Oakland",+NFL!#REF!,0))</f>
        <v>0</v>
      </c>
      <c r="AK349" s="379">
        <f>IF(+NFL!$F73="Oakland",+NFL!#REF!,IF(+NFL!$H73="Oakland",+NFL!#REF!,0))</f>
        <v>0</v>
      </c>
      <c r="AL349" s="68">
        <f>IF(+NFL!$F73="Oakland",+NFL!#REF!,IF(+NFL!$H73="Oakland",+NFL!#REF!,0))</f>
        <v>0</v>
      </c>
      <c r="AM349" s="58">
        <f>IF(+NFL!$F73="Oakland",+NFL!#REF!,IF(+NFL!$H73="Oakland",+NFL!#REF!,0))</f>
        <v>0</v>
      </c>
      <c r="AN349" s="57">
        <f>IF(+NFL!$F73="Oakland",+NFL!#REF!,IF(+NFL!$H73="Oakland",+NFL!#REF!,0))</f>
        <v>0</v>
      </c>
      <c r="AO349" s="59">
        <f>IF(+NFL!$F73="Oakland",+NFL!#REF!,IF(+NFL!$H73="Oakland",+NFL!#REF!,0))</f>
        <v>0</v>
      </c>
      <c r="AP349" s="348">
        <f>IF(+NFL!$F73="Oakland",+NFL!#REF!,IF(+NFL!$H73="Oakland",+NFL!#REF!,0))</f>
        <v>0</v>
      </c>
      <c r="AQ349" s="48">
        <f>IF(+NFL!$F73="Oakland",+NFL!#REF!,IF(+NFL!$H73="Oakland",+NFL!#REF!,0))</f>
        <v>0</v>
      </c>
      <c r="AR349" s="57">
        <f>IF(+NFL!$F73="Oakland",+NFL!#REF!,IF(+NFL!$H73="Oakland",+NFL!#REF!,0))</f>
        <v>0</v>
      </c>
      <c r="AS349" s="64">
        <f>IF(+NFL!$F73="Oakland",+NFL!#REF!,IF(+NFL!$H73="Oakland",+NFL!#REF!,0))</f>
        <v>0</v>
      </c>
      <c r="AT349" s="64">
        <f>IF(+NFL!$F73="Oakland",+NFL!#REF!,IF(+NFL!$H73="Oakland",+NFL!#REF!,0))</f>
        <v>0</v>
      </c>
      <c r="AU349" s="57">
        <f>IF(+NFL!$F73="Oakland",+NFL!#REF!,IF(+NFL!$H73="Oakland",+NFL!#REF!,0))</f>
        <v>0</v>
      </c>
      <c r="AV349" s="64">
        <f>IF(+NFL!$F73="Oakland",+NFL!#REF!,IF(+NFL!$H73="Oakland",+NFL!#REF!,0))</f>
        <v>0</v>
      </c>
      <c r="AW349" s="46">
        <f>IF(+NFL!$F73="Oakland",+NFL!#REF!,IF(+NFL!$H73="Oakland",+NFL!#REF!,0))</f>
        <v>0</v>
      </c>
      <c r="AX349" s="64">
        <f>IF(+NFL!$F73="Oakland",+NFL!#REF!,IF(+NFL!$H73="Oakland",+NFL!#REF!,0))</f>
        <v>0</v>
      </c>
      <c r="AY349" s="57">
        <f>IF(+NFL!$F73="Oakland",+NFL!#REF!,IF(+NFL!$H73="Oakland",+NFL!#REF!,0))</f>
        <v>0</v>
      </c>
      <c r="AZ349" s="64">
        <f>IF(+NFL!$F73="Oakland",+NFL!#REF!,IF(+NFL!$H73="Oakland",+NFL!#REF!,0))</f>
        <v>0</v>
      </c>
      <c r="BA349" s="46">
        <f>IF(+NFL!$F73="Oakland",+NFL!#REF!,IF(+NFL!$H73="Oakland",+NFL!#REF!,0))</f>
        <v>0</v>
      </c>
      <c r="BB349" s="46">
        <f>IF(+NFL!$F73="Oakland",+NFL!#REF!,IF(+NFL!$H73="Oakland",+NFL!#REF!,0))</f>
        <v>0</v>
      </c>
      <c r="BC349" s="403">
        <f>IF(+NFL!$F73="Oakland",+NFL!#REF!,IF(+NFL!$H73="Oakland",+NFL!#REF!,0))</f>
        <v>0</v>
      </c>
      <c r="BD349" s="57">
        <f>IF(+NFL!$F73="Oakland",+NFL!#REF!,IF(+NFL!$H73="Oakland",+NFL!#REF!,0))</f>
        <v>0</v>
      </c>
      <c r="BE349" s="64">
        <f>IF(+NFL!$F73="Oakland",+NFL!#REF!,IF(+NFL!$H73="Oakland",+NFL!#REF!,0))</f>
        <v>0</v>
      </c>
      <c r="BF349" s="46">
        <f>IF(+NFL!$F73="Oakland",+NFL!#REF!,IF(+NFL!$H73="Oakland",+NFL!#REF!,0))</f>
        <v>0</v>
      </c>
      <c r="BG349" s="57">
        <f>IF(+NFL!$F73="Oakland",+NFL!#REF!,IF(+NFL!$H73="Oakland",+NFL!#REF!,0))</f>
        <v>0</v>
      </c>
      <c r="BH349" s="64">
        <f>IF(+NFL!$F73="Oakland",+NFL!#REF!,IF(+NFL!$H73="Oakland",+NFL!#REF!,0))</f>
        <v>0</v>
      </c>
      <c r="BI349" s="46">
        <f>IF(+NFL!$F73="Oakland",+NFL!#REF!,IF(+NFL!$H73="Oakland",+NFL!#REF!,0))</f>
        <v>0</v>
      </c>
      <c r="BJ349" s="87">
        <f>IF(+NFL!$F73="Oakland",+NFL!#REF!,IF(+NFL!$H73="Oakland",+NFL!#REF!,0))</f>
        <v>0</v>
      </c>
      <c r="BK349" s="120">
        <f>IF(+NFL!$F73="Oakland",+NFL!#REF!,IF(+NFL!$H73="Oakland",+NFL!#REF!,0))</f>
        <v>0</v>
      </c>
    </row>
    <row r="350" spans="1:63" s="246" customFormat="1" x14ac:dyDescent="0.8">
      <c r="A350" s="46">
        <f>IF(+NFL!$F118="Las Vegas",+NFL!A118,IF(+NFL!$H118="Las Vegas",+NFL!A118,0))</f>
        <v>7</v>
      </c>
      <c r="B350" s="348" t="str">
        <f>IF(+NFL!$F118="Las Vegas",+NFL!B118,IF(+NFL!$H118="Las Vegas",+NFL!B118,0))</f>
        <v>Sun</v>
      </c>
      <c r="C350" s="48">
        <f>IF(+NFL!$F118="Las Vegas",+NFL!C118,IF(+NFL!$H118="Las Vegas",+NFL!C118,0))</f>
        <v>44857</v>
      </c>
      <c r="D350" s="490">
        <f>IF(+NFL!$F118="Las Vegas",+NFL!D118,IF(+NFL!$H118="Las Vegas",+NFL!D118,0))</f>
        <v>0.66666666666666663</v>
      </c>
      <c r="E350" s="46" t="str">
        <f>IF(+NFL!$F118="Las Vegas",+NFL!E118,IF(+NFL!$H118="Las Vegas",+NFL!E118,0))</f>
        <v>CBS</v>
      </c>
      <c r="F350" s="127" t="str">
        <f>IF(+NFL!$F118="Las Vegas",+NFL!F118,IF(+NFL!$H118="Las Vegas",+NFL!F118,0))</f>
        <v>Houston</v>
      </c>
      <c r="G350" s="46" t="str">
        <f>IF(+NFL!$F118="Las Vegas",+NFL!G118,IF(+NFL!$H118="Las Vegas",+NFL!G118,0))</f>
        <v>AFCS</v>
      </c>
      <c r="H350" s="127" t="str">
        <f>IF(+NFL!$F118="Las Vegas",+NFL!H118,IF(+NFL!$H118="Las Vegas",+NFL!H118,0))</f>
        <v>Las Vegas</v>
      </c>
      <c r="I350" s="46" t="str">
        <f>IF(+NFL!$F118="Las Vegas",+NFL!I118,IF(+NFL!$H118="Las Vegas",+NFL!I118,0))</f>
        <v>AFCW</v>
      </c>
      <c r="J350" s="353" t="str">
        <f>IF(+NFL!$F118="Las Vegas",+NFL!J118,IF(+NFL!$H118="Las Vegas",+NFL!J118,0))</f>
        <v>Las Vegas</v>
      </c>
      <c r="K350" s="494" t="str">
        <f>IF(+NFL!$F118="Las Vegas",+NFL!K118,IF(+NFL!$H118="Las Vegas",+NFL!K118,0))</f>
        <v>Houston</v>
      </c>
      <c r="L350" s="384">
        <f>IF(+NFL!$F118="Las Vegas",+NFL!L118,IF(+NFL!$H118="Las Vegas",+NFL!L118,0))</f>
        <v>7</v>
      </c>
      <c r="M350" s="385">
        <f>IF(+NFL!$F118="Las Vegas",+NFL!M118,IF(+NFL!$H118="Las Vegas",+NFL!M118,0))</f>
        <v>45.5</v>
      </c>
      <c r="N350" s="394" t="str">
        <f>IF(+NFL!$F118="Las Vegas",+NFL!N118,IF(+NFL!$H118="Las Vegas",+NFL!N118,0))</f>
        <v>Las Vegas</v>
      </c>
      <c r="O350" s="395">
        <f>IF(+NFL!$F118="Las Vegas",+NFL!O118,IF(+NFL!$H118="Las Vegas",+NFL!O118,0))</f>
        <v>38</v>
      </c>
      <c r="P350" s="394" t="str">
        <f>IF(+NFL!$F118="Las Vegas",+NFL!P118,IF(+NFL!$H118="Las Vegas",+NFL!P118,0))</f>
        <v>Houston</v>
      </c>
      <c r="Q350" s="396">
        <f>IF(+NFL!$F118="Las Vegas",+NFL!Q118,IF(+NFL!$H118="Las Vegas",+NFL!Q118,0))</f>
        <v>20</v>
      </c>
      <c r="R350" s="397" t="str">
        <f>IF(+NFL!$F118="Las Vegas",+NFL!R118,IF(+NFL!$H118="Las Vegas",+NFL!R118,0))</f>
        <v>Las Vegas</v>
      </c>
      <c r="S350" s="396" t="str">
        <f>IF(+NFL!$F118="Las Vegas",+NFL!S118,IF(+NFL!$H118="Las Vegas",+NFL!S118,0))</f>
        <v>Houston</v>
      </c>
      <c r="T350" s="398" t="str">
        <f>IF(+NFL!$F118="Las Vegas",+NFL!T118,IF(+NFL!$H118="Las Vegas",+NFL!T118,0))</f>
        <v>Houston</v>
      </c>
      <c r="U350" s="396" t="str">
        <f>IF(+NFL!$F118="Las Vegas",+NFL!U118,IF(+NFL!$H118="Las Vegas",+NFL!U118,0))</f>
        <v>L</v>
      </c>
      <c r="V350" s="397">
        <f>IF(+NFL!$F92="Oakland",+NFL!#REF!,IF(+NFL!$H92="Oakland",+NFL!#REF!,0))</f>
        <v>0</v>
      </c>
      <c r="W350" s="396">
        <f>IF(+NFL!$F92="Oakland",+NFL!#REF!,IF(+NFL!$H92="Oakland",+NFL!#REF!,0))</f>
        <v>0</v>
      </c>
      <c r="X350" s="398">
        <f>IF(+NFL!$F92="Oakland",+NFL!#REF!,IF(+NFL!$H92="Oakland",+NFL!#REF!,0))</f>
        <v>0</v>
      </c>
      <c r="Y350" s="396">
        <f>IF(+NFL!$F92="Oakland",+NFL!#REF!,IF(+NFL!$H92="Oakland",+NFL!#REF!,0))</f>
        <v>0</v>
      </c>
      <c r="Z350" s="397">
        <f>IF(+NFL!$F92="Oakland",+NFL!#REF!,IF(+NFL!$H92="Oakland",+NFL!#REF!,0))</f>
        <v>0</v>
      </c>
      <c r="AA350" s="396">
        <f>IF(+NFL!$F92="Oakland",+NFL!#REF!,IF(+NFL!$H92="Oakland",+NFL!#REF!,0))</f>
        <v>0</v>
      </c>
      <c r="AB350" s="87">
        <f>IF(+NFL!$F92="Oakland",+NFL!#REF!,IF(+NFL!$H92="Oakland",+NFL!#REF!,0))</f>
        <v>0</v>
      </c>
      <c r="AC350" s="120">
        <f>IF(+NFL!$F92="Oakland",+NFL!#REF!,IF(+NFL!$H92="Oakland",+NFL!#REF!,0))</f>
        <v>0</v>
      </c>
      <c r="AD350" s="353">
        <f>IF(+NFL!$F92="Oakland",+NFL!#REF!,IF(+NFL!$H92="Oakland",+NFL!#REF!,0))</f>
        <v>0</v>
      </c>
      <c r="AE350" s="379">
        <f>IF(+NFL!$F92="Oakland",+NFL!#REF!,IF(+NFL!$H92="Oakland",+NFL!#REF!,0))</f>
        <v>0</v>
      </c>
      <c r="AF350" s="353">
        <f>IF(+NFL!$F92="Oakland",+NFL!#REF!,IF(+NFL!$H92="Oakland",+NFL!#REF!,0))</f>
        <v>0</v>
      </c>
      <c r="AG350" s="379">
        <f>IF(+NFL!$F92="Oakland",+NFL!#REF!,IF(+NFL!$H92="Oakland",+NFL!#REF!,0))</f>
        <v>0</v>
      </c>
      <c r="AH350" s="353">
        <f>IF(+NFL!$F92="Oakland",+NFL!#REF!,IF(+NFL!$H92="Oakland",+NFL!#REF!,0))</f>
        <v>0</v>
      </c>
      <c r="AI350" s="379">
        <f>IF(+NFL!$F92="Oakland",+NFL!#REF!,IF(+NFL!$H92="Oakland",+NFL!#REF!,0))</f>
        <v>0</v>
      </c>
      <c r="AJ350" s="353">
        <f>IF(+NFL!$F92="Oakland",+NFL!#REF!,IF(+NFL!$H92="Oakland",+NFL!#REF!,0))</f>
        <v>0</v>
      </c>
      <c r="AK350" s="379">
        <f>IF(+NFL!$F92="Oakland",+NFL!#REF!,IF(+NFL!$H92="Oakland",+NFL!#REF!,0))</f>
        <v>0</v>
      </c>
      <c r="AL350" s="68">
        <f>IF(+NFL!$F92="Oakland",+NFL!#REF!,IF(+NFL!$H92="Oakland",+NFL!#REF!,0))</f>
        <v>0</v>
      </c>
      <c r="AM350" s="58">
        <f>IF(+NFL!$F92="Oakland",+NFL!#REF!,IF(+NFL!$H92="Oakland",+NFL!#REF!,0))</f>
        <v>0</v>
      </c>
      <c r="AN350" s="57">
        <f>IF(+NFL!$F92="Oakland",+NFL!#REF!,IF(+NFL!$H92="Oakland",+NFL!#REF!,0))</f>
        <v>0</v>
      </c>
      <c r="AO350" s="59">
        <f>IF(+NFL!$F92="Oakland",+NFL!#REF!,IF(+NFL!$H92="Oakland",+NFL!#REF!,0))</f>
        <v>0</v>
      </c>
      <c r="AP350" s="348">
        <f>IF(+NFL!$F92="Oakland",+NFL!#REF!,IF(+NFL!$H92="Oakland",+NFL!#REF!,0))</f>
        <v>0</v>
      </c>
      <c r="AQ350" s="48">
        <f>IF(+NFL!$F92="Oakland",+NFL!#REF!,IF(+NFL!$H92="Oakland",+NFL!#REF!,0))</f>
        <v>0</v>
      </c>
      <c r="AR350" s="57">
        <f>IF(+NFL!$F92="Oakland",+NFL!#REF!,IF(+NFL!$H92="Oakland",+NFL!#REF!,0))</f>
        <v>0</v>
      </c>
      <c r="AS350" s="64">
        <f>IF(+NFL!$F92="Oakland",+NFL!#REF!,IF(+NFL!$H92="Oakland",+NFL!#REF!,0))</f>
        <v>0</v>
      </c>
      <c r="AT350" s="64">
        <f>IF(+NFL!$F92="Oakland",+NFL!#REF!,IF(+NFL!$H92="Oakland",+NFL!#REF!,0))</f>
        <v>0</v>
      </c>
      <c r="AU350" s="57">
        <f>IF(+NFL!$F92="Oakland",+NFL!#REF!,IF(+NFL!$H92="Oakland",+NFL!#REF!,0))</f>
        <v>0</v>
      </c>
      <c r="AV350" s="64">
        <f>IF(+NFL!$F92="Oakland",+NFL!#REF!,IF(+NFL!$H92="Oakland",+NFL!#REF!,0))</f>
        <v>0</v>
      </c>
      <c r="AW350" s="46">
        <f>IF(+NFL!$F92="Oakland",+NFL!#REF!,IF(+NFL!$H92="Oakland",+NFL!#REF!,0))</f>
        <v>0</v>
      </c>
      <c r="AX350" s="64">
        <f>IF(+NFL!$F92="Oakland",+NFL!#REF!,IF(+NFL!$H92="Oakland",+NFL!#REF!,0))</f>
        <v>0</v>
      </c>
      <c r="AY350" s="57">
        <f>IF(+NFL!$F92="Oakland",+NFL!#REF!,IF(+NFL!$H92="Oakland",+NFL!#REF!,0))</f>
        <v>0</v>
      </c>
      <c r="AZ350" s="64">
        <f>IF(+NFL!$F92="Oakland",+NFL!#REF!,IF(+NFL!$H92="Oakland",+NFL!#REF!,0))</f>
        <v>0</v>
      </c>
      <c r="BA350" s="46">
        <f>IF(+NFL!$F92="Oakland",+NFL!#REF!,IF(+NFL!$H92="Oakland",+NFL!#REF!,0))</f>
        <v>0</v>
      </c>
      <c r="BB350" s="46">
        <f>IF(+NFL!$F92="Oakland",+NFL!#REF!,IF(+NFL!$H92="Oakland",+NFL!#REF!,0))</f>
        <v>0</v>
      </c>
      <c r="BC350" s="403">
        <f>IF(+NFL!$F92="Oakland",+NFL!#REF!,IF(+NFL!$H92="Oakland",+NFL!#REF!,0))</f>
        <v>0</v>
      </c>
      <c r="BD350" s="57">
        <f>IF(+NFL!$F92="Oakland",+NFL!#REF!,IF(+NFL!$H92="Oakland",+NFL!#REF!,0))</f>
        <v>0</v>
      </c>
      <c r="BE350" s="64">
        <f>IF(+NFL!$F92="Oakland",+NFL!#REF!,IF(+NFL!$H92="Oakland",+NFL!#REF!,0))</f>
        <v>0</v>
      </c>
      <c r="BF350" s="46">
        <f>IF(+NFL!$F92="Oakland",+NFL!#REF!,IF(+NFL!$H92="Oakland",+NFL!#REF!,0))</f>
        <v>0</v>
      </c>
      <c r="BG350" s="57">
        <f>IF(+NFL!$F92="Oakland",+NFL!#REF!,IF(+NFL!$H92="Oakland",+NFL!#REF!,0))</f>
        <v>0</v>
      </c>
      <c r="BH350" s="64">
        <f>IF(+NFL!$F92="Oakland",+NFL!#REF!,IF(+NFL!$H92="Oakland",+NFL!#REF!,0))</f>
        <v>0</v>
      </c>
      <c r="BI350" s="46">
        <f>IF(+NFL!$F92="Oakland",+NFL!#REF!,IF(+NFL!$H92="Oakland",+NFL!#REF!,0))</f>
        <v>0</v>
      </c>
      <c r="BJ350" s="87">
        <f>IF(+NFL!$F92="Oakland",+NFL!#REF!,IF(+NFL!$H92="Oakland",+NFL!#REF!,0))</f>
        <v>0</v>
      </c>
      <c r="BK350" s="120">
        <f>IF(+NFL!$F92="Oakland",+NFL!#REF!,IF(+NFL!$H92="Oakland",+NFL!#REF!,0))</f>
        <v>0</v>
      </c>
    </row>
    <row r="351" spans="1:63" s="246" customFormat="1" x14ac:dyDescent="0.8">
      <c r="A351" s="46">
        <f>IF(+NFL!$F135="Las Vegas",+NFL!A135,IF(+NFL!$H135="Las Vegas",+NFL!A135,0))</f>
        <v>8</v>
      </c>
      <c r="B351" s="348" t="str">
        <f>IF(+NFL!$F135="Las Vegas",+NFL!B135,IF(+NFL!$H135="Las Vegas",+NFL!B135,0))</f>
        <v>Sun</v>
      </c>
      <c r="C351" s="48">
        <f>IF(+NFL!$F135="Las Vegas",+NFL!C135,IF(+NFL!$H135="Las Vegas",+NFL!C135,0))</f>
        <v>44864</v>
      </c>
      <c r="D351" s="490">
        <f>IF(+NFL!$F135="Las Vegas",+NFL!D135,IF(+NFL!$H135="Las Vegas",+NFL!D135,0))</f>
        <v>0.54166666666666663</v>
      </c>
      <c r="E351" s="46" t="str">
        <f>IF(+NFL!$F135="Las Vegas",+NFL!E135,IF(+NFL!$H135="Las Vegas",+NFL!E135,0))</f>
        <v>CBS</v>
      </c>
      <c r="F351" s="127" t="str">
        <f>IF(+NFL!$F135="Las Vegas",+NFL!F135,IF(+NFL!$H135="Las Vegas",+NFL!F135,0))</f>
        <v>Las Vegas</v>
      </c>
      <c r="G351" s="46" t="str">
        <f>IF(+NFL!$F135="Las Vegas",+NFL!G135,IF(+NFL!$H135="Las Vegas",+NFL!G135,0))</f>
        <v>AFCW</v>
      </c>
      <c r="H351" s="127" t="str">
        <f>IF(+NFL!$F135="Las Vegas",+NFL!H135,IF(+NFL!$H135="Las Vegas",+NFL!H135,0))</f>
        <v>New Orleans</v>
      </c>
      <c r="I351" s="46" t="str">
        <f>IF(+NFL!$F135="Las Vegas",+NFL!I135,IF(+NFL!$H135="Las Vegas",+NFL!I135,0))</f>
        <v>NFCS</v>
      </c>
      <c r="J351" s="353" t="str">
        <f>IF(+NFL!$F135="Las Vegas",+NFL!J135,IF(+NFL!$H135="Las Vegas",+NFL!J135,0))</f>
        <v>Las Vegas</v>
      </c>
      <c r="K351" s="494" t="str">
        <f>IF(+NFL!$F135="Las Vegas",+NFL!K135,IF(+NFL!$H135="Las Vegas",+NFL!K135,0))</f>
        <v>New Orleans</v>
      </c>
      <c r="L351" s="384">
        <f>IF(+NFL!$F135="Las Vegas",+NFL!L135,IF(+NFL!$H135="Las Vegas",+NFL!L135,0))</f>
        <v>2</v>
      </c>
      <c r="M351" s="385">
        <f>IF(+NFL!$F135="Las Vegas",+NFL!M135,IF(+NFL!$H135="Las Vegas",+NFL!M135,0))</f>
        <v>48.5</v>
      </c>
      <c r="N351" s="394" t="str">
        <f>IF(+NFL!$F135="Las Vegas",+NFL!N135,IF(+NFL!$H135="Las Vegas",+NFL!N135,0))</f>
        <v>New Orleans</v>
      </c>
      <c r="O351" s="395">
        <f>IF(+NFL!$F135="Las Vegas",+NFL!O135,IF(+NFL!$H135="Las Vegas",+NFL!O135,0))</f>
        <v>24</v>
      </c>
      <c r="P351" s="394" t="str">
        <f>IF(+NFL!$F135="Las Vegas",+NFL!P135,IF(+NFL!$H135="Las Vegas",+NFL!P135,0))</f>
        <v>Las Vegas</v>
      </c>
      <c r="Q351" s="396">
        <f>IF(+NFL!$F135="Las Vegas",+NFL!Q135,IF(+NFL!$H135="Las Vegas",+NFL!Q135,0))</f>
        <v>0</v>
      </c>
      <c r="R351" s="397" t="str">
        <f>IF(+NFL!$F135="Las Vegas",+NFL!R135,IF(+NFL!$H135="Las Vegas",+NFL!R135,0))</f>
        <v>New Orleans</v>
      </c>
      <c r="S351" s="396" t="str">
        <f>IF(+NFL!$F135="Las Vegas",+NFL!S135,IF(+NFL!$H135="Las Vegas",+NFL!S135,0))</f>
        <v>Las Vegas</v>
      </c>
      <c r="T351" s="398" t="str">
        <f>IF(+NFL!$F135="Las Vegas",+NFL!T135,IF(+NFL!$H135="Las Vegas",+NFL!T135,0))</f>
        <v>Las Vegas</v>
      </c>
      <c r="U351" s="396" t="str">
        <f>IF(+NFL!$F135="Las Vegas",+NFL!U135,IF(+NFL!$H135="Las Vegas",+NFL!U135,0))</f>
        <v>L</v>
      </c>
      <c r="V351" s="397">
        <f>IF(+NFL!$F125="Oakland",+NFL!#REF!,IF(+NFL!$H125="Oakland",+NFL!#REF!,0))</f>
        <v>0</v>
      </c>
      <c r="W351" s="396">
        <f>IF(+NFL!$F125="Oakland",+NFL!#REF!,IF(+NFL!$H125="Oakland",+NFL!#REF!,0))</f>
        <v>0</v>
      </c>
      <c r="X351" s="398">
        <f>IF(+NFL!$F125="Oakland",+NFL!#REF!,IF(+NFL!$H125="Oakland",+NFL!#REF!,0))</f>
        <v>0</v>
      </c>
      <c r="Y351" s="396">
        <f>IF(+NFL!$F125="Oakland",+NFL!#REF!,IF(+NFL!$H125="Oakland",+NFL!#REF!,0))</f>
        <v>0</v>
      </c>
      <c r="Z351" s="397">
        <f>IF(+NFL!$F125="Oakland",+NFL!#REF!,IF(+NFL!$H125="Oakland",+NFL!#REF!,0))</f>
        <v>0</v>
      </c>
      <c r="AA351" s="396">
        <f>IF(+NFL!$F125="Oakland",+NFL!#REF!,IF(+NFL!$H125="Oakland",+NFL!#REF!,0))</f>
        <v>0</v>
      </c>
      <c r="AB351" s="87">
        <f>IF(+NFL!$F125="Oakland",+NFL!#REF!,IF(+NFL!$H125="Oakland",+NFL!#REF!,0))</f>
        <v>0</v>
      </c>
      <c r="AC351" s="120">
        <f>IF(+NFL!$F125="Oakland",+NFL!#REF!,IF(+NFL!$H125="Oakland",+NFL!#REF!,0))</f>
        <v>0</v>
      </c>
      <c r="AD351" s="353">
        <f>IF(+NFL!$F125="Oakland",+NFL!#REF!,IF(+NFL!$H125="Oakland",+NFL!#REF!,0))</f>
        <v>0</v>
      </c>
      <c r="AE351" s="379">
        <f>IF(+NFL!$F125="Oakland",+NFL!#REF!,IF(+NFL!$H125="Oakland",+NFL!#REF!,0))</f>
        <v>0</v>
      </c>
      <c r="AF351" s="353">
        <f>IF(+NFL!$F125="Oakland",+NFL!#REF!,IF(+NFL!$H125="Oakland",+NFL!#REF!,0))</f>
        <v>0</v>
      </c>
      <c r="AG351" s="379">
        <f>IF(+NFL!$F125="Oakland",+NFL!#REF!,IF(+NFL!$H125="Oakland",+NFL!#REF!,0))</f>
        <v>0</v>
      </c>
      <c r="AH351" s="353">
        <f>IF(+NFL!$F125="Oakland",+NFL!#REF!,IF(+NFL!$H125="Oakland",+NFL!#REF!,0))</f>
        <v>0</v>
      </c>
      <c r="AI351" s="379">
        <f>IF(+NFL!$F125="Oakland",+NFL!#REF!,IF(+NFL!$H125="Oakland",+NFL!#REF!,0))</f>
        <v>0</v>
      </c>
      <c r="AJ351" s="353">
        <f>IF(+NFL!$F125="Oakland",+NFL!#REF!,IF(+NFL!$H125="Oakland",+NFL!#REF!,0))</f>
        <v>0</v>
      </c>
      <c r="AK351" s="379">
        <f>IF(+NFL!$F125="Oakland",+NFL!#REF!,IF(+NFL!$H125="Oakland",+NFL!#REF!,0))</f>
        <v>0</v>
      </c>
      <c r="AL351" s="68">
        <f>IF(+NFL!$F125="Oakland",+NFL!#REF!,IF(+NFL!$H125="Oakland",+NFL!#REF!,0))</f>
        <v>0</v>
      </c>
      <c r="AM351" s="58">
        <f>IF(+NFL!$F125="Oakland",+NFL!#REF!,IF(+NFL!$H125="Oakland",+NFL!#REF!,0))</f>
        <v>0</v>
      </c>
      <c r="AN351" s="57">
        <f>IF(+NFL!$F125="Oakland",+NFL!#REF!,IF(+NFL!$H125="Oakland",+NFL!#REF!,0))</f>
        <v>0</v>
      </c>
      <c r="AO351" s="59">
        <f>IF(+NFL!$F125="Oakland",+NFL!#REF!,IF(+NFL!$H125="Oakland",+NFL!#REF!,0))</f>
        <v>0</v>
      </c>
      <c r="AP351" s="348">
        <f>IF(+NFL!$F125="Oakland",+NFL!#REF!,IF(+NFL!$H125="Oakland",+NFL!#REF!,0))</f>
        <v>0</v>
      </c>
      <c r="AQ351" s="48">
        <f>IF(+NFL!$F125="Oakland",+NFL!#REF!,IF(+NFL!$H125="Oakland",+NFL!#REF!,0))</f>
        <v>0</v>
      </c>
      <c r="AR351" s="57">
        <f>IF(+NFL!$F125="Oakland",+NFL!#REF!,IF(+NFL!$H125="Oakland",+NFL!#REF!,0))</f>
        <v>0</v>
      </c>
      <c r="AS351" s="64">
        <f>IF(+NFL!$F125="Oakland",+NFL!#REF!,IF(+NFL!$H125="Oakland",+NFL!#REF!,0))</f>
        <v>0</v>
      </c>
      <c r="AT351" s="64">
        <f>IF(+NFL!$F125="Oakland",+NFL!#REF!,IF(+NFL!$H125="Oakland",+NFL!#REF!,0))</f>
        <v>0</v>
      </c>
      <c r="AU351" s="57">
        <f>IF(+NFL!$F125="Oakland",+NFL!#REF!,IF(+NFL!$H125="Oakland",+NFL!#REF!,0))</f>
        <v>0</v>
      </c>
      <c r="AV351" s="64">
        <f>IF(+NFL!$F125="Oakland",+NFL!#REF!,IF(+NFL!$H125="Oakland",+NFL!#REF!,0))</f>
        <v>0</v>
      </c>
      <c r="AW351" s="46">
        <f>IF(+NFL!$F125="Oakland",+NFL!#REF!,IF(+NFL!$H125="Oakland",+NFL!#REF!,0))</f>
        <v>0</v>
      </c>
      <c r="AX351" s="64">
        <f>IF(+NFL!$F125="Oakland",+NFL!#REF!,IF(+NFL!$H125="Oakland",+NFL!#REF!,0))</f>
        <v>0</v>
      </c>
      <c r="AY351" s="57">
        <f>IF(+NFL!$F125="Oakland",+NFL!#REF!,IF(+NFL!$H125="Oakland",+NFL!#REF!,0))</f>
        <v>0</v>
      </c>
      <c r="AZ351" s="64">
        <f>IF(+NFL!$F125="Oakland",+NFL!#REF!,IF(+NFL!$H125="Oakland",+NFL!#REF!,0))</f>
        <v>0</v>
      </c>
      <c r="BA351" s="46">
        <f>IF(+NFL!$F125="Oakland",+NFL!#REF!,IF(+NFL!$H125="Oakland",+NFL!#REF!,0))</f>
        <v>0</v>
      </c>
      <c r="BB351" s="46">
        <f>IF(+NFL!$F125="Oakland",+NFL!#REF!,IF(+NFL!$H125="Oakland",+NFL!#REF!,0))</f>
        <v>0</v>
      </c>
      <c r="BC351" s="403">
        <f>IF(+NFL!$F125="Oakland",+NFL!#REF!,IF(+NFL!$H125="Oakland",+NFL!#REF!,0))</f>
        <v>0</v>
      </c>
      <c r="BD351" s="57">
        <f>IF(+NFL!$F125="Oakland",+NFL!#REF!,IF(+NFL!$H125="Oakland",+NFL!#REF!,0))</f>
        <v>0</v>
      </c>
      <c r="BE351" s="64">
        <f>IF(+NFL!$F125="Oakland",+NFL!#REF!,IF(+NFL!$H125="Oakland",+NFL!#REF!,0))</f>
        <v>0</v>
      </c>
      <c r="BF351" s="46">
        <f>IF(+NFL!$F125="Oakland",+NFL!#REF!,IF(+NFL!$H125="Oakland",+NFL!#REF!,0))</f>
        <v>0</v>
      </c>
      <c r="BG351" s="57">
        <f>IF(+NFL!$F125="Oakland",+NFL!#REF!,IF(+NFL!$H125="Oakland",+NFL!#REF!,0))</f>
        <v>0</v>
      </c>
      <c r="BH351" s="64">
        <f>IF(+NFL!$F125="Oakland",+NFL!#REF!,IF(+NFL!$H125="Oakland",+NFL!#REF!,0))</f>
        <v>0</v>
      </c>
      <c r="BI351" s="46">
        <f>IF(+NFL!$F125="Oakland",+NFL!#REF!,IF(+NFL!$H125="Oakland",+NFL!#REF!,0))</f>
        <v>0</v>
      </c>
      <c r="BJ351" s="87">
        <f>IF(+NFL!$F125="Oakland",+NFL!#REF!,IF(+NFL!$H125="Oakland",+NFL!#REF!,0))</f>
        <v>0</v>
      </c>
      <c r="BK351" s="120">
        <f>IF(+NFL!$F125="Oakland",+NFL!#REF!,IF(+NFL!$H125="Oakland",+NFL!#REF!,0))</f>
        <v>0</v>
      </c>
    </row>
    <row r="352" spans="1:63" s="246" customFormat="1" x14ac:dyDescent="0.8">
      <c r="A352" s="46">
        <f>IF(+NFL!$F156="Las Vegas",+NFL!A156,IF(+NFL!$H156="Las Vegas",+NFL!A156,0))</f>
        <v>9</v>
      </c>
      <c r="B352" s="348" t="str">
        <f>IF(+NFL!$F156="Las Vegas",+NFL!B156,IF(+NFL!$H156="Las Vegas",+NFL!B156,0))</f>
        <v>Sun</v>
      </c>
      <c r="C352" s="48">
        <f>IF(+NFL!$F156="Las Vegas",+NFL!C156,IF(+NFL!$H156="Las Vegas",+NFL!C156,0))</f>
        <v>44871</v>
      </c>
      <c r="D352" s="490">
        <f>IF(+NFL!$F156="Las Vegas",+NFL!D156,IF(+NFL!$H156="Las Vegas",+NFL!D156,0))</f>
        <v>0.54166666666666663</v>
      </c>
      <c r="E352" s="46" t="str">
        <f>IF(+NFL!$F156="Las Vegas",+NFL!E156,IF(+NFL!$H156="Las Vegas",+NFL!E156,0))</f>
        <v>CBS</v>
      </c>
      <c r="F352" s="127" t="str">
        <f>IF(+NFL!$F156="Las Vegas",+NFL!F156,IF(+NFL!$H156="Las Vegas",+NFL!F156,0))</f>
        <v>Las Vegas</v>
      </c>
      <c r="G352" s="46" t="str">
        <f>IF(+NFL!$F156="Las Vegas",+NFL!G156,IF(+NFL!$H156="Las Vegas",+NFL!G156,0))</f>
        <v>AFCW</v>
      </c>
      <c r="H352" s="127" t="str">
        <f>IF(+NFL!$F156="Las Vegas",+NFL!H156,IF(+NFL!$H156="Las Vegas",+NFL!H156,0))</f>
        <v>Jacksonville</v>
      </c>
      <c r="I352" s="46" t="str">
        <f>IF(+NFL!$F156="Las Vegas",+NFL!I156,IF(+NFL!$H156="Las Vegas",+NFL!I156,0))</f>
        <v>AFCS</v>
      </c>
      <c r="J352" s="353" t="str">
        <f>IF(+NFL!$F156="Las Vegas",+NFL!J156,IF(+NFL!$H156="Las Vegas",+NFL!J156,0))</f>
        <v>Las Vegas</v>
      </c>
      <c r="K352" s="494" t="str">
        <f>IF(+NFL!$F156="Las Vegas",+NFL!K156,IF(+NFL!$H156="Las Vegas",+NFL!K156,0))</f>
        <v>Jacksonville</v>
      </c>
      <c r="L352" s="384">
        <f>IF(+NFL!$F156="Las Vegas",+NFL!L156,IF(+NFL!$H156="Las Vegas",+NFL!L156,0))</f>
        <v>2</v>
      </c>
      <c r="M352" s="385">
        <f>IF(+NFL!$F156="Las Vegas",+NFL!M156,IF(+NFL!$H156="Las Vegas",+NFL!M156,0))</f>
        <v>48</v>
      </c>
      <c r="N352" s="394" t="str">
        <f>IF(+NFL!$F156="Las Vegas",+NFL!N156,IF(+NFL!$H156="Las Vegas",+NFL!N156,0))</f>
        <v>Jacksonville</v>
      </c>
      <c r="O352" s="395">
        <f>IF(+NFL!$F156="Las Vegas",+NFL!O156,IF(+NFL!$H156="Las Vegas",+NFL!O156,0))</f>
        <v>27</v>
      </c>
      <c r="P352" s="394" t="str">
        <f>IF(+NFL!$F156="Las Vegas",+NFL!P156,IF(+NFL!$H156="Las Vegas",+NFL!P156,0))</f>
        <v>Las Vegas</v>
      </c>
      <c r="Q352" s="396">
        <f>IF(+NFL!$F156="Las Vegas",+NFL!Q156,IF(+NFL!$H156="Las Vegas",+NFL!Q156,0))</f>
        <v>20</v>
      </c>
      <c r="R352" s="397" t="str">
        <f>IF(+NFL!$F156="Las Vegas",+NFL!R156,IF(+NFL!$H156="Las Vegas",+NFL!R156,0))</f>
        <v>Jacksonville</v>
      </c>
      <c r="S352" s="396" t="str">
        <f>IF(+NFL!$F156="Las Vegas",+NFL!S156,IF(+NFL!$H156="Las Vegas",+NFL!S156,0))</f>
        <v>Las Vegas</v>
      </c>
      <c r="T352" s="398" t="str">
        <f>IF(+NFL!$F156="Las Vegas",+NFL!T156,IF(+NFL!$H156="Las Vegas",+NFL!T156,0))</f>
        <v>Jacksonville</v>
      </c>
      <c r="U352" s="396" t="str">
        <f>IF(+NFL!$F156="Las Vegas",+NFL!U156,IF(+NFL!$H156="Las Vegas",+NFL!U156,0))</f>
        <v>W</v>
      </c>
      <c r="V352" s="397">
        <f>IF(+NFL!$F133="Oakland",+NFL!#REF!,IF(+NFL!$H133="Oakland",+NFL!#REF!,0))</f>
        <v>0</v>
      </c>
      <c r="W352" s="396">
        <f>IF(+NFL!$F133="Oakland",+NFL!#REF!,IF(+NFL!$H133="Oakland",+NFL!#REF!,0))</f>
        <v>0</v>
      </c>
      <c r="X352" s="398">
        <f>IF(+NFL!$F133="Oakland",+NFL!#REF!,IF(+NFL!$H133="Oakland",+NFL!#REF!,0))</f>
        <v>0</v>
      </c>
      <c r="Y352" s="396">
        <f>IF(+NFL!$F133="Oakland",+NFL!#REF!,IF(+NFL!$H133="Oakland",+NFL!#REF!,0))</f>
        <v>0</v>
      </c>
      <c r="Z352" s="397">
        <f>IF(+NFL!$F133="Oakland",+NFL!#REF!,IF(+NFL!$H133="Oakland",+NFL!#REF!,0))</f>
        <v>0</v>
      </c>
      <c r="AA352" s="396">
        <f>IF(+NFL!$F133="Oakland",+NFL!#REF!,IF(+NFL!$H133="Oakland",+NFL!#REF!,0))</f>
        <v>0</v>
      </c>
      <c r="AB352" s="87">
        <f>IF(+NFL!$F133="Oakland",+NFL!#REF!,IF(+NFL!$H133="Oakland",+NFL!#REF!,0))</f>
        <v>0</v>
      </c>
      <c r="AC352" s="120">
        <f>IF(+NFL!$F133="Oakland",+NFL!#REF!,IF(+NFL!$H133="Oakland",+NFL!#REF!,0))</f>
        <v>0</v>
      </c>
      <c r="AD352" s="353">
        <f>IF(+NFL!$F133="Oakland",+NFL!#REF!,IF(+NFL!$H133="Oakland",+NFL!#REF!,0))</f>
        <v>0</v>
      </c>
      <c r="AE352" s="379">
        <f>IF(+NFL!$F133="Oakland",+NFL!#REF!,IF(+NFL!$H133="Oakland",+NFL!#REF!,0))</f>
        <v>0</v>
      </c>
      <c r="AF352" s="353">
        <f>IF(+NFL!$F133="Oakland",+NFL!#REF!,IF(+NFL!$H133="Oakland",+NFL!#REF!,0))</f>
        <v>0</v>
      </c>
      <c r="AG352" s="379">
        <f>IF(+NFL!$F133="Oakland",+NFL!#REF!,IF(+NFL!$H133="Oakland",+NFL!#REF!,0))</f>
        <v>0</v>
      </c>
      <c r="AH352" s="353">
        <f>IF(+NFL!$F133="Oakland",+NFL!#REF!,IF(+NFL!$H133="Oakland",+NFL!#REF!,0))</f>
        <v>0</v>
      </c>
      <c r="AI352" s="379">
        <f>IF(+NFL!$F133="Oakland",+NFL!#REF!,IF(+NFL!$H133="Oakland",+NFL!#REF!,0))</f>
        <v>0</v>
      </c>
      <c r="AJ352" s="353">
        <f>IF(+NFL!$F133="Oakland",+NFL!#REF!,IF(+NFL!$H133="Oakland",+NFL!#REF!,0))</f>
        <v>0</v>
      </c>
      <c r="AK352" s="379">
        <f>IF(+NFL!$F133="Oakland",+NFL!#REF!,IF(+NFL!$H133="Oakland",+NFL!#REF!,0))</f>
        <v>0</v>
      </c>
      <c r="AL352" s="68">
        <f>IF(+NFL!$F133="Oakland",+NFL!#REF!,IF(+NFL!$H133="Oakland",+NFL!#REF!,0))</f>
        <v>0</v>
      </c>
      <c r="AM352" s="58">
        <f>IF(+NFL!$F133="Oakland",+NFL!#REF!,IF(+NFL!$H133="Oakland",+NFL!#REF!,0))</f>
        <v>0</v>
      </c>
      <c r="AN352" s="57">
        <f>IF(+NFL!$F133="Oakland",+NFL!#REF!,IF(+NFL!$H133="Oakland",+NFL!#REF!,0))</f>
        <v>0</v>
      </c>
      <c r="AO352" s="59">
        <f>IF(+NFL!$F133="Oakland",+NFL!#REF!,IF(+NFL!$H133="Oakland",+NFL!#REF!,0))</f>
        <v>0</v>
      </c>
      <c r="AP352" s="348">
        <f>IF(+NFL!$F133="Oakland",+NFL!#REF!,IF(+NFL!$H133="Oakland",+NFL!#REF!,0))</f>
        <v>0</v>
      </c>
      <c r="AQ352" s="48">
        <f>IF(+NFL!$F133="Oakland",+NFL!#REF!,IF(+NFL!$H133="Oakland",+NFL!#REF!,0))</f>
        <v>0</v>
      </c>
      <c r="AR352" s="57">
        <f>IF(+NFL!$F133="Oakland",+NFL!#REF!,IF(+NFL!$H133="Oakland",+NFL!#REF!,0))</f>
        <v>0</v>
      </c>
      <c r="AS352" s="64">
        <f>IF(+NFL!$F133="Oakland",+NFL!#REF!,IF(+NFL!$H133="Oakland",+NFL!#REF!,0))</f>
        <v>0</v>
      </c>
      <c r="AT352" s="64">
        <f>IF(+NFL!$F133="Oakland",+NFL!#REF!,IF(+NFL!$H133="Oakland",+NFL!#REF!,0))</f>
        <v>0</v>
      </c>
      <c r="AU352" s="57">
        <f>IF(+NFL!$F133="Oakland",+NFL!#REF!,IF(+NFL!$H133="Oakland",+NFL!#REF!,0))</f>
        <v>0</v>
      </c>
      <c r="AV352" s="64">
        <f>IF(+NFL!$F133="Oakland",+NFL!#REF!,IF(+NFL!$H133="Oakland",+NFL!#REF!,0))</f>
        <v>0</v>
      </c>
      <c r="AW352" s="46">
        <f>IF(+NFL!$F133="Oakland",+NFL!#REF!,IF(+NFL!$H133="Oakland",+NFL!#REF!,0))</f>
        <v>0</v>
      </c>
      <c r="AX352" s="64">
        <f>IF(+NFL!$F133="Oakland",+NFL!#REF!,IF(+NFL!$H133="Oakland",+NFL!#REF!,0))</f>
        <v>0</v>
      </c>
      <c r="AY352" s="57">
        <f>IF(+NFL!$F133="Oakland",+NFL!#REF!,IF(+NFL!$H133="Oakland",+NFL!#REF!,0))</f>
        <v>0</v>
      </c>
      <c r="AZ352" s="64">
        <f>IF(+NFL!$F133="Oakland",+NFL!#REF!,IF(+NFL!$H133="Oakland",+NFL!#REF!,0))</f>
        <v>0</v>
      </c>
      <c r="BA352" s="46">
        <f>IF(+NFL!$F133="Oakland",+NFL!#REF!,IF(+NFL!$H133="Oakland",+NFL!#REF!,0))</f>
        <v>0</v>
      </c>
      <c r="BB352" s="46">
        <f>IF(+NFL!$F133="Oakland",+NFL!#REF!,IF(+NFL!$H133="Oakland",+NFL!#REF!,0))</f>
        <v>0</v>
      </c>
      <c r="BC352" s="403">
        <f>IF(+NFL!$F133="Oakland",+NFL!#REF!,IF(+NFL!$H133="Oakland",+NFL!#REF!,0))</f>
        <v>0</v>
      </c>
      <c r="BD352" s="57">
        <f>IF(+NFL!$F133="Oakland",+NFL!#REF!,IF(+NFL!$H133="Oakland",+NFL!#REF!,0))</f>
        <v>0</v>
      </c>
      <c r="BE352" s="64">
        <f>IF(+NFL!$F133="Oakland",+NFL!#REF!,IF(+NFL!$H133="Oakland",+NFL!#REF!,0))</f>
        <v>0</v>
      </c>
      <c r="BF352" s="46">
        <f>IF(+NFL!$F133="Oakland",+NFL!#REF!,IF(+NFL!$H133="Oakland",+NFL!#REF!,0))</f>
        <v>0</v>
      </c>
      <c r="BG352" s="57">
        <f>IF(+NFL!$F133="Oakland",+NFL!#REF!,IF(+NFL!$H133="Oakland",+NFL!#REF!,0))</f>
        <v>0</v>
      </c>
      <c r="BH352" s="64">
        <f>IF(+NFL!$F133="Oakland",+NFL!#REF!,IF(+NFL!$H133="Oakland",+NFL!#REF!,0))</f>
        <v>0</v>
      </c>
      <c r="BI352" s="46">
        <f>IF(+NFL!$F133="Oakland",+NFL!#REF!,IF(+NFL!$H133="Oakland",+NFL!#REF!,0))</f>
        <v>0</v>
      </c>
      <c r="BJ352" s="87">
        <f>IF(+NFL!$F133="Oakland",+NFL!#REF!,IF(+NFL!$H133="Oakland",+NFL!#REF!,0))</f>
        <v>0</v>
      </c>
      <c r="BK352" s="120">
        <f>IF(+NFL!$F133="Oakland",+NFL!#REF!,IF(+NFL!$H133="Oakland",+NFL!#REF!,0))</f>
        <v>0</v>
      </c>
    </row>
    <row r="353" spans="1:63" s="246" customFormat="1" x14ac:dyDescent="0.8">
      <c r="A353" s="46">
        <f>IF(+NFL!$F178="Las Vegas",+NFL!A178,IF(+NFL!$H178="Las Vegas",+NFL!A178,0))</f>
        <v>10</v>
      </c>
      <c r="B353" s="348" t="str">
        <f>IF(+NFL!$F178="Las Vegas",+NFL!B178,IF(+NFL!$H178="Las Vegas",+NFL!B178,0))</f>
        <v>Sun</v>
      </c>
      <c r="C353" s="48">
        <f>IF(+NFL!$F178="Las Vegas",+NFL!C178,IF(+NFL!$H178="Las Vegas",+NFL!C178,0))</f>
        <v>44878</v>
      </c>
      <c r="D353" s="490">
        <f>IF(+NFL!$F178="Las Vegas",+NFL!D178,IF(+NFL!$H178="Las Vegas",+NFL!D178,0))</f>
        <v>0.66666666666666663</v>
      </c>
      <c r="E353" s="46" t="str">
        <f>IF(+NFL!$F178="Las Vegas",+NFL!E178,IF(+NFL!$H178="Las Vegas",+NFL!E178,0))</f>
        <v>CBS</v>
      </c>
      <c r="F353" s="127" t="str">
        <f>IF(+NFL!$F178="Las Vegas",+NFL!F178,IF(+NFL!$H178="Las Vegas",+NFL!F178,0))</f>
        <v>Indianapolis</v>
      </c>
      <c r="G353" s="46" t="str">
        <f>IF(+NFL!$F178="Las Vegas",+NFL!G178,IF(+NFL!$H178="Las Vegas",+NFL!G178,0))</f>
        <v>AFCS</v>
      </c>
      <c r="H353" s="127" t="str">
        <f>IF(+NFL!$F178="Las Vegas",+NFL!H178,IF(+NFL!$H178="Las Vegas",+NFL!H178,0))</f>
        <v>Las Vegas</v>
      </c>
      <c r="I353" s="46" t="str">
        <f>IF(+NFL!$F178="Las Vegas",+NFL!I178,IF(+NFL!$H178="Las Vegas",+NFL!I178,0))</f>
        <v>AFCW</v>
      </c>
      <c r="J353" s="353" t="str">
        <f>IF(+NFL!$F178="Las Vegas",+NFL!J178,IF(+NFL!$H178="Las Vegas",+NFL!J178,0))</f>
        <v>Las Vegas</v>
      </c>
      <c r="K353" s="494" t="str">
        <f>IF(+NFL!$F178="Las Vegas",+NFL!K178,IF(+NFL!$H178="Las Vegas",+NFL!K178,0))</f>
        <v>Indianapolis</v>
      </c>
      <c r="L353" s="384">
        <f>IF(+NFL!$F178="Las Vegas",+NFL!L178,IF(+NFL!$H178="Las Vegas",+NFL!L178,0))</f>
        <v>6</v>
      </c>
      <c r="M353" s="385">
        <f>IF(+NFL!$F178="Las Vegas",+NFL!M178,IF(+NFL!$H178="Las Vegas",+NFL!M178,0))</f>
        <v>42.5</v>
      </c>
      <c r="N353" s="394" t="str">
        <f>IF(+NFL!$F178="Las Vegas",+NFL!N178,IF(+NFL!$H178="Las Vegas",+NFL!N178,0))</f>
        <v>Indianapolis</v>
      </c>
      <c r="O353" s="395">
        <f>IF(+NFL!$F178="Las Vegas",+NFL!O178,IF(+NFL!$H178="Las Vegas",+NFL!O178,0))</f>
        <v>25</v>
      </c>
      <c r="P353" s="394" t="str">
        <f>IF(+NFL!$F178="Las Vegas",+NFL!P178,IF(+NFL!$H178="Las Vegas",+NFL!P178,0))</f>
        <v>Las Vegas</v>
      </c>
      <c r="Q353" s="396">
        <f>IF(+NFL!$F178="Las Vegas",+NFL!Q178,IF(+NFL!$H178="Las Vegas",+NFL!Q178,0))</f>
        <v>20</v>
      </c>
      <c r="R353" s="397" t="str">
        <f>IF(+NFL!$F178="Las Vegas",+NFL!R178,IF(+NFL!$H178="Las Vegas",+NFL!R178,0))</f>
        <v>Indianapolis</v>
      </c>
      <c r="S353" s="396" t="str">
        <f>IF(+NFL!$F178="Las Vegas",+NFL!S178,IF(+NFL!$H178="Las Vegas",+NFL!S178,0))</f>
        <v>Las Vegas</v>
      </c>
      <c r="T353" s="398" t="str">
        <f>IF(+NFL!$F178="Las Vegas",+NFL!T178,IF(+NFL!$H178="Las Vegas",+NFL!T178,0))</f>
        <v>Indianapolis</v>
      </c>
      <c r="U353" s="396" t="str">
        <f>IF(+NFL!$F178="Las Vegas",+NFL!U178,IF(+NFL!$H178="Las Vegas",+NFL!U178,0))</f>
        <v>W</v>
      </c>
      <c r="V353" s="397">
        <f>IF(+NFL!$F159="Oakland",+NFL!#REF!,IF(+NFL!$H159="Oakland",+NFL!#REF!,0))</f>
        <v>0</v>
      </c>
      <c r="W353" s="396">
        <f>IF(+NFL!$F159="Oakland",+NFL!#REF!,IF(+NFL!$H159="Oakland",+NFL!#REF!,0))</f>
        <v>0</v>
      </c>
      <c r="X353" s="398">
        <f>IF(+NFL!$F159="Oakland",+NFL!#REF!,IF(+NFL!$H159="Oakland",+NFL!#REF!,0))</f>
        <v>0</v>
      </c>
      <c r="Y353" s="396">
        <f>IF(+NFL!$F159="Oakland",+NFL!#REF!,IF(+NFL!$H159="Oakland",+NFL!#REF!,0))</f>
        <v>0</v>
      </c>
      <c r="Z353" s="397">
        <f>IF(+NFL!$F159="Oakland",+NFL!#REF!,IF(+NFL!$H159="Oakland",+NFL!#REF!,0))</f>
        <v>0</v>
      </c>
      <c r="AA353" s="396">
        <f>IF(+NFL!$F159="Oakland",+NFL!#REF!,IF(+NFL!$H159="Oakland",+NFL!#REF!,0))</f>
        <v>0</v>
      </c>
      <c r="AB353" s="87">
        <f>IF(+NFL!$F159="Oakland",+NFL!#REF!,IF(+NFL!$H159="Oakland",+NFL!#REF!,0))</f>
        <v>0</v>
      </c>
      <c r="AC353" s="120">
        <f>IF(+NFL!$F159="Oakland",+NFL!#REF!,IF(+NFL!$H159="Oakland",+NFL!#REF!,0))</f>
        <v>0</v>
      </c>
      <c r="AD353" s="353">
        <f>IF(+NFL!$F159="Oakland",+NFL!#REF!,IF(+NFL!$H159="Oakland",+NFL!#REF!,0))</f>
        <v>0</v>
      </c>
      <c r="AE353" s="379">
        <f>IF(+NFL!$F159="Oakland",+NFL!#REF!,IF(+NFL!$H159="Oakland",+NFL!#REF!,0))</f>
        <v>0</v>
      </c>
      <c r="AF353" s="353">
        <f>IF(+NFL!$F159="Oakland",+NFL!#REF!,IF(+NFL!$H159="Oakland",+NFL!#REF!,0))</f>
        <v>0</v>
      </c>
      <c r="AG353" s="379">
        <f>IF(+NFL!$F159="Oakland",+NFL!#REF!,IF(+NFL!$H159="Oakland",+NFL!#REF!,0))</f>
        <v>0</v>
      </c>
      <c r="AH353" s="353">
        <f>IF(+NFL!$F159="Oakland",+NFL!#REF!,IF(+NFL!$H159="Oakland",+NFL!#REF!,0))</f>
        <v>0</v>
      </c>
      <c r="AI353" s="379">
        <f>IF(+NFL!$F159="Oakland",+NFL!#REF!,IF(+NFL!$H159="Oakland",+NFL!#REF!,0))</f>
        <v>0</v>
      </c>
      <c r="AJ353" s="353">
        <f>IF(+NFL!$F159="Oakland",+NFL!#REF!,IF(+NFL!$H159="Oakland",+NFL!#REF!,0))</f>
        <v>0</v>
      </c>
      <c r="AK353" s="379">
        <f>IF(+NFL!$F159="Oakland",+NFL!#REF!,IF(+NFL!$H159="Oakland",+NFL!#REF!,0))</f>
        <v>0</v>
      </c>
      <c r="AL353" s="68">
        <f>IF(+NFL!$F159="Oakland",+NFL!#REF!,IF(+NFL!$H159="Oakland",+NFL!#REF!,0))</f>
        <v>0</v>
      </c>
      <c r="AM353" s="58">
        <f>IF(+NFL!$F159="Oakland",+NFL!#REF!,IF(+NFL!$H159="Oakland",+NFL!#REF!,0))</f>
        <v>0</v>
      </c>
      <c r="AN353" s="57">
        <f>IF(+NFL!$F159="Oakland",+NFL!#REF!,IF(+NFL!$H159="Oakland",+NFL!#REF!,0))</f>
        <v>0</v>
      </c>
      <c r="AO353" s="59">
        <f>IF(+NFL!$F159="Oakland",+NFL!#REF!,IF(+NFL!$H159="Oakland",+NFL!#REF!,0))</f>
        <v>0</v>
      </c>
      <c r="AP353" s="348">
        <f>IF(+NFL!$F159="Oakland",+NFL!#REF!,IF(+NFL!$H159="Oakland",+NFL!#REF!,0))</f>
        <v>0</v>
      </c>
      <c r="AQ353" s="48">
        <f>IF(+NFL!$F159="Oakland",+NFL!#REF!,IF(+NFL!$H159="Oakland",+NFL!#REF!,0))</f>
        <v>0</v>
      </c>
      <c r="AR353" s="57">
        <f>IF(+NFL!$F159="Oakland",+NFL!#REF!,IF(+NFL!$H159="Oakland",+NFL!#REF!,0))</f>
        <v>0</v>
      </c>
      <c r="AS353" s="64">
        <f>IF(+NFL!$F159="Oakland",+NFL!#REF!,IF(+NFL!$H159="Oakland",+NFL!#REF!,0))</f>
        <v>0</v>
      </c>
      <c r="AT353" s="64">
        <f>IF(+NFL!$F159="Oakland",+NFL!#REF!,IF(+NFL!$H159="Oakland",+NFL!#REF!,0))</f>
        <v>0</v>
      </c>
      <c r="AU353" s="57">
        <f>IF(+NFL!$F159="Oakland",+NFL!#REF!,IF(+NFL!$H159="Oakland",+NFL!#REF!,0))</f>
        <v>0</v>
      </c>
      <c r="AV353" s="64">
        <f>IF(+NFL!$F159="Oakland",+NFL!#REF!,IF(+NFL!$H159="Oakland",+NFL!#REF!,0))</f>
        <v>0</v>
      </c>
      <c r="AW353" s="46">
        <f>IF(+NFL!$F159="Oakland",+NFL!#REF!,IF(+NFL!$H159="Oakland",+NFL!#REF!,0))</f>
        <v>0</v>
      </c>
      <c r="AX353" s="64">
        <f>IF(+NFL!$F159="Oakland",+NFL!#REF!,IF(+NFL!$H159="Oakland",+NFL!#REF!,0))</f>
        <v>0</v>
      </c>
      <c r="AY353" s="57">
        <f>IF(+NFL!$F159="Oakland",+NFL!#REF!,IF(+NFL!$H159="Oakland",+NFL!#REF!,0))</f>
        <v>0</v>
      </c>
      <c r="AZ353" s="64">
        <f>IF(+NFL!$F159="Oakland",+NFL!#REF!,IF(+NFL!$H159="Oakland",+NFL!#REF!,0))</f>
        <v>0</v>
      </c>
      <c r="BA353" s="46">
        <f>IF(+NFL!$F159="Oakland",+NFL!#REF!,IF(+NFL!$H159="Oakland",+NFL!#REF!,0))</f>
        <v>0</v>
      </c>
      <c r="BB353" s="46">
        <f>IF(+NFL!$F159="Oakland",+NFL!#REF!,IF(+NFL!$H159="Oakland",+NFL!#REF!,0))</f>
        <v>0</v>
      </c>
      <c r="BC353" s="403">
        <f>IF(+NFL!$F159="Oakland",+NFL!#REF!,IF(+NFL!$H159="Oakland",+NFL!#REF!,0))</f>
        <v>0</v>
      </c>
      <c r="BD353" s="57">
        <f>IF(+NFL!$F159="Oakland",+NFL!#REF!,IF(+NFL!$H159="Oakland",+NFL!#REF!,0))</f>
        <v>0</v>
      </c>
      <c r="BE353" s="64">
        <f>IF(+NFL!$F159="Oakland",+NFL!#REF!,IF(+NFL!$H159="Oakland",+NFL!#REF!,0))</f>
        <v>0</v>
      </c>
      <c r="BF353" s="46">
        <f>IF(+NFL!$F159="Oakland",+NFL!#REF!,IF(+NFL!$H159="Oakland",+NFL!#REF!,0))</f>
        <v>0</v>
      </c>
      <c r="BG353" s="57">
        <f>IF(+NFL!$F159="Oakland",+NFL!#REF!,IF(+NFL!$H159="Oakland",+NFL!#REF!,0))</f>
        <v>0</v>
      </c>
      <c r="BH353" s="64">
        <f>IF(+NFL!$F159="Oakland",+NFL!#REF!,IF(+NFL!$H159="Oakland",+NFL!#REF!,0))</f>
        <v>0</v>
      </c>
      <c r="BI353" s="46">
        <f>IF(+NFL!$F159="Oakland",+NFL!#REF!,IF(+NFL!$H159="Oakland",+NFL!#REF!,0))</f>
        <v>0</v>
      </c>
      <c r="BJ353" s="87">
        <f>IF(+NFL!$F159="Oakland",+NFL!#REF!,IF(+NFL!$H159="Oakland",+NFL!#REF!,0))</f>
        <v>0</v>
      </c>
      <c r="BK353" s="120">
        <f>IF(+NFL!$F159="Oakland",+NFL!#REF!,IF(+NFL!$H159="Oakland",+NFL!#REF!,0))</f>
        <v>0</v>
      </c>
    </row>
    <row r="354" spans="1:63" s="246" customFormat="1" x14ac:dyDescent="0.8">
      <c r="A354" s="46">
        <f>IF(+NFL!$F198="Las Vegas",+NFL!A198,IF(+NFL!$H198="Las Vegas",+NFL!A198,0))</f>
        <v>11</v>
      </c>
      <c r="B354" s="348" t="str">
        <f>IF(+NFL!$F198="Las Vegas",+NFL!B198,IF(+NFL!$H198="Las Vegas",+NFL!B198,0))</f>
        <v>Sun</v>
      </c>
      <c r="C354" s="48">
        <f>IF(+NFL!$F198="Las Vegas",+NFL!C198,IF(+NFL!$H198="Las Vegas",+NFL!C198,0))</f>
        <v>44885</v>
      </c>
      <c r="D354" s="490">
        <f>IF(+NFL!$F198="Las Vegas",+NFL!D198,IF(+NFL!$H198="Las Vegas",+NFL!D198,0))</f>
        <v>0.66666666666666663</v>
      </c>
      <c r="E354" s="46" t="str">
        <f>IF(+NFL!$F198="Las Vegas",+NFL!E198,IF(+NFL!$H198="Las Vegas",+NFL!E198,0))</f>
        <v>CBS</v>
      </c>
      <c r="F354" s="127" t="str">
        <f>IF(+NFL!$F198="Las Vegas",+NFL!F198,IF(+NFL!$H198="Las Vegas",+NFL!F198,0))</f>
        <v>Las Vegas</v>
      </c>
      <c r="G354" s="46" t="str">
        <f>IF(+NFL!$F198="Las Vegas",+NFL!G198,IF(+NFL!$H198="Las Vegas",+NFL!G198,0))</f>
        <v>AFCW</v>
      </c>
      <c r="H354" s="127" t="str">
        <f>IF(+NFL!$F198="Las Vegas",+NFL!H198,IF(+NFL!$H198="Las Vegas",+NFL!H198,0))</f>
        <v>Denver</v>
      </c>
      <c r="I354" s="46" t="str">
        <f>IF(+NFL!$F198="Las Vegas",+NFL!I198,IF(+NFL!$H198="Las Vegas",+NFL!I198,0))</f>
        <v>AFCW</v>
      </c>
      <c r="J354" s="353" t="str">
        <f>IF(+NFL!$F198="Las Vegas",+NFL!J198,IF(+NFL!$H198="Las Vegas",+NFL!J198,0))</f>
        <v>Denver</v>
      </c>
      <c r="K354" s="494" t="str">
        <f>IF(+NFL!$F198="Las Vegas",+NFL!K198,IF(+NFL!$H198="Las Vegas",+NFL!K198,0))</f>
        <v>Las Vegas</v>
      </c>
      <c r="L354" s="384">
        <f>IF(+NFL!$F198="Las Vegas",+NFL!L198,IF(+NFL!$H198="Las Vegas",+NFL!L198,0))</f>
        <v>2.5</v>
      </c>
      <c r="M354" s="385">
        <f>IF(+NFL!$F198="Las Vegas",+NFL!M198,IF(+NFL!$H198="Las Vegas",+NFL!M198,0))</f>
        <v>41.5</v>
      </c>
      <c r="N354" s="394" t="str">
        <f>IF(+NFL!$F198="Las Vegas",+NFL!N198,IF(+NFL!$H198="Las Vegas",+NFL!N198,0))</f>
        <v>Las Vegas</v>
      </c>
      <c r="O354" s="395">
        <f>IF(+NFL!$F198="Las Vegas",+NFL!O198,IF(+NFL!$H198="Las Vegas",+NFL!O198,0))</f>
        <v>22</v>
      </c>
      <c r="P354" s="394" t="str">
        <f>IF(+NFL!$F198="Las Vegas",+NFL!P198,IF(+NFL!$H198="Las Vegas",+NFL!P198,0))</f>
        <v>Denver</v>
      </c>
      <c r="Q354" s="396">
        <f>IF(+NFL!$F198="Las Vegas",+NFL!Q198,IF(+NFL!$H198="Las Vegas",+NFL!Q198,0))</f>
        <v>16</v>
      </c>
      <c r="R354" s="397" t="str">
        <f>IF(+NFL!$F198="Las Vegas",+NFL!R198,IF(+NFL!$H198="Las Vegas",+NFL!R198,0))</f>
        <v>Las Vegas</v>
      </c>
      <c r="S354" s="396" t="str">
        <f>IF(+NFL!$F198="Las Vegas",+NFL!S198,IF(+NFL!$H198="Las Vegas",+NFL!S198,0))</f>
        <v>Denver</v>
      </c>
      <c r="T354" s="398" t="str">
        <f>IF(+NFL!$F198="Las Vegas",+NFL!T198,IF(+NFL!$H198="Las Vegas",+NFL!T198,0))</f>
        <v>Denver</v>
      </c>
      <c r="U354" s="396" t="str">
        <f>IF(+NFL!$F198="Las Vegas",+NFL!U198,IF(+NFL!$H198="Las Vegas",+NFL!U198,0))</f>
        <v>L</v>
      </c>
      <c r="V354" s="397">
        <f>IF(+NFL!$F181="Oakland",+NFL!#REF!,IF(+NFL!$H181="Oakland",+NFL!#REF!,0))</f>
        <v>0</v>
      </c>
      <c r="W354" s="396">
        <f>IF(+NFL!$F181="Oakland",+NFL!#REF!,IF(+NFL!$H181="Oakland",+NFL!#REF!,0))</f>
        <v>0</v>
      </c>
      <c r="X354" s="398">
        <f>IF(+NFL!$F181="Oakland",+NFL!#REF!,IF(+NFL!$H181="Oakland",+NFL!#REF!,0))</f>
        <v>0</v>
      </c>
      <c r="Y354" s="396">
        <f>IF(+NFL!$F181="Oakland",+NFL!#REF!,IF(+NFL!$H181="Oakland",+NFL!#REF!,0))</f>
        <v>0</v>
      </c>
      <c r="Z354" s="397">
        <f>IF(+NFL!$F181="Oakland",+NFL!#REF!,IF(+NFL!$H181="Oakland",+NFL!#REF!,0))</f>
        <v>0</v>
      </c>
      <c r="AA354" s="396">
        <f>IF(+NFL!$F181="Oakland",+NFL!#REF!,IF(+NFL!$H181="Oakland",+NFL!#REF!,0))</f>
        <v>0</v>
      </c>
      <c r="AB354" s="87">
        <f>IF(+NFL!$F181="Oakland",+NFL!#REF!,IF(+NFL!$H181="Oakland",+NFL!#REF!,0))</f>
        <v>0</v>
      </c>
      <c r="AC354" s="120">
        <f>IF(+NFL!$F181="Oakland",+NFL!#REF!,IF(+NFL!$H181="Oakland",+NFL!#REF!,0))</f>
        <v>0</v>
      </c>
      <c r="AD354" s="353">
        <f>IF(+NFL!$F181="Oakland",+NFL!#REF!,IF(+NFL!$H181="Oakland",+NFL!#REF!,0))</f>
        <v>0</v>
      </c>
      <c r="AE354" s="379">
        <f>IF(+NFL!$F181="Oakland",+NFL!#REF!,IF(+NFL!$H181="Oakland",+NFL!#REF!,0))</f>
        <v>0</v>
      </c>
      <c r="AF354" s="353">
        <f>IF(+NFL!$F181="Oakland",+NFL!#REF!,IF(+NFL!$H181="Oakland",+NFL!#REF!,0))</f>
        <v>0</v>
      </c>
      <c r="AG354" s="379">
        <f>IF(+NFL!$F181="Oakland",+NFL!#REF!,IF(+NFL!$H181="Oakland",+NFL!#REF!,0))</f>
        <v>0</v>
      </c>
      <c r="AH354" s="353">
        <f>IF(+NFL!$F181="Oakland",+NFL!#REF!,IF(+NFL!$H181="Oakland",+NFL!#REF!,0))</f>
        <v>0</v>
      </c>
      <c r="AI354" s="379">
        <f>IF(+NFL!$F181="Oakland",+NFL!#REF!,IF(+NFL!$H181="Oakland",+NFL!#REF!,0))</f>
        <v>0</v>
      </c>
      <c r="AJ354" s="353">
        <f>IF(+NFL!$F181="Oakland",+NFL!#REF!,IF(+NFL!$H181="Oakland",+NFL!#REF!,0))</f>
        <v>0</v>
      </c>
      <c r="AK354" s="379">
        <f>IF(+NFL!$F181="Oakland",+NFL!#REF!,IF(+NFL!$H181="Oakland",+NFL!#REF!,0))</f>
        <v>0</v>
      </c>
      <c r="AL354" s="68">
        <f>IF(+NFL!$F181="Oakland",+NFL!#REF!,IF(+NFL!$H181="Oakland",+NFL!#REF!,0))</f>
        <v>0</v>
      </c>
      <c r="AM354" s="58">
        <f>IF(+NFL!$F181="Oakland",+NFL!#REF!,IF(+NFL!$H181="Oakland",+NFL!#REF!,0))</f>
        <v>0</v>
      </c>
      <c r="AN354" s="57">
        <f>IF(+NFL!$F181="Oakland",+NFL!#REF!,IF(+NFL!$H181="Oakland",+NFL!#REF!,0))</f>
        <v>0</v>
      </c>
      <c r="AO354" s="59">
        <f>IF(+NFL!$F181="Oakland",+NFL!#REF!,IF(+NFL!$H181="Oakland",+NFL!#REF!,0))</f>
        <v>0</v>
      </c>
      <c r="AP354" s="348">
        <f>IF(+NFL!$F181="Oakland",+NFL!#REF!,IF(+NFL!$H181="Oakland",+NFL!#REF!,0))</f>
        <v>0</v>
      </c>
      <c r="AQ354" s="48">
        <f>IF(+NFL!$F181="Oakland",+NFL!#REF!,IF(+NFL!$H181="Oakland",+NFL!#REF!,0))</f>
        <v>0</v>
      </c>
      <c r="AR354" s="57">
        <f>IF(+NFL!$F181="Oakland",+NFL!#REF!,IF(+NFL!$H181="Oakland",+NFL!#REF!,0))</f>
        <v>0</v>
      </c>
      <c r="AS354" s="64">
        <f>IF(+NFL!$F181="Oakland",+NFL!#REF!,IF(+NFL!$H181="Oakland",+NFL!#REF!,0))</f>
        <v>0</v>
      </c>
      <c r="AT354" s="64">
        <f>IF(+NFL!$F181="Oakland",+NFL!#REF!,IF(+NFL!$H181="Oakland",+NFL!#REF!,0))</f>
        <v>0</v>
      </c>
      <c r="AU354" s="57">
        <f>IF(+NFL!$F181="Oakland",+NFL!#REF!,IF(+NFL!$H181="Oakland",+NFL!#REF!,0))</f>
        <v>0</v>
      </c>
      <c r="AV354" s="64">
        <f>IF(+NFL!$F181="Oakland",+NFL!#REF!,IF(+NFL!$H181="Oakland",+NFL!#REF!,0))</f>
        <v>0</v>
      </c>
      <c r="AW354" s="46">
        <f>IF(+NFL!$F181="Oakland",+NFL!#REF!,IF(+NFL!$H181="Oakland",+NFL!#REF!,0))</f>
        <v>0</v>
      </c>
      <c r="AX354" s="64">
        <f>IF(+NFL!$F181="Oakland",+NFL!#REF!,IF(+NFL!$H181="Oakland",+NFL!#REF!,0))</f>
        <v>0</v>
      </c>
      <c r="AY354" s="57">
        <f>IF(+NFL!$F181="Oakland",+NFL!#REF!,IF(+NFL!$H181="Oakland",+NFL!#REF!,0))</f>
        <v>0</v>
      </c>
      <c r="AZ354" s="64">
        <f>IF(+NFL!$F181="Oakland",+NFL!#REF!,IF(+NFL!$H181="Oakland",+NFL!#REF!,0))</f>
        <v>0</v>
      </c>
      <c r="BA354" s="46">
        <f>IF(+NFL!$F181="Oakland",+NFL!#REF!,IF(+NFL!$H181="Oakland",+NFL!#REF!,0))</f>
        <v>0</v>
      </c>
      <c r="BB354" s="46">
        <f>IF(+NFL!$F181="Oakland",+NFL!#REF!,IF(+NFL!$H181="Oakland",+NFL!#REF!,0))</f>
        <v>0</v>
      </c>
      <c r="BC354" s="403">
        <f>IF(+NFL!$F181="Oakland",+NFL!#REF!,IF(+NFL!$H181="Oakland",+NFL!#REF!,0))</f>
        <v>0</v>
      </c>
      <c r="BD354" s="57">
        <f>IF(+NFL!$F181="Oakland",+NFL!#REF!,IF(+NFL!$H181="Oakland",+NFL!#REF!,0))</f>
        <v>0</v>
      </c>
      <c r="BE354" s="64">
        <f>IF(+NFL!$F181="Oakland",+NFL!#REF!,IF(+NFL!$H181="Oakland",+NFL!#REF!,0))</f>
        <v>0</v>
      </c>
      <c r="BF354" s="46">
        <f>IF(+NFL!$F181="Oakland",+NFL!#REF!,IF(+NFL!$H181="Oakland",+NFL!#REF!,0))</f>
        <v>0</v>
      </c>
      <c r="BG354" s="57">
        <f>IF(+NFL!$F181="Oakland",+NFL!#REF!,IF(+NFL!$H181="Oakland",+NFL!#REF!,0))</f>
        <v>0</v>
      </c>
      <c r="BH354" s="64">
        <f>IF(+NFL!$F181="Oakland",+NFL!#REF!,IF(+NFL!$H181="Oakland",+NFL!#REF!,0))</f>
        <v>0</v>
      </c>
      <c r="BI354" s="46">
        <f>IF(+NFL!$F181="Oakland",+NFL!#REF!,IF(+NFL!$H181="Oakland",+NFL!#REF!,0))</f>
        <v>0</v>
      </c>
      <c r="BJ354" s="87">
        <f>IF(+NFL!$F181="Oakland",+NFL!#REF!,IF(+NFL!$H181="Oakland",+NFL!#REF!,0))</f>
        <v>0</v>
      </c>
      <c r="BK354" s="120">
        <f>IF(+NFL!$F181="Oakland",+NFL!#REF!,IF(+NFL!$H181="Oakland",+NFL!#REF!,0))</f>
        <v>0</v>
      </c>
    </row>
    <row r="355" spans="1:63" s="246" customFormat="1" x14ac:dyDescent="0.8">
      <c r="A355" s="46">
        <f>IF(+NFL!$F220="Las Vegas",+NFL!A220,IF(+NFL!$H220="Las Vegas",+NFL!A220,0))</f>
        <v>12</v>
      </c>
      <c r="B355" s="348" t="str">
        <f>IF(+NFL!$F220="Las Vegas",+NFL!B220,IF(+NFL!$H220="Las Vegas",+NFL!B220,0))</f>
        <v>Sun</v>
      </c>
      <c r="C355" s="48">
        <f>IF(+NFL!$F220="Las Vegas",+NFL!C220,IF(+NFL!$H220="Las Vegas",+NFL!C220,0))</f>
        <v>44892</v>
      </c>
      <c r="D355" s="490">
        <f>IF(+NFL!$F220="Las Vegas",+NFL!D220,IF(+NFL!$H220="Las Vegas",+NFL!D220,0))</f>
        <v>0.66666666666666663</v>
      </c>
      <c r="E355" s="46" t="str">
        <f>IF(+NFL!$F220="Las Vegas",+NFL!E220,IF(+NFL!$H220="Las Vegas",+NFL!E220,0))</f>
        <v>CBS</v>
      </c>
      <c r="F355" s="127" t="str">
        <f>IF(+NFL!$F220="Las Vegas",+NFL!F220,IF(+NFL!$H220="Las Vegas",+NFL!F220,0))</f>
        <v>Las Vegas</v>
      </c>
      <c r="G355" s="46" t="str">
        <f>IF(+NFL!$F220="Las Vegas",+NFL!G220,IF(+NFL!$H220="Las Vegas",+NFL!G220,0))</f>
        <v>AFCW</v>
      </c>
      <c r="H355" s="127" t="str">
        <f>IF(+NFL!$F220="Las Vegas",+NFL!H220,IF(+NFL!$H220="Las Vegas",+NFL!H220,0))</f>
        <v>Seattle</v>
      </c>
      <c r="I355" s="46" t="str">
        <f>IF(+NFL!$F220="Las Vegas",+NFL!I220,IF(+NFL!$H220="Las Vegas",+NFL!I220,0))</f>
        <v>NFCW</v>
      </c>
      <c r="J355" s="353" t="str">
        <f>IF(+NFL!$F220="Las Vegas",+NFL!J220,IF(+NFL!$H220="Las Vegas",+NFL!J220,0))</f>
        <v>Seattle</v>
      </c>
      <c r="K355" s="494" t="str">
        <f>IF(+NFL!$F220="Las Vegas",+NFL!K220,IF(+NFL!$H220="Las Vegas",+NFL!K220,0))</f>
        <v>Las Vegas</v>
      </c>
      <c r="L355" s="384">
        <f>IF(+NFL!$F220="Las Vegas",+NFL!L220,IF(+NFL!$H220="Las Vegas",+NFL!L220,0))</f>
        <v>3.5</v>
      </c>
      <c r="M355" s="385">
        <f>IF(+NFL!$F220="Las Vegas",+NFL!M220,IF(+NFL!$H220="Las Vegas",+NFL!M220,0))</f>
        <v>47.5</v>
      </c>
      <c r="N355" s="394" t="str">
        <f>IF(+NFL!$F220="Las Vegas",+NFL!N220,IF(+NFL!$H220="Las Vegas",+NFL!N220,0))</f>
        <v>Las Vegas</v>
      </c>
      <c r="O355" s="395">
        <f>IF(+NFL!$F220="Las Vegas",+NFL!O220,IF(+NFL!$H220="Las Vegas",+NFL!O220,0))</f>
        <v>40</v>
      </c>
      <c r="P355" s="394" t="str">
        <f>IF(+NFL!$F220="Las Vegas",+NFL!P220,IF(+NFL!$H220="Las Vegas",+NFL!P220,0))</f>
        <v>Seattle</v>
      </c>
      <c r="Q355" s="396">
        <f>IF(+NFL!$F220="Las Vegas",+NFL!Q220,IF(+NFL!$H220="Las Vegas",+NFL!Q220,0))</f>
        <v>34</v>
      </c>
      <c r="R355" s="397" t="str">
        <f>IF(+NFL!$F220="Las Vegas",+NFL!R220,IF(+NFL!$H220="Las Vegas",+NFL!R220,0))</f>
        <v>Las Vegas</v>
      </c>
      <c r="S355" s="396" t="str">
        <f>IF(+NFL!$F220="Las Vegas",+NFL!S220,IF(+NFL!$H220="Las Vegas",+NFL!S220,0))</f>
        <v>Seattle</v>
      </c>
      <c r="T355" s="398" t="str">
        <f>IF(+NFL!$F220="Las Vegas",+NFL!T220,IF(+NFL!$H220="Las Vegas",+NFL!T220,0))</f>
        <v>Seattle</v>
      </c>
      <c r="U355" s="396" t="str">
        <f>IF(+NFL!$F220="Las Vegas",+NFL!U220,IF(+NFL!$H220="Las Vegas",+NFL!U220,0))</f>
        <v>L</v>
      </c>
      <c r="V355" s="397">
        <f>IF(+NFL!$F197="Oakland",+NFL!#REF!,IF(+NFL!$H197="Oakland",+NFL!#REF!,0))</f>
        <v>0</v>
      </c>
      <c r="W355" s="396">
        <f>IF(+NFL!$F197="Oakland",+NFL!#REF!,IF(+NFL!$H197="Oakland",+NFL!#REF!,0))</f>
        <v>0</v>
      </c>
      <c r="X355" s="398">
        <f>IF(+NFL!$F197="Oakland",+NFL!#REF!,IF(+NFL!$H197="Oakland",+NFL!#REF!,0))</f>
        <v>0</v>
      </c>
      <c r="Y355" s="396">
        <f>IF(+NFL!$F197="Oakland",+NFL!#REF!,IF(+NFL!$H197="Oakland",+NFL!#REF!,0))</f>
        <v>0</v>
      </c>
      <c r="Z355" s="397">
        <f>IF(+NFL!$F197="Oakland",+NFL!#REF!,IF(+NFL!$H197="Oakland",+NFL!#REF!,0))</f>
        <v>0</v>
      </c>
      <c r="AA355" s="396">
        <f>IF(+NFL!$F197="Oakland",+NFL!#REF!,IF(+NFL!$H197="Oakland",+NFL!#REF!,0))</f>
        <v>0</v>
      </c>
      <c r="AB355" s="87">
        <f>IF(+NFL!$F197="Oakland",+NFL!#REF!,IF(+NFL!$H197="Oakland",+NFL!#REF!,0))</f>
        <v>0</v>
      </c>
      <c r="AC355" s="120">
        <f>IF(+NFL!$F197="Oakland",+NFL!#REF!,IF(+NFL!$H197="Oakland",+NFL!#REF!,0))</f>
        <v>0</v>
      </c>
      <c r="AD355" s="353">
        <f>IF(+NFL!$F197="Oakland",+NFL!#REF!,IF(+NFL!$H197="Oakland",+NFL!#REF!,0))</f>
        <v>0</v>
      </c>
      <c r="AE355" s="379">
        <f>IF(+NFL!$F197="Oakland",+NFL!#REF!,IF(+NFL!$H197="Oakland",+NFL!#REF!,0))</f>
        <v>0</v>
      </c>
      <c r="AF355" s="353">
        <f>IF(+NFL!$F197="Oakland",+NFL!#REF!,IF(+NFL!$H197="Oakland",+NFL!#REF!,0))</f>
        <v>0</v>
      </c>
      <c r="AG355" s="379">
        <f>IF(+NFL!$F197="Oakland",+NFL!#REF!,IF(+NFL!$H197="Oakland",+NFL!#REF!,0))</f>
        <v>0</v>
      </c>
      <c r="AH355" s="353">
        <f>IF(+NFL!$F197="Oakland",+NFL!#REF!,IF(+NFL!$H197="Oakland",+NFL!#REF!,0))</f>
        <v>0</v>
      </c>
      <c r="AI355" s="379">
        <f>IF(+NFL!$F197="Oakland",+NFL!#REF!,IF(+NFL!$H197="Oakland",+NFL!#REF!,0))</f>
        <v>0</v>
      </c>
      <c r="AJ355" s="353">
        <f>IF(+NFL!$F197="Oakland",+NFL!#REF!,IF(+NFL!$H197="Oakland",+NFL!#REF!,0))</f>
        <v>0</v>
      </c>
      <c r="AK355" s="379">
        <f>IF(+NFL!$F197="Oakland",+NFL!#REF!,IF(+NFL!$H197="Oakland",+NFL!#REF!,0))</f>
        <v>0</v>
      </c>
      <c r="AL355" s="68">
        <f>IF(+NFL!$F197="Oakland",+NFL!#REF!,IF(+NFL!$H197="Oakland",+NFL!#REF!,0))</f>
        <v>0</v>
      </c>
      <c r="AM355" s="58">
        <f>IF(+NFL!$F197="Oakland",+NFL!#REF!,IF(+NFL!$H197="Oakland",+NFL!#REF!,0))</f>
        <v>0</v>
      </c>
      <c r="AN355" s="57">
        <f>IF(+NFL!$F197="Oakland",+NFL!#REF!,IF(+NFL!$H197="Oakland",+NFL!#REF!,0))</f>
        <v>0</v>
      </c>
      <c r="AO355" s="59">
        <f>IF(+NFL!$F197="Oakland",+NFL!#REF!,IF(+NFL!$H197="Oakland",+NFL!#REF!,0))</f>
        <v>0</v>
      </c>
      <c r="AP355" s="348">
        <f>IF(+NFL!$F197="Oakland",+NFL!#REF!,IF(+NFL!$H197="Oakland",+NFL!#REF!,0))</f>
        <v>0</v>
      </c>
      <c r="AQ355" s="48">
        <f>IF(+NFL!$F197="Oakland",+NFL!#REF!,IF(+NFL!$H197="Oakland",+NFL!#REF!,0))</f>
        <v>0</v>
      </c>
      <c r="AR355" s="57">
        <f>IF(+NFL!$F197="Oakland",+NFL!#REF!,IF(+NFL!$H197="Oakland",+NFL!#REF!,0))</f>
        <v>0</v>
      </c>
      <c r="AS355" s="64">
        <f>IF(+NFL!$F197="Oakland",+NFL!#REF!,IF(+NFL!$H197="Oakland",+NFL!#REF!,0))</f>
        <v>0</v>
      </c>
      <c r="AT355" s="64">
        <f>IF(+NFL!$F197="Oakland",+NFL!#REF!,IF(+NFL!$H197="Oakland",+NFL!#REF!,0))</f>
        <v>0</v>
      </c>
      <c r="AU355" s="57">
        <f>IF(+NFL!$F197="Oakland",+NFL!#REF!,IF(+NFL!$H197="Oakland",+NFL!#REF!,0))</f>
        <v>0</v>
      </c>
      <c r="AV355" s="64">
        <f>IF(+NFL!$F197="Oakland",+NFL!#REF!,IF(+NFL!$H197="Oakland",+NFL!#REF!,0))</f>
        <v>0</v>
      </c>
      <c r="AW355" s="46">
        <f>IF(+NFL!$F197="Oakland",+NFL!#REF!,IF(+NFL!$H197="Oakland",+NFL!#REF!,0))</f>
        <v>0</v>
      </c>
      <c r="AX355" s="64">
        <f>IF(+NFL!$F197="Oakland",+NFL!#REF!,IF(+NFL!$H197="Oakland",+NFL!#REF!,0))</f>
        <v>0</v>
      </c>
      <c r="AY355" s="57">
        <f>IF(+NFL!$F197="Oakland",+NFL!#REF!,IF(+NFL!$H197="Oakland",+NFL!#REF!,0))</f>
        <v>0</v>
      </c>
      <c r="AZ355" s="64">
        <f>IF(+NFL!$F197="Oakland",+NFL!#REF!,IF(+NFL!$H197="Oakland",+NFL!#REF!,0))</f>
        <v>0</v>
      </c>
      <c r="BA355" s="46">
        <f>IF(+NFL!$F197="Oakland",+NFL!#REF!,IF(+NFL!$H197="Oakland",+NFL!#REF!,0))</f>
        <v>0</v>
      </c>
      <c r="BB355" s="46">
        <f>IF(+NFL!$F197="Oakland",+NFL!#REF!,IF(+NFL!$H197="Oakland",+NFL!#REF!,0))</f>
        <v>0</v>
      </c>
      <c r="BC355" s="403">
        <f>IF(+NFL!$F197="Oakland",+NFL!#REF!,IF(+NFL!$H197="Oakland",+NFL!#REF!,0))</f>
        <v>0</v>
      </c>
      <c r="BD355" s="57">
        <f>IF(+NFL!$F197="Oakland",+NFL!#REF!,IF(+NFL!$H197="Oakland",+NFL!#REF!,0))</f>
        <v>0</v>
      </c>
      <c r="BE355" s="64">
        <f>IF(+NFL!$F197="Oakland",+NFL!#REF!,IF(+NFL!$H197="Oakland",+NFL!#REF!,0))</f>
        <v>0</v>
      </c>
      <c r="BF355" s="46">
        <f>IF(+NFL!$F197="Oakland",+NFL!#REF!,IF(+NFL!$H197="Oakland",+NFL!#REF!,0))</f>
        <v>0</v>
      </c>
      <c r="BG355" s="57">
        <f>IF(+NFL!$F197="Oakland",+NFL!#REF!,IF(+NFL!$H197="Oakland",+NFL!#REF!,0))</f>
        <v>0</v>
      </c>
      <c r="BH355" s="64">
        <f>IF(+NFL!$F197="Oakland",+NFL!#REF!,IF(+NFL!$H197="Oakland",+NFL!#REF!,0))</f>
        <v>0</v>
      </c>
      <c r="BI355" s="46">
        <f>IF(+NFL!$F197="Oakland",+NFL!#REF!,IF(+NFL!$H197="Oakland",+NFL!#REF!,0))</f>
        <v>0</v>
      </c>
      <c r="BJ355" s="87">
        <f>IF(+NFL!$F197="Oakland",+NFL!#REF!,IF(+NFL!$H197="Oakland",+NFL!#REF!,0))</f>
        <v>0</v>
      </c>
      <c r="BK355" s="120">
        <f>IF(+NFL!$F197="Oakland",+NFL!#REF!,IF(+NFL!$H197="Oakland",+NFL!#REF!,0))</f>
        <v>0</v>
      </c>
    </row>
    <row r="356" spans="1:63" s="246" customFormat="1" x14ac:dyDescent="0.8">
      <c r="A356" s="46">
        <f>IF(+NFL!$F238="Las Vegas",+NFL!A238,IF(+NFL!$H238="Las Vegas",+NFL!A238,0))</f>
        <v>13</v>
      </c>
      <c r="B356" s="348" t="str">
        <f>IF(+NFL!$F238="Las Vegas",+NFL!B238,IF(+NFL!$H238="Las Vegas",+NFL!B238,0))</f>
        <v>Sun</v>
      </c>
      <c r="C356" s="48">
        <f>IF(+NFL!$F238="Las Vegas",+NFL!C238,IF(+NFL!$H238="Las Vegas",+NFL!C238,0))</f>
        <v>44899</v>
      </c>
      <c r="D356" s="490">
        <f>IF(+NFL!$F238="Las Vegas",+NFL!D238,IF(+NFL!$H238="Las Vegas",+NFL!D238,0))</f>
        <v>0.66666666666666663</v>
      </c>
      <c r="E356" s="46" t="str">
        <f>IF(+NFL!$F238="Las Vegas",+NFL!E238,IF(+NFL!$H238="Las Vegas",+NFL!E238,0))</f>
        <v>NBC</v>
      </c>
      <c r="F356" s="127" t="str">
        <f>IF(+NFL!$F238="Las Vegas",+NFL!F238,IF(+NFL!$H238="Las Vegas",+NFL!F238,0))</f>
        <v>LA Chargers</v>
      </c>
      <c r="G356" s="46" t="str">
        <f>IF(+NFL!$F238="Las Vegas",+NFL!G238,IF(+NFL!$H238="Las Vegas",+NFL!G238,0))</f>
        <v>AFCW</v>
      </c>
      <c r="H356" s="127" t="str">
        <f>IF(+NFL!$F238="Las Vegas",+NFL!H238,IF(+NFL!$H238="Las Vegas",+NFL!H238,0))</f>
        <v>Las Vegas</v>
      </c>
      <c r="I356" s="46" t="str">
        <f>IF(+NFL!$F238="Las Vegas",+NFL!I238,IF(+NFL!$H238="Las Vegas",+NFL!I238,0))</f>
        <v>AFCW</v>
      </c>
      <c r="J356" s="353" t="str">
        <f>IF(+NFL!$F238="Las Vegas",+NFL!J238,IF(+NFL!$H238="Las Vegas",+NFL!J238,0))</f>
        <v>LA Chargers</v>
      </c>
      <c r="K356" s="494" t="str">
        <f>IF(+NFL!$F238="Las Vegas",+NFL!K238,IF(+NFL!$H238="Las Vegas",+NFL!K238,0))</f>
        <v>Las Vegas</v>
      </c>
      <c r="L356" s="384">
        <f>IF(+NFL!$F238="Las Vegas",+NFL!L238,IF(+NFL!$H238="Las Vegas",+NFL!L238,0))</f>
        <v>1.5</v>
      </c>
      <c r="M356" s="385">
        <f>IF(+NFL!$F238="Las Vegas",+NFL!M238,IF(+NFL!$H238="Las Vegas",+NFL!M238,0))</f>
        <v>50.5</v>
      </c>
      <c r="N356" s="394" t="str">
        <f>IF(+NFL!$F238="Las Vegas",+NFL!N238,IF(+NFL!$H238="Las Vegas",+NFL!N238,0))</f>
        <v>Las Vegas</v>
      </c>
      <c r="O356" s="395">
        <f>IF(+NFL!$F238="Las Vegas",+NFL!O238,IF(+NFL!$H238="Las Vegas",+NFL!O238,0))</f>
        <v>27</v>
      </c>
      <c r="P356" s="394" t="str">
        <f>IF(+NFL!$F238="Las Vegas",+NFL!P238,IF(+NFL!$H238="Las Vegas",+NFL!P238,0))</f>
        <v>LA Chargers</v>
      </c>
      <c r="Q356" s="396">
        <f>IF(+NFL!$F238="Las Vegas",+NFL!Q238,IF(+NFL!$H238="Las Vegas",+NFL!Q238,0))</f>
        <v>20</v>
      </c>
      <c r="R356" s="397" t="str">
        <f>IF(+NFL!$F238="Las Vegas",+NFL!R238,IF(+NFL!$H238="Las Vegas",+NFL!R238,0))</f>
        <v>Las Vegas</v>
      </c>
      <c r="S356" s="396" t="str">
        <f>IF(+NFL!$F238="Las Vegas",+NFL!S238,IF(+NFL!$H238="Las Vegas",+NFL!S238,0))</f>
        <v>LA Chargers</v>
      </c>
      <c r="T356" s="398" t="str">
        <f>IF(+NFL!$F238="Las Vegas",+NFL!T238,IF(+NFL!$H238="Las Vegas",+NFL!T238,0))</f>
        <v>Las Vegas</v>
      </c>
      <c r="U356" s="396" t="str">
        <f>IF(+NFL!$F238="Las Vegas",+NFL!U238,IF(+NFL!$H238="Las Vegas",+NFL!U238,0))</f>
        <v>W</v>
      </c>
      <c r="V356" s="397">
        <f>IF(+NFL!$F227="Oakland",+NFL!#REF!,IF(+NFL!$H227="Oakland",+NFL!#REF!,0))</f>
        <v>0</v>
      </c>
      <c r="W356" s="396">
        <f>IF(+NFL!$F227="Oakland",+NFL!#REF!,IF(+NFL!$H227="Oakland",+NFL!#REF!,0))</f>
        <v>0</v>
      </c>
      <c r="X356" s="398">
        <f>IF(+NFL!$F227="Oakland",+NFL!#REF!,IF(+NFL!$H227="Oakland",+NFL!#REF!,0))</f>
        <v>0</v>
      </c>
      <c r="Y356" s="396">
        <f>IF(+NFL!$F227="Oakland",+NFL!#REF!,IF(+NFL!$H227="Oakland",+NFL!#REF!,0))</f>
        <v>0</v>
      </c>
      <c r="Z356" s="397">
        <f>IF(+NFL!$F227="Oakland",+NFL!#REF!,IF(+NFL!$H227="Oakland",+NFL!#REF!,0))</f>
        <v>0</v>
      </c>
      <c r="AA356" s="396">
        <f>IF(+NFL!$F227="Oakland",+NFL!#REF!,IF(+NFL!$H227="Oakland",+NFL!#REF!,0))</f>
        <v>0</v>
      </c>
      <c r="AB356" s="87">
        <f>IF(+NFL!$F227="Oakland",+NFL!#REF!,IF(+NFL!$H227="Oakland",+NFL!#REF!,0))</f>
        <v>0</v>
      </c>
      <c r="AC356" s="120">
        <f>IF(+NFL!$F227="Oakland",+NFL!#REF!,IF(+NFL!$H227="Oakland",+NFL!#REF!,0))</f>
        <v>0</v>
      </c>
      <c r="AD356" s="353">
        <f>IF(+NFL!$F227="Oakland",+NFL!#REF!,IF(+NFL!$H227="Oakland",+NFL!#REF!,0))</f>
        <v>0</v>
      </c>
      <c r="AE356" s="379">
        <f>IF(+NFL!$F227="Oakland",+NFL!#REF!,IF(+NFL!$H227="Oakland",+NFL!#REF!,0))</f>
        <v>0</v>
      </c>
      <c r="AF356" s="353">
        <f>IF(+NFL!$F227="Oakland",+NFL!#REF!,IF(+NFL!$H227="Oakland",+NFL!#REF!,0))</f>
        <v>0</v>
      </c>
      <c r="AG356" s="379">
        <f>IF(+NFL!$F227="Oakland",+NFL!#REF!,IF(+NFL!$H227="Oakland",+NFL!#REF!,0))</f>
        <v>0</v>
      </c>
      <c r="AH356" s="353">
        <f>IF(+NFL!$F227="Oakland",+NFL!#REF!,IF(+NFL!$H227="Oakland",+NFL!#REF!,0))</f>
        <v>0</v>
      </c>
      <c r="AI356" s="379">
        <f>IF(+NFL!$F227="Oakland",+NFL!#REF!,IF(+NFL!$H227="Oakland",+NFL!#REF!,0))</f>
        <v>0</v>
      </c>
      <c r="AJ356" s="353">
        <f>IF(+NFL!$F227="Oakland",+NFL!#REF!,IF(+NFL!$H227="Oakland",+NFL!#REF!,0))</f>
        <v>0</v>
      </c>
      <c r="AK356" s="379">
        <f>IF(+NFL!$F227="Oakland",+NFL!#REF!,IF(+NFL!$H227="Oakland",+NFL!#REF!,0))</f>
        <v>0</v>
      </c>
      <c r="AL356" s="68">
        <f>IF(+NFL!$F227="Oakland",+NFL!#REF!,IF(+NFL!$H227="Oakland",+NFL!#REF!,0))</f>
        <v>0</v>
      </c>
      <c r="AM356" s="58">
        <f>IF(+NFL!$F227="Oakland",+NFL!#REF!,IF(+NFL!$H227="Oakland",+NFL!#REF!,0))</f>
        <v>0</v>
      </c>
      <c r="AN356" s="57">
        <f>IF(+NFL!$F227="Oakland",+NFL!#REF!,IF(+NFL!$H227="Oakland",+NFL!#REF!,0))</f>
        <v>0</v>
      </c>
      <c r="AO356" s="59">
        <f>IF(+NFL!$F227="Oakland",+NFL!#REF!,IF(+NFL!$H227="Oakland",+NFL!#REF!,0))</f>
        <v>0</v>
      </c>
      <c r="AP356" s="348">
        <f>IF(+NFL!$F227="Oakland",+NFL!#REF!,IF(+NFL!$H227="Oakland",+NFL!#REF!,0))</f>
        <v>0</v>
      </c>
      <c r="AQ356" s="48">
        <f>IF(+NFL!$F227="Oakland",+NFL!#REF!,IF(+NFL!$H227="Oakland",+NFL!#REF!,0))</f>
        <v>0</v>
      </c>
      <c r="AR356" s="57">
        <f>IF(+NFL!$F227="Oakland",+NFL!#REF!,IF(+NFL!$H227="Oakland",+NFL!#REF!,0))</f>
        <v>0</v>
      </c>
      <c r="AS356" s="64">
        <f>IF(+NFL!$F227="Oakland",+NFL!#REF!,IF(+NFL!$H227="Oakland",+NFL!#REF!,0))</f>
        <v>0</v>
      </c>
      <c r="AT356" s="64">
        <f>IF(+NFL!$F227="Oakland",+NFL!#REF!,IF(+NFL!$H227="Oakland",+NFL!#REF!,0))</f>
        <v>0</v>
      </c>
      <c r="AU356" s="57">
        <f>IF(+NFL!$F227="Oakland",+NFL!#REF!,IF(+NFL!$H227="Oakland",+NFL!#REF!,0))</f>
        <v>0</v>
      </c>
      <c r="AV356" s="64">
        <f>IF(+NFL!$F227="Oakland",+NFL!#REF!,IF(+NFL!$H227="Oakland",+NFL!#REF!,0))</f>
        <v>0</v>
      </c>
      <c r="AW356" s="46">
        <f>IF(+NFL!$F227="Oakland",+NFL!#REF!,IF(+NFL!$H227="Oakland",+NFL!#REF!,0))</f>
        <v>0</v>
      </c>
      <c r="AX356" s="64">
        <f>IF(+NFL!$F227="Oakland",+NFL!#REF!,IF(+NFL!$H227="Oakland",+NFL!#REF!,0))</f>
        <v>0</v>
      </c>
      <c r="AY356" s="57">
        <f>IF(+NFL!$F227="Oakland",+NFL!#REF!,IF(+NFL!$H227="Oakland",+NFL!#REF!,0))</f>
        <v>0</v>
      </c>
      <c r="AZ356" s="64">
        <f>IF(+NFL!$F227="Oakland",+NFL!#REF!,IF(+NFL!$H227="Oakland",+NFL!#REF!,0))</f>
        <v>0</v>
      </c>
      <c r="BA356" s="46">
        <f>IF(+NFL!$F227="Oakland",+NFL!#REF!,IF(+NFL!$H227="Oakland",+NFL!#REF!,0))</f>
        <v>0</v>
      </c>
      <c r="BB356" s="46">
        <f>IF(+NFL!$F227="Oakland",+NFL!#REF!,IF(+NFL!$H227="Oakland",+NFL!#REF!,0))</f>
        <v>0</v>
      </c>
      <c r="BC356" s="403">
        <f>IF(+NFL!$F227="Oakland",+NFL!#REF!,IF(+NFL!$H227="Oakland",+NFL!#REF!,0))</f>
        <v>0</v>
      </c>
      <c r="BD356" s="57">
        <f>IF(+NFL!$F227="Oakland",+NFL!#REF!,IF(+NFL!$H227="Oakland",+NFL!#REF!,0))</f>
        <v>0</v>
      </c>
      <c r="BE356" s="64">
        <f>IF(+NFL!$F227="Oakland",+NFL!#REF!,IF(+NFL!$H227="Oakland",+NFL!#REF!,0))</f>
        <v>0</v>
      </c>
      <c r="BF356" s="46">
        <f>IF(+NFL!$F227="Oakland",+NFL!#REF!,IF(+NFL!$H227="Oakland",+NFL!#REF!,0))</f>
        <v>0</v>
      </c>
      <c r="BG356" s="57">
        <f>IF(+NFL!$F227="Oakland",+NFL!#REF!,IF(+NFL!$H227="Oakland",+NFL!#REF!,0))</f>
        <v>0</v>
      </c>
      <c r="BH356" s="64">
        <f>IF(+NFL!$F227="Oakland",+NFL!#REF!,IF(+NFL!$H227="Oakland",+NFL!#REF!,0))</f>
        <v>0</v>
      </c>
      <c r="BI356" s="46">
        <f>IF(+NFL!$F227="Oakland",+NFL!#REF!,IF(+NFL!$H227="Oakland",+NFL!#REF!,0))</f>
        <v>0</v>
      </c>
      <c r="BJ356" s="87">
        <f>IF(+NFL!$F227="Oakland",+NFL!#REF!,IF(+NFL!$H227="Oakland",+NFL!#REF!,0))</f>
        <v>0</v>
      </c>
      <c r="BK356" s="120">
        <f>IF(+NFL!$F227="Oakland",+NFL!#REF!,IF(+NFL!$H227="Oakland",+NFL!#REF!,0))</f>
        <v>0</v>
      </c>
    </row>
    <row r="357" spans="1:63" s="246" customFormat="1" x14ac:dyDescent="0.8">
      <c r="A357" s="46">
        <f>IF(+NFL!$F245="Las Vegas",+NFL!A245,IF(+NFL!$H245="Las Vegas",+NFL!A245,0))</f>
        <v>14</v>
      </c>
      <c r="B357" s="348" t="str">
        <f>IF(+NFL!$F245="Las Vegas",+NFL!B245,IF(+NFL!$H245="Las Vegas",+NFL!B245,0))</f>
        <v>Thurs</v>
      </c>
      <c r="C357" s="48">
        <f>IF(+NFL!$F245="Las Vegas",+NFL!C245,IF(+NFL!$H245="Las Vegas",+NFL!C245,0))</f>
        <v>44903</v>
      </c>
      <c r="D357" s="490">
        <f>IF(+NFL!$F245="Las Vegas",+NFL!D245,IF(+NFL!$H245="Las Vegas",+NFL!D245,0))</f>
        <v>0.84375</v>
      </c>
      <c r="E357" s="46" t="str">
        <f>IF(+NFL!$F245="Las Vegas",+NFL!E245,IF(+NFL!$H245="Las Vegas",+NFL!E245,0))</f>
        <v>NBC</v>
      </c>
      <c r="F357" s="127" t="str">
        <f>IF(+NFL!$F245="Las Vegas",+NFL!F245,IF(+NFL!$H245="Las Vegas",+NFL!F245,0))</f>
        <v>Las Vegas</v>
      </c>
      <c r="G357" s="46" t="str">
        <f>IF(+NFL!$F245="Las Vegas",+NFL!G245,IF(+NFL!$H245="Las Vegas",+NFL!G245,0))</f>
        <v>AFCW</v>
      </c>
      <c r="H357" s="127" t="str">
        <f>IF(+NFL!$F245="Las Vegas",+NFL!H245,IF(+NFL!$H245="Las Vegas",+NFL!H245,0))</f>
        <v>LA Rams</v>
      </c>
      <c r="I357" s="46" t="str">
        <f>IF(+NFL!$F245="Las Vegas",+NFL!I245,IF(+NFL!$H245="Las Vegas",+NFL!I245,0))</f>
        <v>NFCW</v>
      </c>
      <c r="J357" s="353" t="str">
        <f>IF(+NFL!$F245="Las Vegas",+NFL!J245,IF(+NFL!$H245="Las Vegas",+NFL!J245,0))</f>
        <v>Las Vegas</v>
      </c>
      <c r="K357" s="494" t="str">
        <f>IF(+NFL!$F245="Las Vegas",+NFL!K245,IF(+NFL!$H245="Las Vegas",+NFL!K245,0))</f>
        <v>LA Rams</v>
      </c>
      <c r="L357" s="384">
        <f>IF(+NFL!$F245="Las Vegas",+NFL!L245,IF(+NFL!$H245="Las Vegas",+NFL!L245,0))</f>
        <v>13.5</v>
      </c>
      <c r="M357" s="385">
        <f>IF(+NFL!$F245="Las Vegas",+NFL!M245,IF(+NFL!$H245="Las Vegas",+NFL!M245,0))</f>
        <v>46.5</v>
      </c>
      <c r="N357" s="394" t="str">
        <f>IF(+NFL!$F245="Las Vegas",+NFL!N245,IF(+NFL!$H245="Las Vegas",+NFL!N245,0))</f>
        <v>LA Rams</v>
      </c>
      <c r="O357" s="395">
        <f>IF(+NFL!$F245="Las Vegas",+NFL!O245,IF(+NFL!$H245="Las Vegas",+NFL!O245,0))</f>
        <v>17</v>
      </c>
      <c r="P357" s="394" t="str">
        <f>IF(+NFL!$F245="Las Vegas",+NFL!P245,IF(+NFL!$H245="Las Vegas",+NFL!P245,0))</f>
        <v>Las Vegas</v>
      </c>
      <c r="Q357" s="396">
        <f>IF(+NFL!$F245="Las Vegas",+NFL!Q245,IF(+NFL!$H245="Las Vegas",+NFL!Q245,0))</f>
        <v>15</v>
      </c>
      <c r="R357" s="397" t="str">
        <f>IF(+NFL!$F245="Las Vegas",+NFL!R245,IF(+NFL!$H245="Las Vegas",+NFL!R245,0))</f>
        <v>LA Rams</v>
      </c>
      <c r="S357" s="396" t="str">
        <f>IF(+NFL!$F245="Las Vegas",+NFL!S245,IF(+NFL!$H245="Las Vegas",+NFL!S245,0))</f>
        <v>Las Vegas</v>
      </c>
      <c r="T357" s="398">
        <f>IF(+NFL!$F245="Las Vegas",+NFL!T245,IF(+NFL!$H245="Las Vegas",+NFL!T245,0))</f>
        <v>0</v>
      </c>
      <c r="U357" s="396" t="str">
        <f>IF(+NFL!$F245="Las Vegas",+NFL!U245,IF(+NFL!$H245="Las Vegas",+NFL!U245,0))</f>
        <v>L</v>
      </c>
      <c r="V357" s="397">
        <f>IF(+NFL!$F247="Oakland",+NFL!#REF!,IF(+NFL!$H247="Oakland",+NFL!#REF!,0))</f>
        <v>0</v>
      </c>
      <c r="W357" s="396">
        <f>IF(+NFL!$F247="Oakland",+NFL!#REF!,IF(+NFL!$H247="Oakland",+NFL!#REF!,0))</f>
        <v>0</v>
      </c>
      <c r="X357" s="398">
        <f>IF(+NFL!$F247="Oakland",+NFL!#REF!,IF(+NFL!$H247="Oakland",+NFL!#REF!,0))</f>
        <v>0</v>
      </c>
      <c r="Y357" s="396">
        <f>IF(+NFL!$F247="Oakland",+NFL!#REF!,IF(+NFL!$H247="Oakland",+NFL!#REF!,0))</f>
        <v>0</v>
      </c>
      <c r="Z357" s="397">
        <f>IF(+NFL!$F247="Oakland",+NFL!#REF!,IF(+NFL!$H247="Oakland",+NFL!#REF!,0))</f>
        <v>0</v>
      </c>
      <c r="AA357" s="396">
        <f>IF(+NFL!$F247="Oakland",+NFL!#REF!,IF(+NFL!$H247="Oakland",+NFL!#REF!,0))</f>
        <v>0</v>
      </c>
      <c r="AB357" s="87">
        <f>IF(+NFL!$F247="Oakland",+NFL!#REF!,IF(+NFL!$H247="Oakland",+NFL!#REF!,0))</f>
        <v>0</v>
      </c>
      <c r="AC357" s="120">
        <f>IF(+NFL!$F247="Oakland",+NFL!#REF!,IF(+NFL!$H247="Oakland",+NFL!#REF!,0))</f>
        <v>0</v>
      </c>
      <c r="AD357" s="353">
        <f>IF(+NFL!$F247="Oakland",+NFL!#REF!,IF(+NFL!$H247="Oakland",+NFL!#REF!,0))</f>
        <v>0</v>
      </c>
      <c r="AE357" s="379">
        <f>IF(+NFL!$F247="Oakland",+NFL!#REF!,IF(+NFL!$H247="Oakland",+NFL!#REF!,0))</f>
        <v>0</v>
      </c>
      <c r="AF357" s="353">
        <f>IF(+NFL!$F247="Oakland",+NFL!#REF!,IF(+NFL!$H247="Oakland",+NFL!#REF!,0))</f>
        <v>0</v>
      </c>
      <c r="AG357" s="379">
        <f>IF(+NFL!$F247="Oakland",+NFL!#REF!,IF(+NFL!$H247="Oakland",+NFL!#REF!,0))</f>
        <v>0</v>
      </c>
      <c r="AH357" s="353">
        <f>IF(+NFL!$F247="Oakland",+NFL!#REF!,IF(+NFL!$H247="Oakland",+NFL!#REF!,0))</f>
        <v>0</v>
      </c>
      <c r="AI357" s="379">
        <f>IF(+NFL!$F247="Oakland",+NFL!#REF!,IF(+NFL!$H247="Oakland",+NFL!#REF!,0))</f>
        <v>0</v>
      </c>
      <c r="AJ357" s="353">
        <f>IF(+NFL!$F247="Oakland",+NFL!#REF!,IF(+NFL!$H247="Oakland",+NFL!#REF!,0))</f>
        <v>0</v>
      </c>
      <c r="AK357" s="379">
        <f>IF(+NFL!$F247="Oakland",+NFL!#REF!,IF(+NFL!$H247="Oakland",+NFL!#REF!,0))</f>
        <v>0</v>
      </c>
      <c r="AL357" s="68">
        <f>IF(+NFL!$F247="Oakland",+NFL!#REF!,IF(+NFL!$H247="Oakland",+NFL!#REF!,0))</f>
        <v>0</v>
      </c>
      <c r="AM357" s="58">
        <f>IF(+NFL!$F247="Oakland",+NFL!#REF!,IF(+NFL!$H247="Oakland",+NFL!#REF!,0))</f>
        <v>0</v>
      </c>
      <c r="AN357" s="57">
        <f>IF(+NFL!$F247="Oakland",+NFL!#REF!,IF(+NFL!$H247="Oakland",+NFL!#REF!,0))</f>
        <v>0</v>
      </c>
      <c r="AO357" s="59">
        <f>IF(+NFL!$F247="Oakland",+NFL!#REF!,IF(+NFL!$H247="Oakland",+NFL!#REF!,0))</f>
        <v>0</v>
      </c>
      <c r="AP357" s="348">
        <f>IF(+NFL!$F247="Oakland",+NFL!#REF!,IF(+NFL!$H247="Oakland",+NFL!#REF!,0))</f>
        <v>0</v>
      </c>
      <c r="AQ357" s="48">
        <f>IF(+NFL!$F247="Oakland",+NFL!#REF!,IF(+NFL!$H247="Oakland",+NFL!#REF!,0))</f>
        <v>0</v>
      </c>
      <c r="AR357" s="57">
        <f>IF(+NFL!$F247="Oakland",+NFL!#REF!,IF(+NFL!$H247="Oakland",+NFL!#REF!,0))</f>
        <v>0</v>
      </c>
      <c r="AS357" s="64">
        <f>IF(+NFL!$F247="Oakland",+NFL!#REF!,IF(+NFL!$H247="Oakland",+NFL!#REF!,0))</f>
        <v>0</v>
      </c>
      <c r="AT357" s="64">
        <f>IF(+NFL!$F247="Oakland",+NFL!#REF!,IF(+NFL!$H247="Oakland",+NFL!#REF!,0))</f>
        <v>0</v>
      </c>
      <c r="AU357" s="57">
        <f>IF(+NFL!$F247="Oakland",+NFL!#REF!,IF(+NFL!$H247="Oakland",+NFL!#REF!,0))</f>
        <v>0</v>
      </c>
      <c r="AV357" s="64">
        <f>IF(+NFL!$F247="Oakland",+NFL!#REF!,IF(+NFL!$H247="Oakland",+NFL!#REF!,0))</f>
        <v>0</v>
      </c>
      <c r="AW357" s="46">
        <f>IF(+NFL!$F247="Oakland",+NFL!#REF!,IF(+NFL!$H247="Oakland",+NFL!#REF!,0))</f>
        <v>0</v>
      </c>
      <c r="AX357" s="64">
        <f>IF(+NFL!$F247="Oakland",+NFL!#REF!,IF(+NFL!$H247="Oakland",+NFL!#REF!,0))</f>
        <v>0</v>
      </c>
      <c r="AY357" s="57">
        <f>IF(+NFL!$F247="Oakland",+NFL!#REF!,IF(+NFL!$H247="Oakland",+NFL!#REF!,0))</f>
        <v>0</v>
      </c>
      <c r="AZ357" s="64">
        <f>IF(+NFL!$F247="Oakland",+NFL!#REF!,IF(+NFL!$H247="Oakland",+NFL!#REF!,0))</f>
        <v>0</v>
      </c>
      <c r="BA357" s="46">
        <f>IF(+NFL!$F247="Oakland",+NFL!#REF!,IF(+NFL!$H247="Oakland",+NFL!#REF!,0))</f>
        <v>0</v>
      </c>
      <c r="BB357" s="46">
        <f>IF(+NFL!$F247="Oakland",+NFL!#REF!,IF(+NFL!$H247="Oakland",+NFL!#REF!,0))</f>
        <v>0</v>
      </c>
      <c r="BC357" s="403">
        <f>IF(+NFL!$F247="Oakland",+NFL!#REF!,IF(+NFL!$H247="Oakland",+NFL!#REF!,0))</f>
        <v>0</v>
      </c>
      <c r="BD357" s="57">
        <f>IF(+NFL!$F247="Oakland",+NFL!#REF!,IF(+NFL!$H247="Oakland",+NFL!#REF!,0))</f>
        <v>0</v>
      </c>
      <c r="BE357" s="64">
        <f>IF(+NFL!$F247="Oakland",+NFL!#REF!,IF(+NFL!$H247="Oakland",+NFL!#REF!,0))</f>
        <v>0</v>
      </c>
      <c r="BF357" s="46">
        <f>IF(+NFL!$F247="Oakland",+NFL!#REF!,IF(+NFL!$H247="Oakland",+NFL!#REF!,0))</f>
        <v>0</v>
      </c>
      <c r="BG357" s="57">
        <f>IF(+NFL!$F247="Oakland",+NFL!#REF!,IF(+NFL!$H247="Oakland",+NFL!#REF!,0))</f>
        <v>0</v>
      </c>
      <c r="BH357" s="64">
        <f>IF(+NFL!$F247="Oakland",+NFL!#REF!,IF(+NFL!$H247="Oakland",+NFL!#REF!,0))</f>
        <v>0</v>
      </c>
      <c r="BI357" s="46">
        <f>IF(+NFL!$F247="Oakland",+NFL!#REF!,IF(+NFL!$H247="Oakland",+NFL!#REF!,0))</f>
        <v>0</v>
      </c>
      <c r="BJ357" s="87">
        <f>IF(+NFL!$F247="Oakland",+NFL!#REF!,IF(+NFL!$H247="Oakland",+NFL!#REF!,0))</f>
        <v>0</v>
      </c>
      <c r="BK357" s="120">
        <f>IF(+NFL!$F247="Oakland",+NFL!#REF!,IF(+NFL!$H247="Oakland",+NFL!#REF!,0))</f>
        <v>0</v>
      </c>
    </row>
    <row r="358" spans="1:63" s="246" customFormat="1" x14ac:dyDescent="0.8">
      <c r="A358" s="46">
        <f>IF(+NFL!$F280="Las Vegas",+NFL!A280,IF(+NFL!$H280="Las Vegas",+NFL!A280,0))</f>
        <v>15</v>
      </c>
      <c r="B358" s="348" t="str">
        <f>IF(+NFL!$F280="Las Vegas",+NFL!B280,IF(+NFL!$H280="Las Vegas",+NFL!B280,0))</f>
        <v>Sun</v>
      </c>
      <c r="C358" s="48">
        <f>IF(+NFL!$F280="Las Vegas",+NFL!C280,IF(+NFL!$H280="Las Vegas",+NFL!C280,0))</f>
        <v>44913</v>
      </c>
      <c r="D358" s="490">
        <f>IF(+NFL!$F280="Las Vegas",+NFL!D280,IF(+NFL!$H280="Las Vegas",+NFL!D280,0))</f>
        <v>0.84375</v>
      </c>
      <c r="E358" s="46" t="str">
        <f>IF(+NFL!$F280="Las Vegas",+NFL!E280,IF(+NFL!$H280="Las Vegas",+NFL!E280,0))</f>
        <v>NBC</v>
      </c>
      <c r="F358" s="127" t="str">
        <f>IF(+NFL!$F280="Las Vegas",+NFL!F280,IF(+NFL!$H280="Las Vegas",+NFL!F280,0))</f>
        <v>New England</v>
      </c>
      <c r="G358" s="46" t="str">
        <f>IF(+NFL!$F280="Las Vegas",+NFL!G280,IF(+NFL!$H280="Las Vegas",+NFL!G280,0))</f>
        <v>AFCE</v>
      </c>
      <c r="H358" s="127" t="str">
        <f>IF(+NFL!$F280="Las Vegas",+NFL!H280,IF(+NFL!$H280="Las Vegas",+NFL!H280,0))</f>
        <v>Las Vegas</v>
      </c>
      <c r="I358" s="46" t="str">
        <f>IF(+NFL!$F280="Las Vegas",+NFL!I280,IF(+NFL!$H280="Las Vegas",+NFL!I280,0))</f>
        <v>AFCW</v>
      </c>
      <c r="J358" s="353" t="str">
        <f>IF(+NFL!$F280="Las Vegas",+NFL!J280,IF(+NFL!$H280="Las Vegas",+NFL!J280,0))</f>
        <v>Las Vegas</v>
      </c>
      <c r="K358" s="494" t="str">
        <f>IF(+NFL!$F280="Las Vegas",+NFL!K280,IF(+NFL!$H280="Las Vegas",+NFL!K280,0))</f>
        <v>New England</v>
      </c>
      <c r="L358" s="384">
        <f>IF(+NFL!$F280="Las Vegas",+NFL!L280,IF(+NFL!$H280="Las Vegas",+NFL!L280,0))</f>
        <v>2.5</v>
      </c>
      <c r="M358" s="385">
        <f>IF(+NFL!$F280="Las Vegas",+NFL!M280,IF(+NFL!$H280="Las Vegas",+NFL!M280,0))</f>
        <v>45.5</v>
      </c>
      <c r="N358" s="394" t="str">
        <f>IF(+NFL!$F280="Las Vegas",+NFL!N280,IF(+NFL!$H280="Las Vegas",+NFL!N280,0))</f>
        <v>Las Vegas</v>
      </c>
      <c r="O358" s="395">
        <f>IF(+NFL!$F280="Las Vegas",+NFL!O280,IF(+NFL!$H280="Las Vegas",+NFL!O280,0))</f>
        <v>30</v>
      </c>
      <c r="P358" s="394" t="str">
        <f>IF(+NFL!$F280="Las Vegas",+NFL!P280,IF(+NFL!$H280="Las Vegas",+NFL!P280,0))</f>
        <v>New England</v>
      </c>
      <c r="Q358" s="396">
        <f>IF(+NFL!$F280="Las Vegas",+NFL!Q280,IF(+NFL!$H280="Las Vegas",+NFL!Q280,0))</f>
        <v>24</v>
      </c>
      <c r="R358" s="397" t="str">
        <f>IF(+NFL!$F280="Las Vegas",+NFL!R280,IF(+NFL!$H280="Las Vegas",+NFL!R280,0))</f>
        <v>Las Vegas</v>
      </c>
      <c r="S358" s="396" t="str">
        <f>IF(+NFL!$F280="Las Vegas",+NFL!S280,IF(+NFL!$H280="Las Vegas",+NFL!S280,0))</f>
        <v>New England</v>
      </c>
      <c r="T358" s="398">
        <f>IF(+NFL!$F280="Las Vegas",+NFL!T280,IF(+NFL!$H280="Las Vegas",+NFL!T280,0))</f>
        <v>0</v>
      </c>
      <c r="U358" s="396" t="str">
        <f>IF(+NFL!$F280="Las Vegas",+NFL!U280,IF(+NFL!$H280="Las Vegas",+NFL!U280,0))</f>
        <v>L</v>
      </c>
      <c r="V358" s="397">
        <f>IF(+NFL!$F270="Oakland",+NFL!#REF!,IF(+NFL!$H270="Oakland",+NFL!#REF!,0))</f>
        <v>0</v>
      </c>
      <c r="W358" s="396">
        <f>IF(+NFL!$F270="Oakland",+NFL!#REF!,IF(+NFL!$H270="Oakland",+NFL!#REF!,0))</f>
        <v>0</v>
      </c>
      <c r="X358" s="398">
        <f>IF(+NFL!$F270="Oakland",+NFL!#REF!,IF(+NFL!$H270="Oakland",+NFL!#REF!,0))</f>
        <v>0</v>
      </c>
      <c r="Y358" s="396">
        <f>IF(+NFL!$F270="Oakland",+NFL!#REF!,IF(+NFL!$H270="Oakland",+NFL!#REF!,0))</f>
        <v>0</v>
      </c>
      <c r="Z358" s="397">
        <f>IF(+NFL!$F270="Oakland",+NFL!#REF!,IF(+NFL!$H270="Oakland",+NFL!#REF!,0))</f>
        <v>0</v>
      </c>
      <c r="AA358" s="396">
        <f>IF(+NFL!$F270="Oakland",+NFL!#REF!,IF(+NFL!$H270="Oakland",+NFL!#REF!,0))</f>
        <v>0</v>
      </c>
      <c r="AB358" s="87">
        <f>IF(+NFL!$F270="Oakland",+NFL!#REF!,IF(+NFL!$H270="Oakland",+NFL!#REF!,0))</f>
        <v>0</v>
      </c>
      <c r="AC358" s="120">
        <f>IF(+NFL!$F270="Oakland",+NFL!#REF!,IF(+NFL!$H270="Oakland",+NFL!#REF!,0))</f>
        <v>0</v>
      </c>
      <c r="AD358" s="353">
        <f>IF(+NFL!$F270="Oakland",+NFL!#REF!,IF(+NFL!$H270="Oakland",+NFL!#REF!,0))</f>
        <v>0</v>
      </c>
      <c r="AE358" s="379">
        <f>IF(+NFL!$F270="Oakland",+NFL!#REF!,IF(+NFL!$H270="Oakland",+NFL!#REF!,0))</f>
        <v>0</v>
      </c>
      <c r="AF358" s="353">
        <f>IF(+NFL!$F270="Oakland",+NFL!#REF!,IF(+NFL!$H270="Oakland",+NFL!#REF!,0))</f>
        <v>0</v>
      </c>
      <c r="AG358" s="379">
        <f>IF(+NFL!$F270="Oakland",+NFL!#REF!,IF(+NFL!$H270="Oakland",+NFL!#REF!,0))</f>
        <v>0</v>
      </c>
      <c r="AH358" s="353">
        <f>IF(+NFL!$F270="Oakland",+NFL!#REF!,IF(+NFL!$H270="Oakland",+NFL!#REF!,0))</f>
        <v>0</v>
      </c>
      <c r="AI358" s="379">
        <f>IF(+NFL!$F270="Oakland",+NFL!#REF!,IF(+NFL!$H270="Oakland",+NFL!#REF!,0))</f>
        <v>0</v>
      </c>
      <c r="AJ358" s="353">
        <f>IF(+NFL!$F270="Oakland",+NFL!#REF!,IF(+NFL!$H270="Oakland",+NFL!#REF!,0))</f>
        <v>0</v>
      </c>
      <c r="AK358" s="379">
        <f>IF(+NFL!$F270="Oakland",+NFL!#REF!,IF(+NFL!$H270="Oakland",+NFL!#REF!,0))</f>
        <v>0</v>
      </c>
      <c r="AL358" s="68">
        <f>IF(+NFL!$F270="Oakland",+NFL!#REF!,IF(+NFL!$H270="Oakland",+NFL!#REF!,0))</f>
        <v>0</v>
      </c>
      <c r="AM358" s="58">
        <f>IF(+NFL!$F270="Oakland",+NFL!#REF!,IF(+NFL!$H270="Oakland",+NFL!#REF!,0))</f>
        <v>0</v>
      </c>
      <c r="AN358" s="57">
        <f>IF(+NFL!$F270="Oakland",+NFL!#REF!,IF(+NFL!$H270="Oakland",+NFL!#REF!,0))</f>
        <v>0</v>
      </c>
      <c r="AO358" s="59">
        <f>IF(+NFL!$F270="Oakland",+NFL!#REF!,IF(+NFL!$H270="Oakland",+NFL!#REF!,0))</f>
        <v>0</v>
      </c>
      <c r="AP358" s="348">
        <f>IF(+NFL!$F270="Oakland",+NFL!#REF!,IF(+NFL!$H270="Oakland",+NFL!#REF!,0))</f>
        <v>0</v>
      </c>
      <c r="AQ358" s="48">
        <f>IF(+NFL!$F270="Oakland",+NFL!#REF!,IF(+NFL!$H270="Oakland",+NFL!#REF!,0))</f>
        <v>0</v>
      </c>
      <c r="AR358" s="57">
        <f>IF(+NFL!$F270="Oakland",+NFL!#REF!,IF(+NFL!$H270="Oakland",+NFL!#REF!,0))</f>
        <v>0</v>
      </c>
      <c r="AS358" s="64">
        <f>IF(+NFL!$F270="Oakland",+NFL!#REF!,IF(+NFL!$H270="Oakland",+NFL!#REF!,0))</f>
        <v>0</v>
      </c>
      <c r="AT358" s="64">
        <f>IF(+NFL!$F270="Oakland",+NFL!#REF!,IF(+NFL!$H270="Oakland",+NFL!#REF!,0))</f>
        <v>0</v>
      </c>
      <c r="AU358" s="57">
        <f>IF(+NFL!$F270="Oakland",+NFL!#REF!,IF(+NFL!$H270="Oakland",+NFL!#REF!,0))</f>
        <v>0</v>
      </c>
      <c r="AV358" s="64">
        <f>IF(+NFL!$F270="Oakland",+NFL!#REF!,IF(+NFL!$H270="Oakland",+NFL!#REF!,0))</f>
        <v>0</v>
      </c>
      <c r="AW358" s="46">
        <f>IF(+NFL!$F270="Oakland",+NFL!#REF!,IF(+NFL!$H270="Oakland",+NFL!#REF!,0))</f>
        <v>0</v>
      </c>
      <c r="AX358" s="64">
        <f>IF(+NFL!$F270="Oakland",+NFL!#REF!,IF(+NFL!$H270="Oakland",+NFL!#REF!,0))</f>
        <v>0</v>
      </c>
      <c r="AY358" s="57">
        <f>IF(+NFL!$F270="Oakland",+NFL!#REF!,IF(+NFL!$H270="Oakland",+NFL!#REF!,0))</f>
        <v>0</v>
      </c>
      <c r="AZ358" s="64">
        <f>IF(+NFL!$F270="Oakland",+NFL!#REF!,IF(+NFL!$H270="Oakland",+NFL!#REF!,0))</f>
        <v>0</v>
      </c>
      <c r="BA358" s="46">
        <f>IF(+NFL!$F270="Oakland",+NFL!#REF!,IF(+NFL!$H270="Oakland",+NFL!#REF!,0))</f>
        <v>0</v>
      </c>
      <c r="BB358" s="46">
        <f>IF(+NFL!$F270="Oakland",+NFL!#REF!,IF(+NFL!$H270="Oakland",+NFL!#REF!,0))</f>
        <v>0</v>
      </c>
      <c r="BC358" s="403">
        <f>IF(+NFL!$F270="Oakland",+NFL!#REF!,IF(+NFL!$H270="Oakland",+NFL!#REF!,0))</f>
        <v>0</v>
      </c>
      <c r="BD358" s="57">
        <f>IF(+NFL!$F270="Oakland",+NFL!#REF!,IF(+NFL!$H270="Oakland",+NFL!#REF!,0))</f>
        <v>0</v>
      </c>
      <c r="BE358" s="64">
        <f>IF(+NFL!$F270="Oakland",+NFL!#REF!,IF(+NFL!$H270="Oakland",+NFL!#REF!,0))</f>
        <v>0</v>
      </c>
      <c r="BF358" s="46">
        <f>IF(+NFL!$F270="Oakland",+NFL!#REF!,IF(+NFL!$H270="Oakland",+NFL!#REF!,0))</f>
        <v>0</v>
      </c>
      <c r="BG358" s="57">
        <f>IF(+NFL!$F270="Oakland",+NFL!#REF!,IF(+NFL!$H270="Oakland",+NFL!#REF!,0))</f>
        <v>0</v>
      </c>
      <c r="BH358" s="64">
        <f>IF(+NFL!$F270="Oakland",+NFL!#REF!,IF(+NFL!$H270="Oakland",+NFL!#REF!,0))</f>
        <v>0</v>
      </c>
      <c r="BI358" s="46">
        <f>IF(+NFL!$F270="Oakland",+NFL!#REF!,IF(+NFL!$H270="Oakland",+NFL!#REF!,0))</f>
        <v>0</v>
      </c>
      <c r="BJ358" s="87">
        <f>IF(+NFL!$F270="Oakland",+NFL!#REF!,IF(+NFL!$H270="Oakland",+NFL!#REF!,0))</f>
        <v>0</v>
      </c>
      <c r="BK358" s="120">
        <f>IF(+NFL!$F270="Oakland",+NFL!#REF!,IF(+NFL!$H270="Oakland",+NFL!#REF!,0))</f>
        <v>0</v>
      </c>
    </row>
    <row r="359" spans="1:63" s="246" customFormat="1" x14ac:dyDescent="0.8">
      <c r="A359" s="46">
        <f>IF(+NFL!$F294="Las Vegas",+NFL!A294,IF(+NFL!$H294="Las Vegas",+NFL!A294,0))</f>
        <v>16</v>
      </c>
      <c r="B359" s="348" t="str">
        <f>IF(+NFL!$F294="Las Vegas",+NFL!B294,IF(+NFL!$H294="Las Vegas",+NFL!B294,0))</f>
        <v>Sat</v>
      </c>
      <c r="C359" s="48">
        <f>IF(+NFL!$F294="Las Vegas",+NFL!C294,IF(+NFL!$H294="Las Vegas",+NFL!C294,0))</f>
        <v>44919</v>
      </c>
      <c r="D359" s="490">
        <f>IF(+NFL!$F294="Las Vegas",+NFL!D294,IF(+NFL!$H294="Las Vegas",+NFL!D294,0))</f>
        <v>0.84375</v>
      </c>
      <c r="E359" s="46" t="str">
        <f>IF(+NFL!$F294="Las Vegas",+NFL!E294,IF(+NFL!$H294="Las Vegas",+NFL!E294,0))</f>
        <v>CBS</v>
      </c>
      <c r="F359" s="127" t="str">
        <f>IF(+NFL!$F294="Las Vegas",+NFL!F294,IF(+NFL!$H294="Las Vegas",+NFL!F294,0))</f>
        <v>Las Vegas</v>
      </c>
      <c r="G359" s="46" t="str">
        <f>IF(+NFL!$F294="Las Vegas",+NFL!G294,IF(+NFL!$H294="Las Vegas",+NFL!G294,0))</f>
        <v>AFCW</v>
      </c>
      <c r="H359" s="127" t="str">
        <f>IF(+NFL!$F294="Las Vegas",+NFL!H294,IF(+NFL!$H294="Las Vegas",+NFL!H294,0))</f>
        <v>Pittsburgh</v>
      </c>
      <c r="I359" s="46" t="str">
        <f>IF(+NFL!$F294="Las Vegas",+NFL!I294,IF(+NFL!$H294="Las Vegas",+NFL!I294,0))</f>
        <v>AFCN</v>
      </c>
      <c r="J359" s="353" t="str">
        <f>IF(+NFL!$F294="Las Vegas",+NFL!J294,IF(+NFL!$H294="Las Vegas",+NFL!J294,0))</f>
        <v>Pittsburgh</v>
      </c>
      <c r="K359" s="494" t="str">
        <f>IF(+NFL!$F294="Las Vegas",+NFL!K294,IF(+NFL!$H294="Las Vegas",+NFL!K294,0))</f>
        <v>Las Vegas</v>
      </c>
      <c r="L359" s="384">
        <f>IF(+NFL!$F294="Las Vegas",+NFL!L294,IF(+NFL!$H294="Las Vegas",+NFL!L294,0))</f>
        <v>2.5</v>
      </c>
      <c r="M359" s="385">
        <f>IF(+NFL!$F294="Las Vegas",+NFL!M294,IF(+NFL!$H294="Las Vegas",+NFL!M294,0))</f>
        <v>38</v>
      </c>
      <c r="N359" s="394" t="str">
        <f>IF(+NFL!$F294="Las Vegas",+NFL!N294,IF(+NFL!$H294="Las Vegas",+NFL!N294,0))</f>
        <v>Pittsburgh</v>
      </c>
      <c r="O359" s="395">
        <f>IF(+NFL!$F294="Las Vegas",+NFL!O294,IF(+NFL!$H294="Las Vegas",+NFL!O294,0))</f>
        <v>13</v>
      </c>
      <c r="P359" s="394" t="str">
        <f>IF(+NFL!$F294="Las Vegas",+NFL!P294,IF(+NFL!$H294="Las Vegas",+NFL!P294,0))</f>
        <v>Las Vegas</v>
      </c>
      <c r="Q359" s="396">
        <f>IF(+NFL!$F294="Las Vegas",+NFL!Q294,IF(+NFL!$H294="Las Vegas",+NFL!Q294,0))</f>
        <v>10</v>
      </c>
      <c r="R359" s="397" t="str">
        <f>IF(+NFL!$F294="Las Vegas",+NFL!R294,IF(+NFL!$H294="Las Vegas",+NFL!R294,0))</f>
        <v>Pittsburgh</v>
      </c>
      <c r="S359" s="396" t="str">
        <f>IF(+NFL!$F294="Las Vegas",+NFL!S294,IF(+NFL!$H294="Las Vegas",+NFL!S294,0))</f>
        <v>Las Vegas</v>
      </c>
      <c r="T359" s="398">
        <f>IF(+NFL!$F294="Las Vegas",+NFL!T294,IF(+NFL!$H294="Las Vegas",+NFL!T294,0))</f>
        <v>0</v>
      </c>
      <c r="U359" s="396" t="str">
        <f>IF(+NFL!$F294="Las Vegas",+NFL!U294,IF(+NFL!$H294="Las Vegas",+NFL!U294,0))</f>
        <v>L</v>
      </c>
      <c r="V359" s="397">
        <f>IF(+NFL!$F293="Oakland",+NFL!#REF!,IF(+NFL!$H293="Oakland",+NFL!#REF!,0))</f>
        <v>0</v>
      </c>
      <c r="W359" s="396">
        <f>IF(+NFL!$F293="Oakland",+NFL!#REF!,IF(+NFL!$H293="Oakland",+NFL!#REF!,0))</f>
        <v>0</v>
      </c>
      <c r="X359" s="398">
        <f>IF(+NFL!$F293="Oakland",+NFL!#REF!,IF(+NFL!$H293="Oakland",+NFL!#REF!,0))</f>
        <v>0</v>
      </c>
      <c r="Y359" s="396">
        <f>IF(+NFL!$F293="Oakland",+NFL!#REF!,IF(+NFL!$H293="Oakland",+NFL!#REF!,0))</f>
        <v>0</v>
      </c>
      <c r="Z359" s="397">
        <f>IF(+NFL!$F293="Oakland",+NFL!#REF!,IF(+NFL!$H293="Oakland",+NFL!#REF!,0))</f>
        <v>0</v>
      </c>
      <c r="AA359" s="396">
        <f>IF(+NFL!$F293="Oakland",+NFL!#REF!,IF(+NFL!$H293="Oakland",+NFL!#REF!,0))</f>
        <v>0</v>
      </c>
      <c r="AB359" s="87">
        <f>IF(+NFL!$F293="Oakland",+NFL!#REF!,IF(+NFL!$H293="Oakland",+NFL!#REF!,0))</f>
        <v>0</v>
      </c>
      <c r="AC359" s="120">
        <f>IF(+NFL!$F293="Oakland",+NFL!#REF!,IF(+NFL!$H293="Oakland",+NFL!#REF!,0))</f>
        <v>0</v>
      </c>
      <c r="AD359" s="353">
        <f>IF(+NFL!$F293="Oakland",+NFL!#REF!,IF(+NFL!$H293="Oakland",+NFL!#REF!,0))</f>
        <v>0</v>
      </c>
      <c r="AE359" s="379">
        <f>IF(+NFL!$F293="Oakland",+NFL!#REF!,IF(+NFL!$H293="Oakland",+NFL!#REF!,0))</f>
        <v>0</v>
      </c>
      <c r="AF359" s="353">
        <f>IF(+NFL!$F293="Oakland",+NFL!#REF!,IF(+NFL!$H293="Oakland",+NFL!#REF!,0))</f>
        <v>0</v>
      </c>
      <c r="AG359" s="379">
        <f>IF(+NFL!$F293="Oakland",+NFL!#REF!,IF(+NFL!$H293="Oakland",+NFL!#REF!,0))</f>
        <v>0</v>
      </c>
      <c r="AH359" s="353">
        <f>IF(+NFL!$F293="Oakland",+NFL!#REF!,IF(+NFL!$H293="Oakland",+NFL!#REF!,0))</f>
        <v>0</v>
      </c>
      <c r="AI359" s="379">
        <f>IF(+NFL!$F293="Oakland",+NFL!#REF!,IF(+NFL!$H293="Oakland",+NFL!#REF!,0))</f>
        <v>0</v>
      </c>
      <c r="AJ359" s="353">
        <f>IF(+NFL!$F293="Oakland",+NFL!#REF!,IF(+NFL!$H293="Oakland",+NFL!#REF!,0))</f>
        <v>0</v>
      </c>
      <c r="AK359" s="379">
        <f>IF(+NFL!$F293="Oakland",+NFL!#REF!,IF(+NFL!$H293="Oakland",+NFL!#REF!,0))</f>
        <v>0</v>
      </c>
      <c r="AL359" s="68">
        <f>IF(+NFL!$F293="Oakland",+NFL!#REF!,IF(+NFL!$H293="Oakland",+NFL!#REF!,0))</f>
        <v>0</v>
      </c>
      <c r="AM359" s="58">
        <f>IF(+NFL!$F293="Oakland",+NFL!#REF!,IF(+NFL!$H293="Oakland",+NFL!#REF!,0))</f>
        <v>0</v>
      </c>
      <c r="AN359" s="57">
        <f>IF(+NFL!$F293="Oakland",+NFL!#REF!,IF(+NFL!$H293="Oakland",+NFL!#REF!,0))</f>
        <v>0</v>
      </c>
      <c r="AO359" s="59">
        <f>IF(+NFL!$F293="Oakland",+NFL!#REF!,IF(+NFL!$H293="Oakland",+NFL!#REF!,0))</f>
        <v>0</v>
      </c>
      <c r="AP359" s="348">
        <f>IF(+NFL!$F293="Oakland",+NFL!#REF!,IF(+NFL!$H293="Oakland",+NFL!#REF!,0))</f>
        <v>0</v>
      </c>
      <c r="AQ359" s="48">
        <f>IF(+NFL!$F293="Oakland",+NFL!#REF!,IF(+NFL!$H293="Oakland",+NFL!#REF!,0))</f>
        <v>0</v>
      </c>
      <c r="AR359" s="57">
        <f>IF(+NFL!$F293="Oakland",+NFL!#REF!,IF(+NFL!$H293="Oakland",+NFL!#REF!,0))</f>
        <v>0</v>
      </c>
      <c r="AS359" s="64">
        <f>IF(+NFL!$F293="Oakland",+NFL!#REF!,IF(+NFL!$H293="Oakland",+NFL!#REF!,0))</f>
        <v>0</v>
      </c>
      <c r="AT359" s="64">
        <f>IF(+NFL!$F293="Oakland",+NFL!#REF!,IF(+NFL!$H293="Oakland",+NFL!#REF!,0))</f>
        <v>0</v>
      </c>
      <c r="AU359" s="57">
        <f>IF(+NFL!$F293="Oakland",+NFL!#REF!,IF(+NFL!$H293="Oakland",+NFL!#REF!,0))</f>
        <v>0</v>
      </c>
      <c r="AV359" s="64">
        <f>IF(+NFL!$F293="Oakland",+NFL!#REF!,IF(+NFL!$H293="Oakland",+NFL!#REF!,0))</f>
        <v>0</v>
      </c>
      <c r="AW359" s="46">
        <f>IF(+NFL!$F293="Oakland",+NFL!#REF!,IF(+NFL!$H293="Oakland",+NFL!#REF!,0))</f>
        <v>0</v>
      </c>
      <c r="AX359" s="64">
        <f>IF(+NFL!$F293="Oakland",+NFL!#REF!,IF(+NFL!$H293="Oakland",+NFL!#REF!,0))</f>
        <v>0</v>
      </c>
      <c r="AY359" s="57">
        <f>IF(+NFL!$F293="Oakland",+NFL!#REF!,IF(+NFL!$H293="Oakland",+NFL!#REF!,0))</f>
        <v>0</v>
      </c>
      <c r="AZ359" s="64">
        <f>IF(+NFL!$F293="Oakland",+NFL!#REF!,IF(+NFL!$H293="Oakland",+NFL!#REF!,0))</f>
        <v>0</v>
      </c>
      <c r="BA359" s="46">
        <f>IF(+NFL!$F293="Oakland",+NFL!#REF!,IF(+NFL!$H293="Oakland",+NFL!#REF!,0))</f>
        <v>0</v>
      </c>
      <c r="BB359" s="46">
        <f>IF(+NFL!$F293="Oakland",+NFL!#REF!,IF(+NFL!$H293="Oakland",+NFL!#REF!,0))</f>
        <v>0</v>
      </c>
      <c r="BC359" s="403">
        <f>IF(+NFL!$F293="Oakland",+NFL!#REF!,IF(+NFL!$H293="Oakland",+NFL!#REF!,0))</f>
        <v>0</v>
      </c>
      <c r="BD359" s="57">
        <f>IF(+NFL!$F293="Oakland",+NFL!#REF!,IF(+NFL!$H293="Oakland",+NFL!#REF!,0))</f>
        <v>0</v>
      </c>
      <c r="BE359" s="64">
        <f>IF(+NFL!$F293="Oakland",+NFL!#REF!,IF(+NFL!$H293="Oakland",+NFL!#REF!,0))</f>
        <v>0</v>
      </c>
      <c r="BF359" s="46">
        <f>IF(+NFL!$F293="Oakland",+NFL!#REF!,IF(+NFL!$H293="Oakland",+NFL!#REF!,0))</f>
        <v>0</v>
      </c>
      <c r="BG359" s="57">
        <f>IF(+NFL!$F293="Oakland",+NFL!#REF!,IF(+NFL!$H293="Oakland",+NFL!#REF!,0))</f>
        <v>0</v>
      </c>
      <c r="BH359" s="64">
        <f>IF(+NFL!$F293="Oakland",+NFL!#REF!,IF(+NFL!$H293="Oakland",+NFL!#REF!,0))</f>
        <v>0</v>
      </c>
      <c r="BI359" s="46">
        <f>IF(+NFL!$F293="Oakland",+NFL!#REF!,IF(+NFL!$H293="Oakland",+NFL!#REF!,0))</f>
        <v>0</v>
      </c>
      <c r="BJ359" s="87">
        <f>IF(+NFL!$F293="Oakland",+NFL!#REF!,IF(+NFL!$H293="Oakland",+NFL!#REF!,0))</f>
        <v>0</v>
      </c>
      <c r="BK359" s="120">
        <f>IF(+NFL!$F293="Oakland",+NFL!#REF!,IF(+NFL!$H293="Oakland",+NFL!#REF!,0))</f>
        <v>0</v>
      </c>
    </row>
    <row r="360" spans="1:63" s="246" customFormat="1" x14ac:dyDescent="0.8">
      <c r="A360" s="46">
        <f>IF(+NFL!$F311="Las Vegas",+NFL!A311,IF(+NFL!$H311="Las Vegas",+NFL!A311,0))</f>
        <v>17</v>
      </c>
      <c r="B360" s="348" t="str">
        <f>IF(+NFL!$F311="Las Vegas",+NFL!B311,IF(+NFL!$H311="Las Vegas",+NFL!B311,0))</f>
        <v>Sun</v>
      </c>
      <c r="C360" s="48">
        <f>IF(+NFL!$F311="Las Vegas",+NFL!C311,IF(+NFL!$H311="Las Vegas",+NFL!C311,0))</f>
        <v>44927</v>
      </c>
      <c r="D360" s="490">
        <f>IF(+NFL!$F311="Las Vegas",+NFL!D311,IF(+NFL!$H311="Las Vegas",+NFL!D311,0))</f>
        <v>0.66666666666666663</v>
      </c>
      <c r="E360" s="46" t="str">
        <f>IF(+NFL!$F311="Las Vegas",+NFL!E311,IF(+NFL!$H311="Las Vegas",+NFL!E311,0))</f>
        <v>Fox</v>
      </c>
      <c r="F360" s="127" t="str">
        <f>IF(+NFL!$F311="Las Vegas",+NFL!F311,IF(+NFL!$H311="Las Vegas",+NFL!F311,0))</f>
        <v>San Francisco</v>
      </c>
      <c r="G360" s="46" t="str">
        <f>IF(+NFL!$F311="Las Vegas",+NFL!G311,IF(+NFL!$H311="Las Vegas",+NFL!G311,0))</f>
        <v>NFCW</v>
      </c>
      <c r="H360" s="127" t="str">
        <f>IF(+NFL!$F311="Las Vegas",+NFL!H311,IF(+NFL!$H311="Las Vegas",+NFL!H311,0))</f>
        <v>Las Vegas</v>
      </c>
      <c r="I360" s="46" t="str">
        <f>IF(+NFL!$F311="Las Vegas",+NFL!I311,IF(+NFL!$H311="Las Vegas",+NFL!I311,0))</f>
        <v>AFCW</v>
      </c>
      <c r="J360" s="353" t="str">
        <f>IF(+NFL!$F311="Las Vegas",+NFL!J311,IF(+NFL!$H311="Las Vegas",+NFL!J311,0))</f>
        <v>San Francisco</v>
      </c>
      <c r="K360" s="494" t="str">
        <f>IF(+NFL!$F311="Las Vegas",+NFL!K311,IF(+NFL!$H311="Las Vegas",+NFL!K311,0))</f>
        <v>Las Vegas</v>
      </c>
      <c r="L360" s="384">
        <f>IF(+NFL!$F311="Las Vegas",+NFL!L311,IF(+NFL!$H311="Las Vegas",+NFL!L311,0))</f>
        <v>9.5</v>
      </c>
      <c r="M360" s="385">
        <f>IF(+NFL!$F311="Las Vegas",+NFL!M311,IF(+NFL!$H311="Las Vegas",+NFL!M311,0))</f>
        <v>41.5</v>
      </c>
      <c r="N360" s="394" t="str">
        <f>IF(+NFL!$F311="Las Vegas",+NFL!N311,IF(+NFL!$H311="Las Vegas",+NFL!N311,0))</f>
        <v>San Francisco</v>
      </c>
      <c r="O360" s="395">
        <f>IF(+NFL!$F311="Las Vegas",+NFL!O311,IF(+NFL!$H311="Las Vegas",+NFL!O311,0))</f>
        <v>37</v>
      </c>
      <c r="P360" s="394" t="str">
        <f>IF(+NFL!$F311="Las Vegas",+NFL!P311,IF(+NFL!$H311="Las Vegas",+NFL!P311,0))</f>
        <v>Las Vegas</v>
      </c>
      <c r="Q360" s="396">
        <f>IF(+NFL!$F311="Las Vegas",+NFL!Q311,IF(+NFL!$H311="Las Vegas",+NFL!Q311,0))</f>
        <v>34</v>
      </c>
      <c r="R360" s="397" t="str">
        <f>IF(+NFL!$F311="Las Vegas",+NFL!R311,IF(+NFL!$H311="Las Vegas",+NFL!R311,0))</f>
        <v>Las Vegas</v>
      </c>
      <c r="S360" s="396" t="str">
        <f>IF(+NFL!$F311="Las Vegas",+NFL!S311,IF(+NFL!$H311="Las Vegas",+NFL!S311,0))</f>
        <v>San Francisco</v>
      </c>
      <c r="T360" s="398">
        <f>IF(+NFL!$F311="Las Vegas",+NFL!T311,IF(+NFL!$H311="Las Vegas",+NFL!T311,0))</f>
        <v>0</v>
      </c>
      <c r="U360" s="396" t="str">
        <f>IF(+NFL!$F311="Las Vegas",+NFL!U311,IF(+NFL!$H311="Las Vegas",+NFL!U311,0))</f>
        <v>L</v>
      </c>
      <c r="V360" s="397">
        <f>IF(+NFL!$F310="Oakland",+NFL!#REF!,IF(+NFL!$H310="Oakland",+NFL!#REF!,0))</f>
        <v>0</v>
      </c>
      <c r="W360" s="396">
        <f>IF(+NFL!$F310="Oakland",+NFL!#REF!,IF(+NFL!$H310="Oakland",+NFL!#REF!,0))</f>
        <v>0</v>
      </c>
      <c r="X360" s="398">
        <f>IF(+NFL!$F310="Oakland",+NFL!#REF!,IF(+NFL!$H310="Oakland",+NFL!#REF!,0))</f>
        <v>0</v>
      </c>
      <c r="Y360" s="396">
        <f>IF(+NFL!$F310="Oakland",+NFL!#REF!,IF(+NFL!$H310="Oakland",+NFL!#REF!,0))</f>
        <v>0</v>
      </c>
      <c r="Z360" s="397">
        <f>IF(+NFL!$F310="Oakland",+NFL!#REF!,IF(+NFL!$H310="Oakland",+NFL!#REF!,0))</f>
        <v>0</v>
      </c>
      <c r="AA360" s="396">
        <f>IF(+NFL!$F310="Oakland",+NFL!#REF!,IF(+NFL!$H310="Oakland",+NFL!#REF!,0))</f>
        <v>0</v>
      </c>
      <c r="AB360" s="87">
        <f>IF(+NFL!$F310="Oakland",+NFL!#REF!,IF(+NFL!$H310="Oakland",+NFL!#REF!,0))</f>
        <v>0</v>
      </c>
      <c r="AC360" s="120">
        <f>IF(+NFL!$F310="Oakland",+NFL!#REF!,IF(+NFL!$H310="Oakland",+NFL!#REF!,0))</f>
        <v>0</v>
      </c>
      <c r="AD360" s="353">
        <f>IF(+NFL!$F310="Oakland",+NFL!#REF!,IF(+NFL!$H310="Oakland",+NFL!#REF!,0))</f>
        <v>0</v>
      </c>
      <c r="AE360" s="379">
        <f>IF(+NFL!$F310="Oakland",+NFL!#REF!,IF(+NFL!$H310="Oakland",+NFL!#REF!,0))</f>
        <v>0</v>
      </c>
      <c r="AF360" s="353">
        <f>IF(+NFL!$F310="Oakland",+NFL!#REF!,IF(+NFL!$H310="Oakland",+NFL!#REF!,0))</f>
        <v>0</v>
      </c>
      <c r="AG360" s="379">
        <f>IF(+NFL!$F310="Oakland",+NFL!#REF!,IF(+NFL!$H310="Oakland",+NFL!#REF!,0))</f>
        <v>0</v>
      </c>
      <c r="AH360" s="353">
        <f>IF(+NFL!$F310="Oakland",+NFL!#REF!,IF(+NFL!$H310="Oakland",+NFL!#REF!,0))</f>
        <v>0</v>
      </c>
      <c r="AI360" s="379">
        <f>IF(+NFL!$F310="Oakland",+NFL!#REF!,IF(+NFL!$H310="Oakland",+NFL!#REF!,0))</f>
        <v>0</v>
      </c>
      <c r="AJ360" s="353">
        <f>IF(+NFL!$F310="Oakland",+NFL!#REF!,IF(+NFL!$H310="Oakland",+NFL!#REF!,0))</f>
        <v>0</v>
      </c>
      <c r="AK360" s="379">
        <f>IF(+NFL!$F310="Oakland",+NFL!#REF!,IF(+NFL!$H310="Oakland",+NFL!#REF!,0))</f>
        <v>0</v>
      </c>
      <c r="AL360" s="68">
        <f>IF(+NFL!$F310="Oakland",+NFL!#REF!,IF(+NFL!$H310="Oakland",+NFL!#REF!,0))</f>
        <v>0</v>
      </c>
      <c r="AM360" s="58">
        <f>IF(+NFL!$F310="Oakland",+NFL!#REF!,IF(+NFL!$H310="Oakland",+NFL!#REF!,0))</f>
        <v>0</v>
      </c>
      <c r="AN360" s="57">
        <f>IF(+NFL!$F310="Oakland",+NFL!#REF!,IF(+NFL!$H310="Oakland",+NFL!#REF!,0))</f>
        <v>0</v>
      </c>
      <c r="AO360" s="59">
        <f>IF(+NFL!$F310="Oakland",+NFL!#REF!,IF(+NFL!$H310="Oakland",+NFL!#REF!,0))</f>
        <v>0</v>
      </c>
      <c r="AP360" s="348">
        <f>IF(+NFL!$F310="Oakland",+NFL!#REF!,IF(+NFL!$H310="Oakland",+NFL!#REF!,0))</f>
        <v>0</v>
      </c>
      <c r="AQ360" s="48">
        <f>IF(+NFL!$F310="Oakland",+NFL!#REF!,IF(+NFL!$H310="Oakland",+NFL!#REF!,0))</f>
        <v>0</v>
      </c>
      <c r="AR360" s="57">
        <f>IF(+NFL!$F310="Oakland",+NFL!#REF!,IF(+NFL!$H310="Oakland",+NFL!#REF!,0))</f>
        <v>0</v>
      </c>
      <c r="AS360" s="64">
        <f>IF(+NFL!$F310="Oakland",+NFL!#REF!,IF(+NFL!$H310="Oakland",+NFL!#REF!,0))</f>
        <v>0</v>
      </c>
      <c r="AT360" s="64">
        <f>IF(+NFL!$F310="Oakland",+NFL!#REF!,IF(+NFL!$H310="Oakland",+NFL!#REF!,0))</f>
        <v>0</v>
      </c>
      <c r="AU360" s="57">
        <f>IF(+NFL!$F310="Oakland",+NFL!#REF!,IF(+NFL!$H310="Oakland",+NFL!#REF!,0))</f>
        <v>0</v>
      </c>
      <c r="AV360" s="64">
        <f>IF(+NFL!$F310="Oakland",+NFL!#REF!,IF(+NFL!$H310="Oakland",+NFL!#REF!,0))</f>
        <v>0</v>
      </c>
      <c r="AW360" s="46">
        <f>IF(+NFL!$F310="Oakland",+NFL!#REF!,IF(+NFL!$H310="Oakland",+NFL!#REF!,0))</f>
        <v>0</v>
      </c>
      <c r="AX360" s="64">
        <f>IF(+NFL!$F310="Oakland",+NFL!#REF!,IF(+NFL!$H310="Oakland",+NFL!#REF!,0))</f>
        <v>0</v>
      </c>
      <c r="AY360" s="57">
        <f>IF(+NFL!$F310="Oakland",+NFL!#REF!,IF(+NFL!$H310="Oakland",+NFL!#REF!,0))</f>
        <v>0</v>
      </c>
      <c r="AZ360" s="64">
        <f>IF(+NFL!$F310="Oakland",+NFL!#REF!,IF(+NFL!$H310="Oakland",+NFL!#REF!,0))</f>
        <v>0</v>
      </c>
      <c r="BA360" s="46">
        <f>IF(+NFL!$F310="Oakland",+NFL!#REF!,IF(+NFL!$H310="Oakland",+NFL!#REF!,0))</f>
        <v>0</v>
      </c>
      <c r="BB360" s="46">
        <f>IF(+NFL!$F310="Oakland",+NFL!#REF!,IF(+NFL!$H310="Oakland",+NFL!#REF!,0))</f>
        <v>0</v>
      </c>
      <c r="BC360" s="403">
        <f>IF(+NFL!$F310="Oakland",+NFL!#REF!,IF(+NFL!$H310="Oakland",+NFL!#REF!,0))</f>
        <v>0</v>
      </c>
      <c r="BD360" s="57">
        <f>IF(+NFL!$F310="Oakland",+NFL!#REF!,IF(+NFL!$H310="Oakland",+NFL!#REF!,0))</f>
        <v>0</v>
      </c>
      <c r="BE360" s="64">
        <f>IF(+NFL!$F310="Oakland",+NFL!#REF!,IF(+NFL!$H310="Oakland",+NFL!#REF!,0))</f>
        <v>0</v>
      </c>
      <c r="BF360" s="46">
        <f>IF(+NFL!$F310="Oakland",+NFL!#REF!,IF(+NFL!$H310="Oakland",+NFL!#REF!,0))</f>
        <v>0</v>
      </c>
      <c r="BG360" s="57">
        <f>IF(+NFL!$F310="Oakland",+NFL!#REF!,IF(+NFL!$H310="Oakland",+NFL!#REF!,0))</f>
        <v>0</v>
      </c>
      <c r="BH360" s="64">
        <f>IF(+NFL!$F310="Oakland",+NFL!#REF!,IF(+NFL!$H310="Oakland",+NFL!#REF!,0))</f>
        <v>0</v>
      </c>
      <c r="BI360" s="46">
        <f>IF(+NFL!$F310="Oakland",+NFL!#REF!,IF(+NFL!$H310="Oakland",+NFL!#REF!,0))</f>
        <v>0</v>
      </c>
      <c r="BJ360" s="87">
        <f>IF(+NFL!$F310="Oakland",+NFL!#REF!,IF(+NFL!$H310="Oakland",+NFL!#REF!,0))</f>
        <v>0</v>
      </c>
      <c r="BK360" s="120">
        <f>IF(+NFL!$F310="Oakland",+NFL!#REF!,IF(+NFL!$H310="Oakland",+NFL!#REF!,0))</f>
        <v>0</v>
      </c>
    </row>
    <row r="361" spans="1:63" s="246" customFormat="1" x14ac:dyDescent="0.8">
      <c r="A361" s="46">
        <f>IF(+NFL!$F323="Las Vegas",+NFL!A323,IF(+NFL!$H323="Las Vegas",+NFL!A323,0))</f>
        <v>0</v>
      </c>
      <c r="B361" s="348">
        <f>IF(+NFL!$F323="Las Vegas",+NFL!B323,IF(+NFL!$H323="Las Vegas",+NFL!B323,0))</f>
        <v>0</v>
      </c>
      <c r="C361" s="48">
        <f>IF(+NFL!$F323="Las Vegas",+NFL!C323,IF(+NFL!$H323="Las Vegas",+NFL!C323,0))</f>
        <v>0</v>
      </c>
      <c r="D361" s="490">
        <f>IF(+NFL!$F323="Las Vegas",+NFL!D323,IF(+NFL!$H323="Las Vegas",+NFL!D323,0))</f>
        <v>0</v>
      </c>
      <c r="E361" s="46">
        <f>IF(+NFL!$F323="Las Vegas",+NFL!E323,IF(+NFL!$H323="Las Vegas",+NFL!E323,0))</f>
        <v>0</v>
      </c>
      <c r="F361" s="127">
        <f>IF(+NFL!$F323="Las Vegas",+NFL!F323,IF(+NFL!$H323="Las Vegas",+NFL!F323,0))</f>
        <v>0</v>
      </c>
      <c r="G361" s="46">
        <f>IF(+NFL!$F323="Las Vegas",+NFL!G323,IF(+NFL!$H323="Las Vegas",+NFL!G323,0))</f>
        <v>0</v>
      </c>
      <c r="H361" s="127">
        <f>IF(+NFL!$F323="Las Vegas",+NFL!H323,IF(+NFL!$H323="Las Vegas",+NFL!H323,0))</f>
        <v>0</v>
      </c>
      <c r="I361" s="46">
        <f>IF(+NFL!$F323="Las Vegas",+NFL!I323,IF(+NFL!$H323="Las Vegas",+NFL!I323,0))</f>
        <v>0</v>
      </c>
      <c r="J361" s="353">
        <f>IF(+NFL!$F323="Las Vegas",+NFL!J323,IF(+NFL!$H323="Las Vegas",+NFL!J323,0))</f>
        <v>0</v>
      </c>
      <c r="K361" s="494">
        <f>IF(+NFL!$F323="Las Vegas",+NFL!K323,IF(+NFL!$H323="Las Vegas",+NFL!K323,0))</f>
        <v>0</v>
      </c>
      <c r="L361" s="384">
        <f>IF(+NFL!$F323="Las Vegas",+NFL!L323,IF(+NFL!$H323="Las Vegas",+NFL!L323,0))</f>
        <v>0</v>
      </c>
      <c r="M361" s="385">
        <f>IF(+NFL!$F323="Las Vegas",+NFL!M323,IF(+NFL!$H323="Las Vegas",+NFL!M323,0))</f>
        <v>0</v>
      </c>
      <c r="N361" s="394">
        <f>IF(+NFL!$F323="Las Vegas",+NFL!N323,IF(+NFL!$H323="Las Vegas",+NFL!N323,0))</f>
        <v>0</v>
      </c>
      <c r="O361" s="395">
        <f>IF(+NFL!$F323="Las Vegas",+NFL!O323,IF(+NFL!$H323="Las Vegas",+NFL!O323,0))</f>
        <v>0</v>
      </c>
      <c r="P361" s="394">
        <f>IF(+NFL!$F323="Las Vegas",+NFL!P323,IF(+NFL!$H323="Las Vegas",+NFL!P323,0))</f>
        <v>0</v>
      </c>
      <c r="Q361" s="396">
        <f>IF(+NFL!$F323="Las Vegas",+NFL!Q323,IF(+NFL!$H323="Las Vegas",+NFL!Q323,0))</f>
        <v>0</v>
      </c>
      <c r="R361" s="397">
        <f>IF(+NFL!$F323="Las Vegas",+NFL!R323,IF(+NFL!$H323="Las Vegas",+NFL!R323,0))</f>
        <v>0</v>
      </c>
      <c r="S361" s="396">
        <f>IF(+NFL!$F323="Las Vegas",+NFL!S323,IF(+NFL!$H323="Las Vegas",+NFL!S323,0))</f>
        <v>0</v>
      </c>
      <c r="T361" s="398">
        <f>IF(+NFL!$F323="Las Vegas",+NFL!T323,IF(+NFL!$H323="Las Vegas",+NFL!T323,0))</f>
        <v>0</v>
      </c>
      <c r="U361" s="396">
        <f>IF(+NFL!$F323="Las Vegas",+NFL!U323,IF(+NFL!$H323="Las Vegas",+NFL!U323,0))</f>
        <v>0</v>
      </c>
      <c r="V361" s="397">
        <f>IF(+NFL!$F328="Oakland",+NFL!#REF!,IF(+NFL!$H328="Oakland",+NFL!#REF!,0))</f>
        <v>0</v>
      </c>
      <c r="W361" s="396">
        <f>IF(+NFL!$F328="Oakland",+NFL!#REF!,IF(+NFL!$H328="Oakland",+NFL!#REF!,0))</f>
        <v>0</v>
      </c>
      <c r="X361" s="398">
        <f>IF(+NFL!$F328="Oakland",+NFL!#REF!,IF(+NFL!$H328="Oakland",+NFL!#REF!,0))</f>
        <v>0</v>
      </c>
      <c r="Y361" s="396">
        <f>IF(+NFL!$F328="Oakland",+NFL!#REF!,IF(+NFL!$H328="Oakland",+NFL!#REF!,0))</f>
        <v>0</v>
      </c>
      <c r="Z361" s="397">
        <f>IF(+NFL!$F328="Oakland",+NFL!#REF!,IF(+NFL!$H328="Oakland",+NFL!#REF!,0))</f>
        <v>0</v>
      </c>
      <c r="AA361" s="396">
        <f>IF(+NFL!$F328="Oakland",+NFL!#REF!,IF(+NFL!$H328="Oakland",+NFL!#REF!,0))</f>
        <v>0</v>
      </c>
      <c r="AB361" s="87">
        <f>IF(+NFL!$F328="Oakland",+NFL!#REF!,IF(+NFL!$H328="Oakland",+NFL!#REF!,0))</f>
        <v>0</v>
      </c>
      <c r="AC361" s="120">
        <f>IF(+NFL!$F328="Oakland",+NFL!#REF!,IF(+NFL!$H328="Oakland",+NFL!#REF!,0))</f>
        <v>0</v>
      </c>
      <c r="AD361" s="353">
        <f>IF(+NFL!$F328="Oakland",+NFL!#REF!,IF(+NFL!$H328="Oakland",+NFL!#REF!,0))</f>
        <v>0</v>
      </c>
      <c r="AE361" s="379">
        <f>IF(+NFL!$F328="Oakland",+NFL!#REF!,IF(+NFL!$H328="Oakland",+NFL!#REF!,0))</f>
        <v>0</v>
      </c>
      <c r="AF361" s="353">
        <f>IF(+NFL!$F328="Oakland",+NFL!#REF!,IF(+NFL!$H328="Oakland",+NFL!#REF!,0))</f>
        <v>0</v>
      </c>
      <c r="AG361" s="379">
        <f>IF(+NFL!$F328="Oakland",+NFL!#REF!,IF(+NFL!$H328="Oakland",+NFL!#REF!,0))</f>
        <v>0</v>
      </c>
      <c r="AH361" s="353">
        <f>IF(+NFL!$F328="Oakland",+NFL!#REF!,IF(+NFL!$H328="Oakland",+NFL!#REF!,0))</f>
        <v>0</v>
      </c>
      <c r="AI361" s="379">
        <f>IF(+NFL!$F328="Oakland",+NFL!#REF!,IF(+NFL!$H328="Oakland",+NFL!#REF!,0))</f>
        <v>0</v>
      </c>
      <c r="AJ361" s="353">
        <f>IF(+NFL!$F328="Oakland",+NFL!#REF!,IF(+NFL!$H328="Oakland",+NFL!#REF!,0))</f>
        <v>0</v>
      </c>
      <c r="AK361" s="379">
        <f>IF(+NFL!$F328="Oakland",+NFL!#REF!,IF(+NFL!$H328="Oakland",+NFL!#REF!,0))</f>
        <v>0</v>
      </c>
      <c r="AL361" s="68">
        <f>IF(+NFL!$F328="Oakland",+NFL!#REF!,IF(+NFL!$H328="Oakland",+NFL!#REF!,0))</f>
        <v>0</v>
      </c>
      <c r="AM361" s="58">
        <f>IF(+NFL!$F328="Oakland",+NFL!#REF!,IF(+NFL!$H328="Oakland",+NFL!#REF!,0))</f>
        <v>0</v>
      </c>
      <c r="AN361" s="57">
        <f>IF(+NFL!$F328="Oakland",+NFL!#REF!,IF(+NFL!$H328="Oakland",+NFL!#REF!,0))</f>
        <v>0</v>
      </c>
      <c r="AO361" s="59">
        <f>IF(+NFL!$F328="Oakland",+NFL!#REF!,IF(+NFL!$H328="Oakland",+NFL!#REF!,0))</f>
        <v>0</v>
      </c>
      <c r="AP361" s="348">
        <f>IF(+NFL!$F328="Oakland",+NFL!#REF!,IF(+NFL!$H328="Oakland",+NFL!#REF!,0))</f>
        <v>0</v>
      </c>
      <c r="AQ361" s="48">
        <f>IF(+NFL!$F328="Oakland",+NFL!#REF!,IF(+NFL!$H328="Oakland",+NFL!#REF!,0))</f>
        <v>0</v>
      </c>
      <c r="AR361" s="57">
        <f>IF(+NFL!$F328="Oakland",+NFL!#REF!,IF(+NFL!$H328="Oakland",+NFL!#REF!,0))</f>
        <v>0</v>
      </c>
      <c r="AS361" s="64">
        <f>IF(+NFL!$F328="Oakland",+NFL!#REF!,IF(+NFL!$H328="Oakland",+NFL!#REF!,0))</f>
        <v>0</v>
      </c>
      <c r="AT361" s="64">
        <f>IF(+NFL!$F328="Oakland",+NFL!#REF!,IF(+NFL!$H328="Oakland",+NFL!#REF!,0))</f>
        <v>0</v>
      </c>
      <c r="AU361" s="57">
        <f>IF(+NFL!$F328="Oakland",+NFL!#REF!,IF(+NFL!$H328="Oakland",+NFL!#REF!,0))</f>
        <v>0</v>
      </c>
      <c r="AV361" s="64">
        <f>IF(+NFL!$F328="Oakland",+NFL!#REF!,IF(+NFL!$H328="Oakland",+NFL!#REF!,0))</f>
        <v>0</v>
      </c>
      <c r="AW361" s="46">
        <f>IF(+NFL!$F328="Oakland",+NFL!#REF!,IF(+NFL!$H328="Oakland",+NFL!#REF!,0))</f>
        <v>0</v>
      </c>
      <c r="AX361" s="64">
        <f>IF(+NFL!$F328="Oakland",+NFL!#REF!,IF(+NFL!$H328="Oakland",+NFL!#REF!,0))</f>
        <v>0</v>
      </c>
      <c r="AY361" s="57">
        <f>IF(+NFL!$F328="Oakland",+NFL!#REF!,IF(+NFL!$H328="Oakland",+NFL!#REF!,0))</f>
        <v>0</v>
      </c>
      <c r="AZ361" s="64">
        <f>IF(+NFL!$F328="Oakland",+NFL!#REF!,IF(+NFL!$H328="Oakland",+NFL!#REF!,0))</f>
        <v>0</v>
      </c>
      <c r="BA361" s="46">
        <f>IF(+NFL!$F328="Oakland",+NFL!#REF!,IF(+NFL!$H328="Oakland",+NFL!#REF!,0))</f>
        <v>0</v>
      </c>
      <c r="BB361" s="46">
        <f>IF(+NFL!$F328="Oakland",+NFL!#REF!,IF(+NFL!$H328="Oakland",+NFL!#REF!,0))</f>
        <v>0</v>
      </c>
      <c r="BC361" s="403">
        <f>IF(+NFL!$F328="Oakland",+NFL!#REF!,IF(+NFL!$H328="Oakland",+NFL!#REF!,0))</f>
        <v>0</v>
      </c>
      <c r="BD361" s="57">
        <f>IF(+NFL!$F328="Oakland",+NFL!#REF!,IF(+NFL!$H328="Oakland",+NFL!#REF!,0))</f>
        <v>0</v>
      </c>
      <c r="BE361" s="64">
        <f>IF(+NFL!$F328="Oakland",+NFL!#REF!,IF(+NFL!$H328="Oakland",+NFL!#REF!,0))</f>
        <v>0</v>
      </c>
      <c r="BF361" s="46">
        <f>IF(+NFL!$F328="Oakland",+NFL!#REF!,IF(+NFL!$H328="Oakland",+NFL!#REF!,0))</f>
        <v>0</v>
      </c>
      <c r="BG361" s="57">
        <f>IF(+NFL!$F328="Oakland",+NFL!#REF!,IF(+NFL!$H328="Oakland",+NFL!#REF!,0))</f>
        <v>0</v>
      </c>
      <c r="BH361" s="64">
        <f>IF(+NFL!$F328="Oakland",+NFL!#REF!,IF(+NFL!$H328="Oakland",+NFL!#REF!,0))</f>
        <v>0</v>
      </c>
      <c r="BI361" s="46">
        <f>IF(+NFL!$F328="Oakland",+NFL!#REF!,IF(+NFL!$H328="Oakland",+NFL!#REF!,0))</f>
        <v>0</v>
      </c>
      <c r="BJ361" s="87">
        <f>IF(+NFL!$F328="Oakland",+NFL!#REF!,IF(+NFL!$H328="Oakland",+NFL!#REF!,0))</f>
        <v>0</v>
      </c>
      <c r="BK361" s="120">
        <f>IF(+NFL!$F328="Oakland",+NFL!#REF!,IF(+NFL!$H328="Oakland",+NFL!#REF!,0))</f>
        <v>0</v>
      </c>
    </row>
    <row r="362" spans="1:63" s="246" customFormat="1" x14ac:dyDescent="0.8">
      <c r="A362" s="46"/>
      <c r="B362" s="348"/>
      <c r="C362" s="48"/>
      <c r="D362" s="490"/>
      <c r="E362" s="46"/>
      <c r="F362" s="959" t="str">
        <f>H363</f>
        <v>Miami</v>
      </c>
      <c r="G362" s="960"/>
      <c r="H362" s="960"/>
      <c r="I362" s="961"/>
      <c r="J362" s="353"/>
      <c r="K362" s="494"/>
      <c r="L362" s="384"/>
      <c r="M362" s="385"/>
      <c r="N362" s="394"/>
      <c r="O362" s="395"/>
      <c r="P362" s="394"/>
      <c r="Q362" s="396"/>
      <c r="R362" s="397"/>
      <c r="S362" s="396"/>
      <c r="T362" s="398"/>
      <c r="U362" s="396"/>
      <c r="V362" s="397"/>
      <c r="W362" s="396"/>
      <c r="X362" s="398"/>
      <c r="Y362" s="396"/>
      <c r="Z362" s="397"/>
      <c r="AA362" s="396"/>
      <c r="AB362" s="87"/>
      <c r="AC362" s="120"/>
      <c r="AD362" s="353"/>
      <c r="AE362" s="379"/>
      <c r="AF362" s="353"/>
      <c r="AG362" s="379"/>
      <c r="AH362" s="353"/>
      <c r="AI362" s="379"/>
      <c r="AJ362" s="353"/>
      <c r="AK362" s="379"/>
      <c r="AL362" s="68"/>
      <c r="AM362" s="58"/>
      <c r="AN362" s="57"/>
      <c r="AO362" s="59"/>
      <c r="AP362" s="348"/>
      <c r="AQ362" s="348"/>
      <c r="AR362" s="57"/>
      <c r="AS362" s="493"/>
      <c r="AT362" s="493"/>
      <c r="AU362" s="57"/>
      <c r="AV362" s="493"/>
      <c r="AW362" s="46"/>
      <c r="AX362" s="493"/>
      <c r="AY362" s="57"/>
      <c r="AZ362" s="493"/>
      <c r="BA362" s="46"/>
      <c r="BB362" s="46"/>
      <c r="BC362" s="348"/>
      <c r="BD362" s="57"/>
      <c r="BE362" s="493"/>
      <c r="BF362" s="46"/>
      <c r="BG362" s="57"/>
      <c r="BH362" s="493"/>
      <c r="BI362" s="46"/>
      <c r="BJ362" s="87"/>
      <c r="BK362" s="120"/>
    </row>
    <row r="363" spans="1:63" s="246" customFormat="1" x14ac:dyDescent="0.8">
      <c r="A363" s="46">
        <f>IF(+NFL!$F9="Miami",+NFL!A9,IF(+NFL!$H9="Miami",+NFL!A9,0))</f>
        <v>1</v>
      </c>
      <c r="B363" s="348" t="str">
        <f>IF(+NFL!$F9="Miami",+NFL!B9,IF(+NFL!$H9="Miami",+NFL!B9,0))</f>
        <v>Sun</v>
      </c>
      <c r="C363" s="48">
        <f>IF(+NFL!$F9="Miami",+NFL!C9,IF(+NFL!$H9="Miami",+NFL!C9,0))</f>
        <v>44815</v>
      </c>
      <c r="D363" s="490">
        <f>IF(+NFL!$F9="Miami",+NFL!D9,IF(+NFL!$H9="Miami",+NFL!D9,0))</f>
        <v>0.54166666666666663</v>
      </c>
      <c r="E363" s="46" t="str">
        <f>IF(+NFL!$F9="Miami",+NFL!E9,IF(+NFL!$H9="Miami",+NFL!E9,0))</f>
        <v>CBS</v>
      </c>
      <c r="F363" s="127" t="str">
        <f>IF(+NFL!$F9="Miami",+NFL!F9,IF(+NFL!$H9="Miami",+NFL!F9,0))</f>
        <v>New England</v>
      </c>
      <c r="G363" s="46" t="str">
        <f>IF(+NFL!$F9="Miami",+NFL!G9,IF(+NFL!$H9="Miami",+NFL!G9,0))</f>
        <v>AFCE</v>
      </c>
      <c r="H363" s="127" t="str">
        <f>IF(+NFL!$F9="Miami",+NFL!H9,IF(+NFL!$H9="Miami",+NFL!H9,0))</f>
        <v>Miami</v>
      </c>
      <c r="I363" s="46" t="str">
        <f>IF(+NFL!$F9="Miami",+NFL!I9,IF(+NFL!$H9="Miami",+NFL!I9,0))</f>
        <v>AFCE</v>
      </c>
      <c r="J363" s="353" t="str">
        <f>IF(+NFL!$F9="Miami",+NFL!J9,IF(+NFL!$H9="Miami",+NFL!J9,0))</f>
        <v>Miami</v>
      </c>
      <c r="K363" s="494" t="str">
        <f>IF(+NFL!$F9="Miami",+NFL!K9,IF(+NFL!$H9="Miami",+NFL!K9,0))</f>
        <v>New England</v>
      </c>
      <c r="L363" s="384">
        <f>IF(+NFL!$F9="Miami",+NFL!L9,IF(+NFL!$H9="Miami",+NFL!L9,0))</f>
        <v>3.5</v>
      </c>
      <c r="M363" s="385">
        <f>IF(+NFL!$F9="Miami",+NFL!M9,IF(+NFL!$H9="Miami",+NFL!M9,0))</f>
        <v>46.5</v>
      </c>
      <c r="N363" s="394" t="str">
        <f>IF(+NFL!$F9="Miami",+NFL!N9,IF(+NFL!$H9="Miami",+NFL!N9,0))</f>
        <v>Miami</v>
      </c>
      <c r="O363" s="395">
        <f>IF(+NFL!$F9="Miami",+NFL!O9,IF(+NFL!$H9="Miami",+NFL!O9,0))</f>
        <v>20</v>
      </c>
      <c r="P363" s="394" t="str">
        <f>IF(+NFL!$F9="Miami",+NFL!P9,IF(+NFL!$H9="Miami",+NFL!P9,0))</f>
        <v>New England</v>
      </c>
      <c r="Q363" s="396">
        <f>IF(+NFL!$F9="Miami",+NFL!Q9,IF(+NFL!$H9="Miami",+NFL!Q9,0))</f>
        <v>7</v>
      </c>
      <c r="R363" s="397" t="str">
        <f>IF(+NFL!$F9="Miami",+NFL!R9,IF(+NFL!$H9="Miami",+NFL!R9,0))</f>
        <v>Miami</v>
      </c>
      <c r="S363" s="396" t="str">
        <f>IF(+NFL!$F9="Miami",+NFL!S9,IF(+NFL!$H9="Miami",+NFL!S9,0))</f>
        <v>New England</v>
      </c>
      <c r="T363" s="398" t="str">
        <f>IF(+NFL!$F9="Miami",+NFL!T9,IF(+NFL!$H9="Miami",+NFL!T9,0))</f>
        <v>New England</v>
      </c>
      <c r="U363" s="396" t="str">
        <f>IF(+NFL!$F9="Miami",+NFL!U9,IF(+NFL!$H9="Miami",+NFL!U9,0))</f>
        <v>L</v>
      </c>
      <c r="V363" s="397"/>
      <c r="W363" s="396"/>
      <c r="X363" s="398"/>
      <c r="Y363" s="396"/>
      <c r="Z363" s="397"/>
      <c r="AA363" s="396"/>
      <c r="AB363" s="87"/>
      <c r="AC363" s="120"/>
      <c r="AD363" s="353"/>
      <c r="AE363" s="379"/>
      <c r="AF363" s="353"/>
      <c r="AG363" s="379"/>
      <c r="AH363" s="353"/>
      <c r="AI363" s="379"/>
      <c r="AJ363" s="353"/>
      <c r="AK363" s="379"/>
      <c r="AL363" s="68"/>
      <c r="AM363" s="58"/>
      <c r="AN363" s="57"/>
      <c r="AO363" s="59"/>
      <c r="AP363" s="348"/>
      <c r="AQ363" s="48"/>
      <c r="AR363" s="57"/>
      <c r="AS363" s="493"/>
      <c r="AT363" s="493"/>
      <c r="AU363" s="57"/>
      <c r="AV363" s="493"/>
      <c r="AW363" s="46"/>
      <c r="AX363" s="493"/>
      <c r="AY363" s="57"/>
      <c r="AZ363" s="493"/>
      <c r="BA363" s="46"/>
      <c r="BB363" s="46"/>
      <c r="BC363" s="403"/>
      <c r="BD363" s="57"/>
      <c r="BE363" s="493"/>
      <c r="BF363" s="46"/>
      <c r="BG363" s="57"/>
      <c r="BH363" s="493"/>
      <c r="BI363" s="46"/>
      <c r="BJ363" s="87"/>
      <c r="BK363" s="120"/>
    </row>
    <row r="364" spans="1:63" s="246" customFormat="1" x14ac:dyDescent="0.8">
      <c r="A364" s="46">
        <f>IF(+NFL!$F28="Miami",+NFL!A28,IF(+NFL!$H28="Miami",+NFL!A28,0))</f>
        <v>2</v>
      </c>
      <c r="B364" s="348" t="str">
        <f>IF(+NFL!$F28="Miami",+NFL!B28,IF(+NFL!$H28="Miami",+NFL!B28,0))</f>
        <v>Sun</v>
      </c>
      <c r="C364" s="48">
        <f>IF(+NFL!$F28="Miami",+NFL!C28,IF(+NFL!$H28="Miami",+NFL!C28,0))</f>
        <v>44822</v>
      </c>
      <c r="D364" s="490">
        <f>IF(+NFL!$F28="Miami",+NFL!D28,IF(+NFL!$H28="Miami",+NFL!D28,0))</f>
        <v>0.54166666666666663</v>
      </c>
      <c r="E364" s="46" t="str">
        <f>IF(+NFL!$F28="Miami",+NFL!E28,IF(+NFL!$H28="Miami",+NFL!E28,0))</f>
        <v>CBS</v>
      </c>
      <c r="F364" s="127" t="str">
        <f>IF(+NFL!$F28="Miami",+NFL!F28,IF(+NFL!$H28="Miami",+NFL!F28,0))</f>
        <v>Miami</v>
      </c>
      <c r="G364" s="46" t="str">
        <f>IF(+NFL!$F28="Miami",+NFL!G28,IF(+NFL!$H28="Miami",+NFL!G28,0))</f>
        <v>AFCE</v>
      </c>
      <c r="H364" s="127" t="str">
        <f>IF(+NFL!$F28="Miami",+NFL!H28,IF(+NFL!$H28="Miami",+NFL!H28,0))</f>
        <v>Baltimore</v>
      </c>
      <c r="I364" s="46" t="str">
        <f>IF(+NFL!$F28="Miami",+NFL!I28,IF(+NFL!$H28="Miami",+NFL!I28,0))</f>
        <v>AFCN</v>
      </c>
      <c r="J364" s="353" t="str">
        <f>IF(+NFL!$F28="Miami",+NFL!J28,IF(+NFL!$H28="Miami",+NFL!J28,0))</f>
        <v>Baltimore</v>
      </c>
      <c r="K364" s="494" t="str">
        <f>IF(+NFL!$F28="Miami",+NFL!K28,IF(+NFL!$H28="Miami",+NFL!K28,0))</f>
        <v>Miami</v>
      </c>
      <c r="L364" s="384">
        <f>IF(+NFL!$F28="Miami",+NFL!L28,IF(+NFL!$H28="Miami",+NFL!L28,0))</f>
        <v>3.5</v>
      </c>
      <c r="M364" s="385">
        <f>IF(+NFL!$F28="Miami",+NFL!M28,IF(+NFL!$H28="Miami",+NFL!M28,0))</f>
        <v>44.5</v>
      </c>
      <c r="N364" s="394" t="str">
        <f>IF(+NFL!$F28="Miami",+NFL!N28,IF(+NFL!$H28="Miami",+NFL!N28,0))</f>
        <v>Miami</v>
      </c>
      <c r="O364" s="395">
        <f>IF(+NFL!$F28="Miami",+NFL!O28,IF(+NFL!$H28="Miami",+NFL!O28,0))</f>
        <v>42</v>
      </c>
      <c r="P364" s="394" t="str">
        <f>IF(+NFL!$F28="Miami",+NFL!P28,IF(+NFL!$H28="Miami",+NFL!P28,0))</f>
        <v>Baltimore</v>
      </c>
      <c r="Q364" s="396">
        <f>IF(+NFL!$F28="Miami",+NFL!Q28,IF(+NFL!$H28="Miami",+NFL!Q28,0))</f>
        <v>38</v>
      </c>
      <c r="R364" s="397" t="str">
        <f>IF(+NFL!$F28="Miami",+NFL!R28,IF(+NFL!$H28="Miami",+NFL!R28,0))</f>
        <v>Miami</v>
      </c>
      <c r="S364" s="396" t="str">
        <f>IF(+NFL!$F28="Miami",+NFL!S28,IF(+NFL!$H28="Miami",+NFL!S28,0))</f>
        <v>Baltimore</v>
      </c>
      <c r="T364" s="398" t="str">
        <f>IF(+NFL!$F28="Miami",+NFL!T28,IF(+NFL!$H28="Miami",+NFL!T28,0))</f>
        <v>Miami</v>
      </c>
      <c r="U364" s="396" t="str">
        <f>IF(+NFL!$F28="Miami",+NFL!U28,IF(+NFL!$H28="Miami",+NFL!U28,0))</f>
        <v>W</v>
      </c>
      <c r="V364" s="397"/>
      <c r="W364" s="396"/>
      <c r="X364" s="398"/>
      <c r="Y364" s="396"/>
      <c r="Z364" s="397"/>
      <c r="AA364" s="396"/>
      <c r="AB364" s="87"/>
      <c r="AC364" s="120"/>
      <c r="AD364" s="353"/>
      <c r="AE364" s="379"/>
      <c r="AF364" s="353"/>
      <c r="AG364" s="379"/>
      <c r="AH364" s="353"/>
      <c r="AI364" s="379"/>
      <c r="AJ364" s="353"/>
      <c r="AK364" s="379"/>
      <c r="AL364" s="68"/>
      <c r="AM364" s="58"/>
      <c r="AN364" s="57"/>
      <c r="AO364" s="59"/>
      <c r="AP364" s="348"/>
      <c r="AQ364" s="48"/>
      <c r="AR364" s="57"/>
      <c r="AS364" s="64"/>
      <c r="AT364" s="64"/>
      <c r="AU364" s="57"/>
      <c r="AV364" s="64"/>
      <c r="AW364" s="46"/>
      <c r="AX364" s="64"/>
      <c r="AY364" s="57"/>
      <c r="AZ364" s="64"/>
      <c r="BA364" s="46"/>
      <c r="BB364" s="46"/>
      <c r="BC364" s="403"/>
      <c r="BD364" s="57"/>
      <c r="BE364" s="64"/>
      <c r="BF364" s="46"/>
      <c r="BG364" s="57"/>
      <c r="BH364" s="64"/>
      <c r="BI364" s="46"/>
      <c r="BJ364" s="87"/>
      <c r="BK364" s="120"/>
    </row>
    <row r="365" spans="1:63" s="246" customFormat="1" x14ac:dyDescent="0.8">
      <c r="A365" s="46">
        <f>IF(+NFL!$F42="Miami",+NFL!A42,IF(+NFL!$H42="Miami",+NFL!A42,0))</f>
        <v>3</v>
      </c>
      <c r="B365" s="348" t="str">
        <f>IF(+NFL!$F42="Miami",+NFL!B42,IF(+NFL!$H42="Miami",+NFL!B42,0))</f>
        <v>Sun</v>
      </c>
      <c r="C365" s="48">
        <f>IF(+NFL!$F42="Miami",+NFL!C42,IF(+NFL!$H42="Miami",+NFL!C42,0))</f>
        <v>44829</v>
      </c>
      <c r="D365" s="490">
        <f>IF(+NFL!$F42="Miami",+NFL!D42,IF(+NFL!$H42="Miami",+NFL!D42,0))</f>
        <v>0.54166666666666663</v>
      </c>
      <c r="E365" s="46" t="str">
        <f>IF(+NFL!$F42="Miami",+NFL!E42,IF(+NFL!$H42="Miami",+NFL!E42,0))</f>
        <v>CBS</v>
      </c>
      <c r="F365" s="127" t="str">
        <f>IF(+NFL!$F42="Miami",+NFL!F42,IF(+NFL!$H42="Miami",+NFL!F42,0))</f>
        <v>Buffalo</v>
      </c>
      <c r="G365" s="46" t="str">
        <f>IF(+NFL!$F42="Miami",+NFL!G42,IF(+NFL!$H42="Miami",+NFL!G42,0))</f>
        <v>AFCE</v>
      </c>
      <c r="H365" s="127" t="str">
        <f>IF(+NFL!$F42="Miami",+NFL!H42,IF(+NFL!$H42="Miami",+NFL!H42,0))</f>
        <v>Miami</v>
      </c>
      <c r="I365" s="46" t="str">
        <f>IF(+NFL!$F42="Miami",+NFL!I42,IF(+NFL!$H42="Miami",+NFL!I42,0))</f>
        <v>AFCE</v>
      </c>
      <c r="J365" s="353" t="str">
        <f>IF(+NFL!$F42="Miami",+NFL!J42,IF(+NFL!$H42="Miami",+NFL!J42,0))</f>
        <v>Buffalo</v>
      </c>
      <c r="K365" s="494" t="str">
        <f>IF(+NFL!$F42="Miami",+NFL!K42,IF(+NFL!$H42="Miami",+NFL!K42,0))</f>
        <v>Miami</v>
      </c>
      <c r="L365" s="384">
        <f>IF(+NFL!$F42="Miami",+NFL!L42,IF(+NFL!$H42="Miami",+NFL!L42,0))</f>
        <v>5.5</v>
      </c>
      <c r="M365" s="385">
        <f>IF(+NFL!$F42="Miami",+NFL!M42,IF(+NFL!$H42="Miami",+NFL!M42,0))</f>
        <v>53</v>
      </c>
      <c r="N365" s="394" t="str">
        <f>IF(+NFL!$F42="Miami",+NFL!N42,IF(+NFL!$H42="Miami",+NFL!N42,0))</f>
        <v>Miami</v>
      </c>
      <c r="O365" s="395">
        <f>IF(+NFL!$F42="Miami",+NFL!O42,IF(+NFL!$H42="Miami",+NFL!O42,0))</f>
        <v>21</v>
      </c>
      <c r="P365" s="394" t="str">
        <f>IF(+NFL!$F42="Miami",+NFL!P42,IF(+NFL!$H42="Miami",+NFL!P42,0))</f>
        <v>Buffalo</v>
      </c>
      <c r="Q365" s="396">
        <f>IF(+NFL!$F42="Miami",+NFL!Q42,IF(+NFL!$H42="Miami",+NFL!Q42,0))</f>
        <v>19</v>
      </c>
      <c r="R365" s="397" t="str">
        <f>IF(+NFL!$F42="Miami",+NFL!R42,IF(+NFL!$H42="Miami",+NFL!R42,0))</f>
        <v>Miami</v>
      </c>
      <c r="S365" s="396" t="str">
        <f>IF(+NFL!$F42="Miami",+NFL!S42,IF(+NFL!$H42="Miami",+NFL!S42,0))</f>
        <v>Buffalo</v>
      </c>
      <c r="T365" s="398" t="str">
        <f>IF(+NFL!$F42="Miami",+NFL!T42,IF(+NFL!$H42="Miami",+NFL!T42,0))</f>
        <v>Buffalo</v>
      </c>
      <c r="U365" s="396" t="str">
        <f>IF(+NFL!$F42="Miami",+NFL!U42,IF(+NFL!$H42="Miami",+NFL!U42,0))</f>
        <v>L</v>
      </c>
      <c r="V365" s="397"/>
      <c r="W365" s="396"/>
      <c r="X365" s="398"/>
      <c r="Y365" s="396"/>
      <c r="Z365" s="397"/>
      <c r="AA365" s="396"/>
      <c r="AB365" s="87"/>
      <c r="AC365" s="120"/>
      <c r="AD365" s="353"/>
      <c r="AE365" s="379"/>
      <c r="AF365" s="353"/>
      <c r="AG365" s="379"/>
      <c r="AH365" s="353"/>
      <c r="AI365" s="379"/>
      <c r="AJ365" s="353"/>
      <c r="AK365" s="379"/>
      <c r="AL365" s="68"/>
      <c r="AM365" s="58"/>
      <c r="AN365" s="57"/>
      <c r="AO365" s="59"/>
      <c r="AP365" s="348"/>
      <c r="AQ365" s="48"/>
      <c r="AR365" s="57"/>
      <c r="AS365" s="64"/>
      <c r="AT365" s="64"/>
      <c r="AU365" s="57"/>
      <c r="AV365" s="64"/>
      <c r="AW365" s="46"/>
      <c r="AX365" s="64"/>
      <c r="AY365" s="57"/>
      <c r="AZ365" s="64"/>
      <c r="BA365" s="46"/>
      <c r="BB365" s="46"/>
      <c r="BC365" s="403"/>
      <c r="BD365" s="57"/>
      <c r="BE365" s="64"/>
      <c r="BF365" s="46"/>
      <c r="BG365" s="57"/>
      <c r="BH365" s="64"/>
      <c r="BI365" s="46"/>
      <c r="BJ365" s="87"/>
      <c r="BK365" s="120"/>
    </row>
    <row r="366" spans="1:63" s="246" customFormat="1" x14ac:dyDescent="0.8">
      <c r="A366" s="46">
        <f>IF(+NFL!$F55="Miami",+NFL!A55,IF(+NFL!$H55="Miami",+NFL!A55,0))</f>
        <v>4</v>
      </c>
      <c r="B366" s="348" t="str">
        <f>IF(+NFL!$F55="Miami",+NFL!B55,IF(+NFL!$H55="Miami",+NFL!B55,0))</f>
        <v>Thurs</v>
      </c>
      <c r="C366" s="48">
        <f>IF(+NFL!$F55="Miami",+NFL!C55,IF(+NFL!$H55="Miami",+NFL!C55,0))</f>
        <v>44833</v>
      </c>
      <c r="D366" s="490">
        <f>IF(+NFL!$F55="Miami",+NFL!D55,IF(+NFL!$H55="Miami",+NFL!D55,0))</f>
        <v>0.84375</v>
      </c>
      <c r="E366" s="46" t="str">
        <f>IF(+NFL!$F55="Miami",+NFL!E55,IF(+NFL!$H55="Miami",+NFL!E55,0))</f>
        <v>NBC</v>
      </c>
      <c r="F366" s="127" t="str">
        <f>IF(+NFL!$F55="Miami",+NFL!F55,IF(+NFL!$H55="Miami",+NFL!F55,0))</f>
        <v>Miami</v>
      </c>
      <c r="G366" s="46" t="str">
        <f>IF(+NFL!$F55="Miami",+NFL!G55,IF(+NFL!$H55="Miami",+NFL!G55,0))</f>
        <v>AFCE</v>
      </c>
      <c r="H366" s="127" t="str">
        <f>IF(+NFL!$F55="Miami",+NFL!H55,IF(+NFL!$H55="Miami",+NFL!H55,0))</f>
        <v>Cincinnati</v>
      </c>
      <c r="I366" s="46" t="str">
        <f>IF(+NFL!$F55="Miami",+NFL!I55,IF(+NFL!$H55="Miami",+NFL!I55,0))</f>
        <v>AFCN</v>
      </c>
      <c r="J366" s="353" t="str">
        <f>IF(+NFL!$F55="Miami",+NFL!J55,IF(+NFL!$H55="Miami",+NFL!J55,0))</f>
        <v>Cincinnati</v>
      </c>
      <c r="K366" s="494" t="str">
        <f>IF(+NFL!$F55="Miami",+NFL!K55,IF(+NFL!$H55="Miami",+NFL!K55,0))</f>
        <v>Miami</v>
      </c>
      <c r="L366" s="384">
        <f>IF(+NFL!$F55="Miami",+NFL!L55,IF(+NFL!$H55="Miami",+NFL!L55,0))</f>
        <v>4</v>
      </c>
      <c r="M366" s="385">
        <f>IF(+NFL!$F55="Miami",+NFL!M55,IF(+NFL!$H55="Miami",+NFL!M55,0))</f>
        <v>47</v>
      </c>
      <c r="N366" s="394" t="str">
        <f>IF(+NFL!$F55="Miami",+NFL!N55,IF(+NFL!$H55="Miami",+NFL!N55,0))</f>
        <v>Cincinnati</v>
      </c>
      <c r="O366" s="395">
        <f>IF(+NFL!$F55="Miami",+NFL!O55,IF(+NFL!$H55="Miami",+NFL!O55,0))</f>
        <v>27</v>
      </c>
      <c r="P366" s="394" t="str">
        <f>IF(+NFL!$F55="Miami",+NFL!P55,IF(+NFL!$H55="Miami",+NFL!P55,0))</f>
        <v>Miami</v>
      </c>
      <c r="Q366" s="396">
        <f>IF(+NFL!$F55="Miami",+NFL!Q55,IF(+NFL!$H55="Miami",+NFL!Q55,0))</f>
        <v>15</v>
      </c>
      <c r="R366" s="397" t="str">
        <f>IF(+NFL!$F55="Miami",+NFL!R55,IF(+NFL!$H55="Miami",+NFL!R55,0))</f>
        <v>Cincinnati</v>
      </c>
      <c r="S366" s="396" t="str">
        <f>IF(+NFL!$F55="Miami",+NFL!S55,IF(+NFL!$H55="Miami",+NFL!S55,0))</f>
        <v>Miami</v>
      </c>
      <c r="T366" s="398" t="str">
        <f>IF(+NFL!$F55="Miami",+NFL!T55,IF(+NFL!$H55="Miami",+NFL!T55,0))</f>
        <v>Cincinnati</v>
      </c>
      <c r="U366" s="396" t="str">
        <f>IF(+NFL!$F55="Miami",+NFL!U55,IF(+NFL!$H55="Miami",+NFL!U55,0))</f>
        <v>W</v>
      </c>
      <c r="V366" s="397">
        <f>IF(+NFL!$F32="Miami",+NFL!#REF!,IF(+NFL!$H32="Miami",+NFL!#REF!,0))</f>
        <v>0</v>
      </c>
      <c r="W366" s="396">
        <f>IF(+NFL!$F32="Miami",+NFL!#REF!,IF(+NFL!$H32="Miami",+NFL!#REF!,0))</f>
        <v>0</v>
      </c>
      <c r="X366" s="398">
        <f>IF(+NFL!$F32="Miami",+NFL!#REF!,IF(+NFL!$H32="Miami",+NFL!#REF!,0))</f>
        <v>0</v>
      </c>
      <c r="Y366" s="396">
        <f>IF(+NFL!$F32="Miami",+NFL!#REF!,IF(+NFL!$H32="Miami",+NFL!#REF!,0))</f>
        <v>0</v>
      </c>
      <c r="Z366" s="397">
        <f>IF(+NFL!$F32="Miami",+NFL!#REF!,IF(+NFL!$H32="Miami",+NFL!#REF!,0))</f>
        <v>0</v>
      </c>
      <c r="AA366" s="396">
        <f>IF(+NFL!$F32="Miami",+NFL!#REF!,IF(+NFL!$H32="Miami",+NFL!#REF!,0))</f>
        <v>0</v>
      </c>
      <c r="AB366" s="87">
        <f>IF(+NFL!$F32="Miami",+NFL!#REF!,IF(+NFL!$H32="Miami",+NFL!#REF!,0))</f>
        <v>0</v>
      </c>
      <c r="AC366" s="120">
        <f>IF(+NFL!$F32="Miami",+NFL!#REF!,IF(+NFL!$H32="Miami",+NFL!#REF!,0))</f>
        <v>0</v>
      </c>
      <c r="AD366" s="353">
        <f>IF(+NFL!$F32="Miami",+NFL!#REF!,IF(+NFL!$H32="Miami",+NFL!#REF!,0))</f>
        <v>0</v>
      </c>
      <c r="AE366" s="379">
        <f>IF(+NFL!$F32="Miami",+NFL!#REF!,IF(+NFL!$H32="Miami",+NFL!#REF!,0))</f>
        <v>0</v>
      </c>
      <c r="AF366" s="353">
        <f>IF(+NFL!$F32="Miami",+NFL!#REF!,IF(+NFL!$H32="Miami",+NFL!#REF!,0))</f>
        <v>0</v>
      </c>
      <c r="AG366" s="379">
        <f>IF(+NFL!$F32="Miami",+NFL!#REF!,IF(+NFL!$H32="Miami",+NFL!#REF!,0))</f>
        <v>0</v>
      </c>
      <c r="AH366" s="353">
        <f>IF(+NFL!$F32="Miami",+NFL!#REF!,IF(+NFL!$H32="Miami",+NFL!#REF!,0))</f>
        <v>0</v>
      </c>
      <c r="AI366" s="379">
        <f>IF(+NFL!$F32="Miami",+NFL!#REF!,IF(+NFL!$H32="Miami",+NFL!#REF!,0))</f>
        <v>0</v>
      </c>
      <c r="AJ366" s="353">
        <f>IF(+NFL!$F32="Miami",+NFL!#REF!,IF(+NFL!$H32="Miami",+NFL!#REF!,0))</f>
        <v>0</v>
      </c>
      <c r="AK366" s="379">
        <f>IF(+NFL!$F32="Miami",+NFL!#REF!,IF(+NFL!$H32="Miami",+NFL!#REF!,0))</f>
        <v>0</v>
      </c>
      <c r="AL366" s="68">
        <f>IF(+NFL!$F32="Miami",+NFL!#REF!,IF(+NFL!$H32="Miami",+NFL!#REF!,0))</f>
        <v>0</v>
      </c>
      <c r="AM366" s="58">
        <f>IF(+NFL!$F32="Miami",+NFL!#REF!,IF(+NFL!$H32="Miami",+NFL!#REF!,0))</f>
        <v>0</v>
      </c>
      <c r="AN366" s="57">
        <f>IF(+NFL!$F32="Miami",+NFL!#REF!,IF(+NFL!$H32="Miami",+NFL!#REF!,0))</f>
        <v>0</v>
      </c>
      <c r="AO366" s="59">
        <f>IF(+NFL!$F32="Miami",+NFL!#REF!,IF(+NFL!$H32="Miami",+NFL!#REF!,0))</f>
        <v>0</v>
      </c>
      <c r="AP366" s="348">
        <f>IF(+NFL!$F32="Miami",+NFL!#REF!,IF(+NFL!$H32="Miami",+NFL!#REF!,0))</f>
        <v>0</v>
      </c>
      <c r="AQ366" s="48">
        <f>IF(+NFL!$F32="Miami",+NFL!#REF!,IF(+NFL!$H32="Miami",+NFL!#REF!,0))</f>
        <v>0</v>
      </c>
      <c r="AR366" s="57">
        <f>IF(+NFL!$F32="Miami",+NFL!#REF!,IF(+NFL!$H32="Miami",+NFL!#REF!,0))</f>
        <v>0</v>
      </c>
      <c r="AS366" s="64">
        <f>IF(+NFL!$F32="Miami",+NFL!#REF!,IF(+NFL!$H32="Miami",+NFL!#REF!,0))</f>
        <v>0</v>
      </c>
      <c r="AT366" s="64">
        <f>IF(+NFL!$F32="Miami",+NFL!#REF!,IF(+NFL!$H32="Miami",+NFL!#REF!,0))</f>
        <v>0</v>
      </c>
      <c r="AU366" s="57">
        <f>IF(+NFL!$F32="Miami",+NFL!#REF!,IF(+NFL!$H32="Miami",+NFL!#REF!,0))</f>
        <v>0</v>
      </c>
      <c r="AV366" s="64">
        <f>IF(+NFL!$F32="Miami",+NFL!#REF!,IF(+NFL!$H32="Miami",+NFL!#REF!,0))</f>
        <v>0</v>
      </c>
      <c r="AW366" s="46">
        <f>IF(+NFL!$F32="Miami",+NFL!#REF!,IF(+NFL!$H32="Miami",+NFL!#REF!,0))</f>
        <v>0</v>
      </c>
      <c r="AX366" s="64">
        <f>IF(+NFL!$F32="Miami",+NFL!#REF!,IF(+NFL!$H32="Miami",+NFL!#REF!,0))</f>
        <v>0</v>
      </c>
      <c r="AY366" s="57">
        <f>IF(+NFL!$F32="Miami",+NFL!#REF!,IF(+NFL!$H32="Miami",+NFL!#REF!,0))</f>
        <v>0</v>
      </c>
      <c r="AZ366" s="64">
        <f>IF(+NFL!$F32="Miami",+NFL!#REF!,IF(+NFL!$H32="Miami",+NFL!#REF!,0))</f>
        <v>0</v>
      </c>
      <c r="BA366" s="46">
        <f>IF(+NFL!$F32="Miami",+NFL!#REF!,IF(+NFL!$H32="Miami",+NFL!#REF!,0))</f>
        <v>0</v>
      </c>
      <c r="BB366" s="46">
        <f>IF(+NFL!$F32="Miami",+NFL!#REF!,IF(+NFL!$H32="Miami",+NFL!#REF!,0))</f>
        <v>0</v>
      </c>
      <c r="BC366" s="403">
        <f>IF(+NFL!$F32="Miami",+NFL!#REF!,IF(+NFL!$H32="Miami",+NFL!#REF!,0))</f>
        <v>0</v>
      </c>
      <c r="BD366" s="57">
        <f>IF(+NFL!$F32="Miami",+NFL!#REF!,IF(+NFL!$H32="Miami",+NFL!#REF!,0))</f>
        <v>0</v>
      </c>
      <c r="BE366" s="64">
        <f>IF(+NFL!$F32="Miami",+NFL!#REF!,IF(+NFL!$H32="Miami",+NFL!#REF!,0))</f>
        <v>0</v>
      </c>
      <c r="BF366" s="46">
        <f>IF(+NFL!$F32="Miami",+NFL!#REF!,IF(+NFL!$H32="Miami",+NFL!#REF!,0))</f>
        <v>0</v>
      </c>
      <c r="BG366" s="57">
        <f>IF(+NFL!$F32="Miami",+NFL!#REF!,IF(+NFL!$H32="Miami",+NFL!#REF!,0))</f>
        <v>0</v>
      </c>
      <c r="BH366" s="64">
        <f>IF(+NFL!$F32="Miami",+NFL!#REF!,IF(+NFL!$H32="Miami",+NFL!#REF!,0))</f>
        <v>0</v>
      </c>
      <c r="BI366" s="46">
        <f>IF(+NFL!$F32="Miami",+NFL!#REF!,IF(+NFL!$H32="Miami",+NFL!#REF!,0))</f>
        <v>0</v>
      </c>
      <c r="BJ366" s="87">
        <f>IF(+NFL!$F32="Miami",+NFL!#REF!,IF(+NFL!$H32="Miami",+NFL!#REF!,0))</f>
        <v>0</v>
      </c>
      <c r="BK366" s="120">
        <f>IF(+NFL!$F32="Miami",+NFL!#REF!,IF(+NFL!$H32="Miami",+NFL!#REF!,0))</f>
        <v>0</v>
      </c>
    </row>
    <row r="367" spans="1:63" s="246" customFormat="1" x14ac:dyDescent="0.8">
      <c r="A367" s="46">
        <f>IF(+NFL!$F79="Miami",+NFL!A79,IF(+NFL!$H79="Miami",+NFL!A79,0))</f>
        <v>5</v>
      </c>
      <c r="B367" s="348" t="str">
        <f>IF(+NFL!$F79="Miami",+NFL!B79,IF(+NFL!$H79="Miami",+NFL!B79,0))</f>
        <v>Sun</v>
      </c>
      <c r="C367" s="48">
        <f>IF(+NFL!$F79="Miami",+NFL!C79,IF(+NFL!$H79="Miami",+NFL!C79,0))</f>
        <v>44843</v>
      </c>
      <c r="D367" s="490">
        <f>IF(+NFL!$F79="Miami",+NFL!D79,IF(+NFL!$H79="Miami",+NFL!D79,0))</f>
        <v>0.54166666666666663</v>
      </c>
      <c r="E367" s="46" t="str">
        <f>IF(+NFL!$F79="Miami",+NFL!E79,IF(+NFL!$H79="Miami",+NFL!E79,0))</f>
        <v>CBS</v>
      </c>
      <c r="F367" s="127" t="str">
        <f>IF(+NFL!$F79="Miami",+NFL!F79,IF(+NFL!$H79="Miami",+NFL!F79,0))</f>
        <v>Miami</v>
      </c>
      <c r="G367" s="46" t="str">
        <f>IF(+NFL!$F79="Miami",+NFL!G79,IF(+NFL!$H79="Miami",+NFL!G79,0))</f>
        <v>AFCE</v>
      </c>
      <c r="H367" s="127" t="str">
        <f>IF(+NFL!$F79="Miami",+NFL!H79,IF(+NFL!$H79="Miami",+NFL!H79,0))</f>
        <v>NY Jets</v>
      </c>
      <c r="I367" s="46" t="str">
        <f>IF(+NFL!$F79="Miami",+NFL!I79,IF(+NFL!$H79="Miami",+NFL!I79,0))</f>
        <v>AFCE</v>
      </c>
      <c r="J367" s="353" t="str">
        <f>IF(+NFL!$F79="Miami",+NFL!J79,IF(+NFL!$H79="Miami",+NFL!J79,0))</f>
        <v>Miami</v>
      </c>
      <c r="K367" s="494" t="str">
        <f>IF(+NFL!$F79="Miami",+NFL!K79,IF(+NFL!$H79="Miami",+NFL!K79,0))</f>
        <v>NY Jets</v>
      </c>
      <c r="L367" s="384">
        <f>IF(+NFL!$F79="Miami",+NFL!L79,IF(+NFL!$H79="Miami",+NFL!L79,0))</f>
        <v>3</v>
      </c>
      <c r="M367" s="385">
        <f>IF(+NFL!$F79="Miami",+NFL!M79,IF(+NFL!$H79="Miami",+NFL!M79,0))</f>
        <v>44</v>
      </c>
      <c r="N367" s="394" t="str">
        <f>IF(+NFL!$F79="Miami",+NFL!N79,IF(+NFL!$H79="Miami",+NFL!N79,0))</f>
        <v>NY Jets</v>
      </c>
      <c r="O367" s="395">
        <f>IF(+NFL!$F79="Miami",+NFL!O79,IF(+NFL!$H79="Miami",+NFL!O79,0))</f>
        <v>40</v>
      </c>
      <c r="P367" s="394" t="str">
        <f>IF(+NFL!$F79="Miami",+NFL!P79,IF(+NFL!$H79="Miami",+NFL!P79,0))</f>
        <v>Miami</v>
      </c>
      <c r="Q367" s="396">
        <f>IF(+NFL!$F79="Miami",+NFL!Q79,IF(+NFL!$H79="Miami",+NFL!Q79,0))</f>
        <v>17</v>
      </c>
      <c r="R367" s="397" t="str">
        <f>IF(+NFL!$F79="Miami",+NFL!R79,IF(+NFL!$H79="Miami",+NFL!R79,0))</f>
        <v>NY Jets</v>
      </c>
      <c r="S367" s="396" t="str">
        <f>IF(+NFL!$F79="Miami",+NFL!S79,IF(+NFL!$H79="Miami",+NFL!S79,0))</f>
        <v>Miami</v>
      </c>
      <c r="T367" s="398" t="str">
        <f>IF(+NFL!$F79="Miami",+NFL!T79,IF(+NFL!$H79="Miami",+NFL!T79,0))</f>
        <v>Miami</v>
      </c>
      <c r="U367" s="396" t="str">
        <f>IF(+NFL!$F79="Miami",+NFL!U79,IF(+NFL!$H79="Miami",+NFL!U79,0))</f>
        <v>L</v>
      </c>
      <c r="V367" s="397">
        <f>IF(+NFL!$F49="Miami",+NFL!#REF!,IF(+NFL!$H49="Miami",+NFL!#REF!,0))</f>
        <v>0</v>
      </c>
      <c r="W367" s="396">
        <f>IF(+NFL!$F49="Miami",+NFL!#REF!,IF(+NFL!$H49="Miami",+NFL!#REF!,0))</f>
        <v>0</v>
      </c>
      <c r="X367" s="398">
        <f>IF(+NFL!$F49="Miami",+NFL!#REF!,IF(+NFL!$H49="Miami",+NFL!#REF!,0))</f>
        <v>0</v>
      </c>
      <c r="Y367" s="396">
        <f>IF(+NFL!$F49="Miami",+NFL!#REF!,IF(+NFL!$H49="Miami",+NFL!#REF!,0))</f>
        <v>0</v>
      </c>
      <c r="Z367" s="397">
        <f>IF(+NFL!$F49="Miami",+NFL!#REF!,IF(+NFL!$H49="Miami",+NFL!#REF!,0))</f>
        <v>0</v>
      </c>
      <c r="AA367" s="396">
        <f>IF(+NFL!$F49="Miami",+NFL!#REF!,IF(+NFL!$H49="Miami",+NFL!#REF!,0))</f>
        <v>0</v>
      </c>
      <c r="AB367" s="87">
        <f>IF(+NFL!$F49="Miami",+NFL!#REF!,IF(+NFL!$H49="Miami",+NFL!#REF!,0))</f>
        <v>0</v>
      </c>
      <c r="AC367" s="120">
        <f>IF(+NFL!$F49="Miami",+NFL!#REF!,IF(+NFL!$H49="Miami",+NFL!#REF!,0))</f>
        <v>0</v>
      </c>
      <c r="AD367" s="353">
        <f>IF(+NFL!$F49="Miami",+NFL!#REF!,IF(+NFL!$H49="Miami",+NFL!#REF!,0))</f>
        <v>0</v>
      </c>
      <c r="AE367" s="379">
        <f>IF(+NFL!$F49="Miami",+NFL!#REF!,IF(+NFL!$H49="Miami",+NFL!#REF!,0))</f>
        <v>0</v>
      </c>
      <c r="AF367" s="353">
        <f>IF(+NFL!$F49="Miami",+NFL!#REF!,IF(+NFL!$H49="Miami",+NFL!#REF!,0))</f>
        <v>0</v>
      </c>
      <c r="AG367" s="379">
        <f>IF(+NFL!$F49="Miami",+NFL!#REF!,IF(+NFL!$H49="Miami",+NFL!#REF!,0))</f>
        <v>0</v>
      </c>
      <c r="AH367" s="353">
        <f>IF(+NFL!$F49="Miami",+NFL!#REF!,IF(+NFL!$H49="Miami",+NFL!#REF!,0))</f>
        <v>0</v>
      </c>
      <c r="AI367" s="379">
        <f>IF(+NFL!$F49="Miami",+NFL!#REF!,IF(+NFL!$H49="Miami",+NFL!#REF!,0))</f>
        <v>0</v>
      </c>
      <c r="AJ367" s="353">
        <f>IF(+NFL!$F49="Miami",+NFL!#REF!,IF(+NFL!$H49="Miami",+NFL!#REF!,0))</f>
        <v>0</v>
      </c>
      <c r="AK367" s="379">
        <f>IF(+NFL!$F49="Miami",+NFL!#REF!,IF(+NFL!$H49="Miami",+NFL!#REF!,0))</f>
        <v>0</v>
      </c>
      <c r="AL367" s="68">
        <f>IF(+NFL!$F49="Miami",+NFL!#REF!,IF(+NFL!$H49="Miami",+NFL!#REF!,0))</f>
        <v>0</v>
      </c>
      <c r="AM367" s="58">
        <f>IF(+NFL!$F49="Miami",+NFL!#REF!,IF(+NFL!$H49="Miami",+NFL!#REF!,0))</f>
        <v>0</v>
      </c>
      <c r="AN367" s="57">
        <f>IF(+NFL!$F49="Miami",+NFL!#REF!,IF(+NFL!$H49="Miami",+NFL!#REF!,0))</f>
        <v>0</v>
      </c>
      <c r="AO367" s="59">
        <f>IF(+NFL!$F49="Miami",+NFL!#REF!,IF(+NFL!$H49="Miami",+NFL!#REF!,0))</f>
        <v>0</v>
      </c>
      <c r="AP367" s="348">
        <f>IF(+NFL!$F49="Miami",+NFL!#REF!,IF(+NFL!$H49="Miami",+NFL!#REF!,0))</f>
        <v>0</v>
      </c>
      <c r="AQ367" s="48">
        <f>IF(+NFL!$F49="Miami",+NFL!#REF!,IF(+NFL!$H49="Miami",+NFL!#REF!,0))</f>
        <v>0</v>
      </c>
      <c r="AR367" s="57">
        <f>IF(+NFL!$F49="Miami",+NFL!#REF!,IF(+NFL!$H49="Miami",+NFL!#REF!,0))</f>
        <v>0</v>
      </c>
      <c r="AS367" s="64">
        <f>IF(+NFL!$F49="Miami",+NFL!#REF!,IF(+NFL!$H49="Miami",+NFL!#REF!,0))</f>
        <v>0</v>
      </c>
      <c r="AT367" s="64">
        <f>IF(+NFL!$F49="Miami",+NFL!#REF!,IF(+NFL!$H49="Miami",+NFL!#REF!,0))</f>
        <v>0</v>
      </c>
      <c r="AU367" s="57">
        <f>IF(+NFL!$F49="Miami",+NFL!#REF!,IF(+NFL!$H49="Miami",+NFL!#REF!,0))</f>
        <v>0</v>
      </c>
      <c r="AV367" s="64">
        <f>IF(+NFL!$F49="Miami",+NFL!#REF!,IF(+NFL!$H49="Miami",+NFL!#REF!,0))</f>
        <v>0</v>
      </c>
      <c r="AW367" s="46">
        <f>IF(+NFL!$F49="Miami",+NFL!#REF!,IF(+NFL!$H49="Miami",+NFL!#REF!,0))</f>
        <v>0</v>
      </c>
      <c r="AX367" s="64">
        <f>IF(+NFL!$F49="Miami",+NFL!#REF!,IF(+NFL!$H49="Miami",+NFL!#REF!,0))</f>
        <v>0</v>
      </c>
      <c r="AY367" s="57">
        <f>IF(+NFL!$F49="Miami",+NFL!#REF!,IF(+NFL!$H49="Miami",+NFL!#REF!,0))</f>
        <v>0</v>
      </c>
      <c r="AZ367" s="64">
        <f>IF(+NFL!$F49="Miami",+NFL!#REF!,IF(+NFL!$H49="Miami",+NFL!#REF!,0))</f>
        <v>0</v>
      </c>
      <c r="BA367" s="46">
        <f>IF(+NFL!$F49="Miami",+NFL!#REF!,IF(+NFL!$H49="Miami",+NFL!#REF!,0))</f>
        <v>0</v>
      </c>
      <c r="BB367" s="46">
        <f>IF(+NFL!$F49="Miami",+NFL!#REF!,IF(+NFL!$H49="Miami",+NFL!#REF!,0))</f>
        <v>0</v>
      </c>
      <c r="BC367" s="403">
        <f>IF(+NFL!$F49="Miami",+NFL!#REF!,IF(+NFL!$H49="Miami",+NFL!#REF!,0))</f>
        <v>0</v>
      </c>
      <c r="BD367" s="57">
        <f>IF(+NFL!$F49="Miami",+NFL!#REF!,IF(+NFL!$H49="Miami",+NFL!#REF!,0))</f>
        <v>0</v>
      </c>
      <c r="BE367" s="64">
        <f>IF(+NFL!$F49="Miami",+NFL!#REF!,IF(+NFL!$H49="Miami",+NFL!#REF!,0))</f>
        <v>0</v>
      </c>
      <c r="BF367" s="46">
        <f>IF(+NFL!$F49="Miami",+NFL!#REF!,IF(+NFL!$H49="Miami",+NFL!#REF!,0))</f>
        <v>0</v>
      </c>
      <c r="BG367" s="57">
        <f>IF(+NFL!$F49="Miami",+NFL!#REF!,IF(+NFL!$H49="Miami",+NFL!#REF!,0))</f>
        <v>0</v>
      </c>
      <c r="BH367" s="64">
        <f>IF(+NFL!$F49="Miami",+NFL!#REF!,IF(+NFL!$H49="Miami",+NFL!#REF!,0))</f>
        <v>0</v>
      </c>
      <c r="BI367" s="46">
        <f>IF(+NFL!$F49="Miami",+NFL!#REF!,IF(+NFL!$H49="Miami",+NFL!#REF!,0))</f>
        <v>0</v>
      </c>
      <c r="BJ367" s="87">
        <f>IF(+NFL!$F49="Miami",+NFL!#REF!,IF(+NFL!$H49="Miami",+NFL!#REF!,0))</f>
        <v>0</v>
      </c>
      <c r="BK367" s="120">
        <f>IF(+NFL!$F49="Miami",+NFL!#REF!,IF(+NFL!$H49="Miami",+NFL!#REF!,0))</f>
        <v>0</v>
      </c>
    </row>
    <row r="368" spans="1:63" s="246" customFormat="1" x14ac:dyDescent="0.8">
      <c r="A368" s="46">
        <f>IF(+NFL!$F94="Miami",+NFL!A94,IF(+NFL!$H94="Miami",+NFL!A94,0))</f>
        <v>6</v>
      </c>
      <c r="B368" s="348" t="str">
        <f>IF(+NFL!$F94="Miami",+NFL!B94,IF(+NFL!$H94="Miami",+NFL!B94,0))</f>
        <v>Sun</v>
      </c>
      <c r="C368" s="48">
        <f>IF(+NFL!$F94="Miami",+NFL!C94,IF(+NFL!$H94="Miami",+NFL!C94,0))</f>
        <v>44850</v>
      </c>
      <c r="D368" s="490">
        <f>IF(+NFL!$F94="Miami",+NFL!D94,IF(+NFL!$H94="Miami",+NFL!D94,0))</f>
        <v>0.54166666666666663</v>
      </c>
      <c r="E368" s="46" t="str">
        <f>IF(+NFL!$F94="Miami",+NFL!E94,IF(+NFL!$H94="Miami",+NFL!E94,0))</f>
        <v>Fox</v>
      </c>
      <c r="F368" s="127" t="str">
        <f>IF(+NFL!$F94="Miami",+NFL!F94,IF(+NFL!$H94="Miami",+NFL!F94,0))</f>
        <v>Minnesota</v>
      </c>
      <c r="G368" s="46" t="str">
        <f>IF(+NFL!$F94="Miami",+NFL!G94,IF(+NFL!$H94="Miami",+NFL!G94,0))</f>
        <v>NFCN</v>
      </c>
      <c r="H368" s="127" t="str">
        <f>IF(+NFL!$F94="Miami",+NFL!H94,IF(+NFL!$H94="Miami",+NFL!H94,0))</f>
        <v>Miami</v>
      </c>
      <c r="I368" s="46" t="str">
        <f>IF(+NFL!$F94="Miami",+NFL!I94,IF(+NFL!$H94="Miami",+NFL!I94,0))</f>
        <v>AFCE</v>
      </c>
      <c r="J368" s="353" t="str">
        <f>IF(+NFL!$F94="Miami",+NFL!J94,IF(+NFL!$H94="Miami",+NFL!J94,0))</f>
        <v>Minnesota</v>
      </c>
      <c r="K368" s="494" t="str">
        <f>IF(+NFL!$F94="Miami",+NFL!K94,IF(+NFL!$H94="Miami",+NFL!K94,0))</f>
        <v>Miami</v>
      </c>
      <c r="L368" s="384">
        <f>IF(+NFL!$F94="Miami",+NFL!L94,IF(+NFL!$H94="Miami",+NFL!L94,0))</f>
        <v>3</v>
      </c>
      <c r="M368" s="385">
        <f>IF(+NFL!$F94="Miami",+NFL!M94,IF(+NFL!$H94="Miami",+NFL!M94,0))</f>
        <v>45.5</v>
      </c>
      <c r="N368" s="394" t="str">
        <f>IF(+NFL!$F94="Miami",+NFL!N94,IF(+NFL!$H94="Miami",+NFL!N94,0))</f>
        <v>Minnesota</v>
      </c>
      <c r="O368" s="395">
        <f>IF(+NFL!$F94="Miami",+NFL!O94,IF(+NFL!$H94="Miami",+NFL!O94,0))</f>
        <v>24</v>
      </c>
      <c r="P368" s="394" t="str">
        <f>IF(+NFL!$F94="Miami",+NFL!P94,IF(+NFL!$H94="Miami",+NFL!P94,0))</f>
        <v>Miami</v>
      </c>
      <c r="Q368" s="396">
        <f>IF(+NFL!$F94="Miami",+NFL!Q94,IF(+NFL!$H94="Miami",+NFL!Q94,0))</f>
        <v>16</v>
      </c>
      <c r="R368" s="397" t="str">
        <f>IF(+NFL!$F94="Miami",+NFL!R94,IF(+NFL!$H94="Miami",+NFL!R94,0))</f>
        <v>Minnesota</v>
      </c>
      <c r="S368" s="396" t="str">
        <f>IF(+NFL!$F94="Miami",+NFL!S94,IF(+NFL!$H94="Miami",+NFL!S94,0))</f>
        <v>Miami</v>
      </c>
      <c r="T368" s="398" t="str">
        <f>IF(+NFL!$F94="Miami",+NFL!T94,IF(+NFL!$H94="Miami",+NFL!T94,0))</f>
        <v>Miami</v>
      </c>
      <c r="U368" s="396" t="str">
        <f>IF(+NFL!$F94="Miami",+NFL!U94,IF(+NFL!$H94="Miami",+NFL!U94,0))</f>
        <v>L</v>
      </c>
      <c r="V368" s="397">
        <f>IF(+NFL!$F74="Miami",+NFL!#REF!,IF(+NFL!$H74="Miami",+NFL!#REF!,0))</f>
        <v>0</v>
      </c>
      <c r="W368" s="396">
        <f>IF(+NFL!$F74="Miami",+NFL!#REF!,IF(+NFL!$H74="Miami",+NFL!#REF!,0))</f>
        <v>0</v>
      </c>
      <c r="X368" s="398">
        <f>IF(+NFL!$F74="Miami",+NFL!#REF!,IF(+NFL!$H74="Miami",+NFL!#REF!,0))</f>
        <v>0</v>
      </c>
      <c r="Y368" s="396">
        <f>IF(+NFL!$F74="Miami",+NFL!#REF!,IF(+NFL!$H74="Miami",+NFL!#REF!,0))</f>
        <v>0</v>
      </c>
      <c r="Z368" s="397">
        <f>IF(+NFL!$F74="Miami",+NFL!#REF!,IF(+NFL!$H74="Miami",+NFL!#REF!,0))</f>
        <v>0</v>
      </c>
      <c r="AA368" s="396">
        <f>IF(+NFL!$F74="Miami",+NFL!#REF!,IF(+NFL!$H74="Miami",+NFL!#REF!,0))</f>
        <v>0</v>
      </c>
      <c r="AB368" s="87">
        <f>IF(+NFL!$F74="Miami",+NFL!#REF!,IF(+NFL!$H74="Miami",+NFL!#REF!,0))</f>
        <v>0</v>
      </c>
      <c r="AC368" s="120">
        <f>IF(+NFL!$F74="Miami",+NFL!#REF!,IF(+NFL!$H74="Miami",+NFL!#REF!,0))</f>
        <v>0</v>
      </c>
      <c r="AD368" s="353">
        <f>IF(+NFL!$F74="Miami",+NFL!#REF!,IF(+NFL!$H74="Miami",+NFL!#REF!,0))</f>
        <v>0</v>
      </c>
      <c r="AE368" s="379">
        <f>IF(+NFL!$F74="Miami",+NFL!#REF!,IF(+NFL!$H74="Miami",+NFL!#REF!,0))</f>
        <v>0</v>
      </c>
      <c r="AF368" s="353">
        <f>IF(+NFL!$F74="Miami",+NFL!#REF!,IF(+NFL!$H74="Miami",+NFL!#REF!,0))</f>
        <v>0</v>
      </c>
      <c r="AG368" s="379">
        <f>IF(+NFL!$F74="Miami",+NFL!#REF!,IF(+NFL!$H74="Miami",+NFL!#REF!,0))</f>
        <v>0</v>
      </c>
      <c r="AH368" s="353">
        <f>IF(+NFL!$F74="Miami",+NFL!#REF!,IF(+NFL!$H74="Miami",+NFL!#REF!,0))</f>
        <v>0</v>
      </c>
      <c r="AI368" s="379">
        <f>IF(+NFL!$F74="Miami",+NFL!#REF!,IF(+NFL!$H74="Miami",+NFL!#REF!,0))</f>
        <v>0</v>
      </c>
      <c r="AJ368" s="353">
        <f>IF(+NFL!$F74="Miami",+NFL!#REF!,IF(+NFL!$H74="Miami",+NFL!#REF!,0))</f>
        <v>0</v>
      </c>
      <c r="AK368" s="379">
        <f>IF(+NFL!$F74="Miami",+NFL!#REF!,IF(+NFL!$H74="Miami",+NFL!#REF!,0))</f>
        <v>0</v>
      </c>
      <c r="AL368" s="68">
        <f>IF(+NFL!$F74="Miami",+NFL!#REF!,IF(+NFL!$H74="Miami",+NFL!#REF!,0))</f>
        <v>0</v>
      </c>
      <c r="AM368" s="58">
        <f>IF(+NFL!$F74="Miami",+NFL!#REF!,IF(+NFL!$H74="Miami",+NFL!#REF!,0))</f>
        <v>0</v>
      </c>
      <c r="AN368" s="57">
        <f>IF(+NFL!$F74="Miami",+NFL!#REF!,IF(+NFL!$H74="Miami",+NFL!#REF!,0))</f>
        <v>0</v>
      </c>
      <c r="AO368" s="59">
        <f>IF(+NFL!$F74="Miami",+NFL!#REF!,IF(+NFL!$H74="Miami",+NFL!#REF!,0))</f>
        <v>0</v>
      </c>
      <c r="AP368" s="348">
        <f>IF(+NFL!$F74="Miami",+NFL!#REF!,IF(+NFL!$H74="Miami",+NFL!#REF!,0))</f>
        <v>0</v>
      </c>
      <c r="AQ368" s="48">
        <f>IF(+NFL!$F74="Miami",+NFL!#REF!,IF(+NFL!$H74="Miami",+NFL!#REF!,0))</f>
        <v>0</v>
      </c>
      <c r="AR368" s="57">
        <f>IF(+NFL!$F74="Miami",+NFL!#REF!,IF(+NFL!$H74="Miami",+NFL!#REF!,0))</f>
        <v>0</v>
      </c>
      <c r="AS368" s="64">
        <f>IF(+NFL!$F74="Miami",+NFL!#REF!,IF(+NFL!$H74="Miami",+NFL!#REF!,0))</f>
        <v>0</v>
      </c>
      <c r="AT368" s="64">
        <f>IF(+NFL!$F74="Miami",+NFL!#REF!,IF(+NFL!$H74="Miami",+NFL!#REF!,0))</f>
        <v>0</v>
      </c>
      <c r="AU368" s="57">
        <f>IF(+NFL!$F74="Miami",+NFL!#REF!,IF(+NFL!$H74="Miami",+NFL!#REF!,0))</f>
        <v>0</v>
      </c>
      <c r="AV368" s="64">
        <f>IF(+NFL!$F74="Miami",+NFL!#REF!,IF(+NFL!$H74="Miami",+NFL!#REF!,0))</f>
        <v>0</v>
      </c>
      <c r="AW368" s="46">
        <f>IF(+NFL!$F74="Miami",+NFL!#REF!,IF(+NFL!$H74="Miami",+NFL!#REF!,0))</f>
        <v>0</v>
      </c>
      <c r="AX368" s="64">
        <f>IF(+NFL!$F74="Miami",+NFL!#REF!,IF(+NFL!$H74="Miami",+NFL!#REF!,0))</f>
        <v>0</v>
      </c>
      <c r="AY368" s="57">
        <f>IF(+NFL!$F74="Miami",+NFL!#REF!,IF(+NFL!$H74="Miami",+NFL!#REF!,0))</f>
        <v>0</v>
      </c>
      <c r="AZ368" s="64">
        <f>IF(+NFL!$F74="Miami",+NFL!#REF!,IF(+NFL!$H74="Miami",+NFL!#REF!,0))</f>
        <v>0</v>
      </c>
      <c r="BA368" s="46">
        <f>IF(+NFL!$F74="Miami",+NFL!#REF!,IF(+NFL!$H74="Miami",+NFL!#REF!,0))</f>
        <v>0</v>
      </c>
      <c r="BB368" s="46">
        <f>IF(+NFL!$F74="Miami",+NFL!#REF!,IF(+NFL!$H74="Miami",+NFL!#REF!,0))</f>
        <v>0</v>
      </c>
      <c r="BC368" s="403">
        <f>IF(+NFL!$F74="Miami",+NFL!#REF!,IF(+NFL!$H74="Miami",+NFL!#REF!,0))</f>
        <v>0</v>
      </c>
      <c r="BD368" s="57">
        <f>IF(+NFL!$F74="Miami",+NFL!#REF!,IF(+NFL!$H74="Miami",+NFL!#REF!,0))</f>
        <v>0</v>
      </c>
      <c r="BE368" s="64">
        <f>IF(+NFL!$F74="Miami",+NFL!#REF!,IF(+NFL!$H74="Miami",+NFL!#REF!,0))</f>
        <v>0</v>
      </c>
      <c r="BF368" s="46">
        <f>IF(+NFL!$F74="Miami",+NFL!#REF!,IF(+NFL!$H74="Miami",+NFL!#REF!,0))</f>
        <v>0</v>
      </c>
      <c r="BG368" s="57">
        <f>IF(+NFL!$F74="Miami",+NFL!#REF!,IF(+NFL!$H74="Miami",+NFL!#REF!,0))</f>
        <v>0</v>
      </c>
      <c r="BH368" s="64">
        <f>IF(+NFL!$F74="Miami",+NFL!#REF!,IF(+NFL!$H74="Miami",+NFL!#REF!,0))</f>
        <v>0</v>
      </c>
      <c r="BI368" s="46">
        <f>IF(+NFL!$F74="Miami",+NFL!#REF!,IF(+NFL!$H74="Miami",+NFL!#REF!,0))</f>
        <v>0</v>
      </c>
      <c r="BJ368" s="87">
        <f>IF(+NFL!$F74="Miami",+NFL!#REF!,IF(+NFL!$H74="Miami",+NFL!#REF!,0))</f>
        <v>0</v>
      </c>
      <c r="BK368" s="120">
        <f>IF(+NFL!$F74="Miami",+NFL!#REF!,IF(+NFL!$H74="Miami",+NFL!#REF!,0))</f>
        <v>0</v>
      </c>
    </row>
    <row r="369" spans="1:63" s="246" customFormat="1" x14ac:dyDescent="0.8">
      <c r="A369" s="46">
        <f>IF(+NFL!$F121="Miami",+NFL!A121,IF(+NFL!$H121="Miami",+NFL!A121,0))</f>
        <v>7</v>
      </c>
      <c r="B369" s="348" t="str">
        <f>IF(+NFL!$F121="Miami",+NFL!B121,IF(+NFL!$H121="Miami",+NFL!B121,0))</f>
        <v>Sun</v>
      </c>
      <c r="C369" s="48">
        <f>IF(+NFL!$F121="Miami",+NFL!C121,IF(+NFL!$H121="Miami",+NFL!C121,0))</f>
        <v>44857</v>
      </c>
      <c r="D369" s="490">
        <f>IF(+NFL!$F121="Miami",+NFL!D121,IF(+NFL!$H121="Miami",+NFL!D121,0))</f>
        <v>0.84375</v>
      </c>
      <c r="E369" s="46" t="str">
        <f>IF(+NFL!$F121="Miami",+NFL!E121,IF(+NFL!$H121="Miami",+NFL!E121,0))</f>
        <v>NBC</v>
      </c>
      <c r="F369" s="127" t="str">
        <f>IF(+NFL!$F121="Miami",+NFL!F121,IF(+NFL!$H121="Miami",+NFL!F121,0))</f>
        <v>Pittsburgh</v>
      </c>
      <c r="G369" s="46" t="str">
        <f>IF(+NFL!$F121="Miami",+NFL!G121,IF(+NFL!$H121="Miami",+NFL!G121,0))</f>
        <v>AFCN</v>
      </c>
      <c r="H369" s="127" t="str">
        <f>IF(+NFL!$F121="Miami",+NFL!H121,IF(+NFL!$H121="Miami",+NFL!H121,0))</f>
        <v>Miami</v>
      </c>
      <c r="I369" s="46" t="str">
        <f>IF(+NFL!$F121="Miami",+NFL!I121,IF(+NFL!$H121="Miami",+NFL!I121,0))</f>
        <v>AFCE</v>
      </c>
      <c r="J369" s="353" t="str">
        <f>IF(+NFL!$F121="Miami",+NFL!J121,IF(+NFL!$H121="Miami",+NFL!J121,0))</f>
        <v>Miami</v>
      </c>
      <c r="K369" s="494" t="str">
        <f>IF(+NFL!$F121="Miami",+NFL!K121,IF(+NFL!$H121="Miami",+NFL!K121,0))</f>
        <v>Pittsburgh</v>
      </c>
      <c r="L369" s="384">
        <f>IF(+NFL!$F121="Miami",+NFL!L121,IF(+NFL!$H121="Miami",+NFL!L121,0))</f>
        <v>7</v>
      </c>
      <c r="M369" s="385">
        <f>IF(+NFL!$F121="Miami",+NFL!M121,IF(+NFL!$H121="Miami",+NFL!M121,0))</f>
        <v>5</v>
      </c>
      <c r="N369" s="394" t="str">
        <f>IF(+NFL!$F121="Miami",+NFL!N121,IF(+NFL!$H121="Miami",+NFL!N121,0))</f>
        <v>Miami</v>
      </c>
      <c r="O369" s="395">
        <f>IF(+NFL!$F121="Miami",+NFL!O121,IF(+NFL!$H121="Miami",+NFL!O121,0))</f>
        <v>16</v>
      </c>
      <c r="P369" s="394" t="str">
        <f>IF(+NFL!$F121="Miami",+NFL!P121,IF(+NFL!$H121="Miami",+NFL!P121,0))</f>
        <v>Pittsburgh</v>
      </c>
      <c r="Q369" s="396">
        <f>IF(+NFL!$F121="Miami",+NFL!Q121,IF(+NFL!$H121="Miami",+NFL!Q121,0))</f>
        <v>10</v>
      </c>
      <c r="R369" s="397" t="str">
        <f>IF(+NFL!$F121="Miami",+NFL!R121,IF(+NFL!$H121="Miami",+NFL!R121,0))</f>
        <v>Pittsburgh</v>
      </c>
      <c r="S369" s="396" t="str">
        <f>IF(+NFL!$F121="Miami",+NFL!S121,IF(+NFL!$H121="Miami",+NFL!S121,0))</f>
        <v>Miami</v>
      </c>
      <c r="T369" s="398" t="str">
        <f>IF(+NFL!$F121="Miami",+NFL!T121,IF(+NFL!$H121="Miami",+NFL!T121,0))</f>
        <v>Pittsburgh</v>
      </c>
      <c r="U369" s="396" t="str">
        <f>IF(+NFL!$F121="Miami",+NFL!U121,IF(+NFL!$H121="Miami",+NFL!U121,0))</f>
        <v>W</v>
      </c>
      <c r="V369" s="397">
        <f>IF(+NFL!$F104="Miami",+NFL!#REF!,IF(+NFL!$H104="Miami",+NFL!#REF!,0))</f>
        <v>0</v>
      </c>
      <c r="W369" s="396">
        <f>IF(+NFL!$F104="Miami",+NFL!#REF!,IF(+NFL!$H104="Miami",+NFL!#REF!,0))</f>
        <v>0</v>
      </c>
      <c r="X369" s="398">
        <f>IF(+NFL!$F104="Miami",+NFL!#REF!,IF(+NFL!$H104="Miami",+NFL!#REF!,0))</f>
        <v>0</v>
      </c>
      <c r="Y369" s="396">
        <f>IF(+NFL!$F104="Miami",+NFL!#REF!,IF(+NFL!$H104="Miami",+NFL!#REF!,0))</f>
        <v>0</v>
      </c>
      <c r="Z369" s="397">
        <f>IF(+NFL!$F104="Miami",+NFL!#REF!,IF(+NFL!$H104="Miami",+NFL!#REF!,0))</f>
        <v>0</v>
      </c>
      <c r="AA369" s="396">
        <f>IF(+NFL!$F104="Miami",+NFL!#REF!,IF(+NFL!$H104="Miami",+NFL!#REF!,0))</f>
        <v>0</v>
      </c>
      <c r="AB369" s="87">
        <f>IF(+NFL!$F104="Miami",+NFL!#REF!,IF(+NFL!$H104="Miami",+NFL!#REF!,0))</f>
        <v>0</v>
      </c>
      <c r="AC369" s="120">
        <f>IF(+NFL!$F104="Miami",+NFL!#REF!,IF(+NFL!$H104="Miami",+NFL!#REF!,0))</f>
        <v>0</v>
      </c>
      <c r="AD369" s="353">
        <f>IF(+NFL!$F104="Miami",+NFL!#REF!,IF(+NFL!$H104="Miami",+NFL!#REF!,0))</f>
        <v>0</v>
      </c>
      <c r="AE369" s="379">
        <f>IF(+NFL!$F104="Miami",+NFL!#REF!,IF(+NFL!$H104="Miami",+NFL!#REF!,0))</f>
        <v>0</v>
      </c>
      <c r="AF369" s="353">
        <f>IF(+NFL!$F104="Miami",+NFL!#REF!,IF(+NFL!$H104="Miami",+NFL!#REF!,0))</f>
        <v>0</v>
      </c>
      <c r="AG369" s="379">
        <f>IF(+NFL!$F104="Miami",+NFL!#REF!,IF(+NFL!$H104="Miami",+NFL!#REF!,0))</f>
        <v>0</v>
      </c>
      <c r="AH369" s="353">
        <f>IF(+NFL!$F104="Miami",+NFL!#REF!,IF(+NFL!$H104="Miami",+NFL!#REF!,0))</f>
        <v>0</v>
      </c>
      <c r="AI369" s="379">
        <f>IF(+NFL!$F104="Miami",+NFL!#REF!,IF(+NFL!$H104="Miami",+NFL!#REF!,0))</f>
        <v>0</v>
      </c>
      <c r="AJ369" s="353">
        <f>IF(+NFL!$F104="Miami",+NFL!#REF!,IF(+NFL!$H104="Miami",+NFL!#REF!,0))</f>
        <v>0</v>
      </c>
      <c r="AK369" s="379">
        <f>IF(+NFL!$F104="Miami",+NFL!#REF!,IF(+NFL!$H104="Miami",+NFL!#REF!,0))</f>
        <v>0</v>
      </c>
      <c r="AL369" s="68">
        <f>IF(+NFL!$F104="Miami",+NFL!#REF!,IF(+NFL!$H104="Miami",+NFL!#REF!,0))</f>
        <v>0</v>
      </c>
      <c r="AM369" s="58">
        <f>IF(+NFL!$F104="Miami",+NFL!#REF!,IF(+NFL!$H104="Miami",+NFL!#REF!,0))</f>
        <v>0</v>
      </c>
      <c r="AN369" s="57">
        <f>IF(+NFL!$F104="Miami",+NFL!#REF!,IF(+NFL!$H104="Miami",+NFL!#REF!,0))</f>
        <v>0</v>
      </c>
      <c r="AO369" s="59">
        <f>IF(+NFL!$F104="Miami",+NFL!#REF!,IF(+NFL!$H104="Miami",+NFL!#REF!,0))</f>
        <v>0</v>
      </c>
      <c r="AP369" s="348">
        <f>IF(+NFL!$F104="Miami",+NFL!#REF!,IF(+NFL!$H104="Miami",+NFL!#REF!,0))</f>
        <v>0</v>
      </c>
      <c r="AQ369" s="48">
        <f>IF(+NFL!$F104="Miami",+NFL!#REF!,IF(+NFL!$H104="Miami",+NFL!#REF!,0))</f>
        <v>0</v>
      </c>
      <c r="AR369" s="57">
        <f>IF(+NFL!$F104="Miami",+NFL!#REF!,IF(+NFL!$H104="Miami",+NFL!#REF!,0))</f>
        <v>0</v>
      </c>
      <c r="AS369" s="64">
        <f>IF(+NFL!$F104="Miami",+NFL!#REF!,IF(+NFL!$H104="Miami",+NFL!#REF!,0))</f>
        <v>0</v>
      </c>
      <c r="AT369" s="64">
        <f>IF(+NFL!$F104="Miami",+NFL!#REF!,IF(+NFL!$H104="Miami",+NFL!#REF!,0))</f>
        <v>0</v>
      </c>
      <c r="AU369" s="57">
        <f>IF(+NFL!$F104="Miami",+NFL!#REF!,IF(+NFL!$H104="Miami",+NFL!#REF!,0))</f>
        <v>0</v>
      </c>
      <c r="AV369" s="64">
        <f>IF(+NFL!$F104="Miami",+NFL!#REF!,IF(+NFL!$H104="Miami",+NFL!#REF!,0))</f>
        <v>0</v>
      </c>
      <c r="AW369" s="46">
        <f>IF(+NFL!$F104="Miami",+NFL!#REF!,IF(+NFL!$H104="Miami",+NFL!#REF!,0))</f>
        <v>0</v>
      </c>
      <c r="AX369" s="64">
        <f>IF(+NFL!$F104="Miami",+NFL!#REF!,IF(+NFL!$H104="Miami",+NFL!#REF!,0))</f>
        <v>0</v>
      </c>
      <c r="AY369" s="57">
        <f>IF(+NFL!$F104="Miami",+NFL!#REF!,IF(+NFL!$H104="Miami",+NFL!#REF!,0))</f>
        <v>0</v>
      </c>
      <c r="AZ369" s="64">
        <f>IF(+NFL!$F104="Miami",+NFL!#REF!,IF(+NFL!$H104="Miami",+NFL!#REF!,0))</f>
        <v>0</v>
      </c>
      <c r="BA369" s="46">
        <f>IF(+NFL!$F104="Miami",+NFL!#REF!,IF(+NFL!$H104="Miami",+NFL!#REF!,0))</f>
        <v>0</v>
      </c>
      <c r="BB369" s="46">
        <f>IF(+NFL!$F104="Miami",+NFL!#REF!,IF(+NFL!$H104="Miami",+NFL!#REF!,0))</f>
        <v>0</v>
      </c>
      <c r="BC369" s="403">
        <f>IF(+NFL!$F104="Miami",+NFL!#REF!,IF(+NFL!$H104="Miami",+NFL!#REF!,0))</f>
        <v>0</v>
      </c>
      <c r="BD369" s="57">
        <f>IF(+NFL!$F104="Miami",+NFL!#REF!,IF(+NFL!$H104="Miami",+NFL!#REF!,0))</f>
        <v>0</v>
      </c>
      <c r="BE369" s="64">
        <f>IF(+NFL!$F104="Miami",+NFL!#REF!,IF(+NFL!$H104="Miami",+NFL!#REF!,0))</f>
        <v>0</v>
      </c>
      <c r="BF369" s="46">
        <f>IF(+NFL!$F104="Miami",+NFL!#REF!,IF(+NFL!$H104="Miami",+NFL!#REF!,0))</f>
        <v>0</v>
      </c>
      <c r="BG369" s="57">
        <f>IF(+NFL!$F104="Miami",+NFL!#REF!,IF(+NFL!$H104="Miami",+NFL!#REF!,0))</f>
        <v>0</v>
      </c>
      <c r="BH369" s="64">
        <f>IF(+NFL!$F104="Miami",+NFL!#REF!,IF(+NFL!$H104="Miami",+NFL!#REF!,0))</f>
        <v>0</v>
      </c>
      <c r="BI369" s="46">
        <f>IF(+NFL!$F104="Miami",+NFL!#REF!,IF(+NFL!$H104="Miami",+NFL!#REF!,0))</f>
        <v>0</v>
      </c>
      <c r="BJ369" s="87">
        <f>IF(+NFL!$F104="Miami",+NFL!#REF!,IF(+NFL!$H104="Miami",+NFL!#REF!,0))</f>
        <v>0</v>
      </c>
      <c r="BK369" s="120">
        <f>IF(+NFL!$F104="Miami",+NFL!#REF!,IF(+NFL!$H104="Miami",+NFL!#REF!,0))</f>
        <v>0</v>
      </c>
    </row>
    <row r="370" spans="1:63" s="246" customFormat="1" x14ac:dyDescent="0.8">
      <c r="A370" s="46">
        <f>IF(+NFL!$F133="Miami",+NFL!A133,IF(+NFL!$H133="Miami",+NFL!A133,0))</f>
        <v>8</v>
      </c>
      <c r="B370" s="348" t="str">
        <f>IF(+NFL!$F133="Miami",+NFL!B133,IF(+NFL!$H133="Miami",+NFL!B133,0))</f>
        <v>Sun</v>
      </c>
      <c r="C370" s="48">
        <f>IF(+NFL!$F133="Miami",+NFL!C133,IF(+NFL!$H133="Miami",+NFL!C133,0))</f>
        <v>44864</v>
      </c>
      <c r="D370" s="490">
        <f>IF(+NFL!$F133="Miami",+NFL!D133,IF(+NFL!$H133="Miami",+NFL!D133,0))</f>
        <v>0.54166666666666663</v>
      </c>
      <c r="E370" s="46" t="str">
        <f>IF(+NFL!$F133="Miami",+NFL!E133,IF(+NFL!$H133="Miami",+NFL!E133,0))</f>
        <v>CBS</v>
      </c>
      <c r="F370" s="127" t="str">
        <f>IF(+NFL!$F133="Miami",+NFL!F133,IF(+NFL!$H133="Miami",+NFL!F133,0))</f>
        <v>Miami</v>
      </c>
      <c r="G370" s="46" t="str">
        <f>IF(+NFL!$F133="Miami",+NFL!G133,IF(+NFL!$H133="Miami",+NFL!G133,0))</f>
        <v>AFCE</v>
      </c>
      <c r="H370" s="127" t="str">
        <f>IF(+NFL!$F133="Miami",+NFL!H133,IF(+NFL!$H133="Miami",+NFL!H133,0))</f>
        <v>Detroit</v>
      </c>
      <c r="I370" s="46" t="str">
        <f>IF(+NFL!$F133="Miami",+NFL!I133,IF(+NFL!$H133="Miami",+NFL!I133,0))</f>
        <v>NFCN</v>
      </c>
      <c r="J370" s="353" t="str">
        <f>IF(+NFL!$F133="Miami",+NFL!J133,IF(+NFL!$H133="Miami",+NFL!J133,0))</f>
        <v>Miami</v>
      </c>
      <c r="K370" s="494" t="str">
        <f>IF(+NFL!$F133="Miami",+NFL!K133,IF(+NFL!$H133="Miami",+NFL!K133,0))</f>
        <v>Detroit</v>
      </c>
      <c r="L370" s="384">
        <f>IF(+NFL!$F133="Miami",+NFL!L133,IF(+NFL!$H133="Miami",+NFL!L133,0))</f>
        <v>3</v>
      </c>
      <c r="M370" s="385">
        <f>IF(+NFL!$F133="Miami",+NFL!M133,IF(+NFL!$H133="Miami",+NFL!M133,0))</f>
        <v>50.5</v>
      </c>
      <c r="N370" s="394" t="str">
        <f>IF(+NFL!$F133="Miami",+NFL!N133,IF(+NFL!$H133="Miami",+NFL!N133,0))</f>
        <v>Miami</v>
      </c>
      <c r="O370" s="395">
        <f>IF(+NFL!$F133="Miami",+NFL!O133,IF(+NFL!$H133="Miami",+NFL!O133,0))</f>
        <v>31</v>
      </c>
      <c r="P370" s="394" t="str">
        <f>IF(+NFL!$F133="Miami",+NFL!P133,IF(+NFL!$H133="Miami",+NFL!P133,0))</f>
        <v>Detroit</v>
      </c>
      <c r="Q370" s="396">
        <f>IF(+NFL!$F133="Miami",+NFL!Q133,IF(+NFL!$H133="Miami",+NFL!Q133,0))</f>
        <v>27</v>
      </c>
      <c r="R370" s="397" t="str">
        <f>IF(+NFL!$F133="Miami",+NFL!R133,IF(+NFL!$H133="Miami",+NFL!R133,0))</f>
        <v>Miami</v>
      </c>
      <c r="S370" s="396" t="str">
        <f>IF(+NFL!$F133="Miami",+NFL!S133,IF(+NFL!$H133="Miami",+NFL!S133,0))</f>
        <v>Detroit</v>
      </c>
      <c r="T370" s="398" t="str">
        <f>IF(+NFL!$F133="Miami",+NFL!T133,IF(+NFL!$H133="Miami",+NFL!T133,0))</f>
        <v>Miami</v>
      </c>
      <c r="U370" s="396" t="str">
        <f>IF(+NFL!$F133="Miami",+NFL!U133,IF(+NFL!$H133="Miami",+NFL!U133,0))</f>
        <v>W</v>
      </c>
      <c r="V370" s="397">
        <f>IF(+NFL!$F112="Miami",+NFL!#REF!,IF(+NFL!$H112="Miami",+NFL!#REF!,0))</f>
        <v>0</v>
      </c>
      <c r="W370" s="396">
        <f>IF(+NFL!$F112="Miami",+NFL!#REF!,IF(+NFL!$H112="Miami",+NFL!#REF!,0))</f>
        <v>0</v>
      </c>
      <c r="X370" s="398">
        <f>IF(+NFL!$F112="Miami",+NFL!#REF!,IF(+NFL!$H112="Miami",+NFL!#REF!,0))</f>
        <v>0</v>
      </c>
      <c r="Y370" s="396">
        <f>IF(+NFL!$F112="Miami",+NFL!#REF!,IF(+NFL!$H112="Miami",+NFL!#REF!,0))</f>
        <v>0</v>
      </c>
      <c r="Z370" s="397">
        <f>IF(+NFL!$F112="Miami",+NFL!#REF!,IF(+NFL!$H112="Miami",+NFL!#REF!,0))</f>
        <v>0</v>
      </c>
      <c r="AA370" s="396">
        <f>IF(+NFL!$F112="Miami",+NFL!#REF!,IF(+NFL!$H112="Miami",+NFL!#REF!,0))</f>
        <v>0</v>
      </c>
      <c r="AB370" s="87">
        <f>IF(+NFL!$F112="Miami",+NFL!#REF!,IF(+NFL!$H112="Miami",+NFL!#REF!,0))</f>
        <v>0</v>
      </c>
      <c r="AC370" s="120">
        <f>IF(+NFL!$F112="Miami",+NFL!#REF!,IF(+NFL!$H112="Miami",+NFL!#REF!,0))</f>
        <v>0</v>
      </c>
      <c r="AD370" s="353">
        <f>IF(+NFL!$F112="Miami",+NFL!#REF!,IF(+NFL!$H112="Miami",+NFL!#REF!,0))</f>
        <v>0</v>
      </c>
      <c r="AE370" s="379">
        <f>IF(+NFL!$F112="Miami",+NFL!#REF!,IF(+NFL!$H112="Miami",+NFL!#REF!,0))</f>
        <v>0</v>
      </c>
      <c r="AF370" s="353">
        <f>IF(+NFL!$F112="Miami",+NFL!#REF!,IF(+NFL!$H112="Miami",+NFL!#REF!,0))</f>
        <v>0</v>
      </c>
      <c r="AG370" s="379">
        <f>IF(+NFL!$F112="Miami",+NFL!#REF!,IF(+NFL!$H112="Miami",+NFL!#REF!,0))</f>
        <v>0</v>
      </c>
      <c r="AH370" s="353">
        <f>IF(+NFL!$F112="Miami",+NFL!#REF!,IF(+NFL!$H112="Miami",+NFL!#REF!,0))</f>
        <v>0</v>
      </c>
      <c r="AI370" s="379">
        <f>IF(+NFL!$F112="Miami",+NFL!#REF!,IF(+NFL!$H112="Miami",+NFL!#REF!,0))</f>
        <v>0</v>
      </c>
      <c r="AJ370" s="353">
        <f>IF(+NFL!$F112="Miami",+NFL!#REF!,IF(+NFL!$H112="Miami",+NFL!#REF!,0))</f>
        <v>0</v>
      </c>
      <c r="AK370" s="379">
        <f>IF(+NFL!$F112="Miami",+NFL!#REF!,IF(+NFL!$H112="Miami",+NFL!#REF!,0))</f>
        <v>0</v>
      </c>
      <c r="AL370" s="68">
        <f>IF(+NFL!$F112="Miami",+NFL!#REF!,IF(+NFL!$H112="Miami",+NFL!#REF!,0))</f>
        <v>0</v>
      </c>
      <c r="AM370" s="58">
        <f>IF(+NFL!$F112="Miami",+NFL!#REF!,IF(+NFL!$H112="Miami",+NFL!#REF!,0))</f>
        <v>0</v>
      </c>
      <c r="AN370" s="57">
        <f>IF(+NFL!$F112="Miami",+NFL!#REF!,IF(+NFL!$H112="Miami",+NFL!#REF!,0))</f>
        <v>0</v>
      </c>
      <c r="AO370" s="59">
        <f>IF(+NFL!$F112="Miami",+NFL!#REF!,IF(+NFL!$H112="Miami",+NFL!#REF!,0))</f>
        <v>0</v>
      </c>
      <c r="AP370" s="348">
        <f>IF(+NFL!$F112="Miami",+NFL!#REF!,IF(+NFL!$H112="Miami",+NFL!#REF!,0))</f>
        <v>0</v>
      </c>
      <c r="AQ370" s="48">
        <f>IF(+NFL!$F112="Miami",+NFL!#REF!,IF(+NFL!$H112="Miami",+NFL!#REF!,0))</f>
        <v>0</v>
      </c>
      <c r="AR370" s="57">
        <f>IF(+NFL!$F112="Miami",+NFL!#REF!,IF(+NFL!$H112="Miami",+NFL!#REF!,0))</f>
        <v>0</v>
      </c>
      <c r="AS370" s="64">
        <f>IF(+NFL!$F112="Miami",+NFL!#REF!,IF(+NFL!$H112="Miami",+NFL!#REF!,0))</f>
        <v>0</v>
      </c>
      <c r="AT370" s="64">
        <f>IF(+NFL!$F112="Miami",+NFL!#REF!,IF(+NFL!$H112="Miami",+NFL!#REF!,0))</f>
        <v>0</v>
      </c>
      <c r="AU370" s="57">
        <f>IF(+NFL!$F112="Miami",+NFL!#REF!,IF(+NFL!$H112="Miami",+NFL!#REF!,0))</f>
        <v>0</v>
      </c>
      <c r="AV370" s="64">
        <f>IF(+NFL!$F112="Miami",+NFL!#REF!,IF(+NFL!$H112="Miami",+NFL!#REF!,0))</f>
        <v>0</v>
      </c>
      <c r="AW370" s="46">
        <f>IF(+NFL!$F112="Miami",+NFL!#REF!,IF(+NFL!$H112="Miami",+NFL!#REF!,0))</f>
        <v>0</v>
      </c>
      <c r="AX370" s="64">
        <f>IF(+NFL!$F112="Miami",+NFL!#REF!,IF(+NFL!$H112="Miami",+NFL!#REF!,0))</f>
        <v>0</v>
      </c>
      <c r="AY370" s="57">
        <f>IF(+NFL!$F112="Miami",+NFL!#REF!,IF(+NFL!$H112="Miami",+NFL!#REF!,0))</f>
        <v>0</v>
      </c>
      <c r="AZ370" s="64">
        <f>IF(+NFL!$F112="Miami",+NFL!#REF!,IF(+NFL!$H112="Miami",+NFL!#REF!,0))</f>
        <v>0</v>
      </c>
      <c r="BA370" s="46">
        <f>IF(+NFL!$F112="Miami",+NFL!#REF!,IF(+NFL!$H112="Miami",+NFL!#REF!,0))</f>
        <v>0</v>
      </c>
      <c r="BB370" s="46">
        <f>IF(+NFL!$F112="Miami",+NFL!#REF!,IF(+NFL!$H112="Miami",+NFL!#REF!,0))</f>
        <v>0</v>
      </c>
      <c r="BC370" s="403">
        <f>IF(+NFL!$F112="Miami",+NFL!#REF!,IF(+NFL!$H112="Miami",+NFL!#REF!,0))</f>
        <v>0</v>
      </c>
      <c r="BD370" s="57">
        <f>IF(+NFL!$F112="Miami",+NFL!#REF!,IF(+NFL!$H112="Miami",+NFL!#REF!,0))</f>
        <v>0</v>
      </c>
      <c r="BE370" s="64">
        <f>IF(+NFL!$F112="Miami",+NFL!#REF!,IF(+NFL!$H112="Miami",+NFL!#REF!,0))</f>
        <v>0</v>
      </c>
      <c r="BF370" s="46">
        <f>IF(+NFL!$F112="Miami",+NFL!#REF!,IF(+NFL!$H112="Miami",+NFL!#REF!,0))</f>
        <v>0</v>
      </c>
      <c r="BG370" s="57">
        <f>IF(+NFL!$F112="Miami",+NFL!#REF!,IF(+NFL!$H112="Miami",+NFL!#REF!,0))</f>
        <v>0</v>
      </c>
      <c r="BH370" s="64">
        <f>IF(+NFL!$F112="Miami",+NFL!#REF!,IF(+NFL!$H112="Miami",+NFL!#REF!,0))</f>
        <v>0</v>
      </c>
      <c r="BI370" s="46">
        <f>IF(+NFL!$F112="Miami",+NFL!#REF!,IF(+NFL!$H112="Miami",+NFL!#REF!,0))</f>
        <v>0</v>
      </c>
      <c r="BJ370" s="87">
        <f>IF(+NFL!$F112="Miami",+NFL!#REF!,IF(+NFL!$H112="Miami",+NFL!#REF!,0))</f>
        <v>0</v>
      </c>
      <c r="BK370" s="120">
        <f>IF(+NFL!$F112="Miami",+NFL!#REF!,IF(+NFL!$H112="Miami",+NFL!#REF!,0))</f>
        <v>0</v>
      </c>
    </row>
    <row r="371" spans="1:63" s="246" customFormat="1" x14ac:dyDescent="0.8">
      <c r="A371" s="46">
        <f>IF(+NFL!$F175="Miami",+NFL!A175,IF(+NFL!$H175="Miami",+NFL!A175,0))</f>
        <v>10</v>
      </c>
      <c r="B371" s="348" t="str">
        <f>IF(+NFL!$F175="Miami",+NFL!B175,IF(+NFL!$H175="Miami",+NFL!B175,0))</f>
        <v>Sun</v>
      </c>
      <c r="C371" s="48">
        <f>IF(+NFL!$F175="Miami",+NFL!C175,IF(+NFL!$H175="Miami",+NFL!C175,0))</f>
        <v>44878</v>
      </c>
      <c r="D371" s="490">
        <f>IF(+NFL!$F175="Miami",+NFL!D175,IF(+NFL!$H175="Miami",+NFL!D175,0))</f>
        <v>0.54166666666666663</v>
      </c>
      <c r="E371" s="46" t="str">
        <f>IF(+NFL!$F175="Miami",+NFL!E175,IF(+NFL!$H175="Miami",+NFL!E175,0))</f>
        <v>CBS</v>
      </c>
      <c r="F371" s="127" t="str">
        <f>IF(+NFL!$F175="Miami",+NFL!F175,IF(+NFL!$H175="Miami",+NFL!F175,0))</f>
        <v>Cleveland</v>
      </c>
      <c r="G371" s="46" t="str">
        <f>IF(+NFL!$F175="Miami",+NFL!G175,IF(+NFL!$H175="Miami",+NFL!G175,0))</f>
        <v>AFCN</v>
      </c>
      <c r="H371" s="127" t="str">
        <f>IF(+NFL!$F175="Miami",+NFL!H175,IF(+NFL!$H175="Miami",+NFL!H175,0))</f>
        <v>Miami</v>
      </c>
      <c r="I371" s="46" t="str">
        <f>IF(+NFL!$F175="Miami",+NFL!I175,IF(+NFL!$H175="Miami",+NFL!I175,0))</f>
        <v>AFCE</v>
      </c>
      <c r="J371" s="353" t="str">
        <f>IF(+NFL!$F175="Miami",+NFL!J175,IF(+NFL!$H175="Miami",+NFL!J175,0))</f>
        <v>Miami</v>
      </c>
      <c r="K371" s="494" t="str">
        <f>IF(+NFL!$F175="Miami",+NFL!K175,IF(+NFL!$H175="Miami",+NFL!K175,0))</f>
        <v>Cleveland</v>
      </c>
      <c r="L371" s="384">
        <f>IF(+NFL!$F175="Miami",+NFL!L175,IF(+NFL!$H175="Miami",+NFL!L175,0))</f>
        <v>3.5</v>
      </c>
      <c r="M371" s="385">
        <f>IF(+NFL!$F175="Miami",+NFL!M175,IF(+NFL!$H175="Miami",+NFL!M175,0))</f>
        <v>48.5</v>
      </c>
      <c r="N371" s="394" t="str">
        <f>IF(+NFL!$F175="Miami",+NFL!N175,IF(+NFL!$H175="Miami",+NFL!N175,0))</f>
        <v>Miami</v>
      </c>
      <c r="O371" s="395">
        <f>IF(+NFL!$F175="Miami",+NFL!O175,IF(+NFL!$H175="Miami",+NFL!O175,0))</f>
        <v>39</v>
      </c>
      <c r="P371" s="394" t="str">
        <f>IF(+NFL!$F175="Miami",+NFL!P175,IF(+NFL!$H175="Miami",+NFL!P175,0))</f>
        <v>Cleveland</v>
      </c>
      <c r="Q371" s="396">
        <f>IF(+NFL!$F175="Miami",+NFL!Q175,IF(+NFL!$H175="Miami",+NFL!Q175,0))</f>
        <v>17</v>
      </c>
      <c r="R371" s="397" t="str">
        <f>IF(+NFL!$F175="Miami",+NFL!R175,IF(+NFL!$H175="Miami",+NFL!R175,0))</f>
        <v>Miami</v>
      </c>
      <c r="S371" s="396" t="str">
        <f>IF(+NFL!$F175="Miami",+NFL!S175,IF(+NFL!$H175="Miami",+NFL!S175,0))</f>
        <v>Cleveland</v>
      </c>
      <c r="T371" s="398" t="str">
        <f>IF(+NFL!$F175="Miami",+NFL!T175,IF(+NFL!$H175="Miami",+NFL!T175,0))</f>
        <v>Miami</v>
      </c>
      <c r="U371" s="396" t="str">
        <f>IF(+NFL!$F175="Miami",+NFL!U175,IF(+NFL!$H175="Miami",+NFL!U175,0))</f>
        <v>W</v>
      </c>
      <c r="V371" s="397">
        <f>IF(+NFL!$F129="Miami",+NFL!#REF!,IF(+NFL!$H129="Miami",+NFL!#REF!,0))</f>
        <v>0</v>
      </c>
      <c r="W371" s="396">
        <f>IF(+NFL!$F129="Miami",+NFL!#REF!,IF(+NFL!$H129="Miami",+NFL!#REF!,0))</f>
        <v>0</v>
      </c>
      <c r="X371" s="398">
        <f>IF(+NFL!$F129="Miami",+NFL!#REF!,IF(+NFL!$H129="Miami",+NFL!#REF!,0))</f>
        <v>0</v>
      </c>
      <c r="Y371" s="396">
        <f>IF(+NFL!$F129="Miami",+NFL!#REF!,IF(+NFL!$H129="Miami",+NFL!#REF!,0))</f>
        <v>0</v>
      </c>
      <c r="Z371" s="397">
        <f>IF(+NFL!$F129="Miami",+NFL!#REF!,IF(+NFL!$H129="Miami",+NFL!#REF!,0))</f>
        <v>0</v>
      </c>
      <c r="AA371" s="396">
        <f>IF(+NFL!$F129="Miami",+NFL!#REF!,IF(+NFL!$H129="Miami",+NFL!#REF!,0))</f>
        <v>0</v>
      </c>
      <c r="AB371" s="87">
        <f>IF(+NFL!$F129="Miami",+NFL!#REF!,IF(+NFL!$H129="Miami",+NFL!#REF!,0))</f>
        <v>0</v>
      </c>
      <c r="AC371" s="120">
        <f>IF(+NFL!$F129="Miami",+NFL!#REF!,IF(+NFL!$H129="Miami",+NFL!#REF!,0))</f>
        <v>0</v>
      </c>
      <c r="AD371" s="353">
        <f>IF(+NFL!$F129="Miami",+NFL!#REF!,IF(+NFL!$H129="Miami",+NFL!#REF!,0))</f>
        <v>0</v>
      </c>
      <c r="AE371" s="379">
        <f>IF(+NFL!$F129="Miami",+NFL!#REF!,IF(+NFL!$H129="Miami",+NFL!#REF!,0))</f>
        <v>0</v>
      </c>
      <c r="AF371" s="353">
        <f>IF(+NFL!$F129="Miami",+NFL!#REF!,IF(+NFL!$H129="Miami",+NFL!#REF!,0))</f>
        <v>0</v>
      </c>
      <c r="AG371" s="379">
        <f>IF(+NFL!$F129="Miami",+NFL!#REF!,IF(+NFL!$H129="Miami",+NFL!#REF!,0))</f>
        <v>0</v>
      </c>
      <c r="AH371" s="353">
        <f>IF(+NFL!$F129="Miami",+NFL!#REF!,IF(+NFL!$H129="Miami",+NFL!#REF!,0))</f>
        <v>0</v>
      </c>
      <c r="AI371" s="379">
        <f>IF(+NFL!$F129="Miami",+NFL!#REF!,IF(+NFL!$H129="Miami",+NFL!#REF!,0))</f>
        <v>0</v>
      </c>
      <c r="AJ371" s="353">
        <f>IF(+NFL!$F129="Miami",+NFL!#REF!,IF(+NFL!$H129="Miami",+NFL!#REF!,0))</f>
        <v>0</v>
      </c>
      <c r="AK371" s="379">
        <f>IF(+NFL!$F129="Miami",+NFL!#REF!,IF(+NFL!$H129="Miami",+NFL!#REF!,0))</f>
        <v>0</v>
      </c>
      <c r="AL371" s="68">
        <f>IF(+NFL!$F129="Miami",+NFL!#REF!,IF(+NFL!$H129="Miami",+NFL!#REF!,0))</f>
        <v>0</v>
      </c>
      <c r="AM371" s="58">
        <f>IF(+NFL!$F129="Miami",+NFL!#REF!,IF(+NFL!$H129="Miami",+NFL!#REF!,0))</f>
        <v>0</v>
      </c>
      <c r="AN371" s="57">
        <f>IF(+NFL!$F129="Miami",+NFL!#REF!,IF(+NFL!$H129="Miami",+NFL!#REF!,0))</f>
        <v>0</v>
      </c>
      <c r="AO371" s="59">
        <f>IF(+NFL!$F129="Miami",+NFL!#REF!,IF(+NFL!$H129="Miami",+NFL!#REF!,0))</f>
        <v>0</v>
      </c>
      <c r="AP371" s="348">
        <f>IF(+NFL!$F129="Miami",+NFL!#REF!,IF(+NFL!$H129="Miami",+NFL!#REF!,0))</f>
        <v>0</v>
      </c>
      <c r="AQ371" s="48">
        <f>IF(+NFL!$F129="Miami",+NFL!#REF!,IF(+NFL!$H129="Miami",+NFL!#REF!,0))</f>
        <v>0</v>
      </c>
      <c r="AR371" s="57">
        <f>IF(+NFL!$F129="Miami",+NFL!#REF!,IF(+NFL!$H129="Miami",+NFL!#REF!,0))</f>
        <v>0</v>
      </c>
      <c r="AS371" s="64">
        <f>IF(+NFL!$F129="Miami",+NFL!#REF!,IF(+NFL!$H129="Miami",+NFL!#REF!,0))</f>
        <v>0</v>
      </c>
      <c r="AT371" s="64">
        <f>IF(+NFL!$F129="Miami",+NFL!#REF!,IF(+NFL!$H129="Miami",+NFL!#REF!,0))</f>
        <v>0</v>
      </c>
      <c r="AU371" s="57">
        <f>IF(+NFL!$F129="Miami",+NFL!#REF!,IF(+NFL!$H129="Miami",+NFL!#REF!,0))</f>
        <v>0</v>
      </c>
      <c r="AV371" s="64">
        <f>IF(+NFL!$F129="Miami",+NFL!#REF!,IF(+NFL!$H129="Miami",+NFL!#REF!,0))</f>
        <v>0</v>
      </c>
      <c r="AW371" s="46">
        <f>IF(+NFL!$F129="Miami",+NFL!#REF!,IF(+NFL!$H129="Miami",+NFL!#REF!,0))</f>
        <v>0</v>
      </c>
      <c r="AX371" s="64">
        <f>IF(+NFL!$F129="Miami",+NFL!#REF!,IF(+NFL!$H129="Miami",+NFL!#REF!,0))</f>
        <v>0</v>
      </c>
      <c r="AY371" s="57">
        <f>IF(+NFL!$F129="Miami",+NFL!#REF!,IF(+NFL!$H129="Miami",+NFL!#REF!,0))</f>
        <v>0</v>
      </c>
      <c r="AZ371" s="64">
        <f>IF(+NFL!$F129="Miami",+NFL!#REF!,IF(+NFL!$H129="Miami",+NFL!#REF!,0))</f>
        <v>0</v>
      </c>
      <c r="BA371" s="46">
        <f>IF(+NFL!$F129="Miami",+NFL!#REF!,IF(+NFL!$H129="Miami",+NFL!#REF!,0))</f>
        <v>0</v>
      </c>
      <c r="BB371" s="46">
        <f>IF(+NFL!$F129="Miami",+NFL!#REF!,IF(+NFL!$H129="Miami",+NFL!#REF!,0))</f>
        <v>0</v>
      </c>
      <c r="BC371" s="403">
        <f>IF(+NFL!$F129="Miami",+NFL!#REF!,IF(+NFL!$H129="Miami",+NFL!#REF!,0))</f>
        <v>0</v>
      </c>
      <c r="BD371" s="57">
        <f>IF(+NFL!$F129="Miami",+NFL!#REF!,IF(+NFL!$H129="Miami",+NFL!#REF!,0))</f>
        <v>0</v>
      </c>
      <c r="BE371" s="64">
        <f>IF(+NFL!$F129="Miami",+NFL!#REF!,IF(+NFL!$H129="Miami",+NFL!#REF!,0))</f>
        <v>0</v>
      </c>
      <c r="BF371" s="46">
        <f>IF(+NFL!$F129="Miami",+NFL!#REF!,IF(+NFL!$H129="Miami",+NFL!#REF!,0))</f>
        <v>0</v>
      </c>
      <c r="BG371" s="57">
        <f>IF(+NFL!$F129="Miami",+NFL!#REF!,IF(+NFL!$H129="Miami",+NFL!#REF!,0))</f>
        <v>0</v>
      </c>
      <c r="BH371" s="64">
        <f>IF(+NFL!$F129="Miami",+NFL!#REF!,IF(+NFL!$H129="Miami",+NFL!#REF!,0))</f>
        <v>0</v>
      </c>
      <c r="BI371" s="46">
        <f>IF(+NFL!$F129="Miami",+NFL!#REF!,IF(+NFL!$H129="Miami",+NFL!#REF!,0))</f>
        <v>0</v>
      </c>
      <c r="BJ371" s="87">
        <f>IF(+NFL!$F129="Miami",+NFL!#REF!,IF(+NFL!$H129="Miami",+NFL!#REF!,0))</f>
        <v>0</v>
      </c>
      <c r="BK371" s="120">
        <f>IF(+NFL!$F129="Miami",+NFL!#REF!,IF(+NFL!$H129="Miami",+NFL!#REF!,0))</f>
        <v>0</v>
      </c>
    </row>
    <row r="372" spans="1:63" s="246" customFormat="1" x14ac:dyDescent="0.8">
      <c r="A372" s="46">
        <f>IF(+NFL!$F204="Miami",+NFL!A204,IF(+NFL!$H204="Miami",+NFL!A204,0))</f>
        <v>11</v>
      </c>
      <c r="B372" s="348">
        <f>IF(+NFL!$F204="Miami",+NFL!B204,IF(+NFL!$H204="Miami",+NFL!B204,0))</f>
        <v>0</v>
      </c>
      <c r="C372" s="48">
        <f>IF(+NFL!$F204="Miami",+NFL!C204,IF(+NFL!$H204="Miami",+NFL!C204,0))</f>
        <v>0</v>
      </c>
      <c r="D372" s="490">
        <f>IF(+NFL!$F204="Miami",+NFL!D204,IF(+NFL!$H204="Miami",+NFL!D204,0))</f>
        <v>0</v>
      </c>
      <c r="E372" s="46">
        <f>IF(+NFL!$F204="Miami",+NFL!E204,IF(+NFL!$H204="Miami",+NFL!E204,0))</f>
        <v>0</v>
      </c>
      <c r="F372" s="127" t="str">
        <f>IF(+NFL!$F204="Miami",+NFL!F204,IF(+NFL!$H204="Miami",+NFL!F204,0))</f>
        <v>Miami</v>
      </c>
      <c r="G372" s="46" t="str">
        <f>IF(+NFL!$F204="Miami",+NFL!G204,IF(+NFL!$H204="Miami",+NFL!G204,0))</f>
        <v>AFCE</v>
      </c>
      <c r="H372" s="127">
        <f>IF(+NFL!$F204="Miami",+NFL!H204,IF(+NFL!$H204="Miami",+NFL!H204,0))</f>
        <v>0</v>
      </c>
      <c r="I372" s="46">
        <f>IF(+NFL!$F204="Miami",+NFL!I204,IF(+NFL!$H204="Miami",+NFL!I204,0))</f>
        <v>0</v>
      </c>
      <c r="J372" s="353">
        <f>IF(+NFL!$F204="Miami",+NFL!J204,IF(+NFL!$H204="Miami",+NFL!J204,0))</f>
        <v>0</v>
      </c>
      <c r="K372" s="494">
        <f>IF(+NFL!$F204="Miami",+NFL!K204,IF(+NFL!$H204="Miami",+NFL!K204,0))</f>
        <v>0</v>
      </c>
      <c r="L372" s="384">
        <f>IF(+NFL!$F204="Miami",+NFL!L204,IF(+NFL!$H204="Miami",+NFL!L204,0))</f>
        <v>0</v>
      </c>
      <c r="M372" s="385">
        <f>IF(+NFL!$F204="Miami",+NFL!M204,IF(+NFL!$H204="Miami",+NFL!M204,0))</f>
        <v>0</v>
      </c>
      <c r="N372" s="394">
        <f>IF(+NFL!$F204="Miami",+NFL!N204,IF(+NFL!$H204="Miami",+NFL!N204,0))</f>
        <v>0</v>
      </c>
      <c r="O372" s="395">
        <f>IF(+NFL!$F204="Miami",+NFL!O204,IF(+NFL!$H204="Miami",+NFL!O204,0))</f>
        <v>0</v>
      </c>
      <c r="P372" s="394">
        <f>IF(+NFL!$F204="Miami",+NFL!P204,IF(+NFL!$H204="Miami",+NFL!P204,0))</f>
        <v>0</v>
      </c>
      <c r="Q372" s="396">
        <f>IF(+NFL!$F204="Miami",+NFL!Q204,IF(+NFL!$H204="Miami",+NFL!Q204,0))</f>
        <v>0</v>
      </c>
      <c r="R372" s="397">
        <f>IF(+NFL!$F204="Miami",+NFL!R204,IF(+NFL!$H204="Miami",+NFL!R204,0))</f>
        <v>0</v>
      </c>
      <c r="S372" s="396">
        <f>IF(+NFL!$F204="Miami",+NFL!S204,IF(+NFL!$H204="Miami",+NFL!S204,0))</f>
        <v>0</v>
      </c>
      <c r="T372" s="398">
        <f>IF(+NFL!$F204="Miami",+NFL!T204,IF(+NFL!$H204="Miami",+NFL!T204,0))</f>
        <v>0</v>
      </c>
      <c r="U372" s="396">
        <f>IF(+NFL!$F204="Miami",+NFL!U204,IF(+NFL!$H204="Miami",+NFL!U204,0))</f>
        <v>0</v>
      </c>
      <c r="V372" s="397">
        <f>IF(+NFL!$F164="Miami",+NFL!#REF!,IF(+NFL!$H164="Miami",+NFL!#REF!,0))</f>
        <v>0</v>
      </c>
      <c r="W372" s="396">
        <f>IF(+NFL!$F164="Miami",+NFL!#REF!,IF(+NFL!$H164="Miami",+NFL!#REF!,0))</f>
        <v>0</v>
      </c>
      <c r="X372" s="398">
        <f>IF(+NFL!$F164="Miami",+NFL!#REF!,IF(+NFL!$H164="Miami",+NFL!#REF!,0))</f>
        <v>0</v>
      </c>
      <c r="Y372" s="396">
        <f>IF(+NFL!$F164="Miami",+NFL!#REF!,IF(+NFL!$H164="Miami",+NFL!#REF!,0))</f>
        <v>0</v>
      </c>
      <c r="Z372" s="397">
        <f>IF(+NFL!$F164="Miami",+NFL!#REF!,IF(+NFL!$H164="Miami",+NFL!#REF!,0))</f>
        <v>0</v>
      </c>
      <c r="AA372" s="396">
        <f>IF(+NFL!$F164="Miami",+NFL!#REF!,IF(+NFL!$H164="Miami",+NFL!#REF!,0))</f>
        <v>0</v>
      </c>
      <c r="AB372" s="87">
        <f>IF(+NFL!$F164="Miami",+NFL!#REF!,IF(+NFL!$H164="Miami",+NFL!#REF!,0))</f>
        <v>0</v>
      </c>
      <c r="AC372" s="120">
        <f>IF(+NFL!$F164="Miami",+NFL!#REF!,IF(+NFL!$H164="Miami",+NFL!#REF!,0))</f>
        <v>0</v>
      </c>
      <c r="AD372" s="353">
        <f>IF(+NFL!$F164="Miami",+NFL!#REF!,IF(+NFL!$H164="Miami",+NFL!#REF!,0))</f>
        <v>0</v>
      </c>
      <c r="AE372" s="379">
        <f>IF(+NFL!$F164="Miami",+NFL!#REF!,IF(+NFL!$H164="Miami",+NFL!#REF!,0))</f>
        <v>0</v>
      </c>
      <c r="AF372" s="353">
        <f>IF(+NFL!$F164="Miami",+NFL!#REF!,IF(+NFL!$H164="Miami",+NFL!#REF!,0))</f>
        <v>0</v>
      </c>
      <c r="AG372" s="379">
        <f>IF(+NFL!$F164="Miami",+NFL!#REF!,IF(+NFL!$H164="Miami",+NFL!#REF!,0))</f>
        <v>0</v>
      </c>
      <c r="AH372" s="353">
        <f>IF(+NFL!$F164="Miami",+NFL!#REF!,IF(+NFL!$H164="Miami",+NFL!#REF!,0))</f>
        <v>0</v>
      </c>
      <c r="AI372" s="379">
        <f>IF(+NFL!$F164="Miami",+NFL!#REF!,IF(+NFL!$H164="Miami",+NFL!#REF!,0))</f>
        <v>0</v>
      </c>
      <c r="AJ372" s="353">
        <f>IF(+NFL!$F164="Miami",+NFL!#REF!,IF(+NFL!$H164="Miami",+NFL!#REF!,0))</f>
        <v>0</v>
      </c>
      <c r="AK372" s="379">
        <f>IF(+NFL!$F164="Miami",+NFL!#REF!,IF(+NFL!$H164="Miami",+NFL!#REF!,0))</f>
        <v>0</v>
      </c>
      <c r="AL372" s="68">
        <f>IF(+NFL!$F164="Miami",+NFL!#REF!,IF(+NFL!$H164="Miami",+NFL!#REF!,0))</f>
        <v>0</v>
      </c>
      <c r="AM372" s="58">
        <f>IF(+NFL!$F164="Miami",+NFL!#REF!,IF(+NFL!$H164="Miami",+NFL!#REF!,0))</f>
        <v>0</v>
      </c>
      <c r="AN372" s="57">
        <f>IF(+NFL!$F164="Miami",+NFL!#REF!,IF(+NFL!$H164="Miami",+NFL!#REF!,0))</f>
        <v>0</v>
      </c>
      <c r="AO372" s="59">
        <f>IF(+NFL!$F164="Miami",+NFL!#REF!,IF(+NFL!$H164="Miami",+NFL!#REF!,0))</f>
        <v>0</v>
      </c>
      <c r="AP372" s="348">
        <f>IF(+NFL!$F164="Miami",+NFL!#REF!,IF(+NFL!$H164="Miami",+NFL!#REF!,0))</f>
        <v>0</v>
      </c>
      <c r="AQ372" s="48">
        <f>IF(+NFL!$F164="Miami",+NFL!#REF!,IF(+NFL!$H164="Miami",+NFL!#REF!,0))</f>
        <v>0</v>
      </c>
      <c r="AR372" s="57">
        <f>IF(+NFL!$F164="Miami",+NFL!#REF!,IF(+NFL!$H164="Miami",+NFL!#REF!,0))</f>
        <v>0</v>
      </c>
      <c r="AS372" s="64">
        <f>IF(+NFL!$F164="Miami",+NFL!#REF!,IF(+NFL!$H164="Miami",+NFL!#REF!,0))</f>
        <v>0</v>
      </c>
      <c r="AT372" s="64">
        <f>IF(+NFL!$F164="Miami",+NFL!#REF!,IF(+NFL!$H164="Miami",+NFL!#REF!,0))</f>
        <v>0</v>
      </c>
      <c r="AU372" s="57">
        <f>IF(+NFL!$F164="Miami",+NFL!#REF!,IF(+NFL!$H164="Miami",+NFL!#REF!,0))</f>
        <v>0</v>
      </c>
      <c r="AV372" s="64">
        <f>IF(+NFL!$F164="Miami",+NFL!#REF!,IF(+NFL!$H164="Miami",+NFL!#REF!,0))</f>
        <v>0</v>
      </c>
      <c r="AW372" s="46">
        <f>IF(+NFL!$F164="Miami",+NFL!#REF!,IF(+NFL!$H164="Miami",+NFL!#REF!,0))</f>
        <v>0</v>
      </c>
      <c r="AX372" s="64">
        <f>IF(+NFL!$F164="Miami",+NFL!#REF!,IF(+NFL!$H164="Miami",+NFL!#REF!,0))</f>
        <v>0</v>
      </c>
      <c r="AY372" s="57">
        <f>IF(+NFL!$F164="Miami",+NFL!#REF!,IF(+NFL!$H164="Miami",+NFL!#REF!,0))</f>
        <v>0</v>
      </c>
      <c r="AZ372" s="64">
        <f>IF(+NFL!$F164="Miami",+NFL!#REF!,IF(+NFL!$H164="Miami",+NFL!#REF!,0))</f>
        <v>0</v>
      </c>
      <c r="BA372" s="46">
        <f>IF(+NFL!$F164="Miami",+NFL!#REF!,IF(+NFL!$H164="Miami",+NFL!#REF!,0))</f>
        <v>0</v>
      </c>
      <c r="BB372" s="46">
        <f>IF(+NFL!$F164="Miami",+NFL!#REF!,IF(+NFL!$H164="Miami",+NFL!#REF!,0))</f>
        <v>0</v>
      </c>
      <c r="BC372" s="403">
        <f>IF(+NFL!$F164="Miami",+NFL!#REF!,IF(+NFL!$H164="Miami",+NFL!#REF!,0))</f>
        <v>0</v>
      </c>
      <c r="BD372" s="57">
        <f>IF(+NFL!$F164="Miami",+NFL!#REF!,IF(+NFL!$H164="Miami",+NFL!#REF!,0))</f>
        <v>0</v>
      </c>
      <c r="BE372" s="64">
        <f>IF(+NFL!$F164="Miami",+NFL!#REF!,IF(+NFL!$H164="Miami",+NFL!#REF!,0))</f>
        <v>0</v>
      </c>
      <c r="BF372" s="46">
        <f>IF(+NFL!$F164="Miami",+NFL!#REF!,IF(+NFL!$H164="Miami",+NFL!#REF!,0))</f>
        <v>0</v>
      </c>
      <c r="BG372" s="57">
        <f>IF(+NFL!$F164="Miami",+NFL!#REF!,IF(+NFL!$H164="Miami",+NFL!#REF!,0))</f>
        <v>0</v>
      </c>
      <c r="BH372" s="64">
        <f>IF(+NFL!$F164="Miami",+NFL!#REF!,IF(+NFL!$H164="Miami",+NFL!#REF!,0))</f>
        <v>0</v>
      </c>
      <c r="BI372" s="46">
        <f>IF(+NFL!$F164="Miami",+NFL!#REF!,IF(+NFL!$H164="Miami",+NFL!#REF!,0))</f>
        <v>0</v>
      </c>
      <c r="BJ372" s="87">
        <f>IF(+NFL!$F164="Miami",+NFL!#REF!,IF(+NFL!$H164="Miami",+NFL!#REF!,0))</f>
        <v>0</v>
      </c>
      <c r="BK372" s="120">
        <f>IF(+NFL!$F164="Miami",+NFL!#REF!,IF(+NFL!$H164="Miami",+NFL!#REF!,0))</f>
        <v>0</v>
      </c>
    </row>
    <row r="373" spans="1:63" s="246" customFormat="1" x14ac:dyDescent="0.8">
      <c r="A373" s="46">
        <f>IF(+NFL!$F214="Miami",+NFL!A214,IF(+NFL!$H214="Miami",+NFL!A214,0))</f>
        <v>12</v>
      </c>
      <c r="B373" s="348" t="str">
        <f>IF(+NFL!$F214="Miami",+NFL!B214,IF(+NFL!$H214="Miami",+NFL!B214,0))</f>
        <v>Sun</v>
      </c>
      <c r="C373" s="48">
        <f>IF(+NFL!$F214="Miami",+NFL!C214,IF(+NFL!$H214="Miami",+NFL!C214,0))</f>
        <v>44892</v>
      </c>
      <c r="D373" s="490">
        <f>IF(+NFL!$F214="Miami",+NFL!D214,IF(+NFL!$H214="Miami",+NFL!D214,0))</f>
        <v>0.54166666666666663</v>
      </c>
      <c r="E373" s="46" t="str">
        <f>IF(+NFL!$F214="Miami",+NFL!E214,IF(+NFL!$H214="Miami",+NFL!E214,0))</f>
        <v>CBS</v>
      </c>
      <c r="F373" s="127" t="str">
        <f>IF(+NFL!$F214="Miami",+NFL!F214,IF(+NFL!$H214="Miami",+NFL!F214,0))</f>
        <v>Houston</v>
      </c>
      <c r="G373" s="46" t="str">
        <f>IF(+NFL!$F214="Miami",+NFL!G214,IF(+NFL!$H214="Miami",+NFL!G214,0))</f>
        <v>AFCS</v>
      </c>
      <c r="H373" s="127" t="str">
        <f>IF(+NFL!$F214="Miami",+NFL!H214,IF(+NFL!$H214="Miami",+NFL!H214,0))</f>
        <v>Miami</v>
      </c>
      <c r="I373" s="46" t="str">
        <f>IF(+NFL!$F214="Miami",+NFL!I214,IF(+NFL!$H214="Miami",+NFL!I214,0))</f>
        <v>AFCE</v>
      </c>
      <c r="J373" s="353" t="str">
        <f>IF(+NFL!$F214="Miami",+NFL!J214,IF(+NFL!$H214="Miami",+NFL!J214,0))</f>
        <v>Miami</v>
      </c>
      <c r="K373" s="494" t="str">
        <f>IF(+NFL!$F214="Miami",+NFL!K214,IF(+NFL!$H214="Miami",+NFL!K214,0))</f>
        <v>Houston</v>
      </c>
      <c r="L373" s="384">
        <f>IF(+NFL!$F214="Miami",+NFL!L214,IF(+NFL!$H214="Miami",+NFL!L214,0))</f>
        <v>13.5</v>
      </c>
      <c r="M373" s="385">
        <f>IF(+NFL!$F214="Miami",+NFL!M214,IF(+NFL!$H214="Miami",+NFL!M214,0))</f>
        <v>47</v>
      </c>
      <c r="N373" s="394" t="str">
        <f>IF(+NFL!$F214="Miami",+NFL!N214,IF(+NFL!$H214="Miami",+NFL!N214,0))</f>
        <v>Miami</v>
      </c>
      <c r="O373" s="395">
        <f>IF(+NFL!$F214="Miami",+NFL!O214,IF(+NFL!$H214="Miami",+NFL!O214,0))</f>
        <v>30</v>
      </c>
      <c r="P373" s="394" t="str">
        <f>IF(+NFL!$F214="Miami",+NFL!P214,IF(+NFL!$H214="Miami",+NFL!P214,0))</f>
        <v>Houston</v>
      </c>
      <c r="Q373" s="396">
        <f>IF(+NFL!$F214="Miami",+NFL!Q214,IF(+NFL!$H214="Miami",+NFL!Q214,0))</f>
        <v>15</v>
      </c>
      <c r="R373" s="397" t="str">
        <f>IF(+NFL!$F214="Miami",+NFL!R214,IF(+NFL!$H214="Miami",+NFL!R214,0))</f>
        <v>Miami</v>
      </c>
      <c r="S373" s="396" t="str">
        <f>IF(+NFL!$F214="Miami",+NFL!S214,IF(+NFL!$H214="Miami",+NFL!S214,0))</f>
        <v>Houston</v>
      </c>
      <c r="T373" s="398" t="str">
        <f>IF(+NFL!$F214="Miami",+NFL!T214,IF(+NFL!$H214="Miami",+NFL!T214,0))</f>
        <v>Miami</v>
      </c>
      <c r="U373" s="396" t="str">
        <f>IF(+NFL!$F214="Miami",+NFL!U214,IF(+NFL!$H214="Miami",+NFL!U214,0))</f>
        <v>W</v>
      </c>
      <c r="V373" s="397">
        <f>IF(+NFL!$F177="Miami",+NFL!#REF!,IF(+NFL!$H177="Miami",+NFL!#REF!,0))</f>
        <v>0</v>
      </c>
      <c r="W373" s="396">
        <f>IF(+NFL!$F177="Miami",+NFL!#REF!,IF(+NFL!$H177="Miami",+NFL!#REF!,0))</f>
        <v>0</v>
      </c>
      <c r="X373" s="398">
        <f>IF(+NFL!$F177="Miami",+NFL!#REF!,IF(+NFL!$H177="Miami",+NFL!#REF!,0))</f>
        <v>0</v>
      </c>
      <c r="Y373" s="396">
        <f>IF(+NFL!$F177="Miami",+NFL!#REF!,IF(+NFL!$H177="Miami",+NFL!#REF!,0))</f>
        <v>0</v>
      </c>
      <c r="Z373" s="397">
        <f>IF(+NFL!$F177="Miami",+NFL!#REF!,IF(+NFL!$H177="Miami",+NFL!#REF!,0))</f>
        <v>0</v>
      </c>
      <c r="AA373" s="396">
        <f>IF(+NFL!$F177="Miami",+NFL!#REF!,IF(+NFL!$H177="Miami",+NFL!#REF!,0))</f>
        <v>0</v>
      </c>
      <c r="AB373" s="87">
        <f>IF(+NFL!$F177="Miami",+NFL!#REF!,IF(+NFL!$H177="Miami",+NFL!#REF!,0))</f>
        <v>0</v>
      </c>
      <c r="AC373" s="120">
        <f>IF(+NFL!$F177="Miami",+NFL!#REF!,IF(+NFL!$H177="Miami",+NFL!#REF!,0))</f>
        <v>0</v>
      </c>
      <c r="AD373" s="353">
        <f>IF(+NFL!$F177="Miami",+NFL!#REF!,IF(+NFL!$H177="Miami",+NFL!#REF!,0))</f>
        <v>0</v>
      </c>
      <c r="AE373" s="379">
        <f>IF(+NFL!$F177="Miami",+NFL!#REF!,IF(+NFL!$H177="Miami",+NFL!#REF!,0))</f>
        <v>0</v>
      </c>
      <c r="AF373" s="353">
        <f>IF(+NFL!$F177="Miami",+NFL!#REF!,IF(+NFL!$H177="Miami",+NFL!#REF!,0))</f>
        <v>0</v>
      </c>
      <c r="AG373" s="379">
        <f>IF(+NFL!$F177="Miami",+NFL!#REF!,IF(+NFL!$H177="Miami",+NFL!#REF!,0))</f>
        <v>0</v>
      </c>
      <c r="AH373" s="353">
        <f>IF(+NFL!$F177="Miami",+NFL!#REF!,IF(+NFL!$H177="Miami",+NFL!#REF!,0))</f>
        <v>0</v>
      </c>
      <c r="AI373" s="379">
        <f>IF(+NFL!$F177="Miami",+NFL!#REF!,IF(+NFL!$H177="Miami",+NFL!#REF!,0))</f>
        <v>0</v>
      </c>
      <c r="AJ373" s="353">
        <f>IF(+NFL!$F177="Miami",+NFL!#REF!,IF(+NFL!$H177="Miami",+NFL!#REF!,0))</f>
        <v>0</v>
      </c>
      <c r="AK373" s="379">
        <f>IF(+NFL!$F177="Miami",+NFL!#REF!,IF(+NFL!$H177="Miami",+NFL!#REF!,0))</f>
        <v>0</v>
      </c>
      <c r="AL373" s="68">
        <f>IF(+NFL!$F177="Miami",+NFL!#REF!,IF(+NFL!$H177="Miami",+NFL!#REF!,0))</f>
        <v>0</v>
      </c>
      <c r="AM373" s="58">
        <f>IF(+NFL!$F177="Miami",+NFL!#REF!,IF(+NFL!$H177="Miami",+NFL!#REF!,0))</f>
        <v>0</v>
      </c>
      <c r="AN373" s="57">
        <f>IF(+NFL!$F177="Miami",+NFL!#REF!,IF(+NFL!$H177="Miami",+NFL!#REF!,0))</f>
        <v>0</v>
      </c>
      <c r="AO373" s="59">
        <f>IF(+NFL!$F177="Miami",+NFL!#REF!,IF(+NFL!$H177="Miami",+NFL!#REF!,0))</f>
        <v>0</v>
      </c>
      <c r="AP373" s="348">
        <f>IF(+NFL!$F177="Miami",+NFL!#REF!,IF(+NFL!$H177="Miami",+NFL!#REF!,0))</f>
        <v>0</v>
      </c>
      <c r="AQ373" s="48">
        <f>IF(+NFL!$F177="Miami",+NFL!#REF!,IF(+NFL!$H177="Miami",+NFL!#REF!,0))</f>
        <v>0</v>
      </c>
      <c r="AR373" s="57">
        <f>IF(+NFL!$F177="Miami",+NFL!#REF!,IF(+NFL!$H177="Miami",+NFL!#REF!,0))</f>
        <v>0</v>
      </c>
      <c r="AS373" s="64">
        <f>IF(+NFL!$F177="Miami",+NFL!#REF!,IF(+NFL!$H177="Miami",+NFL!#REF!,0))</f>
        <v>0</v>
      </c>
      <c r="AT373" s="64">
        <f>IF(+NFL!$F177="Miami",+NFL!#REF!,IF(+NFL!$H177="Miami",+NFL!#REF!,0))</f>
        <v>0</v>
      </c>
      <c r="AU373" s="57">
        <f>IF(+NFL!$F177="Miami",+NFL!#REF!,IF(+NFL!$H177="Miami",+NFL!#REF!,0))</f>
        <v>0</v>
      </c>
      <c r="AV373" s="64">
        <f>IF(+NFL!$F177="Miami",+NFL!#REF!,IF(+NFL!$H177="Miami",+NFL!#REF!,0))</f>
        <v>0</v>
      </c>
      <c r="AW373" s="46">
        <f>IF(+NFL!$F177="Miami",+NFL!#REF!,IF(+NFL!$H177="Miami",+NFL!#REF!,0))</f>
        <v>0</v>
      </c>
      <c r="AX373" s="64">
        <f>IF(+NFL!$F177="Miami",+NFL!#REF!,IF(+NFL!$H177="Miami",+NFL!#REF!,0))</f>
        <v>0</v>
      </c>
      <c r="AY373" s="57">
        <f>IF(+NFL!$F177="Miami",+NFL!#REF!,IF(+NFL!$H177="Miami",+NFL!#REF!,0))</f>
        <v>0</v>
      </c>
      <c r="AZ373" s="64">
        <f>IF(+NFL!$F177="Miami",+NFL!#REF!,IF(+NFL!$H177="Miami",+NFL!#REF!,0))</f>
        <v>0</v>
      </c>
      <c r="BA373" s="46">
        <f>IF(+NFL!$F177="Miami",+NFL!#REF!,IF(+NFL!$H177="Miami",+NFL!#REF!,0))</f>
        <v>0</v>
      </c>
      <c r="BB373" s="46">
        <f>IF(+NFL!$F177="Miami",+NFL!#REF!,IF(+NFL!$H177="Miami",+NFL!#REF!,0))</f>
        <v>0</v>
      </c>
      <c r="BC373" s="403">
        <f>IF(+NFL!$F177="Miami",+NFL!#REF!,IF(+NFL!$H177="Miami",+NFL!#REF!,0))</f>
        <v>0</v>
      </c>
      <c r="BD373" s="57">
        <f>IF(+NFL!$F177="Miami",+NFL!#REF!,IF(+NFL!$H177="Miami",+NFL!#REF!,0))</f>
        <v>0</v>
      </c>
      <c r="BE373" s="64">
        <f>IF(+NFL!$F177="Miami",+NFL!#REF!,IF(+NFL!$H177="Miami",+NFL!#REF!,0))</f>
        <v>0</v>
      </c>
      <c r="BF373" s="46">
        <f>IF(+NFL!$F177="Miami",+NFL!#REF!,IF(+NFL!$H177="Miami",+NFL!#REF!,0))</f>
        <v>0</v>
      </c>
      <c r="BG373" s="57">
        <f>IF(+NFL!$F177="Miami",+NFL!#REF!,IF(+NFL!$H177="Miami",+NFL!#REF!,0))</f>
        <v>0</v>
      </c>
      <c r="BH373" s="64">
        <f>IF(+NFL!$F177="Miami",+NFL!#REF!,IF(+NFL!$H177="Miami",+NFL!#REF!,0))</f>
        <v>0</v>
      </c>
      <c r="BI373" s="46">
        <f>IF(+NFL!$F177="Miami",+NFL!#REF!,IF(+NFL!$H177="Miami",+NFL!#REF!,0))</f>
        <v>0</v>
      </c>
      <c r="BJ373" s="87">
        <f>IF(+NFL!$F177="Miami",+NFL!#REF!,IF(+NFL!$H177="Miami",+NFL!#REF!,0))</f>
        <v>0</v>
      </c>
      <c r="BK373" s="120">
        <f>IF(+NFL!$F177="Miami",+NFL!#REF!,IF(+NFL!$H177="Miami",+NFL!#REF!,0))</f>
        <v>0</v>
      </c>
    </row>
    <row r="374" spans="1:63" s="246" customFormat="1" x14ac:dyDescent="0.8">
      <c r="A374" s="46">
        <f>IF(+NFL!$F236="Miami",+NFL!A236,IF(+NFL!$H236="Miami",+NFL!A236,0))</f>
        <v>13</v>
      </c>
      <c r="B374" s="348" t="str">
        <f>IF(+NFL!$F236="Miami",+NFL!B236,IF(+NFL!$H236="Miami",+NFL!B236,0))</f>
        <v>Sun</v>
      </c>
      <c r="C374" s="48">
        <f>IF(+NFL!$F236="Miami",+NFL!C236,IF(+NFL!$H236="Miami",+NFL!C236,0))</f>
        <v>44899</v>
      </c>
      <c r="D374" s="490">
        <f>IF(+NFL!$F236="Miami",+NFL!D236,IF(+NFL!$H236="Miami",+NFL!D236,0))</f>
        <v>0.66666666666666663</v>
      </c>
      <c r="E374" s="46" t="str">
        <f>IF(+NFL!$F236="Miami",+NFL!E236,IF(+NFL!$H236="Miami",+NFL!E236,0))</f>
        <v>CBS</v>
      </c>
      <c r="F374" s="127" t="str">
        <f>IF(+NFL!$F236="Miami",+NFL!F236,IF(+NFL!$H236="Miami",+NFL!F236,0))</f>
        <v>Miami</v>
      </c>
      <c r="G374" s="46" t="str">
        <f>IF(+NFL!$F236="Miami",+NFL!G236,IF(+NFL!$H236="Miami",+NFL!G236,0))</f>
        <v>AFCE</v>
      </c>
      <c r="H374" s="127" t="str">
        <f>IF(+NFL!$F236="Miami",+NFL!H236,IF(+NFL!$H236="Miami",+NFL!H236,0))</f>
        <v>San Francisco</v>
      </c>
      <c r="I374" s="46" t="str">
        <f>IF(+NFL!$F236="Miami",+NFL!I236,IF(+NFL!$H236="Miami",+NFL!I236,0))</f>
        <v>NFCW</v>
      </c>
      <c r="J374" s="353" t="str">
        <f>IF(+NFL!$F236="Miami",+NFL!J236,IF(+NFL!$H236="Miami",+NFL!J236,0))</f>
        <v>San Francisco</v>
      </c>
      <c r="K374" s="494" t="str">
        <f>IF(+NFL!$F236="Miami",+NFL!K236,IF(+NFL!$H236="Miami",+NFL!K236,0))</f>
        <v>Miami</v>
      </c>
      <c r="L374" s="384">
        <f>IF(+NFL!$F236="Miami",+NFL!L236,IF(+NFL!$H236="Miami",+NFL!L236,0))</f>
        <v>4</v>
      </c>
      <c r="M374" s="385">
        <f>IF(+NFL!$F236="Miami",+NFL!M236,IF(+NFL!$H236="Miami",+NFL!M236,0))</f>
        <v>46.5</v>
      </c>
      <c r="N374" s="394" t="str">
        <f>IF(+NFL!$F236="Miami",+NFL!N236,IF(+NFL!$H236="Miami",+NFL!N236,0))</f>
        <v>San Francisco</v>
      </c>
      <c r="O374" s="395">
        <f>IF(+NFL!$F236="Miami",+NFL!O236,IF(+NFL!$H236="Miami",+NFL!O236,0))</f>
        <v>33</v>
      </c>
      <c r="P374" s="394" t="str">
        <f>IF(+NFL!$F236="Miami",+NFL!P236,IF(+NFL!$H236="Miami",+NFL!P236,0))</f>
        <v>Miami</v>
      </c>
      <c r="Q374" s="396">
        <f>IF(+NFL!$F236="Miami",+NFL!Q236,IF(+NFL!$H236="Miami",+NFL!Q236,0))</f>
        <v>17</v>
      </c>
      <c r="R374" s="397" t="str">
        <f>IF(+NFL!$F236="Miami",+NFL!R236,IF(+NFL!$H236="Miami",+NFL!R236,0))</f>
        <v>San Francisco</v>
      </c>
      <c r="S374" s="396" t="str">
        <f>IF(+NFL!$F236="Miami",+NFL!S236,IF(+NFL!$H236="Miami",+NFL!S236,0))</f>
        <v>Miami</v>
      </c>
      <c r="T374" s="398" t="str">
        <f>IF(+NFL!$F236="Miami",+NFL!T236,IF(+NFL!$H236="Miami",+NFL!T236,0))</f>
        <v>Miami</v>
      </c>
      <c r="U374" s="396" t="str">
        <f>IF(+NFL!$F236="Miami",+NFL!U236,IF(+NFL!$H236="Miami",+NFL!U236,0))</f>
        <v>L</v>
      </c>
      <c r="V374" s="397" t="e">
        <f>IF(+NFL!$F204="Miami",+NFL!#REF!,IF(+NFL!$H204="Miami",+NFL!#REF!,0))</f>
        <v>#REF!</v>
      </c>
      <c r="W374" s="396" t="e">
        <f>IF(+NFL!$F204="Miami",+NFL!#REF!,IF(+NFL!$H204="Miami",+NFL!#REF!,0))</f>
        <v>#REF!</v>
      </c>
      <c r="X374" s="398" t="e">
        <f>IF(+NFL!$F204="Miami",+NFL!#REF!,IF(+NFL!$H204="Miami",+NFL!#REF!,0))</f>
        <v>#REF!</v>
      </c>
      <c r="Y374" s="396" t="e">
        <f>IF(+NFL!$F204="Miami",+NFL!#REF!,IF(+NFL!$H204="Miami",+NFL!#REF!,0))</f>
        <v>#REF!</v>
      </c>
      <c r="Z374" s="397" t="e">
        <f>IF(+NFL!$F204="Miami",+NFL!#REF!,IF(+NFL!$H204="Miami",+NFL!#REF!,0))</f>
        <v>#REF!</v>
      </c>
      <c r="AA374" s="396" t="e">
        <f>IF(+NFL!$F204="Miami",+NFL!#REF!,IF(+NFL!$H204="Miami",+NFL!#REF!,0))</f>
        <v>#REF!</v>
      </c>
      <c r="AB374" s="87" t="e">
        <f>IF(+NFL!$F204="Miami",+NFL!#REF!,IF(+NFL!$H204="Miami",+NFL!#REF!,0))</f>
        <v>#REF!</v>
      </c>
      <c r="AC374" s="120" t="e">
        <f>IF(+NFL!$F204="Miami",+NFL!#REF!,IF(+NFL!$H204="Miami",+NFL!#REF!,0))</f>
        <v>#REF!</v>
      </c>
      <c r="AD374" s="353" t="e">
        <f>IF(+NFL!$F204="Miami",+NFL!#REF!,IF(+NFL!$H204="Miami",+NFL!#REF!,0))</f>
        <v>#REF!</v>
      </c>
      <c r="AE374" s="379" t="e">
        <f>IF(+NFL!$F204="Miami",+NFL!#REF!,IF(+NFL!$H204="Miami",+NFL!#REF!,0))</f>
        <v>#REF!</v>
      </c>
      <c r="AF374" s="353" t="e">
        <f>IF(+NFL!$F204="Miami",+NFL!#REF!,IF(+NFL!$H204="Miami",+NFL!#REF!,0))</f>
        <v>#REF!</v>
      </c>
      <c r="AG374" s="379" t="e">
        <f>IF(+NFL!$F204="Miami",+NFL!#REF!,IF(+NFL!$H204="Miami",+NFL!#REF!,0))</f>
        <v>#REF!</v>
      </c>
      <c r="AH374" s="353" t="e">
        <f>IF(+NFL!$F204="Miami",+NFL!#REF!,IF(+NFL!$H204="Miami",+NFL!#REF!,0))</f>
        <v>#REF!</v>
      </c>
      <c r="AI374" s="379" t="e">
        <f>IF(+NFL!$F204="Miami",+NFL!#REF!,IF(+NFL!$H204="Miami",+NFL!#REF!,0))</f>
        <v>#REF!</v>
      </c>
      <c r="AJ374" s="353" t="e">
        <f>IF(+NFL!$F204="Miami",+NFL!#REF!,IF(+NFL!$H204="Miami",+NFL!#REF!,0))</f>
        <v>#REF!</v>
      </c>
      <c r="AK374" s="379" t="e">
        <f>IF(+NFL!$F204="Miami",+NFL!#REF!,IF(+NFL!$H204="Miami",+NFL!#REF!,0))</f>
        <v>#REF!</v>
      </c>
      <c r="AL374" s="68" t="e">
        <f>IF(+NFL!$F204="Miami",+NFL!#REF!,IF(+NFL!$H204="Miami",+NFL!#REF!,0))</f>
        <v>#REF!</v>
      </c>
      <c r="AM374" s="58" t="e">
        <f>IF(+NFL!$F204="Miami",+NFL!#REF!,IF(+NFL!$H204="Miami",+NFL!#REF!,0))</f>
        <v>#REF!</v>
      </c>
      <c r="AN374" s="57" t="e">
        <f>IF(+NFL!$F204="Miami",+NFL!#REF!,IF(+NFL!$H204="Miami",+NFL!#REF!,0))</f>
        <v>#REF!</v>
      </c>
      <c r="AO374" s="59" t="e">
        <f>IF(+NFL!$F204="Miami",+NFL!#REF!,IF(+NFL!$H204="Miami",+NFL!#REF!,0))</f>
        <v>#REF!</v>
      </c>
      <c r="AP374" s="348" t="e">
        <f>IF(+NFL!$F204="Miami",+NFL!#REF!,IF(+NFL!$H204="Miami",+NFL!#REF!,0))</f>
        <v>#REF!</v>
      </c>
      <c r="AQ374" s="48" t="e">
        <f>IF(+NFL!$F204="Miami",+NFL!#REF!,IF(+NFL!$H204="Miami",+NFL!#REF!,0))</f>
        <v>#REF!</v>
      </c>
      <c r="AR374" s="57" t="e">
        <f>IF(+NFL!$F204="Miami",+NFL!#REF!,IF(+NFL!$H204="Miami",+NFL!#REF!,0))</f>
        <v>#REF!</v>
      </c>
      <c r="AS374" s="64" t="e">
        <f>IF(+NFL!$F204="Miami",+NFL!#REF!,IF(+NFL!$H204="Miami",+NFL!#REF!,0))</f>
        <v>#REF!</v>
      </c>
      <c r="AT374" s="64" t="e">
        <f>IF(+NFL!$F204="Miami",+NFL!#REF!,IF(+NFL!$H204="Miami",+NFL!#REF!,0))</f>
        <v>#REF!</v>
      </c>
      <c r="AU374" s="57" t="e">
        <f>IF(+NFL!$F204="Miami",+NFL!#REF!,IF(+NFL!$H204="Miami",+NFL!#REF!,0))</f>
        <v>#REF!</v>
      </c>
      <c r="AV374" s="64" t="e">
        <f>IF(+NFL!$F204="Miami",+NFL!#REF!,IF(+NFL!$H204="Miami",+NFL!#REF!,0))</f>
        <v>#REF!</v>
      </c>
      <c r="AW374" s="46" t="e">
        <f>IF(+NFL!$F204="Miami",+NFL!#REF!,IF(+NFL!$H204="Miami",+NFL!#REF!,0))</f>
        <v>#REF!</v>
      </c>
      <c r="AX374" s="64" t="e">
        <f>IF(+NFL!$F204="Miami",+NFL!#REF!,IF(+NFL!$H204="Miami",+NFL!#REF!,0))</f>
        <v>#REF!</v>
      </c>
      <c r="AY374" s="57" t="e">
        <f>IF(+NFL!$F204="Miami",+NFL!#REF!,IF(+NFL!$H204="Miami",+NFL!#REF!,0))</f>
        <v>#REF!</v>
      </c>
      <c r="AZ374" s="64" t="e">
        <f>IF(+NFL!$F204="Miami",+NFL!#REF!,IF(+NFL!$H204="Miami",+NFL!#REF!,0))</f>
        <v>#REF!</v>
      </c>
      <c r="BA374" s="46" t="e">
        <f>IF(+NFL!$F204="Miami",+NFL!#REF!,IF(+NFL!$H204="Miami",+NFL!#REF!,0))</f>
        <v>#REF!</v>
      </c>
      <c r="BB374" s="46" t="e">
        <f>IF(+NFL!$F204="Miami",+NFL!#REF!,IF(+NFL!$H204="Miami",+NFL!#REF!,0))</f>
        <v>#REF!</v>
      </c>
      <c r="BC374" s="403" t="e">
        <f>IF(+NFL!$F204="Miami",+NFL!#REF!,IF(+NFL!$H204="Miami",+NFL!#REF!,0))</f>
        <v>#REF!</v>
      </c>
      <c r="BD374" s="57" t="e">
        <f>IF(+NFL!$F204="Miami",+NFL!#REF!,IF(+NFL!$H204="Miami",+NFL!#REF!,0))</f>
        <v>#REF!</v>
      </c>
      <c r="BE374" s="64" t="e">
        <f>IF(+NFL!$F204="Miami",+NFL!#REF!,IF(+NFL!$H204="Miami",+NFL!#REF!,0))</f>
        <v>#REF!</v>
      </c>
      <c r="BF374" s="46" t="e">
        <f>IF(+NFL!$F204="Miami",+NFL!#REF!,IF(+NFL!$H204="Miami",+NFL!#REF!,0))</f>
        <v>#REF!</v>
      </c>
      <c r="BG374" s="57" t="e">
        <f>IF(+NFL!$F204="Miami",+NFL!#REF!,IF(+NFL!$H204="Miami",+NFL!#REF!,0))</f>
        <v>#REF!</v>
      </c>
      <c r="BH374" s="64" t="e">
        <f>IF(+NFL!$F204="Miami",+NFL!#REF!,IF(+NFL!$H204="Miami",+NFL!#REF!,0))</f>
        <v>#REF!</v>
      </c>
      <c r="BI374" s="46" t="e">
        <f>IF(+NFL!$F204="Miami",+NFL!#REF!,IF(+NFL!$H204="Miami",+NFL!#REF!,0))</f>
        <v>#REF!</v>
      </c>
      <c r="BJ374" s="87" t="e">
        <f>IF(+NFL!$F204="Miami",+NFL!#REF!,IF(+NFL!$H204="Miami",+NFL!#REF!,0))</f>
        <v>#REF!</v>
      </c>
      <c r="BK374" s="120" t="e">
        <f>IF(+NFL!$F204="Miami",+NFL!#REF!,IF(+NFL!$H204="Miami",+NFL!#REF!,0))</f>
        <v>#REF!</v>
      </c>
    </row>
    <row r="375" spans="1:63" s="246" customFormat="1" x14ac:dyDescent="0.8">
      <c r="A375" s="46">
        <f>IF(+NFL!$F253="Miami",+NFL!A253,IF(+NFL!$H253="Miami",+NFL!A253,0))</f>
        <v>14</v>
      </c>
      <c r="B375" s="348" t="str">
        <f>IF(+NFL!$F253="Miami",+NFL!B253,IF(+NFL!$H253="Miami",+NFL!B253,0))</f>
        <v>Sun</v>
      </c>
      <c r="C375" s="48">
        <f>IF(+NFL!$F253="Miami",+NFL!C253,IF(+NFL!$H253="Miami",+NFL!C253,0))</f>
        <v>44906</v>
      </c>
      <c r="D375" s="490">
        <f>IF(+NFL!$F253="Miami",+NFL!D253,IF(+NFL!$H253="Miami",+NFL!D253,0))</f>
        <v>0.54166666666666663</v>
      </c>
      <c r="E375" s="46" t="str">
        <f>IF(+NFL!$F253="Miami",+NFL!E253,IF(+NFL!$H253="Miami",+NFL!E253,0))</f>
        <v>CBS</v>
      </c>
      <c r="F375" s="127" t="str">
        <f>IF(+NFL!$F253="Miami",+NFL!F253,IF(+NFL!$H253="Miami",+NFL!F253,0))</f>
        <v>Miami</v>
      </c>
      <c r="G375" s="46" t="str">
        <f>IF(+NFL!$F253="Miami",+NFL!G253,IF(+NFL!$H253="Miami",+NFL!G253,0))</f>
        <v>AFCE</v>
      </c>
      <c r="H375" s="127" t="str">
        <f>IF(+NFL!$F253="Miami",+NFL!H253,IF(+NFL!$H253="Miami",+NFL!H253,0))</f>
        <v>LA Chargers</v>
      </c>
      <c r="I375" s="46" t="str">
        <f>IF(+NFL!$F253="Miami",+NFL!I253,IF(+NFL!$H253="Miami",+NFL!I253,0))</f>
        <v>AFCW</v>
      </c>
      <c r="J375" s="353" t="str">
        <f>IF(+NFL!$F253="Miami",+NFL!J253,IF(+NFL!$H253="Miami",+NFL!J253,0))</f>
        <v>Miami</v>
      </c>
      <c r="K375" s="494" t="str">
        <f>IF(+NFL!$F253="Miami",+NFL!K253,IF(+NFL!$H253="Miami",+NFL!K253,0))</f>
        <v>LA Chargers</v>
      </c>
      <c r="L375" s="384">
        <f>IF(+NFL!$F253="Miami",+NFL!L253,IF(+NFL!$H253="Miami",+NFL!L253,0))</f>
        <v>2.5</v>
      </c>
      <c r="M375" s="385">
        <f>IF(+NFL!$F253="Miami",+NFL!M253,IF(+NFL!$H253="Miami",+NFL!M253,0))</f>
        <v>54.5</v>
      </c>
      <c r="N375" s="394" t="str">
        <f>IF(+NFL!$F253="Miami",+NFL!N253,IF(+NFL!$H253="Miami",+NFL!N253,0))</f>
        <v>LA Chargers</v>
      </c>
      <c r="O375" s="395">
        <f>IF(+NFL!$F253="Miami",+NFL!O253,IF(+NFL!$H253="Miami",+NFL!O253,0))</f>
        <v>23</v>
      </c>
      <c r="P375" s="394" t="str">
        <f>IF(+NFL!$F253="Miami",+NFL!P253,IF(+NFL!$H253="Miami",+NFL!P253,0))</f>
        <v>Miami</v>
      </c>
      <c r="Q375" s="396">
        <f>IF(+NFL!$F253="Miami",+NFL!Q253,IF(+NFL!$H253="Miami",+NFL!Q253,0))</f>
        <v>17</v>
      </c>
      <c r="R375" s="397" t="str">
        <f>IF(+NFL!$F253="Miami",+NFL!R253,IF(+NFL!$H253="Miami",+NFL!R253,0))</f>
        <v>LA Chargers</v>
      </c>
      <c r="S375" s="396" t="str">
        <f>IF(+NFL!$F253="Miami",+NFL!S253,IF(+NFL!$H253="Miami",+NFL!S253,0))</f>
        <v>Miami</v>
      </c>
      <c r="T375" s="398">
        <f>IF(+NFL!$F253="Miami",+NFL!T253,IF(+NFL!$H253="Miami",+NFL!T253,0))</f>
        <v>0</v>
      </c>
      <c r="U375" s="396" t="str">
        <f>IF(+NFL!$F253="Miami",+NFL!U253,IF(+NFL!$H253="Miami",+NFL!U253,0))</f>
        <v>L</v>
      </c>
      <c r="V375" s="397">
        <f>IF(+NFL!$F221="Miami",+NFL!#REF!,IF(+NFL!$H221="Miami",+NFL!#REF!,0))</f>
        <v>0</v>
      </c>
      <c r="W375" s="396">
        <f>IF(+NFL!$F221="Miami",+NFL!#REF!,IF(+NFL!$H221="Miami",+NFL!#REF!,0))</f>
        <v>0</v>
      </c>
      <c r="X375" s="398">
        <f>IF(+NFL!$F221="Miami",+NFL!#REF!,IF(+NFL!$H221="Miami",+NFL!#REF!,0))</f>
        <v>0</v>
      </c>
      <c r="Y375" s="396">
        <f>IF(+NFL!$F221="Miami",+NFL!#REF!,IF(+NFL!$H221="Miami",+NFL!#REF!,0))</f>
        <v>0</v>
      </c>
      <c r="Z375" s="397">
        <f>IF(+NFL!$F221="Miami",+NFL!#REF!,IF(+NFL!$H221="Miami",+NFL!#REF!,0))</f>
        <v>0</v>
      </c>
      <c r="AA375" s="396">
        <f>IF(+NFL!$F221="Miami",+NFL!#REF!,IF(+NFL!$H221="Miami",+NFL!#REF!,0))</f>
        <v>0</v>
      </c>
      <c r="AB375" s="87">
        <f>IF(+NFL!$F221="Miami",+NFL!#REF!,IF(+NFL!$H221="Miami",+NFL!#REF!,0))</f>
        <v>0</v>
      </c>
      <c r="AC375" s="120">
        <f>IF(+NFL!$F221="Miami",+NFL!#REF!,IF(+NFL!$H221="Miami",+NFL!#REF!,0))</f>
        <v>0</v>
      </c>
      <c r="AD375" s="353">
        <f>IF(+NFL!$F221="Miami",+NFL!#REF!,IF(+NFL!$H221="Miami",+NFL!#REF!,0))</f>
        <v>0</v>
      </c>
      <c r="AE375" s="379">
        <f>IF(+NFL!$F221="Miami",+NFL!#REF!,IF(+NFL!$H221="Miami",+NFL!#REF!,0))</f>
        <v>0</v>
      </c>
      <c r="AF375" s="353">
        <f>IF(+NFL!$F221="Miami",+NFL!#REF!,IF(+NFL!$H221="Miami",+NFL!#REF!,0))</f>
        <v>0</v>
      </c>
      <c r="AG375" s="379">
        <f>IF(+NFL!$F221="Miami",+NFL!#REF!,IF(+NFL!$H221="Miami",+NFL!#REF!,0))</f>
        <v>0</v>
      </c>
      <c r="AH375" s="353">
        <f>IF(+NFL!$F221="Miami",+NFL!#REF!,IF(+NFL!$H221="Miami",+NFL!#REF!,0))</f>
        <v>0</v>
      </c>
      <c r="AI375" s="379">
        <f>IF(+NFL!$F221="Miami",+NFL!#REF!,IF(+NFL!$H221="Miami",+NFL!#REF!,0))</f>
        <v>0</v>
      </c>
      <c r="AJ375" s="353">
        <f>IF(+NFL!$F221="Miami",+NFL!#REF!,IF(+NFL!$H221="Miami",+NFL!#REF!,0))</f>
        <v>0</v>
      </c>
      <c r="AK375" s="379">
        <f>IF(+NFL!$F221="Miami",+NFL!#REF!,IF(+NFL!$H221="Miami",+NFL!#REF!,0))</f>
        <v>0</v>
      </c>
      <c r="AL375" s="68">
        <f>IF(+NFL!$F221="Miami",+NFL!#REF!,IF(+NFL!$H221="Miami",+NFL!#REF!,0))</f>
        <v>0</v>
      </c>
      <c r="AM375" s="58">
        <f>IF(+NFL!$F221="Miami",+NFL!#REF!,IF(+NFL!$H221="Miami",+NFL!#REF!,0))</f>
        <v>0</v>
      </c>
      <c r="AN375" s="57">
        <f>IF(+NFL!$F221="Miami",+NFL!#REF!,IF(+NFL!$H221="Miami",+NFL!#REF!,0))</f>
        <v>0</v>
      </c>
      <c r="AO375" s="59">
        <f>IF(+NFL!$F221="Miami",+NFL!#REF!,IF(+NFL!$H221="Miami",+NFL!#REF!,0))</f>
        <v>0</v>
      </c>
      <c r="AP375" s="348">
        <f>IF(+NFL!$F221="Miami",+NFL!#REF!,IF(+NFL!$H221="Miami",+NFL!#REF!,0))</f>
        <v>0</v>
      </c>
      <c r="AQ375" s="48">
        <f>IF(+NFL!$F221="Miami",+NFL!#REF!,IF(+NFL!$H221="Miami",+NFL!#REF!,0))</f>
        <v>0</v>
      </c>
      <c r="AR375" s="57">
        <f>IF(+NFL!$F221="Miami",+NFL!#REF!,IF(+NFL!$H221="Miami",+NFL!#REF!,0))</f>
        <v>0</v>
      </c>
      <c r="AS375" s="64">
        <f>IF(+NFL!$F221="Miami",+NFL!#REF!,IF(+NFL!$H221="Miami",+NFL!#REF!,0))</f>
        <v>0</v>
      </c>
      <c r="AT375" s="64">
        <f>IF(+NFL!$F221="Miami",+NFL!#REF!,IF(+NFL!$H221="Miami",+NFL!#REF!,0))</f>
        <v>0</v>
      </c>
      <c r="AU375" s="57">
        <f>IF(+NFL!$F221="Miami",+NFL!#REF!,IF(+NFL!$H221="Miami",+NFL!#REF!,0))</f>
        <v>0</v>
      </c>
      <c r="AV375" s="64">
        <f>IF(+NFL!$F221="Miami",+NFL!#REF!,IF(+NFL!$H221="Miami",+NFL!#REF!,0))</f>
        <v>0</v>
      </c>
      <c r="AW375" s="46">
        <f>IF(+NFL!$F221="Miami",+NFL!#REF!,IF(+NFL!$H221="Miami",+NFL!#REF!,0))</f>
        <v>0</v>
      </c>
      <c r="AX375" s="64">
        <f>IF(+NFL!$F221="Miami",+NFL!#REF!,IF(+NFL!$H221="Miami",+NFL!#REF!,0))</f>
        <v>0</v>
      </c>
      <c r="AY375" s="57">
        <f>IF(+NFL!$F221="Miami",+NFL!#REF!,IF(+NFL!$H221="Miami",+NFL!#REF!,0))</f>
        <v>0</v>
      </c>
      <c r="AZ375" s="64">
        <f>IF(+NFL!$F221="Miami",+NFL!#REF!,IF(+NFL!$H221="Miami",+NFL!#REF!,0))</f>
        <v>0</v>
      </c>
      <c r="BA375" s="46">
        <f>IF(+NFL!$F221="Miami",+NFL!#REF!,IF(+NFL!$H221="Miami",+NFL!#REF!,0))</f>
        <v>0</v>
      </c>
      <c r="BB375" s="46">
        <f>IF(+NFL!$F221="Miami",+NFL!#REF!,IF(+NFL!$H221="Miami",+NFL!#REF!,0))</f>
        <v>0</v>
      </c>
      <c r="BC375" s="403">
        <f>IF(+NFL!$F221="Miami",+NFL!#REF!,IF(+NFL!$H221="Miami",+NFL!#REF!,0))</f>
        <v>0</v>
      </c>
      <c r="BD375" s="57">
        <f>IF(+NFL!$F221="Miami",+NFL!#REF!,IF(+NFL!$H221="Miami",+NFL!#REF!,0))</f>
        <v>0</v>
      </c>
      <c r="BE375" s="64">
        <f>IF(+NFL!$F221="Miami",+NFL!#REF!,IF(+NFL!$H221="Miami",+NFL!#REF!,0))</f>
        <v>0</v>
      </c>
      <c r="BF375" s="46">
        <f>IF(+NFL!$F221="Miami",+NFL!#REF!,IF(+NFL!$H221="Miami",+NFL!#REF!,0))</f>
        <v>0</v>
      </c>
      <c r="BG375" s="57">
        <f>IF(+NFL!$F221="Miami",+NFL!#REF!,IF(+NFL!$H221="Miami",+NFL!#REF!,0))</f>
        <v>0</v>
      </c>
      <c r="BH375" s="64">
        <f>IF(+NFL!$F221="Miami",+NFL!#REF!,IF(+NFL!$H221="Miami",+NFL!#REF!,0))</f>
        <v>0</v>
      </c>
      <c r="BI375" s="46">
        <f>IF(+NFL!$F221="Miami",+NFL!#REF!,IF(+NFL!$H221="Miami",+NFL!#REF!,0))</f>
        <v>0</v>
      </c>
      <c r="BJ375" s="87">
        <f>IF(+NFL!$F221="Miami",+NFL!#REF!,IF(+NFL!$H221="Miami",+NFL!#REF!,0))</f>
        <v>0</v>
      </c>
      <c r="BK375" s="120">
        <f>IF(+NFL!$F221="Miami",+NFL!#REF!,IF(+NFL!$H221="Miami",+NFL!#REF!,0))</f>
        <v>0</v>
      </c>
    </row>
    <row r="376" spans="1:63" s="246" customFormat="1" x14ac:dyDescent="0.8">
      <c r="A376" s="46">
        <f>IF(+NFL!$F267="Miami",+NFL!A267,IF(+NFL!$H267="Miami",+NFL!A267,0))</f>
        <v>15</v>
      </c>
      <c r="B376" s="348" t="str">
        <f>IF(+NFL!$F267="Miami",+NFL!B267,IF(+NFL!$H267="Miami",+NFL!B267,0))</f>
        <v>Sun</v>
      </c>
      <c r="C376" s="48">
        <f>IF(+NFL!$F267="Miami",+NFL!C267,IF(+NFL!$H267="Miami",+NFL!C267,0))</f>
        <v>44913</v>
      </c>
      <c r="D376" s="490">
        <f>IF(+NFL!$F267="Miami",+NFL!D267,IF(+NFL!$H267="Miami",+NFL!D267,0))</f>
        <v>0.54166666666666663</v>
      </c>
      <c r="E376" s="46" t="str">
        <f>IF(+NFL!$F267="Miami",+NFL!E267,IF(+NFL!$H267="Miami",+NFL!E267,0))</f>
        <v>CBS</v>
      </c>
      <c r="F376" s="127" t="str">
        <f>IF(+NFL!$F267="Miami",+NFL!F267,IF(+NFL!$H267="Miami",+NFL!F267,0))</f>
        <v>Miami</v>
      </c>
      <c r="G376" s="46" t="str">
        <f>IF(+NFL!$F267="Miami",+NFL!G267,IF(+NFL!$H267="Miami",+NFL!G267,0))</f>
        <v>AFCE</v>
      </c>
      <c r="H376" s="127" t="str">
        <f>IF(+NFL!$F267="Miami",+NFL!H267,IF(+NFL!$H267="Miami",+NFL!H267,0))</f>
        <v>Buffalo</v>
      </c>
      <c r="I376" s="46" t="str">
        <f>IF(+NFL!$F267="Miami",+NFL!I267,IF(+NFL!$H267="Miami",+NFL!I267,0))</f>
        <v>AFCE</v>
      </c>
      <c r="J376" s="353" t="str">
        <f>IF(+NFL!$F267="Miami",+NFL!J267,IF(+NFL!$H267="Miami",+NFL!J267,0))</f>
        <v>Buffalo</v>
      </c>
      <c r="K376" s="494" t="str">
        <f>IF(+NFL!$F267="Miami",+NFL!K267,IF(+NFL!$H267="Miami",+NFL!K267,0))</f>
        <v>Miami</v>
      </c>
      <c r="L376" s="384">
        <f>IF(+NFL!$F267="Miami",+NFL!L267,IF(+NFL!$H267="Miami",+NFL!L267,0))</f>
        <v>6.5</v>
      </c>
      <c r="M376" s="385">
        <f>IF(+NFL!$F267="Miami",+NFL!M267,IF(+NFL!$H267="Miami",+NFL!M267,0))</f>
        <v>44.5</v>
      </c>
      <c r="N376" s="394" t="str">
        <f>IF(+NFL!$F267="Miami",+NFL!N267,IF(+NFL!$H267="Miami",+NFL!N267,0))</f>
        <v>Buffalo</v>
      </c>
      <c r="O376" s="395">
        <f>IF(+NFL!$F267="Miami",+NFL!O267,IF(+NFL!$H267="Miami",+NFL!O267,0))</f>
        <v>32</v>
      </c>
      <c r="P376" s="394" t="str">
        <f>IF(+NFL!$F267="Miami",+NFL!P267,IF(+NFL!$H267="Miami",+NFL!P267,0))</f>
        <v>Miami</v>
      </c>
      <c r="Q376" s="396">
        <f>IF(+NFL!$F267="Miami",+NFL!Q267,IF(+NFL!$H267="Miami",+NFL!Q267,0))</f>
        <v>29</v>
      </c>
      <c r="R376" s="397" t="str">
        <f>IF(+NFL!$F267="Miami",+NFL!R267,IF(+NFL!$H267="Miami",+NFL!R267,0))</f>
        <v>Miami</v>
      </c>
      <c r="S376" s="396" t="str">
        <f>IF(+NFL!$F267="Miami",+NFL!S267,IF(+NFL!$H267="Miami",+NFL!S267,0))</f>
        <v>Buffalo</v>
      </c>
      <c r="T376" s="398">
        <f>IF(+NFL!$F267="Miami",+NFL!T267,IF(+NFL!$H267="Miami",+NFL!T267,0))</f>
        <v>0</v>
      </c>
      <c r="U376" s="396" t="str">
        <f>IF(+NFL!$F267="Miami",+NFL!U267,IF(+NFL!$H267="Miami",+NFL!U267,0))</f>
        <v>L</v>
      </c>
      <c r="V376" s="397">
        <f>IF(+NFL!$F245="Miami",+NFL!#REF!,IF(+NFL!$H245="Miami",+NFL!#REF!,0))</f>
        <v>0</v>
      </c>
      <c r="W376" s="396">
        <f>IF(+NFL!$F245="Miami",+NFL!#REF!,IF(+NFL!$H245="Miami",+NFL!#REF!,0))</f>
        <v>0</v>
      </c>
      <c r="X376" s="398">
        <f>IF(+NFL!$F245="Miami",+NFL!#REF!,IF(+NFL!$H245="Miami",+NFL!#REF!,0))</f>
        <v>0</v>
      </c>
      <c r="Y376" s="396">
        <f>IF(+NFL!$F245="Miami",+NFL!#REF!,IF(+NFL!$H245="Miami",+NFL!#REF!,0))</f>
        <v>0</v>
      </c>
      <c r="Z376" s="397">
        <f>IF(+NFL!$F245="Miami",+NFL!#REF!,IF(+NFL!$H245="Miami",+NFL!#REF!,0))</f>
        <v>0</v>
      </c>
      <c r="AA376" s="396">
        <f>IF(+NFL!$F245="Miami",+NFL!#REF!,IF(+NFL!$H245="Miami",+NFL!#REF!,0))</f>
        <v>0</v>
      </c>
      <c r="AB376" s="87">
        <f>IF(+NFL!$F245="Miami",+NFL!#REF!,IF(+NFL!$H245="Miami",+NFL!#REF!,0))</f>
        <v>0</v>
      </c>
      <c r="AC376" s="120">
        <f>IF(+NFL!$F245="Miami",+NFL!#REF!,IF(+NFL!$H245="Miami",+NFL!#REF!,0))</f>
        <v>0</v>
      </c>
      <c r="AD376" s="353">
        <f>IF(+NFL!$F245="Miami",+NFL!#REF!,IF(+NFL!$H245="Miami",+NFL!#REF!,0))</f>
        <v>0</v>
      </c>
      <c r="AE376" s="379">
        <f>IF(+NFL!$F245="Miami",+NFL!#REF!,IF(+NFL!$H245="Miami",+NFL!#REF!,0))</f>
        <v>0</v>
      </c>
      <c r="AF376" s="353">
        <f>IF(+NFL!$F245="Miami",+NFL!#REF!,IF(+NFL!$H245="Miami",+NFL!#REF!,0))</f>
        <v>0</v>
      </c>
      <c r="AG376" s="379">
        <f>IF(+NFL!$F245="Miami",+NFL!#REF!,IF(+NFL!$H245="Miami",+NFL!#REF!,0))</f>
        <v>0</v>
      </c>
      <c r="AH376" s="353">
        <f>IF(+NFL!$F245="Miami",+NFL!#REF!,IF(+NFL!$H245="Miami",+NFL!#REF!,0))</f>
        <v>0</v>
      </c>
      <c r="AI376" s="379">
        <f>IF(+NFL!$F245="Miami",+NFL!#REF!,IF(+NFL!$H245="Miami",+NFL!#REF!,0))</f>
        <v>0</v>
      </c>
      <c r="AJ376" s="353">
        <f>IF(+NFL!$F245="Miami",+NFL!#REF!,IF(+NFL!$H245="Miami",+NFL!#REF!,0))</f>
        <v>0</v>
      </c>
      <c r="AK376" s="379">
        <f>IF(+NFL!$F245="Miami",+NFL!#REF!,IF(+NFL!$H245="Miami",+NFL!#REF!,0))</f>
        <v>0</v>
      </c>
      <c r="AL376" s="68">
        <f>IF(+NFL!$F245="Miami",+NFL!#REF!,IF(+NFL!$H245="Miami",+NFL!#REF!,0))</f>
        <v>0</v>
      </c>
      <c r="AM376" s="58">
        <f>IF(+NFL!$F245="Miami",+NFL!#REF!,IF(+NFL!$H245="Miami",+NFL!#REF!,0))</f>
        <v>0</v>
      </c>
      <c r="AN376" s="57">
        <f>IF(+NFL!$F245="Miami",+NFL!#REF!,IF(+NFL!$H245="Miami",+NFL!#REF!,0))</f>
        <v>0</v>
      </c>
      <c r="AO376" s="59">
        <f>IF(+NFL!$F245="Miami",+NFL!#REF!,IF(+NFL!$H245="Miami",+NFL!#REF!,0))</f>
        <v>0</v>
      </c>
      <c r="AP376" s="348">
        <f>IF(+NFL!$F245="Miami",+NFL!#REF!,IF(+NFL!$H245="Miami",+NFL!#REF!,0))</f>
        <v>0</v>
      </c>
      <c r="AQ376" s="48">
        <f>IF(+NFL!$F245="Miami",+NFL!#REF!,IF(+NFL!$H245="Miami",+NFL!#REF!,0))</f>
        <v>0</v>
      </c>
      <c r="AR376" s="57">
        <f>IF(+NFL!$F245="Miami",+NFL!#REF!,IF(+NFL!$H245="Miami",+NFL!#REF!,0))</f>
        <v>0</v>
      </c>
      <c r="AS376" s="64">
        <f>IF(+NFL!$F245="Miami",+NFL!#REF!,IF(+NFL!$H245="Miami",+NFL!#REF!,0))</f>
        <v>0</v>
      </c>
      <c r="AT376" s="64">
        <f>IF(+NFL!$F245="Miami",+NFL!#REF!,IF(+NFL!$H245="Miami",+NFL!#REF!,0))</f>
        <v>0</v>
      </c>
      <c r="AU376" s="57">
        <f>IF(+NFL!$F245="Miami",+NFL!#REF!,IF(+NFL!$H245="Miami",+NFL!#REF!,0))</f>
        <v>0</v>
      </c>
      <c r="AV376" s="64">
        <f>IF(+NFL!$F245="Miami",+NFL!#REF!,IF(+NFL!$H245="Miami",+NFL!#REF!,0))</f>
        <v>0</v>
      </c>
      <c r="AW376" s="46">
        <f>IF(+NFL!$F245="Miami",+NFL!#REF!,IF(+NFL!$H245="Miami",+NFL!#REF!,0))</f>
        <v>0</v>
      </c>
      <c r="AX376" s="64">
        <f>IF(+NFL!$F245="Miami",+NFL!#REF!,IF(+NFL!$H245="Miami",+NFL!#REF!,0))</f>
        <v>0</v>
      </c>
      <c r="AY376" s="57">
        <f>IF(+NFL!$F245="Miami",+NFL!#REF!,IF(+NFL!$H245="Miami",+NFL!#REF!,0))</f>
        <v>0</v>
      </c>
      <c r="AZ376" s="64">
        <f>IF(+NFL!$F245="Miami",+NFL!#REF!,IF(+NFL!$H245="Miami",+NFL!#REF!,0))</f>
        <v>0</v>
      </c>
      <c r="BA376" s="46">
        <f>IF(+NFL!$F245="Miami",+NFL!#REF!,IF(+NFL!$H245="Miami",+NFL!#REF!,0))</f>
        <v>0</v>
      </c>
      <c r="BB376" s="46">
        <f>IF(+NFL!$F245="Miami",+NFL!#REF!,IF(+NFL!$H245="Miami",+NFL!#REF!,0))</f>
        <v>0</v>
      </c>
      <c r="BC376" s="403">
        <f>IF(+NFL!$F245="Miami",+NFL!#REF!,IF(+NFL!$H245="Miami",+NFL!#REF!,0))</f>
        <v>0</v>
      </c>
      <c r="BD376" s="57">
        <f>IF(+NFL!$F245="Miami",+NFL!#REF!,IF(+NFL!$H245="Miami",+NFL!#REF!,0))</f>
        <v>0</v>
      </c>
      <c r="BE376" s="64">
        <f>IF(+NFL!$F245="Miami",+NFL!#REF!,IF(+NFL!$H245="Miami",+NFL!#REF!,0))</f>
        <v>0</v>
      </c>
      <c r="BF376" s="46">
        <f>IF(+NFL!$F245="Miami",+NFL!#REF!,IF(+NFL!$H245="Miami",+NFL!#REF!,0))</f>
        <v>0</v>
      </c>
      <c r="BG376" s="57">
        <f>IF(+NFL!$F245="Miami",+NFL!#REF!,IF(+NFL!$H245="Miami",+NFL!#REF!,0))</f>
        <v>0</v>
      </c>
      <c r="BH376" s="64">
        <f>IF(+NFL!$F245="Miami",+NFL!#REF!,IF(+NFL!$H245="Miami",+NFL!#REF!,0))</f>
        <v>0</v>
      </c>
      <c r="BI376" s="46">
        <f>IF(+NFL!$F245="Miami",+NFL!#REF!,IF(+NFL!$H245="Miami",+NFL!#REF!,0))</f>
        <v>0</v>
      </c>
      <c r="BJ376" s="87">
        <f>IF(+NFL!$F245="Miami",+NFL!#REF!,IF(+NFL!$H245="Miami",+NFL!#REF!,0))</f>
        <v>0</v>
      </c>
      <c r="BK376" s="120">
        <f>IF(+NFL!$F245="Miami",+NFL!#REF!,IF(+NFL!$H245="Miami",+NFL!#REF!,0))</f>
        <v>0</v>
      </c>
    </row>
    <row r="377" spans="1:63" s="246" customFormat="1" x14ac:dyDescent="0.8">
      <c r="A377" s="46">
        <f>IF(+NFL!$F295="Miami",+NFL!A295,IF(+NFL!$H295="Miami",+NFL!A295,0))</f>
        <v>16</v>
      </c>
      <c r="B377" s="348" t="str">
        <f>IF(+NFL!$F295="Miami",+NFL!B295,IF(+NFL!$H295="Miami",+NFL!B295,0))</f>
        <v>Sun</v>
      </c>
      <c r="C377" s="48">
        <f>IF(+NFL!$F295="Miami",+NFL!C295,IF(+NFL!$H295="Miami",+NFL!C295,0))</f>
        <v>44920</v>
      </c>
      <c r="D377" s="490">
        <f>IF(+NFL!$F295="Miami",+NFL!D295,IF(+NFL!$H295="Miami",+NFL!D295,0))</f>
        <v>0.54166666666666663</v>
      </c>
      <c r="E377" s="46" t="str">
        <f>IF(+NFL!$F295="Miami",+NFL!E295,IF(+NFL!$H295="Miami",+NFL!E295,0))</f>
        <v>Fox</v>
      </c>
      <c r="F377" s="127" t="str">
        <f>IF(+NFL!$F295="Miami",+NFL!F295,IF(+NFL!$H295="Miami",+NFL!F295,0))</f>
        <v>Green Bay</v>
      </c>
      <c r="G377" s="46" t="str">
        <f>IF(+NFL!$F295="Miami",+NFL!G295,IF(+NFL!$H295="Miami",+NFL!G295,0))</f>
        <v>NFCN</v>
      </c>
      <c r="H377" s="127" t="str">
        <f>IF(+NFL!$F295="Miami",+NFL!H295,IF(+NFL!$H295="Miami",+NFL!H295,0))</f>
        <v>Miami</v>
      </c>
      <c r="I377" s="46" t="str">
        <f>IF(+NFL!$F295="Miami",+NFL!I295,IF(+NFL!$H295="Miami",+NFL!I295,0))</f>
        <v>AFCE</v>
      </c>
      <c r="J377" s="353" t="str">
        <f>IF(+NFL!$F295="Miami",+NFL!J295,IF(+NFL!$H295="Miami",+NFL!J295,0))</f>
        <v>Miami</v>
      </c>
      <c r="K377" s="494" t="str">
        <f>IF(+NFL!$F295="Miami",+NFL!K295,IF(+NFL!$H295="Miami",+NFL!K295,0))</f>
        <v>Green Bay</v>
      </c>
      <c r="L377" s="384">
        <f>IF(+NFL!$F295="Miami",+NFL!L295,IF(+NFL!$H295="Miami",+NFL!L295,0))</f>
        <v>3.5</v>
      </c>
      <c r="M377" s="385">
        <f>IF(+NFL!$F295="Miami",+NFL!M295,IF(+NFL!$H295="Miami",+NFL!M295,0))</f>
        <v>49.5</v>
      </c>
      <c r="N377" s="394" t="str">
        <f>IF(+NFL!$F295="Miami",+NFL!N295,IF(+NFL!$H295="Miami",+NFL!N295,0))</f>
        <v>Green Bay</v>
      </c>
      <c r="O377" s="395">
        <f>IF(+NFL!$F295="Miami",+NFL!O295,IF(+NFL!$H295="Miami",+NFL!O295,0))</f>
        <v>26</v>
      </c>
      <c r="P377" s="394" t="str">
        <f>IF(+NFL!$F295="Miami",+NFL!P295,IF(+NFL!$H295="Miami",+NFL!P295,0))</f>
        <v>Miami</v>
      </c>
      <c r="Q377" s="396">
        <f>IF(+NFL!$F295="Miami",+NFL!Q295,IF(+NFL!$H295="Miami",+NFL!Q295,0))</f>
        <v>20</v>
      </c>
      <c r="R377" s="397" t="str">
        <f>IF(+NFL!$F295="Miami",+NFL!R295,IF(+NFL!$H295="Miami",+NFL!R295,0))</f>
        <v>Green Bay</v>
      </c>
      <c r="S377" s="396" t="str">
        <f>IF(+NFL!$F295="Miami",+NFL!S295,IF(+NFL!$H295="Miami",+NFL!S295,0))</f>
        <v>Miami</v>
      </c>
      <c r="T377" s="398">
        <f>IF(+NFL!$F295="Miami",+NFL!T295,IF(+NFL!$H295="Miami",+NFL!T295,0))</f>
        <v>0</v>
      </c>
      <c r="U377" s="396" t="str">
        <f>IF(+NFL!$F295="Miami",+NFL!U295,IF(+NFL!$H295="Miami",+NFL!U295,0))</f>
        <v>L</v>
      </c>
      <c r="V377" s="397">
        <f>IF(+NFL!$F271="Miami",+NFL!#REF!,IF(+NFL!$H271="Miami",+NFL!#REF!,0))</f>
        <v>0</v>
      </c>
      <c r="W377" s="396">
        <f>IF(+NFL!$F271="Miami",+NFL!#REF!,IF(+NFL!$H271="Miami",+NFL!#REF!,0))</f>
        <v>0</v>
      </c>
      <c r="X377" s="398">
        <f>IF(+NFL!$F271="Miami",+NFL!#REF!,IF(+NFL!$H271="Miami",+NFL!#REF!,0))</f>
        <v>0</v>
      </c>
      <c r="Y377" s="396">
        <f>IF(+NFL!$F271="Miami",+NFL!#REF!,IF(+NFL!$H271="Miami",+NFL!#REF!,0))</f>
        <v>0</v>
      </c>
      <c r="Z377" s="397">
        <f>IF(+NFL!$F271="Miami",+NFL!#REF!,IF(+NFL!$H271="Miami",+NFL!#REF!,0))</f>
        <v>0</v>
      </c>
      <c r="AA377" s="396">
        <f>IF(+NFL!$F271="Miami",+NFL!#REF!,IF(+NFL!$H271="Miami",+NFL!#REF!,0))</f>
        <v>0</v>
      </c>
      <c r="AB377" s="87">
        <f>IF(+NFL!$F271="Miami",+NFL!#REF!,IF(+NFL!$H271="Miami",+NFL!#REF!,0))</f>
        <v>0</v>
      </c>
      <c r="AC377" s="120">
        <f>IF(+NFL!$F271="Miami",+NFL!#REF!,IF(+NFL!$H271="Miami",+NFL!#REF!,0))</f>
        <v>0</v>
      </c>
      <c r="AD377" s="353">
        <f>IF(+NFL!$F271="Miami",+NFL!#REF!,IF(+NFL!$H271="Miami",+NFL!#REF!,0))</f>
        <v>0</v>
      </c>
      <c r="AE377" s="379">
        <f>IF(+NFL!$F271="Miami",+NFL!#REF!,IF(+NFL!$H271="Miami",+NFL!#REF!,0))</f>
        <v>0</v>
      </c>
      <c r="AF377" s="353">
        <f>IF(+NFL!$F271="Miami",+NFL!#REF!,IF(+NFL!$H271="Miami",+NFL!#REF!,0))</f>
        <v>0</v>
      </c>
      <c r="AG377" s="379">
        <f>IF(+NFL!$F271="Miami",+NFL!#REF!,IF(+NFL!$H271="Miami",+NFL!#REF!,0))</f>
        <v>0</v>
      </c>
      <c r="AH377" s="353">
        <f>IF(+NFL!$F271="Miami",+NFL!#REF!,IF(+NFL!$H271="Miami",+NFL!#REF!,0))</f>
        <v>0</v>
      </c>
      <c r="AI377" s="379">
        <f>IF(+NFL!$F271="Miami",+NFL!#REF!,IF(+NFL!$H271="Miami",+NFL!#REF!,0))</f>
        <v>0</v>
      </c>
      <c r="AJ377" s="353">
        <f>IF(+NFL!$F271="Miami",+NFL!#REF!,IF(+NFL!$H271="Miami",+NFL!#REF!,0))</f>
        <v>0</v>
      </c>
      <c r="AK377" s="379">
        <f>IF(+NFL!$F271="Miami",+NFL!#REF!,IF(+NFL!$H271="Miami",+NFL!#REF!,0))</f>
        <v>0</v>
      </c>
      <c r="AL377" s="68">
        <f>IF(+NFL!$F271="Miami",+NFL!#REF!,IF(+NFL!$H271="Miami",+NFL!#REF!,0))</f>
        <v>0</v>
      </c>
      <c r="AM377" s="58">
        <f>IF(+NFL!$F271="Miami",+NFL!#REF!,IF(+NFL!$H271="Miami",+NFL!#REF!,0))</f>
        <v>0</v>
      </c>
      <c r="AN377" s="57">
        <f>IF(+NFL!$F271="Miami",+NFL!#REF!,IF(+NFL!$H271="Miami",+NFL!#REF!,0))</f>
        <v>0</v>
      </c>
      <c r="AO377" s="59">
        <f>IF(+NFL!$F271="Miami",+NFL!#REF!,IF(+NFL!$H271="Miami",+NFL!#REF!,0))</f>
        <v>0</v>
      </c>
      <c r="AP377" s="348">
        <f>IF(+NFL!$F271="Miami",+NFL!#REF!,IF(+NFL!$H271="Miami",+NFL!#REF!,0))</f>
        <v>0</v>
      </c>
      <c r="AQ377" s="48">
        <f>IF(+NFL!$F271="Miami",+NFL!#REF!,IF(+NFL!$H271="Miami",+NFL!#REF!,0))</f>
        <v>0</v>
      </c>
      <c r="AR377" s="57">
        <f>IF(+NFL!$F271="Miami",+NFL!#REF!,IF(+NFL!$H271="Miami",+NFL!#REF!,0))</f>
        <v>0</v>
      </c>
      <c r="AS377" s="64">
        <f>IF(+NFL!$F271="Miami",+NFL!#REF!,IF(+NFL!$H271="Miami",+NFL!#REF!,0))</f>
        <v>0</v>
      </c>
      <c r="AT377" s="64">
        <f>IF(+NFL!$F271="Miami",+NFL!#REF!,IF(+NFL!$H271="Miami",+NFL!#REF!,0))</f>
        <v>0</v>
      </c>
      <c r="AU377" s="57">
        <f>IF(+NFL!$F271="Miami",+NFL!#REF!,IF(+NFL!$H271="Miami",+NFL!#REF!,0))</f>
        <v>0</v>
      </c>
      <c r="AV377" s="64">
        <f>IF(+NFL!$F271="Miami",+NFL!#REF!,IF(+NFL!$H271="Miami",+NFL!#REF!,0))</f>
        <v>0</v>
      </c>
      <c r="AW377" s="46">
        <f>IF(+NFL!$F271="Miami",+NFL!#REF!,IF(+NFL!$H271="Miami",+NFL!#REF!,0))</f>
        <v>0</v>
      </c>
      <c r="AX377" s="64">
        <f>IF(+NFL!$F271="Miami",+NFL!#REF!,IF(+NFL!$H271="Miami",+NFL!#REF!,0))</f>
        <v>0</v>
      </c>
      <c r="AY377" s="57">
        <f>IF(+NFL!$F271="Miami",+NFL!#REF!,IF(+NFL!$H271="Miami",+NFL!#REF!,0))</f>
        <v>0</v>
      </c>
      <c r="AZ377" s="64">
        <f>IF(+NFL!$F271="Miami",+NFL!#REF!,IF(+NFL!$H271="Miami",+NFL!#REF!,0))</f>
        <v>0</v>
      </c>
      <c r="BA377" s="46">
        <f>IF(+NFL!$F271="Miami",+NFL!#REF!,IF(+NFL!$H271="Miami",+NFL!#REF!,0))</f>
        <v>0</v>
      </c>
      <c r="BB377" s="46">
        <f>IF(+NFL!$F271="Miami",+NFL!#REF!,IF(+NFL!$H271="Miami",+NFL!#REF!,0))</f>
        <v>0</v>
      </c>
      <c r="BC377" s="403">
        <f>IF(+NFL!$F271="Miami",+NFL!#REF!,IF(+NFL!$H271="Miami",+NFL!#REF!,0))</f>
        <v>0</v>
      </c>
      <c r="BD377" s="57">
        <f>IF(+NFL!$F271="Miami",+NFL!#REF!,IF(+NFL!$H271="Miami",+NFL!#REF!,0))</f>
        <v>0</v>
      </c>
      <c r="BE377" s="64">
        <f>IF(+NFL!$F271="Miami",+NFL!#REF!,IF(+NFL!$H271="Miami",+NFL!#REF!,0))</f>
        <v>0</v>
      </c>
      <c r="BF377" s="46">
        <f>IF(+NFL!$F271="Miami",+NFL!#REF!,IF(+NFL!$H271="Miami",+NFL!#REF!,0))</f>
        <v>0</v>
      </c>
      <c r="BG377" s="57">
        <f>IF(+NFL!$F271="Miami",+NFL!#REF!,IF(+NFL!$H271="Miami",+NFL!#REF!,0))</f>
        <v>0</v>
      </c>
      <c r="BH377" s="64">
        <f>IF(+NFL!$F271="Miami",+NFL!#REF!,IF(+NFL!$H271="Miami",+NFL!#REF!,0))</f>
        <v>0</v>
      </c>
      <c r="BI377" s="46">
        <f>IF(+NFL!$F271="Miami",+NFL!#REF!,IF(+NFL!$H271="Miami",+NFL!#REF!,0))</f>
        <v>0</v>
      </c>
      <c r="BJ377" s="87">
        <f>IF(+NFL!$F271="Miami",+NFL!#REF!,IF(+NFL!$H271="Miami",+NFL!#REF!,0))</f>
        <v>0</v>
      </c>
      <c r="BK377" s="120">
        <f>IF(+NFL!$F271="Miami",+NFL!#REF!,IF(+NFL!$H271="Miami",+NFL!#REF!,0))</f>
        <v>0</v>
      </c>
    </row>
    <row r="378" spans="1:63" s="246" customFormat="1" x14ac:dyDescent="0.8">
      <c r="A378" s="46">
        <f>IF(+NFL!$F304="Miami",+NFL!A304,IF(+NFL!$H304="Miami",+NFL!A304,0))</f>
        <v>17</v>
      </c>
      <c r="B378" s="348" t="str">
        <f>IF(+NFL!$F304="Miami",+NFL!B304,IF(+NFL!$H304="Miami",+NFL!B304,0))</f>
        <v>Sun</v>
      </c>
      <c r="C378" s="48">
        <f>IF(+NFL!$F304="Miami",+NFL!C304,IF(+NFL!$H304="Miami",+NFL!C304,0))</f>
        <v>44927</v>
      </c>
      <c r="D378" s="490">
        <f>IF(+NFL!$F304="Miami",+NFL!D304,IF(+NFL!$H304="Miami",+NFL!D304,0))</f>
        <v>0.54166666666666663</v>
      </c>
      <c r="E378" s="46" t="str">
        <f>IF(+NFL!$F304="Miami",+NFL!E304,IF(+NFL!$H304="Miami",+NFL!E304,0))</f>
        <v>CBS</v>
      </c>
      <c r="F378" s="127" t="str">
        <f>IF(+NFL!$F304="Miami",+NFL!F304,IF(+NFL!$H304="Miami",+NFL!F304,0))</f>
        <v>Miami</v>
      </c>
      <c r="G378" s="46" t="str">
        <f>IF(+NFL!$F304="Miami",+NFL!G304,IF(+NFL!$H304="Miami",+NFL!G304,0))</f>
        <v>AFCE</v>
      </c>
      <c r="H378" s="127" t="str">
        <f>IF(+NFL!$F304="Miami",+NFL!H304,IF(+NFL!$H304="Miami",+NFL!H304,0))</f>
        <v>New England</v>
      </c>
      <c r="I378" s="46" t="str">
        <f>IF(+NFL!$F304="Miami",+NFL!I304,IF(+NFL!$H304="Miami",+NFL!I304,0))</f>
        <v>AFCE</v>
      </c>
      <c r="J378" s="353" t="str">
        <f>IF(+NFL!$F304="Miami",+NFL!J304,IF(+NFL!$H304="Miami",+NFL!J304,0))</f>
        <v>New England</v>
      </c>
      <c r="K378" s="494" t="str">
        <f>IF(+NFL!$F304="Miami",+NFL!K304,IF(+NFL!$H304="Miami",+NFL!K304,0))</f>
        <v>Miami</v>
      </c>
      <c r="L378" s="384">
        <f>IF(+NFL!$F304="Miami",+NFL!L304,IF(+NFL!$H304="Miami",+NFL!L304,0))</f>
        <v>3</v>
      </c>
      <c r="M378" s="385">
        <f>IF(+NFL!$F304="Miami",+NFL!M304,IF(+NFL!$H304="Miami",+NFL!M304,0))</f>
        <v>41.5</v>
      </c>
      <c r="N378" s="394" t="str">
        <f>IF(+NFL!$F304="Miami",+NFL!N304,IF(+NFL!$H304="Miami",+NFL!N304,0))</f>
        <v>New England</v>
      </c>
      <c r="O378" s="395">
        <f>IF(+NFL!$F304="Miami",+NFL!O304,IF(+NFL!$H304="Miami",+NFL!O304,0))</f>
        <v>23</v>
      </c>
      <c r="P378" s="394" t="str">
        <f>IF(+NFL!$F304="Miami",+NFL!P304,IF(+NFL!$H304="Miami",+NFL!P304,0))</f>
        <v>Miami</v>
      </c>
      <c r="Q378" s="396">
        <f>IF(+NFL!$F304="Miami",+NFL!Q304,IF(+NFL!$H304="Miami",+NFL!Q304,0))</f>
        <v>21</v>
      </c>
      <c r="R378" s="397" t="str">
        <f>IF(+NFL!$F304="Miami",+NFL!R304,IF(+NFL!$H304="Miami",+NFL!R304,0))</f>
        <v>Miami</v>
      </c>
      <c r="S378" s="396" t="str">
        <f>IF(+NFL!$F304="Miami",+NFL!S304,IF(+NFL!$H304="Miami",+NFL!S304,0))</f>
        <v>New England</v>
      </c>
      <c r="T378" s="398">
        <f>IF(+NFL!$F304="Miami",+NFL!T304,IF(+NFL!$H304="Miami",+NFL!T304,0))</f>
        <v>0</v>
      </c>
      <c r="U378" s="396" t="str">
        <f>IF(+NFL!$F304="Miami",+NFL!U304,IF(+NFL!$H304="Miami",+NFL!U304,0))</f>
        <v>L</v>
      </c>
      <c r="V378" s="397">
        <f>IF(+NFL!$F289="Miami",+NFL!#REF!,IF(+NFL!$H289="Miami",+NFL!#REF!,0))</f>
        <v>0</v>
      </c>
      <c r="W378" s="396">
        <f>IF(+NFL!$F289="Miami",+NFL!#REF!,IF(+NFL!$H289="Miami",+NFL!#REF!,0))</f>
        <v>0</v>
      </c>
      <c r="X378" s="398">
        <f>IF(+NFL!$F289="Miami",+NFL!#REF!,IF(+NFL!$H289="Miami",+NFL!#REF!,0))</f>
        <v>0</v>
      </c>
      <c r="Y378" s="396">
        <f>IF(+NFL!$F289="Miami",+NFL!#REF!,IF(+NFL!$H289="Miami",+NFL!#REF!,0))</f>
        <v>0</v>
      </c>
      <c r="Z378" s="397">
        <f>IF(+NFL!$F289="Miami",+NFL!#REF!,IF(+NFL!$H289="Miami",+NFL!#REF!,0))</f>
        <v>0</v>
      </c>
      <c r="AA378" s="396">
        <f>IF(+NFL!$F289="Miami",+NFL!#REF!,IF(+NFL!$H289="Miami",+NFL!#REF!,0))</f>
        <v>0</v>
      </c>
      <c r="AB378" s="87">
        <f>IF(+NFL!$F289="Miami",+NFL!#REF!,IF(+NFL!$H289="Miami",+NFL!#REF!,0))</f>
        <v>0</v>
      </c>
      <c r="AC378" s="120">
        <f>IF(+NFL!$F289="Miami",+NFL!#REF!,IF(+NFL!$H289="Miami",+NFL!#REF!,0))</f>
        <v>0</v>
      </c>
      <c r="AD378" s="353">
        <f>IF(+NFL!$F289="Miami",+NFL!#REF!,IF(+NFL!$H289="Miami",+NFL!#REF!,0))</f>
        <v>0</v>
      </c>
      <c r="AE378" s="379">
        <f>IF(+NFL!$F289="Miami",+NFL!#REF!,IF(+NFL!$H289="Miami",+NFL!#REF!,0))</f>
        <v>0</v>
      </c>
      <c r="AF378" s="353">
        <f>IF(+NFL!$F289="Miami",+NFL!#REF!,IF(+NFL!$H289="Miami",+NFL!#REF!,0))</f>
        <v>0</v>
      </c>
      <c r="AG378" s="379">
        <f>IF(+NFL!$F289="Miami",+NFL!#REF!,IF(+NFL!$H289="Miami",+NFL!#REF!,0))</f>
        <v>0</v>
      </c>
      <c r="AH378" s="353">
        <f>IF(+NFL!$F289="Miami",+NFL!#REF!,IF(+NFL!$H289="Miami",+NFL!#REF!,0))</f>
        <v>0</v>
      </c>
      <c r="AI378" s="379">
        <f>IF(+NFL!$F289="Miami",+NFL!#REF!,IF(+NFL!$H289="Miami",+NFL!#REF!,0))</f>
        <v>0</v>
      </c>
      <c r="AJ378" s="353">
        <f>IF(+NFL!$F289="Miami",+NFL!#REF!,IF(+NFL!$H289="Miami",+NFL!#REF!,0))</f>
        <v>0</v>
      </c>
      <c r="AK378" s="379">
        <f>IF(+NFL!$F289="Miami",+NFL!#REF!,IF(+NFL!$H289="Miami",+NFL!#REF!,0))</f>
        <v>0</v>
      </c>
      <c r="AL378" s="68">
        <f>IF(+NFL!$F289="Miami",+NFL!#REF!,IF(+NFL!$H289="Miami",+NFL!#REF!,0))</f>
        <v>0</v>
      </c>
      <c r="AM378" s="58">
        <f>IF(+NFL!$F289="Miami",+NFL!#REF!,IF(+NFL!$H289="Miami",+NFL!#REF!,0))</f>
        <v>0</v>
      </c>
      <c r="AN378" s="57">
        <f>IF(+NFL!$F289="Miami",+NFL!#REF!,IF(+NFL!$H289="Miami",+NFL!#REF!,0))</f>
        <v>0</v>
      </c>
      <c r="AO378" s="59">
        <f>IF(+NFL!$F289="Miami",+NFL!#REF!,IF(+NFL!$H289="Miami",+NFL!#REF!,0))</f>
        <v>0</v>
      </c>
      <c r="AP378" s="348">
        <f>IF(+NFL!$F289="Miami",+NFL!#REF!,IF(+NFL!$H289="Miami",+NFL!#REF!,0))</f>
        <v>0</v>
      </c>
      <c r="AQ378" s="48">
        <f>IF(+NFL!$F289="Miami",+NFL!#REF!,IF(+NFL!$H289="Miami",+NFL!#REF!,0))</f>
        <v>0</v>
      </c>
      <c r="AR378" s="57">
        <f>IF(+NFL!$F289="Miami",+NFL!#REF!,IF(+NFL!$H289="Miami",+NFL!#REF!,0))</f>
        <v>0</v>
      </c>
      <c r="AS378" s="64">
        <f>IF(+NFL!$F289="Miami",+NFL!#REF!,IF(+NFL!$H289="Miami",+NFL!#REF!,0))</f>
        <v>0</v>
      </c>
      <c r="AT378" s="64">
        <f>IF(+NFL!$F289="Miami",+NFL!#REF!,IF(+NFL!$H289="Miami",+NFL!#REF!,0))</f>
        <v>0</v>
      </c>
      <c r="AU378" s="57">
        <f>IF(+NFL!$F289="Miami",+NFL!#REF!,IF(+NFL!$H289="Miami",+NFL!#REF!,0))</f>
        <v>0</v>
      </c>
      <c r="AV378" s="64">
        <f>IF(+NFL!$F289="Miami",+NFL!#REF!,IF(+NFL!$H289="Miami",+NFL!#REF!,0))</f>
        <v>0</v>
      </c>
      <c r="AW378" s="46">
        <f>IF(+NFL!$F289="Miami",+NFL!#REF!,IF(+NFL!$H289="Miami",+NFL!#REF!,0))</f>
        <v>0</v>
      </c>
      <c r="AX378" s="64">
        <f>IF(+NFL!$F289="Miami",+NFL!#REF!,IF(+NFL!$H289="Miami",+NFL!#REF!,0))</f>
        <v>0</v>
      </c>
      <c r="AY378" s="57">
        <f>IF(+NFL!$F289="Miami",+NFL!#REF!,IF(+NFL!$H289="Miami",+NFL!#REF!,0))</f>
        <v>0</v>
      </c>
      <c r="AZ378" s="64">
        <f>IF(+NFL!$F289="Miami",+NFL!#REF!,IF(+NFL!$H289="Miami",+NFL!#REF!,0))</f>
        <v>0</v>
      </c>
      <c r="BA378" s="46">
        <f>IF(+NFL!$F289="Miami",+NFL!#REF!,IF(+NFL!$H289="Miami",+NFL!#REF!,0))</f>
        <v>0</v>
      </c>
      <c r="BB378" s="46">
        <f>IF(+NFL!$F289="Miami",+NFL!#REF!,IF(+NFL!$H289="Miami",+NFL!#REF!,0))</f>
        <v>0</v>
      </c>
      <c r="BC378" s="403">
        <f>IF(+NFL!$F289="Miami",+NFL!#REF!,IF(+NFL!$H289="Miami",+NFL!#REF!,0))</f>
        <v>0</v>
      </c>
      <c r="BD378" s="57">
        <f>IF(+NFL!$F289="Miami",+NFL!#REF!,IF(+NFL!$H289="Miami",+NFL!#REF!,0))</f>
        <v>0</v>
      </c>
      <c r="BE378" s="64">
        <f>IF(+NFL!$F289="Miami",+NFL!#REF!,IF(+NFL!$H289="Miami",+NFL!#REF!,0))</f>
        <v>0</v>
      </c>
      <c r="BF378" s="46">
        <f>IF(+NFL!$F289="Miami",+NFL!#REF!,IF(+NFL!$H289="Miami",+NFL!#REF!,0))</f>
        <v>0</v>
      </c>
      <c r="BG378" s="57">
        <f>IF(+NFL!$F289="Miami",+NFL!#REF!,IF(+NFL!$H289="Miami",+NFL!#REF!,0))</f>
        <v>0</v>
      </c>
      <c r="BH378" s="64">
        <f>IF(+NFL!$F289="Miami",+NFL!#REF!,IF(+NFL!$H289="Miami",+NFL!#REF!,0))</f>
        <v>0</v>
      </c>
      <c r="BI378" s="46">
        <f>IF(+NFL!$F289="Miami",+NFL!#REF!,IF(+NFL!$H289="Miami",+NFL!#REF!,0))</f>
        <v>0</v>
      </c>
      <c r="BJ378" s="87">
        <f>IF(+NFL!$F289="Miami",+NFL!#REF!,IF(+NFL!$H289="Miami",+NFL!#REF!,0))</f>
        <v>0</v>
      </c>
      <c r="BK378" s="120">
        <f>IF(+NFL!$F289="Miami",+NFL!#REF!,IF(+NFL!$H289="Miami",+NFL!#REF!,0))</f>
        <v>0</v>
      </c>
    </row>
    <row r="379" spans="1:63" s="246" customFormat="1" x14ac:dyDescent="0.8">
      <c r="A379" s="46">
        <f>IF(+NFL!$F324="Miami",+NFL!A324,IF(+NFL!$H324="Miami",+NFL!A324,0))</f>
        <v>0</v>
      </c>
      <c r="B379" s="348">
        <f>IF(+NFL!$F324="Miami",+NFL!B324,IF(+NFL!$H324="Miami",+NFL!B324,0))</f>
        <v>0</v>
      </c>
      <c r="C379" s="48">
        <f>IF(+NFL!$F324="Miami",+NFL!C324,IF(+NFL!$H324="Miami",+NFL!C324,0))</f>
        <v>0</v>
      </c>
      <c r="D379" s="490">
        <f>IF(+NFL!$F324="Miami",+NFL!D324,IF(+NFL!$H324="Miami",+NFL!D324,0))</f>
        <v>0</v>
      </c>
      <c r="E379" s="46">
        <f>IF(+NFL!$F324="Miami",+NFL!E324,IF(+NFL!$H324="Miami",+NFL!E324,0))</f>
        <v>0</v>
      </c>
      <c r="F379" s="127">
        <f>IF(+NFL!$F324="Miami",+NFL!F324,IF(+NFL!$H324="Miami",+NFL!F324,0))</f>
        <v>0</v>
      </c>
      <c r="G379" s="46">
        <f>IF(+NFL!$F324="Miami",+NFL!G324,IF(+NFL!$H324="Miami",+NFL!G324,0))</f>
        <v>0</v>
      </c>
      <c r="H379" s="127">
        <f>IF(+NFL!$F324="Miami",+NFL!H324,IF(+NFL!$H324="Miami",+NFL!H324,0))</f>
        <v>0</v>
      </c>
      <c r="I379" s="46">
        <f>IF(+NFL!$F324="Miami",+NFL!I324,IF(+NFL!$H324="Miami",+NFL!I324,0))</f>
        <v>0</v>
      </c>
      <c r="J379" s="353">
        <f>IF(+NFL!$F324="Miami",+NFL!J324,IF(+NFL!$H324="Miami",+NFL!J324,0))</f>
        <v>0</v>
      </c>
      <c r="K379" s="494">
        <f>IF(+NFL!$F324="Miami",+NFL!K324,IF(+NFL!$H324="Miami",+NFL!K324,0))</f>
        <v>0</v>
      </c>
      <c r="L379" s="384">
        <f>IF(+NFL!$F324="Miami",+NFL!L324,IF(+NFL!$H324="Miami",+NFL!L324,0))</f>
        <v>0</v>
      </c>
      <c r="M379" s="385">
        <f>IF(+NFL!$F324="Miami",+NFL!M324,IF(+NFL!$H324="Miami",+NFL!M324,0))</f>
        <v>0</v>
      </c>
      <c r="N379" s="394">
        <f>IF(+NFL!$F324="Miami",+NFL!N324,IF(+NFL!$H324="Miami",+NFL!N324,0))</f>
        <v>0</v>
      </c>
      <c r="O379" s="395">
        <f>IF(+NFL!$F324="Miami",+NFL!O324,IF(+NFL!$H324="Miami",+NFL!O324,0))</f>
        <v>0</v>
      </c>
      <c r="P379" s="394">
        <f>IF(+NFL!$F324="Miami",+NFL!P324,IF(+NFL!$H324="Miami",+NFL!P324,0))</f>
        <v>0</v>
      </c>
      <c r="Q379" s="396">
        <f>IF(+NFL!$F324="Miami",+NFL!Q324,IF(+NFL!$H324="Miami",+NFL!Q324,0))</f>
        <v>0</v>
      </c>
      <c r="R379" s="397">
        <f>IF(+NFL!$F324="Miami",+NFL!R324,IF(+NFL!$H324="Miami",+NFL!R324,0))</f>
        <v>0</v>
      </c>
      <c r="S379" s="396">
        <f>IF(+NFL!$F324="Miami",+NFL!S324,IF(+NFL!$H324="Miami",+NFL!S324,0))</f>
        <v>0</v>
      </c>
      <c r="T379" s="398">
        <f>IF(+NFL!$F324="Miami",+NFL!T324,IF(+NFL!$H324="Miami",+NFL!T324,0))</f>
        <v>0</v>
      </c>
      <c r="U379" s="396">
        <f>IF(+NFL!$F324="Miami",+NFL!U324,IF(+NFL!$H324="Miami",+NFL!U324,0))</f>
        <v>0</v>
      </c>
      <c r="V379" s="397">
        <f>IF(+NFL!$F306="Miami",+NFL!#REF!,IF(+NFL!$H306="Miami",+NFL!#REF!,0))</f>
        <v>0</v>
      </c>
      <c r="W379" s="396">
        <f>IF(+NFL!$F306="Miami",+NFL!#REF!,IF(+NFL!$H306="Miami",+NFL!#REF!,0))</f>
        <v>0</v>
      </c>
      <c r="X379" s="398">
        <f>IF(+NFL!$F306="Miami",+NFL!#REF!,IF(+NFL!$H306="Miami",+NFL!#REF!,0))</f>
        <v>0</v>
      </c>
      <c r="Y379" s="396">
        <f>IF(+NFL!$F306="Miami",+NFL!#REF!,IF(+NFL!$H306="Miami",+NFL!#REF!,0))</f>
        <v>0</v>
      </c>
      <c r="Z379" s="397">
        <f>IF(+NFL!$F306="Miami",+NFL!#REF!,IF(+NFL!$H306="Miami",+NFL!#REF!,0))</f>
        <v>0</v>
      </c>
      <c r="AA379" s="396">
        <f>IF(+NFL!$F306="Miami",+NFL!#REF!,IF(+NFL!$H306="Miami",+NFL!#REF!,0))</f>
        <v>0</v>
      </c>
      <c r="AB379" s="87">
        <f>IF(+NFL!$F306="Miami",+NFL!#REF!,IF(+NFL!$H306="Miami",+NFL!#REF!,0))</f>
        <v>0</v>
      </c>
      <c r="AC379" s="120">
        <f>IF(+NFL!$F306="Miami",+NFL!#REF!,IF(+NFL!$H306="Miami",+NFL!#REF!,0))</f>
        <v>0</v>
      </c>
      <c r="AD379" s="353">
        <f>IF(+NFL!$F306="Miami",+NFL!#REF!,IF(+NFL!$H306="Miami",+NFL!#REF!,0))</f>
        <v>0</v>
      </c>
      <c r="AE379" s="379">
        <f>IF(+NFL!$F306="Miami",+NFL!#REF!,IF(+NFL!$H306="Miami",+NFL!#REF!,0))</f>
        <v>0</v>
      </c>
      <c r="AF379" s="353">
        <f>IF(+NFL!$F306="Miami",+NFL!#REF!,IF(+NFL!$H306="Miami",+NFL!#REF!,0))</f>
        <v>0</v>
      </c>
      <c r="AG379" s="379">
        <f>IF(+NFL!$F306="Miami",+NFL!#REF!,IF(+NFL!$H306="Miami",+NFL!#REF!,0))</f>
        <v>0</v>
      </c>
      <c r="AH379" s="353">
        <f>IF(+NFL!$F306="Miami",+NFL!#REF!,IF(+NFL!$H306="Miami",+NFL!#REF!,0))</f>
        <v>0</v>
      </c>
      <c r="AI379" s="379">
        <f>IF(+NFL!$F306="Miami",+NFL!#REF!,IF(+NFL!$H306="Miami",+NFL!#REF!,0))</f>
        <v>0</v>
      </c>
      <c r="AJ379" s="353">
        <f>IF(+NFL!$F306="Miami",+NFL!#REF!,IF(+NFL!$H306="Miami",+NFL!#REF!,0))</f>
        <v>0</v>
      </c>
      <c r="AK379" s="379">
        <f>IF(+NFL!$F306="Miami",+NFL!#REF!,IF(+NFL!$H306="Miami",+NFL!#REF!,0))</f>
        <v>0</v>
      </c>
      <c r="AL379" s="68">
        <f>IF(+NFL!$F306="Miami",+NFL!#REF!,IF(+NFL!$H306="Miami",+NFL!#REF!,0))</f>
        <v>0</v>
      </c>
      <c r="AM379" s="58">
        <f>IF(+NFL!$F306="Miami",+NFL!#REF!,IF(+NFL!$H306="Miami",+NFL!#REF!,0))</f>
        <v>0</v>
      </c>
      <c r="AN379" s="57">
        <f>IF(+NFL!$F306="Miami",+NFL!#REF!,IF(+NFL!$H306="Miami",+NFL!#REF!,0))</f>
        <v>0</v>
      </c>
      <c r="AO379" s="59">
        <f>IF(+NFL!$F306="Miami",+NFL!#REF!,IF(+NFL!$H306="Miami",+NFL!#REF!,0))</f>
        <v>0</v>
      </c>
      <c r="AP379" s="348">
        <f>IF(+NFL!$F306="Miami",+NFL!#REF!,IF(+NFL!$H306="Miami",+NFL!#REF!,0))</f>
        <v>0</v>
      </c>
      <c r="AQ379" s="48">
        <f>IF(+NFL!$F306="Miami",+NFL!#REF!,IF(+NFL!$H306="Miami",+NFL!#REF!,0))</f>
        <v>0</v>
      </c>
      <c r="AR379" s="57">
        <f>IF(+NFL!$F306="Miami",+NFL!#REF!,IF(+NFL!$H306="Miami",+NFL!#REF!,0))</f>
        <v>0</v>
      </c>
      <c r="AS379" s="64">
        <f>IF(+NFL!$F306="Miami",+NFL!#REF!,IF(+NFL!$H306="Miami",+NFL!#REF!,0))</f>
        <v>0</v>
      </c>
      <c r="AT379" s="64">
        <f>IF(+NFL!$F306="Miami",+NFL!#REF!,IF(+NFL!$H306="Miami",+NFL!#REF!,0))</f>
        <v>0</v>
      </c>
      <c r="AU379" s="57">
        <f>IF(+NFL!$F306="Miami",+NFL!#REF!,IF(+NFL!$H306="Miami",+NFL!#REF!,0))</f>
        <v>0</v>
      </c>
      <c r="AV379" s="64">
        <f>IF(+NFL!$F306="Miami",+NFL!#REF!,IF(+NFL!$H306="Miami",+NFL!#REF!,0))</f>
        <v>0</v>
      </c>
      <c r="AW379" s="46">
        <f>IF(+NFL!$F306="Miami",+NFL!#REF!,IF(+NFL!$H306="Miami",+NFL!#REF!,0))</f>
        <v>0</v>
      </c>
      <c r="AX379" s="64">
        <f>IF(+NFL!$F306="Miami",+NFL!#REF!,IF(+NFL!$H306="Miami",+NFL!#REF!,0))</f>
        <v>0</v>
      </c>
      <c r="AY379" s="57">
        <f>IF(+NFL!$F306="Miami",+NFL!#REF!,IF(+NFL!$H306="Miami",+NFL!#REF!,0))</f>
        <v>0</v>
      </c>
      <c r="AZ379" s="64">
        <f>IF(+NFL!$F306="Miami",+NFL!#REF!,IF(+NFL!$H306="Miami",+NFL!#REF!,0))</f>
        <v>0</v>
      </c>
      <c r="BA379" s="46">
        <f>IF(+NFL!$F306="Miami",+NFL!#REF!,IF(+NFL!$H306="Miami",+NFL!#REF!,0))</f>
        <v>0</v>
      </c>
      <c r="BB379" s="46">
        <f>IF(+NFL!$F306="Miami",+NFL!#REF!,IF(+NFL!$H306="Miami",+NFL!#REF!,0))</f>
        <v>0</v>
      </c>
      <c r="BC379" s="403">
        <f>IF(+NFL!$F306="Miami",+NFL!#REF!,IF(+NFL!$H306="Miami",+NFL!#REF!,0))</f>
        <v>0</v>
      </c>
      <c r="BD379" s="57">
        <f>IF(+NFL!$F306="Miami",+NFL!#REF!,IF(+NFL!$H306="Miami",+NFL!#REF!,0))</f>
        <v>0</v>
      </c>
      <c r="BE379" s="64">
        <f>IF(+NFL!$F306="Miami",+NFL!#REF!,IF(+NFL!$H306="Miami",+NFL!#REF!,0))</f>
        <v>0</v>
      </c>
      <c r="BF379" s="46">
        <f>IF(+NFL!$F306="Miami",+NFL!#REF!,IF(+NFL!$H306="Miami",+NFL!#REF!,0))</f>
        <v>0</v>
      </c>
      <c r="BG379" s="57">
        <f>IF(+NFL!$F306="Miami",+NFL!#REF!,IF(+NFL!$H306="Miami",+NFL!#REF!,0))</f>
        <v>0</v>
      </c>
      <c r="BH379" s="64">
        <f>IF(+NFL!$F306="Miami",+NFL!#REF!,IF(+NFL!$H306="Miami",+NFL!#REF!,0))</f>
        <v>0</v>
      </c>
      <c r="BI379" s="46">
        <f>IF(+NFL!$F306="Miami",+NFL!#REF!,IF(+NFL!$H306="Miami",+NFL!#REF!,0))</f>
        <v>0</v>
      </c>
      <c r="BJ379" s="87">
        <f>IF(+NFL!$F306="Miami",+NFL!#REF!,IF(+NFL!$H306="Miami",+NFL!#REF!,0))</f>
        <v>0</v>
      </c>
      <c r="BK379" s="120">
        <f>IF(+NFL!$F306="Miami",+NFL!#REF!,IF(+NFL!$H306="Miami",+NFL!#REF!,0))</f>
        <v>0</v>
      </c>
    </row>
    <row r="380" spans="1:63" s="246" customFormat="1" x14ac:dyDescent="0.8">
      <c r="A380" s="46"/>
      <c r="B380" s="47"/>
      <c r="C380" s="48"/>
      <c r="D380" s="49"/>
      <c r="E380" s="46"/>
      <c r="F380" s="959" t="str">
        <f>H381</f>
        <v>Minnesota</v>
      </c>
      <c r="G380" s="960"/>
      <c r="H380" s="960"/>
      <c r="I380" s="961"/>
      <c r="J380" s="353"/>
      <c r="K380" s="364"/>
      <c r="L380" s="384"/>
      <c r="M380" s="385"/>
      <c r="N380" s="394"/>
      <c r="O380" s="395"/>
      <c r="P380" s="394"/>
      <c r="Q380" s="396"/>
      <c r="R380" s="397"/>
      <c r="S380" s="396"/>
      <c r="T380" s="398"/>
      <c r="U380" s="396"/>
      <c r="V380" s="397"/>
      <c r="W380" s="396"/>
      <c r="X380" s="398"/>
      <c r="Y380" s="396"/>
      <c r="Z380" s="397"/>
      <c r="AA380" s="396"/>
      <c r="AB380" s="87"/>
      <c r="AC380" s="120"/>
      <c r="AD380" s="353"/>
      <c r="AE380" s="379"/>
      <c r="AF380" s="353"/>
      <c r="AG380" s="379"/>
      <c r="AH380" s="353"/>
      <c r="AI380" s="379"/>
      <c r="AJ380" s="353"/>
      <c r="AK380" s="379"/>
      <c r="AL380" s="68"/>
      <c r="AM380" s="58"/>
      <c r="AN380" s="57"/>
      <c r="AO380" s="59"/>
      <c r="AP380" s="47"/>
      <c r="AQ380" s="47"/>
      <c r="AR380" s="57"/>
      <c r="AS380" s="64"/>
      <c r="AT380" s="64"/>
      <c r="AU380" s="57"/>
      <c r="AV380" s="64"/>
      <c r="AW380" s="46"/>
      <c r="AX380" s="64"/>
      <c r="AY380" s="57"/>
      <c r="AZ380" s="64"/>
      <c r="BA380" s="46"/>
      <c r="BB380" s="46"/>
      <c r="BC380" s="47"/>
      <c r="BD380" s="57"/>
      <c r="BE380" s="64"/>
      <c r="BF380" s="46"/>
      <c r="BG380" s="57"/>
      <c r="BH380" s="64"/>
      <c r="BI380" s="46"/>
      <c r="BJ380" s="87"/>
      <c r="BK380" s="120"/>
    </row>
    <row r="381" spans="1:63" s="246" customFormat="1" x14ac:dyDescent="0.8">
      <c r="A381" s="46">
        <f>IF(+NFL!$F15="Minnesota",+NFL!A15,IF(+NFL!$H15="Minnesota",+NFL!A15,0))</f>
        <v>1</v>
      </c>
      <c r="B381" s="348" t="str">
        <f>IF(+NFL!$F15="Minnesota",+NFL!B15,IF(+NFL!$H15="Minnesota",+NFL!B15,0))</f>
        <v>Sun</v>
      </c>
      <c r="C381" s="48">
        <f>IF(+NFL!$F15="Minnesota",+NFL!C15,IF(+NFL!$H15="Minnesota",+NFL!C15,0))</f>
        <v>44815</v>
      </c>
      <c r="D381" s="490">
        <f>IF(+NFL!$F15="Minnesota",+NFL!D15,IF(+NFL!$H15="Minnesota",+NFL!D15,0))</f>
        <v>0.66666666666666663</v>
      </c>
      <c r="E381" s="46" t="str">
        <f>IF(+NFL!$F15="Minnesota",+NFL!E15,IF(+NFL!$H15="Minnesota",+NFL!E15,0))</f>
        <v>Fox</v>
      </c>
      <c r="F381" s="127" t="str">
        <f>IF(+NFL!$F15="Minnesota",+NFL!F15,IF(+NFL!$H15="Minnesota",+NFL!F15,0))</f>
        <v>Green Bay</v>
      </c>
      <c r="G381" s="46" t="str">
        <f>IF(+NFL!$F15="Minnesota",+NFL!G15,IF(+NFL!$H15="Minnesota",+NFL!G15,0))</f>
        <v>NFCN</v>
      </c>
      <c r="H381" s="127" t="str">
        <f>IF(+NFL!$F15="Minnesota",+NFL!H15,IF(+NFL!$H15="Minnesota",+NFL!H15,0))</f>
        <v>Minnesota</v>
      </c>
      <c r="I381" s="46" t="str">
        <f>IF(+NFL!$F15="Minnesota",+NFL!I15,IF(+NFL!$H15="Minnesota",+NFL!I15,0))</f>
        <v>NFCN</v>
      </c>
      <c r="J381" s="353" t="str">
        <f>IF(+NFL!$F15="Minnesota",+NFL!J15,IF(+NFL!$H15="Minnesota",+NFL!J15,0))</f>
        <v>Green Bay</v>
      </c>
      <c r="K381" s="494" t="str">
        <f>IF(+NFL!$F15="Minnesota",+NFL!K15,IF(+NFL!$H15="Minnesota",+NFL!K15,0))</f>
        <v>Minnesota</v>
      </c>
      <c r="L381" s="384">
        <f>IF(+NFL!$F15="Minnesota",+NFL!L15,IF(+NFL!$H15="Minnesota",+NFL!L15,0))</f>
        <v>1.5</v>
      </c>
      <c r="M381" s="385">
        <f>IF(+NFL!$F15="Minnesota",+NFL!M15,IF(+NFL!$H15="Minnesota",+NFL!M15,0))</f>
        <v>47</v>
      </c>
      <c r="N381" s="394" t="str">
        <f>IF(+NFL!$F15="Minnesota",+NFL!N15,IF(+NFL!$H15="Minnesota",+NFL!N15,0))</f>
        <v>Minnesota</v>
      </c>
      <c r="O381" s="395">
        <f>IF(+NFL!$F15="Minnesota",+NFL!O15,IF(+NFL!$H15="Minnesota",+NFL!O15,0))</f>
        <v>23</v>
      </c>
      <c r="P381" s="394" t="str">
        <f>IF(+NFL!$F15="Minnesota",+NFL!P15,IF(+NFL!$H15="Minnesota",+NFL!P15,0))</f>
        <v>Green Bay</v>
      </c>
      <c r="Q381" s="396">
        <f>IF(+NFL!$F15="Minnesota",+NFL!Q15,IF(+NFL!$H15="Minnesota",+NFL!Q15,0))</f>
        <v>7</v>
      </c>
      <c r="R381" s="397" t="str">
        <f>IF(+NFL!$F15="Minnesota",+NFL!R15,IF(+NFL!$H15="Minnesota",+NFL!R15,0))</f>
        <v>Minnesota</v>
      </c>
      <c r="S381" s="396" t="str">
        <f>IF(+NFL!$F15="Minnesota",+NFL!S15,IF(+NFL!$H15="Minnesota",+NFL!S15,0))</f>
        <v>Green Bay</v>
      </c>
      <c r="T381" s="398" t="str">
        <f>IF(+NFL!$F15="Minnesota",+NFL!T15,IF(+NFL!$H15="Minnesota",+NFL!T15,0))</f>
        <v>Green Bay</v>
      </c>
      <c r="U381" s="396" t="str">
        <f>IF(+NFL!$F15="Minnesota",+NFL!U15,IF(+NFL!$H15="Minnesota",+NFL!U15,0))</f>
        <v>L</v>
      </c>
      <c r="V381" s="397"/>
      <c r="W381" s="396"/>
      <c r="X381" s="398"/>
      <c r="Y381" s="396"/>
      <c r="Z381" s="397"/>
      <c r="AA381" s="396"/>
      <c r="AB381" s="87"/>
      <c r="AC381" s="120"/>
      <c r="AD381" s="353"/>
      <c r="AE381" s="379"/>
      <c r="AF381" s="353"/>
      <c r="AG381" s="379"/>
      <c r="AH381" s="353"/>
      <c r="AI381" s="379"/>
      <c r="AJ381" s="353"/>
      <c r="AK381" s="379"/>
      <c r="AL381" s="68"/>
      <c r="AM381" s="58"/>
      <c r="AN381" s="57"/>
      <c r="AO381" s="59"/>
      <c r="AP381" s="348"/>
      <c r="AQ381" s="48"/>
      <c r="AR381" s="57"/>
      <c r="AS381" s="493"/>
      <c r="AT381" s="493"/>
      <c r="AU381" s="57"/>
      <c r="AV381" s="493"/>
      <c r="AW381" s="46"/>
      <c r="AX381" s="493"/>
      <c r="AY381" s="57"/>
      <c r="AZ381" s="493"/>
      <c r="BA381" s="46"/>
      <c r="BB381" s="46"/>
      <c r="BC381" s="403"/>
      <c r="BD381" s="57"/>
      <c r="BE381" s="493"/>
      <c r="BF381" s="46"/>
      <c r="BG381" s="57"/>
      <c r="BH381" s="493"/>
      <c r="BI381" s="46"/>
      <c r="BJ381" s="87"/>
      <c r="BK381" s="120"/>
    </row>
    <row r="382" spans="1:63" s="246" customFormat="1" x14ac:dyDescent="0.8">
      <c r="A382" s="46">
        <f>IF(+NFL!$F36="Minnesota",+NFL!A36,IF(+NFL!$H36="Minnesota",+NFL!A36,0))</f>
        <v>2</v>
      </c>
      <c r="B382" s="348" t="str">
        <f>IF(+NFL!$F36="Minnesota",+NFL!B36,IF(+NFL!$H36="Minnesota",+NFL!B36,0))</f>
        <v>Mon</v>
      </c>
      <c r="C382" s="48">
        <f>IF(+NFL!$F36="Minnesota",+NFL!C36,IF(+NFL!$H36="Minnesota",+NFL!C36,0))</f>
        <v>44823</v>
      </c>
      <c r="D382" s="490">
        <f>IF(+NFL!$F36="Minnesota",+NFL!D36,IF(+NFL!$H36="Minnesota",+NFL!D36,0))</f>
        <v>0.84375</v>
      </c>
      <c r="E382" s="46" t="str">
        <f>IF(+NFL!$F36="Minnesota",+NFL!E36,IF(+NFL!$H36="Minnesota",+NFL!E36,0))</f>
        <v>ABC</v>
      </c>
      <c r="F382" s="127" t="str">
        <f>IF(+NFL!$F36="Minnesota",+NFL!F36,IF(+NFL!$H36="Minnesota",+NFL!F36,0))</f>
        <v>Minnesota</v>
      </c>
      <c r="G382" s="46" t="str">
        <f>IF(+NFL!$F36="Minnesota",+NFL!G36,IF(+NFL!$H36="Minnesota",+NFL!G36,0))</f>
        <v>NFCN</v>
      </c>
      <c r="H382" s="127" t="str">
        <f>IF(+NFL!$F36="Minnesota",+NFL!H36,IF(+NFL!$H36="Minnesota",+NFL!H36,0))</f>
        <v>Philadelphia</v>
      </c>
      <c r="I382" s="46" t="str">
        <f>IF(+NFL!$F36="Minnesota",+NFL!I36,IF(+NFL!$H36="Minnesota",+NFL!I36,0))</f>
        <v>NFCE</v>
      </c>
      <c r="J382" s="353" t="str">
        <f>IF(+NFL!$F36="Minnesota",+NFL!J36,IF(+NFL!$H36="Minnesota",+NFL!J36,0))</f>
        <v>Philadelphia</v>
      </c>
      <c r="K382" s="494" t="str">
        <f>IF(+NFL!$F36="Minnesota",+NFL!K36,IF(+NFL!$H36="Minnesota",+NFL!K36,0))</f>
        <v>Minnesota</v>
      </c>
      <c r="L382" s="384">
        <f>IF(+NFL!$F36="Minnesota",+NFL!L36,IF(+NFL!$H36="Minnesota",+NFL!L36,0))</f>
        <v>2.5</v>
      </c>
      <c r="M382" s="385">
        <f>IF(+NFL!$F36="Minnesota",+NFL!M36,IF(+NFL!$H36="Minnesota",+NFL!M36,0))</f>
        <v>50.5</v>
      </c>
      <c r="N382" s="394" t="str">
        <f>IF(+NFL!$F36="Minnesota",+NFL!N36,IF(+NFL!$H36="Minnesota",+NFL!N36,0))</f>
        <v>Philadelphia</v>
      </c>
      <c r="O382" s="395">
        <f>IF(+NFL!$F36="Minnesota",+NFL!O36,IF(+NFL!$H36="Minnesota",+NFL!O36,0))</f>
        <v>24</v>
      </c>
      <c r="P382" s="394" t="str">
        <f>IF(+NFL!$F36="Minnesota",+NFL!P36,IF(+NFL!$H36="Minnesota",+NFL!P36,0))</f>
        <v>Minnesota</v>
      </c>
      <c r="Q382" s="396">
        <f>IF(+NFL!$F36="Minnesota",+NFL!Q36,IF(+NFL!$H36="Minnesota",+NFL!Q36,0))</f>
        <v>7</v>
      </c>
      <c r="R382" s="397" t="str">
        <f>IF(+NFL!$F36="Minnesota",+NFL!R36,IF(+NFL!$H36="Minnesota",+NFL!R36,0))</f>
        <v>Philadelphia</v>
      </c>
      <c r="S382" s="396" t="str">
        <f>IF(+NFL!$F36="Minnesota",+NFL!S36,IF(+NFL!$H36="Minnesota",+NFL!S36,0))</f>
        <v>Minnesota</v>
      </c>
      <c r="T382" s="398" t="str">
        <f>IF(+NFL!$F36="Minnesota",+NFL!T36,IF(+NFL!$H36="Minnesota",+NFL!T36,0))</f>
        <v>Philadelphia</v>
      </c>
      <c r="U382" s="396" t="str">
        <f>IF(+NFL!$F36="Minnesota",+NFL!U36,IF(+NFL!$H36="Minnesota",+NFL!U36,0))</f>
        <v>W</v>
      </c>
      <c r="V382" s="397"/>
      <c r="W382" s="396"/>
      <c r="X382" s="398"/>
      <c r="Y382" s="396"/>
      <c r="Z382" s="397"/>
      <c r="AA382" s="396"/>
      <c r="AB382" s="87"/>
      <c r="AC382" s="120"/>
      <c r="AD382" s="353"/>
      <c r="AE382" s="379"/>
      <c r="AF382" s="353"/>
      <c r="AG382" s="379"/>
      <c r="AH382" s="353"/>
      <c r="AI382" s="379"/>
      <c r="AJ382" s="353"/>
      <c r="AK382" s="379"/>
      <c r="AL382" s="68"/>
      <c r="AM382" s="58"/>
      <c r="AN382" s="57"/>
      <c r="AO382" s="59"/>
      <c r="AP382" s="348"/>
      <c r="AQ382" s="48"/>
      <c r="AR382" s="57"/>
      <c r="AS382" s="493"/>
      <c r="AT382" s="493"/>
      <c r="AU382" s="57"/>
      <c r="AV382" s="493"/>
      <c r="AW382" s="46"/>
      <c r="AX382" s="493"/>
      <c r="AY382" s="57"/>
      <c r="AZ382" s="493"/>
      <c r="BA382" s="46"/>
      <c r="BB382" s="46"/>
      <c r="BC382" s="403"/>
      <c r="BD382" s="57"/>
      <c r="BE382" s="493"/>
      <c r="BF382" s="46"/>
      <c r="BG382" s="57"/>
      <c r="BH382" s="493"/>
      <c r="BI382" s="46"/>
      <c r="BJ382" s="87"/>
      <c r="BK382" s="120"/>
    </row>
    <row r="383" spans="1:63" s="246" customFormat="1" x14ac:dyDescent="0.8">
      <c r="A383" s="46">
        <f>IF(+NFL!$F43="Minnesota",+NFL!A43,IF(+NFL!$H43="Minnesota",+NFL!A43,0))</f>
        <v>3</v>
      </c>
      <c r="B383" s="348" t="str">
        <f>IF(+NFL!$F43="Minnesota",+NFL!B43,IF(+NFL!$H43="Minnesota",+NFL!B43,0))</f>
        <v>Sun</v>
      </c>
      <c r="C383" s="48">
        <f>IF(+NFL!$F43="Minnesota",+NFL!C43,IF(+NFL!$H43="Minnesota",+NFL!C43,0))</f>
        <v>44829</v>
      </c>
      <c r="D383" s="490">
        <f>IF(+NFL!$F43="Minnesota",+NFL!D43,IF(+NFL!$H43="Minnesota",+NFL!D43,0))</f>
        <v>0.54166666666666663</v>
      </c>
      <c r="E383" s="46" t="str">
        <f>IF(+NFL!$F43="Minnesota",+NFL!E43,IF(+NFL!$H43="Minnesota",+NFL!E43,0))</f>
        <v>Fox</v>
      </c>
      <c r="F383" s="127" t="str">
        <f>IF(+NFL!$F43="Minnesota",+NFL!F43,IF(+NFL!$H43="Minnesota",+NFL!F43,0))</f>
        <v>Detroit</v>
      </c>
      <c r="G383" s="46" t="str">
        <f>IF(+NFL!$F43="Minnesota",+NFL!G43,IF(+NFL!$H43="Minnesota",+NFL!G43,0))</f>
        <v>NFCN</v>
      </c>
      <c r="H383" s="127" t="str">
        <f>IF(+NFL!$F43="Minnesota",+NFL!H43,IF(+NFL!$H43="Minnesota",+NFL!H43,0))</f>
        <v>Minnesota</v>
      </c>
      <c r="I383" s="46" t="str">
        <f>IF(+NFL!$F43="Minnesota",+NFL!I43,IF(+NFL!$H43="Minnesota",+NFL!I43,0))</f>
        <v>NFCN</v>
      </c>
      <c r="J383" s="353" t="str">
        <f>IF(+NFL!$F43="Minnesota",+NFL!J43,IF(+NFL!$H43="Minnesota",+NFL!J43,0))</f>
        <v>Minnesota</v>
      </c>
      <c r="K383" s="494" t="str">
        <f>IF(+NFL!$F43="Minnesota",+NFL!K43,IF(+NFL!$H43="Minnesota",+NFL!K43,0))</f>
        <v>Detroit</v>
      </c>
      <c r="L383" s="384">
        <f>IF(+NFL!$F43="Minnesota",+NFL!L43,IF(+NFL!$H43="Minnesota",+NFL!L43,0))</f>
        <v>6</v>
      </c>
      <c r="M383" s="385">
        <f>IF(+NFL!$F43="Minnesota",+NFL!M43,IF(+NFL!$H43="Minnesota",+NFL!M43,0))</f>
        <v>53</v>
      </c>
      <c r="N383" s="394" t="str">
        <f>IF(+NFL!$F43="Minnesota",+NFL!N43,IF(+NFL!$H43="Minnesota",+NFL!N43,0))</f>
        <v>Minnesota</v>
      </c>
      <c r="O383" s="395">
        <f>IF(+NFL!$F43="Minnesota",+NFL!O43,IF(+NFL!$H43="Minnesota",+NFL!O43,0))</f>
        <v>28</v>
      </c>
      <c r="P383" s="394" t="str">
        <f>IF(+NFL!$F43="Minnesota",+NFL!P43,IF(+NFL!$H43="Minnesota",+NFL!P43,0))</f>
        <v>Detroit</v>
      </c>
      <c r="Q383" s="396">
        <f>IF(+NFL!$F43="Minnesota",+NFL!Q43,IF(+NFL!$H43="Minnesota",+NFL!Q43,0))</f>
        <v>24</v>
      </c>
      <c r="R383" s="397" t="str">
        <f>IF(+NFL!$F43="Minnesota",+NFL!R43,IF(+NFL!$H43="Minnesota",+NFL!R43,0))</f>
        <v>Detroit</v>
      </c>
      <c r="S383" s="396" t="str">
        <f>IF(+NFL!$F43="Minnesota",+NFL!S43,IF(+NFL!$H43="Minnesota",+NFL!S43,0))</f>
        <v>Minnesota</v>
      </c>
      <c r="T383" s="398" t="str">
        <f>IF(+NFL!$F43="Minnesota",+NFL!T43,IF(+NFL!$H43="Minnesota",+NFL!T43,0))</f>
        <v>Detroit</v>
      </c>
      <c r="U383" s="396" t="str">
        <f>IF(+NFL!$F43="Minnesota",+NFL!U43,IF(+NFL!$H43="Minnesota",+NFL!U43,0))</f>
        <v>W</v>
      </c>
      <c r="V383" s="397"/>
      <c r="W383" s="396"/>
      <c r="X383" s="398"/>
      <c r="Y383" s="396"/>
      <c r="Z383" s="397"/>
      <c r="AA383" s="396"/>
      <c r="AB383" s="87"/>
      <c r="AC383" s="120"/>
      <c r="AD383" s="353"/>
      <c r="AE383" s="379"/>
      <c r="AF383" s="353"/>
      <c r="AG383" s="379"/>
      <c r="AH383" s="353"/>
      <c r="AI383" s="379"/>
      <c r="AJ383" s="353"/>
      <c r="AK383" s="379"/>
      <c r="AL383" s="68"/>
      <c r="AM383" s="58"/>
      <c r="AN383" s="57"/>
      <c r="AO383" s="59"/>
      <c r="AP383" s="348"/>
      <c r="AQ383" s="48"/>
      <c r="AR383" s="57"/>
      <c r="AS383" s="64"/>
      <c r="AT383" s="64"/>
      <c r="AU383" s="57"/>
      <c r="AV383" s="64"/>
      <c r="AW383" s="46"/>
      <c r="AX383" s="64"/>
      <c r="AY383" s="57"/>
      <c r="AZ383" s="64"/>
      <c r="BA383" s="46"/>
      <c r="BB383" s="46"/>
      <c r="BC383" s="403"/>
      <c r="BD383" s="57"/>
      <c r="BE383" s="64"/>
      <c r="BF383" s="46"/>
      <c r="BG383" s="57"/>
      <c r="BH383" s="64"/>
      <c r="BI383" s="46"/>
      <c r="BJ383" s="87"/>
      <c r="BK383" s="120"/>
    </row>
    <row r="384" spans="1:63" s="246" customFormat="1" x14ac:dyDescent="0.8">
      <c r="A384" s="46">
        <f>IF(+NFL!$F56="Minnesota",+NFL!A56,IF(+NFL!$H56="Minnesota",+NFL!A56,0))</f>
        <v>4</v>
      </c>
      <c r="B384" s="348" t="str">
        <f>IF(+NFL!$F56="Minnesota",+NFL!B56,IF(+NFL!$H56="Minnesota",+NFL!B56,0))</f>
        <v>Sun</v>
      </c>
      <c r="C384" s="48">
        <f>IF(+NFL!$F56="Minnesota",+NFL!C56,IF(+NFL!$H56="Minnesota",+NFL!C56,0))</f>
        <v>44833</v>
      </c>
      <c r="D384" s="490">
        <f>IF(+NFL!$F56="Minnesota",+NFL!D56,IF(+NFL!$H56="Minnesota",+NFL!D56,0))</f>
        <v>0.54166666666666663</v>
      </c>
      <c r="E384" s="46" t="str">
        <f>IF(+NFL!$F56="Minnesota",+NFL!E56,IF(+NFL!$H56="Minnesota",+NFL!E56,0))</f>
        <v>Fox</v>
      </c>
      <c r="F384" s="127" t="str">
        <f>IF(+NFL!$F56="Minnesota",+NFL!F56,IF(+NFL!$H56="Minnesota",+NFL!F56,0))</f>
        <v>Minnesota</v>
      </c>
      <c r="G384" s="46" t="str">
        <f>IF(+NFL!$F56="Minnesota",+NFL!G56,IF(+NFL!$H56="Minnesota",+NFL!G56,0))</f>
        <v>NFCN</v>
      </c>
      <c r="H384" s="127" t="str">
        <f>IF(+NFL!$F56="Minnesota",+NFL!H56,IF(+NFL!$H56="Minnesota",+NFL!H56,0))</f>
        <v>New Orleans</v>
      </c>
      <c r="I384" s="46" t="str">
        <f>IF(+NFL!$F56="Minnesota",+NFL!I56,IF(+NFL!$H56="Minnesota",+NFL!I56,0))</f>
        <v>NFCS</v>
      </c>
      <c r="J384" s="353" t="str">
        <f>IF(+NFL!$F56="Minnesota",+NFL!J56,IF(+NFL!$H56="Minnesota",+NFL!J56,0))</f>
        <v>Minnesota</v>
      </c>
      <c r="K384" s="494" t="str">
        <f>IF(+NFL!$F56="Minnesota",+NFL!K56,IF(+NFL!$H56="Minnesota",+NFL!K56,0))</f>
        <v>New Orleans</v>
      </c>
      <c r="L384" s="384">
        <f>IF(+NFL!$F56="Minnesota",+NFL!L56,IF(+NFL!$H56="Minnesota",+NFL!L56,0))</f>
        <v>3</v>
      </c>
      <c r="M384" s="385">
        <f>IF(+NFL!$F56="Minnesota",+NFL!M56,IF(+NFL!$H56="Minnesota",+NFL!M56,0))</f>
        <v>43.5</v>
      </c>
      <c r="N384" s="394" t="str">
        <f>IF(+NFL!$F56="Minnesota",+NFL!N56,IF(+NFL!$H56="Minnesota",+NFL!N56,0))</f>
        <v>Minnesota</v>
      </c>
      <c r="O384" s="395">
        <f>IF(+NFL!$F56="Minnesota",+NFL!O56,IF(+NFL!$H56="Minnesota",+NFL!O56,0))</f>
        <v>28</v>
      </c>
      <c r="P384" s="394" t="str">
        <f>IF(+NFL!$F56="Minnesota",+NFL!P56,IF(+NFL!$H56="Minnesota",+NFL!P56,0))</f>
        <v>New Orleans</v>
      </c>
      <c r="Q384" s="396">
        <f>IF(+NFL!$F56="Minnesota",+NFL!Q56,IF(+NFL!$H56="Minnesota",+NFL!Q56,0))</f>
        <v>25</v>
      </c>
      <c r="R384" s="397" t="str">
        <f>IF(+NFL!$F56="Minnesota",+NFL!R56,IF(+NFL!$H56="Minnesota",+NFL!R56,0))</f>
        <v>Minnesota</v>
      </c>
      <c r="S384" s="396" t="str">
        <f>IF(+NFL!$F56="Minnesota",+NFL!S56,IF(+NFL!$H56="Minnesota",+NFL!S56,0))</f>
        <v>New Orleans</v>
      </c>
      <c r="T384" s="398" t="str">
        <f>IF(+NFL!$F56="Minnesota",+NFL!T56,IF(+NFL!$H56="Minnesota",+NFL!T56,0))</f>
        <v>New Orleans</v>
      </c>
      <c r="U384" s="396" t="str">
        <f>IF(+NFL!$F56="Minnesota",+NFL!U56,IF(+NFL!$H56="Minnesota",+NFL!U56,0))</f>
        <v>T</v>
      </c>
      <c r="V384" s="397">
        <f>IF(+NFL!$F30="Minnesota",+NFL!#REF!,IF(+NFL!$H30="Minnesota",+NFL!#REF!,0))</f>
        <v>0</v>
      </c>
      <c r="W384" s="396">
        <f>IF(+NFL!$F30="Minnesota",+NFL!#REF!,IF(+NFL!$H30="Minnesota",+NFL!#REF!,0))</f>
        <v>0</v>
      </c>
      <c r="X384" s="398">
        <f>IF(+NFL!$F30="Minnesota",+NFL!#REF!,IF(+NFL!$H30="Minnesota",+NFL!#REF!,0))</f>
        <v>0</v>
      </c>
      <c r="Y384" s="396">
        <f>IF(+NFL!$F30="Minnesota",+NFL!#REF!,IF(+NFL!$H30="Minnesota",+NFL!#REF!,0))</f>
        <v>0</v>
      </c>
      <c r="Z384" s="397">
        <f>IF(+NFL!$F30="Minnesota",+NFL!#REF!,IF(+NFL!$H30="Minnesota",+NFL!#REF!,0))</f>
        <v>0</v>
      </c>
      <c r="AA384" s="396">
        <f>IF(+NFL!$F30="Minnesota",+NFL!#REF!,IF(+NFL!$H30="Minnesota",+NFL!#REF!,0))</f>
        <v>0</v>
      </c>
      <c r="AB384" s="87">
        <f>IF(+NFL!$F30="Minnesota",+NFL!#REF!,IF(+NFL!$H30="Minnesota",+NFL!#REF!,0))</f>
        <v>0</v>
      </c>
      <c r="AC384" s="120">
        <f>IF(+NFL!$F30="Minnesota",+NFL!#REF!,IF(+NFL!$H30="Minnesota",+NFL!#REF!,0))</f>
        <v>0</v>
      </c>
      <c r="AD384" s="353">
        <f>IF(+NFL!$F30="Minnesota",+NFL!#REF!,IF(+NFL!$H30="Minnesota",+NFL!#REF!,0))</f>
        <v>0</v>
      </c>
      <c r="AE384" s="379">
        <f>IF(+NFL!$F30="Minnesota",+NFL!#REF!,IF(+NFL!$H30="Minnesota",+NFL!#REF!,0))</f>
        <v>0</v>
      </c>
      <c r="AF384" s="353">
        <f>IF(+NFL!$F30="Minnesota",+NFL!#REF!,IF(+NFL!$H30="Minnesota",+NFL!#REF!,0))</f>
        <v>0</v>
      </c>
      <c r="AG384" s="379">
        <f>IF(+NFL!$F30="Minnesota",+NFL!#REF!,IF(+NFL!$H30="Minnesota",+NFL!#REF!,0))</f>
        <v>0</v>
      </c>
      <c r="AH384" s="353">
        <f>IF(+NFL!$F30="Minnesota",+NFL!#REF!,IF(+NFL!$H30="Minnesota",+NFL!#REF!,0))</f>
        <v>0</v>
      </c>
      <c r="AI384" s="379">
        <f>IF(+NFL!$F30="Minnesota",+NFL!#REF!,IF(+NFL!$H30="Minnesota",+NFL!#REF!,0))</f>
        <v>0</v>
      </c>
      <c r="AJ384" s="353">
        <f>IF(+NFL!$F30="Minnesota",+NFL!#REF!,IF(+NFL!$H30="Minnesota",+NFL!#REF!,0))</f>
        <v>0</v>
      </c>
      <c r="AK384" s="379">
        <f>IF(+NFL!$F30="Minnesota",+NFL!#REF!,IF(+NFL!$H30="Minnesota",+NFL!#REF!,0))</f>
        <v>0</v>
      </c>
      <c r="AL384" s="68">
        <f>IF(+NFL!$F30="Minnesota",+NFL!#REF!,IF(+NFL!$H30="Minnesota",+NFL!#REF!,0))</f>
        <v>0</v>
      </c>
      <c r="AM384" s="58">
        <f>IF(+NFL!$F30="Minnesota",+NFL!#REF!,IF(+NFL!$H30="Minnesota",+NFL!#REF!,0))</f>
        <v>0</v>
      </c>
      <c r="AN384" s="57">
        <f>IF(+NFL!$F30="Minnesota",+NFL!#REF!,IF(+NFL!$H30="Minnesota",+NFL!#REF!,0))</f>
        <v>0</v>
      </c>
      <c r="AO384" s="59">
        <f>IF(+NFL!$F30="Minnesota",+NFL!#REF!,IF(+NFL!$H30="Minnesota",+NFL!#REF!,0))</f>
        <v>0</v>
      </c>
      <c r="AP384" s="348"/>
      <c r="AQ384" s="48" t="str">
        <f t="shared" ref="AQ384:AQ398" si="0">F384</f>
        <v>Minnesota</v>
      </c>
      <c r="AR384" s="57">
        <f>IF(+NFL!$F30="Minnesota",+NFL!#REF!,IF(+NFL!$H30="Minnesota",+NFL!#REF!,0))</f>
        <v>0</v>
      </c>
      <c r="AS384" s="64">
        <f>IF(+NFL!$F30="Minnesota",+NFL!#REF!,IF(+NFL!$H30="Minnesota",+NFL!#REF!,0))</f>
        <v>0</v>
      </c>
      <c r="AT384" s="64">
        <f>IF(+NFL!$F30="Minnesota",+NFL!#REF!,IF(+NFL!$H30="Minnesota",+NFL!#REF!,0))</f>
        <v>0</v>
      </c>
      <c r="AU384" s="57">
        <f>IF(+NFL!$F30="Minnesota",+NFL!#REF!,IF(+NFL!$H30="Minnesota",+NFL!#REF!,0))</f>
        <v>0</v>
      </c>
      <c r="AV384" s="64">
        <f>IF(+NFL!$F30="Minnesota",+NFL!#REF!,IF(+NFL!$H30="Minnesota",+NFL!#REF!,0))</f>
        <v>0</v>
      </c>
      <c r="AW384" s="46">
        <f>IF(+NFL!$F30="Minnesota",+NFL!#REF!,IF(+NFL!$H30="Minnesota",+NFL!#REF!,0))</f>
        <v>0</v>
      </c>
      <c r="AX384" s="64"/>
      <c r="AY384" s="57">
        <f>IF(+NFL!$F30="Minnesota",+NFL!#REF!,IF(+NFL!$H30="Minnesota",+NFL!#REF!,0))</f>
        <v>0</v>
      </c>
      <c r="AZ384" s="64">
        <f>IF(+NFL!$F30="Minnesota",+NFL!#REF!,IF(+NFL!$H30="Minnesota",+NFL!#REF!,0))</f>
        <v>0</v>
      </c>
      <c r="BA384" s="46">
        <f>IF(+NFL!$F30="Minnesota",+NFL!#REF!,IF(+NFL!$H30="Minnesota",+NFL!#REF!,0))</f>
        <v>0</v>
      </c>
      <c r="BB384" s="46"/>
      <c r="BC384" s="403" t="str">
        <f t="shared" ref="BC384:BC398" si="1">H384</f>
        <v>New Orleans</v>
      </c>
      <c r="BD384" s="57">
        <f>IF(+NFL!$F30="Minnesota",+NFL!#REF!,IF(+NFL!$H30="Minnesota",+NFL!#REF!,0))</f>
        <v>0</v>
      </c>
      <c r="BE384" s="64">
        <f>IF(+NFL!$F30="Minnesota",+NFL!#REF!,IF(+NFL!$H30="Minnesota",+NFL!#REF!,0))</f>
        <v>0</v>
      </c>
      <c r="BF384" s="46">
        <f>IF(+NFL!$F30="Minnesota",+NFL!#REF!,IF(+NFL!$H30="Minnesota",+NFL!#REF!,0))</f>
        <v>0</v>
      </c>
      <c r="BG384" s="57">
        <f>IF(+NFL!$F30="Minnesota",+NFL!#REF!,IF(+NFL!$H30="Minnesota",+NFL!#REF!,0))</f>
        <v>0</v>
      </c>
      <c r="BH384" s="64">
        <f>IF(+NFL!$F30="Minnesota",+NFL!#REF!,IF(+NFL!$H30="Minnesota",+NFL!#REF!,0))</f>
        <v>0</v>
      </c>
      <c r="BI384" s="46">
        <f>IF(+NFL!$F30="Minnesota",+NFL!#REF!,IF(+NFL!$H30="Minnesota",+NFL!#REF!,0))</f>
        <v>0</v>
      </c>
      <c r="BJ384" s="87">
        <f>IF(+NFL!$F30="Minnesota",+NFL!#REF!,IF(+NFL!$H30="Minnesota",+NFL!#REF!,0))</f>
        <v>0</v>
      </c>
      <c r="BK384" s="120">
        <f>IF(+NFL!$F30="Minnesota",+NFL!#REF!,IF(+NFL!$H30="Minnesota",+NFL!#REF!,0))</f>
        <v>0</v>
      </c>
    </row>
    <row r="385" spans="1:63" s="246" customFormat="1" x14ac:dyDescent="0.8">
      <c r="A385" s="46">
        <f>IF(+NFL!$F76="Minnesota",+NFL!A76,IF(+NFL!$H76="Minnesota",+NFL!A76,0))</f>
        <v>5</v>
      </c>
      <c r="B385" s="348" t="str">
        <f>IF(+NFL!$F76="Minnesota",+NFL!B76,IF(+NFL!$H76="Minnesota",+NFL!B76,0))</f>
        <v>Sun</v>
      </c>
      <c r="C385" s="48">
        <f>IF(+NFL!$F76="Minnesota",+NFL!C76,IF(+NFL!$H76="Minnesota",+NFL!C76,0))</f>
        <v>44843</v>
      </c>
      <c r="D385" s="490">
        <f>IF(+NFL!$F76="Minnesota",+NFL!D76,IF(+NFL!$H76="Minnesota",+NFL!D76,0))</f>
        <v>0.54166666666666663</v>
      </c>
      <c r="E385" s="46" t="str">
        <f>IF(+NFL!$F76="Minnesota",+NFL!E76,IF(+NFL!$H76="Minnesota",+NFL!E76,0))</f>
        <v>Fox</v>
      </c>
      <c r="F385" s="127" t="str">
        <f>IF(+NFL!$F76="Minnesota",+NFL!F76,IF(+NFL!$H76="Minnesota",+NFL!F76,0))</f>
        <v>Chicago</v>
      </c>
      <c r="G385" s="46" t="str">
        <f>IF(+NFL!$F76="Minnesota",+NFL!G76,IF(+NFL!$H76="Minnesota",+NFL!G76,0))</f>
        <v>NFCN</v>
      </c>
      <c r="H385" s="127" t="str">
        <f>IF(+NFL!$F76="Minnesota",+NFL!H76,IF(+NFL!$H76="Minnesota",+NFL!H76,0))</f>
        <v>Minnesota</v>
      </c>
      <c r="I385" s="46" t="str">
        <f>IF(+NFL!$F76="Minnesota",+NFL!I76,IF(+NFL!$H76="Minnesota",+NFL!I76,0))</f>
        <v>NFCN</v>
      </c>
      <c r="J385" s="353" t="str">
        <f>IF(+NFL!$F76="Minnesota",+NFL!J76,IF(+NFL!$H76="Minnesota",+NFL!J76,0))</f>
        <v>Minnesota</v>
      </c>
      <c r="K385" s="494" t="str">
        <f>IF(+NFL!$F76="Minnesota",+NFL!K76,IF(+NFL!$H76="Minnesota",+NFL!K76,0))</f>
        <v>Chicago</v>
      </c>
      <c r="L385" s="384">
        <f>IF(+NFL!$F76="Minnesota",+NFL!L76,IF(+NFL!$H76="Minnesota",+NFL!L76,0))</f>
        <v>7</v>
      </c>
      <c r="M385" s="385">
        <f>IF(+NFL!$F76="Minnesota",+NFL!M76,IF(+NFL!$H76="Minnesota",+NFL!M76,0))</f>
        <v>44</v>
      </c>
      <c r="N385" s="394" t="str">
        <f>IF(+NFL!$F76="Minnesota",+NFL!N76,IF(+NFL!$H76="Minnesota",+NFL!N76,0))</f>
        <v>Minnesota</v>
      </c>
      <c r="O385" s="395">
        <f>IF(+NFL!$F76="Minnesota",+NFL!O76,IF(+NFL!$H76="Minnesota",+NFL!O76,0))</f>
        <v>29</v>
      </c>
      <c r="P385" s="394" t="str">
        <f>IF(+NFL!$F76="Minnesota",+NFL!P76,IF(+NFL!$H76="Minnesota",+NFL!P76,0))</f>
        <v>Chicago</v>
      </c>
      <c r="Q385" s="396">
        <f>IF(+NFL!$F76="Minnesota",+NFL!Q76,IF(+NFL!$H76="Minnesota",+NFL!Q76,0))</f>
        <v>22</v>
      </c>
      <c r="R385" s="397" t="str">
        <f>IF(+NFL!$F76="Minnesota",+NFL!R76,IF(+NFL!$H76="Minnesota",+NFL!R76,0))</f>
        <v>Minnesota</v>
      </c>
      <c r="S385" s="396" t="str">
        <f>IF(+NFL!$F76="Minnesota",+NFL!S76,IF(+NFL!$H76="Minnesota",+NFL!S76,0))</f>
        <v>Chicago</v>
      </c>
      <c r="T385" s="398" t="str">
        <f>IF(+NFL!$F76="Minnesota",+NFL!T76,IF(+NFL!$H76="Minnesota",+NFL!T76,0))</f>
        <v>Minnesota</v>
      </c>
      <c r="U385" s="396" t="str">
        <f>IF(+NFL!$F76="Minnesota",+NFL!U76,IF(+NFL!$H76="Minnesota",+NFL!U76,0))</f>
        <v>T</v>
      </c>
      <c r="V385" s="397">
        <f>IF(+NFL!$F54="Minnesota",+NFL!#REF!,IF(+NFL!$H54="Minnesota",+NFL!#REF!,0))</f>
        <v>0</v>
      </c>
      <c r="W385" s="396">
        <f>IF(+NFL!$F54="Minnesota",+NFL!#REF!,IF(+NFL!$H54="Minnesota",+NFL!#REF!,0))</f>
        <v>0</v>
      </c>
      <c r="X385" s="398">
        <f>IF(+NFL!$F54="Minnesota",+NFL!#REF!,IF(+NFL!$H54="Minnesota",+NFL!#REF!,0))</f>
        <v>0</v>
      </c>
      <c r="Y385" s="396">
        <f>IF(+NFL!$F54="Minnesota",+NFL!#REF!,IF(+NFL!$H54="Minnesota",+NFL!#REF!,0))</f>
        <v>0</v>
      </c>
      <c r="Z385" s="397">
        <f>IF(+NFL!$F54="Minnesota",+NFL!#REF!,IF(+NFL!$H54="Minnesota",+NFL!#REF!,0))</f>
        <v>0</v>
      </c>
      <c r="AA385" s="396">
        <f>IF(+NFL!$F54="Minnesota",+NFL!#REF!,IF(+NFL!$H54="Minnesota",+NFL!#REF!,0))</f>
        <v>0</v>
      </c>
      <c r="AB385" s="87">
        <f>IF(+NFL!$F54="Minnesota",+NFL!#REF!,IF(+NFL!$H54="Minnesota",+NFL!#REF!,0))</f>
        <v>0</v>
      </c>
      <c r="AC385" s="120">
        <f>IF(+NFL!$F54="Minnesota",+NFL!#REF!,IF(+NFL!$H54="Minnesota",+NFL!#REF!,0))</f>
        <v>0</v>
      </c>
      <c r="AD385" s="353">
        <f>IF(+NFL!$F54="Minnesota",+NFL!#REF!,IF(+NFL!$H54="Minnesota",+NFL!#REF!,0))</f>
        <v>0</v>
      </c>
      <c r="AE385" s="379">
        <f>IF(+NFL!$F54="Minnesota",+NFL!#REF!,IF(+NFL!$H54="Minnesota",+NFL!#REF!,0))</f>
        <v>0</v>
      </c>
      <c r="AF385" s="353">
        <f>IF(+NFL!$F54="Minnesota",+NFL!#REF!,IF(+NFL!$H54="Minnesota",+NFL!#REF!,0))</f>
        <v>0</v>
      </c>
      <c r="AG385" s="379">
        <f>IF(+NFL!$F54="Minnesota",+NFL!#REF!,IF(+NFL!$H54="Minnesota",+NFL!#REF!,0))</f>
        <v>0</v>
      </c>
      <c r="AH385" s="353">
        <f>IF(+NFL!$F54="Minnesota",+NFL!#REF!,IF(+NFL!$H54="Minnesota",+NFL!#REF!,0))</f>
        <v>0</v>
      </c>
      <c r="AI385" s="379">
        <f>IF(+NFL!$F54="Minnesota",+NFL!#REF!,IF(+NFL!$H54="Minnesota",+NFL!#REF!,0))</f>
        <v>0</v>
      </c>
      <c r="AJ385" s="353">
        <f>IF(+NFL!$F54="Minnesota",+NFL!#REF!,IF(+NFL!$H54="Minnesota",+NFL!#REF!,0))</f>
        <v>0</v>
      </c>
      <c r="AK385" s="379">
        <f>IF(+NFL!$F54="Minnesota",+NFL!#REF!,IF(+NFL!$H54="Minnesota",+NFL!#REF!,0))</f>
        <v>0</v>
      </c>
      <c r="AL385" s="68">
        <f>IF(+NFL!$F54="Minnesota",+NFL!#REF!,IF(+NFL!$H54="Minnesota",+NFL!#REF!,0))</f>
        <v>0</v>
      </c>
      <c r="AM385" s="58">
        <f>IF(+NFL!$F54="Minnesota",+NFL!#REF!,IF(+NFL!$H54="Minnesota",+NFL!#REF!,0))</f>
        <v>0</v>
      </c>
      <c r="AN385" s="57">
        <f>IF(+NFL!$F54="Minnesota",+NFL!#REF!,IF(+NFL!$H54="Minnesota",+NFL!#REF!,0))</f>
        <v>0</v>
      </c>
      <c r="AO385" s="59">
        <f>IF(+NFL!$F54="Minnesota",+NFL!#REF!,IF(+NFL!$H54="Minnesota",+NFL!#REF!,0))</f>
        <v>0</v>
      </c>
      <c r="AP385" s="348"/>
      <c r="AQ385" s="48" t="str">
        <f t="shared" si="0"/>
        <v>Chicago</v>
      </c>
      <c r="AR385" s="57">
        <f>IF(+NFL!$F54="Minnesota",+NFL!#REF!,IF(+NFL!$H54="Minnesota",+NFL!#REF!,0))</f>
        <v>0</v>
      </c>
      <c r="AS385" s="64">
        <f>IF(+NFL!$F54="Minnesota",+NFL!#REF!,IF(+NFL!$H54="Minnesota",+NFL!#REF!,0))</f>
        <v>0</v>
      </c>
      <c r="AT385" s="64">
        <f>IF(+NFL!$F54="Minnesota",+NFL!#REF!,IF(+NFL!$H54="Minnesota",+NFL!#REF!,0))</f>
        <v>0</v>
      </c>
      <c r="AU385" s="57">
        <f>IF(+NFL!$F54="Minnesota",+NFL!#REF!,IF(+NFL!$H54="Minnesota",+NFL!#REF!,0))</f>
        <v>0</v>
      </c>
      <c r="AV385" s="64">
        <f>IF(+NFL!$F54="Minnesota",+NFL!#REF!,IF(+NFL!$H54="Minnesota",+NFL!#REF!,0))</f>
        <v>0</v>
      </c>
      <c r="AW385" s="46">
        <f>IF(+NFL!$F54="Minnesota",+NFL!#REF!,IF(+NFL!$H54="Minnesota",+NFL!#REF!,0))</f>
        <v>0</v>
      </c>
      <c r="AX385" s="64"/>
      <c r="AY385" s="57">
        <f>IF(+NFL!$F54="Minnesota",+NFL!#REF!,IF(+NFL!$H54="Minnesota",+NFL!#REF!,0))</f>
        <v>0</v>
      </c>
      <c r="AZ385" s="64">
        <f>IF(+NFL!$F54="Minnesota",+NFL!#REF!,IF(+NFL!$H54="Minnesota",+NFL!#REF!,0))</f>
        <v>0</v>
      </c>
      <c r="BA385" s="46">
        <f>IF(+NFL!$F54="Minnesota",+NFL!#REF!,IF(+NFL!$H54="Minnesota",+NFL!#REF!,0))</f>
        <v>0</v>
      </c>
      <c r="BB385" s="46"/>
      <c r="BC385" s="403" t="str">
        <f t="shared" si="1"/>
        <v>Minnesota</v>
      </c>
      <c r="BD385" s="57">
        <f>IF(+NFL!$F54="Minnesota",+NFL!#REF!,IF(+NFL!$H54="Minnesota",+NFL!#REF!,0))</f>
        <v>0</v>
      </c>
      <c r="BE385" s="64">
        <f>IF(+NFL!$F54="Minnesota",+NFL!#REF!,IF(+NFL!$H54="Minnesota",+NFL!#REF!,0))</f>
        <v>0</v>
      </c>
      <c r="BF385" s="46">
        <f>IF(+NFL!$F54="Minnesota",+NFL!#REF!,IF(+NFL!$H54="Minnesota",+NFL!#REF!,0))</f>
        <v>0</v>
      </c>
      <c r="BG385" s="57">
        <f>IF(+NFL!$F54="Minnesota",+NFL!#REF!,IF(+NFL!$H54="Minnesota",+NFL!#REF!,0))</f>
        <v>0</v>
      </c>
      <c r="BH385" s="64">
        <f>IF(+NFL!$F54="Minnesota",+NFL!#REF!,IF(+NFL!$H54="Minnesota",+NFL!#REF!,0))</f>
        <v>0</v>
      </c>
      <c r="BI385" s="46">
        <f>IF(+NFL!$F54="Minnesota",+NFL!#REF!,IF(+NFL!$H54="Minnesota",+NFL!#REF!,0))</f>
        <v>0</v>
      </c>
      <c r="BJ385" s="87">
        <f>IF(+NFL!$F54="Minnesota",+NFL!#REF!,IF(+NFL!$H54="Minnesota",+NFL!#REF!,0))</f>
        <v>0</v>
      </c>
      <c r="BK385" s="120">
        <f>IF(+NFL!$F54="Minnesota",+NFL!#REF!,IF(+NFL!$H54="Minnesota",+NFL!#REF!,0))</f>
        <v>0</v>
      </c>
    </row>
    <row r="386" spans="1:63" s="246" customFormat="1" x14ac:dyDescent="0.8">
      <c r="A386" s="46">
        <f>IF(+NFL!$F94="Minnesota",+NFL!A94,IF(+NFL!$H94="Minnesota",+NFL!A94,0))</f>
        <v>6</v>
      </c>
      <c r="B386" s="348" t="str">
        <f>IF(+NFL!$F94="Minnesota",+NFL!B94,IF(+NFL!$H94="Minnesota",+NFL!B94,0))</f>
        <v>Sun</v>
      </c>
      <c r="C386" s="48">
        <f>IF(+NFL!$F94="Minnesota",+NFL!C94,IF(+NFL!$H94="Minnesota",+NFL!C94,0))</f>
        <v>44850</v>
      </c>
      <c r="D386" s="490">
        <f>IF(+NFL!$F94="Minnesota",+NFL!D94,IF(+NFL!$H94="Minnesota",+NFL!D94,0))</f>
        <v>0.54166666666666663</v>
      </c>
      <c r="E386" s="46" t="str">
        <f>IF(+NFL!$F94="Minnesota",+NFL!E94,IF(+NFL!$H94="Minnesota",+NFL!E94,0))</f>
        <v>Fox</v>
      </c>
      <c r="F386" s="127" t="str">
        <f>IF(+NFL!$F94="Minnesota",+NFL!F94,IF(+NFL!$H94="Minnesota",+NFL!F94,0))</f>
        <v>Minnesota</v>
      </c>
      <c r="G386" s="46" t="str">
        <f>IF(+NFL!$F94="Minnesota",+NFL!G94,IF(+NFL!$H94="Minnesota",+NFL!G94,0))</f>
        <v>NFCN</v>
      </c>
      <c r="H386" s="127" t="str">
        <f>IF(+NFL!$F94="Minnesota",+NFL!H94,IF(+NFL!$H94="Minnesota",+NFL!H94,0))</f>
        <v>Miami</v>
      </c>
      <c r="I386" s="46" t="str">
        <f>IF(+NFL!$F94="Minnesota",+NFL!I94,IF(+NFL!$H94="Minnesota",+NFL!I94,0))</f>
        <v>AFCE</v>
      </c>
      <c r="J386" s="353" t="str">
        <f>IF(+NFL!$F94="Minnesota",+NFL!J94,IF(+NFL!$H94="Minnesota",+NFL!J94,0))</f>
        <v>Minnesota</v>
      </c>
      <c r="K386" s="494" t="str">
        <f>IF(+NFL!$F94="Minnesota",+NFL!K94,IF(+NFL!$H94="Minnesota",+NFL!K94,0))</f>
        <v>Miami</v>
      </c>
      <c r="L386" s="384">
        <f>IF(+NFL!$F94="Minnesota",+NFL!L94,IF(+NFL!$H94="Minnesota",+NFL!L94,0))</f>
        <v>3</v>
      </c>
      <c r="M386" s="385">
        <f>IF(+NFL!$F94="Minnesota",+NFL!M94,IF(+NFL!$H94="Minnesota",+NFL!M94,0))</f>
        <v>45.5</v>
      </c>
      <c r="N386" s="394" t="str">
        <f>IF(+NFL!$F94="Minnesota",+NFL!N94,IF(+NFL!$H94="Minnesota",+NFL!N94,0))</f>
        <v>Minnesota</v>
      </c>
      <c r="O386" s="395">
        <f>IF(+NFL!$F94="Minnesota",+NFL!O94,IF(+NFL!$H94="Minnesota",+NFL!O94,0))</f>
        <v>24</v>
      </c>
      <c r="P386" s="394" t="str">
        <f>IF(+NFL!$F94="Minnesota",+NFL!P94,IF(+NFL!$H94="Minnesota",+NFL!P94,0))</f>
        <v>Miami</v>
      </c>
      <c r="Q386" s="396">
        <f>IF(+NFL!$F94="Minnesota",+NFL!Q94,IF(+NFL!$H94="Minnesota",+NFL!Q94,0))</f>
        <v>16</v>
      </c>
      <c r="R386" s="397" t="str">
        <f>IF(+NFL!$F94="Minnesota",+NFL!R94,IF(+NFL!$H94="Minnesota",+NFL!R94,0))</f>
        <v>Minnesota</v>
      </c>
      <c r="S386" s="396" t="str">
        <f>IF(+NFL!$F94="Minnesota",+NFL!S94,IF(+NFL!$H94="Minnesota",+NFL!S94,0))</f>
        <v>Miami</v>
      </c>
      <c r="T386" s="398" t="str">
        <f>IF(+NFL!$F94="Minnesota",+NFL!T94,IF(+NFL!$H94="Minnesota",+NFL!T94,0))</f>
        <v>Miami</v>
      </c>
      <c r="U386" s="396" t="str">
        <f>IF(+NFL!$F94="Minnesota",+NFL!U94,IF(+NFL!$H94="Minnesota",+NFL!U94,0))</f>
        <v>L</v>
      </c>
      <c r="V386" s="397">
        <f>IF(+NFL!$F80="Minnesota",+NFL!#REF!,IF(+NFL!$H80="Minnesota",+NFL!#REF!,0))</f>
        <v>0</v>
      </c>
      <c r="W386" s="396">
        <f>IF(+NFL!$F80="Minnesota",+NFL!#REF!,IF(+NFL!$H80="Minnesota",+NFL!#REF!,0))</f>
        <v>0</v>
      </c>
      <c r="X386" s="398">
        <f>IF(+NFL!$F80="Minnesota",+NFL!#REF!,IF(+NFL!$H80="Minnesota",+NFL!#REF!,0))</f>
        <v>0</v>
      </c>
      <c r="Y386" s="396">
        <f>IF(+NFL!$F80="Minnesota",+NFL!#REF!,IF(+NFL!$H80="Minnesota",+NFL!#REF!,0))</f>
        <v>0</v>
      </c>
      <c r="Z386" s="397">
        <f>IF(+NFL!$F80="Minnesota",+NFL!#REF!,IF(+NFL!$H80="Minnesota",+NFL!#REF!,0))</f>
        <v>0</v>
      </c>
      <c r="AA386" s="396">
        <f>IF(+NFL!$F80="Minnesota",+NFL!#REF!,IF(+NFL!$H80="Minnesota",+NFL!#REF!,0))</f>
        <v>0</v>
      </c>
      <c r="AB386" s="87">
        <f>IF(+NFL!$F80="Minnesota",+NFL!#REF!,IF(+NFL!$H80="Minnesota",+NFL!#REF!,0))</f>
        <v>0</v>
      </c>
      <c r="AC386" s="120">
        <f>IF(+NFL!$F80="Minnesota",+NFL!#REF!,IF(+NFL!$H80="Minnesota",+NFL!#REF!,0))</f>
        <v>0</v>
      </c>
      <c r="AD386" s="353">
        <f>IF(+NFL!$F80="Minnesota",+NFL!#REF!,IF(+NFL!$H80="Minnesota",+NFL!#REF!,0))</f>
        <v>0</v>
      </c>
      <c r="AE386" s="379">
        <f>IF(+NFL!$F80="Minnesota",+NFL!#REF!,IF(+NFL!$H80="Minnesota",+NFL!#REF!,0))</f>
        <v>0</v>
      </c>
      <c r="AF386" s="353">
        <f>IF(+NFL!$F80="Minnesota",+NFL!#REF!,IF(+NFL!$H80="Minnesota",+NFL!#REF!,0))</f>
        <v>0</v>
      </c>
      <c r="AG386" s="379">
        <f>IF(+NFL!$F80="Minnesota",+NFL!#REF!,IF(+NFL!$H80="Minnesota",+NFL!#REF!,0))</f>
        <v>0</v>
      </c>
      <c r="AH386" s="353">
        <f>IF(+NFL!$F80="Minnesota",+NFL!#REF!,IF(+NFL!$H80="Minnesota",+NFL!#REF!,0))</f>
        <v>0</v>
      </c>
      <c r="AI386" s="379">
        <f>IF(+NFL!$F80="Minnesota",+NFL!#REF!,IF(+NFL!$H80="Minnesota",+NFL!#REF!,0))</f>
        <v>0</v>
      </c>
      <c r="AJ386" s="353">
        <f>IF(+NFL!$F80="Minnesota",+NFL!#REF!,IF(+NFL!$H80="Minnesota",+NFL!#REF!,0))</f>
        <v>0</v>
      </c>
      <c r="AK386" s="379">
        <f>IF(+NFL!$F80="Minnesota",+NFL!#REF!,IF(+NFL!$H80="Minnesota",+NFL!#REF!,0))</f>
        <v>0</v>
      </c>
      <c r="AL386" s="68">
        <f>IF(+NFL!$F80="Minnesota",+NFL!#REF!,IF(+NFL!$H80="Minnesota",+NFL!#REF!,0))</f>
        <v>0</v>
      </c>
      <c r="AM386" s="58">
        <f>IF(+NFL!$F80="Minnesota",+NFL!#REF!,IF(+NFL!$H80="Minnesota",+NFL!#REF!,0))</f>
        <v>0</v>
      </c>
      <c r="AN386" s="57">
        <f>IF(+NFL!$F80="Minnesota",+NFL!#REF!,IF(+NFL!$H80="Minnesota",+NFL!#REF!,0))</f>
        <v>0</v>
      </c>
      <c r="AO386" s="59">
        <f>IF(+NFL!$F80="Minnesota",+NFL!#REF!,IF(+NFL!$H80="Minnesota",+NFL!#REF!,0))</f>
        <v>0</v>
      </c>
      <c r="AP386" s="348"/>
      <c r="AQ386" s="48" t="str">
        <f t="shared" si="0"/>
        <v>Minnesota</v>
      </c>
      <c r="AR386" s="57">
        <f>IF(+NFL!$F80="Minnesota",+NFL!#REF!,IF(+NFL!$H80="Minnesota",+NFL!#REF!,0))</f>
        <v>0</v>
      </c>
      <c r="AS386" s="64">
        <f>IF(+NFL!$F80="Minnesota",+NFL!#REF!,IF(+NFL!$H80="Minnesota",+NFL!#REF!,0))</f>
        <v>0</v>
      </c>
      <c r="AT386" s="64">
        <f>IF(+NFL!$F80="Minnesota",+NFL!#REF!,IF(+NFL!$H80="Minnesota",+NFL!#REF!,0))</f>
        <v>0</v>
      </c>
      <c r="AU386" s="57">
        <f>IF(+NFL!$F80="Minnesota",+NFL!#REF!,IF(+NFL!$H80="Minnesota",+NFL!#REF!,0))</f>
        <v>0</v>
      </c>
      <c r="AV386" s="64">
        <f>IF(+NFL!$F80="Minnesota",+NFL!#REF!,IF(+NFL!$H80="Minnesota",+NFL!#REF!,0))</f>
        <v>0</v>
      </c>
      <c r="AW386" s="46">
        <f>IF(+NFL!$F80="Minnesota",+NFL!#REF!,IF(+NFL!$H80="Minnesota",+NFL!#REF!,0))</f>
        <v>0</v>
      </c>
      <c r="AX386" s="64"/>
      <c r="AY386" s="57">
        <f>IF(+NFL!$F80="Minnesota",+NFL!#REF!,IF(+NFL!$H80="Minnesota",+NFL!#REF!,0))</f>
        <v>0</v>
      </c>
      <c r="AZ386" s="64">
        <f>IF(+NFL!$F80="Minnesota",+NFL!#REF!,IF(+NFL!$H80="Minnesota",+NFL!#REF!,0))</f>
        <v>0</v>
      </c>
      <c r="BA386" s="46">
        <f>IF(+NFL!$F80="Minnesota",+NFL!#REF!,IF(+NFL!$H80="Minnesota",+NFL!#REF!,0))</f>
        <v>0</v>
      </c>
      <c r="BB386" s="46"/>
      <c r="BC386" s="403" t="str">
        <f t="shared" si="1"/>
        <v>Miami</v>
      </c>
      <c r="BD386" s="57">
        <f>IF(+NFL!$F80="Minnesota",+NFL!#REF!,IF(+NFL!$H80="Minnesota",+NFL!#REF!,0))</f>
        <v>0</v>
      </c>
      <c r="BE386" s="64">
        <f>IF(+NFL!$F80="Minnesota",+NFL!#REF!,IF(+NFL!$H80="Minnesota",+NFL!#REF!,0))</f>
        <v>0</v>
      </c>
      <c r="BF386" s="46">
        <f>IF(+NFL!$F80="Minnesota",+NFL!#REF!,IF(+NFL!$H80="Minnesota",+NFL!#REF!,0))</f>
        <v>0</v>
      </c>
      <c r="BG386" s="57">
        <f>IF(+NFL!$F80="Minnesota",+NFL!#REF!,IF(+NFL!$H80="Minnesota",+NFL!#REF!,0))</f>
        <v>0</v>
      </c>
      <c r="BH386" s="64">
        <f>IF(+NFL!$F80="Minnesota",+NFL!#REF!,IF(+NFL!$H80="Minnesota",+NFL!#REF!,0))</f>
        <v>0</v>
      </c>
      <c r="BI386" s="46">
        <f>IF(+NFL!$F80="Minnesota",+NFL!#REF!,IF(+NFL!$H80="Minnesota",+NFL!#REF!,0))</f>
        <v>0</v>
      </c>
      <c r="BJ386" s="87">
        <f>IF(+NFL!$F80="Minnesota",+NFL!#REF!,IF(+NFL!$H80="Minnesota",+NFL!#REF!,0))</f>
        <v>0</v>
      </c>
      <c r="BK386" s="120">
        <f>IF(+NFL!$F80="Minnesota",+NFL!#REF!,IF(+NFL!$H80="Minnesota",+NFL!#REF!,0))</f>
        <v>0</v>
      </c>
    </row>
    <row r="387" spans="1:63" s="246" customFormat="1" x14ac:dyDescent="0.8">
      <c r="A387" s="46">
        <f>IF(+NFL!$F126="Minnesota",+NFL!A126,IF(+NFL!$H126="Minnesota",+NFL!A126,0))</f>
        <v>7</v>
      </c>
      <c r="B387" s="348">
        <f>IF(+NFL!$F126="Minnesota",+NFL!B126,IF(+NFL!$H126="Minnesota",+NFL!B126,0))</f>
        <v>0</v>
      </c>
      <c r="C387" s="48">
        <f>IF(+NFL!$F126="Minnesota",+NFL!C126,IF(+NFL!$H126="Minnesota",+NFL!C126,0))</f>
        <v>0</v>
      </c>
      <c r="D387" s="490">
        <f>IF(+NFL!$F126="Minnesota",+NFL!D126,IF(+NFL!$H126="Minnesota",+NFL!D126,0))</f>
        <v>0</v>
      </c>
      <c r="E387" s="46">
        <f>IF(+NFL!$F126="Minnesota",+NFL!E126,IF(+NFL!$H126="Minnesota",+NFL!E126,0))</f>
        <v>0</v>
      </c>
      <c r="F387" s="127" t="str">
        <f>IF(+NFL!$F126="Minnesota",+NFL!F126,IF(+NFL!$H126="Minnesota",+NFL!F126,0))</f>
        <v>Minnesota</v>
      </c>
      <c r="G387" s="46" t="str">
        <f>IF(+NFL!$F126="Minnesota",+NFL!G126,IF(+NFL!$H126="Minnesota",+NFL!G126,0))</f>
        <v>NFCN</v>
      </c>
      <c r="H387" s="127">
        <f>IF(+NFL!$F126="Minnesota",+NFL!H126,IF(+NFL!$H126="Minnesota",+NFL!H126,0))</f>
        <v>0</v>
      </c>
      <c r="I387" s="46">
        <f>IF(+NFL!$F126="Minnesota",+NFL!I126,IF(+NFL!$H126="Minnesota",+NFL!I126,0))</f>
        <v>0</v>
      </c>
      <c r="J387" s="353">
        <f>IF(+NFL!$F126="Minnesota",+NFL!J126,IF(+NFL!$H126="Minnesota",+NFL!J126,0))</f>
        <v>0</v>
      </c>
      <c r="K387" s="494">
        <f>IF(+NFL!$F126="Minnesota",+NFL!K126,IF(+NFL!$H126="Minnesota",+NFL!K126,0))</f>
        <v>0</v>
      </c>
      <c r="L387" s="384">
        <f>IF(+NFL!$F126="Minnesota",+NFL!L126,IF(+NFL!$H126="Minnesota",+NFL!L126,0))</f>
        <v>0</v>
      </c>
      <c r="M387" s="385">
        <f>IF(+NFL!$F126="Minnesota",+NFL!M126,IF(+NFL!$H126="Minnesota",+NFL!M126,0))</f>
        <v>0</v>
      </c>
      <c r="N387" s="394">
        <f>IF(+NFL!$F126="Minnesota",+NFL!N126,IF(+NFL!$H126="Minnesota",+NFL!N126,0))</f>
        <v>0</v>
      </c>
      <c r="O387" s="395">
        <f>IF(+NFL!$F126="Minnesota",+NFL!O126,IF(+NFL!$H126="Minnesota",+NFL!O126,0))</f>
        <v>0</v>
      </c>
      <c r="P387" s="394">
        <f>IF(+NFL!$F126="Minnesota",+NFL!P126,IF(+NFL!$H126="Minnesota",+NFL!P126,0))</f>
        <v>0</v>
      </c>
      <c r="Q387" s="396">
        <f>IF(+NFL!$F126="Minnesota",+NFL!Q126,IF(+NFL!$H126="Minnesota",+NFL!Q126,0))</f>
        <v>0</v>
      </c>
      <c r="R387" s="397">
        <f>IF(+NFL!$F126="Minnesota",+NFL!R126,IF(+NFL!$H126="Minnesota",+NFL!R126,0))</f>
        <v>0</v>
      </c>
      <c r="S387" s="396">
        <f>IF(+NFL!$F126="Minnesota",+NFL!S126,IF(+NFL!$H126="Minnesota",+NFL!S126,0))</f>
        <v>0</v>
      </c>
      <c r="T387" s="398">
        <f>IF(+NFL!$F126="Minnesota",+NFL!T126,IF(+NFL!$H126="Minnesota",+NFL!T126,0))</f>
        <v>0</v>
      </c>
      <c r="U387" s="396">
        <f>IF(+NFL!$F126="Minnesota",+NFL!U126,IF(+NFL!$H126="Minnesota",+NFL!U126,0))</f>
        <v>0</v>
      </c>
      <c r="V387" s="397" t="e">
        <f>IF(+NFL!$F94="Minnesota",+NFL!#REF!,IF(+NFL!$H94="Minnesota",+NFL!#REF!,0))</f>
        <v>#REF!</v>
      </c>
      <c r="W387" s="396" t="e">
        <f>IF(+NFL!$F94="Minnesota",+NFL!#REF!,IF(+NFL!$H94="Minnesota",+NFL!#REF!,0))</f>
        <v>#REF!</v>
      </c>
      <c r="X387" s="398" t="e">
        <f>IF(+NFL!$F94="Minnesota",+NFL!#REF!,IF(+NFL!$H94="Minnesota",+NFL!#REF!,0))</f>
        <v>#REF!</v>
      </c>
      <c r="Y387" s="396" t="e">
        <f>IF(+NFL!$F94="Minnesota",+NFL!#REF!,IF(+NFL!$H94="Minnesota",+NFL!#REF!,0))</f>
        <v>#REF!</v>
      </c>
      <c r="Z387" s="397" t="e">
        <f>IF(+NFL!$F94="Minnesota",+NFL!#REF!,IF(+NFL!$H94="Minnesota",+NFL!#REF!,0))</f>
        <v>#REF!</v>
      </c>
      <c r="AA387" s="396" t="e">
        <f>IF(+NFL!$F94="Minnesota",+NFL!#REF!,IF(+NFL!$H94="Minnesota",+NFL!#REF!,0))</f>
        <v>#REF!</v>
      </c>
      <c r="AB387" s="87" t="e">
        <f>IF(+NFL!$F94="Minnesota",+NFL!#REF!,IF(+NFL!$H94="Minnesota",+NFL!#REF!,0))</f>
        <v>#REF!</v>
      </c>
      <c r="AC387" s="120" t="e">
        <f>IF(+NFL!$F94="Minnesota",+NFL!#REF!,IF(+NFL!$H94="Minnesota",+NFL!#REF!,0))</f>
        <v>#REF!</v>
      </c>
      <c r="AD387" s="353" t="e">
        <f>IF(+NFL!$F94="Minnesota",+NFL!#REF!,IF(+NFL!$H94="Minnesota",+NFL!#REF!,0))</f>
        <v>#REF!</v>
      </c>
      <c r="AE387" s="379" t="e">
        <f>IF(+NFL!$F94="Minnesota",+NFL!#REF!,IF(+NFL!$H94="Minnesota",+NFL!#REF!,0))</f>
        <v>#REF!</v>
      </c>
      <c r="AF387" s="353" t="e">
        <f>IF(+NFL!$F94="Minnesota",+NFL!#REF!,IF(+NFL!$H94="Minnesota",+NFL!#REF!,0))</f>
        <v>#REF!</v>
      </c>
      <c r="AG387" s="379" t="e">
        <f>IF(+NFL!$F94="Minnesota",+NFL!#REF!,IF(+NFL!$H94="Minnesota",+NFL!#REF!,0))</f>
        <v>#REF!</v>
      </c>
      <c r="AH387" s="353" t="e">
        <f>IF(+NFL!$F94="Minnesota",+NFL!#REF!,IF(+NFL!$H94="Minnesota",+NFL!#REF!,0))</f>
        <v>#REF!</v>
      </c>
      <c r="AI387" s="379" t="e">
        <f>IF(+NFL!$F94="Minnesota",+NFL!#REF!,IF(+NFL!$H94="Minnesota",+NFL!#REF!,0))</f>
        <v>#REF!</v>
      </c>
      <c r="AJ387" s="353" t="e">
        <f>IF(+NFL!$F94="Minnesota",+NFL!#REF!,IF(+NFL!$H94="Minnesota",+NFL!#REF!,0))</f>
        <v>#REF!</v>
      </c>
      <c r="AK387" s="379" t="e">
        <f>IF(+NFL!$F94="Minnesota",+NFL!#REF!,IF(+NFL!$H94="Minnesota",+NFL!#REF!,0))</f>
        <v>#REF!</v>
      </c>
      <c r="AL387" s="68" t="e">
        <f>IF(+NFL!$F94="Minnesota",+NFL!#REF!,IF(+NFL!$H94="Minnesota",+NFL!#REF!,0))</f>
        <v>#REF!</v>
      </c>
      <c r="AM387" s="58" t="e">
        <f>IF(+NFL!$F94="Minnesota",+NFL!#REF!,IF(+NFL!$H94="Minnesota",+NFL!#REF!,0))</f>
        <v>#REF!</v>
      </c>
      <c r="AN387" s="57" t="e">
        <f>IF(+NFL!$F94="Minnesota",+NFL!#REF!,IF(+NFL!$H94="Minnesota",+NFL!#REF!,0))</f>
        <v>#REF!</v>
      </c>
      <c r="AO387" s="59" t="e">
        <f>IF(+NFL!$F94="Minnesota",+NFL!#REF!,IF(+NFL!$H94="Minnesota",+NFL!#REF!,0))</f>
        <v>#REF!</v>
      </c>
      <c r="AP387" s="348"/>
      <c r="AQ387" s="48" t="str">
        <f t="shared" si="0"/>
        <v>Minnesota</v>
      </c>
      <c r="AR387" s="57" t="e">
        <f>IF(+NFL!$F94="Minnesota",+NFL!#REF!,IF(+NFL!$H94="Minnesota",+NFL!#REF!,0))</f>
        <v>#REF!</v>
      </c>
      <c r="AS387" s="64" t="e">
        <f>IF(+NFL!$F94="Minnesota",+NFL!#REF!,IF(+NFL!$H94="Minnesota",+NFL!#REF!,0))</f>
        <v>#REF!</v>
      </c>
      <c r="AT387" s="64" t="e">
        <f>IF(+NFL!$F94="Minnesota",+NFL!#REF!,IF(+NFL!$H94="Minnesota",+NFL!#REF!,0))</f>
        <v>#REF!</v>
      </c>
      <c r="AU387" s="57" t="e">
        <f>IF(+NFL!$F94="Minnesota",+NFL!#REF!,IF(+NFL!$H94="Minnesota",+NFL!#REF!,0))</f>
        <v>#REF!</v>
      </c>
      <c r="AV387" s="64" t="e">
        <f>IF(+NFL!$F94="Minnesota",+NFL!#REF!,IF(+NFL!$H94="Minnesota",+NFL!#REF!,0))</f>
        <v>#REF!</v>
      </c>
      <c r="AW387" s="46" t="e">
        <f>IF(+NFL!$F94="Minnesota",+NFL!#REF!,IF(+NFL!$H94="Minnesota",+NFL!#REF!,0))</f>
        <v>#REF!</v>
      </c>
      <c r="AX387" s="64"/>
      <c r="AY387" s="57" t="e">
        <f>IF(+NFL!$F94="Minnesota",+NFL!#REF!,IF(+NFL!$H94="Minnesota",+NFL!#REF!,0))</f>
        <v>#REF!</v>
      </c>
      <c r="AZ387" s="64" t="e">
        <f>IF(+NFL!$F94="Minnesota",+NFL!#REF!,IF(+NFL!$H94="Minnesota",+NFL!#REF!,0))</f>
        <v>#REF!</v>
      </c>
      <c r="BA387" s="46" t="e">
        <f>IF(+NFL!$F94="Minnesota",+NFL!#REF!,IF(+NFL!$H94="Minnesota",+NFL!#REF!,0))</f>
        <v>#REF!</v>
      </c>
      <c r="BB387" s="46"/>
      <c r="BC387" s="403">
        <f t="shared" si="1"/>
        <v>0</v>
      </c>
      <c r="BD387" s="57" t="e">
        <f>IF(+NFL!$F94="Minnesota",+NFL!#REF!,IF(+NFL!$H94="Minnesota",+NFL!#REF!,0))</f>
        <v>#REF!</v>
      </c>
      <c r="BE387" s="64" t="e">
        <f>IF(+NFL!$F94="Minnesota",+NFL!#REF!,IF(+NFL!$H94="Minnesota",+NFL!#REF!,0))</f>
        <v>#REF!</v>
      </c>
      <c r="BF387" s="46" t="e">
        <f>IF(+NFL!$F94="Minnesota",+NFL!#REF!,IF(+NFL!$H94="Minnesota",+NFL!#REF!,0))</f>
        <v>#REF!</v>
      </c>
      <c r="BG387" s="57" t="e">
        <f>IF(+NFL!$F94="Minnesota",+NFL!#REF!,IF(+NFL!$H94="Minnesota",+NFL!#REF!,0))</f>
        <v>#REF!</v>
      </c>
      <c r="BH387" s="64" t="e">
        <f>IF(+NFL!$F94="Minnesota",+NFL!#REF!,IF(+NFL!$H94="Minnesota",+NFL!#REF!,0))</f>
        <v>#REF!</v>
      </c>
      <c r="BI387" s="46" t="e">
        <f>IF(+NFL!$F94="Minnesota",+NFL!#REF!,IF(+NFL!$H94="Minnesota",+NFL!#REF!,0))</f>
        <v>#REF!</v>
      </c>
      <c r="BJ387" s="87" t="e">
        <f>IF(+NFL!$F94="Minnesota",+NFL!#REF!,IF(+NFL!$H94="Minnesota",+NFL!#REF!,0))</f>
        <v>#REF!</v>
      </c>
      <c r="BK387" s="120" t="e">
        <f>IF(+NFL!$F94="Minnesota",+NFL!#REF!,IF(+NFL!$H94="Minnesota",+NFL!#REF!,0))</f>
        <v>#REF!</v>
      </c>
    </row>
    <row r="388" spans="1:63" s="246" customFormat="1" x14ac:dyDescent="0.8">
      <c r="A388" s="46">
        <f>IF(+NFL!$F134="Minnesota",+NFL!A134,IF(+NFL!$H134="Minnesota",+NFL!A134,0))</f>
        <v>8</v>
      </c>
      <c r="B388" s="348" t="str">
        <f>IF(+NFL!$F134="Minnesota",+NFL!B134,IF(+NFL!$H134="Minnesota",+NFL!B134,0))</f>
        <v>Sun</v>
      </c>
      <c r="C388" s="48">
        <f>IF(+NFL!$F134="Minnesota",+NFL!C134,IF(+NFL!$H134="Minnesota",+NFL!C134,0))</f>
        <v>44864</v>
      </c>
      <c r="D388" s="490">
        <f>IF(+NFL!$F134="Minnesota",+NFL!D134,IF(+NFL!$H134="Minnesota",+NFL!D134,0))</f>
        <v>0.54166666666666663</v>
      </c>
      <c r="E388" s="46" t="str">
        <f>IF(+NFL!$F134="Minnesota",+NFL!E134,IF(+NFL!$H134="Minnesota",+NFL!E134,0))</f>
        <v>Fox</v>
      </c>
      <c r="F388" s="127" t="str">
        <f>IF(+NFL!$F134="Minnesota",+NFL!F134,IF(+NFL!$H134="Minnesota",+NFL!F134,0))</f>
        <v>Arizona</v>
      </c>
      <c r="G388" s="46" t="str">
        <f>IF(+NFL!$F134="Minnesota",+NFL!G134,IF(+NFL!$H134="Minnesota",+NFL!G134,0))</f>
        <v>NFCW</v>
      </c>
      <c r="H388" s="127" t="str">
        <f>IF(+NFL!$F134="Minnesota",+NFL!H134,IF(+NFL!$H134="Minnesota",+NFL!H134,0))</f>
        <v>Minnesota</v>
      </c>
      <c r="I388" s="46" t="str">
        <f>IF(+NFL!$F134="Minnesota",+NFL!I134,IF(+NFL!$H134="Minnesota",+NFL!I134,0))</f>
        <v>NFCN</v>
      </c>
      <c r="J388" s="353" t="str">
        <f>IF(+NFL!$F134="Minnesota",+NFL!J134,IF(+NFL!$H134="Minnesota",+NFL!J134,0))</f>
        <v>Minnesota</v>
      </c>
      <c r="K388" s="494" t="str">
        <f>IF(+NFL!$F134="Minnesota",+NFL!K134,IF(+NFL!$H134="Minnesota",+NFL!K134,0))</f>
        <v>Arizona</v>
      </c>
      <c r="L388" s="384">
        <f>IF(+NFL!$F134="Minnesota",+NFL!L134,IF(+NFL!$H134="Minnesota",+NFL!L134,0))</f>
        <v>3.5</v>
      </c>
      <c r="M388" s="385">
        <f>IF(+NFL!$F134="Minnesota",+NFL!M134,IF(+NFL!$H134="Minnesota",+NFL!M134,0))</f>
        <v>49</v>
      </c>
      <c r="N388" s="394" t="str">
        <f>IF(+NFL!$F134="Minnesota",+NFL!N134,IF(+NFL!$H134="Minnesota",+NFL!N134,0))</f>
        <v>Minnesota</v>
      </c>
      <c r="O388" s="395">
        <f>IF(+NFL!$F134="Minnesota",+NFL!O134,IF(+NFL!$H134="Minnesota",+NFL!O134,0))</f>
        <v>36</v>
      </c>
      <c r="P388" s="394" t="str">
        <f>IF(+NFL!$F134="Minnesota",+NFL!P134,IF(+NFL!$H134="Minnesota",+NFL!P134,0))</f>
        <v>Arizona</v>
      </c>
      <c r="Q388" s="396">
        <f>IF(+NFL!$F134="Minnesota",+NFL!Q134,IF(+NFL!$H134="Minnesota",+NFL!Q134,0))</f>
        <v>24</v>
      </c>
      <c r="R388" s="397" t="str">
        <f>IF(+NFL!$F134="Minnesota",+NFL!R134,IF(+NFL!$H134="Minnesota",+NFL!R134,0))</f>
        <v>Minnesota</v>
      </c>
      <c r="S388" s="396" t="str">
        <f>IF(+NFL!$F134="Minnesota",+NFL!S134,IF(+NFL!$H134="Minnesota",+NFL!S134,0))</f>
        <v>Arizona</v>
      </c>
      <c r="T388" s="398" t="str">
        <f>IF(+NFL!$F134="Minnesota",+NFL!T134,IF(+NFL!$H134="Minnesota",+NFL!T134,0))</f>
        <v>Minnesota</v>
      </c>
      <c r="U388" s="396" t="str">
        <f>IF(+NFL!$F134="Minnesota",+NFL!U134,IF(+NFL!$H134="Minnesota",+NFL!U134,0))</f>
        <v>W</v>
      </c>
      <c r="V388" s="397">
        <f>IF(+NFL!$F113="Minnesota",+NFL!#REF!,IF(+NFL!$H113="Minnesota",+NFL!#REF!,0))</f>
        <v>0</v>
      </c>
      <c r="W388" s="396">
        <f>IF(+NFL!$F113="Minnesota",+NFL!#REF!,IF(+NFL!$H113="Minnesota",+NFL!#REF!,0))</f>
        <v>0</v>
      </c>
      <c r="X388" s="398">
        <f>IF(+NFL!$F113="Minnesota",+NFL!#REF!,IF(+NFL!$H113="Minnesota",+NFL!#REF!,0))</f>
        <v>0</v>
      </c>
      <c r="Y388" s="396">
        <f>IF(+NFL!$F113="Minnesota",+NFL!#REF!,IF(+NFL!$H113="Minnesota",+NFL!#REF!,0))</f>
        <v>0</v>
      </c>
      <c r="Z388" s="397">
        <f>IF(+NFL!$F113="Minnesota",+NFL!#REF!,IF(+NFL!$H113="Minnesota",+NFL!#REF!,0))</f>
        <v>0</v>
      </c>
      <c r="AA388" s="396">
        <f>IF(+NFL!$F113="Minnesota",+NFL!#REF!,IF(+NFL!$H113="Minnesota",+NFL!#REF!,0))</f>
        <v>0</v>
      </c>
      <c r="AB388" s="87">
        <f>IF(+NFL!$F113="Minnesota",+NFL!#REF!,IF(+NFL!$H113="Minnesota",+NFL!#REF!,0))</f>
        <v>0</v>
      </c>
      <c r="AC388" s="120">
        <f>IF(+NFL!$F113="Minnesota",+NFL!#REF!,IF(+NFL!$H113="Minnesota",+NFL!#REF!,0))</f>
        <v>0</v>
      </c>
      <c r="AD388" s="353">
        <f>IF(+NFL!$F113="Minnesota",+NFL!#REF!,IF(+NFL!$H113="Minnesota",+NFL!#REF!,0))</f>
        <v>0</v>
      </c>
      <c r="AE388" s="379">
        <f>IF(+NFL!$F113="Minnesota",+NFL!#REF!,IF(+NFL!$H113="Minnesota",+NFL!#REF!,0))</f>
        <v>0</v>
      </c>
      <c r="AF388" s="353">
        <f>IF(+NFL!$F113="Minnesota",+NFL!#REF!,IF(+NFL!$H113="Minnesota",+NFL!#REF!,0))</f>
        <v>0</v>
      </c>
      <c r="AG388" s="379">
        <f>IF(+NFL!$F113="Minnesota",+NFL!#REF!,IF(+NFL!$H113="Minnesota",+NFL!#REF!,0))</f>
        <v>0</v>
      </c>
      <c r="AH388" s="353">
        <f>IF(+NFL!$F113="Minnesota",+NFL!#REF!,IF(+NFL!$H113="Minnesota",+NFL!#REF!,0))</f>
        <v>0</v>
      </c>
      <c r="AI388" s="379">
        <f>IF(+NFL!$F113="Minnesota",+NFL!#REF!,IF(+NFL!$H113="Minnesota",+NFL!#REF!,0))</f>
        <v>0</v>
      </c>
      <c r="AJ388" s="353">
        <f>IF(+NFL!$F113="Minnesota",+NFL!#REF!,IF(+NFL!$H113="Minnesota",+NFL!#REF!,0))</f>
        <v>0</v>
      </c>
      <c r="AK388" s="379">
        <f>IF(+NFL!$F113="Minnesota",+NFL!#REF!,IF(+NFL!$H113="Minnesota",+NFL!#REF!,0))</f>
        <v>0</v>
      </c>
      <c r="AL388" s="68">
        <f>IF(+NFL!$F113="Minnesota",+NFL!#REF!,IF(+NFL!$H113="Minnesota",+NFL!#REF!,0))</f>
        <v>0</v>
      </c>
      <c r="AM388" s="58">
        <f>IF(+NFL!$F113="Minnesota",+NFL!#REF!,IF(+NFL!$H113="Minnesota",+NFL!#REF!,0))</f>
        <v>0</v>
      </c>
      <c r="AN388" s="57">
        <f>IF(+NFL!$F113="Minnesota",+NFL!#REF!,IF(+NFL!$H113="Minnesota",+NFL!#REF!,0))</f>
        <v>0</v>
      </c>
      <c r="AO388" s="59">
        <f>IF(+NFL!$F113="Minnesota",+NFL!#REF!,IF(+NFL!$H113="Minnesota",+NFL!#REF!,0))</f>
        <v>0</v>
      </c>
      <c r="AP388" s="348"/>
      <c r="AQ388" s="48" t="str">
        <f t="shared" si="0"/>
        <v>Arizona</v>
      </c>
      <c r="AR388" s="57">
        <f>IF(+NFL!$F113="Minnesota",+NFL!#REF!,IF(+NFL!$H113="Minnesota",+NFL!#REF!,0))</f>
        <v>0</v>
      </c>
      <c r="AS388" s="64">
        <f>IF(+NFL!$F113="Minnesota",+NFL!#REF!,IF(+NFL!$H113="Minnesota",+NFL!#REF!,0))</f>
        <v>0</v>
      </c>
      <c r="AT388" s="64">
        <f>IF(+NFL!$F113="Minnesota",+NFL!#REF!,IF(+NFL!$H113="Minnesota",+NFL!#REF!,0))</f>
        <v>0</v>
      </c>
      <c r="AU388" s="57">
        <f>IF(+NFL!$F113="Minnesota",+NFL!#REF!,IF(+NFL!$H113="Minnesota",+NFL!#REF!,0))</f>
        <v>0</v>
      </c>
      <c r="AV388" s="64">
        <f>IF(+NFL!$F113="Minnesota",+NFL!#REF!,IF(+NFL!$H113="Minnesota",+NFL!#REF!,0))</f>
        <v>0</v>
      </c>
      <c r="AW388" s="46">
        <f>IF(+NFL!$F113="Minnesota",+NFL!#REF!,IF(+NFL!$H113="Minnesota",+NFL!#REF!,0))</f>
        <v>0</v>
      </c>
      <c r="AX388" s="64"/>
      <c r="AY388" s="57">
        <f>IF(+NFL!$F113="Minnesota",+NFL!#REF!,IF(+NFL!$H113="Minnesota",+NFL!#REF!,0))</f>
        <v>0</v>
      </c>
      <c r="AZ388" s="64">
        <f>IF(+NFL!$F113="Minnesota",+NFL!#REF!,IF(+NFL!$H113="Minnesota",+NFL!#REF!,0))</f>
        <v>0</v>
      </c>
      <c r="BA388" s="46">
        <f>IF(+NFL!$F113="Minnesota",+NFL!#REF!,IF(+NFL!$H113="Minnesota",+NFL!#REF!,0))</f>
        <v>0</v>
      </c>
      <c r="BB388" s="46"/>
      <c r="BC388" s="403" t="str">
        <f t="shared" si="1"/>
        <v>Minnesota</v>
      </c>
      <c r="BD388" s="57">
        <f>IF(+NFL!$F113="Minnesota",+NFL!#REF!,IF(+NFL!$H113="Minnesota",+NFL!#REF!,0))</f>
        <v>0</v>
      </c>
      <c r="BE388" s="64">
        <f>IF(+NFL!$F113="Minnesota",+NFL!#REF!,IF(+NFL!$H113="Minnesota",+NFL!#REF!,0))</f>
        <v>0</v>
      </c>
      <c r="BF388" s="46">
        <f>IF(+NFL!$F113="Minnesota",+NFL!#REF!,IF(+NFL!$H113="Minnesota",+NFL!#REF!,0))</f>
        <v>0</v>
      </c>
      <c r="BG388" s="57">
        <f>IF(+NFL!$F113="Minnesota",+NFL!#REF!,IF(+NFL!$H113="Minnesota",+NFL!#REF!,0))</f>
        <v>0</v>
      </c>
      <c r="BH388" s="64">
        <f>IF(+NFL!$F113="Minnesota",+NFL!#REF!,IF(+NFL!$H113="Minnesota",+NFL!#REF!,0))</f>
        <v>0</v>
      </c>
      <c r="BI388" s="46">
        <f>IF(+NFL!$F113="Minnesota",+NFL!#REF!,IF(+NFL!$H113="Minnesota",+NFL!#REF!,0))</f>
        <v>0</v>
      </c>
      <c r="BJ388" s="87">
        <f>IF(+NFL!$F113="Minnesota",+NFL!#REF!,IF(+NFL!$H113="Minnesota",+NFL!#REF!,0))</f>
        <v>0</v>
      </c>
      <c r="BK388" s="120">
        <f>IF(+NFL!$F113="Minnesota",+NFL!#REF!,IF(+NFL!$H113="Minnesota",+NFL!#REF!,0))</f>
        <v>0</v>
      </c>
    </row>
    <row r="389" spans="1:63" s="246" customFormat="1" x14ac:dyDescent="0.8">
      <c r="A389" s="46">
        <f>IF(+NFL!$F154="Minnesota",+NFL!A154,IF(+NFL!$H154="Minnesota",+NFL!A154,0))</f>
        <v>9</v>
      </c>
      <c r="B389" s="348" t="str">
        <f>IF(+NFL!$F154="Minnesota",+NFL!B154,IF(+NFL!$H154="Minnesota",+NFL!B154,0))</f>
        <v>Sun</v>
      </c>
      <c r="C389" s="48">
        <f>IF(+NFL!$F154="Minnesota",+NFL!C154,IF(+NFL!$H154="Minnesota",+NFL!C154,0))</f>
        <v>44871</v>
      </c>
      <c r="D389" s="490">
        <f>IF(+NFL!$F154="Minnesota",+NFL!D154,IF(+NFL!$H154="Minnesota",+NFL!D154,0))</f>
        <v>0.54166666666666663</v>
      </c>
      <c r="E389" s="46" t="str">
        <f>IF(+NFL!$F154="Minnesota",+NFL!E154,IF(+NFL!$H154="Minnesota",+NFL!E154,0))</f>
        <v>Fox</v>
      </c>
      <c r="F389" s="127" t="str">
        <f>IF(+NFL!$F154="Minnesota",+NFL!F154,IF(+NFL!$H154="Minnesota",+NFL!F154,0))</f>
        <v>Minnesota</v>
      </c>
      <c r="G389" s="46" t="str">
        <f>IF(+NFL!$F154="Minnesota",+NFL!G154,IF(+NFL!$H154="Minnesota",+NFL!G154,0))</f>
        <v>NFCN</v>
      </c>
      <c r="H389" s="127" t="str">
        <f>IF(+NFL!$F154="Minnesota",+NFL!H154,IF(+NFL!$H154="Minnesota",+NFL!H154,0))</f>
        <v>Washington</v>
      </c>
      <c r="I389" s="46" t="str">
        <f>IF(+NFL!$F154="Minnesota",+NFL!I154,IF(+NFL!$H154="Minnesota",+NFL!I154,0))</f>
        <v>NFCE</v>
      </c>
      <c r="J389" s="353" t="str">
        <f>IF(+NFL!$F154="Minnesota",+NFL!J154,IF(+NFL!$H154="Minnesota",+NFL!J154,0))</f>
        <v>Minnesota</v>
      </c>
      <c r="K389" s="494" t="str">
        <f>IF(+NFL!$F154="Minnesota",+NFL!K154,IF(+NFL!$H154="Minnesota",+NFL!K154,0))</f>
        <v>Washington</v>
      </c>
      <c r="L389" s="384">
        <f>IF(+NFL!$F154="Minnesota",+NFL!L154,IF(+NFL!$H154="Minnesota",+NFL!L154,0))</f>
        <v>3.5</v>
      </c>
      <c r="M389" s="385">
        <f>IF(+NFL!$F154="Minnesota",+NFL!M154,IF(+NFL!$H154="Minnesota",+NFL!M154,0))</f>
        <v>43.5</v>
      </c>
      <c r="N389" s="394" t="str">
        <f>IF(+NFL!$F154="Minnesota",+NFL!N154,IF(+NFL!$H154="Minnesota",+NFL!N154,0))</f>
        <v>Minnesota</v>
      </c>
      <c r="O389" s="395">
        <f>IF(+NFL!$F154="Minnesota",+NFL!O154,IF(+NFL!$H154="Minnesota",+NFL!O154,0))</f>
        <v>20</v>
      </c>
      <c r="P389" s="394" t="str">
        <f>IF(+NFL!$F154="Minnesota",+NFL!P154,IF(+NFL!$H154="Minnesota",+NFL!P154,0))</f>
        <v>Washington</v>
      </c>
      <c r="Q389" s="396">
        <f>IF(+NFL!$F154="Minnesota",+NFL!Q154,IF(+NFL!$H154="Minnesota",+NFL!Q154,0))</f>
        <v>17</v>
      </c>
      <c r="R389" s="397" t="str">
        <f>IF(+NFL!$F154="Minnesota",+NFL!R154,IF(+NFL!$H154="Minnesota",+NFL!R154,0))</f>
        <v>Washington</v>
      </c>
      <c r="S389" s="396" t="str">
        <f>IF(+NFL!$F154="Minnesota",+NFL!S154,IF(+NFL!$H154="Minnesota",+NFL!S154,0))</f>
        <v>Minnesota</v>
      </c>
      <c r="T389" s="398" t="str">
        <f>IF(+NFL!$F154="Minnesota",+NFL!T154,IF(+NFL!$H154="Minnesota",+NFL!T154,0))</f>
        <v>Washington</v>
      </c>
      <c r="U389" s="396" t="str">
        <f>IF(+NFL!$F154="Minnesota",+NFL!U154,IF(+NFL!$H154="Minnesota",+NFL!U154,0))</f>
        <v>W</v>
      </c>
      <c r="V389" s="397" t="e">
        <f>IF(+NFL!#REF!="Minnesota",+NFL!#REF!,IF(+NFL!#REF!="Minnesota",+NFL!#REF!,0))</f>
        <v>#REF!</v>
      </c>
      <c r="W389" s="396" t="e">
        <f>IF(+NFL!#REF!="Minnesota",+NFL!#REF!,IF(+NFL!#REF!="Minnesota",+NFL!#REF!,0))</f>
        <v>#REF!</v>
      </c>
      <c r="X389" s="398" t="e">
        <f>IF(+NFL!#REF!="Minnesota",+NFL!#REF!,IF(+NFL!#REF!="Minnesota",+NFL!#REF!,0))</f>
        <v>#REF!</v>
      </c>
      <c r="Y389" s="396" t="e">
        <f>IF(+NFL!#REF!="Minnesota",+NFL!#REF!,IF(+NFL!#REF!="Minnesota",+NFL!#REF!,0))</f>
        <v>#REF!</v>
      </c>
      <c r="Z389" s="397" t="e">
        <f>IF(+NFL!#REF!="Minnesota",+NFL!#REF!,IF(+NFL!#REF!="Minnesota",+NFL!#REF!,0))</f>
        <v>#REF!</v>
      </c>
      <c r="AA389" s="396" t="e">
        <f>IF(+NFL!#REF!="Minnesota",+NFL!#REF!,IF(+NFL!#REF!="Minnesota",+NFL!#REF!,0))</f>
        <v>#REF!</v>
      </c>
      <c r="AB389" s="87" t="e">
        <f>IF(+NFL!#REF!="Minnesota",+NFL!#REF!,IF(+NFL!#REF!="Minnesota",+NFL!#REF!,0))</f>
        <v>#REF!</v>
      </c>
      <c r="AC389" s="120" t="e">
        <f>IF(+NFL!#REF!="Minnesota",+NFL!#REF!,IF(+NFL!#REF!="Minnesota",+NFL!#REF!,0))</f>
        <v>#REF!</v>
      </c>
      <c r="AD389" s="353" t="e">
        <f>IF(+NFL!#REF!="Minnesota",+NFL!#REF!,IF(+NFL!#REF!="Minnesota",+NFL!#REF!,0))</f>
        <v>#REF!</v>
      </c>
      <c r="AE389" s="379" t="e">
        <f>IF(+NFL!#REF!="Minnesota",+NFL!#REF!,IF(+NFL!#REF!="Minnesota",+NFL!#REF!,0))</f>
        <v>#REF!</v>
      </c>
      <c r="AF389" s="353" t="e">
        <f>IF(+NFL!#REF!="Minnesota",+NFL!#REF!,IF(+NFL!#REF!="Minnesota",+NFL!#REF!,0))</f>
        <v>#REF!</v>
      </c>
      <c r="AG389" s="379" t="e">
        <f>IF(+NFL!#REF!="Minnesota",+NFL!#REF!,IF(+NFL!#REF!="Minnesota",+NFL!#REF!,0))</f>
        <v>#REF!</v>
      </c>
      <c r="AH389" s="353" t="e">
        <f>IF(+NFL!#REF!="Minnesota",+NFL!#REF!,IF(+NFL!#REF!="Minnesota",+NFL!#REF!,0))</f>
        <v>#REF!</v>
      </c>
      <c r="AI389" s="379" t="e">
        <f>IF(+NFL!#REF!="Minnesota",+NFL!#REF!,IF(+NFL!#REF!="Minnesota",+NFL!#REF!,0))</f>
        <v>#REF!</v>
      </c>
      <c r="AJ389" s="353" t="e">
        <f>IF(+NFL!#REF!="Minnesota",+NFL!#REF!,IF(+NFL!#REF!="Minnesota",+NFL!#REF!,0))</f>
        <v>#REF!</v>
      </c>
      <c r="AK389" s="379" t="e">
        <f>IF(+NFL!#REF!="Minnesota",+NFL!#REF!,IF(+NFL!#REF!="Minnesota",+NFL!#REF!,0))</f>
        <v>#REF!</v>
      </c>
      <c r="AL389" s="68" t="e">
        <f>IF(+NFL!#REF!="Minnesota",+NFL!#REF!,IF(+NFL!#REF!="Minnesota",+NFL!#REF!,0))</f>
        <v>#REF!</v>
      </c>
      <c r="AM389" s="58" t="e">
        <f>IF(+NFL!#REF!="Minnesota",+NFL!#REF!,IF(+NFL!#REF!="Minnesota",+NFL!#REF!,0))</f>
        <v>#REF!</v>
      </c>
      <c r="AN389" s="57" t="e">
        <f>IF(+NFL!#REF!="Minnesota",+NFL!#REF!,IF(+NFL!#REF!="Minnesota",+NFL!#REF!,0))</f>
        <v>#REF!</v>
      </c>
      <c r="AO389" s="59" t="e">
        <f>IF(+NFL!#REF!="Minnesota",+NFL!#REF!,IF(+NFL!#REF!="Minnesota",+NFL!#REF!,0))</f>
        <v>#REF!</v>
      </c>
      <c r="AP389" s="348"/>
      <c r="AQ389" s="48" t="str">
        <f t="shared" si="0"/>
        <v>Minnesota</v>
      </c>
      <c r="AR389" s="57" t="e">
        <f>IF(+NFL!#REF!="Minnesota",+NFL!#REF!,IF(+NFL!#REF!="Minnesota",+NFL!#REF!,0))</f>
        <v>#REF!</v>
      </c>
      <c r="AS389" s="64" t="e">
        <f>IF(+NFL!#REF!="Minnesota",+NFL!#REF!,IF(+NFL!#REF!="Minnesota",+NFL!#REF!,0))</f>
        <v>#REF!</v>
      </c>
      <c r="AT389" s="64" t="e">
        <f>IF(+NFL!#REF!="Minnesota",+NFL!#REF!,IF(+NFL!#REF!="Minnesota",+NFL!#REF!,0))</f>
        <v>#REF!</v>
      </c>
      <c r="AU389" s="57" t="e">
        <f>IF(+NFL!#REF!="Minnesota",+NFL!#REF!,IF(+NFL!#REF!="Minnesota",+NFL!#REF!,0))</f>
        <v>#REF!</v>
      </c>
      <c r="AV389" s="64" t="e">
        <f>IF(+NFL!#REF!="Minnesota",+NFL!#REF!,IF(+NFL!#REF!="Minnesota",+NFL!#REF!,0))</f>
        <v>#REF!</v>
      </c>
      <c r="AW389" s="46" t="e">
        <f>IF(+NFL!#REF!="Minnesota",+NFL!#REF!,IF(+NFL!#REF!="Minnesota",+NFL!#REF!,0))</f>
        <v>#REF!</v>
      </c>
      <c r="AX389" s="64"/>
      <c r="AY389" s="57" t="e">
        <f>IF(+NFL!#REF!="Minnesota",+NFL!#REF!,IF(+NFL!#REF!="Minnesota",+NFL!#REF!,0))</f>
        <v>#REF!</v>
      </c>
      <c r="AZ389" s="64" t="e">
        <f>IF(+NFL!#REF!="Minnesota",+NFL!#REF!,IF(+NFL!#REF!="Minnesota",+NFL!#REF!,0))</f>
        <v>#REF!</v>
      </c>
      <c r="BA389" s="46" t="e">
        <f>IF(+NFL!#REF!="Minnesota",+NFL!#REF!,IF(+NFL!#REF!="Minnesota",+NFL!#REF!,0))</f>
        <v>#REF!</v>
      </c>
      <c r="BB389" s="46"/>
      <c r="BC389" s="403" t="str">
        <f t="shared" si="1"/>
        <v>Washington</v>
      </c>
      <c r="BD389" s="57" t="e">
        <f>IF(+NFL!#REF!="Minnesota",+NFL!#REF!,IF(+NFL!#REF!="Minnesota",+NFL!#REF!,0))</f>
        <v>#REF!</v>
      </c>
      <c r="BE389" s="64" t="e">
        <f>IF(+NFL!#REF!="Minnesota",+NFL!#REF!,IF(+NFL!#REF!="Minnesota",+NFL!#REF!,0))</f>
        <v>#REF!</v>
      </c>
      <c r="BF389" s="46" t="e">
        <f>IF(+NFL!#REF!="Minnesota",+NFL!#REF!,IF(+NFL!#REF!="Minnesota",+NFL!#REF!,0))</f>
        <v>#REF!</v>
      </c>
      <c r="BG389" s="57" t="e">
        <f>IF(+NFL!#REF!="Minnesota",+NFL!#REF!,IF(+NFL!#REF!="Minnesota",+NFL!#REF!,0))</f>
        <v>#REF!</v>
      </c>
      <c r="BH389" s="64" t="e">
        <f>IF(+NFL!#REF!="Minnesota",+NFL!#REF!,IF(+NFL!#REF!="Minnesota",+NFL!#REF!,0))</f>
        <v>#REF!</v>
      </c>
      <c r="BI389" s="46" t="e">
        <f>IF(+NFL!#REF!="Minnesota",+NFL!#REF!,IF(+NFL!#REF!="Minnesota",+NFL!#REF!,0))</f>
        <v>#REF!</v>
      </c>
      <c r="BJ389" s="87" t="e">
        <f>IF(+NFL!#REF!="Minnesota",+NFL!#REF!,IF(+NFL!#REF!="Minnesota",+NFL!#REF!,0))</f>
        <v>#REF!</v>
      </c>
      <c r="BK389" s="120" t="e">
        <f>IF(+NFL!#REF!="Minnesota",+NFL!#REF!,IF(+NFL!#REF!="Minnesota",+NFL!#REF!,0))</f>
        <v>#REF!</v>
      </c>
    </row>
    <row r="390" spans="1:63" s="246" customFormat="1" x14ac:dyDescent="0.8">
      <c r="A390" s="46">
        <f>IF(+NFL!$F171="Minnesota",+NFL!A171,IF(+NFL!$H171="Minnesota",+NFL!A171,0))</f>
        <v>10</v>
      </c>
      <c r="B390" s="348" t="str">
        <f>IF(+NFL!$F171="Minnesota",+NFL!B171,IF(+NFL!$H171="Minnesota",+NFL!B171,0))</f>
        <v>Sun</v>
      </c>
      <c r="C390" s="48">
        <f>IF(+NFL!$F171="Minnesota",+NFL!C171,IF(+NFL!$H171="Minnesota",+NFL!C171,0))</f>
        <v>44878</v>
      </c>
      <c r="D390" s="490">
        <f>IF(+NFL!$F171="Minnesota",+NFL!D171,IF(+NFL!$H171="Minnesota",+NFL!D171,0))</f>
        <v>0.39583333333333331</v>
      </c>
      <c r="E390" s="46" t="str">
        <f>IF(+NFL!$F171="Minnesota",+NFL!E171,IF(+NFL!$H171="Minnesota",+NFL!E171,0))</f>
        <v>Fox</v>
      </c>
      <c r="F390" s="127" t="str">
        <f>IF(+NFL!$F171="Minnesota",+NFL!F171,IF(+NFL!$H171="Minnesota",+NFL!F171,0))</f>
        <v>Minnesota</v>
      </c>
      <c r="G390" s="46" t="str">
        <f>IF(+NFL!$F171="Minnesota",+NFL!G171,IF(+NFL!$H171="Minnesota",+NFL!G171,0))</f>
        <v>NFCN</v>
      </c>
      <c r="H390" s="127" t="str">
        <f>IF(+NFL!$F171="Minnesota",+NFL!H171,IF(+NFL!$H171="Minnesota",+NFL!H171,0))</f>
        <v>Buffalo</v>
      </c>
      <c r="I390" s="46" t="str">
        <f>IF(+NFL!$F171="Minnesota",+NFL!I171,IF(+NFL!$H171="Minnesota",+NFL!I171,0))</f>
        <v>AFCE</v>
      </c>
      <c r="J390" s="353" t="str">
        <f>IF(+NFL!$F171="Minnesota",+NFL!J171,IF(+NFL!$H171="Minnesota",+NFL!J171,0))</f>
        <v>Buffalo</v>
      </c>
      <c r="K390" s="494" t="str">
        <f>IF(+NFL!$F171="Minnesota",+NFL!K171,IF(+NFL!$H171="Minnesota",+NFL!K171,0))</f>
        <v>Minnesota</v>
      </c>
      <c r="L390" s="384">
        <f>IF(+NFL!$F171="Minnesota",+NFL!L171,IF(+NFL!$H171="Minnesota",+NFL!L171,0))</f>
        <v>5</v>
      </c>
      <c r="M390" s="385">
        <f>IF(+NFL!$F171="Minnesota",+NFL!M171,IF(+NFL!$H171="Minnesota",+NFL!M171,0))</f>
        <v>45.5</v>
      </c>
      <c r="N390" s="394" t="str">
        <f>IF(+NFL!$F171="Minnesota",+NFL!N171,IF(+NFL!$H171="Minnesota",+NFL!N171,0))</f>
        <v>Minnesota</v>
      </c>
      <c r="O390" s="395">
        <f>IF(+NFL!$F171="Minnesota",+NFL!O171,IF(+NFL!$H171="Minnesota",+NFL!O171,0))</f>
        <v>33</v>
      </c>
      <c r="P390" s="394" t="str">
        <f>IF(+NFL!$F171="Minnesota",+NFL!P171,IF(+NFL!$H171="Minnesota",+NFL!P171,0))</f>
        <v>Buffalo</v>
      </c>
      <c r="Q390" s="396">
        <f>IF(+NFL!$F171="Minnesota",+NFL!Q171,IF(+NFL!$H171="Minnesota",+NFL!Q171,0))</f>
        <v>30</v>
      </c>
      <c r="R390" s="397" t="str">
        <f>IF(+NFL!$F171="Minnesota",+NFL!R171,IF(+NFL!$H171="Minnesota",+NFL!R171,0))</f>
        <v>Minnesota</v>
      </c>
      <c r="S390" s="396" t="str">
        <f>IF(+NFL!$F171="Minnesota",+NFL!S171,IF(+NFL!$H171="Minnesota",+NFL!S171,0))</f>
        <v>Buffalo</v>
      </c>
      <c r="T390" s="398" t="str">
        <f>IF(+NFL!$F171="Minnesota",+NFL!T171,IF(+NFL!$H171="Minnesota",+NFL!T171,0))</f>
        <v>Minnesota</v>
      </c>
      <c r="U390" s="396" t="str">
        <f>IF(+NFL!$F171="Minnesota",+NFL!U171,IF(+NFL!$H171="Minnesota",+NFL!U171,0))</f>
        <v>W</v>
      </c>
      <c r="V390" s="397">
        <f>IF(+NFL!$F150="Minnesota",+NFL!#REF!,IF(+NFL!$H150="Minnesota",+NFL!#REF!,0))</f>
        <v>0</v>
      </c>
      <c r="W390" s="396">
        <f>IF(+NFL!$F150="Minnesota",+NFL!#REF!,IF(+NFL!$H150="Minnesota",+NFL!#REF!,0))</f>
        <v>0</v>
      </c>
      <c r="X390" s="398">
        <f>IF(+NFL!$F150="Minnesota",+NFL!#REF!,IF(+NFL!$H150="Minnesota",+NFL!#REF!,0))</f>
        <v>0</v>
      </c>
      <c r="Y390" s="396">
        <f>IF(+NFL!$F150="Minnesota",+NFL!#REF!,IF(+NFL!$H150="Minnesota",+NFL!#REF!,0))</f>
        <v>0</v>
      </c>
      <c r="Z390" s="397">
        <f>IF(+NFL!$F150="Minnesota",+NFL!#REF!,IF(+NFL!$H150="Minnesota",+NFL!#REF!,0))</f>
        <v>0</v>
      </c>
      <c r="AA390" s="396">
        <f>IF(+NFL!$F150="Minnesota",+NFL!#REF!,IF(+NFL!$H150="Minnesota",+NFL!#REF!,0))</f>
        <v>0</v>
      </c>
      <c r="AB390" s="87">
        <f>IF(+NFL!$F150="Minnesota",+NFL!#REF!,IF(+NFL!$H150="Minnesota",+NFL!#REF!,0))</f>
        <v>0</v>
      </c>
      <c r="AC390" s="120">
        <f>IF(+NFL!$F150="Minnesota",+NFL!#REF!,IF(+NFL!$H150="Minnesota",+NFL!#REF!,0))</f>
        <v>0</v>
      </c>
      <c r="AD390" s="353">
        <f>IF(+NFL!$F150="Minnesota",+NFL!#REF!,IF(+NFL!$H150="Minnesota",+NFL!#REF!,0))</f>
        <v>0</v>
      </c>
      <c r="AE390" s="379">
        <f>IF(+NFL!$F150="Minnesota",+NFL!#REF!,IF(+NFL!$H150="Minnesota",+NFL!#REF!,0))</f>
        <v>0</v>
      </c>
      <c r="AF390" s="353">
        <f>IF(+NFL!$F150="Minnesota",+NFL!#REF!,IF(+NFL!$H150="Minnesota",+NFL!#REF!,0))</f>
        <v>0</v>
      </c>
      <c r="AG390" s="379">
        <f>IF(+NFL!$F150="Minnesota",+NFL!#REF!,IF(+NFL!$H150="Minnesota",+NFL!#REF!,0))</f>
        <v>0</v>
      </c>
      <c r="AH390" s="353">
        <f>IF(+NFL!$F150="Minnesota",+NFL!#REF!,IF(+NFL!$H150="Minnesota",+NFL!#REF!,0))</f>
        <v>0</v>
      </c>
      <c r="AI390" s="379">
        <f>IF(+NFL!$F150="Minnesota",+NFL!#REF!,IF(+NFL!$H150="Minnesota",+NFL!#REF!,0))</f>
        <v>0</v>
      </c>
      <c r="AJ390" s="353">
        <f>IF(+NFL!$F150="Minnesota",+NFL!#REF!,IF(+NFL!$H150="Minnesota",+NFL!#REF!,0))</f>
        <v>0</v>
      </c>
      <c r="AK390" s="379">
        <f>IF(+NFL!$F150="Minnesota",+NFL!#REF!,IF(+NFL!$H150="Minnesota",+NFL!#REF!,0))</f>
        <v>0</v>
      </c>
      <c r="AL390" s="68">
        <f>IF(+NFL!$F150="Minnesota",+NFL!#REF!,IF(+NFL!$H150="Minnesota",+NFL!#REF!,0))</f>
        <v>0</v>
      </c>
      <c r="AM390" s="58">
        <f>IF(+NFL!$F150="Minnesota",+NFL!#REF!,IF(+NFL!$H150="Minnesota",+NFL!#REF!,0))</f>
        <v>0</v>
      </c>
      <c r="AN390" s="57">
        <f>IF(+NFL!$F150="Minnesota",+NFL!#REF!,IF(+NFL!$H150="Minnesota",+NFL!#REF!,0))</f>
        <v>0</v>
      </c>
      <c r="AO390" s="59">
        <f>IF(+NFL!$F150="Minnesota",+NFL!#REF!,IF(+NFL!$H150="Minnesota",+NFL!#REF!,0))</f>
        <v>0</v>
      </c>
      <c r="AP390" s="348"/>
      <c r="AQ390" s="48" t="str">
        <f t="shared" si="0"/>
        <v>Minnesota</v>
      </c>
      <c r="AR390" s="57">
        <f>IF(+NFL!$F150="Minnesota",+NFL!#REF!,IF(+NFL!$H150="Minnesota",+NFL!#REF!,0))</f>
        <v>0</v>
      </c>
      <c r="AS390" s="64">
        <f>IF(+NFL!$F150="Minnesota",+NFL!#REF!,IF(+NFL!$H150="Minnesota",+NFL!#REF!,0))</f>
        <v>0</v>
      </c>
      <c r="AT390" s="64">
        <f>IF(+NFL!$F150="Minnesota",+NFL!#REF!,IF(+NFL!$H150="Minnesota",+NFL!#REF!,0))</f>
        <v>0</v>
      </c>
      <c r="AU390" s="57">
        <f>IF(+NFL!$F150="Minnesota",+NFL!#REF!,IF(+NFL!$H150="Minnesota",+NFL!#REF!,0))</f>
        <v>0</v>
      </c>
      <c r="AV390" s="64">
        <f>IF(+NFL!$F150="Minnesota",+NFL!#REF!,IF(+NFL!$H150="Minnesota",+NFL!#REF!,0))</f>
        <v>0</v>
      </c>
      <c r="AW390" s="46">
        <f>IF(+NFL!$F150="Minnesota",+NFL!#REF!,IF(+NFL!$H150="Minnesota",+NFL!#REF!,0))</f>
        <v>0</v>
      </c>
      <c r="AX390" s="64"/>
      <c r="AY390" s="57">
        <f>IF(+NFL!$F150="Minnesota",+NFL!#REF!,IF(+NFL!$H150="Minnesota",+NFL!#REF!,0))</f>
        <v>0</v>
      </c>
      <c r="AZ390" s="64">
        <f>IF(+NFL!$F150="Minnesota",+NFL!#REF!,IF(+NFL!$H150="Minnesota",+NFL!#REF!,0))</f>
        <v>0</v>
      </c>
      <c r="BA390" s="46">
        <f>IF(+NFL!$F150="Minnesota",+NFL!#REF!,IF(+NFL!$H150="Minnesota",+NFL!#REF!,0))</f>
        <v>0</v>
      </c>
      <c r="BB390" s="46"/>
      <c r="BC390" s="403" t="str">
        <f t="shared" si="1"/>
        <v>Buffalo</v>
      </c>
      <c r="BD390" s="57">
        <f>IF(+NFL!$F150="Minnesota",+NFL!#REF!,IF(+NFL!$H150="Minnesota",+NFL!#REF!,0))</f>
        <v>0</v>
      </c>
      <c r="BE390" s="64">
        <f>IF(+NFL!$F150="Minnesota",+NFL!#REF!,IF(+NFL!$H150="Minnesota",+NFL!#REF!,0))</f>
        <v>0</v>
      </c>
      <c r="BF390" s="46">
        <f>IF(+NFL!$F150="Minnesota",+NFL!#REF!,IF(+NFL!$H150="Minnesota",+NFL!#REF!,0))</f>
        <v>0</v>
      </c>
      <c r="BG390" s="57">
        <f>IF(+NFL!$F150="Minnesota",+NFL!#REF!,IF(+NFL!$H150="Minnesota",+NFL!#REF!,0))</f>
        <v>0</v>
      </c>
      <c r="BH390" s="64">
        <f>IF(+NFL!$F150="Minnesota",+NFL!#REF!,IF(+NFL!$H150="Minnesota",+NFL!#REF!,0))</f>
        <v>0</v>
      </c>
      <c r="BI390" s="46">
        <f>IF(+NFL!$F150="Minnesota",+NFL!#REF!,IF(+NFL!$H150="Minnesota",+NFL!#REF!,0))</f>
        <v>0</v>
      </c>
      <c r="BJ390" s="87">
        <f>IF(+NFL!$F150="Minnesota",+NFL!#REF!,IF(+NFL!$H150="Minnesota",+NFL!#REF!,0))</f>
        <v>0</v>
      </c>
      <c r="BK390" s="120">
        <f>IF(+NFL!$F150="Minnesota",+NFL!#REF!,IF(+NFL!$H150="Minnesota",+NFL!#REF!,0))</f>
        <v>0</v>
      </c>
    </row>
    <row r="391" spans="1:63" s="246" customFormat="1" x14ac:dyDescent="0.8">
      <c r="A391" s="46">
        <f>IF(+NFL!$F199="Minnesota",+NFL!A199,IF(+NFL!$H199="Minnesota",+NFL!A199,0))</f>
        <v>11</v>
      </c>
      <c r="B391" s="348" t="str">
        <f>IF(+NFL!$F199="Minnesota",+NFL!B199,IF(+NFL!$H199="Minnesota",+NFL!B199,0))</f>
        <v>Sun</v>
      </c>
      <c r="C391" s="48">
        <f>IF(+NFL!$F199="Minnesota",+NFL!C199,IF(+NFL!$H199="Minnesota",+NFL!C199,0))</f>
        <v>44885</v>
      </c>
      <c r="D391" s="490">
        <f>IF(+NFL!$F199="Minnesota",+NFL!D199,IF(+NFL!$H199="Minnesota",+NFL!D199,0))</f>
        <v>0.66666666666666663</v>
      </c>
      <c r="E391" s="46" t="str">
        <f>IF(+NFL!$F199="Minnesota",+NFL!E199,IF(+NFL!$H199="Minnesota",+NFL!E199,0))</f>
        <v>NBC</v>
      </c>
      <c r="F391" s="127" t="str">
        <f>IF(+NFL!$F199="Minnesota",+NFL!F199,IF(+NFL!$H199="Minnesota",+NFL!F199,0))</f>
        <v>Dallas</v>
      </c>
      <c r="G391" s="46" t="str">
        <f>IF(+NFL!$F199="Minnesota",+NFL!G199,IF(+NFL!$H199="Minnesota",+NFL!G199,0))</f>
        <v>NFCE</v>
      </c>
      <c r="H391" s="127" t="str">
        <f>IF(+NFL!$F199="Minnesota",+NFL!H199,IF(+NFL!$H199="Minnesota",+NFL!H199,0))</f>
        <v>Minnesota</v>
      </c>
      <c r="I391" s="46" t="str">
        <f>IF(+NFL!$F199="Minnesota",+NFL!I199,IF(+NFL!$H199="Minnesota",+NFL!I199,0))</f>
        <v>NFCN</v>
      </c>
      <c r="J391" s="353" t="str">
        <f>IF(+NFL!$F199="Minnesota",+NFL!J199,IF(+NFL!$H199="Minnesota",+NFL!J199,0))</f>
        <v>Dallas</v>
      </c>
      <c r="K391" s="494" t="str">
        <f>IF(+NFL!$F199="Minnesota",+NFL!K199,IF(+NFL!$H199="Minnesota",+NFL!K199,0))</f>
        <v>Minnesota</v>
      </c>
      <c r="L391" s="384">
        <f>IF(+NFL!$F199="Minnesota",+NFL!L199,IF(+NFL!$H199="Minnesota",+NFL!L199,0))</f>
        <v>1</v>
      </c>
      <c r="M391" s="385">
        <f>IF(+NFL!$F199="Minnesota",+NFL!M199,IF(+NFL!$H199="Minnesota",+NFL!M199,0))</f>
        <v>47.6</v>
      </c>
      <c r="N391" s="394" t="str">
        <f>IF(+NFL!$F199="Minnesota",+NFL!N199,IF(+NFL!$H199="Minnesota",+NFL!N199,0))</f>
        <v>Dallas</v>
      </c>
      <c r="O391" s="395">
        <f>IF(+NFL!$F199="Minnesota",+NFL!O199,IF(+NFL!$H199="Minnesota",+NFL!O199,0))</f>
        <v>40</v>
      </c>
      <c r="P391" s="394" t="str">
        <f>IF(+NFL!$F199="Minnesota",+NFL!P199,IF(+NFL!$H199="Minnesota",+NFL!P199,0))</f>
        <v>Minnesota</v>
      </c>
      <c r="Q391" s="396">
        <f>IF(+NFL!$F199="Minnesota",+NFL!Q199,IF(+NFL!$H199="Minnesota",+NFL!Q199,0))</f>
        <v>3</v>
      </c>
      <c r="R391" s="397" t="str">
        <f>IF(+NFL!$F199="Minnesota",+NFL!R199,IF(+NFL!$H199="Minnesota",+NFL!R199,0))</f>
        <v>Dallas</v>
      </c>
      <c r="S391" s="396" t="str">
        <f>IF(+NFL!$F199="Minnesota",+NFL!S199,IF(+NFL!$H199="Minnesota",+NFL!S199,0))</f>
        <v>Minnesota</v>
      </c>
      <c r="T391" s="398" t="str">
        <f>IF(+NFL!$F199="Minnesota",+NFL!T199,IF(+NFL!$H199="Minnesota",+NFL!T199,0))</f>
        <v>Dallas</v>
      </c>
      <c r="U391" s="396" t="str">
        <f>IF(+NFL!$F199="Minnesota",+NFL!U199,IF(+NFL!$H199="Minnesota",+NFL!U199,0))</f>
        <v>W</v>
      </c>
      <c r="V391" s="397">
        <f>IF(+NFL!$F176="Minnesota",+NFL!#REF!,IF(+NFL!$H176="Minnesota",+NFL!#REF!,0))</f>
        <v>0</v>
      </c>
      <c r="W391" s="396">
        <f>IF(+NFL!$F176="Minnesota",+NFL!#REF!,IF(+NFL!$H176="Minnesota",+NFL!#REF!,0))</f>
        <v>0</v>
      </c>
      <c r="X391" s="398">
        <f>IF(+NFL!$F176="Minnesota",+NFL!#REF!,IF(+NFL!$H176="Minnesota",+NFL!#REF!,0))</f>
        <v>0</v>
      </c>
      <c r="Y391" s="396">
        <f>IF(+NFL!$F176="Minnesota",+NFL!#REF!,IF(+NFL!$H176="Minnesota",+NFL!#REF!,0))</f>
        <v>0</v>
      </c>
      <c r="Z391" s="397">
        <f>IF(+NFL!$F176="Minnesota",+NFL!#REF!,IF(+NFL!$H176="Minnesota",+NFL!#REF!,0))</f>
        <v>0</v>
      </c>
      <c r="AA391" s="396">
        <f>IF(+NFL!$F176="Minnesota",+NFL!#REF!,IF(+NFL!$H176="Minnesota",+NFL!#REF!,0))</f>
        <v>0</v>
      </c>
      <c r="AB391" s="87">
        <f>IF(+NFL!$F176="Minnesota",+NFL!#REF!,IF(+NFL!$H176="Minnesota",+NFL!#REF!,0))</f>
        <v>0</v>
      </c>
      <c r="AC391" s="120">
        <f>IF(+NFL!$F176="Minnesota",+NFL!#REF!,IF(+NFL!$H176="Minnesota",+NFL!#REF!,0))</f>
        <v>0</v>
      </c>
      <c r="AD391" s="353">
        <f>IF(+NFL!$F176="Minnesota",+NFL!#REF!,IF(+NFL!$H176="Minnesota",+NFL!#REF!,0))</f>
        <v>0</v>
      </c>
      <c r="AE391" s="379">
        <f>IF(+NFL!$F176="Minnesota",+NFL!#REF!,IF(+NFL!$H176="Minnesota",+NFL!#REF!,0))</f>
        <v>0</v>
      </c>
      <c r="AF391" s="353">
        <f>IF(+NFL!$F176="Minnesota",+NFL!#REF!,IF(+NFL!$H176="Minnesota",+NFL!#REF!,0))</f>
        <v>0</v>
      </c>
      <c r="AG391" s="379">
        <f>IF(+NFL!$F176="Minnesota",+NFL!#REF!,IF(+NFL!$H176="Minnesota",+NFL!#REF!,0))</f>
        <v>0</v>
      </c>
      <c r="AH391" s="353">
        <f>IF(+NFL!$F176="Minnesota",+NFL!#REF!,IF(+NFL!$H176="Minnesota",+NFL!#REF!,0))</f>
        <v>0</v>
      </c>
      <c r="AI391" s="379">
        <f>IF(+NFL!$F176="Minnesota",+NFL!#REF!,IF(+NFL!$H176="Minnesota",+NFL!#REF!,0))</f>
        <v>0</v>
      </c>
      <c r="AJ391" s="353">
        <f>IF(+NFL!$F176="Minnesota",+NFL!#REF!,IF(+NFL!$H176="Minnesota",+NFL!#REF!,0))</f>
        <v>0</v>
      </c>
      <c r="AK391" s="379">
        <f>IF(+NFL!$F176="Minnesota",+NFL!#REF!,IF(+NFL!$H176="Minnesota",+NFL!#REF!,0))</f>
        <v>0</v>
      </c>
      <c r="AL391" s="68">
        <f>IF(+NFL!$F176="Minnesota",+NFL!#REF!,IF(+NFL!$H176="Minnesota",+NFL!#REF!,0))</f>
        <v>0</v>
      </c>
      <c r="AM391" s="58">
        <f>IF(+NFL!$F176="Minnesota",+NFL!#REF!,IF(+NFL!$H176="Minnesota",+NFL!#REF!,0))</f>
        <v>0</v>
      </c>
      <c r="AN391" s="57">
        <f>IF(+NFL!$F176="Minnesota",+NFL!#REF!,IF(+NFL!$H176="Minnesota",+NFL!#REF!,0))</f>
        <v>0</v>
      </c>
      <c r="AO391" s="59">
        <f>IF(+NFL!$F176="Minnesota",+NFL!#REF!,IF(+NFL!$H176="Minnesota",+NFL!#REF!,0))</f>
        <v>0</v>
      </c>
      <c r="AP391" s="348"/>
      <c r="AQ391" s="48" t="str">
        <f t="shared" si="0"/>
        <v>Dallas</v>
      </c>
      <c r="AR391" s="57">
        <f>IF(+NFL!$F176="Minnesota",+NFL!#REF!,IF(+NFL!$H176="Minnesota",+NFL!#REF!,0))</f>
        <v>0</v>
      </c>
      <c r="AS391" s="64">
        <f>IF(+NFL!$F176="Minnesota",+NFL!#REF!,IF(+NFL!$H176="Minnesota",+NFL!#REF!,0))</f>
        <v>0</v>
      </c>
      <c r="AT391" s="64">
        <f>IF(+NFL!$F176="Minnesota",+NFL!#REF!,IF(+NFL!$H176="Minnesota",+NFL!#REF!,0))</f>
        <v>0</v>
      </c>
      <c r="AU391" s="57">
        <f>IF(+NFL!$F176="Minnesota",+NFL!#REF!,IF(+NFL!$H176="Minnesota",+NFL!#REF!,0))</f>
        <v>0</v>
      </c>
      <c r="AV391" s="64">
        <f>IF(+NFL!$F176="Minnesota",+NFL!#REF!,IF(+NFL!$H176="Minnesota",+NFL!#REF!,0))</f>
        <v>0</v>
      </c>
      <c r="AW391" s="46">
        <f>IF(+NFL!$F176="Minnesota",+NFL!#REF!,IF(+NFL!$H176="Minnesota",+NFL!#REF!,0))</f>
        <v>0</v>
      </c>
      <c r="AX391" s="64"/>
      <c r="AY391" s="57">
        <f>IF(+NFL!$F176="Minnesota",+NFL!#REF!,IF(+NFL!$H176="Minnesota",+NFL!#REF!,0))</f>
        <v>0</v>
      </c>
      <c r="AZ391" s="64">
        <f>IF(+NFL!$F176="Minnesota",+NFL!#REF!,IF(+NFL!$H176="Minnesota",+NFL!#REF!,0))</f>
        <v>0</v>
      </c>
      <c r="BA391" s="46">
        <f>IF(+NFL!$F176="Minnesota",+NFL!#REF!,IF(+NFL!$H176="Minnesota",+NFL!#REF!,0))</f>
        <v>0</v>
      </c>
      <c r="BB391" s="46"/>
      <c r="BC391" s="403" t="str">
        <f t="shared" si="1"/>
        <v>Minnesota</v>
      </c>
      <c r="BD391" s="57">
        <f>IF(+NFL!$F176="Minnesota",+NFL!#REF!,IF(+NFL!$H176="Minnesota",+NFL!#REF!,0))</f>
        <v>0</v>
      </c>
      <c r="BE391" s="64">
        <f>IF(+NFL!$F176="Minnesota",+NFL!#REF!,IF(+NFL!$H176="Minnesota",+NFL!#REF!,0))</f>
        <v>0</v>
      </c>
      <c r="BF391" s="46">
        <f>IF(+NFL!$F176="Minnesota",+NFL!#REF!,IF(+NFL!$H176="Minnesota",+NFL!#REF!,0))</f>
        <v>0</v>
      </c>
      <c r="BG391" s="57">
        <f>IF(+NFL!$F176="Minnesota",+NFL!#REF!,IF(+NFL!$H176="Minnesota",+NFL!#REF!,0))</f>
        <v>0</v>
      </c>
      <c r="BH391" s="64">
        <f>IF(+NFL!$F176="Minnesota",+NFL!#REF!,IF(+NFL!$H176="Minnesota",+NFL!#REF!,0))</f>
        <v>0</v>
      </c>
      <c r="BI391" s="46">
        <f>IF(+NFL!$F176="Minnesota",+NFL!#REF!,IF(+NFL!$H176="Minnesota",+NFL!#REF!,0))</f>
        <v>0</v>
      </c>
      <c r="BJ391" s="87">
        <f>IF(+NFL!$F176="Minnesota",+NFL!#REF!,IF(+NFL!$H176="Minnesota",+NFL!#REF!,0))</f>
        <v>0</v>
      </c>
      <c r="BK391" s="120">
        <f>IF(+NFL!$F176="Minnesota",+NFL!#REF!,IF(+NFL!$H176="Minnesota",+NFL!#REF!,0))</f>
        <v>0</v>
      </c>
    </row>
    <row r="392" spans="1:63" s="246" customFormat="1" x14ac:dyDescent="0.8">
      <c r="A392" s="46">
        <f>IF(+NFL!$F211="Minnesota",+NFL!A211,IF(+NFL!$H211="Minnesota",+NFL!A211,0))</f>
        <v>12</v>
      </c>
      <c r="B392" s="348" t="str">
        <f>IF(+NFL!$F211="Minnesota",+NFL!B211,IF(+NFL!$H211="Minnesota",+NFL!B211,0))</f>
        <v>Thurs</v>
      </c>
      <c r="C392" s="48">
        <f>IF(+NFL!$F211="Minnesota",+NFL!C211,IF(+NFL!$H211="Minnesota",+NFL!C211,0))</f>
        <v>44889</v>
      </c>
      <c r="D392" s="490">
        <f>IF(+NFL!$F211="Minnesota",+NFL!D211,IF(+NFL!$H211="Minnesota",+NFL!D211,0))</f>
        <v>0.84375</v>
      </c>
      <c r="E392" s="46" t="str">
        <f>IF(+NFL!$F211="Minnesota",+NFL!E211,IF(+NFL!$H211="Minnesota",+NFL!E211,0))</f>
        <v>NBC</v>
      </c>
      <c r="F392" s="127" t="str">
        <f>IF(+NFL!$F211="Minnesota",+NFL!F211,IF(+NFL!$H211="Minnesota",+NFL!F211,0))</f>
        <v>New England</v>
      </c>
      <c r="G392" s="46" t="str">
        <f>IF(+NFL!$F211="Minnesota",+NFL!G211,IF(+NFL!$H211="Minnesota",+NFL!G211,0))</f>
        <v>AFCE</v>
      </c>
      <c r="H392" s="127" t="str">
        <f>IF(+NFL!$F211="Minnesota",+NFL!H211,IF(+NFL!$H211="Minnesota",+NFL!H211,0))</f>
        <v>Minnesota</v>
      </c>
      <c r="I392" s="46" t="str">
        <f>IF(+NFL!$F211="Minnesota",+NFL!I211,IF(+NFL!$H211="Minnesota",+NFL!I211,0))</f>
        <v>NFCN</v>
      </c>
      <c r="J392" s="353" t="str">
        <f>IF(+NFL!$F211="Minnesota",+NFL!J211,IF(+NFL!$H211="Minnesota",+NFL!J211,0))</f>
        <v>Minnesota</v>
      </c>
      <c r="K392" s="494" t="str">
        <f>IF(+NFL!$F211="Minnesota",+NFL!K211,IF(+NFL!$H211="Minnesota",+NFL!K211,0))</f>
        <v>New England</v>
      </c>
      <c r="L392" s="384">
        <f>IF(+NFL!$F211="Minnesota",+NFL!L211,IF(+NFL!$H211="Minnesota",+NFL!L211,0))</f>
        <v>2.5</v>
      </c>
      <c r="M392" s="385">
        <f>IF(+NFL!$F211="Minnesota",+NFL!M211,IF(+NFL!$H211="Minnesota",+NFL!M211,0))</f>
        <v>52.5</v>
      </c>
      <c r="N392" s="394" t="str">
        <f>IF(+NFL!$F211="Minnesota",+NFL!N211,IF(+NFL!$H211="Minnesota",+NFL!N211,0))</f>
        <v>Minnesota</v>
      </c>
      <c r="O392" s="395">
        <f>IF(+NFL!$F211="Minnesota",+NFL!O211,IF(+NFL!$H211="Minnesota",+NFL!O211,0))</f>
        <v>33</v>
      </c>
      <c r="P392" s="394" t="str">
        <f>IF(+NFL!$F211="Minnesota",+NFL!P211,IF(+NFL!$H211="Minnesota",+NFL!P211,0))</f>
        <v>New England</v>
      </c>
      <c r="Q392" s="396">
        <f>IF(+NFL!$F211="Minnesota",+NFL!Q211,IF(+NFL!$H211="Minnesota",+NFL!Q211,0))</f>
        <v>26</v>
      </c>
      <c r="R392" s="397" t="str">
        <f>IF(+NFL!$F211="Minnesota",+NFL!R211,IF(+NFL!$H211="Minnesota",+NFL!R211,0))</f>
        <v>Minnesota</v>
      </c>
      <c r="S392" s="396" t="str">
        <f>IF(+NFL!$F211="Minnesota",+NFL!S211,IF(+NFL!$H211="Minnesota",+NFL!S211,0))</f>
        <v>New England</v>
      </c>
      <c r="T392" s="398" t="str">
        <f>IF(+NFL!$F211="Minnesota",+NFL!T211,IF(+NFL!$H211="Minnesota",+NFL!T211,0))</f>
        <v>Minnesota</v>
      </c>
      <c r="U392" s="396" t="str">
        <f>IF(+NFL!$F211="Minnesota",+NFL!U211,IF(+NFL!$H211="Minnesota",+NFL!U211,0))</f>
        <v>W</v>
      </c>
      <c r="V392" s="397">
        <f>IF(+NFL!$F206="Minnesota",+NFL!#REF!,IF(+NFL!$H206="Minnesota",+NFL!#REF!,0))</f>
        <v>0</v>
      </c>
      <c r="W392" s="396">
        <f>IF(+NFL!$F206="Minnesota",+NFL!#REF!,IF(+NFL!$H206="Minnesota",+NFL!#REF!,0))</f>
        <v>0</v>
      </c>
      <c r="X392" s="398">
        <f>IF(+NFL!$F206="Minnesota",+NFL!#REF!,IF(+NFL!$H206="Minnesota",+NFL!#REF!,0))</f>
        <v>0</v>
      </c>
      <c r="Y392" s="396">
        <f>IF(+NFL!$F206="Minnesota",+NFL!#REF!,IF(+NFL!$H206="Minnesota",+NFL!#REF!,0))</f>
        <v>0</v>
      </c>
      <c r="Z392" s="397">
        <f>IF(+NFL!$F206="Minnesota",+NFL!#REF!,IF(+NFL!$H206="Minnesota",+NFL!#REF!,0))</f>
        <v>0</v>
      </c>
      <c r="AA392" s="396">
        <f>IF(+NFL!$F206="Minnesota",+NFL!#REF!,IF(+NFL!$H206="Minnesota",+NFL!#REF!,0))</f>
        <v>0</v>
      </c>
      <c r="AB392" s="87">
        <f>IF(+NFL!$F206="Minnesota",+NFL!#REF!,IF(+NFL!$H206="Minnesota",+NFL!#REF!,0))</f>
        <v>0</v>
      </c>
      <c r="AC392" s="120">
        <f>IF(+NFL!$F206="Minnesota",+NFL!#REF!,IF(+NFL!$H206="Minnesota",+NFL!#REF!,0))</f>
        <v>0</v>
      </c>
      <c r="AD392" s="353">
        <f>IF(+NFL!$F206="Minnesota",+NFL!#REF!,IF(+NFL!$H206="Minnesota",+NFL!#REF!,0))</f>
        <v>0</v>
      </c>
      <c r="AE392" s="379">
        <f>IF(+NFL!$F206="Minnesota",+NFL!#REF!,IF(+NFL!$H206="Minnesota",+NFL!#REF!,0))</f>
        <v>0</v>
      </c>
      <c r="AF392" s="353">
        <f>IF(+NFL!$F206="Minnesota",+NFL!#REF!,IF(+NFL!$H206="Minnesota",+NFL!#REF!,0))</f>
        <v>0</v>
      </c>
      <c r="AG392" s="379">
        <f>IF(+NFL!$F206="Minnesota",+NFL!#REF!,IF(+NFL!$H206="Minnesota",+NFL!#REF!,0))</f>
        <v>0</v>
      </c>
      <c r="AH392" s="353">
        <f>IF(+NFL!$F206="Minnesota",+NFL!#REF!,IF(+NFL!$H206="Minnesota",+NFL!#REF!,0))</f>
        <v>0</v>
      </c>
      <c r="AI392" s="379">
        <f>IF(+NFL!$F206="Minnesota",+NFL!#REF!,IF(+NFL!$H206="Minnesota",+NFL!#REF!,0))</f>
        <v>0</v>
      </c>
      <c r="AJ392" s="353">
        <f>IF(+NFL!$F206="Minnesota",+NFL!#REF!,IF(+NFL!$H206="Minnesota",+NFL!#REF!,0))</f>
        <v>0</v>
      </c>
      <c r="AK392" s="379">
        <f>IF(+NFL!$F206="Minnesota",+NFL!#REF!,IF(+NFL!$H206="Minnesota",+NFL!#REF!,0))</f>
        <v>0</v>
      </c>
      <c r="AL392" s="68">
        <f>IF(+NFL!$F206="Minnesota",+NFL!#REF!,IF(+NFL!$H206="Minnesota",+NFL!#REF!,0))</f>
        <v>0</v>
      </c>
      <c r="AM392" s="58">
        <f>IF(+NFL!$F206="Minnesota",+NFL!#REF!,IF(+NFL!$H206="Minnesota",+NFL!#REF!,0))</f>
        <v>0</v>
      </c>
      <c r="AN392" s="57">
        <f>IF(+NFL!$F206="Minnesota",+NFL!#REF!,IF(+NFL!$H206="Minnesota",+NFL!#REF!,0))</f>
        <v>0</v>
      </c>
      <c r="AO392" s="59">
        <f>IF(+NFL!$F206="Minnesota",+NFL!#REF!,IF(+NFL!$H206="Minnesota",+NFL!#REF!,0))</f>
        <v>0</v>
      </c>
      <c r="AP392" s="348"/>
      <c r="AQ392" s="48" t="str">
        <f t="shared" si="0"/>
        <v>New England</v>
      </c>
      <c r="AR392" s="57">
        <f>IF(+NFL!$F206="Minnesota",+NFL!#REF!,IF(+NFL!$H206="Minnesota",+NFL!#REF!,0))</f>
        <v>0</v>
      </c>
      <c r="AS392" s="64">
        <f>IF(+NFL!$F206="Minnesota",+NFL!#REF!,IF(+NFL!$H206="Minnesota",+NFL!#REF!,0))</f>
        <v>0</v>
      </c>
      <c r="AT392" s="64">
        <f>IF(+NFL!$F206="Minnesota",+NFL!#REF!,IF(+NFL!$H206="Minnesota",+NFL!#REF!,0))</f>
        <v>0</v>
      </c>
      <c r="AU392" s="57">
        <f>IF(+NFL!$F206="Minnesota",+NFL!#REF!,IF(+NFL!$H206="Minnesota",+NFL!#REF!,0))</f>
        <v>0</v>
      </c>
      <c r="AV392" s="64">
        <f>IF(+NFL!$F206="Minnesota",+NFL!#REF!,IF(+NFL!$H206="Minnesota",+NFL!#REF!,0))</f>
        <v>0</v>
      </c>
      <c r="AW392" s="46">
        <f>IF(+NFL!$F206="Minnesota",+NFL!#REF!,IF(+NFL!$H206="Minnesota",+NFL!#REF!,0))</f>
        <v>0</v>
      </c>
      <c r="AX392" s="64"/>
      <c r="AY392" s="57">
        <f>IF(+NFL!$F206="Minnesota",+NFL!#REF!,IF(+NFL!$H206="Minnesota",+NFL!#REF!,0))</f>
        <v>0</v>
      </c>
      <c r="AZ392" s="64">
        <f>IF(+NFL!$F206="Minnesota",+NFL!#REF!,IF(+NFL!$H206="Minnesota",+NFL!#REF!,0))</f>
        <v>0</v>
      </c>
      <c r="BA392" s="46">
        <f>IF(+NFL!$F206="Minnesota",+NFL!#REF!,IF(+NFL!$H206="Minnesota",+NFL!#REF!,0))</f>
        <v>0</v>
      </c>
      <c r="BB392" s="46"/>
      <c r="BC392" s="403" t="str">
        <f t="shared" si="1"/>
        <v>Minnesota</v>
      </c>
      <c r="BD392" s="57">
        <f>IF(+NFL!$F206="Minnesota",+NFL!#REF!,IF(+NFL!$H206="Minnesota",+NFL!#REF!,0))</f>
        <v>0</v>
      </c>
      <c r="BE392" s="64">
        <f>IF(+NFL!$F206="Minnesota",+NFL!#REF!,IF(+NFL!$H206="Minnesota",+NFL!#REF!,0))</f>
        <v>0</v>
      </c>
      <c r="BF392" s="46">
        <f>IF(+NFL!$F206="Minnesota",+NFL!#REF!,IF(+NFL!$H206="Minnesota",+NFL!#REF!,0))</f>
        <v>0</v>
      </c>
      <c r="BG392" s="57">
        <f>IF(+NFL!$F206="Minnesota",+NFL!#REF!,IF(+NFL!$H206="Minnesota",+NFL!#REF!,0))</f>
        <v>0</v>
      </c>
      <c r="BH392" s="64">
        <f>IF(+NFL!$F206="Minnesota",+NFL!#REF!,IF(+NFL!$H206="Minnesota",+NFL!#REF!,0))</f>
        <v>0</v>
      </c>
      <c r="BI392" s="46">
        <f>IF(+NFL!$F206="Minnesota",+NFL!#REF!,IF(+NFL!$H206="Minnesota",+NFL!#REF!,0))</f>
        <v>0</v>
      </c>
      <c r="BJ392" s="87">
        <f>IF(+NFL!$F206="Minnesota",+NFL!#REF!,IF(+NFL!$H206="Minnesota",+NFL!#REF!,0))</f>
        <v>0</v>
      </c>
      <c r="BK392" s="120">
        <f>IF(+NFL!$F206="Minnesota",+NFL!#REF!,IF(+NFL!$H206="Minnesota",+NFL!#REF!,0))</f>
        <v>0</v>
      </c>
    </row>
    <row r="393" spans="1:63" s="246" customFormat="1" x14ac:dyDescent="0.8">
      <c r="A393" s="46">
        <f>IF(+NFL!$F230="Minnesota",+NFL!A230,IF(+NFL!$H230="Minnesota",+NFL!A230,0))</f>
        <v>13</v>
      </c>
      <c r="B393" s="348" t="str">
        <f>IF(+NFL!$F230="Minnesota",+NFL!B230,IF(+NFL!$H230="Minnesota",+NFL!B230,0))</f>
        <v>Sun</v>
      </c>
      <c r="C393" s="48">
        <f>IF(+NFL!$F230="Minnesota",+NFL!C230,IF(+NFL!$H230="Minnesota",+NFL!C230,0))</f>
        <v>44899</v>
      </c>
      <c r="D393" s="490">
        <f>IF(+NFL!$F230="Minnesota",+NFL!D230,IF(+NFL!$H230="Minnesota",+NFL!D230,0))</f>
        <v>0.54166666666666663</v>
      </c>
      <c r="E393" s="46" t="str">
        <f>IF(+NFL!$F230="Minnesota",+NFL!E230,IF(+NFL!$H230="Minnesota",+NFL!E230,0))</f>
        <v>CBS</v>
      </c>
      <c r="F393" s="127" t="str">
        <f>IF(+NFL!$F230="Minnesota",+NFL!F230,IF(+NFL!$H230="Minnesota",+NFL!F230,0))</f>
        <v>NY Jets</v>
      </c>
      <c r="G393" s="46" t="str">
        <f>IF(+NFL!$F230="Minnesota",+NFL!G230,IF(+NFL!$H230="Minnesota",+NFL!G230,0))</f>
        <v>AFCE</v>
      </c>
      <c r="H393" s="127" t="str">
        <f>IF(+NFL!$F230="Minnesota",+NFL!H230,IF(+NFL!$H230="Minnesota",+NFL!H230,0))</f>
        <v>Minnesota</v>
      </c>
      <c r="I393" s="46" t="str">
        <f>IF(+NFL!$F230="Minnesota",+NFL!I230,IF(+NFL!$H230="Minnesota",+NFL!I230,0))</f>
        <v>NFCN</v>
      </c>
      <c r="J393" s="353" t="str">
        <f>IF(+NFL!$F230="Minnesota",+NFL!J230,IF(+NFL!$H230="Minnesota",+NFL!J230,0))</f>
        <v>Minnesota</v>
      </c>
      <c r="K393" s="494" t="str">
        <f>IF(+NFL!$F230="Minnesota",+NFL!K230,IF(+NFL!$H230="Minnesota",+NFL!K230,0))</f>
        <v>NY Jets</v>
      </c>
      <c r="L393" s="384">
        <f>IF(+NFL!$F230="Minnesota",+NFL!L230,IF(+NFL!$H230="Minnesota",+NFL!L230,0))</f>
        <v>3</v>
      </c>
      <c r="M393" s="385">
        <f>IF(+NFL!$F230="Minnesota",+NFL!M230,IF(+NFL!$H230="Minnesota",+NFL!M230,0))</f>
        <v>45</v>
      </c>
      <c r="N393" s="394" t="str">
        <f>IF(+NFL!$F230="Minnesota",+NFL!N230,IF(+NFL!$H230="Minnesota",+NFL!N230,0))</f>
        <v>Minnesota</v>
      </c>
      <c r="O393" s="395">
        <f>IF(+NFL!$F230="Minnesota",+NFL!O230,IF(+NFL!$H230="Minnesota",+NFL!O230,0))</f>
        <v>27</v>
      </c>
      <c r="P393" s="394" t="str">
        <f>IF(+NFL!$F230="Minnesota",+NFL!P230,IF(+NFL!$H230="Minnesota",+NFL!P230,0))</f>
        <v>NY Jets</v>
      </c>
      <c r="Q393" s="396">
        <f>IF(+NFL!$F230="Minnesota",+NFL!Q230,IF(+NFL!$H230="Minnesota",+NFL!Q230,0))</f>
        <v>22</v>
      </c>
      <c r="R393" s="397" t="str">
        <f>IF(+NFL!$F230="Minnesota",+NFL!R230,IF(+NFL!$H230="Minnesota",+NFL!R230,0))</f>
        <v>Minnesota</v>
      </c>
      <c r="S393" s="396" t="str">
        <f>IF(+NFL!$F230="Minnesota",+NFL!S230,IF(+NFL!$H230="Minnesota",+NFL!S230,0))</f>
        <v>NY Jets</v>
      </c>
      <c r="T393" s="398" t="str">
        <f>IF(+NFL!$F230="Minnesota",+NFL!T230,IF(+NFL!$H230="Minnesota",+NFL!T230,0))</f>
        <v>NY Jets</v>
      </c>
      <c r="U393" s="396" t="str">
        <f>IF(+NFL!$F230="Minnesota",+NFL!U230,IF(+NFL!$H230="Minnesota",+NFL!U230,0))</f>
        <v>L</v>
      </c>
      <c r="V393" s="397">
        <f>IF(+NFL!$F222="Minnesota",+NFL!#REF!,IF(+NFL!$H222="Minnesota",+NFL!#REF!,0))</f>
        <v>0</v>
      </c>
      <c r="W393" s="396">
        <f>IF(+NFL!$F222="Minnesota",+NFL!#REF!,IF(+NFL!$H222="Minnesota",+NFL!#REF!,0))</f>
        <v>0</v>
      </c>
      <c r="X393" s="398">
        <f>IF(+NFL!$F222="Minnesota",+NFL!#REF!,IF(+NFL!$H222="Minnesota",+NFL!#REF!,0))</f>
        <v>0</v>
      </c>
      <c r="Y393" s="396">
        <f>IF(+NFL!$F222="Minnesota",+NFL!#REF!,IF(+NFL!$H222="Minnesota",+NFL!#REF!,0))</f>
        <v>0</v>
      </c>
      <c r="Z393" s="397">
        <f>IF(+NFL!$F222="Minnesota",+NFL!#REF!,IF(+NFL!$H222="Minnesota",+NFL!#REF!,0))</f>
        <v>0</v>
      </c>
      <c r="AA393" s="396">
        <f>IF(+NFL!$F222="Minnesota",+NFL!#REF!,IF(+NFL!$H222="Minnesota",+NFL!#REF!,0))</f>
        <v>0</v>
      </c>
      <c r="AB393" s="87">
        <f>IF(+NFL!$F222="Minnesota",+NFL!#REF!,IF(+NFL!$H222="Minnesota",+NFL!#REF!,0))</f>
        <v>0</v>
      </c>
      <c r="AC393" s="120">
        <f>IF(+NFL!$F222="Minnesota",+NFL!#REF!,IF(+NFL!$H222="Minnesota",+NFL!#REF!,0))</f>
        <v>0</v>
      </c>
      <c r="AD393" s="353">
        <f>IF(+NFL!$F222="Minnesota",+NFL!#REF!,IF(+NFL!$H222="Minnesota",+NFL!#REF!,0))</f>
        <v>0</v>
      </c>
      <c r="AE393" s="379">
        <f>IF(+NFL!$F222="Minnesota",+NFL!#REF!,IF(+NFL!$H222="Minnesota",+NFL!#REF!,0))</f>
        <v>0</v>
      </c>
      <c r="AF393" s="353">
        <f>IF(+NFL!$F222="Minnesota",+NFL!#REF!,IF(+NFL!$H222="Minnesota",+NFL!#REF!,0))</f>
        <v>0</v>
      </c>
      <c r="AG393" s="379">
        <f>IF(+NFL!$F222="Minnesota",+NFL!#REF!,IF(+NFL!$H222="Minnesota",+NFL!#REF!,0))</f>
        <v>0</v>
      </c>
      <c r="AH393" s="353">
        <f>IF(+NFL!$F222="Minnesota",+NFL!#REF!,IF(+NFL!$H222="Minnesota",+NFL!#REF!,0))</f>
        <v>0</v>
      </c>
      <c r="AI393" s="379">
        <f>IF(+NFL!$F222="Minnesota",+NFL!#REF!,IF(+NFL!$H222="Minnesota",+NFL!#REF!,0))</f>
        <v>0</v>
      </c>
      <c r="AJ393" s="353">
        <f>IF(+NFL!$F222="Minnesota",+NFL!#REF!,IF(+NFL!$H222="Minnesota",+NFL!#REF!,0))</f>
        <v>0</v>
      </c>
      <c r="AK393" s="379">
        <f>IF(+NFL!$F222="Minnesota",+NFL!#REF!,IF(+NFL!$H222="Minnesota",+NFL!#REF!,0))</f>
        <v>0</v>
      </c>
      <c r="AL393" s="68">
        <f>IF(+NFL!$F222="Minnesota",+NFL!#REF!,IF(+NFL!$H222="Minnesota",+NFL!#REF!,0))</f>
        <v>0</v>
      </c>
      <c r="AM393" s="58">
        <f>IF(+NFL!$F222="Minnesota",+NFL!#REF!,IF(+NFL!$H222="Minnesota",+NFL!#REF!,0))</f>
        <v>0</v>
      </c>
      <c r="AN393" s="57">
        <f>IF(+NFL!$F222="Minnesota",+NFL!#REF!,IF(+NFL!$H222="Minnesota",+NFL!#REF!,0))</f>
        <v>0</v>
      </c>
      <c r="AO393" s="59">
        <f>IF(+NFL!$F222="Minnesota",+NFL!#REF!,IF(+NFL!$H222="Minnesota",+NFL!#REF!,0))</f>
        <v>0</v>
      </c>
      <c r="AP393" s="348"/>
      <c r="AQ393" s="48" t="str">
        <f t="shared" si="0"/>
        <v>NY Jets</v>
      </c>
      <c r="AR393" s="57">
        <f>IF(+NFL!$F222="Minnesota",+NFL!#REF!,IF(+NFL!$H222="Minnesota",+NFL!#REF!,0))</f>
        <v>0</v>
      </c>
      <c r="AS393" s="64">
        <f>IF(+NFL!$F222="Minnesota",+NFL!#REF!,IF(+NFL!$H222="Minnesota",+NFL!#REF!,0))</f>
        <v>0</v>
      </c>
      <c r="AT393" s="64">
        <f>IF(+NFL!$F222="Minnesota",+NFL!#REF!,IF(+NFL!$H222="Minnesota",+NFL!#REF!,0))</f>
        <v>0</v>
      </c>
      <c r="AU393" s="57">
        <f>IF(+NFL!$F222="Minnesota",+NFL!#REF!,IF(+NFL!$H222="Minnesota",+NFL!#REF!,0))</f>
        <v>0</v>
      </c>
      <c r="AV393" s="64">
        <f>IF(+NFL!$F222="Minnesota",+NFL!#REF!,IF(+NFL!$H222="Minnesota",+NFL!#REF!,0))</f>
        <v>0</v>
      </c>
      <c r="AW393" s="46">
        <f>IF(+NFL!$F222="Minnesota",+NFL!#REF!,IF(+NFL!$H222="Minnesota",+NFL!#REF!,0))</f>
        <v>0</v>
      </c>
      <c r="AX393" s="64"/>
      <c r="AY393" s="57">
        <f>IF(+NFL!$F222="Minnesota",+NFL!#REF!,IF(+NFL!$H222="Minnesota",+NFL!#REF!,0))</f>
        <v>0</v>
      </c>
      <c r="AZ393" s="64">
        <f>IF(+NFL!$F222="Minnesota",+NFL!#REF!,IF(+NFL!$H222="Minnesota",+NFL!#REF!,0))</f>
        <v>0</v>
      </c>
      <c r="BA393" s="46">
        <f>IF(+NFL!$F222="Minnesota",+NFL!#REF!,IF(+NFL!$H222="Minnesota",+NFL!#REF!,0))</f>
        <v>0</v>
      </c>
      <c r="BB393" s="46"/>
      <c r="BC393" s="403" t="str">
        <f t="shared" si="1"/>
        <v>Minnesota</v>
      </c>
      <c r="BD393" s="57">
        <f>IF(+NFL!$F222="Minnesota",+NFL!#REF!,IF(+NFL!$H222="Minnesota",+NFL!#REF!,0))</f>
        <v>0</v>
      </c>
      <c r="BE393" s="64">
        <f>IF(+NFL!$F222="Minnesota",+NFL!#REF!,IF(+NFL!$H222="Minnesota",+NFL!#REF!,0))</f>
        <v>0</v>
      </c>
      <c r="BF393" s="46">
        <f>IF(+NFL!$F222="Minnesota",+NFL!#REF!,IF(+NFL!$H222="Minnesota",+NFL!#REF!,0))</f>
        <v>0</v>
      </c>
      <c r="BG393" s="57">
        <f>IF(+NFL!$F222="Minnesota",+NFL!#REF!,IF(+NFL!$H222="Minnesota",+NFL!#REF!,0))</f>
        <v>0</v>
      </c>
      <c r="BH393" s="64">
        <f>IF(+NFL!$F222="Minnesota",+NFL!#REF!,IF(+NFL!$H222="Minnesota",+NFL!#REF!,0))</f>
        <v>0</v>
      </c>
      <c r="BI393" s="46">
        <f>IF(+NFL!$F222="Minnesota",+NFL!#REF!,IF(+NFL!$H222="Minnesota",+NFL!#REF!,0))</f>
        <v>0</v>
      </c>
      <c r="BJ393" s="87">
        <f>IF(+NFL!$F222="Minnesota",+NFL!#REF!,IF(+NFL!$H222="Minnesota",+NFL!#REF!,0))</f>
        <v>0</v>
      </c>
      <c r="BK393" s="120">
        <f>IF(+NFL!$F222="Minnesota",+NFL!#REF!,IF(+NFL!$H222="Minnesota",+NFL!#REF!,0))</f>
        <v>0</v>
      </c>
    </row>
    <row r="394" spans="1:63" s="246" customFormat="1" x14ac:dyDescent="0.8">
      <c r="A394" s="46">
        <f>IF(+NFL!$F249="Minnesota",+NFL!A249,IF(+NFL!$H249="Minnesota",+NFL!A249,0))</f>
        <v>14</v>
      </c>
      <c r="B394" s="348" t="str">
        <f>IF(+NFL!$F249="Minnesota",+NFL!B249,IF(+NFL!$H249="Minnesota",+NFL!B249,0))</f>
        <v>Sun</v>
      </c>
      <c r="C394" s="48">
        <f>IF(+NFL!$F249="Minnesota",+NFL!C249,IF(+NFL!$H249="Minnesota",+NFL!C249,0))</f>
        <v>44906</v>
      </c>
      <c r="D394" s="490">
        <f>IF(+NFL!$F249="Minnesota",+NFL!D249,IF(+NFL!$H249="Minnesota",+NFL!D249,0))</f>
        <v>0.54166666666666663</v>
      </c>
      <c r="E394" s="46" t="str">
        <f>IF(+NFL!$F249="Minnesota",+NFL!E249,IF(+NFL!$H249="Minnesota",+NFL!E249,0))</f>
        <v>Fox</v>
      </c>
      <c r="F394" s="127" t="str">
        <f>IF(+NFL!$F249="Minnesota",+NFL!F249,IF(+NFL!$H249="Minnesota",+NFL!F249,0))</f>
        <v>Minnesota</v>
      </c>
      <c r="G394" s="46" t="str">
        <f>IF(+NFL!$F249="Minnesota",+NFL!G249,IF(+NFL!$H249="Minnesota",+NFL!G249,0))</f>
        <v>NFCN</v>
      </c>
      <c r="H394" s="127" t="str">
        <f>IF(+NFL!$F249="Minnesota",+NFL!H249,IF(+NFL!$H249="Minnesota",+NFL!H249,0))</f>
        <v>Detroit</v>
      </c>
      <c r="I394" s="46" t="str">
        <f>IF(+NFL!$F249="Minnesota",+NFL!I249,IF(+NFL!$H249="Minnesota",+NFL!I249,0))</f>
        <v>NFCN</v>
      </c>
      <c r="J394" s="353" t="str">
        <f>IF(+NFL!$F249="Minnesota",+NFL!J249,IF(+NFL!$H249="Minnesota",+NFL!J249,0))</f>
        <v>Detroit</v>
      </c>
      <c r="K394" s="494" t="str">
        <f>IF(+NFL!$F249="Minnesota",+NFL!K249,IF(+NFL!$H249="Minnesota",+NFL!K249,0))</f>
        <v>Minnesota</v>
      </c>
      <c r="L394" s="384">
        <f>IF(+NFL!$F249="Minnesota",+NFL!L249,IF(+NFL!$H249="Minnesota",+NFL!L249,0))</f>
        <v>1.5</v>
      </c>
      <c r="M394" s="385">
        <f>IF(+NFL!$F249="Minnesota",+NFL!M249,IF(+NFL!$H249="Minnesota",+NFL!M249,0))</f>
        <v>51.5</v>
      </c>
      <c r="N394" s="394" t="str">
        <f>IF(+NFL!$F249="Minnesota",+NFL!N249,IF(+NFL!$H249="Minnesota",+NFL!N249,0))</f>
        <v>Detroit</v>
      </c>
      <c r="O394" s="395">
        <f>IF(+NFL!$F249="Minnesota",+NFL!O249,IF(+NFL!$H249="Minnesota",+NFL!O249,0))</f>
        <v>34</v>
      </c>
      <c r="P394" s="394" t="str">
        <f>IF(+NFL!$F249="Minnesota",+NFL!P249,IF(+NFL!$H249="Minnesota",+NFL!P249,0))</f>
        <v>Minnesota</v>
      </c>
      <c r="Q394" s="396">
        <f>IF(+NFL!$F249="Minnesota",+NFL!Q249,IF(+NFL!$H249="Minnesota",+NFL!Q249,0))</f>
        <v>23</v>
      </c>
      <c r="R394" s="397" t="str">
        <f>IF(+NFL!$F249="Minnesota",+NFL!R249,IF(+NFL!$H249="Minnesota",+NFL!R249,0))</f>
        <v>Detroit</v>
      </c>
      <c r="S394" s="396" t="str">
        <f>IF(+NFL!$F249="Minnesota",+NFL!S249,IF(+NFL!$H249="Minnesota",+NFL!S249,0))</f>
        <v>Minnesota</v>
      </c>
      <c r="T394" s="398">
        <f>IF(+NFL!$F249="Minnesota",+NFL!T249,IF(+NFL!$H249="Minnesota",+NFL!T249,0))</f>
        <v>0</v>
      </c>
      <c r="U394" s="396" t="str">
        <f>IF(+NFL!$F249="Minnesota",+NFL!U249,IF(+NFL!$H249="Minnesota",+NFL!U249,0))</f>
        <v>L</v>
      </c>
      <c r="V394" s="397">
        <f>IF(+NFL!$F256="Minnesota",+NFL!#REF!,IF(+NFL!$H256="Minnesota",+NFL!#REF!,0))</f>
        <v>0</v>
      </c>
      <c r="W394" s="396">
        <f>IF(+NFL!$F256="Minnesota",+NFL!#REF!,IF(+NFL!$H256="Minnesota",+NFL!#REF!,0))</f>
        <v>0</v>
      </c>
      <c r="X394" s="398">
        <f>IF(+NFL!$F256="Minnesota",+NFL!#REF!,IF(+NFL!$H256="Minnesota",+NFL!#REF!,0))</f>
        <v>0</v>
      </c>
      <c r="Y394" s="396">
        <f>IF(+NFL!$F256="Minnesota",+NFL!#REF!,IF(+NFL!$H256="Minnesota",+NFL!#REF!,0))</f>
        <v>0</v>
      </c>
      <c r="Z394" s="397">
        <f>IF(+NFL!$F256="Minnesota",+NFL!#REF!,IF(+NFL!$H256="Minnesota",+NFL!#REF!,0))</f>
        <v>0</v>
      </c>
      <c r="AA394" s="396">
        <f>IF(+NFL!$F256="Minnesota",+NFL!#REF!,IF(+NFL!$H256="Minnesota",+NFL!#REF!,0))</f>
        <v>0</v>
      </c>
      <c r="AB394" s="87">
        <f>IF(+NFL!$F256="Minnesota",+NFL!#REF!,IF(+NFL!$H256="Minnesota",+NFL!#REF!,0))</f>
        <v>0</v>
      </c>
      <c r="AC394" s="120">
        <f>IF(+NFL!$F256="Minnesota",+NFL!#REF!,IF(+NFL!$H256="Minnesota",+NFL!#REF!,0))</f>
        <v>0</v>
      </c>
      <c r="AD394" s="353">
        <f>IF(+NFL!$F256="Minnesota",+NFL!#REF!,IF(+NFL!$H256="Minnesota",+NFL!#REF!,0))</f>
        <v>0</v>
      </c>
      <c r="AE394" s="379">
        <f>IF(+NFL!$F256="Minnesota",+NFL!#REF!,IF(+NFL!$H256="Minnesota",+NFL!#REF!,0))</f>
        <v>0</v>
      </c>
      <c r="AF394" s="353">
        <f>IF(+NFL!$F256="Minnesota",+NFL!#REF!,IF(+NFL!$H256="Minnesota",+NFL!#REF!,0))</f>
        <v>0</v>
      </c>
      <c r="AG394" s="379">
        <f>IF(+NFL!$F256="Minnesota",+NFL!#REF!,IF(+NFL!$H256="Minnesota",+NFL!#REF!,0))</f>
        <v>0</v>
      </c>
      <c r="AH394" s="353">
        <f>IF(+NFL!$F256="Minnesota",+NFL!#REF!,IF(+NFL!$H256="Minnesota",+NFL!#REF!,0))</f>
        <v>0</v>
      </c>
      <c r="AI394" s="379">
        <f>IF(+NFL!$F256="Minnesota",+NFL!#REF!,IF(+NFL!$H256="Minnesota",+NFL!#REF!,0))</f>
        <v>0</v>
      </c>
      <c r="AJ394" s="353">
        <f>IF(+NFL!$F256="Minnesota",+NFL!#REF!,IF(+NFL!$H256="Minnesota",+NFL!#REF!,0))</f>
        <v>0</v>
      </c>
      <c r="AK394" s="379">
        <f>IF(+NFL!$F256="Minnesota",+NFL!#REF!,IF(+NFL!$H256="Minnesota",+NFL!#REF!,0))</f>
        <v>0</v>
      </c>
      <c r="AL394" s="68">
        <f>IF(+NFL!$F256="Minnesota",+NFL!#REF!,IF(+NFL!$H256="Minnesota",+NFL!#REF!,0))</f>
        <v>0</v>
      </c>
      <c r="AM394" s="58">
        <f>IF(+NFL!$F256="Minnesota",+NFL!#REF!,IF(+NFL!$H256="Minnesota",+NFL!#REF!,0))</f>
        <v>0</v>
      </c>
      <c r="AN394" s="57">
        <f>IF(+NFL!$F256="Minnesota",+NFL!#REF!,IF(+NFL!$H256="Minnesota",+NFL!#REF!,0))</f>
        <v>0</v>
      </c>
      <c r="AO394" s="59">
        <f>IF(+NFL!$F256="Minnesota",+NFL!#REF!,IF(+NFL!$H256="Minnesota",+NFL!#REF!,0))</f>
        <v>0</v>
      </c>
      <c r="AP394" s="348"/>
      <c r="AQ394" s="48" t="str">
        <f t="shared" si="0"/>
        <v>Minnesota</v>
      </c>
      <c r="AR394" s="57">
        <f>IF(+NFL!$F256="Minnesota",+NFL!#REF!,IF(+NFL!$H256="Minnesota",+NFL!#REF!,0))</f>
        <v>0</v>
      </c>
      <c r="AS394" s="64">
        <f>IF(+NFL!$F256="Minnesota",+NFL!#REF!,IF(+NFL!$H256="Minnesota",+NFL!#REF!,0))</f>
        <v>0</v>
      </c>
      <c r="AT394" s="64">
        <f>IF(+NFL!$F256="Minnesota",+NFL!#REF!,IF(+NFL!$H256="Minnesota",+NFL!#REF!,0))</f>
        <v>0</v>
      </c>
      <c r="AU394" s="57">
        <f>IF(+NFL!$F256="Minnesota",+NFL!#REF!,IF(+NFL!$H256="Minnesota",+NFL!#REF!,0))</f>
        <v>0</v>
      </c>
      <c r="AV394" s="64">
        <f>IF(+NFL!$F256="Minnesota",+NFL!#REF!,IF(+NFL!$H256="Minnesota",+NFL!#REF!,0))</f>
        <v>0</v>
      </c>
      <c r="AW394" s="46">
        <f>IF(+NFL!$F256="Minnesota",+NFL!#REF!,IF(+NFL!$H256="Minnesota",+NFL!#REF!,0))</f>
        <v>0</v>
      </c>
      <c r="AX394" s="64"/>
      <c r="AY394" s="57">
        <f>IF(+NFL!$F256="Minnesota",+NFL!#REF!,IF(+NFL!$H256="Minnesota",+NFL!#REF!,0))</f>
        <v>0</v>
      </c>
      <c r="AZ394" s="64">
        <f>IF(+NFL!$F256="Minnesota",+NFL!#REF!,IF(+NFL!$H256="Minnesota",+NFL!#REF!,0))</f>
        <v>0</v>
      </c>
      <c r="BA394" s="46">
        <f>IF(+NFL!$F256="Minnesota",+NFL!#REF!,IF(+NFL!$H256="Minnesota",+NFL!#REF!,0))</f>
        <v>0</v>
      </c>
      <c r="BB394" s="46"/>
      <c r="BC394" s="403" t="str">
        <f t="shared" si="1"/>
        <v>Detroit</v>
      </c>
      <c r="BD394" s="57">
        <f>IF(+NFL!$F256="Minnesota",+NFL!#REF!,IF(+NFL!$H256="Minnesota",+NFL!#REF!,0))</f>
        <v>0</v>
      </c>
      <c r="BE394" s="64">
        <f>IF(+NFL!$F256="Minnesota",+NFL!#REF!,IF(+NFL!$H256="Minnesota",+NFL!#REF!,0))</f>
        <v>0</v>
      </c>
      <c r="BF394" s="46">
        <f>IF(+NFL!$F256="Minnesota",+NFL!#REF!,IF(+NFL!$H256="Minnesota",+NFL!#REF!,0))</f>
        <v>0</v>
      </c>
      <c r="BG394" s="57">
        <f>IF(+NFL!$F256="Minnesota",+NFL!#REF!,IF(+NFL!$H256="Minnesota",+NFL!#REF!,0))</f>
        <v>0</v>
      </c>
      <c r="BH394" s="64">
        <f>IF(+NFL!$F256="Minnesota",+NFL!#REF!,IF(+NFL!$H256="Minnesota",+NFL!#REF!,0))</f>
        <v>0</v>
      </c>
      <c r="BI394" s="46">
        <f>IF(+NFL!$F256="Minnesota",+NFL!#REF!,IF(+NFL!$H256="Minnesota",+NFL!#REF!,0))</f>
        <v>0</v>
      </c>
      <c r="BJ394" s="87">
        <f>IF(+NFL!$F256="Minnesota",+NFL!#REF!,IF(+NFL!$H256="Minnesota",+NFL!#REF!,0))</f>
        <v>0</v>
      </c>
      <c r="BK394" s="120">
        <f>IF(+NFL!$F256="Minnesota",+NFL!#REF!,IF(+NFL!$H256="Minnesota",+NFL!#REF!,0))</f>
        <v>0</v>
      </c>
    </row>
    <row r="395" spans="1:63" s="246" customFormat="1" x14ac:dyDescent="0.8">
      <c r="A395" s="46">
        <f>IF(+NFL!$F269="Minnesota",+NFL!A269,IF(+NFL!$H269="Minnesota",+NFL!A269,0))</f>
        <v>15</v>
      </c>
      <c r="B395" s="348" t="str">
        <f>IF(+NFL!$F269="Minnesota",+NFL!B269,IF(+NFL!$H269="Minnesota",+NFL!B269,0))</f>
        <v>Sun</v>
      </c>
      <c r="C395" s="48">
        <f>IF(+NFL!$F269="Minnesota",+NFL!C269,IF(+NFL!$H269="Minnesota",+NFL!C269,0))</f>
        <v>44913</v>
      </c>
      <c r="D395" s="490">
        <f>IF(+NFL!$F269="Minnesota",+NFL!D269,IF(+NFL!$H269="Minnesota",+NFL!D269,0))</f>
        <v>0.54166666666666663</v>
      </c>
      <c r="E395" s="46" t="str">
        <f>IF(+NFL!$F269="Minnesota",+NFL!E269,IF(+NFL!$H269="Minnesota",+NFL!E269,0))</f>
        <v>CBS</v>
      </c>
      <c r="F395" s="127" t="str">
        <f>IF(+NFL!$F269="Minnesota",+NFL!F269,IF(+NFL!$H269="Minnesota",+NFL!F269,0))</f>
        <v>Indianapolis</v>
      </c>
      <c r="G395" s="46" t="str">
        <f>IF(+NFL!$F269="Minnesota",+NFL!G269,IF(+NFL!$H269="Minnesota",+NFL!G269,0))</f>
        <v>AFCS</v>
      </c>
      <c r="H395" s="127" t="str">
        <f>IF(+NFL!$F269="Minnesota",+NFL!H269,IF(+NFL!$H269="Minnesota",+NFL!H269,0))</f>
        <v>Minnesota</v>
      </c>
      <c r="I395" s="46" t="str">
        <f>IF(+NFL!$F269="Minnesota",+NFL!I269,IF(+NFL!$H269="Minnesota",+NFL!I269,0))</f>
        <v>NFCN</v>
      </c>
      <c r="J395" s="353" t="str">
        <f>IF(+NFL!$F269="Minnesota",+NFL!J269,IF(+NFL!$H269="Minnesota",+NFL!J269,0))</f>
        <v>Minnesota</v>
      </c>
      <c r="K395" s="494" t="str">
        <f>IF(+NFL!$F269="Minnesota",+NFL!K269,IF(+NFL!$H269="Minnesota",+NFL!K269,0))</f>
        <v>Indianapolis</v>
      </c>
      <c r="L395" s="384">
        <f>IF(+NFL!$F269="Minnesota",+NFL!L269,IF(+NFL!$H269="Minnesota",+NFL!L269,0))</f>
        <v>3.5</v>
      </c>
      <c r="M395" s="385">
        <f>IF(+NFL!$F269="Minnesota",+NFL!M269,IF(+NFL!$H269="Minnesota",+NFL!M269,0))</f>
        <v>46.5</v>
      </c>
      <c r="N395" s="394" t="str">
        <f>IF(+NFL!$F269="Minnesota",+NFL!N269,IF(+NFL!$H269="Minnesota",+NFL!N269,0))</f>
        <v>Minnesota</v>
      </c>
      <c r="O395" s="395">
        <f>IF(+NFL!$F269="Minnesota",+NFL!O269,IF(+NFL!$H269="Minnesota",+NFL!O269,0))</f>
        <v>39</v>
      </c>
      <c r="P395" s="394" t="str">
        <f>IF(+NFL!$F269="Minnesota",+NFL!P269,IF(+NFL!$H269="Minnesota",+NFL!P269,0))</f>
        <v>Indianapolis</v>
      </c>
      <c r="Q395" s="396">
        <f>IF(+NFL!$F269="Minnesota",+NFL!Q269,IF(+NFL!$H269="Minnesota",+NFL!Q269,0))</f>
        <v>36</v>
      </c>
      <c r="R395" s="397" t="str">
        <f>IF(+NFL!$F269="Minnesota",+NFL!R269,IF(+NFL!$H269="Minnesota",+NFL!R269,0))</f>
        <v>Indianapolis</v>
      </c>
      <c r="S395" s="396" t="str">
        <f>IF(+NFL!$F269="Minnesota",+NFL!S269,IF(+NFL!$H269="Minnesota",+NFL!S269,0))</f>
        <v>Minnesota</v>
      </c>
      <c r="T395" s="398">
        <f>IF(+NFL!$F269="Minnesota",+NFL!T269,IF(+NFL!$H269="Minnesota",+NFL!T269,0))</f>
        <v>0</v>
      </c>
      <c r="U395" s="396" t="str">
        <f>IF(+NFL!$F269="Minnesota",+NFL!U269,IF(+NFL!$H269="Minnesota",+NFL!U269,0))</f>
        <v>L</v>
      </c>
      <c r="V395" s="397">
        <f>IF(+NFL!$F280="Minnesota",+NFL!#REF!,IF(+NFL!$H280="Minnesota",+NFL!#REF!,0))</f>
        <v>0</v>
      </c>
      <c r="W395" s="396">
        <f>IF(+NFL!$F280="Minnesota",+NFL!#REF!,IF(+NFL!$H280="Minnesota",+NFL!#REF!,0))</f>
        <v>0</v>
      </c>
      <c r="X395" s="398">
        <f>IF(+NFL!$F280="Minnesota",+NFL!#REF!,IF(+NFL!$H280="Minnesota",+NFL!#REF!,0))</f>
        <v>0</v>
      </c>
      <c r="Y395" s="396">
        <f>IF(+NFL!$F280="Minnesota",+NFL!#REF!,IF(+NFL!$H280="Minnesota",+NFL!#REF!,0))</f>
        <v>0</v>
      </c>
      <c r="Z395" s="397">
        <f>IF(+NFL!$F280="Minnesota",+NFL!#REF!,IF(+NFL!$H280="Minnesota",+NFL!#REF!,0))</f>
        <v>0</v>
      </c>
      <c r="AA395" s="396">
        <f>IF(+NFL!$F280="Minnesota",+NFL!#REF!,IF(+NFL!$H280="Minnesota",+NFL!#REF!,0))</f>
        <v>0</v>
      </c>
      <c r="AB395" s="87">
        <f>IF(+NFL!$F280="Minnesota",+NFL!#REF!,IF(+NFL!$H280="Minnesota",+NFL!#REF!,0))</f>
        <v>0</v>
      </c>
      <c r="AC395" s="120">
        <f>IF(+NFL!$F280="Minnesota",+NFL!#REF!,IF(+NFL!$H280="Minnesota",+NFL!#REF!,0))</f>
        <v>0</v>
      </c>
      <c r="AD395" s="353">
        <f>IF(+NFL!$F280="Minnesota",+NFL!#REF!,IF(+NFL!$H280="Minnesota",+NFL!#REF!,0))</f>
        <v>0</v>
      </c>
      <c r="AE395" s="379">
        <f>IF(+NFL!$F280="Minnesota",+NFL!#REF!,IF(+NFL!$H280="Minnesota",+NFL!#REF!,0))</f>
        <v>0</v>
      </c>
      <c r="AF395" s="353">
        <f>IF(+NFL!$F280="Minnesota",+NFL!#REF!,IF(+NFL!$H280="Minnesota",+NFL!#REF!,0))</f>
        <v>0</v>
      </c>
      <c r="AG395" s="379">
        <f>IF(+NFL!$F280="Minnesota",+NFL!#REF!,IF(+NFL!$H280="Minnesota",+NFL!#REF!,0))</f>
        <v>0</v>
      </c>
      <c r="AH395" s="353">
        <f>IF(+NFL!$F280="Minnesota",+NFL!#REF!,IF(+NFL!$H280="Minnesota",+NFL!#REF!,0))</f>
        <v>0</v>
      </c>
      <c r="AI395" s="379">
        <f>IF(+NFL!$F280="Minnesota",+NFL!#REF!,IF(+NFL!$H280="Minnesota",+NFL!#REF!,0))</f>
        <v>0</v>
      </c>
      <c r="AJ395" s="353">
        <f>IF(+NFL!$F280="Minnesota",+NFL!#REF!,IF(+NFL!$H280="Minnesota",+NFL!#REF!,0))</f>
        <v>0</v>
      </c>
      <c r="AK395" s="379">
        <f>IF(+NFL!$F280="Minnesota",+NFL!#REF!,IF(+NFL!$H280="Minnesota",+NFL!#REF!,0))</f>
        <v>0</v>
      </c>
      <c r="AL395" s="68">
        <f>IF(+NFL!$F280="Minnesota",+NFL!#REF!,IF(+NFL!$H280="Minnesota",+NFL!#REF!,0))</f>
        <v>0</v>
      </c>
      <c r="AM395" s="58">
        <f>IF(+NFL!$F280="Minnesota",+NFL!#REF!,IF(+NFL!$H280="Minnesota",+NFL!#REF!,0))</f>
        <v>0</v>
      </c>
      <c r="AN395" s="57">
        <f>IF(+NFL!$F280="Minnesota",+NFL!#REF!,IF(+NFL!$H280="Minnesota",+NFL!#REF!,0))</f>
        <v>0</v>
      </c>
      <c r="AO395" s="59">
        <f>IF(+NFL!$F280="Minnesota",+NFL!#REF!,IF(+NFL!$H280="Minnesota",+NFL!#REF!,0))</f>
        <v>0</v>
      </c>
      <c r="AP395" s="348"/>
      <c r="AQ395" s="48" t="str">
        <f t="shared" si="0"/>
        <v>Indianapolis</v>
      </c>
      <c r="AR395" s="57">
        <f>IF(+NFL!$F280="Minnesota",+NFL!#REF!,IF(+NFL!$H280="Minnesota",+NFL!#REF!,0))</f>
        <v>0</v>
      </c>
      <c r="AS395" s="64">
        <f>IF(+NFL!$F280="Minnesota",+NFL!#REF!,IF(+NFL!$H280="Minnesota",+NFL!#REF!,0))</f>
        <v>0</v>
      </c>
      <c r="AT395" s="64">
        <f>IF(+NFL!$F280="Minnesota",+NFL!#REF!,IF(+NFL!$H280="Minnesota",+NFL!#REF!,0))</f>
        <v>0</v>
      </c>
      <c r="AU395" s="57">
        <f>IF(+NFL!$F280="Minnesota",+NFL!#REF!,IF(+NFL!$H280="Minnesota",+NFL!#REF!,0))</f>
        <v>0</v>
      </c>
      <c r="AV395" s="64">
        <f>IF(+NFL!$F280="Minnesota",+NFL!#REF!,IF(+NFL!$H280="Minnesota",+NFL!#REF!,0))</f>
        <v>0</v>
      </c>
      <c r="AW395" s="46">
        <f>IF(+NFL!$F280="Minnesota",+NFL!#REF!,IF(+NFL!$H280="Minnesota",+NFL!#REF!,0))</f>
        <v>0</v>
      </c>
      <c r="AX395" s="64"/>
      <c r="AY395" s="57">
        <f>IF(+NFL!$F280="Minnesota",+NFL!#REF!,IF(+NFL!$H280="Minnesota",+NFL!#REF!,0))</f>
        <v>0</v>
      </c>
      <c r="AZ395" s="64">
        <f>IF(+NFL!$F280="Minnesota",+NFL!#REF!,IF(+NFL!$H280="Minnesota",+NFL!#REF!,0))</f>
        <v>0</v>
      </c>
      <c r="BA395" s="46">
        <f>IF(+NFL!$F280="Minnesota",+NFL!#REF!,IF(+NFL!$H280="Minnesota",+NFL!#REF!,0))</f>
        <v>0</v>
      </c>
      <c r="BB395" s="46"/>
      <c r="BC395" s="403" t="str">
        <f t="shared" si="1"/>
        <v>Minnesota</v>
      </c>
      <c r="BD395" s="57">
        <f>IF(+NFL!$F280="Minnesota",+NFL!#REF!,IF(+NFL!$H280="Minnesota",+NFL!#REF!,0))</f>
        <v>0</v>
      </c>
      <c r="BE395" s="64">
        <f>IF(+NFL!$F280="Minnesota",+NFL!#REF!,IF(+NFL!$H280="Minnesota",+NFL!#REF!,0))</f>
        <v>0</v>
      </c>
      <c r="BF395" s="46">
        <f>IF(+NFL!$F280="Minnesota",+NFL!#REF!,IF(+NFL!$H280="Minnesota",+NFL!#REF!,0))</f>
        <v>0</v>
      </c>
      <c r="BG395" s="57">
        <f>IF(+NFL!$F280="Minnesota",+NFL!#REF!,IF(+NFL!$H280="Minnesota",+NFL!#REF!,0))</f>
        <v>0</v>
      </c>
      <c r="BH395" s="64">
        <f>IF(+NFL!$F280="Minnesota",+NFL!#REF!,IF(+NFL!$H280="Minnesota",+NFL!#REF!,0))</f>
        <v>0</v>
      </c>
      <c r="BI395" s="46">
        <f>IF(+NFL!$F280="Minnesota",+NFL!#REF!,IF(+NFL!$H280="Minnesota",+NFL!#REF!,0))</f>
        <v>0</v>
      </c>
      <c r="BJ395" s="87">
        <f>IF(+NFL!$F280="Minnesota",+NFL!#REF!,IF(+NFL!$H280="Minnesota",+NFL!#REF!,0))</f>
        <v>0</v>
      </c>
      <c r="BK395" s="120">
        <f>IF(+NFL!$F280="Minnesota",+NFL!#REF!,IF(+NFL!$H280="Minnesota",+NFL!#REF!,0))</f>
        <v>0</v>
      </c>
    </row>
    <row r="396" spans="1:63" s="246" customFormat="1" x14ac:dyDescent="0.8">
      <c r="A396" s="46">
        <f>IF(+NFL!$F288="Minnesota",+NFL!A288,IF(+NFL!$H288="Minnesota",+NFL!A288,0))</f>
        <v>16</v>
      </c>
      <c r="B396" s="348" t="str">
        <f>IF(+NFL!$F288="Minnesota",+NFL!B288,IF(+NFL!$H288="Minnesota",+NFL!B288,0))</f>
        <v>Sat</v>
      </c>
      <c r="C396" s="48">
        <f>IF(+NFL!$F288="Minnesota",+NFL!C288,IF(+NFL!$H288="Minnesota",+NFL!C288,0))</f>
        <v>44919</v>
      </c>
      <c r="D396" s="490">
        <f>IF(+NFL!$F288="Minnesota",+NFL!D288,IF(+NFL!$H288="Minnesota",+NFL!D288,0))</f>
        <v>0.54166666666666663</v>
      </c>
      <c r="E396" s="46" t="str">
        <f>IF(+NFL!$F288="Minnesota",+NFL!E288,IF(+NFL!$H288="Minnesota",+NFL!E288,0))</f>
        <v>Fox</v>
      </c>
      <c r="F396" s="127" t="str">
        <f>IF(+NFL!$F288="Minnesota",+NFL!F288,IF(+NFL!$H288="Minnesota",+NFL!F288,0))</f>
        <v>NY Giants</v>
      </c>
      <c r="G396" s="46" t="str">
        <f>IF(+NFL!$F288="Minnesota",+NFL!G288,IF(+NFL!$H288="Minnesota",+NFL!G288,0))</f>
        <v>NFCE</v>
      </c>
      <c r="H396" s="127" t="str">
        <f>IF(+NFL!$F288="Minnesota",+NFL!H288,IF(+NFL!$H288="Minnesota",+NFL!H288,0))</f>
        <v>Minnesota</v>
      </c>
      <c r="I396" s="46" t="str">
        <f>IF(+NFL!$F288="Minnesota",+NFL!I288,IF(+NFL!$H288="Minnesota",+NFL!I288,0))</f>
        <v>NFCN</v>
      </c>
      <c r="J396" s="353" t="str">
        <f>IF(+NFL!$F288="Minnesota",+NFL!J288,IF(+NFL!$H288="Minnesota",+NFL!J288,0))</f>
        <v>Minnesota</v>
      </c>
      <c r="K396" s="494" t="str">
        <f>IF(+NFL!$F288="Minnesota",+NFL!K288,IF(+NFL!$H288="Minnesota",+NFL!K288,0))</f>
        <v>NY Giants</v>
      </c>
      <c r="L396" s="384">
        <f>IF(+NFL!$F288="Minnesota",+NFL!L288,IF(+NFL!$H288="Minnesota",+NFL!L288,0))</f>
        <v>4.5</v>
      </c>
      <c r="M396" s="385">
        <f>IF(+NFL!$F288="Minnesota",+NFL!M288,IF(+NFL!$H288="Minnesota",+NFL!M288,0))</f>
        <v>48</v>
      </c>
      <c r="N396" s="394" t="str">
        <f>IF(+NFL!$F288="Minnesota",+NFL!N288,IF(+NFL!$H288="Minnesota",+NFL!N288,0))</f>
        <v>Minnesota</v>
      </c>
      <c r="O396" s="395">
        <f>IF(+NFL!$F288="Minnesota",+NFL!O288,IF(+NFL!$H288="Minnesota",+NFL!O288,0))</f>
        <v>27</v>
      </c>
      <c r="P396" s="394" t="str">
        <f>IF(+NFL!$F288="Minnesota",+NFL!P288,IF(+NFL!$H288="Minnesota",+NFL!P288,0))</f>
        <v>NY Giants</v>
      </c>
      <c r="Q396" s="396">
        <f>IF(+NFL!$F288="Minnesota",+NFL!Q288,IF(+NFL!$H288="Minnesota",+NFL!Q288,0))</f>
        <v>24</v>
      </c>
      <c r="R396" s="397" t="str">
        <f>IF(+NFL!$F288="Minnesota",+NFL!R288,IF(+NFL!$H288="Minnesota",+NFL!R288,0))</f>
        <v>NY Giants</v>
      </c>
      <c r="S396" s="396" t="str">
        <f>IF(+NFL!$F288="Minnesota",+NFL!S288,IF(+NFL!$H288="Minnesota",+NFL!S288,0))</f>
        <v>Minnesota</v>
      </c>
      <c r="T396" s="398">
        <f>IF(+NFL!$F288="Minnesota",+NFL!T288,IF(+NFL!$H288="Minnesota",+NFL!T288,0))</f>
        <v>0</v>
      </c>
      <c r="U396" s="396" t="str">
        <f>IF(+NFL!$F288="Minnesota",+NFL!U288,IF(+NFL!$H288="Minnesota",+NFL!U288,0))</f>
        <v>L</v>
      </c>
      <c r="V396" s="397" t="e">
        <f>IF(+NFL!$F288="Minnesota",+NFL!#REF!,IF(+NFL!$H288="Minnesota",+NFL!#REF!,0))</f>
        <v>#REF!</v>
      </c>
      <c r="W396" s="396" t="e">
        <f>IF(+NFL!$F288="Minnesota",+NFL!#REF!,IF(+NFL!$H288="Minnesota",+NFL!#REF!,0))</f>
        <v>#REF!</v>
      </c>
      <c r="X396" s="398" t="e">
        <f>IF(+NFL!$F288="Minnesota",+NFL!#REF!,IF(+NFL!$H288="Minnesota",+NFL!#REF!,0))</f>
        <v>#REF!</v>
      </c>
      <c r="Y396" s="396" t="e">
        <f>IF(+NFL!$F288="Minnesota",+NFL!#REF!,IF(+NFL!$H288="Minnesota",+NFL!#REF!,0))</f>
        <v>#REF!</v>
      </c>
      <c r="Z396" s="397" t="e">
        <f>IF(+NFL!$F288="Minnesota",+NFL!#REF!,IF(+NFL!$H288="Minnesota",+NFL!#REF!,0))</f>
        <v>#REF!</v>
      </c>
      <c r="AA396" s="396" t="e">
        <f>IF(+NFL!$F288="Minnesota",+NFL!#REF!,IF(+NFL!$H288="Minnesota",+NFL!#REF!,0))</f>
        <v>#REF!</v>
      </c>
      <c r="AB396" s="87" t="e">
        <f>IF(+NFL!$F288="Minnesota",+NFL!#REF!,IF(+NFL!$H288="Minnesota",+NFL!#REF!,0))</f>
        <v>#REF!</v>
      </c>
      <c r="AC396" s="120" t="e">
        <f>IF(+NFL!$F288="Minnesota",+NFL!#REF!,IF(+NFL!$H288="Minnesota",+NFL!#REF!,0))</f>
        <v>#REF!</v>
      </c>
      <c r="AD396" s="353" t="e">
        <f>IF(+NFL!$F288="Minnesota",+NFL!#REF!,IF(+NFL!$H288="Minnesota",+NFL!#REF!,0))</f>
        <v>#REF!</v>
      </c>
      <c r="AE396" s="379" t="e">
        <f>IF(+NFL!$F288="Minnesota",+NFL!#REF!,IF(+NFL!$H288="Minnesota",+NFL!#REF!,0))</f>
        <v>#REF!</v>
      </c>
      <c r="AF396" s="353" t="e">
        <f>IF(+NFL!$F288="Minnesota",+NFL!#REF!,IF(+NFL!$H288="Minnesota",+NFL!#REF!,0))</f>
        <v>#REF!</v>
      </c>
      <c r="AG396" s="379" t="e">
        <f>IF(+NFL!$F288="Minnesota",+NFL!#REF!,IF(+NFL!$H288="Minnesota",+NFL!#REF!,0))</f>
        <v>#REF!</v>
      </c>
      <c r="AH396" s="353" t="e">
        <f>IF(+NFL!$F288="Minnesota",+NFL!#REF!,IF(+NFL!$H288="Minnesota",+NFL!#REF!,0))</f>
        <v>#REF!</v>
      </c>
      <c r="AI396" s="379" t="e">
        <f>IF(+NFL!$F288="Minnesota",+NFL!#REF!,IF(+NFL!$H288="Minnesota",+NFL!#REF!,0))</f>
        <v>#REF!</v>
      </c>
      <c r="AJ396" s="353" t="e">
        <f>IF(+NFL!$F288="Minnesota",+NFL!#REF!,IF(+NFL!$H288="Minnesota",+NFL!#REF!,0))</f>
        <v>#REF!</v>
      </c>
      <c r="AK396" s="379" t="e">
        <f>IF(+NFL!$F288="Minnesota",+NFL!#REF!,IF(+NFL!$H288="Minnesota",+NFL!#REF!,0))</f>
        <v>#REF!</v>
      </c>
      <c r="AL396" s="68" t="e">
        <f>IF(+NFL!$F288="Minnesota",+NFL!#REF!,IF(+NFL!$H288="Minnesota",+NFL!#REF!,0))</f>
        <v>#REF!</v>
      </c>
      <c r="AM396" s="58" t="e">
        <f>IF(+NFL!$F288="Minnesota",+NFL!#REF!,IF(+NFL!$H288="Minnesota",+NFL!#REF!,0))</f>
        <v>#REF!</v>
      </c>
      <c r="AN396" s="57" t="e">
        <f>IF(+NFL!$F288="Minnesota",+NFL!#REF!,IF(+NFL!$H288="Minnesota",+NFL!#REF!,0))</f>
        <v>#REF!</v>
      </c>
      <c r="AO396" s="59" t="e">
        <f>IF(+NFL!$F288="Minnesota",+NFL!#REF!,IF(+NFL!$H288="Minnesota",+NFL!#REF!,0))</f>
        <v>#REF!</v>
      </c>
      <c r="AP396" s="348"/>
      <c r="AQ396" s="48" t="str">
        <f t="shared" si="0"/>
        <v>NY Giants</v>
      </c>
      <c r="AR396" s="57" t="e">
        <f>IF(+NFL!$F288="Minnesota",+NFL!#REF!,IF(+NFL!$H288="Minnesota",+NFL!#REF!,0))</f>
        <v>#REF!</v>
      </c>
      <c r="AS396" s="64" t="e">
        <f>IF(+NFL!$F288="Minnesota",+NFL!#REF!,IF(+NFL!$H288="Minnesota",+NFL!#REF!,0))</f>
        <v>#REF!</v>
      </c>
      <c r="AT396" s="64" t="e">
        <f>IF(+NFL!$F288="Minnesota",+NFL!#REF!,IF(+NFL!$H288="Minnesota",+NFL!#REF!,0))</f>
        <v>#REF!</v>
      </c>
      <c r="AU396" s="57" t="e">
        <f>IF(+NFL!$F288="Minnesota",+NFL!#REF!,IF(+NFL!$H288="Minnesota",+NFL!#REF!,0))</f>
        <v>#REF!</v>
      </c>
      <c r="AV396" s="64" t="e">
        <f>IF(+NFL!$F288="Minnesota",+NFL!#REF!,IF(+NFL!$H288="Minnesota",+NFL!#REF!,0))</f>
        <v>#REF!</v>
      </c>
      <c r="AW396" s="46" t="e">
        <f>IF(+NFL!$F288="Minnesota",+NFL!#REF!,IF(+NFL!$H288="Minnesota",+NFL!#REF!,0))</f>
        <v>#REF!</v>
      </c>
      <c r="AX396" s="64"/>
      <c r="AY396" s="57" t="e">
        <f>IF(+NFL!$F288="Minnesota",+NFL!#REF!,IF(+NFL!$H288="Minnesota",+NFL!#REF!,0))</f>
        <v>#REF!</v>
      </c>
      <c r="AZ396" s="64" t="e">
        <f>IF(+NFL!$F288="Minnesota",+NFL!#REF!,IF(+NFL!$H288="Minnesota",+NFL!#REF!,0))</f>
        <v>#REF!</v>
      </c>
      <c r="BA396" s="46" t="e">
        <f>IF(+NFL!$F288="Minnesota",+NFL!#REF!,IF(+NFL!$H288="Minnesota",+NFL!#REF!,0))</f>
        <v>#REF!</v>
      </c>
      <c r="BB396" s="46"/>
      <c r="BC396" s="403" t="str">
        <f t="shared" si="1"/>
        <v>Minnesota</v>
      </c>
      <c r="BD396" s="57" t="e">
        <f>IF(+NFL!$F288="Minnesota",+NFL!#REF!,IF(+NFL!$H288="Minnesota",+NFL!#REF!,0))</f>
        <v>#REF!</v>
      </c>
      <c r="BE396" s="64" t="e">
        <f>IF(+NFL!$F288="Minnesota",+NFL!#REF!,IF(+NFL!$H288="Minnesota",+NFL!#REF!,0))</f>
        <v>#REF!</v>
      </c>
      <c r="BF396" s="46" t="e">
        <f>IF(+NFL!$F288="Minnesota",+NFL!#REF!,IF(+NFL!$H288="Minnesota",+NFL!#REF!,0))</f>
        <v>#REF!</v>
      </c>
      <c r="BG396" s="57" t="e">
        <f>IF(+NFL!$F288="Minnesota",+NFL!#REF!,IF(+NFL!$H288="Minnesota",+NFL!#REF!,0))</f>
        <v>#REF!</v>
      </c>
      <c r="BH396" s="64" t="e">
        <f>IF(+NFL!$F288="Minnesota",+NFL!#REF!,IF(+NFL!$H288="Minnesota",+NFL!#REF!,0))</f>
        <v>#REF!</v>
      </c>
      <c r="BI396" s="46" t="e">
        <f>IF(+NFL!$F288="Minnesota",+NFL!#REF!,IF(+NFL!$H288="Minnesota",+NFL!#REF!,0))</f>
        <v>#REF!</v>
      </c>
      <c r="BJ396" s="87" t="e">
        <f>IF(+NFL!$F288="Minnesota",+NFL!#REF!,IF(+NFL!$H288="Minnesota",+NFL!#REF!,0))</f>
        <v>#REF!</v>
      </c>
      <c r="BK396" s="120" t="e">
        <f>IF(+NFL!$F288="Minnesota",+NFL!#REF!,IF(+NFL!$H288="Minnesota",+NFL!#REF!,0))</f>
        <v>#REF!</v>
      </c>
    </row>
    <row r="397" spans="1:63" s="246" customFormat="1" x14ac:dyDescent="0.8">
      <c r="A397" s="46">
        <f>IF(+NFL!$F313="Minnesota",+NFL!A313,IF(+NFL!$H313="Minnesota",+NFL!A313,0))</f>
        <v>17</v>
      </c>
      <c r="B397" s="348" t="str">
        <f>IF(+NFL!$F313="Minnesota",+NFL!B313,IF(+NFL!$H313="Minnesota",+NFL!B313,0))</f>
        <v>Sun</v>
      </c>
      <c r="C397" s="48">
        <f>IF(+NFL!$F313="Minnesota",+NFL!C313,IF(+NFL!$H313="Minnesota",+NFL!C313,0))</f>
        <v>44927</v>
      </c>
      <c r="D397" s="490">
        <f>IF(+NFL!$F313="Minnesota",+NFL!D313,IF(+NFL!$H313="Minnesota",+NFL!D313,0))</f>
        <v>0.66666666666666663</v>
      </c>
      <c r="E397" s="46" t="str">
        <f>IF(+NFL!$F313="Minnesota",+NFL!E313,IF(+NFL!$H313="Minnesota",+NFL!E313,0))</f>
        <v>Fox</v>
      </c>
      <c r="F397" s="127" t="str">
        <f>IF(+NFL!$F313="Minnesota",+NFL!F313,IF(+NFL!$H313="Minnesota",+NFL!F313,0))</f>
        <v>Minnesota</v>
      </c>
      <c r="G397" s="46" t="str">
        <f>IF(+NFL!$F313="Minnesota",+NFL!G313,IF(+NFL!$H313="Minnesota",+NFL!G313,0))</f>
        <v>NFCN</v>
      </c>
      <c r="H397" s="127" t="str">
        <f>IF(+NFL!$F313="Minnesota",+NFL!H313,IF(+NFL!$H313="Minnesota",+NFL!H313,0))</f>
        <v>Green Bay</v>
      </c>
      <c r="I397" s="46" t="str">
        <f>IF(+NFL!$F313="Minnesota",+NFL!I313,IF(+NFL!$H313="Minnesota",+NFL!I313,0))</f>
        <v>NFCN</v>
      </c>
      <c r="J397" s="353" t="str">
        <f>IF(+NFL!$F313="Minnesota",+NFL!J313,IF(+NFL!$H313="Minnesota",+NFL!J313,0))</f>
        <v>Green Bay</v>
      </c>
      <c r="K397" s="494" t="str">
        <f>IF(+NFL!$F313="Minnesota",+NFL!K313,IF(+NFL!$H313="Minnesota",+NFL!K313,0))</f>
        <v>Minnesota</v>
      </c>
      <c r="L397" s="384">
        <f>IF(+NFL!$F313="Minnesota",+NFL!L313,IF(+NFL!$H313="Minnesota",+NFL!L313,0))</f>
        <v>3.5</v>
      </c>
      <c r="M397" s="385">
        <f>IF(+NFL!$F313="Minnesota",+NFL!M313,IF(+NFL!$H313="Minnesota",+NFL!M313,0))</f>
        <v>48.5</v>
      </c>
      <c r="N397" s="394" t="str">
        <f>IF(+NFL!$F313="Minnesota",+NFL!N313,IF(+NFL!$H313="Minnesota",+NFL!N313,0))</f>
        <v>Green Bay</v>
      </c>
      <c r="O397" s="395">
        <f>IF(+NFL!$F313="Minnesota",+NFL!O313,IF(+NFL!$H313="Minnesota",+NFL!O313,0))</f>
        <v>41</v>
      </c>
      <c r="P397" s="394" t="str">
        <f>IF(+NFL!$F313="Minnesota",+NFL!P313,IF(+NFL!$H313="Minnesota",+NFL!P313,0))</f>
        <v>Minnesota</v>
      </c>
      <c r="Q397" s="396">
        <f>IF(+NFL!$F313="Minnesota",+NFL!Q313,IF(+NFL!$H313="Minnesota",+NFL!Q313,0))</f>
        <v>17</v>
      </c>
      <c r="R397" s="397" t="str">
        <f>IF(+NFL!$F313="Minnesota",+NFL!R313,IF(+NFL!$H313="Minnesota",+NFL!R313,0))</f>
        <v>Green Bay</v>
      </c>
      <c r="S397" s="396" t="str">
        <f>IF(+NFL!$F313="Minnesota",+NFL!S313,IF(+NFL!$H313="Minnesota",+NFL!S313,0))</f>
        <v>Minnesota</v>
      </c>
      <c r="T397" s="398">
        <f>IF(+NFL!$F313="Minnesota",+NFL!T313,IF(+NFL!$H313="Minnesota",+NFL!T313,0))</f>
        <v>0</v>
      </c>
      <c r="U397" s="396" t="str">
        <f>IF(+NFL!$F313="Minnesota",+NFL!U313,IF(+NFL!$H313="Minnesota",+NFL!U313,0))</f>
        <v>L</v>
      </c>
      <c r="V397" s="397">
        <f>IF(+NFL!$F314="Minnesota",+NFL!#REF!,IF(+NFL!$H314="Minnesota",+NFL!#REF!,0))</f>
        <v>0</v>
      </c>
      <c r="W397" s="396">
        <f>IF(+NFL!$F314="Minnesota",+NFL!#REF!,IF(+NFL!$H314="Minnesota",+NFL!#REF!,0))</f>
        <v>0</v>
      </c>
      <c r="X397" s="398">
        <f>IF(+NFL!$F314="Minnesota",+NFL!#REF!,IF(+NFL!$H314="Minnesota",+NFL!#REF!,0))</f>
        <v>0</v>
      </c>
      <c r="Y397" s="396">
        <f>IF(+NFL!$F314="Minnesota",+NFL!#REF!,IF(+NFL!$H314="Minnesota",+NFL!#REF!,0))</f>
        <v>0</v>
      </c>
      <c r="Z397" s="397">
        <f>IF(+NFL!$F314="Minnesota",+NFL!#REF!,IF(+NFL!$H314="Minnesota",+NFL!#REF!,0))</f>
        <v>0</v>
      </c>
      <c r="AA397" s="396">
        <f>IF(+NFL!$F314="Minnesota",+NFL!#REF!,IF(+NFL!$H314="Minnesota",+NFL!#REF!,0))</f>
        <v>0</v>
      </c>
      <c r="AB397" s="87">
        <f>IF(+NFL!$F314="Minnesota",+NFL!#REF!,IF(+NFL!$H314="Minnesota",+NFL!#REF!,0))</f>
        <v>0</v>
      </c>
      <c r="AC397" s="120">
        <f>IF(+NFL!$F314="Minnesota",+NFL!#REF!,IF(+NFL!$H314="Minnesota",+NFL!#REF!,0))</f>
        <v>0</v>
      </c>
      <c r="AD397" s="353">
        <f>IF(+NFL!$F314="Minnesota",+NFL!#REF!,IF(+NFL!$H314="Minnesota",+NFL!#REF!,0))</f>
        <v>0</v>
      </c>
      <c r="AE397" s="379">
        <f>IF(+NFL!$F314="Minnesota",+NFL!#REF!,IF(+NFL!$H314="Minnesota",+NFL!#REF!,0))</f>
        <v>0</v>
      </c>
      <c r="AF397" s="353">
        <f>IF(+NFL!$F314="Minnesota",+NFL!#REF!,IF(+NFL!$H314="Minnesota",+NFL!#REF!,0))</f>
        <v>0</v>
      </c>
      <c r="AG397" s="379">
        <f>IF(+NFL!$F314="Minnesota",+NFL!#REF!,IF(+NFL!$H314="Minnesota",+NFL!#REF!,0))</f>
        <v>0</v>
      </c>
      <c r="AH397" s="353">
        <f>IF(+NFL!$F314="Minnesota",+NFL!#REF!,IF(+NFL!$H314="Minnesota",+NFL!#REF!,0))</f>
        <v>0</v>
      </c>
      <c r="AI397" s="379">
        <f>IF(+NFL!$F314="Minnesota",+NFL!#REF!,IF(+NFL!$H314="Minnesota",+NFL!#REF!,0))</f>
        <v>0</v>
      </c>
      <c r="AJ397" s="353">
        <f>IF(+NFL!$F314="Minnesota",+NFL!#REF!,IF(+NFL!$H314="Minnesota",+NFL!#REF!,0))</f>
        <v>0</v>
      </c>
      <c r="AK397" s="379">
        <f>IF(+NFL!$F314="Minnesota",+NFL!#REF!,IF(+NFL!$H314="Minnesota",+NFL!#REF!,0))</f>
        <v>0</v>
      </c>
      <c r="AL397" s="68">
        <f>IF(+NFL!$F314="Minnesota",+NFL!#REF!,IF(+NFL!$H314="Minnesota",+NFL!#REF!,0))</f>
        <v>0</v>
      </c>
      <c r="AM397" s="58">
        <f>IF(+NFL!$F314="Minnesota",+NFL!#REF!,IF(+NFL!$H314="Minnesota",+NFL!#REF!,0))</f>
        <v>0</v>
      </c>
      <c r="AN397" s="57">
        <f>IF(+NFL!$F314="Minnesota",+NFL!#REF!,IF(+NFL!$H314="Minnesota",+NFL!#REF!,0))</f>
        <v>0</v>
      </c>
      <c r="AO397" s="59">
        <f>IF(+NFL!$F314="Minnesota",+NFL!#REF!,IF(+NFL!$H314="Minnesota",+NFL!#REF!,0))</f>
        <v>0</v>
      </c>
      <c r="AP397" s="348"/>
      <c r="AQ397" s="48" t="str">
        <f t="shared" si="0"/>
        <v>Minnesota</v>
      </c>
      <c r="AR397" s="57">
        <f>IF(+NFL!$F314="Minnesota",+NFL!#REF!,IF(+NFL!$H314="Minnesota",+NFL!#REF!,0))</f>
        <v>0</v>
      </c>
      <c r="AS397" s="64">
        <f>IF(+NFL!$F314="Minnesota",+NFL!#REF!,IF(+NFL!$H314="Minnesota",+NFL!#REF!,0))</f>
        <v>0</v>
      </c>
      <c r="AT397" s="64">
        <f>IF(+NFL!$F314="Minnesota",+NFL!#REF!,IF(+NFL!$H314="Minnesota",+NFL!#REF!,0))</f>
        <v>0</v>
      </c>
      <c r="AU397" s="57">
        <f>IF(+NFL!$F314="Minnesota",+NFL!#REF!,IF(+NFL!$H314="Minnesota",+NFL!#REF!,0))</f>
        <v>0</v>
      </c>
      <c r="AV397" s="64">
        <f>IF(+NFL!$F314="Minnesota",+NFL!#REF!,IF(+NFL!$H314="Minnesota",+NFL!#REF!,0))</f>
        <v>0</v>
      </c>
      <c r="AW397" s="46">
        <f>IF(+NFL!$F314="Minnesota",+NFL!#REF!,IF(+NFL!$H314="Minnesota",+NFL!#REF!,0))</f>
        <v>0</v>
      </c>
      <c r="AX397" s="64"/>
      <c r="AY397" s="57">
        <f>IF(+NFL!$F314="Minnesota",+NFL!#REF!,IF(+NFL!$H314="Minnesota",+NFL!#REF!,0))</f>
        <v>0</v>
      </c>
      <c r="AZ397" s="64">
        <f>IF(+NFL!$F314="Minnesota",+NFL!#REF!,IF(+NFL!$H314="Minnesota",+NFL!#REF!,0))</f>
        <v>0</v>
      </c>
      <c r="BA397" s="46">
        <f>IF(+NFL!$F314="Minnesota",+NFL!#REF!,IF(+NFL!$H314="Minnesota",+NFL!#REF!,0))</f>
        <v>0</v>
      </c>
      <c r="BB397" s="46"/>
      <c r="BC397" s="403" t="str">
        <f t="shared" si="1"/>
        <v>Green Bay</v>
      </c>
      <c r="BD397" s="57">
        <f>IF(+NFL!$F314="Minnesota",+NFL!#REF!,IF(+NFL!$H314="Minnesota",+NFL!#REF!,0))</f>
        <v>0</v>
      </c>
      <c r="BE397" s="64">
        <f>IF(+NFL!$F314="Minnesota",+NFL!#REF!,IF(+NFL!$H314="Minnesota",+NFL!#REF!,0))</f>
        <v>0</v>
      </c>
      <c r="BF397" s="46">
        <f>IF(+NFL!$F314="Minnesota",+NFL!#REF!,IF(+NFL!$H314="Minnesota",+NFL!#REF!,0))</f>
        <v>0</v>
      </c>
      <c r="BG397" s="57">
        <f>IF(+NFL!$F314="Minnesota",+NFL!#REF!,IF(+NFL!$H314="Minnesota",+NFL!#REF!,0))</f>
        <v>0</v>
      </c>
      <c r="BH397" s="64">
        <f>IF(+NFL!$F314="Minnesota",+NFL!#REF!,IF(+NFL!$H314="Minnesota",+NFL!#REF!,0))</f>
        <v>0</v>
      </c>
      <c r="BI397" s="46">
        <f>IF(+NFL!$F314="Minnesota",+NFL!#REF!,IF(+NFL!$H314="Minnesota",+NFL!#REF!,0))</f>
        <v>0</v>
      </c>
      <c r="BJ397" s="87">
        <f>IF(+NFL!$F314="Minnesota",+NFL!#REF!,IF(+NFL!$H314="Minnesota",+NFL!#REF!,0))</f>
        <v>0</v>
      </c>
      <c r="BK397" s="120">
        <f>IF(+NFL!$F314="Minnesota",+NFL!#REF!,IF(+NFL!$H314="Minnesota",+NFL!#REF!,0))</f>
        <v>0</v>
      </c>
    </row>
    <row r="398" spans="1:63" s="246" customFormat="1" x14ac:dyDescent="0.8">
      <c r="A398" s="46">
        <f>IF(+NFL!$F318="Minnesota",+NFL!A318,IF(+NFL!$H318="Minnesota",+NFL!A318,0))</f>
        <v>0</v>
      </c>
      <c r="B398" s="348">
        <f>IF(+NFL!$F318="Minnesota",+NFL!B318,IF(+NFL!$H318="Minnesota",+NFL!B318,0))</f>
        <v>0</v>
      </c>
      <c r="C398" s="48">
        <f>IF(+NFL!$F318="Minnesota",+NFL!C318,IF(+NFL!$H318="Minnesota",+NFL!C318,0))</f>
        <v>0</v>
      </c>
      <c r="D398" s="490">
        <f>IF(+NFL!$F318="Minnesota",+NFL!D318,IF(+NFL!$H318="Minnesota",+NFL!D318,0))</f>
        <v>0</v>
      </c>
      <c r="E398" s="46">
        <f>IF(+NFL!$F318="Minnesota",+NFL!E318,IF(+NFL!$H318="Minnesota",+NFL!E318,0))</f>
        <v>0</v>
      </c>
      <c r="F398" s="127">
        <f>IF(+NFL!$F318="Minnesota",+NFL!F318,IF(+NFL!$H318="Minnesota",+NFL!F318,0))</f>
        <v>0</v>
      </c>
      <c r="G398" s="46">
        <f>IF(+NFL!$F318="Minnesota",+NFL!G318,IF(+NFL!$H318="Minnesota",+NFL!G318,0))</f>
        <v>0</v>
      </c>
      <c r="H398" s="127">
        <f>IF(+NFL!$F318="Minnesota",+NFL!H318,IF(+NFL!$H318="Minnesota",+NFL!H318,0))</f>
        <v>0</v>
      </c>
      <c r="I398" s="46">
        <f>IF(+NFL!$F318="Minnesota",+NFL!I318,IF(+NFL!$H318="Minnesota",+NFL!I318,0))</f>
        <v>0</v>
      </c>
      <c r="J398" s="353">
        <f>IF(+NFL!$F318="Minnesota",+NFL!J318,IF(+NFL!$H318="Minnesota",+NFL!J318,0))</f>
        <v>0</v>
      </c>
      <c r="K398" s="494">
        <f>IF(+NFL!$F318="Minnesota",+NFL!K318,IF(+NFL!$H318="Minnesota",+NFL!K318,0))</f>
        <v>0</v>
      </c>
      <c r="L398" s="384">
        <f>IF(+NFL!$F318="Minnesota",+NFL!L318,IF(+NFL!$H318="Minnesota",+NFL!L318,0))</f>
        <v>0</v>
      </c>
      <c r="M398" s="385">
        <f>IF(+NFL!$F318="Minnesota",+NFL!M318,IF(+NFL!$H318="Minnesota",+NFL!M318,0))</f>
        <v>0</v>
      </c>
      <c r="N398" s="394">
        <f>IF(+NFL!$F318="Minnesota",+NFL!N318,IF(+NFL!$H318="Minnesota",+NFL!N318,0))</f>
        <v>0</v>
      </c>
      <c r="O398" s="395">
        <f>IF(+NFL!$F318="Minnesota",+NFL!O318,IF(+NFL!$H318="Minnesota",+NFL!O318,0))</f>
        <v>0</v>
      </c>
      <c r="P398" s="394">
        <f>IF(+NFL!$F318="Minnesota",+NFL!P318,IF(+NFL!$H318="Minnesota",+NFL!P318,0))</f>
        <v>0</v>
      </c>
      <c r="Q398" s="396">
        <f>IF(+NFL!$F318="Minnesota",+NFL!Q318,IF(+NFL!$H318="Minnesota",+NFL!Q318,0))</f>
        <v>0</v>
      </c>
      <c r="R398" s="397">
        <f>IF(+NFL!$F318="Minnesota",+NFL!R318,IF(+NFL!$H318="Minnesota",+NFL!R318,0))</f>
        <v>0</v>
      </c>
      <c r="S398" s="396">
        <f>IF(+NFL!$F318="Minnesota",+NFL!S318,IF(+NFL!$H318="Minnesota",+NFL!S318,0))</f>
        <v>0</v>
      </c>
      <c r="T398" s="398">
        <f>IF(+NFL!$F318="Minnesota",+NFL!T318,IF(+NFL!$H318="Minnesota",+NFL!T318,0))</f>
        <v>0</v>
      </c>
      <c r="U398" s="396">
        <f>IF(+NFL!$F318="Minnesota",+NFL!U318,IF(+NFL!$H318="Minnesota",+NFL!U318,0))</f>
        <v>0</v>
      </c>
      <c r="V398" s="397">
        <f>IF(+NFL!$F333="Minnesota",+NFL!#REF!,IF(+NFL!$H333="Minnesota",+NFL!#REF!,0))</f>
        <v>0</v>
      </c>
      <c r="W398" s="396">
        <f>IF(+NFL!$F333="Minnesota",+NFL!#REF!,IF(+NFL!$H333="Minnesota",+NFL!#REF!,0))</f>
        <v>0</v>
      </c>
      <c r="X398" s="398">
        <f>IF(+NFL!$F333="Minnesota",+NFL!#REF!,IF(+NFL!$H333="Minnesota",+NFL!#REF!,0))</f>
        <v>0</v>
      </c>
      <c r="Y398" s="396">
        <f>IF(+NFL!$F333="Minnesota",+NFL!#REF!,IF(+NFL!$H333="Minnesota",+NFL!#REF!,0))</f>
        <v>0</v>
      </c>
      <c r="Z398" s="397">
        <f>IF(+NFL!$F333="Minnesota",+NFL!#REF!,IF(+NFL!$H333="Minnesota",+NFL!#REF!,0))</f>
        <v>0</v>
      </c>
      <c r="AA398" s="396">
        <f>IF(+NFL!$F333="Minnesota",+NFL!#REF!,IF(+NFL!$H333="Minnesota",+NFL!#REF!,0))</f>
        <v>0</v>
      </c>
      <c r="AB398" s="87">
        <f>IF(+NFL!$F333="Minnesota",+NFL!#REF!,IF(+NFL!$H333="Minnesota",+NFL!#REF!,0))</f>
        <v>0</v>
      </c>
      <c r="AC398" s="120">
        <f>IF(+NFL!$F333="Minnesota",+NFL!#REF!,IF(+NFL!$H333="Minnesota",+NFL!#REF!,0))</f>
        <v>0</v>
      </c>
      <c r="AD398" s="353">
        <f>IF(+NFL!$F333="Minnesota",+NFL!#REF!,IF(+NFL!$H333="Minnesota",+NFL!#REF!,0))</f>
        <v>0</v>
      </c>
      <c r="AE398" s="379">
        <f>IF(+NFL!$F333="Minnesota",+NFL!#REF!,IF(+NFL!$H333="Minnesota",+NFL!#REF!,0))</f>
        <v>0</v>
      </c>
      <c r="AF398" s="353">
        <f>IF(+NFL!$F333="Minnesota",+NFL!#REF!,IF(+NFL!$H333="Minnesota",+NFL!#REF!,0))</f>
        <v>0</v>
      </c>
      <c r="AG398" s="379">
        <f>IF(+NFL!$F333="Minnesota",+NFL!#REF!,IF(+NFL!$H333="Minnesota",+NFL!#REF!,0))</f>
        <v>0</v>
      </c>
      <c r="AH398" s="353">
        <f>IF(+NFL!$F333="Minnesota",+NFL!#REF!,IF(+NFL!$H333="Minnesota",+NFL!#REF!,0))</f>
        <v>0</v>
      </c>
      <c r="AI398" s="379">
        <f>IF(+NFL!$F333="Minnesota",+NFL!#REF!,IF(+NFL!$H333="Minnesota",+NFL!#REF!,0))</f>
        <v>0</v>
      </c>
      <c r="AJ398" s="353">
        <f>IF(+NFL!$F333="Minnesota",+NFL!#REF!,IF(+NFL!$H333="Minnesota",+NFL!#REF!,0))</f>
        <v>0</v>
      </c>
      <c r="AK398" s="379">
        <f>IF(+NFL!$F333="Minnesota",+NFL!#REF!,IF(+NFL!$H333="Minnesota",+NFL!#REF!,0))</f>
        <v>0</v>
      </c>
      <c r="AL398" s="68">
        <f>IF(+NFL!$F333="Minnesota",+NFL!#REF!,IF(+NFL!$H333="Minnesota",+NFL!#REF!,0))</f>
        <v>0</v>
      </c>
      <c r="AM398" s="58">
        <f>IF(+NFL!$F333="Minnesota",+NFL!#REF!,IF(+NFL!$H333="Minnesota",+NFL!#REF!,0))</f>
        <v>0</v>
      </c>
      <c r="AN398" s="57">
        <f>IF(+NFL!$F333="Minnesota",+NFL!#REF!,IF(+NFL!$H333="Minnesota",+NFL!#REF!,0))</f>
        <v>0</v>
      </c>
      <c r="AO398" s="59">
        <f>IF(+NFL!$F333="Minnesota",+NFL!#REF!,IF(+NFL!$H333="Minnesota",+NFL!#REF!,0))</f>
        <v>0</v>
      </c>
      <c r="AP398" s="348"/>
      <c r="AQ398" s="48">
        <f t="shared" si="0"/>
        <v>0</v>
      </c>
      <c r="AR398" s="57">
        <f>IF(+NFL!$F333="Minnesota",+NFL!#REF!,IF(+NFL!$H333="Minnesota",+NFL!#REF!,0))</f>
        <v>0</v>
      </c>
      <c r="AS398" s="64">
        <f>IF(+NFL!$F333="Minnesota",+NFL!#REF!,IF(+NFL!$H333="Minnesota",+NFL!#REF!,0))</f>
        <v>0</v>
      </c>
      <c r="AT398" s="64">
        <f>IF(+NFL!$F333="Minnesota",+NFL!#REF!,IF(+NFL!$H333="Minnesota",+NFL!#REF!,0))</f>
        <v>0</v>
      </c>
      <c r="AU398" s="57">
        <f>IF(+NFL!$F333="Minnesota",+NFL!#REF!,IF(+NFL!$H333="Minnesota",+NFL!#REF!,0))</f>
        <v>0</v>
      </c>
      <c r="AV398" s="64">
        <f>IF(+NFL!$F333="Minnesota",+NFL!#REF!,IF(+NFL!$H333="Minnesota",+NFL!#REF!,0))</f>
        <v>0</v>
      </c>
      <c r="AW398" s="46">
        <f>IF(+NFL!$F333="Minnesota",+NFL!#REF!,IF(+NFL!$H333="Minnesota",+NFL!#REF!,0))</f>
        <v>0</v>
      </c>
      <c r="AX398" s="64"/>
      <c r="AY398" s="57">
        <f>IF(+NFL!$F333="Minnesota",+NFL!#REF!,IF(+NFL!$H333="Minnesota",+NFL!#REF!,0))</f>
        <v>0</v>
      </c>
      <c r="AZ398" s="64">
        <f>IF(+NFL!$F333="Minnesota",+NFL!#REF!,IF(+NFL!$H333="Minnesota",+NFL!#REF!,0))</f>
        <v>0</v>
      </c>
      <c r="BA398" s="46">
        <f>IF(+NFL!$F333="Minnesota",+NFL!#REF!,IF(+NFL!$H333="Minnesota",+NFL!#REF!,0))</f>
        <v>0</v>
      </c>
      <c r="BB398" s="46"/>
      <c r="BC398" s="403">
        <f t="shared" si="1"/>
        <v>0</v>
      </c>
      <c r="BD398" s="57">
        <f>IF(+NFL!$F333="Minnesota",+NFL!#REF!,IF(+NFL!$H333="Minnesota",+NFL!#REF!,0))</f>
        <v>0</v>
      </c>
      <c r="BE398" s="64">
        <f>IF(+NFL!$F333="Minnesota",+NFL!#REF!,IF(+NFL!$H333="Minnesota",+NFL!#REF!,0))</f>
        <v>0</v>
      </c>
      <c r="BF398" s="46">
        <f>IF(+NFL!$F333="Minnesota",+NFL!#REF!,IF(+NFL!$H333="Minnesota",+NFL!#REF!,0))</f>
        <v>0</v>
      </c>
      <c r="BG398" s="57">
        <f>IF(+NFL!$F333="Minnesota",+NFL!#REF!,IF(+NFL!$H333="Minnesota",+NFL!#REF!,0))</f>
        <v>0</v>
      </c>
      <c r="BH398" s="64">
        <f>IF(+NFL!$F333="Minnesota",+NFL!#REF!,IF(+NFL!$H333="Minnesota",+NFL!#REF!,0))</f>
        <v>0</v>
      </c>
      <c r="BI398" s="46">
        <f>IF(+NFL!$F333="Minnesota",+NFL!#REF!,IF(+NFL!$H333="Minnesota",+NFL!#REF!,0))</f>
        <v>0</v>
      </c>
      <c r="BJ398" s="87">
        <f>IF(+NFL!$F333="Minnesota",+NFL!#REF!,IF(+NFL!$H333="Minnesota",+NFL!#REF!,0))</f>
        <v>0</v>
      </c>
      <c r="BK398" s="120">
        <f>IF(+NFL!$F333="Minnesota",+NFL!#REF!,IF(+NFL!$H333="Minnesota",+NFL!#REF!,0))</f>
        <v>0</v>
      </c>
    </row>
    <row r="399" spans="1:63" s="246" customFormat="1" x14ac:dyDescent="0.8">
      <c r="A399" s="46"/>
      <c r="B399" s="47"/>
      <c r="C399" s="48"/>
      <c r="D399" s="49"/>
      <c r="E399" s="46"/>
      <c r="F399" s="959" t="str">
        <f>F400</f>
        <v>New England</v>
      </c>
      <c r="G399" s="960"/>
      <c r="H399" s="960"/>
      <c r="I399" s="961"/>
      <c r="J399" s="353"/>
      <c r="K399" s="364"/>
      <c r="L399" s="384"/>
      <c r="M399" s="385"/>
      <c r="N399" s="394"/>
      <c r="O399" s="395"/>
      <c r="P399" s="394"/>
      <c r="Q399" s="396"/>
      <c r="R399" s="397"/>
      <c r="S399" s="396"/>
      <c r="T399" s="398"/>
      <c r="U399" s="396"/>
      <c r="V399" s="397"/>
      <c r="W399" s="396"/>
      <c r="X399" s="398"/>
      <c r="Y399" s="396"/>
      <c r="Z399" s="397"/>
      <c r="AA399" s="396"/>
      <c r="AB399" s="87"/>
      <c r="AC399" s="120"/>
      <c r="AD399" s="353"/>
      <c r="AE399" s="379"/>
      <c r="AF399" s="353"/>
      <c r="AG399" s="379"/>
      <c r="AH399" s="353"/>
      <c r="AI399" s="379"/>
      <c r="AJ399" s="353"/>
      <c r="AK399" s="379"/>
      <c r="AL399" s="68"/>
      <c r="AM399" s="58"/>
      <c r="AN399" s="57"/>
      <c r="AO399" s="59"/>
      <c r="AP399" s="47"/>
      <c r="AQ399" s="47"/>
      <c r="AR399" s="57"/>
      <c r="AS399" s="64"/>
      <c r="AT399" s="64"/>
      <c r="AU399" s="57"/>
      <c r="AV399" s="64"/>
      <c r="AW399" s="46"/>
      <c r="AX399" s="64"/>
      <c r="AY399" s="57"/>
      <c r="AZ399" s="64"/>
      <c r="BA399" s="46"/>
      <c r="BB399" s="46"/>
      <c r="BC399" s="47"/>
      <c r="BD399" s="57"/>
      <c r="BE399" s="64"/>
      <c r="BF399" s="46"/>
      <c r="BG399" s="57"/>
      <c r="BH399" s="64"/>
      <c r="BI399" s="46"/>
      <c r="BJ399" s="87"/>
      <c r="BK399" s="120"/>
    </row>
    <row r="400" spans="1:63" s="246" customFormat="1" x14ac:dyDescent="0.8">
      <c r="A400" s="46">
        <f>IF(+NFL!$F9="New England",+NFL!A9,IF(+NFL!$H9="New England",+NFL!A9,0))</f>
        <v>1</v>
      </c>
      <c r="B400" s="348" t="str">
        <f>IF(+NFL!$F9="New England",+NFL!B9,IF(+NFL!$H9="New England",+NFL!B9,0))</f>
        <v>Sun</v>
      </c>
      <c r="C400" s="48">
        <f>IF(+NFL!$F9="New England",+NFL!C9,IF(+NFL!$H9="New England",+NFL!C9,0))</f>
        <v>44815</v>
      </c>
      <c r="D400" s="490">
        <f>IF(+NFL!$F9="New England",+NFL!D9,IF(+NFL!$H9="New England",+NFL!D9,0))</f>
        <v>0.54166666666666663</v>
      </c>
      <c r="E400" s="46" t="str">
        <f>IF(+NFL!$F9="New England",+NFL!E9,IF(+NFL!$H9="New England",+NFL!E9,0))</f>
        <v>CBS</v>
      </c>
      <c r="F400" s="127" t="str">
        <f>IF(+NFL!$F9="New England",+NFL!F9,IF(+NFL!$H9="New England",+NFL!F9,0))</f>
        <v>New England</v>
      </c>
      <c r="G400" s="46" t="str">
        <f>IF(+NFL!$F9="New England",+NFL!G9,IF(+NFL!$H9="New England",+NFL!G9,0))</f>
        <v>AFCE</v>
      </c>
      <c r="H400" s="127" t="str">
        <f>IF(+NFL!$F9="New England",+NFL!H9,IF(+NFL!$H9="New England",+NFL!H9,0))</f>
        <v>Miami</v>
      </c>
      <c r="I400" s="46" t="str">
        <f>IF(+NFL!$F9="New England",+NFL!I9,IF(+NFL!$H9="New England",+NFL!I9,0))</f>
        <v>AFCE</v>
      </c>
      <c r="J400" s="353" t="str">
        <f>IF(+NFL!$F9="New England",+NFL!J9,IF(+NFL!$H9="New England",+NFL!J9,0))</f>
        <v>Miami</v>
      </c>
      <c r="K400" s="494" t="str">
        <f>IF(+NFL!$F9="New England",+NFL!K9,IF(+NFL!$H9="New England",+NFL!K9,0))</f>
        <v>New England</v>
      </c>
      <c r="L400" s="384">
        <f>IF(+NFL!$F9="New England",+NFL!L9,IF(+NFL!$H9="New England",+NFL!L9,0))</f>
        <v>3.5</v>
      </c>
      <c r="M400" s="385">
        <f>IF(+NFL!$F9="New England",+NFL!M9,IF(+NFL!$H9="New England",+NFL!M9,0))</f>
        <v>46.5</v>
      </c>
      <c r="N400" s="394" t="str">
        <f>IF(+NFL!$F9="New England",+NFL!N9,IF(+NFL!$H9="New England",+NFL!N9,0))</f>
        <v>Miami</v>
      </c>
      <c r="O400" s="395">
        <f>IF(+NFL!$F9="New England",+NFL!O9,IF(+NFL!$H9="New England",+NFL!O9,0))</f>
        <v>20</v>
      </c>
      <c r="P400" s="394" t="str">
        <f>IF(+NFL!$F9="New England",+NFL!P9,IF(+NFL!$H9="New England",+NFL!P9,0))</f>
        <v>New England</v>
      </c>
      <c r="Q400" s="396">
        <f>IF(+NFL!$F9="New England",+NFL!Q9,IF(+NFL!$H9="New England",+NFL!Q9,0))</f>
        <v>7</v>
      </c>
      <c r="R400" s="397" t="str">
        <f>IF(+NFL!$F9="New England",+NFL!R9,IF(+NFL!$H9="New England",+NFL!R9,0))</f>
        <v>Miami</v>
      </c>
      <c r="S400" s="396" t="str">
        <f>IF(+NFL!$F9="New England",+NFL!S9,IF(+NFL!$H9="New England",+NFL!S9,0))</f>
        <v>New England</v>
      </c>
      <c r="T400" s="398" t="str">
        <f>IF(+NFL!$F9="New England",+NFL!T9,IF(+NFL!$H9="New England",+NFL!T9,0))</f>
        <v>New England</v>
      </c>
      <c r="U400" s="396" t="str">
        <f>IF(+NFL!$F9="New England",+NFL!U9,IF(+NFL!$H9="New England",+NFL!U9,0))</f>
        <v>L</v>
      </c>
      <c r="V400" s="397"/>
      <c r="W400" s="396"/>
      <c r="X400" s="398"/>
      <c r="Y400" s="396"/>
      <c r="Z400" s="397"/>
      <c r="AA400" s="396"/>
      <c r="AB400" s="87"/>
      <c r="AC400" s="120"/>
      <c r="AD400" s="353"/>
      <c r="AE400" s="379"/>
      <c r="AF400" s="353"/>
      <c r="AG400" s="379"/>
      <c r="AH400" s="353"/>
      <c r="AI400" s="379"/>
      <c r="AJ400" s="353"/>
      <c r="AK400" s="379"/>
      <c r="AL400" s="68"/>
      <c r="AM400" s="58"/>
      <c r="AN400" s="57"/>
      <c r="AO400" s="59"/>
      <c r="AP400" s="348"/>
      <c r="AQ400" s="48"/>
      <c r="AR400" s="57"/>
      <c r="AS400" s="493"/>
      <c r="AT400" s="493"/>
      <c r="AU400" s="57"/>
      <c r="AV400" s="493"/>
      <c r="AW400" s="46"/>
      <c r="AX400" s="493"/>
      <c r="AY400" s="57"/>
      <c r="AZ400" s="493"/>
      <c r="BA400" s="46"/>
      <c r="BB400" s="46"/>
      <c r="BC400" s="403"/>
      <c r="BD400" s="57"/>
      <c r="BE400" s="493"/>
      <c r="BF400" s="46"/>
      <c r="BG400" s="57"/>
      <c r="BH400" s="493"/>
      <c r="BI400" s="46"/>
      <c r="BJ400" s="87"/>
      <c r="BK400" s="120"/>
    </row>
    <row r="401" spans="1:63" s="246" customFormat="1" x14ac:dyDescent="0.8">
      <c r="A401" s="46">
        <f>IF(+NFL!$F26="New England",+NFL!A26,IF(+NFL!$H26="New England",+NFL!A26,0))</f>
        <v>2</v>
      </c>
      <c r="B401" s="348" t="str">
        <f>IF(+NFL!$F26="New England",+NFL!B26,IF(+NFL!$H26="New England",+NFL!B26,0))</f>
        <v>Sun</v>
      </c>
      <c r="C401" s="48">
        <f>IF(+NFL!$F26="New England",+NFL!C26,IF(+NFL!$H26="New England",+NFL!C26,0))</f>
        <v>44822</v>
      </c>
      <c r="D401" s="490">
        <f>IF(+NFL!$F26="New England",+NFL!D26,IF(+NFL!$H26="New England",+NFL!D26,0))</f>
        <v>0.54166666666666663</v>
      </c>
      <c r="E401" s="46" t="str">
        <f>IF(+NFL!$F26="New England",+NFL!E26,IF(+NFL!$H26="New England",+NFL!E26,0))</f>
        <v>CBS</v>
      </c>
      <c r="F401" s="127" t="str">
        <f>IF(+NFL!$F26="New England",+NFL!F26,IF(+NFL!$H26="New England",+NFL!F26,0))</f>
        <v>New England</v>
      </c>
      <c r="G401" s="46" t="str">
        <f>IF(+NFL!$F26="New England",+NFL!G26,IF(+NFL!$H26="New England",+NFL!G26,0))</f>
        <v>AFCE</v>
      </c>
      <c r="H401" s="127" t="str">
        <f>IF(+NFL!$F26="New England",+NFL!H26,IF(+NFL!$H26="New England",+NFL!H26,0))</f>
        <v>Pittsburgh</v>
      </c>
      <c r="I401" s="46" t="str">
        <f>IF(+NFL!$F26="New England",+NFL!I26,IF(+NFL!$H26="New England",+NFL!I26,0))</f>
        <v>AFCN</v>
      </c>
      <c r="J401" s="353" t="str">
        <f>IF(+NFL!$F26="New England",+NFL!J26,IF(+NFL!$H26="New England",+NFL!J26,0))</f>
        <v>New England</v>
      </c>
      <c r="K401" s="494" t="str">
        <f>IF(+NFL!$F26="New England",+NFL!K26,IF(+NFL!$H26="New England",+NFL!K26,0))</f>
        <v>Pittsburgh</v>
      </c>
      <c r="L401" s="384">
        <f>IF(+NFL!$F26="New England",+NFL!L26,IF(+NFL!$H26="New England",+NFL!L26,0))</f>
        <v>1</v>
      </c>
      <c r="M401" s="385">
        <f>IF(+NFL!$F26="New England",+NFL!M26,IF(+NFL!$H26="New England",+NFL!M26,0))</f>
        <v>40</v>
      </c>
      <c r="N401" s="394" t="str">
        <f>IF(+NFL!$F26="New England",+NFL!N26,IF(+NFL!$H26="New England",+NFL!N26,0))</f>
        <v>New England</v>
      </c>
      <c r="O401" s="395">
        <f>IF(+NFL!$F26="New England",+NFL!O26,IF(+NFL!$H26="New England",+NFL!O26,0))</f>
        <v>17</v>
      </c>
      <c r="P401" s="394" t="str">
        <f>IF(+NFL!$F26="New England",+NFL!P26,IF(+NFL!$H26="New England",+NFL!P26,0))</f>
        <v>Pittsburgh</v>
      </c>
      <c r="Q401" s="396">
        <f>IF(+NFL!$F26="New England",+NFL!Q26,IF(+NFL!$H26="New England",+NFL!Q26,0))</f>
        <v>14</v>
      </c>
      <c r="R401" s="397" t="str">
        <f>IF(+NFL!$F26="New England",+NFL!R26,IF(+NFL!$H26="New England",+NFL!R26,0))</f>
        <v>New England</v>
      </c>
      <c r="S401" s="396" t="str">
        <f>IF(+NFL!$F26="New England",+NFL!S26,IF(+NFL!$H26="New England",+NFL!S26,0))</f>
        <v>Pittsburgh</v>
      </c>
      <c r="T401" s="398" t="str">
        <f>IF(+NFL!$F26="New England",+NFL!T26,IF(+NFL!$H26="New England",+NFL!T26,0))</f>
        <v>New England</v>
      </c>
      <c r="U401" s="396" t="str">
        <f>IF(+NFL!$F26="New England",+NFL!U26,IF(+NFL!$H26="New England",+NFL!U26,0))</f>
        <v>W</v>
      </c>
      <c r="V401" s="397"/>
      <c r="W401" s="396"/>
      <c r="X401" s="398"/>
      <c r="Y401" s="396"/>
      <c r="Z401" s="397"/>
      <c r="AA401" s="396"/>
      <c r="AB401" s="87"/>
      <c r="AC401" s="120"/>
      <c r="AD401" s="353"/>
      <c r="AE401" s="379"/>
      <c r="AF401" s="353"/>
      <c r="AG401" s="379"/>
      <c r="AH401" s="353"/>
      <c r="AI401" s="379"/>
      <c r="AJ401" s="353"/>
      <c r="AK401" s="379"/>
      <c r="AL401" s="68"/>
      <c r="AM401" s="58"/>
      <c r="AN401" s="57"/>
      <c r="AO401" s="59"/>
      <c r="AP401" s="348"/>
      <c r="AQ401" s="48"/>
      <c r="AR401" s="57"/>
      <c r="AS401" s="493"/>
      <c r="AT401" s="493"/>
      <c r="AU401" s="57"/>
      <c r="AV401" s="493"/>
      <c r="AW401" s="46"/>
      <c r="AX401" s="493"/>
      <c r="AY401" s="57"/>
      <c r="AZ401" s="493"/>
      <c r="BA401" s="46"/>
      <c r="BB401" s="46"/>
      <c r="BC401" s="403"/>
      <c r="BD401" s="57"/>
      <c r="BE401" s="493"/>
      <c r="BF401" s="46"/>
      <c r="BG401" s="57"/>
      <c r="BH401" s="493"/>
      <c r="BI401" s="46"/>
      <c r="BJ401" s="87"/>
      <c r="BK401" s="120"/>
    </row>
    <row r="402" spans="1:63" s="246" customFormat="1" x14ac:dyDescent="0.8">
      <c r="A402" s="46">
        <f>IF(+NFL!$F44="New England",+NFL!A44,IF(+NFL!$H44="New England",+NFL!A44,0))</f>
        <v>3</v>
      </c>
      <c r="B402" s="348" t="str">
        <f>IF(+NFL!$F44="New England",+NFL!B44,IF(+NFL!$H44="New England",+NFL!B44,0))</f>
        <v>Sun</v>
      </c>
      <c r="C402" s="48">
        <f>IF(+NFL!$F44="New England",+NFL!C44,IF(+NFL!$H44="New England",+NFL!C44,0))</f>
        <v>44829</v>
      </c>
      <c r="D402" s="490">
        <f>IF(+NFL!$F44="New England",+NFL!D44,IF(+NFL!$H44="New England",+NFL!D44,0))</f>
        <v>0.54166666666666663</v>
      </c>
      <c r="E402" s="46" t="str">
        <f>IF(+NFL!$F44="New England",+NFL!E44,IF(+NFL!$H44="New England",+NFL!E44,0))</f>
        <v>CBS</v>
      </c>
      <c r="F402" s="127" t="str">
        <f>IF(+NFL!$F44="New England",+NFL!F44,IF(+NFL!$H44="New England",+NFL!F44,0))</f>
        <v>Baltimore</v>
      </c>
      <c r="G402" s="46" t="str">
        <f>IF(+NFL!$F44="New England",+NFL!G44,IF(+NFL!$H44="New England",+NFL!G44,0))</f>
        <v>AFCN</v>
      </c>
      <c r="H402" s="127" t="str">
        <f>IF(+NFL!$F44="New England",+NFL!H44,IF(+NFL!$H44="New England",+NFL!H44,0))</f>
        <v>New England</v>
      </c>
      <c r="I402" s="46" t="str">
        <f>IF(+NFL!$F44="New England",+NFL!I44,IF(+NFL!$H44="New England",+NFL!I44,0))</f>
        <v>AFCE</v>
      </c>
      <c r="J402" s="353" t="str">
        <f>IF(+NFL!$F44="New England",+NFL!J44,IF(+NFL!$H44="New England",+NFL!J44,0))</f>
        <v>Baltimore</v>
      </c>
      <c r="K402" s="494" t="str">
        <f>IF(+NFL!$F44="New England",+NFL!K44,IF(+NFL!$H44="New England",+NFL!K44,0))</f>
        <v>New England</v>
      </c>
      <c r="L402" s="384">
        <f>IF(+NFL!$F44="New England",+NFL!L44,IF(+NFL!$H44="New England",+NFL!L44,0))</f>
        <v>3</v>
      </c>
      <c r="M402" s="385">
        <f>IF(+NFL!$F44="New England",+NFL!M44,IF(+NFL!$H44="New England",+NFL!M44,0))</f>
        <v>43.5</v>
      </c>
      <c r="N402" s="394" t="str">
        <f>IF(+NFL!$F44="New England",+NFL!N44,IF(+NFL!$H44="New England",+NFL!N44,0))</f>
        <v>Baltimore</v>
      </c>
      <c r="O402" s="395">
        <f>IF(+NFL!$F44="New England",+NFL!O44,IF(+NFL!$H44="New England",+NFL!O44,0))</f>
        <v>37</v>
      </c>
      <c r="P402" s="394" t="str">
        <f>IF(+NFL!$F44="New England",+NFL!P44,IF(+NFL!$H44="New England",+NFL!P44,0))</f>
        <v>New England</v>
      </c>
      <c r="Q402" s="396">
        <f>IF(+NFL!$F44="New England",+NFL!Q44,IF(+NFL!$H44="New England",+NFL!Q44,0))</f>
        <v>26</v>
      </c>
      <c r="R402" s="397" t="str">
        <f>IF(+NFL!$F44="New England",+NFL!R44,IF(+NFL!$H44="New England",+NFL!R44,0))</f>
        <v>Baltimore</v>
      </c>
      <c r="S402" s="396" t="str">
        <f>IF(+NFL!$F44="New England",+NFL!S44,IF(+NFL!$H44="New England",+NFL!S44,0))</f>
        <v>New England</v>
      </c>
      <c r="T402" s="398" t="str">
        <f>IF(+NFL!$F44="New England",+NFL!T44,IF(+NFL!$H44="New England",+NFL!T44,0))</f>
        <v>Baltimore</v>
      </c>
      <c r="U402" s="396" t="str">
        <f>IF(+NFL!$F44="New England",+NFL!U44,IF(+NFL!$H44="New England",+NFL!U44,0))</f>
        <v>W</v>
      </c>
      <c r="V402" s="397"/>
      <c r="W402" s="396"/>
      <c r="X402" s="398"/>
      <c r="Y402" s="396"/>
      <c r="Z402" s="397"/>
      <c r="AA402" s="396"/>
      <c r="AB402" s="87"/>
      <c r="AC402" s="120"/>
      <c r="AD402" s="353"/>
      <c r="AE402" s="379"/>
      <c r="AF402" s="353"/>
      <c r="AG402" s="379"/>
      <c r="AH402" s="353"/>
      <c r="AI402" s="379"/>
      <c r="AJ402" s="353"/>
      <c r="AK402" s="379"/>
      <c r="AL402" s="68"/>
      <c r="AM402" s="58"/>
      <c r="AN402" s="57"/>
      <c r="AO402" s="59"/>
      <c r="AP402" s="348"/>
      <c r="AQ402" s="48"/>
      <c r="AR402" s="57"/>
      <c r="AS402" s="493"/>
      <c r="AT402" s="493"/>
      <c r="AU402" s="57"/>
      <c r="AV402" s="493"/>
      <c r="AW402" s="46"/>
      <c r="AX402" s="493"/>
      <c r="AY402" s="57"/>
      <c r="AZ402" s="493"/>
      <c r="BA402" s="46"/>
      <c r="BB402" s="46"/>
      <c r="BC402" s="403"/>
      <c r="BD402" s="57"/>
      <c r="BE402" s="493"/>
      <c r="BF402" s="46"/>
      <c r="BG402" s="57"/>
      <c r="BH402" s="493"/>
      <c r="BI402" s="46"/>
      <c r="BJ402" s="87"/>
      <c r="BK402" s="120"/>
    </row>
    <row r="403" spans="1:63" s="246" customFormat="1" x14ac:dyDescent="0.8">
      <c r="A403" s="46">
        <f>IF(+NFL!$F67="New England",+NFL!A67,IF(+NFL!$H67="New England",+NFL!A67,0))</f>
        <v>4</v>
      </c>
      <c r="B403" s="348" t="str">
        <f>IF(+NFL!$F67="New England",+NFL!B67,IF(+NFL!$H67="New England",+NFL!B67,0))</f>
        <v>Sun</v>
      </c>
      <c r="C403" s="48">
        <f>IF(+NFL!$F67="New England",+NFL!C67,IF(+NFL!$H67="New England",+NFL!C67,0))</f>
        <v>44836</v>
      </c>
      <c r="D403" s="490">
        <f>IF(+NFL!$F67="New England",+NFL!D67,IF(+NFL!$H67="New England",+NFL!D67,0))</f>
        <v>0.66666666666666663</v>
      </c>
      <c r="E403" s="46" t="str">
        <f>IF(+NFL!$F67="New England",+NFL!E67,IF(+NFL!$H67="New England",+NFL!E67,0))</f>
        <v>CBS</v>
      </c>
      <c r="F403" s="127" t="str">
        <f>IF(+NFL!$F67="New England",+NFL!F67,IF(+NFL!$H67="New England",+NFL!F67,0))</f>
        <v>New England</v>
      </c>
      <c r="G403" s="46" t="str">
        <f>IF(+NFL!$F67="New England",+NFL!G67,IF(+NFL!$H67="New England",+NFL!G67,0))</f>
        <v>AFCE</v>
      </c>
      <c r="H403" s="127" t="str">
        <f>IF(+NFL!$F67="New England",+NFL!H67,IF(+NFL!$H67="New England",+NFL!H67,0))</f>
        <v>Green Bay</v>
      </c>
      <c r="I403" s="46" t="str">
        <f>IF(+NFL!$F67="New England",+NFL!I67,IF(+NFL!$H67="New England",+NFL!I67,0))</f>
        <v>NFCN</v>
      </c>
      <c r="J403" s="353" t="str">
        <f>IF(+NFL!$F67="New England",+NFL!J67,IF(+NFL!$H67="New England",+NFL!J67,0))</f>
        <v>Green Bay</v>
      </c>
      <c r="K403" s="494" t="str">
        <f>IF(+NFL!$F67="New England",+NFL!K67,IF(+NFL!$H67="New England",+NFL!K67,0))</f>
        <v>New England</v>
      </c>
      <c r="L403" s="384">
        <f>IF(+NFL!$F67="New England",+NFL!L67,IF(+NFL!$H67="New England",+NFL!L67,0))</f>
        <v>10.5</v>
      </c>
      <c r="M403" s="385">
        <f>IF(+NFL!$F67="New England",+NFL!M67,IF(+NFL!$H67="New England",+NFL!M67,0))</f>
        <v>40.5</v>
      </c>
      <c r="N403" s="394" t="str">
        <f>IF(+NFL!$F67="New England",+NFL!N67,IF(+NFL!$H67="New England",+NFL!N67,0))</f>
        <v>Green Bay</v>
      </c>
      <c r="O403" s="395">
        <f>IF(+NFL!$F67="New England",+NFL!O67,IF(+NFL!$H67="New England",+NFL!O67,0))</f>
        <v>27</v>
      </c>
      <c r="P403" s="394" t="str">
        <f>IF(+NFL!$F67="New England",+NFL!P67,IF(+NFL!$H67="New England",+NFL!P67,0))</f>
        <v>New England</v>
      </c>
      <c r="Q403" s="396">
        <f>IF(+NFL!$F67="New England",+NFL!Q67,IF(+NFL!$H67="New England",+NFL!Q67,0))</f>
        <v>24</v>
      </c>
      <c r="R403" s="397" t="str">
        <f>IF(+NFL!$F67="New England",+NFL!R67,IF(+NFL!$H67="New England",+NFL!R67,0))</f>
        <v>New England</v>
      </c>
      <c r="S403" s="396" t="str">
        <f>IF(+NFL!$F67="New England",+NFL!S67,IF(+NFL!$H67="New England",+NFL!S67,0))</f>
        <v>Green Bay</v>
      </c>
      <c r="T403" s="398" t="str">
        <f>IF(+NFL!$F67="New England",+NFL!T67,IF(+NFL!$H67="New England",+NFL!T67,0))</f>
        <v>New England</v>
      </c>
      <c r="U403" s="396" t="str">
        <f>IF(+NFL!$F67="New England",+NFL!U67,IF(+NFL!$H67="New England",+NFL!U67,0))</f>
        <v>W</v>
      </c>
      <c r="V403" s="397"/>
      <c r="W403" s="396"/>
      <c r="X403" s="398"/>
      <c r="Y403" s="396"/>
      <c r="Z403" s="397"/>
      <c r="AA403" s="396"/>
      <c r="AB403" s="87"/>
      <c r="AC403" s="120"/>
      <c r="AD403" s="353"/>
      <c r="AE403" s="379"/>
      <c r="AF403" s="353"/>
      <c r="AG403" s="379"/>
      <c r="AH403" s="353"/>
      <c r="AI403" s="379"/>
      <c r="AJ403" s="353"/>
      <c r="AK403" s="379"/>
      <c r="AL403" s="68"/>
      <c r="AM403" s="58"/>
      <c r="AN403" s="57"/>
      <c r="AO403" s="59"/>
      <c r="AP403" s="348"/>
      <c r="AQ403" s="48"/>
      <c r="AR403" s="57"/>
      <c r="AS403" s="64"/>
      <c r="AT403" s="64"/>
      <c r="AU403" s="57"/>
      <c r="AV403" s="64"/>
      <c r="AW403" s="46"/>
      <c r="AX403" s="64"/>
      <c r="AY403" s="57"/>
      <c r="AZ403" s="64"/>
      <c r="BA403" s="46"/>
      <c r="BB403" s="46"/>
      <c r="BC403" s="403"/>
      <c r="BD403" s="57"/>
      <c r="BE403" s="64"/>
      <c r="BF403" s="46"/>
      <c r="BG403" s="57"/>
      <c r="BH403" s="64"/>
      <c r="BI403" s="46"/>
      <c r="BJ403" s="87"/>
      <c r="BK403" s="120"/>
    </row>
    <row r="404" spans="1:63" s="246" customFormat="1" x14ac:dyDescent="0.8">
      <c r="A404" s="46">
        <f>IF(+NFL!$F77="New England",+NFL!A77,IF(+NFL!$H77="New England",+NFL!A77,0))</f>
        <v>5</v>
      </c>
      <c r="B404" s="348" t="str">
        <f>IF(+NFL!$F77="New England",+NFL!B77,IF(+NFL!$H77="New England",+NFL!B77,0))</f>
        <v>Sun</v>
      </c>
      <c r="C404" s="48">
        <f>IF(+NFL!$F77="New England",+NFL!C77,IF(+NFL!$H77="New England",+NFL!C77,0))</f>
        <v>44843</v>
      </c>
      <c r="D404" s="490">
        <f>IF(+NFL!$F77="New England",+NFL!D77,IF(+NFL!$H77="New England",+NFL!D77,0))</f>
        <v>0.54166666666666663</v>
      </c>
      <c r="E404" s="46" t="str">
        <f>IF(+NFL!$F77="New England",+NFL!E77,IF(+NFL!$H77="New England",+NFL!E77,0))</f>
        <v>Fox</v>
      </c>
      <c r="F404" s="127" t="str">
        <f>IF(+NFL!$F77="New England",+NFL!F77,IF(+NFL!$H77="New England",+NFL!F77,0))</f>
        <v>Detroit</v>
      </c>
      <c r="G404" s="46" t="str">
        <f>IF(+NFL!$F77="New England",+NFL!G77,IF(+NFL!$H77="New England",+NFL!G77,0))</f>
        <v>NFCN</v>
      </c>
      <c r="H404" s="127" t="str">
        <f>IF(+NFL!$F77="New England",+NFL!H77,IF(+NFL!$H77="New England",+NFL!H77,0))</f>
        <v>New England</v>
      </c>
      <c r="I404" s="46" t="str">
        <f>IF(+NFL!$F77="New England",+NFL!I77,IF(+NFL!$H77="New England",+NFL!I77,0))</f>
        <v>AFCE</v>
      </c>
      <c r="J404" s="353" t="str">
        <f>IF(+NFL!$F77="New England",+NFL!J77,IF(+NFL!$H77="New England",+NFL!J77,0))</f>
        <v>New England</v>
      </c>
      <c r="K404" s="494" t="str">
        <f>IF(+NFL!$F77="New England",+NFL!K77,IF(+NFL!$H77="New England",+NFL!K77,0))</f>
        <v>Detroit</v>
      </c>
      <c r="L404" s="384">
        <f>IF(+NFL!$F77="New England",+NFL!L77,IF(+NFL!$H77="New England",+NFL!L77,0))</f>
        <v>3</v>
      </c>
      <c r="M404" s="385">
        <f>IF(+NFL!$F77="New England",+NFL!M77,IF(+NFL!$H77="New England",+NFL!M77,0))</f>
        <v>46.5</v>
      </c>
      <c r="N404" s="394" t="str">
        <f>IF(+NFL!$F77="New England",+NFL!N77,IF(+NFL!$H77="New England",+NFL!N77,0))</f>
        <v>New England</v>
      </c>
      <c r="O404" s="395">
        <f>IF(+NFL!$F77="New England",+NFL!O77,IF(+NFL!$H77="New England",+NFL!O77,0))</f>
        <v>29</v>
      </c>
      <c r="P404" s="394" t="str">
        <f>IF(+NFL!$F77="New England",+NFL!P77,IF(+NFL!$H77="New England",+NFL!P77,0))</f>
        <v>Detroit</v>
      </c>
      <c r="Q404" s="396">
        <f>IF(+NFL!$F77="New England",+NFL!Q77,IF(+NFL!$H77="New England",+NFL!Q77,0))</f>
        <v>0</v>
      </c>
      <c r="R404" s="397" t="str">
        <f>IF(+NFL!$F77="New England",+NFL!R77,IF(+NFL!$H77="New England",+NFL!R77,0))</f>
        <v>New England</v>
      </c>
      <c r="S404" s="396" t="str">
        <f>IF(+NFL!$F77="New England",+NFL!S77,IF(+NFL!$H77="New England",+NFL!S77,0))</f>
        <v>Detroit</v>
      </c>
      <c r="T404" s="398" t="str">
        <f>IF(+NFL!$F77="New England",+NFL!T77,IF(+NFL!$H77="New England",+NFL!T77,0))</f>
        <v>Detroit</v>
      </c>
      <c r="U404" s="396" t="str">
        <f>IF(+NFL!$F77="New England",+NFL!U77,IF(+NFL!$H77="New England",+NFL!U77,0))</f>
        <v>L</v>
      </c>
      <c r="V404" s="397">
        <f>IF(+NFL!$F32="New England",+NFL!#REF!,IF(+NFL!$H32="New England",+NFL!#REF!,0))</f>
        <v>0</v>
      </c>
      <c r="W404" s="396">
        <f>IF(+NFL!$F32="New England",+NFL!#REF!,IF(+NFL!$H32="New England",+NFL!#REF!,0))</f>
        <v>0</v>
      </c>
      <c r="X404" s="398">
        <f>IF(+NFL!$F32="New England",+NFL!#REF!,IF(+NFL!$H32="New England",+NFL!#REF!,0))</f>
        <v>0</v>
      </c>
      <c r="Y404" s="396">
        <f>IF(+NFL!$F32="New England",+NFL!#REF!,IF(+NFL!$H32="New England",+NFL!#REF!,0))</f>
        <v>0</v>
      </c>
      <c r="Z404" s="397">
        <f>IF(+NFL!$F32="New England",+NFL!#REF!,IF(+NFL!$H32="New England",+NFL!#REF!,0))</f>
        <v>0</v>
      </c>
      <c r="AA404" s="396">
        <f>IF(+NFL!$F32="New England",+NFL!#REF!,IF(+NFL!$H32="New England",+NFL!#REF!,0))</f>
        <v>0</v>
      </c>
      <c r="AB404" s="87">
        <f>IF(+NFL!$F32="New England",+NFL!#REF!,IF(+NFL!$H32="New England",+NFL!#REF!,0))</f>
        <v>0</v>
      </c>
      <c r="AC404" s="120">
        <f>IF(+NFL!$F32="New England",+NFL!#REF!,IF(+NFL!$H32="New England",+NFL!#REF!,0))</f>
        <v>0</v>
      </c>
      <c r="AD404" s="353">
        <f>IF(+NFL!$F32="New England",+NFL!#REF!,IF(+NFL!$H32="New England",+NFL!#REF!,0))</f>
        <v>0</v>
      </c>
      <c r="AE404" s="379">
        <f>IF(+NFL!$F32="New England",+NFL!#REF!,IF(+NFL!$H32="New England",+NFL!#REF!,0))</f>
        <v>0</v>
      </c>
      <c r="AF404" s="353">
        <f>IF(+NFL!$F32="New England",+NFL!#REF!,IF(+NFL!$H32="New England",+NFL!#REF!,0))</f>
        <v>0</v>
      </c>
      <c r="AG404" s="379">
        <f>IF(+NFL!$F32="New England",+NFL!#REF!,IF(+NFL!$H32="New England",+NFL!#REF!,0))</f>
        <v>0</v>
      </c>
      <c r="AH404" s="353">
        <f>IF(+NFL!$F32="New England",+NFL!#REF!,IF(+NFL!$H32="New England",+NFL!#REF!,0))</f>
        <v>0</v>
      </c>
      <c r="AI404" s="379">
        <f>IF(+NFL!$F32="New England",+NFL!#REF!,IF(+NFL!$H32="New England",+NFL!#REF!,0))</f>
        <v>0</v>
      </c>
      <c r="AJ404" s="353">
        <f>IF(+NFL!$F32="New England",+NFL!#REF!,IF(+NFL!$H32="New England",+NFL!#REF!,0))</f>
        <v>0</v>
      </c>
      <c r="AK404" s="379">
        <f>IF(+NFL!$F32="New England",+NFL!#REF!,IF(+NFL!$H32="New England",+NFL!#REF!,0))</f>
        <v>0</v>
      </c>
      <c r="AL404" s="68">
        <f>IF(+NFL!$F32="New England",+NFL!#REF!,IF(+NFL!$H32="New England",+NFL!#REF!,0))</f>
        <v>0</v>
      </c>
      <c r="AM404" s="58">
        <f>IF(+NFL!$F32="New England",+NFL!#REF!,IF(+NFL!$H32="New England",+NFL!#REF!,0))</f>
        <v>0</v>
      </c>
      <c r="AN404" s="57">
        <f>IF(+NFL!$F32="New England",+NFL!#REF!,IF(+NFL!$H32="New England",+NFL!#REF!,0))</f>
        <v>0</v>
      </c>
      <c r="AO404" s="59">
        <f>IF(+NFL!$F32="New England",+NFL!#REF!,IF(+NFL!$H32="New England",+NFL!#REF!,0))</f>
        <v>0</v>
      </c>
      <c r="AP404" s="348">
        <f>IF(+NFL!$F32="New England",+NFL!#REF!,IF(+NFL!$H32="New England",+NFL!#REF!,0))</f>
        <v>0</v>
      </c>
      <c r="AQ404" s="48">
        <f>IF(+NFL!$F32="New England",+NFL!#REF!,IF(+NFL!$H32="New England",+NFL!#REF!,0))</f>
        <v>0</v>
      </c>
      <c r="AR404" s="57">
        <f>IF(+NFL!$F32="New England",+NFL!#REF!,IF(+NFL!$H32="New England",+NFL!#REF!,0))</f>
        <v>0</v>
      </c>
      <c r="AS404" s="64">
        <f>IF(+NFL!$F32="New England",+NFL!#REF!,IF(+NFL!$H32="New England",+NFL!#REF!,0))</f>
        <v>0</v>
      </c>
      <c r="AT404" s="64">
        <f>IF(+NFL!$F32="New England",+NFL!#REF!,IF(+NFL!$H32="New England",+NFL!#REF!,0))</f>
        <v>0</v>
      </c>
      <c r="AU404" s="57">
        <f>IF(+NFL!$F32="New England",+NFL!#REF!,IF(+NFL!$H32="New England",+NFL!#REF!,0))</f>
        <v>0</v>
      </c>
      <c r="AV404" s="64">
        <f>IF(+NFL!$F32="New England",+NFL!#REF!,IF(+NFL!$H32="New England",+NFL!#REF!,0))</f>
        <v>0</v>
      </c>
      <c r="AW404" s="46">
        <f>IF(+NFL!$F32="New England",+NFL!#REF!,IF(+NFL!$H32="New England",+NFL!#REF!,0))</f>
        <v>0</v>
      </c>
      <c r="AX404" s="64">
        <f>IF(+NFL!$F32="New England",+NFL!#REF!,IF(+NFL!$H32="New England",+NFL!#REF!,0))</f>
        <v>0</v>
      </c>
      <c r="AY404" s="57">
        <f>IF(+NFL!$F32="New England",+NFL!#REF!,IF(+NFL!$H32="New England",+NFL!#REF!,0))</f>
        <v>0</v>
      </c>
      <c r="AZ404" s="64">
        <f>IF(+NFL!$F32="New England",+NFL!#REF!,IF(+NFL!$H32="New England",+NFL!#REF!,0))</f>
        <v>0</v>
      </c>
      <c r="BA404" s="46">
        <f>IF(+NFL!$F32="New England",+NFL!#REF!,IF(+NFL!$H32="New England",+NFL!#REF!,0))</f>
        <v>0</v>
      </c>
      <c r="BB404" s="46">
        <f>IF(+NFL!$F32="New England",+NFL!#REF!,IF(+NFL!$H32="New England",+NFL!#REF!,0))</f>
        <v>0</v>
      </c>
      <c r="BC404" s="403">
        <f>IF(+NFL!$F32="New England",+NFL!#REF!,IF(+NFL!$H32="New England",+NFL!#REF!,0))</f>
        <v>0</v>
      </c>
      <c r="BD404" s="57">
        <f>IF(+NFL!$F32="New England",+NFL!#REF!,IF(+NFL!$H32="New England",+NFL!#REF!,0))</f>
        <v>0</v>
      </c>
      <c r="BE404" s="64">
        <f>IF(+NFL!$F32="New England",+NFL!#REF!,IF(+NFL!$H32="New England",+NFL!#REF!,0))</f>
        <v>0</v>
      </c>
      <c r="BF404" s="46">
        <f>IF(+NFL!$F32="New England",+NFL!#REF!,IF(+NFL!$H32="New England",+NFL!#REF!,0))</f>
        <v>0</v>
      </c>
      <c r="BG404" s="57">
        <f>IF(+NFL!$F32="New England",+NFL!#REF!,IF(+NFL!$H32="New England",+NFL!#REF!,0))</f>
        <v>0</v>
      </c>
      <c r="BH404" s="64">
        <f>IF(+NFL!$F32="New England",+NFL!#REF!,IF(+NFL!$H32="New England",+NFL!#REF!,0))</f>
        <v>0</v>
      </c>
      <c r="BI404" s="46">
        <f>IF(+NFL!$F32="New England",+NFL!#REF!,IF(+NFL!$H32="New England",+NFL!#REF!,0))</f>
        <v>0</v>
      </c>
      <c r="BJ404" s="87">
        <f>IF(+NFL!$F32="New England",+NFL!#REF!,IF(+NFL!$H32="New England",+NFL!#REF!,0))</f>
        <v>0</v>
      </c>
      <c r="BK404" s="120">
        <f>IF(+NFL!$F32="New England",+NFL!#REF!,IF(+NFL!$H32="New England",+NFL!#REF!,0))</f>
        <v>0</v>
      </c>
    </row>
    <row r="405" spans="1:63" s="246" customFormat="1" x14ac:dyDescent="0.8">
      <c r="A405" s="46">
        <f>IF(+NFL!$F91="New England",+NFL!A91,IF(+NFL!$H91="New England",+NFL!A91,0))</f>
        <v>6</v>
      </c>
      <c r="B405" s="348" t="str">
        <f>IF(+NFL!$F91="New England",+NFL!B91,IF(+NFL!$H91="New England",+NFL!B91,0))</f>
        <v>Sun</v>
      </c>
      <c r="C405" s="48">
        <f>IF(+NFL!$F91="New England",+NFL!C91,IF(+NFL!$H91="New England",+NFL!C91,0))</f>
        <v>44850</v>
      </c>
      <c r="D405" s="490">
        <f>IF(+NFL!$F91="New England",+NFL!D91,IF(+NFL!$H91="New England",+NFL!D91,0))</f>
        <v>0.54166666666666663</v>
      </c>
      <c r="E405" s="46" t="str">
        <f>IF(+NFL!$F91="New England",+NFL!E91,IF(+NFL!$H91="New England",+NFL!E91,0))</f>
        <v>CBS</v>
      </c>
      <c r="F405" s="127" t="str">
        <f>IF(+NFL!$F91="New England",+NFL!F91,IF(+NFL!$H91="New England",+NFL!F91,0))</f>
        <v>New England</v>
      </c>
      <c r="G405" s="46" t="str">
        <f>IF(+NFL!$F91="New England",+NFL!G91,IF(+NFL!$H91="New England",+NFL!G91,0))</f>
        <v>AFCE</v>
      </c>
      <c r="H405" s="127" t="str">
        <f>IF(+NFL!$F91="New England",+NFL!H91,IF(+NFL!$H91="New England",+NFL!H91,0))</f>
        <v>Cleveland</v>
      </c>
      <c r="I405" s="46" t="str">
        <f>IF(+NFL!$F91="New England",+NFL!I91,IF(+NFL!$H91="New England",+NFL!I91,0))</f>
        <v>AFCN</v>
      </c>
      <c r="J405" s="353" t="str">
        <f>IF(+NFL!$F91="New England",+NFL!J91,IF(+NFL!$H91="New England",+NFL!J91,0))</f>
        <v>Cleveland</v>
      </c>
      <c r="K405" s="494" t="str">
        <f>IF(+NFL!$F91="New England",+NFL!K91,IF(+NFL!$H91="New England",+NFL!K91,0))</f>
        <v>New England</v>
      </c>
      <c r="L405" s="384">
        <f>IF(+NFL!$F91="New England",+NFL!L91,IF(+NFL!$H91="New England",+NFL!L91,0))</f>
        <v>2.5</v>
      </c>
      <c r="M405" s="385">
        <f>IF(+NFL!$F91="New England",+NFL!M91,IF(+NFL!$H91="New England",+NFL!M91,0))</f>
        <v>43.5</v>
      </c>
      <c r="N405" s="394" t="str">
        <f>IF(+NFL!$F91="New England",+NFL!N91,IF(+NFL!$H91="New England",+NFL!N91,0))</f>
        <v>New England</v>
      </c>
      <c r="O405" s="395">
        <f>IF(+NFL!$F91="New England",+NFL!O91,IF(+NFL!$H91="New England",+NFL!O91,0))</f>
        <v>38</v>
      </c>
      <c r="P405" s="394" t="str">
        <f>IF(+NFL!$F91="New England",+NFL!P91,IF(+NFL!$H91="New England",+NFL!P91,0))</f>
        <v>Cleveland</v>
      </c>
      <c r="Q405" s="396">
        <f>IF(+NFL!$F91="New England",+NFL!Q91,IF(+NFL!$H91="New England",+NFL!Q91,0))</f>
        <v>15</v>
      </c>
      <c r="R405" s="397" t="str">
        <f>IF(+NFL!$F91="New England",+NFL!R91,IF(+NFL!$H91="New England",+NFL!R91,0))</f>
        <v>New England</v>
      </c>
      <c r="S405" s="396" t="str">
        <f>IF(+NFL!$F91="New England",+NFL!S91,IF(+NFL!$H91="New England",+NFL!S91,0))</f>
        <v>Cleveland</v>
      </c>
      <c r="T405" s="398" t="str">
        <f>IF(+NFL!$F91="New England",+NFL!T91,IF(+NFL!$H91="New England",+NFL!T91,0))</f>
        <v>Cleveland</v>
      </c>
      <c r="U405" s="396" t="str">
        <f>IF(+NFL!$F91="New England",+NFL!U91,IF(+NFL!$H91="New England",+NFL!U91,0))</f>
        <v>L</v>
      </c>
      <c r="V405" s="397">
        <f>IF(+NFL!$F55="New England",+NFL!#REF!,IF(+NFL!$H55="New England",+NFL!#REF!,0))</f>
        <v>0</v>
      </c>
      <c r="W405" s="396">
        <f>IF(+NFL!$F55="New England",+NFL!#REF!,IF(+NFL!$H55="New England",+NFL!#REF!,0))</f>
        <v>0</v>
      </c>
      <c r="X405" s="398">
        <f>IF(+NFL!$F55="New England",+NFL!#REF!,IF(+NFL!$H55="New England",+NFL!#REF!,0))</f>
        <v>0</v>
      </c>
      <c r="Y405" s="396">
        <f>IF(+NFL!$F55="New England",+NFL!#REF!,IF(+NFL!$H55="New England",+NFL!#REF!,0))</f>
        <v>0</v>
      </c>
      <c r="Z405" s="397">
        <f>IF(+NFL!$F55="New England",+NFL!#REF!,IF(+NFL!$H55="New England",+NFL!#REF!,0))</f>
        <v>0</v>
      </c>
      <c r="AA405" s="396">
        <f>IF(+NFL!$F55="New England",+NFL!#REF!,IF(+NFL!$H55="New England",+NFL!#REF!,0))</f>
        <v>0</v>
      </c>
      <c r="AB405" s="87">
        <f>IF(+NFL!$F55="New England",+NFL!#REF!,IF(+NFL!$H55="New England",+NFL!#REF!,0))</f>
        <v>0</v>
      </c>
      <c r="AC405" s="120">
        <f>IF(+NFL!$F55="New England",+NFL!#REF!,IF(+NFL!$H55="New England",+NFL!#REF!,0))</f>
        <v>0</v>
      </c>
      <c r="AD405" s="353">
        <f>IF(+NFL!$F55="New England",+NFL!#REF!,IF(+NFL!$H55="New England",+NFL!#REF!,0))</f>
        <v>0</v>
      </c>
      <c r="AE405" s="379">
        <f>IF(+NFL!$F55="New England",+NFL!#REF!,IF(+NFL!$H55="New England",+NFL!#REF!,0))</f>
        <v>0</v>
      </c>
      <c r="AF405" s="353">
        <f>IF(+NFL!$F55="New England",+NFL!#REF!,IF(+NFL!$H55="New England",+NFL!#REF!,0))</f>
        <v>0</v>
      </c>
      <c r="AG405" s="379">
        <f>IF(+NFL!$F55="New England",+NFL!#REF!,IF(+NFL!$H55="New England",+NFL!#REF!,0))</f>
        <v>0</v>
      </c>
      <c r="AH405" s="353">
        <f>IF(+NFL!$F55="New England",+NFL!#REF!,IF(+NFL!$H55="New England",+NFL!#REF!,0))</f>
        <v>0</v>
      </c>
      <c r="AI405" s="379">
        <f>IF(+NFL!$F55="New England",+NFL!#REF!,IF(+NFL!$H55="New England",+NFL!#REF!,0))</f>
        <v>0</v>
      </c>
      <c r="AJ405" s="353">
        <f>IF(+NFL!$F55="New England",+NFL!#REF!,IF(+NFL!$H55="New England",+NFL!#REF!,0))</f>
        <v>0</v>
      </c>
      <c r="AK405" s="379">
        <f>IF(+NFL!$F55="New England",+NFL!#REF!,IF(+NFL!$H55="New England",+NFL!#REF!,0))</f>
        <v>0</v>
      </c>
      <c r="AL405" s="68">
        <f>IF(+NFL!$F55="New England",+NFL!#REF!,IF(+NFL!$H55="New England",+NFL!#REF!,0))</f>
        <v>0</v>
      </c>
      <c r="AM405" s="58">
        <f>IF(+NFL!$F55="New England",+NFL!#REF!,IF(+NFL!$H55="New England",+NFL!#REF!,0))</f>
        <v>0</v>
      </c>
      <c r="AN405" s="57">
        <f>IF(+NFL!$F55="New England",+NFL!#REF!,IF(+NFL!$H55="New England",+NFL!#REF!,0))</f>
        <v>0</v>
      </c>
      <c r="AO405" s="59">
        <f>IF(+NFL!$F55="New England",+NFL!#REF!,IF(+NFL!$H55="New England",+NFL!#REF!,0))</f>
        <v>0</v>
      </c>
      <c r="AP405" s="348">
        <f>IF(+NFL!$F55="New England",+NFL!#REF!,IF(+NFL!$H55="New England",+NFL!#REF!,0))</f>
        <v>0</v>
      </c>
      <c r="AQ405" s="48">
        <f>IF(+NFL!$F55="New England",+NFL!#REF!,IF(+NFL!$H55="New England",+NFL!#REF!,0))</f>
        <v>0</v>
      </c>
      <c r="AR405" s="57">
        <f>IF(+NFL!$F55="New England",+NFL!#REF!,IF(+NFL!$H55="New England",+NFL!#REF!,0))</f>
        <v>0</v>
      </c>
      <c r="AS405" s="64">
        <f>IF(+NFL!$F55="New England",+NFL!#REF!,IF(+NFL!$H55="New England",+NFL!#REF!,0))</f>
        <v>0</v>
      </c>
      <c r="AT405" s="64">
        <f>IF(+NFL!$F55="New England",+NFL!#REF!,IF(+NFL!$H55="New England",+NFL!#REF!,0))</f>
        <v>0</v>
      </c>
      <c r="AU405" s="57">
        <f>IF(+NFL!$F55="New England",+NFL!#REF!,IF(+NFL!$H55="New England",+NFL!#REF!,0))</f>
        <v>0</v>
      </c>
      <c r="AV405" s="64">
        <f>IF(+NFL!$F55="New England",+NFL!#REF!,IF(+NFL!$H55="New England",+NFL!#REF!,0))</f>
        <v>0</v>
      </c>
      <c r="AW405" s="46">
        <f>IF(+NFL!$F55="New England",+NFL!#REF!,IF(+NFL!$H55="New England",+NFL!#REF!,0))</f>
        <v>0</v>
      </c>
      <c r="AX405" s="64">
        <f>IF(+NFL!$F55="New England",+NFL!#REF!,IF(+NFL!$H55="New England",+NFL!#REF!,0))</f>
        <v>0</v>
      </c>
      <c r="AY405" s="57">
        <f>IF(+NFL!$F55="New England",+NFL!#REF!,IF(+NFL!$H55="New England",+NFL!#REF!,0))</f>
        <v>0</v>
      </c>
      <c r="AZ405" s="64">
        <f>IF(+NFL!$F55="New England",+NFL!#REF!,IF(+NFL!$H55="New England",+NFL!#REF!,0))</f>
        <v>0</v>
      </c>
      <c r="BA405" s="46">
        <f>IF(+NFL!$F55="New England",+NFL!#REF!,IF(+NFL!$H55="New England",+NFL!#REF!,0))</f>
        <v>0</v>
      </c>
      <c r="BB405" s="46">
        <f>IF(+NFL!$F55="New England",+NFL!#REF!,IF(+NFL!$H55="New England",+NFL!#REF!,0))</f>
        <v>0</v>
      </c>
      <c r="BC405" s="403">
        <f>IF(+NFL!$F55="New England",+NFL!#REF!,IF(+NFL!$H55="New England",+NFL!#REF!,0))</f>
        <v>0</v>
      </c>
      <c r="BD405" s="57">
        <f>IF(+NFL!$F55="New England",+NFL!#REF!,IF(+NFL!$H55="New England",+NFL!#REF!,0))</f>
        <v>0</v>
      </c>
      <c r="BE405" s="64">
        <f>IF(+NFL!$F55="New England",+NFL!#REF!,IF(+NFL!$H55="New England",+NFL!#REF!,0))</f>
        <v>0</v>
      </c>
      <c r="BF405" s="46">
        <f>IF(+NFL!$F55="New England",+NFL!#REF!,IF(+NFL!$H55="New England",+NFL!#REF!,0))</f>
        <v>0</v>
      </c>
      <c r="BG405" s="57">
        <f>IF(+NFL!$F55="New England",+NFL!#REF!,IF(+NFL!$H55="New England",+NFL!#REF!,0))</f>
        <v>0</v>
      </c>
      <c r="BH405" s="64">
        <f>IF(+NFL!$F55="New England",+NFL!#REF!,IF(+NFL!$H55="New England",+NFL!#REF!,0))</f>
        <v>0</v>
      </c>
      <c r="BI405" s="46">
        <f>IF(+NFL!$F55="New England",+NFL!#REF!,IF(+NFL!$H55="New England",+NFL!#REF!,0))</f>
        <v>0</v>
      </c>
      <c r="BJ405" s="87">
        <f>IF(+NFL!$F55="New England",+NFL!#REF!,IF(+NFL!$H55="New England",+NFL!#REF!,0))</f>
        <v>0</v>
      </c>
      <c r="BK405" s="120">
        <f>IF(+NFL!$F55="New England",+NFL!#REF!,IF(+NFL!$H55="New England",+NFL!#REF!,0))</f>
        <v>0</v>
      </c>
    </row>
    <row r="406" spans="1:63" s="246" customFormat="1" x14ac:dyDescent="0.8">
      <c r="A406" s="46">
        <f>IF(+NFL!$F122="New England",+NFL!A122,IF(+NFL!$H122="New England",+NFL!A122,0))</f>
        <v>7</v>
      </c>
      <c r="B406" s="348" t="str">
        <f>IF(+NFL!$F122="New England",+NFL!B122,IF(+NFL!$H122="New England",+NFL!B122,0))</f>
        <v>Mon</v>
      </c>
      <c r="C406" s="48">
        <f>IF(+NFL!$F122="New England",+NFL!C122,IF(+NFL!$H122="New England",+NFL!C122,0))</f>
        <v>44857</v>
      </c>
      <c r="D406" s="490">
        <f>IF(+NFL!$F122="New England",+NFL!D122,IF(+NFL!$H122="New England",+NFL!D122,0))</f>
        <v>0.84375</v>
      </c>
      <c r="E406" s="46" t="str">
        <f>IF(+NFL!$F122="New England",+NFL!E122,IF(+NFL!$H122="New England",+NFL!E122,0))</f>
        <v>ABC</v>
      </c>
      <c r="F406" s="127" t="str">
        <f>IF(+NFL!$F122="New England",+NFL!F122,IF(+NFL!$H122="New England",+NFL!F122,0))</f>
        <v>Chicago</v>
      </c>
      <c r="G406" s="46" t="str">
        <f>IF(+NFL!$F122="New England",+NFL!G122,IF(+NFL!$H122="New England",+NFL!G122,0))</f>
        <v>NFCN</v>
      </c>
      <c r="H406" s="127" t="str">
        <f>IF(+NFL!$F122="New England",+NFL!H122,IF(+NFL!$H122="New England",+NFL!H122,0))</f>
        <v>New England</v>
      </c>
      <c r="I406" s="46" t="str">
        <f>IF(+NFL!$F122="New England",+NFL!I122,IF(+NFL!$H122="New England",+NFL!I122,0))</f>
        <v>AFCE</v>
      </c>
      <c r="J406" s="353" t="str">
        <f>IF(+NFL!$F122="New England",+NFL!J122,IF(+NFL!$H122="New England",+NFL!J122,0))</f>
        <v>New England</v>
      </c>
      <c r="K406" s="494" t="str">
        <f>IF(+NFL!$F122="New England",+NFL!K122,IF(+NFL!$H122="New England",+NFL!K122,0))</f>
        <v>Chicago</v>
      </c>
      <c r="L406" s="384">
        <f>IF(+NFL!$F122="New England",+NFL!L122,IF(+NFL!$H122="New England",+NFL!L122,0))</f>
        <v>6.5</v>
      </c>
      <c r="M406" s="385">
        <f>IF(+NFL!$F122="New England",+NFL!M122,IF(+NFL!$H122="New England",+NFL!M122,0))</f>
        <v>38.5</v>
      </c>
      <c r="N406" s="394" t="str">
        <f>IF(+NFL!$F122="New England",+NFL!N122,IF(+NFL!$H122="New England",+NFL!N122,0))</f>
        <v>Chicago</v>
      </c>
      <c r="O406" s="395">
        <f>IF(+NFL!$F122="New England",+NFL!O122,IF(+NFL!$H122="New England",+NFL!O122,0))</f>
        <v>33</v>
      </c>
      <c r="P406" s="394" t="str">
        <f>IF(+NFL!$F122="New England",+NFL!P122,IF(+NFL!$H122="New England",+NFL!P122,0))</f>
        <v>New England</v>
      </c>
      <c r="Q406" s="396">
        <f>IF(+NFL!$F122="New England",+NFL!Q122,IF(+NFL!$H122="New England",+NFL!Q122,0))</f>
        <v>14</v>
      </c>
      <c r="R406" s="397" t="str">
        <f>IF(+NFL!$F122="New England",+NFL!R122,IF(+NFL!$H122="New England",+NFL!R122,0))</f>
        <v>Chicago</v>
      </c>
      <c r="S406" s="396" t="str">
        <f>IF(+NFL!$F122="New England",+NFL!S122,IF(+NFL!$H122="New England",+NFL!S122,0))</f>
        <v>New England</v>
      </c>
      <c r="T406" s="398" t="str">
        <f>IF(+NFL!$F122="New England",+NFL!T122,IF(+NFL!$H122="New England",+NFL!T122,0))</f>
        <v>New England</v>
      </c>
      <c r="U406" s="396" t="str">
        <f>IF(+NFL!$F122="New England",+NFL!U122,IF(+NFL!$H122="New England",+NFL!U122,0))</f>
        <v>L</v>
      </c>
      <c r="V406" s="397">
        <f>IF(+NFL!$F71="New England",+NFL!#REF!,IF(+NFL!$H71="New England",+NFL!#REF!,0))</f>
        <v>0</v>
      </c>
      <c r="W406" s="396">
        <f>IF(+NFL!$F71="New England",+NFL!#REF!,IF(+NFL!$H71="New England",+NFL!#REF!,0))</f>
        <v>0</v>
      </c>
      <c r="X406" s="398">
        <f>IF(+NFL!$F71="New England",+NFL!#REF!,IF(+NFL!$H71="New England",+NFL!#REF!,0))</f>
        <v>0</v>
      </c>
      <c r="Y406" s="396">
        <f>IF(+NFL!$F71="New England",+NFL!#REF!,IF(+NFL!$H71="New England",+NFL!#REF!,0))</f>
        <v>0</v>
      </c>
      <c r="Z406" s="397">
        <f>IF(+NFL!$F71="New England",+NFL!#REF!,IF(+NFL!$H71="New England",+NFL!#REF!,0))</f>
        <v>0</v>
      </c>
      <c r="AA406" s="396">
        <f>IF(+NFL!$F71="New England",+NFL!#REF!,IF(+NFL!$H71="New England",+NFL!#REF!,0))</f>
        <v>0</v>
      </c>
      <c r="AB406" s="87">
        <f>IF(+NFL!$F71="New England",+NFL!#REF!,IF(+NFL!$H71="New England",+NFL!#REF!,0))</f>
        <v>0</v>
      </c>
      <c r="AC406" s="120">
        <f>IF(+NFL!$F71="New England",+NFL!#REF!,IF(+NFL!$H71="New England",+NFL!#REF!,0))</f>
        <v>0</v>
      </c>
      <c r="AD406" s="353">
        <f>IF(+NFL!$F71="New England",+NFL!#REF!,IF(+NFL!$H71="New England",+NFL!#REF!,0))</f>
        <v>0</v>
      </c>
      <c r="AE406" s="379">
        <f>IF(+NFL!$F71="New England",+NFL!#REF!,IF(+NFL!$H71="New England",+NFL!#REF!,0))</f>
        <v>0</v>
      </c>
      <c r="AF406" s="353">
        <f>IF(+NFL!$F71="New England",+NFL!#REF!,IF(+NFL!$H71="New England",+NFL!#REF!,0))</f>
        <v>0</v>
      </c>
      <c r="AG406" s="379">
        <f>IF(+NFL!$F71="New England",+NFL!#REF!,IF(+NFL!$H71="New England",+NFL!#REF!,0))</f>
        <v>0</v>
      </c>
      <c r="AH406" s="353">
        <f>IF(+NFL!$F71="New England",+NFL!#REF!,IF(+NFL!$H71="New England",+NFL!#REF!,0))</f>
        <v>0</v>
      </c>
      <c r="AI406" s="379">
        <f>IF(+NFL!$F71="New England",+NFL!#REF!,IF(+NFL!$H71="New England",+NFL!#REF!,0))</f>
        <v>0</v>
      </c>
      <c r="AJ406" s="353">
        <f>IF(+NFL!$F71="New England",+NFL!#REF!,IF(+NFL!$H71="New England",+NFL!#REF!,0))</f>
        <v>0</v>
      </c>
      <c r="AK406" s="379">
        <f>IF(+NFL!$F71="New England",+NFL!#REF!,IF(+NFL!$H71="New England",+NFL!#REF!,0))</f>
        <v>0</v>
      </c>
      <c r="AL406" s="68">
        <f>IF(+NFL!$F71="New England",+NFL!#REF!,IF(+NFL!$H71="New England",+NFL!#REF!,0))</f>
        <v>0</v>
      </c>
      <c r="AM406" s="58">
        <f>IF(+NFL!$F71="New England",+NFL!#REF!,IF(+NFL!$H71="New England",+NFL!#REF!,0))</f>
        <v>0</v>
      </c>
      <c r="AN406" s="57">
        <f>IF(+NFL!$F71="New England",+NFL!#REF!,IF(+NFL!$H71="New England",+NFL!#REF!,0))</f>
        <v>0</v>
      </c>
      <c r="AO406" s="59">
        <f>IF(+NFL!$F71="New England",+NFL!#REF!,IF(+NFL!$H71="New England",+NFL!#REF!,0))</f>
        <v>0</v>
      </c>
      <c r="AP406" s="348">
        <f>IF(+NFL!$F71="New England",+NFL!#REF!,IF(+NFL!$H71="New England",+NFL!#REF!,0))</f>
        <v>0</v>
      </c>
      <c r="AQ406" s="48">
        <f>IF(+NFL!$F71="New England",+NFL!#REF!,IF(+NFL!$H71="New England",+NFL!#REF!,0))</f>
        <v>0</v>
      </c>
      <c r="AR406" s="57">
        <f>IF(+NFL!$F71="New England",+NFL!#REF!,IF(+NFL!$H71="New England",+NFL!#REF!,0))</f>
        <v>0</v>
      </c>
      <c r="AS406" s="64">
        <f>IF(+NFL!$F71="New England",+NFL!#REF!,IF(+NFL!$H71="New England",+NFL!#REF!,0))</f>
        <v>0</v>
      </c>
      <c r="AT406" s="64">
        <f>IF(+NFL!$F71="New England",+NFL!#REF!,IF(+NFL!$H71="New England",+NFL!#REF!,0))</f>
        <v>0</v>
      </c>
      <c r="AU406" s="57">
        <f>IF(+NFL!$F71="New England",+NFL!#REF!,IF(+NFL!$H71="New England",+NFL!#REF!,0))</f>
        <v>0</v>
      </c>
      <c r="AV406" s="64">
        <f>IF(+NFL!$F71="New England",+NFL!#REF!,IF(+NFL!$H71="New England",+NFL!#REF!,0))</f>
        <v>0</v>
      </c>
      <c r="AW406" s="46">
        <f>IF(+NFL!$F71="New England",+NFL!#REF!,IF(+NFL!$H71="New England",+NFL!#REF!,0))</f>
        <v>0</v>
      </c>
      <c r="AX406" s="64">
        <f>IF(+NFL!$F71="New England",+NFL!#REF!,IF(+NFL!$H71="New England",+NFL!#REF!,0))</f>
        <v>0</v>
      </c>
      <c r="AY406" s="57">
        <f>IF(+NFL!$F71="New England",+NFL!#REF!,IF(+NFL!$H71="New England",+NFL!#REF!,0))</f>
        <v>0</v>
      </c>
      <c r="AZ406" s="64">
        <f>IF(+NFL!$F71="New England",+NFL!#REF!,IF(+NFL!$H71="New England",+NFL!#REF!,0))</f>
        <v>0</v>
      </c>
      <c r="BA406" s="46">
        <f>IF(+NFL!$F71="New England",+NFL!#REF!,IF(+NFL!$H71="New England",+NFL!#REF!,0))</f>
        <v>0</v>
      </c>
      <c r="BB406" s="46">
        <f>IF(+NFL!$F71="New England",+NFL!#REF!,IF(+NFL!$H71="New England",+NFL!#REF!,0))</f>
        <v>0</v>
      </c>
      <c r="BC406" s="403">
        <f>IF(+NFL!$F71="New England",+NFL!#REF!,IF(+NFL!$H71="New England",+NFL!#REF!,0))</f>
        <v>0</v>
      </c>
      <c r="BD406" s="57">
        <f>IF(+NFL!$F71="New England",+NFL!#REF!,IF(+NFL!$H71="New England",+NFL!#REF!,0))</f>
        <v>0</v>
      </c>
      <c r="BE406" s="64">
        <f>IF(+NFL!$F71="New England",+NFL!#REF!,IF(+NFL!$H71="New England",+NFL!#REF!,0))</f>
        <v>0</v>
      </c>
      <c r="BF406" s="46">
        <f>IF(+NFL!$F71="New England",+NFL!#REF!,IF(+NFL!$H71="New England",+NFL!#REF!,0))</f>
        <v>0</v>
      </c>
      <c r="BG406" s="57">
        <f>IF(+NFL!$F71="New England",+NFL!#REF!,IF(+NFL!$H71="New England",+NFL!#REF!,0))</f>
        <v>0</v>
      </c>
      <c r="BH406" s="64">
        <f>IF(+NFL!$F71="New England",+NFL!#REF!,IF(+NFL!$H71="New England",+NFL!#REF!,0))</f>
        <v>0</v>
      </c>
      <c r="BI406" s="46">
        <f>IF(+NFL!$F71="New England",+NFL!#REF!,IF(+NFL!$H71="New England",+NFL!#REF!,0))</f>
        <v>0</v>
      </c>
      <c r="BJ406" s="87">
        <f>IF(+NFL!$F71="New England",+NFL!#REF!,IF(+NFL!$H71="New England",+NFL!#REF!,0))</f>
        <v>0</v>
      </c>
      <c r="BK406" s="120">
        <f>IF(+NFL!$F71="New England",+NFL!#REF!,IF(+NFL!$H71="New England",+NFL!#REF!,0))</f>
        <v>0</v>
      </c>
    </row>
    <row r="407" spans="1:63" s="246" customFormat="1" x14ac:dyDescent="0.8">
      <c r="A407" s="46">
        <f>IF(+NFL!$F136="New England",+NFL!A136,IF(+NFL!$H136="New England",+NFL!A136,0))</f>
        <v>8</v>
      </c>
      <c r="B407" s="348" t="str">
        <f>IF(+NFL!$F136="New England",+NFL!B136,IF(+NFL!$H136="New England",+NFL!B136,0))</f>
        <v>Sun</v>
      </c>
      <c r="C407" s="48">
        <f>IF(+NFL!$F136="New England",+NFL!C136,IF(+NFL!$H136="New England",+NFL!C136,0))</f>
        <v>44864</v>
      </c>
      <c r="D407" s="490">
        <f>IF(+NFL!$F136="New England",+NFL!D136,IF(+NFL!$H136="New England",+NFL!D136,0))</f>
        <v>0.54166666666666663</v>
      </c>
      <c r="E407" s="46" t="str">
        <f>IF(+NFL!$F136="New England",+NFL!E136,IF(+NFL!$H136="New England",+NFL!E136,0))</f>
        <v>CBS</v>
      </c>
      <c r="F407" s="127" t="str">
        <f>IF(+NFL!$F136="New England",+NFL!F136,IF(+NFL!$H136="New England",+NFL!F136,0))</f>
        <v>New England</v>
      </c>
      <c r="G407" s="46" t="str">
        <f>IF(+NFL!$F136="New England",+NFL!G136,IF(+NFL!$H136="New England",+NFL!G136,0))</f>
        <v>AFCE</v>
      </c>
      <c r="H407" s="127" t="str">
        <f>IF(+NFL!$F136="New England",+NFL!H136,IF(+NFL!$H136="New England",+NFL!H136,0))</f>
        <v>NY Jets</v>
      </c>
      <c r="I407" s="46" t="str">
        <f>IF(+NFL!$F136="New England",+NFL!I136,IF(+NFL!$H136="New England",+NFL!I136,0))</f>
        <v>AFCE</v>
      </c>
      <c r="J407" s="353" t="str">
        <f>IF(+NFL!$F136="New England",+NFL!J136,IF(+NFL!$H136="New England",+NFL!J136,0))</f>
        <v>New England</v>
      </c>
      <c r="K407" s="494" t="str">
        <f>IF(+NFL!$F136="New England",+NFL!K136,IF(+NFL!$H136="New England",+NFL!K136,0))</f>
        <v>NY Jets</v>
      </c>
      <c r="L407" s="384">
        <f>IF(+NFL!$F136="New England",+NFL!L136,IF(+NFL!$H136="New England",+NFL!L136,0))</f>
        <v>1.5</v>
      </c>
      <c r="M407" s="385">
        <f>IF(+NFL!$F136="New England",+NFL!M136,IF(+NFL!$H136="New England",+NFL!M136,0))</f>
        <v>41</v>
      </c>
      <c r="N407" s="394" t="str">
        <f>IF(+NFL!$F136="New England",+NFL!N136,IF(+NFL!$H136="New England",+NFL!N136,0))</f>
        <v>New England</v>
      </c>
      <c r="O407" s="395">
        <f>IF(+NFL!$F136="New England",+NFL!O136,IF(+NFL!$H136="New England",+NFL!O136,0))</f>
        <v>22</v>
      </c>
      <c r="P407" s="394" t="str">
        <f>IF(+NFL!$F136="New England",+NFL!P136,IF(+NFL!$H136="New England",+NFL!P136,0))</f>
        <v>NY Jets</v>
      </c>
      <c r="Q407" s="396">
        <f>IF(+NFL!$F136="New England",+NFL!Q136,IF(+NFL!$H136="New England",+NFL!Q136,0))</f>
        <v>17</v>
      </c>
      <c r="R407" s="397" t="str">
        <f>IF(+NFL!$F136="New England",+NFL!R136,IF(+NFL!$H136="New England",+NFL!R136,0))</f>
        <v>New England</v>
      </c>
      <c r="S407" s="396" t="str">
        <f>IF(+NFL!$F136="New England",+NFL!S136,IF(+NFL!$H136="New England",+NFL!S136,0))</f>
        <v>NY Jets</v>
      </c>
      <c r="T407" s="398" t="str">
        <f>IF(+NFL!$F136="New England",+NFL!T136,IF(+NFL!$H136="New England",+NFL!T136,0))</f>
        <v>New England</v>
      </c>
      <c r="U407" s="396" t="str">
        <f>IF(+NFL!$F136="New England",+NFL!U136,IF(+NFL!$H136="New England",+NFL!U136,0))</f>
        <v>W</v>
      </c>
      <c r="V407" s="397">
        <f>IF(+NFL!$F95="New England",+NFL!#REF!,IF(+NFL!$H95="New England",+NFL!#REF!,0))</f>
        <v>0</v>
      </c>
      <c r="W407" s="396">
        <f>IF(+NFL!$F95="New England",+NFL!#REF!,IF(+NFL!$H95="New England",+NFL!#REF!,0))</f>
        <v>0</v>
      </c>
      <c r="X407" s="398">
        <f>IF(+NFL!$F95="New England",+NFL!#REF!,IF(+NFL!$H95="New England",+NFL!#REF!,0))</f>
        <v>0</v>
      </c>
      <c r="Y407" s="396">
        <f>IF(+NFL!$F95="New England",+NFL!#REF!,IF(+NFL!$H95="New England",+NFL!#REF!,0))</f>
        <v>0</v>
      </c>
      <c r="Z407" s="397">
        <f>IF(+NFL!$F95="New England",+NFL!#REF!,IF(+NFL!$H95="New England",+NFL!#REF!,0))</f>
        <v>0</v>
      </c>
      <c r="AA407" s="396">
        <f>IF(+NFL!$F95="New England",+NFL!#REF!,IF(+NFL!$H95="New England",+NFL!#REF!,0))</f>
        <v>0</v>
      </c>
      <c r="AB407" s="87">
        <f>IF(+NFL!$F95="New England",+NFL!#REF!,IF(+NFL!$H95="New England",+NFL!#REF!,0))</f>
        <v>0</v>
      </c>
      <c r="AC407" s="120">
        <f>IF(+NFL!$F95="New England",+NFL!#REF!,IF(+NFL!$H95="New England",+NFL!#REF!,0))</f>
        <v>0</v>
      </c>
      <c r="AD407" s="353">
        <f>IF(+NFL!$F95="New England",+NFL!#REF!,IF(+NFL!$H95="New England",+NFL!#REF!,0))</f>
        <v>0</v>
      </c>
      <c r="AE407" s="379">
        <f>IF(+NFL!$F95="New England",+NFL!#REF!,IF(+NFL!$H95="New England",+NFL!#REF!,0))</f>
        <v>0</v>
      </c>
      <c r="AF407" s="353">
        <f>IF(+NFL!$F95="New England",+NFL!#REF!,IF(+NFL!$H95="New England",+NFL!#REF!,0))</f>
        <v>0</v>
      </c>
      <c r="AG407" s="379">
        <f>IF(+NFL!$F95="New England",+NFL!#REF!,IF(+NFL!$H95="New England",+NFL!#REF!,0))</f>
        <v>0</v>
      </c>
      <c r="AH407" s="353">
        <f>IF(+NFL!$F95="New England",+NFL!#REF!,IF(+NFL!$H95="New England",+NFL!#REF!,0))</f>
        <v>0</v>
      </c>
      <c r="AI407" s="379">
        <f>IF(+NFL!$F95="New England",+NFL!#REF!,IF(+NFL!$H95="New England",+NFL!#REF!,0))</f>
        <v>0</v>
      </c>
      <c r="AJ407" s="353">
        <f>IF(+NFL!$F95="New England",+NFL!#REF!,IF(+NFL!$H95="New England",+NFL!#REF!,0))</f>
        <v>0</v>
      </c>
      <c r="AK407" s="379">
        <f>IF(+NFL!$F95="New England",+NFL!#REF!,IF(+NFL!$H95="New England",+NFL!#REF!,0))</f>
        <v>0</v>
      </c>
      <c r="AL407" s="68">
        <f>IF(+NFL!$F95="New England",+NFL!#REF!,IF(+NFL!$H95="New England",+NFL!#REF!,0))</f>
        <v>0</v>
      </c>
      <c r="AM407" s="58">
        <f>IF(+NFL!$F95="New England",+NFL!#REF!,IF(+NFL!$H95="New England",+NFL!#REF!,0))</f>
        <v>0</v>
      </c>
      <c r="AN407" s="57">
        <f>IF(+NFL!$F95="New England",+NFL!#REF!,IF(+NFL!$H95="New England",+NFL!#REF!,0))</f>
        <v>0</v>
      </c>
      <c r="AO407" s="59">
        <f>IF(+NFL!$F95="New England",+NFL!#REF!,IF(+NFL!$H95="New England",+NFL!#REF!,0))</f>
        <v>0</v>
      </c>
      <c r="AP407" s="348">
        <f>IF(+NFL!$F95="New England",+NFL!#REF!,IF(+NFL!$H95="New England",+NFL!#REF!,0))</f>
        <v>0</v>
      </c>
      <c r="AQ407" s="48">
        <f>IF(+NFL!$F95="New England",+NFL!#REF!,IF(+NFL!$H95="New England",+NFL!#REF!,0))</f>
        <v>0</v>
      </c>
      <c r="AR407" s="57">
        <f>IF(+NFL!$F95="New England",+NFL!#REF!,IF(+NFL!$H95="New England",+NFL!#REF!,0))</f>
        <v>0</v>
      </c>
      <c r="AS407" s="64">
        <f>IF(+NFL!$F95="New England",+NFL!#REF!,IF(+NFL!$H95="New England",+NFL!#REF!,0))</f>
        <v>0</v>
      </c>
      <c r="AT407" s="64">
        <f>IF(+NFL!$F95="New England",+NFL!#REF!,IF(+NFL!$H95="New England",+NFL!#REF!,0))</f>
        <v>0</v>
      </c>
      <c r="AU407" s="57">
        <f>IF(+NFL!$F95="New England",+NFL!#REF!,IF(+NFL!$H95="New England",+NFL!#REF!,0))</f>
        <v>0</v>
      </c>
      <c r="AV407" s="64">
        <f>IF(+NFL!$F95="New England",+NFL!#REF!,IF(+NFL!$H95="New England",+NFL!#REF!,0))</f>
        <v>0</v>
      </c>
      <c r="AW407" s="46">
        <f>IF(+NFL!$F95="New England",+NFL!#REF!,IF(+NFL!$H95="New England",+NFL!#REF!,0))</f>
        <v>0</v>
      </c>
      <c r="AX407" s="64">
        <f>IF(+NFL!$F95="New England",+NFL!#REF!,IF(+NFL!$H95="New England",+NFL!#REF!,0))</f>
        <v>0</v>
      </c>
      <c r="AY407" s="57">
        <f>IF(+NFL!$F95="New England",+NFL!#REF!,IF(+NFL!$H95="New England",+NFL!#REF!,0))</f>
        <v>0</v>
      </c>
      <c r="AZ407" s="64">
        <f>IF(+NFL!$F95="New England",+NFL!#REF!,IF(+NFL!$H95="New England",+NFL!#REF!,0))</f>
        <v>0</v>
      </c>
      <c r="BA407" s="46">
        <f>IF(+NFL!$F95="New England",+NFL!#REF!,IF(+NFL!$H95="New England",+NFL!#REF!,0))</f>
        <v>0</v>
      </c>
      <c r="BB407" s="46">
        <f>IF(+NFL!$F95="New England",+NFL!#REF!,IF(+NFL!$H95="New England",+NFL!#REF!,0))</f>
        <v>0</v>
      </c>
      <c r="BC407" s="403">
        <f>IF(+NFL!$F95="New England",+NFL!#REF!,IF(+NFL!$H95="New England",+NFL!#REF!,0))</f>
        <v>0</v>
      </c>
      <c r="BD407" s="57">
        <f>IF(+NFL!$F95="New England",+NFL!#REF!,IF(+NFL!$H95="New England",+NFL!#REF!,0))</f>
        <v>0</v>
      </c>
      <c r="BE407" s="64">
        <f>IF(+NFL!$F95="New England",+NFL!#REF!,IF(+NFL!$H95="New England",+NFL!#REF!,0))</f>
        <v>0</v>
      </c>
      <c r="BF407" s="46">
        <f>IF(+NFL!$F95="New England",+NFL!#REF!,IF(+NFL!$H95="New England",+NFL!#REF!,0))</f>
        <v>0</v>
      </c>
      <c r="BG407" s="57">
        <f>IF(+NFL!$F95="New England",+NFL!#REF!,IF(+NFL!$H95="New England",+NFL!#REF!,0))</f>
        <v>0</v>
      </c>
      <c r="BH407" s="64">
        <f>IF(+NFL!$F95="New England",+NFL!#REF!,IF(+NFL!$H95="New England",+NFL!#REF!,0))</f>
        <v>0</v>
      </c>
      <c r="BI407" s="46">
        <f>IF(+NFL!$F95="New England",+NFL!#REF!,IF(+NFL!$H95="New England",+NFL!#REF!,0))</f>
        <v>0</v>
      </c>
      <c r="BJ407" s="87">
        <f>IF(+NFL!$F95="New England",+NFL!#REF!,IF(+NFL!$H95="New England",+NFL!#REF!,0))</f>
        <v>0</v>
      </c>
      <c r="BK407" s="120">
        <f>IF(+NFL!$F95="New England",+NFL!#REF!,IF(+NFL!$H95="New England",+NFL!#REF!,0))</f>
        <v>0</v>
      </c>
    </row>
    <row r="408" spans="1:63" s="246" customFormat="1" x14ac:dyDescent="0.8">
      <c r="A408" s="46">
        <f>IF(+NFL!$F152="New England",+NFL!A152,IF(+NFL!$H152="New England",+NFL!A152,0))</f>
        <v>9</v>
      </c>
      <c r="B408" s="348" t="str">
        <f>IF(+NFL!$F152="New England",+NFL!B152,IF(+NFL!$H152="New England",+NFL!B152,0))</f>
        <v>Sun</v>
      </c>
      <c r="C408" s="48">
        <f>IF(+NFL!$F152="New England",+NFL!C152,IF(+NFL!$H152="New England",+NFL!C152,0))</f>
        <v>44871</v>
      </c>
      <c r="D408" s="490">
        <f>IF(+NFL!$F152="New England",+NFL!D152,IF(+NFL!$H152="New England",+NFL!D152,0))</f>
        <v>0.54166666666666663</v>
      </c>
      <c r="E408" s="46" t="str">
        <f>IF(+NFL!$F152="New England",+NFL!E152,IF(+NFL!$H152="New England",+NFL!E152,0))</f>
        <v>CBS</v>
      </c>
      <c r="F408" s="127" t="str">
        <f>IF(+NFL!$F152="New England",+NFL!F152,IF(+NFL!$H152="New England",+NFL!F152,0))</f>
        <v>Indianapolis</v>
      </c>
      <c r="G408" s="46" t="str">
        <f>IF(+NFL!$F152="New England",+NFL!G152,IF(+NFL!$H152="New England",+NFL!G152,0))</f>
        <v>AFCS</v>
      </c>
      <c r="H408" s="127" t="str">
        <f>IF(+NFL!$F152="New England",+NFL!H152,IF(+NFL!$H152="New England",+NFL!H152,0))</f>
        <v>New England</v>
      </c>
      <c r="I408" s="46" t="str">
        <f>IF(+NFL!$F152="New England",+NFL!I152,IF(+NFL!$H152="New England",+NFL!I152,0))</f>
        <v>AFCE</v>
      </c>
      <c r="J408" s="353" t="str">
        <f>IF(+NFL!$F152="New England",+NFL!J152,IF(+NFL!$H152="New England",+NFL!J152,0))</f>
        <v>New England</v>
      </c>
      <c r="K408" s="494" t="str">
        <f>IF(+NFL!$F152="New England",+NFL!K152,IF(+NFL!$H152="New England",+NFL!K152,0))</f>
        <v>Indianapolis</v>
      </c>
      <c r="L408" s="384">
        <f>IF(+NFL!$F152="New England",+NFL!L152,IF(+NFL!$H152="New England",+NFL!L152,0))</f>
        <v>5.5</v>
      </c>
      <c r="M408" s="385">
        <f>IF(+NFL!$F152="New England",+NFL!M152,IF(+NFL!$H152="New England",+NFL!M152,0))</f>
        <v>39</v>
      </c>
      <c r="N408" s="394" t="str">
        <f>IF(+NFL!$F152="New England",+NFL!N152,IF(+NFL!$H152="New England",+NFL!N152,0))</f>
        <v>New England</v>
      </c>
      <c r="O408" s="395">
        <f>IF(+NFL!$F152="New England",+NFL!O152,IF(+NFL!$H152="New England",+NFL!O152,0))</f>
        <v>26</v>
      </c>
      <c r="P408" s="394" t="str">
        <f>IF(+NFL!$F152="New England",+NFL!P152,IF(+NFL!$H152="New England",+NFL!P152,0))</f>
        <v>Indianapolis</v>
      </c>
      <c r="Q408" s="396">
        <f>IF(+NFL!$F152="New England",+NFL!Q152,IF(+NFL!$H152="New England",+NFL!Q152,0))</f>
        <v>3</v>
      </c>
      <c r="R408" s="397" t="str">
        <f>IF(+NFL!$F152="New England",+NFL!R152,IF(+NFL!$H152="New England",+NFL!R152,0))</f>
        <v>New England</v>
      </c>
      <c r="S408" s="396" t="str">
        <f>IF(+NFL!$F152="New England",+NFL!S152,IF(+NFL!$H152="New England",+NFL!S152,0))</f>
        <v>Indianapolis</v>
      </c>
      <c r="T408" s="398" t="str">
        <f>IF(+NFL!$F152="New England",+NFL!T152,IF(+NFL!$H152="New England",+NFL!T152,0))</f>
        <v>Indianapolis</v>
      </c>
      <c r="U408" s="396" t="str">
        <f>IF(+NFL!$F152="New England",+NFL!U152,IF(+NFL!$H152="New England",+NFL!U152,0))</f>
        <v>L</v>
      </c>
      <c r="V408" s="397">
        <f>IF(+NFL!$F108="New England",+NFL!#REF!,IF(+NFL!$H108="New England",+NFL!#REF!,0))</f>
        <v>0</v>
      </c>
      <c r="W408" s="396">
        <f>IF(+NFL!$F108="New England",+NFL!#REF!,IF(+NFL!$H108="New England",+NFL!#REF!,0))</f>
        <v>0</v>
      </c>
      <c r="X408" s="398">
        <f>IF(+NFL!$F108="New England",+NFL!#REF!,IF(+NFL!$H108="New England",+NFL!#REF!,0))</f>
        <v>0</v>
      </c>
      <c r="Y408" s="396">
        <f>IF(+NFL!$F108="New England",+NFL!#REF!,IF(+NFL!$H108="New England",+NFL!#REF!,0))</f>
        <v>0</v>
      </c>
      <c r="Z408" s="397">
        <f>IF(+NFL!$F108="New England",+NFL!#REF!,IF(+NFL!$H108="New England",+NFL!#REF!,0))</f>
        <v>0</v>
      </c>
      <c r="AA408" s="396">
        <f>IF(+NFL!$F108="New England",+NFL!#REF!,IF(+NFL!$H108="New England",+NFL!#REF!,0))</f>
        <v>0</v>
      </c>
      <c r="AB408" s="87">
        <f>IF(+NFL!$F108="New England",+NFL!#REF!,IF(+NFL!$H108="New England",+NFL!#REF!,0))</f>
        <v>0</v>
      </c>
      <c r="AC408" s="120">
        <f>IF(+NFL!$F108="New England",+NFL!#REF!,IF(+NFL!$H108="New England",+NFL!#REF!,0))</f>
        <v>0</v>
      </c>
      <c r="AD408" s="353">
        <f>IF(+NFL!$F108="New England",+NFL!#REF!,IF(+NFL!$H108="New England",+NFL!#REF!,0))</f>
        <v>0</v>
      </c>
      <c r="AE408" s="379">
        <f>IF(+NFL!$F108="New England",+NFL!#REF!,IF(+NFL!$H108="New England",+NFL!#REF!,0))</f>
        <v>0</v>
      </c>
      <c r="AF408" s="353">
        <f>IF(+NFL!$F108="New England",+NFL!#REF!,IF(+NFL!$H108="New England",+NFL!#REF!,0))</f>
        <v>0</v>
      </c>
      <c r="AG408" s="379">
        <f>IF(+NFL!$F108="New England",+NFL!#REF!,IF(+NFL!$H108="New England",+NFL!#REF!,0))</f>
        <v>0</v>
      </c>
      <c r="AH408" s="353">
        <f>IF(+NFL!$F108="New England",+NFL!#REF!,IF(+NFL!$H108="New England",+NFL!#REF!,0))</f>
        <v>0</v>
      </c>
      <c r="AI408" s="379">
        <f>IF(+NFL!$F108="New England",+NFL!#REF!,IF(+NFL!$H108="New England",+NFL!#REF!,0))</f>
        <v>0</v>
      </c>
      <c r="AJ408" s="353">
        <f>IF(+NFL!$F108="New England",+NFL!#REF!,IF(+NFL!$H108="New England",+NFL!#REF!,0))</f>
        <v>0</v>
      </c>
      <c r="AK408" s="379">
        <f>IF(+NFL!$F108="New England",+NFL!#REF!,IF(+NFL!$H108="New England",+NFL!#REF!,0))</f>
        <v>0</v>
      </c>
      <c r="AL408" s="68">
        <f>IF(+NFL!$F108="New England",+NFL!#REF!,IF(+NFL!$H108="New England",+NFL!#REF!,0))</f>
        <v>0</v>
      </c>
      <c r="AM408" s="58">
        <f>IF(+NFL!$F108="New England",+NFL!#REF!,IF(+NFL!$H108="New England",+NFL!#REF!,0))</f>
        <v>0</v>
      </c>
      <c r="AN408" s="57">
        <f>IF(+NFL!$F108="New England",+NFL!#REF!,IF(+NFL!$H108="New England",+NFL!#REF!,0))</f>
        <v>0</v>
      </c>
      <c r="AO408" s="59">
        <f>IF(+NFL!$F108="New England",+NFL!#REF!,IF(+NFL!$H108="New England",+NFL!#REF!,0))</f>
        <v>0</v>
      </c>
      <c r="AP408" s="348">
        <f>IF(+NFL!$F108="New England",+NFL!#REF!,IF(+NFL!$H108="New England",+NFL!#REF!,0))</f>
        <v>0</v>
      </c>
      <c r="AQ408" s="48">
        <f>IF(+NFL!$F108="New England",+NFL!#REF!,IF(+NFL!$H108="New England",+NFL!#REF!,0))</f>
        <v>0</v>
      </c>
      <c r="AR408" s="57">
        <f>IF(+NFL!$F108="New England",+NFL!#REF!,IF(+NFL!$H108="New England",+NFL!#REF!,0))</f>
        <v>0</v>
      </c>
      <c r="AS408" s="64">
        <f>IF(+NFL!$F108="New England",+NFL!#REF!,IF(+NFL!$H108="New England",+NFL!#REF!,0))</f>
        <v>0</v>
      </c>
      <c r="AT408" s="64">
        <f>IF(+NFL!$F108="New England",+NFL!#REF!,IF(+NFL!$H108="New England",+NFL!#REF!,0))</f>
        <v>0</v>
      </c>
      <c r="AU408" s="57">
        <f>IF(+NFL!$F108="New England",+NFL!#REF!,IF(+NFL!$H108="New England",+NFL!#REF!,0))</f>
        <v>0</v>
      </c>
      <c r="AV408" s="64">
        <f>IF(+NFL!$F108="New England",+NFL!#REF!,IF(+NFL!$H108="New England",+NFL!#REF!,0))</f>
        <v>0</v>
      </c>
      <c r="AW408" s="46">
        <f>IF(+NFL!$F108="New England",+NFL!#REF!,IF(+NFL!$H108="New England",+NFL!#REF!,0))</f>
        <v>0</v>
      </c>
      <c r="AX408" s="64">
        <f>IF(+NFL!$F108="New England",+NFL!#REF!,IF(+NFL!$H108="New England",+NFL!#REF!,0))</f>
        <v>0</v>
      </c>
      <c r="AY408" s="57">
        <f>IF(+NFL!$F108="New England",+NFL!#REF!,IF(+NFL!$H108="New England",+NFL!#REF!,0))</f>
        <v>0</v>
      </c>
      <c r="AZ408" s="64">
        <f>IF(+NFL!$F108="New England",+NFL!#REF!,IF(+NFL!$H108="New England",+NFL!#REF!,0))</f>
        <v>0</v>
      </c>
      <c r="BA408" s="46">
        <f>IF(+NFL!$F108="New England",+NFL!#REF!,IF(+NFL!$H108="New England",+NFL!#REF!,0))</f>
        <v>0</v>
      </c>
      <c r="BB408" s="46">
        <f>IF(+NFL!$F108="New England",+NFL!#REF!,IF(+NFL!$H108="New England",+NFL!#REF!,0))</f>
        <v>0</v>
      </c>
      <c r="BC408" s="403">
        <f>IF(+NFL!$F108="New England",+NFL!#REF!,IF(+NFL!$H108="New England",+NFL!#REF!,0))</f>
        <v>0</v>
      </c>
      <c r="BD408" s="57">
        <f>IF(+NFL!$F108="New England",+NFL!#REF!,IF(+NFL!$H108="New England",+NFL!#REF!,0))</f>
        <v>0</v>
      </c>
      <c r="BE408" s="64">
        <f>IF(+NFL!$F108="New England",+NFL!#REF!,IF(+NFL!$H108="New England",+NFL!#REF!,0))</f>
        <v>0</v>
      </c>
      <c r="BF408" s="46">
        <f>IF(+NFL!$F108="New England",+NFL!#REF!,IF(+NFL!$H108="New England",+NFL!#REF!,0))</f>
        <v>0</v>
      </c>
      <c r="BG408" s="57">
        <f>IF(+NFL!$F108="New England",+NFL!#REF!,IF(+NFL!$H108="New England",+NFL!#REF!,0))</f>
        <v>0</v>
      </c>
      <c r="BH408" s="64">
        <f>IF(+NFL!$F108="New England",+NFL!#REF!,IF(+NFL!$H108="New England",+NFL!#REF!,0))</f>
        <v>0</v>
      </c>
      <c r="BI408" s="46">
        <f>IF(+NFL!$F108="New England",+NFL!#REF!,IF(+NFL!$H108="New England",+NFL!#REF!,0))</f>
        <v>0</v>
      </c>
      <c r="BJ408" s="87">
        <f>IF(+NFL!$F108="New England",+NFL!#REF!,IF(+NFL!$H108="New England",+NFL!#REF!,0))</f>
        <v>0</v>
      </c>
      <c r="BK408" s="120">
        <f>IF(+NFL!$F108="New England",+NFL!#REF!,IF(+NFL!$H108="New England",+NFL!#REF!,0))</f>
        <v>0</v>
      </c>
    </row>
    <row r="409" spans="1:63" s="246" customFormat="1" x14ac:dyDescent="0.8">
      <c r="A409" s="46">
        <f>IF(+NFL!$F185="New England",+NFL!A185,IF(+NFL!$H185="New England",+NFL!A185,0))</f>
        <v>10</v>
      </c>
      <c r="B409" s="348">
        <f>IF(+NFL!$F185="New England",+NFL!B185,IF(+NFL!$H185="New England",+NFL!B185,0))</f>
        <v>0</v>
      </c>
      <c r="C409" s="48">
        <f>IF(+NFL!$F185="New England",+NFL!C185,IF(+NFL!$H185="New England",+NFL!C185,0))</f>
        <v>0</v>
      </c>
      <c r="D409" s="490">
        <f>IF(+NFL!$F185="New England",+NFL!D185,IF(+NFL!$H185="New England",+NFL!D185,0))</f>
        <v>0</v>
      </c>
      <c r="E409" s="46">
        <f>IF(+NFL!$F185="New England",+NFL!E185,IF(+NFL!$H185="New England",+NFL!E185,0))</f>
        <v>0</v>
      </c>
      <c r="F409" s="127" t="str">
        <f>IF(+NFL!$F185="New England",+NFL!F185,IF(+NFL!$H185="New England",+NFL!F185,0))</f>
        <v>New England</v>
      </c>
      <c r="G409" s="46" t="str">
        <f>IF(+NFL!$F185="New England",+NFL!G185,IF(+NFL!$H185="New England",+NFL!G185,0))</f>
        <v>AFCE</v>
      </c>
      <c r="H409" s="127">
        <f>IF(+NFL!$F185="New England",+NFL!H185,IF(+NFL!$H185="New England",+NFL!H185,0))</f>
        <v>0</v>
      </c>
      <c r="I409" s="46">
        <f>IF(+NFL!$F185="New England",+NFL!I185,IF(+NFL!$H185="New England",+NFL!I185,0))</f>
        <v>0</v>
      </c>
      <c r="J409" s="353">
        <f>IF(+NFL!$F185="New England",+NFL!J185,IF(+NFL!$H185="New England",+NFL!J185,0))</f>
        <v>0</v>
      </c>
      <c r="K409" s="494">
        <f>IF(+NFL!$F185="New England",+NFL!K185,IF(+NFL!$H185="New England",+NFL!K185,0))</f>
        <v>0</v>
      </c>
      <c r="L409" s="384">
        <f>IF(+NFL!$F185="New England",+NFL!L185,IF(+NFL!$H185="New England",+NFL!L185,0))</f>
        <v>0</v>
      </c>
      <c r="M409" s="385">
        <f>IF(+NFL!$F185="New England",+NFL!M185,IF(+NFL!$H185="New England",+NFL!M185,0))</f>
        <v>0</v>
      </c>
      <c r="N409" s="394">
        <f>IF(+NFL!$F185="New England",+NFL!N185,IF(+NFL!$H185="New England",+NFL!N185,0))</f>
        <v>0</v>
      </c>
      <c r="O409" s="395">
        <f>IF(+NFL!$F185="New England",+NFL!O185,IF(+NFL!$H185="New England",+NFL!O185,0))</f>
        <v>0</v>
      </c>
      <c r="P409" s="394">
        <f>IF(+NFL!$F185="New England",+NFL!P185,IF(+NFL!$H185="New England",+NFL!P185,0))</f>
        <v>0</v>
      </c>
      <c r="Q409" s="396">
        <f>IF(+NFL!$F185="New England",+NFL!Q185,IF(+NFL!$H185="New England",+NFL!Q185,0))</f>
        <v>0</v>
      </c>
      <c r="R409" s="397">
        <f>IF(+NFL!$F185="New England",+NFL!R185,IF(+NFL!$H185="New England",+NFL!R185,0))</f>
        <v>0</v>
      </c>
      <c r="S409" s="396">
        <f>IF(+NFL!$F185="New England",+NFL!S185,IF(+NFL!$H185="New England",+NFL!S185,0))</f>
        <v>0</v>
      </c>
      <c r="T409" s="398">
        <f>IF(+NFL!$F185="New England",+NFL!T185,IF(+NFL!$H185="New England",+NFL!T185,0))</f>
        <v>0</v>
      </c>
      <c r="U409" s="396">
        <f>IF(+NFL!$F185="New England",+NFL!U185,IF(+NFL!$H185="New England",+NFL!U185,0))</f>
        <v>0</v>
      </c>
      <c r="V409" s="397">
        <f>IF(+NFL!$F142="New England",+NFL!#REF!,IF(+NFL!$H142="New England",+NFL!#REF!,0))</f>
        <v>0</v>
      </c>
      <c r="W409" s="396">
        <f>IF(+NFL!$F142="New England",+NFL!#REF!,IF(+NFL!$H142="New England",+NFL!#REF!,0))</f>
        <v>0</v>
      </c>
      <c r="X409" s="398">
        <f>IF(+NFL!$F142="New England",+NFL!#REF!,IF(+NFL!$H142="New England",+NFL!#REF!,0))</f>
        <v>0</v>
      </c>
      <c r="Y409" s="396">
        <f>IF(+NFL!$F142="New England",+NFL!#REF!,IF(+NFL!$H142="New England",+NFL!#REF!,0))</f>
        <v>0</v>
      </c>
      <c r="Z409" s="397">
        <f>IF(+NFL!$F142="New England",+NFL!#REF!,IF(+NFL!$H142="New England",+NFL!#REF!,0))</f>
        <v>0</v>
      </c>
      <c r="AA409" s="396">
        <f>IF(+NFL!$F142="New England",+NFL!#REF!,IF(+NFL!$H142="New England",+NFL!#REF!,0))</f>
        <v>0</v>
      </c>
      <c r="AB409" s="87">
        <f>IF(+NFL!$F142="New England",+NFL!#REF!,IF(+NFL!$H142="New England",+NFL!#REF!,0))</f>
        <v>0</v>
      </c>
      <c r="AC409" s="120">
        <f>IF(+NFL!$F142="New England",+NFL!#REF!,IF(+NFL!$H142="New England",+NFL!#REF!,0))</f>
        <v>0</v>
      </c>
      <c r="AD409" s="353">
        <f>IF(+NFL!$F142="New England",+NFL!#REF!,IF(+NFL!$H142="New England",+NFL!#REF!,0))</f>
        <v>0</v>
      </c>
      <c r="AE409" s="379">
        <f>IF(+NFL!$F142="New England",+NFL!#REF!,IF(+NFL!$H142="New England",+NFL!#REF!,0))</f>
        <v>0</v>
      </c>
      <c r="AF409" s="353">
        <f>IF(+NFL!$F142="New England",+NFL!#REF!,IF(+NFL!$H142="New England",+NFL!#REF!,0))</f>
        <v>0</v>
      </c>
      <c r="AG409" s="379">
        <f>IF(+NFL!$F142="New England",+NFL!#REF!,IF(+NFL!$H142="New England",+NFL!#REF!,0))</f>
        <v>0</v>
      </c>
      <c r="AH409" s="353">
        <f>IF(+NFL!$F142="New England",+NFL!#REF!,IF(+NFL!$H142="New England",+NFL!#REF!,0))</f>
        <v>0</v>
      </c>
      <c r="AI409" s="379">
        <f>IF(+NFL!$F142="New England",+NFL!#REF!,IF(+NFL!$H142="New England",+NFL!#REF!,0))</f>
        <v>0</v>
      </c>
      <c r="AJ409" s="353">
        <f>IF(+NFL!$F142="New England",+NFL!#REF!,IF(+NFL!$H142="New England",+NFL!#REF!,0))</f>
        <v>0</v>
      </c>
      <c r="AK409" s="379">
        <f>IF(+NFL!$F142="New England",+NFL!#REF!,IF(+NFL!$H142="New England",+NFL!#REF!,0))</f>
        <v>0</v>
      </c>
      <c r="AL409" s="68">
        <f>IF(+NFL!$F142="New England",+NFL!#REF!,IF(+NFL!$H142="New England",+NFL!#REF!,0))</f>
        <v>0</v>
      </c>
      <c r="AM409" s="58">
        <f>IF(+NFL!$F142="New England",+NFL!#REF!,IF(+NFL!$H142="New England",+NFL!#REF!,0))</f>
        <v>0</v>
      </c>
      <c r="AN409" s="57">
        <f>IF(+NFL!$F142="New England",+NFL!#REF!,IF(+NFL!$H142="New England",+NFL!#REF!,0))</f>
        <v>0</v>
      </c>
      <c r="AO409" s="59">
        <f>IF(+NFL!$F142="New England",+NFL!#REF!,IF(+NFL!$H142="New England",+NFL!#REF!,0))</f>
        <v>0</v>
      </c>
      <c r="AP409" s="348">
        <f>IF(+NFL!$F142="New England",+NFL!#REF!,IF(+NFL!$H142="New England",+NFL!#REF!,0))</f>
        <v>0</v>
      </c>
      <c r="AQ409" s="48">
        <f>IF(+NFL!$F142="New England",+NFL!#REF!,IF(+NFL!$H142="New England",+NFL!#REF!,0))</f>
        <v>0</v>
      </c>
      <c r="AR409" s="57">
        <f>IF(+NFL!$F142="New England",+NFL!#REF!,IF(+NFL!$H142="New England",+NFL!#REF!,0))</f>
        <v>0</v>
      </c>
      <c r="AS409" s="64">
        <f>IF(+NFL!$F142="New England",+NFL!#REF!,IF(+NFL!$H142="New England",+NFL!#REF!,0))</f>
        <v>0</v>
      </c>
      <c r="AT409" s="64">
        <f>IF(+NFL!$F142="New England",+NFL!#REF!,IF(+NFL!$H142="New England",+NFL!#REF!,0))</f>
        <v>0</v>
      </c>
      <c r="AU409" s="57">
        <f>IF(+NFL!$F142="New England",+NFL!#REF!,IF(+NFL!$H142="New England",+NFL!#REF!,0))</f>
        <v>0</v>
      </c>
      <c r="AV409" s="64">
        <f>IF(+NFL!$F142="New England",+NFL!#REF!,IF(+NFL!$H142="New England",+NFL!#REF!,0))</f>
        <v>0</v>
      </c>
      <c r="AW409" s="46">
        <f>IF(+NFL!$F142="New England",+NFL!#REF!,IF(+NFL!$H142="New England",+NFL!#REF!,0))</f>
        <v>0</v>
      </c>
      <c r="AX409" s="64">
        <f>IF(+NFL!$F142="New England",+NFL!#REF!,IF(+NFL!$H142="New England",+NFL!#REF!,0))</f>
        <v>0</v>
      </c>
      <c r="AY409" s="57">
        <f>IF(+NFL!$F142="New England",+NFL!#REF!,IF(+NFL!$H142="New England",+NFL!#REF!,0))</f>
        <v>0</v>
      </c>
      <c r="AZ409" s="64">
        <f>IF(+NFL!$F142="New England",+NFL!#REF!,IF(+NFL!$H142="New England",+NFL!#REF!,0))</f>
        <v>0</v>
      </c>
      <c r="BA409" s="46">
        <f>IF(+NFL!$F142="New England",+NFL!#REF!,IF(+NFL!$H142="New England",+NFL!#REF!,0))</f>
        <v>0</v>
      </c>
      <c r="BB409" s="46">
        <f>IF(+NFL!$F142="New England",+NFL!#REF!,IF(+NFL!$H142="New England",+NFL!#REF!,0))</f>
        <v>0</v>
      </c>
      <c r="BC409" s="403">
        <f>IF(+NFL!$F142="New England",+NFL!#REF!,IF(+NFL!$H142="New England",+NFL!#REF!,0))</f>
        <v>0</v>
      </c>
      <c r="BD409" s="57">
        <f>IF(+NFL!$F142="New England",+NFL!#REF!,IF(+NFL!$H142="New England",+NFL!#REF!,0))</f>
        <v>0</v>
      </c>
      <c r="BE409" s="64">
        <f>IF(+NFL!$F142="New England",+NFL!#REF!,IF(+NFL!$H142="New England",+NFL!#REF!,0))</f>
        <v>0</v>
      </c>
      <c r="BF409" s="46">
        <f>IF(+NFL!$F142="New England",+NFL!#REF!,IF(+NFL!$H142="New England",+NFL!#REF!,0))</f>
        <v>0</v>
      </c>
      <c r="BG409" s="57">
        <f>IF(+NFL!$F142="New England",+NFL!#REF!,IF(+NFL!$H142="New England",+NFL!#REF!,0))</f>
        <v>0</v>
      </c>
      <c r="BH409" s="64">
        <f>IF(+NFL!$F142="New England",+NFL!#REF!,IF(+NFL!$H142="New England",+NFL!#REF!,0))</f>
        <v>0</v>
      </c>
      <c r="BI409" s="46">
        <f>IF(+NFL!$F142="New England",+NFL!#REF!,IF(+NFL!$H142="New England",+NFL!#REF!,0))</f>
        <v>0</v>
      </c>
      <c r="BJ409" s="87">
        <f>IF(+NFL!$F142="New England",+NFL!#REF!,IF(+NFL!$H142="New England",+NFL!#REF!,0))</f>
        <v>0</v>
      </c>
      <c r="BK409" s="120">
        <f>IF(+NFL!$F142="New England",+NFL!#REF!,IF(+NFL!$H142="New England",+NFL!#REF!,0))</f>
        <v>0</v>
      </c>
    </row>
    <row r="410" spans="1:63" s="246" customFormat="1" x14ac:dyDescent="0.8">
      <c r="A410" s="46">
        <f>IF(+NFL!$F193="New England",+NFL!A193,IF(+NFL!$H193="New England",+NFL!A193,0))</f>
        <v>11</v>
      </c>
      <c r="B410" s="348" t="str">
        <f>IF(+NFL!$F193="New England",+NFL!B193,IF(+NFL!$H193="New England",+NFL!B193,0))</f>
        <v>Sun</v>
      </c>
      <c r="C410" s="48">
        <f>IF(+NFL!$F193="New England",+NFL!C193,IF(+NFL!$H193="New England",+NFL!C193,0))</f>
        <v>44885</v>
      </c>
      <c r="D410" s="490">
        <f>IF(+NFL!$F193="New England",+NFL!D193,IF(+NFL!$H193="New England",+NFL!D193,0))</f>
        <v>0.54166666666666663</v>
      </c>
      <c r="E410" s="46" t="str">
        <f>IF(+NFL!$F193="New England",+NFL!E193,IF(+NFL!$H193="New England",+NFL!E193,0))</f>
        <v>CBS</v>
      </c>
      <c r="F410" s="127" t="str">
        <f>IF(+NFL!$F193="New England",+NFL!F193,IF(+NFL!$H193="New England",+NFL!F193,0))</f>
        <v>NY Jets</v>
      </c>
      <c r="G410" s="46" t="str">
        <f>IF(+NFL!$F193="New England",+NFL!G193,IF(+NFL!$H193="New England",+NFL!G193,0))</f>
        <v>AFCE</v>
      </c>
      <c r="H410" s="127" t="str">
        <f>IF(+NFL!$F193="New England",+NFL!H193,IF(+NFL!$H193="New England",+NFL!H193,0))</f>
        <v>New England</v>
      </c>
      <c r="I410" s="46" t="str">
        <f>IF(+NFL!$F193="New England",+NFL!I193,IF(+NFL!$H193="New England",+NFL!I193,0))</f>
        <v>AFCE</v>
      </c>
      <c r="J410" s="353" t="str">
        <f>IF(+NFL!$F193="New England",+NFL!J193,IF(+NFL!$H193="New England",+NFL!J193,0))</f>
        <v>New England</v>
      </c>
      <c r="K410" s="494" t="str">
        <f>IF(+NFL!$F193="New England",+NFL!K193,IF(+NFL!$H193="New England",+NFL!K193,0))</f>
        <v>NY Jets</v>
      </c>
      <c r="L410" s="384">
        <f>IF(+NFL!$F193="New England",+NFL!L193,IF(+NFL!$H193="New England",+NFL!L193,0))</f>
        <v>3</v>
      </c>
      <c r="M410" s="385">
        <f>IF(+NFL!$F193="New England",+NFL!M193,IF(+NFL!$H193="New England",+NFL!M193,0))</f>
        <v>38.5</v>
      </c>
      <c r="N410" s="394" t="str">
        <f>IF(+NFL!$F193="New England",+NFL!N193,IF(+NFL!$H193="New England",+NFL!N193,0))</f>
        <v>New England</v>
      </c>
      <c r="O410" s="395">
        <f>IF(+NFL!$F193="New England",+NFL!O193,IF(+NFL!$H193="New England",+NFL!O193,0))</f>
        <v>10</v>
      </c>
      <c r="P410" s="394" t="str">
        <f>IF(+NFL!$F193="New England",+NFL!P193,IF(+NFL!$H193="New England",+NFL!P193,0))</f>
        <v>NY Jets</v>
      </c>
      <c r="Q410" s="396">
        <f>IF(+NFL!$F193="New England",+NFL!Q193,IF(+NFL!$H193="New England",+NFL!Q193,0))</f>
        <v>3</v>
      </c>
      <c r="R410" s="397" t="str">
        <f>IF(+NFL!$F193="New England",+NFL!R193,IF(+NFL!$H193="New England",+NFL!R193,0))</f>
        <v>New England</v>
      </c>
      <c r="S410" s="396" t="str">
        <f>IF(+NFL!$F193="New England",+NFL!S193,IF(+NFL!$H193="New England",+NFL!S193,0))</f>
        <v>NY Jets</v>
      </c>
      <c r="T410" s="398" t="str">
        <f>IF(+NFL!$F193="New England",+NFL!T193,IF(+NFL!$H193="New England",+NFL!T193,0))</f>
        <v>New England</v>
      </c>
      <c r="U410" s="396" t="str">
        <f>IF(+NFL!$F193="New England",+NFL!U193,IF(+NFL!$H193="New England",+NFL!U193,0))</f>
        <v>W</v>
      </c>
      <c r="V410" s="397">
        <f>IF(+NFL!$F162="New England",+NFL!#REF!,IF(+NFL!$H162="New England",+NFL!#REF!,0))</f>
        <v>0</v>
      </c>
      <c r="W410" s="396">
        <f>IF(+NFL!$F162="New England",+NFL!#REF!,IF(+NFL!$H162="New England",+NFL!#REF!,0))</f>
        <v>0</v>
      </c>
      <c r="X410" s="398">
        <f>IF(+NFL!$F162="New England",+NFL!#REF!,IF(+NFL!$H162="New England",+NFL!#REF!,0))</f>
        <v>0</v>
      </c>
      <c r="Y410" s="396">
        <f>IF(+NFL!$F162="New England",+NFL!#REF!,IF(+NFL!$H162="New England",+NFL!#REF!,0))</f>
        <v>0</v>
      </c>
      <c r="Z410" s="397">
        <f>IF(+NFL!$F162="New England",+NFL!#REF!,IF(+NFL!$H162="New England",+NFL!#REF!,0))</f>
        <v>0</v>
      </c>
      <c r="AA410" s="396">
        <f>IF(+NFL!$F162="New England",+NFL!#REF!,IF(+NFL!$H162="New England",+NFL!#REF!,0))</f>
        <v>0</v>
      </c>
      <c r="AB410" s="87">
        <f>IF(+NFL!$F162="New England",+NFL!#REF!,IF(+NFL!$H162="New England",+NFL!#REF!,0))</f>
        <v>0</v>
      </c>
      <c r="AC410" s="120">
        <f>IF(+NFL!$F162="New England",+NFL!#REF!,IF(+NFL!$H162="New England",+NFL!#REF!,0))</f>
        <v>0</v>
      </c>
      <c r="AD410" s="353">
        <f>IF(+NFL!$F162="New England",+NFL!#REF!,IF(+NFL!$H162="New England",+NFL!#REF!,0))</f>
        <v>0</v>
      </c>
      <c r="AE410" s="379">
        <f>IF(+NFL!$F162="New England",+NFL!#REF!,IF(+NFL!$H162="New England",+NFL!#REF!,0))</f>
        <v>0</v>
      </c>
      <c r="AF410" s="353">
        <f>IF(+NFL!$F162="New England",+NFL!#REF!,IF(+NFL!$H162="New England",+NFL!#REF!,0))</f>
        <v>0</v>
      </c>
      <c r="AG410" s="379">
        <f>IF(+NFL!$F162="New England",+NFL!#REF!,IF(+NFL!$H162="New England",+NFL!#REF!,0))</f>
        <v>0</v>
      </c>
      <c r="AH410" s="353">
        <f>IF(+NFL!$F162="New England",+NFL!#REF!,IF(+NFL!$H162="New England",+NFL!#REF!,0))</f>
        <v>0</v>
      </c>
      <c r="AI410" s="379">
        <f>IF(+NFL!$F162="New England",+NFL!#REF!,IF(+NFL!$H162="New England",+NFL!#REF!,0))</f>
        <v>0</v>
      </c>
      <c r="AJ410" s="353">
        <f>IF(+NFL!$F162="New England",+NFL!#REF!,IF(+NFL!$H162="New England",+NFL!#REF!,0))</f>
        <v>0</v>
      </c>
      <c r="AK410" s="379">
        <f>IF(+NFL!$F162="New England",+NFL!#REF!,IF(+NFL!$H162="New England",+NFL!#REF!,0))</f>
        <v>0</v>
      </c>
      <c r="AL410" s="68">
        <f>IF(+NFL!$F162="New England",+NFL!#REF!,IF(+NFL!$H162="New England",+NFL!#REF!,0))</f>
        <v>0</v>
      </c>
      <c r="AM410" s="58">
        <f>IF(+NFL!$F162="New England",+NFL!#REF!,IF(+NFL!$H162="New England",+NFL!#REF!,0))</f>
        <v>0</v>
      </c>
      <c r="AN410" s="57">
        <f>IF(+NFL!$F162="New England",+NFL!#REF!,IF(+NFL!$H162="New England",+NFL!#REF!,0))</f>
        <v>0</v>
      </c>
      <c r="AO410" s="59">
        <f>IF(+NFL!$F162="New England",+NFL!#REF!,IF(+NFL!$H162="New England",+NFL!#REF!,0))</f>
        <v>0</v>
      </c>
      <c r="AP410" s="348">
        <f>IF(+NFL!$F162="New England",+NFL!#REF!,IF(+NFL!$H162="New England",+NFL!#REF!,0))</f>
        <v>0</v>
      </c>
      <c r="AQ410" s="48">
        <f>IF(+NFL!$F162="New England",+NFL!#REF!,IF(+NFL!$H162="New England",+NFL!#REF!,0))</f>
        <v>0</v>
      </c>
      <c r="AR410" s="57">
        <f>IF(+NFL!$F162="New England",+NFL!#REF!,IF(+NFL!$H162="New England",+NFL!#REF!,0))</f>
        <v>0</v>
      </c>
      <c r="AS410" s="64">
        <f>IF(+NFL!$F162="New England",+NFL!#REF!,IF(+NFL!$H162="New England",+NFL!#REF!,0))</f>
        <v>0</v>
      </c>
      <c r="AT410" s="64">
        <f>IF(+NFL!$F162="New England",+NFL!#REF!,IF(+NFL!$H162="New England",+NFL!#REF!,0))</f>
        <v>0</v>
      </c>
      <c r="AU410" s="57">
        <f>IF(+NFL!$F162="New England",+NFL!#REF!,IF(+NFL!$H162="New England",+NFL!#REF!,0))</f>
        <v>0</v>
      </c>
      <c r="AV410" s="64">
        <f>IF(+NFL!$F162="New England",+NFL!#REF!,IF(+NFL!$H162="New England",+NFL!#REF!,0))</f>
        <v>0</v>
      </c>
      <c r="AW410" s="46">
        <f>IF(+NFL!$F162="New England",+NFL!#REF!,IF(+NFL!$H162="New England",+NFL!#REF!,0))</f>
        <v>0</v>
      </c>
      <c r="AX410" s="64">
        <f>IF(+NFL!$F162="New England",+NFL!#REF!,IF(+NFL!$H162="New England",+NFL!#REF!,0))</f>
        <v>0</v>
      </c>
      <c r="AY410" s="57">
        <f>IF(+NFL!$F162="New England",+NFL!#REF!,IF(+NFL!$H162="New England",+NFL!#REF!,0))</f>
        <v>0</v>
      </c>
      <c r="AZ410" s="64">
        <f>IF(+NFL!$F162="New England",+NFL!#REF!,IF(+NFL!$H162="New England",+NFL!#REF!,0))</f>
        <v>0</v>
      </c>
      <c r="BA410" s="46">
        <f>IF(+NFL!$F162="New England",+NFL!#REF!,IF(+NFL!$H162="New England",+NFL!#REF!,0))</f>
        <v>0</v>
      </c>
      <c r="BB410" s="46">
        <f>IF(+NFL!$F162="New England",+NFL!#REF!,IF(+NFL!$H162="New England",+NFL!#REF!,0))</f>
        <v>0</v>
      </c>
      <c r="BC410" s="403">
        <f>IF(+NFL!$F162="New England",+NFL!#REF!,IF(+NFL!$H162="New England",+NFL!#REF!,0))</f>
        <v>0</v>
      </c>
      <c r="BD410" s="57">
        <f>IF(+NFL!$F162="New England",+NFL!#REF!,IF(+NFL!$H162="New England",+NFL!#REF!,0))</f>
        <v>0</v>
      </c>
      <c r="BE410" s="64">
        <f>IF(+NFL!$F162="New England",+NFL!#REF!,IF(+NFL!$H162="New England",+NFL!#REF!,0))</f>
        <v>0</v>
      </c>
      <c r="BF410" s="46">
        <f>IF(+NFL!$F162="New England",+NFL!#REF!,IF(+NFL!$H162="New England",+NFL!#REF!,0))</f>
        <v>0</v>
      </c>
      <c r="BG410" s="57">
        <f>IF(+NFL!$F162="New England",+NFL!#REF!,IF(+NFL!$H162="New England",+NFL!#REF!,0))</f>
        <v>0</v>
      </c>
      <c r="BH410" s="64">
        <f>IF(+NFL!$F162="New England",+NFL!#REF!,IF(+NFL!$H162="New England",+NFL!#REF!,0))</f>
        <v>0</v>
      </c>
      <c r="BI410" s="46">
        <f>IF(+NFL!$F162="New England",+NFL!#REF!,IF(+NFL!$H162="New England",+NFL!#REF!,0))</f>
        <v>0</v>
      </c>
      <c r="BJ410" s="87">
        <f>IF(+NFL!$F162="New England",+NFL!#REF!,IF(+NFL!$H162="New England",+NFL!#REF!,0))</f>
        <v>0</v>
      </c>
      <c r="BK410" s="120">
        <f>IF(+NFL!$F162="New England",+NFL!#REF!,IF(+NFL!$H162="New England",+NFL!#REF!,0))</f>
        <v>0</v>
      </c>
    </row>
    <row r="411" spans="1:63" s="246" customFormat="1" x14ac:dyDescent="0.8">
      <c r="A411" s="46">
        <f>IF(+NFL!$F211="New England",+NFL!A211,IF(+NFL!$H211="New England",+NFL!A211,0))</f>
        <v>12</v>
      </c>
      <c r="B411" s="348" t="str">
        <f>IF(+NFL!$F211="New England",+NFL!B211,IF(+NFL!$H211="New England",+NFL!B211,0))</f>
        <v>Thurs</v>
      </c>
      <c r="C411" s="48">
        <f>IF(+NFL!$F211="New England",+NFL!C211,IF(+NFL!$H211="New England",+NFL!C211,0))</f>
        <v>44889</v>
      </c>
      <c r="D411" s="490">
        <f>IF(+NFL!$F211="New England",+NFL!D211,IF(+NFL!$H211="New England",+NFL!D211,0))</f>
        <v>0.84375</v>
      </c>
      <c r="E411" s="46" t="str">
        <f>IF(+NFL!$F211="New England",+NFL!E211,IF(+NFL!$H211="New England",+NFL!E211,0))</f>
        <v>NBC</v>
      </c>
      <c r="F411" s="127" t="str">
        <f>IF(+NFL!$F211="New England",+NFL!F211,IF(+NFL!$H211="New England",+NFL!F211,0))</f>
        <v>New England</v>
      </c>
      <c r="G411" s="46" t="str">
        <f>IF(+NFL!$F211="New England",+NFL!G211,IF(+NFL!$H211="New England",+NFL!G211,0))</f>
        <v>AFCE</v>
      </c>
      <c r="H411" s="127" t="str">
        <f>IF(+NFL!$F211="New England",+NFL!H211,IF(+NFL!$H211="New England",+NFL!H211,0))</f>
        <v>Minnesota</v>
      </c>
      <c r="I411" s="46" t="str">
        <f>IF(+NFL!$F211="New England",+NFL!I211,IF(+NFL!$H211="New England",+NFL!I211,0))</f>
        <v>NFCN</v>
      </c>
      <c r="J411" s="353" t="str">
        <f>IF(+NFL!$F211="New England",+NFL!J211,IF(+NFL!$H211="New England",+NFL!J211,0))</f>
        <v>Minnesota</v>
      </c>
      <c r="K411" s="494" t="str">
        <f>IF(+NFL!$F211="New England",+NFL!K211,IF(+NFL!$H211="New England",+NFL!K211,0))</f>
        <v>New England</v>
      </c>
      <c r="L411" s="384">
        <f>IF(+NFL!$F211="New England",+NFL!L211,IF(+NFL!$H211="New England",+NFL!L211,0))</f>
        <v>2.5</v>
      </c>
      <c r="M411" s="385">
        <f>IF(+NFL!$F211="New England",+NFL!M211,IF(+NFL!$H211="New England",+NFL!M211,0))</f>
        <v>52.5</v>
      </c>
      <c r="N411" s="394" t="str">
        <f>IF(+NFL!$F211="New England",+NFL!N211,IF(+NFL!$H211="New England",+NFL!N211,0))</f>
        <v>Minnesota</v>
      </c>
      <c r="O411" s="395">
        <f>IF(+NFL!$F211="New England",+NFL!O211,IF(+NFL!$H211="New England",+NFL!O211,0))</f>
        <v>33</v>
      </c>
      <c r="P411" s="394" t="str">
        <f>IF(+NFL!$F211="New England",+NFL!P211,IF(+NFL!$H211="New England",+NFL!P211,0))</f>
        <v>New England</v>
      </c>
      <c r="Q411" s="396">
        <f>IF(+NFL!$F211="New England",+NFL!Q211,IF(+NFL!$H211="New England",+NFL!Q211,0))</f>
        <v>26</v>
      </c>
      <c r="R411" s="397" t="str">
        <f>IF(+NFL!$F211="New England",+NFL!R211,IF(+NFL!$H211="New England",+NFL!R211,0))</f>
        <v>Minnesota</v>
      </c>
      <c r="S411" s="396" t="str">
        <f>IF(+NFL!$F211="New England",+NFL!S211,IF(+NFL!$H211="New England",+NFL!S211,0))</f>
        <v>New England</v>
      </c>
      <c r="T411" s="398" t="str">
        <f>IF(+NFL!$F211="New England",+NFL!T211,IF(+NFL!$H211="New England",+NFL!T211,0))</f>
        <v>Minnesota</v>
      </c>
      <c r="U411" s="396" t="str">
        <f>IF(+NFL!$F211="New England",+NFL!U211,IF(+NFL!$H211="New England",+NFL!U211,0))</f>
        <v>W</v>
      </c>
      <c r="V411" s="397" t="e">
        <f>IF(+NFL!$F185="New England",+NFL!#REF!,IF(+NFL!$H185="New England",+NFL!#REF!,0))</f>
        <v>#REF!</v>
      </c>
      <c r="W411" s="396" t="e">
        <f>IF(+NFL!$F185="New England",+NFL!#REF!,IF(+NFL!$H185="New England",+NFL!#REF!,0))</f>
        <v>#REF!</v>
      </c>
      <c r="X411" s="398" t="e">
        <f>IF(+NFL!$F185="New England",+NFL!#REF!,IF(+NFL!$H185="New England",+NFL!#REF!,0))</f>
        <v>#REF!</v>
      </c>
      <c r="Y411" s="396" t="e">
        <f>IF(+NFL!$F185="New England",+NFL!#REF!,IF(+NFL!$H185="New England",+NFL!#REF!,0))</f>
        <v>#REF!</v>
      </c>
      <c r="Z411" s="397" t="e">
        <f>IF(+NFL!$F185="New England",+NFL!#REF!,IF(+NFL!$H185="New England",+NFL!#REF!,0))</f>
        <v>#REF!</v>
      </c>
      <c r="AA411" s="396" t="e">
        <f>IF(+NFL!$F185="New England",+NFL!#REF!,IF(+NFL!$H185="New England",+NFL!#REF!,0))</f>
        <v>#REF!</v>
      </c>
      <c r="AB411" s="87" t="e">
        <f>IF(+NFL!$F185="New England",+NFL!#REF!,IF(+NFL!$H185="New England",+NFL!#REF!,0))</f>
        <v>#REF!</v>
      </c>
      <c r="AC411" s="120" t="e">
        <f>IF(+NFL!$F185="New England",+NFL!#REF!,IF(+NFL!$H185="New England",+NFL!#REF!,0))</f>
        <v>#REF!</v>
      </c>
      <c r="AD411" s="353" t="e">
        <f>IF(+NFL!$F185="New England",+NFL!#REF!,IF(+NFL!$H185="New England",+NFL!#REF!,0))</f>
        <v>#REF!</v>
      </c>
      <c r="AE411" s="379" t="e">
        <f>IF(+NFL!$F185="New England",+NFL!#REF!,IF(+NFL!$H185="New England",+NFL!#REF!,0))</f>
        <v>#REF!</v>
      </c>
      <c r="AF411" s="353" t="e">
        <f>IF(+NFL!$F185="New England",+NFL!#REF!,IF(+NFL!$H185="New England",+NFL!#REF!,0))</f>
        <v>#REF!</v>
      </c>
      <c r="AG411" s="379" t="e">
        <f>IF(+NFL!$F185="New England",+NFL!#REF!,IF(+NFL!$H185="New England",+NFL!#REF!,0))</f>
        <v>#REF!</v>
      </c>
      <c r="AH411" s="353" t="e">
        <f>IF(+NFL!$F185="New England",+NFL!#REF!,IF(+NFL!$H185="New England",+NFL!#REF!,0))</f>
        <v>#REF!</v>
      </c>
      <c r="AI411" s="379" t="e">
        <f>IF(+NFL!$F185="New England",+NFL!#REF!,IF(+NFL!$H185="New England",+NFL!#REF!,0))</f>
        <v>#REF!</v>
      </c>
      <c r="AJ411" s="353" t="e">
        <f>IF(+NFL!$F185="New England",+NFL!#REF!,IF(+NFL!$H185="New England",+NFL!#REF!,0))</f>
        <v>#REF!</v>
      </c>
      <c r="AK411" s="379" t="e">
        <f>IF(+NFL!$F185="New England",+NFL!#REF!,IF(+NFL!$H185="New England",+NFL!#REF!,0))</f>
        <v>#REF!</v>
      </c>
      <c r="AL411" s="68" t="e">
        <f>IF(+NFL!$F185="New England",+NFL!#REF!,IF(+NFL!$H185="New England",+NFL!#REF!,0))</f>
        <v>#REF!</v>
      </c>
      <c r="AM411" s="58" t="e">
        <f>IF(+NFL!$F185="New England",+NFL!#REF!,IF(+NFL!$H185="New England",+NFL!#REF!,0))</f>
        <v>#REF!</v>
      </c>
      <c r="AN411" s="57" t="e">
        <f>IF(+NFL!$F185="New England",+NFL!#REF!,IF(+NFL!$H185="New England",+NFL!#REF!,0))</f>
        <v>#REF!</v>
      </c>
      <c r="AO411" s="59" t="e">
        <f>IF(+NFL!$F185="New England",+NFL!#REF!,IF(+NFL!$H185="New England",+NFL!#REF!,0))</f>
        <v>#REF!</v>
      </c>
      <c r="AP411" s="348" t="e">
        <f>IF(+NFL!$F185="New England",+NFL!#REF!,IF(+NFL!$H185="New England",+NFL!#REF!,0))</f>
        <v>#REF!</v>
      </c>
      <c r="AQ411" s="48" t="e">
        <f>IF(+NFL!$F185="New England",+NFL!#REF!,IF(+NFL!$H185="New England",+NFL!#REF!,0))</f>
        <v>#REF!</v>
      </c>
      <c r="AR411" s="57" t="e">
        <f>IF(+NFL!$F185="New England",+NFL!#REF!,IF(+NFL!$H185="New England",+NFL!#REF!,0))</f>
        <v>#REF!</v>
      </c>
      <c r="AS411" s="64" t="e">
        <f>IF(+NFL!$F185="New England",+NFL!#REF!,IF(+NFL!$H185="New England",+NFL!#REF!,0))</f>
        <v>#REF!</v>
      </c>
      <c r="AT411" s="64" t="e">
        <f>IF(+NFL!$F185="New England",+NFL!#REF!,IF(+NFL!$H185="New England",+NFL!#REF!,0))</f>
        <v>#REF!</v>
      </c>
      <c r="AU411" s="57" t="e">
        <f>IF(+NFL!$F185="New England",+NFL!#REF!,IF(+NFL!$H185="New England",+NFL!#REF!,0))</f>
        <v>#REF!</v>
      </c>
      <c r="AV411" s="64" t="e">
        <f>IF(+NFL!$F185="New England",+NFL!#REF!,IF(+NFL!$H185="New England",+NFL!#REF!,0))</f>
        <v>#REF!</v>
      </c>
      <c r="AW411" s="46" t="e">
        <f>IF(+NFL!$F185="New England",+NFL!#REF!,IF(+NFL!$H185="New England",+NFL!#REF!,0))</f>
        <v>#REF!</v>
      </c>
      <c r="AX411" s="64" t="e">
        <f>IF(+NFL!$F185="New England",+NFL!#REF!,IF(+NFL!$H185="New England",+NFL!#REF!,0))</f>
        <v>#REF!</v>
      </c>
      <c r="AY411" s="57" t="e">
        <f>IF(+NFL!$F185="New England",+NFL!#REF!,IF(+NFL!$H185="New England",+NFL!#REF!,0))</f>
        <v>#REF!</v>
      </c>
      <c r="AZ411" s="64" t="e">
        <f>IF(+NFL!$F185="New England",+NFL!#REF!,IF(+NFL!$H185="New England",+NFL!#REF!,0))</f>
        <v>#REF!</v>
      </c>
      <c r="BA411" s="46" t="e">
        <f>IF(+NFL!$F185="New England",+NFL!#REF!,IF(+NFL!$H185="New England",+NFL!#REF!,0))</f>
        <v>#REF!</v>
      </c>
      <c r="BB411" s="46" t="e">
        <f>IF(+NFL!$F185="New England",+NFL!#REF!,IF(+NFL!$H185="New England",+NFL!#REF!,0))</f>
        <v>#REF!</v>
      </c>
      <c r="BC411" s="403" t="e">
        <f>IF(+NFL!$F185="New England",+NFL!#REF!,IF(+NFL!$H185="New England",+NFL!#REF!,0))</f>
        <v>#REF!</v>
      </c>
      <c r="BD411" s="57" t="e">
        <f>IF(+NFL!$F185="New England",+NFL!#REF!,IF(+NFL!$H185="New England",+NFL!#REF!,0))</f>
        <v>#REF!</v>
      </c>
      <c r="BE411" s="64" t="e">
        <f>IF(+NFL!$F185="New England",+NFL!#REF!,IF(+NFL!$H185="New England",+NFL!#REF!,0))</f>
        <v>#REF!</v>
      </c>
      <c r="BF411" s="46" t="e">
        <f>IF(+NFL!$F185="New England",+NFL!#REF!,IF(+NFL!$H185="New England",+NFL!#REF!,0))</f>
        <v>#REF!</v>
      </c>
      <c r="BG411" s="57" t="e">
        <f>IF(+NFL!$F185="New England",+NFL!#REF!,IF(+NFL!$H185="New England",+NFL!#REF!,0))</f>
        <v>#REF!</v>
      </c>
      <c r="BH411" s="64" t="e">
        <f>IF(+NFL!$F185="New England",+NFL!#REF!,IF(+NFL!$H185="New England",+NFL!#REF!,0))</f>
        <v>#REF!</v>
      </c>
      <c r="BI411" s="46" t="e">
        <f>IF(+NFL!$F185="New England",+NFL!#REF!,IF(+NFL!$H185="New England",+NFL!#REF!,0))</f>
        <v>#REF!</v>
      </c>
      <c r="BJ411" s="87" t="e">
        <f>IF(+NFL!$F185="New England",+NFL!#REF!,IF(+NFL!$H185="New England",+NFL!#REF!,0))</f>
        <v>#REF!</v>
      </c>
      <c r="BK411" s="120" t="e">
        <f>IF(+NFL!$F185="New England",+NFL!#REF!,IF(+NFL!$H185="New England",+NFL!#REF!,0))</f>
        <v>#REF!</v>
      </c>
    </row>
    <row r="412" spans="1:63" s="246" customFormat="1" x14ac:dyDescent="0.8">
      <c r="A412" s="46">
        <f>IF(+NFL!$F226="New England",+NFL!A226,IF(+NFL!$H226="New England",+NFL!A226,0))</f>
        <v>13</v>
      </c>
      <c r="B412" s="348" t="str">
        <f>IF(+NFL!$F226="New England",+NFL!B226,IF(+NFL!$H226="New England",+NFL!B226,0))</f>
        <v>Thurs</v>
      </c>
      <c r="C412" s="48">
        <f>IF(+NFL!$F226="New England",+NFL!C226,IF(+NFL!$H226="New England",+NFL!C226,0))</f>
        <v>44896</v>
      </c>
      <c r="D412" s="490">
        <f>IF(+NFL!$F226="New England",+NFL!D226,IF(+NFL!$H226="New England",+NFL!D226,0))</f>
        <v>0.84375</v>
      </c>
      <c r="E412" s="46" t="str">
        <f>IF(+NFL!$F226="New England",+NFL!E226,IF(+NFL!$H226="New England",+NFL!E226,0))</f>
        <v>NBC</v>
      </c>
      <c r="F412" s="127" t="str">
        <f>IF(+NFL!$F226="New England",+NFL!F226,IF(+NFL!$H226="New England",+NFL!F226,0))</f>
        <v>Buffalo</v>
      </c>
      <c r="G412" s="46" t="str">
        <f>IF(+NFL!$F226="New England",+NFL!G226,IF(+NFL!$H226="New England",+NFL!G226,0))</f>
        <v>AFCE</v>
      </c>
      <c r="H412" s="127" t="str">
        <f>IF(+NFL!$F226="New England",+NFL!H226,IF(+NFL!$H226="New England",+NFL!H226,0))</f>
        <v>New England</v>
      </c>
      <c r="I412" s="46" t="str">
        <f>IF(+NFL!$F226="New England",+NFL!I226,IF(+NFL!$H226="New England",+NFL!I226,0))</f>
        <v>AFCE</v>
      </c>
      <c r="J412" s="353" t="str">
        <f>IF(+NFL!$F226="New England",+NFL!J226,IF(+NFL!$H226="New England",+NFL!J226,0))</f>
        <v>Buffalo</v>
      </c>
      <c r="K412" s="494" t="str">
        <f>IF(+NFL!$F226="New England",+NFL!K226,IF(+NFL!$H226="New England",+NFL!K226,0))</f>
        <v>New England</v>
      </c>
      <c r="L412" s="384">
        <f>IF(+NFL!$F226="New England",+NFL!L226,IF(+NFL!$H226="New England",+NFL!L226,0))</f>
        <v>4</v>
      </c>
      <c r="M412" s="385">
        <f>IF(+NFL!$F226="New England",+NFL!M226,IF(+NFL!$H226="New England",+NFL!M226,0))</f>
        <v>43.5</v>
      </c>
      <c r="N412" s="394" t="str">
        <f>IF(+NFL!$F226="New England",+NFL!N226,IF(+NFL!$H226="New England",+NFL!N226,0))</f>
        <v>Buffalo</v>
      </c>
      <c r="O412" s="395">
        <f>IF(+NFL!$F226="New England",+NFL!O226,IF(+NFL!$H226="New England",+NFL!O226,0))</f>
        <v>24</v>
      </c>
      <c r="P412" s="394" t="str">
        <f>IF(+NFL!$F226="New England",+NFL!P226,IF(+NFL!$H226="New England",+NFL!P226,0))</f>
        <v>New England</v>
      </c>
      <c r="Q412" s="396">
        <f>IF(+NFL!$F226="New England",+NFL!Q226,IF(+NFL!$H226="New England",+NFL!Q226,0))</f>
        <v>10</v>
      </c>
      <c r="R412" s="397" t="str">
        <f>IF(+NFL!$F226="New England",+NFL!R226,IF(+NFL!$H226="New England",+NFL!R226,0))</f>
        <v>Buffalo</v>
      </c>
      <c r="S412" s="396" t="str">
        <f>IF(+NFL!$F226="New England",+NFL!S226,IF(+NFL!$H226="New England",+NFL!S226,0))</f>
        <v>New England</v>
      </c>
      <c r="T412" s="398" t="str">
        <f>IF(+NFL!$F226="New England",+NFL!T226,IF(+NFL!$H226="New England",+NFL!T226,0))</f>
        <v>Buffalo</v>
      </c>
      <c r="U412" s="396" t="str">
        <f>IF(+NFL!$F226="New England",+NFL!U226,IF(+NFL!$H226="New England",+NFL!U226,0))</f>
        <v>W</v>
      </c>
      <c r="V412" s="397">
        <f>IF(+NFL!$F210="New England",+NFL!#REF!,IF(+NFL!$H210="New England",+NFL!#REF!,0))</f>
        <v>0</v>
      </c>
      <c r="W412" s="396">
        <f>IF(+NFL!$F210="New England",+NFL!#REF!,IF(+NFL!$H210="New England",+NFL!#REF!,0))</f>
        <v>0</v>
      </c>
      <c r="X412" s="398">
        <f>IF(+NFL!$F210="New England",+NFL!#REF!,IF(+NFL!$H210="New England",+NFL!#REF!,0))</f>
        <v>0</v>
      </c>
      <c r="Y412" s="396">
        <f>IF(+NFL!$F210="New England",+NFL!#REF!,IF(+NFL!$H210="New England",+NFL!#REF!,0))</f>
        <v>0</v>
      </c>
      <c r="Z412" s="397">
        <f>IF(+NFL!$F210="New England",+NFL!#REF!,IF(+NFL!$H210="New England",+NFL!#REF!,0))</f>
        <v>0</v>
      </c>
      <c r="AA412" s="396">
        <f>IF(+NFL!$F210="New England",+NFL!#REF!,IF(+NFL!$H210="New England",+NFL!#REF!,0))</f>
        <v>0</v>
      </c>
      <c r="AB412" s="87">
        <f>IF(+NFL!$F210="New England",+NFL!#REF!,IF(+NFL!$H210="New England",+NFL!#REF!,0))</f>
        <v>0</v>
      </c>
      <c r="AC412" s="120">
        <f>IF(+NFL!$F210="New England",+NFL!#REF!,IF(+NFL!$H210="New England",+NFL!#REF!,0))</f>
        <v>0</v>
      </c>
      <c r="AD412" s="353">
        <f>IF(+NFL!$F210="New England",+NFL!#REF!,IF(+NFL!$H210="New England",+NFL!#REF!,0))</f>
        <v>0</v>
      </c>
      <c r="AE412" s="379">
        <f>IF(+NFL!$F210="New England",+NFL!#REF!,IF(+NFL!$H210="New England",+NFL!#REF!,0))</f>
        <v>0</v>
      </c>
      <c r="AF412" s="353">
        <f>IF(+NFL!$F210="New England",+NFL!#REF!,IF(+NFL!$H210="New England",+NFL!#REF!,0))</f>
        <v>0</v>
      </c>
      <c r="AG412" s="379">
        <f>IF(+NFL!$F210="New England",+NFL!#REF!,IF(+NFL!$H210="New England",+NFL!#REF!,0))</f>
        <v>0</v>
      </c>
      <c r="AH412" s="353">
        <f>IF(+NFL!$F210="New England",+NFL!#REF!,IF(+NFL!$H210="New England",+NFL!#REF!,0))</f>
        <v>0</v>
      </c>
      <c r="AI412" s="379">
        <f>IF(+NFL!$F210="New England",+NFL!#REF!,IF(+NFL!$H210="New England",+NFL!#REF!,0))</f>
        <v>0</v>
      </c>
      <c r="AJ412" s="353">
        <f>IF(+NFL!$F210="New England",+NFL!#REF!,IF(+NFL!$H210="New England",+NFL!#REF!,0))</f>
        <v>0</v>
      </c>
      <c r="AK412" s="379">
        <f>IF(+NFL!$F210="New England",+NFL!#REF!,IF(+NFL!$H210="New England",+NFL!#REF!,0))</f>
        <v>0</v>
      </c>
      <c r="AL412" s="68">
        <f>IF(+NFL!$F210="New England",+NFL!#REF!,IF(+NFL!$H210="New England",+NFL!#REF!,0))</f>
        <v>0</v>
      </c>
      <c r="AM412" s="58">
        <f>IF(+NFL!$F210="New England",+NFL!#REF!,IF(+NFL!$H210="New England",+NFL!#REF!,0))</f>
        <v>0</v>
      </c>
      <c r="AN412" s="57">
        <f>IF(+NFL!$F210="New England",+NFL!#REF!,IF(+NFL!$H210="New England",+NFL!#REF!,0))</f>
        <v>0</v>
      </c>
      <c r="AO412" s="59">
        <f>IF(+NFL!$F210="New England",+NFL!#REF!,IF(+NFL!$H210="New England",+NFL!#REF!,0))</f>
        <v>0</v>
      </c>
      <c r="AP412" s="348">
        <f>IF(+NFL!$F210="New England",+NFL!#REF!,IF(+NFL!$H210="New England",+NFL!#REF!,0))</f>
        <v>0</v>
      </c>
      <c r="AQ412" s="48">
        <f>IF(+NFL!$F210="New England",+NFL!#REF!,IF(+NFL!$H210="New England",+NFL!#REF!,0))</f>
        <v>0</v>
      </c>
      <c r="AR412" s="57">
        <f>IF(+NFL!$F210="New England",+NFL!#REF!,IF(+NFL!$H210="New England",+NFL!#REF!,0))</f>
        <v>0</v>
      </c>
      <c r="AS412" s="64">
        <f>IF(+NFL!$F210="New England",+NFL!#REF!,IF(+NFL!$H210="New England",+NFL!#REF!,0))</f>
        <v>0</v>
      </c>
      <c r="AT412" s="64">
        <f>IF(+NFL!$F210="New England",+NFL!#REF!,IF(+NFL!$H210="New England",+NFL!#REF!,0))</f>
        <v>0</v>
      </c>
      <c r="AU412" s="57">
        <f>IF(+NFL!$F210="New England",+NFL!#REF!,IF(+NFL!$H210="New England",+NFL!#REF!,0))</f>
        <v>0</v>
      </c>
      <c r="AV412" s="64">
        <f>IF(+NFL!$F210="New England",+NFL!#REF!,IF(+NFL!$H210="New England",+NFL!#REF!,0))</f>
        <v>0</v>
      </c>
      <c r="AW412" s="46">
        <f>IF(+NFL!$F210="New England",+NFL!#REF!,IF(+NFL!$H210="New England",+NFL!#REF!,0))</f>
        <v>0</v>
      </c>
      <c r="AX412" s="64">
        <f>IF(+NFL!$F210="New England",+NFL!#REF!,IF(+NFL!$H210="New England",+NFL!#REF!,0))</f>
        <v>0</v>
      </c>
      <c r="AY412" s="57">
        <f>IF(+NFL!$F210="New England",+NFL!#REF!,IF(+NFL!$H210="New England",+NFL!#REF!,0))</f>
        <v>0</v>
      </c>
      <c r="AZ412" s="64">
        <f>IF(+NFL!$F210="New England",+NFL!#REF!,IF(+NFL!$H210="New England",+NFL!#REF!,0))</f>
        <v>0</v>
      </c>
      <c r="BA412" s="46">
        <f>IF(+NFL!$F210="New England",+NFL!#REF!,IF(+NFL!$H210="New England",+NFL!#REF!,0))</f>
        <v>0</v>
      </c>
      <c r="BB412" s="46">
        <f>IF(+NFL!$F210="New England",+NFL!#REF!,IF(+NFL!$H210="New England",+NFL!#REF!,0))</f>
        <v>0</v>
      </c>
      <c r="BC412" s="403">
        <f>IF(+NFL!$F210="New England",+NFL!#REF!,IF(+NFL!$H210="New England",+NFL!#REF!,0))</f>
        <v>0</v>
      </c>
      <c r="BD412" s="57">
        <f>IF(+NFL!$F210="New England",+NFL!#REF!,IF(+NFL!$H210="New England",+NFL!#REF!,0))</f>
        <v>0</v>
      </c>
      <c r="BE412" s="64">
        <f>IF(+NFL!$F210="New England",+NFL!#REF!,IF(+NFL!$H210="New England",+NFL!#REF!,0))</f>
        <v>0</v>
      </c>
      <c r="BF412" s="46">
        <f>IF(+NFL!$F210="New England",+NFL!#REF!,IF(+NFL!$H210="New England",+NFL!#REF!,0))</f>
        <v>0</v>
      </c>
      <c r="BG412" s="57">
        <f>IF(+NFL!$F210="New England",+NFL!#REF!,IF(+NFL!$H210="New England",+NFL!#REF!,0))</f>
        <v>0</v>
      </c>
      <c r="BH412" s="64">
        <f>IF(+NFL!$F210="New England",+NFL!#REF!,IF(+NFL!$H210="New England",+NFL!#REF!,0))</f>
        <v>0</v>
      </c>
      <c r="BI412" s="46">
        <f>IF(+NFL!$F210="New England",+NFL!#REF!,IF(+NFL!$H210="New England",+NFL!#REF!,0))</f>
        <v>0</v>
      </c>
      <c r="BJ412" s="87">
        <f>IF(+NFL!$F210="New England",+NFL!#REF!,IF(+NFL!$H210="New England",+NFL!#REF!,0))</f>
        <v>0</v>
      </c>
      <c r="BK412" s="120">
        <f>IF(+NFL!$F210="New England",+NFL!#REF!,IF(+NFL!$H210="New England",+NFL!#REF!,0))</f>
        <v>0</v>
      </c>
    </row>
    <row r="413" spans="1:63" s="246" customFormat="1" x14ac:dyDescent="0.8">
      <c r="A413" s="46">
        <f>IF(+NFL!$F257="New England",+NFL!A257,IF(+NFL!$H257="New England",+NFL!A257,0))</f>
        <v>14</v>
      </c>
      <c r="B413" s="348" t="str">
        <f>IF(+NFL!$F257="New England",+NFL!B257,IF(+NFL!$H257="New England",+NFL!B257,0))</f>
        <v>Sun</v>
      </c>
      <c r="C413" s="48">
        <f>IF(+NFL!$F257="New England",+NFL!C257,IF(+NFL!$H257="New England",+NFL!C257,0))</f>
        <v>44906</v>
      </c>
      <c r="D413" s="490">
        <f>IF(+NFL!$F257="New England",+NFL!D257,IF(+NFL!$H257="New England",+NFL!D257,0))</f>
        <v>0.66666666666666663</v>
      </c>
      <c r="E413" s="46" t="str">
        <f>IF(+NFL!$F257="New England",+NFL!E257,IF(+NFL!$H257="New England",+NFL!E257,0))</f>
        <v>CBS</v>
      </c>
      <c r="F413" s="127" t="str">
        <f>IF(+NFL!$F257="New England",+NFL!F257,IF(+NFL!$H257="New England",+NFL!F257,0))</f>
        <v>New England</v>
      </c>
      <c r="G413" s="46" t="str">
        <f>IF(+NFL!$F257="New England",+NFL!G257,IF(+NFL!$H257="New England",+NFL!G257,0))</f>
        <v>AFCE</v>
      </c>
      <c r="H413" s="127" t="str">
        <f>IF(+NFL!$F257="New England",+NFL!H257,IF(+NFL!$H257="New England",+NFL!H257,0))</f>
        <v>Arizona</v>
      </c>
      <c r="I413" s="46" t="str">
        <f>IF(+NFL!$F257="New England",+NFL!I257,IF(+NFL!$H257="New England",+NFL!I257,0))</f>
        <v>NFCW</v>
      </c>
      <c r="J413" s="353" t="str">
        <f>IF(+NFL!$F257="New England",+NFL!J257,IF(+NFL!$H257="New England",+NFL!J257,0))</f>
        <v>New England</v>
      </c>
      <c r="K413" s="494" t="str">
        <f>IF(+NFL!$F257="New England",+NFL!K257,IF(+NFL!$H257="New England",+NFL!K257,0))</f>
        <v>Arizona</v>
      </c>
      <c r="L413" s="384">
        <f>IF(+NFL!$F257="New England",+NFL!L257,IF(+NFL!$H257="New England",+NFL!L257,0))</f>
        <v>3.5</v>
      </c>
      <c r="M413" s="385">
        <f>IF(+NFL!$F257="New England",+NFL!M257,IF(+NFL!$H257="New England",+NFL!M257,0))</f>
        <v>39.5</v>
      </c>
      <c r="N413" s="394" t="str">
        <f>IF(+NFL!$F257="New England",+NFL!N257,IF(+NFL!$H257="New England",+NFL!N257,0))</f>
        <v>New England</v>
      </c>
      <c r="O413" s="395">
        <f>IF(+NFL!$F257="New England",+NFL!O257,IF(+NFL!$H257="New England",+NFL!O257,0))</f>
        <v>27</v>
      </c>
      <c r="P413" s="394" t="str">
        <f>IF(+NFL!$F257="New England",+NFL!P257,IF(+NFL!$H257="New England",+NFL!P257,0))</f>
        <v>Arizona</v>
      </c>
      <c r="Q413" s="396">
        <f>IF(+NFL!$F257="New England",+NFL!Q257,IF(+NFL!$H257="New England",+NFL!Q257,0))</f>
        <v>13</v>
      </c>
      <c r="R413" s="397" t="str">
        <f>IF(+NFL!$F257="New England",+NFL!R257,IF(+NFL!$H257="New England",+NFL!R257,0))</f>
        <v>New England</v>
      </c>
      <c r="S413" s="396" t="str">
        <f>IF(+NFL!$F257="New England",+NFL!S257,IF(+NFL!$H257="New England",+NFL!S257,0))</f>
        <v>Arizona</v>
      </c>
      <c r="T413" s="398">
        <f>IF(+NFL!$F257="New England",+NFL!T257,IF(+NFL!$H257="New England",+NFL!T257,0))</f>
        <v>0</v>
      </c>
      <c r="U413" s="396" t="str">
        <f>IF(+NFL!$F257="New England",+NFL!U257,IF(+NFL!$H257="New England",+NFL!U257,0))</f>
        <v>L</v>
      </c>
      <c r="V413" s="397">
        <f>IF(+NFL!$F228="New England",+NFL!#REF!,IF(+NFL!$H228="New England",+NFL!#REF!,0))</f>
        <v>0</v>
      </c>
      <c r="W413" s="396">
        <f>IF(+NFL!$F228="New England",+NFL!#REF!,IF(+NFL!$H228="New England",+NFL!#REF!,0))</f>
        <v>0</v>
      </c>
      <c r="X413" s="398">
        <f>IF(+NFL!$F228="New England",+NFL!#REF!,IF(+NFL!$H228="New England",+NFL!#REF!,0))</f>
        <v>0</v>
      </c>
      <c r="Y413" s="396">
        <f>IF(+NFL!$F228="New England",+NFL!#REF!,IF(+NFL!$H228="New England",+NFL!#REF!,0))</f>
        <v>0</v>
      </c>
      <c r="Z413" s="397">
        <f>IF(+NFL!$F228="New England",+NFL!#REF!,IF(+NFL!$H228="New England",+NFL!#REF!,0))</f>
        <v>0</v>
      </c>
      <c r="AA413" s="396">
        <f>IF(+NFL!$F228="New England",+NFL!#REF!,IF(+NFL!$H228="New England",+NFL!#REF!,0))</f>
        <v>0</v>
      </c>
      <c r="AB413" s="87">
        <f>IF(+NFL!$F228="New England",+NFL!#REF!,IF(+NFL!$H228="New England",+NFL!#REF!,0))</f>
        <v>0</v>
      </c>
      <c r="AC413" s="120">
        <f>IF(+NFL!$F228="New England",+NFL!#REF!,IF(+NFL!$H228="New England",+NFL!#REF!,0))</f>
        <v>0</v>
      </c>
      <c r="AD413" s="353">
        <f>IF(+NFL!$F228="New England",+NFL!#REF!,IF(+NFL!$H228="New England",+NFL!#REF!,0))</f>
        <v>0</v>
      </c>
      <c r="AE413" s="379">
        <f>IF(+NFL!$F228="New England",+NFL!#REF!,IF(+NFL!$H228="New England",+NFL!#REF!,0))</f>
        <v>0</v>
      </c>
      <c r="AF413" s="353">
        <f>IF(+NFL!$F228="New England",+NFL!#REF!,IF(+NFL!$H228="New England",+NFL!#REF!,0))</f>
        <v>0</v>
      </c>
      <c r="AG413" s="379">
        <f>IF(+NFL!$F228="New England",+NFL!#REF!,IF(+NFL!$H228="New England",+NFL!#REF!,0))</f>
        <v>0</v>
      </c>
      <c r="AH413" s="353">
        <f>IF(+NFL!$F228="New England",+NFL!#REF!,IF(+NFL!$H228="New England",+NFL!#REF!,0))</f>
        <v>0</v>
      </c>
      <c r="AI413" s="379">
        <f>IF(+NFL!$F228="New England",+NFL!#REF!,IF(+NFL!$H228="New England",+NFL!#REF!,0))</f>
        <v>0</v>
      </c>
      <c r="AJ413" s="353">
        <f>IF(+NFL!$F228="New England",+NFL!#REF!,IF(+NFL!$H228="New England",+NFL!#REF!,0))</f>
        <v>0</v>
      </c>
      <c r="AK413" s="379">
        <f>IF(+NFL!$F228="New England",+NFL!#REF!,IF(+NFL!$H228="New England",+NFL!#REF!,0))</f>
        <v>0</v>
      </c>
      <c r="AL413" s="68">
        <f>IF(+NFL!$F228="New England",+NFL!#REF!,IF(+NFL!$H228="New England",+NFL!#REF!,0))</f>
        <v>0</v>
      </c>
      <c r="AM413" s="58">
        <f>IF(+NFL!$F228="New England",+NFL!#REF!,IF(+NFL!$H228="New England",+NFL!#REF!,0))</f>
        <v>0</v>
      </c>
      <c r="AN413" s="57">
        <f>IF(+NFL!$F228="New England",+NFL!#REF!,IF(+NFL!$H228="New England",+NFL!#REF!,0))</f>
        <v>0</v>
      </c>
      <c r="AO413" s="59">
        <f>IF(+NFL!$F228="New England",+NFL!#REF!,IF(+NFL!$H228="New England",+NFL!#REF!,0))</f>
        <v>0</v>
      </c>
      <c r="AP413" s="348">
        <f>IF(+NFL!$F228="New England",+NFL!#REF!,IF(+NFL!$H228="New England",+NFL!#REF!,0))</f>
        <v>0</v>
      </c>
      <c r="AQ413" s="48">
        <f>IF(+NFL!$F228="New England",+NFL!#REF!,IF(+NFL!$H228="New England",+NFL!#REF!,0))</f>
        <v>0</v>
      </c>
      <c r="AR413" s="57">
        <f>IF(+NFL!$F228="New England",+NFL!#REF!,IF(+NFL!$H228="New England",+NFL!#REF!,0))</f>
        <v>0</v>
      </c>
      <c r="AS413" s="64">
        <f>IF(+NFL!$F228="New England",+NFL!#REF!,IF(+NFL!$H228="New England",+NFL!#REF!,0))</f>
        <v>0</v>
      </c>
      <c r="AT413" s="64">
        <f>IF(+NFL!$F228="New England",+NFL!#REF!,IF(+NFL!$H228="New England",+NFL!#REF!,0))</f>
        <v>0</v>
      </c>
      <c r="AU413" s="57">
        <f>IF(+NFL!$F228="New England",+NFL!#REF!,IF(+NFL!$H228="New England",+NFL!#REF!,0))</f>
        <v>0</v>
      </c>
      <c r="AV413" s="64">
        <f>IF(+NFL!$F228="New England",+NFL!#REF!,IF(+NFL!$H228="New England",+NFL!#REF!,0))</f>
        <v>0</v>
      </c>
      <c r="AW413" s="46">
        <f>IF(+NFL!$F228="New England",+NFL!#REF!,IF(+NFL!$H228="New England",+NFL!#REF!,0))</f>
        <v>0</v>
      </c>
      <c r="AX413" s="64">
        <f>IF(+NFL!$F228="New England",+NFL!#REF!,IF(+NFL!$H228="New England",+NFL!#REF!,0))</f>
        <v>0</v>
      </c>
      <c r="AY413" s="57">
        <f>IF(+NFL!$F228="New England",+NFL!#REF!,IF(+NFL!$H228="New England",+NFL!#REF!,0))</f>
        <v>0</v>
      </c>
      <c r="AZ413" s="64">
        <f>IF(+NFL!$F228="New England",+NFL!#REF!,IF(+NFL!$H228="New England",+NFL!#REF!,0))</f>
        <v>0</v>
      </c>
      <c r="BA413" s="46">
        <f>IF(+NFL!$F228="New England",+NFL!#REF!,IF(+NFL!$H228="New England",+NFL!#REF!,0))</f>
        <v>0</v>
      </c>
      <c r="BB413" s="46">
        <f>IF(+NFL!$F228="New England",+NFL!#REF!,IF(+NFL!$H228="New England",+NFL!#REF!,0))</f>
        <v>0</v>
      </c>
      <c r="BC413" s="403">
        <f>IF(+NFL!$F228="New England",+NFL!#REF!,IF(+NFL!$H228="New England",+NFL!#REF!,0))</f>
        <v>0</v>
      </c>
      <c r="BD413" s="57">
        <f>IF(+NFL!$F228="New England",+NFL!#REF!,IF(+NFL!$H228="New England",+NFL!#REF!,0))</f>
        <v>0</v>
      </c>
      <c r="BE413" s="64">
        <f>IF(+NFL!$F228="New England",+NFL!#REF!,IF(+NFL!$H228="New England",+NFL!#REF!,0))</f>
        <v>0</v>
      </c>
      <c r="BF413" s="46">
        <f>IF(+NFL!$F228="New England",+NFL!#REF!,IF(+NFL!$H228="New England",+NFL!#REF!,0))</f>
        <v>0</v>
      </c>
      <c r="BG413" s="57">
        <f>IF(+NFL!$F228="New England",+NFL!#REF!,IF(+NFL!$H228="New England",+NFL!#REF!,0))</f>
        <v>0</v>
      </c>
      <c r="BH413" s="64">
        <f>IF(+NFL!$F228="New England",+NFL!#REF!,IF(+NFL!$H228="New England",+NFL!#REF!,0))</f>
        <v>0</v>
      </c>
      <c r="BI413" s="46">
        <f>IF(+NFL!$F228="New England",+NFL!#REF!,IF(+NFL!$H228="New England",+NFL!#REF!,0))</f>
        <v>0</v>
      </c>
      <c r="BJ413" s="87">
        <f>IF(+NFL!$F228="New England",+NFL!#REF!,IF(+NFL!$H228="New England",+NFL!#REF!,0))</f>
        <v>0</v>
      </c>
      <c r="BK413" s="120">
        <f>IF(+NFL!$F228="New England",+NFL!#REF!,IF(+NFL!$H228="New England",+NFL!#REF!,0))</f>
        <v>0</v>
      </c>
    </row>
    <row r="414" spans="1:63" s="246" customFormat="1" x14ac:dyDescent="0.8">
      <c r="A414" s="46">
        <f>IF(+NFL!$F280="New England",+NFL!A280,IF(+NFL!$H280="New England",+NFL!A280,0))</f>
        <v>15</v>
      </c>
      <c r="B414" s="348" t="str">
        <f>IF(+NFL!$F280="New England",+NFL!B280,IF(+NFL!$H280="New England",+NFL!B280,0))</f>
        <v>Sun</v>
      </c>
      <c r="C414" s="48">
        <f>IF(+NFL!$F280="New England",+NFL!C280,IF(+NFL!$H280="New England",+NFL!C280,0))</f>
        <v>44913</v>
      </c>
      <c r="D414" s="490">
        <f>IF(+NFL!$F280="New England",+NFL!D280,IF(+NFL!$H280="New England",+NFL!D280,0))</f>
        <v>0.84375</v>
      </c>
      <c r="E414" s="46" t="str">
        <f>IF(+NFL!$F280="New England",+NFL!E280,IF(+NFL!$H280="New England",+NFL!E280,0))</f>
        <v>NBC</v>
      </c>
      <c r="F414" s="127" t="str">
        <f>IF(+NFL!$F280="New England",+NFL!F280,IF(+NFL!$H280="New England",+NFL!F280,0))</f>
        <v>New England</v>
      </c>
      <c r="G414" s="46" t="str">
        <f>IF(+NFL!$F280="New England",+NFL!G280,IF(+NFL!$H280="New England",+NFL!G280,0))</f>
        <v>AFCE</v>
      </c>
      <c r="H414" s="127" t="str">
        <f>IF(+NFL!$F280="New England",+NFL!H280,IF(+NFL!$H280="New England",+NFL!H280,0))</f>
        <v>Las Vegas</v>
      </c>
      <c r="I414" s="46" t="str">
        <f>IF(+NFL!$F280="New England",+NFL!I280,IF(+NFL!$H280="New England",+NFL!I280,0))</f>
        <v>AFCW</v>
      </c>
      <c r="J414" s="353" t="str">
        <f>IF(+NFL!$F280="New England",+NFL!J280,IF(+NFL!$H280="New England",+NFL!J280,0))</f>
        <v>Las Vegas</v>
      </c>
      <c r="K414" s="494" t="str">
        <f>IF(+NFL!$F280="New England",+NFL!K280,IF(+NFL!$H280="New England",+NFL!K280,0))</f>
        <v>New England</v>
      </c>
      <c r="L414" s="384">
        <f>IF(+NFL!$F280="New England",+NFL!L280,IF(+NFL!$H280="New England",+NFL!L280,0))</f>
        <v>2.5</v>
      </c>
      <c r="M414" s="385">
        <f>IF(+NFL!$F280="New England",+NFL!M280,IF(+NFL!$H280="New England",+NFL!M280,0))</f>
        <v>45.5</v>
      </c>
      <c r="N414" s="394" t="str">
        <f>IF(+NFL!$F280="New England",+NFL!N280,IF(+NFL!$H280="New England",+NFL!N280,0))</f>
        <v>Las Vegas</v>
      </c>
      <c r="O414" s="395">
        <f>IF(+NFL!$F280="New England",+NFL!O280,IF(+NFL!$H280="New England",+NFL!O280,0))</f>
        <v>30</v>
      </c>
      <c r="P414" s="394" t="str">
        <f>IF(+NFL!$F280="New England",+NFL!P280,IF(+NFL!$H280="New England",+NFL!P280,0))</f>
        <v>New England</v>
      </c>
      <c r="Q414" s="396">
        <f>IF(+NFL!$F280="New England",+NFL!Q280,IF(+NFL!$H280="New England",+NFL!Q280,0))</f>
        <v>24</v>
      </c>
      <c r="R414" s="397" t="str">
        <f>IF(+NFL!$F280="New England",+NFL!R280,IF(+NFL!$H280="New England",+NFL!R280,0))</f>
        <v>Las Vegas</v>
      </c>
      <c r="S414" s="396" t="str">
        <f>IF(+NFL!$F280="New England",+NFL!S280,IF(+NFL!$H280="New England",+NFL!S280,0))</f>
        <v>New England</v>
      </c>
      <c r="T414" s="398">
        <f>IF(+NFL!$F280="New England",+NFL!T280,IF(+NFL!$H280="New England",+NFL!T280,0))</f>
        <v>0</v>
      </c>
      <c r="U414" s="396" t="str">
        <f>IF(+NFL!$F280="New England",+NFL!U280,IF(+NFL!$H280="New England",+NFL!U280,0))</f>
        <v>L</v>
      </c>
      <c r="V414" s="397">
        <f>IF(+NFL!$F250="New England",+NFL!#REF!,IF(+NFL!$H250="New England",+NFL!#REF!,0))</f>
        <v>0</v>
      </c>
      <c r="W414" s="396">
        <f>IF(+NFL!$F250="New England",+NFL!#REF!,IF(+NFL!$H250="New England",+NFL!#REF!,0))</f>
        <v>0</v>
      </c>
      <c r="X414" s="398">
        <f>IF(+NFL!$F250="New England",+NFL!#REF!,IF(+NFL!$H250="New England",+NFL!#REF!,0))</f>
        <v>0</v>
      </c>
      <c r="Y414" s="396">
        <f>IF(+NFL!$F250="New England",+NFL!#REF!,IF(+NFL!$H250="New England",+NFL!#REF!,0))</f>
        <v>0</v>
      </c>
      <c r="Z414" s="397">
        <f>IF(+NFL!$F250="New England",+NFL!#REF!,IF(+NFL!$H250="New England",+NFL!#REF!,0))</f>
        <v>0</v>
      </c>
      <c r="AA414" s="396">
        <f>IF(+NFL!$F250="New England",+NFL!#REF!,IF(+NFL!$H250="New England",+NFL!#REF!,0))</f>
        <v>0</v>
      </c>
      <c r="AB414" s="87">
        <f>IF(+NFL!$F250="New England",+NFL!#REF!,IF(+NFL!$H250="New England",+NFL!#REF!,0))</f>
        <v>0</v>
      </c>
      <c r="AC414" s="120">
        <f>IF(+NFL!$F250="New England",+NFL!#REF!,IF(+NFL!$H250="New England",+NFL!#REF!,0))</f>
        <v>0</v>
      </c>
      <c r="AD414" s="353">
        <f>IF(+NFL!$F250="New England",+NFL!#REF!,IF(+NFL!$H250="New England",+NFL!#REF!,0))</f>
        <v>0</v>
      </c>
      <c r="AE414" s="379">
        <f>IF(+NFL!$F250="New England",+NFL!#REF!,IF(+NFL!$H250="New England",+NFL!#REF!,0))</f>
        <v>0</v>
      </c>
      <c r="AF414" s="353">
        <f>IF(+NFL!$F250="New England",+NFL!#REF!,IF(+NFL!$H250="New England",+NFL!#REF!,0))</f>
        <v>0</v>
      </c>
      <c r="AG414" s="379">
        <f>IF(+NFL!$F250="New England",+NFL!#REF!,IF(+NFL!$H250="New England",+NFL!#REF!,0))</f>
        <v>0</v>
      </c>
      <c r="AH414" s="353">
        <f>IF(+NFL!$F250="New England",+NFL!#REF!,IF(+NFL!$H250="New England",+NFL!#REF!,0))</f>
        <v>0</v>
      </c>
      <c r="AI414" s="379">
        <f>IF(+NFL!$F250="New England",+NFL!#REF!,IF(+NFL!$H250="New England",+NFL!#REF!,0))</f>
        <v>0</v>
      </c>
      <c r="AJ414" s="353">
        <f>IF(+NFL!$F250="New England",+NFL!#REF!,IF(+NFL!$H250="New England",+NFL!#REF!,0))</f>
        <v>0</v>
      </c>
      <c r="AK414" s="379">
        <f>IF(+NFL!$F250="New England",+NFL!#REF!,IF(+NFL!$H250="New England",+NFL!#REF!,0))</f>
        <v>0</v>
      </c>
      <c r="AL414" s="68">
        <f>IF(+NFL!$F250="New England",+NFL!#REF!,IF(+NFL!$H250="New England",+NFL!#REF!,0))</f>
        <v>0</v>
      </c>
      <c r="AM414" s="58">
        <f>IF(+NFL!$F250="New England",+NFL!#REF!,IF(+NFL!$H250="New England",+NFL!#REF!,0))</f>
        <v>0</v>
      </c>
      <c r="AN414" s="57">
        <f>IF(+NFL!$F250="New England",+NFL!#REF!,IF(+NFL!$H250="New England",+NFL!#REF!,0))</f>
        <v>0</v>
      </c>
      <c r="AO414" s="59">
        <f>IF(+NFL!$F250="New England",+NFL!#REF!,IF(+NFL!$H250="New England",+NFL!#REF!,0))</f>
        <v>0</v>
      </c>
      <c r="AP414" s="348">
        <f>IF(+NFL!$F250="New England",+NFL!#REF!,IF(+NFL!$H250="New England",+NFL!#REF!,0))</f>
        <v>0</v>
      </c>
      <c r="AQ414" s="48">
        <f>IF(+NFL!$F250="New England",+NFL!#REF!,IF(+NFL!$H250="New England",+NFL!#REF!,0))</f>
        <v>0</v>
      </c>
      <c r="AR414" s="57">
        <f>IF(+NFL!$F250="New England",+NFL!#REF!,IF(+NFL!$H250="New England",+NFL!#REF!,0))</f>
        <v>0</v>
      </c>
      <c r="AS414" s="64">
        <f>IF(+NFL!$F250="New England",+NFL!#REF!,IF(+NFL!$H250="New England",+NFL!#REF!,0))</f>
        <v>0</v>
      </c>
      <c r="AT414" s="64">
        <f>IF(+NFL!$F250="New England",+NFL!#REF!,IF(+NFL!$H250="New England",+NFL!#REF!,0))</f>
        <v>0</v>
      </c>
      <c r="AU414" s="57">
        <f>IF(+NFL!$F250="New England",+NFL!#REF!,IF(+NFL!$H250="New England",+NFL!#REF!,0))</f>
        <v>0</v>
      </c>
      <c r="AV414" s="64">
        <f>IF(+NFL!$F250="New England",+NFL!#REF!,IF(+NFL!$H250="New England",+NFL!#REF!,0))</f>
        <v>0</v>
      </c>
      <c r="AW414" s="46">
        <f>IF(+NFL!$F250="New England",+NFL!#REF!,IF(+NFL!$H250="New England",+NFL!#REF!,0))</f>
        <v>0</v>
      </c>
      <c r="AX414" s="64">
        <f>IF(+NFL!$F250="New England",+NFL!#REF!,IF(+NFL!$H250="New England",+NFL!#REF!,0))</f>
        <v>0</v>
      </c>
      <c r="AY414" s="57">
        <f>IF(+NFL!$F250="New England",+NFL!#REF!,IF(+NFL!$H250="New England",+NFL!#REF!,0))</f>
        <v>0</v>
      </c>
      <c r="AZ414" s="64">
        <f>IF(+NFL!$F250="New England",+NFL!#REF!,IF(+NFL!$H250="New England",+NFL!#REF!,0))</f>
        <v>0</v>
      </c>
      <c r="BA414" s="46">
        <f>IF(+NFL!$F250="New England",+NFL!#REF!,IF(+NFL!$H250="New England",+NFL!#REF!,0))</f>
        <v>0</v>
      </c>
      <c r="BB414" s="46">
        <f>IF(+NFL!$F250="New England",+NFL!#REF!,IF(+NFL!$H250="New England",+NFL!#REF!,0))</f>
        <v>0</v>
      </c>
      <c r="BC414" s="403">
        <f>IF(+NFL!$F250="New England",+NFL!#REF!,IF(+NFL!$H250="New England",+NFL!#REF!,0))</f>
        <v>0</v>
      </c>
      <c r="BD414" s="57">
        <f>IF(+NFL!$F250="New England",+NFL!#REF!,IF(+NFL!$H250="New England",+NFL!#REF!,0))</f>
        <v>0</v>
      </c>
      <c r="BE414" s="64">
        <f>IF(+NFL!$F250="New England",+NFL!#REF!,IF(+NFL!$H250="New England",+NFL!#REF!,0))</f>
        <v>0</v>
      </c>
      <c r="BF414" s="46">
        <f>IF(+NFL!$F250="New England",+NFL!#REF!,IF(+NFL!$H250="New England",+NFL!#REF!,0))</f>
        <v>0</v>
      </c>
      <c r="BG414" s="57">
        <f>IF(+NFL!$F250="New England",+NFL!#REF!,IF(+NFL!$H250="New England",+NFL!#REF!,0))</f>
        <v>0</v>
      </c>
      <c r="BH414" s="64">
        <f>IF(+NFL!$F250="New England",+NFL!#REF!,IF(+NFL!$H250="New England",+NFL!#REF!,0))</f>
        <v>0</v>
      </c>
      <c r="BI414" s="46">
        <f>IF(+NFL!$F250="New England",+NFL!#REF!,IF(+NFL!$H250="New England",+NFL!#REF!,0))</f>
        <v>0</v>
      </c>
      <c r="BJ414" s="87">
        <f>IF(+NFL!$F250="New England",+NFL!#REF!,IF(+NFL!$H250="New England",+NFL!#REF!,0))</f>
        <v>0</v>
      </c>
      <c r="BK414" s="120">
        <f>IF(+NFL!$F250="New England",+NFL!#REF!,IF(+NFL!$H250="New England",+NFL!#REF!,0))</f>
        <v>0</v>
      </c>
    </row>
    <row r="415" spans="1:63" s="246" customFormat="1" x14ac:dyDescent="0.8">
      <c r="A415" s="46">
        <f>IF(+NFL!$F289="New England",+NFL!A289,IF(+NFL!$H289="New England",+NFL!A289,0))</f>
        <v>16</v>
      </c>
      <c r="B415" s="348" t="str">
        <f>IF(+NFL!$F289="New England",+NFL!B289,IF(+NFL!$H289="New England",+NFL!B289,0))</f>
        <v>Sat</v>
      </c>
      <c r="C415" s="48">
        <f>IF(+NFL!$F289="New England",+NFL!C289,IF(+NFL!$H289="New England",+NFL!C289,0))</f>
        <v>44919</v>
      </c>
      <c r="D415" s="490">
        <f>IF(+NFL!$F289="New England",+NFL!D289,IF(+NFL!$H289="New England",+NFL!D289,0))</f>
        <v>0.54166666666666663</v>
      </c>
      <c r="E415" s="46" t="str">
        <f>IF(+NFL!$F289="New England",+NFL!E289,IF(+NFL!$H289="New England",+NFL!E289,0))</f>
        <v>CBS</v>
      </c>
      <c r="F415" s="127" t="str">
        <f>IF(+NFL!$F289="New England",+NFL!F289,IF(+NFL!$H289="New England",+NFL!F289,0))</f>
        <v>Cincinnati</v>
      </c>
      <c r="G415" s="46" t="str">
        <f>IF(+NFL!$F289="New England",+NFL!G289,IF(+NFL!$H289="New England",+NFL!G289,0))</f>
        <v>AFCN</v>
      </c>
      <c r="H415" s="127" t="str">
        <f>IF(+NFL!$F289="New England",+NFL!H289,IF(+NFL!$H289="New England",+NFL!H289,0))</f>
        <v>New England</v>
      </c>
      <c r="I415" s="46" t="str">
        <f>IF(+NFL!$F289="New England",+NFL!I289,IF(+NFL!$H289="New England",+NFL!I289,0))</f>
        <v>AFCE</v>
      </c>
      <c r="J415" s="353" t="str">
        <f>IF(+NFL!$F289="New England",+NFL!J289,IF(+NFL!$H289="New England",+NFL!J289,0))</f>
        <v>Cincinnati</v>
      </c>
      <c r="K415" s="494" t="str">
        <f>IF(+NFL!$F289="New England",+NFL!K289,IF(+NFL!$H289="New England",+NFL!K289,0))</f>
        <v>New England</v>
      </c>
      <c r="L415" s="384">
        <f>IF(+NFL!$F289="New England",+NFL!L289,IF(+NFL!$H289="New England",+NFL!L289,0))</f>
        <v>3</v>
      </c>
      <c r="M415" s="385">
        <f>IF(+NFL!$F289="New England",+NFL!M289,IF(+NFL!$H289="New England",+NFL!M289,0))</f>
        <v>41.5</v>
      </c>
      <c r="N415" s="394" t="str">
        <f>IF(+NFL!$F289="New England",+NFL!N289,IF(+NFL!$H289="New England",+NFL!N289,0))</f>
        <v>Cincinnati</v>
      </c>
      <c r="O415" s="395">
        <f>IF(+NFL!$F289="New England",+NFL!O289,IF(+NFL!$H289="New England",+NFL!O289,0))</f>
        <v>22</v>
      </c>
      <c r="P415" s="394" t="str">
        <f>IF(+NFL!$F289="New England",+NFL!P289,IF(+NFL!$H289="New England",+NFL!P289,0))</f>
        <v>New England</v>
      </c>
      <c r="Q415" s="396">
        <f>IF(+NFL!$F289="New England",+NFL!Q289,IF(+NFL!$H289="New England",+NFL!Q289,0))</f>
        <v>18</v>
      </c>
      <c r="R415" s="397" t="str">
        <f>IF(+NFL!$F289="New England",+NFL!R289,IF(+NFL!$H289="New England",+NFL!R289,0))</f>
        <v>Cincinnati</v>
      </c>
      <c r="S415" s="396" t="str">
        <f>IF(+NFL!$F289="New England",+NFL!S289,IF(+NFL!$H289="New England",+NFL!S289,0))</f>
        <v>New England</v>
      </c>
      <c r="T415" s="398">
        <f>IF(+NFL!$F289="New England",+NFL!T289,IF(+NFL!$H289="New England",+NFL!T289,0))</f>
        <v>0</v>
      </c>
      <c r="U415" s="396" t="str">
        <f>IF(+NFL!$F289="New England",+NFL!U289,IF(+NFL!$H289="New England",+NFL!U289,0))</f>
        <v>L</v>
      </c>
      <c r="V415" s="397">
        <f>IF(+NFL!$F279="New England",+NFL!#REF!,IF(+NFL!$H279="New England",+NFL!#REF!,0))</f>
        <v>0</v>
      </c>
      <c r="W415" s="396">
        <f>IF(+NFL!$F279="New England",+NFL!#REF!,IF(+NFL!$H279="New England",+NFL!#REF!,0))</f>
        <v>0</v>
      </c>
      <c r="X415" s="398">
        <f>IF(+NFL!$F279="New England",+NFL!#REF!,IF(+NFL!$H279="New England",+NFL!#REF!,0))</f>
        <v>0</v>
      </c>
      <c r="Y415" s="396">
        <f>IF(+NFL!$F279="New England",+NFL!#REF!,IF(+NFL!$H279="New England",+NFL!#REF!,0))</f>
        <v>0</v>
      </c>
      <c r="Z415" s="397">
        <f>IF(+NFL!$F279="New England",+NFL!#REF!,IF(+NFL!$H279="New England",+NFL!#REF!,0))</f>
        <v>0</v>
      </c>
      <c r="AA415" s="396">
        <f>IF(+NFL!$F279="New England",+NFL!#REF!,IF(+NFL!$H279="New England",+NFL!#REF!,0))</f>
        <v>0</v>
      </c>
      <c r="AB415" s="87">
        <f>IF(+NFL!$F279="New England",+NFL!#REF!,IF(+NFL!$H279="New England",+NFL!#REF!,0))</f>
        <v>0</v>
      </c>
      <c r="AC415" s="120">
        <f>IF(+NFL!$F279="New England",+NFL!#REF!,IF(+NFL!$H279="New England",+NFL!#REF!,0))</f>
        <v>0</v>
      </c>
      <c r="AD415" s="353">
        <f>IF(+NFL!$F279="New England",+NFL!#REF!,IF(+NFL!$H279="New England",+NFL!#REF!,0))</f>
        <v>0</v>
      </c>
      <c r="AE415" s="379">
        <f>IF(+NFL!$F279="New England",+NFL!#REF!,IF(+NFL!$H279="New England",+NFL!#REF!,0))</f>
        <v>0</v>
      </c>
      <c r="AF415" s="353">
        <f>IF(+NFL!$F279="New England",+NFL!#REF!,IF(+NFL!$H279="New England",+NFL!#REF!,0))</f>
        <v>0</v>
      </c>
      <c r="AG415" s="379">
        <f>IF(+NFL!$F279="New England",+NFL!#REF!,IF(+NFL!$H279="New England",+NFL!#REF!,0))</f>
        <v>0</v>
      </c>
      <c r="AH415" s="353">
        <f>IF(+NFL!$F279="New England",+NFL!#REF!,IF(+NFL!$H279="New England",+NFL!#REF!,0))</f>
        <v>0</v>
      </c>
      <c r="AI415" s="379">
        <f>IF(+NFL!$F279="New England",+NFL!#REF!,IF(+NFL!$H279="New England",+NFL!#REF!,0))</f>
        <v>0</v>
      </c>
      <c r="AJ415" s="353">
        <f>IF(+NFL!$F279="New England",+NFL!#REF!,IF(+NFL!$H279="New England",+NFL!#REF!,0))</f>
        <v>0</v>
      </c>
      <c r="AK415" s="379">
        <f>IF(+NFL!$F279="New England",+NFL!#REF!,IF(+NFL!$H279="New England",+NFL!#REF!,0))</f>
        <v>0</v>
      </c>
      <c r="AL415" s="68">
        <f>IF(+NFL!$F279="New England",+NFL!#REF!,IF(+NFL!$H279="New England",+NFL!#REF!,0))</f>
        <v>0</v>
      </c>
      <c r="AM415" s="58">
        <f>IF(+NFL!$F279="New England",+NFL!#REF!,IF(+NFL!$H279="New England",+NFL!#REF!,0))</f>
        <v>0</v>
      </c>
      <c r="AN415" s="57">
        <f>IF(+NFL!$F279="New England",+NFL!#REF!,IF(+NFL!$H279="New England",+NFL!#REF!,0))</f>
        <v>0</v>
      </c>
      <c r="AO415" s="59">
        <f>IF(+NFL!$F279="New England",+NFL!#REF!,IF(+NFL!$H279="New England",+NFL!#REF!,0))</f>
        <v>0</v>
      </c>
      <c r="AP415" s="348">
        <f>IF(+NFL!$F279="New England",+NFL!#REF!,IF(+NFL!$H279="New England",+NFL!#REF!,0))</f>
        <v>0</v>
      </c>
      <c r="AQ415" s="48">
        <f>IF(+NFL!$F279="New England",+NFL!#REF!,IF(+NFL!$H279="New England",+NFL!#REF!,0))</f>
        <v>0</v>
      </c>
      <c r="AR415" s="57">
        <f>IF(+NFL!$F279="New England",+NFL!#REF!,IF(+NFL!$H279="New England",+NFL!#REF!,0))</f>
        <v>0</v>
      </c>
      <c r="AS415" s="64">
        <f>IF(+NFL!$F279="New England",+NFL!#REF!,IF(+NFL!$H279="New England",+NFL!#REF!,0))</f>
        <v>0</v>
      </c>
      <c r="AT415" s="64">
        <f>IF(+NFL!$F279="New England",+NFL!#REF!,IF(+NFL!$H279="New England",+NFL!#REF!,0))</f>
        <v>0</v>
      </c>
      <c r="AU415" s="57">
        <f>IF(+NFL!$F279="New England",+NFL!#REF!,IF(+NFL!$H279="New England",+NFL!#REF!,0))</f>
        <v>0</v>
      </c>
      <c r="AV415" s="64">
        <f>IF(+NFL!$F279="New England",+NFL!#REF!,IF(+NFL!$H279="New England",+NFL!#REF!,0))</f>
        <v>0</v>
      </c>
      <c r="AW415" s="46">
        <f>IF(+NFL!$F279="New England",+NFL!#REF!,IF(+NFL!$H279="New England",+NFL!#REF!,0))</f>
        <v>0</v>
      </c>
      <c r="AX415" s="64">
        <f>IF(+NFL!$F279="New England",+NFL!#REF!,IF(+NFL!$H279="New England",+NFL!#REF!,0))</f>
        <v>0</v>
      </c>
      <c r="AY415" s="57">
        <f>IF(+NFL!$F279="New England",+NFL!#REF!,IF(+NFL!$H279="New England",+NFL!#REF!,0))</f>
        <v>0</v>
      </c>
      <c r="AZ415" s="64">
        <f>IF(+NFL!$F279="New England",+NFL!#REF!,IF(+NFL!$H279="New England",+NFL!#REF!,0))</f>
        <v>0</v>
      </c>
      <c r="BA415" s="46">
        <f>IF(+NFL!$F279="New England",+NFL!#REF!,IF(+NFL!$H279="New England",+NFL!#REF!,0))</f>
        <v>0</v>
      </c>
      <c r="BB415" s="46">
        <f>IF(+NFL!$F279="New England",+NFL!#REF!,IF(+NFL!$H279="New England",+NFL!#REF!,0))</f>
        <v>0</v>
      </c>
      <c r="BC415" s="403">
        <f>IF(+NFL!$F279="New England",+NFL!#REF!,IF(+NFL!$H279="New England",+NFL!#REF!,0))</f>
        <v>0</v>
      </c>
      <c r="BD415" s="57">
        <f>IF(+NFL!$F279="New England",+NFL!#REF!,IF(+NFL!$H279="New England",+NFL!#REF!,0))</f>
        <v>0</v>
      </c>
      <c r="BE415" s="64">
        <f>IF(+NFL!$F279="New England",+NFL!#REF!,IF(+NFL!$H279="New England",+NFL!#REF!,0))</f>
        <v>0</v>
      </c>
      <c r="BF415" s="46">
        <f>IF(+NFL!$F279="New England",+NFL!#REF!,IF(+NFL!$H279="New England",+NFL!#REF!,0))</f>
        <v>0</v>
      </c>
      <c r="BG415" s="57">
        <f>IF(+NFL!$F279="New England",+NFL!#REF!,IF(+NFL!$H279="New England",+NFL!#REF!,0))</f>
        <v>0</v>
      </c>
      <c r="BH415" s="64">
        <f>IF(+NFL!$F279="New England",+NFL!#REF!,IF(+NFL!$H279="New England",+NFL!#REF!,0))</f>
        <v>0</v>
      </c>
      <c r="BI415" s="46">
        <f>IF(+NFL!$F279="New England",+NFL!#REF!,IF(+NFL!$H279="New England",+NFL!#REF!,0))</f>
        <v>0</v>
      </c>
      <c r="BJ415" s="87">
        <f>IF(+NFL!$F279="New England",+NFL!#REF!,IF(+NFL!$H279="New England",+NFL!#REF!,0))</f>
        <v>0</v>
      </c>
      <c r="BK415" s="120">
        <f>IF(+NFL!$F279="New England",+NFL!#REF!,IF(+NFL!$H279="New England",+NFL!#REF!,0))</f>
        <v>0</v>
      </c>
    </row>
    <row r="416" spans="1:63" s="246" customFormat="1" x14ac:dyDescent="0.8">
      <c r="A416" s="46">
        <f>IF(+NFL!$F304="New England",+NFL!A304,IF(+NFL!$H304="New England",+NFL!A304,0))</f>
        <v>17</v>
      </c>
      <c r="B416" s="348" t="str">
        <f>IF(+NFL!$F304="New England",+NFL!B304,IF(+NFL!$H304="New England",+NFL!B304,0))</f>
        <v>Sun</v>
      </c>
      <c r="C416" s="48">
        <f>IF(+NFL!$F304="New England",+NFL!C304,IF(+NFL!$H304="New England",+NFL!C304,0))</f>
        <v>44927</v>
      </c>
      <c r="D416" s="490">
        <f>IF(+NFL!$F304="New England",+NFL!D304,IF(+NFL!$H304="New England",+NFL!D304,0))</f>
        <v>0.54166666666666663</v>
      </c>
      <c r="E416" s="46" t="str">
        <f>IF(+NFL!$F304="New England",+NFL!E304,IF(+NFL!$H304="New England",+NFL!E304,0))</f>
        <v>CBS</v>
      </c>
      <c r="F416" s="127" t="str">
        <f>IF(+NFL!$F304="New England",+NFL!F304,IF(+NFL!$H304="New England",+NFL!F304,0))</f>
        <v>Miami</v>
      </c>
      <c r="G416" s="46" t="str">
        <f>IF(+NFL!$F304="New England",+NFL!G304,IF(+NFL!$H304="New England",+NFL!G304,0))</f>
        <v>AFCE</v>
      </c>
      <c r="H416" s="127" t="str">
        <f>IF(+NFL!$F304="New England",+NFL!H304,IF(+NFL!$H304="New England",+NFL!H304,0))</f>
        <v>New England</v>
      </c>
      <c r="I416" s="46" t="str">
        <f>IF(+NFL!$F304="New England",+NFL!I304,IF(+NFL!$H304="New England",+NFL!I304,0))</f>
        <v>AFCE</v>
      </c>
      <c r="J416" s="353" t="str">
        <f>IF(+NFL!$F304="New England",+NFL!J304,IF(+NFL!$H304="New England",+NFL!J304,0))</f>
        <v>New England</v>
      </c>
      <c r="K416" s="494" t="str">
        <f>IF(+NFL!$F304="New England",+NFL!K304,IF(+NFL!$H304="New England",+NFL!K304,0))</f>
        <v>Miami</v>
      </c>
      <c r="L416" s="384">
        <f>IF(+NFL!$F304="New England",+NFL!L304,IF(+NFL!$H304="New England",+NFL!L304,0))</f>
        <v>3</v>
      </c>
      <c r="M416" s="385">
        <f>IF(+NFL!$F304="New England",+NFL!M304,IF(+NFL!$H304="New England",+NFL!M304,0))</f>
        <v>41.5</v>
      </c>
      <c r="N416" s="394" t="str">
        <f>IF(+NFL!$F304="New England",+NFL!N304,IF(+NFL!$H304="New England",+NFL!N304,0))</f>
        <v>New England</v>
      </c>
      <c r="O416" s="395">
        <f>IF(+NFL!$F304="New England",+NFL!O304,IF(+NFL!$H304="New England",+NFL!O304,0))</f>
        <v>23</v>
      </c>
      <c r="P416" s="394" t="str">
        <f>IF(+NFL!$F304="New England",+NFL!P304,IF(+NFL!$H304="New England",+NFL!P304,0))</f>
        <v>Miami</v>
      </c>
      <c r="Q416" s="396">
        <f>IF(+NFL!$F304="New England",+NFL!Q304,IF(+NFL!$H304="New England",+NFL!Q304,0))</f>
        <v>21</v>
      </c>
      <c r="R416" s="397" t="str">
        <f>IF(+NFL!$F304="New England",+NFL!R304,IF(+NFL!$H304="New England",+NFL!R304,0))</f>
        <v>Miami</v>
      </c>
      <c r="S416" s="396" t="str">
        <f>IF(+NFL!$F304="New England",+NFL!S304,IF(+NFL!$H304="New England",+NFL!S304,0))</f>
        <v>New England</v>
      </c>
      <c r="T416" s="398">
        <f>IF(+NFL!$F304="New England",+NFL!T304,IF(+NFL!$H304="New England",+NFL!T304,0))</f>
        <v>0</v>
      </c>
      <c r="U416" s="396" t="str">
        <f>IF(+NFL!$F304="New England",+NFL!U304,IF(+NFL!$H304="New England",+NFL!U304,0))</f>
        <v>L</v>
      </c>
      <c r="V416" s="397">
        <f>IF(+NFL!$F294="New England",+NFL!#REF!,IF(+NFL!$H294="New England",+NFL!#REF!,0))</f>
        <v>0</v>
      </c>
      <c r="W416" s="396">
        <f>IF(+NFL!$F294="New England",+NFL!#REF!,IF(+NFL!$H294="New England",+NFL!#REF!,0))</f>
        <v>0</v>
      </c>
      <c r="X416" s="398">
        <f>IF(+NFL!$F294="New England",+NFL!#REF!,IF(+NFL!$H294="New England",+NFL!#REF!,0))</f>
        <v>0</v>
      </c>
      <c r="Y416" s="396">
        <f>IF(+NFL!$F294="New England",+NFL!#REF!,IF(+NFL!$H294="New England",+NFL!#REF!,0))</f>
        <v>0</v>
      </c>
      <c r="Z416" s="397">
        <f>IF(+NFL!$F294="New England",+NFL!#REF!,IF(+NFL!$H294="New England",+NFL!#REF!,0))</f>
        <v>0</v>
      </c>
      <c r="AA416" s="396">
        <f>IF(+NFL!$F294="New England",+NFL!#REF!,IF(+NFL!$H294="New England",+NFL!#REF!,0))</f>
        <v>0</v>
      </c>
      <c r="AB416" s="87">
        <f>IF(+NFL!$F294="New England",+NFL!#REF!,IF(+NFL!$H294="New England",+NFL!#REF!,0))</f>
        <v>0</v>
      </c>
      <c r="AC416" s="120">
        <f>IF(+NFL!$F294="New England",+NFL!#REF!,IF(+NFL!$H294="New England",+NFL!#REF!,0))</f>
        <v>0</v>
      </c>
      <c r="AD416" s="353">
        <f>IF(+NFL!$F294="New England",+NFL!#REF!,IF(+NFL!$H294="New England",+NFL!#REF!,0))</f>
        <v>0</v>
      </c>
      <c r="AE416" s="379">
        <f>IF(+NFL!$F294="New England",+NFL!#REF!,IF(+NFL!$H294="New England",+NFL!#REF!,0))</f>
        <v>0</v>
      </c>
      <c r="AF416" s="353">
        <f>IF(+NFL!$F294="New England",+NFL!#REF!,IF(+NFL!$H294="New England",+NFL!#REF!,0))</f>
        <v>0</v>
      </c>
      <c r="AG416" s="379">
        <f>IF(+NFL!$F294="New England",+NFL!#REF!,IF(+NFL!$H294="New England",+NFL!#REF!,0))</f>
        <v>0</v>
      </c>
      <c r="AH416" s="353">
        <f>IF(+NFL!$F294="New England",+NFL!#REF!,IF(+NFL!$H294="New England",+NFL!#REF!,0))</f>
        <v>0</v>
      </c>
      <c r="AI416" s="379">
        <f>IF(+NFL!$F294="New England",+NFL!#REF!,IF(+NFL!$H294="New England",+NFL!#REF!,0))</f>
        <v>0</v>
      </c>
      <c r="AJ416" s="353">
        <f>IF(+NFL!$F294="New England",+NFL!#REF!,IF(+NFL!$H294="New England",+NFL!#REF!,0))</f>
        <v>0</v>
      </c>
      <c r="AK416" s="379">
        <f>IF(+NFL!$F294="New England",+NFL!#REF!,IF(+NFL!$H294="New England",+NFL!#REF!,0))</f>
        <v>0</v>
      </c>
      <c r="AL416" s="68">
        <f>IF(+NFL!$F294="New England",+NFL!#REF!,IF(+NFL!$H294="New England",+NFL!#REF!,0))</f>
        <v>0</v>
      </c>
      <c r="AM416" s="58">
        <f>IF(+NFL!$F294="New England",+NFL!#REF!,IF(+NFL!$H294="New England",+NFL!#REF!,0))</f>
        <v>0</v>
      </c>
      <c r="AN416" s="57">
        <f>IF(+NFL!$F294="New England",+NFL!#REF!,IF(+NFL!$H294="New England",+NFL!#REF!,0))</f>
        <v>0</v>
      </c>
      <c r="AO416" s="59">
        <f>IF(+NFL!$F294="New England",+NFL!#REF!,IF(+NFL!$H294="New England",+NFL!#REF!,0))</f>
        <v>0</v>
      </c>
      <c r="AP416" s="348">
        <f>IF(+NFL!$F294="New England",+NFL!#REF!,IF(+NFL!$H294="New England",+NFL!#REF!,0))</f>
        <v>0</v>
      </c>
      <c r="AQ416" s="48">
        <f>IF(+NFL!$F294="New England",+NFL!#REF!,IF(+NFL!$H294="New England",+NFL!#REF!,0))</f>
        <v>0</v>
      </c>
      <c r="AR416" s="57">
        <f>IF(+NFL!$F294="New England",+NFL!#REF!,IF(+NFL!$H294="New England",+NFL!#REF!,0))</f>
        <v>0</v>
      </c>
      <c r="AS416" s="64">
        <f>IF(+NFL!$F294="New England",+NFL!#REF!,IF(+NFL!$H294="New England",+NFL!#REF!,0))</f>
        <v>0</v>
      </c>
      <c r="AT416" s="64">
        <f>IF(+NFL!$F294="New England",+NFL!#REF!,IF(+NFL!$H294="New England",+NFL!#REF!,0))</f>
        <v>0</v>
      </c>
      <c r="AU416" s="57">
        <f>IF(+NFL!$F294="New England",+NFL!#REF!,IF(+NFL!$H294="New England",+NFL!#REF!,0))</f>
        <v>0</v>
      </c>
      <c r="AV416" s="64">
        <f>IF(+NFL!$F294="New England",+NFL!#REF!,IF(+NFL!$H294="New England",+NFL!#REF!,0))</f>
        <v>0</v>
      </c>
      <c r="AW416" s="46">
        <f>IF(+NFL!$F294="New England",+NFL!#REF!,IF(+NFL!$H294="New England",+NFL!#REF!,0))</f>
        <v>0</v>
      </c>
      <c r="AX416" s="64">
        <f>IF(+NFL!$F294="New England",+NFL!#REF!,IF(+NFL!$H294="New England",+NFL!#REF!,0))</f>
        <v>0</v>
      </c>
      <c r="AY416" s="57">
        <f>IF(+NFL!$F294="New England",+NFL!#REF!,IF(+NFL!$H294="New England",+NFL!#REF!,0))</f>
        <v>0</v>
      </c>
      <c r="AZ416" s="64">
        <f>IF(+NFL!$F294="New England",+NFL!#REF!,IF(+NFL!$H294="New England",+NFL!#REF!,0))</f>
        <v>0</v>
      </c>
      <c r="BA416" s="46">
        <f>IF(+NFL!$F294="New England",+NFL!#REF!,IF(+NFL!$H294="New England",+NFL!#REF!,0))</f>
        <v>0</v>
      </c>
      <c r="BB416" s="46">
        <f>IF(+NFL!$F294="New England",+NFL!#REF!,IF(+NFL!$H294="New England",+NFL!#REF!,0))</f>
        <v>0</v>
      </c>
      <c r="BC416" s="403">
        <f>IF(+NFL!$F294="New England",+NFL!#REF!,IF(+NFL!$H294="New England",+NFL!#REF!,0))</f>
        <v>0</v>
      </c>
      <c r="BD416" s="57">
        <f>IF(+NFL!$F294="New England",+NFL!#REF!,IF(+NFL!$H294="New England",+NFL!#REF!,0))</f>
        <v>0</v>
      </c>
      <c r="BE416" s="64">
        <f>IF(+NFL!$F294="New England",+NFL!#REF!,IF(+NFL!$H294="New England",+NFL!#REF!,0))</f>
        <v>0</v>
      </c>
      <c r="BF416" s="46">
        <f>IF(+NFL!$F294="New England",+NFL!#REF!,IF(+NFL!$H294="New England",+NFL!#REF!,0))</f>
        <v>0</v>
      </c>
      <c r="BG416" s="57">
        <f>IF(+NFL!$F294="New England",+NFL!#REF!,IF(+NFL!$H294="New England",+NFL!#REF!,0))</f>
        <v>0</v>
      </c>
      <c r="BH416" s="64">
        <f>IF(+NFL!$F294="New England",+NFL!#REF!,IF(+NFL!$H294="New England",+NFL!#REF!,0))</f>
        <v>0</v>
      </c>
      <c r="BI416" s="46">
        <f>IF(+NFL!$F294="New England",+NFL!#REF!,IF(+NFL!$H294="New England",+NFL!#REF!,0))</f>
        <v>0</v>
      </c>
      <c r="BJ416" s="87">
        <f>IF(+NFL!$F294="New England",+NFL!#REF!,IF(+NFL!$H294="New England",+NFL!#REF!,0))</f>
        <v>0</v>
      </c>
      <c r="BK416" s="120">
        <f>IF(+NFL!$F294="New England",+NFL!#REF!,IF(+NFL!$H294="New England",+NFL!#REF!,0))</f>
        <v>0</v>
      </c>
    </row>
    <row r="417" spans="1:69" s="246" customFormat="1" x14ac:dyDescent="0.8">
      <c r="A417" s="46">
        <f>IF(+NFL!$F317="New England",+NFL!A317,IF(+NFL!$H317="New England",+NFL!A317,0))</f>
        <v>0</v>
      </c>
      <c r="B417" s="348">
        <f>IF(+NFL!$F317="New England",+NFL!B317,IF(+NFL!$H317="New England",+NFL!B317,0))</f>
        <v>0</v>
      </c>
      <c r="C417" s="48">
        <f>IF(+NFL!$F317="New England",+NFL!C317,IF(+NFL!$H317="New England",+NFL!C317,0))</f>
        <v>0</v>
      </c>
      <c r="D417" s="490">
        <f>IF(+NFL!$F317="New England",+NFL!D317,IF(+NFL!$H317="New England",+NFL!D317,0))</f>
        <v>0</v>
      </c>
      <c r="E417" s="46">
        <f>IF(+NFL!$F317="New England",+NFL!E317,IF(+NFL!$H317="New England",+NFL!E317,0))</f>
        <v>0</v>
      </c>
      <c r="F417" s="127">
        <f>IF(+NFL!$F317="New England",+NFL!F317,IF(+NFL!$H317="New England",+NFL!F317,0))</f>
        <v>0</v>
      </c>
      <c r="G417" s="46">
        <f>IF(+NFL!$F317="New England",+NFL!G317,IF(+NFL!$H317="New England",+NFL!G317,0))</f>
        <v>0</v>
      </c>
      <c r="H417" s="127">
        <f>IF(+NFL!$F317="New England",+NFL!H317,IF(+NFL!$H317="New England",+NFL!H317,0))</f>
        <v>0</v>
      </c>
      <c r="I417" s="46">
        <f>IF(+NFL!$F317="New England",+NFL!I317,IF(+NFL!$H317="New England",+NFL!I317,0))</f>
        <v>0</v>
      </c>
      <c r="J417" s="353">
        <f>IF(+NFL!$F317="New England",+NFL!J317,IF(+NFL!$H317="New England",+NFL!J317,0))</f>
        <v>0</v>
      </c>
      <c r="K417" s="494">
        <f>IF(+NFL!$F317="New England",+NFL!K317,IF(+NFL!$H317="New England",+NFL!K317,0))</f>
        <v>0</v>
      </c>
      <c r="L417" s="384">
        <f>IF(+NFL!$F317="New England",+NFL!L317,IF(+NFL!$H317="New England",+NFL!L317,0))</f>
        <v>0</v>
      </c>
      <c r="M417" s="385">
        <f>IF(+NFL!$F317="New England",+NFL!M317,IF(+NFL!$H317="New England",+NFL!M317,0))</f>
        <v>0</v>
      </c>
      <c r="N417" s="394">
        <f>IF(+NFL!$F317="New England",+NFL!N317,IF(+NFL!$H317="New England",+NFL!N317,0))</f>
        <v>0</v>
      </c>
      <c r="O417" s="395">
        <f>IF(+NFL!$F317="New England",+NFL!O317,IF(+NFL!$H317="New England",+NFL!O317,0))</f>
        <v>0</v>
      </c>
      <c r="P417" s="394">
        <f>IF(+NFL!$F317="New England",+NFL!P317,IF(+NFL!$H317="New England",+NFL!P317,0))</f>
        <v>0</v>
      </c>
      <c r="Q417" s="396">
        <f>IF(+NFL!$F317="New England",+NFL!Q317,IF(+NFL!$H317="New England",+NFL!Q317,0))</f>
        <v>0</v>
      </c>
      <c r="R417" s="397">
        <f>IF(+NFL!$F317="New England",+NFL!R317,IF(+NFL!$H317="New England",+NFL!R317,0))</f>
        <v>0</v>
      </c>
      <c r="S417" s="396">
        <f>IF(+NFL!$F317="New England",+NFL!S317,IF(+NFL!$H317="New England",+NFL!S317,0))</f>
        <v>0</v>
      </c>
      <c r="T417" s="398">
        <f>IF(+NFL!$F317="New England",+NFL!T317,IF(+NFL!$H317="New England",+NFL!T317,0))</f>
        <v>0</v>
      </c>
      <c r="U417" s="396">
        <f>IF(+NFL!$F317="New England",+NFL!U317,IF(+NFL!$H317="New England",+NFL!U317,0))</f>
        <v>0</v>
      </c>
      <c r="V417" s="397">
        <f>IF(+NFL!$F302="New England",+NFL!#REF!,IF(+NFL!$H302="New England",+NFL!#REF!,0))</f>
        <v>0</v>
      </c>
      <c r="W417" s="396">
        <f>IF(+NFL!$F302="New England",+NFL!#REF!,IF(+NFL!$H302="New England",+NFL!#REF!,0))</f>
        <v>0</v>
      </c>
      <c r="X417" s="398">
        <f>IF(+NFL!$F302="New England",+NFL!#REF!,IF(+NFL!$H302="New England",+NFL!#REF!,0))</f>
        <v>0</v>
      </c>
      <c r="Y417" s="396">
        <f>IF(+NFL!$F302="New England",+NFL!#REF!,IF(+NFL!$H302="New England",+NFL!#REF!,0))</f>
        <v>0</v>
      </c>
      <c r="Z417" s="397">
        <f>IF(+NFL!$F302="New England",+NFL!#REF!,IF(+NFL!$H302="New England",+NFL!#REF!,0))</f>
        <v>0</v>
      </c>
      <c r="AA417" s="396">
        <f>IF(+NFL!$F302="New England",+NFL!#REF!,IF(+NFL!$H302="New England",+NFL!#REF!,0))</f>
        <v>0</v>
      </c>
      <c r="AB417" s="87">
        <f>IF(+NFL!$F302="New England",+NFL!#REF!,IF(+NFL!$H302="New England",+NFL!#REF!,0))</f>
        <v>0</v>
      </c>
      <c r="AC417" s="120">
        <f>IF(+NFL!$F302="New England",+NFL!#REF!,IF(+NFL!$H302="New England",+NFL!#REF!,0))</f>
        <v>0</v>
      </c>
      <c r="AD417" s="353">
        <f>IF(+NFL!$F302="New England",+NFL!#REF!,IF(+NFL!$H302="New England",+NFL!#REF!,0))</f>
        <v>0</v>
      </c>
      <c r="AE417" s="379">
        <f>IF(+NFL!$F302="New England",+NFL!#REF!,IF(+NFL!$H302="New England",+NFL!#REF!,0))</f>
        <v>0</v>
      </c>
      <c r="AF417" s="353">
        <f>IF(+NFL!$F302="New England",+NFL!#REF!,IF(+NFL!$H302="New England",+NFL!#REF!,0))</f>
        <v>0</v>
      </c>
      <c r="AG417" s="379">
        <f>IF(+NFL!$F302="New England",+NFL!#REF!,IF(+NFL!$H302="New England",+NFL!#REF!,0))</f>
        <v>0</v>
      </c>
      <c r="AH417" s="353">
        <f>IF(+NFL!$F302="New England",+NFL!#REF!,IF(+NFL!$H302="New England",+NFL!#REF!,0))</f>
        <v>0</v>
      </c>
      <c r="AI417" s="379">
        <f>IF(+NFL!$F302="New England",+NFL!#REF!,IF(+NFL!$H302="New England",+NFL!#REF!,0))</f>
        <v>0</v>
      </c>
      <c r="AJ417" s="353">
        <f>IF(+NFL!$F302="New England",+NFL!#REF!,IF(+NFL!$H302="New England",+NFL!#REF!,0))</f>
        <v>0</v>
      </c>
      <c r="AK417" s="379">
        <f>IF(+NFL!$F302="New England",+NFL!#REF!,IF(+NFL!$H302="New England",+NFL!#REF!,0))</f>
        <v>0</v>
      </c>
      <c r="AL417" s="68">
        <f>IF(+NFL!$F302="New England",+NFL!#REF!,IF(+NFL!$H302="New England",+NFL!#REF!,0))</f>
        <v>0</v>
      </c>
      <c r="AM417" s="58">
        <f>IF(+NFL!$F302="New England",+NFL!#REF!,IF(+NFL!$H302="New England",+NFL!#REF!,0))</f>
        <v>0</v>
      </c>
      <c r="AN417" s="57">
        <f>IF(+NFL!$F302="New England",+NFL!#REF!,IF(+NFL!$H302="New England",+NFL!#REF!,0))</f>
        <v>0</v>
      </c>
      <c r="AO417" s="59">
        <f>IF(+NFL!$F302="New England",+NFL!#REF!,IF(+NFL!$H302="New England",+NFL!#REF!,0))</f>
        <v>0</v>
      </c>
      <c r="AP417" s="348">
        <f>IF(+NFL!$F302="New England",+NFL!#REF!,IF(+NFL!$H302="New England",+NFL!#REF!,0))</f>
        <v>0</v>
      </c>
      <c r="AQ417" s="48">
        <f>IF(+NFL!$F302="New England",+NFL!#REF!,IF(+NFL!$H302="New England",+NFL!#REF!,0))</f>
        <v>0</v>
      </c>
      <c r="AR417" s="57">
        <f>IF(+NFL!$F302="New England",+NFL!#REF!,IF(+NFL!$H302="New England",+NFL!#REF!,0))</f>
        <v>0</v>
      </c>
      <c r="AS417" s="64">
        <f>IF(+NFL!$F302="New England",+NFL!#REF!,IF(+NFL!$H302="New England",+NFL!#REF!,0))</f>
        <v>0</v>
      </c>
      <c r="AT417" s="64">
        <f>IF(+NFL!$F302="New England",+NFL!#REF!,IF(+NFL!$H302="New England",+NFL!#REF!,0))</f>
        <v>0</v>
      </c>
      <c r="AU417" s="57">
        <f>IF(+NFL!$F302="New England",+NFL!#REF!,IF(+NFL!$H302="New England",+NFL!#REF!,0))</f>
        <v>0</v>
      </c>
      <c r="AV417" s="64">
        <f>IF(+NFL!$F302="New England",+NFL!#REF!,IF(+NFL!$H302="New England",+NFL!#REF!,0))</f>
        <v>0</v>
      </c>
      <c r="AW417" s="46">
        <f>IF(+NFL!$F302="New England",+NFL!#REF!,IF(+NFL!$H302="New England",+NFL!#REF!,0))</f>
        <v>0</v>
      </c>
      <c r="AX417" s="64">
        <f>IF(+NFL!$F302="New England",+NFL!#REF!,IF(+NFL!$H302="New England",+NFL!#REF!,0))</f>
        <v>0</v>
      </c>
      <c r="AY417" s="57">
        <f>IF(+NFL!$F302="New England",+NFL!#REF!,IF(+NFL!$H302="New England",+NFL!#REF!,0))</f>
        <v>0</v>
      </c>
      <c r="AZ417" s="64">
        <f>IF(+NFL!$F302="New England",+NFL!#REF!,IF(+NFL!$H302="New England",+NFL!#REF!,0))</f>
        <v>0</v>
      </c>
      <c r="BA417" s="46">
        <f>IF(+NFL!$F302="New England",+NFL!#REF!,IF(+NFL!$H302="New England",+NFL!#REF!,0))</f>
        <v>0</v>
      </c>
      <c r="BB417" s="46">
        <f>IF(+NFL!$F302="New England",+NFL!#REF!,IF(+NFL!$H302="New England",+NFL!#REF!,0))</f>
        <v>0</v>
      </c>
      <c r="BC417" s="403">
        <f>IF(+NFL!$F302="New England",+NFL!#REF!,IF(+NFL!$H302="New England",+NFL!#REF!,0))</f>
        <v>0</v>
      </c>
      <c r="BD417" s="57">
        <f>IF(+NFL!$F302="New England",+NFL!#REF!,IF(+NFL!$H302="New England",+NFL!#REF!,0))</f>
        <v>0</v>
      </c>
      <c r="BE417" s="64">
        <f>IF(+NFL!$F302="New England",+NFL!#REF!,IF(+NFL!$H302="New England",+NFL!#REF!,0))</f>
        <v>0</v>
      </c>
      <c r="BF417" s="46">
        <f>IF(+NFL!$F302="New England",+NFL!#REF!,IF(+NFL!$H302="New England",+NFL!#REF!,0))</f>
        <v>0</v>
      </c>
      <c r="BG417" s="57">
        <f>IF(+NFL!$F302="New England",+NFL!#REF!,IF(+NFL!$H302="New England",+NFL!#REF!,0))</f>
        <v>0</v>
      </c>
      <c r="BH417" s="64">
        <f>IF(+NFL!$F302="New England",+NFL!#REF!,IF(+NFL!$H302="New England",+NFL!#REF!,0))</f>
        <v>0</v>
      </c>
      <c r="BI417" s="46">
        <f>IF(+NFL!$F302="New England",+NFL!#REF!,IF(+NFL!$H302="New England",+NFL!#REF!,0))</f>
        <v>0</v>
      </c>
      <c r="BJ417" s="87">
        <f>IF(+NFL!$F302="New England",+NFL!#REF!,IF(+NFL!$H302="New England",+NFL!#REF!,0))</f>
        <v>0</v>
      </c>
      <c r="BK417" s="120">
        <f>IF(+NFL!$F302="New England",+NFL!#REF!,IF(+NFL!$H302="New England",+NFL!#REF!,0))</f>
        <v>0</v>
      </c>
    </row>
    <row r="418" spans="1:69" s="246" customFormat="1" x14ac:dyDescent="0.8">
      <c r="A418" s="46"/>
      <c r="B418" s="47"/>
      <c r="C418" s="48"/>
      <c r="D418" s="49"/>
      <c r="E418" s="46"/>
      <c r="F418" s="959" t="str">
        <f>F419</f>
        <v>New Orleans</v>
      </c>
      <c r="G418" s="960"/>
      <c r="H418" s="960"/>
      <c r="I418" s="961"/>
      <c r="J418" s="353"/>
      <c r="K418" s="364"/>
      <c r="L418" s="384"/>
      <c r="M418" s="385"/>
      <c r="N418" s="394"/>
      <c r="O418" s="395"/>
      <c r="P418" s="394"/>
      <c r="Q418" s="396"/>
      <c r="R418" s="397"/>
      <c r="S418" s="396"/>
      <c r="T418" s="398"/>
      <c r="U418" s="396"/>
      <c r="V418" s="397"/>
      <c r="W418" s="396"/>
      <c r="X418" s="398"/>
      <c r="Y418" s="396"/>
      <c r="Z418" s="397"/>
      <c r="AA418" s="396"/>
      <c r="AB418" s="87"/>
      <c r="AC418" s="120"/>
      <c r="AD418" s="353"/>
      <c r="AE418" s="379"/>
      <c r="AF418" s="353"/>
      <c r="AG418" s="379"/>
      <c r="AH418" s="353"/>
      <c r="AI418" s="379"/>
      <c r="AJ418" s="353"/>
      <c r="AK418" s="379"/>
      <c r="AL418" s="68"/>
      <c r="AM418" s="58"/>
      <c r="AN418" s="57"/>
      <c r="AO418" s="59"/>
      <c r="AP418" s="47"/>
      <c r="AQ418" s="47"/>
      <c r="AR418" s="57"/>
      <c r="AS418" s="64"/>
      <c r="AT418" s="64"/>
      <c r="AU418" s="57"/>
      <c r="AV418" s="64"/>
      <c r="AW418" s="46"/>
      <c r="AX418" s="64"/>
      <c r="AY418" s="57"/>
      <c r="AZ418" s="64"/>
      <c r="BA418" s="46"/>
      <c r="BB418" s="46"/>
      <c r="BC418" s="47"/>
      <c r="BD418" s="57"/>
      <c r="BE418" s="64"/>
      <c r="BF418" s="46"/>
      <c r="BG418" s="57"/>
      <c r="BH418" s="64"/>
      <c r="BI418" s="46"/>
      <c r="BJ418" s="87"/>
      <c r="BK418" s="120"/>
    </row>
    <row r="419" spans="1:69" s="246" customFormat="1" x14ac:dyDescent="0.8">
      <c r="A419" s="46">
        <f>IF(+NFL!$F5="New Orleans",+NFL!A5,IF(+NFL!$H5="New Orleans",+NFL!A5,0))</f>
        <v>1</v>
      </c>
      <c r="B419" s="348" t="str">
        <f>IF(+NFL!$F5="New Orleans",+NFL!B5,IF(+NFL!$H5="New Orleans",+NFL!B5,0))</f>
        <v>Sun</v>
      </c>
      <c r="C419" s="48">
        <f>IF(+NFL!$F5="New Orleans",+NFL!C5,IF(+NFL!$H5="New Orleans",+NFL!C5,0))</f>
        <v>44815</v>
      </c>
      <c r="D419" s="490">
        <f>IF(+NFL!$F5="New Orleans",+NFL!D5,IF(+NFL!$H5="New Orleans",+NFL!D5,0))</f>
        <v>0.54166666666666663</v>
      </c>
      <c r="E419" s="46" t="str">
        <f>IF(+NFL!$F5="New Orleans",+NFL!E5,IF(+NFL!$H5="New Orleans",+NFL!E5,0))</f>
        <v>Fox</v>
      </c>
      <c r="F419" s="127" t="str">
        <f>IF(+NFL!$F5="New Orleans",+NFL!F5,IF(+NFL!$H5="New Orleans",+NFL!F5,0))</f>
        <v>New Orleans</v>
      </c>
      <c r="G419" s="46" t="str">
        <f>IF(+NFL!$F5="New Orleans",+NFL!G5,IF(+NFL!$H5="New Orleans",+NFL!G5,0))</f>
        <v>NFCS</v>
      </c>
      <c r="H419" s="127" t="str">
        <f>IF(+NFL!$F5="New Orleans",+NFL!H5,IF(+NFL!$H5="New Orleans",+NFL!H5,0))</f>
        <v>Atlanta</v>
      </c>
      <c r="I419" s="46" t="str">
        <f>IF(+NFL!$F5="New Orleans",+NFL!I5,IF(+NFL!$H5="New Orleans",+NFL!I5,0))</f>
        <v>NFCS</v>
      </c>
      <c r="J419" s="353" t="str">
        <f>IF(+NFL!$F5="New Orleans",+NFL!J5,IF(+NFL!$H5="New Orleans",+NFL!J5,0))</f>
        <v>New Orleans</v>
      </c>
      <c r="K419" s="494" t="str">
        <f>IF(+NFL!$F5="New Orleans",+NFL!K5,IF(+NFL!$H5="New Orleans",+NFL!K5,0))</f>
        <v>Atlanta</v>
      </c>
      <c r="L419" s="384">
        <f>IF(+NFL!$F5="New Orleans",+NFL!L5,IF(+NFL!$H5="New Orleans",+NFL!L5,0))</f>
        <v>5.5</v>
      </c>
      <c r="M419" s="385">
        <f>IF(+NFL!$F5="New Orleans",+NFL!M5,IF(+NFL!$H5="New Orleans",+NFL!M5,0))</f>
        <v>42.5</v>
      </c>
      <c r="N419" s="394" t="str">
        <f>IF(+NFL!$F5="New Orleans",+NFL!N5,IF(+NFL!$H5="New Orleans",+NFL!N5,0))</f>
        <v>New Orleans</v>
      </c>
      <c r="O419" s="395">
        <f>IF(+NFL!$F5="New Orleans",+NFL!O5,IF(+NFL!$H5="New Orleans",+NFL!O5,0))</f>
        <v>27</v>
      </c>
      <c r="P419" s="394" t="str">
        <f>IF(+NFL!$F5="New Orleans",+NFL!P5,IF(+NFL!$H5="New Orleans",+NFL!P5,0))</f>
        <v>Atlanta</v>
      </c>
      <c r="Q419" s="396">
        <f>IF(+NFL!$F5="New Orleans",+NFL!Q5,IF(+NFL!$H5="New Orleans",+NFL!Q5,0))</f>
        <v>26</v>
      </c>
      <c r="R419" s="397" t="str">
        <f>IF(+NFL!$F5="New Orleans",+NFL!R5,IF(+NFL!$H5="New Orleans",+NFL!R5,0))</f>
        <v>Atlanta</v>
      </c>
      <c r="S419" s="396" t="str">
        <f>IF(+NFL!$F5="New Orleans",+NFL!S5,IF(+NFL!$H5="New Orleans",+NFL!S5,0))</f>
        <v>New Orleans</v>
      </c>
      <c r="T419" s="398" t="str">
        <f>IF(+NFL!$F5="New Orleans",+NFL!T5,IF(+NFL!$H5="New Orleans",+NFL!T5,0))</f>
        <v>New Orleans</v>
      </c>
      <c r="U419" s="396" t="str">
        <f>IF(+NFL!$F5="New Orleans",+NFL!U5,IF(+NFL!$H5="New Orleans",+NFL!U5,0))</f>
        <v>L</v>
      </c>
      <c r="V419" s="397"/>
      <c r="W419" s="396"/>
      <c r="X419" s="398"/>
      <c r="Y419" s="396"/>
      <c r="Z419" s="397"/>
      <c r="AA419" s="396"/>
      <c r="AB419" s="87"/>
      <c r="AC419" s="120"/>
      <c r="AD419" s="353"/>
      <c r="AE419" s="379"/>
      <c r="AF419" s="353"/>
      <c r="AG419" s="379"/>
      <c r="AH419" s="353"/>
      <c r="AI419" s="379"/>
      <c r="AJ419" s="353"/>
      <c r="AK419" s="379"/>
      <c r="AL419" s="68"/>
      <c r="AM419" s="58"/>
      <c r="AN419" s="57"/>
      <c r="AO419" s="59"/>
      <c r="AP419" s="348"/>
      <c r="AQ419" s="48"/>
      <c r="AR419" s="57"/>
      <c r="AS419" s="493"/>
      <c r="AT419" s="493"/>
      <c r="AU419" s="57"/>
      <c r="AV419" s="493"/>
      <c r="AW419" s="46"/>
      <c r="AX419" s="493"/>
      <c r="AY419" s="57"/>
      <c r="AZ419" s="493"/>
      <c r="BA419" s="46"/>
      <c r="BB419" s="46"/>
      <c r="BC419" s="403"/>
      <c r="BD419" s="57"/>
      <c r="BE419" s="493"/>
      <c r="BF419" s="46"/>
      <c r="BG419" s="57"/>
      <c r="BH419" s="493"/>
      <c r="BI419" s="46"/>
      <c r="BJ419" s="87"/>
      <c r="BK419" s="120"/>
    </row>
    <row r="420" spans="1:69" s="246" customFormat="1" x14ac:dyDescent="0.8">
      <c r="A420" s="46">
        <f>IF(+NFL!$F24="New Orleans",+NFL!A24,IF(+NFL!$H24="New Orleans",+NFL!A24,0))</f>
        <v>2</v>
      </c>
      <c r="B420" s="348" t="str">
        <f>IF(+NFL!$F24="New Orleans",+NFL!B24,IF(+NFL!$H24="New Orleans",+NFL!B24,0))</f>
        <v>Sun</v>
      </c>
      <c r="C420" s="48">
        <f>IF(+NFL!$F24="New Orleans",+NFL!C24,IF(+NFL!$H24="New Orleans",+NFL!C24,0))</f>
        <v>44822</v>
      </c>
      <c r="D420" s="490">
        <f>IF(+NFL!$F24="New Orleans",+NFL!D24,IF(+NFL!$H24="New Orleans",+NFL!D24,0))</f>
        <v>0.54166666666666663</v>
      </c>
      <c r="E420" s="46" t="str">
        <f>IF(+NFL!$F24="New Orleans",+NFL!E24,IF(+NFL!$H24="New Orleans",+NFL!E24,0))</f>
        <v>Fox</v>
      </c>
      <c r="F420" s="127" t="str">
        <f>IF(+NFL!$F24="New Orleans",+NFL!F24,IF(+NFL!$H24="New Orleans",+NFL!F24,0))</f>
        <v>Tampa Bay</v>
      </c>
      <c r="G420" s="46" t="str">
        <f>IF(+NFL!$F24="New Orleans",+NFL!G24,IF(+NFL!$H24="New Orleans",+NFL!G24,0))</f>
        <v>NFCS</v>
      </c>
      <c r="H420" s="127" t="str">
        <f>IF(+NFL!$F24="New Orleans",+NFL!H24,IF(+NFL!$H24="New Orleans",+NFL!H24,0))</f>
        <v>New Orleans</v>
      </c>
      <c r="I420" s="46" t="str">
        <f>IF(+NFL!$F24="New Orleans",+NFL!I24,IF(+NFL!$H24="New Orleans",+NFL!I24,0))</f>
        <v>NFCS</v>
      </c>
      <c r="J420" s="353" t="str">
        <f>IF(+NFL!$F24="New Orleans",+NFL!J24,IF(+NFL!$H24="New Orleans",+NFL!J24,0))</f>
        <v>Tampa Bay</v>
      </c>
      <c r="K420" s="494" t="str">
        <f>IF(+NFL!$F24="New Orleans",+NFL!K24,IF(+NFL!$H24="New Orleans",+NFL!K24,0))</f>
        <v>New Orleans</v>
      </c>
      <c r="L420" s="384">
        <f>IF(+NFL!$F24="New Orleans",+NFL!L24,IF(+NFL!$H24="New Orleans",+NFL!L24,0))</f>
        <v>2.5</v>
      </c>
      <c r="M420" s="385">
        <f>IF(+NFL!$F24="New Orleans",+NFL!M24,IF(+NFL!$H24="New Orleans",+NFL!M24,0))</f>
        <v>44</v>
      </c>
      <c r="N420" s="394" t="str">
        <f>IF(+NFL!$F24="New Orleans",+NFL!N24,IF(+NFL!$H24="New Orleans",+NFL!N24,0))</f>
        <v>New Orleans</v>
      </c>
      <c r="O420" s="395">
        <f>IF(+NFL!$F24="New Orleans",+NFL!O24,IF(+NFL!$H24="New Orleans",+NFL!O24,0))</f>
        <v>20</v>
      </c>
      <c r="P420" s="394" t="str">
        <f>IF(+NFL!$F24="New Orleans",+NFL!P24,IF(+NFL!$H24="New Orleans",+NFL!P24,0))</f>
        <v>Tampa Bay</v>
      </c>
      <c r="Q420" s="396">
        <f>IF(+NFL!$F24="New Orleans",+NFL!Q24,IF(+NFL!$H24="New Orleans",+NFL!Q24,0))</f>
        <v>10</v>
      </c>
      <c r="R420" s="397" t="str">
        <f>IF(+NFL!$F24="New Orleans",+NFL!R24,IF(+NFL!$H24="New Orleans",+NFL!R24,0))</f>
        <v>New Orleans</v>
      </c>
      <c r="S420" s="396" t="str">
        <f>IF(+NFL!$F24="New Orleans",+NFL!S24,IF(+NFL!$H24="New Orleans",+NFL!S24,0))</f>
        <v>Tampa Bay</v>
      </c>
      <c r="T420" s="398" t="str">
        <f>IF(+NFL!$F24="New Orleans",+NFL!T24,IF(+NFL!$H24="New Orleans",+NFL!T24,0))</f>
        <v>New Orleans</v>
      </c>
      <c r="U420" s="396" t="str">
        <f>IF(+NFL!$F24="New Orleans",+NFL!U24,IF(+NFL!$H24="New Orleans",+NFL!U24,0))</f>
        <v>W</v>
      </c>
      <c r="V420" s="397"/>
      <c r="W420" s="396"/>
      <c r="X420" s="398"/>
      <c r="Y420" s="396"/>
      <c r="Z420" s="397"/>
      <c r="AA420" s="396"/>
      <c r="AB420" s="87"/>
      <c r="AC420" s="120"/>
      <c r="AD420" s="353"/>
      <c r="AE420" s="379"/>
      <c r="AF420" s="353"/>
      <c r="AG420" s="379"/>
      <c r="AH420" s="353"/>
      <c r="AI420" s="379"/>
      <c r="AJ420" s="353"/>
      <c r="AK420" s="379"/>
      <c r="AL420" s="68"/>
      <c r="AM420" s="58"/>
      <c r="AN420" s="57"/>
      <c r="AO420" s="59"/>
      <c r="AP420" s="348"/>
      <c r="AQ420" s="48"/>
      <c r="AR420" s="57"/>
      <c r="AS420" s="64"/>
      <c r="AT420" s="64"/>
      <c r="AU420" s="57"/>
      <c r="AV420" s="64"/>
      <c r="AW420" s="46"/>
      <c r="AX420" s="64"/>
      <c r="AY420" s="57"/>
      <c r="AZ420" s="64"/>
      <c r="BA420" s="46"/>
      <c r="BB420" s="46"/>
      <c r="BC420" s="403"/>
      <c r="BD420" s="57"/>
      <c r="BE420" s="64"/>
      <c r="BF420" s="46"/>
      <c r="BG420" s="57"/>
      <c r="BH420" s="64"/>
      <c r="BI420" s="46"/>
      <c r="BJ420" s="87"/>
      <c r="BK420" s="120"/>
    </row>
    <row r="421" spans="1:69" s="246" customFormat="1" x14ac:dyDescent="0.8">
      <c r="A421" s="46">
        <f>IF(+NFL!$F47="New Orleans",+NFL!A47,IF(+NFL!$H47="New Orleans",+NFL!A47,0))</f>
        <v>3</v>
      </c>
      <c r="B421" s="348" t="str">
        <f>IF(+NFL!$F47="New Orleans",+NFL!B47,IF(+NFL!$H47="New Orleans",+NFL!B47,0))</f>
        <v>Sun</v>
      </c>
      <c r="C421" s="48">
        <f>IF(+NFL!$F47="New Orleans",+NFL!C47,IF(+NFL!$H47="New Orleans",+NFL!C47,0))</f>
        <v>44829</v>
      </c>
      <c r="D421" s="490">
        <f>IF(+NFL!$F47="New Orleans",+NFL!D47,IF(+NFL!$H47="New Orleans",+NFL!D47,0))</f>
        <v>0.54166666666666663</v>
      </c>
      <c r="E421" s="46" t="str">
        <f>IF(+NFL!$F47="New Orleans",+NFL!E47,IF(+NFL!$H47="New Orleans",+NFL!E47,0))</f>
        <v>Fox</v>
      </c>
      <c r="F421" s="127" t="str">
        <f>IF(+NFL!$F47="New Orleans",+NFL!F47,IF(+NFL!$H47="New Orleans",+NFL!F47,0))</f>
        <v>New Orleans</v>
      </c>
      <c r="G421" s="46" t="str">
        <f>IF(+NFL!$F47="New Orleans",+NFL!G47,IF(+NFL!$H47="New Orleans",+NFL!G47,0))</f>
        <v>NFCS</v>
      </c>
      <c r="H421" s="127" t="str">
        <f>IF(+NFL!$F47="New Orleans",+NFL!H47,IF(+NFL!$H47="New Orleans",+NFL!H47,0))</f>
        <v>Carolina</v>
      </c>
      <c r="I421" s="46" t="str">
        <f>IF(+NFL!$F47="New Orleans",+NFL!I47,IF(+NFL!$H47="New Orleans",+NFL!I47,0))</f>
        <v>NFCS</v>
      </c>
      <c r="J421" s="353" t="str">
        <f>IF(+NFL!$F47="New Orleans",+NFL!J47,IF(+NFL!$H47="New Orleans",+NFL!J47,0))</f>
        <v>New Orleans</v>
      </c>
      <c r="K421" s="494" t="str">
        <f>IF(+NFL!$F47="New Orleans",+NFL!K47,IF(+NFL!$H47="New Orleans",+NFL!K47,0))</f>
        <v>Carolina</v>
      </c>
      <c r="L421" s="384">
        <f>IF(+NFL!$F47="New Orleans",+NFL!L47,IF(+NFL!$H47="New Orleans",+NFL!L47,0))</f>
        <v>2.5</v>
      </c>
      <c r="M421" s="385">
        <f>IF(+NFL!$F47="New Orleans",+NFL!M47,IF(+NFL!$H47="New Orleans",+NFL!M47,0))</f>
        <v>40.5</v>
      </c>
      <c r="N421" s="394" t="str">
        <f>IF(+NFL!$F47="New Orleans",+NFL!N47,IF(+NFL!$H47="New Orleans",+NFL!N47,0))</f>
        <v>Carolina</v>
      </c>
      <c r="O421" s="395">
        <f>IF(+NFL!$F47="New Orleans",+NFL!O47,IF(+NFL!$H47="New Orleans",+NFL!O47,0))</f>
        <v>22</v>
      </c>
      <c r="P421" s="394" t="str">
        <f>IF(+NFL!$F47="New Orleans",+NFL!P47,IF(+NFL!$H47="New Orleans",+NFL!P47,0))</f>
        <v>New Orleans</v>
      </c>
      <c r="Q421" s="396">
        <f>IF(+NFL!$F47="New Orleans",+NFL!Q47,IF(+NFL!$H47="New Orleans",+NFL!Q47,0))</f>
        <v>14</v>
      </c>
      <c r="R421" s="397" t="str">
        <f>IF(+NFL!$F47="New Orleans",+NFL!R47,IF(+NFL!$H47="New Orleans",+NFL!R47,0))</f>
        <v>Carolina</v>
      </c>
      <c r="S421" s="396" t="str">
        <f>IF(+NFL!$F47="New Orleans",+NFL!S47,IF(+NFL!$H47="New Orleans",+NFL!S47,0))</f>
        <v>New Orleans</v>
      </c>
      <c r="T421" s="398" t="str">
        <f>IF(+NFL!$F47="New Orleans",+NFL!T47,IF(+NFL!$H47="New Orleans",+NFL!T47,0))</f>
        <v>Carolina</v>
      </c>
      <c r="U421" s="396" t="str">
        <f>IF(+NFL!$F47="New Orleans",+NFL!U47,IF(+NFL!$H47="New Orleans",+NFL!U47,0))</f>
        <v>W</v>
      </c>
      <c r="V421" s="397">
        <f>IF(+NFL!$F41="New Orleans",+NFL!#REF!,IF(+NFL!$H41="New Orleans",+NFL!#REF!,0))</f>
        <v>0</v>
      </c>
      <c r="W421" s="396">
        <f>IF(+NFL!$F41="New Orleans",+NFL!#REF!,IF(+NFL!$H41="New Orleans",+NFL!#REF!,0))</f>
        <v>0</v>
      </c>
      <c r="X421" s="398">
        <f>IF(+NFL!$F41="New Orleans",+NFL!#REF!,IF(+NFL!$H41="New Orleans",+NFL!#REF!,0))</f>
        <v>0</v>
      </c>
      <c r="Y421" s="396">
        <f>IF(+NFL!$F41="New Orleans",+NFL!#REF!,IF(+NFL!$H41="New Orleans",+NFL!#REF!,0))</f>
        <v>0</v>
      </c>
      <c r="Z421" s="397">
        <f>IF(+NFL!$F41="New Orleans",+NFL!#REF!,IF(+NFL!$H41="New Orleans",+NFL!#REF!,0))</f>
        <v>0</v>
      </c>
      <c r="AA421" s="396">
        <f>IF(+NFL!$F41="New Orleans",+NFL!#REF!,IF(+NFL!$H41="New Orleans",+NFL!#REF!,0))</f>
        <v>0</v>
      </c>
      <c r="AB421" s="87">
        <f>IF(+NFL!$F41="New Orleans",+NFL!#REF!,IF(+NFL!$H41="New Orleans",+NFL!#REF!,0))</f>
        <v>0</v>
      </c>
      <c r="AC421" s="120">
        <f>IF(+NFL!$F41="New Orleans",+NFL!#REF!,IF(+NFL!$H41="New Orleans",+NFL!#REF!,0))</f>
        <v>0</v>
      </c>
      <c r="AD421" s="353">
        <f>IF(+NFL!$F41="New Orleans",+NFL!#REF!,IF(+NFL!$H41="New Orleans",+NFL!#REF!,0))</f>
        <v>0</v>
      </c>
      <c r="AE421" s="379">
        <f>IF(+NFL!$F41="New Orleans",+NFL!#REF!,IF(+NFL!$H41="New Orleans",+NFL!#REF!,0))</f>
        <v>0</v>
      </c>
      <c r="AF421" s="353">
        <f>IF(+NFL!$F41="New Orleans",+NFL!#REF!,IF(+NFL!$H41="New Orleans",+NFL!#REF!,0))</f>
        <v>0</v>
      </c>
      <c r="AG421" s="379">
        <f>IF(+NFL!$F41="New Orleans",+NFL!#REF!,IF(+NFL!$H41="New Orleans",+NFL!#REF!,0))</f>
        <v>0</v>
      </c>
      <c r="AH421" s="353">
        <f>IF(+NFL!$F41="New Orleans",+NFL!#REF!,IF(+NFL!$H41="New Orleans",+NFL!#REF!,0))</f>
        <v>0</v>
      </c>
      <c r="AI421" s="379">
        <f>IF(+NFL!$F41="New Orleans",+NFL!#REF!,IF(+NFL!$H41="New Orleans",+NFL!#REF!,0))</f>
        <v>0</v>
      </c>
      <c r="AJ421" s="353">
        <f>IF(+NFL!$F41="New Orleans",+NFL!#REF!,IF(+NFL!$H41="New Orleans",+NFL!#REF!,0))</f>
        <v>0</v>
      </c>
      <c r="AK421" s="379">
        <f>IF(+NFL!$F41="New Orleans",+NFL!#REF!,IF(+NFL!$H41="New Orleans",+NFL!#REF!,0))</f>
        <v>0</v>
      </c>
      <c r="AL421" s="68">
        <f>IF(+NFL!$F41="New Orleans",+NFL!#REF!,IF(+NFL!$H41="New Orleans",+NFL!#REF!,0))</f>
        <v>0</v>
      </c>
      <c r="AM421" s="58">
        <f>IF(+NFL!$F41="New Orleans",+NFL!#REF!,IF(+NFL!$H41="New Orleans",+NFL!#REF!,0))</f>
        <v>0</v>
      </c>
      <c r="AN421" s="57">
        <f>IF(+NFL!$F41="New Orleans",+NFL!#REF!,IF(+NFL!$H41="New Orleans",+NFL!#REF!,0))</f>
        <v>0</v>
      </c>
      <c r="AO421" s="59">
        <f>IF(+NFL!$F41="New Orleans",+NFL!#REF!,IF(+NFL!$H41="New Orleans",+NFL!#REF!,0))</f>
        <v>0</v>
      </c>
      <c r="AP421" s="348">
        <f>IF(+NFL!$F41="New Orleans",+NFL!#REF!,IF(+NFL!$H41="New Orleans",+NFL!#REF!,0))</f>
        <v>0</v>
      </c>
      <c r="AQ421" s="48">
        <f>IF(+NFL!$F41="New Orleans",+NFL!#REF!,IF(+NFL!$H41="New Orleans",+NFL!#REF!,0))</f>
        <v>0</v>
      </c>
      <c r="AR421" s="57">
        <f>IF(+NFL!$F41="New Orleans",+NFL!#REF!,IF(+NFL!$H41="New Orleans",+NFL!#REF!,0))</f>
        <v>0</v>
      </c>
      <c r="AS421" s="64">
        <f>IF(+NFL!$F41="New Orleans",+NFL!#REF!,IF(+NFL!$H41="New Orleans",+NFL!#REF!,0))</f>
        <v>0</v>
      </c>
      <c r="AT421" s="64">
        <f>IF(+NFL!$F41="New Orleans",+NFL!#REF!,IF(+NFL!$H41="New Orleans",+NFL!#REF!,0))</f>
        <v>0</v>
      </c>
      <c r="AU421" s="57">
        <f>IF(+NFL!$F41="New Orleans",+NFL!#REF!,IF(+NFL!$H41="New Orleans",+NFL!#REF!,0))</f>
        <v>0</v>
      </c>
      <c r="AV421" s="64">
        <f>IF(+NFL!$F41="New Orleans",+NFL!#REF!,IF(+NFL!$H41="New Orleans",+NFL!#REF!,0))</f>
        <v>0</v>
      </c>
      <c r="AW421" s="46">
        <f>IF(+NFL!$F41="New Orleans",+NFL!#REF!,IF(+NFL!$H41="New Orleans",+NFL!#REF!,0))</f>
        <v>0</v>
      </c>
      <c r="AX421" s="64">
        <f>IF(+NFL!$F41="New Orleans",+NFL!#REF!,IF(+NFL!$H41="New Orleans",+NFL!#REF!,0))</f>
        <v>0</v>
      </c>
      <c r="AY421" s="57">
        <f>IF(+NFL!$F41="New Orleans",+NFL!#REF!,IF(+NFL!$H41="New Orleans",+NFL!#REF!,0))</f>
        <v>0</v>
      </c>
      <c r="AZ421" s="64">
        <f>IF(+NFL!$F41="New Orleans",+NFL!#REF!,IF(+NFL!$H41="New Orleans",+NFL!#REF!,0))</f>
        <v>0</v>
      </c>
      <c r="BA421" s="46">
        <f>IF(+NFL!$F41="New Orleans",+NFL!#REF!,IF(+NFL!$H41="New Orleans",+NFL!#REF!,0))</f>
        <v>0</v>
      </c>
      <c r="BB421" s="46">
        <f>IF(+NFL!$F41="New Orleans",+NFL!#REF!,IF(+NFL!$H41="New Orleans",+NFL!#REF!,0))</f>
        <v>0</v>
      </c>
      <c r="BC421" s="403">
        <f>IF(+NFL!$F41="New Orleans",+NFL!#REF!,IF(+NFL!$H41="New Orleans",+NFL!#REF!,0))</f>
        <v>0</v>
      </c>
      <c r="BD421" s="57">
        <f>IF(+NFL!$F41="New Orleans",+NFL!#REF!,IF(+NFL!$H41="New Orleans",+NFL!#REF!,0))</f>
        <v>0</v>
      </c>
      <c r="BE421" s="64">
        <f>IF(+NFL!$F41="New Orleans",+NFL!#REF!,IF(+NFL!$H41="New Orleans",+NFL!#REF!,0))</f>
        <v>0</v>
      </c>
      <c r="BF421" s="46">
        <f>IF(+NFL!$F41="New Orleans",+NFL!#REF!,IF(+NFL!$H41="New Orleans",+NFL!#REF!,0))</f>
        <v>0</v>
      </c>
      <c r="BG421" s="57">
        <f>IF(+NFL!$F41="New Orleans",+NFL!#REF!,IF(+NFL!$H41="New Orleans",+NFL!#REF!,0))</f>
        <v>0</v>
      </c>
      <c r="BH421" s="64">
        <f>IF(+NFL!$F41="New Orleans",+NFL!#REF!,IF(+NFL!$H41="New Orleans",+NFL!#REF!,0))</f>
        <v>0</v>
      </c>
      <c r="BI421" s="46">
        <f>IF(+NFL!$F41="New Orleans",+NFL!#REF!,IF(+NFL!$H41="New Orleans",+NFL!#REF!,0))</f>
        <v>0</v>
      </c>
      <c r="BJ421" s="87">
        <f>IF(+NFL!$F41="New Orleans",+NFL!#REF!,IF(+NFL!$H41="New Orleans",+NFL!#REF!,0))</f>
        <v>0</v>
      </c>
      <c r="BK421" s="120">
        <f>IF(+NFL!$F41="New Orleans",+NFL!#REF!,IF(+NFL!$H41="New Orleans",+NFL!#REF!,0))</f>
        <v>0</v>
      </c>
    </row>
    <row r="422" spans="1:69" s="246" customFormat="1" x14ac:dyDescent="0.8">
      <c r="A422" s="46">
        <f>IF(+NFL!$F56="New Orleans",+NFL!A56,IF(+NFL!$H56="New Orleans",+NFL!A56,0))</f>
        <v>4</v>
      </c>
      <c r="B422" s="348" t="str">
        <f>IF(+NFL!$F56="New Orleans",+NFL!B56,IF(+NFL!$H56="New Orleans",+NFL!B56,0))</f>
        <v>Sun</v>
      </c>
      <c r="C422" s="48">
        <f>IF(+NFL!$F56="New Orleans",+NFL!C56,IF(+NFL!$H56="New Orleans",+NFL!C56,0))</f>
        <v>44833</v>
      </c>
      <c r="D422" s="490">
        <f>IF(+NFL!$F56="New Orleans",+NFL!D56,IF(+NFL!$H56="New Orleans",+NFL!D56,0))</f>
        <v>0.54166666666666663</v>
      </c>
      <c r="E422" s="46" t="str">
        <f>IF(+NFL!$F56="New Orleans",+NFL!E56,IF(+NFL!$H56="New Orleans",+NFL!E56,0))</f>
        <v>Fox</v>
      </c>
      <c r="F422" s="127" t="str">
        <f>IF(+NFL!$F56="New Orleans",+NFL!F56,IF(+NFL!$H56="New Orleans",+NFL!F56,0))</f>
        <v>Minnesota</v>
      </c>
      <c r="G422" s="46" t="str">
        <f>IF(+NFL!$F56="New Orleans",+NFL!G56,IF(+NFL!$H56="New Orleans",+NFL!G56,0))</f>
        <v>NFCN</v>
      </c>
      <c r="H422" s="127" t="str">
        <f>IF(+NFL!$F56="New Orleans",+NFL!H56,IF(+NFL!$H56="New Orleans",+NFL!H56,0))</f>
        <v>New Orleans</v>
      </c>
      <c r="I422" s="46" t="str">
        <f>IF(+NFL!$F56="New Orleans",+NFL!I56,IF(+NFL!$H56="New Orleans",+NFL!I56,0))</f>
        <v>NFCS</v>
      </c>
      <c r="J422" s="353" t="str">
        <f>IF(+NFL!$F56="New Orleans",+NFL!J56,IF(+NFL!$H56="New Orleans",+NFL!J56,0))</f>
        <v>Minnesota</v>
      </c>
      <c r="K422" s="494" t="str">
        <f>IF(+NFL!$F56="New Orleans",+NFL!K56,IF(+NFL!$H56="New Orleans",+NFL!K56,0))</f>
        <v>New Orleans</v>
      </c>
      <c r="L422" s="384">
        <f>IF(+NFL!$F56="New Orleans",+NFL!L56,IF(+NFL!$H56="New Orleans",+NFL!L56,0))</f>
        <v>3</v>
      </c>
      <c r="M422" s="385">
        <f>IF(+NFL!$F56="New Orleans",+NFL!M56,IF(+NFL!$H56="New Orleans",+NFL!M56,0))</f>
        <v>43.5</v>
      </c>
      <c r="N422" s="394" t="str">
        <f>IF(+NFL!$F56="New Orleans",+NFL!N56,IF(+NFL!$H56="New Orleans",+NFL!N56,0))</f>
        <v>Minnesota</v>
      </c>
      <c r="O422" s="395">
        <f>IF(+NFL!$F56="New Orleans",+NFL!O56,IF(+NFL!$H56="New Orleans",+NFL!O56,0))</f>
        <v>28</v>
      </c>
      <c r="P422" s="394" t="str">
        <f>IF(+NFL!$F56="New Orleans",+NFL!P56,IF(+NFL!$H56="New Orleans",+NFL!P56,0))</f>
        <v>New Orleans</v>
      </c>
      <c r="Q422" s="396">
        <f>IF(+NFL!$F56="New Orleans",+NFL!Q56,IF(+NFL!$H56="New Orleans",+NFL!Q56,0))</f>
        <v>25</v>
      </c>
      <c r="R422" s="397" t="str">
        <f>IF(+NFL!$F56="New Orleans",+NFL!R56,IF(+NFL!$H56="New Orleans",+NFL!R56,0))</f>
        <v>Minnesota</v>
      </c>
      <c r="S422" s="396" t="str">
        <f>IF(+NFL!$F56="New Orleans",+NFL!S56,IF(+NFL!$H56="New Orleans",+NFL!S56,0))</f>
        <v>New Orleans</v>
      </c>
      <c r="T422" s="398" t="str">
        <f>IF(+NFL!$F56="New Orleans",+NFL!T56,IF(+NFL!$H56="New Orleans",+NFL!T56,0))</f>
        <v>New Orleans</v>
      </c>
      <c r="U422" s="396" t="str">
        <f>IF(+NFL!$F56="New Orleans",+NFL!U56,IF(+NFL!$H56="New Orleans",+NFL!U56,0))</f>
        <v>T</v>
      </c>
      <c r="V422" s="397">
        <f>IF(+NFL!$F61="New Orleans",+NFL!#REF!,IF(+NFL!$H61="New Orleans",+NFL!#REF!,0))</f>
        <v>0</v>
      </c>
      <c r="W422" s="396">
        <f>IF(+NFL!$F61="New Orleans",+NFL!#REF!,IF(+NFL!$H61="New Orleans",+NFL!#REF!,0))</f>
        <v>0</v>
      </c>
      <c r="X422" s="398">
        <f>IF(+NFL!$F61="New Orleans",+NFL!#REF!,IF(+NFL!$H61="New Orleans",+NFL!#REF!,0))</f>
        <v>0</v>
      </c>
      <c r="Y422" s="396">
        <f>IF(+NFL!$F61="New Orleans",+NFL!#REF!,IF(+NFL!$H61="New Orleans",+NFL!#REF!,0))</f>
        <v>0</v>
      </c>
      <c r="Z422" s="397">
        <f>IF(+NFL!$F61="New Orleans",+NFL!#REF!,IF(+NFL!$H61="New Orleans",+NFL!#REF!,0))</f>
        <v>0</v>
      </c>
      <c r="AA422" s="396">
        <f>IF(+NFL!$F61="New Orleans",+NFL!#REF!,IF(+NFL!$H61="New Orleans",+NFL!#REF!,0))</f>
        <v>0</v>
      </c>
      <c r="AB422" s="87">
        <f>IF(+NFL!$F61="New Orleans",+NFL!#REF!,IF(+NFL!$H61="New Orleans",+NFL!#REF!,0))</f>
        <v>0</v>
      </c>
      <c r="AC422" s="120">
        <f>IF(+NFL!$F61="New Orleans",+NFL!#REF!,IF(+NFL!$H61="New Orleans",+NFL!#REF!,0))</f>
        <v>0</v>
      </c>
      <c r="AD422" s="353">
        <f>IF(+NFL!$F61="New Orleans",+NFL!#REF!,IF(+NFL!$H61="New Orleans",+NFL!#REF!,0))</f>
        <v>0</v>
      </c>
      <c r="AE422" s="379">
        <f>IF(+NFL!$F61="New Orleans",+NFL!#REF!,IF(+NFL!$H61="New Orleans",+NFL!#REF!,0))</f>
        <v>0</v>
      </c>
      <c r="AF422" s="353">
        <f>IF(+NFL!$F61="New Orleans",+NFL!#REF!,IF(+NFL!$H61="New Orleans",+NFL!#REF!,0))</f>
        <v>0</v>
      </c>
      <c r="AG422" s="379">
        <f>IF(+NFL!$F61="New Orleans",+NFL!#REF!,IF(+NFL!$H61="New Orleans",+NFL!#REF!,0))</f>
        <v>0</v>
      </c>
      <c r="AH422" s="353">
        <f>IF(+NFL!$F61="New Orleans",+NFL!#REF!,IF(+NFL!$H61="New Orleans",+NFL!#REF!,0))</f>
        <v>0</v>
      </c>
      <c r="AI422" s="379">
        <f>IF(+NFL!$F61="New Orleans",+NFL!#REF!,IF(+NFL!$H61="New Orleans",+NFL!#REF!,0))</f>
        <v>0</v>
      </c>
      <c r="AJ422" s="353">
        <f>IF(+NFL!$F61="New Orleans",+NFL!#REF!,IF(+NFL!$H61="New Orleans",+NFL!#REF!,0))</f>
        <v>0</v>
      </c>
      <c r="AK422" s="379">
        <f>IF(+NFL!$F61="New Orleans",+NFL!#REF!,IF(+NFL!$H61="New Orleans",+NFL!#REF!,0))</f>
        <v>0</v>
      </c>
      <c r="AL422" s="68">
        <f>IF(+NFL!$F61="New Orleans",+NFL!#REF!,IF(+NFL!$H61="New Orleans",+NFL!#REF!,0))</f>
        <v>0</v>
      </c>
      <c r="AM422" s="58">
        <f>IF(+NFL!$F61="New Orleans",+NFL!#REF!,IF(+NFL!$H61="New Orleans",+NFL!#REF!,0))</f>
        <v>0</v>
      </c>
      <c r="AN422" s="57">
        <f>IF(+NFL!$F61="New Orleans",+NFL!#REF!,IF(+NFL!$H61="New Orleans",+NFL!#REF!,0))</f>
        <v>0</v>
      </c>
      <c r="AO422" s="59">
        <f>IF(+NFL!$F61="New Orleans",+NFL!#REF!,IF(+NFL!$H61="New Orleans",+NFL!#REF!,0))</f>
        <v>0</v>
      </c>
      <c r="AP422" s="348">
        <f>IF(+NFL!$F61="New Orleans",+NFL!#REF!,IF(+NFL!$H61="New Orleans",+NFL!#REF!,0))</f>
        <v>0</v>
      </c>
      <c r="AQ422" s="48">
        <f>IF(+NFL!$F61="New Orleans",+NFL!#REF!,IF(+NFL!$H61="New Orleans",+NFL!#REF!,0))</f>
        <v>0</v>
      </c>
      <c r="AR422" s="57">
        <f>IF(+NFL!$F61="New Orleans",+NFL!#REF!,IF(+NFL!$H61="New Orleans",+NFL!#REF!,0))</f>
        <v>0</v>
      </c>
      <c r="AS422" s="64">
        <f>IF(+NFL!$F61="New Orleans",+NFL!#REF!,IF(+NFL!$H61="New Orleans",+NFL!#REF!,0))</f>
        <v>0</v>
      </c>
      <c r="AT422" s="64">
        <f>IF(+NFL!$F61="New Orleans",+NFL!#REF!,IF(+NFL!$H61="New Orleans",+NFL!#REF!,0))</f>
        <v>0</v>
      </c>
      <c r="AU422" s="57">
        <f>IF(+NFL!$F61="New Orleans",+NFL!#REF!,IF(+NFL!$H61="New Orleans",+NFL!#REF!,0))</f>
        <v>0</v>
      </c>
      <c r="AV422" s="64">
        <f>IF(+NFL!$F61="New Orleans",+NFL!#REF!,IF(+NFL!$H61="New Orleans",+NFL!#REF!,0))</f>
        <v>0</v>
      </c>
      <c r="AW422" s="46">
        <f>IF(+NFL!$F61="New Orleans",+NFL!#REF!,IF(+NFL!$H61="New Orleans",+NFL!#REF!,0))</f>
        <v>0</v>
      </c>
      <c r="AX422" s="64">
        <f>IF(+NFL!$F61="New Orleans",+NFL!#REF!,IF(+NFL!$H61="New Orleans",+NFL!#REF!,0))</f>
        <v>0</v>
      </c>
      <c r="AY422" s="57">
        <f>IF(+NFL!$F61="New Orleans",+NFL!#REF!,IF(+NFL!$H61="New Orleans",+NFL!#REF!,0))</f>
        <v>0</v>
      </c>
      <c r="AZ422" s="64">
        <f>IF(+NFL!$F61="New Orleans",+NFL!#REF!,IF(+NFL!$H61="New Orleans",+NFL!#REF!,0))</f>
        <v>0</v>
      </c>
      <c r="BA422" s="46">
        <f>IF(+NFL!$F61="New Orleans",+NFL!#REF!,IF(+NFL!$H61="New Orleans",+NFL!#REF!,0))</f>
        <v>0</v>
      </c>
      <c r="BB422" s="46">
        <f>IF(+NFL!$F61="New Orleans",+NFL!#REF!,IF(+NFL!$H61="New Orleans",+NFL!#REF!,0))</f>
        <v>0</v>
      </c>
      <c r="BC422" s="403">
        <f>IF(+NFL!$F61="New Orleans",+NFL!#REF!,IF(+NFL!$H61="New Orleans",+NFL!#REF!,0))</f>
        <v>0</v>
      </c>
      <c r="BD422" s="57">
        <f>IF(+NFL!$F61="New Orleans",+NFL!#REF!,IF(+NFL!$H61="New Orleans",+NFL!#REF!,0))</f>
        <v>0</v>
      </c>
      <c r="BE422" s="64">
        <f>IF(+NFL!$F61="New Orleans",+NFL!#REF!,IF(+NFL!$H61="New Orleans",+NFL!#REF!,0))</f>
        <v>0</v>
      </c>
      <c r="BF422" s="46">
        <f>IF(+NFL!$F61="New Orleans",+NFL!#REF!,IF(+NFL!$H61="New Orleans",+NFL!#REF!,0))</f>
        <v>0</v>
      </c>
      <c r="BG422" s="57">
        <f>IF(+NFL!$F61="New Orleans",+NFL!#REF!,IF(+NFL!$H61="New Orleans",+NFL!#REF!,0))</f>
        <v>0</v>
      </c>
      <c r="BH422" s="64">
        <f>IF(+NFL!$F61="New Orleans",+NFL!#REF!,IF(+NFL!$H61="New Orleans",+NFL!#REF!,0))</f>
        <v>0</v>
      </c>
      <c r="BI422" s="46">
        <f>IF(+NFL!$F61="New Orleans",+NFL!#REF!,IF(+NFL!$H61="New Orleans",+NFL!#REF!,0))</f>
        <v>0</v>
      </c>
      <c r="BJ422" s="87">
        <f>IF(+NFL!$F61="New Orleans",+NFL!#REF!,IF(+NFL!$H61="New Orleans",+NFL!#REF!,0))</f>
        <v>0</v>
      </c>
      <c r="BK422" s="120">
        <f>IF(+NFL!$F61="New Orleans",+NFL!#REF!,IF(+NFL!$H61="New Orleans",+NFL!#REF!,0))</f>
        <v>0</v>
      </c>
    </row>
    <row r="423" spans="1:69" s="246" customFormat="1" x14ac:dyDescent="0.8">
      <c r="A423" s="46">
        <f>IF(+NFL!$F78="New Orleans",+NFL!A78,IF(+NFL!$H78="New Orleans",+NFL!A78,0))</f>
        <v>5</v>
      </c>
      <c r="B423" s="348" t="str">
        <f>IF(+NFL!$F78="New Orleans",+NFL!B78,IF(+NFL!$H78="New Orleans",+NFL!B78,0))</f>
        <v>Sun</v>
      </c>
      <c r="C423" s="48">
        <f>IF(+NFL!$F78="New Orleans",+NFL!C78,IF(+NFL!$H78="New Orleans",+NFL!C78,0))</f>
        <v>44843</v>
      </c>
      <c r="D423" s="490">
        <f>IF(+NFL!$F78="New Orleans",+NFL!D78,IF(+NFL!$H78="New Orleans",+NFL!D78,0))</f>
        <v>0.54166666666666663</v>
      </c>
      <c r="E423" s="46" t="str">
        <f>IF(+NFL!$F78="New Orleans",+NFL!E78,IF(+NFL!$H78="New Orleans",+NFL!E78,0))</f>
        <v>Fox</v>
      </c>
      <c r="F423" s="127" t="str">
        <f>IF(+NFL!$F78="New Orleans",+NFL!F78,IF(+NFL!$H78="New Orleans",+NFL!F78,0))</f>
        <v>Seattle</v>
      </c>
      <c r="G423" s="46" t="str">
        <f>IF(+NFL!$F78="New Orleans",+NFL!G78,IF(+NFL!$H78="New Orleans",+NFL!G78,0))</f>
        <v>NFCW</v>
      </c>
      <c r="H423" s="127" t="str">
        <f>IF(+NFL!$F78="New Orleans",+NFL!H78,IF(+NFL!$H78="New Orleans",+NFL!H78,0))</f>
        <v>New Orleans</v>
      </c>
      <c r="I423" s="46" t="str">
        <f>IF(+NFL!$F78="New Orleans",+NFL!I78,IF(+NFL!$H78="New Orleans",+NFL!I78,0))</f>
        <v>NFCS</v>
      </c>
      <c r="J423" s="353" t="str">
        <f>IF(+NFL!$F78="New Orleans",+NFL!J78,IF(+NFL!$H78="New Orleans",+NFL!J78,0))</f>
        <v>New Orleans</v>
      </c>
      <c r="K423" s="494" t="str">
        <f>IF(+NFL!$F78="New Orleans",+NFL!K78,IF(+NFL!$H78="New Orleans",+NFL!K78,0))</f>
        <v>Seattle</v>
      </c>
      <c r="L423" s="384">
        <f>IF(+NFL!$F78="New Orleans",+NFL!L78,IF(+NFL!$H78="New Orleans",+NFL!L78,0))</f>
        <v>5.5</v>
      </c>
      <c r="M423" s="385">
        <f>IF(+NFL!$F78="New Orleans",+NFL!M78,IF(+NFL!$H78="New Orleans",+NFL!M78,0))</f>
        <v>46</v>
      </c>
      <c r="N423" s="394" t="str">
        <f>IF(+NFL!$F78="New Orleans",+NFL!N78,IF(+NFL!$H78="New Orleans",+NFL!N78,0))</f>
        <v>New Orleans</v>
      </c>
      <c r="O423" s="395">
        <f>IF(+NFL!$F78="New Orleans",+NFL!O78,IF(+NFL!$H78="New Orleans",+NFL!O78,0))</f>
        <v>39</v>
      </c>
      <c r="P423" s="394" t="str">
        <f>IF(+NFL!$F78="New Orleans",+NFL!P78,IF(+NFL!$H78="New Orleans",+NFL!P78,0))</f>
        <v>Seattle</v>
      </c>
      <c r="Q423" s="396">
        <f>IF(+NFL!$F78="New Orleans",+NFL!Q78,IF(+NFL!$H78="New Orleans",+NFL!Q78,0))</f>
        <v>32</v>
      </c>
      <c r="R423" s="397" t="str">
        <f>IF(+NFL!$F78="New Orleans",+NFL!R78,IF(+NFL!$H78="New Orleans",+NFL!R78,0))</f>
        <v>New Orleans</v>
      </c>
      <c r="S423" s="396" t="str">
        <f>IF(+NFL!$F78="New Orleans",+NFL!S78,IF(+NFL!$H78="New Orleans",+NFL!S78,0))</f>
        <v>Seattle</v>
      </c>
      <c r="T423" s="398" t="str">
        <f>IF(+NFL!$F78="New Orleans",+NFL!T78,IF(+NFL!$H78="New Orleans",+NFL!T78,0))</f>
        <v>New Orleans</v>
      </c>
      <c r="U423" s="396" t="str">
        <f>IF(+NFL!$F78="New Orleans",+NFL!U78,IF(+NFL!$H78="New Orleans",+NFL!U78,0))</f>
        <v>W</v>
      </c>
      <c r="V423" s="397">
        <f>IF(+NFL!$F83="New Orleans",+NFL!#REF!,IF(+NFL!$H83="New Orleans",+NFL!#REF!,0))</f>
        <v>0</v>
      </c>
      <c r="W423" s="396">
        <f>IF(+NFL!$F83="New Orleans",+NFL!#REF!,IF(+NFL!$H83="New Orleans",+NFL!#REF!,0))</f>
        <v>0</v>
      </c>
      <c r="X423" s="398">
        <f>IF(+NFL!$F83="New Orleans",+NFL!#REF!,IF(+NFL!$H83="New Orleans",+NFL!#REF!,0))</f>
        <v>0</v>
      </c>
      <c r="Y423" s="396">
        <f>IF(+NFL!$F83="New Orleans",+NFL!#REF!,IF(+NFL!$H83="New Orleans",+NFL!#REF!,0))</f>
        <v>0</v>
      </c>
      <c r="Z423" s="397">
        <f>IF(+NFL!$F83="New Orleans",+NFL!#REF!,IF(+NFL!$H83="New Orleans",+NFL!#REF!,0))</f>
        <v>0</v>
      </c>
      <c r="AA423" s="396">
        <f>IF(+NFL!$F83="New Orleans",+NFL!#REF!,IF(+NFL!$H83="New Orleans",+NFL!#REF!,0))</f>
        <v>0</v>
      </c>
      <c r="AB423" s="87">
        <f>IF(+NFL!$F83="New Orleans",+NFL!#REF!,IF(+NFL!$H83="New Orleans",+NFL!#REF!,0))</f>
        <v>0</v>
      </c>
      <c r="AC423" s="120">
        <f>IF(+NFL!$F83="New Orleans",+NFL!#REF!,IF(+NFL!$H83="New Orleans",+NFL!#REF!,0))</f>
        <v>0</v>
      </c>
      <c r="AD423" s="353">
        <f>IF(+NFL!$F83="New Orleans",+NFL!#REF!,IF(+NFL!$H83="New Orleans",+NFL!#REF!,0))</f>
        <v>0</v>
      </c>
      <c r="AE423" s="379">
        <f>IF(+NFL!$F83="New Orleans",+NFL!#REF!,IF(+NFL!$H83="New Orleans",+NFL!#REF!,0))</f>
        <v>0</v>
      </c>
      <c r="AF423" s="353">
        <f>IF(+NFL!$F83="New Orleans",+NFL!#REF!,IF(+NFL!$H83="New Orleans",+NFL!#REF!,0))</f>
        <v>0</v>
      </c>
      <c r="AG423" s="379">
        <f>IF(+NFL!$F83="New Orleans",+NFL!#REF!,IF(+NFL!$H83="New Orleans",+NFL!#REF!,0))</f>
        <v>0</v>
      </c>
      <c r="AH423" s="353">
        <f>IF(+NFL!$F83="New Orleans",+NFL!#REF!,IF(+NFL!$H83="New Orleans",+NFL!#REF!,0))</f>
        <v>0</v>
      </c>
      <c r="AI423" s="379">
        <f>IF(+NFL!$F83="New Orleans",+NFL!#REF!,IF(+NFL!$H83="New Orleans",+NFL!#REF!,0))</f>
        <v>0</v>
      </c>
      <c r="AJ423" s="353">
        <f>IF(+NFL!$F83="New Orleans",+NFL!#REF!,IF(+NFL!$H83="New Orleans",+NFL!#REF!,0))</f>
        <v>0</v>
      </c>
      <c r="AK423" s="379">
        <f>IF(+NFL!$F83="New Orleans",+NFL!#REF!,IF(+NFL!$H83="New Orleans",+NFL!#REF!,0))</f>
        <v>0</v>
      </c>
      <c r="AL423" s="68">
        <f>IF(+NFL!$F83="New Orleans",+NFL!#REF!,IF(+NFL!$H83="New Orleans",+NFL!#REF!,0))</f>
        <v>0</v>
      </c>
      <c r="AM423" s="58">
        <f>IF(+NFL!$F83="New Orleans",+NFL!#REF!,IF(+NFL!$H83="New Orleans",+NFL!#REF!,0))</f>
        <v>0</v>
      </c>
      <c r="AN423" s="57">
        <f>IF(+NFL!$F83="New Orleans",+NFL!#REF!,IF(+NFL!$H83="New Orleans",+NFL!#REF!,0))</f>
        <v>0</v>
      </c>
      <c r="AO423" s="59">
        <f>IF(+NFL!$F83="New Orleans",+NFL!#REF!,IF(+NFL!$H83="New Orleans",+NFL!#REF!,0))</f>
        <v>0</v>
      </c>
      <c r="AP423" s="348">
        <f>IF(+NFL!$F83="New Orleans",+NFL!#REF!,IF(+NFL!$H83="New Orleans",+NFL!#REF!,0))</f>
        <v>0</v>
      </c>
      <c r="AQ423" s="48">
        <f>IF(+NFL!$F83="New Orleans",+NFL!#REF!,IF(+NFL!$H83="New Orleans",+NFL!#REF!,0))</f>
        <v>0</v>
      </c>
      <c r="AR423" s="57">
        <f>IF(+NFL!$F83="New Orleans",+NFL!#REF!,IF(+NFL!$H83="New Orleans",+NFL!#REF!,0))</f>
        <v>0</v>
      </c>
      <c r="AS423" s="64">
        <f>IF(+NFL!$F83="New Orleans",+NFL!#REF!,IF(+NFL!$H83="New Orleans",+NFL!#REF!,0))</f>
        <v>0</v>
      </c>
      <c r="AT423" s="64">
        <f>IF(+NFL!$F83="New Orleans",+NFL!#REF!,IF(+NFL!$H83="New Orleans",+NFL!#REF!,0))</f>
        <v>0</v>
      </c>
      <c r="AU423" s="57">
        <f>IF(+NFL!$F83="New Orleans",+NFL!#REF!,IF(+NFL!$H83="New Orleans",+NFL!#REF!,0))</f>
        <v>0</v>
      </c>
      <c r="AV423" s="64">
        <f>IF(+NFL!$F83="New Orleans",+NFL!#REF!,IF(+NFL!$H83="New Orleans",+NFL!#REF!,0))</f>
        <v>0</v>
      </c>
      <c r="AW423" s="46">
        <f>IF(+NFL!$F83="New Orleans",+NFL!#REF!,IF(+NFL!$H83="New Orleans",+NFL!#REF!,0))</f>
        <v>0</v>
      </c>
      <c r="AX423" s="64">
        <f>IF(+NFL!$F83="New Orleans",+NFL!#REF!,IF(+NFL!$H83="New Orleans",+NFL!#REF!,0))</f>
        <v>0</v>
      </c>
      <c r="AY423" s="57">
        <f>IF(+NFL!$F83="New Orleans",+NFL!#REF!,IF(+NFL!$H83="New Orleans",+NFL!#REF!,0))</f>
        <v>0</v>
      </c>
      <c r="AZ423" s="64">
        <f>IF(+NFL!$F83="New Orleans",+NFL!#REF!,IF(+NFL!$H83="New Orleans",+NFL!#REF!,0))</f>
        <v>0</v>
      </c>
      <c r="BA423" s="46">
        <f>IF(+NFL!$F83="New Orleans",+NFL!#REF!,IF(+NFL!$H83="New Orleans",+NFL!#REF!,0))</f>
        <v>0</v>
      </c>
      <c r="BB423" s="46">
        <f>IF(+NFL!$F83="New Orleans",+NFL!#REF!,IF(+NFL!$H83="New Orleans",+NFL!#REF!,0))</f>
        <v>0</v>
      </c>
      <c r="BC423" s="403">
        <f>IF(+NFL!$F83="New Orleans",+NFL!#REF!,IF(+NFL!$H83="New Orleans",+NFL!#REF!,0))</f>
        <v>0</v>
      </c>
      <c r="BD423" s="57">
        <f>IF(+NFL!$F83="New Orleans",+NFL!#REF!,IF(+NFL!$H83="New Orleans",+NFL!#REF!,0))</f>
        <v>0</v>
      </c>
      <c r="BE423" s="64">
        <f>IF(+NFL!$F83="New Orleans",+NFL!#REF!,IF(+NFL!$H83="New Orleans",+NFL!#REF!,0))</f>
        <v>0</v>
      </c>
      <c r="BF423" s="46">
        <f>IF(+NFL!$F83="New Orleans",+NFL!#REF!,IF(+NFL!$H83="New Orleans",+NFL!#REF!,0))</f>
        <v>0</v>
      </c>
      <c r="BG423" s="57">
        <f>IF(+NFL!$F83="New Orleans",+NFL!#REF!,IF(+NFL!$H83="New Orleans",+NFL!#REF!,0))</f>
        <v>0</v>
      </c>
      <c r="BH423" s="64">
        <f>IF(+NFL!$F83="New Orleans",+NFL!#REF!,IF(+NFL!$H83="New Orleans",+NFL!#REF!,0))</f>
        <v>0</v>
      </c>
      <c r="BI423" s="46">
        <f>IF(+NFL!$F83="New Orleans",+NFL!#REF!,IF(+NFL!$H83="New Orleans",+NFL!#REF!,0))</f>
        <v>0</v>
      </c>
      <c r="BJ423" s="87">
        <f>IF(+NFL!$F83="New Orleans",+NFL!#REF!,IF(+NFL!$H83="New Orleans",+NFL!#REF!,0))</f>
        <v>0</v>
      </c>
      <c r="BK423" s="120">
        <f>IF(+NFL!$F83="New Orleans",+NFL!#REF!,IF(+NFL!$H83="New Orleans",+NFL!#REF!,0))</f>
        <v>0</v>
      </c>
    </row>
    <row r="424" spans="1:69" s="246" customFormat="1" x14ac:dyDescent="0.8">
      <c r="A424" s="46">
        <f>IF(+NFL!$F95="New Orleans",+NFL!A95,IF(+NFL!$H95="New Orleans",+NFL!A95,0))</f>
        <v>6</v>
      </c>
      <c r="B424" s="348" t="str">
        <f>IF(+NFL!$F95="New Orleans",+NFL!B95,IF(+NFL!$H95="New Orleans",+NFL!B95,0))</f>
        <v>Sun</v>
      </c>
      <c r="C424" s="48">
        <f>IF(+NFL!$F95="New Orleans",+NFL!C95,IF(+NFL!$H95="New Orleans",+NFL!C95,0))</f>
        <v>44850</v>
      </c>
      <c r="D424" s="490">
        <f>IF(+NFL!$F95="New Orleans",+NFL!D95,IF(+NFL!$H95="New Orleans",+NFL!D95,0))</f>
        <v>0.54166666666666663</v>
      </c>
      <c r="E424" s="46" t="str">
        <f>IF(+NFL!$F95="New Orleans",+NFL!E95,IF(+NFL!$H95="New Orleans",+NFL!E95,0))</f>
        <v>CBS</v>
      </c>
      <c r="F424" s="127" t="str">
        <f>IF(+NFL!$F95="New Orleans",+NFL!F95,IF(+NFL!$H95="New Orleans",+NFL!F95,0))</f>
        <v>Cincinnati</v>
      </c>
      <c r="G424" s="46" t="str">
        <f>IF(+NFL!$F95="New Orleans",+NFL!G95,IF(+NFL!$H95="New Orleans",+NFL!G95,0))</f>
        <v>AFCN</v>
      </c>
      <c r="H424" s="127" t="str">
        <f>IF(+NFL!$F95="New Orleans",+NFL!H95,IF(+NFL!$H95="New Orleans",+NFL!H95,0))</f>
        <v>New Orleans</v>
      </c>
      <c r="I424" s="46" t="str">
        <f>IF(+NFL!$F95="New Orleans",+NFL!I95,IF(+NFL!$H95="New Orleans",+NFL!I95,0))</f>
        <v>NFCS</v>
      </c>
      <c r="J424" s="353" t="str">
        <f>IF(+NFL!$F95="New Orleans",+NFL!J95,IF(+NFL!$H95="New Orleans",+NFL!J95,0))</f>
        <v>Cincinnati</v>
      </c>
      <c r="K424" s="494" t="str">
        <f>IF(+NFL!$F95="New Orleans",+NFL!K95,IF(+NFL!$H95="New Orleans",+NFL!K95,0))</f>
        <v>New Orleans</v>
      </c>
      <c r="L424" s="384">
        <f>IF(+NFL!$F95="New Orleans",+NFL!L95,IF(+NFL!$H95="New Orleans",+NFL!L95,0))</f>
        <v>2</v>
      </c>
      <c r="M424" s="385">
        <f>IF(+NFL!$F95="New Orleans",+NFL!M95,IF(+NFL!$H95="New Orleans",+NFL!M95,0))</f>
        <v>43</v>
      </c>
      <c r="N424" s="394" t="str">
        <f>IF(+NFL!$F95="New Orleans",+NFL!N95,IF(+NFL!$H95="New Orleans",+NFL!N95,0))</f>
        <v>Cincinnati</v>
      </c>
      <c r="O424" s="395">
        <f>IF(+NFL!$F95="New Orleans",+NFL!O95,IF(+NFL!$H95="New Orleans",+NFL!O95,0))</f>
        <v>30</v>
      </c>
      <c r="P424" s="394" t="str">
        <f>IF(+NFL!$F95="New Orleans",+NFL!P95,IF(+NFL!$H95="New Orleans",+NFL!P95,0))</f>
        <v>New Orleans</v>
      </c>
      <c r="Q424" s="396">
        <f>IF(+NFL!$F95="New Orleans",+NFL!Q95,IF(+NFL!$H95="New Orleans",+NFL!Q95,0))</f>
        <v>26</v>
      </c>
      <c r="R424" s="397" t="str">
        <f>IF(+NFL!$F95="New Orleans",+NFL!R95,IF(+NFL!$H95="New Orleans",+NFL!R95,0))</f>
        <v>Cincinnati</v>
      </c>
      <c r="S424" s="396" t="str">
        <f>IF(+NFL!$F95="New Orleans",+NFL!S95,IF(+NFL!$H95="New Orleans",+NFL!S95,0))</f>
        <v>New Orleans</v>
      </c>
      <c r="T424" s="398" t="str">
        <f>IF(+NFL!$F95="New Orleans",+NFL!T95,IF(+NFL!$H95="New Orleans",+NFL!T95,0))</f>
        <v>New Orleans</v>
      </c>
      <c r="U424" s="396" t="str">
        <f>IF(+NFL!$F95="New Orleans",+NFL!U95,IF(+NFL!$H95="New Orleans",+NFL!U95,0))</f>
        <v>L</v>
      </c>
      <c r="V424" s="397">
        <f>IF(+NFL!$F93="New Orleans",+NFL!#REF!,IF(+NFL!$H93="New Orleans",+NFL!#REF!,0))</f>
        <v>0</v>
      </c>
      <c r="W424" s="396">
        <f>IF(+NFL!$F93="New Orleans",+NFL!#REF!,IF(+NFL!$H93="New Orleans",+NFL!#REF!,0))</f>
        <v>0</v>
      </c>
      <c r="X424" s="398">
        <f>IF(+NFL!$F93="New Orleans",+NFL!#REF!,IF(+NFL!$H93="New Orleans",+NFL!#REF!,0))</f>
        <v>0</v>
      </c>
      <c r="Y424" s="396">
        <f>IF(+NFL!$F93="New Orleans",+NFL!#REF!,IF(+NFL!$H93="New Orleans",+NFL!#REF!,0))</f>
        <v>0</v>
      </c>
      <c r="Z424" s="397">
        <f>IF(+NFL!$F93="New Orleans",+NFL!#REF!,IF(+NFL!$H93="New Orleans",+NFL!#REF!,0))</f>
        <v>0</v>
      </c>
      <c r="AA424" s="396">
        <f>IF(+NFL!$F93="New Orleans",+NFL!#REF!,IF(+NFL!$H93="New Orleans",+NFL!#REF!,0))</f>
        <v>0</v>
      </c>
      <c r="AB424" s="87">
        <f>IF(+NFL!$F93="New Orleans",+NFL!#REF!,IF(+NFL!$H93="New Orleans",+NFL!#REF!,0))</f>
        <v>0</v>
      </c>
      <c r="AC424" s="120">
        <f>IF(+NFL!$F93="New Orleans",+NFL!#REF!,IF(+NFL!$H93="New Orleans",+NFL!#REF!,0))</f>
        <v>0</v>
      </c>
      <c r="AD424" s="353">
        <f>IF(+NFL!$F93="New Orleans",+NFL!#REF!,IF(+NFL!$H93="New Orleans",+NFL!#REF!,0))</f>
        <v>0</v>
      </c>
      <c r="AE424" s="379">
        <f>IF(+NFL!$F93="New Orleans",+NFL!#REF!,IF(+NFL!$H93="New Orleans",+NFL!#REF!,0))</f>
        <v>0</v>
      </c>
      <c r="AF424" s="353">
        <f>IF(+NFL!$F93="New Orleans",+NFL!#REF!,IF(+NFL!$H93="New Orleans",+NFL!#REF!,0))</f>
        <v>0</v>
      </c>
      <c r="AG424" s="379">
        <f>IF(+NFL!$F93="New Orleans",+NFL!#REF!,IF(+NFL!$H93="New Orleans",+NFL!#REF!,0))</f>
        <v>0</v>
      </c>
      <c r="AH424" s="353">
        <f>IF(+NFL!$F93="New Orleans",+NFL!#REF!,IF(+NFL!$H93="New Orleans",+NFL!#REF!,0))</f>
        <v>0</v>
      </c>
      <c r="AI424" s="379">
        <f>IF(+NFL!$F93="New Orleans",+NFL!#REF!,IF(+NFL!$H93="New Orleans",+NFL!#REF!,0))</f>
        <v>0</v>
      </c>
      <c r="AJ424" s="353">
        <f>IF(+NFL!$F93="New Orleans",+NFL!#REF!,IF(+NFL!$H93="New Orleans",+NFL!#REF!,0))</f>
        <v>0</v>
      </c>
      <c r="AK424" s="379">
        <f>IF(+NFL!$F93="New Orleans",+NFL!#REF!,IF(+NFL!$H93="New Orleans",+NFL!#REF!,0))</f>
        <v>0</v>
      </c>
      <c r="AL424" s="68">
        <f>IF(+NFL!$F93="New Orleans",+NFL!#REF!,IF(+NFL!$H93="New Orleans",+NFL!#REF!,0))</f>
        <v>0</v>
      </c>
      <c r="AM424" s="58">
        <f>IF(+NFL!$F93="New Orleans",+NFL!#REF!,IF(+NFL!$H93="New Orleans",+NFL!#REF!,0))</f>
        <v>0</v>
      </c>
      <c r="AN424" s="57">
        <f>IF(+NFL!$F93="New Orleans",+NFL!#REF!,IF(+NFL!$H93="New Orleans",+NFL!#REF!,0))</f>
        <v>0</v>
      </c>
      <c r="AO424" s="59">
        <f>IF(+NFL!$F93="New Orleans",+NFL!#REF!,IF(+NFL!$H93="New Orleans",+NFL!#REF!,0))</f>
        <v>0</v>
      </c>
      <c r="AP424" s="348">
        <f>IF(+NFL!$F93="New Orleans",+NFL!#REF!,IF(+NFL!$H93="New Orleans",+NFL!#REF!,0))</f>
        <v>0</v>
      </c>
      <c r="AQ424" s="48">
        <f>IF(+NFL!$F93="New Orleans",+NFL!#REF!,IF(+NFL!$H93="New Orleans",+NFL!#REF!,0))</f>
        <v>0</v>
      </c>
      <c r="AR424" s="57">
        <f>IF(+NFL!$F93="New Orleans",+NFL!#REF!,IF(+NFL!$H93="New Orleans",+NFL!#REF!,0))</f>
        <v>0</v>
      </c>
      <c r="AS424" s="64">
        <f>IF(+NFL!$F93="New Orleans",+NFL!#REF!,IF(+NFL!$H93="New Orleans",+NFL!#REF!,0))</f>
        <v>0</v>
      </c>
      <c r="AT424" s="64">
        <f>IF(+NFL!$F93="New Orleans",+NFL!#REF!,IF(+NFL!$H93="New Orleans",+NFL!#REF!,0))</f>
        <v>0</v>
      </c>
      <c r="AU424" s="57">
        <f>IF(+NFL!$F93="New Orleans",+NFL!#REF!,IF(+NFL!$H93="New Orleans",+NFL!#REF!,0))</f>
        <v>0</v>
      </c>
      <c r="AV424" s="64">
        <f>IF(+NFL!$F93="New Orleans",+NFL!#REF!,IF(+NFL!$H93="New Orleans",+NFL!#REF!,0))</f>
        <v>0</v>
      </c>
      <c r="AW424" s="46">
        <f>IF(+NFL!$F93="New Orleans",+NFL!#REF!,IF(+NFL!$H93="New Orleans",+NFL!#REF!,0))</f>
        <v>0</v>
      </c>
      <c r="AX424" s="64">
        <f>IF(+NFL!$F93="New Orleans",+NFL!#REF!,IF(+NFL!$H93="New Orleans",+NFL!#REF!,0))</f>
        <v>0</v>
      </c>
      <c r="AY424" s="57">
        <f>IF(+NFL!$F93="New Orleans",+NFL!#REF!,IF(+NFL!$H93="New Orleans",+NFL!#REF!,0))</f>
        <v>0</v>
      </c>
      <c r="AZ424" s="64">
        <f>IF(+NFL!$F93="New Orleans",+NFL!#REF!,IF(+NFL!$H93="New Orleans",+NFL!#REF!,0))</f>
        <v>0</v>
      </c>
      <c r="BA424" s="46">
        <f>IF(+NFL!$F93="New Orleans",+NFL!#REF!,IF(+NFL!$H93="New Orleans",+NFL!#REF!,0))</f>
        <v>0</v>
      </c>
      <c r="BB424" s="46">
        <f>IF(+NFL!$F93="New Orleans",+NFL!#REF!,IF(+NFL!$H93="New Orleans",+NFL!#REF!,0))</f>
        <v>0</v>
      </c>
      <c r="BC424" s="403">
        <f>IF(+NFL!$F93="New Orleans",+NFL!#REF!,IF(+NFL!$H93="New Orleans",+NFL!#REF!,0))</f>
        <v>0</v>
      </c>
      <c r="BD424" s="57">
        <f>IF(+NFL!$F93="New Orleans",+NFL!#REF!,IF(+NFL!$H93="New Orleans",+NFL!#REF!,0))</f>
        <v>0</v>
      </c>
      <c r="BE424" s="64">
        <f>IF(+NFL!$F93="New Orleans",+NFL!#REF!,IF(+NFL!$H93="New Orleans",+NFL!#REF!,0))</f>
        <v>0</v>
      </c>
      <c r="BF424" s="46">
        <f>IF(+NFL!$F93="New Orleans",+NFL!#REF!,IF(+NFL!$H93="New Orleans",+NFL!#REF!,0))</f>
        <v>0</v>
      </c>
      <c r="BG424" s="57">
        <f>IF(+NFL!$F93="New Orleans",+NFL!#REF!,IF(+NFL!$H93="New Orleans",+NFL!#REF!,0))</f>
        <v>0</v>
      </c>
      <c r="BH424" s="64">
        <f>IF(+NFL!$F93="New Orleans",+NFL!#REF!,IF(+NFL!$H93="New Orleans",+NFL!#REF!,0))</f>
        <v>0</v>
      </c>
      <c r="BI424" s="46">
        <f>IF(+NFL!$F93="New Orleans",+NFL!#REF!,IF(+NFL!$H93="New Orleans",+NFL!#REF!,0))</f>
        <v>0</v>
      </c>
      <c r="BJ424" s="87">
        <f>IF(+NFL!$F93="New Orleans",+NFL!#REF!,IF(+NFL!$H93="New Orleans",+NFL!#REF!,0))</f>
        <v>0</v>
      </c>
      <c r="BK424" s="120">
        <f>IF(+NFL!$F93="New Orleans",+NFL!#REF!,IF(+NFL!$H93="New Orleans",+NFL!#REF!,0))</f>
        <v>0</v>
      </c>
    </row>
    <row r="425" spans="1:69" s="246" customFormat="1" x14ac:dyDescent="0.8">
      <c r="A425" s="46">
        <f>IF(+NFL!$F109="New Orleans",+NFL!A109,IF(+NFL!$H109="New Orleans",+NFL!A109,0))</f>
        <v>7</v>
      </c>
      <c r="B425" s="348" t="str">
        <f>IF(+NFL!$F109="New Orleans",+NFL!B109,IF(+NFL!$H109="New Orleans",+NFL!B109,0))</f>
        <v>Thurs</v>
      </c>
      <c r="C425" s="48">
        <f>IF(+NFL!$F109="New Orleans",+NFL!C109,IF(+NFL!$H109="New Orleans",+NFL!C109,0))</f>
        <v>44854</v>
      </c>
      <c r="D425" s="490">
        <f>IF(+NFL!$F109="New Orleans",+NFL!D109,IF(+NFL!$H109="New Orleans",+NFL!D109,0))</f>
        <v>0.84375</v>
      </c>
      <c r="E425" s="46" t="str">
        <f>IF(+NFL!$F109="New Orleans",+NFL!E109,IF(+NFL!$H109="New Orleans",+NFL!E109,0))</f>
        <v>NBC</v>
      </c>
      <c r="F425" s="127" t="str">
        <f>IF(+NFL!$F109="New Orleans",+NFL!F109,IF(+NFL!$H109="New Orleans",+NFL!F109,0))</f>
        <v>New Orleans</v>
      </c>
      <c r="G425" s="46" t="str">
        <f>IF(+NFL!$F109="New Orleans",+NFL!G109,IF(+NFL!$H109="New Orleans",+NFL!G109,0))</f>
        <v>NFCS</v>
      </c>
      <c r="H425" s="127" t="str">
        <f>IF(+NFL!$F109="New Orleans",+NFL!H109,IF(+NFL!$H109="New Orleans",+NFL!H109,0))</f>
        <v>Arizona</v>
      </c>
      <c r="I425" s="46" t="str">
        <f>IF(+NFL!$F109="New Orleans",+NFL!I109,IF(+NFL!$H109="New Orleans",+NFL!I109,0))</f>
        <v>NFCW</v>
      </c>
      <c r="J425" s="353" t="str">
        <f>IF(+NFL!$F109="New Orleans",+NFL!J109,IF(+NFL!$H109="New Orleans",+NFL!J109,0))</f>
        <v>Arizona</v>
      </c>
      <c r="K425" s="494" t="str">
        <f>IF(+NFL!$F109="New Orleans",+NFL!K109,IF(+NFL!$H109="New Orleans",+NFL!K109,0))</f>
        <v>New Orleans</v>
      </c>
      <c r="L425" s="384">
        <f>IF(+NFL!$F109="New Orleans",+NFL!L109,IF(+NFL!$H109="New Orleans",+NFL!L109,0))</f>
        <v>2</v>
      </c>
      <c r="M425" s="385">
        <f>IF(+NFL!$F109="New Orleans",+NFL!M109,IF(+NFL!$H109="New Orleans",+NFL!M109,0))</f>
        <v>44</v>
      </c>
      <c r="N425" s="394" t="str">
        <f>IF(+NFL!$F109="New Orleans",+NFL!N109,IF(+NFL!$H109="New Orleans",+NFL!N109,0))</f>
        <v>Arizona</v>
      </c>
      <c r="O425" s="395">
        <f>IF(+NFL!$F109="New Orleans",+NFL!O109,IF(+NFL!$H109="New Orleans",+NFL!O109,0))</f>
        <v>42</v>
      </c>
      <c r="P425" s="394" t="str">
        <f>IF(+NFL!$F109="New Orleans",+NFL!P109,IF(+NFL!$H109="New Orleans",+NFL!P109,0))</f>
        <v>New Orleans</v>
      </c>
      <c r="Q425" s="396">
        <f>IF(+NFL!$F109="New Orleans",+NFL!Q109,IF(+NFL!$H109="New Orleans",+NFL!Q109,0))</f>
        <v>34</v>
      </c>
      <c r="R425" s="397" t="str">
        <f>IF(+NFL!$F109="New Orleans",+NFL!R109,IF(+NFL!$H109="New Orleans",+NFL!R109,0))</f>
        <v>Arizona</v>
      </c>
      <c r="S425" s="396" t="str">
        <f>IF(+NFL!$F109="New Orleans",+NFL!S109,IF(+NFL!$H109="New Orleans",+NFL!S109,0))</f>
        <v>New Orleans</v>
      </c>
      <c r="T425" s="398" t="str">
        <f>IF(+NFL!$F109="New Orleans",+NFL!T109,IF(+NFL!$H109="New Orleans",+NFL!T109,0))</f>
        <v>Arizona</v>
      </c>
      <c r="U425" s="396" t="str">
        <f>IF(+NFL!$F109="New Orleans",+NFL!U109,IF(+NFL!$H109="New Orleans",+NFL!U109,0))</f>
        <v>W</v>
      </c>
      <c r="V425" s="397">
        <f>IF(+NFL!$F114="New Orleans",+NFL!#REF!,IF(+NFL!$H114="New Orleans",+NFL!#REF!,0))</f>
        <v>0</v>
      </c>
      <c r="W425" s="396">
        <f>IF(+NFL!$F114="New Orleans",+NFL!#REF!,IF(+NFL!$H114="New Orleans",+NFL!#REF!,0))</f>
        <v>0</v>
      </c>
      <c r="X425" s="398">
        <f>IF(+NFL!$F114="New Orleans",+NFL!#REF!,IF(+NFL!$H114="New Orleans",+NFL!#REF!,0))</f>
        <v>0</v>
      </c>
      <c r="Y425" s="396">
        <f>IF(+NFL!$F114="New Orleans",+NFL!#REF!,IF(+NFL!$H114="New Orleans",+NFL!#REF!,0))</f>
        <v>0</v>
      </c>
      <c r="Z425" s="397">
        <f>IF(+NFL!$F114="New Orleans",+NFL!#REF!,IF(+NFL!$H114="New Orleans",+NFL!#REF!,0))</f>
        <v>0</v>
      </c>
      <c r="AA425" s="396">
        <f>IF(+NFL!$F114="New Orleans",+NFL!#REF!,IF(+NFL!$H114="New Orleans",+NFL!#REF!,0))</f>
        <v>0</v>
      </c>
      <c r="AB425" s="87">
        <f>IF(+NFL!$F114="New Orleans",+NFL!#REF!,IF(+NFL!$H114="New Orleans",+NFL!#REF!,0))</f>
        <v>0</v>
      </c>
      <c r="AC425" s="120">
        <f>IF(+NFL!$F114="New Orleans",+NFL!#REF!,IF(+NFL!$H114="New Orleans",+NFL!#REF!,0))</f>
        <v>0</v>
      </c>
      <c r="AD425" s="353">
        <f>IF(+NFL!$F114="New Orleans",+NFL!#REF!,IF(+NFL!$H114="New Orleans",+NFL!#REF!,0))</f>
        <v>0</v>
      </c>
      <c r="AE425" s="379">
        <f>IF(+NFL!$F114="New Orleans",+NFL!#REF!,IF(+NFL!$H114="New Orleans",+NFL!#REF!,0))</f>
        <v>0</v>
      </c>
      <c r="AF425" s="353">
        <f>IF(+NFL!$F114="New Orleans",+NFL!#REF!,IF(+NFL!$H114="New Orleans",+NFL!#REF!,0))</f>
        <v>0</v>
      </c>
      <c r="AG425" s="379">
        <f>IF(+NFL!$F114="New Orleans",+NFL!#REF!,IF(+NFL!$H114="New Orleans",+NFL!#REF!,0))</f>
        <v>0</v>
      </c>
      <c r="AH425" s="353">
        <f>IF(+NFL!$F114="New Orleans",+NFL!#REF!,IF(+NFL!$H114="New Orleans",+NFL!#REF!,0))</f>
        <v>0</v>
      </c>
      <c r="AI425" s="379">
        <f>IF(+NFL!$F114="New Orleans",+NFL!#REF!,IF(+NFL!$H114="New Orleans",+NFL!#REF!,0))</f>
        <v>0</v>
      </c>
      <c r="AJ425" s="353">
        <f>IF(+NFL!$F114="New Orleans",+NFL!#REF!,IF(+NFL!$H114="New Orleans",+NFL!#REF!,0))</f>
        <v>0</v>
      </c>
      <c r="AK425" s="379">
        <f>IF(+NFL!$F114="New Orleans",+NFL!#REF!,IF(+NFL!$H114="New Orleans",+NFL!#REF!,0))</f>
        <v>0</v>
      </c>
      <c r="AL425" s="68">
        <f>IF(+NFL!$F114="New Orleans",+NFL!#REF!,IF(+NFL!$H114="New Orleans",+NFL!#REF!,0))</f>
        <v>0</v>
      </c>
      <c r="AM425" s="58">
        <f>IF(+NFL!$F114="New Orleans",+NFL!#REF!,IF(+NFL!$H114="New Orleans",+NFL!#REF!,0))</f>
        <v>0</v>
      </c>
      <c r="AN425" s="57">
        <f>IF(+NFL!$F114="New Orleans",+NFL!#REF!,IF(+NFL!$H114="New Orleans",+NFL!#REF!,0))</f>
        <v>0</v>
      </c>
      <c r="AO425" s="59">
        <f>IF(+NFL!$F114="New Orleans",+NFL!#REF!,IF(+NFL!$H114="New Orleans",+NFL!#REF!,0))</f>
        <v>0</v>
      </c>
      <c r="AP425" s="348">
        <f>IF(+NFL!$F114="New Orleans",+NFL!#REF!,IF(+NFL!$H114="New Orleans",+NFL!#REF!,0))</f>
        <v>0</v>
      </c>
      <c r="AQ425" s="48">
        <f>IF(+NFL!$F114="New Orleans",+NFL!#REF!,IF(+NFL!$H114="New Orleans",+NFL!#REF!,0))</f>
        <v>0</v>
      </c>
      <c r="AR425" s="57">
        <f>IF(+NFL!$F114="New Orleans",+NFL!#REF!,IF(+NFL!$H114="New Orleans",+NFL!#REF!,0))</f>
        <v>0</v>
      </c>
      <c r="AS425" s="64">
        <f>IF(+NFL!$F114="New Orleans",+NFL!#REF!,IF(+NFL!$H114="New Orleans",+NFL!#REF!,0))</f>
        <v>0</v>
      </c>
      <c r="AT425" s="64">
        <f>IF(+NFL!$F114="New Orleans",+NFL!#REF!,IF(+NFL!$H114="New Orleans",+NFL!#REF!,0))</f>
        <v>0</v>
      </c>
      <c r="AU425" s="57">
        <f>IF(+NFL!$F114="New Orleans",+NFL!#REF!,IF(+NFL!$H114="New Orleans",+NFL!#REF!,0))</f>
        <v>0</v>
      </c>
      <c r="AV425" s="64">
        <f>IF(+NFL!$F114="New Orleans",+NFL!#REF!,IF(+NFL!$H114="New Orleans",+NFL!#REF!,0))</f>
        <v>0</v>
      </c>
      <c r="AW425" s="46">
        <f>IF(+NFL!$F114="New Orleans",+NFL!#REF!,IF(+NFL!$H114="New Orleans",+NFL!#REF!,0))</f>
        <v>0</v>
      </c>
      <c r="AX425" s="64">
        <f>IF(+NFL!$F114="New Orleans",+NFL!#REF!,IF(+NFL!$H114="New Orleans",+NFL!#REF!,0))</f>
        <v>0</v>
      </c>
      <c r="AY425" s="57">
        <f>IF(+NFL!$F114="New Orleans",+NFL!#REF!,IF(+NFL!$H114="New Orleans",+NFL!#REF!,0))</f>
        <v>0</v>
      </c>
      <c r="AZ425" s="64">
        <f>IF(+NFL!$F114="New Orleans",+NFL!#REF!,IF(+NFL!$H114="New Orleans",+NFL!#REF!,0))</f>
        <v>0</v>
      </c>
      <c r="BA425" s="46">
        <f>IF(+NFL!$F114="New Orleans",+NFL!#REF!,IF(+NFL!$H114="New Orleans",+NFL!#REF!,0))</f>
        <v>0</v>
      </c>
      <c r="BB425" s="46">
        <f>IF(+NFL!$F114="New Orleans",+NFL!#REF!,IF(+NFL!$H114="New Orleans",+NFL!#REF!,0))</f>
        <v>0</v>
      </c>
      <c r="BC425" s="403">
        <f>IF(+NFL!$F114="New Orleans",+NFL!#REF!,IF(+NFL!$H114="New Orleans",+NFL!#REF!,0))</f>
        <v>0</v>
      </c>
      <c r="BD425" s="57">
        <f>IF(+NFL!$F114="New Orleans",+NFL!#REF!,IF(+NFL!$H114="New Orleans",+NFL!#REF!,0))</f>
        <v>0</v>
      </c>
      <c r="BE425" s="64">
        <f>IF(+NFL!$F114="New Orleans",+NFL!#REF!,IF(+NFL!$H114="New Orleans",+NFL!#REF!,0))</f>
        <v>0</v>
      </c>
      <c r="BF425" s="46">
        <f>IF(+NFL!$F114="New Orleans",+NFL!#REF!,IF(+NFL!$H114="New Orleans",+NFL!#REF!,0))</f>
        <v>0</v>
      </c>
      <c r="BG425" s="57">
        <f>IF(+NFL!$F114="New Orleans",+NFL!#REF!,IF(+NFL!$H114="New Orleans",+NFL!#REF!,0))</f>
        <v>0</v>
      </c>
      <c r="BH425" s="64">
        <f>IF(+NFL!$F114="New Orleans",+NFL!#REF!,IF(+NFL!$H114="New Orleans",+NFL!#REF!,0))</f>
        <v>0</v>
      </c>
      <c r="BI425" s="46">
        <f>IF(+NFL!$F114="New Orleans",+NFL!#REF!,IF(+NFL!$H114="New Orleans",+NFL!#REF!,0))</f>
        <v>0</v>
      </c>
      <c r="BJ425" s="87">
        <f>IF(+NFL!$F114="New Orleans",+NFL!#REF!,IF(+NFL!$H114="New Orleans",+NFL!#REF!,0))</f>
        <v>0</v>
      </c>
      <c r="BK425" s="120">
        <f>IF(+NFL!$F114="New Orleans",+NFL!#REF!,IF(+NFL!$H114="New Orleans",+NFL!#REF!,0))</f>
        <v>0</v>
      </c>
    </row>
    <row r="426" spans="1:69" s="246" customFormat="1" x14ac:dyDescent="0.8">
      <c r="A426" s="46">
        <f>IF(+NFL!$F135="New Orleans",+NFL!A135,IF(+NFL!$H135="New Orleans",+NFL!A135,0))</f>
        <v>8</v>
      </c>
      <c r="B426" s="348" t="str">
        <f>IF(+NFL!$F135="New Orleans",+NFL!B135,IF(+NFL!$H135="New Orleans",+NFL!B135,0))</f>
        <v>Sun</v>
      </c>
      <c r="C426" s="48">
        <f>IF(+NFL!$F135="New Orleans",+NFL!C135,IF(+NFL!$H135="New Orleans",+NFL!C135,0))</f>
        <v>44864</v>
      </c>
      <c r="D426" s="490">
        <f>IF(+NFL!$F135="New Orleans",+NFL!D135,IF(+NFL!$H135="New Orleans",+NFL!D135,0))</f>
        <v>0.54166666666666663</v>
      </c>
      <c r="E426" s="46" t="str">
        <f>IF(+NFL!$F135="New Orleans",+NFL!E135,IF(+NFL!$H135="New Orleans",+NFL!E135,0))</f>
        <v>CBS</v>
      </c>
      <c r="F426" s="127" t="str">
        <f>IF(+NFL!$F135="New Orleans",+NFL!F135,IF(+NFL!$H135="New Orleans",+NFL!F135,0))</f>
        <v>Las Vegas</v>
      </c>
      <c r="G426" s="46" t="str">
        <f>IF(+NFL!$F135="New Orleans",+NFL!G135,IF(+NFL!$H135="New Orleans",+NFL!G135,0))</f>
        <v>AFCW</v>
      </c>
      <c r="H426" s="127" t="str">
        <f>IF(+NFL!$F135="New Orleans",+NFL!H135,IF(+NFL!$H135="New Orleans",+NFL!H135,0))</f>
        <v>New Orleans</v>
      </c>
      <c r="I426" s="46" t="str">
        <f>IF(+NFL!$F135="New Orleans",+NFL!I135,IF(+NFL!$H135="New Orleans",+NFL!I135,0))</f>
        <v>NFCS</v>
      </c>
      <c r="J426" s="353" t="str">
        <f>IF(+NFL!$F135="New Orleans",+NFL!J135,IF(+NFL!$H135="New Orleans",+NFL!J135,0))</f>
        <v>Las Vegas</v>
      </c>
      <c r="K426" s="494" t="str">
        <f>IF(+NFL!$F135="New Orleans",+NFL!K135,IF(+NFL!$H135="New Orleans",+NFL!K135,0))</f>
        <v>New Orleans</v>
      </c>
      <c r="L426" s="384">
        <f>IF(+NFL!$F135="New Orleans",+NFL!L135,IF(+NFL!$H135="New Orleans",+NFL!L135,0))</f>
        <v>2</v>
      </c>
      <c r="M426" s="385">
        <f>IF(+NFL!$F135="New Orleans",+NFL!M135,IF(+NFL!$H135="New Orleans",+NFL!M135,0))</f>
        <v>48.5</v>
      </c>
      <c r="N426" s="394" t="str">
        <f>IF(+NFL!$F135="New Orleans",+NFL!N135,IF(+NFL!$H135="New Orleans",+NFL!N135,0))</f>
        <v>New Orleans</v>
      </c>
      <c r="O426" s="395">
        <f>IF(+NFL!$F135="New Orleans",+NFL!O135,IF(+NFL!$H135="New Orleans",+NFL!O135,0))</f>
        <v>24</v>
      </c>
      <c r="P426" s="394" t="str">
        <f>IF(+NFL!$F135="New Orleans",+NFL!P135,IF(+NFL!$H135="New Orleans",+NFL!P135,0))</f>
        <v>Las Vegas</v>
      </c>
      <c r="Q426" s="396">
        <f>IF(+NFL!$F135="New Orleans",+NFL!Q135,IF(+NFL!$H135="New Orleans",+NFL!Q135,0))</f>
        <v>0</v>
      </c>
      <c r="R426" s="397" t="str">
        <f>IF(+NFL!$F135="New Orleans",+NFL!R135,IF(+NFL!$H135="New Orleans",+NFL!R135,0))</f>
        <v>New Orleans</v>
      </c>
      <c r="S426" s="396" t="str">
        <f>IF(+NFL!$F135="New Orleans",+NFL!S135,IF(+NFL!$H135="New Orleans",+NFL!S135,0))</f>
        <v>Las Vegas</v>
      </c>
      <c r="T426" s="398" t="str">
        <f>IF(+NFL!$F135="New Orleans",+NFL!T135,IF(+NFL!$H135="New Orleans",+NFL!T135,0))</f>
        <v>Las Vegas</v>
      </c>
      <c r="U426" s="396" t="str">
        <f>IF(+NFL!$F135="New Orleans",+NFL!U135,IF(+NFL!$H135="New Orleans",+NFL!U135,0))</f>
        <v>L</v>
      </c>
      <c r="V426" s="397">
        <f>IF(+NFL!$F139="New Orleans",+NFL!#REF!,IF(+NFL!$H139="New Orleans",+NFL!#REF!,0))</f>
        <v>0</v>
      </c>
      <c r="W426" s="396">
        <f>IF(+NFL!$F139="New Orleans",+NFL!#REF!,IF(+NFL!$H139="New Orleans",+NFL!#REF!,0))</f>
        <v>0</v>
      </c>
      <c r="X426" s="398">
        <f>IF(+NFL!$F139="New Orleans",+NFL!#REF!,IF(+NFL!$H139="New Orleans",+NFL!#REF!,0))</f>
        <v>0</v>
      </c>
      <c r="Y426" s="396">
        <f>IF(+NFL!$F139="New Orleans",+NFL!#REF!,IF(+NFL!$H139="New Orleans",+NFL!#REF!,0))</f>
        <v>0</v>
      </c>
      <c r="Z426" s="397">
        <f>IF(+NFL!$F139="New Orleans",+NFL!#REF!,IF(+NFL!$H139="New Orleans",+NFL!#REF!,0))</f>
        <v>0</v>
      </c>
      <c r="AA426" s="396">
        <f>IF(+NFL!$F139="New Orleans",+NFL!#REF!,IF(+NFL!$H139="New Orleans",+NFL!#REF!,0))</f>
        <v>0</v>
      </c>
      <c r="AB426" s="87">
        <f>IF(+NFL!$F139="New Orleans",+NFL!#REF!,IF(+NFL!$H139="New Orleans",+NFL!#REF!,0))</f>
        <v>0</v>
      </c>
      <c r="AC426" s="120">
        <f>IF(+NFL!$F139="New Orleans",+NFL!#REF!,IF(+NFL!$H139="New Orleans",+NFL!#REF!,0))</f>
        <v>0</v>
      </c>
      <c r="AD426" s="353">
        <f>IF(+NFL!$F139="New Orleans",+NFL!#REF!,IF(+NFL!$H139="New Orleans",+NFL!#REF!,0))</f>
        <v>0</v>
      </c>
      <c r="AE426" s="379">
        <f>IF(+NFL!$F139="New Orleans",+NFL!#REF!,IF(+NFL!$H139="New Orleans",+NFL!#REF!,0))</f>
        <v>0</v>
      </c>
      <c r="AF426" s="353">
        <f>IF(+NFL!$F139="New Orleans",+NFL!#REF!,IF(+NFL!$H139="New Orleans",+NFL!#REF!,0))</f>
        <v>0</v>
      </c>
      <c r="AG426" s="379">
        <f>IF(+NFL!$F139="New Orleans",+NFL!#REF!,IF(+NFL!$H139="New Orleans",+NFL!#REF!,0))</f>
        <v>0</v>
      </c>
      <c r="AH426" s="353">
        <f>IF(+NFL!$F139="New Orleans",+NFL!#REF!,IF(+NFL!$H139="New Orleans",+NFL!#REF!,0))</f>
        <v>0</v>
      </c>
      <c r="AI426" s="379">
        <f>IF(+NFL!$F139="New Orleans",+NFL!#REF!,IF(+NFL!$H139="New Orleans",+NFL!#REF!,0))</f>
        <v>0</v>
      </c>
      <c r="AJ426" s="353">
        <f>IF(+NFL!$F139="New Orleans",+NFL!#REF!,IF(+NFL!$H139="New Orleans",+NFL!#REF!,0))</f>
        <v>0</v>
      </c>
      <c r="AK426" s="379">
        <f>IF(+NFL!$F139="New Orleans",+NFL!#REF!,IF(+NFL!$H139="New Orleans",+NFL!#REF!,0))</f>
        <v>0</v>
      </c>
      <c r="AL426" s="68">
        <f>IF(+NFL!$F139="New Orleans",+NFL!#REF!,IF(+NFL!$H139="New Orleans",+NFL!#REF!,0))</f>
        <v>0</v>
      </c>
      <c r="AM426" s="58">
        <f>IF(+NFL!$F139="New Orleans",+NFL!#REF!,IF(+NFL!$H139="New Orleans",+NFL!#REF!,0))</f>
        <v>0</v>
      </c>
      <c r="AN426" s="57">
        <f>IF(+NFL!$F139="New Orleans",+NFL!#REF!,IF(+NFL!$H139="New Orleans",+NFL!#REF!,0))</f>
        <v>0</v>
      </c>
      <c r="AO426" s="59">
        <f>IF(+NFL!$F139="New Orleans",+NFL!#REF!,IF(+NFL!$H139="New Orleans",+NFL!#REF!,0))</f>
        <v>0</v>
      </c>
      <c r="AP426" s="348">
        <f>IF(+NFL!$F139="New Orleans",+NFL!#REF!,IF(+NFL!$H139="New Orleans",+NFL!#REF!,0))</f>
        <v>0</v>
      </c>
      <c r="AQ426" s="48">
        <f>IF(+NFL!$F139="New Orleans",+NFL!#REF!,IF(+NFL!$H139="New Orleans",+NFL!#REF!,0))</f>
        <v>0</v>
      </c>
      <c r="AR426" s="57">
        <f>IF(+NFL!$F139="New Orleans",+NFL!#REF!,IF(+NFL!$H139="New Orleans",+NFL!#REF!,0))</f>
        <v>0</v>
      </c>
      <c r="AS426" s="64">
        <f>IF(+NFL!$F139="New Orleans",+NFL!#REF!,IF(+NFL!$H139="New Orleans",+NFL!#REF!,0))</f>
        <v>0</v>
      </c>
      <c r="AT426" s="64">
        <f>IF(+NFL!$F139="New Orleans",+NFL!#REF!,IF(+NFL!$H139="New Orleans",+NFL!#REF!,0))</f>
        <v>0</v>
      </c>
      <c r="AU426" s="57">
        <f>IF(+NFL!$F139="New Orleans",+NFL!#REF!,IF(+NFL!$H139="New Orleans",+NFL!#REF!,0))</f>
        <v>0</v>
      </c>
      <c r="AV426" s="64">
        <f>IF(+NFL!$F139="New Orleans",+NFL!#REF!,IF(+NFL!$H139="New Orleans",+NFL!#REF!,0))</f>
        <v>0</v>
      </c>
      <c r="AW426" s="46">
        <f>IF(+NFL!$F139="New Orleans",+NFL!#REF!,IF(+NFL!$H139="New Orleans",+NFL!#REF!,0))</f>
        <v>0</v>
      </c>
      <c r="AX426" s="64">
        <f>IF(+NFL!$F139="New Orleans",+NFL!#REF!,IF(+NFL!$H139="New Orleans",+NFL!#REF!,0))</f>
        <v>0</v>
      </c>
      <c r="AY426" s="57">
        <f>IF(+NFL!$F139="New Orleans",+NFL!#REF!,IF(+NFL!$H139="New Orleans",+NFL!#REF!,0))</f>
        <v>0</v>
      </c>
      <c r="AZ426" s="64">
        <f>IF(+NFL!$F139="New Orleans",+NFL!#REF!,IF(+NFL!$H139="New Orleans",+NFL!#REF!,0))</f>
        <v>0</v>
      </c>
      <c r="BA426" s="46">
        <f>IF(+NFL!$F139="New Orleans",+NFL!#REF!,IF(+NFL!$H139="New Orleans",+NFL!#REF!,0))</f>
        <v>0</v>
      </c>
      <c r="BB426" s="46">
        <f>IF(+NFL!$F139="New Orleans",+NFL!#REF!,IF(+NFL!$H139="New Orleans",+NFL!#REF!,0))</f>
        <v>0</v>
      </c>
      <c r="BC426" s="403">
        <f>IF(+NFL!$F139="New Orleans",+NFL!#REF!,IF(+NFL!$H139="New Orleans",+NFL!#REF!,0))</f>
        <v>0</v>
      </c>
      <c r="BD426" s="57">
        <f>IF(+NFL!$F139="New Orleans",+NFL!#REF!,IF(+NFL!$H139="New Orleans",+NFL!#REF!,0))</f>
        <v>0</v>
      </c>
      <c r="BE426" s="64">
        <f>IF(+NFL!$F139="New Orleans",+NFL!#REF!,IF(+NFL!$H139="New Orleans",+NFL!#REF!,0))</f>
        <v>0</v>
      </c>
      <c r="BF426" s="46">
        <f>IF(+NFL!$F139="New Orleans",+NFL!#REF!,IF(+NFL!$H139="New Orleans",+NFL!#REF!,0))</f>
        <v>0</v>
      </c>
      <c r="BG426" s="57">
        <f>IF(+NFL!$F139="New Orleans",+NFL!#REF!,IF(+NFL!$H139="New Orleans",+NFL!#REF!,0))</f>
        <v>0</v>
      </c>
      <c r="BH426" s="64">
        <f>IF(+NFL!$F139="New Orleans",+NFL!#REF!,IF(+NFL!$H139="New Orleans",+NFL!#REF!,0))</f>
        <v>0</v>
      </c>
      <c r="BI426" s="46">
        <f>IF(+NFL!$F139="New Orleans",+NFL!#REF!,IF(+NFL!$H139="New Orleans",+NFL!#REF!,0))</f>
        <v>0</v>
      </c>
      <c r="BJ426" s="87">
        <f>IF(+NFL!$F139="New Orleans",+NFL!#REF!,IF(+NFL!$H139="New Orleans",+NFL!#REF!,0))</f>
        <v>0</v>
      </c>
      <c r="BK426" s="120">
        <f>IF(+NFL!$F139="New Orleans",+NFL!#REF!,IF(+NFL!$H139="New Orleans",+NFL!#REF!,0))</f>
        <v>0</v>
      </c>
    </row>
    <row r="427" spans="1:69" s="246" customFormat="1" x14ac:dyDescent="0.8">
      <c r="A427" s="46">
        <f>IF(+NFL!$F160="New Orleans",+NFL!A160,IF(+NFL!$H160="New Orleans",+NFL!A160,0))</f>
        <v>9</v>
      </c>
      <c r="B427" s="348" t="str">
        <f>IF(+NFL!$F160="New Orleans",+NFL!B160,IF(+NFL!$H160="New Orleans",+NFL!B160,0))</f>
        <v>Mon</v>
      </c>
      <c r="C427" s="48">
        <f>IF(+NFL!$F160="New Orleans",+NFL!C160,IF(+NFL!$H160="New Orleans",+NFL!C160,0))</f>
        <v>44872</v>
      </c>
      <c r="D427" s="490">
        <f>IF(+NFL!$F160="New Orleans",+NFL!D160,IF(+NFL!$H160="New Orleans",+NFL!D160,0))</f>
        <v>0.84375</v>
      </c>
      <c r="E427" s="46" t="str">
        <f>IF(+NFL!$F160="New Orleans",+NFL!E160,IF(+NFL!$H160="New Orleans",+NFL!E160,0))</f>
        <v>ABC</v>
      </c>
      <c r="F427" s="127" t="str">
        <f>IF(+NFL!$F160="New Orleans",+NFL!F160,IF(+NFL!$H160="New Orleans",+NFL!F160,0))</f>
        <v>Baltimore</v>
      </c>
      <c r="G427" s="46" t="str">
        <f>IF(+NFL!$F160="New Orleans",+NFL!G160,IF(+NFL!$H160="New Orleans",+NFL!G160,0))</f>
        <v>NFCW</v>
      </c>
      <c r="H427" s="127" t="str">
        <f>IF(+NFL!$F160="New Orleans",+NFL!H160,IF(+NFL!$H160="New Orleans",+NFL!H160,0))</f>
        <v>New Orleans</v>
      </c>
      <c r="I427" s="46" t="str">
        <f>IF(+NFL!$F160="New Orleans",+NFL!I160,IF(+NFL!$H160="New Orleans",+NFL!I160,0))</f>
        <v>NFCS</v>
      </c>
      <c r="J427" s="353" t="str">
        <f>IF(+NFL!$F160="New Orleans",+NFL!J160,IF(+NFL!$H160="New Orleans",+NFL!J160,0))</f>
        <v>Baltimore</v>
      </c>
      <c r="K427" s="494" t="str">
        <f>IF(+NFL!$F160="New Orleans",+NFL!K160,IF(+NFL!$H160="New Orleans",+NFL!K160,0))</f>
        <v>New Orleans</v>
      </c>
      <c r="L427" s="384">
        <f>IF(+NFL!$F160="New Orleans",+NFL!L160,IF(+NFL!$H160="New Orleans",+NFL!L160,0))</f>
        <v>1.5</v>
      </c>
      <c r="M427" s="385">
        <f>IF(+NFL!$F160="New Orleans",+NFL!M160,IF(+NFL!$H160="New Orleans",+NFL!M160,0))</f>
        <v>48</v>
      </c>
      <c r="N427" s="394" t="str">
        <f>IF(+NFL!$F160="New Orleans",+NFL!N160,IF(+NFL!$H160="New Orleans",+NFL!N160,0))</f>
        <v>Baltimore</v>
      </c>
      <c r="O427" s="395">
        <f>IF(+NFL!$F160="New Orleans",+NFL!O160,IF(+NFL!$H160="New Orleans",+NFL!O160,0))</f>
        <v>27</v>
      </c>
      <c r="P427" s="394" t="str">
        <f>IF(+NFL!$F160="New Orleans",+NFL!P160,IF(+NFL!$H160="New Orleans",+NFL!P160,0))</f>
        <v>New Orleans</v>
      </c>
      <c r="Q427" s="396">
        <f>IF(+NFL!$F160="New Orleans",+NFL!Q160,IF(+NFL!$H160="New Orleans",+NFL!Q160,0))</f>
        <v>13</v>
      </c>
      <c r="R427" s="397" t="str">
        <f>IF(+NFL!$F160="New Orleans",+NFL!R160,IF(+NFL!$H160="New Orleans",+NFL!R160,0))</f>
        <v>Baltimore</v>
      </c>
      <c r="S427" s="396" t="str">
        <f>IF(+NFL!$F160="New Orleans",+NFL!S160,IF(+NFL!$H160="New Orleans",+NFL!S160,0))</f>
        <v>New Orleans</v>
      </c>
      <c r="T427" s="398" t="str">
        <f>IF(+NFL!$F160="New Orleans",+NFL!T160,IF(+NFL!$H160="New Orleans",+NFL!T160,0))</f>
        <v>New Orleans</v>
      </c>
      <c r="U427" s="396" t="str">
        <f>IF(+NFL!$F160="New Orleans",+NFL!U160,IF(+NFL!$H160="New Orleans",+NFL!U160,0))</f>
        <v>L</v>
      </c>
      <c r="V427" s="397">
        <f>IF(+NFL!$F157="New Orleans",+NFL!#REF!,IF(+NFL!$H157="New Orleans",+NFL!#REF!,0))</f>
        <v>0</v>
      </c>
      <c r="W427" s="396">
        <f>IF(+NFL!$F157="New Orleans",+NFL!#REF!,IF(+NFL!$H157="New Orleans",+NFL!#REF!,0))</f>
        <v>0</v>
      </c>
      <c r="X427" s="398">
        <f>IF(+NFL!$F157="New Orleans",+NFL!#REF!,IF(+NFL!$H157="New Orleans",+NFL!#REF!,0))</f>
        <v>0</v>
      </c>
      <c r="Y427" s="396">
        <f>IF(+NFL!$F157="New Orleans",+NFL!#REF!,IF(+NFL!$H157="New Orleans",+NFL!#REF!,0))</f>
        <v>0</v>
      </c>
      <c r="Z427" s="397">
        <f>IF(+NFL!$F157="New Orleans",+NFL!#REF!,IF(+NFL!$H157="New Orleans",+NFL!#REF!,0))</f>
        <v>0</v>
      </c>
      <c r="AA427" s="396">
        <f>IF(+NFL!$F157="New Orleans",+NFL!#REF!,IF(+NFL!$H157="New Orleans",+NFL!#REF!,0))</f>
        <v>0</v>
      </c>
      <c r="AB427" s="87">
        <f>IF(+NFL!$F157="New Orleans",+NFL!#REF!,IF(+NFL!$H157="New Orleans",+NFL!#REF!,0))</f>
        <v>0</v>
      </c>
      <c r="AC427" s="120">
        <f>IF(+NFL!$F157="New Orleans",+NFL!#REF!,IF(+NFL!$H157="New Orleans",+NFL!#REF!,0))</f>
        <v>0</v>
      </c>
      <c r="AD427" s="353">
        <f>IF(+NFL!$F157="New Orleans",+NFL!#REF!,IF(+NFL!$H157="New Orleans",+NFL!#REF!,0))</f>
        <v>0</v>
      </c>
      <c r="AE427" s="379">
        <f>IF(+NFL!$F157="New Orleans",+NFL!#REF!,IF(+NFL!$H157="New Orleans",+NFL!#REF!,0))</f>
        <v>0</v>
      </c>
      <c r="AF427" s="353">
        <f>IF(+NFL!$F157="New Orleans",+NFL!#REF!,IF(+NFL!$H157="New Orleans",+NFL!#REF!,0))</f>
        <v>0</v>
      </c>
      <c r="AG427" s="379">
        <f>IF(+NFL!$F157="New Orleans",+NFL!#REF!,IF(+NFL!$H157="New Orleans",+NFL!#REF!,0))</f>
        <v>0</v>
      </c>
      <c r="AH427" s="353">
        <f>IF(+NFL!$F157="New Orleans",+NFL!#REF!,IF(+NFL!$H157="New Orleans",+NFL!#REF!,0))</f>
        <v>0</v>
      </c>
      <c r="AI427" s="379">
        <f>IF(+NFL!$F157="New Orleans",+NFL!#REF!,IF(+NFL!$H157="New Orleans",+NFL!#REF!,0))</f>
        <v>0</v>
      </c>
      <c r="AJ427" s="353">
        <f>IF(+NFL!$F157="New Orleans",+NFL!#REF!,IF(+NFL!$H157="New Orleans",+NFL!#REF!,0))</f>
        <v>0</v>
      </c>
      <c r="AK427" s="379">
        <f>IF(+NFL!$F157="New Orleans",+NFL!#REF!,IF(+NFL!$H157="New Orleans",+NFL!#REF!,0))</f>
        <v>0</v>
      </c>
      <c r="AL427" s="68">
        <f>IF(+NFL!$F157="New Orleans",+NFL!#REF!,IF(+NFL!$H157="New Orleans",+NFL!#REF!,0))</f>
        <v>0</v>
      </c>
      <c r="AM427" s="58">
        <f>IF(+NFL!$F157="New Orleans",+NFL!#REF!,IF(+NFL!$H157="New Orleans",+NFL!#REF!,0))</f>
        <v>0</v>
      </c>
      <c r="AN427" s="57">
        <f>IF(+NFL!$F157="New Orleans",+NFL!#REF!,IF(+NFL!$H157="New Orleans",+NFL!#REF!,0))</f>
        <v>0</v>
      </c>
      <c r="AO427" s="59">
        <f>IF(+NFL!$F157="New Orleans",+NFL!#REF!,IF(+NFL!$H157="New Orleans",+NFL!#REF!,0))</f>
        <v>0</v>
      </c>
      <c r="AP427" s="348">
        <f>IF(+NFL!$F157="New Orleans",+NFL!#REF!,IF(+NFL!$H157="New Orleans",+NFL!#REF!,0))</f>
        <v>0</v>
      </c>
      <c r="AQ427" s="48">
        <f>IF(+NFL!$F157="New Orleans",+NFL!#REF!,IF(+NFL!$H157="New Orleans",+NFL!#REF!,0))</f>
        <v>0</v>
      </c>
      <c r="AR427" s="57">
        <f>IF(+NFL!$F157="New Orleans",+NFL!#REF!,IF(+NFL!$H157="New Orleans",+NFL!#REF!,0))</f>
        <v>0</v>
      </c>
      <c r="AS427" s="64">
        <f>IF(+NFL!$F157="New Orleans",+NFL!#REF!,IF(+NFL!$H157="New Orleans",+NFL!#REF!,0))</f>
        <v>0</v>
      </c>
      <c r="AT427" s="64">
        <f>IF(+NFL!$F157="New Orleans",+NFL!#REF!,IF(+NFL!$H157="New Orleans",+NFL!#REF!,0))</f>
        <v>0</v>
      </c>
      <c r="AU427" s="57">
        <f>IF(+NFL!$F157="New Orleans",+NFL!#REF!,IF(+NFL!$H157="New Orleans",+NFL!#REF!,0))</f>
        <v>0</v>
      </c>
      <c r="AV427" s="64">
        <f>IF(+NFL!$F157="New Orleans",+NFL!#REF!,IF(+NFL!$H157="New Orleans",+NFL!#REF!,0))</f>
        <v>0</v>
      </c>
      <c r="AW427" s="46">
        <f>IF(+NFL!$F157="New Orleans",+NFL!#REF!,IF(+NFL!$H157="New Orleans",+NFL!#REF!,0))</f>
        <v>0</v>
      </c>
      <c r="AX427" s="64">
        <f>IF(+NFL!$F157="New Orleans",+NFL!#REF!,IF(+NFL!$H157="New Orleans",+NFL!#REF!,0))</f>
        <v>0</v>
      </c>
      <c r="AY427" s="57">
        <f>IF(+NFL!$F157="New Orleans",+NFL!#REF!,IF(+NFL!$H157="New Orleans",+NFL!#REF!,0))</f>
        <v>0</v>
      </c>
      <c r="AZ427" s="64">
        <f>IF(+NFL!$F157="New Orleans",+NFL!#REF!,IF(+NFL!$H157="New Orleans",+NFL!#REF!,0))</f>
        <v>0</v>
      </c>
      <c r="BA427" s="46">
        <f>IF(+NFL!$F157="New Orleans",+NFL!#REF!,IF(+NFL!$H157="New Orleans",+NFL!#REF!,0))</f>
        <v>0</v>
      </c>
      <c r="BB427" s="46">
        <f>IF(+NFL!$F157="New Orleans",+NFL!#REF!,IF(+NFL!$H157="New Orleans",+NFL!#REF!,0))</f>
        <v>0</v>
      </c>
      <c r="BC427" s="403">
        <f>IF(+NFL!$F157="New Orleans",+NFL!#REF!,IF(+NFL!$H157="New Orleans",+NFL!#REF!,0))</f>
        <v>0</v>
      </c>
      <c r="BD427" s="57">
        <f>IF(+NFL!$F157="New Orleans",+NFL!#REF!,IF(+NFL!$H157="New Orleans",+NFL!#REF!,0))</f>
        <v>0</v>
      </c>
      <c r="BE427" s="64">
        <f>IF(+NFL!$F157="New Orleans",+NFL!#REF!,IF(+NFL!$H157="New Orleans",+NFL!#REF!,0))</f>
        <v>0</v>
      </c>
      <c r="BF427" s="46">
        <f>IF(+NFL!$F157="New Orleans",+NFL!#REF!,IF(+NFL!$H157="New Orleans",+NFL!#REF!,0))</f>
        <v>0</v>
      </c>
      <c r="BG427" s="57">
        <f>IF(+NFL!$F157="New Orleans",+NFL!#REF!,IF(+NFL!$H157="New Orleans",+NFL!#REF!,0))</f>
        <v>0</v>
      </c>
      <c r="BH427" s="64">
        <f>IF(+NFL!$F157="New Orleans",+NFL!#REF!,IF(+NFL!$H157="New Orleans",+NFL!#REF!,0))</f>
        <v>0</v>
      </c>
      <c r="BI427" s="46">
        <f>IF(+NFL!$F157="New Orleans",+NFL!#REF!,IF(+NFL!$H157="New Orleans",+NFL!#REF!,0))</f>
        <v>0</v>
      </c>
      <c r="BJ427" s="87">
        <f>IF(+NFL!$F157="New Orleans",+NFL!#REF!,IF(+NFL!$H157="New Orleans",+NFL!#REF!,0))</f>
        <v>0</v>
      </c>
      <c r="BK427" s="120">
        <f>IF(+NFL!$F157="New Orleans",+NFL!#REF!,IF(+NFL!$H157="New Orleans",+NFL!#REF!,0))</f>
        <v>0</v>
      </c>
    </row>
    <row r="428" spans="1:69" s="246" customFormat="1" x14ac:dyDescent="0.8">
      <c r="A428" s="46">
        <f>IF(+NFL!$F177="New Orleans",+NFL!A177,IF(+NFL!$H177="New Orleans",+NFL!A177,0))</f>
        <v>10</v>
      </c>
      <c r="B428" s="348" t="str">
        <f>IF(+NFL!$F177="New Orleans",+NFL!B177,IF(+NFL!$H177="New Orleans",+NFL!B177,0))</f>
        <v>Sun</v>
      </c>
      <c r="C428" s="48">
        <f>IF(+NFL!$F177="New Orleans",+NFL!C177,IF(+NFL!$H177="New Orleans",+NFL!C177,0))</f>
        <v>44878</v>
      </c>
      <c r="D428" s="490">
        <f>IF(+NFL!$F177="New Orleans",+NFL!D177,IF(+NFL!$H177="New Orleans",+NFL!D177,0))</f>
        <v>0.54166666666666663</v>
      </c>
      <c r="E428" s="46" t="str">
        <f>IF(+NFL!$F177="New Orleans",+NFL!E177,IF(+NFL!$H177="New Orleans",+NFL!E177,0))</f>
        <v>Fox</v>
      </c>
      <c r="F428" s="127" t="str">
        <f>IF(+NFL!$F177="New Orleans",+NFL!F177,IF(+NFL!$H177="New Orleans",+NFL!F177,0))</f>
        <v>New Orleans</v>
      </c>
      <c r="G428" s="46" t="str">
        <f>IF(+NFL!$F177="New Orleans",+NFL!G177,IF(+NFL!$H177="New Orleans",+NFL!G177,0))</f>
        <v>NFCS</v>
      </c>
      <c r="H428" s="127" t="str">
        <f>IF(+NFL!$F177="New Orleans",+NFL!H177,IF(+NFL!$H177="New Orleans",+NFL!H177,0))</f>
        <v>Pittsburgh</v>
      </c>
      <c r="I428" s="46" t="str">
        <f>IF(+NFL!$F177="New Orleans",+NFL!I177,IF(+NFL!$H177="New Orleans",+NFL!I177,0))</f>
        <v>AFCN</v>
      </c>
      <c r="J428" s="353" t="str">
        <f>IF(+NFL!$F177="New Orleans",+NFL!J177,IF(+NFL!$H177="New Orleans",+NFL!J177,0))</f>
        <v>New Orleans</v>
      </c>
      <c r="K428" s="494" t="str">
        <f>IF(+NFL!$F177="New Orleans",+NFL!K177,IF(+NFL!$H177="New Orleans",+NFL!K177,0))</f>
        <v>Pittsburgh</v>
      </c>
      <c r="L428" s="384">
        <f>IF(+NFL!$F177="New Orleans",+NFL!L177,IF(+NFL!$H177="New Orleans",+NFL!L177,0))</f>
        <v>2.5</v>
      </c>
      <c r="M428" s="385">
        <f>IF(+NFL!$F177="New Orleans",+NFL!M177,IF(+NFL!$H177="New Orleans",+NFL!M177,0))</f>
        <v>40</v>
      </c>
      <c r="N428" s="394" t="str">
        <f>IF(+NFL!$F177="New Orleans",+NFL!N177,IF(+NFL!$H177="New Orleans",+NFL!N177,0))</f>
        <v>Pittsburgh</v>
      </c>
      <c r="O428" s="395">
        <f>IF(+NFL!$F177="New Orleans",+NFL!O177,IF(+NFL!$H177="New Orleans",+NFL!O177,0))</f>
        <v>20</v>
      </c>
      <c r="P428" s="394" t="str">
        <f>IF(+NFL!$F177="New Orleans",+NFL!P177,IF(+NFL!$H177="New Orleans",+NFL!P177,0))</f>
        <v>New Orleans</v>
      </c>
      <c r="Q428" s="396">
        <f>IF(+NFL!$F177="New Orleans",+NFL!Q177,IF(+NFL!$H177="New Orleans",+NFL!Q177,0))</f>
        <v>10</v>
      </c>
      <c r="R428" s="397" t="str">
        <f>IF(+NFL!$F177="New Orleans",+NFL!R177,IF(+NFL!$H177="New Orleans",+NFL!R177,0))</f>
        <v>Pittsburgh</v>
      </c>
      <c r="S428" s="396" t="str">
        <f>IF(+NFL!$F177="New Orleans",+NFL!S177,IF(+NFL!$H177="New Orleans",+NFL!S177,0))</f>
        <v>New Orleans</v>
      </c>
      <c r="T428" s="398" t="str">
        <f>IF(+NFL!$F177="New Orleans",+NFL!T177,IF(+NFL!$H177="New Orleans",+NFL!T177,0))</f>
        <v>Pittsburgh</v>
      </c>
      <c r="U428" s="396" t="str">
        <f>IF(+NFL!$F177="New Orleans",+NFL!U177,IF(+NFL!$H177="New Orleans",+NFL!U177,0))</f>
        <v>W</v>
      </c>
      <c r="V428" s="397">
        <f>IF(+NFL!$F192="New Orleans",+NFL!#REF!,IF(+NFL!$H192="New Orleans",+NFL!#REF!,0))</f>
        <v>0</v>
      </c>
      <c r="W428" s="396">
        <f>IF(+NFL!$F192="New Orleans",+NFL!#REF!,IF(+NFL!$H192="New Orleans",+NFL!#REF!,0))</f>
        <v>0</v>
      </c>
      <c r="X428" s="398">
        <f>IF(+NFL!$F192="New Orleans",+NFL!#REF!,IF(+NFL!$H192="New Orleans",+NFL!#REF!,0))</f>
        <v>0</v>
      </c>
      <c r="Y428" s="396">
        <f>IF(+NFL!$F192="New Orleans",+NFL!#REF!,IF(+NFL!$H192="New Orleans",+NFL!#REF!,0))</f>
        <v>0</v>
      </c>
      <c r="Z428" s="397">
        <f>IF(+NFL!$F192="New Orleans",+NFL!#REF!,IF(+NFL!$H192="New Orleans",+NFL!#REF!,0))</f>
        <v>0</v>
      </c>
      <c r="AA428" s="396">
        <f>IF(+NFL!$F192="New Orleans",+NFL!#REF!,IF(+NFL!$H192="New Orleans",+NFL!#REF!,0))</f>
        <v>0</v>
      </c>
      <c r="AB428" s="87">
        <f>IF(+NFL!$F192="New Orleans",+NFL!#REF!,IF(+NFL!$H192="New Orleans",+NFL!#REF!,0))</f>
        <v>0</v>
      </c>
      <c r="AC428" s="120">
        <f>IF(+NFL!$F192="New Orleans",+NFL!#REF!,IF(+NFL!$H192="New Orleans",+NFL!#REF!,0))</f>
        <v>0</v>
      </c>
      <c r="AD428" s="353">
        <f>IF(+NFL!$F192="New Orleans",+NFL!#REF!,IF(+NFL!$H192="New Orleans",+NFL!#REF!,0))</f>
        <v>0</v>
      </c>
      <c r="AE428" s="379">
        <f>IF(+NFL!$F192="New Orleans",+NFL!#REF!,IF(+NFL!$H192="New Orleans",+NFL!#REF!,0))</f>
        <v>0</v>
      </c>
      <c r="AF428" s="353">
        <f>IF(+NFL!$F192="New Orleans",+NFL!#REF!,IF(+NFL!$H192="New Orleans",+NFL!#REF!,0))</f>
        <v>0</v>
      </c>
      <c r="AG428" s="379">
        <f>IF(+NFL!$F192="New Orleans",+NFL!#REF!,IF(+NFL!$H192="New Orleans",+NFL!#REF!,0))</f>
        <v>0</v>
      </c>
      <c r="AH428" s="353">
        <f>IF(+NFL!$F192="New Orleans",+NFL!#REF!,IF(+NFL!$H192="New Orleans",+NFL!#REF!,0))</f>
        <v>0</v>
      </c>
      <c r="AI428" s="379">
        <f>IF(+NFL!$F192="New Orleans",+NFL!#REF!,IF(+NFL!$H192="New Orleans",+NFL!#REF!,0))</f>
        <v>0</v>
      </c>
      <c r="AJ428" s="353">
        <f>IF(+NFL!$F192="New Orleans",+NFL!#REF!,IF(+NFL!$H192="New Orleans",+NFL!#REF!,0))</f>
        <v>0</v>
      </c>
      <c r="AK428" s="379">
        <f>IF(+NFL!$F192="New Orleans",+NFL!#REF!,IF(+NFL!$H192="New Orleans",+NFL!#REF!,0))</f>
        <v>0</v>
      </c>
      <c r="AL428" s="68">
        <f>IF(+NFL!$F192="New Orleans",+NFL!#REF!,IF(+NFL!$H192="New Orleans",+NFL!#REF!,0))</f>
        <v>0</v>
      </c>
      <c r="AM428" s="58">
        <f>IF(+NFL!$F192="New Orleans",+NFL!#REF!,IF(+NFL!$H192="New Orleans",+NFL!#REF!,0))</f>
        <v>0</v>
      </c>
      <c r="AN428" s="57">
        <f>IF(+NFL!$F192="New Orleans",+NFL!#REF!,IF(+NFL!$H192="New Orleans",+NFL!#REF!,0))</f>
        <v>0</v>
      </c>
      <c r="AO428" s="59">
        <f>IF(+NFL!$F192="New Orleans",+NFL!#REF!,IF(+NFL!$H192="New Orleans",+NFL!#REF!,0))</f>
        <v>0</v>
      </c>
      <c r="AP428" s="348">
        <f>IF(+NFL!$F192="New Orleans",+NFL!#REF!,IF(+NFL!$H192="New Orleans",+NFL!#REF!,0))</f>
        <v>0</v>
      </c>
      <c r="AQ428" s="48">
        <f>IF(+NFL!$F192="New Orleans",+NFL!#REF!,IF(+NFL!$H192="New Orleans",+NFL!#REF!,0))</f>
        <v>0</v>
      </c>
      <c r="AR428" s="57">
        <f>IF(+NFL!$F192="New Orleans",+NFL!#REF!,IF(+NFL!$H192="New Orleans",+NFL!#REF!,0))</f>
        <v>0</v>
      </c>
      <c r="AS428" s="64">
        <f>IF(+NFL!$F192="New Orleans",+NFL!#REF!,IF(+NFL!$H192="New Orleans",+NFL!#REF!,0))</f>
        <v>0</v>
      </c>
      <c r="AT428" s="64">
        <f>IF(+NFL!$F192="New Orleans",+NFL!#REF!,IF(+NFL!$H192="New Orleans",+NFL!#REF!,0))</f>
        <v>0</v>
      </c>
      <c r="AU428" s="57">
        <f>IF(+NFL!$F192="New Orleans",+NFL!#REF!,IF(+NFL!$H192="New Orleans",+NFL!#REF!,0))</f>
        <v>0</v>
      </c>
      <c r="AV428" s="64">
        <f>IF(+NFL!$F192="New Orleans",+NFL!#REF!,IF(+NFL!$H192="New Orleans",+NFL!#REF!,0))</f>
        <v>0</v>
      </c>
      <c r="AW428" s="46">
        <f>IF(+NFL!$F192="New Orleans",+NFL!#REF!,IF(+NFL!$H192="New Orleans",+NFL!#REF!,0))</f>
        <v>0</v>
      </c>
      <c r="AX428" s="64">
        <f>IF(+NFL!$F192="New Orleans",+NFL!#REF!,IF(+NFL!$H192="New Orleans",+NFL!#REF!,0))</f>
        <v>0</v>
      </c>
      <c r="AY428" s="57">
        <f>IF(+NFL!$F192="New Orleans",+NFL!#REF!,IF(+NFL!$H192="New Orleans",+NFL!#REF!,0))</f>
        <v>0</v>
      </c>
      <c r="AZ428" s="64">
        <f>IF(+NFL!$F192="New Orleans",+NFL!#REF!,IF(+NFL!$H192="New Orleans",+NFL!#REF!,0))</f>
        <v>0</v>
      </c>
      <c r="BA428" s="46">
        <f>IF(+NFL!$F192="New Orleans",+NFL!#REF!,IF(+NFL!$H192="New Orleans",+NFL!#REF!,0))</f>
        <v>0</v>
      </c>
      <c r="BB428" s="46">
        <f>IF(+NFL!$F192="New Orleans",+NFL!#REF!,IF(+NFL!$H192="New Orleans",+NFL!#REF!,0))</f>
        <v>0</v>
      </c>
      <c r="BC428" s="403">
        <f>IF(+NFL!$F192="New Orleans",+NFL!#REF!,IF(+NFL!$H192="New Orleans",+NFL!#REF!,0))</f>
        <v>0</v>
      </c>
      <c r="BD428" s="57">
        <f>IF(+NFL!$F192="New Orleans",+NFL!#REF!,IF(+NFL!$H192="New Orleans",+NFL!#REF!,0))</f>
        <v>0</v>
      </c>
      <c r="BE428" s="64">
        <f>IF(+NFL!$F192="New Orleans",+NFL!#REF!,IF(+NFL!$H192="New Orleans",+NFL!#REF!,0))</f>
        <v>0</v>
      </c>
      <c r="BF428" s="46">
        <f>IF(+NFL!$F192="New Orleans",+NFL!#REF!,IF(+NFL!$H192="New Orleans",+NFL!#REF!,0))</f>
        <v>0</v>
      </c>
      <c r="BG428" s="57">
        <f>IF(+NFL!$F192="New Orleans",+NFL!#REF!,IF(+NFL!$H192="New Orleans",+NFL!#REF!,0))</f>
        <v>0</v>
      </c>
      <c r="BH428" s="64">
        <f>IF(+NFL!$F192="New Orleans",+NFL!#REF!,IF(+NFL!$H192="New Orleans",+NFL!#REF!,0))</f>
        <v>0</v>
      </c>
      <c r="BI428" s="46">
        <f>IF(+NFL!$F192="New Orleans",+NFL!#REF!,IF(+NFL!$H192="New Orleans",+NFL!#REF!,0))</f>
        <v>0</v>
      </c>
      <c r="BJ428" s="87">
        <f>IF(+NFL!$F192="New Orleans",+NFL!#REF!,IF(+NFL!$H192="New Orleans",+NFL!#REF!,0))</f>
        <v>0</v>
      </c>
      <c r="BK428" s="120">
        <f>IF(+NFL!$F192="New Orleans",+NFL!#REF!,IF(+NFL!$H192="New Orleans",+NFL!#REF!,0))</f>
        <v>0</v>
      </c>
    </row>
    <row r="429" spans="1:69" s="246" customFormat="1" x14ac:dyDescent="0.8">
      <c r="A429" s="46">
        <f>IF(+NFL!$F194="New Orleans",+NFL!A194,IF(+NFL!$H194="New Orleans",+NFL!A194,0))</f>
        <v>11</v>
      </c>
      <c r="B429" s="348" t="str">
        <f>IF(+NFL!$F194="New Orleans",+NFL!B194,IF(+NFL!$H194="New Orleans",+NFL!B194,0))</f>
        <v>Sun</v>
      </c>
      <c r="C429" s="48">
        <f>IF(+NFL!$F194="New Orleans",+NFL!C194,IF(+NFL!$H194="New Orleans",+NFL!C194,0))</f>
        <v>44885</v>
      </c>
      <c r="D429" s="490">
        <f>IF(+NFL!$F194="New Orleans",+NFL!D194,IF(+NFL!$H194="New Orleans",+NFL!D194,0))</f>
        <v>0.54166666666666663</v>
      </c>
      <c r="E429" s="46" t="str">
        <f>IF(+NFL!$F194="New Orleans",+NFL!E194,IF(+NFL!$H194="New Orleans",+NFL!E194,0))</f>
        <v>Fox</v>
      </c>
      <c r="F429" s="127" t="str">
        <f>IF(+NFL!$F194="New Orleans",+NFL!F194,IF(+NFL!$H194="New Orleans",+NFL!F194,0))</f>
        <v>LA Rams</v>
      </c>
      <c r="G429" s="46" t="str">
        <f>IF(+NFL!$F194="New Orleans",+NFL!G194,IF(+NFL!$H194="New Orleans",+NFL!G194,0))</f>
        <v>NFCW</v>
      </c>
      <c r="H429" s="127" t="str">
        <f>IF(+NFL!$F194="New Orleans",+NFL!H194,IF(+NFL!$H194="New Orleans",+NFL!H194,0))</f>
        <v>New Orleans</v>
      </c>
      <c r="I429" s="46" t="str">
        <f>IF(+NFL!$F194="New Orleans",+NFL!I194,IF(+NFL!$H194="New Orleans",+NFL!I194,0))</f>
        <v>NFCS</v>
      </c>
      <c r="J429" s="353" t="str">
        <f>IF(+NFL!$F194="New Orleans",+NFL!J194,IF(+NFL!$H194="New Orleans",+NFL!J194,0))</f>
        <v>New Orleans</v>
      </c>
      <c r="K429" s="494" t="str">
        <f>IF(+NFL!$F194="New Orleans",+NFL!K194,IF(+NFL!$H194="New Orleans",+NFL!K194,0))</f>
        <v>LA Rams</v>
      </c>
      <c r="L429" s="384">
        <f>IF(+NFL!$F194="New Orleans",+NFL!L194,IF(+NFL!$H194="New Orleans",+NFL!L194,0))</f>
        <v>4</v>
      </c>
      <c r="M429" s="385">
        <f>IF(+NFL!$F194="New Orleans",+NFL!M194,IF(+NFL!$H194="New Orleans",+NFL!M194,0))</f>
        <v>38.5</v>
      </c>
      <c r="N429" s="394" t="str">
        <f>IF(+NFL!$F194="New Orleans",+NFL!N194,IF(+NFL!$H194="New Orleans",+NFL!N194,0))</f>
        <v>New Orleans</v>
      </c>
      <c r="O429" s="395">
        <f>IF(+NFL!$F194="New Orleans",+NFL!O194,IF(+NFL!$H194="New Orleans",+NFL!O194,0))</f>
        <v>27</v>
      </c>
      <c r="P429" s="394" t="str">
        <f>IF(+NFL!$F194="New Orleans",+NFL!P194,IF(+NFL!$H194="New Orleans",+NFL!P194,0))</f>
        <v>LA Rams</v>
      </c>
      <c r="Q429" s="396">
        <f>IF(+NFL!$F194="New Orleans",+NFL!Q194,IF(+NFL!$H194="New Orleans",+NFL!Q194,0))</f>
        <v>20</v>
      </c>
      <c r="R429" s="397" t="str">
        <f>IF(+NFL!$F194="New Orleans",+NFL!R194,IF(+NFL!$H194="New Orleans",+NFL!R194,0))</f>
        <v>New Orleans</v>
      </c>
      <c r="S429" s="396" t="str">
        <f>IF(+NFL!$F194="New Orleans",+NFL!S194,IF(+NFL!$H194="New Orleans",+NFL!S194,0))</f>
        <v>LA Rams</v>
      </c>
      <c r="T429" s="398" t="str">
        <f>IF(+NFL!$F194="New Orleans",+NFL!T194,IF(+NFL!$H194="New Orleans",+NFL!T194,0))</f>
        <v>LA Rams</v>
      </c>
      <c r="U429" s="396" t="str">
        <f>IF(+NFL!$F194="New Orleans",+NFL!U194,IF(+NFL!$H194="New Orleans",+NFL!U194,0))</f>
        <v>L</v>
      </c>
      <c r="V429" s="397">
        <f>IF(+NFL!$F201="New Orleans",+NFL!#REF!,IF(+NFL!$H201="New Orleans",+NFL!#REF!,0))</f>
        <v>0</v>
      </c>
      <c r="W429" s="396">
        <f>IF(+NFL!$F201="New Orleans",+NFL!#REF!,IF(+NFL!$H201="New Orleans",+NFL!#REF!,0))</f>
        <v>0</v>
      </c>
      <c r="X429" s="398">
        <f>IF(+NFL!$F201="New Orleans",+NFL!#REF!,IF(+NFL!$H201="New Orleans",+NFL!#REF!,0))</f>
        <v>0</v>
      </c>
      <c r="Y429" s="396">
        <f>IF(+NFL!$F201="New Orleans",+NFL!#REF!,IF(+NFL!$H201="New Orleans",+NFL!#REF!,0))</f>
        <v>0</v>
      </c>
      <c r="Z429" s="397">
        <f>IF(+NFL!$F201="New Orleans",+NFL!#REF!,IF(+NFL!$H201="New Orleans",+NFL!#REF!,0))</f>
        <v>0</v>
      </c>
      <c r="AA429" s="396">
        <f>IF(+NFL!$F201="New Orleans",+NFL!#REF!,IF(+NFL!$H201="New Orleans",+NFL!#REF!,0))</f>
        <v>0</v>
      </c>
      <c r="AB429" s="87">
        <f>IF(+NFL!$F201="New Orleans",+NFL!#REF!,IF(+NFL!$H201="New Orleans",+NFL!#REF!,0))</f>
        <v>0</v>
      </c>
      <c r="AC429" s="120">
        <f>IF(+NFL!$F201="New Orleans",+NFL!#REF!,IF(+NFL!$H201="New Orleans",+NFL!#REF!,0))</f>
        <v>0</v>
      </c>
      <c r="AD429" s="353">
        <f>IF(+NFL!$F201="New Orleans",+NFL!#REF!,IF(+NFL!$H201="New Orleans",+NFL!#REF!,0))</f>
        <v>0</v>
      </c>
      <c r="AE429" s="379">
        <f>IF(+NFL!$F201="New Orleans",+NFL!#REF!,IF(+NFL!$H201="New Orleans",+NFL!#REF!,0))</f>
        <v>0</v>
      </c>
      <c r="AF429" s="353">
        <f>IF(+NFL!$F201="New Orleans",+NFL!#REF!,IF(+NFL!$H201="New Orleans",+NFL!#REF!,0))</f>
        <v>0</v>
      </c>
      <c r="AG429" s="379">
        <f>IF(+NFL!$F201="New Orleans",+NFL!#REF!,IF(+NFL!$H201="New Orleans",+NFL!#REF!,0))</f>
        <v>0</v>
      </c>
      <c r="AH429" s="353">
        <f>IF(+NFL!$F201="New Orleans",+NFL!#REF!,IF(+NFL!$H201="New Orleans",+NFL!#REF!,0))</f>
        <v>0</v>
      </c>
      <c r="AI429" s="379">
        <f>IF(+NFL!$F201="New Orleans",+NFL!#REF!,IF(+NFL!$H201="New Orleans",+NFL!#REF!,0))</f>
        <v>0</v>
      </c>
      <c r="AJ429" s="353">
        <f>IF(+NFL!$F201="New Orleans",+NFL!#REF!,IF(+NFL!$H201="New Orleans",+NFL!#REF!,0))</f>
        <v>0</v>
      </c>
      <c r="AK429" s="379">
        <f>IF(+NFL!$F201="New Orleans",+NFL!#REF!,IF(+NFL!$H201="New Orleans",+NFL!#REF!,0))</f>
        <v>0</v>
      </c>
      <c r="AL429" s="68">
        <f>IF(+NFL!$F201="New Orleans",+NFL!#REF!,IF(+NFL!$H201="New Orleans",+NFL!#REF!,0))</f>
        <v>0</v>
      </c>
      <c r="AM429" s="58">
        <f>IF(+NFL!$F201="New Orleans",+NFL!#REF!,IF(+NFL!$H201="New Orleans",+NFL!#REF!,0))</f>
        <v>0</v>
      </c>
      <c r="AN429" s="57">
        <f>IF(+NFL!$F201="New Orleans",+NFL!#REF!,IF(+NFL!$H201="New Orleans",+NFL!#REF!,0))</f>
        <v>0</v>
      </c>
      <c r="AO429" s="59">
        <f>IF(+NFL!$F201="New Orleans",+NFL!#REF!,IF(+NFL!$H201="New Orleans",+NFL!#REF!,0))</f>
        <v>0</v>
      </c>
      <c r="AP429" s="348">
        <f>IF(+NFL!$F201="New Orleans",+NFL!#REF!,IF(+NFL!$H201="New Orleans",+NFL!#REF!,0))</f>
        <v>0</v>
      </c>
      <c r="AQ429" s="48">
        <f>IF(+NFL!$F201="New Orleans",+NFL!#REF!,IF(+NFL!$H201="New Orleans",+NFL!#REF!,0))</f>
        <v>0</v>
      </c>
      <c r="AR429" s="57">
        <f>IF(+NFL!$F201="New Orleans",+NFL!#REF!,IF(+NFL!$H201="New Orleans",+NFL!#REF!,0))</f>
        <v>0</v>
      </c>
      <c r="AS429" s="64">
        <f>IF(+NFL!$F201="New Orleans",+NFL!#REF!,IF(+NFL!$H201="New Orleans",+NFL!#REF!,0))</f>
        <v>0</v>
      </c>
      <c r="AT429" s="64">
        <f>IF(+NFL!$F201="New Orleans",+NFL!#REF!,IF(+NFL!$H201="New Orleans",+NFL!#REF!,0))</f>
        <v>0</v>
      </c>
      <c r="AU429" s="57">
        <f>IF(+NFL!$F201="New Orleans",+NFL!#REF!,IF(+NFL!$H201="New Orleans",+NFL!#REF!,0))</f>
        <v>0</v>
      </c>
      <c r="AV429" s="64">
        <f>IF(+NFL!$F201="New Orleans",+NFL!#REF!,IF(+NFL!$H201="New Orleans",+NFL!#REF!,0))</f>
        <v>0</v>
      </c>
      <c r="AW429" s="46">
        <f>IF(+NFL!$F201="New Orleans",+NFL!#REF!,IF(+NFL!$H201="New Orleans",+NFL!#REF!,0))</f>
        <v>0</v>
      </c>
      <c r="AX429" s="64">
        <f>IF(+NFL!$F201="New Orleans",+NFL!#REF!,IF(+NFL!$H201="New Orleans",+NFL!#REF!,0))</f>
        <v>0</v>
      </c>
      <c r="AY429" s="57">
        <f>IF(+NFL!$F201="New Orleans",+NFL!#REF!,IF(+NFL!$H201="New Orleans",+NFL!#REF!,0))</f>
        <v>0</v>
      </c>
      <c r="AZ429" s="64">
        <f>IF(+NFL!$F201="New Orleans",+NFL!#REF!,IF(+NFL!$H201="New Orleans",+NFL!#REF!,0))</f>
        <v>0</v>
      </c>
      <c r="BA429" s="46">
        <f>IF(+NFL!$F201="New Orleans",+NFL!#REF!,IF(+NFL!$H201="New Orleans",+NFL!#REF!,0))</f>
        <v>0</v>
      </c>
      <c r="BB429" s="46">
        <f>IF(+NFL!$F201="New Orleans",+NFL!#REF!,IF(+NFL!$H201="New Orleans",+NFL!#REF!,0))</f>
        <v>0</v>
      </c>
      <c r="BC429" s="403">
        <f>IF(+NFL!$F201="New Orleans",+NFL!#REF!,IF(+NFL!$H201="New Orleans",+NFL!#REF!,0))</f>
        <v>0</v>
      </c>
      <c r="BD429" s="57">
        <f>IF(+NFL!$F201="New Orleans",+NFL!#REF!,IF(+NFL!$H201="New Orleans",+NFL!#REF!,0))</f>
        <v>0</v>
      </c>
      <c r="BE429" s="64">
        <f>IF(+NFL!$F201="New Orleans",+NFL!#REF!,IF(+NFL!$H201="New Orleans",+NFL!#REF!,0))</f>
        <v>0</v>
      </c>
      <c r="BF429" s="46">
        <f>IF(+NFL!$F201="New Orleans",+NFL!#REF!,IF(+NFL!$H201="New Orleans",+NFL!#REF!,0))</f>
        <v>0</v>
      </c>
      <c r="BG429" s="57">
        <f>IF(+NFL!$F201="New Orleans",+NFL!#REF!,IF(+NFL!$H201="New Orleans",+NFL!#REF!,0))</f>
        <v>0</v>
      </c>
      <c r="BH429" s="64">
        <f>IF(+NFL!$F201="New Orleans",+NFL!#REF!,IF(+NFL!$H201="New Orleans",+NFL!#REF!,0))</f>
        <v>0</v>
      </c>
      <c r="BI429" s="46">
        <f>IF(+NFL!$F201="New Orleans",+NFL!#REF!,IF(+NFL!$H201="New Orleans",+NFL!#REF!,0))</f>
        <v>0</v>
      </c>
      <c r="BJ429" s="87">
        <f>IF(+NFL!$F201="New Orleans",+NFL!#REF!,IF(+NFL!$H201="New Orleans",+NFL!#REF!,0))</f>
        <v>0</v>
      </c>
      <c r="BK429" s="120">
        <f>IF(+NFL!$F201="New Orleans",+NFL!#REF!,IF(+NFL!$H201="New Orleans",+NFL!#REF!,0))</f>
        <v>0</v>
      </c>
    </row>
    <row r="430" spans="1:69" s="246" customFormat="1" x14ac:dyDescent="0.8">
      <c r="A430" s="46">
        <f>IF(+NFL!$F222="New Orleans",+NFL!A222,IF(+NFL!$H222="New Orleans",+NFL!A222,0))</f>
        <v>12</v>
      </c>
      <c r="B430" s="348" t="str">
        <f>IF(+NFL!$F222="New Orleans",+NFL!B222,IF(+NFL!$H222="New Orleans",+NFL!B222,0))</f>
        <v>Sun</v>
      </c>
      <c r="C430" s="48">
        <f>IF(+NFL!$F222="New Orleans",+NFL!C222,IF(+NFL!$H222="New Orleans",+NFL!C222,0))</f>
        <v>44892</v>
      </c>
      <c r="D430" s="490">
        <f>IF(+NFL!$F222="New Orleans",+NFL!D222,IF(+NFL!$H222="New Orleans",+NFL!D222,0))</f>
        <v>0.66666666666666663</v>
      </c>
      <c r="E430" s="46" t="str">
        <f>IF(+NFL!$F222="New Orleans",+NFL!E222,IF(+NFL!$H222="New Orleans",+NFL!E222,0))</f>
        <v>Fox</v>
      </c>
      <c r="F430" s="127" t="str">
        <f>IF(+NFL!$F222="New Orleans",+NFL!F222,IF(+NFL!$H222="New Orleans",+NFL!F222,0))</f>
        <v>New Orleans</v>
      </c>
      <c r="G430" s="46" t="str">
        <f>IF(+NFL!$F222="New Orleans",+NFL!G222,IF(+NFL!$H222="New Orleans",+NFL!G222,0))</f>
        <v>NFCS</v>
      </c>
      <c r="H430" s="127" t="str">
        <f>IF(+NFL!$F222="New Orleans",+NFL!H222,IF(+NFL!$H222="New Orleans",+NFL!H222,0))</f>
        <v>San Francisco</v>
      </c>
      <c r="I430" s="46" t="str">
        <f>IF(+NFL!$F222="New Orleans",+NFL!I222,IF(+NFL!$H222="New Orleans",+NFL!I222,0))</f>
        <v>NFCW</v>
      </c>
      <c r="J430" s="353" t="str">
        <f>IF(+NFL!$F222="New Orleans",+NFL!J222,IF(+NFL!$H222="New Orleans",+NFL!J222,0))</f>
        <v>San Francisco</v>
      </c>
      <c r="K430" s="494" t="str">
        <f>IF(+NFL!$F222="New Orleans",+NFL!K222,IF(+NFL!$H222="New Orleans",+NFL!K222,0))</f>
        <v>New Orleans</v>
      </c>
      <c r="L430" s="384">
        <f>IF(+NFL!$F222="New Orleans",+NFL!L222,IF(+NFL!$H222="New Orleans",+NFL!L222,0))</f>
        <v>9.5</v>
      </c>
      <c r="M430" s="385">
        <f>IF(+NFL!$F222="New Orleans",+NFL!M222,IF(+NFL!$H222="New Orleans",+NFL!M222,0))</f>
        <v>43</v>
      </c>
      <c r="N430" s="394" t="str">
        <f>IF(+NFL!$F222="New Orleans",+NFL!N222,IF(+NFL!$H222="New Orleans",+NFL!N222,0))</f>
        <v>San Francisco</v>
      </c>
      <c r="O430" s="395">
        <f>IF(+NFL!$F222="New Orleans",+NFL!O222,IF(+NFL!$H222="New Orleans",+NFL!O222,0))</f>
        <v>13</v>
      </c>
      <c r="P430" s="394" t="str">
        <f>IF(+NFL!$F222="New Orleans",+NFL!P222,IF(+NFL!$H222="New Orleans",+NFL!P222,0))</f>
        <v>New Orleans</v>
      </c>
      <c r="Q430" s="396">
        <f>IF(+NFL!$F222="New Orleans",+NFL!Q222,IF(+NFL!$H222="New Orleans",+NFL!Q222,0))</f>
        <v>0</v>
      </c>
      <c r="R430" s="397" t="str">
        <f>IF(+NFL!$F222="New Orleans",+NFL!R222,IF(+NFL!$H222="New Orleans",+NFL!R222,0))</f>
        <v>San Francisco</v>
      </c>
      <c r="S430" s="396" t="str">
        <f>IF(+NFL!$F222="New Orleans",+NFL!S222,IF(+NFL!$H222="New Orleans",+NFL!S222,0))</f>
        <v>New Orleans</v>
      </c>
      <c r="T430" s="398" t="str">
        <f>IF(+NFL!$F222="New Orleans",+NFL!T222,IF(+NFL!$H222="New Orleans",+NFL!T222,0))</f>
        <v>New Orleans</v>
      </c>
      <c r="U430" s="396" t="str">
        <f>IF(+NFL!$F222="New Orleans",+NFL!U222,IF(+NFL!$H222="New Orleans",+NFL!U222,0))</f>
        <v>L</v>
      </c>
      <c r="V430" s="397">
        <f>IF(+NFL!$F223="New Orleans",+NFL!#REF!,IF(+NFL!$H223="New Orleans",+NFL!#REF!,0))</f>
        <v>0</v>
      </c>
      <c r="W430" s="396">
        <f>IF(+NFL!$F223="New Orleans",+NFL!#REF!,IF(+NFL!$H223="New Orleans",+NFL!#REF!,0))</f>
        <v>0</v>
      </c>
      <c r="X430" s="398">
        <f>IF(+NFL!$F223="New Orleans",+NFL!#REF!,IF(+NFL!$H223="New Orleans",+NFL!#REF!,0))</f>
        <v>0</v>
      </c>
      <c r="Y430" s="396">
        <f>IF(+NFL!$F223="New Orleans",+NFL!#REF!,IF(+NFL!$H223="New Orleans",+NFL!#REF!,0))</f>
        <v>0</v>
      </c>
      <c r="Z430" s="397">
        <f>IF(+NFL!$F223="New Orleans",+NFL!#REF!,IF(+NFL!$H223="New Orleans",+NFL!#REF!,0))</f>
        <v>0</v>
      </c>
      <c r="AA430" s="396">
        <f>IF(+NFL!$F223="New Orleans",+NFL!#REF!,IF(+NFL!$H223="New Orleans",+NFL!#REF!,0))</f>
        <v>0</v>
      </c>
      <c r="AB430" s="87">
        <f>IF(+NFL!$F223="New Orleans",+NFL!#REF!,IF(+NFL!$H223="New Orleans",+NFL!#REF!,0))</f>
        <v>0</v>
      </c>
      <c r="AC430" s="120">
        <f>IF(+NFL!$F223="New Orleans",+NFL!#REF!,IF(+NFL!$H223="New Orleans",+NFL!#REF!,0))</f>
        <v>0</v>
      </c>
      <c r="AD430" s="353">
        <f>IF(+NFL!$F223="New Orleans",+NFL!#REF!,IF(+NFL!$H223="New Orleans",+NFL!#REF!,0))</f>
        <v>0</v>
      </c>
      <c r="AE430" s="379">
        <f>IF(+NFL!$F223="New Orleans",+NFL!#REF!,IF(+NFL!$H223="New Orleans",+NFL!#REF!,0))</f>
        <v>0</v>
      </c>
      <c r="AF430" s="353">
        <f>IF(+NFL!$F223="New Orleans",+NFL!#REF!,IF(+NFL!$H223="New Orleans",+NFL!#REF!,0))</f>
        <v>0</v>
      </c>
      <c r="AG430" s="379">
        <f>IF(+NFL!$F223="New Orleans",+NFL!#REF!,IF(+NFL!$H223="New Orleans",+NFL!#REF!,0))</f>
        <v>0</v>
      </c>
      <c r="AH430" s="353">
        <f>IF(+NFL!$F223="New Orleans",+NFL!#REF!,IF(+NFL!$H223="New Orleans",+NFL!#REF!,0))</f>
        <v>0</v>
      </c>
      <c r="AI430" s="379">
        <f>IF(+NFL!$F223="New Orleans",+NFL!#REF!,IF(+NFL!$H223="New Orleans",+NFL!#REF!,0))</f>
        <v>0</v>
      </c>
      <c r="AJ430" s="353">
        <f>IF(+NFL!$F223="New Orleans",+NFL!#REF!,IF(+NFL!$H223="New Orleans",+NFL!#REF!,0))</f>
        <v>0</v>
      </c>
      <c r="AK430" s="379">
        <f>IF(+NFL!$F223="New Orleans",+NFL!#REF!,IF(+NFL!$H223="New Orleans",+NFL!#REF!,0))</f>
        <v>0</v>
      </c>
      <c r="AL430" s="68">
        <f>IF(+NFL!$F223="New Orleans",+NFL!#REF!,IF(+NFL!$H223="New Orleans",+NFL!#REF!,0))</f>
        <v>0</v>
      </c>
      <c r="AM430" s="58">
        <f>IF(+NFL!$F223="New Orleans",+NFL!#REF!,IF(+NFL!$H223="New Orleans",+NFL!#REF!,0))</f>
        <v>0</v>
      </c>
      <c r="AN430" s="57">
        <f>IF(+NFL!$F223="New Orleans",+NFL!#REF!,IF(+NFL!$H223="New Orleans",+NFL!#REF!,0))</f>
        <v>0</v>
      </c>
      <c r="AO430" s="59">
        <f>IF(+NFL!$F223="New Orleans",+NFL!#REF!,IF(+NFL!$H223="New Orleans",+NFL!#REF!,0))</f>
        <v>0</v>
      </c>
      <c r="AP430" s="348">
        <f>IF(+NFL!$F223="New Orleans",+NFL!#REF!,IF(+NFL!$H223="New Orleans",+NFL!#REF!,0))</f>
        <v>0</v>
      </c>
      <c r="AQ430" s="48">
        <f>IF(+NFL!$F223="New Orleans",+NFL!#REF!,IF(+NFL!$H223="New Orleans",+NFL!#REF!,0))</f>
        <v>0</v>
      </c>
      <c r="AR430" s="57">
        <f>IF(+NFL!$F223="New Orleans",+NFL!#REF!,IF(+NFL!$H223="New Orleans",+NFL!#REF!,0))</f>
        <v>0</v>
      </c>
      <c r="AS430" s="64">
        <f>IF(+NFL!$F223="New Orleans",+NFL!#REF!,IF(+NFL!$H223="New Orleans",+NFL!#REF!,0))</f>
        <v>0</v>
      </c>
      <c r="AT430" s="64">
        <f>IF(+NFL!$F223="New Orleans",+NFL!#REF!,IF(+NFL!$H223="New Orleans",+NFL!#REF!,0))</f>
        <v>0</v>
      </c>
      <c r="AU430" s="57">
        <f>IF(+NFL!$F223="New Orleans",+NFL!#REF!,IF(+NFL!$H223="New Orleans",+NFL!#REF!,0))</f>
        <v>0</v>
      </c>
      <c r="AV430" s="64">
        <f>IF(+NFL!$F223="New Orleans",+NFL!#REF!,IF(+NFL!$H223="New Orleans",+NFL!#REF!,0))</f>
        <v>0</v>
      </c>
      <c r="AW430" s="46">
        <f>IF(+NFL!$F223="New Orleans",+NFL!#REF!,IF(+NFL!$H223="New Orleans",+NFL!#REF!,0))</f>
        <v>0</v>
      </c>
      <c r="AX430" s="64">
        <f>IF(+NFL!$F223="New Orleans",+NFL!#REF!,IF(+NFL!$H223="New Orleans",+NFL!#REF!,0))</f>
        <v>0</v>
      </c>
      <c r="AY430" s="57">
        <f>IF(+NFL!$F223="New Orleans",+NFL!#REF!,IF(+NFL!$H223="New Orleans",+NFL!#REF!,0))</f>
        <v>0</v>
      </c>
      <c r="AZ430" s="64">
        <f>IF(+NFL!$F223="New Orleans",+NFL!#REF!,IF(+NFL!$H223="New Orleans",+NFL!#REF!,0))</f>
        <v>0</v>
      </c>
      <c r="BA430" s="46">
        <f>IF(+NFL!$F223="New Orleans",+NFL!#REF!,IF(+NFL!$H223="New Orleans",+NFL!#REF!,0))</f>
        <v>0</v>
      </c>
      <c r="BB430" s="46">
        <f>IF(+NFL!$F223="New Orleans",+NFL!#REF!,IF(+NFL!$H223="New Orleans",+NFL!#REF!,0))</f>
        <v>0</v>
      </c>
      <c r="BC430" s="403">
        <f>IF(+NFL!$F223="New Orleans",+NFL!#REF!,IF(+NFL!$H223="New Orleans",+NFL!#REF!,0))</f>
        <v>0</v>
      </c>
      <c r="BD430" s="57">
        <f>IF(+NFL!$F223="New Orleans",+NFL!#REF!,IF(+NFL!$H223="New Orleans",+NFL!#REF!,0))</f>
        <v>0</v>
      </c>
      <c r="BE430" s="64">
        <f>IF(+NFL!$F223="New Orleans",+NFL!#REF!,IF(+NFL!$H223="New Orleans",+NFL!#REF!,0))</f>
        <v>0</v>
      </c>
      <c r="BF430" s="46">
        <f>IF(+NFL!$F223="New Orleans",+NFL!#REF!,IF(+NFL!$H223="New Orleans",+NFL!#REF!,0))</f>
        <v>0</v>
      </c>
      <c r="BG430" s="57">
        <f>IF(+NFL!$F223="New Orleans",+NFL!#REF!,IF(+NFL!$H223="New Orleans",+NFL!#REF!,0))</f>
        <v>0</v>
      </c>
      <c r="BH430" s="64">
        <f>IF(+NFL!$F223="New Orleans",+NFL!#REF!,IF(+NFL!$H223="New Orleans",+NFL!#REF!,0))</f>
        <v>0</v>
      </c>
      <c r="BI430" s="46">
        <f>IF(+NFL!$F223="New Orleans",+NFL!#REF!,IF(+NFL!$H223="New Orleans",+NFL!#REF!,0))</f>
        <v>0</v>
      </c>
      <c r="BJ430" s="87">
        <f>IF(+NFL!$F223="New Orleans",+NFL!#REF!,IF(+NFL!$H223="New Orleans",+NFL!#REF!,0))</f>
        <v>0</v>
      </c>
      <c r="BK430" s="120">
        <f>IF(+NFL!$F223="New Orleans",+NFL!#REF!,IF(+NFL!$H223="New Orleans",+NFL!#REF!,0))</f>
        <v>0</v>
      </c>
    </row>
    <row r="431" spans="1:69" s="246" customFormat="1" x14ac:dyDescent="0.8">
      <c r="A431" s="46">
        <f>IF(+NFL!$F240="New Orleans",+NFL!A240,IF(+NFL!$H240="New Orleans",+NFL!A240,0))</f>
        <v>13</v>
      </c>
      <c r="B431" s="348" t="str">
        <f>IF(+NFL!$F240="New Orleans",+NFL!B240,IF(+NFL!$H240="New Orleans",+NFL!B240,0))</f>
        <v>Mon</v>
      </c>
      <c r="C431" s="48">
        <f>IF(+NFL!$F240="New Orleans",+NFL!C240,IF(+NFL!$H240="New Orleans",+NFL!C240,0))</f>
        <v>44900</v>
      </c>
      <c r="D431" s="490">
        <f>IF(+NFL!$F240="New Orleans",+NFL!D240,IF(+NFL!$H240="New Orleans",+NFL!D240,0))</f>
        <v>0.84375</v>
      </c>
      <c r="E431" s="46" t="str">
        <f>IF(+NFL!$F240="New Orleans",+NFL!E240,IF(+NFL!$H240="New Orleans",+NFL!E240,0))</f>
        <v>ABC</v>
      </c>
      <c r="F431" s="127" t="str">
        <f>IF(+NFL!$F240="New Orleans",+NFL!F240,IF(+NFL!$H240="New Orleans",+NFL!F240,0))</f>
        <v>New Orleans</v>
      </c>
      <c r="G431" s="46" t="str">
        <f>IF(+NFL!$F240="New Orleans",+NFL!G240,IF(+NFL!$H240="New Orleans",+NFL!G240,0))</f>
        <v>AFCS</v>
      </c>
      <c r="H431" s="127" t="str">
        <f>IF(+NFL!$F240="New Orleans",+NFL!H240,IF(+NFL!$H240="New Orleans",+NFL!H240,0))</f>
        <v>Tampa Bay</v>
      </c>
      <c r="I431" s="46" t="str">
        <f>IF(+NFL!$F240="New Orleans",+NFL!I240,IF(+NFL!$H240="New Orleans",+NFL!I240,0))</f>
        <v>NFCE</v>
      </c>
      <c r="J431" s="353" t="str">
        <f>IF(+NFL!$F240="New Orleans",+NFL!J240,IF(+NFL!$H240="New Orleans",+NFL!J240,0))</f>
        <v>Tampa Bay</v>
      </c>
      <c r="K431" s="494" t="str">
        <f>IF(+NFL!$F240="New Orleans",+NFL!K240,IF(+NFL!$H240="New Orleans",+NFL!K240,0))</f>
        <v>New Orleans</v>
      </c>
      <c r="L431" s="384">
        <f>IF(+NFL!$F240="New Orleans",+NFL!L240,IF(+NFL!$H240="New Orleans",+NFL!L240,0))</f>
        <v>4</v>
      </c>
      <c r="M431" s="385">
        <f>IF(+NFL!$F240="New Orleans",+NFL!M240,IF(+NFL!$H240="New Orleans",+NFL!M240,0))</f>
        <v>40.5</v>
      </c>
      <c r="N431" s="394" t="str">
        <f>IF(+NFL!$F240="New Orleans",+NFL!N240,IF(+NFL!$H240="New Orleans",+NFL!N240,0))</f>
        <v>Tampa Bay</v>
      </c>
      <c r="O431" s="395">
        <f>IF(+NFL!$F240="New Orleans",+NFL!O240,IF(+NFL!$H240="New Orleans",+NFL!O240,0))</f>
        <v>17</v>
      </c>
      <c r="P431" s="394" t="str">
        <f>IF(+NFL!$F240="New Orleans",+NFL!P240,IF(+NFL!$H240="New Orleans",+NFL!P240,0))</f>
        <v>New Orleans</v>
      </c>
      <c r="Q431" s="396">
        <f>IF(+NFL!$F240="New Orleans",+NFL!Q240,IF(+NFL!$H240="New Orleans",+NFL!Q240,0))</f>
        <v>16</v>
      </c>
      <c r="R431" s="397" t="str">
        <f>IF(+NFL!$F240="New Orleans",+NFL!R240,IF(+NFL!$H240="New Orleans",+NFL!R240,0))</f>
        <v>New Orleans</v>
      </c>
      <c r="S431" s="396" t="str">
        <f>IF(+NFL!$F240="New Orleans",+NFL!S240,IF(+NFL!$H240="New Orleans",+NFL!S240,0))</f>
        <v>Tampa Bay</v>
      </c>
      <c r="T431" s="398" t="str">
        <f>IF(+NFL!$F240="New Orleans",+NFL!T240,IF(+NFL!$H240="New Orleans",+NFL!T240,0))</f>
        <v>New Orleans</v>
      </c>
      <c r="U431" s="396" t="str">
        <f>IF(+NFL!$F240="New Orleans",+NFL!U240,IF(+NFL!$H240="New Orleans",+NFL!U240,0))</f>
        <v>W</v>
      </c>
      <c r="V431" s="397" t="e">
        <f>IF(+NFL!$F240="New Orleans",+NFL!#REF!,IF(+NFL!$H240="New Orleans",+NFL!#REF!,0))</f>
        <v>#REF!</v>
      </c>
      <c r="W431" s="396" t="e">
        <f>IF(+NFL!$F240="New Orleans",+NFL!#REF!,IF(+NFL!$H240="New Orleans",+NFL!#REF!,0))</f>
        <v>#REF!</v>
      </c>
      <c r="X431" s="398" t="e">
        <f>IF(+NFL!$F240="New Orleans",+NFL!#REF!,IF(+NFL!$H240="New Orleans",+NFL!#REF!,0))</f>
        <v>#REF!</v>
      </c>
      <c r="Y431" s="396" t="e">
        <f>IF(+NFL!$F240="New Orleans",+NFL!#REF!,IF(+NFL!$H240="New Orleans",+NFL!#REF!,0))</f>
        <v>#REF!</v>
      </c>
      <c r="Z431" s="397" t="e">
        <f>IF(+NFL!$F240="New Orleans",+NFL!#REF!,IF(+NFL!$H240="New Orleans",+NFL!#REF!,0))</f>
        <v>#REF!</v>
      </c>
      <c r="AA431" s="396" t="e">
        <f>IF(+NFL!$F240="New Orleans",+NFL!#REF!,IF(+NFL!$H240="New Orleans",+NFL!#REF!,0))</f>
        <v>#REF!</v>
      </c>
      <c r="AB431" s="87" t="e">
        <f>IF(+NFL!$F240="New Orleans",+NFL!#REF!,IF(+NFL!$H240="New Orleans",+NFL!#REF!,0))</f>
        <v>#REF!</v>
      </c>
      <c r="AC431" s="120" t="e">
        <f>IF(+NFL!$F240="New Orleans",+NFL!#REF!,IF(+NFL!$H240="New Orleans",+NFL!#REF!,0))</f>
        <v>#REF!</v>
      </c>
      <c r="AD431" s="353" t="e">
        <f>IF(+NFL!$F240="New Orleans",+NFL!#REF!,IF(+NFL!$H240="New Orleans",+NFL!#REF!,0))</f>
        <v>#REF!</v>
      </c>
      <c r="AE431" s="379" t="e">
        <f>IF(+NFL!$F240="New Orleans",+NFL!#REF!,IF(+NFL!$H240="New Orleans",+NFL!#REF!,0))</f>
        <v>#REF!</v>
      </c>
      <c r="AF431" s="353" t="e">
        <f>IF(+NFL!$F240="New Orleans",+NFL!#REF!,IF(+NFL!$H240="New Orleans",+NFL!#REF!,0))</f>
        <v>#REF!</v>
      </c>
      <c r="AG431" s="379" t="e">
        <f>IF(+NFL!$F240="New Orleans",+NFL!#REF!,IF(+NFL!$H240="New Orleans",+NFL!#REF!,0))</f>
        <v>#REF!</v>
      </c>
      <c r="AH431" s="353" t="e">
        <f>IF(+NFL!$F240="New Orleans",+NFL!#REF!,IF(+NFL!$H240="New Orleans",+NFL!#REF!,0))</f>
        <v>#REF!</v>
      </c>
      <c r="AI431" s="379" t="e">
        <f>IF(+NFL!$F240="New Orleans",+NFL!#REF!,IF(+NFL!$H240="New Orleans",+NFL!#REF!,0))</f>
        <v>#REF!</v>
      </c>
      <c r="AJ431" s="353" t="e">
        <f>IF(+NFL!$F240="New Orleans",+NFL!#REF!,IF(+NFL!$H240="New Orleans",+NFL!#REF!,0))</f>
        <v>#REF!</v>
      </c>
      <c r="AK431" s="379" t="e">
        <f>IF(+NFL!$F240="New Orleans",+NFL!#REF!,IF(+NFL!$H240="New Orleans",+NFL!#REF!,0))</f>
        <v>#REF!</v>
      </c>
      <c r="AL431" s="68" t="e">
        <f>IF(+NFL!$F240="New Orleans",+NFL!#REF!,IF(+NFL!$H240="New Orleans",+NFL!#REF!,0))</f>
        <v>#REF!</v>
      </c>
      <c r="AM431" s="58" t="e">
        <f>IF(+NFL!$F240="New Orleans",+NFL!#REF!,IF(+NFL!$H240="New Orleans",+NFL!#REF!,0))</f>
        <v>#REF!</v>
      </c>
      <c r="AN431" s="57" t="e">
        <f>IF(+NFL!$F240="New Orleans",+NFL!#REF!,IF(+NFL!$H240="New Orleans",+NFL!#REF!,0))</f>
        <v>#REF!</v>
      </c>
      <c r="AO431" s="59" t="e">
        <f>IF(+NFL!$F240="New Orleans",+NFL!#REF!,IF(+NFL!$H240="New Orleans",+NFL!#REF!,0))</f>
        <v>#REF!</v>
      </c>
      <c r="AP431" s="348" t="e">
        <f>IF(+NFL!$F240="New Orleans",+NFL!#REF!,IF(+NFL!$H240="New Orleans",+NFL!#REF!,0))</f>
        <v>#REF!</v>
      </c>
      <c r="AQ431" s="48" t="e">
        <f>IF(+NFL!$F240="New Orleans",+NFL!#REF!,IF(+NFL!$H240="New Orleans",+NFL!#REF!,0))</f>
        <v>#REF!</v>
      </c>
      <c r="AR431" s="57" t="e">
        <f>IF(+NFL!$F240="New Orleans",+NFL!#REF!,IF(+NFL!$H240="New Orleans",+NFL!#REF!,0))</f>
        <v>#REF!</v>
      </c>
      <c r="AS431" s="493" t="e">
        <f>IF(+NFL!$F240="New Orleans",+NFL!#REF!,IF(+NFL!$H240="New Orleans",+NFL!#REF!,0))</f>
        <v>#REF!</v>
      </c>
      <c r="AT431" s="493" t="e">
        <f>IF(+NFL!$F240="New Orleans",+NFL!#REF!,IF(+NFL!$H240="New Orleans",+NFL!#REF!,0))</f>
        <v>#REF!</v>
      </c>
      <c r="AU431" s="57" t="e">
        <f>IF(+NFL!$F240="New Orleans",+NFL!#REF!,IF(+NFL!$H240="New Orleans",+NFL!#REF!,0))</f>
        <v>#REF!</v>
      </c>
      <c r="AV431" s="493" t="e">
        <f>IF(+NFL!$F240="New Orleans",+NFL!#REF!,IF(+NFL!$H240="New Orleans",+NFL!#REF!,0))</f>
        <v>#REF!</v>
      </c>
      <c r="AW431" s="46" t="e">
        <f>IF(+NFL!$F240="New Orleans",+NFL!#REF!,IF(+NFL!$H240="New Orleans",+NFL!#REF!,0))</f>
        <v>#REF!</v>
      </c>
      <c r="AX431" s="493" t="e">
        <f>IF(+NFL!$F240="New Orleans",+NFL!#REF!,IF(+NFL!$H240="New Orleans",+NFL!#REF!,0))</f>
        <v>#REF!</v>
      </c>
      <c r="AY431" s="57" t="e">
        <f>IF(+NFL!$F240="New Orleans",+NFL!#REF!,IF(+NFL!$H240="New Orleans",+NFL!#REF!,0))</f>
        <v>#REF!</v>
      </c>
      <c r="AZ431" s="493" t="e">
        <f>IF(+NFL!$F240="New Orleans",+NFL!#REF!,IF(+NFL!$H240="New Orleans",+NFL!#REF!,0))</f>
        <v>#REF!</v>
      </c>
      <c r="BA431" s="46" t="e">
        <f>IF(+NFL!$F240="New Orleans",+NFL!#REF!,IF(+NFL!$H240="New Orleans",+NFL!#REF!,0))</f>
        <v>#REF!</v>
      </c>
      <c r="BB431" s="46" t="e">
        <f>IF(+NFL!$F240="New Orleans",+NFL!#REF!,IF(+NFL!$H240="New Orleans",+NFL!#REF!,0))</f>
        <v>#REF!</v>
      </c>
      <c r="BC431" s="403" t="e">
        <f>IF(+NFL!$F240="New Orleans",+NFL!#REF!,IF(+NFL!$H240="New Orleans",+NFL!#REF!,0))</f>
        <v>#REF!</v>
      </c>
      <c r="BD431" s="57" t="e">
        <f>IF(+NFL!$F240="New Orleans",+NFL!#REF!,IF(+NFL!$H240="New Orleans",+NFL!#REF!,0))</f>
        <v>#REF!</v>
      </c>
      <c r="BE431" s="493" t="e">
        <f>IF(+NFL!$F240="New Orleans",+NFL!#REF!,IF(+NFL!$H240="New Orleans",+NFL!#REF!,0))</f>
        <v>#REF!</v>
      </c>
      <c r="BF431" s="46" t="e">
        <f>IF(+NFL!$F240="New Orleans",+NFL!#REF!,IF(+NFL!$H240="New Orleans",+NFL!#REF!,0))</f>
        <v>#REF!</v>
      </c>
      <c r="BG431" s="57" t="e">
        <f>IF(+NFL!$F240="New Orleans",+NFL!#REF!,IF(+NFL!$H240="New Orleans",+NFL!#REF!,0))</f>
        <v>#REF!</v>
      </c>
      <c r="BH431" s="493" t="e">
        <f>IF(+NFL!$F240="New Orleans",+NFL!#REF!,IF(+NFL!$H240="New Orleans",+NFL!#REF!,0))</f>
        <v>#REF!</v>
      </c>
      <c r="BI431" s="46" t="e">
        <f>IF(+NFL!$F240="New Orleans",+NFL!#REF!,IF(+NFL!$H240="New Orleans",+NFL!#REF!,0))</f>
        <v>#REF!</v>
      </c>
      <c r="BJ431" s="87" t="e">
        <f>IF(+NFL!$F240="New Orleans",+NFL!#REF!,IF(+NFL!$H240="New Orleans",+NFL!#REF!,0))</f>
        <v>#REF!</v>
      </c>
      <c r="BK431" s="120" t="e">
        <f>IF(+NFL!$F240="New Orleans",+NFL!#REF!,IF(+NFL!$H240="New Orleans",+NFL!#REF!,0))</f>
        <v>#REF!</v>
      </c>
      <c r="BL431" s="246" t="e">
        <f>IF(+NFL!$F240="New Orleans",+NFL!#REF!,IF(+NFL!$H240="New Orleans",+NFL!#REF!,0))</f>
        <v>#REF!</v>
      </c>
      <c r="BM431" s="246" t="e">
        <f>IF(+NFL!$F240="New Orleans",+NFL!#REF!,IF(+NFL!$H240="New Orleans",+NFL!#REF!,0))</f>
        <v>#REF!</v>
      </c>
      <c r="BN431" s="246" t="e">
        <f>IF(+NFL!$F240="New Orleans",+NFL!#REF!,IF(+NFL!$H240="New Orleans",+NFL!#REF!,0))</f>
        <v>#REF!</v>
      </c>
      <c r="BO431" s="246" t="e">
        <f>IF(+NFL!$F240="New Orleans",+NFL!#REF!,IF(+NFL!$H240="New Orleans",+NFL!#REF!,0))</f>
        <v>#REF!</v>
      </c>
      <c r="BP431" s="246" t="e">
        <f>IF(+NFL!$F240="New Orleans",+NFL!#REF!,IF(+NFL!$H240="New Orleans",+NFL!#REF!,0))</f>
        <v>#REF!</v>
      </c>
      <c r="BQ431" s="246" t="e">
        <f>IF(+NFL!$F240="New Orleans",+NFL!#REF!,IF(+NFL!$H240="New Orleans",+NFL!#REF!,0))</f>
        <v>#REF!</v>
      </c>
    </row>
    <row r="432" spans="1:69" s="246" customFormat="1" x14ac:dyDescent="0.8">
      <c r="A432" s="46">
        <f>IF(+NFL!$F263="New Orleans",+NFL!A263,IF(+NFL!$H263="New Orleans",+NFL!A263,0))</f>
        <v>14</v>
      </c>
      <c r="B432" s="348">
        <f>IF(+NFL!$F263="New Orleans",+NFL!B263,IF(+NFL!$H263="New Orleans",+NFL!B263,0))</f>
        <v>0</v>
      </c>
      <c r="C432" s="48">
        <f>IF(+NFL!$F263="New Orleans",+NFL!C263,IF(+NFL!$H263="New Orleans",+NFL!C263,0))</f>
        <v>0</v>
      </c>
      <c r="D432" s="490">
        <f>IF(+NFL!$F263="New Orleans",+NFL!D263,IF(+NFL!$H263="New Orleans",+NFL!D263,0))</f>
        <v>0</v>
      </c>
      <c r="E432" s="46">
        <f>IF(+NFL!$F263="New Orleans",+NFL!E263,IF(+NFL!$H263="New Orleans",+NFL!E263,0))</f>
        <v>0</v>
      </c>
      <c r="F432" s="127" t="str">
        <f>IF(+NFL!$F263="New Orleans",+NFL!F263,IF(+NFL!$H263="New Orleans",+NFL!F263,0))</f>
        <v>New Orleans</v>
      </c>
      <c r="G432" s="46" t="str">
        <f>IF(+NFL!$F263="New Orleans",+NFL!G263,IF(+NFL!$H263="New Orleans",+NFL!G263,0))</f>
        <v>NFCS</v>
      </c>
      <c r="H432" s="127">
        <f>IF(+NFL!$F263="New Orleans",+NFL!H263,IF(+NFL!$H263="New Orleans",+NFL!H263,0))</f>
        <v>0</v>
      </c>
      <c r="I432" s="46">
        <f>IF(+NFL!$F263="New Orleans",+NFL!I263,IF(+NFL!$H263="New Orleans",+NFL!I263,0))</f>
        <v>0</v>
      </c>
      <c r="J432" s="353">
        <f>IF(+NFL!$F263="New Orleans",+NFL!J263,IF(+NFL!$H263="New Orleans",+NFL!J263,0))</f>
        <v>0</v>
      </c>
      <c r="K432" s="494">
        <f>IF(+NFL!$F263="New Orleans",+NFL!K263,IF(+NFL!$H263="New Orleans",+NFL!K263,0))</f>
        <v>0</v>
      </c>
      <c r="L432" s="384">
        <f>IF(+NFL!$F263="New Orleans",+NFL!L263,IF(+NFL!$H263="New Orleans",+NFL!L263,0))</f>
        <v>0</v>
      </c>
      <c r="M432" s="385">
        <f>IF(+NFL!$F263="New Orleans",+NFL!M263,IF(+NFL!$H263="New Orleans",+NFL!M263,0))</f>
        <v>0</v>
      </c>
      <c r="N432" s="394">
        <f>IF(+NFL!$F263="New Orleans",+NFL!N263,IF(+NFL!$H263="New Orleans",+NFL!N263,0))</f>
        <v>0</v>
      </c>
      <c r="O432" s="395">
        <f>IF(+NFL!$F263="New Orleans",+NFL!O263,IF(+NFL!$H263="New Orleans",+NFL!O263,0))</f>
        <v>0</v>
      </c>
      <c r="P432" s="394">
        <f>IF(+NFL!$F263="New Orleans",+NFL!P263,IF(+NFL!$H263="New Orleans",+NFL!P263,0))</f>
        <v>0</v>
      </c>
      <c r="Q432" s="396">
        <f>IF(+NFL!$F263="New Orleans",+NFL!Q263,IF(+NFL!$H263="New Orleans",+NFL!Q263,0))</f>
        <v>0</v>
      </c>
      <c r="R432" s="397">
        <f>IF(+NFL!$F263="New Orleans",+NFL!R263,IF(+NFL!$H263="New Orleans",+NFL!R263,0))</f>
        <v>0</v>
      </c>
      <c r="S432" s="396">
        <f>IF(+NFL!$F263="New Orleans",+NFL!S263,IF(+NFL!$H263="New Orleans",+NFL!S263,0))</f>
        <v>0</v>
      </c>
      <c r="T432" s="398">
        <f>IF(+NFL!$F263="New Orleans",+NFL!T263,IF(+NFL!$H263="New Orleans",+NFL!T263,0))</f>
        <v>0</v>
      </c>
      <c r="U432" s="396">
        <f>IF(+NFL!$F263="New Orleans",+NFL!U263,IF(+NFL!$H263="New Orleans",+NFL!U263,0))</f>
        <v>0</v>
      </c>
      <c r="V432" s="397">
        <f>IF(+NFL!$F246="New Orleans",+NFL!#REF!,IF(+NFL!$H246="New Orleans",+NFL!#REF!,0))</f>
        <v>0</v>
      </c>
      <c r="W432" s="396">
        <f>IF(+NFL!$F246="New Orleans",+NFL!#REF!,IF(+NFL!$H246="New Orleans",+NFL!#REF!,0))</f>
        <v>0</v>
      </c>
      <c r="X432" s="398">
        <f>IF(+NFL!$F246="New Orleans",+NFL!#REF!,IF(+NFL!$H246="New Orleans",+NFL!#REF!,0))</f>
        <v>0</v>
      </c>
      <c r="Y432" s="396">
        <f>IF(+NFL!$F246="New Orleans",+NFL!#REF!,IF(+NFL!$H246="New Orleans",+NFL!#REF!,0))</f>
        <v>0</v>
      </c>
      <c r="Z432" s="397">
        <f>IF(+NFL!$F246="New Orleans",+NFL!#REF!,IF(+NFL!$H246="New Orleans",+NFL!#REF!,0))</f>
        <v>0</v>
      </c>
      <c r="AA432" s="396">
        <f>IF(+NFL!$F246="New Orleans",+NFL!#REF!,IF(+NFL!$H246="New Orleans",+NFL!#REF!,0))</f>
        <v>0</v>
      </c>
      <c r="AB432" s="87">
        <f>IF(+NFL!$F246="New Orleans",+NFL!#REF!,IF(+NFL!$H246="New Orleans",+NFL!#REF!,0))</f>
        <v>0</v>
      </c>
      <c r="AC432" s="120">
        <f>IF(+NFL!$F246="New Orleans",+NFL!#REF!,IF(+NFL!$H246="New Orleans",+NFL!#REF!,0))</f>
        <v>0</v>
      </c>
      <c r="AD432" s="353">
        <f>IF(+NFL!$F246="New Orleans",+NFL!#REF!,IF(+NFL!$H246="New Orleans",+NFL!#REF!,0))</f>
        <v>0</v>
      </c>
      <c r="AE432" s="379">
        <f>IF(+NFL!$F246="New Orleans",+NFL!#REF!,IF(+NFL!$H246="New Orleans",+NFL!#REF!,0))</f>
        <v>0</v>
      </c>
      <c r="AF432" s="353">
        <f>IF(+NFL!$F246="New Orleans",+NFL!#REF!,IF(+NFL!$H246="New Orleans",+NFL!#REF!,0))</f>
        <v>0</v>
      </c>
      <c r="AG432" s="379">
        <f>IF(+NFL!$F246="New Orleans",+NFL!#REF!,IF(+NFL!$H246="New Orleans",+NFL!#REF!,0))</f>
        <v>0</v>
      </c>
      <c r="AH432" s="353">
        <f>IF(+NFL!$F246="New Orleans",+NFL!#REF!,IF(+NFL!$H246="New Orleans",+NFL!#REF!,0))</f>
        <v>0</v>
      </c>
      <c r="AI432" s="379">
        <f>IF(+NFL!$F246="New Orleans",+NFL!#REF!,IF(+NFL!$H246="New Orleans",+NFL!#REF!,0))</f>
        <v>0</v>
      </c>
      <c r="AJ432" s="353">
        <f>IF(+NFL!$F246="New Orleans",+NFL!#REF!,IF(+NFL!$H246="New Orleans",+NFL!#REF!,0))</f>
        <v>0</v>
      </c>
      <c r="AK432" s="379">
        <f>IF(+NFL!$F246="New Orleans",+NFL!#REF!,IF(+NFL!$H246="New Orleans",+NFL!#REF!,0))</f>
        <v>0</v>
      </c>
      <c r="AL432" s="68">
        <f>IF(+NFL!$F246="New Orleans",+NFL!#REF!,IF(+NFL!$H246="New Orleans",+NFL!#REF!,0))</f>
        <v>0</v>
      </c>
      <c r="AM432" s="58">
        <f>IF(+NFL!$F246="New Orleans",+NFL!#REF!,IF(+NFL!$H246="New Orleans",+NFL!#REF!,0))</f>
        <v>0</v>
      </c>
      <c r="AN432" s="57">
        <f>IF(+NFL!$F246="New Orleans",+NFL!#REF!,IF(+NFL!$H246="New Orleans",+NFL!#REF!,0))</f>
        <v>0</v>
      </c>
      <c r="AO432" s="59">
        <f>IF(+NFL!$F246="New Orleans",+NFL!#REF!,IF(+NFL!$H246="New Orleans",+NFL!#REF!,0))</f>
        <v>0</v>
      </c>
      <c r="AP432" s="348">
        <f>IF(+NFL!$F246="New Orleans",+NFL!#REF!,IF(+NFL!$H246="New Orleans",+NFL!#REF!,0))</f>
        <v>0</v>
      </c>
      <c r="AQ432" s="48">
        <f>IF(+NFL!$F246="New Orleans",+NFL!#REF!,IF(+NFL!$H246="New Orleans",+NFL!#REF!,0))</f>
        <v>0</v>
      </c>
      <c r="AR432" s="57">
        <f>IF(+NFL!$F246="New Orleans",+NFL!#REF!,IF(+NFL!$H246="New Orleans",+NFL!#REF!,0))</f>
        <v>0</v>
      </c>
      <c r="AS432" s="64">
        <f>IF(+NFL!$F246="New Orleans",+NFL!#REF!,IF(+NFL!$H246="New Orleans",+NFL!#REF!,0))</f>
        <v>0</v>
      </c>
      <c r="AT432" s="64">
        <f>IF(+NFL!$F246="New Orleans",+NFL!#REF!,IF(+NFL!$H246="New Orleans",+NFL!#REF!,0))</f>
        <v>0</v>
      </c>
      <c r="AU432" s="57">
        <f>IF(+NFL!$F246="New Orleans",+NFL!#REF!,IF(+NFL!$H246="New Orleans",+NFL!#REF!,0))</f>
        <v>0</v>
      </c>
      <c r="AV432" s="64">
        <f>IF(+NFL!$F246="New Orleans",+NFL!#REF!,IF(+NFL!$H246="New Orleans",+NFL!#REF!,0))</f>
        <v>0</v>
      </c>
      <c r="AW432" s="46">
        <f>IF(+NFL!$F246="New Orleans",+NFL!#REF!,IF(+NFL!$H246="New Orleans",+NFL!#REF!,0))</f>
        <v>0</v>
      </c>
      <c r="AX432" s="64">
        <f>IF(+NFL!$F246="New Orleans",+NFL!#REF!,IF(+NFL!$H246="New Orleans",+NFL!#REF!,0))</f>
        <v>0</v>
      </c>
      <c r="AY432" s="57">
        <f>IF(+NFL!$F246="New Orleans",+NFL!#REF!,IF(+NFL!$H246="New Orleans",+NFL!#REF!,0))</f>
        <v>0</v>
      </c>
      <c r="AZ432" s="64">
        <f>IF(+NFL!$F246="New Orleans",+NFL!#REF!,IF(+NFL!$H246="New Orleans",+NFL!#REF!,0))</f>
        <v>0</v>
      </c>
      <c r="BA432" s="46">
        <f>IF(+NFL!$F246="New Orleans",+NFL!#REF!,IF(+NFL!$H246="New Orleans",+NFL!#REF!,0))</f>
        <v>0</v>
      </c>
      <c r="BB432" s="46">
        <f>IF(+NFL!$F246="New Orleans",+NFL!#REF!,IF(+NFL!$H246="New Orleans",+NFL!#REF!,0))</f>
        <v>0</v>
      </c>
      <c r="BC432" s="403">
        <f>IF(+NFL!$F246="New Orleans",+NFL!#REF!,IF(+NFL!$H246="New Orleans",+NFL!#REF!,0))</f>
        <v>0</v>
      </c>
      <c r="BD432" s="57">
        <f>IF(+NFL!$F246="New Orleans",+NFL!#REF!,IF(+NFL!$H246="New Orleans",+NFL!#REF!,0))</f>
        <v>0</v>
      </c>
      <c r="BE432" s="64">
        <f>IF(+NFL!$F246="New Orleans",+NFL!#REF!,IF(+NFL!$H246="New Orleans",+NFL!#REF!,0))</f>
        <v>0</v>
      </c>
      <c r="BF432" s="46">
        <f>IF(+NFL!$F246="New Orleans",+NFL!#REF!,IF(+NFL!$H246="New Orleans",+NFL!#REF!,0))</f>
        <v>0</v>
      </c>
      <c r="BG432" s="57">
        <f>IF(+NFL!$F246="New Orleans",+NFL!#REF!,IF(+NFL!$H246="New Orleans",+NFL!#REF!,0))</f>
        <v>0</v>
      </c>
      <c r="BH432" s="64">
        <f>IF(+NFL!$F246="New Orleans",+NFL!#REF!,IF(+NFL!$H246="New Orleans",+NFL!#REF!,0))</f>
        <v>0</v>
      </c>
      <c r="BI432" s="46">
        <f>IF(+NFL!$F246="New Orleans",+NFL!#REF!,IF(+NFL!$H246="New Orleans",+NFL!#REF!,0))</f>
        <v>0</v>
      </c>
      <c r="BJ432" s="87">
        <f>IF(+NFL!$F246="New Orleans",+NFL!#REF!,IF(+NFL!$H246="New Orleans",+NFL!#REF!,0))</f>
        <v>0</v>
      </c>
      <c r="BK432" s="120">
        <f>IF(+NFL!$F246="New Orleans",+NFL!#REF!,IF(+NFL!$H246="New Orleans",+NFL!#REF!,0))</f>
        <v>0</v>
      </c>
    </row>
    <row r="433" spans="1:63" s="246" customFormat="1" x14ac:dyDescent="0.8">
      <c r="A433" s="46">
        <f>IF(+NFL!$F270="New Orleans",+NFL!A270,IF(+NFL!$H270="New Orleans",+NFL!A270,0))</f>
        <v>15</v>
      </c>
      <c r="B433" s="348" t="str">
        <f>IF(+NFL!$F270="New Orleans",+NFL!B270,IF(+NFL!$H270="New Orleans",+NFL!B270,0))</f>
        <v>Sun</v>
      </c>
      <c r="C433" s="48">
        <f>IF(+NFL!$F270="New Orleans",+NFL!C270,IF(+NFL!$H270="New Orleans",+NFL!C270,0))</f>
        <v>44913</v>
      </c>
      <c r="D433" s="490">
        <f>IF(+NFL!$F270="New Orleans",+NFL!D270,IF(+NFL!$H270="New Orleans",+NFL!D270,0))</f>
        <v>0.54166666666666663</v>
      </c>
      <c r="E433" s="46" t="str">
        <f>IF(+NFL!$F270="New Orleans",+NFL!E270,IF(+NFL!$H270="New Orleans",+NFL!E270,0))</f>
        <v>Fox</v>
      </c>
      <c r="F433" s="127" t="str">
        <f>IF(+NFL!$F270="New Orleans",+NFL!F270,IF(+NFL!$H270="New Orleans",+NFL!F270,0))</f>
        <v>Atlanta</v>
      </c>
      <c r="G433" s="46" t="str">
        <f>IF(+NFL!$F270="New Orleans",+NFL!G270,IF(+NFL!$H270="New Orleans",+NFL!G270,0))</f>
        <v>NFCS</v>
      </c>
      <c r="H433" s="127" t="str">
        <f>IF(+NFL!$F270="New Orleans",+NFL!H270,IF(+NFL!$H270="New Orleans",+NFL!H270,0))</f>
        <v>New Orleans</v>
      </c>
      <c r="I433" s="46" t="str">
        <f>IF(+NFL!$F270="New Orleans",+NFL!I270,IF(+NFL!$H270="New Orleans",+NFL!I270,0))</f>
        <v>NFCS</v>
      </c>
      <c r="J433" s="353" t="str">
        <f>IF(+NFL!$F270="New Orleans",+NFL!J270,IF(+NFL!$H270="New Orleans",+NFL!J270,0))</f>
        <v>New Orleans</v>
      </c>
      <c r="K433" s="494" t="str">
        <f>IF(+NFL!$F270="New Orleans",+NFL!K270,IF(+NFL!$H270="New Orleans",+NFL!K270,0))</f>
        <v>Atlanta</v>
      </c>
      <c r="L433" s="384">
        <f>IF(+NFL!$F270="New Orleans",+NFL!L270,IF(+NFL!$H270="New Orleans",+NFL!L270,0))</f>
        <v>5.5</v>
      </c>
      <c r="M433" s="385">
        <f>IF(+NFL!$F270="New Orleans",+NFL!M270,IF(+NFL!$H270="New Orleans",+NFL!M270,0))</f>
        <v>43.5</v>
      </c>
      <c r="N433" s="394" t="str">
        <f>IF(+NFL!$F270="New Orleans",+NFL!N270,IF(+NFL!$H270="New Orleans",+NFL!N270,0))</f>
        <v>New Orleans</v>
      </c>
      <c r="O433" s="395">
        <f>IF(+NFL!$F270="New Orleans",+NFL!O270,IF(+NFL!$H270="New Orleans",+NFL!O270,0))</f>
        <v>21</v>
      </c>
      <c r="P433" s="394" t="str">
        <f>IF(+NFL!$F270="New Orleans",+NFL!P270,IF(+NFL!$H270="New Orleans",+NFL!P270,0))</f>
        <v>Atlanta</v>
      </c>
      <c r="Q433" s="396">
        <f>IF(+NFL!$F270="New Orleans",+NFL!Q270,IF(+NFL!$H270="New Orleans",+NFL!Q270,0))</f>
        <v>18</v>
      </c>
      <c r="R433" s="397" t="str">
        <f>IF(+NFL!$F270="New Orleans",+NFL!R270,IF(+NFL!$H270="New Orleans",+NFL!R270,0))</f>
        <v>Atlanta</v>
      </c>
      <c r="S433" s="396" t="str">
        <f>IF(+NFL!$F270="New Orleans",+NFL!S270,IF(+NFL!$H270="New Orleans",+NFL!S270,0))</f>
        <v>New Orleans</v>
      </c>
      <c r="T433" s="398">
        <f>IF(+NFL!$F270="New Orleans",+NFL!T270,IF(+NFL!$H270="New Orleans",+NFL!T270,0))</f>
        <v>0</v>
      </c>
      <c r="U433" s="396" t="str">
        <f>IF(+NFL!$F270="New Orleans",+NFL!U270,IF(+NFL!$H270="New Orleans",+NFL!U270,0))</f>
        <v>L</v>
      </c>
      <c r="V433" s="397">
        <f>IF(+NFL!$F267="New Orleans",+NFL!#REF!,IF(+NFL!$H267="New Orleans",+NFL!#REF!,0))</f>
        <v>0</v>
      </c>
      <c r="W433" s="396">
        <f>IF(+NFL!$F267="New Orleans",+NFL!#REF!,IF(+NFL!$H267="New Orleans",+NFL!#REF!,0))</f>
        <v>0</v>
      </c>
      <c r="X433" s="398">
        <f>IF(+NFL!$F267="New Orleans",+NFL!#REF!,IF(+NFL!$H267="New Orleans",+NFL!#REF!,0))</f>
        <v>0</v>
      </c>
      <c r="Y433" s="396">
        <f>IF(+NFL!$F267="New Orleans",+NFL!#REF!,IF(+NFL!$H267="New Orleans",+NFL!#REF!,0))</f>
        <v>0</v>
      </c>
      <c r="Z433" s="397">
        <f>IF(+NFL!$F267="New Orleans",+NFL!#REF!,IF(+NFL!$H267="New Orleans",+NFL!#REF!,0))</f>
        <v>0</v>
      </c>
      <c r="AA433" s="396">
        <f>IF(+NFL!$F267="New Orleans",+NFL!#REF!,IF(+NFL!$H267="New Orleans",+NFL!#REF!,0))</f>
        <v>0</v>
      </c>
      <c r="AB433" s="87">
        <f>IF(+NFL!$F267="New Orleans",+NFL!#REF!,IF(+NFL!$H267="New Orleans",+NFL!#REF!,0))</f>
        <v>0</v>
      </c>
      <c r="AC433" s="120">
        <f>IF(+NFL!$F267="New Orleans",+NFL!#REF!,IF(+NFL!$H267="New Orleans",+NFL!#REF!,0))</f>
        <v>0</v>
      </c>
      <c r="AD433" s="353">
        <f>IF(+NFL!$F267="New Orleans",+NFL!#REF!,IF(+NFL!$H267="New Orleans",+NFL!#REF!,0))</f>
        <v>0</v>
      </c>
      <c r="AE433" s="379">
        <f>IF(+NFL!$F267="New Orleans",+NFL!#REF!,IF(+NFL!$H267="New Orleans",+NFL!#REF!,0))</f>
        <v>0</v>
      </c>
      <c r="AF433" s="353">
        <f>IF(+NFL!$F267="New Orleans",+NFL!#REF!,IF(+NFL!$H267="New Orleans",+NFL!#REF!,0))</f>
        <v>0</v>
      </c>
      <c r="AG433" s="379">
        <f>IF(+NFL!$F267="New Orleans",+NFL!#REF!,IF(+NFL!$H267="New Orleans",+NFL!#REF!,0))</f>
        <v>0</v>
      </c>
      <c r="AH433" s="353">
        <f>IF(+NFL!$F267="New Orleans",+NFL!#REF!,IF(+NFL!$H267="New Orleans",+NFL!#REF!,0))</f>
        <v>0</v>
      </c>
      <c r="AI433" s="379">
        <f>IF(+NFL!$F267="New Orleans",+NFL!#REF!,IF(+NFL!$H267="New Orleans",+NFL!#REF!,0))</f>
        <v>0</v>
      </c>
      <c r="AJ433" s="353">
        <f>IF(+NFL!$F267="New Orleans",+NFL!#REF!,IF(+NFL!$H267="New Orleans",+NFL!#REF!,0))</f>
        <v>0</v>
      </c>
      <c r="AK433" s="379">
        <f>IF(+NFL!$F267="New Orleans",+NFL!#REF!,IF(+NFL!$H267="New Orleans",+NFL!#REF!,0))</f>
        <v>0</v>
      </c>
      <c r="AL433" s="68">
        <f>IF(+NFL!$F267="New Orleans",+NFL!#REF!,IF(+NFL!$H267="New Orleans",+NFL!#REF!,0))</f>
        <v>0</v>
      </c>
      <c r="AM433" s="58">
        <f>IF(+NFL!$F267="New Orleans",+NFL!#REF!,IF(+NFL!$H267="New Orleans",+NFL!#REF!,0))</f>
        <v>0</v>
      </c>
      <c r="AN433" s="57">
        <f>IF(+NFL!$F267="New Orleans",+NFL!#REF!,IF(+NFL!$H267="New Orleans",+NFL!#REF!,0))</f>
        <v>0</v>
      </c>
      <c r="AO433" s="59">
        <f>IF(+NFL!$F267="New Orleans",+NFL!#REF!,IF(+NFL!$H267="New Orleans",+NFL!#REF!,0))</f>
        <v>0</v>
      </c>
      <c r="AP433" s="348">
        <f>IF(+NFL!$F267="New Orleans",+NFL!#REF!,IF(+NFL!$H267="New Orleans",+NFL!#REF!,0))</f>
        <v>0</v>
      </c>
      <c r="AQ433" s="48">
        <f>IF(+NFL!$F267="New Orleans",+NFL!#REF!,IF(+NFL!$H267="New Orleans",+NFL!#REF!,0))</f>
        <v>0</v>
      </c>
      <c r="AR433" s="57">
        <f>IF(+NFL!$F267="New Orleans",+NFL!#REF!,IF(+NFL!$H267="New Orleans",+NFL!#REF!,0))</f>
        <v>0</v>
      </c>
      <c r="AS433" s="64">
        <f>IF(+NFL!$F267="New Orleans",+NFL!#REF!,IF(+NFL!$H267="New Orleans",+NFL!#REF!,0))</f>
        <v>0</v>
      </c>
      <c r="AT433" s="64">
        <f>IF(+NFL!$F267="New Orleans",+NFL!#REF!,IF(+NFL!$H267="New Orleans",+NFL!#REF!,0))</f>
        <v>0</v>
      </c>
      <c r="AU433" s="57">
        <f>IF(+NFL!$F267="New Orleans",+NFL!#REF!,IF(+NFL!$H267="New Orleans",+NFL!#REF!,0))</f>
        <v>0</v>
      </c>
      <c r="AV433" s="64">
        <f>IF(+NFL!$F267="New Orleans",+NFL!#REF!,IF(+NFL!$H267="New Orleans",+NFL!#REF!,0))</f>
        <v>0</v>
      </c>
      <c r="AW433" s="46">
        <f>IF(+NFL!$F267="New Orleans",+NFL!#REF!,IF(+NFL!$H267="New Orleans",+NFL!#REF!,0))</f>
        <v>0</v>
      </c>
      <c r="AX433" s="64">
        <f>IF(+NFL!$F267="New Orleans",+NFL!#REF!,IF(+NFL!$H267="New Orleans",+NFL!#REF!,0))</f>
        <v>0</v>
      </c>
      <c r="AY433" s="57">
        <f>IF(+NFL!$F267="New Orleans",+NFL!#REF!,IF(+NFL!$H267="New Orleans",+NFL!#REF!,0))</f>
        <v>0</v>
      </c>
      <c r="AZ433" s="64">
        <f>IF(+NFL!$F267="New Orleans",+NFL!#REF!,IF(+NFL!$H267="New Orleans",+NFL!#REF!,0))</f>
        <v>0</v>
      </c>
      <c r="BA433" s="46">
        <f>IF(+NFL!$F267="New Orleans",+NFL!#REF!,IF(+NFL!$H267="New Orleans",+NFL!#REF!,0))</f>
        <v>0</v>
      </c>
      <c r="BB433" s="46">
        <f>IF(+NFL!$F267="New Orleans",+NFL!#REF!,IF(+NFL!$H267="New Orleans",+NFL!#REF!,0))</f>
        <v>0</v>
      </c>
      <c r="BC433" s="403">
        <f>IF(+NFL!$F267="New Orleans",+NFL!#REF!,IF(+NFL!$H267="New Orleans",+NFL!#REF!,0))</f>
        <v>0</v>
      </c>
      <c r="BD433" s="57">
        <f>IF(+NFL!$F267="New Orleans",+NFL!#REF!,IF(+NFL!$H267="New Orleans",+NFL!#REF!,0))</f>
        <v>0</v>
      </c>
      <c r="BE433" s="64">
        <f>IF(+NFL!$F267="New Orleans",+NFL!#REF!,IF(+NFL!$H267="New Orleans",+NFL!#REF!,0))</f>
        <v>0</v>
      </c>
      <c r="BF433" s="46">
        <f>IF(+NFL!$F267="New Orleans",+NFL!#REF!,IF(+NFL!$H267="New Orleans",+NFL!#REF!,0))</f>
        <v>0</v>
      </c>
      <c r="BG433" s="57">
        <f>IF(+NFL!$F267="New Orleans",+NFL!#REF!,IF(+NFL!$H267="New Orleans",+NFL!#REF!,0))</f>
        <v>0</v>
      </c>
      <c r="BH433" s="64">
        <f>IF(+NFL!$F267="New Orleans",+NFL!#REF!,IF(+NFL!$H267="New Orleans",+NFL!#REF!,0))</f>
        <v>0</v>
      </c>
      <c r="BI433" s="46">
        <f>IF(+NFL!$F267="New Orleans",+NFL!#REF!,IF(+NFL!$H267="New Orleans",+NFL!#REF!,0))</f>
        <v>0</v>
      </c>
      <c r="BJ433" s="87">
        <f>IF(+NFL!$F267="New Orleans",+NFL!#REF!,IF(+NFL!$H267="New Orleans",+NFL!#REF!,0))</f>
        <v>0</v>
      </c>
      <c r="BK433" s="120">
        <f>IF(+NFL!$F267="New Orleans",+NFL!#REF!,IF(+NFL!$H267="New Orleans",+NFL!#REF!,0))</f>
        <v>0</v>
      </c>
    </row>
    <row r="434" spans="1:63" s="246" customFormat="1" x14ac:dyDescent="0.8">
      <c r="A434" s="46">
        <f>IF(+NFL!$F285="New Orleans",+NFL!A285,IF(+NFL!$H285="New Orleans",+NFL!A285,0))</f>
        <v>16</v>
      </c>
      <c r="B434" s="348" t="str">
        <f>IF(+NFL!$F285="New Orleans",+NFL!B285,IF(+NFL!$H285="New Orleans",+NFL!B285,0))</f>
        <v>Sat</v>
      </c>
      <c r="C434" s="48">
        <f>IF(+NFL!$F285="New Orleans",+NFL!C285,IF(+NFL!$H285="New Orleans",+NFL!C285,0))</f>
        <v>44919</v>
      </c>
      <c r="D434" s="490">
        <f>IF(+NFL!$F285="New Orleans",+NFL!D285,IF(+NFL!$H285="New Orleans",+NFL!D285,0))</f>
        <v>0.54166666666666663</v>
      </c>
      <c r="E434" s="46" t="str">
        <f>IF(+NFL!$F285="New Orleans",+NFL!E285,IF(+NFL!$H285="New Orleans",+NFL!E285,0))</f>
        <v>Fox</v>
      </c>
      <c r="F434" s="127" t="str">
        <f>IF(+NFL!$F285="New Orleans",+NFL!F285,IF(+NFL!$H285="New Orleans",+NFL!F285,0))</f>
        <v>New Orleans</v>
      </c>
      <c r="G434" s="46" t="str">
        <f>IF(+NFL!$F285="New Orleans",+NFL!G285,IF(+NFL!$H285="New Orleans",+NFL!G285,0))</f>
        <v>NFCS</v>
      </c>
      <c r="H434" s="127" t="str">
        <f>IF(+NFL!$F285="New Orleans",+NFL!H285,IF(+NFL!$H285="New Orleans",+NFL!H285,0))</f>
        <v>Cleveland</v>
      </c>
      <c r="I434" s="46" t="str">
        <f>IF(+NFL!$F285="New Orleans",+NFL!I285,IF(+NFL!$H285="New Orleans",+NFL!I285,0))</f>
        <v>AFCN</v>
      </c>
      <c r="J434" s="353" t="str">
        <f>IF(+NFL!$F285="New Orleans",+NFL!J285,IF(+NFL!$H285="New Orleans",+NFL!J285,0))</f>
        <v>Cleveland</v>
      </c>
      <c r="K434" s="494" t="str">
        <f>IF(+NFL!$F285="New Orleans",+NFL!K285,IF(+NFL!$H285="New Orleans",+NFL!K285,0))</f>
        <v>New Orleans</v>
      </c>
      <c r="L434" s="384">
        <f>IF(+NFL!$F285="New Orleans",+NFL!L285,IF(+NFL!$H285="New Orleans",+NFL!L285,0))</f>
        <v>3.5</v>
      </c>
      <c r="M434" s="385">
        <f>IF(+NFL!$F285="New Orleans",+NFL!M285,IF(+NFL!$H285="New Orleans",+NFL!M285,0))</f>
        <v>32.5</v>
      </c>
      <c r="N434" s="394" t="str">
        <f>IF(+NFL!$F285="New Orleans",+NFL!N285,IF(+NFL!$H285="New Orleans",+NFL!N285,0))</f>
        <v>New Orleans</v>
      </c>
      <c r="O434" s="395">
        <f>IF(+NFL!$F285="New Orleans",+NFL!O285,IF(+NFL!$H285="New Orleans",+NFL!O285,0))</f>
        <v>17</v>
      </c>
      <c r="P434" s="394" t="str">
        <f>IF(+NFL!$F285="New Orleans",+NFL!P285,IF(+NFL!$H285="New Orleans",+NFL!P285,0))</f>
        <v>Cleveland</v>
      </c>
      <c r="Q434" s="396">
        <f>IF(+NFL!$F285="New Orleans",+NFL!Q285,IF(+NFL!$H285="New Orleans",+NFL!Q285,0))</f>
        <v>10</v>
      </c>
      <c r="R434" s="397" t="str">
        <f>IF(+NFL!$F285="New Orleans",+NFL!R285,IF(+NFL!$H285="New Orleans",+NFL!R285,0))</f>
        <v>New Orleans</v>
      </c>
      <c r="S434" s="396" t="str">
        <f>IF(+NFL!$F285="New Orleans",+NFL!S285,IF(+NFL!$H285="New Orleans",+NFL!S285,0))</f>
        <v>Cleveland</v>
      </c>
      <c r="T434" s="398">
        <f>IF(+NFL!$F285="New Orleans",+NFL!T285,IF(+NFL!$H285="New Orleans",+NFL!T285,0))</f>
        <v>0</v>
      </c>
      <c r="U434" s="396" t="str">
        <f>IF(+NFL!$F285="New Orleans",+NFL!U285,IF(+NFL!$H285="New Orleans",+NFL!U285,0))</f>
        <v>L</v>
      </c>
      <c r="V434" s="397" t="e">
        <f>IF(+NFL!#REF!="New Orleans",+NFL!#REF!,IF(+NFL!#REF!="New Orleans",+NFL!#REF!,0))</f>
        <v>#REF!</v>
      </c>
      <c r="W434" s="396" t="e">
        <f>IF(+NFL!#REF!="New Orleans",+NFL!#REF!,IF(+NFL!#REF!="New Orleans",+NFL!#REF!,0))</f>
        <v>#REF!</v>
      </c>
      <c r="X434" s="398" t="e">
        <f>IF(+NFL!#REF!="New Orleans",+NFL!#REF!,IF(+NFL!#REF!="New Orleans",+NFL!#REF!,0))</f>
        <v>#REF!</v>
      </c>
      <c r="Y434" s="396" t="e">
        <f>IF(+NFL!#REF!="New Orleans",+NFL!#REF!,IF(+NFL!#REF!="New Orleans",+NFL!#REF!,0))</f>
        <v>#REF!</v>
      </c>
      <c r="Z434" s="397" t="e">
        <f>IF(+NFL!#REF!="New Orleans",+NFL!#REF!,IF(+NFL!#REF!="New Orleans",+NFL!#REF!,0))</f>
        <v>#REF!</v>
      </c>
      <c r="AA434" s="396" t="e">
        <f>IF(+NFL!#REF!="New Orleans",+NFL!#REF!,IF(+NFL!#REF!="New Orleans",+NFL!#REF!,0))</f>
        <v>#REF!</v>
      </c>
      <c r="AB434" s="87" t="e">
        <f>IF(+NFL!#REF!="New Orleans",+NFL!#REF!,IF(+NFL!#REF!="New Orleans",+NFL!#REF!,0))</f>
        <v>#REF!</v>
      </c>
      <c r="AC434" s="120" t="e">
        <f>IF(+NFL!#REF!="New Orleans",+NFL!#REF!,IF(+NFL!#REF!="New Orleans",+NFL!#REF!,0))</f>
        <v>#REF!</v>
      </c>
      <c r="AD434" s="353" t="e">
        <f>IF(+NFL!#REF!="New Orleans",+NFL!#REF!,IF(+NFL!#REF!="New Orleans",+NFL!#REF!,0))</f>
        <v>#REF!</v>
      </c>
      <c r="AE434" s="379" t="e">
        <f>IF(+NFL!#REF!="New Orleans",+NFL!#REF!,IF(+NFL!#REF!="New Orleans",+NFL!#REF!,0))</f>
        <v>#REF!</v>
      </c>
      <c r="AF434" s="353" t="e">
        <f>IF(+NFL!#REF!="New Orleans",+NFL!#REF!,IF(+NFL!#REF!="New Orleans",+NFL!#REF!,0))</f>
        <v>#REF!</v>
      </c>
      <c r="AG434" s="379" t="e">
        <f>IF(+NFL!#REF!="New Orleans",+NFL!#REF!,IF(+NFL!#REF!="New Orleans",+NFL!#REF!,0))</f>
        <v>#REF!</v>
      </c>
      <c r="AH434" s="353" t="e">
        <f>IF(+NFL!#REF!="New Orleans",+NFL!#REF!,IF(+NFL!#REF!="New Orleans",+NFL!#REF!,0))</f>
        <v>#REF!</v>
      </c>
      <c r="AI434" s="379" t="e">
        <f>IF(+NFL!#REF!="New Orleans",+NFL!#REF!,IF(+NFL!#REF!="New Orleans",+NFL!#REF!,0))</f>
        <v>#REF!</v>
      </c>
      <c r="AJ434" s="353" t="e">
        <f>IF(+NFL!#REF!="New Orleans",+NFL!#REF!,IF(+NFL!#REF!="New Orleans",+NFL!#REF!,0))</f>
        <v>#REF!</v>
      </c>
      <c r="AK434" s="379" t="e">
        <f>IF(+NFL!#REF!="New Orleans",+NFL!#REF!,IF(+NFL!#REF!="New Orleans",+NFL!#REF!,0))</f>
        <v>#REF!</v>
      </c>
      <c r="AL434" s="68" t="e">
        <f>IF(+NFL!#REF!="New Orleans",+NFL!#REF!,IF(+NFL!#REF!="New Orleans",+NFL!#REF!,0))</f>
        <v>#REF!</v>
      </c>
      <c r="AM434" s="58" t="e">
        <f>IF(+NFL!#REF!="New Orleans",+NFL!#REF!,IF(+NFL!#REF!="New Orleans",+NFL!#REF!,0))</f>
        <v>#REF!</v>
      </c>
      <c r="AN434" s="57" t="e">
        <f>IF(+NFL!#REF!="New Orleans",+NFL!#REF!,IF(+NFL!#REF!="New Orleans",+NFL!#REF!,0))</f>
        <v>#REF!</v>
      </c>
      <c r="AO434" s="59" t="e">
        <f>IF(+NFL!#REF!="New Orleans",+NFL!#REF!,IF(+NFL!#REF!="New Orleans",+NFL!#REF!,0))</f>
        <v>#REF!</v>
      </c>
      <c r="AP434" s="348" t="e">
        <f>IF(+NFL!#REF!="New Orleans",+NFL!#REF!,IF(+NFL!#REF!="New Orleans",+NFL!#REF!,0))</f>
        <v>#REF!</v>
      </c>
      <c r="AQ434" s="48" t="e">
        <f>IF(+NFL!#REF!="New Orleans",+NFL!#REF!,IF(+NFL!#REF!="New Orleans",+NFL!#REF!,0))</f>
        <v>#REF!</v>
      </c>
      <c r="AR434" s="57" t="e">
        <f>IF(+NFL!#REF!="New Orleans",+NFL!#REF!,IF(+NFL!#REF!="New Orleans",+NFL!#REF!,0))</f>
        <v>#REF!</v>
      </c>
      <c r="AS434" s="64" t="e">
        <f>IF(+NFL!#REF!="New Orleans",+NFL!#REF!,IF(+NFL!#REF!="New Orleans",+NFL!#REF!,0))</f>
        <v>#REF!</v>
      </c>
      <c r="AT434" s="64" t="e">
        <f>IF(+NFL!#REF!="New Orleans",+NFL!#REF!,IF(+NFL!#REF!="New Orleans",+NFL!#REF!,0))</f>
        <v>#REF!</v>
      </c>
      <c r="AU434" s="57" t="e">
        <f>IF(+NFL!#REF!="New Orleans",+NFL!#REF!,IF(+NFL!#REF!="New Orleans",+NFL!#REF!,0))</f>
        <v>#REF!</v>
      </c>
      <c r="AV434" s="64" t="e">
        <f>IF(+NFL!#REF!="New Orleans",+NFL!#REF!,IF(+NFL!#REF!="New Orleans",+NFL!#REF!,0))</f>
        <v>#REF!</v>
      </c>
      <c r="AW434" s="46" t="e">
        <f>IF(+NFL!#REF!="New Orleans",+NFL!#REF!,IF(+NFL!#REF!="New Orleans",+NFL!#REF!,0))</f>
        <v>#REF!</v>
      </c>
      <c r="AX434" s="64" t="e">
        <f>IF(+NFL!#REF!="New Orleans",+NFL!#REF!,IF(+NFL!#REF!="New Orleans",+NFL!#REF!,0))</f>
        <v>#REF!</v>
      </c>
      <c r="AY434" s="57" t="e">
        <f>IF(+NFL!#REF!="New Orleans",+NFL!#REF!,IF(+NFL!#REF!="New Orleans",+NFL!#REF!,0))</f>
        <v>#REF!</v>
      </c>
      <c r="AZ434" s="64" t="e">
        <f>IF(+NFL!#REF!="New Orleans",+NFL!#REF!,IF(+NFL!#REF!="New Orleans",+NFL!#REF!,0))</f>
        <v>#REF!</v>
      </c>
      <c r="BA434" s="46" t="e">
        <f>IF(+NFL!#REF!="New Orleans",+NFL!#REF!,IF(+NFL!#REF!="New Orleans",+NFL!#REF!,0))</f>
        <v>#REF!</v>
      </c>
      <c r="BB434" s="46" t="e">
        <f>IF(+NFL!#REF!="New Orleans",+NFL!#REF!,IF(+NFL!#REF!="New Orleans",+NFL!#REF!,0))</f>
        <v>#REF!</v>
      </c>
      <c r="BC434" s="403" t="e">
        <f>IF(+NFL!#REF!="New Orleans",+NFL!#REF!,IF(+NFL!#REF!="New Orleans",+NFL!#REF!,0))</f>
        <v>#REF!</v>
      </c>
      <c r="BD434" s="57" t="e">
        <f>IF(+NFL!#REF!="New Orleans",+NFL!#REF!,IF(+NFL!#REF!="New Orleans",+NFL!#REF!,0))</f>
        <v>#REF!</v>
      </c>
      <c r="BE434" s="64" t="e">
        <f>IF(+NFL!#REF!="New Orleans",+NFL!#REF!,IF(+NFL!#REF!="New Orleans",+NFL!#REF!,0))</f>
        <v>#REF!</v>
      </c>
      <c r="BF434" s="46" t="e">
        <f>IF(+NFL!#REF!="New Orleans",+NFL!#REF!,IF(+NFL!#REF!="New Orleans",+NFL!#REF!,0))</f>
        <v>#REF!</v>
      </c>
      <c r="BG434" s="57" t="e">
        <f>IF(+NFL!#REF!="New Orleans",+NFL!#REF!,IF(+NFL!#REF!="New Orleans",+NFL!#REF!,0))</f>
        <v>#REF!</v>
      </c>
      <c r="BH434" s="64" t="e">
        <f>IF(+NFL!#REF!="New Orleans",+NFL!#REF!,IF(+NFL!#REF!="New Orleans",+NFL!#REF!,0))</f>
        <v>#REF!</v>
      </c>
      <c r="BI434" s="46" t="e">
        <f>IF(+NFL!#REF!="New Orleans",+NFL!#REF!,IF(+NFL!#REF!="New Orleans",+NFL!#REF!,0))</f>
        <v>#REF!</v>
      </c>
      <c r="BJ434" s="87" t="e">
        <f>IF(+NFL!#REF!="New Orleans",+NFL!#REF!,IF(+NFL!#REF!="New Orleans",+NFL!#REF!,0))</f>
        <v>#REF!</v>
      </c>
      <c r="BK434" s="120" t="e">
        <f>IF(+NFL!#REF!="New Orleans",+NFL!#REF!,IF(+NFL!#REF!="New Orleans",+NFL!#REF!,0))</f>
        <v>#REF!</v>
      </c>
    </row>
    <row r="435" spans="1:63" s="246" customFormat="1" x14ac:dyDescent="0.8">
      <c r="A435" s="46">
        <f>IF(+NFL!$F306="New Orleans",+NFL!A306,IF(+NFL!$H306="New Orleans",+NFL!A306,0))</f>
        <v>17</v>
      </c>
      <c r="B435" s="348" t="str">
        <f>IF(+NFL!$F306="New Orleans",+NFL!B306,IF(+NFL!$H306="New Orleans",+NFL!B306,0))</f>
        <v>Sun</v>
      </c>
      <c r="C435" s="48">
        <f>IF(+NFL!$F306="New Orleans",+NFL!C306,IF(+NFL!$H306="New Orleans",+NFL!C306,0))</f>
        <v>44927</v>
      </c>
      <c r="D435" s="490">
        <f>IF(+NFL!$F306="New Orleans",+NFL!D306,IF(+NFL!$H306="New Orleans",+NFL!D306,0))</f>
        <v>0.54166666666666663</v>
      </c>
      <c r="E435" s="46" t="str">
        <f>IF(+NFL!$F306="New Orleans",+NFL!E306,IF(+NFL!$H306="New Orleans",+NFL!E306,0))</f>
        <v>Fox</v>
      </c>
      <c r="F435" s="127" t="str">
        <f>IF(+NFL!$F306="New Orleans",+NFL!F306,IF(+NFL!$H306="New Orleans",+NFL!F306,0))</f>
        <v>New Orleans</v>
      </c>
      <c r="G435" s="46" t="str">
        <f>IF(+NFL!$F306="New Orleans",+NFL!G306,IF(+NFL!$H306="New Orleans",+NFL!G306,0))</f>
        <v>NFCS</v>
      </c>
      <c r="H435" s="127" t="str">
        <f>IF(+NFL!$F306="New Orleans",+NFL!H306,IF(+NFL!$H306="New Orleans",+NFL!H306,0))</f>
        <v>Philadelphia</v>
      </c>
      <c r="I435" s="46" t="str">
        <f>IF(+NFL!$F306="New Orleans",+NFL!I306,IF(+NFL!$H306="New Orleans",+NFL!I306,0))</f>
        <v>NFCE</v>
      </c>
      <c r="J435" s="353" t="str">
        <f>IF(+NFL!$F306="New Orleans",+NFL!J306,IF(+NFL!$H306="New Orleans",+NFL!J306,0))</f>
        <v>Philadelphia</v>
      </c>
      <c r="K435" s="494" t="str">
        <f>IF(+NFL!$F306="New Orleans",+NFL!K306,IF(+NFL!$H306="New Orleans",+NFL!K306,0))</f>
        <v>New Orleans</v>
      </c>
      <c r="L435" s="384">
        <f>IF(+NFL!$F306="New Orleans",+NFL!L306,IF(+NFL!$H306="New Orleans",+NFL!L306,0))</f>
        <v>4.5</v>
      </c>
      <c r="M435" s="385">
        <f>IF(+NFL!$F306="New Orleans",+NFL!M306,IF(+NFL!$H306="New Orleans",+NFL!M306,0))</f>
        <v>41.5</v>
      </c>
      <c r="N435" s="394" t="str">
        <f>IF(+NFL!$F306="New Orleans",+NFL!N306,IF(+NFL!$H306="New Orleans",+NFL!N306,0))</f>
        <v>New Orleans</v>
      </c>
      <c r="O435" s="395">
        <f>IF(+NFL!$F306="New Orleans",+NFL!O306,IF(+NFL!$H306="New Orleans",+NFL!O306,0))</f>
        <v>20</v>
      </c>
      <c r="P435" s="394" t="str">
        <f>IF(+NFL!$F306="New Orleans",+NFL!P306,IF(+NFL!$H306="New Orleans",+NFL!P306,0))</f>
        <v>Philadelphia</v>
      </c>
      <c r="Q435" s="396">
        <f>IF(+NFL!$F306="New Orleans",+NFL!Q306,IF(+NFL!$H306="New Orleans",+NFL!Q306,0))</f>
        <v>10</v>
      </c>
      <c r="R435" s="397" t="str">
        <f>IF(+NFL!$F306="New Orleans",+NFL!R306,IF(+NFL!$H306="New Orleans",+NFL!R306,0))</f>
        <v>New Orleans</v>
      </c>
      <c r="S435" s="396" t="str">
        <f>IF(+NFL!$F306="New Orleans",+NFL!S306,IF(+NFL!$H306="New Orleans",+NFL!S306,0))</f>
        <v>Philadelphia</v>
      </c>
      <c r="T435" s="398">
        <f>IF(+NFL!$F306="New Orleans",+NFL!T306,IF(+NFL!$H306="New Orleans",+NFL!T306,0))</f>
        <v>0</v>
      </c>
      <c r="U435" s="396" t="str">
        <f>IF(+NFL!$F306="New Orleans",+NFL!U306,IF(+NFL!$H306="New Orleans",+NFL!U306,0))</f>
        <v>L</v>
      </c>
      <c r="V435" s="397" t="e">
        <f>IF(+NFL!#REF!="New Orleans",+NFL!#REF!,IF(+NFL!#REF!="New Orleans",+NFL!#REF!,0))</f>
        <v>#REF!</v>
      </c>
      <c r="W435" s="396" t="e">
        <f>IF(+NFL!#REF!="New Orleans",+NFL!#REF!,IF(+NFL!#REF!="New Orleans",+NFL!#REF!,0))</f>
        <v>#REF!</v>
      </c>
      <c r="X435" s="398" t="e">
        <f>IF(+NFL!#REF!="New Orleans",+NFL!#REF!,IF(+NFL!#REF!="New Orleans",+NFL!#REF!,0))</f>
        <v>#REF!</v>
      </c>
      <c r="Y435" s="396" t="e">
        <f>IF(+NFL!#REF!="New Orleans",+NFL!#REF!,IF(+NFL!#REF!="New Orleans",+NFL!#REF!,0))</f>
        <v>#REF!</v>
      </c>
      <c r="Z435" s="397" t="e">
        <f>IF(+NFL!#REF!="New Orleans",+NFL!#REF!,IF(+NFL!#REF!="New Orleans",+NFL!#REF!,0))</f>
        <v>#REF!</v>
      </c>
      <c r="AA435" s="396" t="e">
        <f>IF(+NFL!#REF!="New Orleans",+NFL!#REF!,IF(+NFL!#REF!="New Orleans",+NFL!#REF!,0))</f>
        <v>#REF!</v>
      </c>
      <c r="AB435" s="87" t="e">
        <f>IF(+NFL!#REF!="New Orleans",+NFL!#REF!,IF(+NFL!#REF!="New Orleans",+NFL!#REF!,0))</f>
        <v>#REF!</v>
      </c>
      <c r="AC435" s="120" t="e">
        <f>IF(+NFL!#REF!="New Orleans",+NFL!#REF!,IF(+NFL!#REF!="New Orleans",+NFL!#REF!,0))</f>
        <v>#REF!</v>
      </c>
      <c r="AD435" s="353" t="e">
        <f>IF(+NFL!#REF!="New Orleans",+NFL!#REF!,IF(+NFL!#REF!="New Orleans",+NFL!#REF!,0))</f>
        <v>#REF!</v>
      </c>
      <c r="AE435" s="379" t="e">
        <f>IF(+NFL!#REF!="New Orleans",+NFL!#REF!,IF(+NFL!#REF!="New Orleans",+NFL!#REF!,0))</f>
        <v>#REF!</v>
      </c>
      <c r="AF435" s="353" t="e">
        <f>IF(+NFL!#REF!="New Orleans",+NFL!#REF!,IF(+NFL!#REF!="New Orleans",+NFL!#REF!,0))</f>
        <v>#REF!</v>
      </c>
      <c r="AG435" s="379" t="e">
        <f>IF(+NFL!#REF!="New Orleans",+NFL!#REF!,IF(+NFL!#REF!="New Orleans",+NFL!#REF!,0))</f>
        <v>#REF!</v>
      </c>
      <c r="AH435" s="353" t="e">
        <f>IF(+NFL!#REF!="New Orleans",+NFL!#REF!,IF(+NFL!#REF!="New Orleans",+NFL!#REF!,0))</f>
        <v>#REF!</v>
      </c>
      <c r="AI435" s="379" t="e">
        <f>IF(+NFL!#REF!="New Orleans",+NFL!#REF!,IF(+NFL!#REF!="New Orleans",+NFL!#REF!,0))</f>
        <v>#REF!</v>
      </c>
      <c r="AJ435" s="353" t="e">
        <f>IF(+NFL!#REF!="New Orleans",+NFL!#REF!,IF(+NFL!#REF!="New Orleans",+NFL!#REF!,0))</f>
        <v>#REF!</v>
      </c>
      <c r="AK435" s="379" t="e">
        <f>IF(+NFL!#REF!="New Orleans",+NFL!#REF!,IF(+NFL!#REF!="New Orleans",+NFL!#REF!,0))</f>
        <v>#REF!</v>
      </c>
      <c r="AL435" s="68" t="e">
        <f>IF(+NFL!#REF!="New Orleans",+NFL!#REF!,IF(+NFL!#REF!="New Orleans",+NFL!#REF!,0))</f>
        <v>#REF!</v>
      </c>
      <c r="AM435" s="58" t="e">
        <f>IF(+NFL!#REF!="New Orleans",+NFL!#REF!,IF(+NFL!#REF!="New Orleans",+NFL!#REF!,0))</f>
        <v>#REF!</v>
      </c>
      <c r="AN435" s="57" t="e">
        <f>IF(+NFL!#REF!="New Orleans",+NFL!#REF!,IF(+NFL!#REF!="New Orleans",+NFL!#REF!,0))</f>
        <v>#REF!</v>
      </c>
      <c r="AO435" s="59" t="e">
        <f>IF(+NFL!#REF!="New Orleans",+NFL!#REF!,IF(+NFL!#REF!="New Orleans",+NFL!#REF!,0))</f>
        <v>#REF!</v>
      </c>
      <c r="AP435" s="348" t="e">
        <f>IF(+NFL!#REF!="New Orleans",+NFL!#REF!,IF(+NFL!#REF!="New Orleans",+NFL!#REF!,0))</f>
        <v>#REF!</v>
      </c>
      <c r="AQ435" s="48" t="e">
        <f>IF(+NFL!#REF!="New Orleans",+NFL!#REF!,IF(+NFL!#REF!="New Orleans",+NFL!#REF!,0))</f>
        <v>#REF!</v>
      </c>
      <c r="AR435" s="57" t="e">
        <f>IF(+NFL!#REF!="New Orleans",+NFL!#REF!,IF(+NFL!#REF!="New Orleans",+NFL!#REF!,0))</f>
        <v>#REF!</v>
      </c>
      <c r="AS435" s="64" t="e">
        <f>IF(+NFL!#REF!="New Orleans",+NFL!#REF!,IF(+NFL!#REF!="New Orleans",+NFL!#REF!,0))</f>
        <v>#REF!</v>
      </c>
      <c r="AT435" s="64" t="e">
        <f>IF(+NFL!#REF!="New Orleans",+NFL!#REF!,IF(+NFL!#REF!="New Orleans",+NFL!#REF!,0))</f>
        <v>#REF!</v>
      </c>
      <c r="AU435" s="57" t="e">
        <f>IF(+NFL!#REF!="New Orleans",+NFL!#REF!,IF(+NFL!#REF!="New Orleans",+NFL!#REF!,0))</f>
        <v>#REF!</v>
      </c>
      <c r="AV435" s="64" t="e">
        <f>IF(+NFL!#REF!="New Orleans",+NFL!#REF!,IF(+NFL!#REF!="New Orleans",+NFL!#REF!,0))</f>
        <v>#REF!</v>
      </c>
      <c r="AW435" s="46" t="e">
        <f>IF(+NFL!#REF!="New Orleans",+NFL!#REF!,IF(+NFL!#REF!="New Orleans",+NFL!#REF!,0))</f>
        <v>#REF!</v>
      </c>
      <c r="AX435" s="64" t="e">
        <f>IF(+NFL!#REF!="New Orleans",+NFL!#REF!,IF(+NFL!#REF!="New Orleans",+NFL!#REF!,0))</f>
        <v>#REF!</v>
      </c>
      <c r="AY435" s="57" t="e">
        <f>IF(+NFL!#REF!="New Orleans",+NFL!#REF!,IF(+NFL!#REF!="New Orleans",+NFL!#REF!,0))</f>
        <v>#REF!</v>
      </c>
      <c r="AZ435" s="64" t="e">
        <f>IF(+NFL!#REF!="New Orleans",+NFL!#REF!,IF(+NFL!#REF!="New Orleans",+NFL!#REF!,0))</f>
        <v>#REF!</v>
      </c>
      <c r="BA435" s="46" t="e">
        <f>IF(+NFL!#REF!="New Orleans",+NFL!#REF!,IF(+NFL!#REF!="New Orleans",+NFL!#REF!,0))</f>
        <v>#REF!</v>
      </c>
      <c r="BB435" s="46" t="e">
        <f>IF(+NFL!#REF!="New Orleans",+NFL!#REF!,IF(+NFL!#REF!="New Orleans",+NFL!#REF!,0))</f>
        <v>#REF!</v>
      </c>
      <c r="BC435" s="403" t="e">
        <f>IF(+NFL!#REF!="New Orleans",+NFL!#REF!,IF(+NFL!#REF!="New Orleans",+NFL!#REF!,0))</f>
        <v>#REF!</v>
      </c>
      <c r="BD435" s="57" t="e">
        <f>IF(+NFL!#REF!="New Orleans",+NFL!#REF!,IF(+NFL!#REF!="New Orleans",+NFL!#REF!,0))</f>
        <v>#REF!</v>
      </c>
      <c r="BE435" s="64" t="e">
        <f>IF(+NFL!#REF!="New Orleans",+NFL!#REF!,IF(+NFL!#REF!="New Orleans",+NFL!#REF!,0))</f>
        <v>#REF!</v>
      </c>
      <c r="BF435" s="46" t="e">
        <f>IF(+NFL!#REF!="New Orleans",+NFL!#REF!,IF(+NFL!#REF!="New Orleans",+NFL!#REF!,0))</f>
        <v>#REF!</v>
      </c>
      <c r="BG435" s="57" t="e">
        <f>IF(+NFL!#REF!="New Orleans",+NFL!#REF!,IF(+NFL!#REF!="New Orleans",+NFL!#REF!,0))</f>
        <v>#REF!</v>
      </c>
      <c r="BH435" s="64" t="e">
        <f>IF(+NFL!#REF!="New Orleans",+NFL!#REF!,IF(+NFL!#REF!="New Orleans",+NFL!#REF!,0))</f>
        <v>#REF!</v>
      </c>
      <c r="BI435" s="46" t="e">
        <f>IF(+NFL!#REF!="New Orleans",+NFL!#REF!,IF(+NFL!#REF!="New Orleans",+NFL!#REF!,0))</f>
        <v>#REF!</v>
      </c>
      <c r="BJ435" s="87" t="e">
        <f>IF(+NFL!#REF!="New Orleans",+NFL!#REF!,IF(+NFL!#REF!="New Orleans",+NFL!#REF!,0))</f>
        <v>#REF!</v>
      </c>
      <c r="BK435" s="120" t="e">
        <f>IF(+NFL!#REF!="New Orleans",+NFL!#REF!,IF(+NFL!#REF!="New Orleans",+NFL!#REF!,0))</f>
        <v>#REF!</v>
      </c>
    </row>
    <row r="436" spans="1:63" s="246" customFormat="1" x14ac:dyDescent="0.8">
      <c r="A436" s="46">
        <f>IF(+NFL!$F325="New Orleans",+NFL!A325,IF(+NFL!$H325="New Orleans",+NFL!A325,0))</f>
        <v>0</v>
      </c>
      <c r="B436" s="348">
        <f>IF(+NFL!$F325="New Orleans",+NFL!B325,IF(+NFL!$H325="New Orleans",+NFL!B325,0))</f>
        <v>0</v>
      </c>
      <c r="C436" s="48">
        <f>IF(+NFL!$F325="New Orleans",+NFL!C325,IF(+NFL!$H325="New Orleans",+NFL!C325,0))</f>
        <v>0</v>
      </c>
      <c r="D436" s="490">
        <f>IF(+NFL!$F325="New Orleans",+NFL!D325,IF(+NFL!$H325="New Orleans",+NFL!D325,0))</f>
        <v>0</v>
      </c>
      <c r="E436" s="46">
        <f>IF(+NFL!$F325="New Orleans",+NFL!E325,IF(+NFL!$H325="New Orleans",+NFL!E325,0))</f>
        <v>0</v>
      </c>
      <c r="F436" s="127">
        <f>IF(+NFL!$F325="New Orleans",+NFL!F325,IF(+NFL!$H325="New Orleans",+NFL!F325,0))</f>
        <v>0</v>
      </c>
      <c r="G436" s="46">
        <f>IF(+NFL!$F325="New Orleans",+NFL!G325,IF(+NFL!$H325="New Orleans",+NFL!G325,0))</f>
        <v>0</v>
      </c>
      <c r="H436" s="127">
        <f>IF(+NFL!$F325="New Orleans",+NFL!H325,IF(+NFL!$H325="New Orleans",+NFL!H325,0))</f>
        <v>0</v>
      </c>
      <c r="I436" s="46">
        <f>IF(+NFL!$F325="New Orleans",+NFL!I325,IF(+NFL!$H325="New Orleans",+NFL!I325,0))</f>
        <v>0</v>
      </c>
      <c r="J436" s="353">
        <f>IF(+NFL!$F325="New Orleans",+NFL!J325,IF(+NFL!$H325="New Orleans",+NFL!J325,0))</f>
        <v>0</v>
      </c>
      <c r="K436" s="494">
        <f>IF(+NFL!$F325="New Orleans",+NFL!K325,IF(+NFL!$H325="New Orleans",+NFL!K325,0))</f>
        <v>0</v>
      </c>
      <c r="L436" s="384">
        <f>IF(+NFL!$F325="New Orleans",+NFL!L325,IF(+NFL!$H325="New Orleans",+NFL!L325,0))</f>
        <v>0</v>
      </c>
      <c r="M436" s="385">
        <f>IF(+NFL!$F325="New Orleans",+NFL!M325,IF(+NFL!$H325="New Orleans",+NFL!M325,0))</f>
        <v>0</v>
      </c>
      <c r="N436" s="394">
        <f>IF(+NFL!$F325="New Orleans",+NFL!N325,IF(+NFL!$H325="New Orleans",+NFL!N325,0))</f>
        <v>0</v>
      </c>
      <c r="O436" s="395">
        <f>IF(+NFL!$F325="New Orleans",+NFL!O325,IF(+NFL!$H325="New Orleans",+NFL!O325,0))</f>
        <v>0</v>
      </c>
      <c r="P436" s="394">
        <f>IF(+NFL!$F325="New Orleans",+NFL!P325,IF(+NFL!$H325="New Orleans",+NFL!P325,0))</f>
        <v>0</v>
      </c>
      <c r="Q436" s="396">
        <f>IF(+NFL!$F325="New Orleans",+NFL!Q325,IF(+NFL!$H325="New Orleans",+NFL!Q325,0))</f>
        <v>0</v>
      </c>
      <c r="R436" s="397">
        <f>IF(+NFL!$F325="New Orleans",+NFL!R325,IF(+NFL!$H325="New Orleans",+NFL!R325,0))</f>
        <v>0</v>
      </c>
      <c r="S436" s="396">
        <f>IF(+NFL!$F325="New Orleans",+NFL!S325,IF(+NFL!$H325="New Orleans",+NFL!S325,0))</f>
        <v>0</v>
      </c>
      <c r="T436" s="398">
        <f>IF(+NFL!$F325="New Orleans",+NFL!T325,IF(+NFL!$H325="New Orleans",+NFL!T325,0))</f>
        <v>0</v>
      </c>
      <c r="U436" s="396">
        <f>IF(+NFL!$F325="New Orleans",+NFL!U325,IF(+NFL!$H325="New Orleans",+NFL!U325,0))</f>
        <v>0</v>
      </c>
      <c r="V436" s="397">
        <f>IF(+NFL!$F325="New Orleans",+NFL!#REF!,IF(+NFL!$H325="New Orleans",+NFL!#REF!,0))</f>
        <v>0</v>
      </c>
      <c r="W436" s="396">
        <f>IF(+NFL!$F325="New Orleans",+NFL!#REF!,IF(+NFL!$H325="New Orleans",+NFL!#REF!,0))</f>
        <v>0</v>
      </c>
      <c r="X436" s="398">
        <f>IF(+NFL!$F325="New Orleans",+NFL!#REF!,IF(+NFL!$H325="New Orleans",+NFL!#REF!,0))</f>
        <v>0</v>
      </c>
      <c r="Y436" s="396">
        <f>IF(+NFL!$F325="New Orleans",+NFL!#REF!,IF(+NFL!$H325="New Orleans",+NFL!#REF!,0))</f>
        <v>0</v>
      </c>
      <c r="Z436" s="397">
        <f>IF(+NFL!$F325="New Orleans",+NFL!#REF!,IF(+NFL!$H325="New Orleans",+NFL!#REF!,0))</f>
        <v>0</v>
      </c>
      <c r="AA436" s="396">
        <f>IF(+NFL!$F325="New Orleans",+NFL!#REF!,IF(+NFL!$H325="New Orleans",+NFL!#REF!,0))</f>
        <v>0</v>
      </c>
      <c r="AB436" s="87">
        <f>IF(+NFL!$F325="New Orleans",+NFL!#REF!,IF(+NFL!$H325="New Orleans",+NFL!#REF!,0))</f>
        <v>0</v>
      </c>
      <c r="AC436" s="120">
        <f>IF(+NFL!$F325="New Orleans",+NFL!#REF!,IF(+NFL!$H325="New Orleans",+NFL!#REF!,0))</f>
        <v>0</v>
      </c>
      <c r="AD436" s="353">
        <f>IF(+NFL!$F325="New Orleans",+NFL!#REF!,IF(+NFL!$H325="New Orleans",+NFL!#REF!,0))</f>
        <v>0</v>
      </c>
      <c r="AE436" s="379">
        <f>IF(+NFL!$F325="New Orleans",+NFL!#REF!,IF(+NFL!$H325="New Orleans",+NFL!#REF!,0))</f>
        <v>0</v>
      </c>
      <c r="AF436" s="353">
        <f>IF(+NFL!$F325="New Orleans",+NFL!#REF!,IF(+NFL!$H325="New Orleans",+NFL!#REF!,0))</f>
        <v>0</v>
      </c>
      <c r="AG436" s="379">
        <f>IF(+NFL!$F325="New Orleans",+NFL!#REF!,IF(+NFL!$H325="New Orleans",+NFL!#REF!,0))</f>
        <v>0</v>
      </c>
      <c r="AH436" s="353">
        <f>IF(+NFL!$F325="New Orleans",+NFL!#REF!,IF(+NFL!$H325="New Orleans",+NFL!#REF!,0))</f>
        <v>0</v>
      </c>
      <c r="AI436" s="379">
        <f>IF(+NFL!$F325="New Orleans",+NFL!#REF!,IF(+NFL!$H325="New Orleans",+NFL!#REF!,0))</f>
        <v>0</v>
      </c>
      <c r="AJ436" s="353">
        <f>IF(+NFL!$F325="New Orleans",+NFL!#REF!,IF(+NFL!$H325="New Orleans",+NFL!#REF!,0))</f>
        <v>0</v>
      </c>
      <c r="AK436" s="379">
        <f>IF(+NFL!$F325="New Orleans",+NFL!#REF!,IF(+NFL!$H325="New Orleans",+NFL!#REF!,0))</f>
        <v>0</v>
      </c>
      <c r="AL436" s="68">
        <f>IF(+NFL!$F325="New Orleans",+NFL!#REF!,IF(+NFL!$H325="New Orleans",+NFL!#REF!,0))</f>
        <v>0</v>
      </c>
      <c r="AM436" s="58">
        <f>IF(+NFL!$F325="New Orleans",+NFL!#REF!,IF(+NFL!$H325="New Orleans",+NFL!#REF!,0))</f>
        <v>0</v>
      </c>
      <c r="AN436" s="57">
        <f>IF(+NFL!$F325="New Orleans",+NFL!#REF!,IF(+NFL!$H325="New Orleans",+NFL!#REF!,0))</f>
        <v>0</v>
      </c>
      <c r="AO436" s="59">
        <f>IF(+NFL!$F325="New Orleans",+NFL!#REF!,IF(+NFL!$H325="New Orleans",+NFL!#REF!,0))</f>
        <v>0</v>
      </c>
      <c r="AP436" s="348">
        <f>IF(+NFL!$F325="New Orleans",+NFL!#REF!,IF(+NFL!$H325="New Orleans",+NFL!#REF!,0))</f>
        <v>0</v>
      </c>
      <c r="AQ436" s="48">
        <f>IF(+NFL!$F325="New Orleans",+NFL!#REF!,IF(+NFL!$H325="New Orleans",+NFL!#REF!,0))</f>
        <v>0</v>
      </c>
      <c r="AR436" s="57">
        <f>IF(+NFL!$F325="New Orleans",+NFL!#REF!,IF(+NFL!$H325="New Orleans",+NFL!#REF!,0))</f>
        <v>0</v>
      </c>
      <c r="AS436" s="64">
        <f>IF(+NFL!$F325="New Orleans",+NFL!#REF!,IF(+NFL!$H325="New Orleans",+NFL!#REF!,0))</f>
        <v>0</v>
      </c>
      <c r="AT436" s="64">
        <f>IF(+NFL!$F325="New Orleans",+NFL!#REF!,IF(+NFL!$H325="New Orleans",+NFL!#REF!,0))</f>
        <v>0</v>
      </c>
      <c r="AU436" s="57">
        <f>IF(+NFL!$F325="New Orleans",+NFL!#REF!,IF(+NFL!$H325="New Orleans",+NFL!#REF!,0))</f>
        <v>0</v>
      </c>
      <c r="AV436" s="64">
        <f>IF(+NFL!$F325="New Orleans",+NFL!#REF!,IF(+NFL!$H325="New Orleans",+NFL!#REF!,0))</f>
        <v>0</v>
      </c>
      <c r="AW436" s="46">
        <f>IF(+NFL!$F325="New Orleans",+NFL!#REF!,IF(+NFL!$H325="New Orleans",+NFL!#REF!,0))</f>
        <v>0</v>
      </c>
      <c r="AX436" s="64">
        <f>IF(+NFL!$F325="New Orleans",+NFL!#REF!,IF(+NFL!$H325="New Orleans",+NFL!#REF!,0))</f>
        <v>0</v>
      </c>
      <c r="AY436" s="57">
        <f>IF(+NFL!$F325="New Orleans",+NFL!#REF!,IF(+NFL!$H325="New Orleans",+NFL!#REF!,0))</f>
        <v>0</v>
      </c>
      <c r="AZ436" s="64">
        <f>IF(+NFL!$F325="New Orleans",+NFL!#REF!,IF(+NFL!$H325="New Orleans",+NFL!#REF!,0))</f>
        <v>0</v>
      </c>
      <c r="BA436" s="46">
        <f>IF(+NFL!$F325="New Orleans",+NFL!#REF!,IF(+NFL!$H325="New Orleans",+NFL!#REF!,0))</f>
        <v>0</v>
      </c>
      <c r="BB436" s="46">
        <f>IF(+NFL!$F325="New Orleans",+NFL!#REF!,IF(+NFL!$H325="New Orleans",+NFL!#REF!,0))</f>
        <v>0</v>
      </c>
      <c r="BC436" s="403">
        <f>IF(+NFL!$F325="New Orleans",+NFL!#REF!,IF(+NFL!$H325="New Orleans",+NFL!#REF!,0))</f>
        <v>0</v>
      </c>
      <c r="BD436" s="57">
        <f>IF(+NFL!$F325="New Orleans",+NFL!#REF!,IF(+NFL!$H325="New Orleans",+NFL!#REF!,0))</f>
        <v>0</v>
      </c>
      <c r="BE436" s="64">
        <f>IF(+NFL!$F325="New Orleans",+NFL!#REF!,IF(+NFL!$H325="New Orleans",+NFL!#REF!,0))</f>
        <v>0</v>
      </c>
      <c r="BF436" s="46">
        <f>IF(+NFL!$F325="New Orleans",+NFL!#REF!,IF(+NFL!$H325="New Orleans",+NFL!#REF!,0))</f>
        <v>0</v>
      </c>
      <c r="BG436" s="57">
        <f>IF(+NFL!$F325="New Orleans",+NFL!#REF!,IF(+NFL!$H325="New Orleans",+NFL!#REF!,0))</f>
        <v>0</v>
      </c>
      <c r="BH436" s="64">
        <f>IF(+NFL!$F325="New Orleans",+NFL!#REF!,IF(+NFL!$H325="New Orleans",+NFL!#REF!,0))</f>
        <v>0</v>
      </c>
      <c r="BI436" s="46">
        <f>IF(+NFL!$F325="New Orleans",+NFL!#REF!,IF(+NFL!$H325="New Orleans",+NFL!#REF!,0))</f>
        <v>0</v>
      </c>
      <c r="BJ436" s="87">
        <f>IF(+NFL!$F325="New Orleans",+NFL!#REF!,IF(+NFL!$H325="New Orleans",+NFL!#REF!,0))</f>
        <v>0</v>
      </c>
      <c r="BK436" s="120">
        <f>IF(+NFL!$F325="New Orleans",+NFL!#REF!,IF(+NFL!$H325="New Orleans",+NFL!#REF!,0))</f>
        <v>0</v>
      </c>
    </row>
    <row r="437" spans="1:63" s="246" customFormat="1" x14ac:dyDescent="0.8">
      <c r="A437" s="46"/>
      <c r="B437" s="348"/>
      <c r="C437" s="48"/>
      <c r="D437" s="49"/>
      <c r="E437" s="46"/>
      <c r="F437" s="959" t="str">
        <f>F438</f>
        <v>NY Giants</v>
      </c>
      <c r="G437" s="960"/>
      <c r="H437" s="960"/>
      <c r="I437" s="961"/>
      <c r="J437" s="353"/>
      <c r="K437" s="364"/>
      <c r="L437" s="384"/>
      <c r="M437" s="385"/>
      <c r="N437" s="394"/>
      <c r="O437" s="395"/>
      <c r="P437" s="394"/>
      <c r="Q437" s="396"/>
      <c r="R437" s="397"/>
      <c r="S437" s="396"/>
      <c r="T437" s="398"/>
      <c r="U437" s="396"/>
      <c r="V437" s="397"/>
      <c r="W437" s="396"/>
      <c r="X437" s="398"/>
      <c r="Y437" s="396"/>
      <c r="Z437" s="397"/>
      <c r="AA437" s="396"/>
      <c r="AB437" s="87"/>
      <c r="AC437" s="120"/>
      <c r="AD437" s="353"/>
      <c r="AE437" s="379"/>
      <c r="AF437" s="353"/>
      <c r="AG437" s="379"/>
      <c r="AH437" s="353"/>
      <c r="AI437" s="379"/>
      <c r="AJ437" s="353"/>
      <c r="AK437" s="379"/>
      <c r="AL437" s="68"/>
      <c r="AM437" s="58"/>
      <c r="AN437" s="57"/>
      <c r="AO437" s="59"/>
      <c r="AP437" s="348"/>
      <c r="AQ437" s="348"/>
      <c r="AR437" s="57"/>
      <c r="AS437" s="64"/>
      <c r="AT437" s="64"/>
      <c r="AU437" s="57"/>
      <c r="AV437" s="64"/>
      <c r="AW437" s="46"/>
      <c r="AX437" s="64"/>
      <c r="AY437" s="57"/>
      <c r="AZ437" s="64"/>
      <c r="BA437" s="46"/>
      <c r="BB437" s="46"/>
      <c r="BC437" s="348"/>
      <c r="BD437" s="57"/>
      <c r="BE437" s="64"/>
      <c r="BF437" s="46"/>
      <c r="BG437" s="57"/>
      <c r="BH437" s="64"/>
      <c r="BI437" s="46"/>
      <c r="BJ437" s="87"/>
      <c r="BK437" s="120"/>
    </row>
    <row r="438" spans="1:63" s="246" customFormat="1" x14ac:dyDescent="0.8">
      <c r="A438" s="46">
        <f>IF(+NFL!$F14="NY Giants",+NFL!A14,IF(+NFL!$H14="NY Giants",+NFL!A14,0))</f>
        <v>1</v>
      </c>
      <c r="B438" s="348" t="str">
        <f>IF(+NFL!$F14="NY Giants",+NFL!B14,IF(+NFL!$H14="NY Giants",+NFL!B14,0))</f>
        <v>Sun</v>
      </c>
      <c r="C438" s="48">
        <f>IF(+NFL!$F14="NY Giants",+NFL!C14,IF(+NFL!$H14="NY Giants",+NFL!C14,0))</f>
        <v>44815</v>
      </c>
      <c r="D438" s="490">
        <f>IF(+NFL!$F14="NY Giants",+NFL!D14,IF(+NFL!$H14="NY Giants",+NFL!D14,0))</f>
        <v>0.66666666666666663</v>
      </c>
      <c r="E438" s="46" t="str">
        <f>IF(+NFL!$F14="NY Giants",+NFL!E14,IF(+NFL!$H14="NY Giants",+NFL!E14,0))</f>
        <v>Fox</v>
      </c>
      <c r="F438" s="127" t="str">
        <f>IF(+NFL!$F14="NY Giants",+NFL!F14,IF(+NFL!$H14="NY Giants",+NFL!F14,0))</f>
        <v>NY Giants</v>
      </c>
      <c r="G438" s="46" t="str">
        <f>IF(+NFL!$F14="NY Giants",+NFL!G14,IF(+NFL!$H14="NY Giants",+NFL!G14,0))</f>
        <v>NFCE</v>
      </c>
      <c r="H438" s="127" t="str">
        <f>IF(+NFL!$F14="NY Giants",+NFL!H14,IF(+NFL!$H14="NY Giants",+NFL!H14,0))</f>
        <v>Tennessee</v>
      </c>
      <c r="I438" s="46" t="str">
        <f>IF(+NFL!$F14="NY Giants",+NFL!I14,IF(+NFL!$H14="NY Giants",+NFL!I14,0))</f>
        <v>AFCS</v>
      </c>
      <c r="J438" s="353" t="str">
        <f>IF(+NFL!$F14="NY Giants",+NFL!J14,IF(+NFL!$H14="NY Giants",+NFL!J14,0))</f>
        <v>Tennessee</v>
      </c>
      <c r="K438" s="494" t="str">
        <f>IF(+NFL!$F14="NY Giants",+NFL!K14,IF(+NFL!$H14="NY Giants",+NFL!K14,0))</f>
        <v>NY Giants</v>
      </c>
      <c r="L438" s="384">
        <f>IF(+NFL!$F14="NY Giants",+NFL!L14,IF(+NFL!$H14="NY Giants",+NFL!L14,0))</f>
        <v>5.5</v>
      </c>
      <c r="M438" s="385">
        <f>IF(+NFL!$F14="NY Giants",+NFL!M14,IF(+NFL!$H14="NY Giants",+NFL!M14,0))</f>
        <v>43.5</v>
      </c>
      <c r="N438" s="394" t="str">
        <f>IF(+NFL!$F14="NY Giants",+NFL!N14,IF(+NFL!$H14="NY Giants",+NFL!N14,0))</f>
        <v>NY Giants</v>
      </c>
      <c r="O438" s="395">
        <f>IF(+NFL!$F14="NY Giants",+NFL!O14,IF(+NFL!$H14="NY Giants",+NFL!O14,0))</f>
        <v>21</v>
      </c>
      <c r="P438" s="394" t="str">
        <f>IF(+NFL!$F14="NY Giants",+NFL!P14,IF(+NFL!$H14="NY Giants",+NFL!P14,0))</f>
        <v>Tennessee</v>
      </c>
      <c r="Q438" s="396">
        <f>IF(+NFL!$F14="NY Giants",+NFL!Q14,IF(+NFL!$H14="NY Giants",+NFL!Q14,0))</f>
        <v>20</v>
      </c>
      <c r="R438" s="397" t="str">
        <f>IF(+NFL!$F14="NY Giants",+NFL!R14,IF(+NFL!$H14="NY Giants",+NFL!R14,0))</f>
        <v>NY Giants</v>
      </c>
      <c r="S438" s="396" t="str">
        <f>IF(+NFL!$F14="NY Giants",+NFL!S14,IF(+NFL!$H14="NY Giants",+NFL!S14,0))</f>
        <v>Tennessee</v>
      </c>
      <c r="T438" s="398" t="str">
        <f>IF(+NFL!$F14="NY Giants",+NFL!T14,IF(+NFL!$H14="NY Giants",+NFL!T14,0))</f>
        <v>NY Giants</v>
      </c>
      <c r="U438" s="396" t="str">
        <f>IF(+NFL!$F14="NY Giants",+NFL!U14,IF(+NFL!$H14="NY Giants",+NFL!U14,0))</f>
        <v>W</v>
      </c>
      <c r="V438" s="397"/>
      <c r="W438" s="396"/>
      <c r="X438" s="398"/>
      <c r="Y438" s="396"/>
      <c r="Z438" s="397"/>
      <c r="AA438" s="396"/>
      <c r="AB438" s="87"/>
      <c r="AC438" s="120"/>
      <c r="AD438" s="353"/>
      <c r="AE438" s="379"/>
      <c r="AF438" s="353"/>
      <c r="AG438" s="379"/>
      <c r="AH438" s="353"/>
      <c r="AI438" s="379"/>
      <c r="AJ438" s="353"/>
      <c r="AK438" s="379"/>
      <c r="AL438" s="68"/>
      <c r="AM438" s="58"/>
      <c r="AN438" s="57"/>
      <c r="AO438" s="59"/>
      <c r="AP438" s="348"/>
      <c r="AQ438" s="48"/>
      <c r="AR438" s="57"/>
      <c r="AS438" s="493"/>
      <c r="AT438" s="493"/>
      <c r="AU438" s="57"/>
      <c r="AV438" s="493"/>
      <c r="AW438" s="46"/>
      <c r="AX438" s="493"/>
      <c r="AY438" s="57"/>
      <c r="AZ438" s="493"/>
      <c r="BA438" s="46"/>
      <c r="BB438" s="46"/>
      <c r="BC438" s="403"/>
      <c r="BD438" s="57"/>
      <c r="BE438" s="493"/>
      <c r="BF438" s="46"/>
      <c r="BG438" s="57"/>
      <c r="BH438" s="493"/>
      <c r="BI438" s="46"/>
      <c r="BJ438" s="87"/>
      <c r="BK438" s="120"/>
    </row>
    <row r="439" spans="1:63" s="246" customFormat="1" x14ac:dyDescent="0.8">
      <c r="A439" s="46">
        <f>IF(+NFL!$F25="NY Giants",+NFL!A25,IF(+NFL!$H25="NY Giants",+NFL!A25,0))</f>
        <v>2</v>
      </c>
      <c r="B439" s="348" t="str">
        <f>IF(+NFL!$F25="NY Giants",+NFL!B25,IF(+NFL!$H25="NY Giants",+NFL!B25,0))</f>
        <v>Sun</v>
      </c>
      <c r="C439" s="48">
        <f>IF(+NFL!$F25="NY Giants",+NFL!C25,IF(+NFL!$H25="NY Giants",+NFL!C25,0))</f>
        <v>44822</v>
      </c>
      <c r="D439" s="490">
        <f>IF(+NFL!$F25="NY Giants",+NFL!D25,IF(+NFL!$H25="NY Giants",+NFL!D25,0))</f>
        <v>0.54166666666666663</v>
      </c>
      <c r="E439" s="46" t="str">
        <f>IF(+NFL!$F25="NY Giants",+NFL!E25,IF(+NFL!$H25="NY Giants",+NFL!E25,0))</f>
        <v>Fox</v>
      </c>
      <c r="F439" s="127" t="str">
        <f>IF(+NFL!$F25="NY Giants",+NFL!F25,IF(+NFL!$H25="NY Giants",+NFL!F25,0))</f>
        <v>Carolina</v>
      </c>
      <c r="G439" s="46" t="str">
        <f>IF(+NFL!$F25="NY Giants",+NFL!G25,IF(+NFL!$H25="NY Giants",+NFL!G25,0))</f>
        <v>NFCS</v>
      </c>
      <c r="H439" s="127" t="str">
        <f>IF(+NFL!$F25="NY Giants",+NFL!H25,IF(+NFL!$H25="NY Giants",+NFL!H25,0))</f>
        <v>NY Giants</v>
      </c>
      <c r="I439" s="46" t="str">
        <f>IF(+NFL!$F25="NY Giants",+NFL!I25,IF(+NFL!$H25="NY Giants",+NFL!I25,0))</f>
        <v>NFCE</v>
      </c>
      <c r="J439" s="353" t="str">
        <f>IF(+NFL!$F25="NY Giants",+NFL!J25,IF(+NFL!$H25="NY Giants",+NFL!J25,0))</f>
        <v>NY Giants</v>
      </c>
      <c r="K439" s="494" t="str">
        <f>IF(+NFL!$F25="NY Giants",+NFL!K25,IF(+NFL!$H25="NY Giants",+NFL!K25,0))</f>
        <v>Carolina</v>
      </c>
      <c r="L439" s="384">
        <f>IF(+NFL!$F25="NY Giants",+NFL!L25,IF(+NFL!$H25="NY Giants",+NFL!L25,0))</f>
        <v>2.5</v>
      </c>
      <c r="M439" s="385">
        <f>IF(+NFL!$F25="NY Giants",+NFL!M25,IF(+NFL!$H25="NY Giants",+NFL!M25,0))</f>
        <v>43</v>
      </c>
      <c r="N439" s="394" t="str">
        <f>IF(+NFL!$F25="NY Giants",+NFL!N25,IF(+NFL!$H25="NY Giants",+NFL!N25,0))</f>
        <v>NY Giants</v>
      </c>
      <c r="O439" s="395">
        <f>IF(+NFL!$F25="NY Giants",+NFL!O25,IF(+NFL!$H25="NY Giants",+NFL!O25,0))</f>
        <v>19</v>
      </c>
      <c r="P439" s="394" t="str">
        <f>IF(+NFL!$F25="NY Giants",+NFL!P25,IF(+NFL!$H25="NY Giants",+NFL!P25,0))</f>
        <v>Carolina</v>
      </c>
      <c r="Q439" s="396">
        <f>IF(+NFL!$F25="NY Giants",+NFL!Q25,IF(+NFL!$H25="NY Giants",+NFL!Q25,0))</f>
        <v>16</v>
      </c>
      <c r="R439" s="397" t="str">
        <f>IF(+NFL!$F25="NY Giants",+NFL!R25,IF(+NFL!$H25="NY Giants",+NFL!R25,0))</f>
        <v>NY Giants</v>
      </c>
      <c r="S439" s="396" t="str">
        <f>IF(+NFL!$F25="NY Giants",+NFL!S25,IF(+NFL!$H25="NY Giants",+NFL!S25,0))</f>
        <v>Carolina</v>
      </c>
      <c r="T439" s="398" t="str">
        <f>IF(+NFL!$F25="NY Giants",+NFL!T25,IF(+NFL!$H25="NY Giants",+NFL!T25,0))</f>
        <v>Carolina</v>
      </c>
      <c r="U439" s="396" t="str">
        <f>IF(+NFL!$F25="NY Giants",+NFL!U25,IF(+NFL!$H25="NY Giants",+NFL!U25,0))</f>
        <v>L</v>
      </c>
      <c r="V439" s="397"/>
      <c r="W439" s="396"/>
      <c r="X439" s="398"/>
      <c r="Y439" s="396"/>
      <c r="Z439" s="397"/>
      <c r="AA439" s="396"/>
      <c r="AB439" s="87"/>
      <c r="AC439" s="120"/>
      <c r="AD439" s="353"/>
      <c r="AE439" s="379"/>
      <c r="AF439" s="353"/>
      <c r="AG439" s="379"/>
      <c r="AH439" s="353"/>
      <c r="AI439" s="379"/>
      <c r="AJ439" s="353"/>
      <c r="AK439" s="379"/>
      <c r="AL439" s="68"/>
      <c r="AM439" s="58"/>
      <c r="AN439" s="57"/>
      <c r="AO439" s="59"/>
      <c r="AP439" s="348"/>
      <c r="AQ439" s="48"/>
      <c r="AR439" s="57"/>
      <c r="AS439" s="64"/>
      <c r="AT439" s="64"/>
      <c r="AU439" s="57"/>
      <c r="AV439" s="64"/>
      <c r="AW439" s="46"/>
      <c r="AX439" s="64"/>
      <c r="AY439" s="57"/>
      <c r="AZ439" s="64"/>
      <c r="BA439" s="46"/>
      <c r="BB439" s="46"/>
      <c r="BC439" s="403"/>
      <c r="BD439" s="57"/>
      <c r="BE439" s="64"/>
      <c r="BF439" s="46"/>
      <c r="BG439" s="57"/>
      <c r="BH439" s="64"/>
      <c r="BI439" s="46"/>
      <c r="BJ439" s="87"/>
      <c r="BK439" s="120"/>
    </row>
    <row r="440" spans="1:63" s="246" customFormat="1" x14ac:dyDescent="0.8">
      <c r="A440" s="46">
        <f>IF(+NFL!$F53="NY Giants",+NFL!A53,IF(+NFL!$H53="NY Giants",+NFL!A53,0))</f>
        <v>3</v>
      </c>
      <c r="B440" s="348" t="str">
        <f>IF(+NFL!$F53="NY Giants",+NFL!B53,IF(+NFL!$H53="NY Giants",+NFL!B53,0))</f>
        <v>Mon</v>
      </c>
      <c r="C440" s="48">
        <f>IF(+NFL!$F53="NY Giants",+NFL!C53,IF(+NFL!$H53="NY Giants",+NFL!C53,0))</f>
        <v>44830</v>
      </c>
      <c r="D440" s="490">
        <f>IF(+NFL!$F53="NY Giants",+NFL!D53,IF(+NFL!$H53="NY Giants",+NFL!D53,0))</f>
        <v>0.84375</v>
      </c>
      <c r="E440" s="46" t="str">
        <f>IF(+NFL!$F53="NY Giants",+NFL!E53,IF(+NFL!$H53="NY Giants",+NFL!E53,0))</f>
        <v>ABC</v>
      </c>
      <c r="F440" s="127" t="str">
        <f>IF(+NFL!$F53="NY Giants",+NFL!F53,IF(+NFL!$H53="NY Giants",+NFL!F53,0))</f>
        <v>Dallas</v>
      </c>
      <c r="G440" s="46" t="str">
        <f>IF(+NFL!$F53="NY Giants",+NFL!G53,IF(+NFL!$H53="NY Giants",+NFL!G53,0))</f>
        <v>NFCE</v>
      </c>
      <c r="H440" s="127" t="str">
        <f>IF(+NFL!$F53="NY Giants",+NFL!H53,IF(+NFL!$H53="NY Giants",+NFL!H53,0))</f>
        <v>NY Giants</v>
      </c>
      <c r="I440" s="46" t="str">
        <f>IF(+NFL!$F53="NY Giants",+NFL!I53,IF(+NFL!$H53="NY Giants",+NFL!I53,0))</f>
        <v>NFCE</v>
      </c>
      <c r="J440" s="353" t="str">
        <f>IF(+NFL!$F53="NY Giants",+NFL!J53,IF(+NFL!$H53="NY Giants",+NFL!J53,0))</f>
        <v>NY Giants</v>
      </c>
      <c r="K440" s="494" t="str">
        <f>IF(+NFL!$F53="NY Giants",+NFL!K53,IF(+NFL!$H53="NY Giants",+NFL!K53,0))</f>
        <v>Dallas</v>
      </c>
      <c r="L440" s="384">
        <f>IF(+NFL!$F53="NY Giants",+NFL!L53,IF(+NFL!$H53="NY Giants",+NFL!L53,0))</f>
        <v>2.5</v>
      </c>
      <c r="M440" s="385">
        <f>IF(+NFL!$F53="NY Giants",+NFL!M53,IF(+NFL!$H53="NY Giants",+NFL!M53,0))</f>
        <v>39</v>
      </c>
      <c r="N440" s="394" t="str">
        <f>IF(+NFL!$F53="NY Giants",+NFL!N53,IF(+NFL!$H53="NY Giants",+NFL!N53,0))</f>
        <v>Dallas</v>
      </c>
      <c r="O440" s="395">
        <f>IF(+NFL!$F53="NY Giants",+NFL!O53,IF(+NFL!$H53="NY Giants",+NFL!O53,0))</f>
        <v>23</v>
      </c>
      <c r="P440" s="394" t="str">
        <f>IF(+NFL!$F53="NY Giants",+NFL!P53,IF(+NFL!$H53="NY Giants",+NFL!P53,0))</f>
        <v>NY Giants</v>
      </c>
      <c r="Q440" s="396">
        <f>IF(+NFL!$F53="NY Giants",+NFL!Q53,IF(+NFL!$H53="NY Giants",+NFL!Q53,0))</f>
        <v>16</v>
      </c>
      <c r="R440" s="397" t="str">
        <f>IF(+NFL!$F53="NY Giants",+NFL!R53,IF(+NFL!$H53="NY Giants",+NFL!R53,0))</f>
        <v>Dallas</v>
      </c>
      <c r="S440" s="396" t="str">
        <f>IF(+NFL!$F53="NY Giants",+NFL!S53,IF(+NFL!$H53="NY Giants",+NFL!S53,0))</f>
        <v>NY Giants</v>
      </c>
      <c r="T440" s="398" t="str">
        <f>IF(+NFL!$F53="NY Giants",+NFL!T53,IF(+NFL!$H53="NY Giants",+NFL!T53,0))</f>
        <v>NY Giants</v>
      </c>
      <c r="U440" s="396" t="str">
        <f>IF(+NFL!$F53="NY Giants",+NFL!U53,IF(+NFL!$H53="NY Giants",+NFL!U53,0))</f>
        <v>L</v>
      </c>
      <c r="V440" s="397">
        <f>IF(+NFL!$F33="NY Giants",+NFL!#REF!,IF(+NFL!$H33="NY Giants",+NFL!#REF!,0))</f>
        <v>0</v>
      </c>
      <c r="W440" s="396">
        <f>IF(+NFL!$F33="NY Giants",+NFL!#REF!,IF(+NFL!$H33="NY Giants",+NFL!#REF!,0))</f>
        <v>0</v>
      </c>
      <c r="X440" s="398">
        <f>IF(+NFL!$F33="NY Giants",+NFL!#REF!,IF(+NFL!$H33="NY Giants",+NFL!#REF!,0))</f>
        <v>0</v>
      </c>
      <c r="Y440" s="396">
        <f>IF(+NFL!$F33="NY Giants",+NFL!#REF!,IF(+NFL!$H33="NY Giants",+NFL!#REF!,0))</f>
        <v>0</v>
      </c>
      <c r="Z440" s="397">
        <f>IF(+NFL!$F33="NY Giants",+NFL!#REF!,IF(+NFL!$H33="NY Giants",+NFL!#REF!,0))</f>
        <v>0</v>
      </c>
      <c r="AA440" s="396">
        <f>IF(+NFL!$F33="NY Giants",+NFL!#REF!,IF(+NFL!$H33="NY Giants",+NFL!#REF!,0))</f>
        <v>0</v>
      </c>
      <c r="AB440" s="87">
        <f>IF(+NFL!$F33="NY Giants",+NFL!#REF!,IF(+NFL!$H33="NY Giants",+NFL!#REF!,0))</f>
        <v>0</v>
      </c>
      <c r="AC440" s="120">
        <f>IF(+NFL!$F33="NY Giants",+NFL!#REF!,IF(+NFL!$H33="NY Giants",+NFL!#REF!,0))</f>
        <v>0</v>
      </c>
      <c r="AD440" s="353">
        <f>IF(+NFL!$F33="NY Giants",+NFL!#REF!,IF(+NFL!$H33="NY Giants",+NFL!#REF!,0))</f>
        <v>0</v>
      </c>
      <c r="AE440" s="379">
        <f>IF(+NFL!$F33="NY Giants",+NFL!#REF!,IF(+NFL!$H33="NY Giants",+NFL!#REF!,0))</f>
        <v>0</v>
      </c>
      <c r="AF440" s="353">
        <f>IF(+NFL!$F33="NY Giants",+NFL!#REF!,IF(+NFL!$H33="NY Giants",+NFL!#REF!,0))</f>
        <v>0</v>
      </c>
      <c r="AG440" s="379">
        <f>IF(+NFL!$F33="NY Giants",+NFL!#REF!,IF(+NFL!$H33="NY Giants",+NFL!#REF!,0))</f>
        <v>0</v>
      </c>
      <c r="AH440" s="353">
        <f>IF(+NFL!$F33="NY Giants",+NFL!#REF!,IF(+NFL!$H33="NY Giants",+NFL!#REF!,0))</f>
        <v>0</v>
      </c>
      <c r="AI440" s="379">
        <f>IF(+NFL!$F33="NY Giants",+NFL!#REF!,IF(+NFL!$H33="NY Giants",+NFL!#REF!,0))</f>
        <v>0</v>
      </c>
      <c r="AJ440" s="353">
        <f>IF(+NFL!$F33="NY Giants",+NFL!#REF!,IF(+NFL!$H33="NY Giants",+NFL!#REF!,0))</f>
        <v>0</v>
      </c>
      <c r="AK440" s="379">
        <f>IF(+NFL!$F33="NY Giants",+NFL!#REF!,IF(+NFL!$H33="NY Giants",+NFL!#REF!,0))</f>
        <v>0</v>
      </c>
      <c r="AL440" s="68">
        <f>IF(+NFL!$F33="NY Giants",+NFL!#REF!,IF(+NFL!$H33="NY Giants",+NFL!#REF!,0))</f>
        <v>0</v>
      </c>
      <c r="AM440" s="58">
        <f>IF(+NFL!$F33="NY Giants",+NFL!#REF!,IF(+NFL!$H33="NY Giants",+NFL!#REF!,0))</f>
        <v>0</v>
      </c>
      <c r="AN440" s="57">
        <f>IF(+NFL!$F33="NY Giants",+NFL!#REF!,IF(+NFL!$H33="NY Giants",+NFL!#REF!,0))</f>
        <v>0</v>
      </c>
      <c r="AO440" s="59">
        <f>IF(+NFL!$F33="NY Giants",+NFL!#REF!,IF(+NFL!$H33="NY Giants",+NFL!#REF!,0))</f>
        <v>0</v>
      </c>
      <c r="AP440" s="348">
        <f>IF(+NFL!$F33="NY Giants",+NFL!#REF!,IF(+NFL!$H33="NY Giants",+NFL!#REF!,0))</f>
        <v>0</v>
      </c>
      <c r="AQ440" s="48">
        <f>IF(+NFL!$F33="NY Giants",+NFL!#REF!,IF(+NFL!$H33="NY Giants",+NFL!#REF!,0))</f>
        <v>0</v>
      </c>
      <c r="AR440" s="57">
        <f>IF(+NFL!$F33="NY Giants",+NFL!#REF!,IF(+NFL!$H33="NY Giants",+NFL!#REF!,0))</f>
        <v>0</v>
      </c>
      <c r="AS440" s="64">
        <f>IF(+NFL!$F33="NY Giants",+NFL!#REF!,IF(+NFL!$H33="NY Giants",+NFL!#REF!,0))</f>
        <v>0</v>
      </c>
      <c r="AT440" s="64">
        <f>IF(+NFL!$F33="NY Giants",+NFL!#REF!,IF(+NFL!$H33="NY Giants",+NFL!#REF!,0))</f>
        <v>0</v>
      </c>
      <c r="AU440" s="57">
        <f>IF(+NFL!$F33="NY Giants",+NFL!#REF!,IF(+NFL!$H33="NY Giants",+NFL!#REF!,0))</f>
        <v>0</v>
      </c>
      <c r="AV440" s="64">
        <f>IF(+NFL!$F33="NY Giants",+NFL!#REF!,IF(+NFL!$H33="NY Giants",+NFL!#REF!,0))</f>
        <v>0</v>
      </c>
      <c r="AW440" s="46">
        <f>IF(+NFL!$F33="NY Giants",+NFL!#REF!,IF(+NFL!$H33="NY Giants",+NFL!#REF!,0))</f>
        <v>0</v>
      </c>
      <c r="AX440" s="64">
        <f>IF(+NFL!$F33="NY Giants",+NFL!#REF!,IF(+NFL!$H33="NY Giants",+NFL!#REF!,0))</f>
        <v>0</v>
      </c>
      <c r="AY440" s="57">
        <f>IF(+NFL!$F33="NY Giants",+NFL!#REF!,IF(+NFL!$H33="NY Giants",+NFL!#REF!,0))</f>
        <v>0</v>
      </c>
      <c r="AZ440" s="64">
        <f>IF(+NFL!$F33="NY Giants",+NFL!#REF!,IF(+NFL!$H33="NY Giants",+NFL!#REF!,0))</f>
        <v>0</v>
      </c>
      <c r="BA440" s="46">
        <f>IF(+NFL!$F33="NY Giants",+NFL!#REF!,IF(+NFL!$H33="NY Giants",+NFL!#REF!,0))</f>
        <v>0</v>
      </c>
      <c r="BB440" s="46">
        <f>IF(+NFL!$F33="NY Giants",+NFL!#REF!,IF(+NFL!$H33="NY Giants",+NFL!#REF!,0))</f>
        <v>0</v>
      </c>
      <c r="BC440" s="403">
        <f>IF(+NFL!$F33="NY Giants",+NFL!#REF!,IF(+NFL!$H33="NY Giants",+NFL!#REF!,0))</f>
        <v>0</v>
      </c>
      <c r="BD440" s="57">
        <f>IF(+NFL!$F33="NY Giants",+NFL!#REF!,IF(+NFL!$H33="NY Giants",+NFL!#REF!,0))</f>
        <v>0</v>
      </c>
      <c r="BE440" s="64">
        <f>IF(+NFL!$F33="NY Giants",+NFL!#REF!,IF(+NFL!$H33="NY Giants",+NFL!#REF!,0))</f>
        <v>0</v>
      </c>
      <c r="BF440" s="46">
        <f>IF(+NFL!$F33="NY Giants",+NFL!#REF!,IF(+NFL!$H33="NY Giants",+NFL!#REF!,0))</f>
        <v>0</v>
      </c>
      <c r="BG440" s="57">
        <f>IF(+NFL!$F33="NY Giants",+NFL!#REF!,IF(+NFL!$H33="NY Giants",+NFL!#REF!,0))</f>
        <v>0</v>
      </c>
      <c r="BH440" s="64">
        <f>IF(+NFL!$F33="NY Giants",+NFL!#REF!,IF(+NFL!$H33="NY Giants",+NFL!#REF!,0))</f>
        <v>0</v>
      </c>
      <c r="BI440" s="46">
        <f>IF(+NFL!$F33="NY Giants",+NFL!#REF!,IF(+NFL!$H33="NY Giants",+NFL!#REF!,0))</f>
        <v>0</v>
      </c>
      <c r="BJ440" s="87">
        <f>IF(+NFL!$F33="NY Giants",+NFL!#REF!,IF(+NFL!$H33="NY Giants",+NFL!#REF!,0))</f>
        <v>0</v>
      </c>
      <c r="BK440" s="120">
        <f>IF(+NFL!$F33="NY Giants",+NFL!#REF!,IF(+NFL!$H33="NY Giants",+NFL!#REF!,0))</f>
        <v>0</v>
      </c>
    </row>
    <row r="441" spans="1:63" s="246" customFormat="1" x14ac:dyDescent="0.8">
      <c r="A441" s="46">
        <f>IF(+NFL!$F61="NY Giants",+NFL!A61,IF(+NFL!$H61="NY Giants",+NFL!A61,0))</f>
        <v>4</v>
      </c>
      <c r="B441" s="348" t="str">
        <f>IF(+NFL!$F61="NY Giants",+NFL!B61,IF(+NFL!$H61="NY Giants",+NFL!B61,0))</f>
        <v>Sun</v>
      </c>
      <c r="C441" s="48">
        <f>IF(+NFL!$F61="NY Giants",+NFL!C61,IF(+NFL!$H61="NY Giants",+NFL!C61,0))</f>
        <v>44836</v>
      </c>
      <c r="D441" s="490">
        <f>IF(+NFL!$F61="NY Giants",+NFL!D61,IF(+NFL!$H61="NY Giants",+NFL!D61,0))</f>
        <v>0.54166666666666663</v>
      </c>
      <c r="E441" s="46" t="str">
        <f>IF(+NFL!$F61="NY Giants",+NFL!E61,IF(+NFL!$H61="NY Giants",+NFL!E61,0))</f>
        <v>Fox</v>
      </c>
      <c r="F441" s="127" t="str">
        <f>IF(+NFL!$F61="NY Giants",+NFL!F61,IF(+NFL!$H61="NY Giants",+NFL!F61,0))</f>
        <v>Chicago</v>
      </c>
      <c r="G441" s="46" t="str">
        <f>IF(+NFL!$F61="NY Giants",+NFL!G61,IF(+NFL!$H61="NY Giants",+NFL!G61,0))</f>
        <v>NFCN</v>
      </c>
      <c r="H441" s="127" t="str">
        <f>IF(+NFL!$F61="NY Giants",+NFL!H61,IF(+NFL!$H61="NY Giants",+NFL!H61,0))</f>
        <v>NY Giants</v>
      </c>
      <c r="I441" s="46" t="str">
        <f>IF(+NFL!$F61="NY Giants",+NFL!I61,IF(+NFL!$H61="NY Giants",+NFL!I61,0))</f>
        <v>NFCE</v>
      </c>
      <c r="J441" s="353" t="str">
        <f>IF(+NFL!$F61="NY Giants",+NFL!J61,IF(+NFL!$H61="NY Giants",+NFL!J61,0))</f>
        <v>NY Giants</v>
      </c>
      <c r="K441" s="494" t="str">
        <f>IF(+NFL!$F61="NY Giants",+NFL!K61,IF(+NFL!$H61="NY Giants",+NFL!K61,0))</f>
        <v>Chicago</v>
      </c>
      <c r="L441" s="384">
        <f>IF(+NFL!$F61="NY Giants",+NFL!L61,IF(+NFL!$H61="NY Giants",+NFL!L61,0))</f>
        <v>3</v>
      </c>
      <c r="M441" s="385">
        <f>IF(+NFL!$F61="NY Giants",+NFL!M61,IF(+NFL!$H61="NY Giants",+NFL!M61,0))</f>
        <v>39</v>
      </c>
      <c r="N441" s="394" t="str">
        <f>IF(+NFL!$F61="NY Giants",+NFL!N61,IF(+NFL!$H61="NY Giants",+NFL!N61,0))</f>
        <v>NY Giants</v>
      </c>
      <c r="O441" s="395">
        <f>IF(+NFL!$F61="NY Giants",+NFL!O61,IF(+NFL!$H61="NY Giants",+NFL!O61,0))</f>
        <v>20</v>
      </c>
      <c r="P441" s="394" t="str">
        <f>IF(+NFL!$F61="NY Giants",+NFL!P61,IF(+NFL!$H61="NY Giants",+NFL!P61,0))</f>
        <v>Chicago</v>
      </c>
      <c r="Q441" s="396">
        <f>IF(+NFL!$F61="NY Giants",+NFL!Q61,IF(+NFL!$H61="NY Giants",+NFL!Q61,0))</f>
        <v>12</v>
      </c>
      <c r="R441" s="397" t="str">
        <f>IF(+NFL!$F61="NY Giants",+NFL!R61,IF(+NFL!$H61="NY Giants",+NFL!R61,0))</f>
        <v>NY Giants</v>
      </c>
      <c r="S441" s="396" t="str">
        <f>IF(+NFL!$F61="NY Giants",+NFL!S61,IF(+NFL!$H61="NY Giants",+NFL!S61,0))</f>
        <v>Chicago</v>
      </c>
      <c r="T441" s="398" t="str">
        <f>IF(+NFL!$F61="NY Giants",+NFL!T61,IF(+NFL!$H61="NY Giants",+NFL!T61,0))</f>
        <v>NY Giants</v>
      </c>
      <c r="U441" s="396" t="str">
        <f>IF(+NFL!$F61="NY Giants",+NFL!U61,IF(+NFL!$H61="NY Giants",+NFL!U61,0))</f>
        <v>W</v>
      </c>
      <c r="V441" s="397">
        <f>IF(+NFL!$F58="NY Giants",+NFL!#REF!,IF(+NFL!$H58="NY Giants",+NFL!#REF!,0))</f>
        <v>0</v>
      </c>
      <c r="W441" s="396">
        <f>IF(+NFL!$F58="NY Giants",+NFL!#REF!,IF(+NFL!$H58="NY Giants",+NFL!#REF!,0))</f>
        <v>0</v>
      </c>
      <c r="X441" s="398">
        <f>IF(+NFL!$F58="NY Giants",+NFL!#REF!,IF(+NFL!$H58="NY Giants",+NFL!#REF!,0))</f>
        <v>0</v>
      </c>
      <c r="Y441" s="396">
        <f>IF(+NFL!$F58="NY Giants",+NFL!#REF!,IF(+NFL!$H58="NY Giants",+NFL!#REF!,0))</f>
        <v>0</v>
      </c>
      <c r="Z441" s="397">
        <f>IF(+NFL!$F58="NY Giants",+NFL!#REF!,IF(+NFL!$H58="NY Giants",+NFL!#REF!,0))</f>
        <v>0</v>
      </c>
      <c r="AA441" s="396">
        <f>IF(+NFL!$F58="NY Giants",+NFL!#REF!,IF(+NFL!$H58="NY Giants",+NFL!#REF!,0))</f>
        <v>0</v>
      </c>
      <c r="AB441" s="87">
        <f>IF(+NFL!$F58="NY Giants",+NFL!#REF!,IF(+NFL!$H58="NY Giants",+NFL!#REF!,0))</f>
        <v>0</v>
      </c>
      <c r="AC441" s="120">
        <f>IF(+NFL!$F58="NY Giants",+NFL!#REF!,IF(+NFL!$H58="NY Giants",+NFL!#REF!,0))</f>
        <v>0</v>
      </c>
      <c r="AD441" s="353">
        <f>IF(+NFL!$F58="NY Giants",+NFL!#REF!,IF(+NFL!$H58="NY Giants",+NFL!#REF!,0))</f>
        <v>0</v>
      </c>
      <c r="AE441" s="379">
        <f>IF(+NFL!$F58="NY Giants",+NFL!#REF!,IF(+NFL!$H58="NY Giants",+NFL!#REF!,0))</f>
        <v>0</v>
      </c>
      <c r="AF441" s="353">
        <f>IF(+NFL!$F58="NY Giants",+NFL!#REF!,IF(+NFL!$H58="NY Giants",+NFL!#REF!,0))</f>
        <v>0</v>
      </c>
      <c r="AG441" s="379">
        <f>IF(+NFL!$F58="NY Giants",+NFL!#REF!,IF(+NFL!$H58="NY Giants",+NFL!#REF!,0))</f>
        <v>0</v>
      </c>
      <c r="AH441" s="353">
        <f>IF(+NFL!$F58="NY Giants",+NFL!#REF!,IF(+NFL!$H58="NY Giants",+NFL!#REF!,0))</f>
        <v>0</v>
      </c>
      <c r="AI441" s="379">
        <f>IF(+NFL!$F58="NY Giants",+NFL!#REF!,IF(+NFL!$H58="NY Giants",+NFL!#REF!,0))</f>
        <v>0</v>
      </c>
      <c r="AJ441" s="353">
        <f>IF(+NFL!$F58="NY Giants",+NFL!#REF!,IF(+NFL!$H58="NY Giants",+NFL!#REF!,0))</f>
        <v>0</v>
      </c>
      <c r="AK441" s="379">
        <f>IF(+NFL!$F58="NY Giants",+NFL!#REF!,IF(+NFL!$H58="NY Giants",+NFL!#REF!,0))</f>
        <v>0</v>
      </c>
      <c r="AL441" s="68">
        <f>IF(+NFL!$F58="NY Giants",+NFL!#REF!,IF(+NFL!$H58="NY Giants",+NFL!#REF!,0))</f>
        <v>0</v>
      </c>
      <c r="AM441" s="58">
        <f>IF(+NFL!$F58="NY Giants",+NFL!#REF!,IF(+NFL!$H58="NY Giants",+NFL!#REF!,0))</f>
        <v>0</v>
      </c>
      <c r="AN441" s="57">
        <f>IF(+NFL!$F58="NY Giants",+NFL!#REF!,IF(+NFL!$H58="NY Giants",+NFL!#REF!,0))</f>
        <v>0</v>
      </c>
      <c r="AO441" s="59">
        <f>IF(+NFL!$F58="NY Giants",+NFL!#REF!,IF(+NFL!$H58="NY Giants",+NFL!#REF!,0))</f>
        <v>0</v>
      </c>
      <c r="AP441" s="348">
        <f>IF(+NFL!$F58="NY Giants",+NFL!#REF!,IF(+NFL!$H58="NY Giants",+NFL!#REF!,0))</f>
        <v>0</v>
      </c>
      <c r="AQ441" s="48">
        <f>IF(+NFL!$F58="NY Giants",+NFL!#REF!,IF(+NFL!$H58="NY Giants",+NFL!#REF!,0))</f>
        <v>0</v>
      </c>
      <c r="AR441" s="57">
        <f>IF(+NFL!$F58="NY Giants",+NFL!#REF!,IF(+NFL!$H58="NY Giants",+NFL!#REF!,0))</f>
        <v>0</v>
      </c>
      <c r="AS441" s="64">
        <f>IF(+NFL!$F58="NY Giants",+NFL!#REF!,IF(+NFL!$H58="NY Giants",+NFL!#REF!,0))</f>
        <v>0</v>
      </c>
      <c r="AT441" s="64">
        <f>IF(+NFL!$F58="NY Giants",+NFL!#REF!,IF(+NFL!$H58="NY Giants",+NFL!#REF!,0))</f>
        <v>0</v>
      </c>
      <c r="AU441" s="57">
        <f>IF(+NFL!$F58="NY Giants",+NFL!#REF!,IF(+NFL!$H58="NY Giants",+NFL!#REF!,0))</f>
        <v>0</v>
      </c>
      <c r="AV441" s="64">
        <f>IF(+NFL!$F58="NY Giants",+NFL!#REF!,IF(+NFL!$H58="NY Giants",+NFL!#REF!,0))</f>
        <v>0</v>
      </c>
      <c r="AW441" s="46">
        <f>IF(+NFL!$F58="NY Giants",+NFL!#REF!,IF(+NFL!$H58="NY Giants",+NFL!#REF!,0))</f>
        <v>0</v>
      </c>
      <c r="AX441" s="64">
        <f>IF(+NFL!$F58="NY Giants",+NFL!#REF!,IF(+NFL!$H58="NY Giants",+NFL!#REF!,0))</f>
        <v>0</v>
      </c>
      <c r="AY441" s="57">
        <f>IF(+NFL!$F58="NY Giants",+NFL!#REF!,IF(+NFL!$H58="NY Giants",+NFL!#REF!,0))</f>
        <v>0</v>
      </c>
      <c r="AZ441" s="64">
        <f>IF(+NFL!$F58="NY Giants",+NFL!#REF!,IF(+NFL!$H58="NY Giants",+NFL!#REF!,0))</f>
        <v>0</v>
      </c>
      <c r="BA441" s="46">
        <f>IF(+NFL!$F58="NY Giants",+NFL!#REF!,IF(+NFL!$H58="NY Giants",+NFL!#REF!,0))</f>
        <v>0</v>
      </c>
      <c r="BB441" s="46">
        <f>IF(+NFL!$F58="NY Giants",+NFL!#REF!,IF(+NFL!$H58="NY Giants",+NFL!#REF!,0))</f>
        <v>0</v>
      </c>
      <c r="BC441" s="403">
        <f>IF(+NFL!$F58="NY Giants",+NFL!#REF!,IF(+NFL!$H58="NY Giants",+NFL!#REF!,0))</f>
        <v>0</v>
      </c>
      <c r="BD441" s="57">
        <f>IF(+NFL!$F58="NY Giants",+NFL!#REF!,IF(+NFL!$H58="NY Giants",+NFL!#REF!,0))</f>
        <v>0</v>
      </c>
      <c r="BE441" s="64">
        <f>IF(+NFL!$F58="NY Giants",+NFL!#REF!,IF(+NFL!$H58="NY Giants",+NFL!#REF!,0))</f>
        <v>0</v>
      </c>
      <c r="BF441" s="46">
        <f>IF(+NFL!$F58="NY Giants",+NFL!#REF!,IF(+NFL!$H58="NY Giants",+NFL!#REF!,0))</f>
        <v>0</v>
      </c>
      <c r="BG441" s="57">
        <f>IF(+NFL!$F58="NY Giants",+NFL!#REF!,IF(+NFL!$H58="NY Giants",+NFL!#REF!,0))</f>
        <v>0</v>
      </c>
      <c r="BH441" s="64">
        <f>IF(+NFL!$F58="NY Giants",+NFL!#REF!,IF(+NFL!$H58="NY Giants",+NFL!#REF!,0))</f>
        <v>0</v>
      </c>
      <c r="BI441" s="46">
        <f>IF(+NFL!$F58="NY Giants",+NFL!#REF!,IF(+NFL!$H58="NY Giants",+NFL!#REF!,0))</f>
        <v>0</v>
      </c>
      <c r="BJ441" s="87">
        <f>IF(+NFL!$F58="NY Giants",+NFL!#REF!,IF(+NFL!$H58="NY Giants",+NFL!#REF!,0))</f>
        <v>0</v>
      </c>
      <c r="BK441" s="120">
        <f>IF(+NFL!$F58="NY Giants",+NFL!#REF!,IF(+NFL!$H58="NY Giants",+NFL!#REF!,0))</f>
        <v>0</v>
      </c>
    </row>
    <row r="442" spans="1:63" s="246" customFormat="1" x14ac:dyDescent="0.8">
      <c r="A442" s="46">
        <f>IF(+NFL!$F73="NY Giants",+NFL!A73,IF(+NFL!$H73="NY Giants",+NFL!A73,0))</f>
        <v>5</v>
      </c>
      <c r="B442" s="348" t="str">
        <f>IF(+NFL!$F73="NY Giants",+NFL!B73,IF(+NFL!$H73="NY Giants",+NFL!B73,0))</f>
        <v>Sun</v>
      </c>
      <c r="C442" s="48">
        <f>IF(+NFL!$F73="NY Giants",+NFL!C73,IF(+NFL!$H73="NY Giants",+NFL!C73,0))</f>
        <v>44840</v>
      </c>
      <c r="D442" s="490">
        <f>IF(+NFL!$F73="NY Giants",+NFL!D73,IF(+NFL!$H73="NY Giants",+NFL!D73,0))</f>
        <v>0.54166666666666663</v>
      </c>
      <c r="E442" s="46" t="str">
        <f>IF(+NFL!$F73="NY Giants",+NFL!E73,IF(+NFL!$H73="NY Giants",+NFL!E73,0))</f>
        <v>Fox</v>
      </c>
      <c r="F442" s="127" t="str">
        <f>IF(+NFL!$F73="NY Giants",+NFL!F73,IF(+NFL!$H73="NY Giants",+NFL!F73,0))</f>
        <v>NY Giants</v>
      </c>
      <c r="G442" s="46" t="str">
        <f>IF(+NFL!$F73="NY Giants",+NFL!G73,IF(+NFL!$H73="NY Giants",+NFL!G73,0))</f>
        <v>NFCE</v>
      </c>
      <c r="H442" s="127" t="str">
        <f>IF(+NFL!$F73="NY Giants",+NFL!H73,IF(+NFL!$H73="NY Giants",+NFL!H73,0))</f>
        <v>Green Bay</v>
      </c>
      <c r="I442" s="46" t="str">
        <f>IF(+NFL!$F73="NY Giants",+NFL!I73,IF(+NFL!$H73="NY Giants",+NFL!I73,0))</f>
        <v>NFCN</v>
      </c>
      <c r="J442" s="353" t="str">
        <f>IF(+NFL!$F73="NY Giants",+NFL!J73,IF(+NFL!$H73="NY Giants",+NFL!J73,0))</f>
        <v>Green Bay</v>
      </c>
      <c r="K442" s="494" t="str">
        <f>IF(+NFL!$F73="NY Giants",+NFL!K73,IF(+NFL!$H73="NY Giants",+NFL!K73,0))</f>
        <v>NY Giants</v>
      </c>
      <c r="L442" s="384">
        <f>IF(+NFL!$F73="NY Giants",+NFL!L73,IF(+NFL!$H73="NY Giants",+NFL!L73,0))</f>
        <v>8.5</v>
      </c>
      <c r="M442" s="385">
        <f>IF(+NFL!$F73="NY Giants",+NFL!M73,IF(+NFL!$H73="NY Giants",+NFL!M73,0))</f>
        <v>41</v>
      </c>
      <c r="N442" s="394" t="str">
        <f>IF(+NFL!$F73="NY Giants",+NFL!N73,IF(+NFL!$H73="NY Giants",+NFL!N73,0))</f>
        <v>NY Giants</v>
      </c>
      <c r="O442" s="395">
        <f>IF(+NFL!$F73="NY Giants",+NFL!O73,IF(+NFL!$H73="NY Giants",+NFL!O73,0))</f>
        <v>27</v>
      </c>
      <c r="P442" s="394" t="str">
        <f>IF(+NFL!$F73="NY Giants",+NFL!P73,IF(+NFL!$H73="NY Giants",+NFL!P73,0))</f>
        <v>Green Bay</v>
      </c>
      <c r="Q442" s="396">
        <f>IF(+NFL!$F73="NY Giants",+NFL!Q73,IF(+NFL!$H73="NY Giants",+NFL!Q73,0))</f>
        <v>22</v>
      </c>
      <c r="R442" s="397" t="str">
        <f>IF(+NFL!$F73="NY Giants",+NFL!R73,IF(+NFL!$H73="NY Giants",+NFL!R73,0))</f>
        <v>NY Giants</v>
      </c>
      <c r="S442" s="396" t="str">
        <f>IF(+NFL!$F73="NY Giants",+NFL!S73,IF(+NFL!$H73="NY Giants",+NFL!S73,0))</f>
        <v>Green Bay</v>
      </c>
      <c r="T442" s="398" t="str">
        <f>IF(+NFL!$F73="NY Giants",+NFL!T73,IF(+NFL!$H73="NY Giants",+NFL!T73,0))</f>
        <v>Green Bay</v>
      </c>
      <c r="U442" s="396" t="str">
        <f>IF(+NFL!$F73="NY Giants",+NFL!U73,IF(+NFL!$H73="NY Giants",+NFL!U73,0))</f>
        <v>L</v>
      </c>
      <c r="V442" s="397">
        <f>IF(+NFL!$F75="NY Giants",+NFL!#REF!,IF(+NFL!$H75="NY Giants",+NFL!#REF!,0))</f>
        <v>0</v>
      </c>
      <c r="W442" s="396">
        <f>IF(+NFL!$F75="NY Giants",+NFL!#REF!,IF(+NFL!$H75="NY Giants",+NFL!#REF!,0))</f>
        <v>0</v>
      </c>
      <c r="X442" s="398">
        <f>IF(+NFL!$F75="NY Giants",+NFL!#REF!,IF(+NFL!$H75="NY Giants",+NFL!#REF!,0))</f>
        <v>0</v>
      </c>
      <c r="Y442" s="396">
        <f>IF(+NFL!$F75="NY Giants",+NFL!#REF!,IF(+NFL!$H75="NY Giants",+NFL!#REF!,0))</f>
        <v>0</v>
      </c>
      <c r="Z442" s="397">
        <f>IF(+NFL!$F75="NY Giants",+NFL!#REF!,IF(+NFL!$H75="NY Giants",+NFL!#REF!,0))</f>
        <v>0</v>
      </c>
      <c r="AA442" s="396">
        <f>IF(+NFL!$F75="NY Giants",+NFL!#REF!,IF(+NFL!$H75="NY Giants",+NFL!#REF!,0))</f>
        <v>0</v>
      </c>
      <c r="AB442" s="87">
        <f>IF(+NFL!$F75="NY Giants",+NFL!#REF!,IF(+NFL!$H75="NY Giants",+NFL!#REF!,0))</f>
        <v>0</v>
      </c>
      <c r="AC442" s="120">
        <f>IF(+NFL!$F75="NY Giants",+NFL!#REF!,IF(+NFL!$H75="NY Giants",+NFL!#REF!,0))</f>
        <v>0</v>
      </c>
      <c r="AD442" s="353">
        <f>IF(+NFL!$F75="NY Giants",+NFL!#REF!,IF(+NFL!$H75="NY Giants",+NFL!#REF!,0))</f>
        <v>0</v>
      </c>
      <c r="AE442" s="379">
        <f>IF(+NFL!$F75="NY Giants",+NFL!#REF!,IF(+NFL!$H75="NY Giants",+NFL!#REF!,0))</f>
        <v>0</v>
      </c>
      <c r="AF442" s="353">
        <f>IF(+NFL!$F75="NY Giants",+NFL!#REF!,IF(+NFL!$H75="NY Giants",+NFL!#REF!,0))</f>
        <v>0</v>
      </c>
      <c r="AG442" s="379">
        <f>IF(+NFL!$F75="NY Giants",+NFL!#REF!,IF(+NFL!$H75="NY Giants",+NFL!#REF!,0))</f>
        <v>0</v>
      </c>
      <c r="AH442" s="353">
        <f>IF(+NFL!$F75="NY Giants",+NFL!#REF!,IF(+NFL!$H75="NY Giants",+NFL!#REF!,0))</f>
        <v>0</v>
      </c>
      <c r="AI442" s="379">
        <f>IF(+NFL!$F75="NY Giants",+NFL!#REF!,IF(+NFL!$H75="NY Giants",+NFL!#REF!,0))</f>
        <v>0</v>
      </c>
      <c r="AJ442" s="353">
        <f>IF(+NFL!$F75="NY Giants",+NFL!#REF!,IF(+NFL!$H75="NY Giants",+NFL!#REF!,0))</f>
        <v>0</v>
      </c>
      <c r="AK442" s="379">
        <f>IF(+NFL!$F75="NY Giants",+NFL!#REF!,IF(+NFL!$H75="NY Giants",+NFL!#REF!,0))</f>
        <v>0</v>
      </c>
      <c r="AL442" s="68">
        <f>IF(+NFL!$F75="NY Giants",+NFL!#REF!,IF(+NFL!$H75="NY Giants",+NFL!#REF!,0))</f>
        <v>0</v>
      </c>
      <c r="AM442" s="58">
        <f>IF(+NFL!$F75="NY Giants",+NFL!#REF!,IF(+NFL!$H75="NY Giants",+NFL!#REF!,0))</f>
        <v>0</v>
      </c>
      <c r="AN442" s="57">
        <f>IF(+NFL!$F75="NY Giants",+NFL!#REF!,IF(+NFL!$H75="NY Giants",+NFL!#REF!,0))</f>
        <v>0</v>
      </c>
      <c r="AO442" s="59">
        <f>IF(+NFL!$F75="NY Giants",+NFL!#REF!,IF(+NFL!$H75="NY Giants",+NFL!#REF!,0))</f>
        <v>0</v>
      </c>
      <c r="AP442" s="348">
        <f>IF(+NFL!$F75="NY Giants",+NFL!#REF!,IF(+NFL!$H75="NY Giants",+NFL!#REF!,0))</f>
        <v>0</v>
      </c>
      <c r="AQ442" s="48">
        <f>IF(+NFL!$F75="NY Giants",+NFL!#REF!,IF(+NFL!$H75="NY Giants",+NFL!#REF!,0))</f>
        <v>0</v>
      </c>
      <c r="AR442" s="57">
        <f>IF(+NFL!$F75="NY Giants",+NFL!#REF!,IF(+NFL!$H75="NY Giants",+NFL!#REF!,0))</f>
        <v>0</v>
      </c>
      <c r="AS442" s="64">
        <f>IF(+NFL!$F75="NY Giants",+NFL!#REF!,IF(+NFL!$H75="NY Giants",+NFL!#REF!,0))</f>
        <v>0</v>
      </c>
      <c r="AT442" s="64">
        <f>IF(+NFL!$F75="NY Giants",+NFL!#REF!,IF(+NFL!$H75="NY Giants",+NFL!#REF!,0))</f>
        <v>0</v>
      </c>
      <c r="AU442" s="57">
        <f>IF(+NFL!$F75="NY Giants",+NFL!#REF!,IF(+NFL!$H75="NY Giants",+NFL!#REF!,0))</f>
        <v>0</v>
      </c>
      <c r="AV442" s="64">
        <f>IF(+NFL!$F75="NY Giants",+NFL!#REF!,IF(+NFL!$H75="NY Giants",+NFL!#REF!,0))</f>
        <v>0</v>
      </c>
      <c r="AW442" s="46">
        <f>IF(+NFL!$F75="NY Giants",+NFL!#REF!,IF(+NFL!$H75="NY Giants",+NFL!#REF!,0))</f>
        <v>0</v>
      </c>
      <c r="AX442" s="64">
        <f>IF(+NFL!$F75="NY Giants",+NFL!#REF!,IF(+NFL!$H75="NY Giants",+NFL!#REF!,0))</f>
        <v>0</v>
      </c>
      <c r="AY442" s="57">
        <f>IF(+NFL!$F75="NY Giants",+NFL!#REF!,IF(+NFL!$H75="NY Giants",+NFL!#REF!,0))</f>
        <v>0</v>
      </c>
      <c r="AZ442" s="64">
        <f>IF(+NFL!$F75="NY Giants",+NFL!#REF!,IF(+NFL!$H75="NY Giants",+NFL!#REF!,0))</f>
        <v>0</v>
      </c>
      <c r="BA442" s="46">
        <f>IF(+NFL!$F75="NY Giants",+NFL!#REF!,IF(+NFL!$H75="NY Giants",+NFL!#REF!,0))</f>
        <v>0</v>
      </c>
      <c r="BB442" s="46">
        <f>IF(+NFL!$F75="NY Giants",+NFL!#REF!,IF(+NFL!$H75="NY Giants",+NFL!#REF!,0))</f>
        <v>0</v>
      </c>
      <c r="BC442" s="403">
        <f>IF(+NFL!$F75="NY Giants",+NFL!#REF!,IF(+NFL!$H75="NY Giants",+NFL!#REF!,0))</f>
        <v>0</v>
      </c>
      <c r="BD442" s="57">
        <f>IF(+NFL!$F75="NY Giants",+NFL!#REF!,IF(+NFL!$H75="NY Giants",+NFL!#REF!,0))</f>
        <v>0</v>
      </c>
      <c r="BE442" s="64">
        <f>IF(+NFL!$F75="NY Giants",+NFL!#REF!,IF(+NFL!$H75="NY Giants",+NFL!#REF!,0))</f>
        <v>0</v>
      </c>
      <c r="BF442" s="46">
        <f>IF(+NFL!$F75="NY Giants",+NFL!#REF!,IF(+NFL!$H75="NY Giants",+NFL!#REF!,0))</f>
        <v>0</v>
      </c>
      <c r="BG442" s="57">
        <f>IF(+NFL!$F75="NY Giants",+NFL!#REF!,IF(+NFL!$H75="NY Giants",+NFL!#REF!,0))</f>
        <v>0</v>
      </c>
      <c r="BH442" s="64">
        <f>IF(+NFL!$F75="NY Giants",+NFL!#REF!,IF(+NFL!$H75="NY Giants",+NFL!#REF!,0))</f>
        <v>0</v>
      </c>
      <c r="BI442" s="46">
        <f>IF(+NFL!$F75="NY Giants",+NFL!#REF!,IF(+NFL!$H75="NY Giants",+NFL!#REF!,0))</f>
        <v>0</v>
      </c>
      <c r="BJ442" s="87">
        <f>IF(+NFL!$F75="NY Giants",+NFL!#REF!,IF(+NFL!$H75="NY Giants",+NFL!#REF!,0))</f>
        <v>0</v>
      </c>
      <c r="BK442" s="120">
        <f>IF(+NFL!$F75="NY Giants",+NFL!#REF!,IF(+NFL!$H75="NY Giants",+NFL!#REF!,0))</f>
        <v>0</v>
      </c>
    </row>
    <row r="443" spans="1:63" s="246" customFormat="1" x14ac:dyDescent="0.8">
      <c r="A443" s="46">
        <f>IF(+NFL!$F96="NY Giants",+NFL!A96,IF(+NFL!$H96="NY Giants",+NFL!A96,0))</f>
        <v>6</v>
      </c>
      <c r="B443" s="348" t="str">
        <f>IF(+NFL!$F96="NY Giants",+NFL!B96,IF(+NFL!$H96="NY Giants",+NFL!B96,0))</f>
        <v>Sun</v>
      </c>
      <c r="C443" s="48">
        <f>IF(+NFL!$F96="NY Giants",+NFL!C96,IF(+NFL!$H96="NY Giants",+NFL!C96,0))</f>
        <v>44850</v>
      </c>
      <c r="D443" s="490">
        <f>IF(+NFL!$F96="NY Giants",+NFL!D96,IF(+NFL!$H96="NY Giants",+NFL!D96,0))</f>
        <v>0.54166666666666663</v>
      </c>
      <c r="E443" s="46" t="str">
        <f>IF(+NFL!$F96="NY Giants",+NFL!E96,IF(+NFL!$H96="NY Giants",+NFL!E96,0))</f>
        <v>CBS</v>
      </c>
      <c r="F443" s="127" t="str">
        <f>IF(+NFL!$F96="NY Giants",+NFL!F96,IF(+NFL!$H96="NY Giants",+NFL!F96,0))</f>
        <v>Baltimore</v>
      </c>
      <c r="G443" s="46" t="str">
        <f>IF(+NFL!$F96="NY Giants",+NFL!G96,IF(+NFL!$H96="NY Giants",+NFL!G96,0))</f>
        <v>AFCN</v>
      </c>
      <c r="H443" s="127" t="str">
        <f>IF(+NFL!$F96="NY Giants",+NFL!H96,IF(+NFL!$H96="NY Giants",+NFL!H96,0))</f>
        <v>NY Giants</v>
      </c>
      <c r="I443" s="46" t="str">
        <f>IF(+NFL!$F96="NY Giants",+NFL!I96,IF(+NFL!$H96="NY Giants",+NFL!I96,0))</f>
        <v>NFCE</v>
      </c>
      <c r="J443" s="353" t="str">
        <f>IF(+NFL!$F96="NY Giants",+NFL!J96,IF(+NFL!$H96="NY Giants",+NFL!J96,0))</f>
        <v>Baltimore</v>
      </c>
      <c r="K443" s="494" t="str">
        <f>IF(+NFL!$F96="NY Giants",+NFL!K96,IF(+NFL!$H96="NY Giants",+NFL!K96,0))</f>
        <v>NY Giants</v>
      </c>
      <c r="L443" s="384">
        <f>IF(+NFL!$F96="NY Giants",+NFL!L96,IF(+NFL!$H96="NY Giants",+NFL!L96,0))</f>
        <v>6</v>
      </c>
      <c r="M443" s="385">
        <f>IF(+NFL!$F96="NY Giants",+NFL!M96,IF(+NFL!$H96="NY Giants",+NFL!M96,0))</f>
        <v>45</v>
      </c>
      <c r="N443" s="394" t="str">
        <f>IF(+NFL!$F96="NY Giants",+NFL!N96,IF(+NFL!$H96="NY Giants",+NFL!N96,0))</f>
        <v>NY Giants</v>
      </c>
      <c r="O443" s="395">
        <f>IF(+NFL!$F96="NY Giants",+NFL!O96,IF(+NFL!$H96="NY Giants",+NFL!O96,0))</f>
        <v>24</v>
      </c>
      <c r="P443" s="394" t="str">
        <f>IF(+NFL!$F96="NY Giants",+NFL!P96,IF(+NFL!$H96="NY Giants",+NFL!P96,0))</f>
        <v>Baltimore</v>
      </c>
      <c r="Q443" s="396">
        <f>IF(+NFL!$F96="NY Giants",+NFL!Q96,IF(+NFL!$H96="NY Giants",+NFL!Q96,0))</f>
        <v>20</v>
      </c>
      <c r="R443" s="397" t="str">
        <f>IF(+NFL!$F96="NY Giants",+NFL!R96,IF(+NFL!$H96="NY Giants",+NFL!R96,0))</f>
        <v>NY Giants</v>
      </c>
      <c r="S443" s="396" t="str">
        <f>IF(+NFL!$F96="NY Giants",+NFL!S96,IF(+NFL!$H96="NY Giants",+NFL!S96,0))</f>
        <v>Baltimore</v>
      </c>
      <c r="T443" s="398" t="str">
        <f>IF(+NFL!$F96="NY Giants",+NFL!T96,IF(+NFL!$H96="NY Giants",+NFL!T96,0))</f>
        <v>NY Giants</v>
      </c>
      <c r="U443" s="396" t="str">
        <f>IF(+NFL!$F96="NY Giants",+NFL!U96,IF(+NFL!$H96="NY Giants",+NFL!U96,0))</f>
        <v>W</v>
      </c>
      <c r="V443" s="397">
        <f>IF(+NFL!$F94="NY Giants",+NFL!#REF!,IF(+NFL!$H94="NY Giants",+NFL!#REF!,0))</f>
        <v>0</v>
      </c>
      <c r="W443" s="396">
        <f>IF(+NFL!$F94="NY Giants",+NFL!#REF!,IF(+NFL!$H94="NY Giants",+NFL!#REF!,0))</f>
        <v>0</v>
      </c>
      <c r="X443" s="398">
        <f>IF(+NFL!$F94="NY Giants",+NFL!#REF!,IF(+NFL!$H94="NY Giants",+NFL!#REF!,0))</f>
        <v>0</v>
      </c>
      <c r="Y443" s="396">
        <f>IF(+NFL!$F94="NY Giants",+NFL!#REF!,IF(+NFL!$H94="NY Giants",+NFL!#REF!,0))</f>
        <v>0</v>
      </c>
      <c r="Z443" s="397">
        <f>IF(+NFL!$F94="NY Giants",+NFL!#REF!,IF(+NFL!$H94="NY Giants",+NFL!#REF!,0))</f>
        <v>0</v>
      </c>
      <c r="AA443" s="396">
        <f>IF(+NFL!$F94="NY Giants",+NFL!#REF!,IF(+NFL!$H94="NY Giants",+NFL!#REF!,0))</f>
        <v>0</v>
      </c>
      <c r="AB443" s="87">
        <f>IF(+NFL!$F94="NY Giants",+NFL!#REF!,IF(+NFL!$H94="NY Giants",+NFL!#REF!,0))</f>
        <v>0</v>
      </c>
      <c r="AC443" s="120">
        <f>IF(+NFL!$F94="NY Giants",+NFL!#REF!,IF(+NFL!$H94="NY Giants",+NFL!#REF!,0))</f>
        <v>0</v>
      </c>
      <c r="AD443" s="353">
        <f>IF(+NFL!$F94="NY Giants",+NFL!#REF!,IF(+NFL!$H94="NY Giants",+NFL!#REF!,0))</f>
        <v>0</v>
      </c>
      <c r="AE443" s="379">
        <f>IF(+NFL!$F94="NY Giants",+NFL!#REF!,IF(+NFL!$H94="NY Giants",+NFL!#REF!,0))</f>
        <v>0</v>
      </c>
      <c r="AF443" s="353">
        <f>IF(+NFL!$F94="NY Giants",+NFL!#REF!,IF(+NFL!$H94="NY Giants",+NFL!#REF!,0))</f>
        <v>0</v>
      </c>
      <c r="AG443" s="379">
        <f>IF(+NFL!$F94="NY Giants",+NFL!#REF!,IF(+NFL!$H94="NY Giants",+NFL!#REF!,0))</f>
        <v>0</v>
      </c>
      <c r="AH443" s="353">
        <f>IF(+NFL!$F94="NY Giants",+NFL!#REF!,IF(+NFL!$H94="NY Giants",+NFL!#REF!,0))</f>
        <v>0</v>
      </c>
      <c r="AI443" s="379">
        <f>IF(+NFL!$F94="NY Giants",+NFL!#REF!,IF(+NFL!$H94="NY Giants",+NFL!#REF!,0))</f>
        <v>0</v>
      </c>
      <c r="AJ443" s="353">
        <f>IF(+NFL!$F94="NY Giants",+NFL!#REF!,IF(+NFL!$H94="NY Giants",+NFL!#REF!,0))</f>
        <v>0</v>
      </c>
      <c r="AK443" s="379">
        <f>IF(+NFL!$F94="NY Giants",+NFL!#REF!,IF(+NFL!$H94="NY Giants",+NFL!#REF!,0))</f>
        <v>0</v>
      </c>
      <c r="AL443" s="68">
        <f>IF(+NFL!$F94="NY Giants",+NFL!#REF!,IF(+NFL!$H94="NY Giants",+NFL!#REF!,0))</f>
        <v>0</v>
      </c>
      <c r="AM443" s="58">
        <f>IF(+NFL!$F94="NY Giants",+NFL!#REF!,IF(+NFL!$H94="NY Giants",+NFL!#REF!,0))</f>
        <v>0</v>
      </c>
      <c r="AN443" s="57">
        <f>IF(+NFL!$F94="NY Giants",+NFL!#REF!,IF(+NFL!$H94="NY Giants",+NFL!#REF!,0))</f>
        <v>0</v>
      </c>
      <c r="AO443" s="59">
        <f>IF(+NFL!$F94="NY Giants",+NFL!#REF!,IF(+NFL!$H94="NY Giants",+NFL!#REF!,0))</f>
        <v>0</v>
      </c>
      <c r="AP443" s="348">
        <f>IF(+NFL!$F94="NY Giants",+NFL!#REF!,IF(+NFL!$H94="NY Giants",+NFL!#REF!,0))</f>
        <v>0</v>
      </c>
      <c r="AQ443" s="48">
        <f>IF(+NFL!$F94="NY Giants",+NFL!#REF!,IF(+NFL!$H94="NY Giants",+NFL!#REF!,0))</f>
        <v>0</v>
      </c>
      <c r="AR443" s="57">
        <f>IF(+NFL!$F94="NY Giants",+NFL!#REF!,IF(+NFL!$H94="NY Giants",+NFL!#REF!,0))</f>
        <v>0</v>
      </c>
      <c r="AS443" s="64">
        <f>IF(+NFL!$F94="NY Giants",+NFL!#REF!,IF(+NFL!$H94="NY Giants",+NFL!#REF!,0))</f>
        <v>0</v>
      </c>
      <c r="AT443" s="64">
        <f>IF(+NFL!$F94="NY Giants",+NFL!#REF!,IF(+NFL!$H94="NY Giants",+NFL!#REF!,0))</f>
        <v>0</v>
      </c>
      <c r="AU443" s="57">
        <f>IF(+NFL!$F94="NY Giants",+NFL!#REF!,IF(+NFL!$H94="NY Giants",+NFL!#REF!,0))</f>
        <v>0</v>
      </c>
      <c r="AV443" s="64">
        <f>IF(+NFL!$F94="NY Giants",+NFL!#REF!,IF(+NFL!$H94="NY Giants",+NFL!#REF!,0))</f>
        <v>0</v>
      </c>
      <c r="AW443" s="46">
        <f>IF(+NFL!$F94="NY Giants",+NFL!#REF!,IF(+NFL!$H94="NY Giants",+NFL!#REF!,0))</f>
        <v>0</v>
      </c>
      <c r="AX443" s="64">
        <f>IF(+NFL!$F94="NY Giants",+NFL!#REF!,IF(+NFL!$H94="NY Giants",+NFL!#REF!,0))</f>
        <v>0</v>
      </c>
      <c r="AY443" s="57">
        <f>IF(+NFL!$F94="NY Giants",+NFL!#REF!,IF(+NFL!$H94="NY Giants",+NFL!#REF!,0))</f>
        <v>0</v>
      </c>
      <c r="AZ443" s="64">
        <f>IF(+NFL!$F94="NY Giants",+NFL!#REF!,IF(+NFL!$H94="NY Giants",+NFL!#REF!,0))</f>
        <v>0</v>
      </c>
      <c r="BA443" s="46">
        <f>IF(+NFL!$F94="NY Giants",+NFL!#REF!,IF(+NFL!$H94="NY Giants",+NFL!#REF!,0))</f>
        <v>0</v>
      </c>
      <c r="BB443" s="46">
        <f>IF(+NFL!$F94="NY Giants",+NFL!#REF!,IF(+NFL!$H94="NY Giants",+NFL!#REF!,0))</f>
        <v>0</v>
      </c>
      <c r="BC443" s="403">
        <f>IF(+NFL!$F94="NY Giants",+NFL!#REF!,IF(+NFL!$H94="NY Giants",+NFL!#REF!,0))</f>
        <v>0</v>
      </c>
      <c r="BD443" s="57">
        <f>IF(+NFL!$F94="NY Giants",+NFL!#REF!,IF(+NFL!$H94="NY Giants",+NFL!#REF!,0))</f>
        <v>0</v>
      </c>
      <c r="BE443" s="64">
        <f>IF(+NFL!$F94="NY Giants",+NFL!#REF!,IF(+NFL!$H94="NY Giants",+NFL!#REF!,0))</f>
        <v>0</v>
      </c>
      <c r="BF443" s="46">
        <f>IF(+NFL!$F94="NY Giants",+NFL!#REF!,IF(+NFL!$H94="NY Giants",+NFL!#REF!,0))</f>
        <v>0</v>
      </c>
      <c r="BG443" s="57">
        <f>IF(+NFL!$F94="NY Giants",+NFL!#REF!,IF(+NFL!$H94="NY Giants",+NFL!#REF!,0))</f>
        <v>0</v>
      </c>
      <c r="BH443" s="64">
        <f>IF(+NFL!$F94="NY Giants",+NFL!#REF!,IF(+NFL!$H94="NY Giants",+NFL!#REF!,0))</f>
        <v>0</v>
      </c>
      <c r="BI443" s="46">
        <f>IF(+NFL!$F94="NY Giants",+NFL!#REF!,IF(+NFL!$H94="NY Giants",+NFL!#REF!,0))</f>
        <v>0</v>
      </c>
      <c r="BJ443" s="87">
        <f>IF(+NFL!$F94="NY Giants",+NFL!#REF!,IF(+NFL!$H94="NY Giants",+NFL!#REF!,0))</f>
        <v>0</v>
      </c>
      <c r="BK443" s="120">
        <f>IF(+NFL!$F94="NY Giants",+NFL!#REF!,IF(+NFL!$H94="NY Giants",+NFL!#REF!,0))</f>
        <v>0</v>
      </c>
    </row>
    <row r="444" spans="1:63" s="246" customFormat="1" x14ac:dyDescent="0.8">
      <c r="A444" s="46">
        <f>IF(+NFL!$F115="NY Giants",+NFL!A115,IF(+NFL!$H115="NY Giants",+NFL!A115,0))</f>
        <v>7</v>
      </c>
      <c r="B444" s="348" t="str">
        <f>IF(+NFL!$F115="NY Giants",+NFL!B115,IF(+NFL!$H115="NY Giants",+NFL!B115,0))</f>
        <v>Sun</v>
      </c>
      <c r="C444" s="48">
        <f>IF(+NFL!$F115="NY Giants",+NFL!C115,IF(+NFL!$H115="NY Giants",+NFL!C115,0))</f>
        <v>44857</v>
      </c>
      <c r="D444" s="490">
        <f>IF(+NFL!$F115="NY Giants",+NFL!D115,IF(+NFL!$H115="NY Giants",+NFL!D115,0))</f>
        <v>0.54166666666666663</v>
      </c>
      <c r="E444" s="46" t="str">
        <f>IF(+NFL!$F115="NY Giants",+NFL!E115,IF(+NFL!$H115="NY Giants",+NFL!E115,0))</f>
        <v>Fox</v>
      </c>
      <c r="F444" s="127" t="str">
        <f>IF(+NFL!$F115="NY Giants",+NFL!F115,IF(+NFL!$H115="NY Giants",+NFL!F115,0))</f>
        <v>NY Giants</v>
      </c>
      <c r="G444" s="46" t="str">
        <f>IF(+NFL!$F115="NY Giants",+NFL!G115,IF(+NFL!$H115="NY Giants",+NFL!G115,0))</f>
        <v>NFCE</v>
      </c>
      <c r="H444" s="127" t="str">
        <f>IF(+NFL!$F115="NY Giants",+NFL!H115,IF(+NFL!$H115="NY Giants",+NFL!H115,0))</f>
        <v>Jacksonville</v>
      </c>
      <c r="I444" s="46" t="str">
        <f>IF(+NFL!$F115="NY Giants",+NFL!I115,IF(+NFL!$H115="NY Giants",+NFL!I115,0))</f>
        <v>AFCS</v>
      </c>
      <c r="J444" s="353" t="str">
        <f>IF(+NFL!$F115="NY Giants",+NFL!J115,IF(+NFL!$H115="NY Giants",+NFL!J115,0))</f>
        <v>Jacksonville</v>
      </c>
      <c r="K444" s="494" t="str">
        <f>IF(+NFL!$F115="NY Giants",+NFL!K115,IF(+NFL!$H115="NY Giants",+NFL!K115,0))</f>
        <v>NY Giants</v>
      </c>
      <c r="L444" s="384">
        <f>IF(+NFL!$F115="NY Giants",+NFL!L115,IF(+NFL!$H115="NY Giants",+NFL!L115,0))</f>
        <v>3</v>
      </c>
      <c r="M444" s="385">
        <f>IF(+NFL!$F115="NY Giants",+NFL!M115,IF(+NFL!$H115="NY Giants",+NFL!M115,0))</f>
        <v>42</v>
      </c>
      <c r="N444" s="394" t="str">
        <f>IF(+NFL!$F115="NY Giants",+NFL!N115,IF(+NFL!$H115="NY Giants",+NFL!N115,0))</f>
        <v>NY Giants</v>
      </c>
      <c r="O444" s="395">
        <f>IF(+NFL!$F115="NY Giants",+NFL!O115,IF(+NFL!$H115="NY Giants",+NFL!O115,0))</f>
        <v>23</v>
      </c>
      <c r="P444" s="394" t="str">
        <f>IF(+NFL!$F115="NY Giants",+NFL!P115,IF(+NFL!$H115="NY Giants",+NFL!P115,0))</f>
        <v>Jacksonville</v>
      </c>
      <c r="Q444" s="396">
        <f>IF(+NFL!$F115="NY Giants",+NFL!Q115,IF(+NFL!$H115="NY Giants",+NFL!Q115,0))</f>
        <v>17</v>
      </c>
      <c r="R444" s="397" t="str">
        <f>IF(+NFL!$F115="NY Giants",+NFL!R115,IF(+NFL!$H115="NY Giants",+NFL!R115,0))</f>
        <v>NY Giants</v>
      </c>
      <c r="S444" s="396" t="str">
        <f>IF(+NFL!$F115="NY Giants",+NFL!S115,IF(+NFL!$H115="NY Giants",+NFL!S115,0))</f>
        <v>Jacksonville</v>
      </c>
      <c r="T444" s="398" t="str">
        <f>IF(+NFL!$F115="NY Giants",+NFL!T115,IF(+NFL!$H115="NY Giants",+NFL!T115,0))</f>
        <v>Jacksonville</v>
      </c>
      <c r="U444" s="396" t="str">
        <f>IF(+NFL!$F115="NY Giants",+NFL!U115,IF(+NFL!$H115="NY Giants",+NFL!U115,0))</f>
        <v>L</v>
      </c>
      <c r="V444" s="397">
        <f>IF(+NFL!$F108="NY Giants",+NFL!#REF!,IF(+NFL!$H108="NY Giants",+NFL!#REF!,0))</f>
        <v>0</v>
      </c>
      <c r="W444" s="396">
        <f>IF(+NFL!$F108="NY Giants",+NFL!#REF!,IF(+NFL!$H108="NY Giants",+NFL!#REF!,0))</f>
        <v>0</v>
      </c>
      <c r="X444" s="398">
        <f>IF(+NFL!$F108="NY Giants",+NFL!#REF!,IF(+NFL!$H108="NY Giants",+NFL!#REF!,0))</f>
        <v>0</v>
      </c>
      <c r="Y444" s="396">
        <f>IF(+NFL!$F108="NY Giants",+NFL!#REF!,IF(+NFL!$H108="NY Giants",+NFL!#REF!,0))</f>
        <v>0</v>
      </c>
      <c r="Z444" s="397">
        <f>IF(+NFL!$F108="NY Giants",+NFL!#REF!,IF(+NFL!$H108="NY Giants",+NFL!#REF!,0))</f>
        <v>0</v>
      </c>
      <c r="AA444" s="396">
        <f>IF(+NFL!$F108="NY Giants",+NFL!#REF!,IF(+NFL!$H108="NY Giants",+NFL!#REF!,0))</f>
        <v>0</v>
      </c>
      <c r="AB444" s="87">
        <f>IF(+NFL!$F108="NY Giants",+NFL!#REF!,IF(+NFL!$H108="NY Giants",+NFL!#REF!,0))</f>
        <v>0</v>
      </c>
      <c r="AC444" s="120">
        <f>IF(+NFL!$F108="NY Giants",+NFL!#REF!,IF(+NFL!$H108="NY Giants",+NFL!#REF!,0))</f>
        <v>0</v>
      </c>
      <c r="AD444" s="353">
        <f>IF(+NFL!$F108="NY Giants",+NFL!#REF!,IF(+NFL!$H108="NY Giants",+NFL!#REF!,0))</f>
        <v>0</v>
      </c>
      <c r="AE444" s="379">
        <f>IF(+NFL!$F108="NY Giants",+NFL!#REF!,IF(+NFL!$H108="NY Giants",+NFL!#REF!,0))</f>
        <v>0</v>
      </c>
      <c r="AF444" s="353">
        <f>IF(+NFL!$F108="NY Giants",+NFL!#REF!,IF(+NFL!$H108="NY Giants",+NFL!#REF!,0))</f>
        <v>0</v>
      </c>
      <c r="AG444" s="379">
        <f>IF(+NFL!$F108="NY Giants",+NFL!#REF!,IF(+NFL!$H108="NY Giants",+NFL!#REF!,0))</f>
        <v>0</v>
      </c>
      <c r="AH444" s="353">
        <f>IF(+NFL!$F108="NY Giants",+NFL!#REF!,IF(+NFL!$H108="NY Giants",+NFL!#REF!,0))</f>
        <v>0</v>
      </c>
      <c r="AI444" s="379">
        <f>IF(+NFL!$F108="NY Giants",+NFL!#REF!,IF(+NFL!$H108="NY Giants",+NFL!#REF!,0))</f>
        <v>0</v>
      </c>
      <c r="AJ444" s="353">
        <f>IF(+NFL!$F108="NY Giants",+NFL!#REF!,IF(+NFL!$H108="NY Giants",+NFL!#REF!,0))</f>
        <v>0</v>
      </c>
      <c r="AK444" s="379">
        <f>IF(+NFL!$F108="NY Giants",+NFL!#REF!,IF(+NFL!$H108="NY Giants",+NFL!#REF!,0))</f>
        <v>0</v>
      </c>
      <c r="AL444" s="68">
        <f>IF(+NFL!$F108="NY Giants",+NFL!#REF!,IF(+NFL!$H108="NY Giants",+NFL!#REF!,0))</f>
        <v>0</v>
      </c>
      <c r="AM444" s="58">
        <f>IF(+NFL!$F108="NY Giants",+NFL!#REF!,IF(+NFL!$H108="NY Giants",+NFL!#REF!,0))</f>
        <v>0</v>
      </c>
      <c r="AN444" s="57">
        <f>IF(+NFL!$F108="NY Giants",+NFL!#REF!,IF(+NFL!$H108="NY Giants",+NFL!#REF!,0))</f>
        <v>0</v>
      </c>
      <c r="AO444" s="59">
        <f>IF(+NFL!$F108="NY Giants",+NFL!#REF!,IF(+NFL!$H108="NY Giants",+NFL!#REF!,0))</f>
        <v>0</v>
      </c>
      <c r="AP444" s="348">
        <f>IF(+NFL!$F108="NY Giants",+NFL!#REF!,IF(+NFL!$H108="NY Giants",+NFL!#REF!,0))</f>
        <v>0</v>
      </c>
      <c r="AQ444" s="48">
        <f>IF(+NFL!$F108="NY Giants",+NFL!#REF!,IF(+NFL!$H108="NY Giants",+NFL!#REF!,0))</f>
        <v>0</v>
      </c>
      <c r="AR444" s="57">
        <f>IF(+NFL!$F108="NY Giants",+NFL!#REF!,IF(+NFL!$H108="NY Giants",+NFL!#REF!,0))</f>
        <v>0</v>
      </c>
      <c r="AS444" s="64">
        <f>IF(+NFL!$F108="NY Giants",+NFL!#REF!,IF(+NFL!$H108="NY Giants",+NFL!#REF!,0))</f>
        <v>0</v>
      </c>
      <c r="AT444" s="64">
        <f>IF(+NFL!$F108="NY Giants",+NFL!#REF!,IF(+NFL!$H108="NY Giants",+NFL!#REF!,0))</f>
        <v>0</v>
      </c>
      <c r="AU444" s="57">
        <f>IF(+NFL!$F108="NY Giants",+NFL!#REF!,IF(+NFL!$H108="NY Giants",+NFL!#REF!,0))</f>
        <v>0</v>
      </c>
      <c r="AV444" s="64">
        <f>IF(+NFL!$F108="NY Giants",+NFL!#REF!,IF(+NFL!$H108="NY Giants",+NFL!#REF!,0))</f>
        <v>0</v>
      </c>
      <c r="AW444" s="46">
        <f>IF(+NFL!$F108="NY Giants",+NFL!#REF!,IF(+NFL!$H108="NY Giants",+NFL!#REF!,0))</f>
        <v>0</v>
      </c>
      <c r="AX444" s="64">
        <f>IF(+NFL!$F108="NY Giants",+NFL!#REF!,IF(+NFL!$H108="NY Giants",+NFL!#REF!,0))</f>
        <v>0</v>
      </c>
      <c r="AY444" s="57">
        <f>IF(+NFL!$F108="NY Giants",+NFL!#REF!,IF(+NFL!$H108="NY Giants",+NFL!#REF!,0))</f>
        <v>0</v>
      </c>
      <c r="AZ444" s="64">
        <f>IF(+NFL!$F108="NY Giants",+NFL!#REF!,IF(+NFL!$H108="NY Giants",+NFL!#REF!,0))</f>
        <v>0</v>
      </c>
      <c r="BA444" s="46">
        <f>IF(+NFL!$F108="NY Giants",+NFL!#REF!,IF(+NFL!$H108="NY Giants",+NFL!#REF!,0))</f>
        <v>0</v>
      </c>
      <c r="BB444" s="46">
        <f>IF(+NFL!$F108="NY Giants",+NFL!#REF!,IF(+NFL!$H108="NY Giants",+NFL!#REF!,0))</f>
        <v>0</v>
      </c>
      <c r="BC444" s="403">
        <f>IF(+NFL!$F108="NY Giants",+NFL!#REF!,IF(+NFL!$H108="NY Giants",+NFL!#REF!,0))</f>
        <v>0</v>
      </c>
      <c r="BD444" s="57">
        <f>IF(+NFL!$F108="NY Giants",+NFL!#REF!,IF(+NFL!$H108="NY Giants",+NFL!#REF!,0))</f>
        <v>0</v>
      </c>
      <c r="BE444" s="64">
        <f>IF(+NFL!$F108="NY Giants",+NFL!#REF!,IF(+NFL!$H108="NY Giants",+NFL!#REF!,0))</f>
        <v>0</v>
      </c>
      <c r="BF444" s="46">
        <f>IF(+NFL!$F108="NY Giants",+NFL!#REF!,IF(+NFL!$H108="NY Giants",+NFL!#REF!,0))</f>
        <v>0</v>
      </c>
      <c r="BG444" s="57">
        <f>IF(+NFL!$F108="NY Giants",+NFL!#REF!,IF(+NFL!$H108="NY Giants",+NFL!#REF!,0))</f>
        <v>0</v>
      </c>
      <c r="BH444" s="64">
        <f>IF(+NFL!$F108="NY Giants",+NFL!#REF!,IF(+NFL!$H108="NY Giants",+NFL!#REF!,0))</f>
        <v>0</v>
      </c>
      <c r="BI444" s="46">
        <f>IF(+NFL!$F108="NY Giants",+NFL!#REF!,IF(+NFL!$H108="NY Giants",+NFL!#REF!,0))</f>
        <v>0</v>
      </c>
      <c r="BJ444" s="87">
        <f>IF(+NFL!$F108="NY Giants",+NFL!#REF!,IF(+NFL!$H108="NY Giants",+NFL!#REF!,0))</f>
        <v>0</v>
      </c>
      <c r="BK444" s="120">
        <f>IF(+NFL!$F108="NY Giants",+NFL!#REF!,IF(+NFL!$H108="NY Giants",+NFL!#REF!,0))</f>
        <v>0</v>
      </c>
    </row>
    <row r="445" spans="1:63" s="246" customFormat="1" x14ac:dyDescent="0.8">
      <c r="A445" s="46">
        <f>IF(+NFL!$F141="NY Giants",+NFL!A141,IF(+NFL!$H141="NY Giants",+NFL!A141,0))</f>
        <v>8</v>
      </c>
      <c r="B445" s="348" t="str">
        <f>IF(+NFL!$F141="NY Giants",+NFL!B141,IF(+NFL!$H141="NY Giants",+NFL!B141,0))</f>
        <v>Sun</v>
      </c>
      <c r="C445" s="48">
        <f>IF(+NFL!$F141="NY Giants",+NFL!C141,IF(+NFL!$H141="NY Giants",+NFL!C141,0))</f>
        <v>44864</v>
      </c>
      <c r="D445" s="490">
        <f>IF(+NFL!$F141="NY Giants",+NFL!D141,IF(+NFL!$H141="NY Giants",+NFL!D141,0))</f>
        <v>0.66666666666666663</v>
      </c>
      <c r="E445" s="46" t="str">
        <f>IF(+NFL!$F141="NY Giants",+NFL!E141,IF(+NFL!$H141="NY Giants",+NFL!E141,0))</f>
        <v>Fox</v>
      </c>
      <c r="F445" s="127" t="str">
        <f>IF(+NFL!$F141="NY Giants",+NFL!F141,IF(+NFL!$H141="NY Giants",+NFL!F141,0))</f>
        <v>NY Giants</v>
      </c>
      <c r="G445" s="46" t="str">
        <f>IF(+NFL!$F141="NY Giants",+NFL!G141,IF(+NFL!$H141="NY Giants",+NFL!G141,0))</f>
        <v>NFCE</v>
      </c>
      <c r="H445" s="127" t="str">
        <f>IF(+NFL!$F141="NY Giants",+NFL!H141,IF(+NFL!$H141="NY Giants",+NFL!H141,0))</f>
        <v>Seattle</v>
      </c>
      <c r="I445" s="46" t="str">
        <f>IF(+NFL!$F141="NY Giants",+NFL!I141,IF(+NFL!$H141="NY Giants",+NFL!I141,0))</f>
        <v>NFCW</v>
      </c>
      <c r="J445" s="353" t="str">
        <f>IF(+NFL!$F141="NY Giants",+NFL!J141,IF(+NFL!$H141="NY Giants",+NFL!J141,0))</f>
        <v>Seattle</v>
      </c>
      <c r="K445" s="494" t="str">
        <f>IF(+NFL!$F141="NY Giants",+NFL!K141,IF(+NFL!$H141="NY Giants",+NFL!K141,0))</f>
        <v>NY Giants</v>
      </c>
      <c r="L445" s="384">
        <f>IF(+NFL!$F141="NY Giants",+NFL!L141,IF(+NFL!$H141="NY Giants",+NFL!L141,0))</f>
        <v>3</v>
      </c>
      <c r="M445" s="385">
        <f>IF(+NFL!$F141="NY Giants",+NFL!M141,IF(+NFL!$H141="NY Giants",+NFL!M141,0))</f>
        <v>44.5</v>
      </c>
      <c r="N445" s="394" t="str">
        <f>IF(+NFL!$F141="NY Giants",+NFL!N141,IF(+NFL!$H141="NY Giants",+NFL!N141,0))</f>
        <v>Seattle</v>
      </c>
      <c r="O445" s="395">
        <f>IF(+NFL!$F141="NY Giants",+NFL!O141,IF(+NFL!$H141="NY Giants",+NFL!O141,0))</f>
        <v>27</v>
      </c>
      <c r="P445" s="394" t="str">
        <f>IF(+NFL!$F141="NY Giants",+NFL!P141,IF(+NFL!$H141="NY Giants",+NFL!P141,0))</f>
        <v>NY Giants</v>
      </c>
      <c r="Q445" s="396">
        <f>IF(+NFL!$F141="NY Giants",+NFL!Q141,IF(+NFL!$H141="NY Giants",+NFL!Q141,0))</f>
        <v>13</v>
      </c>
      <c r="R445" s="397" t="str">
        <f>IF(+NFL!$F141="NY Giants",+NFL!R141,IF(+NFL!$H141="NY Giants",+NFL!R141,0))</f>
        <v>Seattle</v>
      </c>
      <c r="S445" s="396" t="str">
        <f>IF(+NFL!$F141="NY Giants",+NFL!S141,IF(+NFL!$H141="NY Giants",+NFL!S141,0))</f>
        <v>NY Giants</v>
      </c>
      <c r="T445" s="398" t="str">
        <f>IF(+NFL!$F141="NY Giants",+NFL!T141,IF(+NFL!$H141="NY Giants",+NFL!T141,0))</f>
        <v>Seattle</v>
      </c>
      <c r="U445" s="396" t="str">
        <f>IF(+NFL!$F141="NY Giants",+NFL!U141,IF(+NFL!$H141="NY Giants",+NFL!U141,0))</f>
        <v>W</v>
      </c>
      <c r="V445" s="397">
        <f>IF(+NFL!$F135="NY Giants",+NFL!#REF!,IF(+NFL!$H135="NY Giants",+NFL!#REF!,0))</f>
        <v>0</v>
      </c>
      <c r="W445" s="396">
        <f>IF(+NFL!$F135="NY Giants",+NFL!#REF!,IF(+NFL!$H135="NY Giants",+NFL!#REF!,0))</f>
        <v>0</v>
      </c>
      <c r="X445" s="398">
        <f>IF(+NFL!$F135="NY Giants",+NFL!#REF!,IF(+NFL!$H135="NY Giants",+NFL!#REF!,0))</f>
        <v>0</v>
      </c>
      <c r="Y445" s="396">
        <f>IF(+NFL!$F135="NY Giants",+NFL!#REF!,IF(+NFL!$H135="NY Giants",+NFL!#REF!,0))</f>
        <v>0</v>
      </c>
      <c r="Z445" s="397">
        <f>IF(+NFL!$F135="NY Giants",+NFL!#REF!,IF(+NFL!$H135="NY Giants",+NFL!#REF!,0))</f>
        <v>0</v>
      </c>
      <c r="AA445" s="396">
        <f>IF(+NFL!$F135="NY Giants",+NFL!#REF!,IF(+NFL!$H135="NY Giants",+NFL!#REF!,0))</f>
        <v>0</v>
      </c>
      <c r="AB445" s="87">
        <f>IF(+NFL!$F135="NY Giants",+NFL!#REF!,IF(+NFL!$H135="NY Giants",+NFL!#REF!,0))</f>
        <v>0</v>
      </c>
      <c r="AC445" s="120">
        <f>IF(+NFL!$F135="NY Giants",+NFL!#REF!,IF(+NFL!$H135="NY Giants",+NFL!#REF!,0))</f>
        <v>0</v>
      </c>
      <c r="AD445" s="353">
        <f>IF(+NFL!$F135="NY Giants",+NFL!#REF!,IF(+NFL!$H135="NY Giants",+NFL!#REF!,0))</f>
        <v>0</v>
      </c>
      <c r="AE445" s="379">
        <f>IF(+NFL!$F135="NY Giants",+NFL!#REF!,IF(+NFL!$H135="NY Giants",+NFL!#REF!,0))</f>
        <v>0</v>
      </c>
      <c r="AF445" s="353">
        <f>IF(+NFL!$F135="NY Giants",+NFL!#REF!,IF(+NFL!$H135="NY Giants",+NFL!#REF!,0))</f>
        <v>0</v>
      </c>
      <c r="AG445" s="379">
        <f>IF(+NFL!$F135="NY Giants",+NFL!#REF!,IF(+NFL!$H135="NY Giants",+NFL!#REF!,0))</f>
        <v>0</v>
      </c>
      <c r="AH445" s="353">
        <f>IF(+NFL!$F135="NY Giants",+NFL!#REF!,IF(+NFL!$H135="NY Giants",+NFL!#REF!,0))</f>
        <v>0</v>
      </c>
      <c r="AI445" s="379">
        <f>IF(+NFL!$F135="NY Giants",+NFL!#REF!,IF(+NFL!$H135="NY Giants",+NFL!#REF!,0))</f>
        <v>0</v>
      </c>
      <c r="AJ445" s="353">
        <f>IF(+NFL!$F135="NY Giants",+NFL!#REF!,IF(+NFL!$H135="NY Giants",+NFL!#REF!,0))</f>
        <v>0</v>
      </c>
      <c r="AK445" s="379">
        <f>IF(+NFL!$F135="NY Giants",+NFL!#REF!,IF(+NFL!$H135="NY Giants",+NFL!#REF!,0))</f>
        <v>0</v>
      </c>
      <c r="AL445" s="68">
        <f>IF(+NFL!$F135="NY Giants",+NFL!#REF!,IF(+NFL!$H135="NY Giants",+NFL!#REF!,0))</f>
        <v>0</v>
      </c>
      <c r="AM445" s="58">
        <f>IF(+NFL!$F135="NY Giants",+NFL!#REF!,IF(+NFL!$H135="NY Giants",+NFL!#REF!,0))</f>
        <v>0</v>
      </c>
      <c r="AN445" s="57">
        <f>IF(+NFL!$F135="NY Giants",+NFL!#REF!,IF(+NFL!$H135="NY Giants",+NFL!#REF!,0))</f>
        <v>0</v>
      </c>
      <c r="AO445" s="59">
        <f>IF(+NFL!$F135="NY Giants",+NFL!#REF!,IF(+NFL!$H135="NY Giants",+NFL!#REF!,0))</f>
        <v>0</v>
      </c>
      <c r="AP445" s="348">
        <f>IF(+NFL!$F135="NY Giants",+NFL!#REF!,IF(+NFL!$H135="NY Giants",+NFL!#REF!,0))</f>
        <v>0</v>
      </c>
      <c r="AQ445" s="48">
        <f>IF(+NFL!$F135="NY Giants",+NFL!#REF!,IF(+NFL!$H135="NY Giants",+NFL!#REF!,0))</f>
        <v>0</v>
      </c>
      <c r="AR445" s="57">
        <f>IF(+NFL!$F135="NY Giants",+NFL!#REF!,IF(+NFL!$H135="NY Giants",+NFL!#REF!,0))</f>
        <v>0</v>
      </c>
      <c r="AS445" s="64">
        <f>IF(+NFL!$F135="NY Giants",+NFL!#REF!,IF(+NFL!$H135="NY Giants",+NFL!#REF!,0))</f>
        <v>0</v>
      </c>
      <c r="AT445" s="64">
        <f>IF(+NFL!$F135="NY Giants",+NFL!#REF!,IF(+NFL!$H135="NY Giants",+NFL!#REF!,0))</f>
        <v>0</v>
      </c>
      <c r="AU445" s="57">
        <f>IF(+NFL!$F135="NY Giants",+NFL!#REF!,IF(+NFL!$H135="NY Giants",+NFL!#REF!,0))</f>
        <v>0</v>
      </c>
      <c r="AV445" s="64">
        <f>IF(+NFL!$F135="NY Giants",+NFL!#REF!,IF(+NFL!$H135="NY Giants",+NFL!#REF!,0))</f>
        <v>0</v>
      </c>
      <c r="AW445" s="46">
        <f>IF(+NFL!$F135="NY Giants",+NFL!#REF!,IF(+NFL!$H135="NY Giants",+NFL!#REF!,0))</f>
        <v>0</v>
      </c>
      <c r="AX445" s="64">
        <f>IF(+NFL!$F135="NY Giants",+NFL!#REF!,IF(+NFL!$H135="NY Giants",+NFL!#REF!,0))</f>
        <v>0</v>
      </c>
      <c r="AY445" s="57">
        <f>IF(+NFL!$F135="NY Giants",+NFL!#REF!,IF(+NFL!$H135="NY Giants",+NFL!#REF!,0))</f>
        <v>0</v>
      </c>
      <c r="AZ445" s="64">
        <f>IF(+NFL!$F135="NY Giants",+NFL!#REF!,IF(+NFL!$H135="NY Giants",+NFL!#REF!,0))</f>
        <v>0</v>
      </c>
      <c r="BA445" s="46">
        <f>IF(+NFL!$F135="NY Giants",+NFL!#REF!,IF(+NFL!$H135="NY Giants",+NFL!#REF!,0))</f>
        <v>0</v>
      </c>
      <c r="BB445" s="46">
        <f>IF(+NFL!$F135="NY Giants",+NFL!#REF!,IF(+NFL!$H135="NY Giants",+NFL!#REF!,0))</f>
        <v>0</v>
      </c>
      <c r="BC445" s="403">
        <f>IF(+NFL!$F135="NY Giants",+NFL!#REF!,IF(+NFL!$H135="NY Giants",+NFL!#REF!,0))</f>
        <v>0</v>
      </c>
      <c r="BD445" s="57">
        <f>IF(+NFL!$F135="NY Giants",+NFL!#REF!,IF(+NFL!$H135="NY Giants",+NFL!#REF!,0))</f>
        <v>0</v>
      </c>
      <c r="BE445" s="64">
        <f>IF(+NFL!$F135="NY Giants",+NFL!#REF!,IF(+NFL!$H135="NY Giants",+NFL!#REF!,0))</f>
        <v>0</v>
      </c>
      <c r="BF445" s="46">
        <f>IF(+NFL!$F135="NY Giants",+NFL!#REF!,IF(+NFL!$H135="NY Giants",+NFL!#REF!,0))</f>
        <v>0</v>
      </c>
      <c r="BG445" s="57">
        <f>IF(+NFL!$F135="NY Giants",+NFL!#REF!,IF(+NFL!$H135="NY Giants",+NFL!#REF!,0))</f>
        <v>0</v>
      </c>
      <c r="BH445" s="64">
        <f>IF(+NFL!$F135="NY Giants",+NFL!#REF!,IF(+NFL!$H135="NY Giants",+NFL!#REF!,0))</f>
        <v>0</v>
      </c>
      <c r="BI445" s="46">
        <f>IF(+NFL!$F135="NY Giants",+NFL!#REF!,IF(+NFL!$H135="NY Giants",+NFL!#REF!,0))</f>
        <v>0</v>
      </c>
      <c r="BJ445" s="87">
        <f>IF(+NFL!$F135="NY Giants",+NFL!#REF!,IF(+NFL!$H135="NY Giants",+NFL!#REF!,0))</f>
        <v>0</v>
      </c>
      <c r="BK445" s="120">
        <f>IF(+NFL!$F135="NY Giants",+NFL!#REF!,IF(+NFL!$H135="NY Giants",+NFL!#REF!,0))</f>
        <v>0</v>
      </c>
    </row>
    <row r="446" spans="1:63" s="246" customFormat="1" x14ac:dyDescent="0.8">
      <c r="A446" s="46">
        <f>IF(+NFL!$F165="NY Giants",+NFL!A165,IF(+NFL!$H165="NY Giants",+NFL!A165,0))</f>
        <v>9</v>
      </c>
      <c r="B446" s="348">
        <f>IF(+NFL!$F165="NY Giants",+NFL!B165,IF(+NFL!$H165="NY Giants",+NFL!B165,0))</f>
        <v>0</v>
      </c>
      <c r="C446" s="48">
        <f>IF(+NFL!$F165="NY Giants",+NFL!C165,IF(+NFL!$H165="NY Giants",+NFL!C165,0))</f>
        <v>0</v>
      </c>
      <c r="D446" s="490">
        <f>IF(+NFL!$F165="NY Giants",+NFL!D165,IF(+NFL!$H165="NY Giants",+NFL!D165,0))</f>
        <v>0</v>
      </c>
      <c r="E446" s="46">
        <f>IF(+NFL!$F165="NY Giants",+NFL!E165,IF(+NFL!$H165="NY Giants",+NFL!E165,0))</f>
        <v>0</v>
      </c>
      <c r="F446" s="127" t="str">
        <f>IF(+NFL!$F165="NY Giants",+NFL!F165,IF(+NFL!$H165="NY Giants",+NFL!F165,0))</f>
        <v>NY Giants</v>
      </c>
      <c r="G446" s="46" t="str">
        <f>IF(+NFL!$F165="NY Giants",+NFL!G165,IF(+NFL!$H165="NY Giants",+NFL!G165,0))</f>
        <v>NFCE</v>
      </c>
      <c r="H446" s="127">
        <f>IF(+NFL!$F165="NY Giants",+NFL!H165,IF(+NFL!$H165="NY Giants",+NFL!H165,0))</f>
        <v>0</v>
      </c>
      <c r="I446" s="46">
        <f>IF(+NFL!$F165="NY Giants",+NFL!I165,IF(+NFL!$H165="NY Giants",+NFL!I165,0))</f>
        <v>0</v>
      </c>
      <c r="J446" s="353">
        <f>IF(+NFL!$F165="NY Giants",+NFL!J165,IF(+NFL!$H165="NY Giants",+NFL!J165,0))</f>
        <v>0</v>
      </c>
      <c r="K446" s="494">
        <f>IF(+NFL!$F165="NY Giants",+NFL!K165,IF(+NFL!$H165="NY Giants",+NFL!K165,0))</f>
        <v>0</v>
      </c>
      <c r="L446" s="384">
        <f>IF(+NFL!$F165="NY Giants",+NFL!L165,IF(+NFL!$H165="NY Giants",+NFL!L165,0))</f>
        <v>0</v>
      </c>
      <c r="M446" s="385">
        <f>IF(+NFL!$F165="NY Giants",+NFL!M165,IF(+NFL!$H165="NY Giants",+NFL!M165,0))</f>
        <v>0</v>
      </c>
      <c r="N446" s="394">
        <f>IF(+NFL!$F165="NY Giants",+NFL!N165,IF(+NFL!$H165="NY Giants",+NFL!N165,0))</f>
        <v>0</v>
      </c>
      <c r="O446" s="395">
        <f>IF(+NFL!$F165="NY Giants",+NFL!O165,IF(+NFL!$H165="NY Giants",+NFL!O165,0))</f>
        <v>0</v>
      </c>
      <c r="P446" s="394">
        <f>IF(+NFL!$F165="NY Giants",+NFL!P165,IF(+NFL!$H165="NY Giants",+NFL!P165,0))</f>
        <v>0</v>
      </c>
      <c r="Q446" s="396">
        <f>IF(+NFL!$F165="NY Giants",+NFL!Q165,IF(+NFL!$H165="NY Giants",+NFL!Q165,0))</f>
        <v>0</v>
      </c>
      <c r="R446" s="397">
        <f>IF(+NFL!$F165="NY Giants",+NFL!R165,IF(+NFL!$H165="NY Giants",+NFL!R165,0))</f>
        <v>0</v>
      </c>
      <c r="S446" s="396">
        <f>IF(+NFL!$F165="NY Giants",+NFL!S165,IF(+NFL!$H165="NY Giants",+NFL!S165,0))</f>
        <v>0</v>
      </c>
      <c r="T446" s="398">
        <f>IF(+NFL!$F165="NY Giants",+NFL!T165,IF(+NFL!$H165="NY Giants",+NFL!T165,0))</f>
        <v>0</v>
      </c>
      <c r="U446" s="396">
        <f>IF(+NFL!$F165="NY Giants",+NFL!U165,IF(+NFL!$H165="NY Giants",+NFL!U165,0))</f>
        <v>0</v>
      </c>
      <c r="V446" s="397">
        <f>IF(+NFL!$F154="NY Giants",+NFL!#REF!,IF(+NFL!$H154="NY Giants",+NFL!#REF!,0))</f>
        <v>0</v>
      </c>
      <c r="W446" s="396">
        <f>IF(+NFL!$F154="NY Giants",+NFL!#REF!,IF(+NFL!$H154="NY Giants",+NFL!#REF!,0))</f>
        <v>0</v>
      </c>
      <c r="X446" s="398">
        <f>IF(+NFL!$F154="NY Giants",+NFL!#REF!,IF(+NFL!$H154="NY Giants",+NFL!#REF!,0))</f>
        <v>0</v>
      </c>
      <c r="Y446" s="396">
        <f>IF(+NFL!$F154="NY Giants",+NFL!#REF!,IF(+NFL!$H154="NY Giants",+NFL!#REF!,0))</f>
        <v>0</v>
      </c>
      <c r="Z446" s="397">
        <f>IF(+NFL!$F154="NY Giants",+NFL!#REF!,IF(+NFL!$H154="NY Giants",+NFL!#REF!,0))</f>
        <v>0</v>
      </c>
      <c r="AA446" s="396">
        <f>IF(+NFL!$F154="NY Giants",+NFL!#REF!,IF(+NFL!$H154="NY Giants",+NFL!#REF!,0))</f>
        <v>0</v>
      </c>
      <c r="AB446" s="87">
        <f>IF(+NFL!$F154="NY Giants",+NFL!#REF!,IF(+NFL!$H154="NY Giants",+NFL!#REF!,0))</f>
        <v>0</v>
      </c>
      <c r="AC446" s="120">
        <f>IF(+NFL!$F154="NY Giants",+NFL!#REF!,IF(+NFL!$H154="NY Giants",+NFL!#REF!,0))</f>
        <v>0</v>
      </c>
      <c r="AD446" s="353">
        <f>IF(+NFL!$F154="NY Giants",+NFL!#REF!,IF(+NFL!$H154="NY Giants",+NFL!#REF!,0))</f>
        <v>0</v>
      </c>
      <c r="AE446" s="379">
        <f>IF(+NFL!$F154="NY Giants",+NFL!#REF!,IF(+NFL!$H154="NY Giants",+NFL!#REF!,0))</f>
        <v>0</v>
      </c>
      <c r="AF446" s="353">
        <f>IF(+NFL!$F154="NY Giants",+NFL!#REF!,IF(+NFL!$H154="NY Giants",+NFL!#REF!,0))</f>
        <v>0</v>
      </c>
      <c r="AG446" s="379">
        <f>IF(+NFL!$F154="NY Giants",+NFL!#REF!,IF(+NFL!$H154="NY Giants",+NFL!#REF!,0))</f>
        <v>0</v>
      </c>
      <c r="AH446" s="353">
        <f>IF(+NFL!$F154="NY Giants",+NFL!#REF!,IF(+NFL!$H154="NY Giants",+NFL!#REF!,0))</f>
        <v>0</v>
      </c>
      <c r="AI446" s="379">
        <f>IF(+NFL!$F154="NY Giants",+NFL!#REF!,IF(+NFL!$H154="NY Giants",+NFL!#REF!,0))</f>
        <v>0</v>
      </c>
      <c r="AJ446" s="353">
        <f>IF(+NFL!$F154="NY Giants",+NFL!#REF!,IF(+NFL!$H154="NY Giants",+NFL!#REF!,0))</f>
        <v>0</v>
      </c>
      <c r="AK446" s="379">
        <f>IF(+NFL!$F154="NY Giants",+NFL!#REF!,IF(+NFL!$H154="NY Giants",+NFL!#REF!,0))</f>
        <v>0</v>
      </c>
      <c r="AL446" s="68">
        <f>IF(+NFL!$F154="NY Giants",+NFL!#REF!,IF(+NFL!$H154="NY Giants",+NFL!#REF!,0))</f>
        <v>0</v>
      </c>
      <c r="AM446" s="58">
        <f>IF(+NFL!$F154="NY Giants",+NFL!#REF!,IF(+NFL!$H154="NY Giants",+NFL!#REF!,0))</f>
        <v>0</v>
      </c>
      <c r="AN446" s="57">
        <f>IF(+NFL!$F154="NY Giants",+NFL!#REF!,IF(+NFL!$H154="NY Giants",+NFL!#REF!,0))</f>
        <v>0</v>
      </c>
      <c r="AO446" s="59">
        <f>IF(+NFL!$F154="NY Giants",+NFL!#REF!,IF(+NFL!$H154="NY Giants",+NFL!#REF!,0))</f>
        <v>0</v>
      </c>
      <c r="AP446" s="348">
        <f>IF(+NFL!$F154="NY Giants",+NFL!#REF!,IF(+NFL!$H154="NY Giants",+NFL!#REF!,0))</f>
        <v>0</v>
      </c>
      <c r="AQ446" s="48">
        <f>IF(+NFL!$F154="NY Giants",+NFL!#REF!,IF(+NFL!$H154="NY Giants",+NFL!#REF!,0))</f>
        <v>0</v>
      </c>
      <c r="AR446" s="57">
        <f>IF(+NFL!$F154="NY Giants",+NFL!#REF!,IF(+NFL!$H154="NY Giants",+NFL!#REF!,0))</f>
        <v>0</v>
      </c>
      <c r="AS446" s="64">
        <f>IF(+NFL!$F154="NY Giants",+NFL!#REF!,IF(+NFL!$H154="NY Giants",+NFL!#REF!,0))</f>
        <v>0</v>
      </c>
      <c r="AT446" s="64">
        <f>IF(+NFL!$F154="NY Giants",+NFL!#REF!,IF(+NFL!$H154="NY Giants",+NFL!#REF!,0))</f>
        <v>0</v>
      </c>
      <c r="AU446" s="57">
        <f>IF(+NFL!$F154="NY Giants",+NFL!#REF!,IF(+NFL!$H154="NY Giants",+NFL!#REF!,0))</f>
        <v>0</v>
      </c>
      <c r="AV446" s="64">
        <f>IF(+NFL!$F154="NY Giants",+NFL!#REF!,IF(+NFL!$H154="NY Giants",+NFL!#REF!,0))</f>
        <v>0</v>
      </c>
      <c r="AW446" s="46">
        <f>IF(+NFL!$F154="NY Giants",+NFL!#REF!,IF(+NFL!$H154="NY Giants",+NFL!#REF!,0))</f>
        <v>0</v>
      </c>
      <c r="AX446" s="64">
        <f>IF(+NFL!$F154="NY Giants",+NFL!#REF!,IF(+NFL!$H154="NY Giants",+NFL!#REF!,0))</f>
        <v>0</v>
      </c>
      <c r="AY446" s="57">
        <f>IF(+NFL!$F154="NY Giants",+NFL!#REF!,IF(+NFL!$H154="NY Giants",+NFL!#REF!,0))</f>
        <v>0</v>
      </c>
      <c r="AZ446" s="64">
        <f>IF(+NFL!$F154="NY Giants",+NFL!#REF!,IF(+NFL!$H154="NY Giants",+NFL!#REF!,0))</f>
        <v>0</v>
      </c>
      <c r="BA446" s="46">
        <f>IF(+NFL!$F154="NY Giants",+NFL!#REF!,IF(+NFL!$H154="NY Giants",+NFL!#REF!,0))</f>
        <v>0</v>
      </c>
      <c r="BB446" s="46">
        <f>IF(+NFL!$F154="NY Giants",+NFL!#REF!,IF(+NFL!$H154="NY Giants",+NFL!#REF!,0))</f>
        <v>0</v>
      </c>
      <c r="BC446" s="403">
        <f>IF(+NFL!$F154="NY Giants",+NFL!#REF!,IF(+NFL!$H154="NY Giants",+NFL!#REF!,0))</f>
        <v>0</v>
      </c>
      <c r="BD446" s="57">
        <f>IF(+NFL!$F154="NY Giants",+NFL!#REF!,IF(+NFL!$H154="NY Giants",+NFL!#REF!,0))</f>
        <v>0</v>
      </c>
      <c r="BE446" s="64">
        <f>IF(+NFL!$F154="NY Giants",+NFL!#REF!,IF(+NFL!$H154="NY Giants",+NFL!#REF!,0))</f>
        <v>0</v>
      </c>
      <c r="BF446" s="46">
        <f>IF(+NFL!$F154="NY Giants",+NFL!#REF!,IF(+NFL!$H154="NY Giants",+NFL!#REF!,0))</f>
        <v>0</v>
      </c>
      <c r="BG446" s="57">
        <f>IF(+NFL!$F154="NY Giants",+NFL!#REF!,IF(+NFL!$H154="NY Giants",+NFL!#REF!,0))</f>
        <v>0</v>
      </c>
      <c r="BH446" s="64">
        <f>IF(+NFL!$F154="NY Giants",+NFL!#REF!,IF(+NFL!$H154="NY Giants",+NFL!#REF!,0))</f>
        <v>0</v>
      </c>
      <c r="BI446" s="46">
        <f>IF(+NFL!$F154="NY Giants",+NFL!#REF!,IF(+NFL!$H154="NY Giants",+NFL!#REF!,0))</f>
        <v>0</v>
      </c>
      <c r="BJ446" s="87">
        <f>IF(+NFL!$F154="NY Giants",+NFL!#REF!,IF(+NFL!$H154="NY Giants",+NFL!#REF!,0))</f>
        <v>0</v>
      </c>
      <c r="BK446" s="120">
        <f>IF(+NFL!$F154="NY Giants",+NFL!#REF!,IF(+NFL!$H154="NY Giants",+NFL!#REF!,0))</f>
        <v>0</v>
      </c>
    </row>
    <row r="447" spans="1:63" s="246" customFormat="1" x14ac:dyDescent="0.8">
      <c r="A447" s="46">
        <f>IF(+NFL!$F176="NY Giants",+NFL!A176,IF(+NFL!$H176="NY Giants",+NFL!A176,0))</f>
        <v>10</v>
      </c>
      <c r="B447" s="348" t="str">
        <f>IF(+NFL!$F176="NY Giants",+NFL!B176,IF(+NFL!$H176="NY Giants",+NFL!B176,0))</f>
        <v>Sun</v>
      </c>
      <c r="C447" s="48">
        <f>IF(+NFL!$F176="NY Giants",+NFL!C176,IF(+NFL!$H176="NY Giants",+NFL!C176,0))</f>
        <v>44878</v>
      </c>
      <c r="D447" s="490">
        <f>IF(+NFL!$F176="NY Giants",+NFL!D176,IF(+NFL!$H176="NY Giants",+NFL!D176,0))</f>
        <v>0.54166666666666663</v>
      </c>
      <c r="E447" s="46" t="str">
        <f>IF(+NFL!$F176="NY Giants",+NFL!E176,IF(+NFL!$H176="NY Giants",+NFL!E176,0))</f>
        <v>CBS</v>
      </c>
      <c r="F447" s="127" t="str">
        <f>IF(+NFL!$F176="NY Giants",+NFL!F176,IF(+NFL!$H176="NY Giants",+NFL!F176,0))</f>
        <v>Houston</v>
      </c>
      <c r="G447" s="46" t="str">
        <f>IF(+NFL!$F176="NY Giants",+NFL!G176,IF(+NFL!$H176="NY Giants",+NFL!G176,0))</f>
        <v>AFCS</v>
      </c>
      <c r="H447" s="127" t="str">
        <f>IF(+NFL!$F176="NY Giants",+NFL!H176,IF(+NFL!$H176="NY Giants",+NFL!H176,0))</f>
        <v>NY Giants</v>
      </c>
      <c r="I447" s="46" t="str">
        <f>IF(+NFL!$F176="NY Giants",+NFL!I176,IF(+NFL!$H176="NY Giants",+NFL!I176,0))</f>
        <v>NFCE</v>
      </c>
      <c r="J447" s="353" t="str">
        <f>IF(+NFL!$F176="NY Giants",+NFL!J176,IF(+NFL!$H176="NY Giants",+NFL!J176,0))</f>
        <v>NY Giants</v>
      </c>
      <c r="K447" s="494" t="str">
        <f>IF(+NFL!$F176="NY Giants",+NFL!K176,IF(+NFL!$H176="NY Giants",+NFL!K176,0))</f>
        <v>Houston</v>
      </c>
      <c r="L447" s="384">
        <f>IF(+NFL!$F176="NY Giants",+NFL!L176,IF(+NFL!$H176="NY Giants",+NFL!L176,0))</f>
        <v>6.5</v>
      </c>
      <c r="M447" s="385">
        <f>IF(+NFL!$F176="NY Giants",+NFL!M176,IF(+NFL!$H176="NY Giants",+NFL!M176,0))</f>
        <v>41</v>
      </c>
      <c r="N447" s="394" t="str">
        <f>IF(+NFL!$F176="NY Giants",+NFL!N176,IF(+NFL!$H176="NY Giants",+NFL!N176,0))</f>
        <v>NY Giants</v>
      </c>
      <c r="O447" s="395">
        <f>IF(+NFL!$F176="NY Giants",+NFL!O176,IF(+NFL!$H176="NY Giants",+NFL!O176,0))</f>
        <v>24</v>
      </c>
      <c r="P447" s="394" t="str">
        <f>IF(+NFL!$F176="NY Giants",+NFL!P176,IF(+NFL!$H176="NY Giants",+NFL!P176,0))</f>
        <v>Houston</v>
      </c>
      <c r="Q447" s="396">
        <f>IF(+NFL!$F176="NY Giants",+NFL!Q176,IF(+NFL!$H176="NY Giants",+NFL!Q176,0))</f>
        <v>16</v>
      </c>
      <c r="R447" s="397" t="str">
        <f>IF(+NFL!$F176="NY Giants",+NFL!R176,IF(+NFL!$H176="NY Giants",+NFL!R176,0))</f>
        <v>NY Giants</v>
      </c>
      <c r="S447" s="396" t="str">
        <f>IF(+NFL!$F176="NY Giants",+NFL!S176,IF(+NFL!$H176="NY Giants",+NFL!S176,0))</f>
        <v>Houston</v>
      </c>
      <c r="T447" s="398" t="str">
        <f>IF(+NFL!$F176="NY Giants",+NFL!T176,IF(+NFL!$H176="NY Giants",+NFL!T176,0))</f>
        <v>NY Giants</v>
      </c>
      <c r="U447" s="396" t="str">
        <f>IF(+NFL!$F176="NY Giants",+NFL!U176,IF(+NFL!$H176="NY Giants",+NFL!U176,0))</f>
        <v>W</v>
      </c>
      <c r="V447" s="397">
        <f>IF(+NFL!$F186="NY Giants",+NFL!#REF!,IF(+NFL!$H186="NY Giants",+NFL!#REF!,0))</f>
        <v>0</v>
      </c>
      <c r="W447" s="396">
        <f>IF(+NFL!$F186="NY Giants",+NFL!#REF!,IF(+NFL!$H186="NY Giants",+NFL!#REF!,0))</f>
        <v>0</v>
      </c>
      <c r="X447" s="398">
        <f>IF(+NFL!$F186="NY Giants",+NFL!#REF!,IF(+NFL!$H186="NY Giants",+NFL!#REF!,0))</f>
        <v>0</v>
      </c>
      <c r="Y447" s="396">
        <f>IF(+NFL!$F186="NY Giants",+NFL!#REF!,IF(+NFL!$H186="NY Giants",+NFL!#REF!,0))</f>
        <v>0</v>
      </c>
      <c r="Z447" s="397">
        <f>IF(+NFL!$F186="NY Giants",+NFL!#REF!,IF(+NFL!$H186="NY Giants",+NFL!#REF!,0))</f>
        <v>0</v>
      </c>
      <c r="AA447" s="396">
        <f>IF(+NFL!$F186="NY Giants",+NFL!#REF!,IF(+NFL!$H186="NY Giants",+NFL!#REF!,0))</f>
        <v>0</v>
      </c>
      <c r="AB447" s="87">
        <f>IF(+NFL!$F186="NY Giants",+NFL!#REF!,IF(+NFL!$H186="NY Giants",+NFL!#REF!,0))</f>
        <v>0</v>
      </c>
      <c r="AC447" s="120">
        <f>IF(+NFL!$F186="NY Giants",+NFL!#REF!,IF(+NFL!$H186="NY Giants",+NFL!#REF!,0))</f>
        <v>0</v>
      </c>
      <c r="AD447" s="353">
        <f>IF(+NFL!$F186="NY Giants",+NFL!#REF!,IF(+NFL!$H186="NY Giants",+NFL!#REF!,0))</f>
        <v>0</v>
      </c>
      <c r="AE447" s="379">
        <f>IF(+NFL!$F186="NY Giants",+NFL!#REF!,IF(+NFL!$H186="NY Giants",+NFL!#REF!,0))</f>
        <v>0</v>
      </c>
      <c r="AF447" s="353">
        <f>IF(+NFL!$F186="NY Giants",+NFL!#REF!,IF(+NFL!$H186="NY Giants",+NFL!#REF!,0))</f>
        <v>0</v>
      </c>
      <c r="AG447" s="379">
        <f>IF(+NFL!$F186="NY Giants",+NFL!#REF!,IF(+NFL!$H186="NY Giants",+NFL!#REF!,0))</f>
        <v>0</v>
      </c>
      <c r="AH447" s="353">
        <f>IF(+NFL!$F186="NY Giants",+NFL!#REF!,IF(+NFL!$H186="NY Giants",+NFL!#REF!,0))</f>
        <v>0</v>
      </c>
      <c r="AI447" s="379">
        <f>IF(+NFL!$F186="NY Giants",+NFL!#REF!,IF(+NFL!$H186="NY Giants",+NFL!#REF!,0))</f>
        <v>0</v>
      </c>
      <c r="AJ447" s="353">
        <f>IF(+NFL!$F186="NY Giants",+NFL!#REF!,IF(+NFL!$H186="NY Giants",+NFL!#REF!,0))</f>
        <v>0</v>
      </c>
      <c r="AK447" s="379">
        <f>IF(+NFL!$F186="NY Giants",+NFL!#REF!,IF(+NFL!$H186="NY Giants",+NFL!#REF!,0))</f>
        <v>0</v>
      </c>
      <c r="AL447" s="68">
        <f>IF(+NFL!$F186="NY Giants",+NFL!#REF!,IF(+NFL!$H186="NY Giants",+NFL!#REF!,0))</f>
        <v>0</v>
      </c>
      <c r="AM447" s="58">
        <f>IF(+NFL!$F186="NY Giants",+NFL!#REF!,IF(+NFL!$H186="NY Giants",+NFL!#REF!,0))</f>
        <v>0</v>
      </c>
      <c r="AN447" s="57">
        <f>IF(+NFL!$F186="NY Giants",+NFL!#REF!,IF(+NFL!$H186="NY Giants",+NFL!#REF!,0))</f>
        <v>0</v>
      </c>
      <c r="AO447" s="59">
        <f>IF(+NFL!$F186="NY Giants",+NFL!#REF!,IF(+NFL!$H186="NY Giants",+NFL!#REF!,0))</f>
        <v>0</v>
      </c>
      <c r="AP447" s="348">
        <f>IF(+NFL!$F186="NY Giants",+NFL!#REF!,IF(+NFL!$H186="NY Giants",+NFL!#REF!,0))</f>
        <v>0</v>
      </c>
      <c r="AQ447" s="48">
        <f>IF(+NFL!$F186="NY Giants",+NFL!#REF!,IF(+NFL!$H186="NY Giants",+NFL!#REF!,0))</f>
        <v>0</v>
      </c>
      <c r="AR447" s="57">
        <f>IF(+NFL!$F186="NY Giants",+NFL!#REF!,IF(+NFL!$H186="NY Giants",+NFL!#REF!,0))</f>
        <v>0</v>
      </c>
      <c r="AS447" s="64">
        <f>IF(+NFL!$F186="NY Giants",+NFL!#REF!,IF(+NFL!$H186="NY Giants",+NFL!#REF!,0))</f>
        <v>0</v>
      </c>
      <c r="AT447" s="64">
        <f>IF(+NFL!$F186="NY Giants",+NFL!#REF!,IF(+NFL!$H186="NY Giants",+NFL!#REF!,0))</f>
        <v>0</v>
      </c>
      <c r="AU447" s="57">
        <f>IF(+NFL!$F186="NY Giants",+NFL!#REF!,IF(+NFL!$H186="NY Giants",+NFL!#REF!,0))</f>
        <v>0</v>
      </c>
      <c r="AV447" s="64">
        <f>IF(+NFL!$F186="NY Giants",+NFL!#REF!,IF(+NFL!$H186="NY Giants",+NFL!#REF!,0))</f>
        <v>0</v>
      </c>
      <c r="AW447" s="46">
        <f>IF(+NFL!$F186="NY Giants",+NFL!#REF!,IF(+NFL!$H186="NY Giants",+NFL!#REF!,0))</f>
        <v>0</v>
      </c>
      <c r="AX447" s="64">
        <f>IF(+NFL!$F186="NY Giants",+NFL!#REF!,IF(+NFL!$H186="NY Giants",+NFL!#REF!,0))</f>
        <v>0</v>
      </c>
      <c r="AY447" s="57">
        <f>IF(+NFL!$F186="NY Giants",+NFL!#REF!,IF(+NFL!$H186="NY Giants",+NFL!#REF!,0))</f>
        <v>0</v>
      </c>
      <c r="AZ447" s="64">
        <f>IF(+NFL!$F186="NY Giants",+NFL!#REF!,IF(+NFL!$H186="NY Giants",+NFL!#REF!,0))</f>
        <v>0</v>
      </c>
      <c r="BA447" s="46">
        <f>IF(+NFL!$F186="NY Giants",+NFL!#REF!,IF(+NFL!$H186="NY Giants",+NFL!#REF!,0))</f>
        <v>0</v>
      </c>
      <c r="BB447" s="46">
        <f>IF(+NFL!$F186="NY Giants",+NFL!#REF!,IF(+NFL!$H186="NY Giants",+NFL!#REF!,0))</f>
        <v>0</v>
      </c>
      <c r="BC447" s="403">
        <f>IF(+NFL!$F186="NY Giants",+NFL!#REF!,IF(+NFL!$H186="NY Giants",+NFL!#REF!,0))</f>
        <v>0</v>
      </c>
      <c r="BD447" s="57">
        <f>IF(+NFL!$F186="NY Giants",+NFL!#REF!,IF(+NFL!$H186="NY Giants",+NFL!#REF!,0))</f>
        <v>0</v>
      </c>
      <c r="BE447" s="64">
        <f>IF(+NFL!$F186="NY Giants",+NFL!#REF!,IF(+NFL!$H186="NY Giants",+NFL!#REF!,0))</f>
        <v>0</v>
      </c>
      <c r="BF447" s="46">
        <f>IF(+NFL!$F186="NY Giants",+NFL!#REF!,IF(+NFL!$H186="NY Giants",+NFL!#REF!,0))</f>
        <v>0</v>
      </c>
      <c r="BG447" s="57">
        <f>IF(+NFL!$F186="NY Giants",+NFL!#REF!,IF(+NFL!$H186="NY Giants",+NFL!#REF!,0))</f>
        <v>0</v>
      </c>
      <c r="BH447" s="64">
        <f>IF(+NFL!$F186="NY Giants",+NFL!#REF!,IF(+NFL!$H186="NY Giants",+NFL!#REF!,0))</f>
        <v>0</v>
      </c>
      <c r="BI447" s="46">
        <f>IF(+NFL!$F186="NY Giants",+NFL!#REF!,IF(+NFL!$H186="NY Giants",+NFL!#REF!,0))</f>
        <v>0</v>
      </c>
      <c r="BJ447" s="87">
        <f>IF(+NFL!$F186="NY Giants",+NFL!#REF!,IF(+NFL!$H186="NY Giants",+NFL!#REF!,0))</f>
        <v>0</v>
      </c>
      <c r="BK447" s="120">
        <f>IF(+NFL!$F186="NY Giants",+NFL!#REF!,IF(+NFL!$H186="NY Giants",+NFL!#REF!,0))</f>
        <v>0</v>
      </c>
    </row>
    <row r="448" spans="1:63" s="246" customFormat="1" x14ac:dyDescent="0.8">
      <c r="A448" s="46">
        <f>IF(+NFL!$F195="NY Giants",+NFL!A195,IF(+NFL!$H195="NY Giants",+NFL!A195,0))</f>
        <v>11</v>
      </c>
      <c r="B448" s="348" t="str">
        <f>IF(+NFL!$F195="NY Giants",+NFL!B195,IF(+NFL!$H195="NY Giants",+NFL!B195,0))</f>
        <v>Sun</v>
      </c>
      <c r="C448" s="48">
        <f>IF(+NFL!$F195="NY Giants",+NFL!C195,IF(+NFL!$H195="NY Giants",+NFL!C195,0))</f>
        <v>44885</v>
      </c>
      <c r="D448" s="490">
        <f>IF(+NFL!$F195="NY Giants",+NFL!D195,IF(+NFL!$H195="NY Giants",+NFL!D195,0))</f>
        <v>0.54166666666666663</v>
      </c>
      <c r="E448" s="46" t="str">
        <f>IF(+NFL!$F195="NY Giants",+NFL!E195,IF(+NFL!$H195="NY Giants",+NFL!E195,0))</f>
        <v>Fox</v>
      </c>
      <c r="F448" s="127" t="str">
        <f>IF(+NFL!$F195="NY Giants",+NFL!F195,IF(+NFL!$H195="NY Giants",+NFL!F195,0))</f>
        <v>Detroit</v>
      </c>
      <c r="G448" s="46" t="str">
        <f>IF(+NFL!$F195="NY Giants",+NFL!G195,IF(+NFL!$H195="NY Giants",+NFL!G195,0))</f>
        <v>NFCN</v>
      </c>
      <c r="H448" s="127" t="str">
        <f>IF(+NFL!$F195="NY Giants",+NFL!H195,IF(+NFL!$H195="NY Giants",+NFL!H195,0))</f>
        <v>NY Giants</v>
      </c>
      <c r="I448" s="46" t="str">
        <f>IF(+NFL!$F195="NY Giants",+NFL!I195,IF(+NFL!$H195="NY Giants",+NFL!I195,0))</f>
        <v>NFCE</v>
      </c>
      <c r="J448" s="353" t="str">
        <f>IF(+NFL!$F195="NY Giants",+NFL!J195,IF(+NFL!$H195="NY Giants",+NFL!J195,0))</f>
        <v>NY Giants</v>
      </c>
      <c r="K448" s="494" t="str">
        <f>IF(+NFL!$F195="NY Giants",+NFL!K195,IF(+NFL!$H195="NY Giants",+NFL!K195,0))</f>
        <v>Detroit</v>
      </c>
      <c r="L448" s="384">
        <f>IF(+NFL!$F195="NY Giants",+NFL!L195,IF(+NFL!$H195="NY Giants",+NFL!L195,0))</f>
        <v>3</v>
      </c>
      <c r="M448" s="385">
        <f>IF(+NFL!$F195="NY Giants",+NFL!M195,IF(+NFL!$H195="NY Giants",+NFL!M195,0))</f>
        <v>46.5</v>
      </c>
      <c r="N448" s="394" t="str">
        <f>IF(+NFL!$F195="NY Giants",+NFL!N195,IF(+NFL!$H195="NY Giants",+NFL!N195,0))</f>
        <v>Detroit</v>
      </c>
      <c r="O448" s="395">
        <f>IF(+NFL!$F195="NY Giants",+NFL!O195,IF(+NFL!$H195="NY Giants",+NFL!O195,0))</f>
        <v>31</v>
      </c>
      <c r="P448" s="394" t="str">
        <f>IF(+NFL!$F195="NY Giants",+NFL!P195,IF(+NFL!$H195="NY Giants",+NFL!P195,0))</f>
        <v>NY Giants</v>
      </c>
      <c r="Q448" s="396">
        <f>IF(+NFL!$F195="NY Giants",+NFL!Q195,IF(+NFL!$H195="NY Giants",+NFL!Q195,0))</f>
        <v>18</v>
      </c>
      <c r="R448" s="397" t="str">
        <f>IF(+NFL!$F195="NY Giants",+NFL!R195,IF(+NFL!$H195="NY Giants",+NFL!R195,0))</f>
        <v>Detroit</v>
      </c>
      <c r="S448" s="396" t="str">
        <f>IF(+NFL!$F195="NY Giants",+NFL!S195,IF(+NFL!$H195="NY Giants",+NFL!S195,0))</f>
        <v>NY Giants</v>
      </c>
      <c r="T448" s="398" t="str">
        <f>IF(+NFL!$F195="NY Giants",+NFL!T195,IF(+NFL!$H195="NY Giants",+NFL!T195,0))</f>
        <v>Detroit</v>
      </c>
      <c r="U448" s="396" t="str">
        <f>IF(+NFL!$F195="NY Giants",+NFL!U195,IF(+NFL!$H195="NY Giants",+NFL!U195,0))</f>
        <v>W</v>
      </c>
      <c r="V448" s="397">
        <f>IF(+NFL!$F202="NY Giants",+NFL!#REF!,IF(+NFL!$H202="NY Giants",+NFL!#REF!,0))</f>
        <v>0</v>
      </c>
      <c r="W448" s="396">
        <f>IF(+NFL!$F202="NY Giants",+NFL!#REF!,IF(+NFL!$H202="NY Giants",+NFL!#REF!,0))</f>
        <v>0</v>
      </c>
      <c r="X448" s="398">
        <f>IF(+NFL!$F202="NY Giants",+NFL!#REF!,IF(+NFL!$H202="NY Giants",+NFL!#REF!,0))</f>
        <v>0</v>
      </c>
      <c r="Y448" s="396">
        <f>IF(+NFL!$F202="NY Giants",+NFL!#REF!,IF(+NFL!$H202="NY Giants",+NFL!#REF!,0))</f>
        <v>0</v>
      </c>
      <c r="Z448" s="397">
        <f>IF(+NFL!$F202="NY Giants",+NFL!#REF!,IF(+NFL!$H202="NY Giants",+NFL!#REF!,0))</f>
        <v>0</v>
      </c>
      <c r="AA448" s="396">
        <f>IF(+NFL!$F202="NY Giants",+NFL!#REF!,IF(+NFL!$H202="NY Giants",+NFL!#REF!,0))</f>
        <v>0</v>
      </c>
      <c r="AB448" s="87">
        <f>IF(+NFL!$F202="NY Giants",+NFL!#REF!,IF(+NFL!$H202="NY Giants",+NFL!#REF!,0))</f>
        <v>0</v>
      </c>
      <c r="AC448" s="120">
        <f>IF(+NFL!$F202="NY Giants",+NFL!#REF!,IF(+NFL!$H202="NY Giants",+NFL!#REF!,0))</f>
        <v>0</v>
      </c>
      <c r="AD448" s="353">
        <f>IF(+NFL!$F202="NY Giants",+NFL!#REF!,IF(+NFL!$H202="NY Giants",+NFL!#REF!,0))</f>
        <v>0</v>
      </c>
      <c r="AE448" s="379">
        <f>IF(+NFL!$F202="NY Giants",+NFL!#REF!,IF(+NFL!$H202="NY Giants",+NFL!#REF!,0))</f>
        <v>0</v>
      </c>
      <c r="AF448" s="353">
        <f>IF(+NFL!$F202="NY Giants",+NFL!#REF!,IF(+NFL!$H202="NY Giants",+NFL!#REF!,0))</f>
        <v>0</v>
      </c>
      <c r="AG448" s="379">
        <f>IF(+NFL!$F202="NY Giants",+NFL!#REF!,IF(+NFL!$H202="NY Giants",+NFL!#REF!,0))</f>
        <v>0</v>
      </c>
      <c r="AH448" s="353">
        <f>IF(+NFL!$F202="NY Giants",+NFL!#REF!,IF(+NFL!$H202="NY Giants",+NFL!#REF!,0))</f>
        <v>0</v>
      </c>
      <c r="AI448" s="379">
        <f>IF(+NFL!$F202="NY Giants",+NFL!#REF!,IF(+NFL!$H202="NY Giants",+NFL!#REF!,0))</f>
        <v>0</v>
      </c>
      <c r="AJ448" s="353">
        <f>IF(+NFL!$F202="NY Giants",+NFL!#REF!,IF(+NFL!$H202="NY Giants",+NFL!#REF!,0))</f>
        <v>0</v>
      </c>
      <c r="AK448" s="379">
        <f>IF(+NFL!$F202="NY Giants",+NFL!#REF!,IF(+NFL!$H202="NY Giants",+NFL!#REF!,0))</f>
        <v>0</v>
      </c>
      <c r="AL448" s="68">
        <f>IF(+NFL!$F202="NY Giants",+NFL!#REF!,IF(+NFL!$H202="NY Giants",+NFL!#REF!,0))</f>
        <v>0</v>
      </c>
      <c r="AM448" s="58">
        <f>IF(+NFL!$F202="NY Giants",+NFL!#REF!,IF(+NFL!$H202="NY Giants",+NFL!#REF!,0))</f>
        <v>0</v>
      </c>
      <c r="AN448" s="57">
        <f>IF(+NFL!$F202="NY Giants",+NFL!#REF!,IF(+NFL!$H202="NY Giants",+NFL!#REF!,0))</f>
        <v>0</v>
      </c>
      <c r="AO448" s="59">
        <f>IF(+NFL!$F202="NY Giants",+NFL!#REF!,IF(+NFL!$H202="NY Giants",+NFL!#REF!,0))</f>
        <v>0</v>
      </c>
      <c r="AP448" s="348">
        <f>IF(+NFL!$F202="NY Giants",+NFL!#REF!,IF(+NFL!$H202="NY Giants",+NFL!#REF!,0))</f>
        <v>0</v>
      </c>
      <c r="AQ448" s="48">
        <f>IF(+NFL!$F202="NY Giants",+NFL!#REF!,IF(+NFL!$H202="NY Giants",+NFL!#REF!,0))</f>
        <v>0</v>
      </c>
      <c r="AR448" s="57">
        <f>IF(+NFL!$F202="NY Giants",+NFL!#REF!,IF(+NFL!$H202="NY Giants",+NFL!#REF!,0))</f>
        <v>0</v>
      </c>
      <c r="AS448" s="64">
        <f>IF(+NFL!$F202="NY Giants",+NFL!#REF!,IF(+NFL!$H202="NY Giants",+NFL!#REF!,0))</f>
        <v>0</v>
      </c>
      <c r="AT448" s="64">
        <f>IF(+NFL!$F202="NY Giants",+NFL!#REF!,IF(+NFL!$H202="NY Giants",+NFL!#REF!,0))</f>
        <v>0</v>
      </c>
      <c r="AU448" s="57">
        <f>IF(+NFL!$F202="NY Giants",+NFL!#REF!,IF(+NFL!$H202="NY Giants",+NFL!#REF!,0))</f>
        <v>0</v>
      </c>
      <c r="AV448" s="64">
        <f>IF(+NFL!$F202="NY Giants",+NFL!#REF!,IF(+NFL!$H202="NY Giants",+NFL!#REF!,0))</f>
        <v>0</v>
      </c>
      <c r="AW448" s="46">
        <f>IF(+NFL!$F202="NY Giants",+NFL!#REF!,IF(+NFL!$H202="NY Giants",+NFL!#REF!,0))</f>
        <v>0</v>
      </c>
      <c r="AX448" s="64">
        <f>IF(+NFL!$F202="NY Giants",+NFL!#REF!,IF(+NFL!$H202="NY Giants",+NFL!#REF!,0))</f>
        <v>0</v>
      </c>
      <c r="AY448" s="57">
        <f>IF(+NFL!$F202="NY Giants",+NFL!#REF!,IF(+NFL!$H202="NY Giants",+NFL!#REF!,0))</f>
        <v>0</v>
      </c>
      <c r="AZ448" s="64">
        <f>IF(+NFL!$F202="NY Giants",+NFL!#REF!,IF(+NFL!$H202="NY Giants",+NFL!#REF!,0))</f>
        <v>0</v>
      </c>
      <c r="BA448" s="46">
        <f>IF(+NFL!$F202="NY Giants",+NFL!#REF!,IF(+NFL!$H202="NY Giants",+NFL!#REF!,0))</f>
        <v>0</v>
      </c>
      <c r="BB448" s="46">
        <f>IF(+NFL!$F202="NY Giants",+NFL!#REF!,IF(+NFL!$H202="NY Giants",+NFL!#REF!,0))</f>
        <v>0</v>
      </c>
      <c r="BC448" s="403">
        <f>IF(+NFL!$F202="NY Giants",+NFL!#REF!,IF(+NFL!$H202="NY Giants",+NFL!#REF!,0))</f>
        <v>0</v>
      </c>
      <c r="BD448" s="57">
        <f>IF(+NFL!$F202="NY Giants",+NFL!#REF!,IF(+NFL!$H202="NY Giants",+NFL!#REF!,0))</f>
        <v>0</v>
      </c>
      <c r="BE448" s="64">
        <f>IF(+NFL!$F202="NY Giants",+NFL!#REF!,IF(+NFL!$H202="NY Giants",+NFL!#REF!,0))</f>
        <v>0</v>
      </c>
      <c r="BF448" s="46">
        <f>IF(+NFL!$F202="NY Giants",+NFL!#REF!,IF(+NFL!$H202="NY Giants",+NFL!#REF!,0))</f>
        <v>0</v>
      </c>
      <c r="BG448" s="57">
        <f>IF(+NFL!$F202="NY Giants",+NFL!#REF!,IF(+NFL!$H202="NY Giants",+NFL!#REF!,0))</f>
        <v>0</v>
      </c>
      <c r="BH448" s="64">
        <f>IF(+NFL!$F202="NY Giants",+NFL!#REF!,IF(+NFL!$H202="NY Giants",+NFL!#REF!,0))</f>
        <v>0</v>
      </c>
      <c r="BI448" s="46">
        <f>IF(+NFL!$F202="NY Giants",+NFL!#REF!,IF(+NFL!$H202="NY Giants",+NFL!#REF!,0))</f>
        <v>0</v>
      </c>
      <c r="BJ448" s="87">
        <f>IF(+NFL!$F202="NY Giants",+NFL!#REF!,IF(+NFL!$H202="NY Giants",+NFL!#REF!,0))</f>
        <v>0</v>
      </c>
      <c r="BK448" s="120">
        <f>IF(+NFL!$F202="NY Giants",+NFL!#REF!,IF(+NFL!$H202="NY Giants",+NFL!#REF!,0))</f>
        <v>0</v>
      </c>
    </row>
    <row r="449" spans="1:63" s="246" customFormat="1" x14ac:dyDescent="0.8">
      <c r="A449" s="46">
        <f>IF(+NFL!$F210="NY Giants",+NFL!A210,IF(+NFL!$H210="NY Giants",+NFL!A210,0))</f>
        <v>12</v>
      </c>
      <c r="B449" s="348" t="str">
        <f>IF(+NFL!$F210="NY Giants",+NFL!B210,IF(+NFL!$H210="NY Giants",+NFL!B210,0))</f>
        <v>Thurs</v>
      </c>
      <c r="C449" s="48">
        <f>IF(+NFL!$F210="NY Giants",+NFL!C210,IF(+NFL!$H210="NY Giants",+NFL!C210,0))</f>
        <v>44889</v>
      </c>
      <c r="D449" s="490">
        <f>IF(+NFL!$F210="NY Giants",+NFL!D210,IF(+NFL!$H210="NY Giants",+NFL!D210,0))</f>
        <v>0.6875</v>
      </c>
      <c r="E449" s="46" t="str">
        <f>IF(+NFL!$F210="NY Giants",+NFL!E210,IF(+NFL!$H210="NY Giants",+NFL!E210,0))</f>
        <v>Fox</v>
      </c>
      <c r="F449" s="127" t="str">
        <f>IF(+NFL!$F210="NY Giants",+NFL!F210,IF(+NFL!$H210="NY Giants",+NFL!F210,0))</f>
        <v>NY Giants</v>
      </c>
      <c r="G449" s="46" t="str">
        <f>IF(+NFL!$F210="NY Giants",+NFL!G210,IF(+NFL!$H210="NY Giants",+NFL!G210,0))</f>
        <v>NFCE</v>
      </c>
      <c r="H449" s="127" t="str">
        <f>IF(+NFL!$F210="NY Giants",+NFL!H210,IF(+NFL!$H210="NY Giants",+NFL!H210,0))</f>
        <v>Dallas</v>
      </c>
      <c r="I449" s="46" t="str">
        <f>IF(+NFL!$F210="NY Giants",+NFL!I210,IF(+NFL!$H210="NY Giants",+NFL!I210,0))</f>
        <v>NFCE</v>
      </c>
      <c r="J449" s="353" t="str">
        <f>IF(+NFL!$F210="NY Giants",+NFL!J210,IF(+NFL!$H210="NY Giants",+NFL!J210,0))</f>
        <v>Dallas</v>
      </c>
      <c r="K449" s="494" t="str">
        <f>IF(+NFL!$F210="NY Giants",+NFL!K210,IF(+NFL!$H210="NY Giants",+NFL!K210,0))</f>
        <v>NY Giants</v>
      </c>
      <c r="L449" s="384">
        <f>IF(+NFL!$F210="NY Giants",+NFL!L210,IF(+NFL!$H210="NY Giants",+NFL!L210,0))</f>
        <v>10</v>
      </c>
      <c r="M449" s="385">
        <f>IF(+NFL!$F210="NY Giants",+NFL!M210,IF(+NFL!$H210="NY Giants",+NFL!M210,0))</f>
        <v>45.5</v>
      </c>
      <c r="N449" s="394" t="str">
        <f>IF(+NFL!$F210="NY Giants",+NFL!N210,IF(+NFL!$H210="NY Giants",+NFL!N210,0))</f>
        <v>Dallas</v>
      </c>
      <c r="O449" s="395">
        <f>IF(+NFL!$F210="NY Giants",+NFL!O210,IF(+NFL!$H210="NY Giants",+NFL!O210,0))</f>
        <v>28</v>
      </c>
      <c r="P449" s="394" t="str">
        <f>IF(+NFL!$F210="NY Giants",+NFL!P210,IF(+NFL!$H210="NY Giants",+NFL!P210,0))</f>
        <v>NY Giants</v>
      </c>
      <c r="Q449" s="396">
        <f>IF(+NFL!$F210="NY Giants",+NFL!Q210,IF(+NFL!$H210="NY Giants",+NFL!Q210,0))</f>
        <v>20</v>
      </c>
      <c r="R449" s="397" t="str">
        <f>IF(+NFL!$F210="NY Giants",+NFL!R210,IF(+NFL!$H210="NY Giants",+NFL!R210,0))</f>
        <v>NY Giants</v>
      </c>
      <c r="S449" s="396" t="str">
        <f>IF(+NFL!$F210="NY Giants",+NFL!S210,IF(+NFL!$H210="NY Giants",+NFL!S210,0))</f>
        <v>Dallas</v>
      </c>
      <c r="T449" s="398" t="str">
        <f>IF(+NFL!$F210="NY Giants",+NFL!T210,IF(+NFL!$H210="NY Giants",+NFL!T210,0))</f>
        <v>NY Giants</v>
      </c>
      <c r="U449" s="396" t="str">
        <f>IF(+NFL!$F210="NY Giants",+NFL!U210,IF(+NFL!$H210="NY Giants",+NFL!U210,0))</f>
        <v>W</v>
      </c>
      <c r="V449" s="397">
        <f>IF(+NFL!$F234="NY Giants",+NFL!#REF!,IF(+NFL!$H234="NY Giants",+NFL!#REF!,0))</f>
        <v>0</v>
      </c>
      <c r="W449" s="396">
        <f>IF(+NFL!$F234="NY Giants",+NFL!#REF!,IF(+NFL!$H234="NY Giants",+NFL!#REF!,0))</f>
        <v>0</v>
      </c>
      <c r="X449" s="398">
        <f>IF(+NFL!$F234="NY Giants",+NFL!#REF!,IF(+NFL!$H234="NY Giants",+NFL!#REF!,0))</f>
        <v>0</v>
      </c>
      <c r="Y449" s="396">
        <f>IF(+NFL!$F234="NY Giants",+NFL!#REF!,IF(+NFL!$H234="NY Giants",+NFL!#REF!,0))</f>
        <v>0</v>
      </c>
      <c r="Z449" s="397">
        <f>IF(+NFL!$F234="NY Giants",+NFL!#REF!,IF(+NFL!$H234="NY Giants",+NFL!#REF!,0))</f>
        <v>0</v>
      </c>
      <c r="AA449" s="396">
        <f>IF(+NFL!$F234="NY Giants",+NFL!#REF!,IF(+NFL!$H234="NY Giants",+NFL!#REF!,0))</f>
        <v>0</v>
      </c>
      <c r="AB449" s="87">
        <f>IF(+NFL!$F234="NY Giants",+NFL!#REF!,IF(+NFL!$H234="NY Giants",+NFL!#REF!,0))</f>
        <v>0</v>
      </c>
      <c r="AC449" s="120">
        <f>IF(+NFL!$F234="NY Giants",+NFL!#REF!,IF(+NFL!$H234="NY Giants",+NFL!#REF!,0))</f>
        <v>0</v>
      </c>
      <c r="AD449" s="353">
        <f>IF(+NFL!$F234="NY Giants",+NFL!#REF!,IF(+NFL!$H234="NY Giants",+NFL!#REF!,0))</f>
        <v>0</v>
      </c>
      <c r="AE449" s="379">
        <f>IF(+NFL!$F234="NY Giants",+NFL!#REF!,IF(+NFL!$H234="NY Giants",+NFL!#REF!,0))</f>
        <v>0</v>
      </c>
      <c r="AF449" s="353">
        <f>IF(+NFL!$F234="NY Giants",+NFL!#REF!,IF(+NFL!$H234="NY Giants",+NFL!#REF!,0))</f>
        <v>0</v>
      </c>
      <c r="AG449" s="379">
        <f>IF(+NFL!$F234="NY Giants",+NFL!#REF!,IF(+NFL!$H234="NY Giants",+NFL!#REF!,0))</f>
        <v>0</v>
      </c>
      <c r="AH449" s="353">
        <f>IF(+NFL!$F234="NY Giants",+NFL!#REF!,IF(+NFL!$H234="NY Giants",+NFL!#REF!,0))</f>
        <v>0</v>
      </c>
      <c r="AI449" s="379">
        <f>IF(+NFL!$F234="NY Giants",+NFL!#REF!,IF(+NFL!$H234="NY Giants",+NFL!#REF!,0))</f>
        <v>0</v>
      </c>
      <c r="AJ449" s="353">
        <f>IF(+NFL!$F234="NY Giants",+NFL!#REF!,IF(+NFL!$H234="NY Giants",+NFL!#REF!,0))</f>
        <v>0</v>
      </c>
      <c r="AK449" s="379">
        <f>IF(+NFL!$F234="NY Giants",+NFL!#REF!,IF(+NFL!$H234="NY Giants",+NFL!#REF!,0))</f>
        <v>0</v>
      </c>
      <c r="AL449" s="68">
        <f>IF(+NFL!$F234="NY Giants",+NFL!#REF!,IF(+NFL!$H234="NY Giants",+NFL!#REF!,0))</f>
        <v>0</v>
      </c>
      <c r="AM449" s="58">
        <f>IF(+NFL!$F234="NY Giants",+NFL!#REF!,IF(+NFL!$H234="NY Giants",+NFL!#REF!,0))</f>
        <v>0</v>
      </c>
      <c r="AN449" s="57">
        <f>IF(+NFL!$F234="NY Giants",+NFL!#REF!,IF(+NFL!$H234="NY Giants",+NFL!#REF!,0))</f>
        <v>0</v>
      </c>
      <c r="AO449" s="59">
        <f>IF(+NFL!$F234="NY Giants",+NFL!#REF!,IF(+NFL!$H234="NY Giants",+NFL!#REF!,0))</f>
        <v>0</v>
      </c>
      <c r="AP449" s="348">
        <f>IF(+NFL!$F234="NY Giants",+NFL!#REF!,IF(+NFL!$H234="NY Giants",+NFL!#REF!,0))</f>
        <v>0</v>
      </c>
      <c r="AQ449" s="48">
        <f>IF(+NFL!$F234="NY Giants",+NFL!#REF!,IF(+NFL!$H234="NY Giants",+NFL!#REF!,0))</f>
        <v>0</v>
      </c>
      <c r="AR449" s="57">
        <f>IF(+NFL!$F234="NY Giants",+NFL!#REF!,IF(+NFL!$H234="NY Giants",+NFL!#REF!,0))</f>
        <v>0</v>
      </c>
      <c r="AS449" s="64">
        <f>IF(+NFL!$F234="NY Giants",+NFL!#REF!,IF(+NFL!$H234="NY Giants",+NFL!#REF!,0))</f>
        <v>0</v>
      </c>
      <c r="AT449" s="64">
        <f>IF(+NFL!$F234="NY Giants",+NFL!#REF!,IF(+NFL!$H234="NY Giants",+NFL!#REF!,0))</f>
        <v>0</v>
      </c>
      <c r="AU449" s="57">
        <f>IF(+NFL!$F234="NY Giants",+NFL!#REF!,IF(+NFL!$H234="NY Giants",+NFL!#REF!,0))</f>
        <v>0</v>
      </c>
      <c r="AV449" s="64">
        <f>IF(+NFL!$F234="NY Giants",+NFL!#REF!,IF(+NFL!$H234="NY Giants",+NFL!#REF!,0))</f>
        <v>0</v>
      </c>
      <c r="AW449" s="46">
        <f>IF(+NFL!$F234="NY Giants",+NFL!#REF!,IF(+NFL!$H234="NY Giants",+NFL!#REF!,0))</f>
        <v>0</v>
      </c>
      <c r="AX449" s="64">
        <f>IF(+NFL!$F234="NY Giants",+NFL!#REF!,IF(+NFL!$H234="NY Giants",+NFL!#REF!,0))</f>
        <v>0</v>
      </c>
      <c r="AY449" s="57">
        <f>IF(+NFL!$F234="NY Giants",+NFL!#REF!,IF(+NFL!$H234="NY Giants",+NFL!#REF!,0))</f>
        <v>0</v>
      </c>
      <c r="AZ449" s="64">
        <f>IF(+NFL!$F234="NY Giants",+NFL!#REF!,IF(+NFL!$H234="NY Giants",+NFL!#REF!,0))</f>
        <v>0</v>
      </c>
      <c r="BA449" s="46">
        <f>IF(+NFL!$F234="NY Giants",+NFL!#REF!,IF(+NFL!$H234="NY Giants",+NFL!#REF!,0))</f>
        <v>0</v>
      </c>
      <c r="BB449" s="46">
        <f>IF(+NFL!$F234="NY Giants",+NFL!#REF!,IF(+NFL!$H234="NY Giants",+NFL!#REF!,0))</f>
        <v>0</v>
      </c>
      <c r="BC449" s="403">
        <f>IF(+NFL!$F234="NY Giants",+NFL!#REF!,IF(+NFL!$H234="NY Giants",+NFL!#REF!,0))</f>
        <v>0</v>
      </c>
      <c r="BD449" s="57">
        <f>IF(+NFL!$F234="NY Giants",+NFL!#REF!,IF(+NFL!$H234="NY Giants",+NFL!#REF!,0))</f>
        <v>0</v>
      </c>
      <c r="BE449" s="64">
        <f>IF(+NFL!$F234="NY Giants",+NFL!#REF!,IF(+NFL!$H234="NY Giants",+NFL!#REF!,0))</f>
        <v>0</v>
      </c>
      <c r="BF449" s="46">
        <f>IF(+NFL!$F234="NY Giants",+NFL!#REF!,IF(+NFL!$H234="NY Giants",+NFL!#REF!,0))</f>
        <v>0</v>
      </c>
      <c r="BG449" s="57">
        <f>IF(+NFL!$F234="NY Giants",+NFL!#REF!,IF(+NFL!$H234="NY Giants",+NFL!#REF!,0))</f>
        <v>0</v>
      </c>
      <c r="BH449" s="64">
        <f>IF(+NFL!$F234="NY Giants",+NFL!#REF!,IF(+NFL!$H234="NY Giants",+NFL!#REF!,0))</f>
        <v>0</v>
      </c>
      <c r="BI449" s="46">
        <f>IF(+NFL!$F234="NY Giants",+NFL!#REF!,IF(+NFL!$H234="NY Giants",+NFL!#REF!,0))</f>
        <v>0</v>
      </c>
      <c r="BJ449" s="87">
        <f>IF(+NFL!$F234="NY Giants",+NFL!#REF!,IF(+NFL!$H234="NY Giants",+NFL!#REF!,0))</f>
        <v>0</v>
      </c>
      <c r="BK449" s="120">
        <f>IF(+NFL!$F234="NY Giants",+NFL!#REF!,IF(+NFL!$H234="NY Giants",+NFL!#REF!,0))</f>
        <v>0</v>
      </c>
    </row>
    <row r="450" spans="1:63" s="246" customFormat="1" x14ac:dyDescent="0.8">
      <c r="A450" s="46">
        <f>IF(+NFL!$F231="NY Giants",+NFL!A231,IF(+NFL!$H231="NY Giants",+NFL!A231,0))</f>
        <v>13</v>
      </c>
      <c r="B450" s="348" t="str">
        <f>IF(+NFL!$F231="NY Giants",+NFL!B231,IF(+NFL!$H231="NY Giants",+NFL!B231,0))</f>
        <v>Sun</v>
      </c>
      <c r="C450" s="48">
        <f>IF(+NFL!$F231="NY Giants",+NFL!C231,IF(+NFL!$H231="NY Giants",+NFL!C231,0))</f>
        <v>44899</v>
      </c>
      <c r="D450" s="490">
        <f>IF(+NFL!$F231="NY Giants",+NFL!D231,IF(+NFL!$H231="NY Giants",+NFL!D231,0))</f>
        <v>0.54166666666666663</v>
      </c>
      <c r="E450" s="46" t="str">
        <f>IF(+NFL!$F231="NY Giants",+NFL!E231,IF(+NFL!$H231="NY Giants",+NFL!E231,0))</f>
        <v>Fox</v>
      </c>
      <c r="F450" s="127" t="str">
        <f>IF(+NFL!$F231="NY Giants",+NFL!F231,IF(+NFL!$H231="NY Giants",+NFL!F231,0))</f>
        <v>Washington</v>
      </c>
      <c r="G450" s="46" t="str">
        <f>IF(+NFL!$F231="NY Giants",+NFL!G231,IF(+NFL!$H231="NY Giants",+NFL!G231,0))</f>
        <v>NFCE</v>
      </c>
      <c r="H450" s="127" t="str">
        <f>IF(+NFL!$F231="NY Giants",+NFL!H231,IF(+NFL!$H231="NY Giants",+NFL!H231,0))</f>
        <v>NY Giants</v>
      </c>
      <c r="I450" s="46" t="str">
        <f>IF(+NFL!$F231="NY Giants",+NFL!I231,IF(+NFL!$H231="NY Giants",+NFL!I231,0))</f>
        <v>NFCE</v>
      </c>
      <c r="J450" s="353" t="str">
        <f>IF(+NFL!$F231="NY Giants",+NFL!J231,IF(+NFL!$H231="NY Giants",+NFL!J231,0))</f>
        <v>Washington</v>
      </c>
      <c r="K450" s="494" t="str">
        <f>IF(+NFL!$F231="NY Giants",+NFL!K231,IF(+NFL!$H231="NY Giants",+NFL!K231,0))</f>
        <v>NY Giants</v>
      </c>
      <c r="L450" s="384">
        <f>IF(+NFL!$F231="NY Giants",+NFL!L231,IF(+NFL!$H231="NY Giants",+NFL!L231,0))</f>
        <v>2.5</v>
      </c>
      <c r="M450" s="385">
        <f>IF(+NFL!$F231="NY Giants",+NFL!M231,IF(+NFL!$H231="NY Giants",+NFL!M231,0))</f>
        <v>40.5</v>
      </c>
      <c r="N450" s="394" t="str">
        <f>IF(+NFL!$F231="NY Giants",+NFL!N231,IF(+NFL!$H231="NY Giants",+NFL!N231,0))</f>
        <v>NY Giants</v>
      </c>
      <c r="O450" s="395">
        <f>IF(+NFL!$F231="NY Giants",+NFL!O231,IF(+NFL!$H231="NY Giants",+NFL!O231,0))</f>
        <v>20</v>
      </c>
      <c r="P450" s="394" t="str">
        <f>IF(+NFL!$F231="NY Giants",+NFL!P231,IF(+NFL!$H231="NY Giants",+NFL!P231,0))</f>
        <v>Washington</v>
      </c>
      <c r="Q450" s="396">
        <f>IF(+NFL!$F231="NY Giants",+NFL!Q231,IF(+NFL!$H231="NY Giants",+NFL!Q231,0))</f>
        <v>20</v>
      </c>
      <c r="R450" s="397" t="str">
        <f>IF(+NFL!$F231="NY Giants",+NFL!R231,IF(+NFL!$H231="NY Giants",+NFL!R231,0))</f>
        <v>NY Giants</v>
      </c>
      <c r="S450" s="396" t="str">
        <f>IF(+NFL!$F231="NY Giants",+NFL!S231,IF(+NFL!$H231="NY Giants",+NFL!S231,0))</f>
        <v>Washington</v>
      </c>
      <c r="T450" s="398" t="str">
        <f>IF(+NFL!$F231="NY Giants",+NFL!T231,IF(+NFL!$H231="NY Giants",+NFL!T231,0))</f>
        <v>Washington</v>
      </c>
      <c r="U450" s="396" t="str">
        <f>IF(+NFL!$F231="NY Giants",+NFL!U231,IF(+NFL!$H231="NY Giants",+NFL!U231,0))</f>
        <v>L</v>
      </c>
      <c r="V450" s="397">
        <f>IF(+NFL!$F242="NY Giants",+NFL!#REF!,IF(+NFL!$H242="NY Giants",+NFL!#REF!,0))</f>
        <v>0</v>
      </c>
      <c r="W450" s="396">
        <f>IF(+NFL!$F242="NY Giants",+NFL!#REF!,IF(+NFL!$H242="NY Giants",+NFL!#REF!,0))</f>
        <v>0</v>
      </c>
      <c r="X450" s="398">
        <f>IF(+NFL!$F242="NY Giants",+NFL!#REF!,IF(+NFL!$H242="NY Giants",+NFL!#REF!,0))</f>
        <v>0</v>
      </c>
      <c r="Y450" s="396">
        <f>IF(+NFL!$F242="NY Giants",+NFL!#REF!,IF(+NFL!$H242="NY Giants",+NFL!#REF!,0))</f>
        <v>0</v>
      </c>
      <c r="Z450" s="397">
        <f>IF(+NFL!$F242="NY Giants",+NFL!#REF!,IF(+NFL!$H242="NY Giants",+NFL!#REF!,0))</f>
        <v>0</v>
      </c>
      <c r="AA450" s="396">
        <f>IF(+NFL!$F242="NY Giants",+NFL!#REF!,IF(+NFL!$H242="NY Giants",+NFL!#REF!,0))</f>
        <v>0</v>
      </c>
      <c r="AB450" s="87">
        <f>IF(+NFL!$F242="NY Giants",+NFL!#REF!,IF(+NFL!$H242="NY Giants",+NFL!#REF!,0))</f>
        <v>0</v>
      </c>
      <c r="AC450" s="120">
        <f>IF(+NFL!$F242="NY Giants",+NFL!#REF!,IF(+NFL!$H242="NY Giants",+NFL!#REF!,0))</f>
        <v>0</v>
      </c>
      <c r="AD450" s="353">
        <f>IF(+NFL!$F242="NY Giants",+NFL!#REF!,IF(+NFL!$H242="NY Giants",+NFL!#REF!,0))</f>
        <v>0</v>
      </c>
      <c r="AE450" s="379">
        <f>IF(+NFL!$F242="NY Giants",+NFL!#REF!,IF(+NFL!$H242="NY Giants",+NFL!#REF!,0))</f>
        <v>0</v>
      </c>
      <c r="AF450" s="353">
        <f>IF(+NFL!$F242="NY Giants",+NFL!#REF!,IF(+NFL!$H242="NY Giants",+NFL!#REF!,0))</f>
        <v>0</v>
      </c>
      <c r="AG450" s="379">
        <f>IF(+NFL!$F242="NY Giants",+NFL!#REF!,IF(+NFL!$H242="NY Giants",+NFL!#REF!,0))</f>
        <v>0</v>
      </c>
      <c r="AH450" s="353">
        <f>IF(+NFL!$F242="NY Giants",+NFL!#REF!,IF(+NFL!$H242="NY Giants",+NFL!#REF!,0))</f>
        <v>0</v>
      </c>
      <c r="AI450" s="379">
        <f>IF(+NFL!$F242="NY Giants",+NFL!#REF!,IF(+NFL!$H242="NY Giants",+NFL!#REF!,0))</f>
        <v>0</v>
      </c>
      <c r="AJ450" s="353">
        <f>IF(+NFL!$F242="NY Giants",+NFL!#REF!,IF(+NFL!$H242="NY Giants",+NFL!#REF!,0))</f>
        <v>0</v>
      </c>
      <c r="AK450" s="379">
        <f>IF(+NFL!$F242="NY Giants",+NFL!#REF!,IF(+NFL!$H242="NY Giants",+NFL!#REF!,0))</f>
        <v>0</v>
      </c>
      <c r="AL450" s="68">
        <f>IF(+NFL!$F242="NY Giants",+NFL!#REF!,IF(+NFL!$H242="NY Giants",+NFL!#REF!,0))</f>
        <v>0</v>
      </c>
      <c r="AM450" s="58">
        <f>IF(+NFL!$F242="NY Giants",+NFL!#REF!,IF(+NFL!$H242="NY Giants",+NFL!#REF!,0))</f>
        <v>0</v>
      </c>
      <c r="AN450" s="57">
        <f>IF(+NFL!$F242="NY Giants",+NFL!#REF!,IF(+NFL!$H242="NY Giants",+NFL!#REF!,0))</f>
        <v>0</v>
      </c>
      <c r="AO450" s="59">
        <f>IF(+NFL!$F242="NY Giants",+NFL!#REF!,IF(+NFL!$H242="NY Giants",+NFL!#REF!,0))</f>
        <v>0</v>
      </c>
      <c r="AP450" s="348">
        <f>IF(+NFL!$F242="NY Giants",+NFL!#REF!,IF(+NFL!$H242="NY Giants",+NFL!#REF!,0))</f>
        <v>0</v>
      </c>
      <c r="AQ450" s="48">
        <f>IF(+NFL!$F242="NY Giants",+NFL!#REF!,IF(+NFL!$H242="NY Giants",+NFL!#REF!,0))</f>
        <v>0</v>
      </c>
      <c r="AR450" s="57">
        <f>IF(+NFL!$F242="NY Giants",+NFL!#REF!,IF(+NFL!$H242="NY Giants",+NFL!#REF!,0))</f>
        <v>0</v>
      </c>
      <c r="AS450" s="64">
        <f>IF(+NFL!$F242="NY Giants",+NFL!#REF!,IF(+NFL!$H242="NY Giants",+NFL!#REF!,0))</f>
        <v>0</v>
      </c>
      <c r="AT450" s="64">
        <f>IF(+NFL!$F242="NY Giants",+NFL!#REF!,IF(+NFL!$H242="NY Giants",+NFL!#REF!,0))</f>
        <v>0</v>
      </c>
      <c r="AU450" s="57">
        <f>IF(+NFL!$F242="NY Giants",+NFL!#REF!,IF(+NFL!$H242="NY Giants",+NFL!#REF!,0))</f>
        <v>0</v>
      </c>
      <c r="AV450" s="64">
        <f>IF(+NFL!$F242="NY Giants",+NFL!#REF!,IF(+NFL!$H242="NY Giants",+NFL!#REF!,0))</f>
        <v>0</v>
      </c>
      <c r="AW450" s="46">
        <f>IF(+NFL!$F242="NY Giants",+NFL!#REF!,IF(+NFL!$H242="NY Giants",+NFL!#REF!,0))</f>
        <v>0</v>
      </c>
      <c r="AX450" s="64">
        <f>IF(+NFL!$F242="NY Giants",+NFL!#REF!,IF(+NFL!$H242="NY Giants",+NFL!#REF!,0))</f>
        <v>0</v>
      </c>
      <c r="AY450" s="57">
        <f>IF(+NFL!$F242="NY Giants",+NFL!#REF!,IF(+NFL!$H242="NY Giants",+NFL!#REF!,0))</f>
        <v>0</v>
      </c>
      <c r="AZ450" s="64">
        <f>IF(+NFL!$F242="NY Giants",+NFL!#REF!,IF(+NFL!$H242="NY Giants",+NFL!#REF!,0))</f>
        <v>0</v>
      </c>
      <c r="BA450" s="46">
        <f>IF(+NFL!$F242="NY Giants",+NFL!#REF!,IF(+NFL!$H242="NY Giants",+NFL!#REF!,0))</f>
        <v>0</v>
      </c>
      <c r="BB450" s="46">
        <f>IF(+NFL!$F242="NY Giants",+NFL!#REF!,IF(+NFL!$H242="NY Giants",+NFL!#REF!,0))</f>
        <v>0</v>
      </c>
      <c r="BC450" s="403">
        <f>IF(+NFL!$F242="NY Giants",+NFL!#REF!,IF(+NFL!$H242="NY Giants",+NFL!#REF!,0))</f>
        <v>0</v>
      </c>
      <c r="BD450" s="57">
        <f>IF(+NFL!$F242="NY Giants",+NFL!#REF!,IF(+NFL!$H242="NY Giants",+NFL!#REF!,0))</f>
        <v>0</v>
      </c>
      <c r="BE450" s="64">
        <f>IF(+NFL!$F242="NY Giants",+NFL!#REF!,IF(+NFL!$H242="NY Giants",+NFL!#REF!,0))</f>
        <v>0</v>
      </c>
      <c r="BF450" s="46">
        <f>IF(+NFL!$F242="NY Giants",+NFL!#REF!,IF(+NFL!$H242="NY Giants",+NFL!#REF!,0))</f>
        <v>0</v>
      </c>
      <c r="BG450" s="57">
        <f>IF(+NFL!$F242="NY Giants",+NFL!#REF!,IF(+NFL!$H242="NY Giants",+NFL!#REF!,0))</f>
        <v>0</v>
      </c>
      <c r="BH450" s="64">
        <f>IF(+NFL!$F242="NY Giants",+NFL!#REF!,IF(+NFL!$H242="NY Giants",+NFL!#REF!,0))</f>
        <v>0</v>
      </c>
      <c r="BI450" s="46">
        <f>IF(+NFL!$F242="NY Giants",+NFL!#REF!,IF(+NFL!$H242="NY Giants",+NFL!#REF!,0))</f>
        <v>0</v>
      </c>
      <c r="BJ450" s="87">
        <f>IF(+NFL!$F242="NY Giants",+NFL!#REF!,IF(+NFL!$H242="NY Giants",+NFL!#REF!,0))</f>
        <v>0</v>
      </c>
      <c r="BK450" s="120">
        <f>IF(+NFL!$F242="NY Giants",+NFL!#REF!,IF(+NFL!$H242="NY Giants",+NFL!#REF!,0))</f>
        <v>0</v>
      </c>
    </row>
    <row r="451" spans="1:63" s="246" customFormat="1" x14ac:dyDescent="0.8">
      <c r="A451" s="46">
        <f>IF(+NFL!$F251="NY Giants",+NFL!A251,IF(+NFL!$H251="NY Giants",+NFL!A251,0))</f>
        <v>14</v>
      </c>
      <c r="B451" s="348" t="str">
        <f>IF(+NFL!$F251="NY Giants",+NFL!B251,IF(+NFL!$H251="NY Giants",+NFL!B251,0))</f>
        <v>Sun</v>
      </c>
      <c r="C451" s="48">
        <f>IF(+NFL!$F251="NY Giants",+NFL!C251,IF(+NFL!$H251="NY Giants",+NFL!C251,0))</f>
        <v>44906</v>
      </c>
      <c r="D451" s="490">
        <f>IF(+NFL!$F251="NY Giants",+NFL!D251,IF(+NFL!$H251="NY Giants",+NFL!D251,0))</f>
        <v>0.54166666666666663</v>
      </c>
      <c r="E451" s="46" t="str">
        <f>IF(+NFL!$F251="NY Giants",+NFL!E251,IF(+NFL!$H251="NY Giants",+NFL!E251,0))</f>
        <v>Fox</v>
      </c>
      <c r="F451" s="127" t="str">
        <f>IF(+NFL!$F251="NY Giants",+NFL!F251,IF(+NFL!$H251="NY Giants",+NFL!F251,0))</f>
        <v>Philadelphia</v>
      </c>
      <c r="G451" s="46" t="str">
        <f>IF(+NFL!$F251="NY Giants",+NFL!G251,IF(+NFL!$H251="NY Giants",+NFL!G251,0))</f>
        <v>NFCE</v>
      </c>
      <c r="H451" s="127" t="str">
        <f>IF(+NFL!$F251="NY Giants",+NFL!H251,IF(+NFL!$H251="NY Giants",+NFL!H251,0))</f>
        <v>NY Giants</v>
      </c>
      <c r="I451" s="46" t="str">
        <f>IF(+NFL!$F251="NY Giants",+NFL!I251,IF(+NFL!$H251="NY Giants",+NFL!I251,0))</f>
        <v>NFCE</v>
      </c>
      <c r="J451" s="353" t="str">
        <f>IF(+NFL!$F251="NY Giants",+NFL!J251,IF(+NFL!$H251="NY Giants",+NFL!J251,0))</f>
        <v>Philadelphia</v>
      </c>
      <c r="K451" s="494" t="str">
        <f>IF(+NFL!$F251="NY Giants",+NFL!K251,IF(+NFL!$H251="NY Giants",+NFL!K251,0))</f>
        <v>NY Giants</v>
      </c>
      <c r="L451" s="384">
        <f>IF(+NFL!$F251="NY Giants",+NFL!L251,IF(+NFL!$H251="NY Giants",+NFL!L251,0))</f>
        <v>10.5</v>
      </c>
      <c r="M451" s="385">
        <f>IF(+NFL!$F251="NY Giants",+NFL!M251,IF(+NFL!$H251="NY Giants",+NFL!M251,0))</f>
        <v>41.5</v>
      </c>
      <c r="N451" s="394" t="str">
        <f>IF(+NFL!$F251="NY Giants",+NFL!N251,IF(+NFL!$H251="NY Giants",+NFL!N251,0))</f>
        <v>Philadelphia</v>
      </c>
      <c r="O451" s="395">
        <f>IF(+NFL!$F251="NY Giants",+NFL!O251,IF(+NFL!$H251="NY Giants",+NFL!O251,0))</f>
        <v>48</v>
      </c>
      <c r="P451" s="394" t="str">
        <f>IF(+NFL!$F251="NY Giants",+NFL!P251,IF(+NFL!$H251="NY Giants",+NFL!P251,0))</f>
        <v>NY Giants</v>
      </c>
      <c r="Q451" s="396">
        <f>IF(+NFL!$F251="NY Giants",+NFL!Q251,IF(+NFL!$H251="NY Giants",+NFL!Q251,0))</f>
        <v>22</v>
      </c>
      <c r="R451" s="397" t="str">
        <f>IF(+NFL!$F251="NY Giants",+NFL!R251,IF(+NFL!$H251="NY Giants",+NFL!R251,0))</f>
        <v>Philadelphia</v>
      </c>
      <c r="S451" s="396" t="str">
        <f>IF(+NFL!$F251="NY Giants",+NFL!S251,IF(+NFL!$H251="NY Giants",+NFL!S251,0))</f>
        <v>NY Giants</v>
      </c>
      <c r="T451" s="398">
        <f>IF(+NFL!$F251="NY Giants",+NFL!T251,IF(+NFL!$H251="NY Giants",+NFL!T251,0))</f>
        <v>0</v>
      </c>
      <c r="U451" s="396" t="str">
        <f>IF(+NFL!$F251="NY Giants",+NFL!U251,IF(+NFL!$H251="NY Giants",+NFL!U251,0))</f>
        <v>L</v>
      </c>
      <c r="V451" s="397" t="e">
        <f>IF(+NFL!$F251="NY Giants",+NFL!#REF!,IF(+NFL!$H251="NY Giants",+NFL!#REF!,0))</f>
        <v>#REF!</v>
      </c>
      <c r="W451" s="396" t="e">
        <f>IF(+NFL!$F251="NY Giants",+NFL!#REF!,IF(+NFL!$H251="NY Giants",+NFL!#REF!,0))</f>
        <v>#REF!</v>
      </c>
      <c r="X451" s="398" t="e">
        <f>IF(+NFL!$F251="NY Giants",+NFL!#REF!,IF(+NFL!$H251="NY Giants",+NFL!#REF!,0))</f>
        <v>#REF!</v>
      </c>
      <c r="Y451" s="396" t="e">
        <f>IF(+NFL!$F251="NY Giants",+NFL!#REF!,IF(+NFL!$H251="NY Giants",+NFL!#REF!,0))</f>
        <v>#REF!</v>
      </c>
      <c r="Z451" s="397" t="e">
        <f>IF(+NFL!$F251="NY Giants",+NFL!#REF!,IF(+NFL!$H251="NY Giants",+NFL!#REF!,0))</f>
        <v>#REF!</v>
      </c>
      <c r="AA451" s="396" t="e">
        <f>IF(+NFL!$F251="NY Giants",+NFL!#REF!,IF(+NFL!$H251="NY Giants",+NFL!#REF!,0))</f>
        <v>#REF!</v>
      </c>
      <c r="AB451" s="87" t="e">
        <f>IF(+NFL!$F251="NY Giants",+NFL!#REF!,IF(+NFL!$H251="NY Giants",+NFL!#REF!,0))</f>
        <v>#REF!</v>
      </c>
      <c r="AC451" s="120" t="e">
        <f>IF(+NFL!$F251="NY Giants",+NFL!#REF!,IF(+NFL!$H251="NY Giants",+NFL!#REF!,0))</f>
        <v>#REF!</v>
      </c>
      <c r="AD451" s="353" t="e">
        <f>IF(+NFL!$F251="NY Giants",+NFL!#REF!,IF(+NFL!$H251="NY Giants",+NFL!#REF!,0))</f>
        <v>#REF!</v>
      </c>
      <c r="AE451" s="379" t="e">
        <f>IF(+NFL!$F251="NY Giants",+NFL!#REF!,IF(+NFL!$H251="NY Giants",+NFL!#REF!,0))</f>
        <v>#REF!</v>
      </c>
      <c r="AF451" s="353" t="e">
        <f>IF(+NFL!$F251="NY Giants",+NFL!#REF!,IF(+NFL!$H251="NY Giants",+NFL!#REF!,0))</f>
        <v>#REF!</v>
      </c>
      <c r="AG451" s="379" t="e">
        <f>IF(+NFL!$F251="NY Giants",+NFL!#REF!,IF(+NFL!$H251="NY Giants",+NFL!#REF!,0))</f>
        <v>#REF!</v>
      </c>
      <c r="AH451" s="353" t="e">
        <f>IF(+NFL!$F251="NY Giants",+NFL!#REF!,IF(+NFL!$H251="NY Giants",+NFL!#REF!,0))</f>
        <v>#REF!</v>
      </c>
      <c r="AI451" s="379" t="e">
        <f>IF(+NFL!$F251="NY Giants",+NFL!#REF!,IF(+NFL!$H251="NY Giants",+NFL!#REF!,0))</f>
        <v>#REF!</v>
      </c>
      <c r="AJ451" s="353" t="e">
        <f>IF(+NFL!$F251="NY Giants",+NFL!#REF!,IF(+NFL!$H251="NY Giants",+NFL!#REF!,0))</f>
        <v>#REF!</v>
      </c>
      <c r="AK451" s="379" t="e">
        <f>IF(+NFL!$F251="NY Giants",+NFL!#REF!,IF(+NFL!$H251="NY Giants",+NFL!#REF!,0))</f>
        <v>#REF!</v>
      </c>
      <c r="AL451" s="68" t="e">
        <f>IF(+NFL!$F251="NY Giants",+NFL!#REF!,IF(+NFL!$H251="NY Giants",+NFL!#REF!,0))</f>
        <v>#REF!</v>
      </c>
      <c r="AM451" s="58" t="e">
        <f>IF(+NFL!$F251="NY Giants",+NFL!#REF!,IF(+NFL!$H251="NY Giants",+NFL!#REF!,0))</f>
        <v>#REF!</v>
      </c>
      <c r="AN451" s="57" t="e">
        <f>IF(+NFL!$F251="NY Giants",+NFL!#REF!,IF(+NFL!$H251="NY Giants",+NFL!#REF!,0))</f>
        <v>#REF!</v>
      </c>
      <c r="AO451" s="59" t="e">
        <f>IF(+NFL!$F251="NY Giants",+NFL!#REF!,IF(+NFL!$H251="NY Giants",+NFL!#REF!,0))</f>
        <v>#REF!</v>
      </c>
      <c r="AP451" s="348" t="e">
        <f>IF(+NFL!$F251="NY Giants",+NFL!#REF!,IF(+NFL!$H251="NY Giants",+NFL!#REF!,0))</f>
        <v>#REF!</v>
      </c>
      <c r="AQ451" s="48" t="e">
        <f>IF(+NFL!$F251="NY Giants",+NFL!#REF!,IF(+NFL!$H251="NY Giants",+NFL!#REF!,0))</f>
        <v>#REF!</v>
      </c>
      <c r="AR451" s="57" t="e">
        <f>IF(+NFL!$F251="NY Giants",+NFL!#REF!,IF(+NFL!$H251="NY Giants",+NFL!#REF!,0))</f>
        <v>#REF!</v>
      </c>
      <c r="AS451" s="493" t="e">
        <f>IF(+NFL!$F251="NY Giants",+NFL!#REF!,IF(+NFL!$H251="NY Giants",+NFL!#REF!,0))</f>
        <v>#REF!</v>
      </c>
      <c r="AT451" s="493" t="e">
        <f>IF(+NFL!$F251="NY Giants",+NFL!#REF!,IF(+NFL!$H251="NY Giants",+NFL!#REF!,0))</f>
        <v>#REF!</v>
      </c>
      <c r="AU451" s="57" t="e">
        <f>IF(+NFL!$F251="NY Giants",+NFL!#REF!,IF(+NFL!$H251="NY Giants",+NFL!#REF!,0))</f>
        <v>#REF!</v>
      </c>
      <c r="AV451" s="493" t="e">
        <f>IF(+NFL!$F251="NY Giants",+NFL!#REF!,IF(+NFL!$H251="NY Giants",+NFL!#REF!,0))</f>
        <v>#REF!</v>
      </c>
      <c r="AW451" s="46" t="e">
        <f>IF(+NFL!$F251="NY Giants",+NFL!#REF!,IF(+NFL!$H251="NY Giants",+NFL!#REF!,0))</f>
        <v>#REF!</v>
      </c>
      <c r="AX451" s="493" t="e">
        <f>IF(+NFL!$F251="NY Giants",+NFL!#REF!,IF(+NFL!$H251="NY Giants",+NFL!#REF!,0))</f>
        <v>#REF!</v>
      </c>
      <c r="AY451" s="57" t="e">
        <f>IF(+NFL!$F251="NY Giants",+NFL!#REF!,IF(+NFL!$H251="NY Giants",+NFL!#REF!,0))</f>
        <v>#REF!</v>
      </c>
      <c r="AZ451" s="493" t="e">
        <f>IF(+NFL!$F251="NY Giants",+NFL!#REF!,IF(+NFL!$H251="NY Giants",+NFL!#REF!,0))</f>
        <v>#REF!</v>
      </c>
      <c r="BA451" s="46" t="e">
        <f>IF(+NFL!$F251="NY Giants",+NFL!#REF!,IF(+NFL!$H251="NY Giants",+NFL!#REF!,0))</f>
        <v>#REF!</v>
      </c>
      <c r="BB451" s="46" t="e">
        <f>IF(+NFL!$F251="NY Giants",+NFL!#REF!,IF(+NFL!$H251="NY Giants",+NFL!#REF!,0))</f>
        <v>#REF!</v>
      </c>
      <c r="BC451" s="403" t="e">
        <f>IF(+NFL!$F251="NY Giants",+NFL!#REF!,IF(+NFL!$H251="NY Giants",+NFL!#REF!,0))</f>
        <v>#REF!</v>
      </c>
      <c r="BD451" s="57" t="e">
        <f>IF(+NFL!$F251="NY Giants",+NFL!#REF!,IF(+NFL!$H251="NY Giants",+NFL!#REF!,0))</f>
        <v>#REF!</v>
      </c>
      <c r="BE451" s="493" t="e">
        <f>IF(+NFL!$F251="NY Giants",+NFL!#REF!,IF(+NFL!$H251="NY Giants",+NFL!#REF!,0))</f>
        <v>#REF!</v>
      </c>
      <c r="BF451" s="46" t="e">
        <f>IF(+NFL!$F271="NY Giants",+NFL!#REF!,IF(+NFL!$H271="NY Giants",+NFL!#REF!,0))</f>
        <v>#REF!</v>
      </c>
      <c r="BG451" s="57" t="e">
        <f>IF(+NFL!$F271="NY Giants",+NFL!#REF!,IF(+NFL!$H271="NY Giants",+NFL!#REF!,0))</f>
        <v>#REF!</v>
      </c>
      <c r="BH451" s="493" t="e">
        <f>IF(+NFL!$F271="NY Giants",+NFL!#REF!,IF(+NFL!$H271="NY Giants",+NFL!#REF!,0))</f>
        <v>#REF!</v>
      </c>
      <c r="BI451" s="46" t="e">
        <f>IF(+NFL!$F271="NY Giants",+NFL!#REF!,IF(+NFL!$H271="NY Giants",+NFL!#REF!,0))</f>
        <v>#REF!</v>
      </c>
      <c r="BJ451" s="87" t="e">
        <f>IF(+NFL!$F271="NY Giants",+NFL!#REF!,IF(+NFL!$H271="NY Giants",+NFL!#REF!,0))</f>
        <v>#REF!</v>
      </c>
      <c r="BK451" s="120" t="e">
        <f>IF(+NFL!$F271="NY Giants",+NFL!#REF!,IF(+NFL!$H271="NY Giants",+NFL!#REF!,0))</f>
        <v>#REF!</v>
      </c>
    </row>
    <row r="452" spans="1:63" s="246" customFormat="1" x14ac:dyDescent="0.8">
      <c r="A452" s="46">
        <f>IF(+NFL!$F271="NY Giants",+NFL!A271,IF(+NFL!$H271="NY Giants",+NFL!A271,0))</f>
        <v>15</v>
      </c>
      <c r="B452" s="348" t="str">
        <f>IF(+NFL!$F271="NY Giants",+NFL!B271,IF(+NFL!$H271="NY Giants",+NFL!B271,0))</f>
        <v>Sun</v>
      </c>
      <c r="C452" s="48">
        <f>IF(+NFL!$F271="NY Giants",+NFL!C271,IF(+NFL!$H271="NY Giants",+NFL!C271,0))</f>
        <v>44913</v>
      </c>
      <c r="D452" s="490">
        <f>IF(+NFL!$F271="NY Giants",+NFL!D271,IF(+NFL!$H271="NY Giants",+NFL!D271,0))</f>
        <v>0.54166666666666663</v>
      </c>
      <c r="E452" s="46" t="str">
        <f>IF(+NFL!$F271="NY Giants",+NFL!E271,IF(+NFL!$H271="NY Giants",+NFL!E271,0))</f>
        <v>Fox</v>
      </c>
      <c r="F452" s="127" t="str">
        <f>IF(+NFL!$F271="NY Giants",+NFL!F271,IF(+NFL!$H271="NY Giants",+NFL!F271,0))</f>
        <v>NY Giants</v>
      </c>
      <c r="G452" s="46" t="str">
        <f>IF(+NFL!$F271="NY Giants",+NFL!G271,IF(+NFL!$H271="NY Giants",+NFL!G271,0))</f>
        <v>NFCE</v>
      </c>
      <c r="H452" s="127" t="str">
        <f>IF(+NFL!$F271="NY Giants",+NFL!H271,IF(+NFL!$H271="NY Giants",+NFL!H271,0))</f>
        <v>Washington</v>
      </c>
      <c r="I452" s="46" t="str">
        <f>IF(+NFL!$F271="NY Giants",+NFL!I271,IF(+NFL!$H271="NY Giants",+NFL!I271,0))</f>
        <v>NFCE</v>
      </c>
      <c r="J452" s="353" t="str">
        <f>IF(+NFL!$F271="NY Giants",+NFL!J271,IF(+NFL!$H271="NY Giants",+NFL!J271,0))</f>
        <v>Washington</v>
      </c>
      <c r="K452" s="494" t="str">
        <f>IF(+NFL!$F271="NY Giants",+NFL!K271,IF(+NFL!$H271="NY Giants",+NFL!K271,0))</f>
        <v>NY Giants</v>
      </c>
      <c r="L452" s="384">
        <f>IF(+NFL!$F271="NY Giants",+NFL!L271,IF(+NFL!$H271="NY Giants",+NFL!L271,0))</f>
        <v>3.5</v>
      </c>
      <c r="M452" s="385">
        <f>IF(+NFL!$F271="NY Giants",+NFL!M271,IF(+NFL!$H271="NY Giants",+NFL!M271,0))</f>
        <v>40</v>
      </c>
      <c r="N452" s="394" t="str">
        <f>IF(+NFL!$F271="NY Giants",+NFL!N271,IF(+NFL!$H271="NY Giants",+NFL!N271,0))</f>
        <v>NY Giants</v>
      </c>
      <c r="O452" s="395">
        <f>IF(+NFL!$F271="NY Giants",+NFL!O271,IF(+NFL!$H271="NY Giants",+NFL!O271,0))</f>
        <v>20</v>
      </c>
      <c r="P452" s="394" t="str">
        <f>IF(+NFL!$F271="NY Giants",+NFL!P271,IF(+NFL!$H271="NY Giants",+NFL!P271,0))</f>
        <v>Washington</v>
      </c>
      <c r="Q452" s="396">
        <f>IF(+NFL!$F271="NY Giants",+NFL!Q271,IF(+NFL!$H271="NY Giants",+NFL!Q271,0))</f>
        <v>12</v>
      </c>
      <c r="R452" s="397" t="str">
        <f>IF(+NFL!$F271="NY Giants",+NFL!R271,IF(+NFL!$H271="NY Giants",+NFL!R271,0))</f>
        <v>NY Giants</v>
      </c>
      <c r="S452" s="396" t="str">
        <f>IF(+NFL!$F271="NY Giants",+NFL!S271,IF(+NFL!$H271="NY Giants",+NFL!S271,0))</f>
        <v>Washington</v>
      </c>
      <c r="T452" s="398">
        <f>IF(+NFL!$F271="NY Giants",+NFL!T271,IF(+NFL!$H271="NY Giants",+NFL!T271,0))</f>
        <v>0</v>
      </c>
      <c r="U452" s="396" t="str">
        <f>IF(+NFL!$F271="NY Giants",+NFL!U271,IF(+NFL!$H271="NY Giants",+NFL!U271,0))</f>
        <v>L</v>
      </c>
      <c r="V452" s="397">
        <f>IF(+NFL!$F272="NY Giants",+NFL!#REF!,IF(+NFL!$H272="NY Giants",+NFL!#REF!,0))</f>
        <v>0</v>
      </c>
      <c r="W452" s="396">
        <f>IF(+NFL!$F272="NY Giants",+NFL!#REF!,IF(+NFL!$H272="NY Giants",+NFL!#REF!,0))</f>
        <v>0</v>
      </c>
      <c r="X452" s="398">
        <f>IF(+NFL!$F272="NY Giants",+NFL!#REF!,IF(+NFL!$H272="NY Giants",+NFL!#REF!,0))</f>
        <v>0</v>
      </c>
      <c r="Y452" s="396">
        <f>IF(+NFL!$F272="NY Giants",+NFL!#REF!,IF(+NFL!$H272="NY Giants",+NFL!#REF!,0))</f>
        <v>0</v>
      </c>
      <c r="Z452" s="397">
        <f>IF(+NFL!$F272="NY Giants",+NFL!#REF!,IF(+NFL!$H272="NY Giants",+NFL!#REF!,0))</f>
        <v>0</v>
      </c>
      <c r="AA452" s="396">
        <f>IF(+NFL!$F272="NY Giants",+NFL!#REF!,IF(+NFL!$H272="NY Giants",+NFL!#REF!,0))</f>
        <v>0</v>
      </c>
      <c r="AB452" s="87">
        <f>IF(+NFL!$F272="NY Giants",+NFL!#REF!,IF(+NFL!$H272="NY Giants",+NFL!#REF!,0))</f>
        <v>0</v>
      </c>
      <c r="AC452" s="120">
        <f>IF(+NFL!$F272="NY Giants",+NFL!#REF!,IF(+NFL!$H272="NY Giants",+NFL!#REF!,0))</f>
        <v>0</v>
      </c>
      <c r="AD452" s="353">
        <f>IF(+NFL!$F272="NY Giants",+NFL!#REF!,IF(+NFL!$H272="NY Giants",+NFL!#REF!,0))</f>
        <v>0</v>
      </c>
      <c r="AE452" s="379">
        <f>IF(+NFL!$F272="NY Giants",+NFL!#REF!,IF(+NFL!$H272="NY Giants",+NFL!#REF!,0))</f>
        <v>0</v>
      </c>
      <c r="AF452" s="353">
        <f>IF(+NFL!$F272="NY Giants",+NFL!#REF!,IF(+NFL!$H272="NY Giants",+NFL!#REF!,0))</f>
        <v>0</v>
      </c>
      <c r="AG452" s="379">
        <f>IF(+NFL!$F272="NY Giants",+NFL!#REF!,IF(+NFL!$H272="NY Giants",+NFL!#REF!,0))</f>
        <v>0</v>
      </c>
      <c r="AH452" s="353">
        <f>IF(+NFL!$F272="NY Giants",+NFL!#REF!,IF(+NFL!$H272="NY Giants",+NFL!#REF!,0))</f>
        <v>0</v>
      </c>
      <c r="AI452" s="379">
        <f>IF(+NFL!$F272="NY Giants",+NFL!#REF!,IF(+NFL!$H272="NY Giants",+NFL!#REF!,0))</f>
        <v>0</v>
      </c>
      <c r="AJ452" s="353">
        <f>IF(+NFL!$F272="NY Giants",+NFL!#REF!,IF(+NFL!$H272="NY Giants",+NFL!#REF!,0))</f>
        <v>0</v>
      </c>
      <c r="AK452" s="379">
        <f>IF(+NFL!$F272="NY Giants",+NFL!#REF!,IF(+NFL!$H272="NY Giants",+NFL!#REF!,0))</f>
        <v>0</v>
      </c>
      <c r="AL452" s="68">
        <f>IF(+NFL!$F272="NY Giants",+NFL!#REF!,IF(+NFL!$H272="NY Giants",+NFL!#REF!,0))</f>
        <v>0</v>
      </c>
      <c r="AM452" s="58">
        <f>IF(+NFL!$F272="NY Giants",+NFL!#REF!,IF(+NFL!$H272="NY Giants",+NFL!#REF!,0))</f>
        <v>0</v>
      </c>
      <c r="AN452" s="57">
        <f>IF(+NFL!$F272="NY Giants",+NFL!#REF!,IF(+NFL!$H272="NY Giants",+NFL!#REF!,0))</f>
        <v>0</v>
      </c>
      <c r="AO452" s="59">
        <f>IF(+NFL!$F272="NY Giants",+NFL!#REF!,IF(+NFL!$H272="NY Giants",+NFL!#REF!,0))</f>
        <v>0</v>
      </c>
      <c r="AP452" s="348">
        <f>IF(+NFL!$F272="NY Giants",+NFL!#REF!,IF(+NFL!$H272="NY Giants",+NFL!#REF!,0))</f>
        <v>0</v>
      </c>
      <c r="AQ452" s="48">
        <f>IF(+NFL!$F272="NY Giants",+NFL!#REF!,IF(+NFL!$H272="NY Giants",+NFL!#REF!,0))</f>
        <v>0</v>
      </c>
      <c r="AR452" s="57">
        <f>IF(+NFL!$F272="NY Giants",+NFL!#REF!,IF(+NFL!$H272="NY Giants",+NFL!#REF!,0))</f>
        <v>0</v>
      </c>
      <c r="AS452" s="64">
        <f>IF(+NFL!$F272="NY Giants",+NFL!#REF!,IF(+NFL!$H272="NY Giants",+NFL!#REF!,0))</f>
        <v>0</v>
      </c>
      <c r="AT452" s="64">
        <f>IF(+NFL!$F272="NY Giants",+NFL!#REF!,IF(+NFL!$H272="NY Giants",+NFL!#REF!,0))</f>
        <v>0</v>
      </c>
      <c r="AU452" s="57">
        <f>IF(+NFL!$F272="NY Giants",+NFL!#REF!,IF(+NFL!$H272="NY Giants",+NFL!#REF!,0))</f>
        <v>0</v>
      </c>
      <c r="AV452" s="64">
        <f>IF(+NFL!$F272="NY Giants",+NFL!#REF!,IF(+NFL!$H272="NY Giants",+NFL!#REF!,0))</f>
        <v>0</v>
      </c>
      <c r="AW452" s="46">
        <f>IF(+NFL!$F272="NY Giants",+NFL!#REF!,IF(+NFL!$H272="NY Giants",+NFL!#REF!,0))</f>
        <v>0</v>
      </c>
      <c r="AX452" s="64">
        <f>IF(+NFL!$F272="NY Giants",+NFL!#REF!,IF(+NFL!$H272="NY Giants",+NFL!#REF!,0))</f>
        <v>0</v>
      </c>
      <c r="AY452" s="57">
        <f>IF(+NFL!$F272="NY Giants",+NFL!#REF!,IF(+NFL!$H272="NY Giants",+NFL!#REF!,0))</f>
        <v>0</v>
      </c>
      <c r="AZ452" s="64">
        <f>IF(+NFL!$F272="NY Giants",+NFL!#REF!,IF(+NFL!$H272="NY Giants",+NFL!#REF!,0))</f>
        <v>0</v>
      </c>
      <c r="BA452" s="46">
        <f>IF(+NFL!$F272="NY Giants",+NFL!#REF!,IF(+NFL!$H272="NY Giants",+NFL!#REF!,0))</f>
        <v>0</v>
      </c>
      <c r="BB452" s="46">
        <f>IF(+NFL!$F272="NY Giants",+NFL!#REF!,IF(+NFL!$H272="NY Giants",+NFL!#REF!,0))</f>
        <v>0</v>
      </c>
      <c r="BC452" s="403">
        <f>IF(+NFL!$F272="NY Giants",+NFL!#REF!,IF(+NFL!$H272="NY Giants",+NFL!#REF!,0))</f>
        <v>0</v>
      </c>
      <c r="BD452" s="57">
        <f>IF(+NFL!$F272="NY Giants",+NFL!#REF!,IF(+NFL!$H272="NY Giants",+NFL!#REF!,0))</f>
        <v>0</v>
      </c>
      <c r="BE452" s="64">
        <f>IF(+NFL!$F272="NY Giants",+NFL!#REF!,IF(+NFL!$H272="NY Giants",+NFL!#REF!,0))</f>
        <v>0</v>
      </c>
      <c r="BF452" s="46">
        <f>IF(+NFL!$F272="NY Giants",+NFL!#REF!,IF(+NFL!$H272="NY Giants",+NFL!#REF!,0))</f>
        <v>0</v>
      </c>
      <c r="BG452" s="57">
        <f>IF(+NFL!$F272="NY Giants",+NFL!#REF!,IF(+NFL!$H272="NY Giants",+NFL!#REF!,0))</f>
        <v>0</v>
      </c>
      <c r="BH452" s="64">
        <f>IF(+NFL!$F272="NY Giants",+NFL!#REF!,IF(+NFL!$H272="NY Giants",+NFL!#REF!,0))</f>
        <v>0</v>
      </c>
      <c r="BI452" s="46">
        <f>IF(+NFL!$F272="NY Giants",+NFL!#REF!,IF(+NFL!$H272="NY Giants",+NFL!#REF!,0))</f>
        <v>0</v>
      </c>
      <c r="BJ452" s="87">
        <f>IF(+NFL!$F272="NY Giants",+NFL!#REF!,IF(+NFL!$H272="NY Giants",+NFL!#REF!,0))</f>
        <v>0</v>
      </c>
      <c r="BK452" s="120">
        <f>IF(+NFL!$F272="NY Giants",+NFL!#REF!,IF(+NFL!$H272="NY Giants",+NFL!#REF!,0))</f>
        <v>0</v>
      </c>
    </row>
    <row r="453" spans="1:63" s="246" customFormat="1" x14ac:dyDescent="0.8">
      <c r="A453" s="46">
        <f>IF(+NFL!$F288="NY Giants",+NFL!A288,IF(+NFL!$H288="NY Giants",+NFL!A288,0))</f>
        <v>16</v>
      </c>
      <c r="B453" s="348" t="str">
        <f>IF(+NFL!$F288="NY Giants",+NFL!B288,IF(+NFL!$H288="NY Giants",+NFL!B288,0))</f>
        <v>Sat</v>
      </c>
      <c r="C453" s="48">
        <f>IF(+NFL!$F288="NY Giants",+NFL!C288,IF(+NFL!$H288="NY Giants",+NFL!C288,0))</f>
        <v>44919</v>
      </c>
      <c r="D453" s="490">
        <f>IF(+NFL!$F288="NY Giants",+NFL!D288,IF(+NFL!$H288="NY Giants",+NFL!D288,0))</f>
        <v>0.54166666666666663</v>
      </c>
      <c r="E453" s="46" t="str">
        <f>IF(+NFL!$F288="NY Giants",+NFL!E288,IF(+NFL!$H288="NY Giants",+NFL!E288,0))</f>
        <v>Fox</v>
      </c>
      <c r="F453" s="127" t="str">
        <f>IF(+NFL!$F288="NY Giants",+NFL!F288,IF(+NFL!$H288="NY Giants",+NFL!F288,0))</f>
        <v>NY Giants</v>
      </c>
      <c r="G453" s="46" t="str">
        <f>IF(+NFL!$F288="NY Giants",+NFL!G288,IF(+NFL!$H288="NY Giants",+NFL!G288,0))</f>
        <v>NFCE</v>
      </c>
      <c r="H453" s="127" t="str">
        <f>IF(+NFL!$F288="NY Giants",+NFL!H288,IF(+NFL!$H288="NY Giants",+NFL!H288,0))</f>
        <v>Minnesota</v>
      </c>
      <c r="I453" s="46" t="str">
        <f>IF(+NFL!$F288="NY Giants",+NFL!I288,IF(+NFL!$H288="NY Giants",+NFL!I288,0))</f>
        <v>NFCN</v>
      </c>
      <c r="J453" s="353" t="str">
        <f>IF(+NFL!$F288="NY Giants",+NFL!J288,IF(+NFL!$H288="NY Giants",+NFL!J288,0))</f>
        <v>Minnesota</v>
      </c>
      <c r="K453" s="494" t="str">
        <f>IF(+NFL!$F288="NY Giants",+NFL!K288,IF(+NFL!$H288="NY Giants",+NFL!K288,0))</f>
        <v>NY Giants</v>
      </c>
      <c r="L453" s="384">
        <f>IF(+NFL!$F288="NY Giants",+NFL!L288,IF(+NFL!$H288="NY Giants",+NFL!L288,0))</f>
        <v>4.5</v>
      </c>
      <c r="M453" s="385">
        <f>IF(+NFL!$F288="NY Giants",+NFL!M288,IF(+NFL!$H288="NY Giants",+NFL!M288,0))</f>
        <v>48</v>
      </c>
      <c r="N453" s="394" t="str">
        <f>IF(+NFL!$F288="NY Giants",+NFL!N288,IF(+NFL!$H288="NY Giants",+NFL!N288,0))</f>
        <v>Minnesota</v>
      </c>
      <c r="O453" s="395">
        <f>IF(+NFL!$F288="NY Giants",+NFL!O288,IF(+NFL!$H288="NY Giants",+NFL!O288,0))</f>
        <v>27</v>
      </c>
      <c r="P453" s="394" t="str">
        <f>IF(+NFL!$F288="NY Giants",+NFL!P288,IF(+NFL!$H288="NY Giants",+NFL!P288,0))</f>
        <v>NY Giants</v>
      </c>
      <c r="Q453" s="396">
        <f>IF(+NFL!$F288="NY Giants",+NFL!Q288,IF(+NFL!$H288="NY Giants",+NFL!Q288,0))</f>
        <v>24</v>
      </c>
      <c r="R453" s="397" t="str">
        <f>IF(+NFL!$F288="NY Giants",+NFL!R288,IF(+NFL!$H288="NY Giants",+NFL!R288,0))</f>
        <v>NY Giants</v>
      </c>
      <c r="S453" s="396" t="str">
        <f>IF(+NFL!$F288="NY Giants",+NFL!S288,IF(+NFL!$H288="NY Giants",+NFL!S288,0))</f>
        <v>Minnesota</v>
      </c>
      <c r="T453" s="398">
        <f>IF(+NFL!$F288="NY Giants",+NFL!T288,IF(+NFL!$H288="NY Giants",+NFL!T288,0))</f>
        <v>0</v>
      </c>
      <c r="U453" s="396" t="str">
        <f>IF(+NFL!$F288="NY Giants",+NFL!U288,IF(+NFL!$H288="NY Giants",+NFL!U288,0))</f>
        <v>L</v>
      </c>
      <c r="V453" s="397">
        <f>IF(+NFL!$F297="NY Giants",+NFL!#REF!,IF(+NFL!$H297="NY Giants",+NFL!#REF!,0))</f>
        <v>0</v>
      </c>
      <c r="W453" s="396">
        <f>IF(+NFL!$F297="NY Giants",+NFL!#REF!,IF(+NFL!$H297="NY Giants",+NFL!#REF!,0))</f>
        <v>0</v>
      </c>
      <c r="X453" s="398">
        <f>IF(+NFL!$F297="NY Giants",+NFL!#REF!,IF(+NFL!$H297="NY Giants",+NFL!#REF!,0))</f>
        <v>0</v>
      </c>
      <c r="Y453" s="396">
        <f>IF(+NFL!$F297="NY Giants",+NFL!#REF!,IF(+NFL!$H297="NY Giants",+NFL!#REF!,0))</f>
        <v>0</v>
      </c>
      <c r="Z453" s="397">
        <f>IF(+NFL!$F297="NY Giants",+NFL!#REF!,IF(+NFL!$H297="NY Giants",+NFL!#REF!,0))</f>
        <v>0</v>
      </c>
      <c r="AA453" s="396">
        <f>IF(+NFL!$F297="NY Giants",+NFL!#REF!,IF(+NFL!$H297="NY Giants",+NFL!#REF!,0))</f>
        <v>0</v>
      </c>
      <c r="AB453" s="87">
        <f>IF(+NFL!$F297="NY Giants",+NFL!#REF!,IF(+NFL!$H297="NY Giants",+NFL!#REF!,0))</f>
        <v>0</v>
      </c>
      <c r="AC453" s="120">
        <f>IF(+NFL!$F297="NY Giants",+NFL!#REF!,IF(+NFL!$H297="NY Giants",+NFL!#REF!,0))</f>
        <v>0</v>
      </c>
      <c r="AD453" s="353">
        <f>IF(+NFL!$F297="NY Giants",+NFL!#REF!,IF(+NFL!$H297="NY Giants",+NFL!#REF!,0))</f>
        <v>0</v>
      </c>
      <c r="AE453" s="379">
        <f>IF(+NFL!$F297="NY Giants",+NFL!#REF!,IF(+NFL!$H297="NY Giants",+NFL!#REF!,0))</f>
        <v>0</v>
      </c>
      <c r="AF453" s="353">
        <f>IF(+NFL!$F297="NY Giants",+NFL!#REF!,IF(+NFL!$H297="NY Giants",+NFL!#REF!,0))</f>
        <v>0</v>
      </c>
      <c r="AG453" s="379">
        <f>IF(+NFL!$F297="NY Giants",+NFL!#REF!,IF(+NFL!$H297="NY Giants",+NFL!#REF!,0))</f>
        <v>0</v>
      </c>
      <c r="AH453" s="353">
        <f>IF(+NFL!$F297="NY Giants",+NFL!#REF!,IF(+NFL!$H297="NY Giants",+NFL!#REF!,0))</f>
        <v>0</v>
      </c>
      <c r="AI453" s="379">
        <f>IF(+NFL!$F297="NY Giants",+NFL!#REF!,IF(+NFL!$H297="NY Giants",+NFL!#REF!,0))</f>
        <v>0</v>
      </c>
      <c r="AJ453" s="353">
        <f>IF(+NFL!$F297="NY Giants",+NFL!#REF!,IF(+NFL!$H297="NY Giants",+NFL!#REF!,0))</f>
        <v>0</v>
      </c>
      <c r="AK453" s="379">
        <f>IF(+NFL!$F297="NY Giants",+NFL!#REF!,IF(+NFL!$H297="NY Giants",+NFL!#REF!,0))</f>
        <v>0</v>
      </c>
      <c r="AL453" s="68">
        <f>IF(+NFL!$F297="NY Giants",+NFL!#REF!,IF(+NFL!$H297="NY Giants",+NFL!#REF!,0))</f>
        <v>0</v>
      </c>
      <c r="AM453" s="58">
        <f>IF(+NFL!$F297="NY Giants",+NFL!#REF!,IF(+NFL!$H297="NY Giants",+NFL!#REF!,0))</f>
        <v>0</v>
      </c>
      <c r="AN453" s="57">
        <f>IF(+NFL!$F297="NY Giants",+NFL!#REF!,IF(+NFL!$H297="NY Giants",+NFL!#REF!,0))</f>
        <v>0</v>
      </c>
      <c r="AO453" s="59">
        <f>IF(+NFL!$F297="NY Giants",+NFL!#REF!,IF(+NFL!$H297="NY Giants",+NFL!#REF!,0))</f>
        <v>0</v>
      </c>
      <c r="AP453" s="348">
        <f>IF(+NFL!$F297="NY Giants",+NFL!#REF!,IF(+NFL!$H297="NY Giants",+NFL!#REF!,0))</f>
        <v>0</v>
      </c>
      <c r="AQ453" s="48">
        <f>IF(+NFL!$F297="NY Giants",+NFL!#REF!,IF(+NFL!$H297="NY Giants",+NFL!#REF!,0))</f>
        <v>0</v>
      </c>
      <c r="AR453" s="57">
        <f>IF(+NFL!$F297="NY Giants",+NFL!#REF!,IF(+NFL!$H297="NY Giants",+NFL!#REF!,0))</f>
        <v>0</v>
      </c>
      <c r="AS453" s="64">
        <f>IF(+NFL!$F297="NY Giants",+NFL!#REF!,IF(+NFL!$H297="NY Giants",+NFL!#REF!,0))</f>
        <v>0</v>
      </c>
      <c r="AT453" s="64">
        <f>IF(+NFL!$F297="NY Giants",+NFL!#REF!,IF(+NFL!$H297="NY Giants",+NFL!#REF!,0))</f>
        <v>0</v>
      </c>
      <c r="AU453" s="57">
        <f>IF(+NFL!$F297="NY Giants",+NFL!#REF!,IF(+NFL!$H297="NY Giants",+NFL!#REF!,0))</f>
        <v>0</v>
      </c>
      <c r="AV453" s="64">
        <f>IF(+NFL!$F297="NY Giants",+NFL!#REF!,IF(+NFL!$H297="NY Giants",+NFL!#REF!,0))</f>
        <v>0</v>
      </c>
      <c r="AW453" s="46">
        <f>IF(+NFL!$F297="NY Giants",+NFL!#REF!,IF(+NFL!$H297="NY Giants",+NFL!#REF!,0))</f>
        <v>0</v>
      </c>
      <c r="AX453" s="64">
        <f>IF(+NFL!$F297="NY Giants",+NFL!#REF!,IF(+NFL!$H297="NY Giants",+NFL!#REF!,0))</f>
        <v>0</v>
      </c>
      <c r="AY453" s="57">
        <f>IF(+NFL!$F297="NY Giants",+NFL!#REF!,IF(+NFL!$H297="NY Giants",+NFL!#REF!,0))</f>
        <v>0</v>
      </c>
      <c r="AZ453" s="64">
        <f>IF(+NFL!$F297="NY Giants",+NFL!#REF!,IF(+NFL!$H297="NY Giants",+NFL!#REF!,0))</f>
        <v>0</v>
      </c>
      <c r="BA453" s="46">
        <f>IF(+NFL!$F297="NY Giants",+NFL!#REF!,IF(+NFL!$H297="NY Giants",+NFL!#REF!,0))</f>
        <v>0</v>
      </c>
      <c r="BB453" s="46">
        <f>IF(+NFL!$F297="NY Giants",+NFL!#REF!,IF(+NFL!$H297="NY Giants",+NFL!#REF!,0))</f>
        <v>0</v>
      </c>
      <c r="BC453" s="403">
        <f>IF(+NFL!$F297="NY Giants",+NFL!#REF!,IF(+NFL!$H297="NY Giants",+NFL!#REF!,0))</f>
        <v>0</v>
      </c>
      <c r="BD453" s="57">
        <f>IF(+NFL!$F297="NY Giants",+NFL!#REF!,IF(+NFL!$H297="NY Giants",+NFL!#REF!,0))</f>
        <v>0</v>
      </c>
      <c r="BE453" s="64">
        <f>IF(+NFL!$F297="NY Giants",+NFL!#REF!,IF(+NFL!$H297="NY Giants",+NFL!#REF!,0))</f>
        <v>0</v>
      </c>
      <c r="BF453" s="46">
        <f>IF(+NFL!$F297="NY Giants",+NFL!#REF!,IF(+NFL!$H297="NY Giants",+NFL!#REF!,0))</f>
        <v>0</v>
      </c>
      <c r="BG453" s="57">
        <f>IF(+NFL!$F297="NY Giants",+NFL!#REF!,IF(+NFL!$H297="NY Giants",+NFL!#REF!,0))</f>
        <v>0</v>
      </c>
      <c r="BH453" s="64">
        <f>IF(+NFL!$F297="NY Giants",+NFL!#REF!,IF(+NFL!$H297="NY Giants",+NFL!#REF!,0))</f>
        <v>0</v>
      </c>
      <c r="BI453" s="46">
        <f>IF(+NFL!$F297="NY Giants",+NFL!#REF!,IF(+NFL!$H297="NY Giants",+NFL!#REF!,0))</f>
        <v>0</v>
      </c>
      <c r="BJ453" s="87">
        <f>IF(+NFL!$F297="NY Giants",+NFL!#REF!,IF(+NFL!$H297="NY Giants",+NFL!#REF!,0))</f>
        <v>0</v>
      </c>
      <c r="BK453" s="120">
        <f>IF(+NFL!$F297="NY Giants",+NFL!#REF!,IF(+NFL!$H297="NY Giants",+NFL!#REF!,0))</f>
        <v>0</v>
      </c>
    </row>
    <row r="454" spans="1:63" s="246" customFormat="1" x14ac:dyDescent="0.8">
      <c r="A454" s="46">
        <f>IF(+NFL!$F305="NY Giants",+NFL!A305,IF(+NFL!$H305="NY Giants",+NFL!A305,0))</f>
        <v>17</v>
      </c>
      <c r="B454" s="348" t="str">
        <f>IF(+NFL!$F305="NY Giants",+NFL!B305,IF(+NFL!$H305="NY Giants",+NFL!B305,0))</f>
        <v>Sun</v>
      </c>
      <c r="C454" s="48">
        <f>IF(+NFL!$F305="NY Giants",+NFL!C305,IF(+NFL!$H305="NY Giants",+NFL!C305,0))</f>
        <v>44927</v>
      </c>
      <c r="D454" s="490">
        <f>IF(+NFL!$F305="NY Giants",+NFL!D305,IF(+NFL!$H305="NY Giants",+NFL!D305,0))</f>
        <v>0.54166666666666663</v>
      </c>
      <c r="E454" s="46" t="str">
        <f>IF(+NFL!$F305="NY Giants",+NFL!E305,IF(+NFL!$H305="NY Giants",+NFL!E305,0))</f>
        <v>CBS</v>
      </c>
      <c r="F454" s="127" t="str">
        <f>IF(+NFL!$F305="NY Giants",+NFL!F305,IF(+NFL!$H305="NY Giants",+NFL!F305,0))</f>
        <v>Indianapolis</v>
      </c>
      <c r="G454" s="46" t="str">
        <f>IF(+NFL!$F305="NY Giants",+NFL!G305,IF(+NFL!$H305="NY Giants",+NFL!G305,0))</f>
        <v>AFCS</v>
      </c>
      <c r="H454" s="127" t="str">
        <f>IF(+NFL!$F305="NY Giants",+NFL!H305,IF(+NFL!$H305="NY Giants",+NFL!H305,0))</f>
        <v>NY Giants</v>
      </c>
      <c r="I454" s="46" t="str">
        <f>IF(+NFL!$F305="NY Giants",+NFL!I305,IF(+NFL!$H305="NY Giants",+NFL!I305,0))</f>
        <v>NFCE</v>
      </c>
      <c r="J454" s="353" t="str">
        <f>IF(+NFL!$F305="NY Giants",+NFL!J305,IF(+NFL!$H305="NY Giants",+NFL!J305,0))</f>
        <v>NY Giants</v>
      </c>
      <c r="K454" s="494" t="str">
        <f>IF(+NFL!$F305="NY Giants",+NFL!K305,IF(+NFL!$H305="NY Giants",+NFL!K305,0))</f>
        <v>Indianapolis</v>
      </c>
      <c r="L454" s="384">
        <f>IF(+NFL!$F305="NY Giants",+NFL!L305,IF(+NFL!$H305="NY Giants",+NFL!L305,0))</f>
        <v>5.5</v>
      </c>
      <c r="M454" s="385">
        <f>IF(+NFL!$F305="NY Giants",+NFL!M305,IF(+NFL!$H305="NY Giants",+NFL!M305,0))</f>
        <v>38.5</v>
      </c>
      <c r="N454" s="394" t="str">
        <f>IF(+NFL!$F305="NY Giants",+NFL!N305,IF(+NFL!$H305="NY Giants",+NFL!N305,0))</f>
        <v>NY Giants</v>
      </c>
      <c r="O454" s="395">
        <f>IF(+NFL!$F305="NY Giants",+NFL!O305,IF(+NFL!$H305="NY Giants",+NFL!O305,0))</f>
        <v>38</v>
      </c>
      <c r="P454" s="394" t="str">
        <f>IF(+NFL!$F305="NY Giants",+NFL!P305,IF(+NFL!$H305="NY Giants",+NFL!P305,0))</f>
        <v>Indianapolis</v>
      </c>
      <c r="Q454" s="396">
        <f>IF(+NFL!$F305="NY Giants",+NFL!Q305,IF(+NFL!$H305="NY Giants",+NFL!Q305,0))</f>
        <v>10</v>
      </c>
      <c r="R454" s="397" t="str">
        <f>IF(+NFL!$F305="NY Giants",+NFL!R305,IF(+NFL!$H305="NY Giants",+NFL!R305,0))</f>
        <v>NY Giants</v>
      </c>
      <c r="S454" s="396" t="str">
        <f>IF(+NFL!$F305="NY Giants",+NFL!S305,IF(+NFL!$H305="NY Giants",+NFL!S305,0))</f>
        <v>Indianapolis</v>
      </c>
      <c r="T454" s="398">
        <f>IF(+NFL!$F305="NY Giants",+NFL!T305,IF(+NFL!$H305="NY Giants",+NFL!T305,0))</f>
        <v>0</v>
      </c>
      <c r="U454" s="396" t="str">
        <f>IF(+NFL!$F305="NY Giants",+NFL!U305,IF(+NFL!$H305="NY Giants",+NFL!U305,0))</f>
        <v>L</v>
      </c>
      <c r="V454" s="397">
        <f>IF(+NFL!$F306="NY Giants",+NFL!#REF!,IF(+NFL!$H306="NY Giants",+NFL!#REF!,0))</f>
        <v>0</v>
      </c>
      <c r="W454" s="396">
        <f>IF(+NFL!$F306="NY Giants",+NFL!#REF!,IF(+NFL!$H306="NY Giants",+NFL!#REF!,0))</f>
        <v>0</v>
      </c>
      <c r="X454" s="398">
        <f>IF(+NFL!$F306="NY Giants",+NFL!#REF!,IF(+NFL!$H306="NY Giants",+NFL!#REF!,0))</f>
        <v>0</v>
      </c>
      <c r="Y454" s="396">
        <f>IF(+NFL!$F306="NY Giants",+NFL!#REF!,IF(+NFL!$H306="NY Giants",+NFL!#REF!,0))</f>
        <v>0</v>
      </c>
      <c r="Z454" s="397">
        <f>IF(+NFL!$F306="NY Giants",+NFL!#REF!,IF(+NFL!$H306="NY Giants",+NFL!#REF!,0))</f>
        <v>0</v>
      </c>
      <c r="AA454" s="396">
        <f>IF(+NFL!$F306="NY Giants",+NFL!#REF!,IF(+NFL!$H306="NY Giants",+NFL!#REF!,0))</f>
        <v>0</v>
      </c>
      <c r="AB454" s="87">
        <f>IF(+NFL!$F306="NY Giants",+NFL!#REF!,IF(+NFL!$H306="NY Giants",+NFL!#REF!,0))</f>
        <v>0</v>
      </c>
      <c r="AC454" s="120">
        <f>IF(+NFL!$F306="NY Giants",+NFL!#REF!,IF(+NFL!$H306="NY Giants",+NFL!#REF!,0))</f>
        <v>0</v>
      </c>
      <c r="AD454" s="353">
        <f>IF(+NFL!$F306="NY Giants",+NFL!#REF!,IF(+NFL!$H306="NY Giants",+NFL!#REF!,0))</f>
        <v>0</v>
      </c>
      <c r="AE454" s="379">
        <f>IF(+NFL!$F306="NY Giants",+NFL!#REF!,IF(+NFL!$H306="NY Giants",+NFL!#REF!,0))</f>
        <v>0</v>
      </c>
      <c r="AF454" s="353">
        <f>IF(+NFL!$F306="NY Giants",+NFL!#REF!,IF(+NFL!$H306="NY Giants",+NFL!#REF!,0))</f>
        <v>0</v>
      </c>
      <c r="AG454" s="379">
        <f>IF(+NFL!$F306="NY Giants",+NFL!#REF!,IF(+NFL!$H306="NY Giants",+NFL!#REF!,0))</f>
        <v>0</v>
      </c>
      <c r="AH454" s="353">
        <f>IF(+NFL!$F306="NY Giants",+NFL!#REF!,IF(+NFL!$H306="NY Giants",+NFL!#REF!,0))</f>
        <v>0</v>
      </c>
      <c r="AI454" s="379">
        <f>IF(+NFL!$F306="NY Giants",+NFL!#REF!,IF(+NFL!$H306="NY Giants",+NFL!#REF!,0))</f>
        <v>0</v>
      </c>
      <c r="AJ454" s="353">
        <f>IF(+NFL!$F306="NY Giants",+NFL!#REF!,IF(+NFL!$H306="NY Giants",+NFL!#REF!,0))</f>
        <v>0</v>
      </c>
      <c r="AK454" s="379">
        <f>IF(+NFL!$F306="NY Giants",+NFL!#REF!,IF(+NFL!$H306="NY Giants",+NFL!#REF!,0))</f>
        <v>0</v>
      </c>
      <c r="AL454" s="68">
        <f>IF(+NFL!$F306="NY Giants",+NFL!#REF!,IF(+NFL!$H306="NY Giants",+NFL!#REF!,0))</f>
        <v>0</v>
      </c>
      <c r="AM454" s="58">
        <f>IF(+NFL!$F306="NY Giants",+NFL!#REF!,IF(+NFL!$H306="NY Giants",+NFL!#REF!,0))</f>
        <v>0</v>
      </c>
      <c r="AN454" s="57">
        <f>IF(+NFL!$F306="NY Giants",+NFL!#REF!,IF(+NFL!$H306="NY Giants",+NFL!#REF!,0))</f>
        <v>0</v>
      </c>
      <c r="AO454" s="59">
        <f>IF(+NFL!$F306="NY Giants",+NFL!#REF!,IF(+NFL!$H306="NY Giants",+NFL!#REF!,0))</f>
        <v>0</v>
      </c>
      <c r="AP454" s="348">
        <f>IF(+NFL!$F306="NY Giants",+NFL!#REF!,IF(+NFL!$H306="NY Giants",+NFL!#REF!,0))</f>
        <v>0</v>
      </c>
      <c r="AQ454" s="48">
        <f>IF(+NFL!$F306="NY Giants",+NFL!#REF!,IF(+NFL!$H306="NY Giants",+NFL!#REF!,0))</f>
        <v>0</v>
      </c>
      <c r="AR454" s="57">
        <f>IF(+NFL!$F306="NY Giants",+NFL!#REF!,IF(+NFL!$H306="NY Giants",+NFL!#REF!,0))</f>
        <v>0</v>
      </c>
      <c r="AS454" s="64">
        <f>IF(+NFL!$F306="NY Giants",+NFL!#REF!,IF(+NFL!$H306="NY Giants",+NFL!#REF!,0))</f>
        <v>0</v>
      </c>
      <c r="AT454" s="64">
        <f>IF(+NFL!$F306="NY Giants",+NFL!#REF!,IF(+NFL!$H306="NY Giants",+NFL!#REF!,0))</f>
        <v>0</v>
      </c>
      <c r="AU454" s="57">
        <f>IF(+NFL!$F306="NY Giants",+NFL!#REF!,IF(+NFL!$H306="NY Giants",+NFL!#REF!,0))</f>
        <v>0</v>
      </c>
      <c r="AV454" s="64">
        <f>IF(+NFL!$F306="NY Giants",+NFL!#REF!,IF(+NFL!$H306="NY Giants",+NFL!#REF!,0))</f>
        <v>0</v>
      </c>
      <c r="AW454" s="46">
        <f>IF(+NFL!$F306="NY Giants",+NFL!#REF!,IF(+NFL!$H306="NY Giants",+NFL!#REF!,0))</f>
        <v>0</v>
      </c>
      <c r="AX454" s="64">
        <f>IF(+NFL!$F306="NY Giants",+NFL!#REF!,IF(+NFL!$H306="NY Giants",+NFL!#REF!,0))</f>
        <v>0</v>
      </c>
      <c r="AY454" s="57">
        <f>IF(+NFL!$F306="NY Giants",+NFL!#REF!,IF(+NFL!$H306="NY Giants",+NFL!#REF!,0))</f>
        <v>0</v>
      </c>
      <c r="AZ454" s="64">
        <f>IF(+NFL!$F306="NY Giants",+NFL!#REF!,IF(+NFL!$H306="NY Giants",+NFL!#REF!,0))</f>
        <v>0</v>
      </c>
      <c r="BA454" s="46">
        <f>IF(+NFL!$F306="NY Giants",+NFL!#REF!,IF(+NFL!$H306="NY Giants",+NFL!#REF!,0))</f>
        <v>0</v>
      </c>
      <c r="BB454" s="46">
        <f>IF(+NFL!$F306="NY Giants",+NFL!#REF!,IF(+NFL!$H306="NY Giants",+NFL!#REF!,0))</f>
        <v>0</v>
      </c>
      <c r="BC454" s="403">
        <f>IF(+NFL!$F306="NY Giants",+NFL!#REF!,IF(+NFL!$H306="NY Giants",+NFL!#REF!,0))</f>
        <v>0</v>
      </c>
      <c r="BD454" s="57">
        <f>IF(+NFL!$F306="NY Giants",+NFL!#REF!,IF(+NFL!$H306="NY Giants",+NFL!#REF!,0))</f>
        <v>0</v>
      </c>
      <c r="BE454" s="64">
        <f>IF(+NFL!$F306="NY Giants",+NFL!#REF!,IF(+NFL!$H306="NY Giants",+NFL!#REF!,0))</f>
        <v>0</v>
      </c>
      <c r="BF454" s="46">
        <f>IF(+NFL!$F306="NY Giants",+NFL!#REF!,IF(+NFL!$H306="NY Giants",+NFL!#REF!,0))</f>
        <v>0</v>
      </c>
      <c r="BG454" s="57">
        <f>IF(+NFL!$F306="NY Giants",+NFL!#REF!,IF(+NFL!$H306="NY Giants",+NFL!#REF!,0))</f>
        <v>0</v>
      </c>
      <c r="BH454" s="64">
        <f>IF(+NFL!$F306="NY Giants",+NFL!#REF!,IF(+NFL!$H306="NY Giants",+NFL!#REF!,0))</f>
        <v>0</v>
      </c>
      <c r="BI454" s="46">
        <f>IF(+NFL!$F306="NY Giants",+NFL!#REF!,IF(+NFL!$H306="NY Giants",+NFL!#REF!,0))</f>
        <v>0</v>
      </c>
      <c r="BJ454" s="87">
        <f>IF(+NFL!$F306="NY Giants",+NFL!#REF!,IF(+NFL!$H306="NY Giants",+NFL!#REF!,0))</f>
        <v>0</v>
      </c>
      <c r="BK454" s="120">
        <f>IF(+NFL!$F306="NY Giants",+NFL!#REF!,IF(+NFL!$H306="NY Giants",+NFL!#REF!,0))</f>
        <v>0</v>
      </c>
    </row>
    <row r="455" spans="1:63" s="246" customFormat="1" x14ac:dyDescent="0.8">
      <c r="A455" s="46">
        <f>IF(+NFL!$F326="NY Giants",+NFL!A326,IF(+NFL!$H326="NY Giants",+NFL!A326,0))</f>
        <v>0</v>
      </c>
      <c r="B455" s="348">
        <f>IF(+NFL!$F326="NY Giants",+NFL!B326,IF(+NFL!$H326="NY Giants",+NFL!B326,0))</f>
        <v>0</v>
      </c>
      <c r="C455" s="48">
        <f>IF(+NFL!$F326="NY Giants",+NFL!C326,IF(+NFL!$H326="NY Giants",+NFL!C326,0))</f>
        <v>0</v>
      </c>
      <c r="D455" s="490">
        <f>IF(+NFL!$F326="NY Giants",+NFL!D326,IF(+NFL!$H326="NY Giants",+NFL!D326,0))</f>
        <v>0</v>
      </c>
      <c r="E455" s="46">
        <f>IF(+NFL!$F326="NY Giants",+NFL!E326,IF(+NFL!$H326="NY Giants",+NFL!E326,0))</f>
        <v>0</v>
      </c>
      <c r="F455" s="127">
        <f>IF(+NFL!$F326="NY Giants",+NFL!F326,IF(+NFL!$H326="NY Giants",+NFL!F326,0))</f>
        <v>0</v>
      </c>
      <c r="G455" s="46">
        <f>IF(+NFL!$F326="NY Giants",+NFL!G326,IF(+NFL!$H326="NY Giants",+NFL!G326,0))</f>
        <v>0</v>
      </c>
      <c r="H455" s="127">
        <f>IF(+NFL!$F326="NY Giants",+NFL!H326,IF(+NFL!$H326="NY Giants",+NFL!H326,0))</f>
        <v>0</v>
      </c>
      <c r="I455" s="46">
        <f>IF(+NFL!$F326="NY Giants",+NFL!I326,IF(+NFL!$H326="NY Giants",+NFL!I326,0))</f>
        <v>0</v>
      </c>
      <c r="J455" s="353">
        <f>IF(+NFL!$F326="NY Giants",+NFL!J326,IF(+NFL!$H326="NY Giants",+NFL!J326,0))</f>
        <v>0</v>
      </c>
      <c r="K455" s="494">
        <f>IF(+NFL!$F326="NY Giants",+NFL!K326,IF(+NFL!$H326="NY Giants",+NFL!K326,0))</f>
        <v>0</v>
      </c>
      <c r="L455" s="384">
        <f>IF(+NFL!$F326="NY Giants",+NFL!L326,IF(+NFL!$H326="NY Giants",+NFL!L326,0))</f>
        <v>0</v>
      </c>
      <c r="M455" s="385">
        <f>IF(+NFL!$F326="NY Giants",+NFL!M326,IF(+NFL!$H326="NY Giants",+NFL!M326,0))</f>
        <v>0</v>
      </c>
      <c r="N455" s="394">
        <f>IF(+NFL!$F326="NY Giants",+NFL!N326,IF(+NFL!$H326="NY Giants",+NFL!N326,0))</f>
        <v>0</v>
      </c>
      <c r="O455" s="395">
        <f>IF(+NFL!$F326="NY Giants",+NFL!O326,IF(+NFL!$H326="NY Giants",+NFL!O326,0))</f>
        <v>0</v>
      </c>
      <c r="P455" s="394">
        <f>IF(+NFL!$F326="NY Giants",+NFL!P326,IF(+NFL!$H326="NY Giants",+NFL!P326,0))</f>
        <v>0</v>
      </c>
      <c r="Q455" s="396">
        <f>IF(+NFL!$F326="NY Giants",+NFL!Q326,IF(+NFL!$H326="NY Giants",+NFL!Q326,0))</f>
        <v>0</v>
      </c>
      <c r="R455" s="397">
        <f>IF(+NFL!$F326="NY Giants",+NFL!R326,IF(+NFL!$H326="NY Giants",+NFL!R326,0))</f>
        <v>0</v>
      </c>
      <c r="S455" s="396">
        <f>IF(+NFL!$F326="NY Giants",+NFL!S326,IF(+NFL!$H326="NY Giants",+NFL!S326,0))</f>
        <v>0</v>
      </c>
      <c r="T455" s="398">
        <f>IF(+NFL!$F326="NY Giants",+NFL!T326,IF(+NFL!$H326="NY Giants",+NFL!T326,0))</f>
        <v>0</v>
      </c>
      <c r="U455" s="396">
        <f>IF(+NFL!$F326="NY Giants",+NFL!U326,IF(+NFL!$H326="NY Giants",+NFL!U326,0))</f>
        <v>0</v>
      </c>
      <c r="V455" s="397">
        <f>IF(+NFL!$F326="NY Giants",+NFL!#REF!,IF(+NFL!$H326="NY Giants",+NFL!#REF!,0))</f>
        <v>0</v>
      </c>
      <c r="W455" s="396">
        <f>IF(+NFL!$F326="NY Giants",+NFL!#REF!,IF(+NFL!$H326="NY Giants",+NFL!#REF!,0))</f>
        <v>0</v>
      </c>
      <c r="X455" s="398">
        <f>IF(+NFL!$F326="NY Giants",+NFL!#REF!,IF(+NFL!$H326="NY Giants",+NFL!#REF!,0))</f>
        <v>0</v>
      </c>
      <c r="Y455" s="396">
        <f>IF(+NFL!$F326="NY Giants",+NFL!#REF!,IF(+NFL!$H326="NY Giants",+NFL!#REF!,0))</f>
        <v>0</v>
      </c>
      <c r="Z455" s="397">
        <f>IF(+NFL!$F326="NY Giants",+NFL!#REF!,IF(+NFL!$H326="NY Giants",+NFL!#REF!,0))</f>
        <v>0</v>
      </c>
      <c r="AA455" s="396">
        <f>IF(+NFL!$F326="NY Giants",+NFL!#REF!,IF(+NFL!$H326="NY Giants",+NFL!#REF!,0))</f>
        <v>0</v>
      </c>
      <c r="AB455" s="87">
        <f>IF(+NFL!$F326="NY Giants",+NFL!#REF!,IF(+NFL!$H326="NY Giants",+NFL!#REF!,0))</f>
        <v>0</v>
      </c>
      <c r="AC455" s="120">
        <f>IF(+NFL!$F326="NY Giants",+NFL!#REF!,IF(+NFL!$H326="NY Giants",+NFL!#REF!,0))</f>
        <v>0</v>
      </c>
      <c r="AD455" s="353">
        <f>IF(+NFL!$F326="NY Giants",+NFL!#REF!,IF(+NFL!$H326="NY Giants",+NFL!#REF!,0))</f>
        <v>0</v>
      </c>
      <c r="AE455" s="379">
        <f>IF(+NFL!$F326="NY Giants",+NFL!#REF!,IF(+NFL!$H326="NY Giants",+NFL!#REF!,0))</f>
        <v>0</v>
      </c>
      <c r="AF455" s="353">
        <f>IF(+NFL!$F326="NY Giants",+NFL!#REF!,IF(+NFL!$H326="NY Giants",+NFL!#REF!,0))</f>
        <v>0</v>
      </c>
      <c r="AG455" s="379">
        <f>IF(+NFL!$F326="NY Giants",+NFL!#REF!,IF(+NFL!$H326="NY Giants",+NFL!#REF!,0))</f>
        <v>0</v>
      </c>
      <c r="AH455" s="353">
        <f>IF(+NFL!$F326="NY Giants",+NFL!#REF!,IF(+NFL!$H326="NY Giants",+NFL!#REF!,0))</f>
        <v>0</v>
      </c>
      <c r="AI455" s="379">
        <f>IF(+NFL!$F326="NY Giants",+NFL!#REF!,IF(+NFL!$H326="NY Giants",+NFL!#REF!,0))</f>
        <v>0</v>
      </c>
      <c r="AJ455" s="353">
        <f>IF(+NFL!$F326="NY Giants",+NFL!#REF!,IF(+NFL!$H326="NY Giants",+NFL!#REF!,0))</f>
        <v>0</v>
      </c>
      <c r="AK455" s="379">
        <f>IF(+NFL!$F326="NY Giants",+NFL!#REF!,IF(+NFL!$H326="NY Giants",+NFL!#REF!,0))</f>
        <v>0</v>
      </c>
      <c r="AL455" s="68">
        <f>IF(+NFL!$F326="NY Giants",+NFL!#REF!,IF(+NFL!$H326="NY Giants",+NFL!#REF!,0))</f>
        <v>0</v>
      </c>
      <c r="AM455" s="58">
        <f>IF(+NFL!$F326="NY Giants",+NFL!#REF!,IF(+NFL!$H326="NY Giants",+NFL!#REF!,0))</f>
        <v>0</v>
      </c>
      <c r="AN455" s="57">
        <f>IF(+NFL!$F326="NY Giants",+NFL!#REF!,IF(+NFL!$H326="NY Giants",+NFL!#REF!,0))</f>
        <v>0</v>
      </c>
      <c r="AO455" s="59">
        <f>IF(+NFL!$F326="NY Giants",+NFL!#REF!,IF(+NFL!$H326="NY Giants",+NFL!#REF!,0))</f>
        <v>0</v>
      </c>
      <c r="AP455" s="348">
        <f>IF(+NFL!$F326="NY Giants",+NFL!#REF!,IF(+NFL!$H326="NY Giants",+NFL!#REF!,0))</f>
        <v>0</v>
      </c>
      <c r="AQ455" s="48">
        <f>IF(+NFL!$F326="NY Giants",+NFL!#REF!,IF(+NFL!$H326="NY Giants",+NFL!#REF!,0))</f>
        <v>0</v>
      </c>
      <c r="AR455" s="57">
        <f>IF(+NFL!$F326="NY Giants",+NFL!#REF!,IF(+NFL!$H326="NY Giants",+NFL!#REF!,0))</f>
        <v>0</v>
      </c>
      <c r="AS455" s="64">
        <f>IF(+NFL!$F326="NY Giants",+NFL!#REF!,IF(+NFL!$H326="NY Giants",+NFL!#REF!,0))</f>
        <v>0</v>
      </c>
      <c r="AT455" s="64">
        <f>IF(+NFL!$F326="NY Giants",+NFL!#REF!,IF(+NFL!$H326="NY Giants",+NFL!#REF!,0))</f>
        <v>0</v>
      </c>
      <c r="AU455" s="57">
        <f>IF(+NFL!$F326="NY Giants",+NFL!#REF!,IF(+NFL!$H326="NY Giants",+NFL!#REF!,0))</f>
        <v>0</v>
      </c>
      <c r="AV455" s="64">
        <f>IF(+NFL!$F326="NY Giants",+NFL!#REF!,IF(+NFL!$H326="NY Giants",+NFL!#REF!,0))</f>
        <v>0</v>
      </c>
      <c r="AW455" s="46">
        <f>IF(+NFL!$F326="NY Giants",+NFL!#REF!,IF(+NFL!$H326="NY Giants",+NFL!#REF!,0))</f>
        <v>0</v>
      </c>
      <c r="AX455" s="64">
        <f>IF(+NFL!$F326="NY Giants",+NFL!#REF!,IF(+NFL!$H326="NY Giants",+NFL!#REF!,0))</f>
        <v>0</v>
      </c>
      <c r="AY455" s="57">
        <f>IF(+NFL!$F326="NY Giants",+NFL!#REF!,IF(+NFL!$H326="NY Giants",+NFL!#REF!,0))</f>
        <v>0</v>
      </c>
      <c r="AZ455" s="64">
        <f>IF(+NFL!$F326="NY Giants",+NFL!#REF!,IF(+NFL!$H326="NY Giants",+NFL!#REF!,0))</f>
        <v>0</v>
      </c>
      <c r="BA455" s="46">
        <f>IF(+NFL!$F326="NY Giants",+NFL!#REF!,IF(+NFL!$H326="NY Giants",+NFL!#REF!,0))</f>
        <v>0</v>
      </c>
      <c r="BB455" s="46">
        <f>IF(+NFL!$F326="NY Giants",+NFL!#REF!,IF(+NFL!$H326="NY Giants",+NFL!#REF!,0))</f>
        <v>0</v>
      </c>
      <c r="BC455" s="403">
        <f>IF(+NFL!$F326="NY Giants",+NFL!#REF!,IF(+NFL!$H326="NY Giants",+NFL!#REF!,0))</f>
        <v>0</v>
      </c>
      <c r="BD455" s="57">
        <f>IF(+NFL!$F326="NY Giants",+NFL!#REF!,IF(+NFL!$H326="NY Giants",+NFL!#REF!,0))</f>
        <v>0</v>
      </c>
      <c r="BE455" s="64">
        <f>IF(+NFL!$F326="NY Giants",+NFL!#REF!,IF(+NFL!$H326="NY Giants",+NFL!#REF!,0))</f>
        <v>0</v>
      </c>
      <c r="BF455" s="46">
        <f>IF(+NFL!$F326="NY Giants",+NFL!#REF!,IF(+NFL!$H326="NY Giants",+NFL!#REF!,0))</f>
        <v>0</v>
      </c>
      <c r="BG455" s="57">
        <f>IF(+NFL!$F326="NY Giants",+NFL!#REF!,IF(+NFL!$H326="NY Giants",+NFL!#REF!,0))</f>
        <v>0</v>
      </c>
      <c r="BH455" s="64">
        <f>IF(+NFL!$F326="NY Giants",+NFL!#REF!,IF(+NFL!$H326="NY Giants",+NFL!#REF!,0))</f>
        <v>0</v>
      </c>
      <c r="BI455" s="46">
        <f>IF(+NFL!$F326="NY Giants",+NFL!#REF!,IF(+NFL!$H326="NY Giants",+NFL!#REF!,0))</f>
        <v>0</v>
      </c>
      <c r="BJ455" s="87">
        <f>IF(+NFL!$F326="NY Giants",+NFL!#REF!,IF(+NFL!$H326="NY Giants",+NFL!#REF!,0))</f>
        <v>0</v>
      </c>
      <c r="BK455" s="120">
        <f>IF(+NFL!$F326="NY Giants",+NFL!#REF!,IF(+NFL!$H326="NY Giants",+NFL!#REF!,0))</f>
        <v>0</v>
      </c>
    </row>
    <row r="456" spans="1:63" s="246" customFormat="1" x14ac:dyDescent="0.8">
      <c r="A456" s="46"/>
      <c r="B456" s="348"/>
      <c r="C456" s="48"/>
      <c r="D456" s="49"/>
      <c r="E456" s="46"/>
      <c r="F456" s="959" t="str">
        <f>H457</f>
        <v>NY Jets</v>
      </c>
      <c r="G456" s="960"/>
      <c r="H456" s="960"/>
      <c r="I456" s="961"/>
      <c r="J456" s="353"/>
      <c r="K456" s="364"/>
      <c r="L456" s="384"/>
      <c r="M456" s="385"/>
      <c r="N456" s="394"/>
      <c r="O456" s="395"/>
      <c r="P456" s="394"/>
      <c r="Q456" s="396"/>
      <c r="R456" s="397"/>
      <c r="S456" s="396"/>
      <c r="T456" s="398"/>
      <c r="U456" s="396"/>
      <c r="V456" s="397"/>
      <c r="W456" s="396"/>
      <c r="X456" s="398"/>
      <c r="Y456" s="396"/>
      <c r="Z456" s="397"/>
      <c r="AA456" s="396"/>
      <c r="AB456" s="87"/>
      <c r="AC456" s="120"/>
      <c r="AD456" s="353"/>
      <c r="AE456" s="379"/>
      <c r="AF456" s="353"/>
      <c r="AG456" s="379"/>
      <c r="AH456" s="353"/>
      <c r="AI456" s="379"/>
      <c r="AJ456" s="353"/>
      <c r="AK456" s="379"/>
      <c r="AL456" s="68"/>
      <c r="AM456" s="58"/>
      <c r="AN456" s="57"/>
      <c r="AO456" s="59"/>
      <c r="AP456" s="348"/>
      <c r="AQ456" s="348"/>
      <c r="AR456" s="57"/>
      <c r="AS456" s="64"/>
      <c r="AT456" s="64"/>
      <c r="AU456" s="57"/>
      <c r="AV456" s="64"/>
      <c r="AW456" s="46"/>
      <c r="AX456" s="64"/>
      <c r="AY456" s="57"/>
      <c r="AZ456" s="64"/>
      <c r="BA456" s="46"/>
      <c r="BB456" s="46"/>
      <c r="BC456" s="348"/>
      <c r="BD456" s="57"/>
      <c r="BE456" s="64"/>
      <c r="BF456" s="46"/>
      <c r="BG456" s="57"/>
      <c r="BH456" s="64"/>
      <c r="BI456" s="46"/>
      <c r="BJ456" s="87"/>
      <c r="BK456" s="120"/>
    </row>
    <row r="457" spans="1:63" s="246" customFormat="1" x14ac:dyDescent="0.8">
      <c r="A457" s="46">
        <f>IF(+NFL!$F10="NY Jets",+NFL!A10,IF(+NFL!$H10="NY Jets",+NFL!A10,0))</f>
        <v>1</v>
      </c>
      <c r="B457" s="348" t="str">
        <f>IF(+NFL!$F10="NY Jets",+NFL!B10,IF(+NFL!$H10="NY Jets",+NFL!B10,0))</f>
        <v>Sun</v>
      </c>
      <c r="C457" s="48">
        <f>IF(+NFL!$F10="NY Jets",+NFL!C10,IF(+NFL!$H10="NY Jets",+NFL!C10,0))</f>
        <v>44815</v>
      </c>
      <c r="D457" s="490">
        <f>IF(+NFL!$F10="NY Jets",+NFL!D10,IF(+NFL!$H10="NY Jets",+NFL!D10,0))</f>
        <v>0.54166666666666663</v>
      </c>
      <c r="E457" s="46" t="str">
        <f>IF(+NFL!$F10="NY Jets",+NFL!E10,IF(+NFL!$H10="NY Jets",+NFL!E10,0))</f>
        <v>CBS</v>
      </c>
      <c r="F457" s="127" t="str">
        <f>IF(+NFL!$F10="NY Jets",+NFL!F10,IF(+NFL!$H10="NY Jets",+NFL!F10,0))</f>
        <v>Baltimore</v>
      </c>
      <c r="G457" s="46" t="str">
        <f>IF(+NFL!$F10="NY Jets",+NFL!G10,IF(+NFL!$H10="NY Jets",+NFL!G10,0))</f>
        <v>AFCN</v>
      </c>
      <c r="H457" s="127" t="str">
        <f>IF(+NFL!$F10="NY Jets",+NFL!H10,IF(+NFL!$H10="NY Jets",+NFL!H10,0))</f>
        <v>NY Jets</v>
      </c>
      <c r="I457" s="46" t="str">
        <f>IF(+NFL!$F10="NY Jets",+NFL!I10,IF(+NFL!$H10="NY Jets",+NFL!I10,0))</f>
        <v>AFCE</v>
      </c>
      <c r="J457" s="353" t="str">
        <f>IF(+NFL!$F10="NY Jets",+NFL!J10,IF(+NFL!$H10="NY Jets",+NFL!J10,0))</f>
        <v>Baltimore</v>
      </c>
      <c r="K457" s="494" t="str">
        <f>IF(+NFL!$F10="NY Jets",+NFL!K10,IF(+NFL!$H10="NY Jets",+NFL!K10,0))</f>
        <v>NY Jets</v>
      </c>
      <c r="L457" s="384">
        <f>IF(+NFL!$F10="NY Jets",+NFL!L10,IF(+NFL!$H10="NY Jets",+NFL!L10,0))</f>
        <v>7</v>
      </c>
      <c r="M457" s="385">
        <f>IF(+NFL!$F10="NY Jets",+NFL!M10,IF(+NFL!$H10="NY Jets",+NFL!M10,0))</f>
        <v>44.5</v>
      </c>
      <c r="N457" s="394" t="str">
        <f>IF(+NFL!$F10="NY Jets",+NFL!N10,IF(+NFL!$H10="NY Jets",+NFL!N10,0))</f>
        <v>Baltimore</v>
      </c>
      <c r="O457" s="395">
        <f>IF(+NFL!$F10="NY Jets",+NFL!O10,IF(+NFL!$H10="NY Jets",+NFL!O10,0))</f>
        <v>24</v>
      </c>
      <c r="P457" s="394" t="str">
        <f>IF(+NFL!$F10="NY Jets",+NFL!P10,IF(+NFL!$H10="NY Jets",+NFL!P10,0))</f>
        <v>NY Jets</v>
      </c>
      <c r="Q457" s="396">
        <f>IF(+NFL!$F10="NY Jets",+NFL!Q10,IF(+NFL!$H10="NY Jets",+NFL!Q10,0))</f>
        <v>9</v>
      </c>
      <c r="R457" s="397" t="str">
        <f>IF(+NFL!$F10="NY Jets",+NFL!R10,IF(+NFL!$H10="NY Jets",+NFL!R10,0))</f>
        <v>Baltimore</v>
      </c>
      <c r="S457" s="396" t="str">
        <f>IF(+NFL!$F10="NY Jets",+NFL!S10,IF(+NFL!$H10="NY Jets",+NFL!S10,0))</f>
        <v>NY Jets</v>
      </c>
      <c r="T457" s="398" t="str">
        <f>IF(+NFL!$F10="NY Jets",+NFL!T10,IF(+NFL!$H10="NY Jets",+NFL!T10,0))</f>
        <v>Baltimore</v>
      </c>
      <c r="U457" s="396" t="str">
        <f>IF(+NFL!$F10="NY Jets",+NFL!U10,IF(+NFL!$H10="NY Jets",+NFL!U10,0))</f>
        <v>W</v>
      </c>
      <c r="V457" s="397"/>
      <c r="W457" s="396"/>
      <c r="X457" s="398"/>
      <c r="Y457" s="396"/>
      <c r="Z457" s="397"/>
      <c r="AA457" s="396"/>
      <c r="AB457" s="87"/>
      <c r="AC457" s="120"/>
      <c r="AD457" s="353"/>
      <c r="AE457" s="379"/>
      <c r="AF457" s="353"/>
      <c r="AG457" s="379"/>
      <c r="AH457" s="353"/>
      <c r="AI457" s="379"/>
      <c r="AJ457" s="353"/>
      <c r="AK457" s="379"/>
      <c r="AL457" s="68"/>
      <c r="AM457" s="58"/>
      <c r="AN457" s="57"/>
      <c r="AO457" s="59"/>
      <c r="AP457" s="348"/>
      <c r="AQ457" s="48"/>
      <c r="AR457" s="57"/>
      <c r="AS457" s="493"/>
      <c r="AT457" s="493"/>
      <c r="AU457" s="57"/>
      <c r="AV457" s="493"/>
      <c r="AW457" s="46"/>
      <c r="AX457" s="493"/>
      <c r="AY457" s="57"/>
      <c r="AZ457" s="493"/>
      <c r="BA457" s="46"/>
      <c r="BB457" s="46"/>
      <c r="BC457" s="403"/>
      <c r="BD457" s="57"/>
      <c r="BE457" s="493"/>
      <c r="BF457" s="46"/>
      <c r="BG457" s="57"/>
      <c r="BH457" s="493"/>
      <c r="BI457" s="46"/>
      <c r="BJ457" s="87"/>
      <c r="BK457" s="120"/>
    </row>
    <row r="458" spans="1:63" s="246" customFormat="1" x14ac:dyDescent="0.8">
      <c r="A458" s="46">
        <f>IF(+NFL!$F22="NY Jets",+NFL!A22,IF(+NFL!$H22="NY Jets",+NFL!A22,0))</f>
        <v>2</v>
      </c>
      <c r="B458" s="348" t="str">
        <f>IF(+NFL!$F22="NY Jets",+NFL!B22,IF(+NFL!$H22="NY Jets",+NFL!B22,0))</f>
        <v>Sun</v>
      </c>
      <c r="C458" s="48">
        <f>IF(+NFL!$F22="NY Jets",+NFL!C22,IF(+NFL!$H22="NY Jets",+NFL!C22,0))</f>
        <v>44822</v>
      </c>
      <c r="D458" s="490">
        <f>IF(+NFL!$F22="NY Jets",+NFL!D22,IF(+NFL!$H22="NY Jets",+NFL!D22,0))</f>
        <v>0.54166666666666663</v>
      </c>
      <c r="E458" s="46" t="str">
        <f>IF(+NFL!$F22="NY Jets",+NFL!E22,IF(+NFL!$H22="NY Jets",+NFL!E22,0))</f>
        <v>CBS</v>
      </c>
      <c r="F458" s="127" t="str">
        <f>IF(+NFL!$F22="NY Jets",+NFL!F22,IF(+NFL!$H22="NY Jets",+NFL!F22,0))</f>
        <v>NY Jets</v>
      </c>
      <c r="G458" s="46" t="str">
        <f>IF(+NFL!$F22="NY Jets",+NFL!G22,IF(+NFL!$H22="NY Jets",+NFL!G22,0))</f>
        <v>AFCE</v>
      </c>
      <c r="H458" s="127" t="str">
        <f>IF(+NFL!$F22="NY Jets",+NFL!H22,IF(+NFL!$H22="NY Jets",+NFL!H22,0))</f>
        <v>Cleveland</v>
      </c>
      <c r="I458" s="46" t="str">
        <f>IF(+NFL!$F22="NY Jets",+NFL!I22,IF(+NFL!$H22="NY Jets",+NFL!I22,0))</f>
        <v>AFCN</v>
      </c>
      <c r="J458" s="353" t="str">
        <f>IF(+NFL!$F22="NY Jets",+NFL!J22,IF(+NFL!$H22="NY Jets",+NFL!J22,0))</f>
        <v>Cleveland</v>
      </c>
      <c r="K458" s="494" t="str">
        <f>IF(+NFL!$F22="NY Jets",+NFL!K22,IF(+NFL!$H22="NY Jets",+NFL!K22,0))</f>
        <v>NY Jets</v>
      </c>
      <c r="L458" s="384">
        <f>IF(+NFL!$F22="NY Jets",+NFL!L22,IF(+NFL!$H22="NY Jets",+NFL!L22,0))</f>
        <v>6</v>
      </c>
      <c r="M458" s="385">
        <f>IF(+NFL!$F22="NY Jets",+NFL!M22,IF(+NFL!$H22="NY Jets",+NFL!M22,0))</f>
        <v>40</v>
      </c>
      <c r="N458" s="394" t="str">
        <f>IF(+NFL!$F22="NY Jets",+NFL!N22,IF(+NFL!$H22="NY Jets",+NFL!N22,0))</f>
        <v>NY Jets</v>
      </c>
      <c r="O458" s="395">
        <f>IF(+NFL!$F22="NY Jets",+NFL!O22,IF(+NFL!$H22="NY Jets",+NFL!O22,0))</f>
        <v>31</v>
      </c>
      <c r="P458" s="394" t="str">
        <f>IF(+NFL!$F22="NY Jets",+NFL!P22,IF(+NFL!$H22="NY Jets",+NFL!P22,0))</f>
        <v>Cleveland</v>
      </c>
      <c r="Q458" s="396">
        <f>IF(+NFL!$F22="NY Jets",+NFL!Q22,IF(+NFL!$H22="NY Jets",+NFL!Q22,0))</f>
        <v>30</v>
      </c>
      <c r="R458" s="397" t="str">
        <f>IF(+NFL!$F22="NY Jets",+NFL!R22,IF(+NFL!$H22="NY Jets",+NFL!R22,0))</f>
        <v>NY Jets</v>
      </c>
      <c r="S458" s="396" t="str">
        <f>IF(+NFL!$F22="NY Jets",+NFL!S22,IF(+NFL!$H22="NY Jets",+NFL!S22,0))</f>
        <v>Cleveland</v>
      </c>
      <c r="T458" s="398" t="str">
        <f>IF(+NFL!$F22="NY Jets",+NFL!T22,IF(+NFL!$H22="NY Jets",+NFL!T22,0))</f>
        <v>NY Jets</v>
      </c>
      <c r="U458" s="396" t="str">
        <f>IF(+NFL!$F22="NY Jets",+NFL!U22,IF(+NFL!$H22="NY Jets",+NFL!U22,0))</f>
        <v>W</v>
      </c>
      <c r="V458" s="397"/>
      <c r="W458" s="396"/>
      <c r="X458" s="398"/>
      <c r="Y458" s="396"/>
      <c r="Z458" s="397"/>
      <c r="AA458" s="396"/>
      <c r="AB458" s="87"/>
      <c r="AC458" s="120"/>
      <c r="AD458" s="353"/>
      <c r="AE458" s="379"/>
      <c r="AF458" s="353"/>
      <c r="AG458" s="379"/>
      <c r="AH458" s="353"/>
      <c r="AI458" s="379"/>
      <c r="AJ458" s="353"/>
      <c r="AK458" s="379"/>
      <c r="AL458" s="68"/>
      <c r="AM458" s="58"/>
      <c r="AN458" s="57"/>
      <c r="AO458" s="59"/>
      <c r="AP458" s="348"/>
      <c r="AQ458" s="48"/>
      <c r="AR458" s="57"/>
      <c r="AS458" s="493"/>
      <c r="AT458" s="493"/>
      <c r="AU458" s="57"/>
      <c r="AV458" s="493"/>
      <c r="AW458" s="46"/>
      <c r="AX458" s="493"/>
      <c r="AY458" s="57"/>
      <c r="AZ458" s="493"/>
      <c r="BA458" s="46"/>
      <c r="BB458" s="46"/>
      <c r="BC458" s="403"/>
      <c r="BD458" s="57"/>
      <c r="BE458" s="493"/>
      <c r="BF458" s="46"/>
      <c r="BG458" s="57"/>
      <c r="BH458" s="493"/>
      <c r="BI458" s="46"/>
      <c r="BJ458" s="87"/>
      <c r="BK458" s="120"/>
    </row>
    <row r="459" spans="1:63" s="246" customFormat="1" x14ac:dyDescent="0.8">
      <c r="A459" s="46">
        <f>IF(+NFL!$F45="NY Jets",+NFL!A45,IF(+NFL!$H45="NY Jets",+NFL!A45,0))</f>
        <v>3</v>
      </c>
      <c r="B459" s="348" t="str">
        <f>IF(+NFL!$F45="NY Jets",+NFL!B45,IF(+NFL!$H45="NY Jets",+NFL!B45,0))</f>
        <v>Sun</v>
      </c>
      <c r="C459" s="48">
        <f>IF(+NFL!$F45="NY Jets",+NFL!C45,IF(+NFL!$H45="NY Jets",+NFL!C45,0))</f>
        <v>44829</v>
      </c>
      <c r="D459" s="490">
        <f>IF(+NFL!$F45="NY Jets",+NFL!D45,IF(+NFL!$H45="NY Jets",+NFL!D45,0))</f>
        <v>0.54166666666666663</v>
      </c>
      <c r="E459" s="46" t="str">
        <f>IF(+NFL!$F45="NY Jets",+NFL!E45,IF(+NFL!$H45="NY Jets",+NFL!E45,0))</f>
        <v>CBS</v>
      </c>
      <c r="F459" s="127" t="str">
        <f>IF(+NFL!$F45="NY Jets",+NFL!F45,IF(+NFL!$H45="NY Jets",+NFL!F45,0))</f>
        <v>Cincinnati</v>
      </c>
      <c r="G459" s="46" t="str">
        <f>IF(+NFL!$F45="NY Jets",+NFL!G45,IF(+NFL!$H45="NY Jets",+NFL!G45,0))</f>
        <v>AFCN</v>
      </c>
      <c r="H459" s="127" t="str">
        <f>IF(+NFL!$F45="NY Jets",+NFL!H45,IF(+NFL!$H45="NY Jets",+NFL!H45,0))</f>
        <v>NY Jets</v>
      </c>
      <c r="I459" s="46" t="str">
        <f>IF(+NFL!$F45="NY Jets",+NFL!I45,IF(+NFL!$H45="NY Jets",+NFL!I45,0))</f>
        <v>AFCE</v>
      </c>
      <c r="J459" s="353" t="str">
        <f>IF(+NFL!$F45="NY Jets",+NFL!J45,IF(+NFL!$H45="NY Jets",+NFL!J45,0))</f>
        <v>Cincinnati</v>
      </c>
      <c r="K459" s="494" t="str">
        <f>IF(+NFL!$F45="NY Jets",+NFL!K45,IF(+NFL!$H45="NY Jets",+NFL!K45,0))</f>
        <v>NY Jets</v>
      </c>
      <c r="L459" s="384">
        <f>IF(+NFL!$F45="NY Jets",+NFL!L45,IF(+NFL!$H45="NY Jets",+NFL!L45,0))</f>
        <v>5</v>
      </c>
      <c r="M459" s="385">
        <f>IF(+NFL!$F45="NY Jets",+NFL!M45,IF(+NFL!$H45="NY Jets",+NFL!M45,0))</f>
        <v>44.5</v>
      </c>
      <c r="N459" s="394" t="str">
        <f>IF(+NFL!$F45="NY Jets",+NFL!N45,IF(+NFL!$H45="NY Jets",+NFL!N45,0))</f>
        <v>Cincinnati</v>
      </c>
      <c r="O459" s="395">
        <f>IF(+NFL!$F45="NY Jets",+NFL!O45,IF(+NFL!$H45="NY Jets",+NFL!O45,0))</f>
        <v>27</v>
      </c>
      <c r="P459" s="394" t="str">
        <f>IF(+NFL!$F45="NY Jets",+NFL!P45,IF(+NFL!$H45="NY Jets",+NFL!P45,0))</f>
        <v>NY Jets</v>
      </c>
      <c r="Q459" s="396">
        <f>IF(+NFL!$F45="NY Jets",+NFL!Q45,IF(+NFL!$H45="NY Jets",+NFL!Q45,0))</f>
        <v>12</v>
      </c>
      <c r="R459" s="397" t="str">
        <f>IF(+NFL!$F45="NY Jets",+NFL!R45,IF(+NFL!$H45="NY Jets",+NFL!R45,0))</f>
        <v>Cincinnati</v>
      </c>
      <c r="S459" s="396" t="str">
        <f>IF(+NFL!$F45="NY Jets",+NFL!S45,IF(+NFL!$H45="NY Jets",+NFL!S45,0))</f>
        <v>NY Jets</v>
      </c>
      <c r="T459" s="398" t="str">
        <f>IF(+NFL!$F45="NY Jets",+NFL!T45,IF(+NFL!$H45="NY Jets",+NFL!T45,0))</f>
        <v>Cincinnati</v>
      </c>
      <c r="U459" s="396" t="str">
        <f>IF(+NFL!$F45="NY Jets",+NFL!U45,IF(+NFL!$H45="NY Jets",+NFL!U45,0))</f>
        <v>W</v>
      </c>
      <c r="V459" s="397"/>
      <c r="W459" s="396"/>
      <c r="X459" s="398"/>
      <c r="Y459" s="396"/>
      <c r="Z459" s="397"/>
      <c r="AA459" s="396"/>
      <c r="AB459" s="87"/>
      <c r="AC459" s="120"/>
      <c r="AD459" s="353"/>
      <c r="AE459" s="379"/>
      <c r="AF459" s="353"/>
      <c r="AG459" s="379"/>
      <c r="AH459" s="353"/>
      <c r="AI459" s="379"/>
      <c r="AJ459" s="353"/>
      <c r="AK459" s="379"/>
      <c r="AL459" s="68"/>
      <c r="AM459" s="58"/>
      <c r="AN459" s="57"/>
      <c r="AO459" s="59"/>
      <c r="AP459" s="348"/>
      <c r="AQ459" s="48"/>
      <c r="AR459" s="57"/>
      <c r="AS459" s="64"/>
      <c r="AT459" s="64"/>
      <c r="AU459" s="57"/>
      <c r="AV459" s="64"/>
      <c r="AW459" s="46"/>
      <c r="AX459" s="64"/>
      <c r="AY459" s="57"/>
      <c r="AZ459" s="64"/>
      <c r="BA459" s="46"/>
      <c r="BB459" s="46"/>
      <c r="BC459" s="403"/>
      <c r="BD459" s="57"/>
      <c r="BE459" s="64"/>
      <c r="BF459" s="46"/>
      <c r="BG459" s="57"/>
      <c r="BH459" s="64"/>
      <c r="BI459" s="46"/>
      <c r="BJ459" s="87"/>
      <c r="BK459" s="120"/>
    </row>
    <row r="460" spans="1:63" s="246" customFormat="1" x14ac:dyDescent="0.8">
      <c r="A460" s="46">
        <f>IF(+NFL!$F63="NY Jets",+NFL!A63,IF(+NFL!$H63="NY Jets",+NFL!A63,0))</f>
        <v>4</v>
      </c>
      <c r="B460" s="348" t="str">
        <f>IF(+NFL!$F63="NY Jets",+NFL!B63,IF(+NFL!$H63="NY Jets",+NFL!B63,0))</f>
        <v>Sun</v>
      </c>
      <c r="C460" s="48">
        <f>IF(+NFL!$F63="NY Jets",+NFL!C63,IF(+NFL!$H63="NY Jets",+NFL!C63,0))</f>
        <v>44836</v>
      </c>
      <c r="D460" s="490">
        <f>IF(+NFL!$F63="NY Jets",+NFL!D63,IF(+NFL!$H63="NY Jets",+NFL!D63,0))</f>
        <v>0.54166666666666663</v>
      </c>
      <c r="E460" s="46" t="str">
        <f>IF(+NFL!$F63="NY Jets",+NFL!E63,IF(+NFL!$H63="NY Jets",+NFL!E63,0))</f>
        <v>CBS</v>
      </c>
      <c r="F460" s="127" t="str">
        <f>IF(+NFL!$F63="NY Jets",+NFL!F63,IF(+NFL!$H63="NY Jets",+NFL!F63,0))</f>
        <v>NY Jets</v>
      </c>
      <c r="G460" s="46" t="str">
        <f>IF(+NFL!$F63="NY Jets",+NFL!G63,IF(+NFL!$H63="NY Jets",+NFL!G63,0))</f>
        <v>AFCE</v>
      </c>
      <c r="H460" s="127" t="str">
        <f>IF(+NFL!$F63="NY Jets",+NFL!H63,IF(+NFL!$H63="NY Jets",+NFL!H63,0))</f>
        <v>Pittsburgh</v>
      </c>
      <c r="I460" s="46" t="str">
        <f>IF(+NFL!$F63="NY Jets",+NFL!I63,IF(+NFL!$H63="NY Jets",+NFL!I63,0))</f>
        <v>AFCN</v>
      </c>
      <c r="J460" s="353" t="str">
        <f>IF(+NFL!$F63="NY Jets",+NFL!J63,IF(+NFL!$H63="NY Jets",+NFL!J63,0))</f>
        <v>Pittsburgh</v>
      </c>
      <c r="K460" s="494" t="str">
        <f>IF(+NFL!$F63="NY Jets",+NFL!K63,IF(+NFL!$H63="NY Jets",+NFL!K63,0))</f>
        <v>NY Jets</v>
      </c>
      <c r="L460" s="384">
        <f>IF(+NFL!$F63="NY Jets",+NFL!L63,IF(+NFL!$H63="NY Jets",+NFL!L63,0))</f>
        <v>3</v>
      </c>
      <c r="M460" s="385">
        <f>IF(+NFL!$F63="NY Jets",+NFL!M63,IF(+NFL!$H63="NY Jets",+NFL!M63,0))</f>
        <v>40.5</v>
      </c>
      <c r="N460" s="394" t="str">
        <f>IF(+NFL!$F63="NY Jets",+NFL!N63,IF(+NFL!$H63="NY Jets",+NFL!N63,0))</f>
        <v>NY Jets</v>
      </c>
      <c r="O460" s="395">
        <f>IF(+NFL!$F63="NY Jets",+NFL!O63,IF(+NFL!$H63="NY Jets",+NFL!O63,0))</f>
        <v>24</v>
      </c>
      <c r="P460" s="394" t="str">
        <f>IF(+NFL!$F63="NY Jets",+NFL!P63,IF(+NFL!$H63="NY Jets",+NFL!P63,0))</f>
        <v>Pittsburgh</v>
      </c>
      <c r="Q460" s="396">
        <f>IF(+NFL!$F63="NY Jets",+NFL!Q63,IF(+NFL!$H63="NY Jets",+NFL!Q63,0))</f>
        <v>20</v>
      </c>
      <c r="R460" s="397" t="str">
        <f>IF(+NFL!$F63="NY Jets",+NFL!R63,IF(+NFL!$H63="NY Jets",+NFL!R63,0))</f>
        <v>NY Jets</v>
      </c>
      <c r="S460" s="396" t="str">
        <f>IF(+NFL!$F63="NY Jets",+NFL!S63,IF(+NFL!$H63="NY Jets",+NFL!S63,0))</f>
        <v>Pittsburgh</v>
      </c>
      <c r="T460" s="398" t="str">
        <f>IF(+NFL!$F63="NY Jets",+NFL!T63,IF(+NFL!$H63="NY Jets",+NFL!T63,0))</f>
        <v>NY Jets</v>
      </c>
      <c r="U460" s="396" t="str">
        <f>IF(+NFL!$F63="NY Jets",+NFL!U63,IF(+NFL!$H63="NY Jets",+NFL!U63,0))</f>
        <v>W</v>
      </c>
      <c r="V460" s="397">
        <f>IF(+NFL!$F43="NY Jets",+NFL!#REF!,IF(+NFL!$H43="NY Jets",+NFL!#REF!,0))</f>
        <v>0</v>
      </c>
      <c r="W460" s="396">
        <f>IF(+NFL!$F43="NY Jets",+NFL!#REF!,IF(+NFL!$H43="NY Jets",+NFL!#REF!,0))</f>
        <v>0</v>
      </c>
      <c r="X460" s="398">
        <f>IF(+NFL!$F43="NY Jets",+NFL!#REF!,IF(+NFL!$H43="NY Jets",+NFL!#REF!,0))</f>
        <v>0</v>
      </c>
      <c r="Y460" s="396">
        <f>IF(+NFL!$F43="NY Jets",+NFL!#REF!,IF(+NFL!$H43="NY Jets",+NFL!#REF!,0))</f>
        <v>0</v>
      </c>
      <c r="Z460" s="397">
        <f>IF(+NFL!$F43="NY Jets",+NFL!#REF!,IF(+NFL!$H43="NY Jets",+NFL!#REF!,0))</f>
        <v>0</v>
      </c>
      <c r="AA460" s="396">
        <f>IF(+NFL!$F43="NY Jets",+NFL!#REF!,IF(+NFL!$H43="NY Jets",+NFL!#REF!,0))</f>
        <v>0</v>
      </c>
      <c r="AB460" s="87">
        <f>IF(+NFL!$F43="NY Jets",+NFL!#REF!,IF(+NFL!$H43="NY Jets",+NFL!#REF!,0))</f>
        <v>0</v>
      </c>
      <c r="AC460" s="120">
        <f>IF(+NFL!$F43="NY Jets",+NFL!#REF!,IF(+NFL!$H43="NY Jets",+NFL!#REF!,0))</f>
        <v>0</v>
      </c>
      <c r="AD460" s="353">
        <f>IF(+NFL!$F43="NY Jets",+NFL!#REF!,IF(+NFL!$H43="NY Jets",+NFL!#REF!,0))</f>
        <v>0</v>
      </c>
      <c r="AE460" s="379">
        <f>IF(+NFL!$F43="NY Jets",+NFL!#REF!,IF(+NFL!$H43="NY Jets",+NFL!#REF!,0))</f>
        <v>0</v>
      </c>
      <c r="AF460" s="353">
        <f>IF(+NFL!$F43="NY Jets",+NFL!#REF!,IF(+NFL!$H43="NY Jets",+NFL!#REF!,0))</f>
        <v>0</v>
      </c>
      <c r="AG460" s="379">
        <f>IF(+NFL!$F43="NY Jets",+NFL!#REF!,IF(+NFL!$H43="NY Jets",+NFL!#REF!,0))</f>
        <v>0</v>
      </c>
      <c r="AH460" s="353">
        <f>IF(+NFL!$F43="NY Jets",+NFL!#REF!,IF(+NFL!$H43="NY Jets",+NFL!#REF!,0))</f>
        <v>0</v>
      </c>
      <c r="AI460" s="379">
        <f>IF(+NFL!$F43="NY Jets",+NFL!#REF!,IF(+NFL!$H43="NY Jets",+NFL!#REF!,0))</f>
        <v>0</v>
      </c>
      <c r="AJ460" s="353">
        <f>IF(+NFL!$F43="NY Jets",+NFL!#REF!,IF(+NFL!$H43="NY Jets",+NFL!#REF!,0))</f>
        <v>0</v>
      </c>
      <c r="AK460" s="379">
        <f>IF(+NFL!$F43="NY Jets",+NFL!#REF!,IF(+NFL!$H43="NY Jets",+NFL!#REF!,0))</f>
        <v>0</v>
      </c>
      <c r="AL460" s="68">
        <f>IF(+NFL!$F43="NY Jets",+NFL!#REF!,IF(+NFL!$H43="NY Jets",+NFL!#REF!,0))</f>
        <v>0</v>
      </c>
      <c r="AM460" s="58">
        <f>IF(+NFL!$F43="NY Jets",+NFL!#REF!,IF(+NFL!$H43="NY Jets",+NFL!#REF!,0))</f>
        <v>0</v>
      </c>
      <c r="AN460" s="57">
        <f>IF(+NFL!$F43="NY Jets",+NFL!#REF!,IF(+NFL!$H43="NY Jets",+NFL!#REF!,0))</f>
        <v>0</v>
      </c>
      <c r="AO460" s="59">
        <f>IF(+NFL!$F43="NY Jets",+NFL!#REF!,IF(+NFL!$H43="NY Jets",+NFL!#REF!,0))</f>
        <v>0</v>
      </c>
      <c r="AP460" s="348">
        <f>IF(+NFL!$F43="NY Jets",+NFL!#REF!,IF(+NFL!$H43="NY Jets",+NFL!#REF!,0))</f>
        <v>0</v>
      </c>
      <c r="AQ460" s="48">
        <f>IF(+NFL!$F43="NY Jets",+NFL!#REF!,IF(+NFL!$H43="NY Jets",+NFL!#REF!,0))</f>
        <v>0</v>
      </c>
      <c r="AR460" s="57">
        <f>IF(+NFL!$F43="NY Jets",+NFL!#REF!,IF(+NFL!$H43="NY Jets",+NFL!#REF!,0))</f>
        <v>0</v>
      </c>
      <c r="AS460" s="64">
        <f>IF(+NFL!$F43="NY Jets",+NFL!#REF!,IF(+NFL!$H43="NY Jets",+NFL!#REF!,0))</f>
        <v>0</v>
      </c>
      <c r="AT460" s="64">
        <f>IF(+NFL!$F43="NY Jets",+NFL!#REF!,IF(+NFL!$H43="NY Jets",+NFL!#REF!,0))</f>
        <v>0</v>
      </c>
      <c r="AU460" s="57">
        <f>IF(+NFL!$F43="NY Jets",+NFL!#REF!,IF(+NFL!$H43="NY Jets",+NFL!#REF!,0))</f>
        <v>0</v>
      </c>
      <c r="AV460" s="64">
        <f>IF(+NFL!$F43="NY Jets",+NFL!#REF!,IF(+NFL!$H43="NY Jets",+NFL!#REF!,0))</f>
        <v>0</v>
      </c>
      <c r="AW460" s="46">
        <f>IF(+NFL!$F43="NY Jets",+NFL!#REF!,IF(+NFL!$H43="NY Jets",+NFL!#REF!,0))</f>
        <v>0</v>
      </c>
      <c r="AX460" s="64">
        <f>IF(+NFL!$F43="NY Jets",+NFL!#REF!,IF(+NFL!$H43="NY Jets",+NFL!#REF!,0))</f>
        <v>0</v>
      </c>
      <c r="AY460" s="57">
        <f>IF(+NFL!$F43="NY Jets",+NFL!#REF!,IF(+NFL!$H43="NY Jets",+NFL!#REF!,0))</f>
        <v>0</v>
      </c>
      <c r="AZ460" s="64">
        <f>IF(+NFL!$F43="NY Jets",+NFL!#REF!,IF(+NFL!$H43="NY Jets",+NFL!#REF!,0))</f>
        <v>0</v>
      </c>
      <c r="BA460" s="46">
        <f>IF(+NFL!$F43="NY Jets",+NFL!#REF!,IF(+NFL!$H43="NY Jets",+NFL!#REF!,0))</f>
        <v>0</v>
      </c>
      <c r="BB460" s="46">
        <f>IF(+NFL!$F43="NY Jets",+NFL!#REF!,IF(+NFL!$H43="NY Jets",+NFL!#REF!,0))</f>
        <v>0</v>
      </c>
      <c r="BC460" s="403">
        <f>IF(+NFL!$F43="NY Jets",+NFL!#REF!,IF(+NFL!$H43="NY Jets",+NFL!#REF!,0))</f>
        <v>0</v>
      </c>
      <c r="BD460" s="57">
        <f>IF(+NFL!$F43="NY Jets",+NFL!#REF!,IF(+NFL!$H43="NY Jets",+NFL!#REF!,0))</f>
        <v>0</v>
      </c>
      <c r="BE460" s="64">
        <f>IF(+NFL!$F43="NY Jets",+NFL!#REF!,IF(+NFL!$H43="NY Jets",+NFL!#REF!,0))</f>
        <v>0</v>
      </c>
      <c r="BF460" s="46">
        <f>IF(+NFL!$F43="NY Jets",+NFL!#REF!,IF(+NFL!$H43="NY Jets",+NFL!#REF!,0))</f>
        <v>0</v>
      </c>
      <c r="BG460" s="57">
        <f>IF(+NFL!$F43="NY Jets",+NFL!#REF!,IF(+NFL!$H43="NY Jets",+NFL!#REF!,0))</f>
        <v>0</v>
      </c>
      <c r="BH460" s="64">
        <f>IF(+NFL!$F43="NY Jets",+NFL!#REF!,IF(+NFL!$H43="NY Jets",+NFL!#REF!,0))</f>
        <v>0</v>
      </c>
      <c r="BI460" s="46">
        <f>IF(+NFL!$F43="NY Jets",+NFL!#REF!,IF(+NFL!$H43="NY Jets",+NFL!#REF!,0))</f>
        <v>0</v>
      </c>
      <c r="BJ460" s="87">
        <f>IF(+NFL!$F43="NY Jets",+NFL!#REF!,IF(+NFL!$H43="NY Jets",+NFL!#REF!,0))</f>
        <v>0</v>
      </c>
      <c r="BK460" s="120">
        <f>IF(+NFL!$F43="NY Jets",+NFL!#REF!,IF(+NFL!$H43="NY Jets",+NFL!#REF!,0))</f>
        <v>0</v>
      </c>
    </row>
    <row r="461" spans="1:63" s="246" customFormat="1" x14ac:dyDescent="0.8">
      <c r="A461" s="46">
        <f>IF(+NFL!$F79="NY Jets",+NFL!A79,IF(+NFL!$H79="NY Jets",+NFL!A79,0))</f>
        <v>5</v>
      </c>
      <c r="B461" s="348" t="str">
        <f>IF(+NFL!$F79="NY Jets",+NFL!B79,IF(+NFL!$H79="NY Jets",+NFL!B79,0))</f>
        <v>Sun</v>
      </c>
      <c r="C461" s="48">
        <f>IF(+NFL!$F79="NY Jets",+NFL!C79,IF(+NFL!$H79="NY Jets",+NFL!C79,0))</f>
        <v>44843</v>
      </c>
      <c r="D461" s="490">
        <f>IF(+NFL!$F79="NY Jets",+NFL!D79,IF(+NFL!$H79="NY Jets",+NFL!D79,0))</f>
        <v>0.54166666666666663</v>
      </c>
      <c r="E461" s="46" t="str">
        <f>IF(+NFL!$F79="NY Jets",+NFL!E79,IF(+NFL!$H79="NY Jets",+NFL!E79,0))</f>
        <v>CBS</v>
      </c>
      <c r="F461" s="127" t="str">
        <f>IF(+NFL!$F79="NY Jets",+NFL!F79,IF(+NFL!$H79="NY Jets",+NFL!F79,0))</f>
        <v>Miami</v>
      </c>
      <c r="G461" s="46" t="str">
        <f>IF(+NFL!$F79="NY Jets",+NFL!G79,IF(+NFL!$H79="NY Jets",+NFL!G79,0))</f>
        <v>AFCE</v>
      </c>
      <c r="H461" s="127" t="str">
        <f>IF(+NFL!$F79="NY Jets",+NFL!H79,IF(+NFL!$H79="NY Jets",+NFL!H79,0))</f>
        <v>NY Jets</v>
      </c>
      <c r="I461" s="46" t="str">
        <f>IF(+NFL!$F79="NY Jets",+NFL!I79,IF(+NFL!$H79="NY Jets",+NFL!I79,0))</f>
        <v>AFCE</v>
      </c>
      <c r="J461" s="353" t="str">
        <f>IF(+NFL!$F79="NY Jets",+NFL!J79,IF(+NFL!$H79="NY Jets",+NFL!J79,0))</f>
        <v>Miami</v>
      </c>
      <c r="K461" s="494" t="str">
        <f>IF(+NFL!$F79="NY Jets",+NFL!K79,IF(+NFL!$H79="NY Jets",+NFL!K79,0))</f>
        <v>NY Jets</v>
      </c>
      <c r="L461" s="384">
        <f>IF(+NFL!$F79="NY Jets",+NFL!L79,IF(+NFL!$H79="NY Jets",+NFL!L79,0))</f>
        <v>3</v>
      </c>
      <c r="M461" s="385">
        <f>IF(+NFL!$F79="NY Jets",+NFL!M79,IF(+NFL!$H79="NY Jets",+NFL!M79,0))</f>
        <v>44</v>
      </c>
      <c r="N461" s="394" t="str">
        <f>IF(+NFL!$F79="NY Jets",+NFL!N79,IF(+NFL!$H79="NY Jets",+NFL!N79,0))</f>
        <v>NY Jets</v>
      </c>
      <c r="O461" s="395">
        <f>IF(+NFL!$F79="NY Jets",+NFL!O79,IF(+NFL!$H79="NY Jets",+NFL!O79,0))</f>
        <v>40</v>
      </c>
      <c r="P461" s="394" t="str">
        <f>IF(+NFL!$F79="NY Jets",+NFL!P79,IF(+NFL!$H79="NY Jets",+NFL!P79,0))</f>
        <v>Miami</v>
      </c>
      <c r="Q461" s="396">
        <f>IF(+NFL!$F79="NY Jets",+NFL!Q79,IF(+NFL!$H79="NY Jets",+NFL!Q79,0))</f>
        <v>17</v>
      </c>
      <c r="R461" s="397" t="str">
        <f>IF(+NFL!$F79="NY Jets",+NFL!R79,IF(+NFL!$H79="NY Jets",+NFL!R79,0))</f>
        <v>NY Jets</v>
      </c>
      <c r="S461" s="396" t="str">
        <f>IF(+NFL!$F79="NY Jets",+NFL!S79,IF(+NFL!$H79="NY Jets",+NFL!S79,0))</f>
        <v>Miami</v>
      </c>
      <c r="T461" s="398" t="str">
        <f>IF(+NFL!$F79="NY Jets",+NFL!T79,IF(+NFL!$H79="NY Jets",+NFL!T79,0))</f>
        <v>Miami</v>
      </c>
      <c r="U461" s="396" t="str">
        <f>IF(+NFL!$F79="NY Jets",+NFL!U79,IF(+NFL!$H79="NY Jets",+NFL!U79,0))</f>
        <v>L</v>
      </c>
      <c r="V461" s="397">
        <f>IF(+NFL!$F55="NY Jets",+NFL!#REF!,IF(+NFL!$H55="NY Jets",+NFL!#REF!,0))</f>
        <v>0</v>
      </c>
      <c r="W461" s="396">
        <f>IF(+NFL!$F55="NY Jets",+NFL!#REF!,IF(+NFL!$H55="NY Jets",+NFL!#REF!,0))</f>
        <v>0</v>
      </c>
      <c r="X461" s="398">
        <f>IF(+NFL!$F55="NY Jets",+NFL!#REF!,IF(+NFL!$H55="NY Jets",+NFL!#REF!,0))</f>
        <v>0</v>
      </c>
      <c r="Y461" s="396">
        <f>IF(+NFL!$F55="NY Jets",+NFL!#REF!,IF(+NFL!$H55="NY Jets",+NFL!#REF!,0))</f>
        <v>0</v>
      </c>
      <c r="Z461" s="397">
        <f>IF(+NFL!$F55="NY Jets",+NFL!#REF!,IF(+NFL!$H55="NY Jets",+NFL!#REF!,0))</f>
        <v>0</v>
      </c>
      <c r="AA461" s="396">
        <f>IF(+NFL!$F55="NY Jets",+NFL!#REF!,IF(+NFL!$H55="NY Jets",+NFL!#REF!,0))</f>
        <v>0</v>
      </c>
      <c r="AB461" s="87">
        <f>IF(+NFL!$F55="NY Jets",+NFL!#REF!,IF(+NFL!$H55="NY Jets",+NFL!#REF!,0))</f>
        <v>0</v>
      </c>
      <c r="AC461" s="120">
        <f>IF(+NFL!$F55="NY Jets",+NFL!#REF!,IF(+NFL!$H55="NY Jets",+NFL!#REF!,0))</f>
        <v>0</v>
      </c>
      <c r="AD461" s="353">
        <f>IF(+NFL!$F55="NY Jets",+NFL!#REF!,IF(+NFL!$H55="NY Jets",+NFL!#REF!,0))</f>
        <v>0</v>
      </c>
      <c r="AE461" s="379">
        <f>IF(+NFL!$F55="NY Jets",+NFL!#REF!,IF(+NFL!$H55="NY Jets",+NFL!#REF!,0))</f>
        <v>0</v>
      </c>
      <c r="AF461" s="353">
        <f>IF(+NFL!$F55="NY Jets",+NFL!#REF!,IF(+NFL!$H55="NY Jets",+NFL!#REF!,0))</f>
        <v>0</v>
      </c>
      <c r="AG461" s="379">
        <f>IF(+NFL!$F55="NY Jets",+NFL!#REF!,IF(+NFL!$H55="NY Jets",+NFL!#REF!,0))</f>
        <v>0</v>
      </c>
      <c r="AH461" s="353">
        <f>IF(+NFL!$F55="NY Jets",+NFL!#REF!,IF(+NFL!$H55="NY Jets",+NFL!#REF!,0))</f>
        <v>0</v>
      </c>
      <c r="AI461" s="379">
        <f>IF(+NFL!$F55="NY Jets",+NFL!#REF!,IF(+NFL!$H55="NY Jets",+NFL!#REF!,0))</f>
        <v>0</v>
      </c>
      <c r="AJ461" s="353">
        <f>IF(+NFL!$F55="NY Jets",+NFL!#REF!,IF(+NFL!$H55="NY Jets",+NFL!#REF!,0))</f>
        <v>0</v>
      </c>
      <c r="AK461" s="379">
        <f>IF(+NFL!$F55="NY Jets",+NFL!#REF!,IF(+NFL!$H55="NY Jets",+NFL!#REF!,0))</f>
        <v>0</v>
      </c>
      <c r="AL461" s="68">
        <f>IF(+NFL!$F55="NY Jets",+NFL!#REF!,IF(+NFL!$H55="NY Jets",+NFL!#REF!,0))</f>
        <v>0</v>
      </c>
      <c r="AM461" s="58">
        <f>IF(+NFL!$F55="NY Jets",+NFL!#REF!,IF(+NFL!$H55="NY Jets",+NFL!#REF!,0))</f>
        <v>0</v>
      </c>
      <c r="AN461" s="57">
        <f>IF(+NFL!$F55="NY Jets",+NFL!#REF!,IF(+NFL!$H55="NY Jets",+NFL!#REF!,0))</f>
        <v>0</v>
      </c>
      <c r="AO461" s="59">
        <f>IF(+NFL!$F55="NY Jets",+NFL!#REF!,IF(+NFL!$H55="NY Jets",+NFL!#REF!,0))</f>
        <v>0</v>
      </c>
      <c r="AP461" s="348">
        <f>IF(+NFL!$F55="NY Jets",+NFL!#REF!,IF(+NFL!$H55="NY Jets",+NFL!#REF!,0))</f>
        <v>0</v>
      </c>
      <c r="AQ461" s="48">
        <f>IF(+NFL!$F55="NY Jets",+NFL!#REF!,IF(+NFL!$H55="NY Jets",+NFL!#REF!,0))</f>
        <v>0</v>
      </c>
      <c r="AR461" s="57">
        <f>IF(+NFL!$F55="NY Jets",+NFL!#REF!,IF(+NFL!$H55="NY Jets",+NFL!#REF!,0))</f>
        <v>0</v>
      </c>
      <c r="AS461" s="64">
        <f>IF(+NFL!$F55="NY Jets",+NFL!#REF!,IF(+NFL!$H55="NY Jets",+NFL!#REF!,0))</f>
        <v>0</v>
      </c>
      <c r="AT461" s="64">
        <f>IF(+NFL!$F55="NY Jets",+NFL!#REF!,IF(+NFL!$H55="NY Jets",+NFL!#REF!,0))</f>
        <v>0</v>
      </c>
      <c r="AU461" s="57">
        <f>IF(+NFL!$F55="NY Jets",+NFL!#REF!,IF(+NFL!$H55="NY Jets",+NFL!#REF!,0))</f>
        <v>0</v>
      </c>
      <c r="AV461" s="64">
        <f>IF(+NFL!$F55="NY Jets",+NFL!#REF!,IF(+NFL!$H55="NY Jets",+NFL!#REF!,0))</f>
        <v>0</v>
      </c>
      <c r="AW461" s="46">
        <f>IF(+NFL!$F55="NY Jets",+NFL!#REF!,IF(+NFL!$H55="NY Jets",+NFL!#REF!,0))</f>
        <v>0</v>
      </c>
      <c r="AX461" s="64">
        <f>IF(+NFL!$F55="NY Jets",+NFL!#REF!,IF(+NFL!$H55="NY Jets",+NFL!#REF!,0))</f>
        <v>0</v>
      </c>
      <c r="AY461" s="57">
        <f>IF(+NFL!$F55="NY Jets",+NFL!#REF!,IF(+NFL!$H55="NY Jets",+NFL!#REF!,0))</f>
        <v>0</v>
      </c>
      <c r="AZ461" s="64">
        <f>IF(+NFL!$F55="NY Jets",+NFL!#REF!,IF(+NFL!$H55="NY Jets",+NFL!#REF!,0))</f>
        <v>0</v>
      </c>
      <c r="BA461" s="46">
        <f>IF(+NFL!$F55="NY Jets",+NFL!#REF!,IF(+NFL!$H55="NY Jets",+NFL!#REF!,0))</f>
        <v>0</v>
      </c>
      <c r="BB461" s="46">
        <f>IF(+NFL!$F55="NY Jets",+NFL!#REF!,IF(+NFL!$H55="NY Jets",+NFL!#REF!,0))</f>
        <v>0</v>
      </c>
      <c r="BC461" s="403">
        <f>IF(+NFL!$F55="NY Jets",+NFL!#REF!,IF(+NFL!$H55="NY Jets",+NFL!#REF!,0))</f>
        <v>0</v>
      </c>
      <c r="BD461" s="57">
        <f>IF(+NFL!$F55="NY Jets",+NFL!#REF!,IF(+NFL!$H55="NY Jets",+NFL!#REF!,0))</f>
        <v>0</v>
      </c>
      <c r="BE461" s="64">
        <f>IF(+NFL!$F55="NY Jets",+NFL!#REF!,IF(+NFL!$H55="NY Jets",+NFL!#REF!,0))</f>
        <v>0</v>
      </c>
      <c r="BF461" s="46">
        <f>IF(+NFL!$F55="NY Jets",+NFL!#REF!,IF(+NFL!$H55="NY Jets",+NFL!#REF!,0))</f>
        <v>0</v>
      </c>
      <c r="BG461" s="57">
        <f>IF(+NFL!$F55="NY Jets",+NFL!#REF!,IF(+NFL!$H55="NY Jets",+NFL!#REF!,0))</f>
        <v>0</v>
      </c>
      <c r="BH461" s="64">
        <f>IF(+NFL!$F55="NY Jets",+NFL!#REF!,IF(+NFL!$H55="NY Jets",+NFL!#REF!,0))</f>
        <v>0</v>
      </c>
      <c r="BI461" s="46">
        <f>IF(+NFL!$F55="NY Jets",+NFL!#REF!,IF(+NFL!$H55="NY Jets",+NFL!#REF!,0))</f>
        <v>0</v>
      </c>
      <c r="BJ461" s="87">
        <f>IF(+NFL!$F55="NY Jets",+NFL!#REF!,IF(+NFL!$H55="NY Jets",+NFL!#REF!,0))</f>
        <v>0</v>
      </c>
      <c r="BK461" s="120">
        <f>IF(+NFL!$F55="NY Jets",+NFL!#REF!,IF(+NFL!$H55="NY Jets",+NFL!#REF!,0))</f>
        <v>0</v>
      </c>
    </row>
    <row r="462" spans="1:63" s="246" customFormat="1" x14ac:dyDescent="0.8">
      <c r="A462" s="46">
        <f>IF(+NFL!$F92="NY Jets",+NFL!A92,IF(+NFL!$H92="NY Jets",+NFL!A92,0))</f>
        <v>6</v>
      </c>
      <c r="B462" s="348" t="str">
        <f>IF(+NFL!$F92="NY Jets",+NFL!B92,IF(+NFL!$H92="NY Jets",+NFL!B92,0))</f>
        <v>Sun</v>
      </c>
      <c r="C462" s="48">
        <f>IF(+NFL!$F92="NY Jets",+NFL!C92,IF(+NFL!$H92="NY Jets",+NFL!C92,0))</f>
        <v>44850</v>
      </c>
      <c r="D462" s="490">
        <f>IF(+NFL!$F92="NY Jets",+NFL!D92,IF(+NFL!$H92="NY Jets",+NFL!D92,0))</f>
        <v>0.54166666666666663</v>
      </c>
      <c r="E462" s="46" t="str">
        <f>IF(+NFL!$F92="NY Jets",+NFL!E92,IF(+NFL!$H92="NY Jets",+NFL!E92,0))</f>
        <v>CBS</v>
      </c>
      <c r="F462" s="127" t="str">
        <f>IF(+NFL!$F92="NY Jets",+NFL!F92,IF(+NFL!$H92="NY Jets",+NFL!F92,0))</f>
        <v>NY Jets</v>
      </c>
      <c r="G462" s="46" t="str">
        <f>IF(+NFL!$F92="NY Jets",+NFL!G92,IF(+NFL!$H92="NY Jets",+NFL!G92,0))</f>
        <v>AFCE</v>
      </c>
      <c r="H462" s="127" t="str">
        <f>IF(+NFL!$F92="NY Jets",+NFL!H92,IF(+NFL!$H92="NY Jets",+NFL!H92,0))</f>
        <v>Green Bay</v>
      </c>
      <c r="I462" s="46" t="str">
        <f>IF(+NFL!$F92="NY Jets",+NFL!I92,IF(+NFL!$H92="NY Jets",+NFL!I92,0))</f>
        <v>NFCN</v>
      </c>
      <c r="J462" s="353" t="str">
        <f>IF(+NFL!$F92="NY Jets",+NFL!J92,IF(+NFL!$H92="NY Jets",+NFL!J92,0))</f>
        <v>Green Bay</v>
      </c>
      <c r="K462" s="494" t="str">
        <f>IF(+NFL!$F92="NY Jets",+NFL!K92,IF(+NFL!$H92="NY Jets",+NFL!K92,0))</f>
        <v>NY Jets</v>
      </c>
      <c r="L462" s="384">
        <f>IF(+NFL!$F92="NY Jets",+NFL!L92,IF(+NFL!$H92="NY Jets",+NFL!L92,0))</f>
        <v>7.4</v>
      </c>
      <c r="M462" s="385">
        <f>IF(+NFL!$F92="NY Jets",+NFL!M92,IF(+NFL!$H92="NY Jets",+NFL!M92,0))</f>
        <v>45</v>
      </c>
      <c r="N462" s="394" t="str">
        <f>IF(+NFL!$F92="NY Jets",+NFL!N92,IF(+NFL!$H92="NY Jets",+NFL!N92,0))</f>
        <v>NY Jets</v>
      </c>
      <c r="O462" s="395">
        <f>IF(+NFL!$F92="NY Jets",+NFL!O92,IF(+NFL!$H92="NY Jets",+NFL!O92,0))</f>
        <v>27</v>
      </c>
      <c r="P462" s="394" t="str">
        <f>IF(+NFL!$F92="NY Jets",+NFL!P92,IF(+NFL!$H92="NY Jets",+NFL!P92,0))</f>
        <v>Green Bay</v>
      </c>
      <c r="Q462" s="396">
        <f>IF(+NFL!$F92="NY Jets",+NFL!Q92,IF(+NFL!$H92="NY Jets",+NFL!Q92,0))</f>
        <v>20</v>
      </c>
      <c r="R462" s="397" t="str">
        <f>IF(+NFL!$F92="NY Jets",+NFL!R92,IF(+NFL!$H92="NY Jets",+NFL!R92,0))</f>
        <v>NY Jets</v>
      </c>
      <c r="S462" s="396" t="str">
        <f>IF(+NFL!$F92="NY Jets",+NFL!S92,IF(+NFL!$H92="NY Jets",+NFL!S92,0))</f>
        <v>Green Bay</v>
      </c>
      <c r="T462" s="398" t="str">
        <f>IF(+NFL!$F92="NY Jets",+NFL!T92,IF(+NFL!$H92="NY Jets",+NFL!T92,0))</f>
        <v>Green Bay</v>
      </c>
      <c r="U462" s="396" t="str">
        <f>IF(+NFL!$F92="NY Jets",+NFL!U92,IF(+NFL!$H92="NY Jets",+NFL!U92,0))</f>
        <v>L</v>
      </c>
      <c r="V462" s="397">
        <f>IF(+NFL!$F85="NY Jets",+NFL!#REF!,IF(+NFL!$H85="NY Jets",+NFL!#REF!,0))</f>
        <v>0</v>
      </c>
      <c r="W462" s="396">
        <f>IF(+NFL!$F85="NY Jets",+NFL!#REF!,IF(+NFL!$H85="NY Jets",+NFL!#REF!,0))</f>
        <v>0</v>
      </c>
      <c r="X462" s="398">
        <f>IF(+NFL!$F85="NY Jets",+NFL!#REF!,IF(+NFL!$H85="NY Jets",+NFL!#REF!,0))</f>
        <v>0</v>
      </c>
      <c r="Y462" s="396">
        <f>IF(+NFL!$F85="NY Jets",+NFL!#REF!,IF(+NFL!$H85="NY Jets",+NFL!#REF!,0))</f>
        <v>0</v>
      </c>
      <c r="Z462" s="397">
        <f>IF(+NFL!$F85="NY Jets",+NFL!#REF!,IF(+NFL!$H85="NY Jets",+NFL!#REF!,0))</f>
        <v>0</v>
      </c>
      <c r="AA462" s="396">
        <f>IF(+NFL!$F85="NY Jets",+NFL!#REF!,IF(+NFL!$H85="NY Jets",+NFL!#REF!,0))</f>
        <v>0</v>
      </c>
      <c r="AB462" s="87">
        <f>IF(+NFL!$F85="NY Jets",+NFL!#REF!,IF(+NFL!$H85="NY Jets",+NFL!#REF!,0))</f>
        <v>0</v>
      </c>
      <c r="AC462" s="120">
        <f>IF(+NFL!$F85="NY Jets",+NFL!#REF!,IF(+NFL!$H85="NY Jets",+NFL!#REF!,0))</f>
        <v>0</v>
      </c>
      <c r="AD462" s="353">
        <f>IF(+NFL!$F85="NY Jets",+NFL!#REF!,IF(+NFL!$H85="NY Jets",+NFL!#REF!,0))</f>
        <v>0</v>
      </c>
      <c r="AE462" s="379">
        <f>IF(+NFL!$F85="NY Jets",+NFL!#REF!,IF(+NFL!$H85="NY Jets",+NFL!#REF!,0))</f>
        <v>0</v>
      </c>
      <c r="AF462" s="353">
        <f>IF(+NFL!$F85="NY Jets",+NFL!#REF!,IF(+NFL!$H85="NY Jets",+NFL!#REF!,0))</f>
        <v>0</v>
      </c>
      <c r="AG462" s="379">
        <f>IF(+NFL!$F85="NY Jets",+NFL!#REF!,IF(+NFL!$H85="NY Jets",+NFL!#REF!,0))</f>
        <v>0</v>
      </c>
      <c r="AH462" s="353">
        <f>IF(+NFL!$F85="NY Jets",+NFL!#REF!,IF(+NFL!$H85="NY Jets",+NFL!#REF!,0))</f>
        <v>0</v>
      </c>
      <c r="AI462" s="379">
        <f>IF(+NFL!$F85="NY Jets",+NFL!#REF!,IF(+NFL!$H85="NY Jets",+NFL!#REF!,0))</f>
        <v>0</v>
      </c>
      <c r="AJ462" s="353">
        <f>IF(+NFL!$F85="NY Jets",+NFL!#REF!,IF(+NFL!$H85="NY Jets",+NFL!#REF!,0))</f>
        <v>0</v>
      </c>
      <c r="AK462" s="379">
        <f>IF(+NFL!$F85="NY Jets",+NFL!#REF!,IF(+NFL!$H85="NY Jets",+NFL!#REF!,0))</f>
        <v>0</v>
      </c>
      <c r="AL462" s="68">
        <f>IF(+NFL!$F85="NY Jets",+NFL!#REF!,IF(+NFL!$H85="NY Jets",+NFL!#REF!,0))</f>
        <v>0</v>
      </c>
      <c r="AM462" s="58">
        <f>IF(+NFL!$F85="NY Jets",+NFL!#REF!,IF(+NFL!$H85="NY Jets",+NFL!#REF!,0))</f>
        <v>0</v>
      </c>
      <c r="AN462" s="57">
        <f>IF(+NFL!$F85="NY Jets",+NFL!#REF!,IF(+NFL!$H85="NY Jets",+NFL!#REF!,0))</f>
        <v>0</v>
      </c>
      <c r="AO462" s="59">
        <f>IF(+NFL!$F85="NY Jets",+NFL!#REF!,IF(+NFL!$H85="NY Jets",+NFL!#REF!,0))</f>
        <v>0</v>
      </c>
      <c r="AP462" s="348">
        <f>IF(+NFL!$F85="NY Jets",+NFL!#REF!,IF(+NFL!$H85="NY Jets",+NFL!#REF!,0))</f>
        <v>0</v>
      </c>
      <c r="AQ462" s="48">
        <f>IF(+NFL!$F85="NY Jets",+NFL!#REF!,IF(+NFL!$H85="NY Jets",+NFL!#REF!,0))</f>
        <v>0</v>
      </c>
      <c r="AR462" s="57">
        <f>IF(+NFL!$F85="NY Jets",+NFL!#REF!,IF(+NFL!$H85="NY Jets",+NFL!#REF!,0))</f>
        <v>0</v>
      </c>
      <c r="AS462" s="64">
        <f>IF(+NFL!$F85="NY Jets",+NFL!#REF!,IF(+NFL!$H85="NY Jets",+NFL!#REF!,0))</f>
        <v>0</v>
      </c>
      <c r="AT462" s="64">
        <f>IF(+NFL!$F85="NY Jets",+NFL!#REF!,IF(+NFL!$H85="NY Jets",+NFL!#REF!,0))</f>
        <v>0</v>
      </c>
      <c r="AU462" s="57">
        <f>IF(+NFL!$F85="NY Jets",+NFL!#REF!,IF(+NFL!$H85="NY Jets",+NFL!#REF!,0))</f>
        <v>0</v>
      </c>
      <c r="AV462" s="64">
        <f>IF(+NFL!$F85="NY Jets",+NFL!#REF!,IF(+NFL!$H85="NY Jets",+NFL!#REF!,0))</f>
        <v>0</v>
      </c>
      <c r="AW462" s="46">
        <f>IF(+NFL!$F85="NY Jets",+NFL!#REF!,IF(+NFL!$H85="NY Jets",+NFL!#REF!,0))</f>
        <v>0</v>
      </c>
      <c r="AX462" s="64">
        <f>IF(+NFL!$F85="NY Jets",+NFL!#REF!,IF(+NFL!$H85="NY Jets",+NFL!#REF!,0))</f>
        <v>0</v>
      </c>
      <c r="AY462" s="57">
        <f>IF(+NFL!$F85="NY Jets",+NFL!#REF!,IF(+NFL!$H85="NY Jets",+NFL!#REF!,0))</f>
        <v>0</v>
      </c>
      <c r="AZ462" s="64">
        <f>IF(+NFL!$F85="NY Jets",+NFL!#REF!,IF(+NFL!$H85="NY Jets",+NFL!#REF!,0))</f>
        <v>0</v>
      </c>
      <c r="BA462" s="46">
        <f>IF(+NFL!$F85="NY Jets",+NFL!#REF!,IF(+NFL!$H85="NY Jets",+NFL!#REF!,0))</f>
        <v>0</v>
      </c>
      <c r="BB462" s="46">
        <f>IF(+NFL!$F85="NY Jets",+NFL!#REF!,IF(+NFL!$H85="NY Jets",+NFL!#REF!,0))</f>
        <v>0</v>
      </c>
      <c r="BC462" s="403">
        <f>IF(+NFL!$F85="NY Jets",+NFL!#REF!,IF(+NFL!$H85="NY Jets",+NFL!#REF!,0))</f>
        <v>0</v>
      </c>
      <c r="BD462" s="57">
        <f>IF(+NFL!$F85="NY Jets",+NFL!#REF!,IF(+NFL!$H85="NY Jets",+NFL!#REF!,0))</f>
        <v>0</v>
      </c>
      <c r="BE462" s="64">
        <f>IF(+NFL!$F85="NY Jets",+NFL!#REF!,IF(+NFL!$H85="NY Jets",+NFL!#REF!,0))</f>
        <v>0</v>
      </c>
      <c r="BF462" s="46">
        <f>IF(+NFL!$F85="NY Jets",+NFL!#REF!,IF(+NFL!$H85="NY Jets",+NFL!#REF!,0))</f>
        <v>0</v>
      </c>
      <c r="BG462" s="57">
        <f>IF(+NFL!$F85="NY Jets",+NFL!#REF!,IF(+NFL!$H85="NY Jets",+NFL!#REF!,0))</f>
        <v>0</v>
      </c>
      <c r="BH462" s="64">
        <f>IF(+NFL!$F85="NY Jets",+NFL!#REF!,IF(+NFL!$H85="NY Jets",+NFL!#REF!,0))</f>
        <v>0</v>
      </c>
      <c r="BI462" s="46">
        <f>IF(+NFL!$F85="NY Jets",+NFL!#REF!,IF(+NFL!$H85="NY Jets",+NFL!#REF!,0))</f>
        <v>0</v>
      </c>
      <c r="BJ462" s="87">
        <f>IF(+NFL!$F85="NY Jets",+NFL!#REF!,IF(+NFL!$H85="NY Jets",+NFL!#REF!,0))</f>
        <v>0</v>
      </c>
      <c r="BK462" s="120">
        <f>IF(+NFL!$F85="NY Jets",+NFL!#REF!,IF(+NFL!$H85="NY Jets",+NFL!#REF!,0))</f>
        <v>0</v>
      </c>
    </row>
    <row r="463" spans="1:63" s="246" customFormat="1" x14ac:dyDescent="0.8">
      <c r="A463" s="46">
        <f>IF(+NFL!$F117="NY Jets",+NFL!A117,IF(+NFL!$H117="NY Jets",+NFL!A117,0))</f>
        <v>7</v>
      </c>
      <c r="B463" s="348" t="str">
        <f>IF(+NFL!$F117="NY Jets",+NFL!B117,IF(+NFL!$H117="NY Jets",+NFL!B117,0))</f>
        <v>Sun</v>
      </c>
      <c r="C463" s="48">
        <f>IF(+NFL!$F117="NY Jets",+NFL!C117,IF(+NFL!$H117="NY Jets",+NFL!C117,0))</f>
        <v>44857</v>
      </c>
      <c r="D463" s="490">
        <f>IF(+NFL!$F117="NY Jets",+NFL!D117,IF(+NFL!$H117="NY Jets",+NFL!D117,0))</f>
        <v>0.54166666666666663</v>
      </c>
      <c r="E463" s="46" t="str">
        <f>IF(+NFL!$F117="NY Jets",+NFL!E117,IF(+NFL!$H117="NY Jets",+NFL!E117,0))</f>
        <v>CBS</v>
      </c>
      <c r="F463" s="127" t="str">
        <f>IF(+NFL!$F117="NY Jets",+NFL!F117,IF(+NFL!$H117="NY Jets",+NFL!F117,0))</f>
        <v>NY Jets</v>
      </c>
      <c r="G463" s="46" t="str">
        <f>IF(+NFL!$F117="NY Jets",+NFL!G117,IF(+NFL!$H117="NY Jets",+NFL!G117,0))</f>
        <v>AFCE</v>
      </c>
      <c r="H463" s="127" t="str">
        <f>IF(+NFL!$F117="NY Jets",+NFL!H117,IF(+NFL!$H117="NY Jets",+NFL!H117,0))</f>
        <v>Denver</v>
      </c>
      <c r="I463" s="46" t="str">
        <f>IF(+NFL!$F117="NY Jets",+NFL!I117,IF(+NFL!$H117="NY Jets",+NFL!I117,0))</f>
        <v>AFCW</v>
      </c>
      <c r="J463" s="353" t="str">
        <f>IF(+NFL!$F117="NY Jets",+NFL!J117,IF(+NFL!$H117="NY Jets",+NFL!J117,0))</f>
        <v>Denver</v>
      </c>
      <c r="K463" s="494" t="str">
        <f>IF(+NFL!$F117="NY Jets",+NFL!K117,IF(+NFL!$H117="NY Jets",+NFL!K117,0))</f>
        <v>NY Jets</v>
      </c>
      <c r="L463" s="384">
        <f>IF(+NFL!$F117="NY Jets",+NFL!L117,IF(+NFL!$H117="NY Jets",+NFL!L117,0))</f>
        <v>1</v>
      </c>
      <c r="M463" s="385">
        <f>IF(+NFL!$F117="NY Jets",+NFL!M117,IF(+NFL!$H117="NY Jets",+NFL!M117,0))</f>
        <v>38.5</v>
      </c>
      <c r="N463" s="394" t="str">
        <f>IF(+NFL!$F117="NY Jets",+NFL!N117,IF(+NFL!$H117="NY Jets",+NFL!N117,0))</f>
        <v>NY Jets</v>
      </c>
      <c r="O463" s="395">
        <f>IF(+NFL!$F117="NY Jets",+NFL!O117,IF(+NFL!$H117="NY Jets",+NFL!O117,0))</f>
        <v>16</v>
      </c>
      <c r="P463" s="394" t="str">
        <f>IF(+NFL!$F117="NY Jets",+NFL!P117,IF(+NFL!$H117="NY Jets",+NFL!P117,0))</f>
        <v>Denver</v>
      </c>
      <c r="Q463" s="396">
        <f>IF(+NFL!$F117="NY Jets",+NFL!Q117,IF(+NFL!$H117="NY Jets",+NFL!Q117,0))</f>
        <v>9</v>
      </c>
      <c r="R463" s="397" t="str">
        <f>IF(+NFL!$F117="NY Jets",+NFL!R117,IF(+NFL!$H117="NY Jets",+NFL!R117,0))</f>
        <v>NY Jets</v>
      </c>
      <c r="S463" s="396" t="str">
        <f>IF(+NFL!$F117="NY Jets",+NFL!S117,IF(+NFL!$H117="NY Jets",+NFL!S117,0))</f>
        <v>Denver</v>
      </c>
      <c r="T463" s="398" t="str">
        <f>IF(+NFL!$F117="NY Jets",+NFL!T117,IF(+NFL!$H117="NY Jets",+NFL!T117,0))</f>
        <v>Denver</v>
      </c>
      <c r="U463" s="396" t="str">
        <f>IF(+NFL!$F117="NY Jets",+NFL!U117,IF(+NFL!$H117="NY Jets",+NFL!U117,0))</f>
        <v>L</v>
      </c>
      <c r="V463" s="397" t="e">
        <f>IF(+NFL!#REF!="NY Jets",+NFL!#REF!,IF(+NFL!#REF!="NY Jets",+NFL!#REF!,0))</f>
        <v>#REF!</v>
      </c>
      <c r="W463" s="396" t="e">
        <f>IF(+NFL!#REF!="NY Jets",+NFL!#REF!,IF(+NFL!#REF!="NY Jets",+NFL!#REF!,0))</f>
        <v>#REF!</v>
      </c>
      <c r="X463" s="398" t="e">
        <f>IF(+NFL!#REF!="NY Jets",+NFL!#REF!,IF(+NFL!#REF!="NY Jets",+NFL!#REF!,0))</f>
        <v>#REF!</v>
      </c>
      <c r="Y463" s="396" t="e">
        <f>IF(+NFL!#REF!="NY Jets",+NFL!#REF!,IF(+NFL!#REF!="NY Jets",+NFL!#REF!,0))</f>
        <v>#REF!</v>
      </c>
      <c r="Z463" s="397" t="e">
        <f>IF(+NFL!#REF!="NY Jets",+NFL!#REF!,IF(+NFL!#REF!="NY Jets",+NFL!#REF!,0))</f>
        <v>#REF!</v>
      </c>
      <c r="AA463" s="396" t="e">
        <f>IF(+NFL!#REF!="NY Jets",+NFL!#REF!,IF(+NFL!#REF!="NY Jets",+NFL!#REF!,0))</f>
        <v>#REF!</v>
      </c>
      <c r="AB463" s="87" t="e">
        <f>IF(+NFL!#REF!="NY Jets",+NFL!#REF!,IF(+NFL!#REF!="NY Jets",+NFL!#REF!,0))</f>
        <v>#REF!</v>
      </c>
      <c r="AC463" s="120" t="e">
        <f>IF(+NFL!#REF!="NY Jets",+NFL!#REF!,IF(+NFL!#REF!="NY Jets",+NFL!#REF!,0))</f>
        <v>#REF!</v>
      </c>
      <c r="AD463" s="353" t="e">
        <f>IF(+NFL!#REF!="NY Jets",+NFL!#REF!,IF(+NFL!#REF!="NY Jets",+NFL!#REF!,0))</f>
        <v>#REF!</v>
      </c>
      <c r="AE463" s="379" t="e">
        <f>IF(+NFL!#REF!="NY Jets",+NFL!#REF!,IF(+NFL!#REF!="NY Jets",+NFL!#REF!,0))</f>
        <v>#REF!</v>
      </c>
      <c r="AF463" s="353" t="e">
        <f>IF(+NFL!#REF!="NY Jets",+NFL!#REF!,IF(+NFL!#REF!="NY Jets",+NFL!#REF!,0))</f>
        <v>#REF!</v>
      </c>
      <c r="AG463" s="379" t="e">
        <f>IF(+NFL!#REF!="NY Jets",+NFL!#REF!,IF(+NFL!#REF!="NY Jets",+NFL!#REF!,0))</f>
        <v>#REF!</v>
      </c>
      <c r="AH463" s="353" t="e">
        <f>IF(+NFL!#REF!="NY Jets",+NFL!#REF!,IF(+NFL!#REF!="NY Jets",+NFL!#REF!,0))</f>
        <v>#REF!</v>
      </c>
      <c r="AI463" s="379" t="e">
        <f>IF(+NFL!#REF!="NY Jets",+NFL!#REF!,IF(+NFL!#REF!="NY Jets",+NFL!#REF!,0))</f>
        <v>#REF!</v>
      </c>
      <c r="AJ463" s="353" t="e">
        <f>IF(+NFL!#REF!="NY Jets",+NFL!#REF!,IF(+NFL!#REF!="NY Jets",+NFL!#REF!,0))</f>
        <v>#REF!</v>
      </c>
      <c r="AK463" s="379" t="e">
        <f>IF(+NFL!#REF!="NY Jets",+NFL!#REF!,IF(+NFL!#REF!="NY Jets",+NFL!#REF!,0))</f>
        <v>#REF!</v>
      </c>
      <c r="AL463" s="68" t="e">
        <f>IF(+NFL!#REF!="NY Jets",+NFL!#REF!,IF(+NFL!#REF!="NY Jets",+NFL!#REF!,0))</f>
        <v>#REF!</v>
      </c>
      <c r="AM463" s="58" t="e">
        <f>IF(+NFL!#REF!="NY Jets",+NFL!#REF!,IF(+NFL!#REF!="NY Jets",+NFL!#REF!,0))</f>
        <v>#REF!</v>
      </c>
      <c r="AN463" s="57" t="e">
        <f>IF(+NFL!#REF!="NY Jets",+NFL!#REF!,IF(+NFL!#REF!="NY Jets",+NFL!#REF!,0))</f>
        <v>#REF!</v>
      </c>
      <c r="AO463" s="59" t="e">
        <f>IF(+NFL!#REF!="NY Jets",+NFL!#REF!,IF(+NFL!#REF!="NY Jets",+NFL!#REF!,0))</f>
        <v>#REF!</v>
      </c>
      <c r="AP463" s="348" t="e">
        <f>IF(+NFL!#REF!="NY Jets",+NFL!#REF!,IF(+NFL!#REF!="NY Jets",+NFL!#REF!,0))</f>
        <v>#REF!</v>
      </c>
      <c r="AQ463" s="48" t="e">
        <f>IF(+NFL!#REF!="NY Jets",+NFL!#REF!,IF(+NFL!#REF!="NY Jets",+NFL!#REF!,0))</f>
        <v>#REF!</v>
      </c>
      <c r="AR463" s="57" t="e">
        <f>IF(+NFL!#REF!="NY Jets",+NFL!#REF!,IF(+NFL!#REF!="NY Jets",+NFL!#REF!,0))</f>
        <v>#REF!</v>
      </c>
      <c r="AS463" s="64" t="e">
        <f>IF(+NFL!#REF!="NY Jets",+NFL!#REF!,IF(+NFL!#REF!="NY Jets",+NFL!#REF!,0))</f>
        <v>#REF!</v>
      </c>
      <c r="AT463" s="64" t="e">
        <f>IF(+NFL!#REF!="NY Jets",+NFL!#REF!,IF(+NFL!#REF!="NY Jets",+NFL!#REF!,0))</f>
        <v>#REF!</v>
      </c>
      <c r="AU463" s="57" t="e">
        <f>IF(+NFL!#REF!="NY Jets",+NFL!#REF!,IF(+NFL!#REF!="NY Jets",+NFL!#REF!,0))</f>
        <v>#REF!</v>
      </c>
      <c r="AV463" s="64" t="e">
        <f>IF(+NFL!#REF!="NY Jets",+NFL!#REF!,IF(+NFL!#REF!="NY Jets",+NFL!#REF!,0))</f>
        <v>#REF!</v>
      </c>
      <c r="AW463" s="46" t="e">
        <f>IF(+NFL!#REF!="NY Jets",+NFL!#REF!,IF(+NFL!#REF!="NY Jets",+NFL!#REF!,0))</f>
        <v>#REF!</v>
      </c>
      <c r="AX463" s="64" t="e">
        <f>IF(+NFL!#REF!="NY Jets",+NFL!#REF!,IF(+NFL!#REF!="NY Jets",+NFL!#REF!,0))</f>
        <v>#REF!</v>
      </c>
      <c r="AY463" s="57" t="e">
        <f>IF(+NFL!#REF!="NY Jets",+NFL!#REF!,IF(+NFL!#REF!="NY Jets",+NFL!#REF!,0))</f>
        <v>#REF!</v>
      </c>
      <c r="AZ463" s="64" t="e">
        <f>IF(+NFL!#REF!="NY Jets",+NFL!#REF!,IF(+NFL!#REF!="NY Jets",+NFL!#REF!,0))</f>
        <v>#REF!</v>
      </c>
      <c r="BA463" s="46" t="e">
        <f>IF(+NFL!#REF!="NY Jets",+NFL!#REF!,IF(+NFL!#REF!="NY Jets",+NFL!#REF!,0))</f>
        <v>#REF!</v>
      </c>
      <c r="BB463" s="46" t="e">
        <f>IF(+NFL!#REF!="NY Jets",+NFL!#REF!,IF(+NFL!#REF!="NY Jets",+NFL!#REF!,0))</f>
        <v>#REF!</v>
      </c>
      <c r="BC463" s="403" t="e">
        <f>IF(+NFL!#REF!="NY Jets",+NFL!#REF!,IF(+NFL!#REF!="NY Jets",+NFL!#REF!,0))</f>
        <v>#REF!</v>
      </c>
      <c r="BD463" s="57" t="e">
        <f>IF(+NFL!#REF!="NY Jets",+NFL!#REF!,IF(+NFL!#REF!="NY Jets",+NFL!#REF!,0))</f>
        <v>#REF!</v>
      </c>
      <c r="BE463" s="64" t="e">
        <f>IF(+NFL!#REF!="NY Jets",+NFL!#REF!,IF(+NFL!#REF!="NY Jets",+NFL!#REF!,0))</f>
        <v>#REF!</v>
      </c>
      <c r="BF463" s="46" t="e">
        <f>IF(+NFL!#REF!="NY Jets",+NFL!#REF!,IF(+NFL!#REF!="NY Jets",+NFL!#REF!,0))</f>
        <v>#REF!</v>
      </c>
      <c r="BG463" s="57" t="e">
        <f>IF(+NFL!#REF!="NY Jets",+NFL!#REF!,IF(+NFL!#REF!="NY Jets",+NFL!#REF!,0))</f>
        <v>#REF!</v>
      </c>
      <c r="BH463" s="64" t="e">
        <f>IF(+NFL!#REF!="NY Jets",+NFL!#REF!,IF(+NFL!#REF!="NY Jets",+NFL!#REF!,0))</f>
        <v>#REF!</v>
      </c>
      <c r="BI463" s="46" t="e">
        <f>IF(+NFL!#REF!="NY Jets",+NFL!#REF!,IF(+NFL!#REF!="NY Jets",+NFL!#REF!,0))</f>
        <v>#REF!</v>
      </c>
      <c r="BJ463" s="87" t="e">
        <f>IF(+NFL!#REF!="NY Jets",+NFL!#REF!,IF(+NFL!#REF!="NY Jets",+NFL!#REF!,0))</f>
        <v>#REF!</v>
      </c>
      <c r="BK463" s="120" t="e">
        <f>IF(+NFL!#REF!="NY Jets",+NFL!#REF!,IF(+NFL!#REF!="NY Jets",+NFL!#REF!,0))</f>
        <v>#REF!</v>
      </c>
    </row>
    <row r="464" spans="1:63" s="246" customFormat="1" x14ac:dyDescent="0.8">
      <c r="A464" s="46">
        <f>IF(+NFL!$F136="NY Jets",+NFL!A136,IF(+NFL!$H136="NY Jets",+NFL!A136,0))</f>
        <v>8</v>
      </c>
      <c r="B464" s="348" t="str">
        <f>IF(+NFL!$F136="NY Jets",+NFL!B136,IF(+NFL!$H136="NY Jets",+NFL!B136,0))</f>
        <v>Sun</v>
      </c>
      <c r="C464" s="48">
        <f>IF(+NFL!$F136="NY Jets",+NFL!C136,IF(+NFL!$H136="NY Jets",+NFL!C136,0))</f>
        <v>44864</v>
      </c>
      <c r="D464" s="490">
        <f>IF(+NFL!$F136="NY Jets",+NFL!D136,IF(+NFL!$H136="NY Jets",+NFL!D136,0))</f>
        <v>0.54166666666666663</v>
      </c>
      <c r="E464" s="46" t="str">
        <f>IF(+NFL!$F136="NY Jets",+NFL!E136,IF(+NFL!$H136="NY Jets",+NFL!E136,0))</f>
        <v>CBS</v>
      </c>
      <c r="F464" s="127" t="str">
        <f>IF(+NFL!$F136="NY Jets",+NFL!F136,IF(+NFL!$H136="NY Jets",+NFL!F136,0))</f>
        <v>New England</v>
      </c>
      <c r="G464" s="46" t="str">
        <f>IF(+NFL!$F136="NY Jets",+NFL!G136,IF(+NFL!$H136="NY Jets",+NFL!G136,0))</f>
        <v>AFCE</v>
      </c>
      <c r="H464" s="127" t="str">
        <f>IF(+NFL!$F136="NY Jets",+NFL!H136,IF(+NFL!$H136="NY Jets",+NFL!H136,0))</f>
        <v>NY Jets</v>
      </c>
      <c r="I464" s="46" t="str">
        <f>IF(+NFL!$F136="NY Jets",+NFL!I136,IF(+NFL!$H136="NY Jets",+NFL!I136,0))</f>
        <v>AFCE</v>
      </c>
      <c r="J464" s="353" t="str">
        <f>IF(+NFL!$F136="NY Jets",+NFL!J136,IF(+NFL!$H136="NY Jets",+NFL!J136,0))</f>
        <v>New England</v>
      </c>
      <c r="K464" s="494" t="str">
        <f>IF(+NFL!$F136="NY Jets",+NFL!K136,IF(+NFL!$H136="NY Jets",+NFL!K136,0))</f>
        <v>NY Jets</v>
      </c>
      <c r="L464" s="384">
        <f>IF(+NFL!$F136="NY Jets",+NFL!L136,IF(+NFL!$H136="NY Jets",+NFL!L136,0))</f>
        <v>1.5</v>
      </c>
      <c r="M464" s="385">
        <f>IF(+NFL!$F136="NY Jets",+NFL!M136,IF(+NFL!$H136="NY Jets",+NFL!M136,0))</f>
        <v>41</v>
      </c>
      <c r="N464" s="394" t="str">
        <f>IF(+NFL!$F136="NY Jets",+NFL!N136,IF(+NFL!$H136="NY Jets",+NFL!N136,0))</f>
        <v>New England</v>
      </c>
      <c r="O464" s="395">
        <f>IF(+NFL!$F136="NY Jets",+NFL!O136,IF(+NFL!$H136="NY Jets",+NFL!O136,0))</f>
        <v>22</v>
      </c>
      <c r="P464" s="394" t="str">
        <f>IF(+NFL!$F136="NY Jets",+NFL!P136,IF(+NFL!$H136="NY Jets",+NFL!P136,0))</f>
        <v>NY Jets</v>
      </c>
      <c r="Q464" s="396">
        <f>IF(+NFL!$F136="NY Jets",+NFL!Q136,IF(+NFL!$H136="NY Jets",+NFL!Q136,0))</f>
        <v>17</v>
      </c>
      <c r="R464" s="397" t="str">
        <f>IF(+NFL!$F136="NY Jets",+NFL!R136,IF(+NFL!$H136="NY Jets",+NFL!R136,0))</f>
        <v>New England</v>
      </c>
      <c r="S464" s="396" t="str">
        <f>IF(+NFL!$F136="NY Jets",+NFL!S136,IF(+NFL!$H136="NY Jets",+NFL!S136,0))</f>
        <v>NY Jets</v>
      </c>
      <c r="T464" s="398" t="str">
        <f>IF(+NFL!$F136="NY Jets",+NFL!T136,IF(+NFL!$H136="NY Jets",+NFL!T136,0))</f>
        <v>New England</v>
      </c>
      <c r="U464" s="396" t="str">
        <f>IF(+NFL!$F136="NY Jets",+NFL!U136,IF(+NFL!$H136="NY Jets",+NFL!U136,0))</f>
        <v>W</v>
      </c>
      <c r="V464" s="397">
        <f>IF(+NFL!$F118="NY Jets",+NFL!#REF!,IF(+NFL!$H118="NY Jets",+NFL!#REF!,0))</f>
        <v>0</v>
      </c>
      <c r="W464" s="396">
        <f>IF(+NFL!$F118="NY Jets",+NFL!#REF!,IF(+NFL!$H118="NY Jets",+NFL!#REF!,0))</f>
        <v>0</v>
      </c>
      <c r="X464" s="398">
        <f>IF(+NFL!$F118="NY Jets",+NFL!#REF!,IF(+NFL!$H118="NY Jets",+NFL!#REF!,0))</f>
        <v>0</v>
      </c>
      <c r="Y464" s="396">
        <f>IF(+NFL!$F118="NY Jets",+NFL!#REF!,IF(+NFL!$H118="NY Jets",+NFL!#REF!,0))</f>
        <v>0</v>
      </c>
      <c r="Z464" s="397">
        <f>IF(+NFL!$F118="NY Jets",+NFL!#REF!,IF(+NFL!$H118="NY Jets",+NFL!#REF!,0))</f>
        <v>0</v>
      </c>
      <c r="AA464" s="396">
        <f>IF(+NFL!$F118="NY Jets",+NFL!#REF!,IF(+NFL!$H118="NY Jets",+NFL!#REF!,0))</f>
        <v>0</v>
      </c>
      <c r="AB464" s="87">
        <f>IF(+NFL!$F118="NY Jets",+NFL!#REF!,IF(+NFL!$H118="NY Jets",+NFL!#REF!,0))</f>
        <v>0</v>
      </c>
      <c r="AC464" s="120">
        <f>IF(+NFL!$F118="NY Jets",+NFL!#REF!,IF(+NFL!$H118="NY Jets",+NFL!#REF!,0))</f>
        <v>0</v>
      </c>
      <c r="AD464" s="353">
        <f>IF(+NFL!$F118="NY Jets",+NFL!#REF!,IF(+NFL!$H118="NY Jets",+NFL!#REF!,0))</f>
        <v>0</v>
      </c>
      <c r="AE464" s="379">
        <f>IF(+NFL!$F118="NY Jets",+NFL!#REF!,IF(+NFL!$H118="NY Jets",+NFL!#REF!,0))</f>
        <v>0</v>
      </c>
      <c r="AF464" s="353">
        <f>IF(+NFL!$F118="NY Jets",+NFL!#REF!,IF(+NFL!$H118="NY Jets",+NFL!#REF!,0))</f>
        <v>0</v>
      </c>
      <c r="AG464" s="379">
        <f>IF(+NFL!$F118="NY Jets",+NFL!#REF!,IF(+NFL!$H118="NY Jets",+NFL!#REF!,0))</f>
        <v>0</v>
      </c>
      <c r="AH464" s="353">
        <f>IF(+NFL!$F118="NY Jets",+NFL!#REF!,IF(+NFL!$H118="NY Jets",+NFL!#REF!,0))</f>
        <v>0</v>
      </c>
      <c r="AI464" s="379">
        <f>IF(+NFL!$F118="NY Jets",+NFL!#REF!,IF(+NFL!$H118="NY Jets",+NFL!#REF!,0))</f>
        <v>0</v>
      </c>
      <c r="AJ464" s="353">
        <f>IF(+NFL!$F118="NY Jets",+NFL!#REF!,IF(+NFL!$H118="NY Jets",+NFL!#REF!,0))</f>
        <v>0</v>
      </c>
      <c r="AK464" s="379">
        <f>IF(+NFL!$F118="NY Jets",+NFL!#REF!,IF(+NFL!$H118="NY Jets",+NFL!#REF!,0))</f>
        <v>0</v>
      </c>
      <c r="AL464" s="68">
        <f>IF(+NFL!$F118="NY Jets",+NFL!#REF!,IF(+NFL!$H118="NY Jets",+NFL!#REF!,0))</f>
        <v>0</v>
      </c>
      <c r="AM464" s="58">
        <f>IF(+NFL!$F118="NY Jets",+NFL!#REF!,IF(+NFL!$H118="NY Jets",+NFL!#REF!,0))</f>
        <v>0</v>
      </c>
      <c r="AN464" s="57">
        <f>IF(+NFL!$F118="NY Jets",+NFL!#REF!,IF(+NFL!$H118="NY Jets",+NFL!#REF!,0))</f>
        <v>0</v>
      </c>
      <c r="AO464" s="59">
        <f>IF(+NFL!$F118="NY Jets",+NFL!#REF!,IF(+NFL!$H118="NY Jets",+NFL!#REF!,0))</f>
        <v>0</v>
      </c>
      <c r="AP464" s="348">
        <f>IF(+NFL!$F118="NY Jets",+NFL!#REF!,IF(+NFL!$H118="NY Jets",+NFL!#REF!,0))</f>
        <v>0</v>
      </c>
      <c r="AQ464" s="48">
        <f>IF(+NFL!$F118="NY Jets",+NFL!#REF!,IF(+NFL!$H118="NY Jets",+NFL!#REF!,0))</f>
        <v>0</v>
      </c>
      <c r="AR464" s="57">
        <f>IF(+NFL!$F118="NY Jets",+NFL!#REF!,IF(+NFL!$H118="NY Jets",+NFL!#REF!,0))</f>
        <v>0</v>
      </c>
      <c r="AS464" s="64">
        <f>IF(+NFL!$F118="NY Jets",+NFL!#REF!,IF(+NFL!$H118="NY Jets",+NFL!#REF!,0))</f>
        <v>0</v>
      </c>
      <c r="AT464" s="64">
        <f>IF(+NFL!$F118="NY Jets",+NFL!#REF!,IF(+NFL!$H118="NY Jets",+NFL!#REF!,0))</f>
        <v>0</v>
      </c>
      <c r="AU464" s="57">
        <f>IF(+NFL!$F118="NY Jets",+NFL!#REF!,IF(+NFL!$H118="NY Jets",+NFL!#REF!,0))</f>
        <v>0</v>
      </c>
      <c r="AV464" s="64">
        <f>IF(+NFL!$F118="NY Jets",+NFL!#REF!,IF(+NFL!$H118="NY Jets",+NFL!#REF!,0))</f>
        <v>0</v>
      </c>
      <c r="AW464" s="46">
        <f>IF(+NFL!$F118="NY Jets",+NFL!#REF!,IF(+NFL!$H118="NY Jets",+NFL!#REF!,0))</f>
        <v>0</v>
      </c>
      <c r="AX464" s="64">
        <f>IF(+NFL!$F118="NY Jets",+NFL!#REF!,IF(+NFL!$H118="NY Jets",+NFL!#REF!,0))</f>
        <v>0</v>
      </c>
      <c r="AY464" s="57">
        <f>IF(+NFL!$F118="NY Jets",+NFL!#REF!,IF(+NFL!$H118="NY Jets",+NFL!#REF!,0))</f>
        <v>0</v>
      </c>
      <c r="AZ464" s="64">
        <f>IF(+NFL!$F118="NY Jets",+NFL!#REF!,IF(+NFL!$H118="NY Jets",+NFL!#REF!,0))</f>
        <v>0</v>
      </c>
      <c r="BA464" s="46">
        <f>IF(+NFL!$F118="NY Jets",+NFL!#REF!,IF(+NFL!$H118="NY Jets",+NFL!#REF!,0))</f>
        <v>0</v>
      </c>
      <c r="BB464" s="46">
        <f>IF(+NFL!$F118="NY Jets",+NFL!#REF!,IF(+NFL!$H118="NY Jets",+NFL!#REF!,0))</f>
        <v>0</v>
      </c>
      <c r="BC464" s="403">
        <f>IF(+NFL!$F118="NY Jets",+NFL!#REF!,IF(+NFL!$H118="NY Jets",+NFL!#REF!,0))</f>
        <v>0</v>
      </c>
      <c r="BD464" s="57">
        <f>IF(+NFL!$F118="NY Jets",+NFL!#REF!,IF(+NFL!$H118="NY Jets",+NFL!#REF!,0))</f>
        <v>0</v>
      </c>
      <c r="BE464" s="64">
        <f>IF(+NFL!$F118="NY Jets",+NFL!#REF!,IF(+NFL!$H118="NY Jets",+NFL!#REF!,0))</f>
        <v>0</v>
      </c>
      <c r="BF464" s="46">
        <f>IF(+NFL!$F118="NY Jets",+NFL!#REF!,IF(+NFL!$H118="NY Jets",+NFL!#REF!,0))</f>
        <v>0</v>
      </c>
      <c r="BG464" s="57">
        <f>IF(+NFL!$F118="NY Jets",+NFL!#REF!,IF(+NFL!$H118="NY Jets",+NFL!#REF!,0))</f>
        <v>0</v>
      </c>
      <c r="BH464" s="64">
        <f>IF(+NFL!$F118="NY Jets",+NFL!#REF!,IF(+NFL!$H118="NY Jets",+NFL!#REF!,0))</f>
        <v>0</v>
      </c>
      <c r="BI464" s="46">
        <f>IF(+NFL!$F118="NY Jets",+NFL!#REF!,IF(+NFL!$H118="NY Jets",+NFL!#REF!,0))</f>
        <v>0</v>
      </c>
      <c r="BJ464" s="87">
        <f>IF(+NFL!$F118="NY Jets",+NFL!#REF!,IF(+NFL!$H118="NY Jets",+NFL!#REF!,0))</f>
        <v>0</v>
      </c>
      <c r="BK464" s="120">
        <f>IF(+NFL!$F118="NY Jets",+NFL!#REF!,IF(+NFL!$H118="NY Jets",+NFL!#REF!,0))</f>
        <v>0</v>
      </c>
    </row>
    <row r="465" spans="1:63" s="246" customFormat="1" x14ac:dyDescent="0.8">
      <c r="A465" s="46">
        <f>IF(+NFL!$F153="NY Jets",+NFL!A153,IF(+NFL!$H153="NY Jets",+NFL!A153,0))</f>
        <v>9</v>
      </c>
      <c r="B465" s="348" t="str">
        <f>IF(+NFL!$F153="NY Jets",+NFL!B153,IF(+NFL!$H153="NY Jets",+NFL!B153,0))</f>
        <v>Sun</v>
      </c>
      <c r="C465" s="48">
        <f>IF(+NFL!$F153="NY Jets",+NFL!C153,IF(+NFL!$H153="NY Jets",+NFL!C153,0))</f>
        <v>44871</v>
      </c>
      <c r="D465" s="490">
        <f>IF(+NFL!$F153="NY Jets",+NFL!D153,IF(+NFL!$H153="NY Jets",+NFL!D153,0))</f>
        <v>0.54166666666666663</v>
      </c>
      <c r="E465" s="46" t="str">
        <f>IF(+NFL!$F153="NY Jets",+NFL!E153,IF(+NFL!$H153="NY Jets",+NFL!E153,0))</f>
        <v>CBS</v>
      </c>
      <c r="F465" s="127" t="str">
        <f>IF(+NFL!$F153="NY Jets",+NFL!F153,IF(+NFL!$H153="NY Jets",+NFL!F153,0))</f>
        <v>Buffalo</v>
      </c>
      <c r="G465" s="46" t="str">
        <f>IF(+NFL!$F153="NY Jets",+NFL!G153,IF(+NFL!$H153="NY Jets",+NFL!G153,0))</f>
        <v>AFCE</v>
      </c>
      <c r="H465" s="127" t="str">
        <f>IF(+NFL!$F153="NY Jets",+NFL!H153,IF(+NFL!$H153="NY Jets",+NFL!H153,0))</f>
        <v>NY Jets</v>
      </c>
      <c r="I465" s="46" t="str">
        <f>IF(+NFL!$F153="NY Jets",+NFL!I153,IF(+NFL!$H153="NY Jets",+NFL!I153,0))</f>
        <v>AFCE</v>
      </c>
      <c r="J465" s="353" t="str">
        <f>IF(+NFL!$F153="NY Jets",+NFL!J153,IF(+NFL!$H153="NY Jets",+NFL!J153,0))</f>
        <v>Buffalo</v>
      </c>
      <c r="K465" s="494" t="str">
        <f>IF(+NFL!$F153="NY Jets",+NFL!K153,IF(+NFL!$H153="NY Jets",+NFL!K153,0))</f>
        <v>NY Jets</v>
      </c>
      <c r="L465" s="384">
        <f>IF(+NFL!$F153="NY Jets",+NFL!L153,IF(+NFL!$H153="NY Jets",+NFL!L153,0))</f>
        <v>13</v>
      </c>
      <c r="M465" s="385">
        <f>IF(+NFL!$F153="NY Jets",+NFL!M153,IF(+NFL!$H153="NY Jets",+NFL!M153,0))</f>
        <v>47</v>
      </c>
      <c r="N465" s="394" t="str">
        <f>IF(+NFL!$F153="NY Jets",+NFL!N153,IF(+NFL!$H153="NY Jets",+NFL!N153,0))</f>
        <v>NY Jets</v>
      </c>
      <c r="O465" s="395">
        <f>IF(+NFL!$F153="NY Jets",+NFL!O153,IF(+NFL!$H153="NY Jets",+NFL!O153,0))</f>
        <v>20</v>
      </c>
      <c r="P465" s="394" t="str">
        <f>IF(+NFL!$F153="NY Jets",+NFL!P153,IF(+NFL!$H153="NY Jets",+NFL!P153,0))</f>
        <v>Buffalo</v>
      </c>
      <c r="Q465" s="396">
        <f>IF(+NFL!$F153="NY Jets",+NFL!Q153,IF(+NFL!$H153="NY Jets",+NFL!Q153,0))</f>
        <v>17</v>
      </c>
      <c r="R465" s="397" t="str">
        <f>IF(+NFL!$F153="NY Jets",+NFL!R153,IF(+NFL!$H153="NY Jets",+NFL!R153,0))</f>
        <v>NY Jets</v>
      </c>
      <c r="S465" s="396" t="str">
        <f>IF(+NFL!$F153="NY Jets",+NFL!S153,IF(+NFL!$H153="NY Jets",+NFL!S153,0))</f>
        <v>Buffalo</v>
      </c>
      <c r="T465" s="398" t="str">
        <f>IF(+NFL!$F153="NY Jets",+NFL!T153,IF(+NFL!$H153="NY Jets",+NFL!T153,0))</f>
        <v>NY Jets</v>
      </c>
      <c r="U465" s="396" t="str">
        <f>IF(+NFL!$F153="NY Jets",+NFL!U153,IF(+NFL!$H153="NY Jets",+NFL!U153,0))</f>
        <v>W</v>
      </c>
      <c r="V465" s="397">
        <f>IF(+NFL!$F142="NY Jets",+NFL!#REF!,IF(+NFL!$H142="NY Jets",+NFL!#REF!,0))</f>
        <v>0</v>
      </c>
      <c r="W465" s="396">
        <f>IF(+NFL!$F142="NY Jets",+NFL!#REF!,IF(+NFL!$H142="NY Jets",+NFL!#REF!,0))</f>
        <v>0</v>
      </c>
      <c r="X465" s="398">
        <f>IF(+NFL!$F142="NY Jets",+NFL!#REF!,IF(+NFL!$H142="NY Jets",+NFL!#REF!,0))</f>
        <v>0</v>
      </c>
      <c r="Y465" s="396">
        <f>IF(+NFL!$F142="NY Jets",+NFL!#REF!,IF(+NFL!$H142="NY Jets",+NFL!#REF!,0))</f>
        <v>0</v>
      </c>
      <c r="Z465" s="397">
        <f>IF(+NFL!$F142="NY Jets",+NFL!#REF!,IF(+NFL!$H142="NY Jets",+NFL!#REF!,0))</f>
        <v>0</v>
      </c>
      <c r="AA465" s="396">
        <f>IF(+NFL!$F142="NY Jets",+NFL!#REF!,IF(+NFL!$H142="NY Jets",+NFL!#REF!,0))</f>
        <v>0</v>
      </c>
      <c r="AB465" s="87">
        <f>IF(+NFL!$F142="NY Jets",+NFL!#REF!,IF(+NFL!$H142="NY Jets",+NFL!#REF!,0))</f>
        <v>0</v>
      </c>
      <c r="AC465" s="120">
        <f>IF(+NFL!$F142="NY Jets",+NFL!#REF!,IF(+NFL!$H142="NY Jets",+NFL!#REF!,0))</f>
        <v>0</v>
      </c>
      <c r="AD465" s="353">
        <f>IF(+NFL!$F142="NY Jets",+NFL!#REF!,IF(+NFL!$H142="NY Jets",+NFL!#REF!,0))</f>
        <v>0</v>
      </c>
      <c r="AE465" s="379">
        <f>IF(+NFL!$F142="NY Jets",+NFL!#REF!,IF(+NFL!$H142="NY Jets",+NFL!#REF!,0))</f>
        <v>0</v>
      </c>
      <c r="AF465" s="353">
        <f>IF(+NFL!$F142="NY Jets",+NFL!#REF!,IF(+NFL!$H142="NY Jets",+NFL!#REF!,0))</f>
        <v>0</v>
      </c>
      <c r="AG465" s="379">
        <f>IF(+NFL!$F142="NY Jets",+NFL!#REF!,IF(+NFL!$H142="NY Jets",+NFL!#REF!,0))</f>
        <v>0</v>
      </c>
      <c r="AH465" s="353">
        <f>IF(+NFL!$F142="NY Jets",+NFL!#REF!,IF(+NFL!$H142="NY Jets",+NFL!#REF!,0))</f>
        <v>0</v>
      </c>
      <c r="AI465" s="379">
        <f>IF(+NFL!$F142="NY Jets",+NFL!#REF!,IF(+NFL!$H142="NY Jets",+NFL!#REF!,0))</f>
        <v>0</v>
      </c>
      <c r="AJ465" s="353">
        <f>IF(+NFL!$F142="NY Jets",+NFL!#REF!,IF(+NFL!$H142="NY Jets",+NFL!#REF!,0))</f>
        <v>0</v>
      </c>
      <c r="AK465" s="379">
        <f>IF(+NFL!$F142="NY Jets",+NFL!#REF!,IF(+NFL!$H142="NY Jets",+NFL!#REF!,0))</f>
        <v>0</v>
      </c>
      <c r="AL465" s="68">
        <f>IF(+NFL!$F142="NY Jets",+NFL!#REF!,IF(+NFL!$H142="NY Jets",+NFL!#REF!,0))</f>
        <v>0</v>
      </c>
      <c r="AM465" s="58">
        <f>IF(+NFL!$F142="NY Jets",+NFL!#REF!,IF(+NFL!$H142="NY Jets",+NFL!#REF!,0))</f>
        <v>0</v>
      </c>
      <c r="AN465" s="57">
        <f>IF(+NFL!$F142="NY Jets",+NFL!#REF!,IF(+NFL!$H142="NY Jets",+NFL!#REF!,0))</f>
        <v>0</v>
      </c>
      <c r="AO465" s="59">
        <f>IF(+NFL!$F142="NY Jets",+NFL!#REF!,IF(+NFL!$H142="NY Jets",+NFL!#REF!,0))</f>
        <v>0</v>
      </c>
      <c r="AP465" s="348">
        <f>IF(+NFL!$F142="NY Jets",+NFL!#REF!,IF(+NFL!$H142="NY Jets",+NFL!#REF!,0))</f>
        <v>0</v>
      </c>
      <c r="AQ465" s="48">
        <f>IF(+NFL!$F142="NY Jets",+NFL!#REF!,IF(+NFL!$H142="NY Jets",+NFL!#REF!,0))</f>
        <v>0</v>
      </c>
      <c r="AR465" s="57">
        <f>IF(+NFL!$F142="NY Jets",+NFL!#REF!,IF(+NFL!$H142="NY Jets",+NFL!#REF!,0))</f>
        <v>0</v>
      </c>
      <c r="AS465" s="64">
        <f>IF(+NFL!$F142="NY Jets",+NFL!#REF!,IF(+NFL!$H142="NY Jets",+NFL!#REF!,0))</f>
        <v>0</v>
      </c>
      <c r="AT465" s="64">
        <f>IF(+NFL!$F142="NY Jets",+NFL!#REF!,IF(+NFL!$H142="NY Jets",+NFL!#REF!,0))</f>
        <v>0</v>
      </c>
      <c r="AU465" s="57">
        <f>IF(+NFL!$F142="NY Jets",+NFL!#REF!,IF(+NFL!$H142="NY Jets",+NFL!#REF!,0))</f>
        <v>0</v>
      </c>
      <c r="AV465" s="64">
        <f>IF(+NFL!$F142="NY Jets",+NFL!#REF!,IF(+NFL!$H142="NY Jets",+NFL!#REF!,0))</f>
        <v>0</v>
      </c>
      <c r="AW465" s="46">
        <f>IF(+NFL!$F142="NY Jets",+NFL!#REF!,IF(+NFL!$H142="NY Jets",+NFL!#REF!,0))</f>
        <v>0</v>
      </c>
      <c r="AX465" s="64">
        <f>IF(+NFL!$F142="NY Jets",+NFL!#REF!,IF(+NFL!$H142="NY Jets",+NFL!#REF!,0))</f>
        <v>0</v>
      </c>
      <c r="AY465" s="57">
        <f>IF(+NFL!$F142="NY Jets",+NFL!#REF!,IF(+NFL!$H142="NY Jets",+NFL!#REF!,0))</f>
        <v>0</v>
      </c>
      <c r="AZ465" s="64">
        <f>IF(+NFL!$F142="NY Jets",+NFL!#REF!,IF(+NFL!$H142="NY Jets",+NFL!#REF!,0))</f>
        <v>0</v>
      </c>
      <c r="BA465" s="46">
        <f>IF(+NFL!$F142="NY Jets",+NFL!#REF!,IF(+NFL!$H142="NY Jets",+NFL!#REF!,0))</f>
        <v>0</v>
      </c>
      <c r="BB465" s="46">
        <f>IF(+NFL!$F142="NY Jets",+NFL!#REF!,IF(+NFL!$H142="NY Jets",+NFL!#REF!,0))</f>
        <v>0</v>
      </c>
      <c r="BC465" s="403">
        <f>IF(+NFL!$F142="NY Jets",+NFL!#REF!,IF(+NFL!$H142="NY Jets",+NFL!#REF!,0))</f>
        <v>0</v>
      </c>
      <c r="BD465" s="57">
        <f>IF(+NFL!$F142="NY Jets",+NFL!#REF!,IF(+NFL!$H142="NY Jets",+NFL!#REF!,0))</f>
        <v>0</v>
      </c>
      <c r="BE465" s="64">
        <f>IF(+NFL!$F142="NY Jets",+NFL!#REF!,IF(+NFL!$H142="NY Jets",+NFL!#REF!,0))</f>
        <v>0</v>
      </c>
      <c r="BF465" s="46">
        <f>IF(+NFL!$F142="NY Jets",+NFL!#REF!,IF(+NFL!$H142="NY Jets",+NFL!#REF!,0))</f>
        <v>0</v>
      </c>
      <c r="BG465" s="57">
        <f>IF(+NFL!$F142="NY Jets",+NFL!#REF!,IF(+NFL!$H142="NY Jets",+NFL!#REF!,0))</f>
        <v>0</v>
      </c>
      <c r="BH465" s="64">
        <f>IF(+NFL!$F142="NY Jets",+NFL!#REF!,IF(+NFL!$H142="NY Jets",+NFL!#REF!,0))</f>
        <v>0</v>
      </c>
      <c r="BI465" s="46">
        <f>IF(+NFL!$F142="NY Jets",+NFL!#REF!,IF(+NFL!$H142="NY Jets",+NFL!#REF!,0))</f>
        <v>0</v>
      </c>
      <c r="BJ465" s="87">
        <f>IF(+NFL!$F142="NY Jets",+NFL!#REF!,IF(+NFL!$H142="NY Jets",+NFL!#REF!,0))</f>
        <v>0</v>
      </c>
      <c r="BK465" s="120">
        <f>IF(+NFL!$F142="NY Jets",+NFL!#REF!,IF(+NFL!$H142="NY Jets",+NFL!#REF!,0))</f>
        <v>0</v>
      </c>
    </row>
    <row r="466" spans="1:63" s="246" customFormat="1" x14ac:dyDescent="0.8">
      <c r="A466" s="46">
        <f>IF(+NFL!$F186="NY Jets",+NFL!A186,IF(+NFL!$H186="NY Jets",+NFL!A186,0))</f>
        <v>10</v>
      </c>
      <c r="B466" s="348">
        <f>IF(+NFL!$F186="NY Jets",+NFL!B186,IF(+NFL!$H186="NY Jets",+NFL!B186,0))</f>
        <v>0</v>
      </c>
      <c r="C466" s="48">
        <f>IF(+NFL!$F186="NY Jets",+NFL!C186,IF(+NFL!$H186="NY Jets",+NFL!C186,0))</f>
        <v>0</v>
      </c>
      <c r="D466" s="490">
        <f>IF(+NFL!$F186="NY Jets",+NFL!D186,IF(+NFL!$H186="NY Jets",+NFL!D186,0))</f>
        <v>0</v>
      </c>
      <c r="E466" s="46">
        <f>IF(+NFL!$F186="NY Jets",+NFL!E186,IF(+NFL!$H186="NY Jets",+NFL!E186,0))</f>
        <v>0</v>
      </c>
      <c r="F466" s="127" t="str">
        <f>IF(+NFL!$F186="NY Jets",+NFL!F186,IF(+NFL!$H186="NY Jets",+NFL!F186,0))</f>
        <v>NY Jets</v>
      </c>
      <c r="G466" s="46" t="str">
        <f>IF(+NFL!$F186="NY Jets",+NFL!G186,IF(+NFL!$H186="NY Jets",+NFL!G186,0))</f>
        <v>AFCE</v>
      </c>
      <c r="H466" s="127">
        <f>IF(+NFL!$F186="NY Jets",+NFL!H186,IF(+NFL!$H186="NY Jets",+NFL!H186,0))</f>
        <v>0</v>
      </c>
      <c r="I466" s="46">
        <f>IF(+NFL!$F186="NY Jets",+NFL!I186,IF(+NFL!$H186="NY Jets",+NFL!I186,0))</f>
        <v>0</v>
      </c>
      <c r="J466" s="353">
        <f>IF(+NFL!$F186="NY Jets",+NFL!J186,IF(+NFL!$H186="NY Jets",+NFL!J186,0))</f>
        <v>0</v>
      </c>
      <c r="K466" s="494">
        <f>IF(+NFL!$F186="NY Jets",+NFL!K186,IF(+NFL!$H186="NY Jets",+NFL!K186,0))</f>
        <v>0</v>
      </c>
      <c r="L466" s="384">
        <f>IF(+NFL!$F186="NY Jets",+NFL!L186,IF(+NFL!$H186="NY Jets",+NFL!L186,0))</f>
        <v>0</v>
      </c>
      <c r="M466" s="385">
        <f>IF(+NFL!$F186="NY Jets",+NFL!M186,IF(+NFL!$H186="NY Jets",+NFL!M186,0))</f>
        <v>0</v>
      </c>
      <c r="N466" s="394">
        <f>IF(+NFL!$F186="NY Jets",+NFL!N186,IF(+NFL!$H186="NY Jets",+NFL!N186,0))</f>
        <v>0</v>
      </c>
      <c r="O466" s="395">
        <f>IF(+NFL!$F186="NY Jets",+NFL!O186,IF(+NFL!$H186="NY Jets",+NFL!O186,0))</f>
        <v>0</v>
      </c>
      <c r="P466" s="394">
        <f>IF(+NFL!$F186="NY Jets",+NFL!P186,IF(+NFL!$H186="NY Jets",+NFL!P186,0))</f>
        <v>0</v>
      </c>
      <c r="Q466" s="396">
        <f>IF(+NFL!$F186="NY Jets",+NFL!Q186,IF(+NFL!$H186="NY Jets",+NFL!Q186,0))</f>
        <v>0</v>
      </c>
      <c r="R466" s="397">
        <f>IF(+NFL!$F186="NY Jets",+NFL!R186,IF(+NFL!$H186="NY Jets",+NFL!R186,0))</f>
        <v>0</v>
      </c>
      <c r="S466" s="396">
        <f>IF(+NFL!$F186="NY Jets",+NFL!S186,IF(+NFL!$H186="NY Jets",+NFL!S186,0))</f>
        <v>0</v>
      </c>
      <c r="T466" s="398">
        <f>IF(+NFL!$F186="NY Jets",+NFL!T186,IF(+NFL!$H186="NY Jets",+NFL!T186,0))</f>
        <v>0</v>
      </c>
      <c r="U466" s="396">
        <f>IF(+NFL!$F186="NY Jets",+NFL!U186,IF(+NFL!$H186="NY Jets",+NFL!U186,0))</f>
        <v>0</v>
      </c>
      <c r="V466" s="397">
        <f>IF(+NFL!$F158="NY Jets",+NFL!#REF!,IF(+NFL!$H158="NY Jets",+NFL!#REF!,0))</f>
        <v>0</v>
      </c>
      <c r="W466" s="396">
        <f>IF(+NFL!$F158="NY Jets",+NFL!#REF!,IF(+NFL!$H158="NY Jets",+NFL!#REF!,0))</f>
        <v>0</v>
      </c>
      <c r="X466" s="398">
        <f>IF(+NFL!$F158="NY Jets",+NFL!#REF!,IF(+NFL!$H158="NY Jets",+NFL!#REF!,0))</f>
        <v>0</v>
      </c>
      <c r="Y466" s="396">
        <f>IF(+NFL!$F158="NY Jets",+NFL!#REF!,IF(+NFL!$H158="NY Jets",+NFL!#REF!,0))</f>
        <v>0</v>
      </c>
      <c r="Z466" s="397">
        <f>IF(+NFL!$F158="NY Jets",+NFL!#REF!,IF(+NFL!$H158="NY Jets",+NFL!#REF!,0))</f>
        <v>0</v>
      </c>
      <c r="AA466" s="396">
        <f>IF(+NFL!$F158="NY Jets",+NFL!#REF!,IF(+NFL!$H158="NY Jets",+NFL!#REF!,0))</f>
        <v>0</v>
      </c>
      <c r="AB466" s="87">
        <f>IF(+NFL!$F158="NY Jets",+NFL!#REF!,IF(+NFL!$H158="NY Jets",+NFL!#REF!,0))</f>
        <v>0</v>
      </c>
      <c r="AC466" s="120">
        <f>IF(+NFL!$F158="NY Jets",+NFL!#REF!,IF(+NFL!$H158="NY Jets",+NFL!#REF!,0))</f>
        <v>0</v>
      </c>
      <c r="AD466" s="353">
        <f>IF(+NFL!$F158="NY Jets",+NFL!#REF!,IF(+NFL!$H158="NY Jets",+NFL!#REF!,0))</f>
        <v>0</v>
      </c>
      <c r="AE466" s="379">
        <f>IF(+NFL!$F158="NY Jets",+NFL!#REF!,IF(+NFL!$H158="NY Jets",+NFL!#REF!,0))</f>
        <v>0</v>
      </c>
      <c r="AF466" s="353">
        <f>IF(+NFL!$F158="NY Jets",+NFL!#REF!,IF(+NFL!$H158="NY Jets",+NFL!#REF!,0))</f>
        <v>0</v>
      </c>
      <c r="AG466" s="379">
        <f>IF(+NFL!$F158="NY Jets",+NFL!#REF!,IF(+NFL!$H158="NY Jets",+NFL!#REF!,0))</f>
        <v>0</v>
      </c>
      <c r="AH466" s="353">
        <f>IF(+NFL!$F158="NY Jets",+NFL!#REF!,IF(+NFL!$H158="NY Jets",+NFL!#REF!,0))</f>
        <v>0</v>
      </c>
      <c r="AI466" s="379">
        <f>IF(+NFL!$F158="NY Jets",+NFL!#REF!,IF(+NFL!$H158="NY Jets",+NFL!#REF!,0))</f>
        <v>0</v>
      </c>
      <c r="AJ466" s="353">
        <f>IF(+NFL!$F158="NY Jets",+NFL!#REF!,IF(+NFL!$H158="NY Jets",+NFL!#REF!,0))</f>
        <v>0</v>
      </c>
      <c r="AK466" s="379">
        <f>IF(+NFL!$F158="NY Jets",+NFL!#REF!,IF(+NFL!$H158="NY Jets",+NFL!#REF!,0))</f>
        <v>0</v>
      </c>
      <c r="AL466" s="68">
        <f>IF(+NFL!$F158="NY Jets",+NFL!#REF!,IF(+NFL!$H158="NY Jets",+NFL!#REF!,0))</f>
        <v>0</v>
      </c>
      <c r="AM466" s="58">
        <f>IF(+NFL!$F158="NY Jets",+NFL!#REF!,IF(+NFL!$H158="NY Jets",+NFL!#REF!,0))</f>
        <v>0</v>
      </c>
      <c r="AN466" s="57">
        <f>IF(+NFL!$F158="NY Jets",+NFL!#REF!,IF(+NFL!$H158="NY Jets",+NFL!#REF!,0))</f>
        <v>0</v>
      </c>
      <c r="AO466" s="59">
        <f>IF(+NFL!$F158="NY Jets",+NFL!#REF!,IF(+NFL!$H158="NY Jets",+NFL!#REF!,0))</f>
        <v>0</v>
      </c>
      <c r="AP466" s="348">
        <f>IF(+NFL!$F158="NY Jets",+NFL!#REF!,IF(+NFL!$H158="NY Jets",+NFL!#REF!,0))</f>
        <v>0</v>
      </c>
      <c r="AQ466" s="48">
        <f>IF(+NFL!$F158="NY Jets",+NFL!#REF!,IF(+NFL!$H158="NY Jets",+NFL!#REF!,0))</f>
        <v>0</v>
      </c>
      <c r="AR466" s="57">
        <f>IF(+NFL!$F158="NY Jets",+NFL!#REF!,IF(+NFL!$H158="NY Jets",+NFL!#REF!,0))</f>
        <v>0</v>
      </c>
      <c r="AS466" s="64">
        <f>IF(+NFL!$F158="NY Jets",+NFL!#REF!,IF(+NFL!$H158="NY Jets",+NFL!#REF!,0))</f>
        <v>0</v>
      </c>
      <c r="AT466" s="64">
        <f>IF(+NFL!$F158="NY Jets",+NFL!#REF!,IF(+NFL!$H158="NY Jets",+NFL!#REF!,0))</f>
        <v>0</v>
      </c>
      <c r="AU466" s="57">
        <f>IF(+NFL!$F158="NY Jets",+NFL!#REF!,IF(+NFL!$H158="NY Jets",+NFL!#REF!,0))</f>
        <v>0</v>
      </c>
      <c r="AV466" s="64">
        <f>IF(+NFL!$F158="NY Jets",+NFL!#REF!,IF(+NFL!$H158="NY Jets",+NFL!#REF!,0))</f>
        <v>0</v>
      </c>
      <c r="AW466" s="46">
        <f>IF(+NFL!$F158="NY Jets",+NFL!#REF!,IF(+NFL!$H158="NY Jets",+NFL!#REF!,0))</f>
        <v>0</v>
      </c>
      <c r="AX466" s="64">
        <f>IF(+NFL!$F158="NY Jets",+NFL!#REF!,IF(+NFL!$H158="NY Jets",+NFL!#REF!,0))</f>
        <v>0</v>
      </c>
      <c r="AY466" s="57">
        <f>IF(+NFL!$F158="NY Jets",+NFL!#REF!,IF(+NFL!$H158="NY Jets",+NFL!#REF!,0))</f>
        <v>0</v>
      </c>
      <c r="AZ466" s="64">
        <f>IF(+NFL!$F158="NY Jets",+NFL!#REF!,IF(+NFL!$H158="NY Jets",+NFL!#REF!,0))</f>
        <v>0</v>
      </c>
      <c r="BA466" s="46">
        <f>IF(+NFL!$F158="NY Jets",+NFL!#REF!,IF(+NFL!$H158="NY Jets",+NFL!#REF!,0))</f>
        <v>0</v>
      </c>
      <c r="BB466" s="46">
        <f>IF(+NFL!$F158="NY Jets",+NFL!#REF!,IF(+NFL!$H158="NY Jets",+NFL!#REF!,0))</f>
        <v>0</v>
      </c>
      <c r="BC466" s="403">
        <f>IF(+NFL!$F158="NY Jets",+NFL!#REF!,IF(+NFL!$H158="NY Jets",+NFL!#REF!,0))</f>
        <v>0</v>
      </c>
      <c r="BD466" s="57">
        <f>IF(+NFL!$F158="NY Jets",+NFL!#REF!,IF(+NFL!$H158="NY Jets",+NFL!#REF!,0))</f>
        <v>0</v>
      </c>
      <c r="BE466" s="64">
        <f>IF(+NFL!$F158="NY Jets",+NFL!#REF!,IF(+NFL!$H158="NY Jets",+NFL!#REF!,0))</f>
        <v>0</v>
      </c>
      <c r="BF466" s="46">
        <f>IF(+NFL!$F158="NY Jets",+NFL!#REF!,IF(+NFL!$H158="NY Jets",+NFL!#REF!,0))</f>
        <v>0</v>
      </c>
      <c r="BG466" s="57">
        <f>IF(+NFL!$F158="NY Jets",+NFL!#REF!,IF(+NFL!$H158="NY Jets",+NFL!#REF!,0))</f>
        <v>0</v>
      </c>
      <c r="BH466" s="64">
        <f>IF(+NFL!$F158="NY Jets",+NFL!#REF!,IF(+NFL!$H158="NY Jets",+NFL!#REF!,0))</f>
        <v>0</v>
      </c>
      <c r="BI466" s="46">
        <f>IF(+NFL!$F158="NY Jets",+NFL!#REF!,IF(+NFL!$H158="NY Jets",+NFL!#REF!,0))</f>
        <v>0</v>
      </c>
      <c r="BJ466" s="87">
        <f>IF(+NFL!$F158="NY Jets",+NFL!#REF!,IF(+NFL!$H158="NY Jets",+NFL!#REF!,0))</f>
        <v>0</v>
      </c>
      <c r="BK466" s="120">
        <f>IF(+NFL!$F158="NY Jets",+NFL!#REF!,IF(+NFL!$H158="NY Jets",+NFL!#REF!,0))</f>
        <v>0</v>
      </c>
    </row>
    <row r="467" spans="1:63" s="246" customFormat="1" x14ac:dyDescent="0.8">
      <c r="A467" s="46">
        <f>IF(+NFL!$F193="NY Jets",+NFL!A193,IF(+NFL!$H193="NY Jets",+NFL!A193,0))</f>
        <v>11</v>
      </c>
      <c r="B467" s="348" t="str">
        <f>IF(+NFL!$F193="NY Jets",+NFL!B193,IF(+NFL!$H193="NY Jets",+NFL!B193,0))</f>
        <v>Sun</v>
      </c>
      <c r="C467" s="48">
        <f>IF(+NFL!$F193="NY Jets",+NFL!C193,IF(+NFL!$H193="NY Jets",+NFL!C193,0))</f>
        <v>44885</v>
      </c>
      <c r="D467" s="490">
        <f>IF(+NFL!$F193="NY Jets",+NFL!D193,IF(+NFL!$H193="NY Jets",+NFL!D193,0))</f>
        <v>0.54166666666666663</v>
      </c>
      <c r="E467" s="46" t="str">
        <f>IF(+NFL!$F193="NY Jets",+NFL!E193,IF(+NFL!$H193="NY Jets",+NFL!E193,0))</f>
        <v>CBS</v>
      </c>
      <c r="F467" s="127" t="str">
        <f>IF(+NFL!$F193="NY Jets",+NFL!F193,IF(+NFL!$H193="NY Jets",+NFL!F193,0))</f>
        <v>NY Jets</v>
      </c>
      <c r="G467" s="46" t="str">
        <f>IF(+NFL!$F193="NY Jets",+NFL!G193,IF(+NFL!$H193="NY Jets",+NFL!G193,0))</f>
        <v>AFCE</v>
      </c>
      <c r="H467" s="127" t="str">
        <f>IF(+NFL!$F193="NY Jets",+NFL!H193,IF(+NFL!$H193="NY Jets",+NFL!H193,0))</f>
        <v>New England</v>
      </c>
      <c r="I467" s="46" t="str">
        <f>IF(+NFL!$F193="NY Jets",+NFL!I193,IF(+NFL!$H193="NY Jets",+NFL!I193,0))</f>
        <v>AFCE</v>
      </c>
      <c r="J467" s="353" t="str">
        <f>IF(+NFL!$F193="NY Jets",+NFL!J193,IF(+NFL!$H193="NY Jets",+NFL!J193,0))</f>
        <v>New England</v>
      </c>
      <c r="K467" s="494" t="str">
        <f>IF(+NFL!$F193="NY Jets",+NFL!K193,IF(+NFL!$H193="NY Jets",+NFL!K193,0))</f>
        <v>NY Jets</v>
      </c>
      <c r="L467" s="384">
        <f>IF(+NFL!$F193="NY Jets",+NFL!L193,IF(+NFL!$H193="NY Jets",+NFL!L193,0))</f>
        <v>3</v>
      </c>
      <c r="M467" s="385">
        <f>IF(+NFL!$F193="NY Jets",+NFL!M193,IF(+NFL!$H193="NY Jets",+NFL!M193,0))</f>
        <v>38.5</v>
      </c>
      <c r="N467" s="394" t="str">
        <f>IF(+NFL!$F193="NY Jets",+NFL!N193,IF(+NFL!$H193="NY Jets",+NFL!N193,0))</f>
        <v>New England</v>
      </c>
      <c r="O467" s="395">
        <f>IF(+NFL!$F193="NY Jets",+NFL!O193,IF(+NFL!$H193="NY Jets",+NFL!O193,0))</f>
        <v>10</v>
      </c>
      <c r="P467" s="394" t="str">
        <f>IF(+NFL!$F193="NY Jets",+NFL!P193,IF(+NFL!$H193="NY Jets",+NFL!P193,0))</f>
        <v>NY Jets</v>
      </c>
      <c r="Q467" s="396">
        <f>IF(+NFL!$F193="NY Jets",+NFL!Q193,IF(+NFL!$H193="NY Jets",+NFL!Q193,0))</f>
        <v>3</v>
      </c>
      <c r="R467" s="397" t="str">
        <f>IF(+NFL!$F193="NY Jets",+NFL!R193,IF(+NFL!$H193="NY Jets",+NFL!R193,0))</f>
        <v>New England</v>
      </c>
      <c r="S467" s="396" t="str">
        <f>IF(+NFL!$F193="NY Jets",+NFL!S193,IF(+NFL!$H193="NY Jets",+NFL!S193,0))</f>
        <v>NY Jets</v>
      </c>
      <c r="T467" s="398" t="str">
        <f>IF(+NFL!$F193="NY Jets",+NFL!T193,IF(+NFL!$H193="NY Jets",+NFL!T193,0))</f>
        <v>New England</v>
      </c>
      <c r="U467" s="396" t="str">
        <f>IF(+NFL!$F193="NY Jets",+NFL!U193,IF(+NFL!$H193="NY Jets",+NFL!U193,0))</f>
        <v>W</v>
      </c>
      <c r="V467" s="397">
        <f>IF(+NFL!$F177="NY Jets",+NFL!#REF!,IF(+NFL!$H177="NY Jets",+NFL!#REF!,0))</f>
        <v>0</v>
      </c>
      <c r="W467" s="396">
        <f>IF(+NFL!$F177="NY Jets",+NFL!#REF!,IF(+NFL!$H177="NY Jets",+NFL!#REF!,0))</f>
        <v>0</v>
      </c>
      <c r="X467" s="398">
        <f>IF(+NFL!$F177="NY Jets",+NFL!#REF!,IF(+NFL!$H177="NY Jets",+NFL!#REF!,0))</f>
        <v>0</v>
      </c>
      <c r="Y467" s="396">
        <f>IF(+NFL!$F177="NY Jets",+NFL!#REF!,IF(+NFL!$H177="NY Jets",+NFL!#REF!,0))</f>
        <v>0</v>
      </c>
      <c r="Z467" s="397">
        <f>IF(+NFL!$F177="NY Jets",+NFL!#REF!,IF(+NFL!$H177="NY Jets",+NFL!#REF!,0))</f>
        <v>0</v>
      </c>
      <c r="AA467" s="396">
        <f>IF(+NFL!$F177="NY Jets",+NFL!#REF!,IF(+NFL!$H177="NY Jets",+NFL!#REF!,0))</f>
        <v>0</v>
      </c>
      <c r="AB467" s="87">
        <f>IF(+NFL!$F177="NY Jets",+NFL!#REF!,IF(+NFL!$H177="NY Jets",+NFL!#REF!,0))</f>
        <v>0</v>
      </c>
      <c r="AC467" s="120">
        <f>IF(+NFL!$F177="NY Jets",+NFL!#REF!,IF(+NFL!$H177="NY Jets",+NFL!#REF!,0))</f>
        <v>0</v>
      </c>
      <c r="AD467" s="353">
        <f>IF(+NFL!$F177="NY Jets",+NFL!#REF!,IF(+NFL!$H177="NY Jets",+NFL!#REF!,0))</f>
        <v>0</v>
      </c>
      <c r="AE467" s="379">
        <f>IF(+NFL!$F177="NY Jets",+NFL!#REF!,IF(+NFL!$H177="NY Jets",+NFL!#REF!,0))</f>
        <v>0</v>
      </c>
      <c r="AF467" s="353">
        <f>IF(+NFL!$F177="NY Jets",+NFL!#REF!,IF(+NFL!$H177="NY Jets",+NFL!#REF!,0))</f>
        <v>0</v>
      </c>
      <c r="AG467" s="379">
        <f>IF(+NFL!$F177="NY Jets",+NFL!#REF!,IF(+NFL!$H177="NY Jets",+NFL!#REF!,0))</f>
        <v>0</v>
      </c>
      <c r="AH467" s="353">
        <f>IF(+NFL!$F177="NY Jets",+NFL!#REF!,IF(+NFL!$H177="NY Jets",+NFL!#REF!,0))</f>
        <v>0</v>
      </c>
      <c r="AI467" s="379">
        <f>IF(+NFL!$F177="NY Jets",+NFL!#REF!,IF(+NFL!$H177="NY Jets",+NFL!#REF!,0))</f>
        <v>0</v>
      </c>
      <c r="AJ467" s="353">
        <f>IF(+NFL!$F177="NY Jets",+NFL!#REF!,IF(+NFL!$H177="NY Jets",+NFL!#REF!,0))</f>
        <v>0</v>
      </c>
      <c r="AK467" s="379">
        <f>IF(+NFL!$F177="NY Jets",+NFL!#REF!,IF(+NFL!$H177="NY Jets",+NFL!#REF!,0))</f>
        <v>0</v>
      </c>
      <c r="AL467" s="68">
        <f>IF(+NFL!$F177="NY Jets",+NFL!#REF!,IF(+NFL!$H177="NY Jets",+NFL!#REF!,0))</f>
        <v>0</v>
      </c>
      <c r="AM467" s="58">
        <f>IF(+NFL!$F177="NY Jets",+NFL!#REF!,IF(+NFL!$H177="NY Jets",+NFL!#REF!,0))</f>
        <v>0</v>
      </c>
      <c r="AN467" s="57">
        <f>IF(+NFL!$F177="NY Jets",+NFL!#REF!,IF(+NFL!$H177="NY Jets",+NFL!#REF!,0))</f>
        <v>0</v>
      </c>
      <c r="AO467" s="59">
        <f>IF(+NFL!$F177="NY Jets",+NFL!#REF!,IF(+NFL!$H177="NY Jets",+NFL!#REF!,0))</f>
        <v>0</v>
      </c>
      <c r="AP467" s="348">
        <f>IF(+NFL!$F177="NY Jets",+NFL!#REF!,IF(+NFL!$H177="NY Jets",+NFL!#REF!,0))</f>
        <v>0</v>
      </c>
      <c r="AQ467" s="48">
        <f>IF(+NFL!$F177="NY Jets",+NFL!#REF!,IF(+NFL!$H177="NY Jets",+NFL!#REF!,0))</f>
        <v>0</v>
      </c>
      <c r="AR467" s="57">
        <f>IF(+NFL!$F177="NY Jets",+NFL!#REF!,IF(+NFL!$H177="NY Jets",+NFL!#REF!,0))</f>
        <v>0</v>
      </c>
      <c r="AS467" s="64">
        <f>IF(+NFL!$F177="NY Jets",+NFL!#REF!,IF(+NFL!$H177="NY Jets",+NFL!#REF!,0))</f>
        <v>0</v>
      </c>
      <c r="AT467" s="64">
        <f>IF(+NFL!$F177="NY Jets",+NFL!#REF!,IF(+NFL!$H177="NY Jets",+NFL!#REF!,0))</f>
        <v>0</v>
      </c>
      <c r="AU467" s="57">
        <f>IF(+NFL!$F177="NY Jets",+NFL!#REF!,IF(+NFL!$H177="NY Jets",+NFL!#REF!,0))</f>
        <v>0</v>
      </c>
      <c r="AV467" s="64">
        <f>IF(+NFL!$F177="NY Jets",+NFL!#REF!,IF(+NFL!$H177="NY Jets",+NFL!#REF!,0))</f>
        <v>0</v>
      </c>
      <c r="AW467" s="46">
        <f>IF(+NFL!$F177="NY Jets",+NFL!#REF!,IF(+NFL!$H177="NY Jets",+NFL!#REF!,0))</f>
        <v>0</v>
      </c>
      <c r="AX467" s="64">
        <f>IF(+NFL!$F177="NY Jets",+NFL!#REF!,IF(+NFL!$H177="NY Jets",+NFL!#REF!,0))</f>
        <v>0</v>
      </c>
      <c r="AY467" s="57">
        <f>IF(+NFL!$F177="NY Jets",+NFL!#REF!,IF(+NFL!$H177="NY Jets",+NFL!#REF!,0))</f>
        <v>0</v>
      </c>
      <c r="AZ467" s="64">
        <f>IF(+NFL!$F177="NY Jets",+NFL!#REF!,IF(+NFL!$H177="NY Jets",+NFL!#REF!,0))</f>
        <v>0</v>
      </c>
      <c r="BA467" s="46">
        <f>IF(+NFL!$F177="NY Jets",+NFL!#REF!,IF(+NFL!$H177="NY Jets",+NFL!#REF!,0))</f>
        <v>0</v>
      </c>
      <c r="BB467" s="46">
        <f>IF(+NFL!$F177="NY Jets",+NFL!#REF!,IF(+NFL!$H177="NY Jets",+NFL!#REF!,0))</f>
        <v>0</v>
      </c>
      <c r="BC467" s="403">
        <f>IF(+NFL!$F177="NY Jets",+NFL!#REF!,IF(+NFL!$H177="NY Jets",+NFL!#REF!,0))</f>
        <v>0</v>
      </c>
      <c r="BD467" s="57">
        <f>IF(+NFL!$F177="NY Jets",+NFL!#REF!,IF(+NFL!$H177="NY Jets",+NFL!#REF!,0))</f>
        <v>0</v>
      </c>
      <c r="BE467" s="64">
        <f>IF(+NFL!$F177="NY Jets",+NFL!#REF!,IF(+NFL!$H177="NY Jets",+NFL!#REF!,0))</f>
        <v>0</v>
      </c>
      <c r="BF467" s="46">
        <f>IF(+NFL!$F177="NY Jets",+NFL!#REF!,IF(+NFL!$H177="NY Jets",+NFL!#REF!,0))</f>
        <v>0</v>
      </c>
      <c r="BG467" s="57">
        <f>IF(+NFL!$F177="NY Jets",+NFL!#REF!,IF(+NFL!$H177="NY Jets",+NFL!#REF!,0))</f>
        <v>0</v>
      </c>
      <c r="BH467" s="64">
        <f>IF(+NFL!$F177="NY Jets",+NFL!#REF!,IF(+NFL!$H177="NY Jets",+NFL!#REF!,0))</f>
        <v>0</v>
      </c>
      <c r="BI467" s="46">
        <f>IF(+NFL!$F177="NY Jets",+NFL!#REF!,IF(+NFL!$H177="NY Jets",+NFL!#REF!,0))</f>
        <v>0</v>
      </c>
      <c r="BJ467" s="87">
        <f>IF(+NFL!$F177="NY Jets",+NFL!#REF!,IF(+NFL!$H177="NY Jets",+NFL!#REF!,0))</f>
        <v>0</v>
      </c>
      <c r="BK467" s="120">
        <f>IF(+NFL!$F177="NY Jets",+NFL!#REF!,IF(+NFL!$H177="NY Jets",+NFL!#REF!,0))</f>
        <v>0</v>
      </c>
    </row>
    <row r="468" spans="1:63" s="246" customFormat="1" x14ac:dyDescent="0.8">
      <c r="A468" s="46">
        <f>IF(+NFL!$F215="NY Jets",+NFL!A215,IF(+NFL!$H215="NY Jets",+NFL!A215,0))</f>
        <v>12</v>
      </c>
      <c r="B468" s="348" t="str">
        <f>IF(+NFL!$F215="NY Jets",+NFL!B215,IF(+NFL!$H215="NY Jets",+NFL!B215,0))</f>
        <v>Sun</v>
      </c>
      <c r="C468" s="48">
        <f>IF(+NFL!$F215="NY Jets",+NFL!C215,IF(+NFL!$H215="NY Jets",+NFL!C215,0))</f>
        <v>44892</v>
      </c>
      <c r="D468" s="490">
        <f>IF(+NFL!$F215="NY Jets",+NFL!D215,IF(+NFL!$H215="NY Jets",+NFL!D215,0))</f>
        <v>0.54166666666666663</v>
      </c>
      <c r="E468" s="46" t="str">
        <f>IF(+NFL!$F215="NY Jets",+NFL!E215,IF(+NFL!$H215="NY Jets",+NFL!E215,0))</f>
        <v>Fox</v>
      </c>
      <c r="F468" s="127" t="str">
        <f>IF(+NFL!$F215="NY Jets",+NFL!F215,IF(+NFL!$H215="NY Jets",+NFL!F215,0))</f>
        <v>Chicago</v>
      </c>
      <c r="G468" s="46" t="str">
        <f>IF(+NFL!$F215="NY Jets",+NFL!G215,IF(+NFL!$H215="NY Jets",+NFL!G215,0))</f>
        <v>NFCN</v>
      </c>
      <c r="H468" s="127" t="str">
        <f>IF(+NFL!$F215="NY Jets",+NFL!H215,IF(+NFL!$H215="NY Jets",+NFL!H215,0))</f>
        <v>NY Jets</v>
      </c>
      <c r="I468" s="46" t="str">
        <f>IF(+NFL!$F215="NY Jets",+NFL!I215,IF(+NFL!$H215="NY Jets",+NFL!I215,0))</f>
        <v>AFCE</v>
      </c>
      <c r="J468" s="353" t="str">
        <f>IF(+NFL!$F215="NY Jets",+NFL!J215,IF(+NFL!$H215="NY Jets",+NFL!J215,0))</f>
        <v>NY Jets</v>
      </c>
      <c r="K468" s="494" t="str">
        <f>IF(+NFL!$F215="NY Jets",+NFL!K215,IF(+NFL!$H215="NY Jets",+NFL!K215,0))</f>
        <v>Chicago</v>
      </c>
      <c r="L468" s="384">
        <f>IF(+NFL!$F215="NY Jets",+NFL!L215,IF(+NFL!$H215="NY Jets",+NFL!L215,0))</f>
        <v>5</v>
      </c>
      <c r="M468" s="385">
        <f>IF(+NFL!$F215="NY Jets",+NFL!M215,IF(+NFL!$H215="NY Jets",+NFL!M215,0))</f>
        <v>40.5</v>
      </c>
      <c r="N468" s="394" t="str">
        <f>IF(+NFL!$F215="NY Jets",+NFL!N215,IF(+NFL!$H215="NY Jets",+NFL!N215,0))</f>
        <v>NY Jets</v>
      </c>
      <c r="O468" s="395">
        <f>IF(+NFL!$F215="NY Jets",+NFL!O215,IF(+NFL!$H215="NY Jets",+NFL!O215,0))</f>
        <v>31</v>
      </c>
      <c r="P468" s="394" t="str">
        <f>IF(+NFL!$F215="NY Jets",+NFL!P215,IF(+NFL!$H215="NY Jets",+NFL!P215,0))</f>
        <v>Chicago</v>
      </c>
      <c r="Q468" s="396">
        <f>IF(+NFL!$F215="NY Jets",+NFL!Q215,IF(+NFL!$H215="NY Jets",+NFL!Q215,0))</f>
        <v>10</v>
      </c>
      <c r="R468" s="397" t="str">
        <f>IF(+NFL!$F215="NY Jets",+NFL!R215,IF(+NFL!$H215="NY Jets",+NFL!R215,0))</f>
        <v>NY Jets</v>
      </c>
      <c r="S468" s="396" t="str">
        <f>IF(+NFL!$F215="NY Jets",+NFL!S215,IF(+NFL!$H215="NY Jets",+NFL!S215,0))</f>
        <v>Chicago</v>
      </c>
      <c r="T468" s="398" t="str">
        <f>IF(+NFL!$F215="NY Jets",+NFL!T215,IF(+NFL!$H215="NY Jets",+NFL!T215,0))</f>
        <v>Chicago</v>
      </c>
      <c r="U468" s="396" t="str">
        <f>IF(+NFL!$F215="NY Jets",+NFL!U215,IF(+NFL!$H215="NY Jets",+NFL!U215,0))</f>
        <v>L</v>
      </c>
      <c r="V468" s="397">
        <f>IF(+NFL!$F202="NY Jets",+NFL!#REF!,IF(+NFL!$H202="NY Jets",+NFL!#REF!,0))</f>
        <v>0</v>
      </c>
      <c r="W468" s="396">
        <f>IF(+NFL!$F202="NY Jets",+NFL!#REF!,IF(+NFL!$H202="NY Jets",+NFL!#REF!,0))</f>
        <v>0</v>
      </c>
      <c r="X468" s="398">
        <f>IF(+NFL!$F202="NY Jets",+NFL!#REF!,IF(+NFL!$H202="NY Jets",+NFL!#REF!,0))</f>
        <v>0</v>
      </c>
      <c r="Y468" s="396">
        <f>IF(+NFL!$F202="NY Jets",+NFL!#REF!,IF(+NFL!$H202="NY Jets",+NFL!#REF!,0))</f>
        <v>0</v>
      </c>
      <c r="Z468" s="397">
        <f>IF(+NFL!$F202="NY Jets",+NFL!#REF!,IF(+NFL!$H202="NY Jets",+NFL!#REF!,0))</f>
        <v>0</v>
      </c>
      <c r="AA468" s="396">
        <f>IF(+NFL!$F202="NY Jets",+NFL!#REF!,IF(+NFL!$H202="NY Jets",+NFL!#REF!,0))</f>
        <v>0</v>
      </c>
      <c r="AB468" s="87">
        <f>IF(+NFL!$F202="NY Jets",+NFL!#REF!,IF(+NFL!$H202="NY Jets",+NFL!#REF!,0))</f>
        <v>0</v>
      </c>
      <c r="AC468" s="120">
        <f>IF(+NFL!$F202="NY Jets",+NFL!#REF!,IF(+NFL!$H202="NY Jets",+NFL!#REF!,0))</f>
        <v>0</v>
      </c>
      <c r="AD468" s="353">
        <f>IF(+NFL!$F202="NY Jets",+NFL!#REF!,IF(+NFL!$H202="NY Jets",+NFL!#REF!,0))</f>
        <v>0</v>
      </c>
      <c r="AE468" s="379">
        <f>IF(+NFL!$F202="NY Jets",+NFL!#REF!,IF(+NFL!$H202="NY Jets",+NFL!#REF!,0))</f>
        <v>0</v>
      </c>
      <c r="AF468" s="353">
        <f>IF(+NFL!$F202="NY Jets",+NFL!#REF!,IF(+NFL!$H202="NY Jets",+NFL!#REF!,0))</f>
        <v>0</v>
      </c>
      <c r="AG468" s="379">
        <f>IF(+NFL!$F202="NY Jets",+NFL!#REF!,IF(+NFL!$H202="NY Jets",+NFL!#REF!,0))</f>
        <v>0</v>
      </c>
      <c r="AH468" s="353">
        <f>IF(+NFL!$F202="NY Jets",+NFL!#REF!,IF(+NFL!$H202="NY Jets",+NFL!#REF!,0))</f>
        <v>0</v>
      </c>
      <c r="AI468" s="379">
        <f>IF(+NFL!$F202="NY Jets",+NFL!#REF!,IF(+NFL!$H202="NY Jets",+NFL!#REF!,0))</f>
        <v>0</v>
      </c>
      <c r="AJ468" s="353">
        <f>IF(+NFL!$F202="NY Jets",+NFL!#REF!,IF(+NFL!$H202="NY Jets",+NFL!#REF!,0))</f>
        <v>0</v>
      </c>
      <c r="AK468" s="379">
        <f>IF(+NFL!$F202="NY Jets",+NFL!#REF!,IF(+NFL!$H202="NY Jets",+NFL!#REF!,0))</f>
        <v>0</v>
      </c>
      <c r="AL468" s="68">
        <f>IF(+NFL!$F202="NY Jets",+NFL!#REF!,IF(+NFL!$H202="NY Jets",+NFL!#REF!,0))</f>
        <v>0</v>
      </c>
      <c r="AM468" s="58">
        <f>IF(+NFL!$F202="NY Jets",+NFL!#REF!,IF(+NFL!$H202="NY Jets",+NFL!#REF!,0))</f>
        <v>0</v>
      </c>
      <c r="AN468" s="57">
        <f>IF(+NFL!$F202="NY Jets",+NFL!#REF!,IF(+NFL!$H202="NY Jets",+NFL!#REF!,0))</f>
        <v>0</v>
      </c>
      <c r="AO468" s="59">
        <f>IF(+NFL!$F202="NY Jets",+NFL!#REF!,IF(+NFL!$H202="NY Jets",+NFL!#REF!,0))</f>
        <v>0</v>
      </c>
      <c r="AP468" s="348">
        <f>IF(+NFL!$F202="NY Jets",+NFL!#REF!,IF(+NFL!$H202="NY Jets",+NFL!#REF!,0))</f>
        <v>0</v>
      </c>
      <c r="AQ468" s="48">
        <f>IF(+NFL!$F202="NY Jets",+NFL!#REF!,IF(+NFL!$H202="NY Jets",+NFL!#REF!,0))</f>
        <v>0</v>
      </c>
      <c r="AR468" s="57">
        <f>IF(+NFL!$F202="NY Jets",+NFL!#REF!,IF(+NFL!$H202="NY Jets",+NFL!#REF!,0))</f>
        <v>0</v>
      </c>
      <c r="AS468" s="64">
        <f>IF(+NFL!$F202="NY Jets",+NFL!#REF!,IF(+NFL!$H202="NY Jets",+NFL!#REF!,0))</f>
        <v>0</v>
      </c>
      <c r="AT468" s="64">
        <f>IF(+NFL!$F202="NY Jets",+NFL!#REF!,IF(+NFL!$H202="NY Jets",+NFL!#REF!,0))</f>
        <v>0</v>
      </c>
      <c r="AU468" s="57">
        <f>IF(+NFL!$F202="NY Jets",+NFL!#REF!,IF(+NFL!$H202="NY Jets",+NFL!#REF!,0))</f>
        <v>0</v>
      </c>
      <c r="AV468" s="64">
        <f>IF(+NFL!$F202="NY Jets",+NFL!#REF!,IF(+NFL!$H202="NY Jets",+NFL!#REF!,0))</f>
        <v>0</v>
      </c>
      <c r="AW468" s="46">
        <f>IF(+NFL!$F202="NY Jets",+NFL!#REF!,IF(+NFL!$H202="NY Jets",+NFL!#REF!,0))</f>
        <v>0</v>
      </c>
      <c r="AX468" s="64">
        <f>IF(+NFL!$F202="NY Jets",+NFL!#REF!,IF(+NFL!$H202="NY Jets",+NFL!#REF!,0))</f>
        <v>0</v>
      </c>
      <c r="AY468" s="57">
        <f>IF(+NFL!$F202="NY Jets",+NFL!#REF!,IF(+NFL!$H202="NY Jets",+NFL!#REF!,0))</f>
        <v>0</v>
      </c>
      <c r="AZ468" s="64">
        <f>IF(+NFL!$F202="NY Jets",+NFL!#REF!,IF(+NFL!$H202="NY Jets",+NFL!#REF!,0))</f>
        <v>0</v>
      </c>
      <c r="BA468" s="46">
        <f>IF(+NFL!$F202="NY Jets",+NFL!#REF!,IF(+NFL!$H202="NY Jets",+NFL!#REF!,0))</f>
        <v>0</v>
      </c>
      <c r="BB468" s="46">
        <f>IF(+NFL!$F202="NY Jets",+NFL!#REF!,IF(+NFL!$H202="NY Jets",+NFL!#REF!,0))</f>
        <v>0</v>
      </c>
      <c r="BC468" s="403">
        <f>IF(+NFL!$F202="NY Jets",+NFL!#REF!,IF(+NFL!$H202="NY Jets",+NFL!#REF!,0))</f>
        <v>0</v>
      </c>
      <c r="BD468" s="57">
        <f>IF(+NFL!$F202="NY Jets",+NFL!#REF!,IF(+NFL!$H202="NY Jets",+NFL!#REF!,0))</f>
        <v>0</v>
      </c>
      <c r="BE468" s="64">
        <f>IF(+NFL!$F202="NY Jets",+NFL!#REF!,IF(+NFL!$H202="NY Jets",+NFL!#REF!,0))</f>
        <v>0</v>
      </c>
      <c r="BF468" s="46">
        <f>IF(+NFL!$F202="NY Jets",+NFL!#REF!,IF(+NFL!$H202="NY Jets",+NFL!#REF!,0))</f>
        <v>0</v>
      </c>
      <c r="BG468" s="57">
        <f>IF(+NFL!$F202="NY Jets",+NFL!#REF!,IF(+NFL!$H202="NY Jets",+NFL!#REF!,0))</f>
        <v>0</v>
      </c>
      <c r="BH468" s="64">
        <f>IF(+NFL!$F202="NY Jets",+NFL!#REF!,IF(+NFL!$H202="NY Jets",+NFL!#REF!,0))</f>
        <v>0</v>
      </c>
      <c r="BI468" s="46">
        <f>IF(+NFL!$F202="NY Jets",+NFL!#REF!,IF(+NFL!$H202="NY Jets",+NFL!#REF!,0))</f>
        <v>0</v>
      </c>
      <c r="BJ468" s="87">
        <f>IF(+NFL!$F202="NY Jets",+NFL!#REF!,IF(+NFL!$H202="NY Jets",+NFL!#REF!,0))</f>
        <v>0</v>
      </c>
      <c r="BK468" s="120">
        <f>IF(+NFL!$F202="NY Jets",+NFL!#REF!,IF(+NFL!$H202="NY Jets",+NFL!#REF!,0))</f>
        <v>0</v>
      </c>
    </row>
    <row r="469" spans="1:63" s="246" customFormat="1" x14ac:dyDescent="0.8">
      <c r="A469" s="46">
        <f>IF(+NFL!$F230="NY Jets",+NFL!A230,IF(+NFL!$H230="NY Jets",+NFL!A230,0))</f>
        <v>13</v>
      </c>
      <c r="B469" s="348" t="str">
        <f>IF(+NFL!$F230="NY Jets",+NFL!B230,IF(+NFL!$H230="NY Jets",+NFL!B230,0))</f>
        <v>Sun</v>
      </c>
      <c r="C469" s="48">
        <f>IF(+NFL!$F230="NY Jets",+NFL!C230,IF(+NFL!$H230="NY Jets",+NFL!C230,0))</f>
        <v>44899</v>
      </c>
      <c r="D469" s="490">
        <f>IF(+NFL!$F230="NY Jets",+NFL!D230,IF(+NFL!$H230="NY Jets",+NFL!D230,0))</f>
        <v>0.54166666666666663</v>
      </c>
      <c r="E469" s="46" t="str">
        <f>IF(+NFL!$F230="NY Jets",+NFL!E230,IF(+NFL!$H230="NY Jets",+NFL!E230,0))</f>
        <v>CBS</v>
      </c>
      <c r="F469" s="127" t="str">
        <f>IF(+NFL!$F230="NY Jets",+NFL!F230,IF(+NFL!$H230="NY Jets",+NFL!F230,0))</f>
        <v>NY Jets</v>
      </c>
      <c r="G469" s="46" t="str">
        <f>IF(+NFL!$F230="NY Jets",+NFL!G230,IF(+NFL!$H230="NY Jets",+NFL!G230,0))</f>
        <v>AFCE</v>
      </c>
      <c r="H469" s="127" t="str">
        <f>IF(+NFL!$F230="NY Jets",+NFL!H230,IF(+NFL!$H230="NY Jets",+NFL!H230,0))</f>
        <v>Minnesota</v>
      </c>
      <c r="I469" s="46" t="str">
        <f>IF(+NFL!$F230="NY Jets",+NFL!I230,IF(+NFL!$H230="NY Jets",+NFL!I230,0))</f>
        <v>NFCN</v>
      </c>
      <c r="J469" s="353" t="str">
        <f>IF(+NFL!$F230="NY Jets",+NFL!J230,IF(+NFL!$H230="NY Jets",+NFL!J230,0))</f>
        <v>Minnesota</v>
      </c>
      <c r="K469" s="494" t="str">
        <f>IF(+NFL!$F230="NY Jets",+NFL!K230,IF(+NFL!$H230="NY Jets",+NFL!K230,0))</f>
        <v>NY Jets</v>
      </c>
      <c r="L469" s="384">
        <f>IF(+NFL!$F230="NY Jets",+NFL!L230,IF(+NFL!$H230="NY Jets",+NFL!L230,0))</f>
        <v>3</v>
      </c>
      <c r="M469" s="385">
        <f>IF(+NFL!$F230="NY Jets",+NFL!M230,IF(+NFL!$H230="NY Jets",+NFL!M230,0))</f>
        <v>45</v>
      </c>
      <c r="N469" s="394" t="str">
        <f>IF(+NFL!$F230="NY Jets",+NFL!N230,IF(+NFL!$H230="NY Jets",+NFL!N230,0))</f>
        <v>Minnesota</v>
      </c>
      <c r="O469" s="395">
        <f>IF(+NFL!$F230="NY Jets",+NFL!O230,IF(+NFL!$H230="NY Jets",+NFL!O230,0))</f>
        <v>27</v>
      </c>
      <c r="P469" s="394" t="str">
        <f>IF(+NFL!$F230="NY Jets",+NFL!P230,IF(+NFL!$H230="NY Jets",+NFL!P230,0))</f>
        <v>NY Jets</v>
      </c>
      <c r="Q469" s="396">
        <f>IF(+NFL!$F230="NY Jets",+NFL!Q230,IF(+NFL!$H230="NY Jets",+NFL!Q230,0))</f>
        <v>22</v>
      </c>
      <c r="R469" s="397" t="str">
        <f>IF(+NFL!$F230="NY Jets",+NFL!R230,IF(+NFL!$H230="NY Jets",+NFL!R230,0))</f>
        <v>Minnesota</v>
      </c>
      <c r="S469" s="396" t="str">
        <f>IF(+NFL!$F230="NY Jets",+NFL!S230,IF(+NFL!$H230="NY Jets",+NFL!S230,0))</f>
        <v>NY Jets</v>
      </c>
      <c r="T469" s="398" t="str">
        <f>IF(+NFL!$F230="NY Jets",+NFL!T230,IF(+NFL!$H230="NY Jets",+NFL!T230,0))</f>
        <v>NY Jets</v>
      </c>
      <c r="U469" s="396" t="str">
        <f>IF(+NFL!$F230="NY Jets",+NFL!U230,IF(+NFL!$H230="NY Jets",+NFL!U230,0))</f>
        <v>L</v>
      </c>
      <c r="V469" s="397">
        <f>IF(+NFL!$F224="NY Jets",+NFL!#REF!,IF(+NFL!$H224="NY Jets",+NFL!#REF!,0))</f>
        <v>0</v>
      </c>
      <c r="W469" s="396">
        <f>IF(+NFL!$F224="NY Jets",+NFL!#REF!,IF(+NFL!$H224="NY Jets",+NFL!#REF!,0))</f>
        <v>0</v>
      </c>
      <c r="X469" s="398">
        <f>IF(+NFL!$F224="NY Jets",+NFL!#REF!,IF(+NFL!$H224="NY Jets",+NFL!#REF!,0))</f>
        <v>0</v>
      </c>
      <c r="Y469" s="396">
        <f>IF(+NFL!$F224="NY Jets",+NFL!#REF!,IF(+NFL!$H224="NY Jets",+NFL!#REF!,0))</f>
        <v>0</v>
      </c>
      <c r="Z469" s="397">
        <f>IF(+NFL!$F224="NY Jets",+NFL!#REF!,IF(+NFL!$H224="NY Jets",+NFL!#REF!,0))</f>
        <v>0</v>
      </c>
      <c r="AA469" s="396">
        <f>IF(+NFL!$F224="NY Jets",+NFL!#REF!,IF(+NFL!$H224="NY Jets",+NFL!#REF!,0))</f>
        <v>0</v>
      </c>
      <c r="AB469" s="87">
        <f>IF(+NFL!$F224="NY Jets",+NFL!#REF!,IF(+NFL!$H224="NY Jets",+NFL!#REF!,0))</f>
        <v>0</v>
      </c>
      <c r="AC469" s="120">
        <f>IF(+NFL!$F224="NY Jets",+NFL!#REF!,IF(+NFL!$H224="NY Jets",+NFL!#REF!,0))</f>
        <v>0</v>
      </c>
      <c r="AD469" s="353">
        <f>IF(+NFL!$F224="NY Jets",+NFL!#REF!,IF(+NFL!$H224="NY Jets",+NFL!#REF!,0))</f>
        <v>0</v>
      </c>
      <c r="AE469" s="379">
        <f>IF(+NFL!$F224="NY Jets",+NFL!#REF!,IF(+NFL!$H224="NY Jets",+NFL!#REF!,0))</f>
        <v>0</v>
      </c>
      <c r="AF469" s="353">
        <f>IF(+NFL!$F224="NY Jets",+NFL!#REF!,IF(+NFL!$H224="NY Jets",+NFL!#REF!,0))</f>
        <v>0</v>
      </c>
      <c r="AG469" s="379">
        <f>IF(+NFL!$F224="NY Jets",+NFL!#REF!,IF(+NFL!$H224="NY Jets",+NFL!#REF!,0))</f>
        <v>0</v>
      </c>
      <c r="AH469" s="353">
        <f>IF(+NFL!$F224="NY Jets",+NFL!#REF!,IF(+NFL!$H224="NY Jets",+NFL!#REF!,0))</f>
        <v>0</v>
      </c>
      <c r="AI469" s="379">
        <f>IF(+NFL!$F224="NY Jets",+NFL!#REF!,IF(+NFL!$H224="NY Jets",+NFL!#REF!,0))</f>
        <v>0</v>
      </c>
      <c r="AJ469" s="353">
        <f>IF(+NFL!$F224="NY Jets",+NFL!#REF!,IF(+NFL!$H224="NY Jets",+NFL!#REF!,0))</f>
        <v>0</v>
      </c>
      <c r="AK469" s="379">
        <f>IF(+NFL!$F224="NY Jets",+NFL!#REF!,IF(+NFL!$H224="NY Jets",+NFL!#REF!,0))</f>
        <v>0</v>
      </c>
      <c r="AL469" s="68">
        <f>IF(+NFL!$F224="NY Jets",+NFL!#REF!,IF(+NFL!$H224="NY Jets",+NFL!#REF!,0))</f>
        <v>0</v>
      </c>
      <c r="AM469" s="58">
        <f>IF(+NFL!$F224="NY Jets",+NFL!#REF!,IF(+NFL!$H224="NY Jets",+NFL!#REF!,0))</f>
        <v>0</v>
      </c>
      <c r="AN469" s="57">
        <f>IF(+NFL!$F224="NY Jets",+NFL!#REF!,IF(+NFL!$H224="NY Jets",+NFL!#REF!,0))</f>
        <v>0</v>
      </c>
      <c r="AO469" s="59">
        <f>IF(+NFL!$F224="NY Jets",+NFL!#REF!,IF(+NFL!$H224="NY Jets",+NFL!#REF!,0))</f>
        <v>0</v>
      </c>
      <c r="AP469" s="348">
        <f>IF(+NFL!$F224="NY Jets",+NFL!#REF!,IF(+NFL!$H224="NY Jets",+NFL!#REF!,0))</f>
        <v>0</v>
      </c>
      <c r="AQ469" s="48">
        <f>IF(+NFL!$F224="NY Jets",+NFL!#REF!,IF(+NFL!$H224="NY Jets",+NFL!#REF!,0))</f>
        <v>0</v>
      </c>
      <c r="AR469" s="57">
        <f>IF(+NFL!$F224="NY Jets",+NFL!#REF!,IF(+NFL!$H224="NY Jets",+NFL!#REF!,0))</f>
        <v>0</v>
      </c>
      <c r="AS469" s="64">
        <f>IF(+NFL!$F224="NY Jets",+NFL!#REF!,IF(+NFL!$H224="NY Jets",+NFL!#REF!,0))</f>
        <v>0</v>
      </c>
      <c r="AT469" s="64">
        <f>IF(+NFL!$F224="NY Jets",+NFL!#REF!,IF(+NFL!$H224="NY Jets",+NFL!#REF!,0))</f>
        <v>0</v>
      </c>
      <c r="AU469" s="57">
        <f>IF(+NFL!$F224="NY Jets",+NFL!#REF!,IF(+NFL!$H224="NY Jets",+NFL!#REF!,0))</f>
        <v>0</v>
      </c>
      <c r="AV469" s="64">
        <f>IF(+NFL!$F224="NY Jets",+NFL!#REF!,IF(+NFL!$H224="NY Jets",+NFL!#REF!,0))</f>
        <v>0</v>
      </c>
      <c r="AW469" s="46">
        <f>IF(+NFL!$F224="NY Jets",+NFL!#REF!,IF(+NFL!$H224="NY Jets",+NFL!#REF!,0))</f>
        <v>0</v>
      </c>
      <c r="AX469" s="64">
        <f>IF(+NFL!$F224="NY Jets",+NFL!#REF!,IF(+NFL!$H224="NY Jets",+NFL!#REF!,0))</f>
        <v>0</v>
      </c>
      <c r="AY469" s="57">
        <f>IF(+NFL!$F224="NY Jets",+NFL!#REF!,IF(+NFL!$H224="NY Jets",+NFL!#REF!,0))</f>
        <v>0</v>
      </c>
      <c r="AZ469" s="64">
        <f>IF(+NFL!$F224="NY Jets",+NFL!#REF!,IF(+NFL!$H224="NY Jets",+NFL!#REF!,0))</f>
        <v>0</v>
      </c>
      <c r="BA469" s="46">
        <f>IF(+NFL!$F224="NY Jets",+NFL!#REF!,IF(+NFL!$H224="NY Jets",+NFL!#REF!,0))</f>
        <v>0</v>
      </c>
      <c r="BB469" s="46">
        <f>IF(+NFL!$F224="NY Jets",+NFL!#REF!,IF(+NFL!$H224="NY Jets",+NFL!#REF!,0))</f>
        <v>0</v>
      </c>
      <c r="BC469" s="403">
        <f>IF(+NFL!$F224="NY Jets",+NFL!#REF!,IF(+NFL!$H224="NY Jets",+NFL!#REF!,0))</f>
        <v>0</v>
      </c>
      <c r="BD469" s="57">
        <f>IF(+NFL!$F224="NY Jets",+NFL!#REF!,IF(+NFL!$H224="NY Jets",+NFL!#REF!,0))</f>
        <v>0</v>
      </c>
      <c r="BE469" s="64">
        <f>IF(+NFL!$F224="NY Jets",+NFL!#REF!,IF(+NFL!$H224="NY Jets",+NFL!#REF!,0))</f>
        <v>0</v>
      </c>
      <c r="BF469" s="46">
        <f>IF(+NFL!$F224="NY Jets",+NFL!#REF!,IF(+NFL!$H224="NY Jets",+NFL!#REF!,0))</f>
        <v>0</v>
      </c>
      <c r="BG469" s="57">
        <f>IF(+NFL!$F224="NY Jets",+NFL!#REF!,IF(+NFL!$H224="NY Jets",+NFL!#REF!,0))</f>
        <v>0</v>
      </c>
      <c r="BH469" s="64">
        <f>IF(+NFL!$F224="NY Jets",+NFL!#REF!,IF(+NFL!$H224="NY Jets",+NFL!#REF!,0))</f>
        <v>0</v>
      </c>
      <c r="BI469" s="46">
        <f>IF(+NFL!$F224="NY Jets",+NFL!#REF!,IF(+NFL!$H224="NY Jets",+NFL!#REF!,0))</f>
        <v>0</v>
      </c>
      <c r="BJ469" s="87">
        <f>IF(+NFL!$F224="NY Jets",+NFL!#REF!,IF(+NFL!$H224="NY Jets",+NFL!#REF!,0))</f>
        <v>0</v>
      </c>
      <c r="BK469" s="120">
        <f>IF(+NFL!$F224="NY Jets",+NFL!#REF!,IF(+NFL!$H224="NY Jets",+NFL!#REF!,0))</f>
        <v>0</v>
      </c>
    </row>
    <row r="470" spans="1:63" s="246" customFormat="1" x14ac:dyDescent="0.8">
      <c r="A470" s="46">
        <f>IF(+NFL!$F246="NY Jets",+NFL!A246,IF(+NFL!$H246="NY Jets",+NFL!A246,0))</f>
        <v>14</v>
      </c>
      <c r="B470" s="348" t="str">
        <f>IF(+NFL!$F246="NY Jets",+NFL!B246,IF(+NFL!$H246="NY Jets",+NFL!B246,0))</f>
        <v>Sun</v>
      </c>
      <c r="C470" s="48">
        <f>IF(+NFL!$F246="NY Jets",+NFL!C246,IF(+NFL!$H246="NY Jets",+NFL!C246,0))</f>
        <v>44906</v>
      </c>
      <c r="D470" s="490">
        <f>IF(+NFL!$F246="NY Jets",+NFL!D246,IF(+NFL!$H246="NY Jets",+NFL!D246,0))</f>
        <v>0.54166666666666663</v>
      </c>
      <c r="E470" s="46" t="str">
        <f>IF(+NFL!$F246="NY Jets",+NFL!E246,IF(+NFL!$H246="NY Jets",+NFL!E246,0))</f>
        <v>CBS</v>
      </c>
      <c r="F470" s="127" t="str">
        <f>IF(+NFL!$F246="NY Jets",+NFL!F246,IF(+NFL!$H246="NY Jets",+NFL!F246,0))</f>
        <v>NY Jets</v>
      </c>
      <c r="G470" s="46" t="str">
        <f>IF(+NFL!$F246="NY Jets",+NFL!G246,IF(+NFL!$H246="NY Jets",+NFL!G246,0))</f>
        <v>AFCE</v>
      </c>
      <c r="H470" s="127" t="str">
        <f>IF(+NFL!$F246="NY Jets",+NFL!H246,IF(+NFL!$H246="NY Jets",+NFL!H246,0))</f>
        <v>Buffalo</v>
      </c>
      <c r="I470" s="46" t="str">
        <f>IF(+NFL!$F246="NY Jets",+NFL!I246,IF(+NFL!$H246="NY Jets",+NFL!I246,0))</f>
        <v>AFCE</v>
      </c>
      <c r="J470" s="353" t="str">
        <f>IF(+NFL!$F246="NY Jets",+NFL!J246,IF(+NFL!$H246="NY Jets",+NFL!J246,0))</f>
        <v>Buffalo</v>
      </c>
      <c r="K470" s="494" t="str">
        <f>IF(+NFL!$F246="NY Jets",+NFL!K246,IF(+NFL!$H246="NY Jets",+NFL!K246,0))</f>
        <v>NY Jets</v>
      </c>
      <c r="L470" s="384">
        <f>IF(+NFL!$F246="NY Jets",+NFL!L246,IF(+NFL!$H246="NY Jets",+NFL!L246,0))</f>
        <v>9.5</v>
      </c>
      <c r="M470" s="385">
        <f>IF(+NFL!$F246="NY Jets",+NFL!M246,IF(+NFL!$H246="NY Jets",+NFL!M246,0))</f>
        <v>43.5</v>
      </c>
      <c r="N470" s="394" t="str">
        <f>IF(+NFL!$F246="NY Jets",+NFL!N246,IF(+NFL!$H246="NY Jets",+NFL!N246,0))</f>
        <v>Buffalo</v>
      </c>
      <c r="O470" s="395">
        <f>IF(+NFL!$F246="NY Jets",+NFL!O246,IF(+NFL!$H246="NY Jets",+NFL!O246,0))</f>
        <v>20</v>
      </c>
      <c r="P470" s="394" t="str">
        <f>IF(+NFL!$F246="NY Jets",+NFL!P246,IF(+NFL!$H246="NY Jets",+NFL!P246,0))</f>
        <v>NY Jets</v>
      </c>
      <c r="Q470" s="396">
        <f>IF(+NFL!$F246="NY Jets",+NFL!Q246,IF(+NFL!$H246="NY Jets",+NFL!Q246,0))</f>
        <v>12</v>
      </c>
      <c r="R470" s="397" t="str">
        <f>IF(+NFL!$F246="NY Jets",+NFL!R246,IF(+NFL!$H246="NY Jets",+NFL!R246,0))</f>
        <v>NY Jets</v>
      </c>
      <c r="S470" s="396" t="str">
        <f>IF(+NFL!$F246="NY Jets",+NFL!S246,IF(+NFL!$H246="NY Jets",+NFL!S246,0))</f>
        <v>Buffalo</v>
      </c>
      <c r="T470" s="398">
        <f>IF(+NFL!$F246="NY Jets",+NFL!T246,IF(+NFL!$H246="NY Jets",+NFL!T246,0))</f>
        <v>0</v>
      </c>
      <c r="U470" s="396" t="str">
        <f>IF(+NFL!$F246="NY Jets",+NFL!U246,IF(+NFL!$H246="NY Jets",+NFL!U246,0))</f>
        <v>L</v>
      </c>
      <c r="V470" s="397">
        <f>IF(+NFL!$F247="NY Jets",+NFL!#REF!,IF(+NFL!$H247="NY Jets",+NFL!#REF!,0))</f>
        <v>0</v>
      </c>
      <c r="W470" s="396">
        <f>IF(+NFL!$F247="NY Jets",+NFL!#REF!,IF(+NFL!$H247="NY Jets",+NFL!#REF!,0))</f>
        <v>0</v>
      </c>
      <c r="X470" s="398">
        <f>IF(+NFL!$F247="NY Jets",+NFL!#REF!,IF(+NFL!$H247="NY Jets",+NFL!#REF!,0))</f>
        <v>0</v>
      </c>
      <c r="Y470" s="396">
        <f>IF(+NFL!$F247="NY Jets",+NFL!#REF!,IF(+NFL!$H247="NY Jets",+NFL!#REF!,0))</f>
        <v>0</v>
      </c>
      <c r="Z470" s="397">
        <f>IF(+NFL!$F247="NY Jets",+NFL!#REF!,IF(+NFL!$H247="NY Jets",+NFL!#REF!,0))</f>
        <v>0</v>
      </c>
      <c r="AA470" s="396">
        <f>IF(+NFL!$F247="NY Jets",+NFL!#REF!,IF(+NFL!$H247="NY Jets",+NFL!#REF!,0))</f>
        <v>0</v>
      </c>
      <c r="AB470" s="87">
        <f>IF(+NFL!$F247="NY Jets",+NFL!#REF!,IF(+NFL!$H247="NY Jets",+NFL!#REF!,0))</f>
        <v>0</v>
      </c>
      <c r="AC470" s="120">
        <f>IF(+NFL!$F247="NY Jets",+NFL!#REF!,IF(+NFL!$H247="NY Jets",+NFL!#REF!,0))</f>
        <v>0</v>
      </c>
      <c r="AD470" s="353">
        <f>IF(+NFL!$F247="NY Jets",+NFL!#REF!,IF(+NFL!$H247="NY Jets",+NFL!#REF!,0))</f>
        <v>0</v>
      </c>
      <c r="AE470" s="379">
        <f>IF(+NFL!$F247="NY Jets",+NFL!#REF!,IF(+NFL!$H247="NY Jets",+NFL!#REF!,0))</f>
        <v>0</v>
      </c>
      <c r="AF470" s="353">
        <f>IF(+NFL!$F247="NY Jets",+NFL!#REF!,IF(+NFL!$H247="NY Jets",+NFL!#REF!,0))</f>
        <v>0</v>
      </c>
      <c r="AG470" s="379">
        <f>IF(+NFL!$F247="NY Jets",+NFL!#REF!,IF(+NFL!$H247="NY Jets",+NFL!#REF!,0))</f>
        <v>0</v>
      </c>
      <c r="AH470" s="353">
        <f>IF(+NFL!$F247="NY Jets",+NFL!#REF!,IF(+NFL!$H247="NY Jets",+NFL!#REF!,0))</f>
        <v>0</v>
      </c>
      <c r="AI470" s="379">
        <f>IF(+NFL!$F247="NY Jets",+NFL!#REF!,IF(+NFL!$H247="NY Jets",+NFL!#REF!,0))</f>
        <v>0</v>
      </c>
      <c r="AJ470" s="353">
        <f>IF(+NFL!$F247="NY Jets",+NFL!#REF!,IF(+NFL!$H247="NY Jets",+NFL!#REF!,0))</f>
        <v>0</v>
      </c>
      <c r="AK470" s="379">
        <f>IF(+NFL!$F247="NY Jets",+NFL!#REF!,IF(+NFL!$H247="NY Jets",+NFL!#REF!,0))</f>
        <v>0</v>
      </c>
      <c r="AL470" s="68">
        <f>IF(+NFL!$F247="NY Jets",+NFL!#REF!,IF(+NFL!$H247="NY Jets",+NFL!#REF!,0))</f>
        <v>0</v>
      </c>
      <c r="AM470" s="58">
        <f>IF(+NFL!$F247="NY Jets",+NFL!#REF!,IF(+NFL!$H247="NY Jets",+NFL!#REF!,0))</f>
        <v>0</v>
      </c>
      <c r="AN470" s="57">
        <f>IF(+NFL!$F247="NY Jets",+NFL!#REF!,IF(+NFL!$H247="NY Jets",+NFL!#REF!,0))</f>
        <v>0</v>
      </c>
      <c r="AO470" s="59">
        <f>IF(+NFL!$F247="NY Jets",+NFL!#REF!,IF(+NFL!$H247="NY Jets",+NFL!#REF!,0))</f>
        <v>0</v>
      </c>
      <c r="AP470" s="348">
        <f>IF(+NFL!$F247="NY Jets",+NFL!#REF!,IF(+NFL!$H247="NY Jets",+NFL!#REF!,0))</f>
        <v>0</v>
      </c>
      <c r="AQ470" s="48">
        <f>IF(+NFL!$F247="NY Jets",+NFL!#REF!,IF(+NFL!$H247="NY Jets",+NFL!#REF!,0))</f>
        <v>0</v>
      </c>
      <c r="AR470" s="57">
        <f>IF(+NFL!$F247="NY Jets",+NFL!#REF!,IF(+NFL!$H247="NY Jets",+NFL!#REF!,0))</f>
        <v>0</v>
      </c>
      <c r="AS470" s="64">
        <f>IF(+NFL!$F247="NY Jets",+NFL!#REF!,IF(+NFL!$H247="NY Jets",+NFL!#REF!,0))</f>
        <v>0</v>
      </c>
      <c r="AT470" s="64">
        <f>IF(+NFL!$F247="NY Jets",+NFL!#REF!,IF(+NFL!$H247="NY Jets",+NFL!#REF!,0))</f>
        <v>0</v>
      </c>
      <c r="AU470" s="57">
        <f>IF(+NFL!$F247="NY Jets",+NFL!#REF!,IF(+NFL!$H247="NY Jets",+NFL!#REF!,0))</f>
        <v>0</v>
      </c>
      <c r="AV470" s="64">
        <f>IF(+NFL!$F247="NY Jets",+NFL!#REF!,IF(+NFL!$H247="NY Jets",+NFL!#REF!,0))</f>
        <v>0</v>
      </c>
      <c r="AW470" s="46">
        <f>IF(+NFL!$F247="NY Jets",+NFL!#REF!,IF(+NFL!$H247="NY Jets",+NFL!#REF!,0))</f>
        <v>0</v>
      </c>
      <c r="AX470" s="64">
        <f>IF(+NFL!$F247="NY Jets",+NFL!#REF!,IF(+NFL!$H247="NY Jets",+NFL!#REF!,0))</f>
        <v>0</v>
      </c>
      <c r="AY470" s="57">
        <f>IF(+NFL!$F247="NY Jets",+NFL!#REF!,IF(+NFL!$H247="NY Jets",+NFL!#REF!,0))</f>
        <v>0</v>
      </c>
      <c r="AZ470" s="64">
        <f>IF(+NFL!$F247="NY Jets",+NFL!#REF!,IF(+NFL!$H247="NY Jets",+NFL!#REF!,0))</f>
        <v>0</v>
      </c>
      <c r="BA470" s="46">
        <f>IF(+NFL!$F247="NY Jets",+NFL!#REF!,IF(+NFL!$H247="NY Jets",+NFL!#REF!,0))</f>
        <v>0</v>
      </c>
      <c r="BB470" s="46">
        <f>IF(+NFL!$F247="NY Jets",+NFL!#REF!,IF(+NFL!$H247="NY Jets",+NFL!#REF!,0))</f>
        <v>0</v>
      </c>
      <c r="BC470" s="403">
        <f>IF(+NFL!$F247="NY Jets",+NFL!#REF!,IF(+NFL!$H247="NY Jets",+NFL!#REF!,0))</f>
        <v>0</v>
      </c>
      <c r="BD470" s="57">
        <f>IF(+NFL!$F247="NY Jets",+NFL!#REF!,IF(+NFL!$H247="NY Jets",+NFL!#REF!,0))</f>
        <v>0</v>
      </c>
      <c r="BE470" s="64">
        <f>IF(+NFL!$F247="NY Jets",+NFL!#REF!,IF(+NFL!$H247="NY Jets",+NFL!#REF!,0))</f>
        <v>0</v>
      </c>
      <c r="BF470" s="46">
        <f>IF(+NFL!$F247="NY Jets",+NFL!#REF!,IF(+NFL!$H247="NY Jets",+NFL!#REF!,0))</f>
        <v>0</v>
      </c>
      <c r="BG470" s="57">
        <f>IF(+NFL!$F247="NY Jets",+NFL!#REF!,IF(+NFL!$H247="NY Jets",+NFL!#REF!,0))</f>
        <v>0</v>
      </c>
      <c r="BH470" s="64">
        <f>IF(+NFL!$F247="NY Jets",+NFL!#REF!,IF(+NFL!$H247="NY Jets",+NFL!#REF!,0))</f>
        <v>0</v>
      </c>
      <c r="BI470" s="46">
        <f>IF(+NFL!$F247="NY Jets",+NFL!#REF!,IF(+NFL!$H247="NY Jets",+NFL!#REF!,0))</f>
        <v>0</v>
      </c>
      <c r="BJ470" s="87">
        <f>IF(+NFL!$F247="NY Jets",+NFL!#REF!,IF(+NFL!$H247="NY Jets",+NFL!#REF!,0))</f>
        <v>0</v>
      </c>
      <c r="BK470" s="120">
        <f>IF(+NFL!$F247="NY Jets",+NFL!#REF!,IF(+NFL!$H247="NY Jets",+NFL!#REF!,0))</f>
        <v>0</v>
      </c>
    </row>
    <row r="471" spans="1:63" s="246" customFormat="1" x14ac:dyDescent="0.8">
      <c r="A471" s="46">
        <f>IF(+NFL!$F273="NY Jets",+NFL!A273,IF(+NFL!$H273="NY Jets",+NFL!A273,0))</f>
        <v>15</v>
      </c>
      <c r="B471" s="348" t="str">
        <f>IF(+NFL!$F273="NY Jets",+NFL!B273,IF(+NFL!$H273="NY Jets",+NFL!B273,0))</f>
        <v>Sun</v>
      </c>
      <c r="C471" s="48">
        <f>IF(+NFL!$F273="NY Jets",+NFL!C273,IF(+NFL!$H273="NY Jets",+NFL!C273,0))</f>
        <v>44913</v>
      </c>
      <c r="D471" s="490">
        <f>IF(+NFL!$F273="NY Jets",+NFL!D273,IF(+NFL!$H273="NY Jets",+NFL!D273,0))</f>
        <v>0.54166666666666663</v>
      </c>
      <c r="E471" s="46" t="str">
        <f>IF(+NFL!$F273="NY Jets",+NFL!E273,IF(+NFL!$H273="NY Jets",+NFL!E273,0))</f>
        <v>Fox</v>
      </c>
      <c r="F471" s="127" t="str">
        <f>IF(+NFL!$F273="NY Jets",+NFL!F273,IF(+NFL!$H273="NY Jets",+NFL!F273,0))</f>
        <v>Detroit</v>
      </c>
      <c r="G471" s="46" t="str">
        <f>IF(+NFL!$F273="NY Jets",+NFL!G273,IF(+NFL!$H273="NY Jets",+NFL!G273,0))</f>
        <v>NFCN</v>
      </c>
      <c r="H471" s="127" t="str">
        <f>IF(+NFL!$F273="NY Jets",+NFL!H273,IF(+NFL!$H273="NY Jets",+NFL!H273,0))</f>
        <v>NY Jets</v>
      </c>
      <c r="I471" s="46" t="str">
        <f>IF(+NFL!$F273="NY Jets",+NFL!I273,IF(+NFL!$H273="NY Jets",+NFL!I273,0))</f>
        <v>AFCE</v>
      </c>
      <c r="J471" s="353" t="str">
        <f>IF(+NFL!$F273="NY Jets",+NFL!J273,IF(+NFL!$H273="NY Jets",+NFL!J273,0))</f>
        <v>NY Jets</v>
      </c>
      <c r="K471" s="494" t="str">
        <f>IF(+NFL!$F273="NY Jets",+NFL!K273,IF(+NFL!$H273="NY Jets",+NFL!K273,0))</f>
        <v>Detroit</v>
      </c>
      <c r="L471" s="384">
        <f>IF(+NFL!$F273="NY Jets",+NFL!L273,IF(+NFL!$H273="NY Jets",+NFL!L273,0))</f>
        <v>1.5</v>
      </c>
      <c r="M471" s="385">
        <f>IF(+NFL!$F273="NY Jets",+NFL!M273,IF(+NFL!$H273="NY Jets",+NFL!M273,0))</f>
        <v>43.5</v>
      </c>
      <c r="N471" s="394" t="str">
        <f>IF(+NFL!$F273="NY Jets",+NFL!N273,IF(+NFL!$H273="NY Jets",+NFL!N273,0))</f>
        <v>Detroit</v>
      </c>
      <c r="O471" s="395">
        <f>IF(+NFL!$F273="NY Jets",+NFL!O273,IF(+NFL!$H273="NY Jets",+NFL!O273,0))</f>
        <v>20</v>
      </c>
      <c r="P471" s="394" t="str">
        <f>IF(+NFL!$F273="NY Jets",+NFL!P273,IF(+NFL!$H273="NY Jets",+NFL!P273,0))</f>
        <v>NY Jets</v>
      </c>
      <c r="Q471" s="396">
        <f>IF(+NFL!$F273="NY Jets",+NFL!Q273,IF(+NFL!$H273="NY Jets",+NFL!Q273,0))</f>
        <v>17</v>
      </c>
      <c r="R471" s="397" t="str">
        <f>IF(+NFL!$F273="NY Jets",+NFL!R273,IF(+NFL!$H273="NY Jets",+NFL!R273,0))</f>
        <v>Detroit</v>
      </c>
      <c r="S471" s="396" t="str">
        <f>IF(+NFL!$F273="NY Jets",+NFL!S273,IF(+NFL!$H273="NY Jets",+NFL!S273,0))</f>
        <v>NY Jets</v>
      </c>
      <c r="T471" s="398">
        <f>IF(+NFL!$F273="NY Jets",+NFL!T273,IF(+NFL!$H273="NY Jets",+NFL!T273,0))</f>
        <v>0</v>
      </c>
      <c r="U471" s="396" t="str">
        <f>IF(+NFL!$F273="NY Jets",+NFL!U273,IF(+NFL!$H273="NY Jets",+NFL!U273,0))</f>
        <v>L</v>
      </c>
      <c r="V471" s="397">
        <f>IF(+NFL!$F268="NY Jets",+NFL!#REF!,IF(+NFL!$H268="NY Jets",+NFL!#REF!,0))</f>
        <v>0</v>
      </c>
      <c r="W471" s="396">
        <f>IF(+NFL!$F268="NY Jets",+NFL!#REF!,IF(+NFL!$H268="NY Jets",+NFL!#REF!,0))</f>
        <v>0</v>
      </c>
      <c r="X471" s="398">
        <f>IF(+NFL!$F268="NY Jets",+NFL!#REF!,IF(+NFL!$H268="NY Jets",+NFL!#REF!,0))</f>
        <v>0</v>
      </c>
      <c r="Y471" s="396">
        <f>IF(+NFL!$F268="NY Jets",+NFL!#REF!,IF(+NFL!$H268="NY Jets",+NFL!#REF!,0))</f>
        <v>0</v>
      </c>
      <c r="Z471" s="397">
        <f>IF(+NFL!$F268="NY Jets",+NFL!#REF!,IF(+NFL!$H268="NY Jets",+NFL!#REF!,0))</f>
        <v>0</v>
      </c>
      <c r="AA471" s="396">
        <f>IF(+NFL!$F268="NY Jets",+NFL!#REF!,IF(+NFL!$H268="NY Jets",+NFL!#REF!,0))</f>
        <v>0</v>
      </c>
      <c r="AB471" s="87">
        <f>IF(+NFL!$F268="NY Jets",+NFL!#REF!,IF(+NFL!$H268="NY Jets",+NFL!#REF!,0))</f>
        <v>0</v>
      </c>
      <c r="AC471" s="120">
        <f>IF(+NFL!$F268="NY Jets",+NFL!#REF!,IF(+NFL!$H268="NY Jets",+NFL!#REF!,0))</f>
        <v>0</v>
      </c>
      <c r="AD471" s="353">
        <f>IF(+NFL!$F268="NY Jets",+NFL!#REF!,IF(+NFL!$H268="NY Jets",+NFL!#REF!,0))</f>
        <v>0</v>
      </c>
      <c r="AE471" s="379">
        <f>IF(+NFL!$F268="NY Jets",+NFL!#REF!,IF(+NFL!$H268="NY Jets",+NFL!#REF!,0))</f>
        <v>0</v>
      </c>
      <c r="AF471" s="353">
        <f>IF(+NFL!$F268="NY Jets",+NFL!#REF!,IF(+NFL!$H268="NY Jets",+NFL!#REF!,0))</f>
        <v>0</v>
      </c>
      <c r="AG471" s="379">
        <f>IF(+NFL!$F268="NY Jets",+NFL!#REF!,IF(+NFL!$H268="NY Jets",+NFL!#REF!,0))</f>
        <v>0</v>
      </c>
      <c r="AH471" s="353">
        <f>IF(+NFL!$F268="NY Jets",+NFL!#REF!,IF(+NFL!$H268="NY Jets",+NFL!#REF!,0))</f>
        <v>0</v>
      </c>
      <c r="AI471" s="379">
        <f>IF(+NFL!$F268="NY Jets",+NFL!#REF!,IF(+NFL!$H268="NY Jets",+NFL!#REF!,0))</f>
        <v>0</v>
      </c>
      <c r="AJ471" s="353">
        <f>IF(+NFL!$F268="NY Jets",+NFL!#REF!,IF(+NFL!$H268="NY Jets",+NFL!#REF!,0))</f>
        <v>0</v>
      </c>
      <c r="AK471" s="379">
        <f>IF(+NFL!$F268="NY Jets",+NFL!#REF!,IF(+NFL!$H268="NY Jets",+NFL!#REF!,0))</f>
        <v>0</v>
      </c>
      <c r="AL471" s="68">
        <f>IF(+NFL!$F268="NY Jets",+NFL!#REF!,IF(+NFL!$H268="NY Jets",+NFL!#REF!,0))</f>
        <v>0</v>
      </c>
      <c r="AM471" s="58">
        <f>IF(+NFL!$F268="NY Jets",+NFL!#REF!,IF(+NFL!$H268="NY Jets",+NFL!#REF!,0))</f>
        <v>0</v>
      </c>
      <c r="AN471" s="57">
        <f>IF(+NFL!$F268="NY Jets",+NFL!#REF!,IF(+NFL!$H268="NY Jets",+NFL!#REF!,0))</f>
        <v>0</v>
      </c>
      <c r="AO471" s="59">
        <f>IF(+NFL!$F268="NY Jets",+NFL!#REF!,IF(+NFL!$H268="NY Jets",+NFL!#REF!,0))</f>
        <v>0</v>
      </c>
      <c r="AP471" s="348">
        <f>IF(+NFL!$F268="NY Jets",+NFL!#REF!,IF(+NFL!$H268="NY Jets",+NFL!#REF!,0))</f>
        <v>0</v>
      </c>
      <c r="AQ471" s="48">
        <f>IF(+NFL!$F268="NY Jets",+NFL!#REF!,IF(+NFL!$H268="NY Jets",+NFL!#REF!,0))</f>
        <v>0</v>
      </c>
      <c r="AR471" s="57">
        <f>IF(+NFL!$F268="NY Jets",+NFL!#REF!,IF(+NFL!$H268="NY Jets",+NFL!#REF!,0))</f>
        <v>0</v>
      </c>
      <c r="AS471" s="64">
        <f>IF(+NFL!$F268="NY Jets",+NFL!#REF!,IF(+NFL!$H268="NY Jets",+NFL!#REF!,0))</f>
        <v>0</v>
      </c>
      <c r="AT471" s="64">
        <f>IF(+NFL!$F268="NY Jets",+NFL!#REF!,IF(+NFL!$H268="NY Jets",+NFL!#REF!,0))</f>
        <v>0</v>
      </c>
      <c r="AU471" s="57">
        <f>IF(+NFL!$F268="NY Jets",+NFL!#REF!,IF(+NFL!$H268="NY Jets",+NFL!#REF!,0))</f>
        <v>0</v>
      </c>
      <c r="AV471" s="64">
        <f>IF(+NFL!$F268="NY Jets",+NFL!#REF!,IF(+NFL!$H268="NY Jets",+NFL!#REF!,0))</f>
        <v>0</v>
      </c>
      <c r="AW471" s="46">
        <f>IF(+NFL!$F268="NY Jets",+NFL!#REF!,IF(+NFL!$H268="NY Jets",+NFL!#REF!,0))</f>
        <v>0</v>
      </c>
      <c r="AX471" s="64">
        <f>IF(+NFL!$F268="NY Jets",+NFL!#REF!,IF(+NFL!$H268="NY Jets",+NFL!#REF!,0))</f>
        <v>0</v>
      </c>
      <c r="AY471" s="57">
        <f>IF(+NFL!$F268="NY Jets",+NFL!#REF!,IF(+NFL!$H268="NY Jets",+NFL!#REF!,0))</f>
        <v>0</v>
      </c>
      <c r="AZ471" s="64">
        <f>IF(+NFL!$F268="NY Jets",+NFL!#REF!,IF(+NFL!$H268="NY Jets",+NFL!#REF!,0))</f>
        <v>0</v>
      </c>
      <c r="BA471" s="46">
        <f>IF(+NFL!$F268="NY Jets",+NFL!#REF!,IF(+NFL!$H268="NY Jets",+NFL!#REF!,0))</f>
        <v>0</v>
      </c>
      <c r="BB471" s="46">
        <f>IF(+NFL!$F268="NY Jets",+NFL!#REF!,IF(+NFL!$H268="NY Jets",+NFL!#REF!,0))</f>
        <v>0</v>
      </c>
      <c r="BC471" s="403">
        <f>IF(+NFL!$F268="NY Jets",+NFL!#REF!,IF(+NFL!$H268="NY Jets",+NFL!#REF!,0))</f>
        <v>0</v>
      </c>
      <c r="BD471" s="57">
        <f>IF(+NFL!$F268="NY Jets",+NFL!#REF!,IF(+NFL!$H268="NY Jets",+NFL!#REF!,0))</f>
        <v>0</v>
      </c>
      <c r="BE471" s="64">
        <f>IF(+NFL!$F268="NY Jets",+NFL!#REF!,IF(+NFL!$H268="NY Jets",+NFL!#REF!,0))</f>
        <v>0</v>
      </c>
      <c r="BF471" s="46">
        <f>IF(+NFL!$F268="NY Jets",+NFL!#REF!,IF(+NFL!$H268="NY Jets",+NFL!#REF!,0))</f>
        <v>0</v>
      </c>
      <c r="BG471" s="57">
        <f>IF(+NFL!$F268="NY Jets",+NFL!#REF!,IF(+NFL!$H268="NY Jets",+NFL!#REF!,0))</f>
        <v>0</v>
      </c>
      <c r="BH471" s="64">
        <f>IF(+NFL!$F268="NY Jets",+NFL!#REF!,IF(+NFL!$H268="NY Jets",+NFL!#REF!,0))</f>
        <v>0</v>
      </c>
      <c r="BI471" s="46">
        <f>IF(+NFL!$F268="NY Jets",+NFL!#REF!,IF(+NFL!$H268="NY Jets",+NFL!#REF!,0))</f>
        <v>0</v>
      </c>
      <c r="BJ471" s="87">
        <f>IF(+NFL!$F268="NY Jets",+NFL!#REF!,IF(+NFL!$H268="NY Jets",+NFL!#REF!,0))</f>
        <v>0</v>
      </c>
      <c r="BK471" s="120">
        <f>IF(+NFL!$F268="NY Jets",+NFL!#REF!,IF(+NFL!$H268="NY Jets",+NFL!#REF!,0))</f>
        <v>0</v>
      </c>
    </row>
    <row r="472" spans="1:63" s="246" customFormat="1" x14ac:dyDescent="0.8">
      <c r="A472" s="46">
        <f>IF(+NFL!$F283="NY Jets",+NFL!A283,IF(+NFL!$H283="NY Jets",+NFL!A283,0))</f>
        <v>16</v>
      </c>
      <c r="B472" s="348" t="str">
        <f>IF(+NFL!$F283="NY Jets",+NFL!B283,IF(+NFL!$H283="NY Jets",+NFL!B283,0))</f>
        <v>Thurs</v>
      </c>
      <c r="C472" s="48">
        <f>IF(+NFL!$F283="NY Jets",+NFL!C283,IF(+NFL!$H283="NY Jets",+NFL!C283,0))</f>
        <v>44917</v>
      </c>
      <c r="D472" s="490">
        <f>IF(+NFL!$F283="NY Jets",+NFL!D283,IF(+NFL!$H283="NY Jets",+NFL!D283,0))</f>
        <v>0.84375</v>
      </c>
      <c r="E472" s="46" t="str">
        <f>IF(+NFL!$F283="NY Jets",+NFL!E283,IF(+NFL!$H283="NY Jets",+NFL!E283,0))</f>
        <v>NBC</v>
      </c>
      <c r="F472" s="127" t="str">
        <f>IF(+NFL!$F283="NY Jets",+NFL!F283,IF(+NFL!$H283="NY Jets",+NFL!F283,0))</f>
        <v>Jacksonville</v>
      </c>
      <c r="G472" s="46" t="str">
        <f>IF(+NFL!$F283="NY Jets",+NFL!G283,IF(+NFL!$H283="NY Jets",+NFL!G283,0))</f>
        <v>AFCS</v>
      </c>
      <c r="H472" s="127" t="str">
        <f>IF(+NFL!$F283="NY Jets",+NFL!H283,IF(+NFL!$H283="NY Jets",+NFL!H283,0))</f>
        <v>NY Jets</v>
      </c>
      <c r="I472" s="46" t="str">
        <f>IF(+NFL!$F283="NY Jets",+NFL!I283,IF(+NFL!$H283="NY Jets",+NFL!I283,0))</f>
        <v>AFCE</v>
      </c>
      <c r="J472" s="353" t="str">
        <f>IF(+NFL!$F283="NY Jets",+NFL!J283,IF(+NFL!$H283="NY Jets",+NFL!J283,0))</f>
        <v>NY Jets</v>
      </c>
      <c r="K472" s="494" t="str">
        <f>IF(+NFL!$F283="NY Jets",+NFL!K283,IF(+NFL!$H283="NY Jets",+NFL!K283,0))</f>
        <v>Jacksonville</v>
      </c>
      <c r="L472" s="384">
        <f>IF(+NFL!$F283="NY Jets",+NFL!L283,IF(+NFL!$H283="NY Jets",+NFL!L283,0))</f>
        <v>2.5</v>
      </c>
      <c r="M472" s="385">
        <f>IF(+NFL!$F283="NY Jets",+NFL!M283,IF(+NFL!$H283="NY Jets",+NFL!M283,0))</f>
        <v>36.5</v>
      </c>
      <c r="N472" s="394" t="str">
        <f>IF(+NFL!$F283="NY Jets",+NFL!N283,IF(+NFL!$H283="NY Jets",+NFL!N283,0))</f>
        <v>Jacksonville</v>
      </c>
      <c r="O472" s="395">
        <f>IF(+NFL!$F283="NY Jets",+NFL!O283,IF(+NFL!$H283="NY Jets",+NFL!O283,0))</f>
        <v>19</v>
      </c>
      <c r="P472" s="394" t="str">
        <f>IF(+NFL!$F283="NY Jets",+NFL!P283,IF(+NFL!$H283="NY Jets",+NFL!P283,0))</f>
        <v>NY Jets</v>
      </c>
      <c r="Q472" s="396">
        <f>IF(+NFL!$F283="NY Jets",+NFL!Q283,IF(+NFL!$H283="NY Jets",+NFL!Q283,0))</f>
        <v>3</v>
      </c>
      <c r="R472" s="397" t="str">
        <f>IF(+NFL!$F283="NY Jets",+NFL!R283,IF(+NFL!$H283="NY Jets",+NFL!R283,0))</f>
        <v>Jacksonville</v>
      </c>
      <c r="S472" s="396" t="str">
        <f>IF(+NFL!$F283="NY Jets",+NFL!S283,IF(+NFL!$H283="NY Jets",+NFL!S283,0))</f>
        <v>NY Jets</v>
      </c>
      <c r="T472" s="398">
        <f>IF(+NFL!$F283="NY Jets",+NFL!T283,IF(+NFL!$H283="NY Jets",+NFL!T283,0))</f>
        <v>0</v>
      </c>
      <c r="U472" s="396" t="str">
        <f>IF(+NFL!$F283="NY Jets",+NFL!U283,IF(+NFL!$H283="NY Jets",+NFL!U283,0))</f>
        <v>L</v>
      </c>
      <c r="V472" s="397">
        <f>IF(+NFL!$F289="NY Jets",+NFL!#REF!,IF(+NFL!$H289="NY Jets",+NFL!#REF!,0))</f>
        <v>0</v>
      </c>
      <c r="W472" s="396">
        <f>IF(+NFL!$F289="NY Jets",+NFL!#REF!,IF(+NFL!$H289="NY Jets",+NFL!#REF!,0))</f>
        <v>0</v>
      </c>
      <c r="X472" s="398">
        <f>IF(+NFL!$F289="NY Jets",+NFL!#REF!,IF(+NFL!$H289="NY Jets",+NFL!#REF!,0))</f>
        <v>0</v>
      </c>
      <c r="Y472" s="396">
        <f>IF(+NFL!$F289="NY Jets",+NFL!#REF!,IF(+NFL!$H289="NY Jets",+NFL!#REF!,0))</f>
        <v>0</v>
      </c>
      <c r="Z472" s="397">
        <f>IF(+NFL!$F289="NY Jets",+NFL!#REF!,IF(+NFL!$H289="NY Jets",+NFL!#REF!,0))</f>
        <v>0</v>
      </c>
      <c r="AA472" s="396">
        <f>IF(+NFL!$F289="NY Jets",+NFL!#REF!,IF(+NFL!$H289="NY Jets",+NFL!#REF!,0))</f>
        <v>0</v>
      </c>
      <c r="AB472" s="87">
        <f>IF(+NFL!$F289="NY Jets",+NFL!#REF!,IF(+NFL!$H289="NY Jets",+NFL!#REF!,0))</f>
        <v>0</v>
      </c>
      <c r="AC472" s="120">
        <f>IF(+NFL!$F289="NY Jets",+NFL!#REF!,IF(+NFL!$H289="NY Jets",+NFL!#REF!,0))</f>
        <v>0</v>
      </c>
      <c r="AD472" s="353">
        <f>IF(+NFL!$F289="NY Jets",+NFL!#REF!,IF(+NFL!$H289="NY Jets",+NFL!#REF!,0))</f>
        <v>0</v>
      </c>
      <c r="AE472" s="379">
        <f>IF(+NFL!$F289="NY Jets",+NFL!#REF!,IF(+NFL!$H289="NY Jets",+NFL!#REF!,0))</f>
        <v>0</v>
      </c>
      <c r="AF472" s="353">
        <f>IF(+NFL!$F289="NY Jets",+NFL!#REF!,IF(+NFL!$H289="NY Jets",+NFL!#REF!,0))</f>
        <v>0</v>
      </c>
      <c r="AG472" s="379">
        <f>IF(+NFL!$F289="NY Jets",+NFL!#REF!,IF(+NFL!$H289="NY Jets",+NFL!#REF!,0))</f>
        <v>0</v>
      </c>
      <c r="AH472" s="353">
        <f>IF(+NFL!$F289="NY Jets",+NFL!#REF!,IF(+NFL!$H289="NY Jets",+NFL!#REF!,0))</f>
        <v>0</v>
      </c>
      <c r="AI472" s="379">
        <f>IF(+NFL!$F289="NY Jets",+NFL!#REF!,IF(+NFL!$H289="NY Jets",+NFL!#REF!,0))</f>
        <v>0</v>
      </c>
      <c r="AJ472" s="353">
        <f>IF(+NFL!$F289="NY Jets",+NFL!#REF!,IF(+NFL!$H289="NY Jets",+NFL!#REF!,0))</f>
        <v>0</v>
      </c>
      <c r="AK472" s="379">
        <f>IF(+NFL!$F289="NY Jets",+NFL!#REF!,IF(+NFL!$H289="NY Jets",+NFL!#REF!,0))</f>
        <v>0</v>
      </c>
      <c r="AL472" s="68">
        <f>IF(+NFL!$F289="NY Jets",+NFL!#REF!,IF(+NFL!$H289="NY Jets",+NFL!#REF!,0))</f>
        <v>0</v>
      </c>
      <c r="AM472" s="58">
        <f>IF(+NFL!$F289="NY Jets",+NFL!#REF!,IF(+NFL!$H289="NY Jets",+NFL!#REF!,0))</f>
        <v>0</v>
      </c>
      <c r="AN472" s="57">
        <f>IF(+NFL!$F289="NY Jets",+NFL!#REF!,IF(+NFL!$H289="NY Jets",+NFL!#REF!,0))</f>
        <v>0</v>
      </c>
      <c r="AO472" s="59">
        <f>IF(+NFL!$F289="NY Jets",+NFL!#REF!,IF(+NFL!$H289="NY Jets",+NFL!#REF!,0))</f>
        <v>0</v>
      </c>
      <c r="AP472" s="348">
        <f>IF(+NFL!$F289="NY Jets",+NFL!#REF!,IF(+NFL!$H289="NY Jets",+NFL!#REF!,0))</f>
        <v>0</v>
      </c>
      <c r="AQ472" s="48">
        <f>IF(+NFL!$F289="NY Jets",+NFL!#REF!,IF(+NFL!$H289="NY Jets",+NFL!#REF!,0))</f>
        <v>0</v>
      </c>
      <c r="AR472" s="57">
        <f>IF(+NFL!$F289="NY Jets",+NFL!#REF!,IF(+NFL!$H289="NY Jets",+NFL!#REF!,0))</f>
        <v>0</v>
      </c>
      <c r="AS472" s="64">
        <f>IF(+NFL!$F289="NY Jets",+NFL!#REF!,IF(+NFL!$H289="NY Jets",+NFL!#REF!,0))</f>
        <v>0</v>
      </c>
      <c r="AT472" s="64">
        <f>IF(+NFL!$F289="NY Jets",+NFL!#REF!,IF(+NFL!$H289="NY Jets",+NFL!#REF!,0))</f>
        <v>0</v>
      </c>
      <c r="AU472" s="57">
        <f>IF(+NFL!$F289="NY Jets",+NFL!#REF!,IF(+NFL!$H289="NY Jets",+NFL!#REF!,0))</f>
        <v>0</v>
      </c>
      <c r="AV472" s="64">
        <f>IF(+NFL!$F289="NY Jets",+NFL!#REF!,IF(+NFL!$H289="NY Jets",+NFL!#REF!,0))</f>
        <v>0</v>
      </c>
      <c r="AW472" s="46">
        <f>IF(+NFL!$F289="NY Jets",+NFL!#REF!,IF(+NFL!$H289="NY Jets",+NFL!#REF!,0))</f>
        <v>0</v>
      </c>
      <c r="AX472" s="64">
        <f>IF(+NFL!$F289="NY Jets",+NFL!#REF!,IF(+NFL!$H289="NY Jets",+NFL!#REF!,0))</f>
        <v>0</v>
      </c>
      <c r="AY472" s="57">
        <f>IF(+NFL!$F289="NY Jets",+NFL!#REF!,IF(+NFL!$H289="NY Jets",+NFL!#REF!,0))</f>
        <v>0</v>
      </c>
      <c r="AZ472" s="64">
        <f>IF(+NFL!$F289="NY Jets",+NFL!#REF!,IF(+NFL!$H289="NY Jets",+NFL!#REF!,0))</f>
        <v>0</v>
      </c>
      <c r="BA472" s="46">
        <f>IF(+NFL!$F289="NY Jets",+NFL!#REF!,IF(+NFL!$H289="NY Jets",+NFL!#REF!,0))</f>
        <v>0</v>
      </c>
      <c r="BB472" s="46">
        <f>IF(+NFL!$F289="NY Jets",+NFL!#REF!,IF(+NFL!$H289="NY Jets",+NFL!#REF!,0))</f>
        <v>0</v>
      </c>
      <c r="BC472" s="403">
        <f>IF(+NFL!$F289="NY Jets",+NFL!#REF!,IF(+NFL!$H289="NY Jets",+NFL!#REF!,0))</f>
        <v>0</v>
      </c>
      <c r="BD472" s="57">
        <f>IF(+NFL!$F289="NY Jets",+NFL!#REF!,IF(+NFL!$H289="NY Jets",+NFL!#REF!,0))</f>
        <v>0</v>
      </c>
      <c r="BE472" s="64">
        <f>IF(+NFL!$F289="NY Jets",+NFL!#REF!,IF(+NFL!$H289="NY Jets",+NFL!#REF!,0))</f>
        <v>0</v>
      </c>
      <c r="BF472" s="46">
        <f>IF(+NFL!$F289="NY Jets",+NFL!#REF!,IF(+NFL!$H289="NY Jets",+NFL!#REF!,0))</f>
        <v>0</v>
      </c>
      <c r="BG472" s="57">
        <f>IF(+NFL!$F289="NY Jets",+NFL!#REF!,IF(+NFL!$H289="NY Jets",+NFL!#REF!,0))</f>
        <v>0</v>
      </c>
      <c r="BH472" s="64">
        <f>IF(+NFL!$F289="NY Jets",+NFL!#REF!,IF(+NFL!$H289="NY Jets",+NFL!#REF!,0))</f>
        <v>0</v>
      </c>
      <c r="BI472" s="46">
        <f>IF(+NFL!$F289="NY Jets",+NFL!#REF!,IF(+NFL!$H289="NY Jets",+NFL!#REF!,0))</f>
        <v>0</v>
      </c>
      <c r="BJ472" s="87">
        <f>IF(+NFL!$F289="NY Jets",+NFL!#REF!,IF(+NFL!$H289="NY Jets",+NFL!#REF!,0))</f>
        <v>0</v>
      </c>
      <c r="BK472" s="120">
        <f>IF(+NFL!$F289="NY Jets",+NFL!#REF!,IF(+NFL!$H289="NY Jets",+NFL!#REF!,0))</f>
        <v>0</v>
      </c>
    </row>
    <row r="473" spans="1:63" s="246" customFormat="1" x14ac:dyDescent="0.8">
      <c r="A473" s="46">
        <f>IF(+NFL!$F312="NY Jets",+NFL!A312,IF(+NFL!$H312="NY Jets",+NFL!A312,0))</f>
        <v>17</v>
      </c>
      <c r="B473" s="348" t="str">
        <f>IF(+NFL!$F312="NY Jets",+NFL!B312,IF(+NFL!$H312="NY Jets",+NFL!B312,0))</f>
        <v>Sun</v>
      </c>
      <c r="C473" s="48">
        <f>IF(+NFL!$F312="NY Jets",+NFL!C312,IF(+NFL!$H312="NY Jets",+NFL!C312,0))</f>
        <v>44927</v>
      </c>
      <c r="D473" s="490">
        <f>IF(+NFL!$F312="NY Jets",+NFL!D312,IF(+NFL!$H312="NY Jets",+NFL!D312,0))</f>
        <v>0.66666666666666663</v>
      </c>
      <c r="E473" s="46" t="str">
        <f>IF(+NFL!$F312="NY Jets",+NFL!E312,IF(+NFL!$H312="NY Jets",+NFL!E312,0))</f>
        <v>CBS</v>
      </c>
      <c r="F473" s="127" t="str">
        <f>IF(+NFL!$F312="NY Jets",+NFL!F312,IF(+NFL!$H312="NY Jets",+NFL!F312,0))</f>
        <v>NY Jets</v>
      </c>
      <c r="G473" s="46" t="str">
        <f>IF(+NFL!$F312="NY Jets",+NFL!G312,IF(+NFL!$H312="NY Jets",+NFL!G312,0))</f>
        <v>AFCE</v>
      </c>
      <c r="H473" s="127" t="str">
        <f>IF(+NFL!$F312="NY Jets",+NFL!H312,IF(+NFL!$H312="NY Jets",+NFL!H312,0))</f>
        <v>Seattle</v>
      </c>
      <c r="I473" s="46" t="str">
        <f>IF(+NFL!$F312="NY Jets",+NFL!I312,IF(+NFL!$H312="NY Jets",+NFL!I312,0))</f>
        <v>NFCW</v>
      </c>
      <c r="J473" s="353" t="str">
        <f>IF(+NFL!$F312="NY Jets",+NFL!J312,IF(+NFL!$H312="NY Jets",+NFL!J312,0))</f>
        <v>NY Jets</v>
      </c>
      <c r="K473" s="494" t="str">
        <f>IF(+NFL!$F312="NY Jets",+NFL!K312,IF(+NFL!$H312="NY Jets",+NFL!K312,0))</f>
        <v>Seattle</v>
      </c>
      <c r="L473" s="384">
        <f>IF(+NFL!$F312="NY Jets",+NFL!L312,IF(+NFL!$H312="NY Jets",+NFL!L312,0))</f>
        <v>2.5</v>
      </c>
      <c r="M473" s="385">
        <f>IF(+NFL!$F312="NY Jets",+NFL!M312,IF(+NFL!$H312="NY Jets",+NFL!M312,0))</f>
        <v>43.5</v>
      </c>
      <c r="N473" s="394" t="str">
        <f>IF(+NFL!$F312="NY Jets",+NFL!N312,IF(+NFL!$H312="NY Jets",+NFL!N312,0))</f>
        <v>Seattle</v>
      </c>
      <c r="O473" s="395">
        <f>IF(+NFL!$F312="NY Jets",+NFL!O312,IF(+NFL!$H312="NY Jets",+NFL!O312,0))</f>
        <v>23</v>
      </c>
      <c r="P473" s="394" t="str">
        <f>IF(+NFL!$F312="NY Jets",+NFL!P312,IF(+NFL!$H312="NY Jets",+NFL!P312,0))</f>
        <v>NY Jets</v>
      </c>
      <c r="Q473" s="396">
        <f>IF(+NFL!$F312="NY Jets",+NFL!Q312,IF(+NFL!$H312="NY Jets",+NFL!Q312,0))</f>
        <v>6</v>
      </c>
      <c r="R473" s="397" t="str">
        <f>IF(+NFL!$F312="NY Jets",+NFL!R312,IF(+NFL!$H312="NY Jets",+NFL!R312,0))</f>
        <v>Seattle</v>
      </c>
      <c r="S473" s="396" t="str">
        <f>IF(+NFL!$F312="NY Jets",+NFL!S312,IF(+NFL!$H312="NY Jets",+NFL!S312,0))</f>
        <v>NY Jets</v>
      </c>
      <c r="T473" s="398">
        <f>IF(+NFL!$F312="NY Jets",+NFL!T312,IF(+NFL!$H312="NY Jets",+NFL!T312,0))</f>
        <v>0</v>
      </c>
      <c r="U473" s="396" t="str">
        <f>IF(+NFL!$F312="NY Jets",+NFL!U312,IF(+NFL!$H312="NY Jets",+NFL!U312,0))</f>
        <v>L</v>
      </c>
      <c r="V473" s="397">
        <f>IF(+NFL!$F301="NY Jets",+NFL!#REF!,IF(+NFL!$H301="NY Jets",+NFL!#REF!,0))</f>
        <v>0</v>
      </c>
      <c r="W473" s="396">
        <f>IF(+NFL!$F301="NY Jets",+NFL!#REF!,IF(+NFL!$H301="NY Jets",+NFL!#REF!,0))</f>
        <v>0</v>
      </c>
      <c r="X473" s="398">
        <f>IF(+NFL!$F301="NY Jets",+NFL!#REF!,IF(+NFL!$H301="NY Jets",+NFL!#REF!,0))</f>
        <v>0</v>
      </c>
      <c r="Y473" s="396">
        <f>IF(+NFL!$F301="NY Jets",+NFL!#REF!,IF(+NFL!$H301="NY Jets",+NFL!#REF!,0))</f>
        <v>0</v>
      </c>
      <c r="Z473" s="397">
        <f>IF(+NFL!$F301="NY Jets",+NFL!#REF!,IF(+NFL!$H301="NY Jets",+NFL!#REF!,0))</f>
        <v>0</v>
      </c>
      <c r="AA473" s="396">
        <f>IF(+NFL!$F301="NY Jets",+NFL!#REF!,IF(+NFL!$H301="NY Jets",+NFL!#REF!,0))</f>
        <v>0</v>
      </c>
      <c r="AB473" s="87">
        <f>IF(+NFL!$F301="NY Jets",+NFL!#REF!,IF(+NFL!$H301="NY Jets",+NFL!#REF!,0))</f>
        <v>0</v>
      </c>
      <c r="AC473" s="120">
        <f>IF(+NFL!$F301="NY Jets",+NFL!#REF!,IF(+NFL!$H301="NY Jets",+NFL!#REF!,0))</f>
        <v>0</v>
      </c>
      <c r="AD473" s="353">
        <f>IF(+NFL!$F301="NY Jets",+NFL!#REF!,IF(+NFL!$H301="NY Jets",+NFL!#REF!,0))</f>
        <v>0</v>
      </c>
      <c r="AE473" s="379">
        <f>IF(+NFL!$F301="NY Jets",+NFL!#REF!,IF(+NFL!$H301="NY Jets",+NFL!#REF!,0))</f>
        <v>0</v>
      </c>
      <c r="AF473" s="353">
        <f>IF(+NFL!$F301="NY Jets",+NFL!#REF!,IF(+NFL!$H301="NY Jets",+NFL!#REF!,0))</f>
        <v>0</v>
      </c>
      <c r="AG473" s="379">
        <f>IF(+NFL!$F301="NY Jets",+NFL!#REF!,IF(+NFL!$H301="NY Jets",+NFL!#REF!,0))</f>
        <v>0</v>
      </c>
      <c r="AH473" s="353">
        <f>IF(+NFL!$F301="NY Jets",+NFL!#REF!,IF(+NFL!$H301="NY Jets",+NFL!#REF!,0))</f>
        <v>0</v>
      </c>
      <c r="AI473" s="379">
        <f>IF(+NFL!$F301="NY Jets",+NFL!#REF!,IF(+NFL!$H301="NY Jets",+NFL!#REF!,0))</f>
        <v>0</v>
      </c>
      <c r="AJ473" s="353">
        <f>IF(+NFL!$F301="NY Jets",+NFL!#REF!,IF(+NFL!$H301="NY Jets",+NFL!#REF!,0))</f>
        <v>0</v>
      </c>
      <c r="AK473" s="379">
        <f>IF(+NFL!$F301="NY Jets",+NFL!#REF!,IF(+NFL!$H301="NY Jets",+NFL!#REF!,0))</f>
        <v>0</v>
      </c>
      <c r="AL473" s="68">
        <f>IF(+NFL!$F301="NY Jets",+NFL!#REF!,IF(+NFL!$H301="NY Jets",+NFL!#REF!,0))</f>
        <v>0</v>
      </c>
      <c r="AM473" s="58">
        <f>IF(+NFL!$F301="NY Jets",+NFL!#REF!,IF(+NFL!$H301="NY Jets",+NFL!#REF!,0))</f>
        <v>0</v>
      </c>
      <c r="AN473" s="57">
        <f>IF(+NFL!$F301="NY Jets",+NFL!#REF!,IF(+NFL!$H301="NY Jets",+NFL!#REF!,0))</f>
        <v>0</v>
      </c>
      <c r="AO473" s="59">
        <f>IF(+NFL!$F301="NY Jets",+NFL!#REF!,IF(+NFL!$H301="NY Jets",+NFL!#REF!,0))</f>
        <v>0</v>
      </c>
      <c r="AP473" s="348">
        <f>IF(+NFL!$F301="NY Jets",+NFL!#REF!,IF(+NFL!$H301="NY Jets",+NFL!#REF!,0))</f>
        <v>0</v>
      </c>
      <c r="AQ473" s="48">
        <f>IF(+NFL!$F301="NY Jets",+NFL!#REF!,IF(+NFL!$H301="NY Jets",+NFL!#REF!,0))</f>
        <v>0</v>
      </c>
      <c r="AR473" s="57">
        <f>IF(+NFL!$F301="NY Jets",+NFL!#REF!,IF(+NFL!$H301="NY Jets",+NFL!#REF!,0))</f>
        <v>0</v>
      </c>
      <c r="AS473" s="64">
        <f>IF(+NFL!$F301="NY Jets",+NFL!#REF!,IF(+NFL!$H301="NY Jets",+NFL!#REF!,0))</f>
        <v>0</v>
      </c>
      <c r="AT473" s="64">
        <f>IF(+NFL!$F301="NY Jets",+NFL!#REF!,IF(+NFL!$H301="NY Jets",+NFL!#REF!,0))</f>
        <v>0</v>
      </c>
      <c r="AU473" s="57">
        <f>IF(+NFL!$F301="NY Jets",+NFL!#REF!,IF(+NFL!$H301="NY Jets",+NFL!#REF!,0))</f>
        <v>0</v>
      </c>
      <c r="AV473" s="64">
        <f>IF(+NFL!$F301="NY Jets",+NFL!#REF!,IF(+NFL!$H301="NY Jets",+NFL!#REF!,0))</f>
        <v>0</v>
      </c>
      <c r="AW473" s="46">
        <f>IF(+NFL!$F301="NY Jets",+NFL!#REF!,IF(+NFL!$H301="NY Jets",+NFL!#REF!,0))</f>
        <v>0</v>
      </c>
      <c r="AX473" s="64">
        <f>IF(+NFL!$F301="NY Jets",+NFL!#REF!,IF(+NFL!$H301="NY Jets",+NFL!#REF!,0))</f>
        <v>0</v>
      </c>
      <c r="AY473" s="57">
        <f>IF(+NFL!$F301="NY Jets",+NFL!#REF!,IF(+NFL!$H301="NY Jets",+NFL!#REF!,0))</f>
        <v>0</v>
      </c>
      <c r="AZ473" s="64">
        <f>IF(+NFL!$F301="NY Jets",+NFL!#REF!,IF(+NFL!$H301="NY Jets",+NFL!#REF!,0))</f>
        <v>0</v>
      </c>
      <c r="BA473" s="46">
        <f>IF(+NFL!$F301="NY Jets",+NFL!#REF!,IF(+NFL!$H301="NY Jets",+NFL!#REF!,0))</f>
        <v>0</v>
      </c>
      <c r="BB473" s="46">
        <f>IF(+NFL!$F301="NY Jets",+NFL!#REF!,IF(+NFL!$H301="NY Jets",+NFL!#REF!,0))</f>
        <v>0</v>
      </c>
      <c r="BC473" s="403">
        <f>IF(+NFL!$F301="NY Jets",+NFL!#REF!,IF(+NFL!$H301="NY Jets",+NFL!#REF!,0))</f>
        <v>0</v>
      </c>
      <c r="BD473" s="57">
        <f>IF(+NFL!$F301="NY Jets",+NFL!#REF!,IF(+NFL!$H301="NY Jets",+NFL!#REF!,0))</f>
        <v>0</v>
      </c>
      <c r="BE473" s="64">
        <f>IF(+NFL!$F301="NY Jets",+NFL!#REF!,IF(+NFL!$H301="NY Jets",+NFL!#REF!,0))</f>
        <v>0</v>
      </c>
      <c r="BF473" s="46">
        <f>IF(+NFL!$F301="NY Jets",+NFL!#REF!,IF(+NFL!$H301="NY Jets",+NFL!#REF!,0))</f>
        <v>0</v>
      </c>
      <c r="BG473" s="57">
        <f>IF(+NFL!$F301="NY Jets",+NFL!#REF!,IF(+NFL!$H301="NY Jets",+NFL!#REF!,0))</f>
        <v>0</v>
      </c>
      <c r="BH473" s="64">
        <f>IF(+NFL!$F301="NY Jets",+NFL!#REF!,IF(+NFL!$H301="NY Jets",+NFL!#REF!,0))</f>
        <v>0</v>
      </c>
      <c r="BI473" s="46">
        <f>IF(+NFL!$F301="NY Jets",+NFL!#REF!,IF(+NFL!$H301="NY Jets",+NFL!#REF!,0))</f>
        <v>0</v>
      </c>
      <c r="BJ473" s="87">
        <f>IF(+NFL!$F301="NY Jets",+NFL!#REF!,IF(+NFL!$H301="NY Jets",+NFL!#REF!,0))</f>
        <v>0</v>
      </c>
      <c r="BK473" s="120">
        <f>IF(+NFL!$F301="NY Jets",+NFL!#REF!,IF(+NFL!$H301="NY Jets",+NFL!#REF!,0))</f>
        <v>0</v>
      </c>
    </row>
    <row r="474" spans="1:63" s="246" customFormat="1" x14ac:dyDescent="0.8">
      <c r="A474" s="46">
        <f>IF(+NFL!$F324="NY Jets",+NFL!A324,IF(+NFL!$H324="NY Jets",+NFL!A324,0))</f>
        <v>0</v>
      </c>
      <c r="B474" s="348">
        <f>IF(+NFL!$F324="NY Jets",+NFL!B324,IF(+NFL!$H324="NY Jets",+NFL!B324,0))</f>
        <v>0</v>
      </c>
      <c r="C474" s="48">
        <f>IF(+NFL!$F324="NY Jets",+NFL!C324,IF(+NFL!$H324="NY Jets",+NFL!C324,0))</f>
        <v>0</v>
      </c>
      <c r="D474" s="490">
        <f>IF(+NFL!$F324="NY Jets",+NFL!D324,IF(+NFL!$H324="NY Jets",+NFL!D324,0))</f>
        <v>0</v>
      </c>
      <c r="E474" s="46">
        <f>IF(+NFL!$F324="NY Jets",+NFL!E324,IF(+NFL!$H324="NY Jets",+NFL!E324,0))</f>
        <v>0</v>
      </c>
      <c r="F474" s="127">
        <f>IF(+NFL!$F324="NY Jets",+NFL!F324,IF(+NFL!$H324="NY Jets",+NFL!F324,0))</f>
        <v>0</v>
      </c>
      <c r="G474" s="46">
        <f>IF(+NFL!$F324="NY Jets",+NFL!G324,IF(+NFL!$H324="NY Jets",+NFL!G324,0))</f>
        <v>0</v>
      </c>
      <c r="H474" s="127">
        <f>IF(+NFL!$F324="NY Jets",+NFL!H324,IF(+NFL!$H324="NY Jets",+NFL!H324,0))</f>
        <v>0</v>
      </c>
      <c r="I474" s="46">
        <f>IF(+NFL!$F324="NY Jets",+NFL!I324,IF(+NFL!$H324="NY Jets",+NFL!I324,0))</f>
        <v>0</v>
      </c>
      <c r="J474" s="353">
        <f>IF(+NFL!$F324="NY Jets",+NFL!J324,IF(+NFL!$H324="NY Jets",+NFL!J324,0))</f>
        <v>0</v>
      </c>
      <c r="K474" s="494">
        <f>IF(+NFL!$F324="NY Jets",+NFL!K324,IF(+NFL!$H324="NY Jets",+NFL!K324,0))</f>
        <v>0</v>
      </c>
      <c r="L474" s="384">
        <f>IF(+NFL!$F324="NY Jets",+NFL!L324,IF(+NFL!$H324="NY Jets",+NFL!L324,0))</f>
        <v>0</v>
      </c>
      <c r="M474" s="385">
        <f>IF(+NFL!$F324="NY Jets",+NFL!M324,IF(+NFL!$H324="NY Jets",+NFL!M324,0))</f>
        <v>0</v>
      </c>
      <c r="N474" s="394">
        <f>IF(+NFL!$F324="NY Jets",+NFL!N324,IF(+NFL!$H324="NY Jets",+NFL!N324,0))</f>
        <v>0</v>
      </c>
      <c r="O474" s="395">
        <f>IF(+NFL!$F324="NY Jets",+NFL!O324,IF(+NFL!$H324="NY Jets",+NFL!O324,0))</f>
        <v>0</v>
      </c>
      <c r="P474" s="394">
        <f>IF(+NFL!$F324="NY Jets",+NFL!P324,IF(+NFL!$H324="NY Jets",+NFL!P324,0))</f>
        <v>0</v>
      </c>
      <c r="Q474" s="396">
        <f>IF(+NFL!$F324="NY Jets",+NFL!Q324,IF(+NFL!$H324="NY Jets",+NFL!Q324,0))</f>
        <v>0</v>
      </c>
      <c r="R474" s="397">
        <f>IF(+NFL!$F324="NY Jets",+NFL!R324,IF(+NFL!$H324="NY Jets",+NFL!R324,0))</f>
        <v>0</v>
      </c>
      <c r="S474" s="396">
        <f>IF(+NFL!$F324="NY Jets",+NFL!S324,IF(+NFL!$H324="NY Jets",+NFL!S324,0))</f>
        <v>0</v>
      </c>
      <c r="T474" s="398">
        <f>IF(+NFL!$F324="NY Jets",+NFL!T324,IF(+NFL!$H324="NY Jets",+NFL!T324,0))</f>
        <v>0</v>
      </c>
      <c r="U474" s="396">
        <f>IF(+NFL!$F324="NY Jets",+NFL!U324,IF(+NFL!$H324="NY Jets",+NFL!U324,0))</f>
        <v>0</v>
      </c>
      <c r="V474" s="397" t="e">
        <f>IF(+NFL!$F323="NY Jets",+NFL!#REF!,IF(+NFL!$H323="NY Jets",+NFL!#REF!,0))</f>
        <v>#REF!</v>
      </c>
      <c r="W474" s="396" t="e">
        <f>IF(+NFL!$F323="NY Jets",+NFL!#REF!,IF(+NFL!$H323="NY Jets",+NFL!#REF!,0))</f>
        <v>#REF!</v>
      </c>
      <c r="X474" s="398" t="e">
        <f>IF(+NFL!$F323="NY Jets",+NFL!#REF!,IF(+NFL!$H323="NY Jets",+NFL!#REF!,0))</f>
        <v>#REF!</v>
      </c>
      <c r="Y474" s="396" t="e">
        <f>IF(+NFL!$F323="NY Jets",+NFL!#REF!,IF(+NFL!$H323="NY Jets",+NFL!#REF!,0))</f>
        <v>#REF!</v>
      </c>
      <c r="Z474" s="397" t="e">
        <f>IF(+NFL!$F323="NY Jets",+NFL!#REF!,IF(+NFL!$H323="NY Jets",+NFL!#REF!,0))</f>
        <v>#REF!</v>
      </c>
      <c r="AA474" s="396" t="e">
        <f>IF(+NFL!$F323="NY Jets",+NFL!#REF!,IF(+NFL!$H323="NY Jets",+NFL!#REF!,0))</f>
        <v>#REF!</v>
      </c>
      <c r="AB474" s="87" t="e">
        <f>IF(+NFL!$F323="NY Jets",+NFL!#REF!,IF(+NFL!$H323="NY Jets",+NFL!#REF!,0))</f>
        <v>#REF!</v>
      </c>
      <c r="AC474" s="120" t="e">
        <f>IF(+NFL!$F323="NY Jets",+NFL!#REF!,IF(+NFL!$H323="NY Jets",+NFL!#REF!,0))</f>
        <v>#REF!</v>
      </c>
      <c r="AD474" s="353" t="e">
        <f>IF(+NFL!$F323="NY Jets",+NFL!#REF!,IF(+NFL!$H323="NY Jets",+NFL!#REF!,0))</f>
        <v>#REF!</v>
      </c>
      <c r="AE474" s="379" t="e">
        <f>IF(+NFL!$F323="NY Jets",+NFL!#REF!,IF(+NFL!$H323="NY Jets",+NFL!#REF!,0))</f>
        <v>#REF!</v>
      </c>
      <c r="AF474" s="353" t="e">
        <f>IF(+NFL!$F323="NY Jets",+NFL!#REF!,IF(+NFL!$H323="NY Jets",+NFL!#REF!,0))</f>
        <v>#REF!</v>
      </c>
      <c r="AG474" s="379" t="e">
        <f>IF(+NFL!$F323="NY Jets",+NFL!#REF!,IF(+NFL!$H323="NY Jets",+NFL!#REF!,0))</f>
        <v>#REF!</v>
      </c>
      <c r="AH474" s="353" t="e">
        <f>IF(+NFL!$F323="NY Jets",+NFL!#REF!,IF(+NFL!$H323="NY Jets",+NFL!#REF!,0))</f>
        <v>#REF!</v>
      </c>
      <c r="AI474" s="379" t="e">
        <f>IF(+NFL!$F323="NY Jets",+NFL!#REF!,IF(+NFL!$H323="NY Jets",+NFL!#REF!,0))</f>
        <v>#REF!</v>
      </c>
      <c r="AJ474" s="353" t="e">
        <f>IF(+NFL!$F323="NY Jets",+NFL!#REF!,IF(+NFL!$H323="NY Jets",+NFL!#REF!,0))</f>
        <v>#REF!</v>
      </c>
      <c r="AK474" s="379" t="e">
        <f>IF(+NFL!$F323="NY Jets",+NFL!#REF!,IF(+NFL!$H323="NY Jets",+NFL!#REF!,0))</f>
        <v>#REF!</v>
      </c>
      <c r="AL474" s="68" t="e">
        <f>IF(+NFL!$F323="NY Jets",+NFL!#REF!,IF(+NFL!$H323="NY Jets",+NFL!#REF!,0))</f>
        <v>#REF!</v>
      </c>
      <c r="AM474" s="58" t="e">
        <f>IF(+NFL!$F323="NY Jets",+NFL!#REF!,IF(+NFL!$H323="NY Jets",+NFL!#REF!,0))</f>
        <v>#REF!</v>
      </c>
      <c r="AN474" s="57" t="e">
        <f>IF(+NFL!$F323="NY Jets",+NFL!#REF!,IF(+NFL!$H323="NY Jets",+NFL!#REF!,0))</f>
        <v>#REF!</v>
      </c>
      <c r="AO474" s="59" t="e">
        <f>IF(+NFL!$F323="NY Jets",+NFL!#REF!,IF(+NFL!$H323="NY Jets",+NFL!#REF!,0))</f>
        <v>#REF!</v>
      </c>
      <c r="AP474" s="348" t="e">
        <f>IF(+NFL!$F323="NY Jets",+NFL!#REF!,IF(+NFL!$H323="NY Jets",+NFL!#REF!,0))</f>
        <v>#REF!</v>
      </c>
      <c r="AQ474" s="48" t="e">
        <f>IF(+NFL!$F323="NY Jets",+NFL!#REF!,IF(+NFL!$H323="NY Jets",+NFL!#REF!,0))</f>
        <v>#REF!</v>
      </c>
      <c r="AR474" s="57" t="e">
        <f>IF(+NFL!$F323="NY Jets",+NFL!#REF!,IF(+NFL!$H323="NY Jets",+NFL!#REF!,0))</f>
        <v>#REF!</v>
      </c>
      <c r="AS474" s="64" t="e">
        <f>IF(+NFL!$F323="NY Jets",+NFL!#REF!,IF(+NFL!$H323="NY Jets",+NFL!#REF!,0))</f>
        <v>#REF!</v>
      </c>
      <c r="AT474" s="64" t="e">
        <f>IF(+NFL!$F323="NY Jets",+NFL!#REF!,IF(+NFL!$H323="NY Jets",+NFL!#REF!,0))</f>
        <v>#REF!</v>
      </c>
      <c r="AU474" s="57" t="e">
        <f>IF(+NFL!$F323="NY Jets",+NFL!#REF!,IF(+NFL!$H323="NY Jets",+NFL!#REF!,0))</f>
        <v>#REF!</v>
      </c>
      <c r="AV474" s="64" t="e">
        <f>IF(+NFL!$F323="NY Jets",+NFL!#REF!,IF(+NFL!$H323="NY Jets",+NFL!#REF!,0))</f>
        <v>#REF!</v>
      </c>
      <c r="AW474" s="46" t="e">
        <f>IF(+NFL!$F323="NY Jets",+NFL!#REF!,IF(+NFL!$H323="NY Jets",+NFL!#REF!,0))</f>
        <v>#REF!</v>
      </c>
      <c r="AX474" s="64" t="e">
        <f>IF(+NFL!$F323="NY Jets",+NFL!#REF!,IF(+NFL!$H323="NY Jets",+NFL!#REF!,0))</f>
        <v>#REF!</v>
      </c>
      <c r="AY474" s="57" t="e">
        <f>IF(+NFL!$F323="NY Jets",+NFL!#REF!,IF(+NFL!$H323="NY Jets",+NFL!#REF!,0))</f>
        <v>#REF!</v>
      </c>
      <c r="AZ474" s="64" t="e">
        <f>IF(+NFL!$F323="NY Jets",+NFL!#REF!,IF(+NFL!$H323="NY Jets",+NFL!#REF!,0))</f>
        <v>#REF!</v>
      </c>
      <c r="BA474" s="46" t="e">
        <f>IF(+NFL!$F323="NY Jets",+NFL!#REF!,IF(+NFL!$H323="NY Jets",+NFL!#REF!,0))</f>
        <v>#REF!</v>
      </c>
      <c r="BB474" s="46" t="e">
        <f>IF(+NFL!$F323="NY Jets",+NFL!#REF!,IF(+NFL!$H323="NY Jets",+NFL!#REF!,0))</f>
        <v>#REF!</v>
      </c>
      <c r="BC474" s="403" t="e">
        <f>IF(+NFL!$F323="NY Jets",+NFL!#REF!,IF(+NFL!$H323="NY Jets",+NFL!#REF!,0))</f>
        <v>#REF!</v>
      </c>
      <c r="BD474" s="57" t="e">
        <f>IF(+NFL!$F323="NY Jets",+NFL!#REF!,IF(+NFL!$H323="NY Jets",+NFL!#REF!,0))</f>
        <v>#REF!</v>
      </c>
      <c r="BE474" s="64" t="e">
        <f>IF(+NFL!$F323="NY Jets",+NFL!#REF!,IF(+NFL!$H323="NY Jets",+NFL!#REF!,0))</f>
        <v>#REF!</v>
      </c>
      <c r="BF474" s="46" t="e">
        <f>IF(+NFL!$F323="NY Jets",+NFL!#REF!,IF(+NFL!$H323="NY Jets",+NFL!#REF!,0))</f>
        <v>#REF!</v>
      </c>
      <c r="BG474" s="57" t="e">
        <f>IF(+NFL!$F323="NY Jets",+NFL!#REF!,IF(+NFL!$H323="NY Jets",+NFL!#REF!,0))</f>
        <v>#REF!</v>
      </c>
      <c r="BH474" s="64" t="e">
        <f>IF(+NFL!$F323="NY Jets",+NFL!#REF!,IF(+NFL!$H323="NY Jets",+NFL!#REF!,0))</f>
        <v>#REF!</v>
      </c>
      <c r="BI474" s="46" t="e">
        <f>IF(+NFL!$F323="NY Jets",+NFL!#REF!,IF(+NFL!$H323="NY Jets",+NFL!#REF!,0))</f>
        <v>#REF!</v>
      </c>
      <c r="BJ474" s="87" t="e">
        <f>IF(+NFL!$F323="NY Jets",+NFL!#REF!,IF(+NFL!$H323="NY Jets",+NFL!#REF!,0))</f>
        <v>#REF!</v>
      </c>
      <c r="BK474" s="120" t="e">
        <f>IF(+NFL!$F323="NY Jets",+NFL!#REF!,IF(+NFL!$H323="NY Jets",+NFL!#REF!,0))</f>
        <v>#REF!</v>
      </c>
    </row>
    <row r="475" spans="1:63" s="246" customFormat="1" x14ac:dyDescent="0.8">
      <c r="A475" s="46"/>
      <c r="B475" s="348"/>
      <c r="C475" s="48"/>
      <c r="D475" s="49"/>
      <c r="E475" s="46"/>
      <c r="F475" s="959" t="str">
        <f>F476</f>
        <v>Philadelphia</v>
      </c>
      <c r="G475" s="960"/>
      <c r="H475" s="960"/>
      <c r="I475" s="961"/>
      <c r="J475" s="353"/>
      <c r="K475" s="364"/>
      <c r="L475" s="384"/>
      <c r="M475" s="385"/>
      <c r="N475" s="394"/>
      <c r="O475" s="395"/>
      <c r="P475" s="394"/>
      <c r="Q475" s="396"/>
      <c r="R475" s="397"/>
      <c r="S475" s="396"/>
      <c r="T475" s="398"/>
      <c r="U475" s="396"/>
      <c r="V475" s="397"/>
      <c r="W475" s="396"/>
      <c r="X475" s="398"/>
      <c r="Y475" s="396"/>
      <c r="Z475" s="397"/>
      <c r="AA475" s="396"/>
      <c r="AB475" s="87"/>
      <c r="AC475" s="120"/>
      <c r="AD475" s="353"/>
      <c r="AE475" s="379"/>
      <c r="AF475" s="353"/>
      <c r="AG475" s="379"/>
      <c r="AH475" s="353"/>
      <c r="AI475" s="379"/>
      <c r="AJ475" s="353"/>
      <c r="AK475" s="379"/>
      <c r="AL475" s="68"/>
      <c r="AM475" s="58"/>
      <c r="AN475" s="57"/>
      <c r="AO475" s="59"/>
      <c r="AP475" s="348"/>
      <c r="AQ475" s="348"/>
      <c r="AR475" s="57"/>
      <c r="AS475" s="64"/>
      <c r="AT475" s="64"/>
      <c r="AU475" s="57"/>
      <c r="AV475" s="64"/>
      <c r="AW475" s="46"/>
      <c r="AX475" s="64"/>
      <c r="AY475" s="57"/>
      <c r="AZ475" s="64"/>
      <c r="BA475" s="46"/>
      <c r="BB475" s="46"/>
      <c r="BC475" s="348"/>
      <c r="BD475" s="57"/>
      <c r="BE475" s="64"/>
      <c r="BF475" s="46"/>
      <c r="BG475" s="57"/>
      <c r="BH475" s="64"/>
      <c r="BI475" s="46"/>
      <c r="BJ475" s="87"/>
      <c r="BK475" s="120"/>
    </row>
    <row r="476" spans="1:63" s="246" customFormat="1" x14ac:dyDescent="0.8">
      <c r="A476" s="46">
        <f>IF(+NFL!$F8="Philadelphia",+NFL!A8,IF(+NFL!$H8="Philadelphia",+NFL!A8,0))</f>
        <v>1</v>
      </c>
      <c r="B476" s="348" t="str">
        <f>IF(+NFL!$F8="Philadelphia",+NFL!B8,IF(+NFL!$H8="Philadelphia",+NFL!B8,0))</f>
        <v>Sun</v>
      </c>
      <c r="C476" s="48">
        <f>IF(+NFL!$F8="Philadelphia",+NFL!C8,IF(+NFL!$H8="Philadelphia",+NFL!C8,0))</f>
        <v>44815</v>
      </c>
      <c r="D476" s="490">
        <f>IF(+NFL!$F8="Philadelphia",+NFL!D8,IF(+NFL!$H8="Philadelphia",+NFL!D8,0))</f>
        <v>0.54166666666666663</v>
      </c>
      <c r="E476" s="46" t="str">
        <f>IF(+NFL!$F8="Philadelphia",+NFL!E8,IF(+NFL!$H8="Philadelphia",+NFL!E8,0))</f>
        <v>Fox</v>
      </c>
      <c r="F476" s="127" t="str">
        <f>IF(+NFL!$F8="Philadelphia",+NFL!F8,IF(+NFL!$H8="Philadelphia",+NFL!F8,0))</f>
        <v>Philadelphia</v>
      </c>
      <c r="G476" s="46" t="str">
        <f>IF(+NFL!$F8="Philadelphia",+NFL!G8,IF(+NFL!$H8="Philadelphia",+NFL!G8,0))</f>
        <v>NFCE</v>
      </c>
      <c r="H476" s="127" t="str">
        <f>IF(+NFL!$F8="Philadelphia",+NFL!H8,IF(+NFL!$H8="Philadelphia",+NFL!H8,0))</f>
        <v>Detroit</v>
      </c>
      <c r="I476" s="46" t="str">
        <f>IF(+NFL!$F8="Philadelphia",+NFL!I8,IF(+NFL!$H8="Philadelphia",+NFL!I8,0))</f>
        <v>NFCN</v>
      </c>
      <c r="J476" s="353" t="str">
        <f>IF(+NFL!$F8="Philadelphia",+NFL!J8,IF(+NFL!$H8="Philadelphia",+NFL!J8,0))</f>
        <v>Philadelphia</v>
      </c>
      <c r="K476" s="494" t="str">
        <f>IF(+NFL!$F8="Philadelphia",+NFL!K8,IF(+NFL!$H8="Philadelphia",+NFL!K8,0))</f>
        <v>Detroit</v>
      </c>
      <c r="L476" s="384">
        <f>IF(+NFL!$F8="Philadelphia",+NFL!L8,IF(+NFL!$H8="Philadelphia",+NFL!L8,0))</f>
        <v>4</v>
      </c>
      <c r="M476" s="385">
        <f>IF(+NFL!$F8="Philadelphia",+NFL!M8,IF(+NFL!$H8="Philadelphia",+NFL!M8,0))</f>
        <v>49</v>
      </c>
      <c r="N476" s="394" t="str">
        <f>IF(+NFL!$F8="Philadelphia",+NFL!N8,IF(+NFL!$H8="Philadelphia",+NFL!N8,0))</f>
        <v>Philadelphia</v>
      </c>
      <c r="O476" s="395">
        <f>IF(+NFL!$F8="Philadelphia",+NFL!O8,IF(+NFL!$H8="Philadelphia",+NFL!O8,0))</f>
        <v>38</v>
      </c>
      <c r="P476" s="394" t="str">
        <f>IF(+NFL!$F8="Philadelphia",+NFL!P8,IF(+NFL!$H8="Philadelphia",+NFL!P8,0))</f>
        <v>Detroit</v>
      </c>
      <c r="Q476" s="396">
        <f>IF(+NFL!$F8="Philadelphia",+NFL!Q8,IF(+NFL!$H8="Philadelphia",+NFL!Q8,0))</f>
        <v>35</v>
      </c>
      <c r="R476" s="397" t="str">
        <f>IF(+NFL!$F8="Philadelphia",+NFL!R8,IF(+NFL!$H8="Philadelphia",+NFL!R8,0))</f>
        <v>Detroit</v>
      </c>
      <c r="S476" s="396" t="str">
        <f>IF(+NFL!$F8="Philadelphia",+NFL!S8,IF(+NFL!$H8="Philadelphia",+NFL!S8,0))</f>
        <v>Philadelphia</v>
      </c>
      <c r="T476" s="398" t="str">
        <f>IF(+NFL!$F8="Philadelphia",+NFL!T8,IF(+NFL!$H8="Philadelphia",+NFL!T8,0))</f>
        <v>Detroit</v>
      </c>
      <c r="U476" s="396" t="str">
        <f>IF(+NFL!$F8="Philadelphia",+NFL!U8,IF(+NFL!$H8="Philadelphia",+NFL!U8,0))</f>
        <v>W</v>
      </c>
      <c r="V476" s="397"/>
      <c r="W476" s="396"/>
      <c r="X476" s="398"/>
      <c r="Y476" s="396"/>
      <c r="Z476" s="397"/>
      <c r="AA476" s="396"/>
      <c r="AB476" s="87"/>
      <c r="AC476" s="120"/>
      <c r="AD476" s="353"/>
      <c r="AE476" s="379"/>
      <c r="AF476" s="353"/>
      <c r="AG476" s="379"/>
      <c r="AH476" s="353"/>
      <c r="AI476" s="379"/>
      <c r="AJ476" s="353"/>
      <c r="AK476" s="379"/>
      <c r="AL476" s="68"/>
      <c r="AM476" s="58"/>
      <c r="AN476" s="57"/>
      <c r="AO476" s="59"/>
      <c r="AP476" s="348"/>
      <c r="AQ476" s="48"/>
      <c r="AR476" s="57"/>
      <c r="AS476" s="493"/>
      <c r="AT476" s="493"/>
      <c r="AU476" s="57"/>
      <c r="AV476" s="493"/>
      <c r="AW476" s="46"/>
      <c r="AX476" s="493"/>
      <c r="AY476" s="57"/>
      <c r="AZ476" s="493"/>
      <c r="BA476" s="46"/>
      <c r="BB476" s="46"/>
      <c r="BC476" s="403"/>
      <c r="BD476" s="57"/>
      <c r="BE476" s="493"/>
      <c r="BF476" s="46"/>
      <c r="BG476" s="57"/>
      <c r="BH476" s="493"/>
      <c r="BI476" s="46"/>
      <c r="BJ476" s="87"/>
      <c r="BK476" s="120"/>
    </row>
    <row r="477" spans="1:63" s="246" customFormat="1" x14ac:dyDescent="0.8">
      <c r="A477" s="46">
        <f>IF(+NFL!$F36="Philadelphia",+NFL!A36,IF(+NFL!$H36="Philadelphia",+NFL!A36,0))</f>
        <v>2</v>
      </c>
      <c r="B477" s="348" t="str">
        <f>IF(+NFL!$F36="Philadelphia",+NFL!B36,IF(+NFL!$H36="Philadelphia",+NFL!B36,0))</f>
        <v>Mon</v>
      </c>
      <c r="C477" s="48">
        <f>IF(+NFL!$F36="Philadelphia",+NFL!C36,IF(+NFL!$H36="Philadelphia",+NFL!C36,0))</f>
        <v>44823</v>
      </c>
      <c r="D477" s="490">
        <f>IF(+NFL!$F36="Philadelphia",+NFL!D36,IF(+NFL!$H36="Philadelphia",+NFL!D36,0))</f>
        <v>0.84375</v>
      </c>
      <c r="E477" s="46" t="str">
        <f>IF(+NFL!$F36="Philadelphia",+NFL!E36,IF(+NFL!$H36="Philadelphia",+NFL!E36,0))</f>
        <v>ABC</v>
      </c>
      <c r="F477" s="127" t="str">
        <f>IF(+NFL!$F36="Philadelphia",+NFL!F36,IF(+NFL!$H36="Philadelphia",+NFL!F36,0))</f>
        <v>Minnesota</v>
      </c>
      <c r="G477" s="46" t="str">
        <f>IF(+NFL!$F36="Philadelphia",+NFL!G36,IF(+NFL!$H36="Philadelphia",+NFL!G36,0))</f>
        <v>NFCN</v>
      </c>
      <c r="H477" s="127" t="str">
        <f>IF(+NFL!$F36="Philadelphia",+NFL!H36,IF(+NFL!$H36="Philadelphia",+NFL!H36,0))</f>
        <v>Philadelphia</v>
      </c>
      <c r="I477" s="46" t="str">
        <f>IF(+NFL!$F36="Philadelphia",+NFL!I36,IF(+NFL!$H36="Philadelphia",+NFL!I36,0))</f>
        <v>NFCE</v>
      </c>
      <c r="J477" s="353" t="str">
        <f>IF(+NFL!$F36="Philadelphia",+NFL!J36,IF(+NFL!$H36="Philadelphia",+NFL!J36,0))</f>
        <v>Philadelphia</v>
      </c>
      <c r="K477" s="494" t="str">
        <f>IF(+NFL!$F36="Philadelphia",+NFL!K36,IF(+NFL!$H36="Philadelphia",+NFL!K36,0))</f>
        <v>Minnesota</v>
      </c>
      <c r="L477" s="384">
        <f>IF(+NFL!$F36="Philadelphia",+NFL!L36,IF(+NFL!$H36="Philadelphia",+NFL!L36,0))</f>
        <v>2.5</v>
      </c>
      <c r="M477" s="385">
        <f>IF(+NFL!$F36="Philadelphia",+NFL!M36,IF(+NFL!$H36="Philadelphia",+NFL!M36,0))</f>
        <v>50.5</v>
      </c>
      <c r="N477" s="394" t="str">
        <f>IF(+NFL!$F36="Philadelphia",+NFL!N36,IF(+NFL!$H36="Philadelphia",+NFL!N36,0))</f>
        <v>Philadelphia</v>
      </c>
      <c r="O477" s="395">
        <f>IF(+NFL!$F36="Philadelphia",+NFL!O36,IF(+NFL!$H36="Philadelphia",+NFL!O36,0))</f>
        <v>24</v>
      </c>
      <c r="P477" s="394" t="str">
        <f>IF(+NFL!$F36="Philadelphia",+NFL!P36,IF(+NFL!$H36="Philadelphia",+NFL!P36,0))</f>
        <v>Minnesota</v>
      </c>
      <c r="Q477" s="396">
        <f>IF(+NFL!$F36="Philadelphia",+NFL!Q36,IF(+NFL!$H36="Philadelphia",+NFL!Q36,0))</f>
        <v>7</v>
      </c>
      <c r="R477" s="397" t="str">
        <f>IF(+NFL!$F36="Philadelphia",+NFL!R36,IF(+NFL!$H36="Philadelphia",+NFL!R36,0))</f>
        <v>Philadelphia</v>
      </c>
      <c r="S477" s="396" t="str">
        <f>IF(+NFL!$F36="Philadelphia",+NFL!S36,IF(+NFL!$H36="Philadelphia",+NFL!S36,0))</f>
        <v>Minnesota</v>
      </c>
      <c r="T477" s="398" t="str">
        <f>IF(+NFL!$F36="Philadelphia",+NFL!T36,IF(+NFL!$H36="Philadelphia",+NFL!T36,0))</f>
        <v>Philadelphia</v>
      </c>
      <c r="U477" s="396" t="str">
        <f>IF(+NFL!$F36="Philadelphia",+NFL!U36,IF(+NFL!$H36="Philadelphia",+NFL!U36,0))</f>
        <v>W</v>
      </c>
      <c r="V477" s="397"/>
      <c r="W477" s="396"/>
      <c r="X477" s="398"/>
      <c r="Y477" s="396"/>
      <c r="Z477" s="397"/>
      <c r="AA477" s="396"/>
      <c r="AB477" s="87"/>
      <c r="AC477" s="120"/>
      <c r="AD477" s="353"/>
      <c r="AE477" s="379"/>
      <c r="AF477" s="353"/>
      <c r="AG477" s="379"/>
      <c r="AH477" s="353"/>
      <c r="AI477" s="379"/>
      <c r="AJ477" s="353"/>
      <c r="AK477" s="379"/>
      <c r="AL477" s="68"/>
      <c r="AM477" s="58"/>
      <c r="AN477" s="57"/>
      <c r="AO477" s="59"/>
      <c r="AP477" s="348"/>
      <c r="AQ477" s="48"/>
      <c r="AR477" s="57"/>
      <c r="AS477" s="64"/>
      <c r="AT477" s="64"/>
      <c r="AU477" s="57"/>
      <c r="AV477" s="64"/>
      <c r="AW477" s="46"/>
      <c r="AX477" s="64"/>
      <c r="AY477" s="57"/>
      <c r="AZ477" s="64"/>
      <c r="BA477" s="46"/>
      <c r="BB477" s="46"/>
      <c r="BC477" s="403"/>
      <c r="BD477" s="57"/>
      <c r="BE477" s="64"/>
      <c r="BF477" s="46"/>
      <c r="BG477" s="57"/>
      <c r="BH477" s="64"/>
      <c r="BI477" s="46"/>
      <c r="BJ477" s="87"/>
      <c r="BK477" s="120"/>
    </row>
    <row r="478" spans="1:63" s="246" customFormat="1" x14ac:dyDescent="0.8">
      <c r="A478" s="46">
        <f>IF(+NFL!$F46="Philadelphia",+NFL!A46,IF(+NFL!$H46="Philadelphia",+NFL!A46,0))</f>
        <v>3</v>
      </c>
      <c r="B478" s="348" t="str">
        <f>IF(+NFL!$F46="Philadelphia",+NFL!B46,IF(+NFL!$H46="Philadelphia",+NFL!B46,0))</f>
        <v>Sun</v>
      </c>
      <c r="C478" s="48">
        <f>IF(+NFL!$F46="Philadelphia",+NFL!C46,IF(+NFL!$H46="Philadelphia",+NFL!C46,0))</f>
        <v>44829</v>
      </c>
      <c r="D478" s="490">
        <f>IF(+NFL!$F46="Philadelphia",+NFL!D46,IF(+NFL!$H46="Philadelphia",+NFL!D46,0))</f>
        <v>0.54166666666666663</v>
      </c>
      <c r="E478" s="46" t="str">
        <f>IF(+NFL!$F46="Philadelphia",+NFL!E46,IF(+NFL!$H46="Philadelphia",+NFL!E46,0))</f>
        <v>Fox</v>
      </c>
      <c r="F478" s="127" t="str">
        <f>IF(+NFL!$F46="Philadelphia",+NFL!F46,IF(+NFL!$H46="Philadelphia",+NFL!F46,0))</f>
        <v>Philadelphia</v>
      </c>
      <c r="G478" s="46" t="str">
        <f>IF(+NFL!$F46="Philadelphia",+NFL!G46,IF(+NFL!$H46="Philadelphia",+NFL!G46,0))</f>
        <v>NFCE</v>
      </c>
      <c r="H478" s="127" t="str">
        <f>IF(+NFL!$F46="Philadelphia",+NFL!H46,IF(+NFL!$H46="Philadelphia",+NFL!H46,0))</f>
        <v>Washington</v>
      </c>
      <c r="I478" s="46" t="str">
        <f>IF(+NFL!$F46="Philadelphia",+NFL!I46,IF(+NFL!$H46="Philadelphia",+NFL!I46,0))</f>
        <v>NFCE</v>
      </c>
      <c r="J478" s="353" t="str">
        <f>IF(+NFL!$F46="Philadelphia",+NFL!J46,IF(+NFL!$H46="Philadelphia",+NFL!J46,0))</f>
        <v>Philadelphia</v>
      </c>
      <c r="K478" s="494" t="str">
        <f>IF(+NFL!$F46="Philadelphia",+NFL!K46,IF(+NFL!$H46="Philadelphia",+NFL!K46,0))</f>
        <v>Washington</v>
      </c>
      <c r="L478" s="384">
        <f>IF(+NFL!$F46="Philadelphia",+NFL!L46,IF(+NFL!$H46="Philadelphia",+NFL!L46,0))</f>
        <v>6.5</v>
      </c>
      <c r="M478" s="385">
        <f>IF(+NFL!$F46="Philadelphia",+NFL!M46,IF(+NFL!$H46="Philadelphia",+NFL!M46,0))</f>
        <v>47</v>
      </c>
      <c r="N478" s="394" t="str">
        <f>IF(+NFL!$F46="Philadelphia",+NFL!N46,IF(+NFL!$H46="Philadelphia",+NFL!N46,0))</f>
        <v>Philadelphia</v>
      </c>
      <c r="O478" s="395">
        <f>IF(+NFL!$F46="Philadelphia",+NFL!O46,IF(+NFL!$H46="Philadelphia",+NFL!O46,0))</f>
        <v>24</v>
      </c>
      <c r="P478" s="394" t="str">
        <f>IF(+NFL!$F46="Philadelphia",+NFL!P46,IF(+NFL!$H46="Philadelphia",+NFL!P46,0))</f>
        <v>Washington</v>
      </c>
      <c r="Q478" s="396">
        <f>IF(+NFL!$F46="Philadelphia",+NFL!Q46,IF(+NFL!$H46="Philadelphia",+NFL!Q46,0))</f>
        <v>8</v>
      </c>
      <c r="R478" s="397" t="str">
        <f>IF(+NFL!$F46="Philadelphia",+NFL!R46,IF(+NFL!$H46="Philadelphia",+NFL!R46,0))</f>
        <v>Philadelphia</v>
      </c>
      <c r="S478" s="396" t="str">
        <f>IF(+NFL!$F46="Philadelphia",+NFL!S46,IF(+NFL!$H46="Philadelphia",+NFL!S46,0))</f>
        <v>Washington</v>
      </c>
      <c r="T478" s="398" t="str">
        <f>IF(+NFL!$F46="Philadelphia",+NFL!T46,IF(+NFL!$H46="Philadelphia",+NFL!T46,0))</f>
        <v>Washington</v>
      </c>
      <c r="U478" s="396" t="str">
        <f>IF(+NFL!$F46="Philadelphia",+NFL!U46,IF(+NFL!$H46="Philadelphia",+NFL!U46,0))</f>
        <v>L</v>
      </c>
      <c r="V478" s="397">
        <f>IF(+NFL!$F42="Philadelphia",+NFL!#REF!,IF(+NFL!$H42="Philadelphia",+NFL!#REF!,0))</f>
        <v>0</v>
      </c>
      <c r="W478" s="396">
        <f>IF(+NFL!$F42="Philadelphia",+NFL!#REF!,IF(+NFL!$H42="Philadelphia",+NFL!#REF!,0))</f>
        <v>0</v>
      </c>
      <c r="X478" s="398">
        <f>IF(+NFL!$F42="Philadelphia",+NFL!#REF!,IF(+NFL!$H42="Philadelphia",+NFL!#REF!,0))</f>
        <v>0</v>
      </c>
      <c r="Y478" s="396">
        <f>IF(+NFL!$F42="Philadelphia",+NFL!#REF!,IF(+NFL!$H42="Philadelphia",+NFL!#REF!,0))</f>
        <v>0</v>
      </c>
      <c r="Z478" s="397">
        <f>IF(+NFL!$F42="Philadelphia",+NFL!#REF!,IF(+NFL!$H42="Philadelphia",+NFL!#REF!,0))</f>
        <v>0</v>
      </c>
      <c r="AA478" s="396">
        <f>IF(+NFL!$F42="Philadelphia",+NFL!#REF!,IF(+NFL!$H42="Philadelphia",+NFL!#REF!,0))</f>
        <v>0</v>
      </c>
      <c r="AB478" s="87">
        <f>IF(+NFL!$F42="Philadelphia",+NFL!#REF!,IF(+NFL!$H42="Philadelphia",+NFL!#REF!,0))</f>
        <v>0</v>
      </c>
      <c r="AC478" s="120">
        <f>IF(+NFL!$F42="Philadelphia",+NFL!#REF!,IF(+NFL!$H42="Philadelphia",+NFL!#REF!,0))</f>
        <v>0</v>
      </c>
      <c r="AD478" s="353">
        <f>IF(+NFL!$F42="Philadelphia",+NFL!#REF!,IF(+NFL!$H42="Philadelphia",+NFL!#REF!,0))</f>
        <v>0</v>
      </c>
      <c r="AE478" s="379">
        <f>IF(+NFL!$F42="Philadelphia",+NFL!#REF!,IF(+NFL!$H42="Philadelphia",+NFL!#REF!,0))</f>
        <v>0</v>
      </c>
      <c r="AF478" s="353">
        <f>IF(+NFL!$F42="Philadelphia",+NFL!#REF!,IF(+NFL!$H42="Philadelphia",+NFL!#REF!,0))</f>
        <v>0</v>
      </c>
      <c r="AG478" s="379">
        <f>IF(+NFL!$F42="Philadelphia",+NFL!#REF!,IF(+NFL!$H42="Philadelphia",+NFL!#REF!,0))</f>
        <v>0</v>
      </c>
      <c r="AH478" s="353">
        <f>IF(+NFL!$F42="Philadelphia",+NFL!#REF!,IF(+NFL!$H42="Philadelphia",+NFL!#REF!,0))</f>
        <v>0</v>
      </c>
      <c r="AI478" s="379">
        <f>IF(+NFL!$F42="Philadelphia",+NFL!#REF!,IF(+NFL!$H42="Philadelphia",+NFL!#REF!,0))</f>
        <v>0</v>
      </c>
      <c r="AJ478" s="353">
        <f>IF(+NFL!$F42="Philadelphia",+NFL!#REF!,IF(+NFL!$H42="Philadelphia",+NFL!#REF!,0))</f>
        <v>0</v>
      </c>
      <c r="AK478" s="379">
        <f>IF(+NFL!$F42="Philadelphia",+NFL!#REF!,IF(+NFL!$H42="Philadelphia",+NFL!#REF!,0))</f>
        <v>0</v>
      </c>
      <c r="AL478" s="68">
        <f>IF(+NFL!$F42="Philadelphia",+NFL!#REF!,IF(+NFL!$H42="Philadelphia",+NFL!#REF!,0))</f>
        <v>0</v>
      </c>
      <c r="AM478" s="58">
        <f>IF(+NFL!$F42="Philadelphia",+NFL!#REF!,IF(+NFL!$H42="Philadelphia",+NFL!#REF!,0))</f>
        <v>0</v>
      </c>
      <c r="AN478" s="57">
        <f>IF(+NFL!$F42="Philadelphia",+NFL!#REF!,IF(+NFL!$H42="Philadelphia",+NFL!#REF!,0))</f>
        <v>0</v>
      </c>
      <c r="AO478" s="59">
        <f>IF(+NFL!$F42="Philadelphia",+NFL!#REF!,IF(+NFL!$H42="Philadelphia",+NFL!#REF!,0))</f>
        <v>0</v>
      </c>
      <c r="AP478" s="348">
        <f>IF(+NFL!$F42="Philadelphia",+NFL!#REF!,IF(+NFL!$H42="Philadelphia",+NFL!#REF!,0))</f>
        <v>0</v>
      </c>
      <c r="AQ478" s="48">
        <f>IF(+NFL!$F42="Philadelphia",+NFL!#REF!,IF(+NFL!$H42="Philadelphia",+NFL!#REF!,0))</f>
        <v>0</v>
      </c>
      <c r="AR478" s="57">
        <f>IF(+NFL!$F42="Philadelphia",+NFL!#REF!,IF(+NFL!$H42="Philadelphia",+NFL!#REF!,0))</f>
        <v>0</v>
      </c>
      <c r="AS478" s="64">
        <f>IF(+NFL!$F42="Philadelphia",+NFL!#REF!,IF(+NFL!$H42="Philadelphia",+NFL!#REF!,0))</f>
        <v>0</v>
      </c>
      <c r="AT478" s="64">
        <f>IF(+NFL!$F42="Philadelphia",+NFL!#REF!,IF(+NFL!$H42="Philadelphia",+NFL!#REF!,0))</f>
        <v>0</v>
      </c>
      <c r="AU478" s="57">
        <f>IF(+NFL!$F42="Philadelphia",+NFL!#REF!,IF(+NFL!$H42="Philadelphia",+NFL!#REF!,0))</f>
        <v>0</v>
      </c>
      <c r="AV478" s="64">
        <f>IF(+NFL!$F42="Philadelphia",+NFL!#REF!,IF(+NFL!$H42="Philadelphia",+NFL!#REF!,0))</f>
        <v>0</v>
      </c>
      <c r="AW478" s="46">
        <f>IF(+NFL!$F42="Philadelphia",+NFL!#REF!,IF(+NFL!$H42="Philadelphia",+NFL!#REF!,0))</f>
        <v>0</v>
      </c>
      <c r="AX478" s="64">
        <f>IF(+NFL!$F42="Philadelphia",+NFL!#REF!,IF(+NFL!$H42="Philadelphia",+NFL!#REF!,0))</f>
        <v>0</v>
      </c>
      <c r="AY478" s="57">
        <f>IF(+NFL!$F42="Philadelphia",+NFL!#REF!,IF(+NFL!$H42="Philadelphia",+NFL!#REF!,0))</f>
        <v>0</v>
      </c>
      <c r="AZ478" s="64">
        <f>IF(+NFL!$F42="Philadelphia",+NFL!#REF!,IF(+NFL!$H42="Philadelphia",+NFL!#REF!,0))</f>
        <v>0</v>
      </c>
      <c r="BA478" s="46">
        <f>IF(+NFL!$F42="Philadelphia",+NFL!#REF!,IF(+NFL!$H42="Philadelphia",+NFL!#REF!,0))</f>
        <v>0</v>
      </c>
      <c r="BB478" s="46">
        <f>IF(+NFL!$F42="Philadelphia",+NFL!#REF!,IF(+NFL!$H42="Philadelphia",+NFL!#REF!,0))</f>
        <v>0</v>
      </c>
      <c r="BC478" s="403">
        <f>IF(+NFL!$F42="Philadelphia",+NFL!#REF!,IF(+NFL!$H42="Philadelphia",+NFL!#REF!,0))</f>
        <v>0</v>
      </c>
      <c r="BD478" s="57">
        <f>IF(+NFL!$F42="Philadelphia",+NFL!#REF!,IF(+NFL!$H42="Philadelphia",+NFL!#REF!,0))</f>
        <v>0</v>
      </c>
      <c r="BE478" s="64">
        <f>IF(+NFL!$F42="Philadelphia",+NFL!#REF!,IF(+NFL!$H42="Philadelphia",+NFL!#REF!,0))</f>
        <v>0</v>
      </c>
      <c r="BF478" s="46">
        <f>IF(+NFL!$F42="Philadelphia",+NFL!#REF!,IF(+NFL!$H42="Philadelphia",+NFL!#REF!,0))</f>
        <v>0</v>
      </c>
      <c r="BG478" s="57">
        <f>IF(+NFL!$F42="Philadelphia",+NFL!#REF!,IF(+NFL!$H42="Philadelphia",+NFL!#REF!,0))</f>
        <v>0</v>
      </c>
      <c r="BH478" s="64">
        <f>IF(+NFL!$F42="Philadelphia",+NFL!#REF!,IF(+NFL!$H42="Philadelphia",+NFL!#REF!,0))</f>
        <v>0</v>
      </c>
      <c r="BI478" s="46">
        <f>IF(+NFL!$F42="Philadelphia",+NFL!#REF!,IF(+NFL!$H42="Philadelphia",+NFL!#REF!,0))</f>
        <v>0</v>
      </c>
      <c r="BJ478" s="87">
        <f>IF(+NFL!$F42="Philadelphia",+NFL!#REF!,IF(+NFL!$H42="Philadelphia",+NFL!#REF!,0))</f>
        <v>0</v>
      </c>
      <c r="BK478" s="120">
        <f>IF(+NFL!$F42="Philadelphia",+NFL!#REF!,IF(+NFL!$H42="Philadelphia",+NFL!#REF!,0))</f>
        <v>0</v>
      </c>
    </row>
    <row r="479" spans="1:63" s="246" customFormat="1" x14ac:dyDescent="0.8">
      <c r="A479" s="46">
        <f>IF(+NFL!$F62="Philadelphia",+NFL!A62,IF(+NFL!$H62="Philadelphia",+NFL!A62,0))</f>
        <v>4</v>
      </c>
      <c r="B479" s="348" t="str">
        <f>IF(+NFL!$F62="Philadelphia",+NFL!B62,IF(+NFL!$H62="Philadelphia",+NFL!B62,0))</f>
        <v>Sun</v>
      </c>
      <c r="C479" s="48">
        <f>IF(+NFL!$F62="Philadelphia",+NFL!C62,IF(+NFL!$H62="Philadelphia",+NFL!C62,0))</f>
        <v>44836</v>
      </c>
      <c r="D479" s="490">
        <f>IF(+NFL!$F62="Philadelphia",+NFL!D62,IF(+NFL!$H62="Philadelphia",+NFL!D62,0))</f>
        <v>0.54166666666666663</v>
      </c>
      <c r="E479" s="46" t="str">
        <f>IF(+NFL!$F62="Philadelphia",+NFL!E62,IF(+NFL!$H62="Philadelphia",+NFL!E62,0))</f>
        <v>CBS</v>
      </c>
      <c r="F479" s="127" t="str">
        <f>IF(+NFL!$F62="Philadelphia",+NFL!F62,IF(+NFL!$H62="Philadelphia",+NFL!F62,0))</f>
        <v>Jacksonville</v>
      </c>
      <c r="G479" s="46" t="str">
        <f>IF(+NFL!$F62="Philadelphia",+NFL!G62,IF(+NFL!$H62="Philadelphia",+NFL!G62,0))</f>
        <v>AFCS</v>
      </c>
      <c r="H479" s="127" t="str">
        <f>IF(+NFL!$F62="Philadelphia",+NFL!H62,IF(+NFL!$H62="Philadelphia",+NFL!H62,0))</f>
        <v>Philadelphia</v>
      </c>
      <c r="I479" s="46" t="str">
        <f>IF(+NFL!$F62="Philadelphia",+NFL!I62,IF(+NFL!$H62="Philadelphia",+NFL!I62,0))</f>
        <v>NFCE</v>
      </c>
      <c r="J479" s="353" t="str">
        <f>IF(+NFL!$F62="Philadelphia",+NFL!J62,IF(+NFL!$H62="Philadelphia",+NFL!J62,0))</f>
        <v>Philadelphia</v>
      </c>
      <c r="K479" s="494" t="str">
        <f>IF(+NFL!$F62="Philadelphia",+NFL!K62,IF(+NFL!$H62="Philadelphia",+NFL!K62,0))</f>
        <v>Jacksonville</v>
      </c>
      <c r="L479" s="384">
        <f>IF(+NFL!$F62="Philadelphia",+NFL!L62,IF(+NFL!$H62="Philadelphia",+NFL!L62,0))</f>
        <v>6.5</v>
      </c>
      <c r="M479" s="385">
        <f>IF(+NFL!$F62="Philadelphia",+NFL!M62,IF(+NFL!$H62="Philadelphia",+NFL!M62,0))</f>
        <v>48</v>
      </c>
      <c r="N479" s="394" t="str">
        <f>IF(+NFL!$F62="Philadelphia",+NFL!N62,IF(+NFL!$H62="Philadelphia",+NFL!N62,0))</f>
        <v>Philadelphia</v>
      </c>
      <c r="O479" s="395">
        <f>IF(+NFL!$F62="Philadelphia",+NFL!O62,IF(+NFL!$H62="Philadelphia",+NFL!O62,0))</f>
        <v>29</v>
      </c>
      <c r="P479" s="394" t="str">
        <f>IF(+NFL!$F62="Philadelphia",+NFL!P62,IF(+NFL!$H62="Philadelphia",+NFL!P62,0))</f>
        <v>Jacksonville</v>
      </c>
      <c r="Q479" s="396">
        <f>IF(+NFL!$F62="Philadelphia",+NFL!Q62,IF(+NFL!$H62="Philadelphia",+NFL!Q62,0))</f>
        <v>21</v>
      </c>
      <c r="R479" s="397" t="str">
        <f>IF(+NFL!$F62="Philadelphia",+NFL!R62,IF(+NFL!$H62="Philadelphia",+NFL!R62,0))</f>
        <v>Philadelphia</v>
      </c>
      <c r="S479" s="396" t="str">
        <f>IF(+NFL!$F62="Philadelphia",+NFL!S62,IF(+NFL!$H62="Philadelphia",+NFL!S62,0))</f>
        <v>Jacksonville</v>
      </c>
      <c r="T479" s="398" t="str">
        <f>IF(+NFL!$F62="Philadelphia",+NFL!T62,IF(+NFL!$H62="Philadelphia",+NFL!T62,0))</f>
        <v>Philadelphia</v>
      </c>
      <c r="U479" s="396" t="str">
        <f>IF(+NFL!$F62="Philadelphia",+NFL!U62,IF(+NFL!$H62="Philadelphia",+NFL!U62,0))</f>
        <v>W</v>
      </c>
      <c r="V479" s="397">
        <f>IF(+NFL!$F56="Philadelphia",+NFL!#REF!,IF(+NFL!$H56="Philadelphia",+NFL!#REF!,0))</f>
        <v>0</v>
      </c>
      <c r="W479" s="396">
        <f>IF(+NFL!$F56="Philadelphia",+NFL!#REF!,IF(+NFL!$H56="Philadelphia",+NFL!#REF!,0))</f>
        <v>0</v>
      </c>
      <c r="X479" s="398">
        <f>IF(+NFL!$F56="Philadelphia",+NFL!#REF!,IF(+NFL!$H56="Philadelphia",+NFL!#REF!,0))</f>
        <v>0</v>
      </c>
      <c r="Y479" s="396">
        <f>IF(+NFL!$F56="Philadelphia",+NFL!#REF!,IF(+NFL!$H56="Philadelphia",+NFL!#REF!,0))</f>
        <v>0</v>
      </c>
      <c r="Z479" s="397">
        <f>IF(+NFL!$F56="Philadelphia",+NFL!#REF!,IF(+NFL!$H56="Philadelphia",+NFL!#REF!,0))</f>
        <v>0</v>
      </c>
      <c r="AA479" s="396">
        <f>IF(+NFL!$F56="Philadelphia",+NFL!#REF!,IF(+NFL!$H56="Philadelphia",+NFL!#REF!,0))</f>
        <v>0</v>
      </c>
      <c r="AB479" s="87">
        <f>IF(+NFL!$F56="Philadelphia",+NFL!#REF!,IF(+NFL!$H56="Philadelphia",+NFL!#REF!,0))</f>
        <v>0</v>
      </c>
      <c r="AC479" s="120">
        <f>IF(+NFL!$F56="Philadelphia",+NFL!#REF!,IF(+NFL!$H56="Philadelphia",+NFL!#REF!,0))</f>
        <v>0</v>
      </c>
      <c r="AD479" s="353">
        <f>IF(+NFL!$F56="Philadelphia",+NFL!#REF!,IF(+NFL!$H56="Philadelphia",+NFL!#REF!,0))</f>
        <v>0</v>
      </c>
      <c r="AE479" s="379">
        <f>IF(+NFL!$F56="Philadelphia",+NFL!#REF!,IF(+NFL!$H56="Philadelphia",+NFL!#REF!,0))</f>
        <v>0</v>
      </c>
      <c r="AF479" s="353">
        <f>IF(+NFL!$F56="Philadelphia",+NFL!#REF!,IF(+NFL!$H56="Philadelphia",+NFL!#REF!,0))</f>
        <v>0</v>
      </c>
      <c r="AG479" s="379">
        <f>IF(+NFL!$F56="Philadelphia",+NFL!#REF!,IF(+NFL!$H56="Philadelphia",+NFL!#REF!,0))</f>
        <v>0</v>
      </c>
      <c r="AH479" s="353">
        <f>IF(+NFL!$F56="Philadelphia",+NFL!#REF!,IF(+NFL!$H56="Philadelphia",+NFL!#REF!,0))</f>
        <v>0</v>
      </c>
      <c r="AI479" s="379">
        <f>IF(+NFL!$F56="Philadelphia",+NFL!#REF!,IF(+NFL!$H56="Philadelphia",+NFL!#REF!,0))</f>
        <v>0</v>
      </c>
      <c r="AJ479" s="353">
        <f>IF(+NFL!$F56="Philadelphia",+NFL!#REF!,IF(+NFL!$H56="Philadelphia",+NFL!#REF!,0))</f>
        <v>0</v>
      </c>
      <c r="AK479" s="379">
        <f>IF(+NFL!$F56="Philadelphia",+NFL!#REF!,IF(+NFL!$H56="Philadelphia",+NFL!#REF!,0))</f>
        <v>0</v>
      </c>
      <c r="AL479" s="68">
        <f>IF(+NFL!$F56="Philadelphia",+NFL!#REF!,IF(+NFL!$H56="Philadelphia",+NFL!#REF!,0))</f>
        <v>0</v>
      </c>
      <c r="AM479" s="58">
        <f>IF(+NFL!$F56="Philadelphia",+NFL!#REF!,IF(+NFL!$H56="Philadelphia",+NFL!#REF!,0))</f>
        <v>0</v>
      </c>
      <c r="AN479" s="57">
        <f>IF(+NFL!$F56="Philadelphia",+NFL!#REF!,IF(+NFL!$H56="Philadelphia",+NFL!#REF!,0))</f>
        <v>0</v>
      </c>
      <c r="AO479" s="59">
        <f>IF(+NFL!$F56="Philadelphia",+NFL!#REF!,IF(+NFL!$H56="Philadelphia",+NFL!#REF!,0))</f>
        <v>0</v>
      </c>
      <c r="AP479" s="348">
        <f>IF(+NFL!$F56="Philadelphia",+NFL!#REF!,IF(+NFL!$H56="Philadelphia",+NFL!#REF!,0))</f>
        <v>0</v>
      </c>
      <c r="AQ479" s="48">
        <f>IF(+NFL!$F56="Philadelphia",+NFL!#REF!,IF(+NFL!$H56="Philadelphia",+NFL!#REF!,0))</f>
        <v>0</v>
      </c>
      <c r="AR479" s="57">
        <f>IF(+NFL!$F56="Philadelphia",+NFL!#REF!,IF(+NFL!$H56="Philadelphia",+NFL!#REF!,0))</f>
        <v>0</v>
      </c>
      <c r="AS479" s="64">
        <f>IF(+NFL!$F56="Philadelphia",+NFL!#REF!,IF(+NFL!$H56="Philadelphia",+NFL!#REF!,0))</f>
        <v>0</v>
      </c>
      <c r="AT479" s="64">
        <f>IF(+NFL!$F56="Philadelphia",+NFL!#REF!,IF(+NFL!$H56="Philadelphia",+NFL!#REF!,0))</f>
        <v>0</v>
      </c>
      <c r="AU479" s="57">
        <f>IF(+NFL!$F56="Philadelphia",+NFL!#REF!,IF(+NFL!$H56="Philadelphia",+NFL!#REF!,0))</f>
        <v>0</v>
      </c>
      <c r="AV479" s="64">
        <f>IF(+NFL!$F56="Philadelphia",+NFL!#REF!,IF(+NFL!$H56="Philadelphia",+NFL!#REF!,0))</f>
        <v>0</v>
      </c>
      <c r="AW479" s="46">
        <f>IF(+NFL!$F56="Philadelphia",+NFL!#REF!,IF(+NFL!$H56="Philadelphia",+NFL!#REF!,0))</f>
        <v>0</v>
      </c>
      <c r="AX479" s="64">
        <f>IF(+NFL!$F56="Philadelphia",+NFL!#REF!,IF(+NFL!$H56="Philadelphia",+NFL!#REF!,0))</f>
        <v>0</v>
      </c>
      <c r="AY479" s="57">
        <f>IF(+NFL!$F56="Philadelphia",+NFL!#REF!,IF(+NFL!$H56="Philadelphia",+NFL!#REF!,0))</f>
        <v>0</v>
      </c>
      <c r="AZ479" s="64">
        <f>IF(+NFL!$F56="Philadelphia",+NFL!#REF!,IF(+NFL!$H56="Philadelphia",+NFL!#REF!,0))</f>
        <v>0</v>
      </c>
      <c r="BA479" s="46">
        <f>IF(+NFL!$F56="Philadelphia",+NFL!#REF!,IF(+NFL!$H56="Philadelphia",+NFL!#REF!,0))</f>
        <v>0</v>
      </c>
      <c r="BB479" s="46">
        <f>IF(+NFL!$F56="Philadelphia",+NFL!#REF!,IF(+NFL!$H56="Philadelphia",+NFL!#REF!,0))</f>
        <v>0</v>
      </c>
      <c r="BC479" s="403">
        <f>IF(+NFL!$F56="Philadelphia",+NFL!#REF!,IF(+NFL!$H56="Philadelphia",+NFL!#REF!,0))</f>
        <v>0</v>
      </c>
      <c r="BD479" s="57">
        <f>IF(+NFL!$F56="Philadelphia",+NFL!#REF!,IF(+NFL!$H56="Philadelphia",+NFL!#REF!,0))</f>
        <v>0</v>
      </c>
      <c r="BE479" s="64">
        <f>IF(+NFL!$F56="Philadelphia",+NFL!#REF!,IF(+NFL!$H56="Philadelphia",+NFL!#REF!,0))</f>
        <v>0</v>
      </c>
      <c r="BF479" s="46">
        <f>IF(+NFL!$F56="Philadelphia",+NFL!#REF!,IF(+NFL!$H56="Philadelphia",+NFL!#REF!,0))</f>
        <v>0</v>
      </c>
      <c r="BG479" s="57">
        <f>IF(+NFL!$F56="Philadelphia",+NFL!#REF!,IF(+NFL!$H56="Philadelphia",+NFL!#REF!,0))</f>
        <v>0</v>
      </c>
      <c r="BH479" s="64">
        <f>IF(+NFL!$F56="Philadelphia",+NFL!#REF!,IF(+NFL!$H56="Philadelphia",+NFL!#REF!,0))</f>
        <v>0</v>
      </c>
      <c r="BI479" s="46">
        <f>IF(+NFL!$F56="Philadelphia",+NFL!#REF!,IF(+NFL!$H56="Philadelphia",+NFL!#REF!,0))</f>
        <v>0</v>
      </c>
      <c r="BJ479" s="87">
        <f>IF(+NFL!$F56="Philadelphia",+NFL!#REF!,IF(+NFL!$H56="Philadelphia",+NFL!#REF!,0))</f>
        <v>0</v>
      </c>
      <c r="BK479" s="120">
        <f>IF(+NFL!$F56="Philadelphia",+NFL!#REF!,IF(+NFL!$H56="Philadelphia",+NFL!#REF!,0))</f>
        <v>0</v>
      </c>
    </row>
    <row r="480" spans="1:63" s="246" customFormat="1" x14ac:dyDescent="0.8">
      <c r="A480" s="46">
        <f>IF(+NFL!$F85="Philadelphia",+NFL!A85,IF(+NFL!$H85="Philadelphia",+NFL!A85,0))</f>
        <v>5</v>
      </c>
      <c r="B480" s="348" t="str">
        <f>IF(+NFL!$F85="Philadelphia",+NFL!B85,IF(+NFL!$H85="Philadelphia",+NFL!B85,0))</f>
        <v>Sun</v>
      </c>
      <c r="C480" s="48">
        <f>IF(+NFL!$F85="Philadelphia",+NFL!C85,IF(+NFL!$H85="Philadelphia",+NFL!C85,0))</f>
        <v>44843</v>
      </c>
      <c r="D480" s="490">
        <f>IF(+NFL!$F85="Philadelphia",+NFL!D85,IF(+NFL!$H85="Philadelphia",+NFL!D85,0))</f>
        <v>0.66666666666666663</v>
      </c>
      <c r="E480" s="46" t="str">
        <f>IF(+NFL!$F85="Philadelphia",+NFL!E85,IF(+NFL!$H85="Philadelphia",+NFL!E85,0))</f>
        <v>Fox</v>
      </c>
      <c r="F480" s="127" t="str">
        <f>IF(+NFL!$F85="Philadelphia",+NFL!F85,IF(+NFL!$H85="Philadelphia",+NFL!F85,0))</f>
        <v>Philadelphia</v>
      </c>
      <c r="G480" s="46" t="str">
        <f>IF(+NFL!$F85="Philadelphia",+NFL!G85,IF(+NFL!$H85="Philadelphia",+NFL!G85,0))</f>
        <v>NFCE</v>
      </c>
      <c r="H480" s="127" t="str">
        <f>IF(+NFL!$F85="Philadelphia",+NFL!H85,IF(+NFL!$H85="Philadelphia",+NFL!H85,0))</f>
        <v>Arizona</v>
      </c>
      <c r="I480" s="46" t="str">
        <f>IF(+NFL!$F85="Philadelphia",+NFL!I85,IF(+NFL!$H85="Philadelphia",+NFL!I85,0))</f>
        <v>NFCW</v>
      </c>
      <c r="J480" s="353" t="str">
        <f>IF(+NFL!$F85="Philadelphia",+NFL!J85,IF(+NFL!$H85="Philadelphia",+NFL!J85,0))</f>
        <v>Philadelphia</v>
      </c>
      <c r="K480" s="494" t="str">
        <f>IF(+NFL!$F85="Philadelphia",+NFL!K85,IF(+NFL!$H85="Philadelphia",+NFL!K85,0))</f>
        <v>Arizona</v>
      </c>
      <c r="L480" s="384">
        <f>IF(+NFL!$F85="Philadelphia",+NFL!L85,IF(+NFL!$H85="Philadelphia",+NFL!L85,0))</f>
        <v>5.5</v>
      </c>
      <c r="M480" s="385">
        <f>IF(+NFL!$F85="Philadelphia",+NFL!M85,IF(+NFL!$H85="Philadelphia",+NFL!M85,0))</f>
        <v>49</v>
      </c>
      <c r="N480" s="394" t="str">
        <f>IF(+NFL!$F85="Philadelphia",+NFL!N85,IF(+NFL!$H85="Philadelphia",+NFL!N85,0))</f>
        <v>Philadelphia</v>
      </c>
      <c r="O480" s="395">
        <f>IF(+NFL!$F85="Philadelphia",+NFL!O85,IF(+NFL!$H85="Philadelphia",+NFL!O85,0))</f>
        <v>20</v>
      </c>
      <c r="P480" s="394" t="str">
        <f>IF(+NFL!$F85="Philadelphia",+NFL!P85,IF(+NFL!$H85="Philadelphia",+NFL!P85,0))</f>
        <v>Arizona</v>
      </c>
      <c r="Q480" s="396">
        <f>IF(+NFL!$F85="Philadelphia",+NFL!Q85,IF(+NFL!$H85="Philadelphia",+NFL!Q85,0))</f>
        <v>17</v>
      </c>
      <c r="R480" s="397" t="str">
        <f>IF(+NFL!$F85="Philadelphia",+NFL!R85,IF(+NFL!$H85="Philadelphia",+NFL!R85,0))</f>
        <v>Arizona</v>
      </c>
      <c r="S480" s="396" t="str">
        <f>IF(+NFL!$F85="Philadelphia",+NFL!S85,IF(+NFL!$H85="Philadelphia",+NFL!S85,0))</f>
        <v>Philadelphia</v>
      </c>
      <c r="T480" s="398" t="str">
        <f>IF(+NFL!$F85="Philadelphia",+NFL!T85,IF(+NFL!$H85="Philadelphia",+NFL!T85,0))</f>
        <v>Arizona</v>
      </c>
      <c r="U480" s="396" t="str">
        <f>IF(+NFL!$F85="Philadelphia",+NFL!U85,IF(+NFL!$H85="Philadelphia",+NFL!U85,0))</f>
        <v>W</v>
      </c>
      <c r="V480" s="397">
        <f>IF(+NFL!$F69="Philadelphia",+NFL!#REF!,IF(+NFL!$H69="Philadelphia",+NFL!#REF!,0))</f>
        <v>0</v>
      </c>
      <c r="W480" s="396">
        <f>IF(+NFL!$F69="Philadelphia",+NFL!#REF!,IF(+NFL!$H69="Philadelphia",+NFL!#REF!,0))</f>
        <v>0</v>
      </c>
      <c r="X480" s="398">
        <f>IF(+NFL!$F69="Philadelphia",+NFL!#REF!,IF(+NFL!$H69="Philadelphia",+NFL!#REF!,0))</f>
        <v>0</v>
      </c>
      <c r="Y480" s="396">
        <f>IF(+NFL!$F69="Philadelphia",+NFL!#REF!,IF(+NFL!$H69="Philadelphia",+NFL!#REF!,0))</f>
        <v>0</v>
      </c>
      <c r="Z480" s="397">
        <f>IF(+NFL!$F69="Philadelphia",+NFL!#REF!,IF(+NFL!$H69="Philadelphia",+NFL!#REF!,0))</f>
        <v>0</v>
      </c>
      <c r="AA480" s="396">
        <f>IF(+NFL!$F69="Philadelphia",+NFL!#REF!,IF(+NFL!$H69="Philadelphia",+NFL!#REF!,0))</f>
        <v>0</v>
      </c>
      <c r="AB480" s="87">
        <f>IF(+NFL!$F69="Philadelphia",+NFL!#REF!,IF(+NFL!$H69="Philadelphia",+NFL!#REF!,0))</f>
        <v>0</v>
      </c>
      <c r="AC480" s="120">
        <f>IF(+NFL!$F69="Philadelphia",+NFL!#REF!,IF(+NFL!$H69="Philadelphia",+NFL!#REF!,0))</f>
        <v>0</v>
      </c>
      <c r="AD480" s="353">
        <f>IF(+NFL!$F69="Philadelphia",+NFL!#REF!,IF(+NFL!$H69="Philadelphia",+NFL!#REF!,0))</f>
        <v>0</v>
      </c>
      <c r="AE480" s="379">
        <f>IF(+NFL!$F69="Philadelphia",+NFL!#REF!,IF(+NFL!$H69="Philadelphia",+NFL!#REF!,0))</f>
        <v>0</v>
      </c>
      <c r="AF480" s="353">
        <f>IF(+NFL!$F69="Philadelphia",+NFL!#REF!,IF(+NFL!$H69="Philadelphia",+NFL!#REF!,0))</f>
        <v>0</v>
      </c>
      <c r="AG480" s="379">
        <f>IF(+NFL!$F69="Philadelphia",+NFL!#REF!,IF(+NFL!$H69="Philadelphia",+NFL!#REF!,0))</f>
        <v>0</v>
      </c>
      <c r="AH480" s="353">
        <f>IF(+NFL!$F69="Philadelphia",+NFL!#REF!,IF(+NFL!$H69="Philadelphia",+NFL!#REF!,0))</f>
        <v>0</v>
      </c>
      <c r="AI480" s="379">
        <f>IF(+NFL!$F69="Philadelphia",+NFL!#REF!,IF(+NFL!$H69="Philadelphia",+NFL!#REF!,0))</f>
        <v>0</v>
      </c>
      <c r="AJ480" s="353">
        <f>IF(+NFL!$F69="Philadelphia",+NFL!#REF!,IF(+NFL!$H69="Philadelphia",+NFL!#REF!,0))</f>
        <v>0</v>
      </c>
      <c r="AK480" s="379">
        <f>IF(+NFL!$F69="Philadelphia",+NFL!#REF!,IF(+NFL!$H69="Philadelphia",+NFL!#REF!,0))</f>
        <v>0</v>
      </c>
      <c r="AL480" s="68">
        <f>IF(+NFL!$F69="Philadelphia",+NFL!#REF!,IF(+NFL!$H69="Philadelphia",+NFL!#REF!,0))</f>
        <v>0</v>
      </c>
      <c r="AM480" s="58">
        <f>IF(+NFL!$F69="Philadelphia",+NFL!#REF!,IF(+NFL!$H69="Philadelphia",+NFL!#REF!,0))</f>
        <v>0</v>
      </c>
      <c r="AN480" s="57">
        <f>IF(+NFL!$F69="Philadelphia",+NFL!#REF!,IF(+NFL!$H69="Philadelphia",+NFL!#REF!,0))</f>
        <v>0</v>
      </c>
      <c r="AO480" s="59">
        <f>IF(+NFL!$F69="Philadelphia",+NFL!#REF!,IF(+NFL!$H69="Philadelphia",+NFL!#REF!,0))</f>
        <v>0</v>
      </c>
      <c r="AP480" s="348">
        <f>IF(+NFL!$F69="Philadelphia",+NFL!#REF!,IF(+NFL!$H69="Philadelphia",+NFL!#REF!,0))</f>
        <v>0</v>
      </c>
      <c r="AQ480" s="48">
        <f>IF(+NFL!$F69="Philadelphia",+NFL!#REF!,IF(+NFL!$H69="Philadelphia",+NFL!#REF!,0))</f>
        <v>0</v>
      </c>
      <c r="AR480" s="57">
        <f>IF(+NFL!$F69="Philadelphia",+NFL!#REF!,IF(+NFL!$H69="Philadelphia",+NFL!#REF!,0))</f>
        <v>0</v>
      </c>
      <c r="AS480" s="64">
        <f>IF(+NFL!$F69="Philadelphia",+NFL!#REF!,IF(+NFL!$H69="Philadelphia",+NFL!#REF!,0))</f>
        <v>0</v>
      </c>
      <c r="AT480" s="64">
        <f>IF(+NFL!$F69="Philadelphia",+NFL!#REF!,IF(+NFL!$H69="Philadelphia",+NFL!#REF!,0))</f>
        <v>0</v>
      </c>
      <c r="AU480" s="57">
        <f>IF(+NFL!$F69="Philadelphia",+NFL!#REF!,IF(+NFL!$H69="Philadelphia",+NFL!#REF!,0))</f>
        <v>0</v>
      </c>
      <c r="AV480" s="64">
        <f>IF(+NFL!$F69="Philadelphia",+NFL!#REF!,IF(+NFL!$H69="Philadelphia",+NFL!#REF!,0))</f>
        <v>0</v>
      </c>
      <c r="AW480" s="46">
        <f>IF(+NFL!$F69="Philadelphia",+NFL!#REF!,IF(+NFL!$H69="Philadelphia",+NFL!#REF!,0))</f>
        <v>0</v>
      </c>
      <c r="AX480" s="64">
        <f>IF(+NFL!$F69="Philadelphia",+NFL!#REF!,IF(+NFL!$H69="Philadelphia",+NFL!#REF!,0))</f>
        <v>0</v>
      </c>
      <c r="AY480" s="57">
        <f>IF(+NFL!$F69="Philadelphia",+NFL!#REF!,IF(+NFL!$H69="Philadelphia",+NFL!#REF!,0))</f>
        <v>0</v>
      </c>
      <c r="AZ480" s="64">
        <f>IF(+NFL!$F69="Philadelphia",+NFL!#REF!,IF(+NFL!$H69="Philadelphia",+NFL!#REF!,0))</f>
        <v>0</v>
      </c>
      <c r="BA480" s="46">
        <f>IF(+NFL!$F69="Philadelphia",+NFL!#REF!,IF(+NFL!$H69="Philadelphia",+NFL!#REF!,0))</f>
        <v>0</v>
      </c>
      <c r="BB480" s="46">
        <f>IF(+NFL!$F69="Philadelphia",+NFL!#REF!,IF(+NFL!$H69="Philadelphia",+NFL!#REF!,0))</f>
        <v>0</v>
      </c>
      <c r="BC480" s="403">
        <f>IF(+NFL!$F69="Philadelphia",+NFL!#REF!,IF(+NFL!$H69="Philadelphia",+NFL!#REF!,0))</f>
        <v>0</v>
      </c>
      <c r="BD480" s="57">
        <f>IF(+NFL!$F69="Philadelphia",+NFL!#REF!,IF(+NFL!$H69="Philadelphia",+NFL!#REF!,0))</f>
        <v>0</v>
      </c>
      <c r="BE480" s="64">
        <f>IF(+NFL!$F69="Philadelphia",+NFL!#REF!,IF(+NFL!$H69="Philadelphia",+NFL!#REF!,0))</f>
        <v>0</v>
      </c>
      <c r="BF480" s="46">
        <f>IF(+NFL!$F69="Philadelphia",+NFL!#REF!,IF(+NFL!$H69="Philadelphia",+NFL!#REF!,0))</f>
        <v>0</v>
      </c>
      <c r="BG480" s="57">
        <f>IF(+NFL!$F69="Philadelphia",+NFL!#REF!,IF(+NFL!$H69="Philadelphia",+NFL!#REF!,0))</f>
        <v>0</v>
      </c>
      <c r="BH480" s="64">
        <f>IF(+NFL!$F69="Philadelphia",+NFL!#REF!,IF(+NFL!$H69="Philadelphia",+NFL!#REF!,0))</f>
        <v>0</v>
      </c>
      <c r="BI480" s="46">
        <f>IF(+NFL!$F69="Philadelphia",+NFL!#REF!,IF(+NFL!$H69="Philadelphia",+NFL!#REF!,0))</f>
        <v>0</v>
      </c>
      <c r="BJ480" s="87">
        <f>IF(+NFL!$F69="Philadelphia",+NFL!#REF!,IF(+NFL!$H69="Philadelphia",+NFL!#REF!,0))</f>
        <v>0</v>
      </c>
      <c r="BK480" s="120">
        <f>IF(+NFL!$F69="Philadelphia",+NFL!#REF!,IF(+NFL!$H69="Philadelphia",+NFL!#REF!,0))</f>
        <v>0</v>
      </c>
    </row>
    <row r="481" spans="1:63" s="246" customFormat="1" x14ac:dyDescent="0.8">
      <c r="A481" s="46">
        <f>IF(+NFL!$F101="Philadelphia",+NFL!A101,IF(+NFL!$H101="Philadelphia",+NFL!A101,0))</f>
        <v>6</v>
      </c>
      <c r="B481" s="348" t="str">
        <f>IF(+NFL!$F101="Philadelphia",+NFL!B101,IF(+NFL!$H101="Philadelphia",+NFL!B101,0))</f>
        <v>Sun</v>
      </c>
      <c r="C481" s="48">
        <f>IF(+NFL!$F101="Philadelphia",+NFL!C101,IF(+NFL!$H101="Philadelphia",+NFL!C101,0))</f>
        <v>44850</v>
      </c>
      <c r="D481" s="490">
        <f>IF(+NFL!$F101="Philadelphia",+NFL!D101,IF(+NFL!$H101="Philadelphia",+NFL!D101,0))</f>
        <v>0.84375</v>
      </c>
      <c r="E481" s="46" t="str">
        <f>IF(+NFL!$F101="Philadelphia",+NFL!E101,IF(+NFL!$H101="Philadelphia",+NFL!E101,0))</f>
        <v>NBC</v>
      </c>
      <c r="F481" s="127" t="str">
        <f>IF(+NFL!$F101="Philadelphia",+NFL!F101,IF(+NFL!$H101="Philadelphia",+NFL!F101,0))</f>
        <v>Dallas</v>
      </c>
      <c r="G481" s="46" t="str">
        <f>IF(+NFL!$F101="Philadelphia",+NFL!G101,IF(+NFL!$H101="Philadelphia",+NFL!G101,0))</f>
        <v>NFCE</v>
      </c>
      <c r="H481" s="127" t="str">
        <f>IF(+NFL!$F101="Philadelphia",+NFL!H101,IF(+NFL!$H101="Philadelphia",+NFL!H101,0))</f>
        <v>Philadelphia</v>
      </c>
      <c r="I481" s="46" t="str">
        <f>IF(+NFL!$F101="Philadelphia",+NFL!I101,IF(+NFL!$H101="Philadelphia",+NFL!I101,0))</f>
        <v>NFCE</v>
      </c>
      <c r="J481" s="353" t="str">
        <f>IF(+NFL!$F101="Philadelphia",+NFL!J101,IF(+NFL!$H101="Philadelphia",+NFL!J101,0))</f>
        <v>Philadelphia</v>
      </c>
      <c r="K481" s="494" t="str">
        <f>IF(+NFL!$F101="Philadelphia",+NFL!K101,IF(+NFL!$H101="Philadelphia",+NFL!K101,0))</f>
        <v>Dallas</v>
      </c>
      <c r="L481" s="384">
        <f>IF(+NFL!$F101="Philadelphia",+NFL!L101,IF(+NFL!$H101="Philadelphia",+NFL!L101,0))</f>
        <v>6.5</v>
      </c>
      <c r="M481" s="385">
        <f>IF(+NFL!$F101="Philadelphia",+NFL!M101,IF(+NFL!$H101="Philadelphia",+NFL!M101,0))</f>
        <v>42</v>
      </c>
      <c r="N481" s="394" t="str">
        <f>IF(+NFL!$F101="Philadelphia",+NFL!N101,IF(+NFL!$H101="Philadelphia",+NFL!N101,0))</f>
        <v>Philadelphia</v>
      </c>
      <c r="O481" s="395">
        <f>IF(+NFL!$F101="Philadelphia",+NFL!O101,IF(+NFL!$H101="Philadelphia",+NFL!O101,0))</f>
        <v>26</v>
      </c>
      <c r="P481" s="394" t="str">
        <f>IF(+NFL!$F101="Philadelphia",+NFL!P101,IF(+NFL!$H101="Philadelphia",+NFL!P101,0))</f>
        <v>Dallas</v>
      </c>
      <c r="Q481" s="396">
        <f>IF(+NFL!$F101="Philadelphia",+NFL!Q101,IF(+NFL!$H101="Philadelphia",+NFL!Q101,0))</f>
        <v>17</v>
      </c>
      <c r="R481" s="397" t="str">
        <f>IF(+NFL!$F101="Philadelphia",+NFL!R101,IF(+NFL!$H101="Philadelphia",+NFL!R101,0))</f>
        <v>Philadelphia</v>
      </c>
      <c r="S481" s="396" t="str">
        <f>IF(+NFL!$F101="Philadelphia",+NFL!S101,IF(+NFL!$H101="Philadelphia",+NFL!S101,0))</f>
        <v>Dallas</v>
      </c>
      <c r="T481" s="398" t="str">
        <f>IF(+NFL!$F101="Philadelphia",+NFL!T101,IF(+NFL!$H101="Philadelphia",+NFL!T101,0))</f>
        <v>Philadelphia</v>
      </c>
      <c r="U481" s="396" t="str">
        <f>IF(+NFL!$F101="Philadelphia",+NFL!U101,IF(+NFL!$H101="Philadelphia",+NFL!U101,0))</f>
        <v>W</v>
      </c>
      <c r="V481" s="397" t="e">
        <f>IF(+NFL!#REF!="Philadelphia",+NFL!#REF!,IF(+NFL!#REF!="Philadelphia",+NFL!#REF!,0))</f>
        <v>#REF!</v>
      </c>
      <c r="W481" s="396" t="e">
        <f>IF(+NFL!#REF!="Philadelphia",+NFL!#REF!,IF(+NFL!#REF!="Philadelphia",+NFL!#REF!,0))</f>
        <v>#REF!</v>
      </c>
      <c r="X481" s="398" t="e">
        <f>IF(+NFL!#REF!="Philadelphia",+NFL!#REF!,IF(+NFL!#REF!="Philadelphia",+NFL!#REF!,0))</f>
        <v>#REF!</v>
      </c>
      <c r="Y481" s="396" t="e">
        <f>IF(+NFL!#REF!="Philadelphia",+NFL!#REF!,IF(+NFL!#REF!="Philadelphia",+NFL!#REF!,0))</f>
        <v>#REF!</v>
      </c>
      <c r="Z481" s="397" t="e">
        <f>IF(+NFL!#REF!="Philadelphia",+NFL!#REF!,IF(+NFL!#REF!="Philadelphia",+NFL!#REF!,0))</f>
        <v>#REF!</v>
      </c>
      <c r="AA481" s="396" t="e">
        <f>IF(+NFL!#REF!="Philadelphia",+NFL!#REF!,IF(+NFL!#REF!="Philadelphia",+NFL!#REF!,0))</f>
        <v>#REF!</v>
      </c>
      <c r="AB481" s="87" t="e">
        <f>IF(+NFL!#REF!="Philadelphia",+NFL!#REF!,IF(+NFL!#REF!="Philadelphia",+NFL!#REF!,0))</f>
        <v>#REF!</v>
      </c>
      <c r="AC481" s="120" t="e">
        <f>IF(+NFL!#REF!="Philadelphia",+NFL!#REF!,IF(+NFL!#REF!="Philadelphia",+NFL!#REF!,0))</f>
        <v>#REF!</v>
      </c>
      <c r="AD481" s="353" t="e">
        <f>IF(+NFL!#REF!="Philadelphia",+NFL!#REF!,IF(+NFL!#REF!="Philadelphia",+NFL!#REF!,0))</f>
        <v>#REF!</v>
      </c>
      <c r="AE481" s="379" t="e">
        <f>IF(+NFL!#REF!="Philadelphia",+NFL!#REF!,IF(+NFL!#REF!="Philadelphia",+NFL!#REF!,0))</f>
        <v>#REF!</v>
      </c>
      <c r="AF481" s="353" t="e">
        <f>IF(+NFL!#REF!="Philadelphia",+NFL!#REF!,IF(+NFL!#REF!="Philadelphia",+NFL!#REF!,0))</f>
        <v>#REF!</v>
      </c>
      <c r="AG481" s="379" t="e">
        <f>IF(+NFL!#REF!="Philadelphia",+NFL!#REF!,IF(+NFL!#REF!="Philadelphia",+NFL!#REF!,0))</f>
        <v>#REF!</v>
      </c>
      <c r="AH481" s="353" t="e">
        <f>IF(+NFL!#REF!="Philadelphia",+NFL!#REF!,IF(+NFL!#REF!="Philadelphia",+NFL!#REF!,0))</f>
        <v>#REF!</v>
      </c>
      <c r="AI481" s="379" t="e">
        <f>IF(+NFL!#REF!="Philadelphia",+NFL!#REF!,IF(+NFL!#REF!="Philadelphia",+NFL!#REF!,0))</f>
        <v>#REF!</v>
      </c>
      <c r="AJ481" s="353" t="e">
        <f>IF(+NFL!#REF!="Philadelphia",+NFL!#REF!,IF(+NFL!#REF!="Philadelphia",+NFL!#REF!,0))</f>
        <v>#REF!</v>
      </c>
      <c r="AK481" s="379" t="e">
        <f>IF(+NFL!#REF!="Philadelphia",+NFL!#REF!,IF(+NFL!#REF!="Philadelphia",+NFL!#REF!,0))</f>
        <v>#REF!</v>
      </c>
      <c r="AL481" s="68" t="e">
        <f>IF(+NFL!#REF!="Philadelphia",+NFL!#REF!,IF(+NFL!#REF!="Philadelphia",+NFL!#REF!,0))</f>
        <v>#REF!</v>
      </c>
      <c r="AM481" s="58" t="e">
        <f>IF(+NFL!#REF!="Philadelphia",+NFL!#REF!,IF(+NFL!#REF!="Philadelphia",+NFL!#REF!,0))</f>
        <v>#REF!</v>
      </c>
      <c r="AN481" s="57" t="e">
        <f>IF(+NFL!#REF!="Philadelphia",+NFL!#REF!,IF(+NFL!#REF!="Philadelphia",+NFL!#REF!,0))</f>
        <v>#REF!</v>
      </c>
      <c r="AO481" s="59" t="e">
        <f>IF(+NFL!#REF!="Philadelphia",+NFL!#REF!,IF(+NFL!#REF!="Philadelphia",+NFL!#REF!,0))</f>
        <v>#REF!</v>
      </c>
      <c r="AP481" s="348" t="e">
        <f>IF(+NFL!#REF!="Philadelphia",+NFL!#REF!,IF(+NFL!#REF!="Philadelphia",+NFL!#REF!,0))</f>
        <v>#REF!</v>
      </c>
      <c r="AQ481" s="48" t="e">
        <f>IF(+NFL!#REF!="Philadelphia",+NFL!#REF!,IF(+NFL!#REF!="Philadelphia",+NFL!#REF!,0))</f>
        <v>#REF!</v>
      </c>
      <c r="AR481" s="57" t="e">
        <f>IF(+NFL!#REF!="Philadelphia",+NFL!#REF!,IF(+NFL!#REF!="Philadelphia",+NFL!#REF!,0))</f>
        <v>#REF!</v>
      </c>
      <c r="AS481" s="64" t="e">
        <f>IF(+NFL!#REF!="Philadelphia",+NFL!#REF!,IF(+NFL!#REF!="Philadelphia",+NFL!#REF!,0))</f>
        <v>#REF!</v>
      </c>
      <c r="AT481" s="64" t="e">
        <f>IF(+NFL!#REF!="Philadelphia",+NFL!#REF!,IF(+NFL!#REF!="Philadelphia",+NFL!#REF!,0))</f>
        <v>#REF!</v>
      </c>
      <c r="AU481" s="57" t="e">
        <f>IF(+NFL!#REF!="Philadelphia",+NFL!#REF!,IF(+NFL!#REF!="Philadelphia",+NFL!#REF!,0))</f>
        <v>#REF!</v>
      </c>
      <c r="AV481" s="64" t="e">
        <f>IF(+NFL!#REF!="Philadelphia",+NFL!#REF!,IF(+NFL!#REF!="Philadelphia",+NFL!#REF!,0))</f>
        <v>#REF!</v>
      </c>
      <c r="AW481" s="46" t="e">
        <f>IF(+NFL!#REF!="Philadelphia",+NFL!#REF!,IF(+NFL!#REF!="Philadelphia",+NFL!#REF!,0))</f>
        <v>#REF!</v>
      </c>
      <c r="AX481" s="64" t="e">
        <f>IF(+NFL!#REF!="Philadelphia",+NFL!#REF!,IF(+NFL!#REF!="Philadelphia",+NFL!#REF!,0))</f>
        <v>#REF!</v>
      </c>
      <c r="AY481" s="57" t="e">
        <f>IF(+NFL!#REF!="Philadelphia",+NFL!#REF!,IF(+NFL!#REF!="Philadelphia",+NFL!#REF!,0))</f>
        <v>#REF!</v>
      </c>
      <c r="AZ481" s="64" t="e">
        <f>IF(+NFL!#REF!="Philadelphia",+NFL!#REF!,IF(+NFL!#REF!="Philadelphia",+NFL!#REF!,0))</f>
        <v>#REF!</v>
      </c>
      <c r="BA481" s="46" t="e">
        <f>IF(+NFL!#REF!="Philadelphia",+NFL!#REF!,IF(+NFL!#REF!="Philadelphia",+NFL!#REF!,0))</f>
        <v>#REF!</v>
      </c>
      <c r="BB481" s="46" t="e">
        <f>IF(+NFL!#REF!="Philadelphia",+NFL!#REF!,IF(+NFL!#REF!="Philadelphia",+NFL!#REF!,0))</f>
        <v>#REF!</v>
      </c>
      <c r="BC481" s="403" t="e">
        <f>IF(+NFL!#REF!="Philadelphia",+NFL!#REF!,IF(+NFL!#REF!="Philadelphia",+NFL!#REF!,0))</f>
        <v>#REF!</v>
      </c>
      <c r="BD481" s="57" t="e">
        <f>IF(+NFL!#REF!="Philadelphia",+NFL!#REF!,IF(+NFL!#REF!="Philadelphia",+NFL!#REF!,0))</f>
        <v>#REF!</v>
      </c>
      <c r="BE481" s="64" t="e">
        <f>IF(+NFL!#REF!="Philadelphia",+NFL!#REF!,IF(+NFL!#REF!="Philadelphia",+NFL!#REF!,0))</f>
        <v>#REF!</v>
      </c>
      <c r="BF481" s="46" t="e">
        <f>IF(+NFL!#REF!="Philadelphia",+NFL!#REF!,IF(+NFL!#REF!="Philadelphia",+NFL!#REF!,0))</f>
        <v>#REF!</v>
      </c>
      <c r="BG481" s="57" t="e">
        <f>IF(+NFL!#REF!="Philadelphia",+NFL!#REF!,IF(+NFL!#REF!="Philadelphia",+NFL!#REF!,0))</f>
        <v>#REF!</v>
      </c>
      <c r="BH481" s="64" t="e">
        <f>IF(+NFL!#REF!="Philadelphia",+NFL!#REF!,IF(+NFL!#REF!="Philadelphia",+NFL!#REF!,0))</f>
        <v>#REF!</v>
      </c>
      <c r="BI481" s="46" t="e">
        <f>IF(+NFL!#REF!="Philadelphia",+NFL!#REF!,IF(+NFL!#REF!="Philadelphia",+NFL!#REF!,0))</f>
        <v>#REF!</v>
      </c>
      <c r="BJ481" s="87" t="e">
        <f>IF(+NFL!#REF!="Philadelphia",+NFL!#REF!,IF(+NFL!#REF!="Philadelphia",+NFL!#REF!,0))</f>
        <v>#REF!</v>
      </c>
      <c r="BK481" s="120" t="e">
        <f>IF(+NFL!#REF!="Philadelphia",+NFL!#REF!,IF(+NFL!#REF!="Philadelphia",+NFL!#REF!,0))</f>
        <v>#REF!</v>
      </c>
    </row>
    <row r="482" spans="1:63" s="246" customFormat="1" x14ac:dyDescent="0.8">
      <c r="A482" s="46">
        <f>IF(+NFL!$F127="Philadelphia",+NFL!A127,IF(+NFL!$H127="Philadelphia",+NFL!A127,0))</f>
        <v>7</v>
      </c>
      <c r="B482" s="348">
        <f>IF(+NFL!$F127="Philadelphia",+NFL!B127,IF(+NFL!$H127="Philadelphia",+NFL!B127,0))</f>
        <v>0</v>
      </c>
      <c r="C482" s="48">
        <f>IF(+NFL!$F127="Philadelphia",+NFL!C127,IF(+NFL!$H127="Philadelphia",+NFL!C127,0))</f>
        <v>0</v>
      </c>
      <c r="D482" s="490">
        <f>IF(+NFL!$F127="Philadelphia",+NFL!D127,IF(+NFL!$H127="Philadelphia",+NFL!D127,0))</f>
        <v>0</v>
      </c>
      <c r="E482" s="46">
        <f>IF(+NFL!$F127="Philadelphia",+NFL!E127,IF(+NFL!$H127="Philadelphia",+NFL!E127,0))</f>
        <v>0</v>
      </c>
      <c r="F482" s="127" t="str">
        <f>IF(+NFL!$F127="Philadelphia",+NFL!F127,IF(+NFL!$H127="Philadelphia",+NFL!F127,0))</f>
        <v>Philadelphia</v>
      </c>
      <c r="G482" s="46" t="str">
        <f>IF(+NFL!$F127="Philadelphia",+NFL!G127,IF(+NFL!$H127="Philadelphia",+NFL!G127,0))</f>
        <v>NFCE</v>
      </c>
      <c r="H482" s="127">
        <f>IF(+NFL!$F127="Philadelphia",+NFL!H127,IF(+NFL!$H127="Philadelphia",+NFL!H127,0))</f>
        <v>0</v>
      </c>
      <c r="I482" s="46">
        <f>IF(+NFL!$F127="Philadelphia",+NFL!I127,IF(+NFL!$H127="Philadelphia",+NFL!I127,0))</f>
        <v>0</v>
      </c>
      <c r="J482" s="353">
        <f>IF(+NFL!$F127="Philadelphia",+NFL!J127,IF(+NFL!$H127="Philadelphia",+NFL!J127,0))</f>
        <v>0</v>
      </c>
      <c r="K482" s="494">
        <f>IF(+NFL!$F127="Philadelphia",+NFL!K127,IF(+NFL!$H127="Philadelphia",+NFL!K127,0))</f>
        <v>0</v>
      </c>
      <c r="L482" s="384">
        <f>IF(+NFL!$F127="Philadelphia",+NFL!L127,IF(+NFL!$H127="Philadelphia",+NFL!L127,0))</f>
        <v>0</v>
      </c>
      <c r="M482" s="385">
        <f>IF(+NFL!$F127="Philadelphia",+NFL!M127,IF(+NFL!$H127="Philadelphia",+NFL!M127,0))</f>
        <v>0</v>
      </c>
      <c r="N482" s="394">
        <f>IF(+NFL!$F127="Philadelphia",+NFL!N127,IF(+NFL!$H127="Philadelphia",+NFL!N127,0))</f>
        <v>0</v>
      </c>
      <c r="O482" s="395">
        <f>IF(+NFL!$F127="Philadelphia",+NFL!O127,IF(+NFL!$H127="Philadelphia",+NFL!O127,0))</f>
        <v>0</v>
      </c>
      <c r="P482" s="394">
        <f>IF(+NFL!$F127="Philadelphia",+NFL!P127,IF(+NFL!$H127="Philadelphia",+NFL!P127,0))</f>
        <v>0</v>
      </c>
      <c r="Q482" s="396">
        <f>IF(+NFL!$F127="Philadelphia",+NFL!Q127,IF(+NFL!$H127="Philadelphia",+NFL!Q127,0))</f>
        <v>0</v>
      </c>
      <c r="R482" s="397">
        <f>IF(+NFL!$F127="Philadelphia",+NFL!R127,IF(+NFL!$H127="Philadelphia",+NFL!R127,0))</f>
        <v>0</v>
      </c>
      <c r="S482" s="396">
        <f>IF(+NFL!$F127="Philadelphia",+NFL!S127,IF(+NFL!$H127="Philadelphia",+NFL!S127,0))</f>
        <v>0</v>
      </c>
      <c r="T482" s="398">
        <f>IF(+NFL!$F127="Philadelphia",+NFL!T127,IF(+NFL!$H127="Philadelphia",+NFL!T127,0))</f>
        <v>0</v>
      </c>
      <c r="U482" s="396">
        <f>IF(+NFL!$F127="Philadelphia",+NFL!U127,IF(+NFL!$H127="Philadelphia",+NFL!U127,0))</f>
        <v>0</v>
      </c>
      <c r="V482" s="397">
        <f>IF(+NFL!$F113="Philadelphia",+NFL!#REF!,IF(+NFL!$H113="Philadelphia",+NFL!#REF!,0))</f>
        <v>0</v>
      </c>
      <c r="W482" s="396">
        <f>IF(+NFL!$F113="Philadelphia",+NFL!#REF!,IF(+NFL!$H113="Philadelphia",+NFL!#REF!,0))</f>
        <v>0</v>
      </c>
      <c r="X482" s="398">
        <f>IF(+NFL!$F113="Philadelphia",+NFL!#REF!,IF(+NFL!$H113="Philadelphia",+NFL!#REF!,0))</f>
        <v>0</v>
      </c>
      <c r="Y482" s="396">
        <f>IF(+NFL!$F113="Philadelphia",+NFL!#REF!,IF(+NFL!$H113="Philadelphia",+NFL!#REF!,0))</f>
        <v>0</v>
      </c>
      <c r="Z482" s="397">
        <f>IF(+NFL!$F113="Philadelphia",+NFL!#REF!,IF(+NFL!$H113="Philadelphia",+NFL!#REF!,0))</f>
        <v>0</v>
      </c>
      <c r="AA482" s="396">
        <f>IF(+NFL!$F113="Philadelphia",+NFL!#REF!,IF(+NFL!$H113="Philadelphia",+NFL!#REF!,0))</f>
        <v>0</v>
      </c>
      <c r="AB482" s="87">
        <f>IF(+NFL!$F113="Philadelphia",+NFL!#REF!,IF(+NFL!$H113="Philadelphia",+NFL!#REF!,0))</f>
        <v>0</v>
      </c>
      <c r="AC482" s="120">
        <f>IF(+NFL!$F113="Philadelphia",+NFL!#REF!,IF(+NFL!$H113="Philadelphia",+NFL!#REF!,0))</f>
        <v>0</v>
      </c>
      <c r="AD482" s="353">
        <f>IF(+NFL!$F113="Philadelphia",+NFL!#REF!,IF(+NFL!$H113="Philadelphia",+NFL!#REF!,0))</f>
        <v>0</v>
      </c>
      <c r="AE482" s="379">
        <f>IF(+NFL!$F113="Philadelphia",+NFL!#REF!,IF(+NFL!$H113="Philadelphia",+NFL!#REF!,0))</f>
        <v>0</v>
      </c>
      <c r="AF482" s="353">
        <f>IF(+NFL!$F113="Philadelphia",+NFL!#REF!,IF(+NFL!$H113="Philadelphia",+NFL!#REF!,0))</f>
        <v>0</v>
      </c>
      <c r="AG482" s="379">
        <f>IF(+NFL!$F113="Philadelphia",+NFL!#REF!,IF(+NFL!$H113="Philadelphia",+NFL!#REF!,0))</f>
        <v>0</v>
      </c>
      <c r="AH482" s="353">
        <f>IF(+NFL!$F113="Philadelphia",+NFL!#REF!,IF(+NFL!$H113="Philadelphia",+NFL!#REF!,0))</f>
        <v>0</v>
      </c>
      <c r="AI482" s="379">
        <f>IF(+NFL!$F113="Philadelphia",+NFL!#REF!,IF(+NFL!$H113="Philadelphia",+NFL!#REF!,0))</f>
        <v>0</v>
      </c>
      <c r="AJ482" s="353">
        <f>IF(+NFL!$F113="Philadelphia",+NFL!#REF!,IF(+NFL!$H113="Philadelphia",+NFL!#REF!,0))</f>
        <v>0</v>
      </c>
      <c r="AK482" s="379">
        <f>IF(+NFL!$F113="Philadelphia",+NFL!#REF!,IF(+NFL!$H113="Philadelphia",+NFL!#REF!,0))</f>
        <v>0</v>
      </c>
      <c r="AL482" s="68">
        <f>IF(+NFL!$F113="Philadelphia",+NFL!#REF!,IF(+NFL!$H113="Philadelphia",+NFL!#REF!,0))</f>
        <v>0</v>
      </c>
      <c r="AM482" s="58">
        <f>IF(+NFL!$F113="Philadelphia",+NFL!#REF!,IF(+NFL!$H113="Philadelphia",+NFL!#REF!,0))</f>
        <v>0</v>
      </c>
      <c r="AN482" s="57">
        <f>IF(+NFL!$F113="Philadelphia",+NFL!#REF!,IF(+NFL!$H113="Philadelphia",+NFL!#REF!,0))</f>
        <v>0</v>
      </c>
      <c r="AO482" s="59">
        <f>IF(+NFL!$F113="Philadelphia",+NFL!#REF!,IF(+NFL!$H113="Philadelphia",+NFL!#REF!,0))</f>
        <v>0</v>
      </c>
      <c r="AP482" s="348">
        <f>IF(+NFL!$F113="Philadelphia",+NFL!#REF!,IF(+NFL!$H113="Philadelphia",+NFL!#REF!,0))</f>
        <v>0</v>
      </c>
      <c r="AQ482" s="48">
        <f>IF(+NFL!$F113="Philadelphia",+NFL!#REF!,IF(+NFL!$H113="Philadelphia",+NFL!#REF!,0))</f>
        <v>0</v>
      </c>
      <c r="AR482" s="57">
        <f>IF(+NFL!$F113="Philadelphia",+NFL!#REF!,IF(+NFL!$H113="Philadelphia",+NFL!#REF!,0))</f>
        <v>0</v>
      </c>
      <c r="AS482" s="64">
        <f>IF(+NFL!$F113="Philadelphia",+NFL!#REF!,IF(+NFL!$H113="Philadelphia",+NFL!#REF!,0))</f>
        <v>0</v>
      </c>
      <c r="AT482" s="64">
        <f>IF(+NFL!$F113="Philadelphia",+NFL!#REF!,IF(+NFL!$H113="Philadelphia",+NFL!#REF!,0))</f>
        <v>0</v>
      </c>
      <c r="AU482" s="57">
        <f>IF(+NFL!$F113="Philadelphia",+NFL!#REF!,IF(+NFL!$H113="Philadelphia",+NFL!#REF!,0))</f>
        <v>0</v>
      </c>
      <c r="AV482" s="64">
        <f>IF(+NFL!$F113="Philadelphia",+NFL!#REF!,IF(+NFL!$H113="Philadelphia",+NFL!#REF!,0))</f>
        <v>0</v>
      </c>
      <c r="AW482" s="46">
        <f>IF(+NFL!$F113="Philadelphia",+NFL!#REF!,IF(+NFL!$H113="Philadelphia",+NFL!#REF!,0))</f>
        <v>0</v>
      </c>
      <c r="AX482" s="64">
        <f>IF(+NFL!$F113="Philadelphia",+NFL!#REF!,IF(+NFL!$H113="Philadelphia",+NFL!#REF!,0))</f>
        <v>0</v>
      </c>
      <c r="AY482" s="57">
        <f>IF(+NFL!$F113="Philadelphia",+NFL!#REF!,IF(+NFL!$H113="Philadelphia",+NFL!#REF!,0))</f>
        <v>0</v>
      </c>
      <c r="AZ482" s="64">
        <f>IF(+NFL!$F113="Philadelphia",+NFL!#REF!,IF(+NFL!$H113="Philadelphia",+NFL!#REF!,0))</f>
        <v>0</v>
      </c>
      <c r="BA482" s="46">
        <f>IF(+NFL!$F113="Philadelphia",+NFL!#REF!,IF(+NFL!$H113="Philadelphia",+NFL!#REF!,0))</f>
        <v>0</v>
      </c>
      <c r="BB482" s="46">
        <f>IF(+NFL!$F113="Philadelphia",+NFL!#REF!,IF(+NFL!$H113="Philadelphia",+NFL!#REF!,0))</f>
        <v>0</v>
      </c>
      <c r="BC482" s="403">
        <f>IF(+NFL!$F113="Philadelphia",+NFL!#REF!,IF(+NFL!$H113="Philadelphia",+NFL!#REF!,0))</f>
        <v>0</v>
      </c>
      <c r="BD482" s="57">
        <f>IF(+NFL!$F113="Philadelphia",+NFL!#REF!,IF(+NFL!$H113="Philadelphia",+NFL!#REF!,0))</f>
        <v>0</v>
      </c>
      <c r="BE482" s="64">
        <f>IF(+NFL!$F113="Philadelphia",+NFL!#REF!,IF(+NFL!$H113="Philadelphia",+NFL!#REF!,0))</f>
        <v>0</v>
      </c>
      <c r="BF482" s="46">
        <f>IF(+NFL!$F113="Philadelphia",+NFL!#REF!,IF(+NFL!$H113="Philadelphia",+NFL!#REF!,0))</f>
        <v>0</v>
      </c>
      <c r="BG482" s="57">
        <f>IF(+NFL!$F113="Philadelphia",+NFL!#REF!,IF(+NFL!$H113="Philadelphia",+NFL!#REF!,0))</f>
        <v>0</v>
      </c>
      <c r="BH482" s="64">
        <f>IF(+NFL!$F113="Philadelphia",+NFL!#REF!,IF(+NFL!$H113="Philadelphia",+NFL!#REF!,0))</f>
        <v>0</v>
      </c>
      <c r="BI482" s="46">
        <f>IF(+NFL!$F113="Philadelphia",+NFL!#REF!,IF(+NFL!$H113="Philadelphia",+NFL!#REF!,0))</f>
        <v>0</v>
      </c>
      <c r="BJ482" s="87">
        <f>IF(+NFL!$F113="Philadelphia",+NFL!#REF!,IF(+NFL!$H113="Philadelphia",+NFL!#REF!,0))</f>
        <v>0</v>
      </c>
      <c r="BK482" s="120">
        <f>IF(+NFL!$F113="Philadelphia",+NFL!#REF!,IF(+NFL!$H113="Philadelphia",+NFL!#REF!,0))</f>
        <v>0</v>
      </c>
    </row>
    <row r="483" spans="1:63" s="246" customFormat="1" x14ac:dyDescent="0.8">
      <c r="A483" s="46">
        <f>IF(+NFL!$F137="Philadelphia",+NFL!A137,IF(+NFL!$H137="Philadelphia",+NFL!A137,0))</f>
        <v>8</v>
      </c>
      <c r="B483" s="348" t="str">
        <f>IF(+NFL!$F137="Philadelphia",+NFL!B137,IF(+NFL!$H137="Philadelphia",+NFL!B137,0))</f>
        <v>Sun</v>
      </c>
      <c r="C483" s="48">
        <f>IF(+NFL!$F137="Philadelphia",+NFL!C137,IF(+NFL!$H137="Philadelphia",+NFL!C137,0))</f>
        <v>44864</v>
      </c>
      <c r="D483" s="490">
        <f>IF(+NFL!$F137="Philadelphia",+NFL!D137,IF(+NFL!$H137="Philadelphia",+NFL!D137,0))</f>
        <v>0.54166666666666663</v>
      </c>
      <c r="E483" s="46" t="str">
        <f>IF(+NFL!$F137="Philadelphia",+NFL!E137,IF(+NFL!$H137="Philadelphia",+NFL!E137,0))</f>
        <v>CBS</v>
      </c>
      <c r="F483" s="127" t="str">
        <f>IF(+NFL!$F137="Philadelphia",+NFL!F137,IF(+NFL!$H137="Philadelphia",+NFL!F137,0))</f>
        <v>Pittsburgh</v>
      </c>
      <c r="G483" s="46" t="str">
        <f>IF(+NFL!$F137="Philadelphia",+NFL!G137,IF(+NFL!$H137="Philadelphia",+NFL!G137,0))</f>
        <v>AFCN</v>
      </c>
      <c r="H483" s="127" t="str">
        <f>IF(+NFL!$F137="Philadelphia",+NFL!H137,IF(+NFL!$H137="Philadelphia",+NFL!H137,0))</f>
        <v>Philadelphia</v>
      </c>
      <c r="I483" s="46" t="str">
        <f>IF(+NFL!$F137="Philadelphia",+NFL!I137,IF(+NFL!$H137="Philadelphia",+NFL!I137,0))</f>
        <v>NFCE</v>
      </c>
      <c r="J483" s="353" t="str">
        <f>IF(+NFL!$F137="Philadelphia",+NFL!J137,IF(+NFL!$H137="Philadelphia",+NFL!J137,0))</f>
        <v>Philadelphia</v>
      </c>
      <c r="K483" s="494" t="str">
        <f>IF(+NFL!$F137="Philadelphia",+NFL!K137,IF(+NFL!$H137="Philadelphia",+NFL!K137,0))</f>
        <v>Pittsburgh</v>
      </c>
      <c r="L483" s="384">
        <f>IF(+NFL!$F137="Philadelphia",+NFL!L137,IF(+NFL!$H137="Philadelphia",+NFL!L137,0))</f>
        <v>10.5</v>
      </c>
      <c r="M483" s="385">
        <f>IF(+NFL!$F137="Philadelphia",+NFL!M137,IF(+NFL!$H137="Philadelphia",+NFL!M137,0))</f>
        <v>43.5</v>
      </c>
      <c r="N483" s="394" t="str">
        <f>IF(+NFL!$F137="Philadelphia",+NFL!N137,IF(+NFL!$H137="Philadelphia",+NFL!N137,0))</f>
        <v>Philadelphia</v>
      </c>
      <c r="O483" s="395">
        <f>IF(+NFL!$F137="Philadelphia",+NFL!O137,IF(+NFL!$H137="Philadelphia",+NFL!O137,0))</f>
        <v>35</v>
      </c>
      <c r="P483" s="394" t="str">
        <f>IF(+NFL!$F137="Philadelphia",+NFL!P137,IF(+NFL!$H137="Philadelphia",+NFL!P137,0))</f>
        <v>Pittsburgh</v>
      </c>
      <c r="Q483" s="396">
        <f>IF(+NFL!$F137="Philadelphia",+NFL!Q137,IF(+NFL!$H137="Philadelphia",+NFL!Q137,0))</f>
        <v>13</v>
      </c>
      <c r="R483" s="397" t="str">
        <f>IF(+NFL!$F137="Philadelphia",+NFL!R137,IF(+NFL!$H137="Philadelphia",+NFL!R137,0))</f>
        <v>Philadelphia</v>
      </c>
      <c r="S483" s="396" t="str">
        <f>IF(+NFL!$F137="Philadelphia",+NFL!S137,IF(+NFL!$H137="Philadelphia",+NFL!S137,0))</f>
        <v>Pittsburgh</v>
      </c>
      <c r="T483" s="398" t="str">
        <f>IF(+NFL!$F137="Philadelphia",+NFL!T137,IF(+NFL!$H137="Philadelphia",+NFL!T137,0))</f>
        <v>Philadelphia</v>
      </c>
      <c r="U483" s="396" t="str">
        <f>IF(+NFL!$F137="Philadelphia",+NFL!U137,IF(+NFL!$H137="Philadelphia",+NFL!U137,0))</f>
        <v>W</v>
      </c>
      <c r="V483" s="397">
        <f>IF(+NFL!$F141="Philadelphia",+NFL!#REF!,IF(+NFL!$H141="Philadelphia",+NFL!#REF!,0))</f>
        <v>0</v>
      </c>
      <c r="W483" s="396">
        <f>IF(+NFL!$F141="Philadelphia",+NFL!#REF!,IF(+NFL!$H141="Philadelphia",+NFL!#REF!,0))</f>
        <v>0</v>
      </c>
      <c r="X483" s="398">
        <f>IF(+NFL!$F141="Philadelphia",+NFL!#REF!,IF(+NFL!$H141="Philadelphia",+NFL!#REF!,0))</f>
        <v>0</v>
      </c>
      <c r="Y483" s="396">
        <f>IF(+NFL!$F141="Philadelphia",+NFL!#REF!,IF(+NFL!$H141="Philadelphia",+NFL!#REF!,0))</f>
        <v>0</v>
      </c>
      <c r="Z483" s="397">
        <f>IF(+NFL!$F141="Philadelphia",+NFL!#REF!,IF(+NFL!$H141="Philadelphia",+NFL!#REF!,0))</f>
        <v>0</v>
      </c>
      <c r="AA483" s="396">
        <f>IF(+NFL!$F141="Philadelphia",+NFL!#REF!,IF(+NFL!$H141="Philadelphia",+NFL!#REF!,0))</f>
        <v>0</v>
      </c>
      <c r="AB483" s="87">
        <f>IF(+NFL!$F141="Philadelphia",+NFL!#REF!,IF(+NFL!$H141="Philadelphia",+NFL!#REF!,0))</f>
        <v>0</v>
      </c>
      <c r="AC483" s="120">
        <f>IF(+NFL!$F141="Philadelphia",+NFL!#REF!,IF(+NFL!$H141="Philadelphia",+NFL!#REF!,0))</f>
        <v>0</v>
      </c>
      <c r="AD483" s="353">
        <f>IF(+NFL!$F141="Philadelphia",+NFL!#REF!,IF(+NFL!$H141="Philadelphia",+NFL!#REF!,0))</f>
        <v>0</v>
      </c>
      <c r="AE483" s="379">
        <f>IF(+NFL!$F141="Philadelphia",+NFL!#REF!,IF(+NFL!$H141="Philadelphia",+NFL!#REF!,0))</f>
        <v>0</v>
      </c>
      <c r="AF483" s="353">
        <f>IF(+NFL!$F141="Philadelphia",+NFL!#REF!,IF(+NFL!$H141="Philadelphia",+NFL!#REF!,0))</f>
        <v>0</v>
      </c>
      <c r="AG483" s="379">
        <f>IF(+NFL!$F141="Philadelphia",+NFL!#REF!,IF(+NFL!$H141="Philadelphia",+NFL!#REF!,0))</f>
        <v>0</v>
      </c>
      <c r="AH483" s="353">
        <f>IF(+NFL!$F141="Philadelphia",+NFL!#REF!,IF(+NFL!$H141="Philadelphia",+NFL!#REF!,0))</f>
        <v>0</v>
      </c>
      <c r="AI483" s="379">
        <f>IF(+NFL!$F141="Philadelphia",+NFL!#REF!,IF(+NFL!$H141="Philadelphia",+NFL!#REF!,0))</f>
        <v>0</v>
      </c>
      <c r="AJ483" s="353">
        <f>IF(+NFL!$F141="Philadelphia",+NFL!#REF!,IF(+NFL!$H141="Philadelphia",+NFL!#REF!,0))</f>
        <v>0</v>
      </c>
      <c r="AK483" s="379">
        <f>IF(+NFL!$F141="Philadelphia",+NFL!#REF!,IF(+NFL!$H141="Philadelphia",+NFL!#REF!,0))</f>
        <v>0</v>
      </c>
      <c r="AL483" s="68">
        <f>IF(+NFL!$F141="Philadelphia",+NFL!#REF!,IF(+NFL!$H141="Philadelphia",+NFL!#REF!,0))</f>
        <v>0</v>
      </c>
      <c r="AM483" s="58">
        <f>IF(+NFL!$F141="Philadelphia",+NFL!#REF!,IF(+NFL!$H141="Philadelphia",+NFL!#REF!,0))</f>
        <v>0</v>
      </c>
      <c r="AN483" s="57">
        <f>IF(+NFL!$F141="Philadelphia",+NFL!#REF!,IF(+NFL!$H141="Philadelphia",+NFL!#REF!,0))</f>
        <v>0</v>
      </c>
      <c r="AO483" s="59">
        <f>IF(+NFL!$F141="Philadelphia",+NFL!#REF!,IF(+NFL!$H141="Philadelphia",+NFL!#REF!,0))</f>
        <v>0</v>
      </c>
      <c r="AP483" s="348">
        <f>IF(+NFL!$F141="Philadelphia",+NFL!#REF!,IF(+NFL!$H141="Philadelphia",+NFL!#REF!,0))</f>
        <v>0</v>
      </c>
      <c r="AQ483" s="48">
        <f>IF(+NFL!$F141="Philadelphia",+NFL!#REF!,IF(+NFL!$H141="Philadelphia",+NFL!#REF!,0))</f>
        <v>0</v>
      </c>
      <c r="AR483" s="57">
        <f>IF(+NFL!$F141="Philadelphia",+NFL!#REF!,IF(+NFL!$H141="Philadelphia",+NFL!#REF!,0))</f>
        <v>0</v>
      </c>
      <c r="AS483" s="64">
        <f>IF(+NFL!$F141="Philadelphia",+NFL!#REF!,IF(+NFL!$H141="Philadelphia",+NFL!#REF!,0))</f>
        <v>0</v>
      </c>
      <c r="AT483" s="64">
        <f>IF(+NFL!$F141="Philadelphia",+NFL!#REF!,IF(+NFL!$H141="Philadelphia",+NFL!#REF!,0))</f>
        <v>0</v>
      </c>
      <c r="AU483" s="57">
        <f>IF(+NFL!$F141="Philadelphia",+NFL!#REF!,IF(+NFL!$H141="Philadelphia",+NFL!#REF!,0))</f>
        <v>0</v>
      </c>
      <c r="AV483" s="64">
        <f>IF(+NFL!$F141="Philadelphia",+NFL!#REF!,IF(+NFL!$H141="Philadelphia",+NFL!#REF!,0))</f>
        <v>0</v>
      </c>
      <c r="AW483" s="46">
        <f>IF(+NFL!$F141="Philadelphia",+NFL!#REF!,IF(+NFL!$H141="Philadelphia",+NFL!#REF!,0))</f>
        <v>0</v>
      </c>
      <c r="AX483" s="64">
        <f>IF(+NFL!$F141="Philadelphia",+NFL!#REF!,IF(+NFL!$H141="Philadelphia",+NFL!#REF!,0))</f>
        <v>0</v>
      </c>
      <c r="AY483" s="57">
        <f>IF(+NFL!$F141="Philadelphia",+NFL!#REF!,IF(+NFL!$H141="Philadelphia",+NFL!#REF!,0))</f>
        <v>0</v>
      </c>
      <c r="AZ483" s="64">
        <f>IF(+NFL!$F141="Philadelphia",+NFL!#REF!,IF(+NFL!$H141="Philadelphia",+NFL!#REF!,0))</f>
        <v>0</v>
      </c>
      <c r="BA483" s="46">
        <f>IF(+NFL!$F141="Philadelphia",+NFL!#REF!,IF(+NFL!$H141="Philadelphia",+NFL!#REF!,0))</f>
        <v>0</v>
      </c>
      <c r="BB483" s="46">
        <f>IF(+NFL!$F141="Philadelphia",+NFL!#REF!,IF(+NFL!$H141="Philadelphia",+NFL!#REF!,0))</f>
        <v>0</v>
      </c>
      <c r="BC483" s="403">
        <f>IF(+NFL!$F141="Philadelphia",+NFL!#REF!,IF(+NFL!$H141="Philadelphia",+NFL!#REF!,0))</f>
        <v>0</v>
      </c>
      <c r="BD483" s="57">
        <f>IF(+NFL!$F141="Philadelphia",+NFL!#REF!,IF(+NFL!$H141="Philadelphia",+NFL!#REF!,0))</f>
        <v>0</v>
      </c>
      <c r="BE483" s="64">
        <f>IF(+NFL!$F141="Philadelphia",+NFL!#REF!,IF(+NFL!$H141="Philadelphia",+NFL!#REF!,0))</f>
        <v>0</v>
      </c>
      <c r="BF483" s="46">
        <f>IF(+NFL!$F141="Philadelphia",+NFL!#REF!,IF(+NFL!$H141="Philadelphia",+NFL!#REF!,0))</f>
        <v>0</v>
      </c>
      <c r="BG483" s="57">
        <f>IF(+NFL!$F141="Philadelphia",+NFL!#REF!,IF(+NFL!$H141="Philadelphia",+NFL!#REF!,0))</f>
        <v>0</v>
      </c>
      <c r="BH483" s="64">
        <f>IF(+NFL!$F141="Philadelphia",+NFL!#REF!,IF(+NFL!$H141="Philadelphia",+NFL!#REF!,0))</f>
        <v>0</v>
      </c>
      <c r="BI483" s="46">
        <f>IF(+NFL!$F141="Philadelphia",+NFL!#REF!,IF(+NFL!$H141="Philadelphia",+NFL!#REF!,0))</f>
        <v>0</v>
      </c>
      <c r="BJ483" s="87">
        <f>IF(+NFL!$F141="Philadelphia",+NFL!#REF!,IF(+NFL!$H141="Philadelphia",+NFL!#REF!,0))</f>
        <v>0</v>
      </c>
      <c r="BK483" s="120">
        <f>IF(+NFL!$F141="Philadelphia",+NFL!#REF!,IF(+NFL!$H141="Philadelphia",+NFL!#REF!,0))</f>
        <v>0</v>
      </c>
    </row>
    <row r="484" spans="1:63" s="246" customFormat="1" x14ac:dyDescent="0.8">
      <c r="A484" s="46">
        <f>IF(+NFL!$F148="Philadelphia",+NFL!A148,IF(+NFL!$H148="Philadelphia",+NFL!A148,0))</f>
        <v>9</v>
      </c>
      <c r="B484" s="348" t="str">
        <f>IF(+NFL!$F148="Philadelphia",+NFL!B148,IF(+NFL!$H148="Philadelphia",+NFL!B148,0))</f>
        <v>Thurs</v>
      </c>
      <c r="C484" s="48">
        <f>IF(+NFL!$F148="Philadelphia",+NFL!C148,IF(+NFL!$H148="Philadelphia",+NFL!C148,0))</f>
        <v>44868</v>
      </c>
      <c r="D484" s="490">
        <f>IF(+NFL!$F148="Philadelphia",+NFL!D148,IF(+NFL!$H148="Philadelphia",+NFL!D148,0))</f>
        <v>0.84375</v>
      </c>
      <c r="E484" s="46" t="str">
        <f>IF(+NFL!$F148="Philadelphia",+NFL!E148,IF(+NFL!$H148="Philadelphia",+NFL!E148,0))</f>
        <v>NBC</v>
      </c>
      <c r="F484" s="127" t="str">
        <f>IF(+NFL!$F148="Philadelphia",+NFL!F148,IF(+NFL!$H148="Philadelphia",+NFL!F148,0))</f>
        <v>Philadelphia</v>
      </c>
      <c r="G484" s="46" t="str">
        <f>IF(+NFL!$F148="Philadelphia",+NFL!G148,IF(+NFL!$H148="Philadelphia",+NFL!G148,0))</f>
        <v>NFCE</v>
      </c>
      <c r="H484" s="127" t="str">
        <f>IF(+NFL!$F148="Philadelphia",+NFL!H148,IF(+NFL!$H148="Philadelphia",+NFL!H148,0))</f>
        <v>Houston</v>
      </c>
      <c r="I484" s="46" t="str">
        <f>IF(+NFL!$F148="Philadelphia",+NFL!I148,IF(+NFL!$H148="Philadelphia",+NFL!I148,0))</f>
        <v>AFCS</v>
      </c>
      <c r="J484" s="353" t="str">
        <f>IF(+NFL!$F148="Philadelphia",+NFL!J148,IF(+NFL!$H148="Philadelphia",+NFL!J148,0))</f>
        <v>Philadelphia</v>
      </c>
      <c r="K484" s="494" t="str">
        <f>IF(+NFL!$F148="Philadelphia",+NFL!K148,IF(+NFL!$H148="Philadelphia",+NFL!K148,0))</f>
        <v>Houston</v>
      </c>
      <c r="L484" s="384">
        <f>IF(+NFL!$F148="Philadelphia",+NFL!L148,IF(+NFL!$H148="Philadelphia",+NFL!L148,0))</f>
        <v>14</v>
      </c>
      <c r="M484" s="385">
        <f>IF(+NFL!$F148="Philadelphia",+NFL!M148,IF(+NFL!$H148="Philadelphia",+NFL!M148,0))</f>
        <v>45</v>
      </c>
      <c r="N484" s="394" t="str">
        <f>IF(+NFL!$F148="Philadelphia",+NFL!N148,IF(+NFL!$H148="Philadelphia",+NFL!N148,0))</f>
        <v>Philadelphia</v>
      </c>
      <c r="O484" s="395">
        <f>IF(+NFL!$F148="Philadelphia",+NFL!O148,IF(+NFL!$H148="Philadelphia",+NFL!O148,0))</f>
        <v>29</v>
      </c>
      <c r="P484" s="394" t="str">
        <f>IF(+NFL!$F148="Philadelphia",+NFL!P148,IF(+NFL!$H148="Philadelphia",+NFL!P148,0))</f>
        <v>Houston</v>
      </c>
      <c r="Q484" s="396">
        <f>IF(+NFL!$F148="Philadelphia",+NFL!Q148,IF(+NFL!$H148="Philadelphia",+NFL!Q148,0))</f>
        <v>17</v>
      </c>
      <c r="R484" s="397" t="str">
        <f>IF(+NFL!$F148="Philadelphia",+NFL!R148,IF(+NFL!$H148="Philadelphia",+NFL!R148,0))</f>
        <v>Houston</v>
      </c>
      <c r="S484" s="396" t="str">
        <f>IF(+NFL!$F148="Philadelphia",+NFL!S148,IF(+NFL!$H148="Philadelphia",+NFL!S148,0))</f>
        <v>Philadelphia</v>
      </c>
      <c r="T484" s="398" t="str">
        <f>IF(+NFL!$F148="Philadelphia",+NFL!T148,IF(+NFL!$H148="Philadelphia",+NFL!T148,0))</f>
        <v>Philadelphia</v>
      </c>
      <c r="U484" s="396" t="str">
        <f>IF(+NFL!$F148="Philadelphia",+NFL!U148,IF(+NFL!$H148="Philadelphia",+NFL!U148,0))</f>
        <v>L</v>
      </c>
      <c r="V484" s="397">
        <f>IF(+NFL!$F152="Philadelphia",+NFL!#REF!,IF(+NFL!$H152="Philadelphia",+NFL!#REF!,0))</f>
        <v>0</v>
      </c>
      <c r="W484" s="396">
        <f>IF(+NFL!$F152="Philadelphia",+NFL!#REF!,IF(+NFL!$H152="Philadelphia",+NFL!#REF!,0))</f>
        <v>0</v>
      </c>
      <c r="X484" s="398">
        <f>IF(+NFL!$F152="Philadelphia",+NFL!#REF!,IF(+NFL!$H152="Philadelphia",+NFL!#REF!,0))</f>
        <v>0</v>
      </c>
      <c r="Y484" s="396">
        <f>IF(+NFL!$F152="Philadelphia",+NFL!#REF!,IF(+NFL!$H152="Philadelphia",+NFL!#REF!,0))</f>
        <v>0</v>
      </c>
      <c r="Z484" s="397">
        <f>IF(+NFL!$F152="Philadelphia",+NFL!#REF!,IF(+NFL!$H152="Philadelphia",+NFL!#REF!,0))</f>
        <v>0</v>
      </c>
      <c r="AA484" s="396">
        <f>IF(+NFL!$F152="Philadelphia",+NFL!#REF!,IF(+NFL!$H152="Philadelphia",+NFL!#REF!,0))</f>
        <v>0</v>
      </c>
      <c r="AB484" s="87">
        <f>IF(+NFL!$F152="Philadelphia",+NFL!#REF!,IF(+NFL!$H152="Philadelphia",+NFL!#REF!,0))</f>
        <v>0</v>
      </c>
      <c r="AC484" s="120">
        <f>IF(+NFL!$F152="Philadelphia",+NFL!#REF!,IF(+NFL!$H152="Philadelphia",+NFL!#REF!,0))</f>
        <v>0</v>
      </c>
      <c r="AD484" s="353">
        <f>IF(+NFL!$F152="Philadelphia",+NFL!#REF!,IF(+NFL!$H152="Philadelphia",+NFL!#REF!,0))</f>
        <v>0</v>
      </c>
      <c r="AE484" s="379">
        <f>IF(+NFL!$F152="Philadelphia",+NFL!#REF!,IF(+NFL!$H152="Philadelphia",+NFL!#REF!,0))</f>
        <v>0</v>
      </c>
      <c r="AF484" s="353">
        <f>IF(+NFL!$F152="Philadelphia",+NFL!#REF!,IF(+NFL!$H152="Philadelphia",+NFL!#REF!,0))</f>
        <v>0</v>
      </c>
      <c r="AG484" s="379">
        <f>IF(+NFL!$F152="Philadelphia",+NFL!#REF!,IF(+NFL!$H152="Philadelphia",+NFL!#REF!,0))</f>
        <v>0</v>
      </c>
      <c r="AH484" s="353">
        <f>IF(+NFL!$F152="Philadelphia",+NFL!#REF!,IF(+NFL!$H152="Philadelphia",+NFL!#REF!,0))</f>
        <v>0</v>
      </c>
      <c r="AI484" s="379">
        <f>IF(+NFL!$F152="Philadelphia",+NFL!#REF!,IF(+NFL!$H152="Philadelphia",+NFL!#REF!,0))</f>
        <v>0</v>
      </c>
      <c r="AJ484" s="353">
        <f>IF(+NFL!$F152="Philadelphia",+NFL!#REF!,IF(+NFL!$H152="Philadelphia",+NFL!#REF!,0))</f>
        <v>0</v>
      </c>
      <c r="AK484" s="379">
        <f>IF(+NFL!$F152="Philadelphia",+NFL!#REF!,IF(+NFL!$H152="Philadelphia",+NFL!#REF!,0))</f>
        <v>0</v>
      </c>
      <c r="AL484" s="68">
        <f>IF(+NFL!$F152="Philadelphia",+NFL!#REF!,IF(+NFL!$H152="Philadelphia",+NFL!#REF!,0))</f>
        <v>0</v>
      </c>
      <c r="AM484" s="58">
        <f>IF(+NFL!$F152="Philadelphia",+NFL!#REF!,IF(+NFL!$H152="Philadelphia",+NFL!#REF!,0))</f>
        <v>0</v>
      </c>
      <c r="AN484" s="57">
        <f>IF(+NFL!$F152="Philadelphia",+NFL!#REF!,IF(+NFL!$H152="Philadelphia",+NFL!#REF!,0))</f>
        <v>0</v>
      </c>
      <c r="AO484" s="59">
        <f>IF(+NFL!$F152="Philadelphia",+NFL!#REF!,IF(+NFL!$H152="Philadelphia",+NFL!#REF!,0))</f>
        <v>0</v>
      </c>
      <c r="AP484" s="348">
        <f>IF(+NFL!$F152="Philadelphia",+NFL!#REF!,IF(+NFL!$H152="Philadelphia",+NFL!#REF!,0))</f>
        <v>0</v>
      </c>
      <c r="AQ484" s="48">
        <f>IF(+NFL!$F152="Philadelphia",+NFL!#REF!,IF(+NFL!$H152="Philadelphia",+NFL!#REF!,0))</f>
        <v>0</v>
      </c>
      <c r="AR484" s="57">
        <f>IF(+NFL!$F152="Philadelphia",+NFL!#REF!,IF(+NFL!$H152="Philadelphia",+NFL!#REF!,0))</f>
        <v>0</v>
      </c>
      <c r="AS484" s="64">
        <f>IF(+NFL!$F152="Philadelphia",+NFL!#REF!,IF(+NFL!$H152="Philadelphia",+NFL!#REF!,0))</f>
        <v>0</v>
      </c>
      <c r="AT484" s="64">
        <f>IF(+NFL!$F152="Philadelphia",+NFL!#REF!,IF(+NFL!$H152="Philadelphia",+NFL!#REF!,0))</f>
        <v>0</v>
      </c>
      <c r="AU484" s="57">
        <f>IF(+NFL!$F152="Philadelphia",+NFL!#REF!,IF(+NFL!$H152="Philadelphia",+NFL!#REF!,0))</f>
        <v>0</v>
      </c>
      <c r="AV484" s="64">
        <f>IF(+NFL!$F152="Philadelphia",+NFL!#REF!,IF(+NFL!$H152="Philadelphia",+NFL!#REF!,0))</f>
        <v>0</v>
      </c>
      <c r="AW484" s="46">
        <f>IF(+NFL!$F152="Philadelphia",+NFL!#REF!,IF(+NFL!$H152="Philadelphia",+NFL!#REF!,0))</f>
        <v>0</v>
      </c>
      <c r="AX484" s="64">
        <f>IF(+NFL!$F152="Philadelphia",+NFL!#REF!,IF(+NFL!$H152="Philadelphia",+NFL!#REF!,0))</f>
        <v>0</v>
      </c>
      <c r="AY484" s="57">
        <f>IF(+NFL!$F152="Philadelphia",+NFL!#REF!,IF(+NFL!$H152="Philadelphia",+NFL!#REF!,0))</f>
        <v>0</v>
      </c>
      <c r="AZ484" s="64">
        <f>IF(+NFL!$F152="Philadelphia",+NFL!#REF!,IF(+NFL!$H152="Philadelphia",+NFL!#REF!,0))</f>
        <v>0</v>
      </c>
      <c r="BA484" s="46">
        <f>IF(+NFL!$F152="Philadelphia",+NFL!#REF!,IF(+NFL!$H152="Philadelphia",+NFL!#REF!,0))</f>
        <v>0</v>
      </c>
      <c r="BB484" s="46">
        <f>IF(+NFL!$F152="Philadelphia",+NFL!#REF!,IF(+NFL!$H152="Philadelphia",+NFL!#REF!,0))</f>
        <v>0</v>
      </c>
      <c r="BC484" s="403">
        <f>IF(+NFL!$F152="Philadelphia",+NFL!#REF!,IF(+NFL!$H152="Philadelphia",+NFL!#REF!,0))</f>
        <v>0</v>
      </c>
      <c r="BD484" s="57">
        <f>IF(+NFL!$F152="Philadelphia",+NFL!#REF!,IF(+NFL!$H152="Philadelphia",+NFL!#REF!,0))</f>
        <v>0</v>
      </c>
      <c r="BE484" s="64">
        <f>IF(+NFL!$F152="Philadelphia",+NFL!#REF!,IF(+NFL!$H152="Philadelphia",+NFL!#REF!,0))</f>
        <v>0</v>
      </c>
      <c r="BF484" s="46">
        <f>IF(+NFL!$F152="Philadelphia",+NFL!#REF!,IF(+NFL!$H152="Philadelphia",+NFL!#REF!,0))</f>
        <v>0</v>
      </c>
      <c r="BG484" s="57">
        <f>IF(+NFL!$F152="Philadelphia",+NFL!#REF!,IF(+NFL!$H152="Philadelphia",+NFL!#REF!,0))</f>
        <v>0</v>
      </c>
      <c r="BH484" s="64">
        <f>IF(+NFL!$F152="Philadelphia",+NFL!#REF!,IF(+NFL!$H152="Philadelphia",+NFL!#REF!,0))</f>
        <v>0</v>
      </c>
      <c r="BI484" s="46">
        <f>IF(+NFL!$F152="Philadelphia",+NFL!#REF!,IF(+NFL!$H152="Philadelphia",+NFL!#REF!,0))</f>
        <v>0</v>
      </c>
      <c r="BJ484" s="87">
        <f>IF(+NFL!$F152="Philadelphia",+NFL!#REF!,IF(+NFL!$H152="Philadelphia",+NFL!#REF!,0))</f>
        <v>0</v>
      </c>
      <c r="BK484" s="120">
        <f>IF(+NFL!$F152="Philadelphia",+NFL!#REF!,IF(+NFL!$H152="Philadelphia",+NFL!#REF!,0))</f>
        <v>0</v>
      </c>
    </row>
    <row r="485" spans="1:63" s="246" customFormat="1" x14ac:dyDescent="0.8">
      <c r="A485" s="46">
        <f>IF(+NFL!$F192="Philadelphia",+NFL!A192,IF(+NFL!$H192="Philadelphia",+NFL!A192,0))</f>
        <v>11</v>
      </c>
      <c r="B485" s="348" t="str">
        <f>IF(+NFL!$F192="Philadelphia",+NFL!B192,IF(+NFL!$H192="Philadelphia",+NFL!B192,0))</f>
        <v>Sun</v>
      </c>
      <c r="C485" s="48">
        <f>IF(+NFL!$F192="Philadelphia",+NFL!C192,IF(+NFL!$H192="Philadelphia",+NFL!C192,0))</f>
        <v>44885</v>
      </c>
      <c r="D485" s="490">
        <f>IF(+NFL!$F192="Philadelphia",+NFL!D192,IF(+NFL!$H192="Philadelphia",+NFL!D192,0))</f>
        <v>0.54166666666666663</v>
      </c>
      <c r="E485" s="46" t="str">
        <f>IF(+NFL!$F192="Philadelphia",+NFL!E192,IF(+NFL!$H192="Philadelphia",+NFL!E192,0))</f>
        <v>Fox</v>
      </c>
      <c r="F485" s="127" t="str">
        <f>IF(+NFL!$F192="Philadelphia",+NFL!F192,IF(+NFL!$H192="Philadelphia",+NFL!F192,0))</f>
        <v>Philadelphia</v>
      </c>
      <c r="G485" s="46" t="str">
        <f>IF(+NFL!$F192="Philadelphia",+NFL!G192,IF(+NFL!$H192="Philadelphia",+NFL!G192,0))</f>
        <v>NFCE</v>
      </c>
      <c r="H485" s="127" t="str">
        <f>IF(+NFL!$F192="Philadelphia",+NFL!H192,IF(+NFL!$H192="Philadelphia",+NFL!H192,0))</f>
        <v>Indianapolis</v>
      </c>
      <c r="I485" s="46" t="str">
        <f>IF(+NFL!$F192="Philadelphia",+NFL!I192,IF(+NFL!$H192="Philadelphia",+NFL!I192,0))</f>
        <v>AFCS</v>
      </c>
      <c r="J485" s="353" t="str">
        <f>IF(+NFL!$F192="Philadelphia",+NFL!J192,IF(+NFL!$H192="Philadelphia",+NFL!J192,0))</f>
        <v>Philadelphia</v>
      </c>
      <c r="K485" s="494" t="str">
        <f>IF(+NFL!$F192="Philadelphia",+NFL!K192,IF(+NFL!$H192="Philadelphia",+NFL!K192,0))</f>
        <v>Indianapolis</v>
      </c>
      <c r="L485" s="384">
        <f>IF(+NFL!$F192="Philadelphia",+NFL!L192,IF(+NFL!$H192="Philadelphia",+NFL!L192,0))</f>
        <v>6.5</v>
      </c>
      <c r="M485" s="385">
        <f>IF(+NFL!$F192="Philadelphia",+NFL!M192,IF(+NFL!$H192="Philadelphia",+NFL!M192,0))</f>
        <v>45</v>
      </c>
      <c r="N485" s="394" t="str">
        <f>IF(+NFL!$F192="Philadelphia",+NFL!N192,IF(+NFL!$H192="Philadelphia",+NFL!N192,0))</f>
        <v>Philadelphia</v>
      </c>
      <c r="O485" s="395">
        <f>IF(+NFL!$F192="Philadelphia",+NFL!O192,IF(+NFL!$H192="Philadelphia",+NFL!O192,0))</f>
        <v>17</v>
      </c>
      <c r="P485" s="394" t="str">
        <f>IF(+NFL!$F192="Philadelphia",+NFL!P192,IF(+NFL!$H192="Philadelphia",+NFL!P192,0))</f>
        <v>Indianapolis</v>
      </c>
      <c r="Q485" s="396">
        <f>IF(+NFL!$F192="Philadelphia",+NFL!Q192,IF(+NFL!$H192="Philadelphia",+NFL!Q192,0))</f>
        <v>16</v>
      </c>
      <c r="R485" s="397" t="str">
        <f>IF(+NFL!$F192="Philadelphia",+NFL!R192,IF(+NFL!$H192="Philadelphia",+NFL!R192,0))</f>
        <v>Indianapolis</v>
      </c>
      <c r="S485" s="396" t="str">
        <f>IF(+NFL!$F192="Philadelphia",+NFL!S192,IF(+NFL!$H192="Philadelphia",+NFL!S192,0))</f>
        <v>Philadelphia</v>
      </c>
      <c r="T485" s="398" t="str">
        <f>IF(+NFL!$F192="Philadelphia",+NFL!T192,IF(+NFL!$H192="Philadelphia",+NFL!T192,0))</f>
        <v>Philadelphia</v>
      </c>
      <c r="U485" s="396" t="str">
        <f>IF(+NFL!$F192="Philadelphia",+NFL!U192,IF(+NFL!$H192="Philadelphia",+NFL!U192,0))</f>
        <v>L</v>
      </c>
      <c r="V485" s="397">
        <f>IF(+NFL!$F178="Philadelphia",+NFL!#REF!,IF(+NFL!$H178="Philadelphia",+NFL!#REF!,0))</f>
        <v>0</v>
      </c>
      <c r="W485" s="396">
        <f>IF(+NFL!$F178="Philadelphia",+NFL!#REF!,IF(+NFL!$H178="Philadelphia",+NFL!#REF!,0))</f>
        <v>0</v>
      </c>
      <c r="X485" s="398">
        <f>IF(+NFL!$F178="Philadelphia",+NFL!#REF!,IF(+NFL!$H178="Philadelphia",+NFL!#REF!,0))</f>
        <v>0</v>
      </c>
      <c r="Y485" s="396">
        <f>IF(+NFL!$F178="Philadelphia",+NFL!#REF!,IF(+NFL!$H178="Philadelphia",+NFL!#REF!,0))</f>
        <v>0</v>
      </c>
      <c r="Z485" s="397">
        <f>IF(+NFL!$F178="Philadelphia",+NFL!#REF!,IF(+NFL!$H178="Philadelphia",+NFL!#REF!,0))</f>
        <v>0</v>
      </c>
      <c r="AA485" s="396">
        <f>IF(+NFL!$F178="Philadelphia",+NFL!#REF!,IF(+NFL!$H178="Philadelphia",+NFL!#REF!,0))</f>
        <v>0</v>
      </c>
      <c r="AB485" s="87">
        <f>IF(+NFL!$F178="Philadelphia",+NFL!#REF!,IF(+NFL!$H178="Philadelphia",+NFL!#REF!,0))</f>
        <v>0</v>
      </c>
      <c r="AC485" s="120">
        <f>IF(+NFL!$F178="Philadelphia",+NFL!#REF!,IF(+NFL!$H178="Philadelphia",+NFL!#REF!,0))</f>
        <v>0</v>
      </c>
      <c r="AD485" s="353">
        <f>IF(+NFL!$F178="Philadelphia",+NFL!#REF!,IF(+NFL!$H178="Philadelphia",+NFL!#REF!,0))</f>
        <v>0</v>
      </c>
      <c r="AE485" s="379">
        <f>IF(+NFL!$F178="Philadelphia",+NFL!#REF!,IF(+NFL!$H178="Philadelphia",+NFL!#REF!,0))</f>
        <v>0</v>
      </c>
      <c r="AF485" s="353">
        <f>IF(+NFL!$F178="Philadelphia",+NFL!#REF!,IF(+NFL!$H178="Philadelphia",+NFL!#REF!,0))</f>
        <v>0</v>
      </c>
      <c r="AG485" s="379">
        <f>IF(+NFL!$F178="Philadelphia",+NFL!#REF!,IF(+NFL!$H178="Philadelphia",+NFL!#REF!,0))</f>
        <v>0</v>
      </c>
      <c r="AH485" s="353">
        <f>IF(+NFL!$F178="Philadelphia",+NFL!#REF!,IF(+NFL!$H178="Philadelphia",+NFL!#REF!,0))</f>
        <v>0</v>
      </c>
      <c r="AI485" s="379">
        <f>IF(+NFL!$F178="Philadelphia",+NFL!#REF!,IF(+NFL!$H178="Philadelphia",+NFL!#REF!,0))</f>
        <v>0</v>
      </c>
      <c r="AJ485" s="353">
        <f>IF(+NFL!$F178="Philadelphia",+NFL!#REF!,IF(+NFL!$H178="Philadelphia",+NFL!#REF!,0))</f>
        <v>0</v>
      </c>
      <c r="AK485" s="379">
        <f>IF(+NFL!$F178="Philadelphia",+NFL!#REF!,IF(+NFL!$H178="Philadelphia",+NFL!#REF!,0))</f>
        <v>0</v>
      </c>
      <c r="AL485" s="68">
        <f>IF(+NFL!$F178="Philadelphia",+NFL!#REF!,IF(+NFL!$H178="Philadelphia",+NFL!#REF!,0))</f>
        <v>0</v>
      </c>
      <c r="AM485" s="58">
        <f>IF(+NFL!$F178="Philadelphia",+NFL!#REF!,IF(+NFL!$H178="Philadelphia",+NFL!#REF!,0))</f>
        <v>0</v>
      </c>
      <c r="AN485" s="57">
        <f>IF(+NFL!$F178="Philadelphia",+NFL!#REF!,IF(+NFL!$H178="Philadelphia",+NFL!#REF!,0))</f>
        <v>0</v>
      </c>
      <c r="AO485" s="59">
        <f>IF(+NFL!$F178="Philadelphia",+NFL!#REF!,IF(+NFL!$H178="Philadelphia",+NFL!#REF!,0))</f>
        <v>0</v>
      </c>
      <c r="AP485" s="348">
        <f>IF(+NFL!$F178="Philadelphia",+NFL!#REF!,IF(+NFL!$H178="Philadelphia",+NFL!#REF!,0))</f>
        <v>0</v>
      </c>
      <c r="AQ485" s="48">
        <f>IF(+NFL!$F178="Philadelphia",+NFL!#REF!,IF(+NFL!$H178="Philadelphia",+NFL!#REF!,0))</f>
        <v>0</v>
      </c>
      <c r="AR485" s="57">
        <f>IF(+NFL!$F178="Philadelphia",+NFL!#REF!,IF(+NFL!$H178="Philadelphia",+NFL!#REF!,0))</f>
        <v>0</v>
      </c>
      <c r="AS485" s="64">
        <f>IF(+NFL!$F178="Philadelphia",+NFL!#REF!,IF(+NFL!$H178="Philadelphia",+NFL!#REF!,0))</f>
        <v>0</v>
      </c>
      <c r="AT485" s="64">
        <f>IF(+NFL!$F178="Philadelphia",+NFL!#REF!,IF(+NFL!$H178="Philadelphia",+NFL!#REF!,0))</f>
        <v>0</v>
      </c>
      <c r="AU485" s="57">
        <f>IF(+NFL!$F178="Philadelphia",+NFL!#REF!,IF(+NFL!$H178="Philadelphia",+NFL!#REF!,0))</f>
        <v>0</v>
      </c>
      <c r="AV485" s="64">
        <f>IF(+NFL!$F178="Philadelphia",+NFL!#REF!,IF(+NFL!$H178="Philadelphia",+NFL!#REF!,0))</f>
        <v>0</v>
      </c>
      <c r="AW485" s="46">
        <f>IF(+NFL!$F178="Philadelphia",+NFL!#REF!,IF(+NFL!$H178="Philadelphia",+NFL!#REF!,0))</f>
        <v>0</v>
      </c>
      <c r="AX485" s="64">
        <f>IF(+NFL!$F178="Philadelphia",+NFL!#REF!,IF(+NFL!$H178="Philadelphia",+NFL!#REF!,0))</f>
        <v>0</v>
      </c>
      <c r="AY485" s="57">
        <f>IF(+NFL!$F178="Philadelphia",+NFL!#REF!,IF(+NFL!$H178="Philadelphia",+NFL!#REF!,0))</f>
        <v>0</v>
      </c>
      <c r="AZ485" s="64">
        <f>IF(+NFL!$F178="Philadelphia",+NFL!#REF!,IF(+NFL!$H178="Philadelphia",+NFL!#REF!,0))</f>
        <v>0</v>
      </c>
      <c r="BA485" s="46">
        <f>IF(+NFL!$F178="Philadelphia",+NFL!#REF!,IF(+NFL!$H178="Philadelphia",+NFL!#REF!,0))</f>
        <v>0</v>
      </c>
      <c r="BB485" s="46">
        <f>IF(+NFL!$F178="Philadelphia",+NFL!#REF!,IF(+NFL!$H178="Philadelphia",+NFL!#REF!,0))</f>
        <v>0</v>
      </c>
      <c r="BC485" s="403">
        <f>IF(+NFL!$F178="Philadelphia",+NFL!#REF!,IF(+NFL!$H178="Philadelphia",+NFL!#REF!,0))</f>
        <v>0</v>
      </c>
      <c r="BD485" s="57">
        <f>IF(+NFL!$F178="Philadelphia",+NFL!#REF!,IF(+NFL!$H178="Philadelphia",+NFL!#REF!,0))</f>
        <v>0</v>
      </c>
      <c r="BE485" s="64">
        <f>IF(+NFL!$F178="Philadelphia",+NFL!#REF!,IF(+NFL!$H178="Philadelphia",+NFL!#REF!,0))</f>
        <v>0</v>
      </c>
      <c r="BF485" s="46">
        <f>IF(+NFL!$F178="Philadelphia",+NFL!#REF!,IF(+NFL!$H178="Philadelphia",+NFL!#REF!,0))</f>
        <v>0</v>
      </c>
      <c r="BG485" s="57">
        <f>IF(+NFL!$F178="Philadelphia",+NFL!#REF!,IF(+NFL!$H178="Philadelphia",+NFL!#REF!,0))</f>
        <v>0</v>
      </c>
      <c r="BH485" s="64">
        <f>IF(+NFL!$F178="Philadelphia",+NFL!#REF!,IF(+NFL!$H178="Philadelphia",+NFL!#REF!,0))</f>
        <v>0</v>
      </c>
      <c r="BI485" s="46">
        <f>IF(+NFL!$F178="Philadelphia",+NFL!#REF!,IF(+NFL!$H178="Philadelphia",+NFL!#REF!,0))</f>
        <v>0</v>
      </c>
      <c r="BJ485" s="87">
        <f>IF(+NFL!$F178="Philadelphia",+NFL!#REF!,IF(+NFL!$H178="Philadelphia",+NFL!#REF!,0))</f>
        <v>0</v>
      </c>
      <c r="BK485" s="120">
        <f>IF(+NFL!$F178="Philadelphia",+NFL!#REF!,IF(+NFL!$H178="Philadelphia",+NFL!#REF!,0))</f>
        <v>0</v>
      </c>
    </row>
    <row r="486" spans="1:63" s="246" customFormat="1" x14ac:dyDescent="0.8">
      <c r="A486" s="46">
        <f>IF(+NFL!$F223="Philadelphia",+NFL!A223,IF(+NFL!$H223="Philadelphia",+NFL!A223,0))</f>
        <v>12</v>
      </c>
      <c r="B486" s="348" t="str">
        <f>IF(+NFL!$F223="Philadelphia",+NFL!B223,IF(+NFL!$H223="Philadelphia",+NFL!B223,0))</f>
        <v>Sun</v>
      </c>
      <c r="C486" s="48">
        <f>IF(+NFL!$F223="Philadelphia",+NFL!C223,IF(+NFL!$H223="Philadelphia",+NFL!C223,0))</f>
        <v>44892</v>
      </c>
      <c r="D486" s="490">
        <f>IF(+NFL!$F223="Philadelphia",+NFL!D223,IF(+NFL!$H223="Philadelphia",+NFL!D223,0))</f>
        <v>0.84375</v>
      </c>
      <c r="E486" s="46" t="str">
        <f>IF(+NFL!$F223="Philadelphia",+NFL!E223,IF(+NFL!$H223="Philadelphia",+NFL!E223,0))</f>
        <v>NBC</v>
      </c>
      <c r="F486" s="127" t="str">
        <f>IF(+NFL!$F223="Philadelphia",+NFL!F223,IF(+NFL!$H223="Philadelphia",+NFL!F223,0))</f>
        <v>Green Bay</v>
      </c>
      <c r="G486" s="46" t="str">
        <f>IF(+NFL!$F223="Philadelphia",+NFL!G223,IF(+NFL!$H223="Philadelphia",+NFL!G223,0))</f>
        <v>NFCN</v>
      </c>
      <c r="H486" s="127" t="str">
        <f>IF(+NFL!$F223="Philadelphia",+NFL!H223,IF(+NFL!$H223="Philadelphia",+NFL!H223,0))</f>
        <v>Philadelphia</v>
      </c>
      <c r="I486" s="46" t="str">
        <f>IF(+NFL!$F223="Philadelphia",+NFL!I223,IF(+NFL!$H223="Philadelphia",+NFL!I223,0))</f>
        <v>NFCE</v>
      </c>
      <c r="J486" s="353" t="str">
        <f>IF(+NFL!$F223="Philadelphia",+NFL!J223,IF(+NFL!$H223="Philadelphia",+NFL!J223,0))</f>
        <v>Philadelphia</v>
      </c>
      <c r="K486" s="494" t="str">
        <f>IF(+NFL!$F223="Philadelphia",+NFL!K223,IF(+NFL!$H223="Philadelphia",+NFL!K223,0))</f>
        <v>Green Bay</v>
      </c>
      <c r="L486" s="384">
        <f>IF(+NFL!$F223="Philadelphia",+NFL!L223,IF(+NFL!$H223="Philadelphia",+NFL!L223,0))</f>
        <v>7</v>
      </c>
      <c r="M486" s="385">
        <f>IF(+NFL!$F223="Philadelphia",+NFL!M223,IF(+NFL!$H223="Philadelphia",+NFL!M223,0))</f>
        <v>46</v>
      </c>
      <c r="N486" s="394" t="str">
        <f>IF(+NFL!$F223="Philadelphia",+NFL!N223,IF(+NFL!$H223="Philadelphia",+NFL!N223,0))</f>
        <v>Philadelphia</v>
      </c>
      <c r="O486" s="395">
        <f>IF(+NFL!$F223="Philadelphia",+NFL!O223,IF(+NFL!$H223="Philadelphia",+NFL!O223,0))</f>
        <v>40</v>
      </c>
      <c r="P486" s="394" t="str">
        <f>IF(+NFL!$F223="Philadelphia",+NFL!P223,IF(+NFL!$H223="Philadelphia",+NFL!P223,0))</f>
        <v>Green Bay</v>
      </c>
      <c r="Q486" s="396">
        <f>IF(+NFL!$F223="Philadelphia",+NFL!Q223,IF(+NFL!$H223="Philadelphia",+NFL!Q223,0))</f>
        <v>33</v>
      </c>
      <c r="R486" s="397" t="str">
        <f>IF(+NFL!$F223="Philadelphia",+NFL!R223,IF(+NFL!$H223="Philadelphia",+NFL!R223,0))</f>
        <v>Philadelphia</v>
      </c>
      <c r="S486" s="396" t="str">
        <f>IF(+NFL!$F223="Philadelphia",+NFL!S223,IF(+NFL!$H223="Philadelphia",+NFL!S223,0))</f>
        <v>Green Bay</v>
      </c>
      <c r="T486" s="398" t="str">
        <f>IF(+NFL!$F223="Philadelphia",+NFL!T223,IF(+NFL!$H223="Philadelphia",+NFL!T223,0))</f>
        <v>Philadelphia</v>
      </c>
      <c r="U486" s="396" t="str">
        <f>IF(+NFL!$F223="Philadelphia",+NFL!U223,IF(+NFL!$H223="Philadelphia",+NFL!U223,0))</f>
        <v>T</v>
      </c>
      <c r="V486" s="397">
        <f>IF(+NFL!$F211="Philadelphia",+NFL!#REF!,IF(+NFL!$H211="Philadelphia",+NFL!#REF!,0))</f>
        <v>0</v>
      </c>
      <c r="W486" s="396">
        <f>IF(+NFL!$F211="Philadelphia",+NFL!#REF!,IF(+NFL!$H211="Philadelphia",+NFL!#REF!,0))</f>
        <v>0</v>
      </c>
      <c r="X486" s="398">
        <f>IF(+NFL!$F211="Philadelphia",+NFL!#REF!,IF(+NFL!$H211="Philadelphia",+NFL!#REF!,0))</f>
        <v>0</v>
      </c>
      <c r="Y486" s="396">
        <f>IF(+NFL!$F211="Philadelphia",+NFL!#REF!,IF(+NFL!$H211="Philadelphia",+NFL!#REF!,0))</f>
        <v>0</v>
      </c>
      <c r="Z486" s="397">
        <f>IF(+NFL!$F211="Philadelphia",+NFL!#REF!,IF(+NFL!$H211="Philadelphia",+NFL!#REF!,0))</f>
        <v>0</v>
      </c>
      <c r="AA486" s="396">
        <f>IF(+NFL!$F211="Philadelphia",+NFL!#REF!,IF(+NFL!$H211="Philadelphia",+NFL!#REF!,0))</f>
        <v>0</v>
      </c>
      <c r="AB486" s="87">
        <f>IF(+NFL!$F211="Philadelphia",+NFL!#REF!,IF(+NFL!$H211="Philadelphia",+NFL!#REF!,0))</f>
        <v>0</v>
      </c>
      <c r="AC486" s="120">
        <f>IF(+NFL!$F211="Philadelphia",+NFL!#REF!,IF(+NFL!$H211="Philadelphia",+NFL!#REF!,0))</f>
        <v>0</v>
      </c>
      <c r="AD486" s="353">
        <f>IF(+NFL!$F211="Philadelphia",+NFL!#REF!,IF(+NFL!$H211="Philadelphia",+NFL!#REF!,0))</f>
        <v>0</v>
      </c>
      <c r="AE486" s="379">
        <f>IF(+NFL!$F211="Philadelphia",+NFL!#REF!,IF(+NFL!$H211="Philadelphia",+NFL!#REF!,0))</f>
        <v>0</v>
      </c>
      <c r="AF486" s="353">
        <f>IF(+NFL!$F211="Philadelphia",+NFL!#REF!,IF(+NFL!$H211="Philadelphia",+NFL!#REF!,0))</f>
        <v>0</v>
      </c>
      <c r="AG486" s="379">
        <f>IF(+NFL!$F211="Philadelphia",+NFL!#REF!,IF(+NFL!$H211="Philadelphia",+NFL!#REF!,0))</f>
        <v>0</v>
      </c>
      <c r="AH486" s="353">
        <f>IF(+NFL!$F211="Philadelphia",+NFL!#REF!,IF(+NFL!$H211="Philadelphia",+NFL!#REF!,0))</f>
        <v>0</v>
      </c>
      <c r="AI486" s="379">
        <f>IF(+NFL!$F211="Philadelphia",+NFL!#REF!,IF(+NFL!$H211="Philadelphia",+NFL!#REF!,0))</f>
        <v>0</v>
      </c>
      <c r="AJ486" s="353">
        <f>IF(+NFL!$F211="Philadelphia",+NFL!#REF!,IF(+NFL!$H211="Philadelphia",+NFL!#REF!,0))</f>
        <v>0</v>
      </c>
      <c r="AK486" s="379">
        <f>IF(+NFL!$F211="Philadelphia",+NFL!#REF!,IF(+NFL!$H211="Philadelphia",+NFL!#REF!,0))</f>
        <v>0</v>
      </c>
      <c r="AL486" s="68">
        <f>IF(+NFL!$F211="Philadelphia",+NFL!#REF!,IF(+NFL!$H211="Philadelphia",+NFL!#REF!,0))</f>
        <v>0</v>
      </c>
      <c r="AM486" s="58">
        <f>IF(+NFL!$F211="Philadelphia",+NFL!#REF!,IF(+NFL!$H211="Philadelphia",+NFL!#REF!,0))</f>
        <v>0</v>
      </c>
      <c r="AN486" s="57">
        <f>IF(+NFL!$F211="Philadelphia",+NFL!#REF!,IF(+NFL!$H211="Philadelphia",+NFL!#REF!,0))</f>
        <v>0</v>
      </c>
      <c r="AO486" s="59">
        <f>IF(+NFL!$F211="Philadelphia",+NFL!#REF!,IF(+NFL!$H211="Philadelphia",+NFL!#REF!,0))</f>
        <v>0</v>
      </c>
      <c r="AP486" s="348">
        <f>IF(+NFL!$F211="Philadelphia",+NFL!#REF!,IF(+NFL!$H211="Philadelphia",+NFL!#REF!,0))</f>
        <v>0</v>
      </c>
      <c r="AQ486" s="48">
        <f>IF(+NFL!$F211="Philadelphia",+NFL!#REF!,IF(+NFL!$H211="Philadelphia",+NFL!#REF!,0))</f>
        <v>0</v>
      </c>
      <c r="AR486" s="57">
        <f>IF(+NFL!$F211="Philadelphia",+NFL!#REF!,IF(+NFL!$H211="Philadelphia",+NFL!#REF!,0))</f>
        <v>0</v>
      </c>
      <c r="AS486" s="64">
        <f>IF(+NFL!$F211="Philadelphia",+NFL!#REF!,IF(+NFL!$H211="Philadelphia",+NFL!#REF!,0))</f>
        <v>0</v>
      </c>
      <c r="AT486" s="64">
        <f>IF(+NFL!$F211="Philadelphia",+NFL!#REF!,IF(+NFL!$H211="Philadelphia",+NFL!#REF!,0))</f>
        <v>0</v>
      </c>
      <c r="AU486" s="57">
        <f>IF(+NFL!$F211="Philadelphia",+NFL!#REF!,IF(+NFL!$H211="Philadelphia",+NFL!#REF!,0))</f>
        <v>0</v>
      </c>
      <c r="AV486" s="64">
        <f>IF(+NFL!$F211="Philadelphia",+NFL!#REF!,IF(+NFL!$H211="Philadelphia",+NFL!#REF!,0))</f>
        <v>0</v>
      </c>
      <c r="AW486" s="46">
        <f>IF(+NFL!$F211="Philadelphia",+NFL!#REF!,IF(+NFL!$H211="Philadelphia",+NFL!#REF!,0))</f>
        <v>0</v>
      </c>
      <c r="AX486" s="64">
        <f>IF(+NFL!$F211="Philadelphia",+NFL!#REF!,IF(+NFL!$H211="Philadelphia",+NFL!#REF!,0))</f>
        <v>0</v>
      </c>
      <c r="AY486" s="57">
        <f>IF(+NFL!$F211="Philadelphia",+NFL!#REF!,IF(+NFL!$H211="Philadelphia",+NFL!#REF!,0))</f>
        <v>0</v>
      </c>
      <c r="AZ486" s="64">
        <f>IF(+NFL!$F211="Philadelphia",+NFL!#REF!,IF(+NFL!$H211="Philadelphia",+NFL!#REF!,0))</f>
        <v>0</v>
      </c>
      <c r="BA486" s="46">
        <f>IF(+NFL!$F211="Philadelphia",+NFL!#REF!,IF(+NFL!$H211="Philadelphia",+NFL!#REF!,0))</f>
        <v>0</v>
      </c>
      <c r="BB486" s="46">
        <f>IF(+NFL!$F211="Philadelphia",+NFL!#REF!,IF(+NFL!$H211="Philadelphia",+NFL!#REF!,0))</f>
        <v>0</v>
      </c>
      <c r="BC486" s="403">
        <f>IF(+NFL!$F211="Philadelphia",+NFL!#REF!,IF(+NFL!$H211="Philadelphia",+NFL!#REF!,0))</f>
        <v>0</v>
      </c>
      <c r="BD486" s="57">
        <f>IF(+NFL!$F211="Philadelphia",+NFL!#REF!,IF(+NFL!$H211="Philadelphia",+NFL!#REF!,0))</f>
        <v>0</v>
      </c>
      <c r="BE486" s="64">
        <f>IF(+NFL!$F211="Philadelphia",+NFL!#REF!,IF(+NFL!$H211="Philadelphia",+NFL!#REF!,0))</f>
        <v>0</v>
      </c>
      <c r="BF486" s="46">
        <f>IF(+NFL!$F211="Philadelphia",+NFL!#REF!,IF(+NFL!$H211="Philadelphia",+NFL!#REF!,0))</f>
        <v>0</v>
      </c>
      <c r="BG486" s="57">
        <f>IF(+NFL!$F211="Philadelphia",+NFL!#REF!,IF(+NFL!$H211="Philadelphia",+NFL!#REF!,0))</f>
        <v>0</v>
      </c>
      <c r="BH486" s="64">
        <f>IF(+NFL!$F211="Philadelphia",+NFL!#REF!,IF(+NFL!$H211="Philadelphia",+NFL!#REF!,0))</f>
        <v>0</v>
      </c>
      <c r="BI486" s="46">
        <f>IF(+NFL!$F211="Philadelphia",+NFL!#REF!,IF(+NFL!$H211="Philadelphia",+NFL!#REF!,0))</f>
        <v>0</v>
      </c>
      <c r="BJ486" s="87">
        <f>IF(+NFL!$F211="Philadelphia",+NFL!#REF!,IF(+NFL!$H211="Philadelphia",+NFL!#REF!,0))</f>
        <v>0</v>
      </c>
      <c r="BK486" s="120">
        <f>IF(+NFL!$F211="Philadelphia",+NFL!#REF!,IF(+NFL!$H211="Philadelphia",+NFL!#REF!,0))</f>
        <v>0</v>
      </c>
    </row>
    <row r="487" spans="1:63" s="246" customFormat="1" x14ac:dyDescent="0.8">
      <c r="A487" s="46">
        <f>IF(+NFL!$F232="Philadelphia",+NFL!A232,IF(+NFL!$H232="Philadelphia",+NFL!A232,0))</f>
        <v>13</v>
      </c>
      <c r="B487" s="348" t="str">
        <f>IF(+NFL!$F232="Philadelphia",+NFL!B232,IF(+NFL!$H232="Philadelphia",+NFL!B232,0))</f>
        <v>Sun</v>
      </c>
      <c r="C487" s="48">
        <f>IF(+NFL!$F232="Philadelphia",+NFL!C232,IF(+NFL!$H232="Philadelphia",+NFL!C232,0))</f>
        <v>44899</v>
      </c>
      <c r="D487" s="490">
        <f>IF(+NFL!$F232="Philadelphia",+NFL!D232,IF(+NFL!$H232="Philadelphia",+NFL!D232,0))</f>
        <v>0.54166666666666663</v>
      </c>
      <c r="E487" s="46" t="str">
        <f>IF(+NFL!$F232="Philadelphia",+NFL!E232,IF(+NFL!$H232="Philadelphia",+NFL!E232,0))</f>
        <v>CBS</v>
      </c>
      <c r="F487" s="127" t="str">
        <f>IF(+NFL!$F232="Philadelphia",+NFL!F232,IF(+NFL!$H232="Philadelphia",+NFL!F232,0))</f>
        <v>Tennessee</v>
      </c>
      <c r="G487" s="46" t="str">
        <f>IF(+NFL!$F232="Philadelphia",+NFL!G232,IF(+NFL!$H232="Philadelphia",+NFL!G232,0))</f>
        <v>AFCS</v>
      </c>
      <c r="H487" s="127" t="str">
        <f>IF(+NFL!$F232="Philadelphia",+NFL!H232,IF(+NFL!$H232="Philadelphia",+NFL!H232,0))</f>
        <v>Philadelphia</v>
      </c>
      <c r="I487" s="46" t="str">
        <f>IF(+NFL!$F232="Philadelphia",+NFL!I232,IF(+NFL!$H232="Philadelphia",+NFL!I232,0))</f>
        <v>NFCE</v>
      </c>
      <c r="J487" s="353" t="str">
        <f>IF(+NFL!$F232="Philadelphia",+NFL!J232,IF(+NFL!$H232="Philadelphia",+NFL!J232,0))</f>
        <v>Philadelphia</v>
      </c>
      <c r="K487" s="494" t="str">
        <f>IF(+NFL!$F232="Philadelphia",+NFL!K232,IF(+NFL!$H232="Philadelphia",+NFL!K232,0))</f>
        <v>Tennessee</v>
      </c>
      <c r="L487" s="384">
        <f>IF(+NFL!$F232="Philadelphia",+NFL!L232,IF(+NFL!$H232="Philadelphia",+NFL!L232,0))</f>
        <v>5.5</v>
      </c>
      <c r="M487" s="385">
        <f>IF(+NFL!$F232="Philadelphia",+NFL!M232,IF(+NFL!$H232="Philadelphia",+NFL!M232,0))</f>
        <v>44.5</v>
      </c>
      <c r="N487" s="394" t="str">
        <f>IF(+NFL!$F232="Philadelphia",+NFL!N232,IF(+NFL!$H232="Philadelphia",+NFL!N232,0))</f>
        <v>Philadelphia</v>
      </c>
      <c r="O487" s="395">
        <f>IF(+NFL!$F232="Philadelphia",+NFL!O232,IF(+NFL!$H232="Philadelphia",+NFL!O232,0))</f>
        <v>35</v>
      </c>
      <c r="P487" s="394" t="str">
        <f>IF(+NFL!$F232="Philadelphia",+NFL!P232,IF(+NFL!$H232="Philadelphia",+NFL!P232,0))</f>
        <v>Tennessee</v>
      </c>
      <c r="Q487" s="396">
        <f>IF(+NFL!$F232="Philadelphia",+NFL!Q232,IF(+NFL!$H232="Philadelphia",+NFL!Q232,0))</f>
        <v>10</v>
      </c>
      <c r="R487" s="397" t="str">
        <f>IF(+NFL!$F232="Philadelphia",+NFL!R232,IF(+NFL!$H232="Philadelphia",+NFL!R232,0))</f>
        <v>Philadelphia</v>
      </c>
      <c r="S487" s="396" t="str">
        <f>IF(+NFL!$F232="Philadelphia",+NFL!S232,IF(+NFL!$H232="Philadelphia",+NFL!S232,0))</f>
        <v>Tennessee</v>
      </c>
      <c r="T487" s="398" t="str">
        <f>IF(+NFL!$F232="Philadelphia",+NFL!T232,IF(+NFL!$H232="Philadelphia",+NFL!T232,0))</f>
        <v>Tennessee</v>
      </c>
      <c r="U487" s="396" t="str">
        <f>IF(+NFL!$F232="Philadelphia",+NFL!U232,IF(+NFL!$H232="Philadelphia",+NFL!U232,0))</f>
        <v>L</v>
      </c>
      <c r="V487" s="397">
        <f>IF(+NFL!$F228="Philadelphia",+NFL!#REF!,IF(+NFL!$H228="Philadelphia",+NFL!#REF!,0))</f>
        <v>0</v>
      </c>
      <c r="W487" s="396">
        <f>IF(+NFL!$F228="Philadelphia",+NFL!#REF!,IF(+NFL!$H228="Philadelphia",+NFL!#REF!,0))</f>
        <v>0</v>
      </c>
      <c r="X487" s="398">
        <f>IF(+NFL!$F228="Philadelphia",+NFL!#REF!,IF(+NFL!$H228="Philadelphia",+NFL!#REF!,0))</f>
        <v>0</v>
      </c>
      <c r="Y487" s="396">
        <f>IF(+NFL!$F228="Philadelphia",+NFL!#REF!,IF(+NFL!$H228="Philadelphia",+NFL!#REF!,0))</f>
        <v>0</v>
      </c>
      <c r="Z487" s="397">
        <f>IF(+NFL!$F228="Philadelphia",+NFL!#REF!,IF(+NFL!$H228="Philadelphia",+NFL!#REF!,0))</f>
        <v>0</v>
      </c>
      <c r="AA487" s="396">
        <f>IF(+NFL!$F228="Philadelphia",+NFL!#REF!,IF(+NFL!$H228="Philadelphia",+NFL!#REF!,0))</f>
        <v>0</v>
      </c>
      <c r="AB487" s="87">
        <f>IF(+NFL!$F228="Philadelphia",+NFL!#REF!,IF(+NFL!$H228="Philadelphia",+NFL!#REF!,0))</f>
        <v>0</v>
      </c>
      <c r="AC487" s="120">
        <f>IF(+NFL!$F228="Philadelphia",+NFL!#REF!,IF(+NFL!$H228="Philadelphia",+NFL!#REF!,0))</f>
        <v>0</v>
      </c>
      <c r="AD487" s="353">
        <f>IF(+NFL!$F228="Philadelphia",+NFL!#REF!,IF(+NFL!$H228="Philadelphia",+NFL!#REF!,0))</f>
        <v>0</v>
      </c>
      <c r="AE487" s="379">
        <f>IF(+NFL!$F228="Philadelphia",+NFL!#REF!,IF(+NFL!$H228="Philadelphia",+NFL!#REF!,0))</f>
        <v>0</v>
      </c>
      <c r="AF487" s="353">
        <f>IF(+NFL!$F228="Philadelphia",+NFL!#REF!,IF(+NFL!$H228="Philadelphia",+NFL!#REF!,0))</f>
        <v>0</v>
      </c>
      <c r="AG487" s="379">
        <f>IF(+NFL!$F228="Philadelphia",+NFL!#REF!,IF(+NFL!$H228="Philadelphia",+NFL!#REF!,0))</f>
        <v>0</v>
      </c>
      <c r="AH487" s="353">
        <f>IF(+NFL!$F228="Philadelphia",+NFL!#REF!,IF(+NFL!$H228="Philadelphia",+NFL!#REF!,0))</f>
        <v>0</v>
      </c>
      <c r="AI487" s="379">
        <f>IF(+NFL!$F228="Philadelphia",+NFL!#REF!,IF(+NFL!$H228="Philadelphia",+NFL!#REF!,0))</f>
        <v>0</v>
      </c>
      <c r="AJ487" s="353">
        <f>IF(+NFL!$F228="Philadelphia",+NFL!#REF!,IF(+NFL!$H228="Philadelphia",+NFL!#REF!,0))</f>
        <v>0</v>
      </c>
      <c r="AK487" s="379">
        <f>IF(+NFL!$F228="Philadelphia",+NFL!#REF!,IF(+NFL!$H228="Philadelphia",+NFL!#REF!,0))</f>
        <v>0</v>
      </c>
      <c r="AL487" s="68">
        <f>IF(+NFL!$F228="Philadelphia",+NFL!#REF!,IF(+NFL!$H228="Philadelphia",+NFL!#REF!,0))</f>
        <v>0</v>
      </c>
      <c r="AM487" s="58">
        <f>IF(+NFL!$F228="Philadelphia",+NFL!#REF!,IF(+NFL!$H228="Philadelphia",+NFL!#REF!,0))</f>
        <v>0</v>
      </c>
      <c r="AN487" s="57">
        <f>IF(+NFL!$F228="Philadelphia",+NFL!#REF!,IF(+NFL!$H228="Philadelphia",+NFL!#REF!,0))</f>
        <v>0</v>
      </c>
      <c r="AO487" s="59">
        <f>IF(+NFL!$F228="Philadelphia",+NFL!#REF!,IF(+NFL!$H228="Philadelphia",+NFL!#REF!,0))</f>
        <v>0</v>
      </c>
      <c r="AP487" s="348">
        <f>IF(+NFL!$F228="Philadelphia",+NFL!#REF!,IF(+NFL!$H228="Philadelphia",+NFL!#REF!,0))</f>
        <v>0</v>
      </c>
      <c r="AQ487" s="48">
        <f>IF(+NFL!$F228="Philadelphia",+NFL!#REF!,IF(+NFL!$H228="Philadelphia",+NFL!#REF!,0))</f>
        <v>0</v>
      </c>
      <c r="AR487" s="57">
        <f>IF(+NFL!$F228="Philadelphia",+NFL!#REF!,IF(+NFL!$H228="Philadelphia",+NFL!#REF!,0))</f>
        <v>0</v>
      </c>
      <c r="AS487" s="64">
        <f>IF(+NFL!$F228="Philadelphia",+NFL!#REF!,IF(+NFL!$H228="Philadelphia",+NFL!#REF!,0))</f>
        <v>0</v>
      </c>
      <c r="AT487" s="64">
        <f>IF(+NFL!$F228="Philadelphia",+NFL!#REF!,IF(+NFL!$H228="Philadelphia",+NFL!#REF!,0))</f>
        <v>0</v>
      </c>
      <c r="AU487" s="57">
        <f>IF(+NFL!$F228="Philadelphia",+NFL!#REF!,IF(+NFL!$H228="Philadelphia",+NFL!#REF!,0))</f>
        <v>0</v>
      </c>
      <c r="AV487" s="64">
        <f>IF(+NFL!$F228="Philadelphia",+NFL!#REF!,IF(+NFL!$H228="Philadelphia",+NFL!#REF!,0))</f>
        <v>0</v>
      </c>
      <c r="AW487" s="46">
        <f>IF(+NFL!$F228="Philadelphia",+NFL!#REF!,IF(+NFL!$H228="Philadelphia",+NFL!#REF!,0))</f>
        <v>0</v>
      </c>
      <c r="AX487" s="64">
        <f>IF(+NFL!$F228="Philadelphia",+NFL!#REF!,IF(+NFL!$H228="Philadelphia",+NFL!#REF!,0))</f>
        <v>0</v>
      </c>
      <c r="AY487" s="57">
        <f>IF(+NFL!$F228="Philadelphia",+NFL!#REF!,IF(+NFL!$H228="Philadelphia",+NFL!#REF!,0))</f>
        <v>0</v>
      </c>
      <c r="AZ487" s="64">
        <f>IF(+NFL!$F228="Philadelphia",+NFL!#REF!,IF(+NFL!$H228="Philadelphia",+NFL!#REF!,0))</f>
        <v>0</v>
      </c>
      <c r="BA487" s="46">
        <f>IF(+NFL!$F228="Philadelphia",+NFL!#REF!,IF(+NFL!$H228="Philadelphia",+NFL!#REF!,0))</f>
        <v>0</v>
      </c>
      <c r="BB487" s="46">
        <f>IF(+NFL!$F228="Philadelphia",+NFL!#REF!,IF(+NFL!$H228="Philadelphia",+NFL!#REF!,0))</f>
        <v>0</v>
      </c>
      <c r="BC487" s="403">
        <f>IF(+NFL!$F228="Philadelphia",+NFL!#REF!,IF(+NFL!$H228="Philadelphia",+NFL!#REF!,0))</f>
        <v>0</v>
      </c>
      <c r="BD487" s="57">
        <f>IF(+NFL!$F228="Philadelphia",+NFL!#REF!,IF(+NFL!$H228="Philadelphia",+NFL!#REF!,0))</f>
        <v>0</v>
      </c>
      <c r="BE487" s="64">
        <f>IF(+NFL!$F228="Philadelphia",+NFL!#REF!,IF(+NFL!$H228="Philadelphia",+NFL!#REF!,0))</f>
        <v>0</v>
      </c>
      <c r="BF487" s="46">
        <f>IF(+NFL!$F228="Philadelphia",+NFL!#REF!,IF(+NFL!$H228="Philadelphia",+NFL!#REF!,0))</f>
        <v>0</v>
      </c>
      <c r="BG487" s="57">
        <f>IF(+NFL!$F228="Philadelphia",+NFL!#REF!,IF(+NFL!$H228="Philadelphia",+NFL!#REF!,0))</f>
        <v>0</v>
      </c>
      <c r="BH487" s="64">
        <f>IF(+NFL!$F228="Philadelphia",+NFL!#REF!,IF(+NFL!$H228="Philadelphia",+NFL!#REF!,0))</f>
        <v>0</v>
      </c>
      <c r="BI487" s="46">
        <f>IF(+NFL!$F228="Philadelphia",+NFL!#REF!,IF(+NFL!$H228="Philadelphia",+NFL!#REF!,0))</f>
        <v>0</v>
      </c>
      <c r="BJ487" s="87">
        <f>IF(+NFL!$F228="Philadelphia",+NFL!#REF!,IF(+NFL!$H228="Philadelphia",+NFL!#REF!,0))</f>
        <v>0</v>
      </c>
      <c r="BK487" s="120">
        <f>IF(+NFL!$F228="Philadelphia",+NFL!#REF!,IF(+NFL!$H228="Philadelphia",+NFL!#REF!,0))</f>
        <v>0</v>
      </c>
    </row>
    <row r="488" spans="1:63" s="246" customFormat="1" x14ac:dyDescent="0.8">
      <c r="A488" s="46">
        <f>IF(+NFL!$F251="Philadelphia",+NFL!A251,IF(+NFL!$H251="Philadelphia",+NFL!A251,0))</f>
        <v>14</v>
      </c>
      <c r="B488" s="348" t="str">
        <f>IF(+NFL!$F251="Philadelphia",+NFL!B251,IF(+NFL!$H251="Philadelphia",+NFL!B251,0))</f>
        <v>Sun</v>
      </c>
      <c r="C488" s="48">
        <f>IF(+NFL!$F251="Philadelphia",+NFL!C251,IF(+NFL!$H251="Philadelphia",+NFL!C251,0))</f>
        <v>44906</v>
      </c>
      <c r="D488" s="490">
        <f>IF(+NFL!$F251="Philadelphia",+NFL!D251,IF(+NFL!$H251="Philadelphia",+NFL!D251,0))</f>
        <v>0.54166666666666663</v>
      </c>
      <c r="E488" s="46" t="str">
        <f>IF(+NFL!$F251="Philadelphia",+NFL!E251,IF(+NFL!$H251="Philadelphia",+NFL!E251,0))</f>
        <v>Fox</v>
      </c>
      <c r="F488" s="127" t="str">
        <f>IF(+NFL!$F251="Philadelphia",+NFL!F251,IF(+NFL!$H251="Philadelphia",+NFL!F251,0))</f>
        <v>Philadelphia</v>
      </c>
      <c r="G488" s="46" t="str">
        <f>IF(+NFL!$F251="Philadelphia",+NFL!G251,IF(+NFL!$H251="Philadelphia",+NFL!G251,0))</f>
        <v>NFCE</v>
      </c>
      <c r="H488" s="127" t="str">
        <f>IF(+NFL!$F251="Philadelphia",+NFL!H251,IF(+NFL!$H251="Philadelphia",+NFL!H251,0))</f>
        <v>NY Giants</v>
      </c>
      <c r="I488" s="46" t="str">
        <f>IF(+NFL!$F251="Philadelphia",+NFL!I251,IF(+NFL!$H251="Philadelphia",+NFL!I251,0))</f>
        <v>NFCE</v>
      </c>
      <c r="J488" s="353" t="str">
        <f>IF(+NFL!$F251="Philadelphia",+NFL!J251,IF(+NFL!$H251="Philadelphia",+NFL!J251,0))</f>
        <v>Philadelphia</v>
      </c>
      <c r="K488" s="494" t="str">
        <f>IF(+NFL!$F251="Philadelphia",+NFL!K251,IF(+NFL!$H251="Philadelphia",+NFL!K251,0))</f>
        <v>NY Giants</v>
      </c>
      <c r="L488" s="384">
        <f>IF(+NFL!$F251="Philadelphia",+NFL!L251,IF(+NFL!$H251="Philadelphia",+NFL!L251,0))</f>
        <v>10.5</v>
      </c>
      <c r="M488" s="385">
        <f>IF(+NFL!$F251="Philadelphia",+NFL!M251,IF(+NFL!$H251="Philadelphia",+NFL!M251,0))</f>
        <v>41.5</v>
      </c>
      <c r="N488" s="394" t="str">
        <f>IF(+NFL!$F251="Philadelphia",+NFL!N251,IF(+NFL!$H251="Philadelphia",+NFL!N251,0))</f>
        <v>Philadelphia</v>
      </c>
      <c r="O488" s="395">
        <f>IF(+NFL!$F251="Philadelphia",+NFL!O251,IF(+NFL!$H251="Philadelphia",+NFL!O251,0))</f>
        <v>48</v>
      </c>
      <c r="P488" s="394" t="str">
        <f>IF(+NFL!$F251="Philadelphia",+NFL!P251,IF(+NFL!$H251="Philadelphia",+NFL!P251,0))</f>
        <v>NY Giants</v>
      </c>
      <c r="Q488" s="396">
        <f>IF(+NFL!$F251="Philadelphia",+NFL!Q251,IF(+NFL!$H251="Philadelphia",+NFL!Q251,0))</f>
        <v>22</v>
      </c>
      <c r="R488" s="397" t="str">
        <f>IF(+NFL!$F251="Philadelphia",+NFL!R251,IF(+NFL!$H251="Philadelphia",+NFL!R251,0))</f>
        <v>Philadelphia</v>
      </c>
      <c r="S488" s="396" t="str">
        <f>IF(+NFL!$F251="Philadelphia",+NFL!S251,IF(+NFL!$H251="Philadelphia",+NFL!S251,0))</f>
        <v>NY Giants</v>
      </c>
      <c r="T488" s="398">
        <f>IF(+NFL!$F251="Philadelphia",+NFL!T251,IF(+NFL!$H251="Philadelphia",+NFL!T251,0))</f>
        <v>0</v>
      </c>
      <c r="U488" s="396" t="str">
        <f>IF(+NFL!$F251="Philadelphia",+NFL!U251,IF(+NFL!$H251="Philadelphia",+NFL!U251,0))</f>
        <v>L</v>
      </c>
      <c r="V488" s="397">
        <f>IF(+NFL!$F252="Philadelphia",+NFL!#REF!,IF(+NFL!$H252="Philadelphia",+NFL!#REF!,0))</f>
        <v>0</v>
      </c>
      <c r="W488" s="396">
        <f>IF(+NFL!$F252="Philadelphia",+NFL!#REF!,IF(+NFL!$H252="Philadelphia",+NFL!#REF!,0))</f>
        <v>0</v>
      </c>
      <c r="X488" s="398">
        <f>IF(+NFL!$F252="Philadelphia",+NFL!#REF!,IF(+NFL!$H252="Philadelphia",+NFL!#REF!,0))</f>
        <v>0</v>
      </c>
      <c r="Y488" s="396">
        <f>IF(+NFL!$F252="Philadelphia",+NFL!#REF!,IF(+NFL!$H252="Philadelphia",+NFL!#REF!,0))</f>
        <v>0</v>
      </c>
      <c r="Z488" s="397">
        <f>IF(+NFL!$F252="Philadelphia",+NFL!#REF!,IF(+NFL!$H252="Philadelphia",+NFL!#REF!,0))</f>
        <v>0</v>
      </c>
      <c r="AA488" s="396">
        <f>IF(+NFL!$F252="Philadelphia",+NFL!#REF!,IF(+NFL!$H252="Philadelphia",+NFL!#REF!,0))</f>
        <v>0</v>
      </c>
      <c r="AB488" s="87">
        <f>IF(+NFL!$F252="Philadelphia",+NFL!#REF!,IF(+NFL!$H252="Philadelphia",+NFL!#REF!,0))</f>
        <v>0</v>
      </c>
      <c r="AC488" s="120">
        <f>IF(+NFL!$F252="Philadelphia",+NFL!#REF!,IF(+NFL!$H252="Philadelphia",+NFL!#REF!,0))</f>
        <v>0</v>
      </c>
      <c r="AD488" s="353">
        <f>IF(+NFL!$F252="Philadelphia",+NFL!#REF!,IF(+NFL!$H252="Philadelphia",+NFL!#REF!,0))</f>
        <v>0</v>
      </c>
      <c r="AE488" s="379">
        <f>IF(+NFL!$F252="Philadelphia",+NFL!#REF!,IF(+NFL!$H252="Philadelphia",+NFL!#REF!,0))</f>
        <v>0</v>
      </c>
      <c r="AF488" s="353">
        <f>IF(+NFL!$F252="Philadelphia",+NFL!#REF!,IF(+NFL!$H252="Philadelphia",+NFL!#REF!,0))</f>
        <v>0</v>
      </c>
      <c r="AG488" s="379">
        <f>IF(+NFL!$F252="Philadelphia",+NFL!#REF!,IF(+NFL!$H252="Philadelphia",+NFL!#REF!,0))</f>
        <v>0</v>
      </c>
      <c r="AH488" s="353">
        <f>IF(+NFL!$F252="Philadelphia",+NFL!#REF!,IF(+NFL!$H252="Philadelphia",+NFL!#REF!,0))</f>
        <v>0</v>
      </c>
      <c r="AI488" s="379">
        <f>IF(+NFL!$F252="Philadelphia",+NFL!#REF!,IF(+NFL!$H252="Philadelphia",+NFL!#REF!,0))</f>
        <v>0</v>
      </c>
      <c r="AJ488" s="353">
        <f>IF(+NFL!$F252="Philadelphia",+NFL!#REF!,IF(+NFL!$H252="Philadelphia",+NFL!#REF!,0))</f>
        <v>0</v>
      </c>
      <c r="AK488" s="379">
        <f>IF(+NFL!$F252="Philadelphia",+NFL!#REF!,IF(+NFL!$H252="Philadelphia",+NFL!#REF!,0))</f>
        <v>0</v>
      </c>
      <c r="AL488" s="68">
        <f>IF(+NFL!$F252="Philadelphia",+NFL!#REF!,IF(+NFL!$H252="Philadelphia",+NFL!#REF!,0))</f>
        <v>0</v>
      </c>
      <c r="AM488" s="58">
        <f>IF(+NFL!$F252="Philadelphia",+NFL!#REF!,IF(+NFL!$H252="Philadelphia",+NFL!#REF!,0))</f>
        <v>0</v>
      </c>
      <c r="AN488" s="57">
        <f>IF(+NFL!$F252="Philadelphia",+NFL!#REF!,IF(+NFL!$H252="Philadelphia",+NFL!#REF!,0))</f>
        <v>0</v>
      </c>
      <c r="AO488" s="59">
        <f>IF(+NFL!$F252="Philadelphia",+NFL!#REF!,IF(+NFL!$H252="Philadelphia",+NFL!#REF!,0))</f>
        <v>0</v>
      </c>
      <c r="AP488" s="348">
        <f>IF(+NFL!$F252="Philadelphia",+NFL!#REF!,IF(+NFL!$H252="Philadelphia",+NFL!#REF!,0))</f>
        <v>0</v>
      </c>
      <c r="AQ488" s="48">
        <f>IF(+NFL!$F252="Philadelphia",+NFL!#REF!,IF(+NFL!$H252="Philadelphia",+NFL!#REF!,0))</f>
        <v>0</v>
      </c>
      <c r="AR488" s="57">
        <f>IF(+NFL!$F252="Philadelphia",+NFL!#REF!,IF(+NFL!$H252="Philadelphia",+NFL!#REF!,0))</f>
        <v>0</v>
      </c>
      <c r="AS488" s="64">
        <f>IF(+NFL!$F252="Philadelphia",+NFL!#REF!,IF(+NFL!$H252="Philadelphia",+NFL!#REF!,0))</f>
        <v>0</v>
      </c>
      <c r="AT488" s="64">
        <f>IF(+NFL!$F252="Philadelphia",+NFL!#REF!,IF(+NFL!$H252="Philadelphia",+NFL!#REF!,0))</f>
        <v>0</v>
      </c>
      <c r="AU488" s="57">
        <f>IF(+NFL!$F252="Philadelphia",+NFL!#REF!,IF(+NFL!$H252="Philadelphia",+NFL!#REF!,0))</f>
        <v>0</v>
      </c>
      <c r="AV488" s="64">
        <f>IF(+NFL!$F252="Philadelphia",+NFL!#REF!,IF(+NFL!$H252="Philadelphia",+NFL!#REF!,0))</f>
        <v>0</v>
      </c>
      <c r="AW488" s="46">
        <f>IF(+NFL!$F252="Philadelphia",+NFL!#REF!,IF(+NFL!$H252="Philadelphia",+NFL!#REF!,0))</f>
        <v>0</v>
      </c>
      <c r="AX488" s="64">
        <f>IF(+NFL!$F252="Philadelphia",+NFL!#REF!,IF(+NFL!$H252="Philadelphia",+NFL!#REF!,0))</f>
        <v>0</v>
      </c>
      <c r="AY488" s="57">
        <f>IF(+NFL!$F252="Philadelphia",+NFL!#REF!,IF(+NFL!$H252="Philadelphia",+NFL!#REF!,0))</f>
        <v>0</v>
      </c>
      <c r="AZ488" s="64">
        <f>IF(+NFL!$F252="Philadelphia",+NFL!#REF!,IF(+NFL!$H252="Philadelphia",+NFL!#REF!,0))</f>
        <v>0</v>
      </c>
      <c r="BA488" s="46">
        <f>IF(+NFL!$F252="Philadelphia",+NFL!#REF!,IF(+NFL!$H252="Philadelphia",+NFL!#REF!,0))</f>
        <v>0</v>
      </c>
      <c r="BB488" s="46">
        <f>IF(+NFL!$F252="Philadelphia",+NFL!#REF!,IF(+NFL!$H252="Philadelphia",+NFL!#REF!,0))</f>
        <v>0</v>
      </c>
      <c r="BC488" s="403">
        <f>IF(+NFL!$F252="Philadelphia",+NFL!#REF!,IF(+NFL!$H252="Philadelphia",+NFL!#REF!,0))</f>
        <v>0</v>
      </c>
      <c r="BD488" s="57">
        <f>IF(+NFL!$F252="Philadelphia",+NFL!#REF!,IF(+NFL!$H252="Philadelphia",+NFL!#REF!,0))</f>
        <v>0</v>
      </c>
      <c r="BE488" s="64">
        <f>IF(+NFL!$F252="Philadelphia",+NFL!#REF!,IF(+NFL!$H252="Philadelphia",+NFL!#REF!,0))</f>
        <v>0</v>
      </c>
      <c r="BF488" s="46">
        <f>IF(+NFL!$F252="Philadelphia",+NFL!#REF!,IF(+NFL!$H252="Philadelphia",+NFL!#REF!,0))</f>
        <v>0</v>
      </c>
      <c r="BG488" s="57">
        <f>IF(+NFL!$F252="Philadelphia",+NFL!#REF!,IF(+NFL!$H252="Philadelphia",+NFL!#REF!,0))</f>
        <v>0</v>
      </c>
      <c r="BH488" s="64">
        <f>IF(+NFL!$F252="Philadelphia",+NFL!#REF!,IF(+NFL!$H252="Philadelphia",+NFL!#REF!,0))</f>
        <v>0</v>
      </c>
      <c r="BI488" s="46">
        <f>IF(+NFL!$F252="Philadelphia",+NFL!#REF!,IF(+NFL!$H252="Philadelphia",+NFL!#REF!,0))</f>
        <v>0</v>
      </c>
      <c r="BJ488" s="87">
        <f>IF(+NFL!$F252="Philadelphia",+NFL!#REF!,IF(+NFL!$H252="Philadelphia",+NFL!#REF!,0))</f>
        <v>0</v>
      </c>
      <c r="BK488" s="120">
        <f>IF(+NFL!$F252="Philadelphia",+NFL!#REF!,IF(+NFL!$H252="Philadelphia",+NFL!#REF!,0))</f>
        <v>0</v>
      </c>
    </row>
    <row r="489" spans="1:63" s="246" customFormat="1" x14ac:dyDescent="0.8">
      <c r="A489" s="46">
        <f>IF(+NFL!$F272="Philadelphia",+NFL!A272,IF(+NFL!$H272="Philadelphia",+NFL!A272,0))</f>
        <v>15</v>
      </c>
      <c r="B489" s="348" t="str">
        <f>IF(+NFL!$F272="Philadelphia",+NFL!B272,IF(+NFL!$H272="Philadelphia",+NFL!B272,0))</f>
        <v>Sun</v>
      </c>
      <c r="C489" s="48">
        <f>IF(+NFL!$F272="Philadelphia",+NFL!C272,IF(+NFL!$H272="Philadelphia",+NFL!C272,0))</f>
        <v>44913</v>
      </c>
      <c r="D489" s="490">
        <f>IF(+NFL!$F272="Philadelphia",+NFL!D272,IF(+NFL!$H272="Philadelphia",+NFL!D272,0))</f>
        <v>0.54166666666666663</v>
      </c>
      <c r="E489" s="46" t="str">
        <f>IF(+NFL!$F272="Philadelphia",+NFL!E272,IF(+NFL!$H272="Philadelphia",+NFL!E272,0))</f>
        <v>Fox</v>
      </c>
      <c r="F489" s="127" t="str">
        <f>IF(+NFL!$F272="Philadelphia",+NFL!F272,IF(+NFL!$H272="Philadelphia",+NFL!F272,0))</f>
        <v>Philadelphia</v>
      </c>
      <c r="G489" s="46" t="str">
        <f>IF(+NFL!$F272="Philadelphia",+NFL!G272,IF(+NFL!$H272="Philadelphia",+NFL!G272,0))</f>
        <v>NFCE</v>
      </c>
      <c r="H489" s="127" t="str">
        <f>IF(+NFL!$F272="Philadelphia",+NFL!H272,IF(+NFL!$H272="Philadelphia",+NFL!H272,0))</f>
        <v>Chicago</v>
      </c>
      <c r="I489" s="46" t="str">
        <f>IF(+NFL!$F272="Philadelphia",+NFL!I272,IF(+NFL!$H272="Philadelphia",+NFL!I272,0))</f>
        <v>NFCN</v>
      </c>
      <c r="J489" s="353" t="str">
        <f>IF(+NFL!$F272="Philadelphia",+NFL!J272,IF(+NFL!$H272="Philadelphia",+NFL!J272,0))</f>
        <v>Philadelphia</v>
      </c>
      <c r="K489" s="494" t="str">
        <f>IF(+NFL!$F272="Philadelphia",+NFL!K272,IF(+NFL!$H272="Philadelphia",+NFL!K272,0))</f>
        <v>Chicago</v>
      </c>
      <c r="L489" s="384">
        <f>IF(+NFL!$F272="Philadelphia",+NFL!L272,IF(+NFL!$H272="Philadelphia",+NFL!L272,0))</f>
        <v>8.5</v>
      </c>
      <c r="M489" s="385">
        <f>IF(+NFL!$F272="Philadelphia",+NFL!M272,IF(+NFL!$H272="Philadelphia",+NFL!M272,0))</f>
        <v>47.5</v>
      </c>
      <c r="N489" s="394" t="str">
        <f>IF(+NFL!$F272="Philadelphia",+NFL!N272,IF(+NFL!$H272="Philadelphia",+NFL!N272,0))</f>
        <v>Philadelphia</v>
      </c>
      <c r="O489" s="395">
        <f>IF(+NFL!$F272="Philadelphia",+NFL!O272,IF(+NFL!$H272="Philadelphia",+NFL!O272,0))</f>
        <v>25</v>
      </c>
      <c r="P489" s="394" t="str">
        <f>IF(+NFL!$F272="Philadelphia",+NFL!P272,IF(+NFL!$H272="Philadelphia",+NFL!P272,0))</f>
        <v>Chicago</v>
      </c>
      <c r="Q489" s="396">
        <f>IF(+NFL!$F272="Philadelphia",+NFL!Q272,IF(+NFL!$H272="Philadelphia",+NFL!Q272,0))</f>
        <v>20</v>
      </c>
      <c r="R489" s="397" t="str">
        <f>IF(+NFL!$F272="Philadelphia",+NFL!R272,IF(+NFL!$H272="Philadelphia",+NFL!R272,0))</f>
        <v>Chicago</v>
      </c>
      <c r="S489" s="396" t="str">
        <f>IF(+NFL!$F272="Philadelphia",+NFL!S272,IF(+NFL!$H272="Philadelphia",+NFL!S272,0))</f>
        <v>Philadelphia</v>
      </c>
      <c r="T489" s="398">
        <f>IF(+NFL!$F272="Philadelphia",+NFL!T272,IF(+NFL!$H272="Philadelphia",+NFL!T272,0))</f>
        <v>0</v>
      </c>
      <c r="U489" s="396" t="str">
        <f>IF(+NFL!$F272="Philadelphia",+NFL!U272,IF(+NFL!$H272="Philadelphia",+NFL!U272,0))</f>
        <v>L</v>
      </c>
      <c r="V489" s="397">
        <f>IF(+NFL!$F271="Philadelphia",+NFL!#REF!,IF(+NFL!$H271="Philadelphia",+NFL!#REF!,0))</f>
        <v>0</v>
      </c>
      <c r="W489" s="396">
        <f>IF(+NFL!$F271="Philadelphia",+NFL!#REF!,IF(+NFL!$H271="Philadelphia",+NFL!#REF!,0))</f>
        <v>0</v>
      </c>
      <c r="X489" s="398">
        <f>IF(+NFL!$F271="Philadelphia",+NFL!#REF!,IF(+NFL!$H271="Philadelphia",+NFL!#REF!,0))</f>
        <v>0</v>
      </c>
      <c r="Y489" s="396">
        <f>IF(+NFL!$F271="Philadelphia",+NFL!#REF!,IF(+NFL!$H271="Philadelphia",+NFL!#REF!,0))</f>
        <v>0</v>
      </c>
      <c r="Z489" s="397">
        <f>IF(+NFL!$F271="Philadelphia",+NFL!#REF!,IF(+NFL!$H271="Philadelphia",+NFL!#REF!,0))</f>
        <v>0</v>
      </c>
      <c r="AA489" s="396">
        <f>IF(+NFL!$F271="Philadelphia",+NFL!#REF!,IF(+NFL!$H271="Philadelphia",+NFL!#REF!,0))</f>
        <v>0</v>
      </c>
      <c r="AB489" s="87">
        <f>IF(+NFL!$F271="Philadelphia",+NFL!#REF!,IF(+NFL!$H271="Philadelphia",+NFL!#REF!,0))</f>
        <v>0</v>
      </c>
      <c r="AC489" s="120">
        <f>IF(+NFL!$F271="Philadelphia",+NFL!#REF!,IF(+NFL!$H271="Philadelphia",+NFL!#REF!,0))</f>
        <v>0</v>
      </c>
      <c r="AD489" s="353">
        <f>IF(+NFL!$F271="Philadelphia",+NFL!#REF!,IF(+NFL!$H271="Philadelphia",+NFL!#REF!,0))</f>
        <v>0</v>
      </c>
      <c r="AE489" s="379">
        <f>IF(+NFL!$F271="Philadelphia",+NFL!#REF!,IF(+NFL!$H271="Philadelphia",+NFL!#REF!,0))</f>
        <v>0</v>
      </c>
      <c r="AF489" s="353">
        <f>IF(+NFL!$F271="Philadelphia",+NFL!#REF!,IF(+NFL!$H271="Philadelphia",+NFL!#REF!,0))</f>
        <v>0</v>
      </c>
      <c r="AG489" s="379">
        <f>IF(+NFL!$F271="Philadelphia",+NFL!#REF!,IF(+NFL!$H271="Philadelphia",+NFL!#REF!,0))</f>
        <v>0</v>
      </c>
      <c r="AH489" s="353">
        <f>IF(+NFL!$F271="Philadelphia",+NFL!#REF!,IF(+NFL!$H271="Philadelphia",+NFL!#REF!,0))</f>
        <v>0</v>
      </c>
      <c r="AI489" s="379">
        <f>IF(+NFL!$F271="Philadelphia",+NFL!#REF!,IF(+NFL!$H271="Philadelphia",+NFL!#REF!,0))</f>
        <v>0</v>
      </c>
      <c r="AJ489" s="353">
        <f>IF(+NFL!$F271="Philadelphia",+NFL!#REF!,IF(+NFL!$H271="Philadelphia",+NFL!#REF!,0))</f>
        <v>0</v>
      </c>
      <c r="AK489" s="379">
        <f>IF(+NFL!$F271="Philadelphia",+NFL!#REF!,IF(+NFL!$H271="Philadelphia",+NFL!#REF!,0))</f>
        <v>0</v>
      </c>
      <c r="AL489" s="68">
        <f>IF(+NFL!$F271="Philadelphia",+NFL!#REF!,IF(+NFL!$H271="Philadelphia",+NFL!#REF!,0))</f>
        <v>0</v>
      </c>
      <c r="AM489" s="58">
        <f>IF(+NFL!$F271="Philadelphia",+NFL!#REF!,IF(+NFL!$H271="Philadelphia",+NFL!#REF!,0))</f>
        <v>0</v>
      </c>
      <c r="AN489" s="57">
        <f>IF(+NFL!$F271="Philadelphia",+NFL!#REF!,IF(+NFL!$H271="Philadelphia",+NFL!#REF!,0))</f>
        <v>0</v>
      </c>
      <c r="AO489" s="59">
        <f>IF(+NFL!$F271="Philadelphia",+NFL!#REF!,IF(+NFL!$H271="Philadelphia",+NFL!#REF!,0))</f>
        <v>0</v>
      </c>
      <c r="AP489" s="348">
        <f>IF(+NFL!$F271="Philadelphia",+NFL!#REF!,IF(+NFL!$H271="Philadelphia",+NFL!#REF!,0))</f>
        <v>0</v>
      </c>
      <c r="AQ489" s="48">
        <f>IF(+NFL!$F271="Philadelphia",+NFL!#REF!,IF(+NFL!$H271="Philadelphia",+NFL!#REF!,0))</f>
        <v>0</v>
      </c>
      <c r="AR489" s="57">
        <f>IF(+NFL!$F271="Philadelphia",+NFL!#REF!,IF(+NFL!$H271="Philadelphia",+NFL!#REF!,0))</f>
        <v>0</v>
      </c>
      <c r="AS489" s="64">
        <f>IF(+NFL!$F271="Philadelphia",+NFL!#REF!,IF(+NFL!$H271="Philadelphia",+NFL!#REF!,0))</f>
        <v>0</v>
      </c>
      <c r="AT489" s="64">
        <f>IF(+NFL!$F271="Philadelphia",+NFL!#REF!,IF(+NFL!$H271="Philadelphia",+NFL!#REF!,0))</f>
        <v>0</v>
      </c>
      <c r="AU489" s="57">
        <f>IF(+NFL!$F271="Philadelphia",+NFL!#REF!,IF(+NFL!$H271="Philadelphia",+NFL!#REF!,0))</f>
        <v>0</v>
      </c>
      <c r="AV489" s="64">
        <f>IF(+NFL!$F271="Philadelphia",+NFL!#REF!,IF(+NFL!$H271="Philadelphia",+NFL!#REF!,0))</f>
        <v>0</v>
      </c>
      <c r="AW489" s="46">
        <f>IF(+NFL!$F271="Philadelphia",+NFL!#REF!,IF(+NFL!$H271="Philadelphia",+NFL!#REF!,0))</f>
        <v>0</v>
      </c>
      <c r="AX489" s="64">
        <f>IF(+NFL!$F271="Philadelphia",+NFL!#REF!,IF(+NFL!$H271="Philadelphia",+NFL!#REF!,0))</f>
        <v>0</v>
      </c>
      <c r="AY489" s="57">
        <f>IF(+NFL!$F271="Philadelphia",+NFL!#REF!,IF(+NFL!$H271="Philadelphia",+NFL!#REF!,0))</f>
        <v>0</v>
      </c>
      <c r="AZ489" s="64">
        <f>IF(+NFL!$F271="Philadelphia",+NFL!#REF!,IF(+NFL!$H271="Philadelphia",+NFL!#REF!,0))</f>
        <v>0</v>
      </c>
      <c r="BA489" s="46">
        <f>IF(+NFL!$F271="Philadelphia",+NFL!#REF!,IF(+NFL!$H271="Philadelphia",+NFL!#REF!,0))</f>
        <v>0</v>
      </c>
      <c r="BB489" s="46">
        <f>IF(+NFL!$F271="Philadelphia",+NFL!#REF!,IF(+NFL!$H271="Philadelphia",+NFL!#REF!,0))</f>
        <v>0</v>
      </c>
      <c r="BC489" s="403">
        <f>IF(+NFL!$F271="Philadelphia",+NFL!#REF!,IF(+NFL!$H271="Philadelphia",+NFL!#REF!,0))</f>
        <v>0</v>
      </c>
      <c r="BD489" s="57">
        <f>IF(+NFL!$F271="Philadelphia",+NFL!#REF!,IF(+NFL!$H271="Philadelphia",+NFL!#REF!,0))</f>
        <v>0</v>
      </c>
      <c r="BE489" s="64">
        <f>IF(+NFL!$F271="Philadelphia",+NFL!#REF!,IF(+NFL!$H271="Philadelphia",+NFL!#REF!,0))</f>
        <v>0</v>
      </c>
      <c r="BF489" s="46">
        <f>IF(+NFL!$F271="Philadelphia",+NFL!#REF!,IF(+NFL!$H271="Philadelphia",+NFL!#REF!,0))</f>
        <v>0</v>
      </c>
      <c r="BG489" s="57">
        <f>IF(+NFL!$F271="Philadelphia",+NFL!#REF!,IF(+NFL!$H271="Philadelphia",+NFL!#REF!,0))</f>
        <v>0</v>
      </c>
      <c r="BH489" s="64">
        <f>IF(+NFL!$F271="Philadelphia",+NFL!#REF!,IF(+NFL!$H271="Philadelphia",+NFL!#REF!,0))</f>
        <v>0</v>
      </c>
      <c r="BI489" s="46">
        <f>IF(+NFL!$F271="Philadelphia",+NFL!#REF!,IF(+NFL!$H271="Philadelphia",+NFL!#REF!,0))</f>
        <v>0</v>
      </c>
      <c r="BJ489" s="87">
        <f>IF(+NFL!$F271="Philadelphia",+NFL!#REF!,IF(+NFL!$H271="Philadelphia",+NFL!#REF!,0))</f>
        <v>0</v>
      </c>
      <c r="BK489" s="120">
        <f>IF(+NFL!$F271="Philadelphia",+NFL!#REF!,IF(+NFL!$H271="Philadelphia",+NFL!#REF!,0))</f>
        <v>0</v>
      </c>
    </row>
    <row r="490" spans="1:63" s="246" customFormat="1" x14ac:dyDescent="0.8">
      <c r="A490" s="46">
        <f>IF(+NFL!$F293="Philadelphia",+NFL!A293,IF(+NFL!$H293="Philadelphia",+NFL!A293,0))</f>
        <v>16</v>
      </c>
      <c r="B490" s="348" t="str">
        <f>IF(+NFL!$F293="Philadelphia",+NFL!B293,IF(+NFL!$H293="Philadelphia",+NFL!B293,0))</f>
        <v>Sat</v>
      </c>
      <c r="C490" s="48">
        <f>IF(+NFL!$F293="Philadelphia",+NFL!C293,IF(+NFL!$H293="Philadelphia",+NFL!C293,0))</f>
        <v>44919</v>
      </c>
      <c r="D490" s="490">
        <f>IF(+NFL!$F293="Philadelphia",+NFL!D293,IF(+NFL!$H293="Philadelphia",+NFL!D293,0))</f>
        <v>0.66666666666666663</v>
      </c>
      <c r="E490" s="46" t="str">
        <f>IF(+NFL!$F293="Philadelphia",+NFL!E293,IF(+NFL!$H293="Philadelphia",+NFL!E293,0))</f>
        <v>Fox</v>
      </c>
      <c r="F490" s="127" t="str">
        <f>IF(+NFL!$F293="Philadelphia",+NFL!F293,IF(+NFL!$H293="Philadelphia",+NFL!F293,0))</f>
        <v>Philadelphia</v>
      </c>
      <c r="G490" s="46" t="str">
        <f>IF(+NFL!$F293="Philadelphia",+NFL!G293,IF(+NFL!$H293="Philadelphia",+NFL!G293,0))</f>
        <v>NFCE</v>
      </c>
      <c r="H490" s="127" t="str">
        <f>IF(+NFL!$F293="Philadelphia",+NFL!H293,IF(+NFL!$H293="Philadelphia",+NFL!H293,0))</f>
        <v>Dallas</v>
      </c>
      <c r="I490" s="46" t="str">
        <f>IF(+NFL!$F293="Philadelphia",+NFL!I293,IF(+NFL!$H293="Philadelphia",+NFL!I293,0))</f>
        <v>NFCE</v>
      </c>
      <c r="J490" s="353" t="str">
        <f>IF(+NFL!$F293="Philadelphia",+NFL!J293,IF(+NFL!$H293="Philadelphia",+NFL!J293,0))</f>
        <v>Dallas</v>
      </c>
      <c r="K490" s="494" t="str">
        <f>IF(+NFL!$F293="Philadelphia",+NFL!K293,IF(+NFL!$H293="Philadelphia",+NFL!K293,0))</f>
        <v>Philadelphia</v>
      </c>
      <c r="L490" s="384">
        <f>IF(+NFL!$F293="Philadelphia",+NFL!L293,IF(+NFL!$H293="Philadelphia",+NFL!L293,0))</f>
        <v>3.5</v>
      </c>
      <c r="M490" s="385">
        <f>IF(+NFL!$F293="Philadelphia",+NFL!M293,IF(+NFL!$H293="Philadelphia",+NFL!M293,0))</f>
        <v>48.5</v>
      </c>
      <c r="N490" s="394" t="str">
        <f>IF(+NFL!$F293="Philadelphia",+NFL!N293,IF(+NFL!$H293="Philadelphia",+NFL!N293,0))</f>
        <v>Dallas</v>
      </c>
      <c r="O490" s="395">
        <f>IF(+NFL!$F293="Philadelphia",+NFL!O293,IF(+NFL!$H293="Philadelphia",+NFL!O293,0))</f>
        <v>40</v>
      </c>
      <c r="P490" s="394" t="str">
        <f>IF(+NFL!$F293="Philadelphia",+NFL!P293,IF(+NFL!$H293="Philadelphia",+NFL!P293,0))</f>
        <v>Philadelphia</v>
      </c>
      <c r="Q490" s="396">
        <f>IF(+NFL!$F293="Philadelphia",+NFL!Q293,IF(+NFL!$H293="Philadelphia",+NFL!Q293,0))</f>
        <v>34</v>
      </c>
      <c r="R490" s="397" t="str">
        <f>IF(+NFL!$F293="Philadelphia",+NFL!R293,IF(+NFL!$H293="Philadelphia",+NFL!R293,0))</f>
        <v>Dallas</v>
      </c>
      <c r="S490" s="396" t="str">
        <f>IF(+NFL!$F293="Philadelphia",+NFL!S293,IF(+NFL!$H293="Philadelphia",+NFL!S293,0))</f>
        <v>Philadelphia</v>
      </c>
      <c r="T490" s="398">
        <f>IF(+NFL!$F293="Philadelphia",+NFL!T293,IF(+NFL!$H293="Philadelphia",+NFL!T293,0))</f>
        <v>0</v>
      </c>
      <c r="U490" s="396" t="str">
        <f>IF(+NFL!$F293="Philadelphia",+NFL!U293,IF(+NFL!$H293="Philadelphia",+NFL!U293,0))</f>
        <v>L</v>
      </c>
      <c r="V490" s="397">
        <f>IF(+NFL!$F297="Philadelphia",+NFL!#REF!,IF(+NFL!$H297="Philadelphia",+NFL!#REF!,0))</f>
        <v>0</v>
      </c>
      <c r="W490" s="396">
        <f>IF(+NFL!$F297="Philadelphia",+NFL!#REF!,IF(+NFL!$H297="Philadelphia",+NFL!#REF!,0))</f>
        <v>0</v>
      </c>
      <c r="X490" s="398">
        <f>IF(+NFL!$F297="Philadelphia",+NFL!#REF!,IF(+NFL!$H297="Philadelphia",+NFL!#REF!,0))</f>
        <v>0</v>
      </c>
      <c r="Y490" s="396">
        <f>IF(+NFL!$F297="Philadelphia",+NFL!#REF!,IF(+NFL!$H297="Philadelphia",+NFL!#REF!,0))</f>
        <v>0</v>
      </c>
      <c r="Z490" s="397">
        <f>IF(+NFL!$F297="Philadelphia",+NFL!#REF!,IF(+NFL!$H297="Philadelphia",+NFL!#REF!,0))</f>
        <v>0</v>
      </c>
      <c r="AA490" s="396">
        <f>IF(+NFL!$F297="Philadelphia",+NFL!#REF!,IF(+NFL!$H297="Philadelphia",+NFL!#REF!,0))</f>
        <v>0</v>
      </c>
      <c r="AB490" s="87">
        <f>IF(+NFL!$F297="Philadelphia",+NFL!#REF!,IF(+NFL!$H297="Philadelphia",+NFL!#REF!,0))</f>
        <v>0</v>
      </c>
      <c r="AC490" s="120">
        <f>IF(+NFL!$F297="Philadelphia",+NFL!#REF!,IF(+NFL!$H297="Philadelphia",+NFL!#REF!,0))</f>
        <v>0</v>
      </c>
      <c r="AD490" s="353">
        <f>IF(+NFL!$F297="Philadelphia",+NFL!#REF!,IF(+NFL!$H297="Philadelphia",+NFL!#REF!,0))</f>
        <v>0</v>
      </c>
      <c r="AE490" s="379">
        <f>IF(+NFL!$F297="Philadelphia",+NFL!#REF!,IF(+NFL!$H297="Philadelphia",+NFL!#REF!,0))</f>
        <v>0</v>
      </c>
      <c r="AF490" s="353">
        <f>IF(+NFL!$F297="Philadelphia",+NFL!#REF!,IF(+NFL!$H297="Philadelphia",+NFL!#REF!,0))</f>
        <v>0</v>
      </c>
      <c r="AG490" s="379">
        <f>IF(+NFL!$F297="Philadelphia",+NFL!#REF!,IF(+NFL!$H297="Philadelphia",+NFL!#REF!,0))</f>
        <v>0</v>
      </c>
      <c r="AH490" s="353">
        <f>IF(+NFL!$F297="Philadelphia",+NFL!#REF!,IF(+NFL!$H297="Philadelphia",+NFL!#REF!,0))</f>
        <v>0</v>
      </c>
      <c r="AI490" s="379">
        <f>IF(+NFL!$F297="Philadelphia",+NFL!#REF!,IF(+NFL!$H297="Philadelphia",+NFL!#REF!,0))</f>
        <v>0</v>
      </c>
      <c r="AJ490" s="353">
        <f>IF(+NFL!$F297="Philadelphia",+NFL!#REF!,IF(+NFL!$H297="Philadelphia",+NFL!#REF!,0))</f>
        <v>0</v>
      </c>
      <c r="AK490" s="379">
        <f>IF(+NFL!$F297="Philadelphia",+NFL!#REF!,IF(+NFL!$H297="Philadelphia",+NFL!#REF!,0))</f>
        <v>0</v>
      </c>
      <c r="AL490" s="68">
        <f>IF(+NFL!$F297="Philadelphia",+NFL!#REF!,IF(+NFL!$H297="Philadelphia",+NFL!#REF!,0))</f>
        <v>0</v>
      </c>
      <c r="AM490" s="58">
        <f>IF(+NFL!$F297="Philadelphia",+NFL!#REF!,IF(+NFL!$H297="Philadelphia",+NFL!#REF!,0))</f>
        <v>0</v>
      </c>
      <c r="AN490" s="57">
        <f>IF(+NFL!$F297="Philadelphia",+NFL!#REF!,IF(+NFL!$H297="Philadelphia",+NFL!#REF!,0))</f>
        <v>0</v>
      </c>
      <c r="AO490" s="59">
        <f>IF(+NFL!$F297="Philadelphia",+NFL!#REF!,IF(+NFL!$H297="Philadelphia",+NFL!#REF!,0))</f>
        <v>0</v>
      </c>
      <c r="AP490" s="348">
        <f>IF(+NFL!$F297="Philadelphia",+NFL!#REF!,IF(+NFL!$H297="Philadelphia",+NFL!#REF!,0))</f>
        <v>0</v>
      </c>
      <c r="AQ490" s="48">
        <f>IF(+NFL!$F297="Philadelphia",+NFL!#REF!,IF(+NFL!$H297="Philadelphia",+NFL!#REF!,0))</f>
        <v>0</v>
      </c>
      <c r="AR490" s="57">
        <f>IF(+NFL!$F297="Philadelphia",+NFL!#REF!,IF(+NFL!$H297="Philadelphia",+NFL!#REF!,0))</f>
        <v>0</v>
      </c>
      <c r="AS490" s="64">
        <f>IF(+NFL!$F297="Philadelphia",+NFL!#REF!,IF(+NFL!$H297="Philadelphia",+NFL!#REF!,0))</f>
        <v>0</v>
      </c>
      <c r="AT490" s="64">
        <f>IF(+NFL!$F297="Philadelphia",+NFL!#REF!,IF(+NFL!$H297="Philadelphia",+NFL!#REF!,0))</f>
        <v>0</v>
      </c>
      <c r="AU490" s="57">
        <f>IF(+NFL!$F297="Philadelphia",+NFL!#REF!,IF(+NFL!$H297="Philadelphia",+NFL!#REF!,0))</f>
        <v>0</v>
      </c>
      <c r="AV490" s="64">
        <f>IF(+NFL!$F297="Philadelphia",+NFL!#REF!,IF(+NFL!$H297="Philadelphia",+NFL!#REF!,0))</f>
        <v>0</v>
      </c>
      <c r="AW490" s="46">
        <f>IF(+NFL!$F297="Philadelphia",+NFL!#REF!,IF(+NFL!$H297="Philadelphia",+NFL!#REF!,0))</f>
        <v>0</v>
      </c>
      <c r="AX490" s="64">
        <f>IF(+NFL!$F297="Philadelphia",+NFL!#REF!,IF(+NFL!$H297="Philadelphia",+NFL!#REF!,0))</f>
        <v>0</v>
      </c>
      <c r="AY490" s="57">
        <f>IF(+NFL!$F297="Philadelphia",+NFL!#REF!,IF(+NFL!$H297="Philadelphia",+NFL!#REF!,0))</f>
        <v>0</v>
      </c>
      <c r="AZ490" s="64">
        <f>IF(+NFL!$F297="Philadelphia",+NFL!#REF!,IF(+NFL!$H297="Philadelphia",+NFL!#REF!,0))</f>
        <v>0</v>
      </c>
      <c r="BA490" s="46">
        <f>IF(+NFL!$F297="Philadelphia",+NFL!#REF!,IF(+NFL!$H297="Philadelphia",+NFL!#REF!,0))</f>
        <v>0</v>
      </c>
      <c r="BB490" s="46">
        <f>IF(+NFL!$F297="Philadelphia",+NFL!#REF!,IF(+NFL!$H297="Philadelphia",+NFL!#REF!,0))</f>
        <v>0</v>
      </c>
      <c r="BC490" s="403">
        <f>IF(+NFL!$F297="Philadelphia",+NFL!#REF!,IF(+NFL!$H297="Philadelphia",+NFL!#REF!,0))</f>
        <v>0</v>
      </c>
      <c r="BD490" s="57">
        <f>IF(+NFL!$F297="Philadelphia",+NFL!#REF!,IF(+NFL!$H297="Philadelphia",+NFL!#REF!,0))</f>
        <v>0</v>
      </c>
      <c r="BE490" s="64">
        <f>IF(+NFL!$F297="Philadelphia",+NFL!#REF!,IF(+NFL!$H297="Philadelphia",+NFL!#REF!,0))</f>
        <v>0</v>
      </c>
      <c r="BF490" s="46">
        <f>IF(+NFL!$F297="Philadelphia",+NFL!#REF!,IF(+NFL!$H297="Philadelphia",+NFL!#REF!,0))</f>
        <v>0</v>
      </c>
      <c r="BG490" s="57">
        <f>IF(+NFL!$F297="Philadelphia",+NFL!#REF!,IF(+NFL!$H297="Philadelphia",+NFL!#REF!,0))</f>
        <v>0</v>
      </c>
      <c r="BH490" s="64">
        <f>IF(+NFL!$F297="Philadelphia",+NFL!#REF!,IF(+NFL!$H297="Philadelphia",+NFL!#REF!,0))</f>
        <v>0</v>
      </c>
      <c r="BI490" s="46">
        <f>IF(+NFL!$F297="Philadelphia",+NFL!#REF!,IF(+NFL!$H297="Philadelphia",+NFL!#REF!,0))</f>
        <v>0</v>
      </c>
      <c r="BJ490" s="87">
        <f>IF(+NFL!$F297="Philadelphia",+NFL!#REF!,IF(+NFL!$H297="Philadelphia",+NFL!#REF!,0))</f>
        <v>0</v>
      </c>
      <c r="BK490" s="120">
        <f>IF(+NFL!$F297="Philadelphia",+NFL!#REF!,IF(+NFL!$H297="Philadelphia",+NFL!#REF!,0))</f>
        <v>0</v>
      </c>
    </row>
    <row r="491" spans="1:63" s="246" customFormat="1" x14ac:dyDescent="0.8">
      <c r="A491" s="46">
        <f>IF(+NFL!$F306="Philadelphia",+NFL!A306,IF(+NFL!$H306="Philadelphia",+NFL!A306,0))</f>
        <v>17</v>
      </c>
      <c r="B491" s="348" t="str">
        <f>IF(+NFL!$F306="Philadelphia",+NFL!B306,IF(+NFL!$H306="Philadelphia",+NFL!B306,0))</f>
        <v>Sun</v>
      </c>
      <c r="C491" s="48">
        <f>IF(+NFL!$F306="Philadelphia",+NFL!C306,IF(+NFL!$H306="Philadelphia",+NFL!C306,0))</f>
        <v>44927</v>
      </c>
      <c r="D491" s="490">
        <f>IF(+NFL!$F306="Philadelphia",+NFL!D306,IF(+NFL!$H306="Philadelphia",+NFL!D306,0))</f>
        <v>0.54166666666666663</v>
      </c>
      <c r="E491" s="46" t="str">
        <f>IF(+NFL!$F306="Philadelphia",+NFL!E306,IF(+NFL!$H306="Philadelphia",+NFL!E306,0))</f>
        <v>Fox</v>
      </c>
      <c r="F491" s="127" t="str">
        <f>IF(+NFL!$F306="Philadelphia",+NFL!F306,IF(+NFL!$H306="Philadelphia",+NFL!F306,0))</f>
        <v>New Orleans</v>
      </c>
      <c r="G491" s="46" t="str">
        <f>IF(+NFL!$F306="Philadelphia",+NFL!G306,IF(+NFL!$H306="Philadelphia",+NFL!G306,0))</f>
        <v>NFCS</v>
      </c>
      <c r="H491" s="127" t="str">
        <f>IF(+NFL!$F306="Philadelphia",+NFL!H306,IF(+NFL!$H306="Philadelphia",+NFL!H306,0))</f>
        <v>Philadelphia</v>
      </c>
      <c r="I491" s="46" t="str">
        <f>IF(+NFL!$F306="Philadelphia",+NFL!I306,IF(+NFL!$H306="Philadelphia",+NFL!I306,0))</f>
        <v>NFCE</v>
      </c>
      <c r="J491" s="353" t="str">
        <f>IF(+NFL!$F306="Philadelphia",+NFL!J306,IF(+NFL!$H306="Philadelphia",+NFL!J306,0))</f>
        <v>Philadelphia</v>
      </c>
      <c r="K491" s="494" t="str">
        <f>IF(+NFL!$F306="Philadelphia",+NFL!K306,IF(+NFL!$H306="Philadelphia",+NFL!K306,0))</f>
        <v>New Orleans</v>
      </c>
      <c r="L491" s="384">
        <f>IF(+NFL!$F306="Philadelphia",+NFL!L306,IF(+NFL!$H306="Philadelphia",+NFL!L306,0))</f>
        <v>4.5</v>
      </c>
      <c r="M491" s="385">
        <f>IF(+NFL!$F306="Philadelphia",+NFL!M306,IF(+NFL!$H306="Philadelphia",+NFL!M306,0))</f>
        <v>41.5</v>
      </c>
      <c r="N491" s="394" t="str">
        <f>IF(+NFL!$F306="Philadelphia",+NFL!N306,IF(+NFL!$H306="Philadelphia",+NFL!N306,0))</f>
        <v>New Orleans</v>
      </c>
      <c r="O491" s="395">
        <f>IF(+NFL!$F306="Philadelphia",+NFL!O306,IF(+NFL!$H306="Philadelphia",+NFL!O306,0))</f>
        <v>20</v>
      </c>
      <c r="P491" s="394" t="str">
        <f>IF(+NFL!$F306="Philadelphia",+NFL!P306,IF(+NFL!$H306="Philadelphia",+NFL!P306,0))</f>
        <v>Philadelphia</v>
      </c>
      <c r="Q491" s="396">
        <f>IF(+NFL!$F306="Philadelphia",+NFL!Q306,IF(+NFL!$H306="Philadelphia",+NFL!Q306,0))</f>
        <v>10</v>
      </c>
      <c r="R491" s="397" t="str">
        <f>IF(+NFL!$F306="Philadelphia",+NFL!R306,IF(+NFL!$H306="Philadelphia",+NFL!R306,0))</f>
        <v>New Orleans</v>
      </c>
      <c r="S491" s="396" t="str">
        <f>IF(+NFL!$F306="Philadelphia",+NFL!S306,IF(+NFL!$H306="Philadelphia",+NFL!S306,0))</f>
        <v>Philadelphia</v>
      </c>
      <c r="T491" s="398">
        <f>IF(+NFL!$F306="Philadelphia",+NFL!T306,IF(+NFL!$H306="Philadelphia",+NFL!T306,0))</f>
        <v>0</v>
      </c>
      <c r="U491" s="396" t="str">
        <f>IF(+NFL!$F306="Philadelphia",+NFL!U306,IF(+NFL!$H306="Philadelphia",+NFL!U306,0))</f>
        <v>L</v>
      </c>
      <c r="V491" s="397">
        <f>IF(+NFL!$F308="Philadelphia",+NFL!#REF!,IF(+NFL!$H308="Philadelphia",+NFL!#REF!,0))</f>
        <v>0</v>
      </c>
      <c r="W491" s="396">
        <f>IF(+NFL!$F308="Philadelphia",+NFL!#REF!,IF(+NFL!$H308="Philadelphia",+NFL!#REF!,0))</f>
        <v>0</v>
      </c>
      <c r="X491" s="398">
        <f>IF(+NFL!$F308="Philadelphia",+NFL!#REF!,IF(+NFL!$H308="Philadelphia",+NFL!#REF!,0))</f>
        <v>0</v>
      </c>
      <c r="Y491" s="396">
        <f>IF(+NFL!$F308="Philadelphia",+NFL!#REF!,IF(+NFL!$H308="Philadelphia",+NFL!#REF!,0))</f>
        <v>0</v>
      </c>
      <c r="Z491" s="397">
        <f>IF(+NFL!$F308="Philadelphia",+NFL!#REF!,IF(+NFL!$H308="Philadelphia",+NFL!#REF!,0))</f>
        <v>0</v>
      </c>
      <c r="AA491" s="396">
        <f>IF(+NFL!$F308="Philadelphia",+NFL!#REF!,IF(+NFL!$H308="Philadelphia",+NFL!#REF!,0))</f>
        <v>0</v>
      </c>
      <c r="AB491" s="87">
        <f>IF(+NFL!$F308="Philadelphia",+NFL!#REF!,IF(+NFL!$H308="Philadelphia",+NFL!#REF!,0))</f>
        <v>0</v>
      </c>
      <c r="AC491" s="120">
        <f>IF(+NFL!$F308="Philadelphia",+NFL!#REF!,IF(+NFL!$H308="Philadelphia",+NFL!#REF!,0))</f>
        <v>0</v>
      </c>
      <c r="AD491" s="353">
        <f>IF(+NFL!$F308="Philadelphia",+NFL!#REF!,IF(+NFL!$H308="Philadelphia",+NFL!#REF!,0))</f>
        <v>0</v>
      </c>
      <c r="AE491" s="379">
        <f>IF(+NFL!$F308="Philadelphia",+NFL!#REF!,IF(+NFL!$H308="Philadelphia",+NFL!#REF!,0))</f>
        <v>0</v>
      </c>
      <c r="AF491" s="353">
        <f>IF(+NFL!$F308="Philadelphia",+NFL!#REF!,IF(+NFL!$H308="Philadelphia",+NFL!#REF!,0))</f>
        <v>0</v>
      </c>
      <c r="AG491" s="379">
        <f>IF(+NFL!$F308="Philadelphia",+NFL!#REF!,IF(+NFL!$H308="Philadelphia",+NFL!#REF!,0))</f>
        <v>0</v>
      </c>
      <c r="AH491" s="353">
        <f>IF(+NFL!$F308="Philadelphia",+NFL!#REF!,IF(+NFL!$H308="Philadelphia",+NFL!#REF!,0))</f>
        <v>0</v>
      </c>
      <c r="AI491" s="379">
        <f>IF(+NFL!$F308="Philadelphia",+NFL!#REF!,IF(+NFL!$H308="Philadelphia",+NFL!#REF!,0))</f>
        <v>0</v>
      </c>
      <c r="AJ491" s="353">
        <f>IF(+NFL!$F308="Philadelphia",+NFL!#REF!,IF(+NFL!$H308="Philadelphia",+NFL!#REF!,0))</f>
        <v>0</v>
      </c>
      <c r="AK491" s="379">
        <f>IF(+NFL!$F308="Philadelphia",+NFL!#REF!,IF(+NFL!$H308="Philadelphia",+NFL!#REF!,0))</f>
        <v>0</v>
      </c>
      <c r="AL491" s="68">
        <f>IF(+NFL!$F308="Philadelphia",+NFL!#REF!,IF(+NFL!$H308="Philadelphia",+NFL!#REF!,0))</f>
        <v>0</v>
      </c>
      <c r="AM491" s="58">
        <f>IF(+NFL!$F308="Philadelphia",+NFL!#REF!,IF(+NFL!$H308="Philadelphia",+NFL!#REF!,0))</f>
        <v>0</v>
      </c>
      <c r="AN491" s="57">
        <f>IF(+NFL!$F308="Philadelphia",+NFL!#REF!,IF(+NFL!$H308="Philadelphia",+NFL!#REF!,0))</f>
        <v>0</v>
      </c>
      <c r="AO491" s="59">
        <f>IF(+NFL!$F308="Philadelphia",+NFL!#REF!,IF(+NFL!$H308="Philadelphia",+NFL!#REF!,0))</f>
        <v>0</v>
      </c>
      <c r="AP491" s="348">
        <f>IF(+NFL!$F308="Philadelphia",+NFL!#REF!,IF(+NFL!$H308="Philadelphia",+NFL!#REF!,0))</f>
        <v>0</v>
      </c>
      <c r="AQ491" s="48">
        <f>IF(+NFL!$F308="Philadelphia",+NFL!#REF!,IF(+NFL!$H308="Philadelphia",+NFL!#REF!,0))</f>
        <v>0</v>
      </c>
      <c r="AR491" s="57">
        <f>IF(+NFL!$F308="Philadelphia",+NFL!#REF!,IF(+NFL!$H308="Philadelphia",+NFL!#REF!,0))</f>
        <v>0</v>
      </c>
      <c r="AS491" s="64">
        <f>IF(+NFL!$F308="Philadelphia",+NFL!#REF!,IF(+NFL!$H308="Philadelphia",+NFL!#REF!,0))</f>
        <v>0</v>
      </c>
      <c r="AT491" s="64">
        <f>IF(+NFL!$F308="Philadelphia",+NFL!#REF!,IF(+NFL!$H308="Philadelphia",+NFL!#REF!,0))</f>
        <v>0</v>
      </c>
      <c r="AU491" s="57">
        <f>IF(+NFL!$F308="Philadelphia",+NFL!#REF!,IF(+NFL!$H308="Philadelphia",+NFL!#REF!,0))</f>
        <v>0</v>
      </c>
      <c r="AV491" s="64">
        <f>IF(+NFL!$F308="Philadelphia",+NFL!#REF!,IF(+NFL!$H308="Philadelphia",+NFL!#REF!,0))</f>
        <v>0</v>
      </c>
      <c r="AW491" s="46">
        <f>IF(+NFL!$F308="Philadelphia",+NFL!#REF!,IF(+NFL!$H308="Philadelphia",+NFL!#REF!,0))</f>
        <v>0</v>
      </c>
      <c r="AX491" s="64">
        <f>IF(+NFL!$F308="Philadelphia",+NFL!#REF!,IF(+NFL!$H308="Philadelphia",+NFL!#REF!,0))</f>
        <v>0</v>
      </c>
      <c r="AY491" s="57">
        <f>IF(+NFL!$F308="Philadelphia",+NFL!#REF!,IF(+NFL!$H308="Philadelphia",+NFL!#REF!,0))</f>
        <v>0</v>
      </c>
      <c r="AZ491" s="64">
        <f>IF(+NFL!$F308="Philadelphia",+NFL!#REF!,IF(+NFL!$H308="Philadelphia",+NFL!#REF!,0))</f>
        <v>0</v>
      </c>
      <c r="BA491" s="46">
        <f>IF(+NFL!$F308="Philadelphia",+NFL!#REF!,IF(+NFL!$H308="Philadelphia",+NFL!#REF!,0))</f>
        <v>0</v>
      </c>
      <c r="BB491" s="46">
        <f>IF(+NFL!$F308="Philadelphia",+NFL!#REF!,IF(+NFL!$H308="Philadelphia",+NFL!#REF!,0))</f>
        <v>0</v>
      </c>
      <c r="BC491" s="403">
        <f>IF(+NFL!$F308="Philadelphia",+NFL!#REF!,IF(+NFL!$H308="Philadelphia",+NFL!#REF!,0))</f>
        <v>0</v>
      </c>
      <c r="BD491" s="57">
        <f>IF(+NFL!$F308="Philadelphia",+NFL!#REF!,IF(+NFL!$H308="Philadelphia",+NFL!#REF!,0))</f>
        <v>0</v>
      </c>
      <c r="BE491" s="64">
        <f>IF(+NFL!$F308="Philadelphia",+NFL!#REF!,IF(+NFL!$H308="Philadelphia",+NFL!#REF!,0))</f>
        <v>0</v>
      </c>
      <c r="BF491" s="46">
        <f>IF(+NFL!$F308="Philadelphia",+NFL!#REF!,IF(+NFL!$H308="Philadelphia",+NFL!#REF!,0))</f>
        <v>0</v>
      </c>
      <c r="BG491" s="57">
        <f>IF(+NFL!$F308="Philadelphia",+NFL!#REF!,IF(+NFL!$H308="Philadelphia",+NFL!#REF!,0))</f>
        <v>0</v>
      </c>
      <c r="BH491" s="64">
        <f>IF(+NFL!$F308="Philadelphia",+NFL!#REF!,IF(+NFL!$H308="Philadelphia",+NFL!#REF!,0))</f>
        <v>0</v>
      </c>
      <c r="BI491" s="46">
        <f>IF(+NFL!$F308="Philadelphia",+NFL!#REF!,IF(+NFL!$H308="Philadelphia",+NFL!#REF!,0))</f>
        <v>0</v>
      </c>
      <c r="BJ491" s="87">
        <f>IF(+NFL!$F308="Philadelphia",+NFL!#REF!,IF(+NFL!$H308="Philadelphia",+NFL!#REF!,0))</f>
        <v>0</v>
      </c>
      <c r="BK491" s="120">
        <f>IF(+NFL!$F308="Philadelphia",+NFL!#REF!,IF(+NFL!$H308="Philadelphia",+NFL!#REF!,0))</f>
        <v>0</v>
      </c>
    </row>
    <row r="492" spans="1:63" s="246" customFormat="1" x14ac:dyDescent="0.8">
      <c r="A492" s="46">
        <f>IF(+NFL!$F326="Philadelphia",+NFL!A326,IF(+NFL!$H326="Philadelphia",+NFL!A326,0))</f>
        <v>0</v>
      </c>
      <c r="B492" s="348">
        <f>IF(+NFL!$F326="Philadelphia",+NFL!B326,IF(+NFL!$H326="Philadelphia",+NFL!B326,0))</f>
        <v>0</v>
      </c>
      <c r="C492" s="48">
        <f>IF(+NFL!$F326="Philadelphia",+NFL!C326,IF(+NFL!$H326="Philadelphia",+NFL!C326,0))</f>
        <v>0</v>
      </c>
      <c r="D492" s="490">
        <f>IF(+NFL!$F326="Philadelphia",+NFL!D326,IF(+NFL!$H326="Philadelphia",+NFL!D326,0))</f>
        <v>0</v>
      </c>
      <c r="E492" s="46">
        <f>IF(+NFL!$F326="Philadelphia",+NFL!E326,IF(+NFL!$H326="Philadelphia",+NFL!E326,0))</f>
        <v>0</v>
      </c>
      <c r="F492" s="127">
        <f>IF(+NFL!$F326="Philadelphia",+NFL!F326,IF(+NFL!$H326="Philadelphia",+NFL!F326,0))</f>
        <v>0</v>
      </c>
      <c r="G492" s="46">
        <f>IF(+NFL!$F326="Philadelphia",+NFL!G326,IF(+NFL!$H326="Philadelphia",+NFL!G326,0))</f>
        <v>0</v>
      </c>
      <c r="H492" s="127">
        <f>IF(+NFL!$F326="Philadelphia",+NFL!H326,IF(+NFL!$H326="Philadelphia",+NFL!H326,0))</f>
        <v>0</v>
      </c>
      <c r="I492" s="46">
        <f>IF(+NFL!$F326="Philadelphia",+NFL!I326,IF(+NFL!$H326="Philadelphia",+NFL!I326,0))</f>
        <v>0</v>
      </c>
      <c r="J492" s="353">
        <f>IF(+NFL!$F326="Philadelphia",+NFL!J326,IF(+NFL!$H326="Philadelphia",+NFL!J326,0))</f>
        <v>0</v>
      </c>
      <c r="K492" s="494">
        <f>IF(+NFL!$F326="Philadelphia",+NFL!K326,IF(+NFL!$H326="Philadelphia",+NFL!K326,0))</f>
        <v>0</v>
      </c>
      <c r="L492" s="384">
        <f>IF(+NFL!$F326="Philadelphia",+NFL!L326,IF(+NFL!$H326="Philadelphia",+NFL!L326,0))</f>
        <v>0</v>
      </c>
      <c r="M492" s="385">
        <f>IF(+NFL!$F326="Philadelphia",+NFL!M326,IF(+NFL!$H326="Philadelphia",+NFL!M326,0))</f>
        <v>0</v>
      </c>
      <c r="N492" s="394">
        <f>IF(+NFL!$F326="Philadelphia",+NFL!N326,IF(+NFL!$H326="Philadelphia",+NFL!N326,0))</f>
        <v>0</v>
      </c>
      <c r="O492" s="395">
        <f>IF(+NFL!$F326="Philadelphia",+NFL!O326,IF(+NFL!$H326="Philadelphia",+NFL!O326,0))</f>
        <v>0</v>
      </c>
      <c r="P492" s="394">
        <f>IF(+NFL!$F326="Philadelphia",+NFL!P326,IF(+NFL!$H326="Philadelphia",+NFL!P326,0))</f>
        <v>0</v>
      </c>
      <c r="Q492" s="396">
        <f>IF(+NFL!$F326="Philadelphia",+NFL!Q326,IF(+NFL!$H326="Philadelphia",+NFL!Q326,0))</f>
        <v>0</v>
      </c>
      <c r="R492" s="397">
        <f>IF(+NFL!$F326="Philadelphia",+NFL!R326,IF(+NFL!$H326="Philadelphia",+NFL!R326,0))</f>
        <v>0</v>
      </c>
      <c r="S492" s="396">
        <f>IF(+NFL!$F326="Philadelphia",+NFL!S326,IF(+NFL!$H326="Philadelphia",+NFL!S326,0))</f>
        <v>0</v>
      </c>
      <c r="T492" s="398">
        <f>IF(+NFL!$F326="Philadelphia",+NFL!T326,IF(+NFL!$H326="Philadelphia",+NFL!T326,0))</f>
        <v>0</v>
      </c>
      <c r="U492" s="396">
        <f>IF(+NFL!$F326="Philadelphia",+NFL!U326,IF(+NFL!$H326="Philadelphia",+NFL!U326,0))</f>
        <v>0</v>
      </c>
      <c r="V492" s="397">
        <f>IF(+NFL!$F329="Philadelphia",+NFL!#REF!,IF(+NFL!$H329="Philadelphia",+NFL!#REF!,0))</f>
        <v>0</v>
      </c>
      <c r="W492" s="396">
        <f>IF(+NFL!$F329="Philadelphia",+NFL!#REF!,IF(+NFL!$H329="Philadelphia",+NFL!#REF!,0))</f>
        <v>0</v>
      </c>
      <c r="X492" s="398">
        <f>IF(+NFL!$F329="Philadelphia",+NFL!#REF!,IF(+NFL!$H329="Philadelphia",+NFL!#REF!,0))</f>
        <v>0</v>
      </c>
      <c r="Y492" s="396">
        <f>IF(+NFL!$F329="Philadelphia",+NFL!#REF!,IF(+NFL!$H329="Philadelphia",+NFL!#REF!,0))</f>
        <v>0</v>
      </c>
      <c r="Z492" s="397">
        <f>IF(+NFL!$F329="Philadelphia",+NFL!#REF!,IF(+NFL!$H329="Philadelphia",+NFL!#REF!,0))</f>
        <v>0</v>
      </c>
      <c r="AA492" s="396">
        <f>IF(+NFL!$F329="Philadelphia",+NFL!#REF!,IF(+NFL!$H329="Philadelphia",+NFL!#REF!,0))</f>
        <v>0</v>
      </c>
      <c r="AB492" s="87">
        <f>IF(+NFL!$F329="Philadelphia",+NFL!#REF!,IF(+NFL!$H329="Philadelphia",+NFL!#REF!,0))</f>
        <v>0</v>
      </c>
      <c r="AC492" s="120">
        <f>IF(+NFL!$F329="Philadelphia",+NFL!#REF!,IF(+NFL!$H329="Philadelphia",+NFL!#REF!,0))</f>
        <v>0</v>
      </c>
      <c r="AD492" s="353">
        <f>IF(+NFL!$F329="Philadelphia",+NFL!#REF!,IF(+NFL!$H329="Philadelphia",+NFL!#REF!,0))</f>
        <v>0</v>
      </c>
      <c r="AE492" s="379">
        <f>IF(+NFL!$F329="Philadelphia",+NFL!#REF!,IF(+NFL!$H329="Philadelphia",+NFL!#REF!,0))</f>
        <v>0</v>
      </c>
      <c r="AF492" s="353">
        <f>IF(+NFL!$F329="Philadelphia",+NFL!#REF!,IF(+NFL!$H329="Philadelphia",+NFL!#REF!,0))</f>
        <v>0</v>
      </c>
      <c r="AG492" s="379">
        <f>IF(+NFL!$F329="Philadelphia",+NFL!#REF!,IF(+NFL!$H329="Philadelphia",+NFL!#REF!,0))</f>
        <v>0</v>
      </c>
      <c r="AH492" s="353">
        <f>IF(+NFL!$F329="Philadelphia",+NFL!#REF!,IF(+NFL!$H329="Philadelphia",+NFL!#REF!,0))</f>
        <v>0</v>
      </c>
      <c r="AI492" s="379">
        <f>IF(+NFL!$F329="Philadelphia",+NFL!#REF!,IF(+NFL!$H329="Philadelphia",+NFL!#REF!,0))</f>
        <v>0</v>
      </c>
      <c r="AJ492" s="353">
        <f>IF(+NFL!$F329="Philadelphia",+NFL!#REF!,IF(+NFL!$H329="Philadelphia",+NFL!#REF!,0))</f>
        <v>0</v>
      </c>
      <c r="AK492" s="379">
        <f>IF(+NFL!$F329="Philadelphia",+NFL!#REF!,IF(+NFL!$H329="Philadelphia",+NFL!#REF!,0))</f>
        <v>0</v>
      </c>
      <c r="AL492" s="68">
        <f>IF(+NFL!$F329="Philadelphia",+NFL!#REF!,IF(+NFL!$H329="Philadelphia",+NFL!#REF!,0))</f>
        <v>0</v>
      </c>
      <c r="AM492" s="58">
        <f>IF(+NFL!$F329="Philadelphia",+NFL!#REF!,IF(+NFL!$H329="Philadelphia",+NFL!#REF!,0))</f>
        <v>0</v>
      </c>
      <c r="AN492" s="57">
        <f>IF(+NFL!$F329="Philadelphia",+NFL!#REF!,IF(+NFL!$H329="Philadelphia",+NFL!#REF!,0))</f>
        <v>0</v>
      </c>
      <c r="AO492" s="59">
        <f>IF(+NFL!$F329="Philadelphia",+NFL!#REF!,IF(+NFL!$H329="Philadelphia",+NFL!#REF!,0))</f>
        <v>0</v>
      </c>
      <c r="AP492" s="348">
        <f>IF(+NFL!$F329="Philadelphia",+NFL!#REF!,IF(+NFL!$H329="Philadelphia",+NFL!#REF!,0))</f>
        <v>0</v>
      </c>
      <c r="AQ492" s="48">
        <f>IF(+NFL!$F329="Philadelphia",+NFL!#REF!,IF(+NFL!$H329="Philadelphia",+NFL!#REF!,0))</f>
        <v>0</v>
      </c>
      <c r="AR492" s="57">
        <f>IF(+NFL!$F329="Philadelphia",+NFL!#REF!,IF(+NFL!$H329="Philadelphia",+NFL!#REF!,0))</f>
        <v>0</v>
      </c>
      <c r="AS492" s="64">
        <f>IF(+NFL!$F329="Philadelphia",+NFL!#REF!,IF(+NFL!$H329="Philadelphia",+NFL!#REF!,0))</f>
        <v>0</v>
      </c>
      <c r="AT492" s="64">
        <f>IF(+NFL!$F329="Philadelphia",+NFL!#REF!,IF(+NFL!$H329="Philadelphia",+NFL!#REF!,0))</f>
        <v>0</v>
      </c>
      <c r="AU492" s="57">
        <f>IF(+NFL!$F329="Philadelphia",+NFL!#REF!,IF(+NFL!$H329="Philadelphia",+NFL!#REF!,0))</f>
        <v>0</v>
      </c>
      <c r="AV492" s="64">
        <f>IF(+NFL!$F329="Philadelphia",+NFL!#REF!,IF(+NFL!$H329="Philadelphia",+NFL!#REF!,0))</f>
        <v>0</v>
      </c>
      <c r="AW492" s="46">
        <f>IF(+NFL!$F329="Philadelphia",+NFL!#REF!,IF(+NFL!$H329="Philadelphia",+NFL!#REF!,0))</f>
        <v>0</v>
      </c>
      <c r="AX492" s="64">
        <f>IF(+NFL!$F329="Philadelphia",+NFL!#REF!,IF(+NFL!$H329="Philadelphia",+NFL!#REF!,0))</f>
        <v>0</v>
      </c>
      <c r="AY492" s="57">
        <f>IF(+NFL!$F329="Philadelphia",+NFL!#REF!,IF(+NFL!$H329="Philadelphia",+NFL!#REF!,0))</f>
        <v>0</v>
      </c>
      <c r="AZ492" s="64">
        <f>IF(+NFL!$F329="Philadelphia",+NFL!#REF!,IF(+NFL!$H329="Philadelphia",+NFL!#REF!,0))</f>
        <v>0</v>
      </c>
      <c r="BA492" s="46">
        <f>IF(+NFL!$F329="Philadelphia",+NFL!#REF!,IF(+NFL!$H329="Philadelphia",+NFL!#REF!,0))</f>
        <v>0</v>
      </c>
      <c r="BB492" s="46">
        <f>IF(+NFL!$F329="Philadelphia",+NFL!#REF!,IF(+NFL!$H329="Philadelphia",+NFL!#REF!,0))</f>
        <v>0</v>
      </c>
      <c r="BC492" s="403">
        <f>IF(+NFL!$F329="Philadelphia",+NFL!#REF!,IF(+NFL!$H329="Philadelphia",+NFL!#REF!,0))</f>
        <v>0</v>
      </c>
      <c r="BD492" s="57">
        <f>IF(+NFL!$F329="Philadelphia",+NFL!#REF!,IF(+NFL!$H329="Philadelphia",+NFL!#REF!,0))</f>
        <v>0</v>
      </c>
      <c r="BE492" s="64">
        <f>IF(+NFL!$F329="Philadelphia",+NFL!#REF!,IF(+NFL!$H329="Philadelphia",+NFL!#REF!,0))</f>
        <v>0</v>
      </c>
      <c r="BF492" s="46">
        <f>IF(+NFL!$F329="Philadelphia",+NFL!#REF!,IF(+NFL!$H329="Philadelphia",+NFL!#REF!,0))</f>
        <v>0</v>
      </c>
      <c r="BG492" s="57">
        <f>IF(+NFL!$F329="Philadelphia",+NFL!#REF!,IF(+NFL!$H329="Philadelphia",+NFL!#REF!,0))</f>
        <v>0</v>
      </c>
      <c r="BH492" s="64">
        <f>IF(+NFL!$F329="Philadelphia",+NFL!#REF!,IF(+NFL!$H329="Philadelphia",+NFL!#REF!,0))</f>
        <v>0</v>
      </c>
      <c r="BI492" s="46">
        <f>IF(+NFL!$F329="Philadelphia",+NFL!#REF!,IF(+NFL!$H329="Philadelphia",+NFL!#REF!,0))</f>
        <v>0</v>
      </c>
      <c r="BJ492" s="87">
        <f>IF(+NFL!$F329="Philadelphia",+NFL!#REF!,IF(+NFL!$H329="Philadelphia",+NFL!#REF!,0))</f>
        <v>0</v>
      </c>
      <c r="BK492" s="120">
        <f>IF(+NFL!$F329="Philadelphia",+NFL!#REF!,IF(+NFL!$H329="Philadelphia",+NFL!#REF!,0))</f>
        <v>0</v>
      </c>
    </row>
    <row r="493" spans="1:63" s="246" customFormat="1" x14ac:dyDescent="0.8">
      <c r="A493" s="46"/>
      <c r="B493" s="348"/>
      <c r="C493" s="48"/>
      <c r="D493" s="49"/>
      <c r="E493" s="46"/>
      <c r="F493" s="959" t="str">
        <f>F494</f>
        <v>Pittsburgh</v>
      </c>
      <c r="G493" s="960"/>
      <c r="H493" s="960"/>
      <c r="I493" s="961"/>
      <c r="J493" s="353"/>
      <c r="K493" s="364"/>
      <c r="L493" s="384"/>
      <c r="M493" s="385"/>
      <c r="N493" s="394"/>
      <c r="O493" s="395"/>
      <c r="P493" s="394"/>
      <c r="Q493" s="396"/>
      <c r="R493" s="397"/>
      <c r="S493" s="396"/>
      <c r="T493" s="398"/>
      <c r="U493" s="396"/>
      <c r="V493" s="397"/>
      <c r="W493" s="396"/>
      <c r="X493" s="398"/>
      <c r="Y493" s="396"/>
      <c r="Z493" s="397"/>
      <c r="AA493" s="396"/>
      <c r="AB493" s="87"/>
      <c r="AC493" s="120"/>
      <c r="AD493" s="353"/>
      <c r="AE493" s="379"/>
      <c r="AF493" s="353"/>
      <c r="AG493" s="379"/>
      <c r="AH493" s="353"/>
      <c r="AI493" s="379"/>
      <c r="AJ493" s="353"/>
      <c r="AK493" s="379"/>
      <c r="AL493" s="68"/>
      <c r="AM493" s="58"/>
      <c r="AN493" s="57"/>
      <c r="AO493" s="59"/>
      <c r="AP493" s="348"/>
      <c r="AQ493" s="348"/>
      <c r="AR493" s="57"/>
      <c r="AS493" s="64"/>
      <c r="AT493" s="64"/>
      <c r="AU493" s="57"/>
      <c r="AV493" s="64"/>
      <c r="AW493" s="46"/>
      <c r="AX493" s="64"/>
      <c r="AY493" s="57"/>
      <c r="AZ493" s="64"/>
      <c r="BA493" s="46"/>
      <c r="BB493" s="46"/>
      <c r="BC493" s="348"/>
      <c r="BD493" s="57"/>
      <c r="BE493" s="64"/>
      <c r="BF493" s="46"/>
      <c r="BG493" s="57"/>
      <c r="BH493" s="64"/>
      <c r="BI493" s="46"/>
      <c r="BJ493" s="87"/>
      <c r="BK493" s="120"/>
    </row>
    <row r="494" spans="1:63" s="246" customFormat="1" x14ac:dyDescent="0.8">
      <c r="A494" s="46">
        <f>IF(+NFL!$F7="Pittsburgh",+NFL!A7,IF(+NFL!$H7="Pittsburgh",+NFL!A7,0))</f>
        <v>1</v>
      </c>
      <c r="B494" s="348" t="str">
        <f>IF(+NFL!$F7="Pittsburgh",+NFL!B7,IF(+NFL!$H7="Pittsburgh",+NFL!B7,0))</f>
        <v>Sun</v>
      </c>
      <c r="C494" s="48">
        <f>IF(+NFL!$F7="Pittsburgh",+NFL!C7,IF(+NFL!$H7="Pittsburgh",+NFL!C7,0))</f>
        <v>44815</v>
      </c>
      <c r="D494" s="490">
        <f>IF(+NFL!$F7="Pittsburgh",+NFL!D7,IF(+NFL!$H7="Pittsburgh",+NFL!D7,0))</f>
        <v>0.54166666666666663</v>
      </c>
      <c r="E494" s="46" t="str">
        <f>IF(+NFL!$F7="Pittsburgh",+NFL!E7,IF(+NFL!$H7="Pittsburgh",+NFL!E7,0))</f>
        <v>CBS</v>
      </c>
      <c r="F494" s="127" t="str">
        <f>IF(+NFL!$F7="Pittsburgh",+NFL!F7,IF(+NFL!$H7="Pittsburgh",+NFL!F7,0))</f>
        <v>Pittsburgh</v>
      </c>
      <c r="G494" s="46" t="str">
        <f>IF(+NFL!$F7="Pittsburgh",+NFL!G7,IF(+NFL!$H7="Pittsburgh",+NFL!G7,0))</f>
        <v>AFCN</v>
      </c>
      <c r="H494" s="127" t="str">
        <f>IF(+NFL!$F7="Pittsburgh",+NFL!H7,IF(+NFL!$H7="Pittsburgh",+NFL!H7,0))</f>
        <v>Cincinnati</v>
      </c>
      <c r="I494" s="46" t="str">
        <f>IF(+NFL!$F7="Pittsburgh",+NFL!I7,IF(+NFL!$H7="Pittsburgh",+NFL!I7,0))</f>
        <v>AFCN</v>
      </c>
      <c r="J494" s="353" t="str">
        <f>IF(+NFL!$F7="Pittsburgh",+NFL!J7,IF(+NFL!$H7="Pittsburgh",+NFL!J7,0))</f>
        <v>Cincinnati</v>
      </c>
      <c r="K494" s="494" t="str">
        <f>IF(+NFL!$F7="Pittsburgh",+NFL!K7,IF(+NFL!$H7="Pittsburgh",+NFL!K7,0))</f>
        <v>Pittsburgh</v>
      </c>
      <c r="L494" s="384">
        <f>IF(+NFL!$F7="Pittsburgh",+NFL!L7,IF(+NFL!$H7="Pittsburgh",+NFL!L7,0))</f>
        <v>6.5</v>
      </c>
      <c r="M494" s="385">
        <f>IF(+NFL!$F7="Pittsburgh",+NFL!M7,IF(+NFL!$H7="Pittsburgh",+NFL!M7,0))</f>
        <v>44</v>
      </c>
      <c r="N494" s="394" t="str">
        <f>IF(+NFL!$F7="Pittsburgh",+NFL!N7,IF(+NFL!$H7="Pittsburgh",+NFL!N7,0))</f>
        <v>Pittsburgh</v>
      </c>
      <c r="O494" s="395">
        <f>IF(+NFL!$F7="Pittsburgh",+NFL!O7,IF(+NFL!$H7="Pittsburgh",+NFL!O7,0))</f>
        <v>23</v>
      </c>
      <c r="P494" s="394" t="str">
        <f>IF(+NFL!$F7="Pittsburgh",+NFL!P7,IF(+NFL!$H7="Pittsburgh",+NFL!P7,0))</f>
        <v>Cincinnati</v>
      </c>
      <c r="Q494" s="396">
        <f>IF(+NFL!$F7="Pittsburgh",+NFL!Q7,IF(+NFL!$H7="Pittsburgh",+NFL!Q7,0))</f>
        <v>20</v>
      </c>
      <c r="R494" s="397" t="str">
        <f>IF(+NFL!$F7="Pittsburgh",+NFL!R7,IF(+NFL!$H7="Pittsburgh",+NFL!R7,0))</f>
        <v>Pittsburgh</v>
      </c>
      <c r="S494" s="396" t="str">
        <f>IF(+NFL!$F7="Pittsburgh",+NFL!S7,IF(+NFL!$H7="Pittsburgh",+NFL!S7,0))</f>
        <v>Cincinnati</v>
      </c>
      <c r="T494" s="398" t="str">
        <f>IF(+NFL!$F7="Pittsburgh",+NFL!T7,IF(+NFL!$H7="Pittsburgh",+NFL!T7,0))</f>
        <v>Pittsburgh</v>
      </c>
      <c r="U494" s="396" t="str">
        <f>IF(+NFL!$F7="Pittsburgh",+NFL!U7,IF(+NFL!$H7="Pittsburgh",+NFL!U7,0))</f>
        <v>W</v>
      </c>
      <c r="V494" s="397"/>
      <c r="W494" s="396"/>
      <c r="X494" s="398"/>
      <c r="Y494" s="396"/>
      <c r="Z494" s="397"/>
      <c r="AA494" s="396"/>
      <c r="AB494" s="87"/>
      <c r="AC494" s="120"/>
      <c r="AD494" s="353"/>
      <c r="AE494" s="379"/>
      <c r="AF494" s="353"/>
      <c r="AG494" s="379"/>
      <c r="AH494" s="353"/>
      <c r="AI494" s="379"/>
      <c r="AJ494" s="353"/>
      <c r="AK494" s="379"/>
      <c r="AL494" s="68"/>
      <c r="AM494" s="58"/>
      <c r="AN494" s="57"/>
      <c r="AO494" s="59"/>
      <c r="AP494" s="348"/>
      <c r="AQ494" s="348"/>
      <c r="AR494" s="57"/>
      <c r="AS494" s="493"/>
      <c r="AT494" s="493"/>
      <c r="AU494" s="57"/>
      <c r="AV494" s="493"/>
      <c r="AW494" s="46"/>
      <c r="AX494" s="493"/>
      <c r="AY494" s="57"/>
      <c r="AZ494" s="493"/>
      <c r="BA494" s="46"/>
      <c r="BB494" s="46"/>
      <c r="BC494" s="348"/>
      <c r="BD494" s="57"/>
      <c r="BE494" s="493"/>
      <c r="BF494" s="46"/>
      <c r="BG494" s="57"/>
      <c r="BH494" s="493"/>
      <c r="BI494" s="46"/>
      <c r="BJ494" s="87"/>
      <c r="BK494" s="120"/>
    </row>
    <row r="495" spans="1:63" s="246" customFormat="1" x14ac:dyDescent="0.8">
      <c r="A495" s="46">
        <f>IF(+NFL!$F26="Pittsburgh",+NFL!A26,IF(+NFL!$H26="Pittsburgh",+NFL!A26,0))</f>
        <v>2</v>
      </c>
      <c r="B495" s="348" t="str">
        <f>IF(+NFL!$F26="Pittsburgh",+NFL!B26,IF(+NFL!$H26="Pittsburgh",+NFL!B26,0))</f>
        <v>Sun</v>
      </c>
      <c r="C495" s="48">
        <f>IF(+NFL!$F26="Pittsburgh",+NFL!C26,IF(+NFL!$H26="Pittsburgh",+NFL!C26,0))</f>
        <v>44822</v>
      </c>
      <c r="D495" s="490">
        <f>IF(+NFL!$F26="Pittsburgh",+NFL!D26,IF(+NFL!$H26="Pittsburgh",+NFL!D26,0))</f>
        <v>0.54166666666666663</v>
      </c>
      <c r="E495" s="46" t="str">
        <f>IF(+NFL!$F26="Pittsburgh",+NFL!E26,IF(+NFL!$H26="Pittsburgh",+NFL!E26,0))</f>
        <v>CBS</v>
      </c>
      <c r="F495" s="127" t="str">
        <f>IF(+NFL!$F26="Pittsburgh",+NFL!F26,IF(+NFL!$H26="Pittsburgh",+NFL!F26,0))</f>
        <v>New England</v>
      </c>
      <c r="G495" s="46" t="str">
        <f>IF(+NFL!$F26="Pittsburgh",+NFL!G26,IF(+NFL!$H26="Pittsburgh",+NFL!G26,0))</f>
        <v>AFCE</v>
      </c>
      <c r="H495" s="127" t="str">
        <f>IF(+NFL!$F26="Pittsburgh",+NFL!H26,IF(+NFL!$H26="Pittsburgh",+NFL!H26,0))</f>
        <v>Pittsburgh</v>
      </c>
      <c r="I495" s="46" t="str">
        <f>IF(+NFL!$F26="Pittsburgh",+NFL!I26,IF(+NFL!$H26="Pittsburgh",+NFL!I26,0))</f>
        <v>AFCN</v>
      </c>
      <c r="J495" s="353" t="str">
        <f>IF(+NFL!$F26="Pittsburgh",+NFL!J26,IF(+NFL!$H26="Pittsburgh",+NFL!J26,0))</f>
        <v>New England</v>
      </c>
      <c r="K495" s="494" t="str">
        <f>IF(+NFL!$F26="Pittsburgh",+NFL!K26,IF(+NFL!$H26="Pittsburgh",+NFL!K26,0))</f>
        <v>Pittsburgh</v>
      </c>
      <c r="L495" s="384">
        <f>IF(+NFL!$F26="Pittsburgh",+NFL!L26,IF(+NFL!$H26="Pittsburgh",+NFL!L26,0))</f>
        <v>1</v>
      </c>
      <c r="M495" s="385">
        <f>IF(+NFL!$F26="Pittsburgh",+NFL!M26,IF(+NFL!$H26="Pittsburgh",+NFL!M26,0))</f>
        <v>40</v>
      </c>
      <c r="N495" s="394" t="str">
        <f>IF(+NFL!$F26="Pittsburgh",+NFL!N26,IF(+NFL!$H26="Pittsburgh",+NFL!N26,0))</f>
        <v>New England</v>
      </c>
      <c r="O495" s="395">
        <f>IF(+NFL!$F26="Pittsburgh",+NFL!O26,IF(+NFL!$H26="Pittsburgh",+NFL!O26,0))</f>
        <v>17</v>
      </c>
      <c r="P495" s="394" t="str">
        <f>IF(+NFL!$F26="Pittsburgh",+NFL!P26,IF(+NFL!$H26="Pittsburgh",+NFL!P26,0))</f>
        <v>Pittsburgh</v>
      </c>
      <c r="Q495" s="396">
        <f>IF(+NFL!$F26="Pittsburgh",+NFL!Q26,IF(+NFL!$H26="Pittsburgh",+NFL!Q26,0))</f>
        <v>14</v>
      </c>
      <c r="R495" s="397" t="str">
        <f>IF(+NFL!$F26="Pittsburgh",+NFL!R26,IF(+NFL!$H26="Pittsburgh",+NFL!R26,0))</f>
        <v>New England</v>
      </c>
      <c r="S495" s="396" t="str">
        <f>IF(+NFL!$F26="Pittsburgh",+NFL!S26,IF(+NFL!$H26="Pittsburgh",+NFL!S26,0))</f>
        <v>Pittsburgh</v>
      </c>
      <c r="T495" s="398" t="str">
        <f>IF(+NFL!$F26="Pittsburgh",+NFL!T26,IF(+NFL!$H26="Pittsburgh",+NFL!T26,0))</f>
        <v>New England</v>
      </c>
      <c r="U495" s="396" t="str">
        <f>IF(+NFL!$F26="Pittsburgh",+NFL!U26,IF(+NFL!$H26="Pittsburgh",+NFL!U26,0))</f>
        <v>W</v>
      </c>
      <c r="V495" s="397"/>
      <c r="W495" s="396"/>
      <c r="X495" s="398"/>
      <c r="Y495" s="396"/>
      <c r="Z495" s="397"/>
      <c r="AA495" s="396"/>
      <c r="AB495" s="87"/>
      <c r="AC495" s="120"/>
      <c r="AD495" s="353"/>
      <c r="AE495" s="379"/>
      <c r="AF495" s="353"/>
      <c r="AG495" s="379"/>
      <c r="AH495" s="353"/>
      <c r="AI495" s="379"/>
      <c r="AJ495" s="353"/>
      <c r="AK495" s="379"/>
      <c r="AL495" s="68"/>
      <c r="AM495" s="58"/>
      <c r="AN495" s="57"/>
      <c r="AO495" s="59"/>
      <c r="AP495" s="348"/>
      <c r="AQ495" s="48"/>
      <c r="AR495" s="57"/>
      <c r="AS495" s="493"/>
      <c r="AT495" s="493"/>
      <c r="AU495" s="57"/>
      <c r="AV495" s="493"/>
      <c r="AW495" s="46"/>
      <c r="AX495" s="493"/>
      <c r="AY495" s="57"/>
      <c r="AZ495" s="493"/>
      <c r="BA495" s="46"/>
      <c r="BB495" s="46"/>
      <c r="BC495" s="403"/>
      <c r="BD495" s="57"/>
      <c r="BE495" s="493"/>
      <c r="BF495" s="46"/>
      <c r="BG495" s="57"/>
      <c r="BH495" s="493"/>
      <c r="BI495" s="46"/>
      <c r="BJ495" s="87"/>
      <c r="BK495" s="120"/>
    </row>
    <row r="496" spans="1:63" s="246" customFormat="1" x14ac:dyDescent="0.8">
      <c r="A496" s="46">
        <f>IF(+NFL!$F38="Pittsburgh",+NFL!A38,IF(+NFL!$H38="Pittsburgh",+NFL!A38,0))</f>
        <v>3</v>
      </c>
      <c r="B496" s="348" t="str">
        <f>IF(+NFL!$F38="Pittsburgh",+NFL!B38,IF(+NFL!$H38="Pittsburgh",+NFL!B38,0))</f>
        <v>Thurs</v>
      </c>
      <c r="C496" s="48">
        <f>IF(+NFL!$F38="Pittsburgh",+NFL!C38,IF(+NFL!$H38="Pittsburgh",+NFL!C38,0))</f>
        <v>44826</v>
      </c>
      <c r="D496" s="490">
        <f>IF(+NFL!$F38="Pittsburgh",+NFL!D38,IF(+NFL!$H38="Pittsburgh",+NFL!D38,0))</f>
        <v>0.84375</v>
      </c>
      <c r="E496" s="46" t="str">
        <f>IF(+NFL!$F38="Pittsburgh",+NFL!E38,IF(+NFL!$H38="Pittsburgh",+NFL!E38,0))</f>
        <v>NBC</v>
      </c>
      <c r="F496" s="127" t="str">
        <f>IF(+NFL!$F38="Pittsburgh",+NFL!F38,IF(+NFL!$H38="Pittsburgh",+NFL!F38,0))</f>
        <v>Pittsburgh</v>
      </c>
      <c r="G496" s="46" t="str">
        <f>IF(+NFL!$F38="Pittsburgh",+NFL!G38,IF(+NFL!$H38="Pittsburgh",+NFL!G38,0))</f>
        <v>AFCN</v>
      </c>
      <c r="H496" s="127" t="str">
        <f>IF(+NFL!$F38="Pittsburgh",+NFL!H38,IF(+NFL!$H38="Pittsburgh",+NFL!H38,0))</f>
        <v>Cleveland</v>
      </c>
      <c r="I496" s="46" t="str">
        <f>IF(+NFL!$F38="Pittsburgh",+NFL!I38,IF(+NFL!$H38="Pittsburgh",+NFL!I38,0))</f>
        <v>AFCN</v>
      </c>
      <c r="J496" s="353" t="str">
        <f>IF(+NFL!$F38="Pittsburgh",+NFL!J38,IF(+NFL!$H38="Pittsburgh",+NFL!J38,0))</f>
        <v>Cleveland</v>
      </c>
      <c r="K496" s="494" t="str">
        <f>IF(+NFL!$F38="Pittsburgh",+NFL!K38,IF(+NFL!$H38="Pittsburgh",+NFL!K38,0))</f>
        <v>Pittsburgh</v>
      </c>
      <c r="L496" s="384">
        <f>IF(+NFL!$F38="Pittsburgh",+NFL!L38,IF(+NFL!$H38="Pittsburgh",+NFL!L38,0))</f>
        <v>4.5</v>
      </c>
      <c r="M496" s="385">
        <f>IF(+NFL!$F38="Pittsburgh",+NFL!M38,IF(+NFL!$H38="Pittsburgh",+NFL!M38,0))</f>
        <v>38.5</v>
      </c>
      <c r="N496" s="394" t="str">
        <f>IF(+NFL!$F38="Pittsburgh",+NFL!N38,IF(+NFL!$H38="Pittsburgh",+NFL!N38,0))</f>
        <v>Cleveland</v>
      </c>
      <c r="O496" s="395">
        <f>IF(+NFL!$F38="Pittsburgh",+NFL!O38,IF(+NFL!$H38="Pittsburgh",+NFL!O38,0))</f>
        <v>29</v>
      </c>
      <c r="P496" s="394" t="str">
        <f>IF(+NFL!$F38="Pittsburgh",+NFL!P38,IF(+NFL!$H38="Pittsburgh",+NFL!P38,0))</f>
        <v>Pittsburgh</v>
      </c>
      <c r="Q496" s="396">
        <f>IF(+NFL!$F38="Pittsburgh",+NFL!Q38,IF(+NFL!$H38="Pittsburgh",+NFL!Q38,0))</f>
        <v>17</v>
      </c>
      <c r="R496" s="397" t="str">
        <f>IF(+NFL!$F38="Pittsburgh",+NFL!R38,IF(+NFL!$H38="Pittsburgh",+NFL!R38,0))</f>
        <v>Cleveland</v>
      </c>
      <c r="S496" s="396" t="str">
        <f>IF(+NFL!$F38="Pittsburgh",+NFL!S38,IF(+NFL!$H38="Pittsburgh",+NFL!S38,0))</f>
        <v>Pittsburgh</v>
      </c>
      <c r="T496" s="398" t="str">
        <f>IF(+NFL!$F38="Pittsburgh",+NFL!T38,IF(+NFL!$H38="Pittsburgh",+NFL!T38,0))</f>
        <v>Cleveland</v>
      </c>
      <c r="U496" s="396" t="str">
        <f>IF(+NFL!$F38="Pittsburgh",+NFL!U38,IF(+NFL!$H38="Pittsburgh",+NFL!U38,0))</f>
        <v>W</v>
      </c>
      <c r="V496" s="397"/>
      <c r="W496" s="396"/>
      <c r="X496" s="398"/>
      <c r="Y496" s="396"/>
      <c r="Z496" s="397"/>
      <c r="AA496" s="396"/>
      <c r="AB496" s="87"/>
      <c r="AC496" s="120"/>
      <c r="AD496" s="353"/>
      <c r="AE496" s="379"/>
      <c r="AF496" s="353"/>
      <c r="AG496" s="379"/>
      <c r="AH496" s="353"/>
      <c r="AI496" s="379"/>
      <c r="AJ496" s="353"/>
      <c r="AK496" s="379"/>
      <c r="AL496" s="68"/>
      <c r="AM496" s="58"/>
      <c r="AN496" s="57"/>
      <c r="AO496" s="59"/>
      <c r="AP496" s="348"/>
      <c r="AQ496" s="48"/>
      <c r="AR496" s="57"/>
      <c r="AS496" s="493"/>
      <c r="AT496" s="493"/>
      <c r="AU496" s="57"/>
      <c r="AV496" s="493"/>
      <c r="AW496" s="46"/>
      <c r="AX496" s="493"/>
      <c r="AY496" s="57"/>
      <c r="AZ496" s="493"/>
      <c r="BA496" s="46"/>
      <c r="BB496" s="46"/>
      <c r="BC496" s="403"/>
      <c r="BD496" s="57"/>
      <c r="BE496" s="493"/>
      <c r="BF496" s="46"/>
      <c r="BG496" s="57"/>
      <c r="BH496" s="493"/>
      <c r="BI496" s="46"/>
      <c r="BJ496" s="87"/>
      <c r="BK496" s="120"/>
    </row>
    <row r="497" spans="1:63" s="246" customFormat="1" x14ac:dyDescent="0.8">
      <c r="A497" s="46">
        <f>IF(+NFL!$F63="Pittsburgh",+NFL!A63,IF(+NFL!$H63="Pittsburgh",+NFL!A63,0))</f>
        <v>4</v>
      </c>
      <c r="B497" s="348" t="str">
        <f>IF(+NFL!$F63="Pittsburgh",+NFL!B63,IF(+NFL!$H63="Pittsburgh",+NFL!B63,0))</f>
        <v>Sun</v>
      </c>
      <c r="C497" s="48">
        <f>IF(+NFL!$F63="Pittsburgh",+NFL!C63,IF(+NFL!$H63="Pittsburgh",+NFL!C63,0))</f>
        <v>44836</v>
      </c>
      <c r="D497" s="490">
        <f>IF(+NFL!$F63="Pittsburgh",+NFL!D63,IF(+NFL!$H63="Pittsburgh",+NFL!D63,0))</f>
        <v>0.54166666666666663</v>
      </c>
      <c r="E497" s="46" t="str">
        <f>IF(+NFL!$F63="Pittsburgh",+NFL!E63,IF(+NFL!$H63="Pittsburgh",+NFL!E63,0))</f>
        <v>CBS</v>
      </c>
      <c r="F497" s="127" t="str">
        <f>IF(+NFL!$F63="Pittsburgh",+NFL!F63,IF(+NFL!$H63="Pittsburgh",+NFL!F63,0))</f>
        <v>NY Jets</v>
      </c>
      <c r="G497" s="46" t="str">
        <f>IF(+NFL!$F63="Pittsburgh",+NFL!G63,IF(+NFL!$H63="Pittsburgh",+NFL!G63,0))</f>
        <v>AFCE</v>
      </c>
      <c r="H497" s="127" t="str">
        <f>IF(+NFL!$F63="Pittsburgh",+NFL!H63,IF(+NFL!$H63="Pittsburgh",+NFL!H63,0))</f>
        <v>Pittsburgh</v>
      </c>
      <c r="I497" s="46" t="str">
        <f>IF(+NFL!$F63="Pittsburgh",+NFL!I63,IF(+NFL!$H63="Pittsburgh",+NFL!I63,0))</f>
        <v>AFCN</v>
      </c>
      <c r="J497" s="353" t="str">
        <f>IF(+NFL!$F63="Pittsburgh",+NFL!J63,IF(+NFL!$H63="Pittsburgh",+NFL!J63,0))</f>
        <v>Pittsburgh</v>
      </c>
      <c r="K497" s="494" t="str">
        <f>IF(+NFL!$F63="Pittsburgh",+NFL!K63,IF(+NFL!$H63="Pittsburgh",+NFL!K63,0))</f>
        <v>NY Jets</v>
      </c>
      <c r="L497" s="384">
        <f>IF(+NFL!$F63="Pittsburgh",+NFL!L63,IF(+NFL!$H63="Pittsburgh",+NFL!L63,0))</f>
        <v>3</v>
      </c>
      <c r="M497" s="385">
        <f>IF(+NFL!$F63="Pittsburgh",+NFL!M63,IF(+NFL!$H63="Pittsburgh",+NFL!M63,0))</f>
        <v>40.5</v>
      </c>
      <c r="N497" s="394" t="str">
        <f>IF(+NFL!$F63="Pittsburgh",+NFL!N63,IF(+NFL!$H63="Pittsburgh",+NFL!N63,0))</f>
        <v>NY Jets</v>
      </c>
      <c r="O497" s="395">
        <f>IF(+NFL!$F63="Pittsburgh",+NFL!O63,IF(+NFL!$H63="Pittsburgh",+NFL!O63,0))</f>
        <v>24</v>
      </c>
      <c r="P497" s="394" t="str">
        <f>IF(+NFL!$F63="Pittsburgh",+NFL!P63,IF(+NFL!$H63="Pittsburgh",+NFL!P63,0))</f>
        <v>Pittsburgh</v>
      </c>
      <c r="Q497" s="396">
        <f>IF(+NFL!$F63="Pittsburgh",+NFL!Q63,IF(+NFL!$H63="Pittsburgh",+NFL!Q63,0))</f>
        <v>20</v>
      </c>
      <c r="R497" s="397" t="str">
        <f>IF(+NFL!$F63="Pittsburgh",+NFL!R63,IF(+NFL!$H63="Pittsburgh",+NFL!R63,0))</f>
        <v>NY Jets</v>
      </c>
      <c r="S497" s="396" t="str">
        <f>IF(+NFL!$F63="Pittsburgh",+NFL!S63,IF(+NFL!$H63="Pittsburgh",+NFL!S63,0))</f>
        <v>Pittsburgh</v>
      </c>
      <c r="T497" s="398" t="str">
        <f>IF(+NFL!$F63="Pittsburgh",+NFL!T63,IF(+NFL!$H63="Pittsburgh",+NFL!T63,0))</f>
        <v>NY Jets</v>
      </c>
      <c r="U497" s="396" t="str">
        <f>IF(+NFL!$F63="Pittsburgh",+NFL!U63,IF(+NFL!$H63="Pittsburgh",+NFL!U63,0))</f>
        <v>W</v>
      </c>
      <c r="V497" s="397"/>
      <c r="W497" s="396"/>
      <c r="X497" s="398"/>
      <c r="Y497" s="396"/>
      <c r="Z497" s="397"/>
      <c r="AA497" s="396"/>
      <c r="AB497" s="87"/>
      <c r="AC497" s="120"/>
      <c r="AD497" s="353"/>
      <c r="AE497" s="379"/>
      <c r="AF497" s="353"/>
      <c r="AG497" s="379"/>
      <c r="AH497" s="353"/>
      <c r="AI497" s="379"/>
      <c r="AJ497" s="353"/>
      <c r="AK497" s="379"/>
      <c r="AL497" s="68"/>
      <c r="AM497" s="58"/>
      <c r="AN497" s="57"/>
      <c r="AO497" s="59"/>
      <c r="AP497" s="348"/>
      <c r="AQ497" s="48"/>
      <c r="AR497" s="57"/>
      <c r="AS497" s="64"/>
      <c r="AT497" s="64"/>
      <c r="AU497" s="57"/>
      <c r="AV497" s="64"/>
      <c r="AW497" s="46"/>
      <c r="AX497" s="64"/>
      <c r="AY497" s="57"/>
      <c r="AZ497" s="64"/>
      <c r="BA497" s="46"/>
      <c r="BB497" s="46"/>
      <c r="BC497" s="403"/>
      <c r="BD497" s="57"/>
      <c r="BE497" s="64"/>
      <c r="BF497" s="46"/>
      <c r="BG497" s="57"/>
      <c r="BH497" s="64"/>
      <c r="BI497" s="46"/>
      <c r="BJ497" s="87"/>
      <c r="BK497" s="120"/>
    </row>
    <row r="498" spans="1:63" s="246" customFormat="1" x14ac:dyDescent="0.8">
      <c r="A498" s="46">
        <f>IF(+NFL!$F74="Pittsburgh",+NFL!A74,IF(+NFL!$H74="Pittsburgh",+NFL!A74,0))</f>
        <v>5</v>
      </c>
      <c r="B498" s="348" t="str">
        <f>IF(+NFL!$F74="Pittsburgh",+NFL!B74,IF(+NFL!$H74="Pittsburgh",+NFL!B74,0))</f>
        <v>Sun</v>
      </c>
      <c r="C498" s="48">
        <f>IF(+NFL!$F74="Pittsburgh",+NFL!C74,IF(+NFL!$H74="Pittsburgh",+NFL!C74,0))</f>
        <v>44843</v>
      </c>
      <c r="D498" s="490">
        <f>IF(+NFL!$F74="Pittsburgh",+NFL!D74,IF(+NFL!$H74="Pittsburgh",+NFL!D74,0))</f>
        <v>0.54166666666666663</v>
      </c>
      <c r="E498" s="46" t="str">
        <f>IF(+NFL!$F74="Pittsburgh",+NFL!E74,IF(+NFL!$H74="Pittsburgh",+NFL!E74,0))</f>
        <v>CBS</v>
      </c>
      <c r="F498" s="127" t="str">
        <f>IF(+NFL!$F74="Pittsburgh",+NFL!F74,IF(+NFL!$H74="Pittsburgh",+NFL!F74,0))</f>
        <v>Pittsburgh</v>
      </c>
      <c r="G498" s="46" t="str">
        <f>IF(+NFL!$F74="Pittsburgh",+NFL!G74,IF(+NFL!$H74="Pittsburgh",+NFL!G74,0))</f>
        <v>AFCN</v>
      </c>
      <c r="H498" s="127" t="str">
        <f>IF(+NFL!$F74="Pittsburgh",+NFL!H74,IF(+NFL!$H74="Pittsburgh",+NFL!H74,0))</f>
        <v>Buffalo</v>
      </c>
      <c r="I498" s="46" t="str">
        <f>IF(+NFL!$F74="Pittsburgh",+NFL!I74,IF(+NFL!$H74="Pittsburgh",+NFL!I74,0))</f>
        <v>AFCE</v>
      </c>
      <c r="J498" s="353" t="str">
        <f>IF(+NFL!$F74="Pittsburgh",+NFL!J74,IF(+NFL!$H74="Pittsburgh",+NFL!J74,0))</f>
        <v>Buffalo</v>
      </c>
      <c r="K498" s="494" t="str">
        <f>IF(+NFL!$F74="Pittsburgh",+NFL!K74,IF(+NFL!$H74="Pittsburgh",+NFL!K74,0))</f>
        <v>Pittsburgh</v>
      </c>
      <c r="L498" s="384">
        <f>IF(+NFL!$F74="Pittsburgh",+NFL!L74,IF(+NFL!$H74="Pittsburgh",+NFL!L74,0))</f>
        <v>14</v>
      </c>
      <c r="M498" s="385">
        <f>IF(+NFL!$F74="Pittsburgh",+NFL!M74,IF(+NFL!$H74="Pittsburgh",+NFL!M74,0))</f>
        <v>47</v>
      </c>
      <c r="N498" s="394" t="str">
        <f>IF(+NFL!$F74="Pittsburgh",+NFL!N74,IF(+NFL!$H74="Pittsburgh",+NFL!N74,0))</f>
        <v>Buffalo</v>
      </c>
      <c r="O498" s="395">
        <f>IF(+NFL!$F74="Pittsburgh",+NFL!O74,IF(+NFL!$H74="Pittsburgh",+NFL!O74,0))</f>
        <v>38</v>
      </c>
      <c r="P498" s="394" t="str">
        <f>IF(+NFL!$F74="Pittsburgh",+NFL!P74,IF(+NFL!$H74="Pittsburgh",+NFL!P74,0))</f>
        <v>Pittsburgh</v>
      </c>
      <c r="Q498" s="396">
        <f>IF(+NFL!$F74="Pittsburgh",+NFL!Q74,IF(+NFL!$H74="Pittsburgh",+NFL!Q74,0))</f>
        <v>3</v>
      </c>
      <c r="R498" s="397" t="str">
        <f>IF(+NFL!$F74="Pittsburgh",+NFL!R74,IF(+NFL!$H74="Pittsburgh",+NFL!R74,0))</f>
        <v>Buffalo</v>
      </c>
      <c r="S498" s="396" t="str">
        <f>IF(+NFL!$F74="Pittsburgh",+NFL!S74,IF(+NFL!$H74="Pittsburgh",+NFL!S74,0))</f>
        <v>Pittsburgh</v>
      </c>
      <c r="T498" s="398" t="str">
        <f>IF(+NFL!$F74="Pittsburgh",+NFL!T74,IF(+NFL!$H74="Pittsburgh",+NFL!T74,0))</f>
        <v>Pittsburgh</v>
      </c>
      <c r="U498" s="396" t="str">
        <f>IF(+NFL!$F74="Pittsburgh",+NFL!U74,IF(+NFL!$H74="Pittsburgh",+NFL!U74,0))</f>
        <v>L</v>
      </c>
      <c r="V498" s="397">
        <f>IF(+NFL!$F34="Pittsburgh",+NFL!#REF!,IF(+NFL!$H34="Pittsburgh",+NFL!#REF!,0))</f>
        <v>0</v>
      </c>
      <c r="W498" s="396">
        <f>IF(+NFL!$F34="Pittsburgh",+NFL!#REF!,IF(+NFL!$H34="Pittsburgh",+NFL!#REF!,0))</f>
        <v>0</v>
      </c>
      <c r="X498" s="398">
        <f>IF(+NFL!$F34="Pittsburgh",+NFL!#REF!,IF(+NFL!$H34="Pittsburgh",+NFL!#REF!,0))</f>
        <v>0</v>
      </c>
      <c r="Y498" s="396">
        <f>IF(+NFL!$F34="Pittsburgh",+NFL!#REF!,IF(+NFL!$H34="Pittsburgh",+NFL!#REF!,0))</f>
        <v>0</v>
      </c>
      <c r="Z498" s="397">
        <f>IF(+NFL!$F34="Pittsburgh",+NFL!#REF!,IF(+NFL!$H34="Pittsburgh",+NFL!#REF!,0))</f>
        <v>0</v>
      </c>
      <c r="AA498" s="396">
        <f>IF(+NFL!$F34="Pittsburgh",+NFL!#REF!,IF(+NFL!$H34="Pittsburgh",+NFL!#REF!,0))</f>
        <v>0</v>
      </c>
      <c r="AB498" s="87">
        <f>IF(+NFL!$F34="Pittsburgh",+NFL!#REF!,IF(+NFL!$H34="Pittsburgh",+NFL!#REF!,0))</f>
        <v>0</v>
      </c>
      <c r="AC498" s="120">
        <f>IF(+NFL!$F34="Pittsburgh",+NFL!#REF!,IF(+NFL!$H34="Pittsburgh",+NFL!#REF!,0))</f>
        <v>0</v>
      </c>
      <c r="AD498" s="353">
        <f>IF(+NFL!$F34="Pittsburgh",+NFL!#REF!,IF(+NFL!$H34="Pittsburgh",+NFL!#REF!,0))</f>
        <v>0</v>
      </c>
      <c r="AE498" s="379">
        <f>IF(+NFL!$F34="Pittsburgh",+NFL!#REF!,IF(+NFL!$H34="Pittsburgh",+NFL!#REF!,0))</f>
        <v>0</v>
      </c>
      <c r="AF498" s="353">
        <f>IF(+NFL!$F34="Pittsburgh",+NFL!#REF!,IF(+NFL!$H34="Pittsburgh",+NFL!#REF!,0))</f>
        <v>0</v>
      </c>
      <c r="AG498" s="379">
        <f>IF(+NFL!$F34="Pittsburgh",+NFL!#REF!,IF(+NFL!$H34="Pittsburgh",+NFL!#REF!,0))</f>
        <v>0</v>
      </c>
      <c r="AH498" s="353">
        <f>IF(+NFL!$F34="Pittsburgh",+NFL!#REF!,IF(+NFL!$H34="Pittsburgh",+NFL!#REF!,0))</f>
        <v>0</v>
      </c>
      <c r="AI498" s="379">
        <f>IF(+NFL!$F34="Pittsburgh",+NFL!#REF!,IF(+NFL!$H34="Pittsburgh",+NFL!#REF!,0))</f>
        <v>0</v>
      </c>
      <c r="AJ498" s="353">
        <f>IF(+NFL!$F34="Pittsburgh",+NFL!#REF!,IF(+NFL!$H34="Pittsburgh",+NFL!#REF!,0))</f>
        <v>0</v>
      </c>
      <c r="AK498" s="379">
        <f>IF(+NFL!$F34="Pittsburgh",+NFL!#REF!,IF(+NFL!$H34="Pittsburgh",+NFL!#REF!,0))</f>
        <v>0</v>
      </c>
      <c r="AL498" s="68">
        <f>IF(+NFL!$F34="Pittsburgh",+NFL!#REF!,IF(+NFL!$H34="Pittsburgh",+NFL!#REF!,0))</f>
        <v>0</v>
      </c>
      <c r="AM498" s="58">
        <f>IF(+NFL!$F34="Pittsburgh",+NFL!#REF!,IF(+NFL!$H34="Pittsburgh",+NFL!#REF!,0))</f>
        <v>0</v>
      </c>
      <c r="AN498" s="57">
        <f>IF(+NFL!$F34="Pittsburgh",+NFL!#REF!,IF(+NFL!$H34="Pittsburgh",+NFL!#REF!,0))</f>
        <v>0</v>
      </c>
      <c r="AO498" s="59">
        <f>IF(+NFL!$F34="Pittsburgh",+NFL!#REF!,IF(+NFL!$H34="Pittsburgh",+NFL!#REF!,0))</f>
        <v>0</v>
      </c>
      <c r="AP498" s="348">
        <f>IF(+NFL!$F34="Pittsburgh",+NFL!#REF!,IF(+NFL!$H34="Pittsburgh",+NFL!#REF!,0))</f>
        <v>0</v>
      </c>
      <c r="AQ498" s="48">
        <f>IF(+NFL!$F34="Pittsburgh",+NFL!#REF!,IF(+NFL!$H34="Pittsburgh",+NFL!#REF!,0))</f>
        <v>0</v>
      </c>
      <c r="AR498" s="57">
        <f>IF(+NFL!$F34="Pittsburgh",+NFL!#REF!,IF(+NFL!$H34="Pittsburgh",+NFL!#REF!,0))</f>
        <v>0</v>
      </c>
      <c r="AS498" s="64">
        <f>IF(+NFL!$F34="Pittsburgh",+NFL!#REF!,IF(+NFL!$H34="Pittsburgh",+NFL!#REF!,0))</f>
        <v>0</v>
      </c>
      <c r="AT498" s="64">
        <f>IF(+NFL!$F34="Pittsburgh",+NFL!#REF!,IF(+NFL!$H34="Pittsburgh",+NFL!#REF!,0))</f>
        <v>0</v>
      </c>
      <c r="AU498" s="57">
        <f>IF(+NFL!$F34="Pittsburgh",+NFL!#REF!,IF(+NFL!$H34="Pittsburgh",+NFL!#REF!,0))</f>
        <v>0</v>
      </c>
      <c r="AV498" s="64">
        <f>IF(+NFL!$F34="Pittsburgh",+NFL!#REF!,IF(+NFL!$H34="Pittsburgh",+NFL!#REF!,0))</f>
        <v>0</v>
      </c>
      <c r="AW498" s="46">
        <f>IF(+NFL!$F34="Pittsburgh",+NFL!#REF!,IF(+NFL!$H34="Pittsburgh",+NFL!#REF!,0))</f>
        <v>0</v>
      </c>
      <c r="AX498" s="64">
        <f>IF(+NFL!$F34="Pittsburgh",+NFL!#REF!,IF(+NFL!$H34="Pittsburgh",+NFL!#REF!,0))</f>
        <v>0</v>
      </c>
      <c r="AY498" s="57">
        <f>IF(+NFL!$F34="Pittsburgh",+NFL!#REF!,IF(+NFL!$H34="Pittsburgh",+NFL!#REF!,0))</f>
        <v>0</v>
      </c>
      <c r="AZ498" s="64">
        <f>IF(+NFL!$F34="Pittsburgh",+NFL!#REF!,IF(+NFL!$H34="Pittsburgh",+NFL!#REF!,0))</f>
        <v>0</v>
      </c>
      <c r="BA498" s="46">
        <f>IF(+NFL!$F34="Pittsburgh",+NFL!#REF!,IF(+NFL!$H34="Pittsburgh",+NFL!#REF!,0))</f>
        <v>0</v>
      </c>
      <c r="BB498" s="46">
        <f>IF(+NFL!$F34="Pittsburgh",+NFL!#REF!,IF(+NFL!$H34="Pittsburgh",+NFL!#REF!,0))</f>
        <v>0</v>
      </c>
      <c r="BC498" s="403">
        <f>IF(+NFL!$F34="Pittsburgh",+NFL!#REF!,IF(+NFL!$H34="Pittsburgh",+NFL!#REF!,0))</f>
        <v>0</v>
      </c>
      <c r="BD498" s="57">
        <f>IF(+NFL!$F34="Pittsburgh",+NFL!#REF!,IF(+NFL!$H34="Pittsburgh",+NFL!#REF!,0))</f>
        <v>0</v>
      </c>
      <c r="BE498" s="64">
        <f>IF(+NFL!$F34="Pittsburgh",+NFL!#REF!,IF(+NFL!$H34="Pittsburgh",+NFL!#REF!,0))</f>
        <v>0</v>
      </c>
      <c r="BF498" s="46">
        <f>IF(+NFL!$F34="Pittsburgh",+NFL!#REF!,IF(+NFL!$H34="Pittsburgh",+NFL!#REF!,0))</f>
        <v>0</v>
      </c>
      <c r="BG498" s="57">
        <f>IF(+NFL!$F34="Pittsburgh",+NFL!#REF!,IF(+NFL!$H34="Pittsburgh",+NFL!#REF!,0))</f>
        <v>0</v>
      </c>
      <c r="BH498" s="64">
        <f>IF(+NFL!$F34="Pittsburgh",+NFL!#REF!,IF(+NFL!$H34="Pittsburgh",+NFL!#REF!,0))</f>
        <v>0</v>
      </c>
      <c r="BI498" s="46">
        <f>IF(+NFL!$F34="Pittsburgh",+NFL!#REF!,IF(+NFL!$H34="Pittsburgh",+NFL!#REF!,0))</f>
        <v>0</v>
      </c>
      <c r="BJ498" s="87">
        <f>IF(+NFL!$F34="Pittsburgh",+NFL!#REF!,IF(+NFL!$H34="Pittsburgh",+NFL!#REF!,0))</f>
        <v>0</v>
      </c>
      <c r="BK498" s="120">
        <f>IF(+NFL!$F34="Pittsburgh",+NFL!#REF!,IF(+NFL!$H34="Pittsburgh",+NFL!#REF!,0))</f>
        <v>0</v>
      </c>
    </row>
    <row r="499" spans="1:63" s="246" customFormat="1" x14ac:dyDescent="0.8">
      <c r="A499" s="46">
        <f>IF(+NFL!$F97="Pittsburgh",+NFL!A97,IF(+NFL!$H97="Pittsburgh",+NFL!A97,0))</f>
        <v>6</v>
      </c>
      <c r="B499" s="348" t="str">
        <f>IF(+NFL!$F97="Pittsburgh",+NFL!B97,IF(+NFL!$H97="Pittsburgh",+NFL!B97,0))</f>
        <v>Sun</v>
      </c>
      <c r="C499" s="48">
        <f>IF(+NFL!$F97="Pittsburgh",+NFL!C97,IF(+NFL!$H97="Pittsburgh",+NFL!C97,0))</f>
        <v>44850</v>
      </c>
      <c r="D499" s="490">
        <f>IF(+NFL!$F97="Pittsburgh",+NFL!D97,IF(+NFL!$H97="Pittsburgh",+NFL!D97,0))</f>
        <v>0.54166666666666663</v>
      </c>
      <c r="E499" s="46" t="str">
        <f>IF(+NFL!$F97="Pittsburgh",+NFL!E97,IF(+NFL!$H97="Pittsburgh",+NFL!E97,0))</f>
        <v>Fox</v>
      </c>
      <c r="F499" s="127" t="str">
        <f>IF(+NFL!$F97="Pittsburgh",+NFL!F97,IF(+NFL!$H97="Pittsburgh",+NFL!F97,0))</f>
        <v>Tampa Bay</v>
      </c>
      <c r="G499" s="46" t="str">
        <f>IF(+NFL!$F97="Pittsburgh",+NFL!G97,IF(+NFL!$H97="Pittsburgh",+NFL!G97,0))</f>
        <v>NFCS</v>
      </c>
      <c r="H499" s="127" t="str">
        <f>IF(+NFL!$F97="Pittsburgh",+NFL!H97,IF(+NFL!$H97="Pittsburgh",+NFL!H97,0))</f>
        <v>Pittsburgh</v>
      </c>
      <c r="I499" s="46" t="str">
        <f>IF(+NFL!$F97="Pittsburgh",+NFL!I97,IF(+NFL!$H97="Pittsburgh",+NFL!I97,0))</f>
        <v>AFCN</v>
      </c>
      <c r="J499" s="353" t="str">
        <f>IF(+NFL!$F97="Pittsburgh",+NFL!J97,IF(+NFL!$H97="Pittsburgh",+NFL!J97,0))</f>
        <v>Tampa Bay</v>
      </c>
      <c r="K499" s="494" t="str">
        <f>IF(+NFL!$F97="Pittsburgh",+NFL!K97,IF(+NFL!$H97="Pittsburgh",+NFL!K97,0))</f>
        <v>Pittsburgh</v>
      </c>
      <c r="L499" s="384">
        <f>IF(+NFL!$F97="Pittsburgh",+NFL!L97,IF(+NFL!$H97="Pittsburgh",+NFL!L97,0))</f>
        <v>8</v>
      </c>
      <c r="M499" s="385">
        <f>IF(+NFL!$F97="Pittsburgh",+NFL!M97,IF(+NFL!$H97="Pittsburgh",+NFL!M97,0))</f>
        <v>44</v>
      </c>
      <c r="N499" s="394" t="str">
        <f>IF(+NFL!$F97="Pittsburgh",+NFL!N97,IF(+NFL!$H97="Pittsburgh",+NFL!N97,0))</f>
        <v>Pittsburgh</v>
      </c>
      <c r="O499" s="395">
        <f>IF(+NFL!$F97="Pittsburgh",+NFL!O97,IF(+NFL!$H97="Pittsburgh",+NFL!O97,0))</f>
        <v>20</v>
      </c>
      <c r="P499" s="394" t="str">
        <f>IF(+NFL!$F97="Pittsburgh",+NFL!P97,IF(+NFL!$H97="Pittsburgh",+NFL!P97,0))</f>
        <v>Tampa Bay</v>
      </c>
      <c r="Q499" s="396">
        <f>IF(+NFL!$F97="Pittsburgh",+NFL!Q97,IF(+NFL!$H97="Pittsburgh",+NFL!Q97,0))</f>
        <v>18</v>
      </c>
      <c r="R499" s="397" t="str">
        <f>IF(+NFL!$F97="Pittsburgh",+NFL!R97,IF(+NFL!$H97="Pittsburgh",+NFL!R97,0))</f>
        <v>Pittsburgh</v>
      </c>
      <c r="S499" s="396" t="str">
        <f>IF(+NFL!$F97="Pittsburgh",+NFL!S97,IF(+NFL!$H97="Pittsburgh",+NFL!S97,0))</f>
        <v>Tampa Bay</v>
      </c>
      <c r="T499" s="398" t="str">
        <f>IF(+NFL!$F97="Pittsburgh",+NFL!T97,IF(+NFL!$H97="Pittsburgh",+NFL!T97,0))</f>
        <v>Pittsburgh</v>
      </c>
      <c r="U499" s="396" t="str">
        <f>IF(+NFL!$F97="Pittsburgh",+NFL!U97,IF(+NFL!$H97="Pittsburgh",+NFL!U97,0))</f>
        <v>W</v>
      </c>
      <c r="V499" s="397">
        <f>IF(+NFL!$F60="Pittsburgh",+NFL!#REF!,IF(+NFL!$H60="Pittsburgh",+NFL!#REF!,0))</f>
        <v>0</v>
      </c>
      <c r="W499" s="396">
        <f>IF(+NFL!$F60="Pittsburgh",+NFL!#REF!,IF(+NFL!$H60="Pittsburgh",+NFL!#REF!,0))</f>
        <v>0</v>
      </c>
      <c r="X499" s="398">
        <f>IF(+NFL!$F60="Pittsburgh",+NFL!#REF!,IF(+NFL!$H60="Pittsburgh",+NFL!#REF!,0))</f>
        <v>0</v>
      </c>
      <c r="Y499" s="396">
        <f>IF(+NFL!$F60="Pittsburgh",+NFL!#REF!,IF(+NFL!$H60="Pittsburgh",+NFL!#REF!,0))</f>
        <v>0</v>
      </c>
      <c r="Z499" s="397">
        <f>IF(+NFL!$F60="Pittsburgh",+NFL!#REF!,IF(+NFL!$H60="Pittsburgh",+NFL!#REF!,0))</f>
        <v>0</v>
      </c>
      <c r="AA499" s="396">
        <f>IF(+NFL!$F60="Pittsburgh",+NFL!#REF!,IF(+NFL!$H60="Pittsburgh",+NFL!#REF!,0))</f>
        <v>0</v>
      </c>
      <c r="AB499" s="87">
        <f>IF(+NFL!$F60="Pittsburgh",+NFL!#REF!,IF(+NFL!$H60="Pittsburgh",+NFL!#REF!,0))</f>
        <v>0</v>
      </c>
      <c r="AC499" s="120">
        <f>IF(+NFL!$F60="Pittsburgh",+NFL!#REF!,IF(+NFL!$H60="Pittsburgh",+NFL!#REF!,0))</f>
        <v>0</v>
      </c>
      <c r="AD499" s="353">
        <f>IF(+NFL!$F60="Pittsburgh",+NFL!#REF!,IF(+NFL!$H60="Pittsburgh",+NFL!#REF!,0))</f>
        <v>0</v>
      </c>
      <c r="AE499" s="379">
        <f>IF(+NFL!$F60="Pittsburgh",+NFL!#REF!,IF(+NFL!$H60="Pittsburgh",+NFL!#REF!,0))</f>
        <v>0</v>
      </c>
      <c r="AF499" s="353">
        <f>IF(+NFL!$F60="Pittsburgh",+NFL!#REF!,IF(+NFL!$H60="Pittsburgh",+NFL!#REF!,0))</f>
        <v>0</v>
      </c>
      <c r="AG499" s="379">
        <f>IF(+NFL!$F60="Pittsburgh",+NFL!#REF!,IF(+NFL!$H60="Pittsburgh",+NFL!#REF!,0))</f>
        <v>0</v>
      </c>
      <c r="AH499" s="353">
        <f>IF(+NFL!$F60="Pittsburgh",+NFL!#REF!,IF(+NFL!$H60="Pittsburgh",+NFL!#REF!,0))</f>
        <v>0</v>
      </c>
      <c r="AI499" s="379">
        <f>IF(+NFL!$F60="Pittsburgh",+NFL!#REF!,IF(+NFL!$H60="Pittsburgh",+NFL!#REF!,0))</f>
        <v>0</v>
      </c>
      <c r="AJ499" s="353">
        <f>IF(+NFL!$F60="Pittsburgh",+NFL!#REF!,IF(+NFL!$H60="Pittsburgh",+NFL!#REF!,0))</f>
        <v>0</v>
      </c>
      <c r="AK499" s="379">
        <f>IF(+NFL!$F60="Pittsburgh",+NFL!#REF!,IF(+NFL!$H60="Pittsburgh",+NFL!#REF!,0))</f>
        <v>0</v>
      </c>
      <c r="AL499" s="68">
        <f>IF(+NFL!$F60="Pittsburgh",+NFL!#REF!,IF(+NFL!$H60="Pittsburgh",+NFL!#REF!,0))</f>
        <v>0</v>
      </c>
      <c r="AM499" s="58">
        <f>IF(+NFL!$F60="Pittsburgh",+NFL!#REF!,IF(+NFL!$H60="Pittsburgh",+NFL!#REF!,0))</f>
        <v>0</v>
      </c>
      <c r="AN499" s="57">
        <f>IF(+NFL!$F60="Pittsburgh",+NFL!#REF!,IF(+NFL!$H60="Pittsburgh",+NFL!#REF!,0))</f>
        <v>0</v>
      </c>
      <c r="AO499" s="59">
        <f>IF(+NFL!$F60="Pittsburgh",+NFL!#REF!,IF(+NFL!$H60="Pittsburgh",+NFL!#REF!,0))</f>
        <v>0</v>
      </c>
      <c r="AP499" s="348">
        <f>IF(+NFL!$F60="Pittsburgh",+NFL!#REF!,IF(+NFL!$H60="Pittsburgh",+NFL!#REF!,0))</f>
        <v>0</v>
      </c>
      <c r="AQ499" s="48">
        <f>IF(+NFL!$F60="Pittsburgh",+NFL!#REF!,IF(+NFL!$H60="Pittsburgh",+NFL!#REF!,0))</f>
        <v>0</v>
      </c>
      <c r="AR499" s="57">
        <f>IF(+NFL!$F60="Pittsburgh",+NFL!#REF!,IF(+NFL!$H60="Pittsburgh",+NFL!#REF!,0))</f>
        <v>0</v>
      </c>
      <c r="AS499" s="64">
        <f>IF(+NFL!$F60="Pittsburgh",+NFL!#REF!,IF(+NFL!$H60="Pittsburgh",+NFL!#REF!,0))</f>
        <v>0</v>
      </c>
      <c r="AT499" s="64">
        <f>IF(+NFL!$F60="Pittsburgh",+NFL!#REF!,IF(+NFL!$H60="Pittsburgh",+NFL!#REF!,0))</f>
        <v>0</v>
      </c>
      <c r="AU499" s="57">
        <f>IF(+NFL!$F60="Pittsburgh",+NFL!#REF!,IF(+NFL!$H60="Pittsburgh",+NFL!#REF!,0))</f>
        <v>0</v>
      </c>
      <c r="AV499" s="64">
        <f>IF(+NFL!$F60="Pittsburgh",+NFL!#REF!,IF(+NFL!$H60="Pittsburgh",+NFL!#REF!,0))</f>
        <v>0</v>
      </c>
      <c r="AW499" s="46">
        <f>IF(+NFL!$F60="Pittsburgh",+NFL!#REF!,IF(+NFL!$H60="Pittsburgh",+NFL!#REF!,0))</f>
        <v>0</v>
      </c>
      <c r="AX499" s="64">
        <f>IF(+NFL!$F60="Pittsburgh",+NFL!#REF!,IF(+NFL!$H60="Pittsburgh",+NFL!#REF!,0))</f>
        <v>0</v>
      </c>
      <c r="AY499" s="57">
        <f>IF(+NFL!$F60="Pittsburgh",+NFL!#REF!,IF(+NFL!$H60="Pittsburgh",+NFL!#REF!,0))</f>
        <v>0</v>
      </c>
      <c r="AZ499" s="64">
        <f>IF(+NFL!$F60="Pittsburgh",+NFL!#REF!,IF(+NFL!$H60="Pittsburgh",+NFL!#REF!,0))</f>
        <v>0</v>
      </c>
      <c r="BA499" s="46">
        <f>IF(+NFL!$F60="Pittsburgh",+NFL!#REF!,IF(+NFL!$H60="Pittsburgh",+NFL!#REF!,0))</f>
        <v>0</v>
      </c>
      <c r="BB499" s="46">
        <f>IF(+NFL!$F60="Pittsburgh",+NFL!#REF!,IF(+NFL!$H60="Pittsburgh",+NFL!#REF!,0))</f>
        <v>0</v>
      </c>
      <c r="BC499" s="403">
        <f>IF(+NFL!$F60="Pittsburgh",+NFL!#REF!,IF(+NFL!$H60="Pittsburgh",+NFL!#REF!,0))</f>
        <v>0</v>
      </c>
      <c r="BD499" s="57">
        <f>IF(+NFL!$F60="Pittsburgh",+NFL!#REF!,IF(+NFL!$H60="Pittsburgh",+NFL!#REF!,0))</f>
        <v>0</v>
      </c>
      <c r="BE499" s="64">
        <f>IF(+NFL!$F60="Pittsburgh",+NFL!#REF!,IF(+NFL!$H60="Pittsburgh",+NFL!#REF!,0))</f>
        <v>0</v>
      </c>
      <c r="BF499" s="46">
        <f>IF(+NFL!$F60="Pittsburgh",+NFL!#REF!,IF(+NFL!$H60="Pittsburgh",+NFL!#REF!,0))</f>
        <v>0</v>
      </c>
      <c r="BG499" s="57">
        <f>IF(+NFL!$F60="Pittsburgh",+NFL!#REF!,IF(+NFL!$H60="Pittsburgh",+NFL!#REF!,0))</f>
        <v>0</v>
      </c>
      <c r="BH499" s="64">
        <f>IF(+NFL!$F60="Pittsburgh",+NFL!#REF!,IF(+NFL!$H60="Pittsburgh",+NFL!#REF!,0))</f>
        <v>0</v>
      </c>
      <c r="BI499" s="46">
        <f>IF(+NFL!$F60="Pittsburgh",+NFL!#REF!,IF(+NFL!$H60="Pittsburgh",+NFL!#REF!,0))</f>
        <v>0</v>
      </c>
      <c r="BJ499" s="87">
        <f>IF(+NFL!$F60="Pittsburgh",+NFL!#REF!,IF(+NFL!$H60="Pittsburgh",+NFL!#REF!,0))</f>
        <v>0</v>
      </c>
      <c r="BK499" s="120">
        <f>IF(+NFL!$F60="Pittsburgh",+NFL!#REF!,IF(+NFL!$H60="Pittsburgh",+NFL!#REF!,0))</f>
        <v>0</v>
      </c>
    </row>
    <row r="500" spans="1:63" s="246" customFormat="1" x14ac:dyDescent="0.8">
      <c r="A500" s="46">
        <f>IF(+NFL!$F121="Pittsburgh",+NFL!A121,IF(+NFL!$H121="Pittsburgh",+NFL!A121,0))</f>
        <v>7</v>
      </c>
      <c r="B500" s="348" t="str">
        <f>IF(+NFL!$F121="Pittsburgh",+NFL!B121,IF(+NFL!$H121="Pittsburgh",+NFL!B121,0))</f>
        <v>Sun</v>
      </c>
      <c r="C500" s="48">
        <f>IF(+NFL!$F121="Pittsburgh",+NFL!C121,IF(+NFL!$H121="Pittsburgh",+NFL!C121,0))</f>
        <v>44857</v>
      </c>
      <c r="D500" s="490">
        <f>IF(+NFL!$F121="Pittsburgh",+NFL!D121,IF(+NFL!$H121="Pittsburgh",+NFL!D121,0))</f>
        <v>0.84375</v>
      </c>
      <c r="E500" s="46" t="str">
        <f>IF(+NFL!$F121="Pittsburgh",+NFL!E121,IF(+NFL!$H121="Pittsburgh",+NFL!E121,0))</f>
        <v>NBC</v>
      </c>
      <c r="F500" s="127" t="str">
        <f>IF(+NFL!$F121="Pittsburgh",+NFL!F121,IF(+NFL!$H121="Pittsburgh",+NFL!F121,0))</f>
        <v>Pittsburgh</v>
      </c>
      <c r="G500" s="46" t="str">
        <f>IF(+NFL!$F121="Pittsburgh",+NFL!G121,IF(+NFL!$H121="Pittsburgh",+NFL!G121,0))</f>
        <v>AFCN</v>
      </c>
      <c r="H500" s="127" t="str">
        <f>IF(+NFL!$F121="Pittsburgh",+NFL!H121,IF(+NFL!$H121="Pittsburgh",+NFL!H121,0))</f>
        <v>Miami</v>
      </c>
      <c r="I500" s="46" t="str">
        <f>IF(+NFL!$F121="Pittsburgh",+NFL!I121,IF(+NFL!$H121="Pittsburgh",+NFL!I121,0))</f>
        <v>AFCE</v>
      </c>
      <c r="J500" s="353" t="str">
        <f>IF(+NFL!$F121="Pittsburgh",+NFL!J121,IF(+NFL!$H121="Pittsburgh",+NFL!J121,0))</f>
        <v>Miami</v>
      </c>
      <c r="K500" s="494" t="str">
        <f>IF(+NFL!$F121="Pittsburgh",+NFL!K121,IF(+NFL!$H121="Pittsburgh",+NFL!K121,0))</f>
        <v>Pittsburgh</v>
      </c>
      <c r="L500" s="384">
        <f>IF(+NFL!$F121="Pittsburgh",+NFL!L121,IF(+NFL!$H121="Pittsburgh",+NFL!L121,0))</f>
        <v>7</v>
      </c>
      <c r="M500" s="385">
        <f>IF(+NFL!$F121="Pittsburgh",+NFL!M121,IF(+NFL!$H121="Pittsburgh",+NFL!M121,0))</f>
        <v>5</v>
      </c>
      <c r="N500" s="394" t="str">
        <f>IF(+NFL!$F121="Pittsburgh",+NFL!N121,IF(+NFL!$H121="Pittsburgh",+NFL!N121,0))</f>
        <v>Miami</v>
      </c>
      <c r="O500" s="395">
        <f>IF(+NFL!$F121="Pittsburgh",+NFL!O121,IF(+NFL!$H121="Pittsburgh",+NFL!O121,0))</f>
        <v>16</v>
      </c>
      <c r="P500" s="394" t="str">
        <f>IF(+NFL!$F121="Pittsburgh",+NFL!P121,IF(+NFL!$H121="Pittsburgh",+NFL!P121,0))</f>
        <v>Pittsburgh</v>
      </c>
      <c r="Q500" s="396">
        <f>IF(+NFL!$F121="Pittsburgh",+NFL!Q121,IF(+NFL!$H121="Pittsburgh",+NFL!Q121,0))</f>
        <v>10</v>
      </c>
      <c r="R500" s="397" t="str">
        <f>IF(+NFL!$F121="Pittsburgh",+NFL!R121,IF(+NFL!$H121="Pittsburgh",+NFL!R121,0))</f>
        <v>Pittsburgh</v>
      </c>
      <c r="S500" s="396" t="str">
        <f>IF(+NFL!$F121="Pittsburgh",+NFL!S121,IF(+NFL!$H121="Pittsburgh",+NFL!S121,0))</f>
        <v>Miami</v>
      </c>
      <c r="T500" s="398" t="str">
        <f>IF(+NFL!$F121="Pittsburgh",+NFL!T121,IF(+NFL!$H121="Pittsburgh",+NFL!T121,0))</f>
        <v>Pittsburgh</v>
      </c>
      <c r="U500" s="396" t="str">
        <f>IF(+NFL!$F121="Pittsburgh",+NFL!U121,IF(+NFL!$H121="Pittsburgh",+NFL!U121,0))</f>
        <v>W</v>
      </c>
      <c r="V500" s="397" t="e">
        <f>IF(+NFL!#REF!="Pittsburgh",+NFL!#REF!,IF(+NFL!#REF!="Pittsburgh",+NFL!#REF!,0))</f>
        <v>#REF!</v>
      </c>
      <c r="W500" s="396" t="e">
        <f>IF(+NFL!#REF!="Pittsburgh",+NFL!#REF!,IF(+NFL!#REF!="Pittsburgh",+NFL!#REF!,0))</f>
        <v>#REF!</v>
      </c>
      <c r="X500" s="398" t="e">
        <f>IF(+NFL!#REF!="Pittsburgh",+NFL!#REF!,IF(+NFL!#REF!="Pittsburgh",+NFL!#REF!,0))</f>
        <v>#REF!</v>
      </c>
      <c r="Y500" s="396" t="e">
        <f>IF(+NFL!#REF!="Pittsburgh",+NFL!#REF!,IF(+NFL!#REF!="Pittsburgh",+NFL!#REF!,0))</f>
        <v>#REF!</v>
      </c>
      <c r="Z500" s="397" t="e">
        <f>IF(+NFL!#REF!="Pittsburgh",+NFL!#REF!,IF(+NFL!#REF!="Pittsburgh",+NFL!#REF!,0))</f>
        <v>#REF!</v>
      </c>
      <c r="AA500" s="396" t="e">
        <f>IF(+NFL!#REF!="Pittsburgh",+NFL!#REF!,IF(+NFL!#REF!="Pittsburgh",+NFL!#REF!,0))</f>
        <v>#REF!</v>
      </c>
      <c r="AB500" s="87" t="e">
        <f>IF(+NFL!#REF!="Pittsburgh",+NFL!#REF!,IF(+NFL!#REF!="Pittsburgh",+NFL!#REF!,0))</f>
        <v>#REF!</v>
      </c>
      <c r="AC500" s="120" t="e">
        <f>IF(+NFL!#REF!="Pittsburgh",+NFL!#REF!,IF(+NFL!#REF!="Pittsburgh",+NFL!#REF!,0))</f>
        <v>#REF!</v>
      </c>
      <c r="AD500" s="353" t="e">
        <f>IF(+NFL!#REF!="Pittsburgh",+NFL!#REF!,IF(+NFL!#REF!="Pittsburgh",+NFL!#REF!,0))</f>
        <v>#REF!</v>
      </c>
      <c r="AE500" s="379" t="e">
        <f>IF(+NFL!#REF!="Pittsburgh",+NFL!#REF!,IF(+NFL!#REF!="Pittsburgh",+NFL!#REF!,0))</f>
        <v>#REF!</v>
      </c>
      <c r="AF500" s="353" t="e">
        <f>IF(+NFL!#REF!="Pittsburgh",+NFL!#REF!,IF(+NFL!#REF!="Pittsburgh",+NFL!#REF!,0))</f>
        <v>#REF!</v>
      </c>
      <c r="AG500" s="379" t="e">
        <f>IF(+NFL!#REF!="Pittsburgh",+NFL!#REF!,IF(+NFL!#REF!="Pittsburgh",+NFL!#REF!,0))</f>
        <v>#REF!</v>
      </c>
      <c r="AH500" s="353" t="e">
        <f>IF(+NFL!#REF!="Pittsburgh",+NFL!#REF!,IF(+NFL!#REF!="Pittsburgh",+NFL!#REF!,0))</f>
        <v>#REF!</v>
      </c>
      <c r="AI500" s="379" t="e">
        <f>IF(+NFL!#REF!="Pittsburgh",+NFL!#REF!,IF(+NFL!#REF!="Pittsburgh",+NFL!#REF!,0))</f>
        <v>#REF!</v>
      </c>
      <c r="AJ500" s="353" t="e">
        <f>IF(+NFL!#REF!="Pittsburgh",+NFL!#REF!,IF(+NFL!#REF!="Pittsburgh",+NFL!#REF!,0))</f>
        <v>#REF!</v>
      </c>
      <c r="AK500" s="379" t="e">
        <f>IF(+NFL!#REF!="Pittsburgh",+NFL!#REF!,IF(+NFL!#REF!="Pittsburgh",+NFL!#REF!,0))</f>
        <v>#REF!</v>
      </c>
      <c r="AL500" s="68" t="e">
        <f>IF(+NFL!#REF!="Pittsburgh",+NFL!#REF!,IF(+NFL!#REF!="Pittsburgh",+NFL!#REF!,0))</f>
        <v>#REF!</v>
      </c>
      <c r="AM500" s="58" t="e">
        <f>IF(+NFL!#REF!="Pittsburgh",+NFL!#REF!,IF(+NFL!#REF!="Pittsburgh",+NFL!#REF!,0))</f>
        <v>#REF!</v>
      </c>
      <c r="AN500" s="57" t="e">
        <f>IF(+NFL!#REF!="Pittsburgh",+NFL!#REF!,IF(+NFL!#REF!="Pittsburgh",+NFL!#REF!,0))</f>
        <v>#REF!</v>
      </c>
      <c r="AO500" s="59" t="e">
        <f>IF(+NFL!#REF!="Pittsburgh",+NFL!#REF!,IF(+NFL!#REF!="Pittsburgh",+NFL!#REF!,0))</f>
        <v>#REF!</v>
      </c>
      <c r="AP500" s="348" t="e">
        <f>IF(+NFL!#REF!="Pittsburgh",+NFL!#REF!,IF(+NFL!#REF!="Pittsburgh",+NFL!#REF!,0))</f>
        <v>#REF!</v>
      </c>
      <c r="AQ500" s="48" t="e">
        <f>IF(+NFL!#REF!="Pittsburgh",+NFL!#REF!,IF(+NFL!#REF!="Pittsburgh",+NFL!#REF!,0))</f>
        <v>#REF!</v>
      </c>
      <c r="AR500" s="57" t="e">
        <f>IF(+NFL!#REF!="Pittsburgh",+NFL!#REF!,IF(+NFL!#REF!="Pittsburgh",+NFL!#REF!,0))</f>
        <v>#REF!</v>
      </c>
      <c r="AS500" s="64" t="e">
        <f>IF(+NFL!#REF!="Pittsburgh",+NFL!#REF!,IF(+NFL!#REF!="Pittsburgh",+NFL!#REF!,0))</f>
        <v>#REF!</v>
      </c>
      <c r="AT500" s="64" t="e">
        <f>IF(+NFL!#REF!="Pittsburgh",+NFL!#REF!,IF(+NFL!#REF!="Pittsburgh",+NFL!#REF!,0))</f>
        <v>#REF!</v>
      </c>
      <c r="AU500" s="57" t="e">
        <f>IF(+NFL!#REF!="Pittsburgh",+NFL!#REF!,IF(+NFL!#REF!="Pittsburgh",+NFL!#REF!,0))</f>
        <v>#REF!</v>
      </c>
      <c r="AV500" s="64" t="e">
        <f>IF(+NFL!#REF!="Pittsburgh",+NFL!#REF!,IF(+NFL!#REF!="Pittsburgh",+NFL!#REF!,0))</f>
        <v>#REF!</v>
      </c>
      <c r="AW500" s="46" t="e">
        <f>IF(+NFL!#REF!="Pittsburgh",+NFL!#REF!,IF(+NFL!#REF!="Pittsburgh",+NFL!#REF!,0))</f>
        <v>#REF!</v>
      </c>
      <c r="AX500" s="64" t="e">
        <f>IF(+NFL!#REF!="Pittsburgh",+NFL!#REF!,IF(+NFL!#REF!="Pittsburgh",+NFL!#REF!,0))</f>
        <v>#REF!</v>
      </c>
      <c r="AY500" s="57" t="e">
        <f>IF(+NFL!#REF!="Pittsburgh",+NFL!#REF!,IF(+NFL!#REF!="Pittsburgh",+NFL!#REF!,0))</f>
        <v>#REF!</v>
      </c>
      <c r="AZ500" s="64" t="e">
        <f>IF(+NFL!#REF!="Pittsburgh",+NFL!#REF!,IF(+NFL!#REF!="Pittsburgh",+NFL!#REF!,0))</f>
        <v>#REF!</v>
      </c>
      <c r="BA500" s="46" t="e">
        <f>IF(+NFL!#REF!="Pittsburgh",+NFL!#REF!,IF(+NFL!#REF!="Pittsburgh",+NFL!#REF!,0))</f>
        <v>#REF!</v>
      </c>
      <c r="BB500" s="46" t="e">
        <f>IF(+NFL!#REF!="Pittsburgh",+NFL!#REF!,IF(+NFL!#REF!="Pittsburgh",+NFL!#REF!,0))</f>
        <v>#REF!</v>
      </c>
      <c r="BC500" s="403" t="e">
        <f>IF(+NFL!#REF!="Pittsburgh",+NFL!#REF!,IF(+NFL!#REF!="Pittsburgh",+NFL!#REF!,0))</f>
        <v>#REF!</v>
      </c>
      <c r="BD500" s="57" t="e">
        <f>IF(+NFL!#REF!="Pittsburgh",+NFL!#REF!,IF(+NFL!#REF!="Pittsburgh",+NFL!#REF!,0))</f>
        <v>#REF!</v>
      </c>
      <c r="BE500" s="64" t="e">
        <f>IF(+NFL!#REF!="Pittsburgh",+NFL!#REF!,IF(+NFL!#REF!="Pittsburgh",+NFL!#REF!,0))</f>
        <v>#REF!</v>
      </c>
      <c r="BF500" s="46" t="e">
        <f>IF(+NFL!#REF!="Pittsburgh",+NFL!#REF!,IF(+NFL!#REF!="Pittsburgh",+NFL!#REF!,0))</f>
        <v>#REF!</v>
      </c>
      <c r="BG500" s="57" t="e">
        <f>IF(+NFL!#REF!="Pittsburgh",+NFL!#REF!,IF(+NFL!#REF!="Pittsburgh",+NFL!#REF!,0))</f>
        <v>#REF!</v>
      </c>
      <c r="BH500" s="64" t="e">
        <f>IF(+NFL!#REF!="Pittsburgh",+NFL!#REF!,IF(+NFL!#REF!="Pittsburgh",+NFL!#REF!,0))</f>
        <v>#REF!</v>
      </c>
      <c r="BI500" s="46" t="e">
        <f>IF(+NFL!#REF!="Pittsburgh",+NFL!#REF!,IF(+NFL!#REF!="Pittsburgh",+NFL!#REF!,0))</f>
        <v>#REF!</v>
      </c>
      <c r="BJ500" s="87" t="e">
        <f>IF(+NFL!#REF!="Pittsburgh",+NFL!#REF!,IF(+NFL!#REF!="Pittsburgh",+NFL!#REF!,0))</f>
        <v>#REF!</v>
      </c>
      <c r="BK500" s="120" t="e">
        <f>IF(+NFL!#REF!="Pittsburgh",+NFL!#REF!,IF(+NFL!#REF!="Pittsburgh",+NFL!#REF!,0))</f>
        <v>#REF!</v>
      </c>
    </row>
    <row r="501" spans="1:63" s="246" customFormat="1" x14ac:dyDescent="0.8">
      <c r="A501" s="46">
        <f>IF(+NFL!$F137="Pittsburgh",+NFL!A137,IF(+NFL!$H137="Pittsburgh",+NFL!A137,0))</f>
        <v>8</v>
      </c>
      <c r="B501" s="348" t="str">
        <f>IF(+NFL!$F137="Pittsburgh",+NFL!B137,IF(+NFL!$H137="Pittsburgh",+NFL!B137,0))</f>
        <v>Sun</v>
      </c>
      <c r="C501" s="48">
        <f>IF(+NFL!$F137="Pittsburgh",+NFL!C137,IF(+NFL!$H137="Pittsburgh",+NFL!C137,0))</f>
        <v>44864</v>
      </c>
      <c r="D501" s="490">
        <f>IF(+NFL!$F137="Pittsburgh",+NFL!D137,IF(+NFL!$H137="Pittsburgh",+NFL!D137,0))</f>
        <v>0.54166666666666663</v>
      </c>
      <c r="E501" s="46" t="str">
        <f>IF(+NFL!$F137="Pittsburgh",+NFL!E137,IF(+NFL!$H137="Pittsburgh",+NFL!E137,0))</f>
        <v>CBS</v>
      </c>
      <c r="F501" s="127" t="str">
        <f>IF(+NFL!$F137="Pittsburgh",+NFL!F137,IF(+NFL!$H137="Pittsburgh",+NFL!F137,0))</f>
        <v>Pittsburgh</v>
      </c>
      <c r="G501" s="46" t="str">
        <f>IF(+NFL!$F137="Pittsburgh",+NFL!G137,IF(+NFL!$H137="Pittsburgh",+NFL!G137,0))</f>
        <v>AFCN</v>
      </c>
      <c r="H501" s="127" t="str">
        <f>IF(+NFL!$F137="Pittsburgh",+NFL!H137,IF(+NFL!$H137="Pittsburgh",+NFL!H137,0))</f>
        <v>Philadelphia</v>
      </c>
      <c r="I501" s="46" t="str">
        <f>IF(+NFL!$F137="Pittsburgh",+NFL!I137,IF(+NFL!$H137="Pittsburgh",+NFL!I137,0))</f>
        <v>NFCE</v>
      </c>
      <c r="J501" s="353" t="str">
        <f>IF(+NFL!$F137="Pittsburgh",+NFL!J137,IF(+NFL!$H137="Pittsburgh",+NFL!J137,0))</f>
        <v>Philadelphia</v>
      </c>
      <c r="K501" s="494" t="str">
        <f>IF(+NFL!$F137="Pittsburgh",+NFL!K137,IF(+NFL!$H137="Pittsburgh",+NFL!K137,0))</f>
        <v>Pittsburgh</v>
      </c>
      <c r="L501" s="384">
        <f>IF(+NFL!$F137="Pittsburgh",+NFL!L137,IF(+NFL!$H137="Pittsburgh",+NFL!L137,0))</f>
        <v>10.5</v>
      </c>
      <c r="M501" s="385">
        <f>IF(+NFL!$F137="Pittsburgh",+NFL!M137,IF(+NFL!$H137="Pittsburgh",+NFL!M137,0))</f>
        <v>43.5</v>
      </c>
      <c r="N501" s="394" t="str">
        <f>IF(+NFL!$F137="Pittsburgh",+NFL!N137,IF(+NFL!$H137="Pittsburgh",+NFL!N137,0))</f>
        <v>Philadelphia</v>
      </c>
      <c r="O501" s="395">
        <f>IF(+NFL!$F137="Pittsburgh",+NFL!O137,IF(+NFL!$H137="Pittsburgh",+NFL!O137,0))</f>
        <v>35</v>
      </c>
      <c r="P501" s="394" t="str">
        <f>IF(+NFL!$F137="Pittsburgh",+NFL!P137,IF(+NFL!$H137="Pittsburgh",+NFL!P137,0))</f>
        <v>Pittsburgh</v>
      </c>
      <c r="Q501" s="396">
        <f>IF(+NFL!$F137="Pittsburgh",+NFL!Q137,IF(+NFL!$H137="Pittsburgh",+NFL!Q137,0))</f>
        <v>13</v>
      </c>
      <c r="R501" s="397" t="str">
        <f>IF(+NFL!$F137="Pittsburgh",+NFL!R137,IF(+NFL!$H137="Pittsburgh",+NFL!R137,0))</f>
        <v>Philadelphia</v>
      </c>
      <c r="S501" s="396" t="str">
        <f>IF(+NFL!$F137="Pittsburgh",+NFL!S137,IF(+NFL!$H137="Pittsburgh",+NFL!S137,0))</f>
        <v>Pittsburgh</v>
      </c>
      <c r="T501" s="398" t="str">
        <f>IF(+NFL!$F137="Pittsburgh",+NFL!T137,IF(+NFL!$H137="Pittsburgh",+NFL!T137,0))</f>
        <v>Philadelphia</v>
      </c>
      <c r="U501" s="396" t="str">
        <f>IF(+NFL!$F137="Pittsburgh",+NFL!U137,IF(+NFL!$H137="Pittsburgh",+NFL!U137,0))</f>
        <v>W</v>
      </c>
      <c r="V501" s="397" t="e">
        <f>IF(+NFL!#REF!="Pittsburgh",+NFL!#REF!,IF(+NFL!#REF!="Pittsburgh",+NFL!#REF!,0))</f>
        <v>#REF!</v>
      </c>
      <c r="W501" s="396" t="e">
        <f>IF(+NFL!#REF!="Pittsburgh",+NFL!#REF!,IF(+NFL!#REF!="Pittsburgh",+NFL!#REF!,0))</f>
        <v>#REF!</v>
      </c>
      <c r="X501" s="398" t="e">
        <f>IF(+NFL!#REF!="Pittsburgh",+NFL!#REF!,IF(+NFL!#REF!="Pittsburgh",+NFL!#REF!,0))</f>
        <v>#REF!</v>
      </c>
      <c r="Y501" s="396" t="e">
        <f>IF(+NFL!#REF!="Pittsburgh",+NFL!#REF!,IF(+NFL!#REF!="Pittsburgh",+NFL!#REF!,0))</f>
        <v>#REF!</v>
      </c>
      <c r="Z501" s="397" t="e">
        <f>IF(+NFL!#REF!="Pittsburgh",+NFL!#REF!,IF(+NFL!#REF!="Pittsburgh",+NFL!#REF!,0))</f>
        <v>#REF!</v>
      </c>
      <c r="AA501" s="396" t="e">
        <f>IF(+NFL!#REF!="Pittsburgh",+NFL!#REF!,IF(+NFL!#REF!="Pittsburgh",+NFL!#REF!,0))</f>
        <v>#REF!</v>
      </c>
      <c r="AB501" s="87" t="e">
        <f>IF(+NFL!#REF!="Pittsburgh",+NFL!#REF!,IF(+NFL!#REF!="Pittsburgh",+NFL!#REF!,0))</f>
        <v>#REF!</v>
      </c>
      <c r="AC501" s="120" t="e">
        <f>IF(+NFL!#REF!="Pittsburgh",+NFL!#REF!,IF(+NFL!#REF!="Pittsburgh",+NFL!#REF!,0))</f>
        <v>#REF!</v>
      </c>
      <c r="AD501" s="353" t="e">
        <f>IF(+NFL!#REF!="Pittsburgh",+NFL!#REF!,IF(+NFL!#REF!="Pittsburgh",+NFL!#REF!,0))</f>
        <v>#REF!</v>
      </c>
      <c r="AE501" s="379" t="e">
        <f>IF(+NFL!#REF!="Pittsburgh",+NFL!#REF!,IF(+NFL!#REF!="Pittsburgh",+NFL!#REF!,0))</f>
        <v>#REF!</v>
      </c>
      <c r="AF501" s="353" t="e">
        <f>IF(+NFL!#REF!="Pittsburgh",+NFL!#REF!,IF(+NFL!#REF!="Pittsburgh",+NFL!#REF!,0))</f>
        <v>#REF!</v>
      </c>
      <c r="AG501" s="379" t="e">
        <f>IF(+NFL!#REF!="Pittsburgh",+NFL!#REF!,IF(+NFL!#REF!="Pittsburgh",+NFL!#REF!,0))</f>
        <v>#REF!</v>
      </c>
      <c r="AH501" s="353" t="e">
        <f>IF(+NFL!#REF!="Pittsburgh",+NFL!#REF!,IF(+NFL!#REF!="Pittsburgh",+NFL!#REF!,0))</f>
        <v>#REF!</v>
      </c>
      <c r="AI501" s="379" t="e">
        <f>IF(+NFL!#REF!="Pittsburgh",+NFL!#REF!,IF(+NFL!#REF!="Pittsburgh",+NFL!#REF!,0))</f>
        <v>#REF!</v>
      </c>
      <c r="AJ501" s="353" t="e">
        <f>IF(+NFL!#REF!="Pittsburgh",+NFL!#REF!,IF(+NFL!#REF!="Pittsburgh",+NFL!#REF!,0))</f>
        <v>#REF!</v>
      </c>
      <c r="AK501" s="379" t="e">
        <f>IF(+NFL!#REF!="Pittsburgh",+NFL!#REF!,IF(+NFL!#REF!="Pittsburgh",+NFL!#REF!,0))</f>
        <v>#REF!</v>
      </c>
      <c r="AL501" s="68" t="e">
        <f>IF(+NFL!#REF!="Pittsburgh",+NFL!#REF!,IF(+NFL!#REF!="Pittsburgh",+NFL!#REF!,0))</f>
        <v>#REF!</v>
      </c>
      <c r="AM501" s="58" t="e">
        <f>IF(+NFL!#REF!="Pittsburgh",+NFL!#REF!,IF(+NFL!#REF!="Pittsburgh",+NFL!#REF!,0))</f>
        <v>#REF!</v>
      </c>
      <c r="AN501" s="57" t="e">
        <f>IF(+NFL!#REF!="Pittsburgh",+NFL!#REF!,IF(+NFL!#REF!="Pittsburgh",+NFL!#REF!,0))</f>
        <v>#REF!</v>
      </c>
      <c r="AO501" s="59" t="e">
        <f>IF(+NFL!#REF!="Pittsburgh",+NFL!#REF!,IF(+NFL!#REF!="Pittsburgh",+NFL!#REF!,0))</f>
        <v>#REF!</v>
      </c>
      <c r="AP501" s="348" t="e">
        <f>IF(+NFL!#REF!="Pittsburgh",+NFL!#REF!,IF(+NFL!#REF!="Pittsburgh",+NFL!#REF!,0))</f>
        <v>#REF!</v>
      </c>
      <c r="AQ501" s="48" t="e">
        <f>IF(+NFL!#REF!="Pittsburgh",+NFL!#REF!,IF(+NFL!#REF!="Pittsburgh",+NFL!#REF!,0))</f>
        <v>#REF!</v>
      </c>
      <c r="AR501" s="57" t="e">
        <f>IF(+NFL!#REF!="Pittsburgh",+NFL!#REF!,IF(+NFL!#REF!="Pittsburgh",+NFL!#REF!,0))</f>
        <v>#REF!</v>
      </c>
      <c r="AS501" s="64" t="e">
        <f>IF(+NFL!#REF!="Pittsburgh",+NFL!#REF!,IF(+NFL!#REF!="Pittsburgh",+NFL!#REF!,0))</f>
        <v>#REF!</v>
      </c>
      <c r="AT501" s="64" t="e">
        <f>IF(+NFL!#REF!="Pittsburgh",+NFL!#REF!,IF(+NFL!#REF!="Pittsburgh",+NFL!#REF!,0))</f>
        <v>#REF!</v>
      </c>
      <c r="AU501" s="57" t="e">
        <f>IF(+NFL!#REF!="Pittsburgh",+NFL!#REF!,IF(+NFL!#REF!="Pittsburgh",+NFL!#REF!,0))</f>
        <v>#REF!</v>
      </c>
      <c r="AV501" s="64" t="e">
        <f>IF(+NFL!#REF!="Pittsburgh",+NFL!#REF!,IF(+NFL!#REF!="Pittsburgh",+NFL!#REF!,0))</f>
        <v>#REF!</v>
      </c>
      <c r="AW501" s="46" t="e">
        <f>IF(+NFL!#REF!="Pittsburgh",+NFL!#REF!,IF(+NFL!#REF!="Pittsburgh",+NFL!#REF!,0))</f>
        <v>#REF!</v>
      </c>
      <c r="AX501" s="64" t="e">
        <f>IF(+NFL!#REF!="Pittsburgh",+NFL!#REF!,IF(+NFL!#REF!="Pittsburgh",+NFL!#REF!,0))</f>
        <v>#REF!</v>
      </c>
      <c r="AY501" s="57" t="e">
        <f>IF(+NFL!#REF!="Pittsburgh",+NFL!#REF!,IF(+NFL!#REF!="Pittsburgh",+NFL!#REF!,0))</f>
        <v>#REF!</v>
      </c>
      <c r="AZ501" s="64" t="e">
        <f>IF(+NFL!#REF!="Pittsburgh",+NFL!#REF!,IF(+NFL!#REF!="Pittsburgh",+NFL!#REF!,0))</f>
        <v>#REF!</v>
      </c>
      <c r="BA501" s="46" t="e">
        <f>IF(+NFL!#REF!="Pittsburgh",+NFL!#REF!,IF(+NFL!#REF!="Pittsburgh",+NFL!#REF!,0))</f>
        <v>#REF!</v>
      </c>
      <c r="BB501" s="46" t="e">
        <f>IF(+NFL!#REF!="Pittsburgh",+NFL!#REF!,IF(+NFL!#REF!="Pittsburgh",+NFL!#REF!,0))</f>
        <v>#REF!</v>
      </c>
      <c r="BC501" s="403" t="e">
        <f>IF(+NFL!#REF!="Pittsburgh",+NFL!#REF!,IF(+NFL!#REF!="Pittsburgh",+NFL!#REF!,0))</f>
        <v>#REF!</v>
      </c>
      <c r="BD501" s="57" t="e">
        <f>IF(+NFL!#REF!="Pittsburgh",+NFL!#REF!,IF(+NFL!#REF!="Pittsburgh",+NFL!#REF!,0))</f>
        <v>#REF!</v>
      </c>
      <c r="BE501" s="64" t="e">
        <f>IF(+NFL!#REF!="Pittsburgh",+NFL!#REF!,IF(+NFL!#REF!="Pittsburgh",+NFL!#REF!,0))</f>
        <v>#REF!</v>
      </c>
      <c r="BF501" s="46" t="e">
        <f>IF(+NFL!#REF!="Pittsburgh",+NFL!#REF!,IF(+NFL!#REF!="Pittsburgh",+NFL!#REF!,0))</f>
        <v>#REF!</v>
      </c>
      <c r="BG501" s="57" t="e">
        <f>IF(+NFL!#REF!="Pittsburgh",+NFL!#REF!,IF(+NFL!#REF!="Pittsburgh",+NFL!#REF!,0))</f>
        <v>#REF!</v>
      </c>
      <c r="BH501" s="64" t="e">
        <f>IF(+NFL!#REF!="Pittsburgh",+NFL!#REF!,IF(+NFL!#REF!="Pittsburgh",+NFL!#REF!,0))</f>
        <v>#REF!</v>
      </c>
      <c r="BI501" s="46" t="e">
        <f>IF(+NFL!#REF!="Pittsburgh",+NFL!#REF!,IF(+NFL!#REF!="Pittsburgh",+NFL!#REF!,0))</f>
        <v>#REF!</v>
      </c>
      <c r="BJ501" s="87" t="e">
        <f>IF(+NFL!#REF!="Pittsburgh",+NFL!#REF!,IF(+NFL!#REF!="Pittsburgh",+NFL!#REF!,0))</f>
        <v>#REF!</v>
      </c>
      <c r="BK501" s="120" t="e">
        <f>IF(+NFL!#REF!="Pittsburgh",+NFL!#REF!,IF(+NFL!#REF!="Pittsburgh",+NFL!#REF!,0))</f>
        <v>#REF!</v>
      </c>
    </row>
    <row r="502" spans="1:63" s="246" customFormat="1" x14ac:dyDescent="0.8">
      <c r="A502" s="46">
        <f>IF(+NFL!$F166="Pittsburgh",+NFL!A166,IF(+NFL!$H166="Pittsburgh",+NFL!A166,0))</f>
        <v>9</v>
      </c>
      <c r="B502" s="348">
        <f>IF(+NFL!$F166="Pittsburgh",+NFL!B166,IF(+NFL!$H166="Pittsburgh",+NFL!B166,0))</f>
        <v>0</v>
      </c>
      <c r="C502" s="48">
        <f>IF(+NFL!$F166="Pittsburgh",+NFL!C166,IF(+NFL!$H166="Pittsburgh",+NFL!C166,0))</f>
        <v>0</v>
      </c>
      <c r="D502" s="490">
        <f>IF(+NFL!$F166="Pittsburgh",+NFL!D166,IF(+NFL!$H166="Pittsburgh",+NFL!D166,0))</f>
        <v>0</v>
      </c>
      <c r="E502" s="46">
        <f>IF(+NFL!$F166="Pittsburgh",+NFL!E166,IF(+NFL!$H166="Pittsburgh",+NFL!E166,0))</f>
        <v>0</v>
      </c>
      <c r="F502" s="127" t="str">
        <f>IF(+NFL!$F166="Pittsburgh",+NFL!F166,IF(+NFL!$H166="Pittsburgh",+NFL!F166,0))</f>
        <v>Pittsburgh</v>
      </c>
      <c r="G502" s="46" t="str">
        <f>IF(+NFL!$F166="Pittsburgh",+NFL!G166,IF(+NFL!$H166="Pittsburgh",+NFL!G166,0))</f>
        <v>AFCN</v>
      </c>
      <c r="H502" s="127">
        <f>IF(+NFL!$F166="Pittsburgh",+NFL!H166,IF(+NFL!$H166="Pittsburgh",+NFL!H166,0))</f>
        <v>0</v>
      </c>
      <c r="I502" s="46">
        <f>IF(+NFL!$F166="Pittsburgh",+NFL!I166,IF(+NFL!$H166="Pittsburgh",+NFL!I166,0))</f>
        <v>0</v>
      </c>
      <c r="J502" s="353">
        <f>IF(+NFL!$F166="Pittsburgh",+NFL!J166,IF(+NFL!$H166="Pittsburgh",+NFL!J166,0))</f>
        <v>0</v>
      </c>
      <c r="K502" s="494">
        <f>IF(+NFL!$F166="Pittsburgh",+NFL!K166,IF(+NFL!$H166="Pittsburgh",+NFL!K166,0))</f>
        <v>0</v>
      </c>
      <c r="L502" s="384">
        <f>IF(+NFL!$F166="Pittsburgh",+NFL!L166,IF(+NFL!$H166="Pittsburgh",+NFL!L166,0))</f>
        <v>0</v>
      </c>
      <c r="M502" s="385">
        <f>IF(+NFL!$F166="Pittsburgh",+NFL!M166,IF(+NFL!$H166="Pittsburgh",+NFL!M166,0))</f>
        <v>0</v>
      </c>
      <c r="N502" s="394">
        <f>IF(+NFL!$F166="Pittsburgh",+NFL!N166,IF(+NFL!$H166="Pittsburgh",+NFL!N166,0))</f>
        <v>0</v>
      </c>
      <c r="O502" s="395">
        <f>IF(+NFL!$F166="Pittsburgh",+NFL!O166,IF(+NFL!$H166="Pittsburgh",+NFL!O166,0))</f>
        <v>0</v>
      </c>
      <c r="P502" s="394">
        <f>IF(+NFL!$F166="Pittsburgh",+NFL!P166,IF(+NFL!$H166="Pittsburgh",+NFL!P166,0))</f>
        <v>0</v>
      </c>
      <c r="Q502" s="396">
        <f>IF(+NFL!$F166="Pittsburgh",+NFL!Q166,IF(+NFL!$H166="Pittsburgh",+NFL!Q166,0))</f>
        <v>0</v>
      </c>
      <c r="R502" s="397">
        <f>IF(+NFL!$F166="Pittsburgh",+NFL!R166,IF(+NFL!$H166="Pittsburgh",+NFL!R166,0))</f>
        <v>0</v>
      </c>
      <c r="S502" s="396">
        <f>IF(+NFL!$F166="Pittsburgh",+NFL!S166,IF(+NFL!$H166="Pittsburgh",+NFL!S166,0))</f>
        <v>0</v>
      </c>
      <c r="T502" s="398">
        <f>IF(+NFL!$F166="Pittsburgh",+NFL!T166,IF(+NFL!$H166="Pittsburgh",+NFL!T166,0))</f>
        <v>0</v>
      </c>
      <c r="U502" s="396">
        <f>IF(+NFL!$F166="Pittsburgh",+NFL!U166,IF(+NFL!$H166="Pittsburgh",+NFL!U166,0))</f>
        <v>0</v>
      </c>
      <c r="V502" s="397">
        <f>IF(+NFL!$F119="Pittsburgh",+NFL!#REF!,IF(+NFL!$H119="Pittsburgh",+NFL!#REF!,0))</f>
        <v>0</v>
      </c>
      <c r="W502" s="396">
        <f>IF(+NFL!$F119="Pittsburgh",+NFL!#REF!,IF(+NFL!$H119="Pittsburgh",+NFL!#REF!,0))</f>
        <v>0</v>
      </c>
      <c r="X502" s="398">
        <f>IF(+NFL!$F119="Pittsburgh",+NFL!#REF!,IF(+NFL!$H119="Pittsburgh",+NFL!#REF!,0))</f>
        <v>0</v>
      </c>
      <c r="Y502" s="396">
        <f>IF(+NFL!$F119="Pittsburgh",+NFL!#REF!,IF(+NFL!$H119="Pittsburgh",+NFL!#REF!,0))</f>
        <v>0</v>
      </c>
      <c r="Z502" s="397">
        <f>IF(+NFL!$F119="Pittsburgh",+NFL!#REF!,IF(+NFL!$H119="Pittsburgh",+NFL!#REF!,0))</f>
        <v>0</v>
      </c>
      <c r="AA502" s="396">
        <f>IF(+NFL!$F119="Pittsburgh",+NFL!#REF!,IF(+NFL!$H119="Pittsburgh",+NFL!#REF!,0))</f>
        <v>0</v>
      </c>
      <c r="AB502" s="87">
        <f>IF(+NFL!$F119="Pittsburgh",+NFL!#REF!,IF(+NFL!$H119="Pittsburgh",+NFL!#REF!,0))</f>
        <v>0</v>
      </c>
      <c r="AC502" s="120">
        <f>IF(+NFL!$F119="Pittsburgh",+NFL!#REF!,IF(+NFL!$H119="Pittsburgh",+NFL!#REF!,0))</f>
        <v>0</v>
      </c>
      <c r="AD502" s="353">
        <f>IF(+NFL!$F119="Pittsburgh",+NFL!#REF!,IF(+NFL!$H119="Pittsburgh",+NFL!#REF!,0))</f>
        <v>0</v>
      </c>
      <c r="AE502" s="379">
        <f>IF(+NFL!$F119="Pittsburgh",+NFL!#REF!,IF(+NFL!$H119="Pittsburgh",+NFL!#REF!,0))</f>
        <v>0</v>
      </c>
      <c r="AF502" s="353">
        <f>IF(+NFL!$F119="Pittsburgh",+NFL!#REF!,IF(+NFL!$H119="Pittsburgh",+NFL!#REF!,0))</f>
        <v>0</v>
      </c>
      <c r="AG502" s="379">
        <f>IF(+NFL!$F119="Pittsburgh",+NFL!#REF!,IF(+NFL!$H119="Pittsburgh",+NFL!#REF!,0))</f>
        <v>0</v>
      </c>
      <c r="AH502" s="353">
        <f>IF(+NFL!$F119="Pittsburgh",+NFL!#REF!,IF(+NFL!$H119="Pittsburgh",+NFL!#REF!,0))</f>
        <v>0</v>
      </c>
      <c r="AI502" s="379">
        <f>IF(+NFL!$F119="Pittsburgh",+NFL!#REF!,IF(+NFL!$H119="Pittsburgh",+NFL!#REF!,0))</f>
        <v>0</v>
      </c>
      <c r="AJ502" s="353">
        <f>IF(+NFL!$F119="Pittsburgh",+NFL!#REF!,IF(+NFL!$H119="Pittsburgh",+NFL!#REF!,0))</f>
        <v>0</v>
      </c>
      <c r="AK502" s="379">
        <f>IF(+NFL!$F119="Pittsburgh",+NFL!#REF!,IF(+NFL!$H119="Pittsburgh",+NFL!#REF!,0))</f>
        <v>0</v>
      </c>
      <c r="AL502" s="68">
        <f>IF(+NFL!$F119="Pittsburgh",+NFL!#REF!,IF(+NFL!$H119="Pittsburgh",+NFL!#REF!,0))</f>
        <v>0</v>
      </c>
      <c r="AM502" s="58">
        <f>IF(+NFL!$F119="Pittsburgh",+NFL!#REF!,IF(+NFL!$H119="Pittsburgh",+NFL!#REF!,0))</f>
        <v>0</v>
      </c>
      <c r="AN502" s="57">
        <f>IF(+NFL!$F119="Pittsburgh",+NFL!#REF!,IF(+NFL!$H119="Pittsburgh",+NFL!#REF!,0))</f>
        <v>0</v>
      </c>
      <c r="AO502" s="59">
        <f>IF(+NFL!$F119="Pittsburgh",+NFL!#REF!,IF(+NFL!$H119="Pittsburgh",+NFL!#REF!,0))</f>
        <v>0</v>
      </c>
      <c r="AP502" s="348">
        <f>IF(+NFL!$F119="Pittsburgh",+NFL!#REF!,IF(+NFL!$H119="Pittsburgh",+NFL!#REF!,0))</f>
        <v>0</v>
      </c>
      <c r="AQ502" s="48">
        <f>IF(+NFL!$F119="Pittsburgh",+NFL!#REF!,IF(+NFL!$H119="Pittsburgh",+NFL!#REF!,0))</f>
        <v>0</v>
      </c>
      <c r="AR502" s="57">
        <f>IF(+NFL!$F119="Pittsburgh",+NFL!#REF!,IF(+NFL!$H119="Pittsburgh",+NFL!#REF!,0))</f>
        <v>0</v>
      </c>
      <c r="AS502" s="64">
        <f>IF(+NFL!$F119="Pittsburgh",+NFL!#REF!,IF(+NFL!$H119="Pittsburgh",+NFL!#REF!,0))</f>
        <v>0</v>
      </c>
      <c r="AT502" s="64">
        <f>IF(+NFL!$F119="Pittsburgh",+NFL!#REF!,IF(+NFL!$H119="Pittsburgh",+NFL!#REF!,0))</f>
        <v>0</v>
      </c>
      <c r="AU502" s="57">
        <f>IF(+NFL!$F119="Pittsburgh",+NFL!#REF!,IF(+NFL!$H119="Pittsburgh",+NFL!#REF!,0))</f>
        <v>0</v>
      </c>
      <c r="AV502" s="64">
        <f>IF(+NFL!$F119="Pittsburgh",+NFL!#REF!,IF(+NFL!$H119="Pittsburgh",+NFL!#REF!,0))</f>
        <v>0</v>
      </c>
      <c r="AW502" s="46">
        <f>IF(+NFL!$F119="Pittsburgh",+NFL!#REF!,IF(+NFL!$H119="Pittsburgh",+NFL!#REF!,0))</f>
        <v>0</v>
      </c>
      <c r="AX502" s="64">
        <f>IF(+NFL!$F119="Pittsburgh",+NFL!#REF!,IF(+NFL!$H119="Pittsburgh",+NFL!#REF!,0))</f>
        <v>0</v>
      </c>
      <c r="AY502" s="57">
        <f>IF(+NFL!$F119="Pittsburgh",+NFL!#REF!,IF(+NFL!$H119="Pittsburgh",+NFL!#REF!,0))</f>
        <v>0</v>
      </c>
      <c r="AZ502" s="64">
        <f>IF(+NFL!$F119="Pittsburgh",+NFL!#REF!,IF(+NFL!$H119="Pittsburgh",+NFL!#REF!,0))</f>
        <v>0</v>
      </c>
      <c r="BA502" s="46">
        <f>IF(+NFL!$F119="Pittsburgh",+NFL!#REF!,IF(+NFL!$H119="Pittsburgh",+NFL!#REF!,0))</f>
        <v>0</v>
      </c>
      <c r="BB502" s="46">
        <f>IF(+NFL!$F119="Pittsburgh",+NFL!#REF!,IF(+NFL!$H119="Pittsburgh",+NFL!#REF!,0))</f>
        <v>0</v>
      </c>
      <c r="BC502" s="403">
        <f>IF(+NFL!$F119="Pittsburgh",+NFL!#REF!,IF(+NFL!$H119="Pittsburgh",+NFL!#REF!,0))</f>
        <v>0</v>
      </c>
      <c r="BD502" s="57">
        <f>IF(+NFL!$F119="Pittsburgh",+NFL!#REF!,IF(+NFL!$H119="Pittsburgh",+NFL!#REF!,0))</f>
        <v>0</v>
      </c>
      <c r="BE502" s="64">
        <f>IF(+NFL!$F119="Pittsburgh",+NFL!#REF!,IF(+NFL!$H119="Pittsburgh",+NFL!#REF!,0))</f>
        <v>0</v>
      </c>
      <c r="BF502" s="46">
        <f>IF(+NFL!$F119="Pittsburgh",+NFL!#REF!,IF(+NFL!$H119="Pittsburgh",+NFL!#REF!,0))</f>
        <v>0</v>
      </c>
      <c r="BG502" s="57">
        <f>IF(+NFL!$F119="Pittsburgh",+NFL!#REF!,IF(+NFL!$H119="Pittsburgh",+NFL!#REF!,0))</f>
        <v>0</v>
      </c>
      <c r="BH502" s="64">
        <f>IF(+NFL!$F119="Pittsburgh",+NFL!#REF!,IF(+NFL!$H119="Pittsburgh",+NFL!#REF!,0))</f>
        <v>0</v>
      </c>
      <c r="BI502" s="46">
        <f>IF(+NFL!$F119="Pittsburgh",+NFL!#REF!,IF(+NFL!$H119="Pittsburgh",+NFL!#REF!,0))</f>
        <v>0</v>
      </c>
      <c r="BJ502" s="87">
        <f>IF(+NFL!$F119="Pittsburgh",+NFL!#REF!,IF(+NFL!$H119="Pittsburgh",+NFL!#REF!,0))</f>
        <v>0</v>
      </c>
      <c r="BK502" s="120">
        <f>IF(+NFL!$F119="Pittsburgh",+NFL!#REF!,IF(+NFL!$H119="Pittsburgh",+NFL!#REF!,0))</f>
        <v>0</v>
      </c>
    </row>
    <row r="503" spans="1:63" s="246" customFormat="1" x14ac:dyDescent="0.8">
      <c r="A503" s="46">
        <f>IF(+NFL!$F177="Pittsburgh",+NFL!A177,IF(+NFL!$H177="Pittsburgh",+NFL!A177,0))</f>
        <v>10</v>
      </c>
      <c r="B503" s="348" t="str">
        <f>IF(+NFL!$F177="Pittsburgh",+NFL!B177,IF(+NFL!$H177="Pittsburgh",+NFL!B177,0))</f>
        <v>Sun</v>
      </c>
      <c r="C503" s="48">
        <f>IF(+NFL!$F177="Pittsburgh",+NFL!C177,IF(+NFL!$H177="Pittsburgh",+NFL!C177,0))</f>
        <v>44878</v>
      </c>
      <c r="D503" s="490">
        <f>IF(+NFL!$F177="Pittsburgh",+NFL!D177,IF(+NFL!$H177="Pittsburgh",+NFL!D177,0))</f>
        <v>0.54166666666666663</v>
      </c>
      <c r="E503" s="46" t="str">
        <f>IF(+NFL!$F177="Pittsburgh",+NFL!E177,IF(+NFL!$H177="Pittsburgh",+NFL!E177,0))</f>
        <v>Fox</v>
      </c>
      <c r="F503" s="127" t="str">
        <f>IF(+NFL!$F177="Pittsburgh",+NFL!F177,IF(+NFL!$H177="Pittsburgh",+NFL!F177,0))</f>
        <v>New Orleans</v>
      </c>
      <c r="G503" s="46" t="str">
        <f>IF(+NFL!$F177="Pittsburgh",+NFL!G177,IF(+NFL!$H177="Pittsburgh",+NFL!G177,0))</f>
        <v>NFCS</v>
      </c>
      <c r="H503" s="127" t="str">
        <f>IF(+NFL!$F177="Pittsburgh",+NFL!H177,IF(+NFL!$H177="Pittsburgh",+NFL!H177,0))</f>
        <v>Pittsburgh</v>
      </c>
      <c r="I503" s="46" t="str">
        <f>IF(+NFL!$F177="Pittsburgh",+NFL!I177,IF(+NFL!$H177="Pittsburgh",+NFL!I177,0))</f>
        <v>AFCN</v>
      </c>
      <c r="J503" s="353" t="str">
        <f>IF(+NFL!$F177="Pittsburgh",+NFL!J177,IF(+NFL!$H177="Pittsburgh",+NFL!J177,0))</f>
        <v>New Orleans</v>
      </c>
      <c r="K503" s="494" t="str">
        <f>IF(+NFL!$F177="Pittsburgh",+NFL!K177,IF(+NFL!$H177="Pittsburgh",+NFL!K177,0))</f>
        <v>Pittsburgh</v>
      </c>
      <c r="L503" s="384">
        <f>IF(+NFL!$F177="Pittsburgh",+NFL!L177,IF(+NFL!$H177="Pittsburgh",+NFL!L177,0))</f>
        <v>2.5</v>
      </c>
      <c r="M503" s="385">
        <f>IF(+NFL!$F177="Pittsburgh",+NFL!M177,IF(+NFL!$H177="Pittsburgh",+NFL!M177,0))</f>
        <v>40</v>
      </c>
      <c r="N503" s="394" t="str">
        <f>IF(+NFL!$F177="Pittsburgh",+NFL!N177,IF(+NFL!$H177="Pittsburgh",+NFL!N177,0))</f>
        <v>Pittsburgh</v>
      </c>
      <c r="O503" s="395">
        <f>IF(+NFL!$F177="Pittsburgh",+NFL!O177,IF(+NFL!$H177="Pittsburgh",+NFL!O177,0))</f>
        <v>20</v>
      </c>
      <c r="P503" s="394" t="str">
        <f>IF(+NFL!$F177="Pittsburgh",+NFL!P177,IF(+NFL!$H177="Pittsburgh",+NFL!P177,0))</f>
        <v>New Orleans</v>
      </c>
      <c r="Q503" s="396">
        <f>IF(+NFL!$F177="Pittsburgh",+NFL!Q177,IF(+NFL!$H177="Pittsburgh",+NFL!Q177,0))</f>
        <v>10</v>
      </c>
      <c r="R503" s="397" t="str">
        <f>IF(+NFL!$F177="Pittsburgh",+NFL!R177,IF(+NFL!$H177="Pittsburgh",+NFL!R177,0))</f>
        <v>Pittsburgh</v>
      </c>
      <c r="S503" s="396" t="str">
        <f>IF(+NFL!$F177="Pittsburgh",+NFL!S177,IF(+NFL!$H177="Pittsburgh",+NFL!S177,0))</f>
        <v>New Orleans</v>
      </c>
      <c r="T503" s="398" t="str">
        <f>IF(+NFL!$F177="Pittsburgh",+NFL!T177,IF(+NFL!$H177="Pittsburgh",+NFL!T177,0))</f>
        <v>Pittsburgh</v>
      </c>
      <c r="U503" s="396" t="str">
        <f>IF(+NFL!$F177="Pittsburgh",+NFL!U177,IF(+NFL!$H177="Pittsburgh",+NFL!U177,0))</f>
        <v>W</v>
      </c>
      <c r="V503" s="397">
        <f>IF(+NFL!$F145="Pittsburgh",+NFL!#REF!,IF(+NFL!$H145="Pittsburgh",+NFL!#REF!,0))</f>
        <v>0</v>
      </c>
      <c r="W503" s="396">
        <f>IF(+NFL!$F145="Pittsburgh",+NFL!#REF!,IF(+NFL!$H145="Pittsburgh",+NFL!#REF!,0))</f>
        <v>0</v>
      </c>
      <c r="X503" s="398">
        <f>IF(+NFL!$F145="Pittsburgh",+NFL!#REF!,IF(+NFL!$H145="Pittsburgh",+NFL!#REF!,0))</f>
        <v>0</v>
      </c>
      <c r="Y503" s="396">
        <f>IF(+NFL!$F145="Pittsburgh",+NFL!#REF!,IF(+NFL!$H145="Pittsburgh",+NFL!#REF!,0))</f>
        <v>0</v>
      </c>
      <c r="Z503" s="397">
        <f>IF(+NFL!$F145="Pittsburgh",+NFL!#REF!,IF(+NFL!$H145="Pittsburgh",+NFL!#REF!,0))</f>
        <v>0</v>
      </c>
      <c r="AA503" s="396">
        <f>IF(+NFL!$F145="Pittsburgh",+NFL!#REF!,IF(+NFL!$H145="Pittsburgh",+NFL!#REF!,0))</f>
        <v>0</v>
      </c>
      <c r="AB503" s="87">
        <f>IF(+NFL!$F145="Pittsburgh",+NFL!#REF!,IF(+NFL!$H145="Pittsburgh",+NFL!#REF!,0))</f>
        <v>0</v>
      </c>
      <c r="AC503" s="120">
        <f>IF(+NFL!$F145="Pittsburgh",+NFL!#REF!,IF(+NFL!$H145="Pittsburgh",+NFL!#REF!,0))</f>
        <v>0</v>
      </c>
      <c r="AD503" s="353">
        <f>IF(+NFL!$F145="Pittsburgh",+NFL!#REF!,IF(+NFL!$H145="Pittsburgh",+NFL!#REF!,0))</f>
        <v>0</v>
      </c>
      <c r="AE503" s="379">
        <f>IF(+NFL!$F145="Pittsburgh",+NFL!#REF!,IF(+NFL!$H145="Pittsburgh",+NFL!#REF!,0))</f>
        <v>0</v>
      </c>
      <c r="AF503" s="353">
        <f>IF(+NFL!$F145="Pittsburgh",+NFL!#REF!,IF(+NFL!$H145="Pittsburgh",+NFL!#REF!,0))</f>
        <v>0</v>
      </c>
      <c r="AG503" s="379">
        <f>IF(+NFL!$F145="Pittsburgh",+NFL!#REF!,IF(+NFL!$H145="Pittsburgh",+NFL!#REF!,0))</f>
        <v>0</v>
      </c>
      <c r="AH503" s="353">
        <f>IF(+NFL!$F145="Pittsburgh",+NFL!#REF!,IF(+NFL!$H145="Pittsburgh",+NFL!#REF!,0))</f>
        <v>0</v>
      </c>
      <c r="AI503" s="379">
        <f>IF(+NFL!$F145="Pittsburgh",+NFL!#REF!,IF(+NFL!$H145="Pittsburgh",+NFL!#REF!,0))</f>
        <v>0</v>
      </c>
      <c r="AJ503" s="353">
        <f>IF(+NFL!$F145="Pittsburgh",+NFL!#REF!,IF(+NFL!$H145="Pittsburgh",+NFL!#REF!,0))</f>
        <v>0</v>
      </c>
      <c r="AK503" s="379">
        <f>IF(+NFL!$F145="Pittsburgh",+NFL!#REF!,IF(+NFL!$H145="Pittsburgh",+NFL!#REF!,0))</f>
        <v>0</v>
      </c>
      <c r="AL503" s="68">
        <f>IF(+NFL!$F145="Pittsburgh",+NFL!#REF!,IF(+NFL!$H145="Pittsburgh",+NFL!#REF!,0))</f>
        <v>0</v>
      </c>
      <c r="AM503" s="58">
        <f>IF(+NFL!$F145="Pittsburgh",+NFL!#REF!,IF(+NFL!$H145="Pittsburgh",+NFL!#REF!,0))</f>
        <v>0</v>
      </c>
      <c r="AN503" s="57">
        <f>IF(+NFL!$F145="Pittsburgh",+NFL!#REF!,IF(+NFL!$H145="Pittsburgh",+NFL!#REF!,0))</f>
        <v>0</v>
      </c>
      <c r="AO503" s="59">
        <f>IF(+NFL!$F145="Pittsburgh",+NFL!#REF!,IF(+NFL!$H145="Pittsburgh",+NFL!#REF!,0))</f>
        <v>0</v>
      </c>
      <c r="AP503" s="348">
        <f>IF(+NFL!$F145="Pittsburgh",+NFL!#REF!,IF(+NFL!$H145="Pittsburgh",+NFL!#REF!,0))</f>
        <v>0</v>
      </c>
      <c r="AQ503" s="48">
        <f>IF(+NFL!$F145="Pittsburgh",+NFL!#REF!,IF(+NFL!$H145="Pittsburgh",+NFL!#REF!,0))</f>
        <v>0</v>
      </c>
      <c r="AR503" s="57">
        <f>IF(+NFL!$F145="Pittsburgh",+NFL!#REF!,IF(+NFL!$H145="Pittsburgh",+NFL!#REF!,0))</f>
        <v>0</v>
      </c>
      <c r="AS503" s="64">
        <f>IF(+NFL!$F145="Pittsburgh",+NFL!#REF!,IF(+NFL!$H145="Pittsburgh",+NFL!#REF!,0))</f>
        <v>0</v>
      </c>
      <c r="AT503" s="64">
        <f>IF(+NFL!$F145="Pittsburgh",+NFL!#REF!,IF(+NFL!$H145="Pittsburgh",+NFL!#REF!,0))</f>
        <v>0</v>
      </c>
      <c r="AU503" s="57">
        <f>IF(+NFL!$F145="Pittsburgh",+NFL!#REF!,IF(+NFL!$H145="Pittsburgh",+NFL!#REF!,0))</f>
        <v>0</v>
      </c>
      <c r="AV503" s="64">
        <f>IF(+NFL!$F145="Pittsburgh",+NFL!#REF!,IF(+NFL!$H145="Pittsburgh",+NFL!#REF!,0))</f>
        <v>0</v>
      </c>
      <c r="AW503" s="46">
        <f>IF(+NFL!$F145="Pittsburgh",+NFL!#REF!,IF(+NFL!$H145="Pittsburgh",+NFL!#REF!,0))</f>
        <v>0</v>
      </c>
      <c r="AX503" s="64">
        <f>IF(+NFL!$F145="Pittsburgh",+NFL!#REF!,IF(+NFL!$H145="Pittsburgh",+NFL!#REF!,0))</f>
        <v>0</v>
      </c>
      <c r="AY503" s="57">
        <f>IF(+NFL!$F145="Pittsburgh",+NFL!#REF!,IF(+NFL!$H145="Pittsburgh",+NFL!#REF!,0))</f>
        <v>0</v>
      </c>
      <c r="AZ503" s="64">
        <f>IF(+NFL!$F145="Pittsburgh",+NFL!#REF!,IF(+NFL!$H145="Pittsburgh",+NFL!#REF!,0))</f>
        <v>0</v>
      </c>
      <c r="BA503" s="46">
        <f>IF(+NFL!$F145="Pittsburgh",+NFL!#REF!,IF(+NFL!$H145="Pittsburgh",+NFL!#REF!,0))</f>
        <v>0</v>
      </c>
      <c r="BB503" s="46">
        <f>IF(+NFL!$F145="Pittsburgh",+NFL!#REF!,IF(+NFL!$H145="Pittsburgh",+NFL!#REF!,0))</f>
        <v>0</v>
      </c>
      <c r="BC503" s="403">
        <f>IF(+NFL!$F145="Pittsburgh",+NFL!#REF!,IF(+NFL!$H145="Pittsburgh",+NFL!#REF!,0))</f>
        <v>0</v>
      </c>
      <c r="BD503" s="57">
        <f>IF(+NFL!$F145="Pittsburgh",+NFL!#REF!,IF(+NFL!$H145="Pittsburgh",+NFL!#REF!,0))</f>
        <v>0</v>
      </c>
      <c r="BE503" s="64">
        <f>IF(+NFL!$F145="Pittsburgh",+NFL!#REF!,IF(+NFL!$H145="Pittsburgh",+NFL!#REF!,0))</f>
        <v>0</v>
      </c>
      <c r="BF503" s="46">
        <f>IF(+NFL!$F145="Pittsburgh",+NFL!#REF!,IF(+NFL!$H145="Pittsburgh",+NFL!#REF!,0))</f>
        <v>0</v>
      </c>
      <c r="BG503" s="57">
        <f>IF(+NFL!$F145="Pittsburgh",+NFL!#REF!,IF(+NFL!$H145="Pittsburgh",+NFL!#REF!,0))</f>
        <v>0</v>
      </c>
      <c r="BH503" s="64">
        <f>IF(+NFL!$F145="Pittsburgh",+NFL!#REF!,IF(+NFL!$H145="Pittsburgh",+NFL!#REF!,0))</f>
        <v>0</v>
      </c>
      <c r="BI503" s="46">
        <f>IF(+NFL!$F145="Pittsburgh",+NFL!#REF!,IF(+NFL!$H145="Pittsburgh",+NFL!#REF!,0))</f>
        <v>0</v>
      </c>
      <c r="BJ503" s="87">
        <f>IF(+NFL!$F145="Pittsburgh",+NFL!#REF!,IF(+NFL!$H145="Pittsburgh",+NFL!#REF!,0))</f>
        <v>0</v>
      </c>
      <c r="BK503" s="120">
        <f>IF(+NFL!$F145="Pittsburgh",+NFL!#REF!,IF(+NFL!$H145="Pittsburgh",+NFL!#REF!,0))</f>
        <v>0</v>
      </c>
    </row>
    <row r="504" spans="1:63" s="246" customFormat="1" x14ac:dyDescent="0.8">
      <c r="A504" s="46">
        <f>IF(+NFL!$F182="Pittsburgh",+NFL!A182,IF(+NFL!$H182="Pittsburgh",+NFL!A182,0))</f>
        <v>0</v>
      </c>
      <c r="B504" s="348">
        <f>IF(+NFL!$F182="Pittsburgh",+NFL!B182,IF(+NFL!$H182="Pittsburgh",+NFL!B182,0))</f>
        <v>0</v>
      </c>
      <c r="C504" s="48">
        <f>IF(+NFL!$F182="Pittsburgh",+NFL!C182,IF(+NFL!$H182="Pittsburgh",+NFL!C182,0))</f>
        <v>0</v>
      </c>
      <c r="D504" s="490">
        <f>IF(+NFL!$F182="Pittsburgh",+NFL!D182,IF(+NFL!$H182="Pittsburgh",+NFL!D182,0))</f>
        <v>0</v>
      </c>
      <c r="E504" s="46">
        <f>IF(+NFL!$F182="Pittsburgh",+NFL!E182,IF(+NFL!$H182="Pittsburgh",+NFL!E182,0))</f>
        <v>0</v>
      </c>
      <c r="F504" s="127">
        <f>IF(+NFL!$F182="Pittsburgh",+NFL!F182,IF(+NFL!$H182="Pittsburgh",+NFL!F182,0))</f>
        <v>0</v>
      </c>
      <c r="G504" s="46">
        <f>IF(+NFL!$F182="Pittsburgh",+NFL!G182,IF(+NFL!$H182="Pittsburgh",+NFL!G182,0))</f>
        <v>0</v>
      </c>
      <c r="H504" s="127">
        <f>IF(+NFL!$F182="Pittsburgh",+NFL!H182,IF(+NFL!$H182="Pittsburgh",+NFL!H182,0))</f>
        <v>0</v>
      </c>
      <c r="I504" s="46">
        <f>IF(+NFL!$F182="Pittsburgh",+NFL!I182,IF(+NFL!$H182="Pittsburgh",+NFL!I182,0))</f>
        <v>0</v>
      </c>
      <c r="J504" s="353">
        <f>IF(+NFL!$F182="Pittsburgh",+NFL!J182,IF(+NFL!$H182="Pittsburgh",+NFL!J182,0))</f>
        <v>0</v>
      </c>
      <c r="K504" s="494">
        <f>IF(+NFL!$F182="Pittsburgh",+NFL!K182,IF(+NFL!$H182="Pittsburgh",+NFL!K182,0))</f>
        <v>0</v>
      </c>
      <c r="L504" s="384">
        <f>IF(+NFL!$F182="Pittsburgh",+NFL!L182,IF(+NFL!$H182="Pittsburgh",+NFL!L182,0))</f>
        <v>0</v>
      </c>
      <c r="M504" s="385">
        <f>IF(+NFL!$F182="Pittsburgh",+NFL!M182,IF(+NFL!$H182="Pittsburgh",+NFL!M182,0))</f>
        <v>0</v>
      </c>
      <c r="N504" s="394">
        <f>IF(+NFL!$F182="Pittsburgh",+NFL!N182,IF(+NFL!$H182="Pittsburgh",+NFL!N182,0))</f>
        <v>0</v>
      </c>
      <c r="O504" s="395">
        <f>IF(+NFL!$F182="Pittsburgh",+NFL!O182,IF(+NFL!$H182="Pittsburgh",+NFL!O182,0))</f>
        <v>0</v>
      </c>
      <c r="P504" s="394">
        <f>IF(+NFL!$F182="Pittsburgh",+NFL!P182,IF(+NFL!$H182="Pittsburgh",+NFL!P182,0))</f>
        <v>0</v>
      </c>
      <c r="Q504" s="396">
        <f>IF(+NFL!$F182="Pittsburgh",+NFL!Q182,IF(+NFL!$H182="Pittsburgh",+NFL!Q182,0))</f>
        <v>0</v>
      </c>
      <c r="R504" s="397">
        <f>IF(+NFL!$F182="Pittsburgh",+NFL!R182,IF(+NFL!$H182="Pittsburgh",+NFL!R182,0))</f>
        <v>0</v>
      </c>
      <c r="S504" s="396">
        <f>IF(+NFL!$F182="Pittsburgh",+NFL!S182,IF(+NFL!$H182="Pittsburgh",+NFL!S182,0))</f>
        <v>0</v>
      </c>
      <c r="T504" s="398">
        <f>IF(+NFL!$F182="Pittsburgh",+NFL!T182,IF(+NFL!$H182="Pittsburgh",+NFL!T182,0))</f>
        <v>0</v>
      </c>
      <c r="U504" s="396">
        <f>IF(+NFL!$F182="Pittsburgh",+NFL!U182,IF(+NFL!$H182="Pittsburgh",+NFL!U182,0))</f>
        <v>0</v>
      </c>
      <c r="V504" s="397">
        <f>IF(+NFL!$F164="Pittsburgh",+NFL!#REF!,IF(+NFL!$H164="Pittsburgh",+NFL!#REF!,0))</f>
        <v>0</v>
      </c>
      <c r="W504" s="396">
        <f>IF(+NFL!$F164="Pittsburgh",+NFL!#REF!,IF(+NFL!$H164="Pittsburgh",+NFL!#REF!,0))</f>
        <v>0</v>
      </c>
      <c r="X504" s="398">
        <f>IF(+NFL!$F164="Pittsburgh",+NFL!#REF!,IF(+NFL!$H164="Pittsburgh",+NFL!#REF!,0))</f>
        <v>0</v>
      </c>
      <c r="Y504" s="396">
        <f>IF(+NFL!$F164="Pittsburgh",+NFL!#REF!,IF(+NFL!$H164="Pittsburgh",+NFL!#REF!,0))</f>
        <v>0</v>
      </c>
      <c r="Z504" s="397">
        <f>IF(+NFL!$F164="Pittsburgh",+NFL!#REF!,IF(+NFL!$H164="Pittsburgh",+NFL!#REF!,0))</f>
        <v>0</v>
      </c>
      <c r="AA504" s="396">
        <f>IF(+NFL!$F164="Pittsburgh",+NFL!#REF!,IF(+NFL!$H164="Pittsburgh",+NFL!#REF!,0))</f>
        <v>0</v>
      </c>
      <c r="AB504" s="87">
        <f>IF(+NFL!$F164="Pittsburgh",+NFL!#REF!,IF(+NFL!$H164="Pittsburgh",+NFL!#REF!,0))</f>
        <v>0</v>
      </c>
      <c r="AC504" s="120">
        <f>IF(+NFL!$F164="Pittsburgh",+NFL!#REF!,IF(+NFL!$H164="Pittsburgh",+NFL!#REF!,0))</f>
        <v>0</v>
      </c>
      <c r="AD504" s="353">
        <f>IF(+NFL!$F164="Pittsburgh",+NFL!#REF!,IF(+NFL!$H164="Pittsburgh",+NFL!#REF!,0))</f>
        <v>0</v>
      </c>
      <c r="AE504" s="379">
        <f>IF(+NFL!$F164="Pittsburgh",+NFL!#REF!,IF(+NFL!$H164="Pittsburgh",+NFL!#REF!,0))</f>
        <v>0</v>
      </c>
      <c r="AF504" s="353">
        <f>IF(+NFL!$F164="Pittsburgh",+NFL!#REF!,IF(+NFL!$H164="Pittsburgh",+NFL!#REF!,0))</f>
        <v>0</v>
      </c>
      <c r="AG504" s="379">
        <f>IF(+NFL!$F164="Pittsburgh",+NFL!#REF!,IF(+NFL!$H164="Pittsburgh",+NFL!#REF!,0))</f>
        <v>0</v>
      </c>
      <c r="AH504" s="353">
        <f>IF(+NFL!$F164="Pittsburgh",+NFL!#REF!,IF(+NFL!$H164="Pittsburgh",+NFL!#REF!,0))</f>
        <v>0</v>
      </c>
      <c r="AI504" s="379">
        <f>IF(+NFL!$F164="Pittsburgh",+NFL!#REF!,IF(+NFL!$H164="Pittsburgh",+NFL!#REF!,0))</f>
        <v>0</v>
      </c>
      <c r="AJ504" s="353">
        <f>IF(+NFL!$F164="Pittsburgh",+NFL!#REF!,IF(+NFL!$H164="Pittsburgh",+NFL!#REF!,0))</f>
        <v>0</v>
      </c>
      <c r="AK504" s="379">
        <f>IF(+NFL!$F164="Pittsburgh",+NFL!#REF!,IF(+NFL!$H164="Pittsburgh",+NFL!#REF!,0))</f>
        <v>0</v>
      </c>
      <c r="AL504" s="68">
        <f>IF(+NFL!$F164="Pittsburgh",+NFL!#REF!,IF(+NFL!$H164="Pittsburgh",+NFL!#REF!,0))</f>
        <v>0</v>
      </c>
      <c r="AM504" s="58">
        <f>IF(+NFL!$F164="Pittsburgh",+NFL!#REF!,IF(+NFL!$H164="Pittsburgh",+NFL!#REF!,0))</f>
        <v>0</v>
      </c>
      <c r="AN504" s="57">
        <f>IF(+NFL!$F164="Pittsburgh",+NFL!#REF!,IF(+NFL!$H164="Pittsburgh",+NFL!#REF!,0))</f>
        <v>0</v>
      </c>
      <c r="AO504" s="59">
        <f>IF(+NFL!$F164="Pittsburgh",+NFL!#REF!,IF(+NFL!$H164="Pittsburgh",+NFL!#REF!,0))</f>
        <v>0</v>
      </c>
      <c r="AP504" s="348">
        <f>IF(+NFL!$F164="Pittsburgh",+NFL!#REF!,IF(+NFL!$H164="Pittsburgh",+NFL!#REF!,0))</f>
        <v>0</v>
      </c>
      <c r="AQ504" s="48">
        <f>IF(+NFL!$F164="Pittsburgh",+NFL!#REF!,IF(+NFL!$H164="Pittsburgh",+NFL!#REF!,0))</f>
        <v>0</v>
      </c>
      <c r="AR504" s="57">
        <f>IF(+NFL!$F164="Pittsburgh",+NFL!#REF!,IF(+NFL!$H164="Pittsburgh",+NFL!#REF!,0))</f>
        <v>0</v>
      </c>
      <c r="AS504" s="64">
        <f>IF(+NFL!$F164="Pittsburgh",+NFL!#REF!,IF(+NFL!$H164="Pittsburgh",+NFL!#REF!,0))</f>
        <v>0</v>
      </c>
      <c r="AT504" s="64">
        <f>IF(+NFL!$F164="Pittsburgh",+NFL!#REF!,IF(+NFL!$H164="Pittsburgh",+NFL!#REF!,0))</f>
        <v>0</v>
      </c>
      <c r="AU504" s="57">
        <f>IF(+NFL!$F164="Pittsburgh",+NFL!#REF!,IF(+NFL!$H164="Pittsburgh",+NFL!#REF!,0))</f>
        <v>0</v>
      </c>
      <c r="AV504" s="64">
        <f>IF(+NFL!$F164="Pittsburgh",+NFL!#REF!,IF(+NFL!$H164="Pittsburgh",+NFL!#REF!,0))</f>
        <v>0</v>
      </c>
      <c r="AW504" s="46">
        <f>IF(+NFL!$F164="Pittsburgh",+NFL!#REF!,IF(+NFL!$H164="Pittsburgh",+NFL!#REF!,0))</f>
        <v>0</v>
      </c>
      <c r="AX504" s="64">
        <f>IF(+NFL!$F164="Pittsburgh",+NFL!#REF!,IF(+NFL!$H164="Pittsburgh",+NFL!#REF!,0))</f>
        <v>0</v>
      </c>
      <c r="AY504" s="57">
        <f>IF(+NFL!$F164="Pittsburgh",+NFL!#REF!,IF(+NFL!$H164="Pittsburgh",+NFL!#REF!,0))</f>
        <v>0</v>
      </c>
      <c r="AZ504" s="64">
        <f>IF(+NFL!$F164="Pittsburgh",+NFL!#REF!,IF(+NFL!$H164="Pittsburgh",+NFL!#REF!,0))</f>
        <v>0</v>
      </c>
      <c r="BA504" s="46">
        <f>IF(+NFL!$F164="Pittsburgh",+NFL!#REF!,IF(+NFL!$H164="Pittsburgh",+NFL!#REF!,0))</f>
        <v>0</v>
      </c>
      <c r="BB504" s="46">
        <f>IF(+NFL!$F164="Pittsburgh",+NFL!#REF!,IF(+NFL!$H164="Pittsburgh",+NFL!#REF!,0))</f>
        <v>0</v>
      </c>
      <c r="BC504" s="403">
        <f>IF(+NFL!$F164="Pittsburgh",+NFL!#REF!,IF(+NFL!$H164="Pittsburgh",+NFL!#REF!,0))</f>
        <v>0</v>
      </c>
      <c r="BD504" s="57">
        <f>IF(+NFL!$F164="Pittsburgh",+NFL!#REF!,IF(+NFL!$H164="Pittsburgh",+NFL!#REF!,0))</f>
        <v>0</v>
      </c>
      <c r="BE504" s="64">
        <f>IF(+NFL!$F164="Pittsburgh",+NFL!#REF!,IF(+NFL!$H164="Pittsburgh",+NFL!#REF!,0))</f>
        <v>0</v>
      </c>
      <c r="BF504" s="46">
        <f>IF(+NFL!$F164="Pittsburgh",+NFL!#REF!,IF(+NFL!$H164="Pittsburgh",+NFL!#REF!,0))</f>
        <v>0</v>
      </c>
      <c r="BG504" s="57">
        <f>IF(+NFL!$F164="Pittsburgh",+NFL!#REF!,IF(+NFL!$H164="Pittsburgh",+NFL!#REF!,0))</f>
        <v>0</v>
      </c>
      <c r="BH504" s="64">
        <f>IF(+NFL!$F164="Pittsburgh",+NFL!#REF!,IF(+NFL!$H164="Pittsburgh",+NFL!#REF!,0))</f>
        <v>0</v>
      </c>
      <c r="BI504" s="46">
        <f>IF(+NFL!$F164="Pittsburgh",+NFL!#REF!,IF(+NFL!$H164="Pittsburgh",+NFL!#REF!,0))</f>
        <v>0</v>
      </c>
      <c r="BJ504" s="87">
        <f>IF(+NFL!$F164="Pittsburgh",+NFL!#REF!,IF(+NFL!$H164="Pittsburgh",+NFL!#REF!,0))</f>
        <v>0</v>
      </c>
      <c r="BK504" s="120">
        <f>IF(+NFL!$F164="Pittsburgh",+NFL!#REF!,IF(+NFL!$H164="Pittsburgh",+NFL!#REF!,0))</f>
        <v>0</v>
      </c>
    </row>
    <row r="505" spans="1:63" s="246" customFormat="1" x14ac:dyDescent="0.8">
      <c r="A505" s="46">
        <f>IF(+NFL!$F201="Pittsburgh",+NFL!A201,IF(+NFL!$H201="Pittsburgh",+NFL!A201,0))</f>
        <v>11</v>
      </c>
      <c r="B505" s="348" t="str">
        <f>IF(+NFL!$F201="Pittsburgh",+NFL!B201,IF(+NFL!$H201="Pittsburgh",+NFL!B201,0))</f>
        <v>Sun</v>
      </c>
      <c r="C505" s="48">
        <f>IF(+NFL!$F201="Pittsburgh",+NFL!C201,IF(+NFL!$H201="Pittsburgh",+NFL!C201,0))</f>
        <v>44886</v>
      </c>
      <c r="D505" s="490">
        <f>IF(+NFL!$F201="Pittsburgh",+NFL!D201,IF(+NFL!$H201="Pittsburgh",+NFL!D201,0))</f>
        <v>0.84375</v>
      </c>
      <c r="E505" s="46" t="str">
        <f>IF(+NFL!$F201="Pittsburgh",+NFL!E201,IF(+NFL!$H201="Pittsburgh",+NFL!E201,0))</f>
        <v>NBC</v>
      </c>
      <c r="F505" s="127" t="str">
        <f>IF(+NFL!$F201="Pittsburgh",+NFL!F201,IF(+NFL!$H201="Pittsburgh",+NFL!F201,0))</f>
        <v>Cincinnati</v>
      </c>
      <c r="G505" s="46" t="str">
        <f>IF(+NFL!$F201="Pittsburgh",+NFL!G201,IF(+NFL!$H201="Pittsburgh",+NFL!G201,0))</f>
        <v>AFCN</v>
      </c>
      <c r="H505" s="127" t="str">
        <f>IF(+NFL!$F201="Pittsburgh",+NFL!H201,IF(+NFL!$H201="Pittsburgh",+NFL!H201,0))</f>
        <v>Pittsburgh</v>
      </c>
      <c r="I505" s="46" t="str">
        <f>IF(+NFL!$F201="Pittsburgh",+NFL!I201,IF(+NFL!$H201="Pittsburgh",+NFL!I201,0))</f>
        <v>AFCN</v>
      </c>
      <c r="J505" s="353" t="str">
        <f>IF(+NFL!$F201="Pittsburgh",+NFL!J201,IF(+NFL!$H201="Pittsburgh",+NFL!J201,0))</f>
        <v>Cincinnati</v>
      </c>
      <c r="K505" s="494" t="str">
        <f>IF(+NFL!$F201="Pittsburgh",+NFL!K201,IF(+NFL!$H201="Pittsburgh",+NFL!K201,0))</f>
        <v>Pittsburgh</v>
      </c>
      <c r="L505" s="384">
        <f>IF(+NFL!$F201="Pittsburgh",+NFL!L201,IF(+NFL!$H201="Pittsburgh",+NFL!L201,0))</f>
        <v>5</v>
      </c>
      <c r="M505" s="385">
        <f>IF(+NFL!$F201="Pittsburgh",+NFL!M201,IF(+NFL!$H201="Pittsburgh",+NFL!M201,0))</f>
        <v>41</v>
      </c>
      <c r="N505" s="394" t="str">
        <f>IF(+NFL!$F201="Pittsburgh",+NFL!N201,IF(+NFL!$H201="Pittsburgh",+NFL!N201,0))</f>
        <v>Cincinnati</v>
      </c>
      <c r="O505" s="395">
        <f>IF(+NFL!$F201="Pittsburgh",+NFL!O201,IF(+NFL!$H201="Pittsburgh",+NFL!O201,0))</f>
        <v>37</v>
      </c>
      <c r="P505" s="394" t="str">
        <f>IF(+NFL!$F201="Pittsburgh",+NFL!P201,IF(+NFL!$H201="Pittsburgh",+NFL!P201,0))</f>
        <v>Pittsburgh</v>
      </c>
      <c r="Q505" s="396">
        <f>IF(+NFL!$F201="Pittsburgh",+NFL!Q201,IF(+NFL!$H201="Pittsburgh",+NFL!Q201,0))</f>
        <v>30</v>
      </c>
      <c r="R505" s="397" t="str">
        <f>IF(+NFL!$F201="Pittsburgh",+NFL!R201,IF(+NFL!$H201="Pittsburgh",+NFL!R201,0))</f>
        <v>Cincinnati</v>
      </c>
      <c r="S505" s="396" t="str">
        <f>IF(+NFL!$F201="Pittsburgh",+NFL!S201,IF(+NFL!$H201="Pittsburgh",+NFL!S201,0))</f>
        <v>Pittsburgh</v>
      </c>
      <c r="T505" s="398" t="str">
        <f>IF(+NFL!$F201="Pittsburgh",+NFL!T201,IF(+NFL!$H201="Pittsburgh",+NFL!T201,0))</f>
        <v>Pittsburgh</v>
      </c>
      <c r="U505" s="396" t="str">
        <f>IF(+NFL!$F201="Pittsburgh",+NFL!U201,IF(+NFL!$H201="Pittsburgh",+NFL!U201,0))</f>
        <v>L</v>
      </c>
      <c r="V505" s="397">
        <f>IF(+NFL!$F179="Pittsburgh",+NFL!#REF!,IF(+NFL!$H179="Pittsburgh",+NFL!#REF!,0))</f>
        <v>0</v>
      </c>
      <c r="W505" s="396">
        <f>IF(+NFL!$F179="Pittsburgh",+NFL!#REF!,IF(+NFL!$H179="Pittsburgh",+NFL!#REF!,0))</f>
        <v>0</v>
      </c>
      <c r="X505" s="398">
        <f>IF(+NFL!$F179="Pittsburgh",+NFL!#REF!,IF(+NFL!$H179="Pittsburgh",+NFL!#REF!,0))</f>
        <v>0</v>
      </c>
      <c r="Y505" s="396">
        <f>IF(+NFL!$F179="Pittsburgh",+NFL!#REF!,IF(+NFL!$H179="Pittsburgh",+NFL!#REF!,0))</f>
        <v>0</v>
      </c>
      <c r="Z505" s="397">
        <f>IF(+NFL!$F179="Pittsburgh",+NFL!#REF!,IF(+NFL!$H179="Pittsburgh",+NFL!#REF!,0))</f>
        <v>0</v>
      </c>
      <c r="AA505" s="396">
        <f>IF(+NFL!$F179="Pittsburgh",+NFL!#REF!,IF(+NFL!$H179="Pittsburgh",+NFL!#REF!,0))</f>
        <v>0</v>
      </c>
      <c r="AB505" s="87">
        <f>IF(+NFL!$F179="Pittsburgh",+NFL!#REF!,IF(+NFL!$H179="Pittsburgh",+NFL!#REF!,0))</f>
        <v>0</v>
      </c>
      <c r="AC505" s="120">
        <f>IF(+NFL!$F179="Pittsburgh",+NFL!#REF!,IF(+NFL!$H179="Pittsburgh",+NFL!#REF!,0))</f>
        <v>0</v>
      </c>
      <c r="AD505" s="353">
        <f>IF(+NFL!$F179="Pittsburgh",+NFL!#REF!,IF(+NFL!$H179="Pittsburgh",+NFL!#REF!,0))</f>
        <v>0</v>
      </c>
      <c r="AE505" s="379">
        <f>IF(+NFL!$F179="Pittsburgh",+NFL!#REF!,IF(+NFL!$H179="Pittsburgh",+NFL!#REF!,0))</f>
        <v>0</v>
      </c>
      <c r="AF505" s="353">
        <f>IF(+NFL!$F179="Pittsburgh",+NFL!#REF!,IF(+NFL!$H179="Pittsburgh",+NFL!#REF!,0))</f>
        <v>0</v>
      </c>
      <c r="AG505" s="379">
        <f>IF(+NFL!$F179="Pittsburgh",+NFL!#REF!,IF(+NFL!$H179="Pittsburgh",+NFL!#REF!,0))</f>
        <v>0</v>
      </c>
      <c r="AH505" s="353">
        <f>IF(+NFL!$F179="Pittsburgh",+NFL!#REF!,IF(+NFL!$H179="Pittsburgh",+NFL!#REF!,0))</f>
        <v>0</v>
      </c>
      <c r="AI505" s="379">
        <f>IF(+NFL!$F179="Pittsburgh",+NFL!#REF!,IF(+NFL!$H179="Pittsburgh",+NFL!#REF!,0))</f>
        <v>0</v>
      </c>
      <c r="AJ505" s="353">
        <f>IF(+NFL!$F179="Pittsburgh",+NFL!#REF!,IF(+NFL!$H179="Pittsburgh",+NFL!#REF!,0))</f>
        <v>0</v>
      </c>
      <c r="AK505" s="379">
        <f>IF(+NFL!$F179="Pittsburgh",+NFL!#REF!,IF(+NFL!$H179="Pittsburgh",+NFL!#REF!,0))</f>
        <v>0</v>
      </c>
      <c r="AL505" s="68">
        <f>IF(+NFL!$F179="Pittsburgh",+NFL!#REF!,IF(+NFL!$H179="Pittsburgh",+NFL!#REF!,0))</f>
        <v>0</v>
      </c>
      <c r="AM505" s="58">
        <f>IF(+NFL!$F179="Pittsburgh",+NFL!#REF!,IF(+NFL!$H179="Pittsburgh",+NFL!#REF!,0))</f>
        <v>0</v>
      </c>
      <c r="AN505" s="57">
        <f>IF(+NFL!$F179="Pittsburgh",+NFL!#REF!,IF(+NFL!$H179="Pittsburgh",+NFL!#REF!,0))</f>
        <v>0</v>
      </c>
      <c r="AO505" s="59">
        <f>IF(+NFL!$F179="Pittsburgh",+NFL!#REF!,IF(+NFL!$H179="Pittsburgh",+NFL!#REF!,0))</f>
        <v>0</v>
      </c>
      <c r="AP505" s="348">
        <f>IF(+NFL!$F179="Pittsburgh",+NFL!#REF!,IF(+NFL!$H179="Pittsburgh",+NFL!#REF!,0))</f>
        <v>0</v>
      </c>
      <c r="AQ505" s="48">
        <f>IF(+NFL!$F179="Pittsburgh",+NFL!#REF!,IF(+NFL!$H179="Pittsburgh",+NFL!#REF!,0))</f>
        <v>0</v>
      </c>
      <c r="AR505" s="57">
        <f>IF(+NFL!$F179="Pittsburgh",+NFL!#REF!,IF(+NFL!$H179="Pittsburgh",+NFL!#REF!,0))</f>
        <v>0</v>
      </c>
      <c r="AS505" s="64">
        <f>IF(+NFL!$F179="Pittsburgh",+NFL!#REF!,IF(+NFL!$H179="Pittsburgh",+NFL!#REF!,0))</f>
        <v>0</v>
      </c>
      <c r="AT505" s="64">
        <f>IF(+NFL!$F179="Pittsburgh",+NFL!#REF!,IF(+NFL!$H179="Pittsburgh",+NFL!#REF!,0))</f>
        <v>0</v>
      </c>
      <c r="AU505" s="57">
        <f>IF(+NFL!$F179="Pittsburgh",+NFL!#REF!,IF(+NFL!$H179="Pittsburgh",+NFL!#REF!,0))</f>
        <v>0</v>
      </c>
      <c r="AV505" s="64">
        <f>IF(+NFL!$F179="Pittsburgh",+NFL!#REF!,IF(+NFL!$H179="Pittsburgh",+NFL!#REF!,0))</f>
        <v>0</v>
      </c>
      <c r="AW505" s="46">
        <f>IF(+NFL!$F179="Pittsburgh",+NFL!#REF!,IF(+NFL!$H179="Pittsburgh",+NFL!#REF!,0))</f>
        <v>0</v>
      </c>
      <c r="AX505" s="64">
        <f>IF(+NFL!$F179="Pittsburgh",+NFL!#REF!,IF(+NFL!$H179="Pittsburgh",+NFL!#REF!,0))</f>
        <v>0</v>
      </c>
      <c r="AY505" s="57">
        <f>IF(+NFL!$F179="Pittsburgh",+NFL!#REF!,IF(+NFL!$H179="Pittsburgh",+NFL!#REF!,0))</f>
        <v>0</v>
      </c>
      <c r="AZ505" s="64">
        <f>IF(+NFL!$F179="Pittsburgh",+NFL!#REF!,IF(+NFL!$H179="Pittsburgh",+NFL!#REF!,0))</f>
        <v>0</v>
      </c>
      <c r="BA505" s="46">
        <f>IF(+NFL!$F179="Pittsburgh",+NFL!#REF!,IF(+NFL!$H179="Pittsburgh",+NFL!#REF!,0))</f>
        <v>0</v>
      </c>
      <c r="BB505" s="46">
        <f>IF(+NFL!$F179="Pittsburgh",+NFL!#REF!,IF(+NFL!$H179="Pittsburgh",+NFL!#REF!,0))</f>
        <v>0</v>
      </c>
      <c r="BC505" s="403">
        <f>IF(+NFL!$F179="Pittsburgh",+NFL!#REF!,IF(+NFL!$H179="Pittsburgh",+NFL!#REF!,0))</f>
        <v>0</v>
      </c>
      <c r="BD505" s="57">
        <f>IF(+NFL!$F179="Pittsburgh",+NFL!#REF!,IF(+NFL!$H179="Pittsburgh",+NFL!#REF!,0))</f>
        <v>0</v>
      </c>
      <c r="BE505" s="64">
        <f>IF(+NFL!$F179="Pittsburgh",+NFL!#REF!,IF(+NFL!$H179="Pittsburgh",+NFL!#REF!,0))</f>
        <v>0</v>
      </c>
      <c r="BF505" s="46">
        <f>IF(+NFL!$F179="Pittsburgh",+NFL!#REF!,IF(+NFL!$H179="Pittsburgh",+NFL!#REF!,0))</f>
        <v>0</v>
      </c>
      <c r="BG505" s="57">
        <f>IF(+NFL!$F179="Pittsburgh",+NFL!#REF!,IF(+NFL!$H179="Pittsburgh",+NFL!#REF!,0))</f>
        <v>0</v>
      </c>
      <c r="BH505" s="64">
        <f>IF(+NFL!$F179="Pittsburgh",+NFL!#REF!,IF(+NFL!$H179="Pittsburgh",+NFL!#REF!,0))</f>
        <v>0</v>
      </c>
      <c r="BI505" s="46">
        <f>IF(+NFL!$F179="Pittsburgh",+NFL!#REF!,IF(+NFL!$H179="Pittsburgh",+NFL!#REF!,0))</f>
        <v>0</v>
      </c>
      <c r="BJ505" s="87">
        <f>IF(+NFL!$F179="Pittsburgh",+NFL!#REF!,IF(+NFL!$H179="Pittsburgh",+NFL!#REF!,0))</f>
        <v>0</v>
      </c>
      <c r="BK505" s="120">
        <f>IF(+NFL!$F179="Pittsburgh",+NFL!#REF!,IF(+NFL!$H179="Pittsburgh",+NFL!#REF!,0))</f>
        <v>0</v>
      </c>
    </row>
    <row r="506" spans="1:63" s="246" customFormat="1" x14ac:dyDescent="0.8">
      <c r="A506" s="46">
        <f>IF(+NFL!$F224="Pittsburgh",+NFL!A224,IF(+NFL!$H224="Pittsburgh",+NFL!A224,0))</f>
        <v>12</v>
      </c>
      <c r="B506" s="348" t="str">
        <f>IF(+NFL!$F224="Pittsburgh",+NFL!B224,IF(+NFL!$H224="Pittsburgh",+NFL!B224,0))</f>
        <v>Mon</v>
      </c>
      <c r="C506" s="48">
        <f>IF(+NFL!$F224="Pittsburgh",+NFL!C224,IF(+NFL!$H224="Pittsburgh",+NFL!C224,0))</f>
        <v>44893</v>
      </c>
      <c r="D506" s="490">
        <f>IF(+NFL!$F224="Pittsburgh",+NFL!D224,IF(+NFL!$H224="Pittsburgh",+NFL!D224,0))</f>
        <v>0.84375</v>
      </c>
      <c r="E506" s="46" t="str">
        <f>IF(+NFL!$F224="Pittsburgh",+NFL!E224,IF(+NFL!$H224="Pittsburgh",+NFL!E224,0))</f>
        <v>ABC</v>
      </c>
      <c r="F506" s="127" t="str">
        <f>IF(+NFL!$F224="Pittsburgh",+NFL!F224,IF(+NFL!$H224="Pittsburgh",+NFL!F224,0))</f>
        <v>Pittsburgh</v>
      </c>
      <c r="G506" s="46" t="str">
        <f>IF(+NFL!$F224="Pittsburgh",+NFL!G224,IF(+NFL!$H224="Pittsburgh",+NFL!G224,0))</f>
        <v>AFCN</v>
      </c>
      <c r="H506" s="127" t="str">
        <f>IF(+NFL!$F224="Pittsburgh",+NFL!H224,IF(+NFL!$H224="Pittsburgh",+NFL!H224,0))</f>
        <v>Indianapolis</v>
      </c>
      <c r="I506" s="46" t="str">
        <f>IF(+NFL!$F224="Pittsburgh",+NFL!I224,IF(+NFL!$H224="Pittsburgh",+NFL!I224,0))</f>
        <v>AFCS</v>
      </c>
      <c r="J506" s="353" t="str">
        <f>IF(+NFL!$F224="Pittsburgh",+NFL!J224,IF(+NFL!$H224="Pittsburgh",+NFL!J224,0))</f>
        <v>Indianapolis</v>
      </c>
      <c r="K506" s="494" t="str">
        <f>IF(+NFL!$F224="Pittsburgh",+NFL!K224,IF(+NFL!$H224="Pittsburgh",+NFL!K224,0))</f>
        <v>Pittsburgh</v>
      </c>
      <c r="L506" s="384">
        <f>IF(+NFL!$F224="Pittsburgh",+NFL!L224,IF(+NFL!$H224="Pittsburgh",+NFL!L224,0))</f>
        <v>2.5</v>
      </c>
      <c r="M506" s="385">
        <f>IF(+NFL!$F224="Pittsburgh",+NFL!M224,IF(+NFL!$H224="Pittsburgh",+NFL!M224,0))</f>
        <v>39</v>
      </c>
      <c r="N506" s="394" t="str">
        <f>IF(+NFL!$F224="Pittsburgh",+NFL!N224,IF(+NFL!$H224="Pittsburgh",+NFL!N224,0))</f>
        <v>Pittsburgh</v>
      </c>
      <c r="O506" s="395">
        <f>IF(+NFL!$F224="Pittsburgh",+NFL!O224,IF(+NFL!$H224="Pittsburgh",+NFL!O224,0))</f>
        <v>24</v>
      </c>
      <c r="P506" s="394" t="str">
        <f>IF(+NFL!$F224="Pittsburgh",+NFL!P224,IF(+NFL!$H224="Pittsburgh",+NFL!P224,0))</f>
        <v>Indianapolis</v>
      </c>
      <c r="Q506" s="396">
        <f>IF(+NFL!$F224="Pittsburgh",+NFL!Q224,IF(+NFL!$H224="Pittsburgh",+NFL!Q224,0))</f>
        <v>17</v>
      </c>
      <c r="R506" s="397" t="str">
        <f>IF(+NFL!$F224="Pittsburgh",+NFL!R224,IF(+NFL!$H224="Pittsburgh",+NFL!R224,0))</f>
        <v>Pittsburgh</v>
      </c>
      <c r="S506" s="396" t="str">
        <f>IF(+NFL!$F224="Pittsburgh",+NFL!S224,IF(+NFL!$H224="Pittsburgh",+NFL!S224,0))</f>
        <v>Indianapolis</v>
      </c>
      <c r="T506" s="398" t="str">
        <f>IF(+NFL!$F224="Pittsburgh",+NFL!T224,IF(+NFL!$H224="Pittsburgh",+NFL!T224,0))</f>
        <v>Pittsburgh</v>
      </c>
      <c r="U506" s="396" t="str">
        <f>IF(+NFL!$F224="Pittsburgh",+NFL!U224,IF(+NFL!$H224="Pittsburgh",+NFL!U224,0))</f>
        <v>W</v>
      </c>
      <c r="V506" s="397">
        <f>IF(+NFL!$F205="Pittsburgh",+NFL!#REF!,IF(+NFL!$H205="Pittsburgh",+NFL!#REF!,0))</f>
        <v>0</v>
      </c>
      <c r="W506" s="396">
        <f>IF(+NFL!$F205="Pittsburgh",+NFL!#REF!,IF(+NFL!$H205="Pittsburgh",+NFL!#REF!,0))</f>
        <v>0</v>
      </c>
      <c r="X506" s="398">
        <f>IF(+NFL!$F205="Pittsburgh",+NFL!#REF!,IF(+NFL!$H205="Pittsburgh",+NFL!#REF!,0))</f>
        <v>0</v>
      </c>
      <c r="Y506" s="396">
        <f>IF(+NFL!$F205="Pittsburgh",+NFL!#REF!,IF(+NFL!$H205="Pittsburgh",+NFL!#REF!,0))</f>
        <v>0</v>
      </c>
      <c r="Z506" s="397">
        <f>IF(+NFL!$F205="Pittsburgh",+NFL!#REF!,IF(+NFL!$H205="Pittsburgh",+NFL!#REF!,0))</f>
        <v>0</v>
      </c>
      <c r="AA506" s="396">
        <f>IF(+NFL!$F205="Pittsburgh",+NFL!#REF!,IF(+NFL!$H205="Pittsburgh",+NFL!#REF!,0))</f>
        <v>0</v>
      </c>
      <c r="AB506" s="87">
        <f>IF(+NFL!$F205="Pittsburgh",+NFL!#REF!,IF(+NFL!$H205="Pittsburgh",+NFL!#REF!,0))</f>
        <v>0</v>
      </c>
      <c r="AC506" s="120">
        <f>IF(+NFL!$F205="Pittsburgh",+NFL!#REF!,IF(+NFL!$H205="Pittsburgh",+NFL!#REF!,0))</f>
        <v>0</v>
      </c>
      <c r="AD506" s="353">
        <f>IF(+NFL!$F205="Pittsburgh",+NFL!#REF!,IF(+NFL!$H205="Pittsburgh",+NFL!#REF!,0))</f>
        <v>0</v>
      </c>
      <c r="AE506" s="379">
        <f>IF(+NFL!$F205="Pittsburgh",+NFL!#REF!,IF(+NFL!$H205="Pittsburgh",+NFL!#REF!,0))</f>
        <v>0</v>
      </c>
      <c r="AF506" s="353">
        <f>IF(+NFL!$F205="Pittsburgh",+NFL!#REF!,IF(+NFL!$H205="Pittsburgh",+NFL!#REF!,0))</f>
        <v>0</v>
      </c>
      <c r="AG506" s="379">
        <f>IF(+NFL!$F205="Pittsburgh",+NFL!#REF!,IF(+NFL!$H205="Pittsburgh",+NFL!#REF!,0))</f>
        <v>0</v>
      </c>
      <c r="AH506" s="353">
        <f>IF(+NFL!$F205="Pittsburgh",+NFL!#REF!,IF(+NFL!$H205="Pittsburgh",+NFL!#REF!,0))</f>
        <v>0</v>
      </c>
      <c r="AI506" s="379">
        <f>IF(+NFL!$F205="Pittsburgh",+NFL!#REF!,IF(+NFL!$H205="Pittsburgh",+NFL!#REF!,0))</f>
        <v>0</v>
      </c>
      <c r="AJ506" s="353">
        <f>IF(+NFL!$F205="Pittsburgh",+NFL!#REF!,IF(+NFL!$H205="Pittsburgh",+NFL!#REF!,0))</f>
        <v>0</v>
      </c>
      <c r="AK506" s="379">
        <f>IF(+NFL!$F205="Pittsburgh",+NFL!#REF!,IF(+NFL!$H205="Pittsburgh",+NFL!#REF!,0))</f>
        <v>0</v>
      </c>
      <c r="AL506" s="68">
        <f>IF(+NFL!$F205="Pittsburgh",+NFL!#REF!,IF(+NFL!$H205="Pittsburgh",+NFL!#REF!,0))</f>
        <v>0</v>
      </c>
      <c r="AM506" s="58">
        <f>IF(+NFL!$F205="Pittsburgh",+NFL!#REF!,IF(+NFL!$H205="Pittsburgh",+NFL!#REF!,0))</f>
        <v>0</v>
      </c>
      <c r="AN506" s="57">
        <f>IF(+NFL!$F205="Pittsburgh",+NFL!#REF!,IF(+NFL!$H205="Pittsburgh",+NFL!#REF!,0))</f>
        <v>0</v>
      </c>
      <c r="AO506" s="59">
        <f>IF(+NFL!$F205="Pittsburgh",+NFL!#REF!,IF(+NFL!$H205="Pittsburgh",+NFL!#REF!,0))</f>
        <v>0</v>
      </c>
      <c r="AP506" s="348">
        <f>IF(+NFL!$F205="Pittsburgh",+NFL!#REF!,IF(+NFL!$H205="Pittsburgh",+NFL!#REF!,0))</f>
        <v>0</v>
      </c>
      <c r="AQ506" s="48">
        <f>IF(+NFL!$F205="Pittsburgh",+NFL!#REF!,IF(+NFL!$H205="Pittsburgh",+NFL!#REF!,0))</f>
        <v>0</v>
      </c>
      <c r="AR506" s="57">
        <f>IF(+NFL!$F205="Pittsburgh",+NFL!#REF!,IF(+NFL!$H205="Pittsburgh",+NFL!#REF!,0))</f>
        <v>0</v>
      </c>
      <c r="AS506" s="64">
        <f>IF(+NFL!$F205="Pittsburgh",+NFL!#REF!,IF(+NFL!$H205="Pittsburgh",+NFL!#REF!,0))</f>
        <v>0</v>
      </c>
      <c r="AT506" s="64">
        <f>IF(+NFL!$F205="Pittsburgh",+NFL!#REF!,IF(+NFL!$H205="Pittsburgh",+NFL!#REF!,0))</f>
        <v>0</v>
      </c>
      <c r="AU506" s="57">
        <f>IF(+NFL!$F205="Pittsburgh",+NFL!#REF!,IF(+NFL!$H205="Pittsburgh",+NFL!#REF!,0))</f>
        <v>0</v>
      </c>
      <c r="AV506" s="64">
        <f>IF(+NFL!$F205="Pittsburgh",+NFL!#REF!,IF(+NFL!$H205="Pittsburgh",+NFL!#REF!,0))</f>
        <v>0</v>
      </c>
      <c r="AW506" s="46">
        <f>IF(+NFL!$F205="Pittsburgh",+NFL!#REF!,IF(+NFL!$H205="Pittsburgh",+NFL!#REF!,0))</f>
        <v>0</v>
      </c>
      <c r="AX506" s="64">
        <f>IF(+NFL!$F205="Pittsburgh",+NFL!#REF!,IF(+NFL!$H205="Pittsburgh",+NFL!#REF!,0))</f>
        <v>0</v>
      </c>
      <c r="AY506" s="57">
        <f>IF(+NFL!$F205="Pittsburgh",+NFL!#REF!,IF(+NFL!$H205="Pittsburgh",+NFL!#REF!,0))</f>
        <v>0</v>
      </c>
      <c r="AZ506" s="64">
        <f>IF(+NFL!$F205="Pittsburgh",+NFL!#REF!,IF(+NFL!$H205="Pittsburgh",+NFL!#REF!,0))</f>
        <v>0</v>
      </c>
      <c r="BA506" s="46">
        <f>IF(+NFL!$F205="Pittsburgh",+NFL!#REF!,IF(+NFL!$H205="Pittsburgh",+NFL!#REF!,0))</f>
        <v>0</v>
      </c>
      <c r="BB506" s="46">
        <f>IF(+NFL!$F205="Pittsburgh",+NFL!#REF!,IF(+NFL!$H205="Pittsburgh",+NFL!#REF!,0))</f>
        <v>0</v>
      </c>
      <c r="BC506" s="403">
        <f>IF(+NFL!$F205="Pittsburgh",+NFL!#REF!,IF(+NFL!$H205="Pittsburgh",+NFL!#REF!,0))</f>
        <v>0</v>
      </c>
      <c r="BD506" s="57">
        <f>IF(+NFL!$F205="Pittsburgh",+NFL!#REF!,IF(+NFL!$H205="Pittsburgh",+NFL!#REF!,0))</f>
        <v>0</v>
      </c>
      <c r="BE506" s="64">
        <f>IF(+NFL!$F205="Pittsburgh",+NFL!#REF!,IF(+NFL!$H205="Pittsburgh",+NFL!#REF!,0))</f>
        <v>0</v>
      </c>
      <c r="BF506" s="46">
        <f>IF(+NFL!$F205="Pittsburgh",+NFL!#REF!,IF(+NFL!$H205="Pittsburgh",+NFL!#REF!,0))</f>
        <v>0</v>
      </c>
      <c r="BG506" s="57">
        <f>IF(+NFL!$F205="Pittsburgh",+NFL!#REF!,IF(+NFL!$H205="Pittsburgh",+NFL!#REF!,0))</f>
        <v>0</v>
      </c>
      <c r="BH506" s="64">
        <f>IF(+NFL!$F205="Pittsburgh",+NFL!#REF!,IF(+NFL!$H205="Pittsburgh",+NFL!#REF!,0))</f>
        <v>0</v>
      </c>
      <c r="BI506" s="46">
        <f>IF(+NFL!$F205="Pittsburgh",+NFL!#REF!,IF(+NFL!$H205="Pittsburgh",+NFL!#REF!,0))</f>
        <v>0</v>
      </c>
      <c r="BJ506" s="87">
        <f>IF(+NFL!$F205="Pittsburgh",+NFL!#REF!,IF(+NFL!$H205="Pittsburgh",+NFL!#REF!,0))</f>
        <v>0</v>
      </c>
      <c r="BK506" s="120">
        <f>IF(+NFL!$F205="Pittsburgh",+NFL!#REF!,IF(+NFL!$H205="Pittsburgh",+NFL!#REF!,0))</f>
        <v>0</v>
      </c>
    </row>
    <row r="507" spans="1:63" s="246" customFormat="1" x14ac:dyDescent="0.8">
      <c r="A507" s="46">
        <f>IF(+NFL!$F227="Pittsburgh",+NFL!A227,IF(+NFL!$H227="Pittsburgh",+NFL!A227,0))</f>
        <v>13</v>
      </c>
      <c r="B507" s="348" t="str">
        <f>IF(+NFL!$F227="Pittsburgh",+NFL!B227,IF(+NFL!$H227="Pittsburgh",+NFL!B227,0))</f>
        <v>Sun</v>
      </c>
      <c r="C507" s="48">
        <f>IF(+NFL!$F227="Pittsburgh",+NFL!C227,IF(+NFL!$H227="Pittsburgh",+NFL!C227,0))</f>
        <v>44899</v>
      </c>
      <c r="D507" s="490">
        <f>IF(+NFL!$F227="Pittsburgh",+NFL!D227,IF(+NFL!$H227="Pittsburgh",+NFL!D227,0))</f>
        <v>0.54166666666666663</v>
      </c>
      <c r="E507" s="46" t="str">
        <f>IF(+NFL!$F227="Pittsburgh",+NFL!E227,IF(+NFL!$H227="Pittsburgh",+NFL!E227,0))</f>
        <v>CBS</v>
      </c>
      <c r="F507" s="127" t="str">
        <f>IF(+NFL!$F227="Pittsburgh",+NFL!F227,IF(+NFL!$H227="Pittsburgh",+NFL!F227,0))</f>
        <v>Pittsburgh</v>
      </c>
      <c r="G507" s="46" t="str">
        <f>IF(+NFL!$F227="Pittsburgh",+NFL!G227,IF(+NFL!$H227="Pittsburgh",+NFL!G227,0))</f>
        <v>AFCN</v>
      </c>
      <c r="H507" s="127" t="str">
        <f>IF(+NFL!$F227="Pittsburgh",+NFL!H227,IF(+NFL!$H227="Pittsburgh",+NFL!H227,0))</f>
        <v>Atlanta</v>
      </c>
      <c r="I507" s="46" t="str">
        <f>IF(+NFL!$F227="Pittsburgh",+NFL!I227,IF(+NFL!$H227="Pittsburgh",+NFL!I227,0))</f>
        <v>NFCS</v>
      </c>
      <c r="J507" s="353" t="str">
        <f>IF(+NFL!$F227="Pittsburgh",+NFL!J227,IF(+NFL!$H227="Pittsburgh",+NFL!J227,0))</f>
        <v>Atlanta</v>
      </c>
      <c r="K507" s="494" t="str">
        <f>IF(+NFL!$F227="Pittsburgh",+NFL!K227,IF(+NFL!$H227="Pittsburgh",+NFL!K227,0))</f>
        <v>Pittsburgh</v>
      </c>
      <c r="L507" s="384">
        <f>IF(+NFL!$F227="Pittsburgh",+NFL!L227,IF(+NFL!$H227="Pittsburgh",+NFL!L227,0))</f>
        <v>1</v>
      </c>
      <c r="M507" s="385">
        <f>IF(+NFL!$F227="Pittsburgh",+NFL!M227,IF(+NFL!$H227="Pittsburgh",+NFL!M227,0))</f>
        <v>42</v>
      </c>
      <c r="N507" s="394" t="str">
        <f>IF(+NFL!$F227="Pittsburgh",+NFL!N227,IF(+NFL!$H227="Pittsburgh",+NFL!N227,0))</f>
        <v>Pittsburgh</v>
      </c>
      <c r="O507" s="395">
        <f>IF(+NFL!$F227="Pittsburgh",+NFL!O227,IF(+NFL!$H227="Pittsburgh",+NFL!O227,0))</f>
        <v>19</v>
      </c>
      <c r="P507" s="394" t="str">
        <f>IF(+NFL!$F227="Pittsburgh",+NFL!P227,IF(+NFL!$H227="Pittsburgh",+NFL!P227,0))</f>
        <v>Atlanta</v>
      </c>
      <c r="Q507" s="396">
        <f>IF(+NFL!$F227="Pittsburgh",+NFL!Q227,IF(+NFL!$H227="Pittsburgh",+NFL!Q227,0))</f>
        <v>16</v>
      </c>
      <c r="R507" s="397" t="str">
        <f>IF(+NFL!$F227="Pittsburgh",+NFL!R227,IF(+NFL!$H227="Pittsburgh",+NFL!R227,0))</f>
        <v>Pittsburgh</v>
      </c>
      <c r="S507" s="396" t="str">
        <f>IF(+NFL!$F227="Pittsburgh",+NFL!S227,IF(+NFL!$H227="Pittsburgh",+NFL!S227,0))</f>
        <v>Atlanta</v>
      </c>
      <c r="T507" s="398" t="str">
        <f>IF(+NFL!$F227="Pittsburgh",+NFL!T227,IF(+NFL!$H227="Pittsburgh",+NFL!T227,0))</f>
        <v>Pittsburgh</v>
      </c>
      <c r="U507" s="396" t="str">
        <f>IF(+NFL!$F227="Pittsburgh",+NFL!U227,IF(+NFL!$H227="Pittsburgh",+NFL!U227,0))</f>
        <v>W</v>
      </c>
      <c r="V507" s="397">
        <f>IF(+NFL!$F218="Pittsburgh",+NFL!#REF!,IF(+NFL!$H218="Pittsburgh",+NFL!#REF!,0))</f>
        <v>0</v>
      </c>
      <c r="W507" s="396">
        <f>IF(+NFL!$F218="Pittsburgh",+NFL!#REF!,IF(+NFL!$H218="Pittsburgh",+NFL!#REF!,0))</f>
        <v>0</v>
      </c>
      <c r="X507" s="398">
        <f>IF(+NFL!$F218="Pittsburgh",+NFL!#REF!,IF(+NFL!$H218="Pittsburgh",+NFL!#REF!,0))</f>
        <v>0</v>
      </c>
      <c r="Y507" s="396">
        <f>IF(+NFL!$F218="Pittsburgh",+NFL!#REF!,IF(+NFL!$H218="Pittsburgh",+NFL!#REF!,0))</f>
        <v>0</v>
      </c>
      <c r="Z507" s="397">
        <f>IF(+NFL!$F218="Pittsburgh",+NFL!#REF!,IF(+NFL!$H218="Pittsburgh",+NFL!#REF!,0))</f>
        <v>0</v>
      </c>
      <c r="AA507" s="396">
        <f>IF(+NFL!$F218="Pittsburgh",+NFL!#REF!,IF(+NFL!$H218="Pittsburgh",+NFL!#REF!,0))</f>
        <v>0</v>
      </c>
      <c r="AB507" s="87">
        <f>IF(+NFL!$F218="Pittsburgh",+NFL!#REF!,IF(+NFL!$H218="Pittsburgh",+NFL!#REF!,0))</f>
        <v>0</v>
      </c>
      <c r="AC507" s="120">
        <f>IF(+NFL!$F218="Pittsburgh",+NFL!#REF!,IF(+NFL!$H218="Pittsburgh",+NFL!#REF!,0))</f>
        <v>0</v>
      </c>
      <c r="AD507" s="353">
        <f>IF(+NFL!$F218="Pittsburgh",+NFL!#REF!,IF(+NFL!$H218="Pittsburgh",+NFL!#REF!,0))</f>
        <v>0</v>
      </c>
      <c r="AE507" s="379">
        <f>IF(+NFL!$F218="Pittsburgh",+NFL!#REF!,IF(+NFL!$H218="Pittsburgh",+NFL!#REF!,0))</f>
        <v>0</v>
      </c>
      <c r="AF507" s="353">
        <f>IF(+NFL!$F218="Pittsburgh",+NFL!#REF!,IF(+NFL!$H218="Pittsburgh",+NFL!#REF!,0))</f>
        <v>0</v>
      </c>
      <c r="AG507" s="379">
        <f>IF(+NFL!$F218="Pittsburgh",+NFL!#REF!,IF(+NFL!$H218="Pittsburgh",+NFL!#REF!,0))</f>
        <v>0</v>
      </c>
      <c r="AH507" s="353">
        <f>IF(+NFL!$F218="Pittsburgh",+NFL!#REF!,IF(+NFL!$H218="Pittsburgh",+NFL!#REF!,0))</f>
        <v>0</v>
      </c>
      <c r="AI507" s="379">
        <f>IF(+NFL!$F218="Pittsburgh",+NFL!#REF!,IF(+NFL!$H218="Pittsburgh",+NFL!#REF!,0))</f>
        <v>0</v>
      </c>
      <c r="AJ507" s="353">
        <f>IF(+NFL!$F218="Pittsburgh",+NFL!#REF!,IF(+NFL!$H218="Pittsburgh",+NFL!#REF!,0))</f>
        <v>0</v>
      </c>
      <c r="AK507" s="379">
        <f>IF(+NFL!$F218="Pittsburgh",+NFL!#REF!,IF(+NFL!$H218="Pittsburgh",+NFL!#REF!,0))</f>
        <v>0</v>
      </c>
      <c r="AL507" s="68">
        <f>IF(+NFL!$F218="Pittsburgh",+NFL!#REF!,IF(+NFL!$H218="Pittsburgh",+NFL!#REF!,0))</f>
        <v>0</v>
      </c>
      <c r="AM507" s="58">
        <f>IF(+NFL!$F218="Pittsburgh",+NFL!#REF!,IF(+NFL!$H218="Pittsburgh",+NFL!#REF!,0))</f>
        <v>0</v>
      </c>
      <c r="AN507" s="57">
        <f>IF(+NFL!$F218="Pittsburgh",+NFL!#REF!,IF(+NFL!$H218="Pittsburgh",+NFL!#REF!,0))</f>
        <v>0</v>
      </c>
      <c r="AO507" s="59">
        <f>IF(+NFL!$F218="Pittsburgh",+NFL!#REF!,IF(+NFL!$H218="Pittsburgh",+NFL!#REF!,0))</f>
        <v>0</v>
      </c>
      <c r="AP507" s="348">
        <f>IF(+NFL!$F218="Pittsburgh",+NFL!#REF!,IF(+NFL!$H218="Pittsburgh",+NFL!#REF!,0))</f>
        <v>0</v>
      </c>
      <c r="AQ507" s="48">
        <f>IF(+NFL!$F218="Pittsburgh",+NFL!#REF!,IF(+NFL!$H218="Pittsburgh",+NFL!#REF!,0))</f>
        <v>0</v>
      </c>
      <c r="AR507" s="57">
        <f>IF(+NFL!$F218="Pittsburgh",+NFL!#REF!,IF(+NFL!$H218="Pittsburgh",+NFL!#REF!,0))</f>
        <v>0</v>
      </c>
      <c r="AS507" s="64">
        <f>IF(+NFL!$F218="Pittsburgh",+NFL!#REF!,IF(+NFL!$H218="Pittsburgh",+NFL!#REF!,0))</f>
        <v>0</v>
      </c>
      <c r="AT507" s="64">
        <f>IF(+NFL!$F218="Pittsburgh",+NFL!#REF!,IF(+NFL!$H218="Pittsburgh",+NFL!#REF!,0))</f>
        <v>0</v>
      </c>
      <c r="AU507" s="57">
        <f>IF(+NFL!$F218="Pittsburgh",+NFL!#REF!,IF(+NFL!$H218="Pittsburgh",+NFL!#REF!,0))</f>
        <v>0</v>
      </c>
      <c r="AV507" s="64">
        <f>IF(+NFL!$F218="Pittsburgh",+NFL!#REF!,IF(+NFL!$H218="Pittsburgh",+NFL!#REF!,0))</f>
        <v>0</v>
      </c>
      <c r="AW507" s="46">
        <f>IF(+NFL!$F218="Pittsburgh",+NFL!#REF!,IF(+NFL!$H218="Pittsburgh",+NFL!#REF!,0))</f>
        <v>0</v>
      </c>
      <c r="AX507" s="64">
        <f>IF(+NFL!$F218="Pittsburgh",+NFL!#REF!,IF(+NFL!$H218="Pittsburgh",+NFL!#REF!,0))</f>
        <v>0</v>
      </c>
      <c r="AY507" s="57">
        <f>IF(+NFL!$F218="Pittsburgh",+NFL!#REF!,IF(+NFL!$H218="Pittsburgh",+NFL!#REF!,0))</f>
        <v>0</v>
      </c>
      <c r="AZ507" s="64">
        <f>IF(+NFL!$F218="Pittsburgh",+NFL!#REF!,IF(+NFL!$H218="Pittsburgh",+NFL!#REF!,0))</f>
        <v>0</v>
      </c>
      <c r="BA507" s="46">
        <f>IF(+NFL!$F218="Pittsburgh",+NFL!#REF!,IF(+NFL!$H218="Pittsburgh",+NFL!#REF!,0))</f>
        <v>0</v>
      </c>
      <c r="BB507" s="46">
        <f>IF(+NFL!$F218="Pittsburgh",+NFL!#REF!,IF(+NFL!$H218="Pittsburgh",+NFL!#REF!,0))</f>
        <v>0</v>
      </c>
      <c r="BC507" s="403">
        <f>IF(+NFL!$F218="Pittsburgh",+NFL!#REF!,IF(+NFL!$H218="Pittsburgh",+NFL!#REF!,0))</f>
        <v>0</v>
      </c>
      <c r="BD507" s="57">
        <f>IF(+NFL!$F218="Pittsburgh",+NFL!#REF!,IF(+NFL!$H218="Pittsburgh",+NFL!#REF!,0))</f>
        <v>0</v>
      </c>
      <c r="BE507" s="64">
        <f>IF(+NFL!$F218="Pittsburgh",+NFL!#REF!,IF(+NFL!$H218="Pittsburgh",+NFL!#REF!,0))</f>
        <v>0</v>
      </c>
      <c r="BF507" s="46">
        <f>IF(+NFL!$F218="Pittsburgh",+NFL!#REF!,IF(+NFL!$H218="Pittsburgh",+NFL!#REF!,0))</f>
        <v>0</v>
      </c>
      <c r="BG507" s="57">
        <f>IF(+NFL!$F218="Pittsburgh",+NFL!#REF!,IF(+NFL!$H218="Pittsburgh",+NFL!#REF!,0))</f>
        <v>0</v>
      </c>
      <c r="BH507" s="64">
        <f>IF(+NFL!$F218="Pittsburgh",+NFL!#REF!,IF(+NFL!$H218="Pittsburgh",+NFL!#REF!,0))</f>
        <v>0</v>
      </c>
      <c r="BI507" s="46">
        <f>IF(+NFL!$F218="Pittsburgh",+NFL!#REF!,IF(+NFL!$H218="Pittsburgh",+NFL!#REF!,0))</f>
        <v>0</v>
      </c>
      <c r="BJ507" s="87">
        <f>IF(+NFL!$F218="Pittsburgh",+NFL!#REF!,IF(+NFL!$H218="Pittsburgh",+NFL!#REF!,0))</f>
        <v>0</v>
      </c>
      <c r="BK507" s="120">
        <f>IF(+NFL!$F218="Pittsburgh",+NFL!#REF!,IF(+NFL!$H218="Pittsburgh",+NFL!#REF!,0))</f>
        <v>0</v>
      </c>
    </row>
    <row r="508" spans="1:63" s="246" customFormat="1" x14ac:dyDescent="0.8">
      <c r="A508" s="46">
        <f>IF(+NFL!$F252="Pittsburgh",+NFL!A252,IF(+NFL!$H252="Pittsburgh",+NFL!A252,0))</f>
        <v>14</v>
      </c>
      <c r="B508" s="348" t="str">
        <f>IF(+NFL!$F252="Pittsburgh",+NFL!B252,IF(+NFL!$H252="Pittsburgh",+NFL!B252,0))</f>
        <v>Sun</v>
      </c>
      <c r="C508" s="48">
        <f>IF(+NFL!$F252="Pittsburgh",+NFL!C252,IF(+NFL!$H252="Pittsburgh",+NFL!C252,0))</f>
        <v>44906</v>
      </c>
      <c r="D508" s="490">
        <f>IF(+NFL!$F252="Pittsburgh",+NFL!D252,IF(+NFL!$H252="Pittsburgh",+NFL!D252,0))</f>
        <v>0.54166666666666663</v>
      </c>
      <c r="E508" s="46" t="str">
        <f>IF(+NFL!$F252="Pittsburgh",+NFL!E252,IF(+NFL!$H252="Pittsburgh",+NFL!E252,0))</f>
        <v>CBS</v>
      </c>
      <c r="F508" s="127" t="str">
        <f>IF(+NFL!$F252="Pittsburgh",+NFL!F252,IF(+NFL!$H252="Pittsburgh",+NFL!F252,0))</f>
        <v>Baltimore</v>
      </c>
      <c r="G508" s="46" t="str">
        <f>IF(+NFL!$F252="Pittsburgh",+NFL!G252,IF(+NFL!$H252="Pittsburgh",+NFL!G252,0))</f>
        <v>AFCN</v>
      </c>
      <c r="H508" s="127" t="str">
        <f>IF(+NFL!$F252="Pittsburgh",+NFL!H252,IF(+NFL!$H252="Pittsburgh",+NFL!H252,0))</f>
        <v>Pittsburgh</v>
      </c>
      <c r="I508" s="46" t="str">
        <f>IF(+NFL!$F252="Pittsburgh",+NFL!I252,IF(+NFL!$H252="Pittsburgh",+NFL!I252,0))</f>
        <v>AFCN</v>
      </c>
      <c r="J508" s="353" t="str">
        <f>IF(+NFL!$F252="Pittsburgh",+NFL!J252,IF(+NFL!$H252="Pittsburgh",+NFL!J252,0))</f>
        <v>Pittsburgh</v>
      </c>
      <c r="K508" s="494" t="str">
        <f>IF(+NFL!$F252="Pittsburgh",+NFL!K252,IF(+NFL!$H252="Pittsburgh",+NFL!K252,0))</f>
        <v>Baltimore</v>
      </c>
      <c r="L508" s="384">
        <f>IF(+NFL!$F252="Pittsburgh",+NFL!L252,IF(+NFL!$H252="Pittsburgh",+NFL!L252,0))</f>
        <v>2.5</v>
      </c>
      <c r="M508" s="385">
        <f>IF(+NFL!$F252="Pittsburgh",+NFL!M252,IF(+NFL!$H252="Pittsburgh",+NFL!M252,0))</f>
        <v>36.5</v>
      </c>
      <c r="N508" s="394" t="str">
        <f>IF(+NFL!$F252="Pittsburgh",+NFL!N252,IF(+NFL!$H252="Pittsburgh",+NFL!N252,0))</f>
        <v>Baltimore</v>
      </c>
      <c r="O508" s="395">
        <f>IF(+NFL!$F252="Pittsburgh",+NFL!O252,IF(+NFL!$H252="Pittsburgh",+NFL!O252,0))</f>
        <v>16</v>
      </c>
      <c r="P508" s="394" t="str">
        <f>IF(+NFL!$F252="Pittsburgh",+NFL!P252,IF(+NFL!$H252="Pittsburgh",+NFL!P252,0))</f>
        <v>Pittsburgh</v>
      </c>
      <c r="Q508" s="396">
        <f>IF(+NFL!$F252="Pittsburgh",+NFL!Q252,IF(+NFL!$H252="Pittsburgh",+NFL!Q252,0))</f>
        <v>14</v>
      </c>
      <c r="R508" s="397" t="str">
        <f>IF(+NFL!$F252="Pittsburgh",+NFL!R252,IF(+NFL!$H252="Pittsburgh",+NFL!R252,0))</f>
        <v>Baltimore</v>
      </c>
      <c r="S508" s="396" t="str">
        <f>IF(+NFL!$F252="Pittsburgh",+NFL!S252,IF(+NFL!$H252="Pittsburgh",+NFL!S252,0))</f>
        <v>Pittsburgh</v>
      </c>
      <c r="T508" s="398">
        <f>IF(+NFL!$F252="Pittsburgh",+NFL!T252,IF(+NFL!$H252="Pittsburgh",+NFL!T252,0))</f>
        <v>0</v>
      </c>
      <c r="U508" s="396" t="str">
        <f>IF(+NFL!$F252="Pittsburgh",+NFL!U252,IF(+NFL!$H252="Pittsburgh",+NFL!U252,0))</f>
        <v>L</v>
      </c>
      <c r="V508" s="397">
        <f>IF(+NFL!$F244="Pittsburgh",+NFL!#REF!,IF(+NFL!$H244="Pittsburgh",+NFL!#REF!,0))</f>
        <v>0</v>
      </c>
      <c r="W508" s="396">
        <f>IF(+NFL!$F244="Pittsburgh",+NFL!#REF!,IF(+NFL!$H244="Pittsburgh",+NFL!#REF!,0))</f>
        <v>0</v>
      </c>
      <c r="X508" s="398">
        <f>IF(+NFL!$F244="Pittsburgh",+NFL!#REF!,IF(+NFL!$H244="Pittsburgh",+NFL!#REF!,0))</f>
        <v>0</v>
      </c>
      <c r="Y508" s="396">
        <f>IF(+NFL!$F244="Pittsburgh",+NFL!#REF!,IF(+NFL!$H244="Pittsburgh",+NFL!#REF!,0))</f>
        <v>0</v>
      </c>
      <c r="Z508" s="397">
        <f>IF(+NFL!$F244="Pittsburgh",+NFL!#REF!,IF(+NFL!$H244="Pittsburgh",+NFL!#REF!,0))</f>
        <v>0</v>
      </c>
      <c r="AA508" s="396">
        <f>IF(+NFL!$F244="Pittsburgh",+NFL!#REF!,IF(+NFL!$H244="Pittsburgh",+NFL!#REF!,0))</f>
        <v>0</v>
      </c>
      <c r="AB508" s="87">
        <f>IF(+NFL!$F244="Pittsburgh",+NFL!#REF!,IF(+NFL!$H244="Pittsburgh",+NFL!#REF!,0))</f>
        <v>0</v>
      </c>
      <c r="AC508" s="120">
        <f>IF(+NFL!$F244="Pittsburgh",+NFL!#REF!,IF(+NFL!$H244="Pittsburgh",+NFL!#REF!,0))</f>
        <v>0</v>
      </c>
      <c r="AD508" s="353">
        <f>IF(+NFL!$F244="Pittsburgh",+NFL!#REF!,IF(+NFL!$H244="Pittsburgh",+NFL!#REF!,0))</f>
        <v>0</v>
      </c>
      <c r="AE508" s="379">
        <f>IF(+NFL!$F244="Pittsburgh",+NFL!#REF!,IF(+NFL!$H244="Pittsburgh",+NFL!#REF!,0))</f>
        <v>0</v>
      </c>
      <c r="AF508" s="353">
        <f>IF(+NFL!$F244="Pittsburgh",+NFL!#REF!,IF(+NFL!$H244="Pittsburgh",+NFL!#REF!,0))</f>
        <v>0</v>
      </c>
      <c r="AG508" s="379">
        <f>IF(+NFL!$F244="Pittsburgh",+NFL!#REF!,IF(+NFL!$H244="Pittsburgh",+NFL!#REF!,0))</f>
        <v>0</v>
      </c>
      <c r="AH508" s="353">
        <f>IF(+NFL!$F244="Pittsburgh",+NFL!#REF!,IF(+NFL!$H244="Pittsburgh",+NFL!#REF!,0))</f>
        <v>0</v>
      </c>
      <c r="AI508" s="379">
        <f>IF(+NFL!$F244="Pittsburgh",+NFL!#REF!,IF(+NFL!$H244="Pittsburgh",+NFL!#REF!,0))</f>
        <v>0</v>
      </c>
      <c r="AJ508" s="353">
        <f>IF(+NFL!$F244="Pittsburgh",+NFL!#REF!,IF(+NFL!$H244="Pittsburgh",+NFL!#REF!,0))</f>
        <v>0</v>
      </c>
      <c r="AK508" s="379">
        <f>IF(+NFL!$F244="Pittsburgh",+NFL!#REF!,IF(+NFL!$H244="Pittsburgh",+NFL!#REF!,0))</f>
        <v>0</v>
      </c>
      <c r="AL508" s="68">
        <f>IF(+NFL!$F244="Pittsburgh",+NFL!#REF!,IF(+NFL!$H244="Pittsburgh",+NFL!#REF!,0))</f>
        <v>0</v>
      </c>
      <c r="AM508" s="58">
        <f>IF(+NFL!$F244="Pittsburgh",+NFL!#REF!,IF(+NFL!$H244="Pittsburgh",+NFL!#REF!,0))</f>
        <v>0</v>
      </c>
      <c r="AN508" s="57">
        <f>IF(+NFL!$F244="Pittsburgh",+NFL!#REF!,IF(+NFL!$H244="Pittsburgh",+NFL!#REF!,0))</f>
        <v>0</v>
      </c>
      <c r="AO508" s="59">
        <f>IF(+NFL!$F244="Pittsburgh",+NFL!#REF!,IF(+NFL!$H244="Pittsburgh",+NFL!#REF!,0))</f>
        <v>0</v>
      </c>
      <c r="AP508" s="348">
        <f>IF(+NFL!$F244="Pittsburgh",+NFL!#REF!,IF(+NFL!$H244="Pittsburgh",+NFL!#REF!,0))</f>
        <v>0</v>
      </c>
      <c r="AQ508" s="48">
        <f>IF(+NFL!$F244="Pittsburgh",+NFL!#REF!,IF(+NFL!$H244="Pittsburgh",+NFL!#REF!,0))</f>
        <v>0</v>
      </c>
      <c r="AR508" s="57">
        <f>IF(+NFL!$F244="Pittsburgh",+NFL!#REF!,IF(+NFL!$H244="Pittsburgh",+NFL!#REF!,0))</f>
        <v>0</v>
      </c>
      <c r="AS508" s="64">
        <f>IF(+NFL!$F244="Pittsburgh",+NFL!#REF!,IF(+NFL!$H244="Pittsburgh",+NFL!#REF!,0))</f>
        <v>0</v>
      </c>
      <c r="AT508" s="64">
        <f>IF(+NFL!$F244="Pittsburgh",+NFL!#REF!,IF(+NFL!$H244="Pittsburgh",+NFL!#REF!,0))</f>
        <v>0</v>
      </c>
      <c r="AU508" s="57">
        <f>IF(+NFL!$F244="Pittsburgh",+NFL!#REF!,IF(+NFL!$H244="Pittsburgh",+NFL!#REF!,0))</f>
        <v>0</v>
      </c>
      <c r="AV508" s="64">
        <f>IF(+NFL!$F244="Pittsburgh",+NFL!#REF!,IF(+NFL!$H244="Pittsburgh",+NFL!#REF!,0))</f>
        <v>0</v>
      </c>
      <c r="AW508" s="46">
        <f>IF(+NFL!$F244="Pittsburgh",+NFL!#REF!,IF(+NFL!$H244="Pittsburgh",+NFL!#REF!,0))</f>
        <v>0</v>
      </c>
      <c r="AX508" s="64">
        <f>IF(+NFL!$F244="Pittsburgh",+NFL!#REF!,IF(+NFL!$H244="Pittsburgh",+NFL!#REF!,0))</f>
        <v>0</v>
      </c>
      <c r="AY508" s="57">
        <f>IF(+NFL!$F244="Pittsburgh",+NFL!#REF!,IF(+NFL!$H244="Pittsburgh",+NFL!#REF!,0))</f>
        <v>0</v>
      </c>
      <c r="AZ508" s="64">
        <f>IF(+NFL!$F244="Pittsburgh",+NFL!#REF!,IF(+NFL!$H244="Pittsburgh",+NFL!#REF!,0))</f>
        <v>0</v>
      </c>
      <c r="BA508" s="46">
        <f>IF(+NFL!$F244="Pittsburgh",+NFL!#REF!,IF(+NFL!$H244="Pittsburgh",+NFL!#REF!,0))</f>
        <v>0</v>
      </c>
      <c r="BB508" s="46">
        <f>IF(+NFL!$F244="Pittsburgh",+NFL!#REF!,IF(+NFL!$H244="Pittsburgh",+NFL!#REF!,0))</f>
        <v>0</v>
      </c>
      <c r="BC508" s="403">
        <f>IF(+NFL!$F244="Pittsburgh",+NFL!#REF!,IF(+NFL!$H244="Pittsburgh",+NFL!#REF!,0))</f>
        <v>0</v>
      </c>
      <c r="BD508" s="57">
        <f>IF(+NFL!$F244="Pittsburgh",+NFL!#REF!,IF(+NFL!$H244="Pittsburgh",+NFL!#REF!,0))</f>
        <v>0</v>
      </c>
      <c r="BE508" s="64">
        <f>IF(+NFL!$F244="Pittsburgh",+NFL!#REF!,IF(+NFL!$H244="Pittsburgh",+NFL!#REF!,0))</f>
        <v>0</v>
      </c>
      <c r="BF508" s="46">
        <f>IF(+NFL!$F244="Pittsburgh",+NFL!#REF!,IF(+NFL!$H244="Pittsburgh",+NFL!#REF!,0))</f>
        <v>0</v>
      </c>
      <c r="BG508" s="57">
        <f>IF(+NFL!$F244="Pittsburgh",+NFL!#REF!,IF(+NFL!$H244="Pittsburgh",+NFL!#REF!,0))</f>
        <v>0</v>
      </c>
      <c r="BH508" s="64">
        <f>IF(+NFL!$F244="Pittsburgh",+NFL!#REF!,IF(+NFL!$H244="Pittsburgh",+NFL!#REF!,0))</f>
        <v>0</v>
      </c>
      <c r="BI508" s="46">
        <f>IF(+NFL!$F244="Pittsburgh",+NFL!#REF!,IF(+NFL!$H244="Pittsburgh",+NFL!#REF!,0))</f>
        <v>0</v>
      </c>
      <c r="BJ508" s="87">
        <f>IF(+NFL!$F244="Pittsburgh",+NFL!#REF!,IF(+NFL!$H244="Pittsburgh",+NFL!#REF!,0))</f>
        <v>0</v>
      </c>
      <c r="BK508" s="120">
        <f>IF(+NFL!$F244="Pittsburgh",+NFL!#REF!,IF(+NFL!$H244="Pittsburgh",+NFL!#REF!,0))</f>
        <v>0</v>
      </c>
    </row>
    <row r="509" spans="1:63" s="246" customFormat="1" x14ac:dyDescent="0.8">
      <c r="A509" s="46">
        <f>IF(+NFL!$F274="Pittsburgh",+NFL!A274,IF(+NFL!$H274="Pittsburgh",+NFL!A274,0))</f>
        <v>15</v>
      </c>
      <c r="B509" s="348" t="str">
        <f>IF(+NFL!$F274="Pittsburgh",+NFL!B274,IF(+NFL!$H274="Pittsburgh",+NFL!B274,0))</f>
        <v>Sun</v>
      </c>
      <c r="C509" s="48">
        <f>IF(+NFL!$F274="Pittsburgh",+NFL!C274,IF(+NFL!$H274="Pittsburgh",+NFL!C274,0))</f>
        <v>44913</v>
      </c>
      <c r="D509" s="490">
        <f>IF(+NFL!$F274="Pittsburgh",+NFL!D274,IF(+NFL!$H274="Pittsburgh",+NFL!D274,0))</f>
        <v>0.54166666666666663</v>
      </c>
      <c r="E509" s="46" t="str">
        <f>IF(+NFL!$F274="Pittsburgh",+NFL!E274,IF(+NFL!$H274="Pittsburgh",+NFL!E274,0))</f>
        <v>CBS</v>
      </c>
      <c r="F509" s="127" t="str">
        <f>IF(+NFL!$F274="Pittsburgh",+NFL!F274,IF(+NFL!$H274="Pittsburgh",+NFL!F274,0))</f>
        <v>Pittsburgh</v>
      </c>
      <c r="G509" s="46" t="str">
        <f>IF(+NFL!$F274="Pittsburgh",+NFL!G274,IF(+NFL!$H274="Pittsburgh",+NFL!G274,0))</f>
        <v>AFCN</v>
      </c>
      <c r="H509" s="127" t="str">
        <f>IF(+NFL!$F274="Pittsburgh",+NFL!H274,IF(+NFL!$H274="Pittsburgh",+NFL!H274,0))</f>
        <v>Carolina</v>
      </c>
      <c r="I509" s="46" t="str">
        <f>IF(+NFL!$F274="Pittsburgh",+NFL!I274,IF(+NFL!$H274="Pittsburgh",+NFL!I274,0))</f>
        <v>NFCS</v>
      </c>
      <c r="J509" s="353" t="str">
        <f>IF(+NFL!$F274="Pittsburgh",+NFL!J274,IF(+NFL!$H274="Pittsburgh",+NFL!J274,0))</f>
        <v>Carolina</v>
      </c>
      <c r="K509" s="494" t="str">
        <f>IF(+NFL!$F274="Pittsburgh",+NFL!K274,IF(+NFL!$H274="Pittsburgh",+NFL!K274,0))</f>
        <v>Pittsburgh</v>
      </c>
      <c r="L509" s="384">
        <f>IF(+NFL!$F274="Pittsburgh",+NFL!L274,IF(+NFL!$H274="Pittsburgh",+NFL!L274,0))</f>
        <v>2.5</v>
      </c>
      <c r="M509" s="385">
        <f>IF(+NFL!$F274="Pittsburgh",+NFL!M274,IF(+NFL!$H274="Pittsburgh",+NFL!M274,0))</f>
        <v>37.4</v>
      </c>
      <c r="N509" s="394" t="str">
        <f>IF(+NFL!$F274="Pittsburgh",+NFL!N274,IF(+NFL!$H274="Pittsburgh",+NFL!N274,0))</f>
        <v>Pittsburgh</v>
      </c>
      <c r="O509" s="395">
        <f>IF(+NFL!$F274="Pittsburgh",+NFL!O274,IF(+NFL!$H274="Pittsburgh",+NFL!O274,0))</f>
        <v>24</v>
      </c>
      <c r="P509" s="394" t="str">
        <f>IF(+NFL!$F274="Pittsburgh",+NFL!P274,IF(+NFL!$H274="Pittsburgh",+NFL!P274,0))</f>
        <v>Carolina</v>
      </c>
      <c r="Q509" s="396">
        <f>IF(+NFL!$F274="Pittsburgh",+NFL!Q274,IF(+NFL!$H274="Pittsburgh",+NFL!Q274,0))</f>
        <v>16</v>
      </c>
      <c r="R509" s="397" t="str">
        <f>IF(+NFL!$F274="Pittsburgh",+NFL!R274,IF(+NFL!$H274="Pittsburgh",+NFL!R274,0))</f>
        <v>Pittsburgh</v>
      </c>
      <c r="S509" s="396" t="str">
        <f>IF(+NFL!$F274="Pittsburgh",+NFL!S274,IF(+NFL!$H274="Pittsburgh",+NFL!S274,0))</f>
        <v>Carolina</v>
      </c>
      <c r="T509" s="398">
        <f>IF(+NFL!$F274="Pittsburgh",+NFL!T274,IF(+NFL!$H274="Pittsburgh",+NFL!T274,0))</f>
        <v>0</v>
      </c>
      <c r="U509" s="396" t="str">
        <f>IF(+NFL!$F274="Pittsburgh",+NFL!U274,IF(+NFL!$H274="Pittsburgh",+NFL!U274,0))</f>
        <v>L</v>
      </c>
      <c r="V509" s="397">
        <f>IF(+NFL!$F278="Pittsburgh",+NFL!#REF!,IF(+NFL!$H278="Pittsburgh",+NFL!#REF!,0))</f>
        <v>0</v>
      </c>
      <c r="W509" s="396">
        <f>IF(+NFL!$F278="Pittsburgh",+NFL!#REF!,IF(+NFL!$H278="Pittsburgh",+NFL!#REF!,0))</f>
        <v>0</v>
      </c>
      <c r="X509" s="398">
        <f>IF(+NFL!$F278="Pittsburgh",+NFL!#REF!,IF(+NFL!$H278="Pittsburgh",+NFL!#REF!,0))</f>
        <v>0</v>
      </c>
      <c r="Y509" s="396">
        <f>IF(+NFL!$F278="Pittsburgh",+NFL!#REF!,IF(+NFL!$H278="Pittsburgh",+NFL!#REF!,0))</f>
        <v>0</v>
      </c>
      <c r="Z509" s="397">
        <f>IF(+NFL!$F278="Pittsburgh",+NFL!#REF!,IF(+NFL!$H278="Pittsburgh",+NFL!#REF!,0))</f>
        <v>0</v>
      </c>
      <c r="AA509" s="396">
        <f>IF(+NFL!$F278="Pittsburgh",+NFL!#REF!,IF(+NFL!$H278="Pittsburgh",+NFL!#REF!,0))</f>
        <v>0</v>
      </c>
      <c r="AB509" s="87">
        <f>IF(+NFL!$F278="Pittsburgh",+NFL!#REF!,IF(+NFL!$H278="Pittsburgh",+NFL!#REF!,0))</f>
        <v>0</v>
      </c>
      <c r="AC509" s="120">
        <f>IF(+NFL!$F278="Pittsburgh",+NFL!#REF!,IF(+NFL!$H278="Pittsburgh",+NFL!#REF!,0))</f>
        <v>0</v>
      </c>
      <c r="AD509" s="353">
        <f>IF(+NFL!$F278="Pittsburgh",+NFL!#REF!,IF(+NFL!$H278="Pittsburgh",+NFL!#REF!,0))</f>
        <v>0</v>
      </c>
      <c r="AE509" s="379">
        <f>IF(+NFL!$F278="Pittsburgh",+NFL!#REF!,IF(+NFL!$H278="Pittsburgh",+NFL!#REF!,0))</f>
        <v>0</v>
      </c>
      <c r="AF509" s="353">
        <f>IF(+NFL!$F278="Pittsburgh",+NFL!#REF!,IF(+NFL!$H278="Pittsburgh",+NFL!#REF!,0))</f>
        <v>0</v>
      </c>
      <c r="AG509" s="379">
        <f>IF(+NFL!$F278="Pittsburgh",+NFL!#REF!,IF(+NFL!$H278="Pittsburgh",+NFL!#REF!,0))</f>
        <v>0</v>
      </c>
      <c r="AH509" s="353">
        <f>IF(+NFL!$F278="Pittsburgh",+NFL!#REF!,IF(+NFL!$H278="Pittsburgh",+NFL!#REF!,0))</f>
        <v>0</v>
      </c>
      <c r="AI509" s="379">
        <f>IF(+NFL!$F278="Pittsburgh",+NFL!#REF!,IF(+NFL!$H278="Pittsburgh",+NFL!#REF!,0))</f>
        <v>0</v>
      </c>
      <c r="AJ509" s="353">
        <f>IF(+NFL!$F278="Pittsburgh",+NFL!#REF!,IF(+NFL!$H278="Pittsburgh",+NFL!#REF!,0))</f>
        <v>0</v>
      </c>
      <c r="AK509" s="379">
        <f>IF(+NFL!$F278="Pittsburgh",+NFL!#REF!,IF(+NFL!$H278="Pittsburgh",+NFL!#REF!,0))</f>
        <v>0</v>
      </c>
      <c r="AL509" s="68">
        <f>IF(+NFL!$F278="Pittsburgh",+NFL!#REF!,IF(+NFL!$H278="Pittsburgh",+NFL!#REF!,0))</f>
        <v>0</v>
      </c>
      <c r="AM509" s="58">
        <f>IF(+NFL!$F278="Pittsburgh",+NFL!#REF!,IF(+NFL!$H278="Pittsburgh",+NFL!#REF!,0))</f>
        <v>0</v>
      </c>
      <c r="AN509" s="57">
        <f>IF(+NFL!$F278="Pittsburgh",+NFL!#REF!,IF(+NFL!$H278="Pittsburgh",+NFL!#REF!,0))</f>
        <v>0</v>
      </c>
      <c r="AO509" s="59">
        <f>IF(+NFL!$F278="Pittsburgh",+NFL!#REF!,IF(+NFL!$H278="Pittsburgh",+NFL!#REF!,0))</f>
        <v>0</v>
      </c>
      <c r="AP509" s="348">
        <f>IF(+NFL!$F278="Pittsburgh",+NFL!#REF!,IF(+NFL!$H278="Pittsburgh",+NFL!#REF!,0))</f>
        <v>0</v>
      </c>
      <c r="AQ509" s="48">
        <f>IF(+NFL!$F278="Pittsburgh",+NFL!#REF!,IF(+NFL!$H278="Pittsburgh",+NFL!#REF!,0))</f>
        <v>0</v>
      </c>
      <c r="AR509" s="57">
        <f>IF(+NFL!$F278="Pittsburgh",+NFL!#REF!,IF(+NFL!$H278="Pittsburgh",+NFL!#REF!,0))</f>
        <v>0</v>
      </c>
      <c r="AS509" s="64">
        <f>IF(+NFL!$F278="Pittsburgh",+NFL!#REF!,IF(+NFL!$H278="Pittsburgh",+NFL!#REF!,0))</f>
        <v>0</v>
      </c>
      <c r="AT509" s="64">
        <f>IF(+NFL!$F278="Pittsburgh",+NFL!#REF!,IF(+NFL!$H278="Pittsburgh",+NFL!#REF!,0))</f>
        <v>0</v>
      </c>
      <c r="AU509" s="57">
        <f>IF(+NFL!$F278="Pittsburgh",+NFL!#REF!,IF(+NFL!$H278="Pittsburgh",+NFL!#REF!,0))</f>
        <v>0</v>
      </c>
      <c r="AV509" s="64">
        <f>IF(+NFL!$F278="Pittsburgh",+NFL!#REF!,IF(+NFL!$H278="Pittsburgh",+NFL!#REF!,0))</f>
        <v>0</v>
      </c>
      <c r="AW509" s="46">
        <f>IF(+NFL!$F278="Pittsburgh",+NFL!#REF!,IF(+NFL!$H278="Pittsburgh",+NFL!#REF!,0))</f>
        <v>0</v>
      </c>
      <c r="AX509" s="64">
        <f>IF(+NFL!$F278="Pittsburgh",+NFL!#REF!,IF(+NFL!$H278="Pittsburgh",+NFL!#REF!,0))</f>
        <v>0</v>
      </c>
      <c r="AY509" s="57">
        <f>IF(+NFL!$F278="Pittsburgh",+NFL!#REF!,IF(+NFL!$H278="Pittsburgh",+NFL!#REF!,0))</f>
        <v>0</v>
      </c>
      <c r="AZ509" s="64">
        <f>IF(+NFL!$F278="Pittsburgh",+NFL!#REF!,IF(+NFL!$H278="Pittsburgh",+NFL!#REF!,0))</f>
        <v>0</v>
      </c>
      <c r="BA509" s="46">
        <f>IF(+NFL!$F278="Pittsburgh",+NFL!#REF!,IF(+NFL!$H278="Pittsburgh",+NFL!#REF!,0))</f>
        <v>0</v>
      </c>
      <c r="BB509" s="46">
        <f>IF(+NFL!$F278="Pittsburgh",+NFL!#REF!,IF(+NFL!$H278="Pittsburgh",+NFL!#REF!,0))</f>
        <v>0</v>
      </c>
      <c r="BC509" s="403">
        <f>IF(+NFL!$F278="Pittsburgh",+NFL!#REF!,IF(+NFL!$H278="Pittsburgh",+NFL!#REF!,0))</f>
        <v>0</v>
      </c>
      <c r="BD509" s="57">
        <f>IF(+NFL!$F278="Pittsburgh",+NFL!#REF!,IF(+NFL!$H278="Pittsburgh",+NFL!#REF!,0))</f>
        <v>0</v>
      </c>
      <c r="BE509" s="64">
        <f>IF(+NFL!$F278="Pittsburgh",+NFL!#REF!,IF(+NFL!$H278="Pittsburgh",+NFL!#REF!,0))</f>
        <v>0</v>
      </c>
      <c r="BF509" s="46">
        <f>IF(+NFL!$F278="Pittsburgh",+NFL!#REF!,IF(+NFL!$H278="Pittsburgh",+NFL!#REF!,0))</f>
        <v>0</v>
      </c>
      <c r="BG509" s="57">
        <f>IF(+NFL!$F278="Pittsburgh",+NFL!#REF!,IF(+NFL!$H278="Pittsburgh",+NFL!#REF!,0))</f>
        <v>0</v>
      </c>
      <c r="BH509" s="64">
        <f>IF(+NFL!$F278="Pittsburgh",+NFL!#REF!,IF(+NFL!$H278="Pittsburgh",+NFL!#REF!,0))</f>
        <v>0</v>
      </c>
      <c r="BI509" s="46">
        <f>IF(+NFL!$F278="Pittsburgh",+NFL!#REF!,IF(+NFL!$H278="Pittsburgh",+NFL!#REF!,0))</f>
        <v>0</v>
      </c>
      <c r="BJ509" s="87">
        <f>IF(+NFL!$F278="Pittsburgh",+NFL!#REF!,IF(+NFL!$H278="Pittsburgh",+NFL!#REF!,0))</f>
        <v>0</v>
      </c>
      <c r="BK509" s="120">
        <f>IF(+NFL!$F278="Pittsburgh",+NFL!#REF!,IF(+NFL!$H278="Pittsburgh",+NFL!#REF!,0))</f>
        <v>0</v>
      </c>
    </row>
    <row r="510" spans="1:63" s="246" customFormat="1" x14ac:dyDescent="0.8">
      <c r="A510" s="46">
        <f>IF(+NFL!$F294="Pittsburgh",+NFL!A294,IF(+NFL!$H294="Pittsburgh",+NFL!A294,0))</f>
        <v>16</v>
      </c>
      <c r="B510" s="348" t="str">
        <f>IF(+NFL!$F294="Pittsburgh",+NFL!B294,IF(+NFL!$H294="Pittsburgh",+NFL!B294,0))</f>
        <v>Sat</v>
      </c>
      <c r="C510" s="48">
        <f>IF(+NFL!$F294="Pittsburgh",+NFL!C294,IF(+NFL!$H294="Pittsburgh",+NFL!C294,0))</f>
        <v>44919</v>
      </c>
      <c r="D510" s="490">
        <f>IF(+NFL!$F294="Pittsburgh",+NFL!D294,IF(+NFL!$H294="Pittsburgh",+NFL!D294,0))</f>
        <v>0.84375</v>
      </c>
      <c r="E510" s="46" t="str">
        <f>IF(+NFL!$F294="Pittsburgh",+NFL!E294,IF(+NFL!$H294="Pittsburgh",+NFL!E294,0))</f>
        <v>CBS</v>
      </c>
      <c r="F510" s="127" t="str">
        <f>IF(+NFL!$F294="Pittsburgh",+NFL!F294,IF(+NFL!$H294="Pittsburgh",+NFL!F294,0))</f>
        <v>Las Vegas</v>
      </c>
      <c r="G510" s="46" t="str">
        <f>IF(+NFL!$F294="Pittsburgh",+NFL!G294,IF(+NFL!$H294="Pittsburgh",+NFL!G294,0))</f>
        <v>AFCW</v>
      </c>
      <c r="H510" s="127" t="str">
        <f>IF(+NFL!$F294="Pittsburgh",+NFL!H294,IF(+NFL!$H294="Pittsburgh",+NFL!H294,0))</f>
        <v>Pittsburgh</v>
      </c>
      <c r="I510" s="46" t="str">
        <f>IF(+NFL!$F294="Pittsburgh",+NFL!I294,IF(+NFL!$H294="Pittsburgh",+NFL!I294,0))</f>
        <v>AFCN</v>
      </c>
      <c r="J510" s="353" t="str">
        <f>IF(+NFL!$F294="Pittsburgh",+NFL!J294,IF(+NFL!$H294="Pittsburgh",+NFL!J294,0))</f>
        <v>Pittsburgh</v>
      </c>
      <c r="K510" s="494" t="str">
        <f>IF(+NFL!$F294="Pittsburgh",+NFL!K294,IF(+NFL!$H294="Pittsburgh",+NFL!K294,0))</f>
        <v>Las Vegas</v>
      </c>
      <c r="L510" s="384">
        <f>IF(+NFL!$F294="Pittsburgh",+NFL!L294,IF(+NFL!$H294="Pittsburgh",+NFL!L294,0))</f>
        <v>2.5</v>
      </c>
      <c r="M510" s="385">
        <f>IF(+NFL!$F294="Pittsburgh",+NFL!M294,IF(+NFL!$H294="Pittsburgh",+NFL!M294,0))</f>
        <v>38</v>
      </c>
      <c r="N510" s="394" t="str">
        <f>IF(+NFL!$F294="Pittsburgh",+NFL!N294,IF(+NFL!$H294="Pittsburgh",+NFL!N294,0))</f>
        <v>Pittsburgh</v>
      </c>
      <c r="O510" s="395">
        <f>IF(+NFL!$F294="Pittsburgh",+NFL!O294,IF(+NFL!$H294="Pittsburgh",+NFL!O294,0))</f>
        <v>13</v>
      </c>
      <c r="P510" s="394" t="str">
        <f>IF(+NFL!$F294="Pittsburgh",+NFL!P294,IF(+NFL!$H294="Pittsburgh",+NFL!P294,0))</f>
        <v>Las Vegas</v>
      </c>
      <c r="Q510" s="396">
        <f>IF(+NFL!$F294="Pittsburgh",+NFL!Q294,IF(+NFL!$H294="Pittsburgh",+NFL!Q294,0))</f>
        <v>10</v>
      </c>
      <c r="R510" s="397" t="str">
        <f>IF(+NFL!$F294="Pittsburgh",+NFL!R294,IF(+NFL!$H294="Pittsburgh",+NFL!R294,0))</f>
        <v>Pittsburgh</v>
      </c>
      <c r="S510" s="396" t="str">
        <f>IF(+NFL!$F294="Pittsburgh",+NFL!S294,IF(+NFL!$H294="Pittsburgh",+NFL!S294,0))</f>
        <v>Las Vegas</v>
      </c>
      <c r="T510" s="398">
        <f>IF(+NFL!$F294="Pittsburgh",+NFL!T294,IF(+NFL!$H294="Pittsburgh",+NFL!T294,0))</f>
        <v>0</v>
      </c>
      <c r="U510" s="396" t="str">
        <f>IF(+NFL!$F294="Pittsburgh",+NFL!U294,IF(+NFL!$H294="Pittsburgh",+NFL!U294,0))</f>
        <v>L</v>
      </c>
      <c r="V510" s="397">
        <f>IF(+NFL!$F295="Pittsburgh",+NFL!#REF!,IF(+NFL!$H295="Pittsburgh",+NFL!#REF!,0))</f>
        <v>0</v>
      </c>
      <c r="W510" s="396">
        <f>IF(+NFL!$F295="Pittsburgh",+NFL!#REF!,IF(+NFL!$H295="Pittsburgh",+NFL!#REF!,0))</f>
        <v>0</v>
      </c>
      <c r="X510" s="398">
        <f>IF(+NFL!$F295="Pittsburgh",+NFL!#REF!,IF(+NFL!$H295="Pittsburgh",+NFL!#REF!,0))</f>
        <v>0</v>
      </c>
      <c r="Y510" s="396">
        <f>IF(+NFL!$F295="Pittsburgh",+NFL!#REF!,IF(+NFL!$H295="Pittsburgh",+NFL!#REF!,0))</f>
        <v>0</v>
      </c>
      <c r="Z510" s="397">
        <f>IF(+NFL!$F295="Pittsburgh",+NFL!#REF!,IF(+NFL!$H295="Pittsburgh",+NFL!#REF!,0))</f>
        <v>0</v>
      </c>
      <c r="AA510" s="396">
        <f>IF(+NFL!$F295="Pittsburgh",+NFL!#REF!,IF(+NFL!$H295="Pittsburgh",+NFL!#REF!,0))</f>
        <v>0</v>
      </c>
      <c r="AB510" s="87">
        <f>IF(+NFL!$F295="Pittsburgh",+NFL!#REF!,IF(+NFL!$H295="Pittsburgh",+NFL!#REF!,0))</f>
        <v>0</v>
      </c>
      <c r="AC510" s="120">
        <f>IF(+NFL!$F295="Pittsburgh",+NFL!#REF!,IF(+NFL!$H295="Pittsburgh",+NFL!#REF!,0))</f>
        <v>0</v>
      </c>
      <c r="AD510" s="353">
        <f>IF(+NFL!$F295="Pittsburgh",+NFL!#REF!,IF(+NFL!$H295="Pittsburgh",+NFL!#REF!,0))</f>
        <v>0</v>
      </c>
      <c r="AE510" s="379">
        <f>IF(+NFL!$F295="Pittsburgh",+NFL!#REF!,IF(+NFL!$H295="Pittsburgh",+NFL!#REF!,0))</f>
        <v>0</v>
      </c>
      <c r="AF510" s="353">
        <f>IF(+NFL!$F295="Pittsburgh",+NFL!#REF!,IF(+NFL!$H295="Pittsburgh",+NFL!#REF!,0))</f>
        <v>0</v>
      </c>
      <c r="AG510" s="379">
        <f>IF(+NFL!$F295="Pittsburgh",+NFL!#REF!,IF(+NFL!$H295="Pittsburgh",+NFL!#REF!,0))</f>
        <v>0</v>
      </c>
      <c r="AH510" s="353">
        <f>IF(+NFL!$F295="Pittsburgh",+NFL!#REF!,IF(+NFL!$H295="Pittsburgh",+NFL!#REF!,0))</f>
        <v>0</v>
      </c>
      <c r="AI510" s="379">
        <f>IF(+NFL!$F295="Pittsburgh",+NFL!#REF!,IF(+NFL!$H295="Pittsburgh",+NFL!#REF!,0))</f>
        <v>0</v>
      </c>
      <c r="AJ510" s="353">
        <f>IF(+NFL!$F295="Pittsburgh",+NFL!#REF!,IF(+NFL!$H295="Pittsburgh",+NFL!#REF!,0))</f>
        <v>0</v>
      </c>
      <c r="AK510" s="379">
        <f>IF(+NFL!$F295="Pittsburgh",+NFL!#REF!,IF(+NFL!$H295="Pittsburgh",+NFL!#REF!,0))</f>
        <v>0</v>
      </c>
      <c r="AL510" s="68">
        <f>IF(+NFL!$F295="Pittsburgh",+NFL!#REF!,IF(+NFL!$H295="Pittsburgh",+NFL!#REF!,0))</f>
        <v>0</v>
      </c>
      <c r="AM510" s="58">
        <f>IF(+NFL!$F295="Pittsburgh",+NFL!#REF!,IF(+NFL!$H295="Pittsburgh",+NFL!#REF!,0))</f>
        <v>0</v>
      </c>
      <c r="AN510" s="57">
        <f>IF(+NFL!$F295="Pittsburgh",+NFL!#REF!,IF(+NFL!$H295="Pittsburgh",+NFL!#REF!,0))</f>
        <v>0</v>
      </c>
      <c r="AO510" s="59">
        <f>IF(+NFL!$F295="Pittsburgh",+NFL!#REF!,IF(+NFL!$H295="Pittsburgh",+NFL!#REF!,0))</f>
        <v>0</v>
      </c>
      <c r="AP510" s="348">
        <f>IF(+NFL!$F295="Pittsburgh",+NFL!#REF!,IF(+NFL!$H295="Pittsburgh",+NFL!#REF!,0))</f>
        <v>0</v>
      </c>
      <c r="AQ510" s="48">
        <f>IF(+NFL!$F295="Pittsburgh",+NFL!#REF!,IF(+NFL!$H295="Pittsburgh",+NFL!#REF!,0))</f>
        <v>0</v>
      </c>
      <c r="AR510" s="57">
        <f>IF(+NFL!$F295="Pittsburgh",+NFL!#REF!,IF(+NFL!$H295="Pittsburgh",+NFL!#REF!,0))</f>
        <v>0</v>
      </c>
      <c r="AS510" s="64">
        <f>IF(+NFL!$F295="Pittsburgh",+NFL!#REF!,IF(+NFL!$H295="Pittsburgh",+NFL!#REF!,0))</f>
        <v>0</v>
      </c>
      <c r="AT510" s="64">
        <f>IF(+NFL!$F295="Pittsburgh",+NFL!#REF!,IF(+NFL!$H295="Pittsburgh",+NFL!#REF!,0))</f>
        <v>0</v>
      </c>
      <c r="AU510" s="57">
        <f>IF(+NFL!$F295="Pittsburgh",+NFL!#REF!,IF(+NFL!$H295="Pittsburgh",+NFL!#REF!,0))</f>
        <v>0</v>
      </c>
      <c r="AV510" s="64">
        <f>IF(+NFL!$F295="Pittsburgh",+NFL!#REF!,IF(+NFL!$H295="Pittsburgh",+NFL!#REF!,0))</f>
        <v>0</v>
      </c>
      <c r="AW510" s="46">
        <f>IF(+NFL!$F295="Pittsburgh",+NFL!#REF!,IF(+NFL!$H295="Pittsburgh",+NFL!#REF!,0))</f>
        <v>0</v>
      </c>
      <c r="AX510" s="64">
        <f>IF(+NFL!$F295="Pittsburgh",+NFL!#REF!,IF(+NFL!$H295="Pittsburgh",+NFL!#REF!,0))</f>
        <v>0</v>
      </c>
      <c r="AY510" s="57">
        <f>IF(+NFL!$F295="Pittsburgh",+NFL!#REF!,IF(+NFL!$H295="Pittsburgh",+NFL!#REF!,0))</f>
        <v>0</v>
      </c>
      <c r="AZ510" s="64">
        <f>IF(+NFL!$F295="Pittsburgh",+NFL!#REF!,IF(+NFL!$H295="Pittsburgh",+NFL!#REF!,0))</f>
        <v>0</v>
      </c>
      <c r="BA510" s="46">
        <f>IF(+NFL!$F295="Pittsburgh",+NFL!#REF!,IF(+NFL!$H295="Pittsburgh",+NFL!#REF!,0))</f>
        <v>0</v>
      </c>
      <c r="BB510" s="46">
        <f>IF(+NFL!$F295="Pittsburgh",+NFL!#REF!,IF(+NFL!$H295="Pittsburgh",+NFL!#REF!,0))</f>
        <v>0</v>
      </c>
      <c r="BC510" s="403">
        <f>IF(+NFL!$F295="Pittsburgh",+NFL!#REF!,IF(+NFL!$H295="Pittsburgh",+NFL!#REF!,0))</f>
        <v>0</v>
      </c>
      <c r="BD510" s="57">
        <f>IF(+NFL!$F295="Pittsburgh",+NFL!#REF!,IF(+NFL!$H295="Pittsburgh",+NFL!#REF!,0))</f>
        <v>0</v>
      </c>
      <c r="BE510" s="64">
        <f>IF(+NFL!$F295="Pittsburgh",+NFL!#REF!,IF(+NFL!$H295="Pittsburgh",+NFL!#REF!,0))</f>
        <v>0</v>
      </c>
      <c r="BF510" s="46">
        <f>IF(+NFL!$F295="Pittsburgh",+NFL!#REF!,IF(+NFL!$H295="Pittsburgh",+NFL!#REF!,0))</f>
        <v>0</v>
      </c>
      <c r="BG510" s="57">
        <f>IF(+NFL!$F295="Pittsburgh",+NFL!#REF!,IF(+NFL!$H295="Pittsburgh",+NFL!#REF!,0))</f>
        <v>0</v>
      </c>
      <c r="BH510" s="64">
        <f>IF(+NFL!$F295="Pittsburgh",+NFL!#REF!,IF(+NFL!$H295="Pittsburgh",+NFL!#REF!,0))</f>
        <v>0</v>
      </c>
      <c r="BI510" s="46">
        <f>IF(+NFL!$F295="Pittsburgh",+NFL!#REF!,IF(+NFL!$H295="Pittsburgh",+NFL!#REF!,0))</f>
        <v>0</v>
      </c>
      <c r="BJ510" s="87">
        <f>IF(+NFL!$F295="Pittsburgh",+NFL!#REF!,IF(+NFL!$H295="Pittsburgh",+NFL!#REF!,0))</f>
        <v>0</v>
      </c>
      <c r="BK510" s="120">
        <f>IF(+NFL!$F295="Pittsburgh",+NFL!#REF!,IF(+NFL!$H295="Pittsburgh",+NFL!#REF!,0))</f>
        <v>0</v>
      </c>
    </row>
    <row r="511" spans="1:63" s="246" customFormat="1" x14ac:dyDescent="0.8">
      <c r="A511" s="46">
        <f>IF(+NFL!$F309="Pittsburgh",+NFL!A309,IF(+NFL!$H309="Pittsburgh",+NFL!A309,0))</f>
        <v>17</v>
      </c>
      <c r="B511" s="348" t="str">
        <f>IF(+NFL!$F309="Pittsburgh",+NFL!B309,IF(+NFL!$H309="Pittsburgh",+NFL!B309,0))</f>
        <v>Sun</v>
      </c>
      <c r="C511" s="48">
        <f>IF(+NFL!$F309="Pittsburgh",+NFL!C309,IF(+NFL!$H309="Pittsburgh",+NFL!C309,0))</f>
        <v>44927</v>
      </c>
      <c r="D511" s="490">
        <f>IF(+NFL!$F309="Pittsburgh",+NFL!D309,IF(+NFL!$H309="Pittsburgh",+NFL!D309,0))</f>
        <v>0.54166666666666663</v>
      </c>
      <c r="E511" s="46" t="str">
        <f>IF(+NFL!$F309="Pittsburgh",+NFL!E309,IF(+NFL!$H309="Pittsburgh",+NFL!E309,0))</f>
        <v>CBS</v>
      </c>
      <c r="F511" s="127" t="str">
        <f>IF(+NFL!$F309="Pittsburgh",+NFL!F309,IF(+NFL!$H309="Pittsburgh",+NFL!F309,0))</f>
        <v>Pittsburgh</v>
      </c>
      <c r="G511" s="46" t="str">
        <f>IF(+NFL!$F309="Pittsburgh",+NFL!G309,IF(+NFL!$H309="Pittsburgh",+NFL!G309,0))</f>
        <v>AFCN</v>
      </c>
      <c r="H511" s="127" t="str">
        <f>IF(+NFL!$F309="Pittsburgh",+NFL!H309,IF(+NFL!$H309="Pittsburgh",+NFL!H309,0))</f>
        <v>Baltimore</v>
      </c>
      <c r="I511" s="46" t="str">
        <f>IF(+NFL!$F309="Pittsburgh",+NFL!I309,IF(+NFL!$H309="Pittsburgh",+NFL!I309,0))</f>
        <v>AFCN</v>
      </c>
      <c r="J511" s="353" t="str">
        <f>IF(+NFL!$F309="Pittsburgh",+NFL!J309,IF(+NFL!$H309="Pittsburgh",+NFL!J309,0))</f>
        <v>Baltimore</v>
      </c>
      <c r="K511" s="494" t="str">
        <f>IF(+NFL!$F309="Pittsburgh",+NFL!K309,IF(+NFL!$H309="Pittsburgh",+NFL!K309,0))</f>
        <v>Pittsburgh</v>
      </c>
      <c r="L511" s="384">
        <f>IF(+NFL!$F309="Pittsburgh",+NFL!L309,IF(+NFL!$H309="Pittsburgh",+NFL!L309,0))</f>
        <v>1</v>
      </c>
      <c r="M511" s="385">
        <f>IF(+NFL!$F309="Pittsburgh",+NFL!M309,IF(+NFL!$H309="Pittsburgh",+NFL!M309,0))</f>
        <v>35.5</v>
      </c>
      <c r="N511" s="394" t="str">
        <f>IF(+NFL!$F309="Pittsburgh",+NFL!N309,IF(+NFL!$H309="Pittsburgh",+NFL!N309,0))</f>
        <v>Pittsburgh</v>
      </c>
      <c r="O511" s="395">
        <f>IF(+NFL!$F309="Pittsburgh",+NFL!O309,IF(+NFL!$H309="Pittsburgh",+NFL!O309,0))</f>
        <v>16</v>
      </c>
      <c r="P511" s="394" t="str">
        <f>IF(+NFL!$F309="Pittsburgh",+NFL!P309,IF(+NFL!$H309="Pittsburgh",+NFL!P309,0))</f>
        <v>Baltimore</v>
      </c>
      <c r="Q511" s="396">
        <f>IF(+NFL!$F309="Pittsburgh",+NFL!Q309,IF(+NFL!$H309="Pittsburgh",+NFL!Q309,0))</f>
        <v>13</v>
      </c>
      <c r="R511" s="397" t="str">
        <f>IF(+NFL!$F309="Pittsburgh",+NFL!R309,IF(+NFL!$H309="Pittsburgh",+NFL!R309,0))</f>
        <v>Pittsburgh</v>
      </c>
      <c r="S511" s="396" t="str">
        <f>IF(+NFL!$F309="Pittsburgh",+NFL!S309,IF(+NFL!$H309="Pittsburgh",+NFL!S309,0))</f>
        <v>Baltimore</v>
      </c>
      <c r="T511" s="398">
        <f>IF(+NFL!$F309="Pittsburgh",+NFL!T309,IF(+NFL!$H309="Pittsburgh",+NFL!T309,0))</f>
        <v>0</v>
      </c>
      <c r="U511" s="396" t="str">
        <f>IF(+NFL!$F309="Pittsburgh",+NFL!U309,IF(+NFL!$H309="Pittsburgh",+NFL!U309,0))</f>
        <v>L</v>
      </c>
      <c r="V511" s="397">
        <f>IF(+NFL!$F307="Pittsburgh",+NFL!#REF!,IF(+NFL!$H307="Pittsburgh",+NFL!#REF!,0))</f>
        <v>0</v>
      </c>
      <c r="W511" s="396">
        <f>IF(+NFL!$F307="Pittsburgh",+NFL!#REF!,IF(+NFL!$H307="Pittsburgh",+NFL!#REF!,0))</f>
        <v>0</v>
      </c>
      <c r="X511" s="398">
        <f>IF(+NFL!$F307="Pittsburgh",+NFL!#REF!,IF(+NFL!$H307="Pittsburgh",+NFL!#REF!,0))</f>
        <v>0</v>
      </c>
      <c r="Y511" s="396">
        <f>IF(+NFL!$F307="Pittsburgh",+NFL!#REF!,IF(+NFL!$H307="Pittsburgh",+NFL!#REF!,0))</f>
        <v>0</v>
      </c>
      <c r="Z511" s="397">
        <f>IF(+NFL!$F307="Pittsburgh",+NFL!#REF!,IF(+NFL!$H307="Pittsburgh",+NFL!#REF!,0))</f>
        <v>0</v>
      </c>
      <c r="AA511" s="396">
        <f>IF(+NFL!$F307="Pittsburgh",+NFL!#REF!,IF(+NFL!$H307="Pittsburgh",+NFL!#REF!,0))</f>
        <v>0</v>
      </c>
      <c r="AB511" s="87">
        <f>IF(+NFL!$F307="Pittsburgh",+NFL!#REF!,IF(+NFL!$H307="Pittsburgh",+NFL!#REF!,0))</f>
        <v>0</v>
      </c>
      <c r="AC511" s="120">
        <f>IF(+NFL!$F307="Pittsburgh",+NFL!#REF!,IF(+NFL!$H307="Pittsburgh",+NFL!#REF!,0))</f>
        <v>0</v>
      </c>
      <c r="AD511" s="353">
        <f>IF(+NFL!$F307="Pittsburgh",+NFL!#REF!,IF(+NFL!$H307="Pittsburgh",+NFL!#REF!,0))</f>
        <v>0</v>
      </c>
      <c r="AE511" s="379">
        <f>IF(+NFL!$F307="Pittsburgh",+NFL!#REF!,IF(+NFL!$H307="Pittsburgh",+NFL!#REF!,0))</f>
        <v>0</v>
      </c>
      <c r="AF511" s="353">
        <f>IF(+NFL!$F307="Pittsburgh",+NFL!#REF!,IF(+NFL!$H307="Pittsburgh",+NFL!#REF!,0))</f>
        <v>0</v>
      </c>
      <c r="AG511" s="379">
        <f>IF(+NFL!$F307="Pittsburgh",+NFL!#REF!,IF(+NFL!$H307="Pittsburgh",+NFL!#REF!,0))</f>
        <v>0</v>
      </c>
      <c r="AH511" s="353">
        <f>IF(+NFL!$F307="Pittsburgh",+NFL!#REF!,IF(+NFL!$H307="Pittsburgh",+NFL!#REF!,0))</f>
        <v>0</v>
      </c>
      <c r="AI511" s="379">
        <f>IF(+NFL!$F307="Pittsburgh",+NFL!#REF!,IF(+NFL!$H307="Pittsburgh",+NFL!#REF!,0))</f>
        <v>0</v>
      </c>
      <c r="AJ511" s="353">
        <f>IF(+NFL!$F307="Pittsburgh",+NFL!#REF!,IF(+NFL!$H307="Pittsburgh",+NFL!#REF!,0))</f>
        <v>0</v>
      </c>
      <c r="AK511" s="379">
        <f>IF(+NFL!$F307="Pittsburgh",+NFL!#REF!,IF(+NFL!$H307="Pittsburgh",+NFL!#REF!,0))</f>
        <v>0</v>
      </c>
      <c r="AL511" s="68">
        <f>IF(+NFL!$F307="Pittsburgh",+NFL!#REF!,IF(+NFL!$H307="Pittsburgh",+NFL!#REF!,0))</f>
        <v>0</v>
      </c>
      <c r="AM511" s="58">
        <f>IF(+NFL!$F307="Pittsburgh",+NFL!#REF!,IF(+NFL!$H307="Pittsburgh",+NFL!#REF!,0))</f>
        <v>0</v>
      </c>
      <c r="AN511" s="57">
        <f>IF(+NFL!$F307="Pittsburgh",+NFL!#REF!,IF(+NFL!$H307="Pittsburgh",+NFL!#REF!,0))</f>
        <v>0</v>
      </c>
      <c r="AO511" s="59">
        <f>IF(+NFL!$F307="Pittsburgh",+NFL!#REF!,IF(+NFL!$H307="Pittsburgh",+NFL!#REF!,0))</f>
        <v>0</v>
      </c>
      <c r="AP511" s="348">
        <f>IF(+NFL!$F307="Pittsburgh",+NFL!#REF!,IF(+NFL!$H307="Pittsburgh",+NFL!#REF!,0))</f>
        <v>0</v>
      </c>
      <c r="AQ511" s="48">
        <f>IF(+NFL!$F307="Pittsburgh",+NFL!#REF!,IF(+NFL!$H307="Pittsburgh",+NFL!#REF!,0))</f>
        <v>0</v>
      </c>
      <c r="AR511" s="57">
        <f>IF(+NFL!$F307="Pittsburgh",+NFL!#REF!,IF(+NFL!$H307="Pittsburgh",+NFL!#REF!,0))</f>
        <v>0</v>
      </c>
      <c r="AS511" s="64">
        <f>IF(+NFL!$F307="Pittsburgh",+NFL!#REF!,IF(+NFL!$H307="Pittsburgh",+NFL!#REF!,0))</f>
        <v>0</v>
      </c>
      <c r="AT511" s="64">
        <f>IF(+NFL!$F307="Pittsburgh",+NFL!#REF!,IF(+NFL!$H307="Pittsburgh",+NFL!#REF!,0))</f>
        <v>0</v>
      </c>
      <c r="AU511" s="57">
        <f>IF(+NFL!$F307="Pittsburgh",+NFL!#REF!,IF(+NFL!$H307="Pittsburgh",+NFL!#REF!,0))</f>
        <v>0</v>
      </c>
      <c r="AV511" s="64">
        <f>IF(+NFL!$F307="Pittsburgh",+NFL!#REF!,IF(+NFL!$H307="Pittsburgh",+NFL!#REF!,0))</f>
        <v>0</v>
      </c>
      <c r="AW511" s="46">
        <f>IF(+NFL!$F307="Pittsburgh",+NFL!#REF!,IF(+NFL!$H307="Pittsburgh",+NFL!#REF!,0))</f>
        <v>0</v>
      </c>
      <c r="AX511" s="64">
        <f>IF(+NFL!$F307="Pittsburgh",+NFL!#REF!,IF(+NFL!$H307="Pittsburgh",+NFL!#REF!,0))</f>
        <v>0</v>
      </c>
      <c r="AY511" s="57">
        <f>IF(+NFL!$F307="Pittsburgh",+NFL!#REF!,IF(+NFL!$H307="Pittsburgh",+NFL!#REF!,0))</f>
        <v>0</v>
      </c>
      <c r="AZ511" s="64">
        <f>IF(+NFL!$F307="Pittsburgh",+NFL!#REF!,IF(+NFL!$H307="Pittsburgh",+NFL!#REF!,0))</f>
        <v>0</v>
      </c>
      <c r="BA511" s="46">
        <f>IF(+NFL!$F307="Pittsburgh",+NFL!#REF!,IF(+NFL!$H307="Pittsburgh",+NFL!#REF!,0))</f>
        <v>0</v>
      </c>
      <c r="BB511" s="46">
        <f>IF(+NFL!$F307="Pittsburgh",+NFL!#REF!,IF(+NFL!$H307="Pittsburgh",+NFL!#REF!,0))</f>
        <v>0</v>
      </c>
      <c r="BC511" s="403">
        <f>IF(+NFL!$F307="Pittsburgh",+NFL!#REF!,IF(+NFL!$H307="Pittsburgh",+NFL!#REF!,0))</f>
        <v>0</v>
      </c>
      <c r="BD511" s="57">
        <f>IF(+NFL!$F307="Pittsburgh",+NFL!#REF!,IF(+NFL!$H307="Pittsburgh",+NFL!#REF!,0))</f>
        <v>0</v>
      </c>
      <c r="BE511" s="64">
        <f>IF(+NFL!$F307="Pittsburgh",+NFL!#REF!,IF(+NFL!$H307="Pittsburgh",+NFL!#REF!,0))</f>
        <v>0</v>
      </c>
      <c r="BF511" s="46">
        <f>IF(+NFL!$F307="Pittsburgh",+NFL!#REF!,IF(+NFL!$H307="Pittsburgh",+NFL!#REF!,0))</f>
        <v>0</v>
      </c>
      <c r="BG511" s="57">
        <f>IF(+NFL!$F307="Pittsburgh",+NFL!#REF!,IF(+NFL!$H307="Pittsburgh",+NFL!#REF!,0))</f>
        <v>0</v>
      </c>
      <c r="BH511" s="64">
        <f>IF(+NFL!$F307="Pittsburgh",+NFL!#REF!,IF(+NFL!$H307="Pittsburgh",+NFL!#REF!,0))</f>
        <v>0</v>
      </c>
      <c r="BI511" s="46">
        <f>IF(+NFL!$F307="Pittsburgh",+NFL!#REF!,IF(+NFL!$H307="Pittsburgh",+NFL!#REF!,0))</f>
        <v>0</v>
      </c>
      <c r="BJ511" s="87">
        <f>IF(+NFL!$F307="Pittsburgh",+NFL!#REF!,IF(+NFL!$H307="Pittsburgh",+NFL!#REF!,0))</f>
        <v>0</v>
      </c>
      <c r="BK511" s="120">
        <f>IF(+NFL!$F307="Pittsburgh",+NFL!#REF!,IF(+NFL!$H307="Pittsburgh",+NFL!#REF!,0))</f>
        <v>0</v>
      </c>
    </row>
    <row r="512" spans="1:63" s="246" customFormat="1" x14ac:dyDescent="0.8">
      <c r="A512" s="46">
        <f>IF(+NFL!$F327="Pittsburgh",+NFL!A327,IF(+NFL!$H327="Pittsburgh",+NFL!A327,0))</f>
        <v>0</v>
      </c>
      <c r="B512" s="348">
        <f>IF(+NFL!$F327="Pittsburgh",+NFL!B327,IF(+NFL!$H327="Pittsburgh",+NFL!B327,0))</f>
        <v>0</v>
      </c>
      <c r="C512" s="48">
        <f>IF(+NFL!$F327="Pittsburgh",+NFL!C327,IF(+NFL!$H327="Pittsburgh",+NFL!C327,0))</f>
        <v>0</v>
      </c>
      <c r="D512" s="490">
        <f>IF(+NFL!$F327="Pittsburgh",+NFL!D327,IF(+NFL!$H327="Pittsburgh",+NFL!D327,0))</f>
        <v>0</v>
      </c>
      <c r="E512" s="46">
        <f>IF(+NFL!$F327="Pittsburgh",+NFL!E327,IF(+NFL!$H327="Pittsburgh",+NFL!E327,0))</f>
        <v>0</v>
      </c>
      <c r="F512" s="127">
        <f>IF(+NFL!$F327="Pittsburgh",+NFL!F327,IF(+NFL!$H327="Pittsburgh",+NFL!F327,0))</f>
        <v>0</v>
      </c>
      <c r="G512" s="46">
        <f>IF(+NFL!$F327="Pittsburgh",+NFL!G327,IF(+NFL!$H327="Pittsburgh",+NFL!G327,0))</f>
        <v>0</v>
      </c>
      <c r="H512" s="127">
        <f>IF(+NFL!$F327="Pittsburgh",+NFL!H327,IF(+NFL!$H327="Pittsburgh",+NFL!H327,0))</f>
        <v>0</v>
      </c>
      <c r="I512" s="46">
        <f>IF(+NFL!$F327="Pittsburgh",+NFL!I327,IF(+NFL!$H327="Pittsburgh",+NFL!I327,0))</f>
        <v>0</v>
      </c>
      <c r="J512" s="353">
        <f>IF(+NFL!$F327="Pittsburgh",+NFL!J327,IF(+NFL!$H327="Pittsburgh",+NFL!J327,0))</f>
        <v>0</v>
      </c>
      <c r="K512" s="494">
        <f>IF(+NFL!$F327="Pittsburgh",+NFL!K327,IF(+NFL!$H327="Pittsburgh",+NFL!K327,0))</f>
        <v>0</v>
      </c>
      <c r="L512" s="384">
        <f>IF(+NFL!$F327="Pittsburgh",+NFL!L327,IF(+NFL!$H327="Pittsburgh",+NFL!L327,0))</f>
        <v>0</v>
      </c>
      <c r="M512" s="385">
        <f>IF(+NFL!$F327="Pittsburgh",+NFL!M327,IF(+NFL!$H327="Pittsburgh",+NFL!M327,0))</f>
        <v>0</v>
      </c>
      <c r="N512" s="394">
        <f>IF(+NFL!$F327="Pittsburgh",+NFL!N327,IF(+NFL!$H327="Pittsburgh",+NFL!N327,0))</f>
        <v>0</v>
      </c>
      <c r="O512" s="395">
        <f>IF(+NFL!$F327="Pittsburgh",+NFL!O327,IF(+NFL!$H327="Pittsburgh",+NFL!O327,0))</f>
        <v>0</v>
      </c>
      <c r="P512" s="394">
        <f>IF(+NFL!$F327="Pittsburgh",+NFL!P327,IF(+NFL!$H327="Pittsburgh",+NFL!P327,0))</f>
        <v>0</v>
      </c>
      <c r="Q512" s="396">
        <f>IF(+NFL!$F327="Pittsburgh",+NFL!Q327,IF(+NFL!$H327="Pittsburgh",+NFL!Q327,0))</f>
        <v>0</v>
      </c>
      <c r="R512" s="397">
        <f>IF(+NFL!$F327="Pittsburgh",+NFL!R327,IF(+NFL!$H327="Pittsburgh",+NFL!R327,0))</f>
        <v>0</v>
      </c>
      <c r="S512" s="396">
        <f>IF(+NFL!$F327="Pittsburgh",+NFL!S327,IF(+NFL!$H327="Pittsburgh",+NFL!S327,0))</f>
        <v>0</v>
      </c>
      <c r="T512" s="398">
        <f>IF(+NFL!$F327="Pittsburgh",+NFL!T327,IF(+NFL!$H327="Pittsburgh",+NFL!T327,0))</f>
        <v>0</v>
      </c>
      <c r="U512" s="396">
        <f>IF(+NFL!$F327="Pittsburgh",+NFL!U327,IF(+NFL!$H327="Pittsburgh",+NFL!U327,0))</f>
        <v>0</v>
      </c>
      <c r="V512" s="397">
        <f>IF(+NFL!$F323="Pittsburgh",+NFL!#REF!,IF(+NFL!$H323="Pittsburgh",+NFL!#REF!,0))</f>
        <v>0</v>
      </c>
      <c r="W512" s="396">
        <f>IF(+NFL!$F323="Pittsburgh",+NFL!#REF!,IF(+NFL!$H323="Pittsburgh",+NFL!#REF!,0))</f>
        <v>0</v>
      </c>
      <c r="X512" s="398">
        <f>IF(+NFL!$F323="Pittsburgh",+NFL!#REF!,IF(+NFL!$H323="Pittsburgh",+NFL!#REF!,0))</f>
        <v>0</v>
      </c>
      <c r="Y512" s="396">
        <f>IF(+NFL!$F323="Pittsburgh",+NFL!#REF!,IF(+NFL!$H323="Pittsburgh",+NFL!#REF!,0))</f>
        <v>0</v>
      </c>
      <c r="Z512" s="397">
        <f>IF(+NFL!$F323="Pittsburgh",+NFL!#REF!,IF(+NFL!$H323="Pittsburgh",+NFL!#REF!,0))</f>
        <v>0</v>
      </c>
      <c r="AA512" s="396">
        <f>IF(+NFL!$F323="Pittsburgh",+NFL!#REF!,IF(+NFL!$H323="Pittsburgh",+NFL!#REF!,0))</f>
        <v>0</v>
      </c>
      <c r="AB512" s="87">
        <f>IF(+NFL!$F323="Pittsburgh",+NFL!#REF!,IF(+NFL!$H323="Pittsburgh",+NFL!#REF!,0))</f>
        <v>0</v>
      </c>
      <c r="AC512" s="120">
        <f>IF(+NFL!$F323="Pittsburgh",+NFL!#REF!,IF(+NFL!$H323="Pittsburgh",+NFL!#REF!,0))</f>
        <v>0</v>
      </c>
      <c r="AD512" s="353">
        <f>IF(+NFL!$F323="Pittsburgh",+NFL!#REF!,IF(+NFL!$H323="Pittsburgh",+NFL!#REF!,0))</f>
        <v>0</v>
      </c>
      <c r="AE512" s="379">
        <f>IF(+NFL!$F323="Pittsburgh",+NFL!#REF!,IF(+NFL!$H323="Pittsburgh",+NFL!#REF!,0))</f>
        <v>0</v>
      </c>
      <c r="AF512" s="353">
        <f>IF(+NFL!$F323="Pittsburgh",+NFL!#REF!,IF(+NFL!$H323="Pittsburgh",+NFL!#REF!,0))</f>
        <v>0</v>
      </c>
      <c r="AG512" s="379">
        <f>IF(+NFL!$F323="Pittsburgh",+NFL!#REF!,IF(+NFL!$H323="Pittsburgh",+NFL!#REF!,0))</f>
        <v>0</v>
      </c>
      <c r="AH512" s="353">
        <f>IF(+NFL!$F323="Pittsburgh",+NFL!#REF!,IF(+NFL!$H323="Pittsburgh",+NFL!#REF!,0))</f>
        <v>0</v>
      </c>
      <c r="AI512" s="379">
        <f>IF(+NFL!$F323="Pittsburgh",+NFL!#REF!,IF(+NFL!$H323="Pittsburgh",+NFL!#REF!,0))</f>
        <v>0</v>
      </c>
      <c r="AJ512" s="353">
        <f>IF(+NFL!$F323="Pittsburgh",+NFL!#REF!,IF(+NFL!$H323="Pittsburgh",+NFL!#REF!,0))</f>
        <v>0</v>
      </c>
      <c r="AK512" s="379">
        <f>IF(+NFL!$F323="Pittsburgh",+NFL!#REF!,IF(+NFL!$H323="Pittsburgh",+NFL!#REF!,0))</f>
        <v>0</v>
      </c>
      <c r="AL512" s="68">
        <f>IF(+NFL!$F323="Pittsburgh",+NFL!#REF!,IF(+NFL!$H323="Pittsburgh",+NFL!#REF!,0))</f>
        <v>0</v>
      </c>
      <c r="AM512" s="58">
        <f>IF(+NFL!$F323="Pittsburgh",+NFL!#REF!,IF(+NFL!$H323="Pittsburgh",+NFL!#REF!,0))</f>
        <v>0</v>
      </c>
      <c r="AN512" s="57">
        <f>IF(+NFL!$F323="Pittsburgh",+NFL!#REF!,IF(+NFL!$H323="Pittsburgh",+NFL!#REF!,0))</f>
        <v>0</v>
      </c>
      <c r="AO512" s="59">
        <f>IF(+NFL!$F323="Pittsburgh",+NFL!#REF!,IF(+NFL!$H323="Pittsburgh",+NFL!#REF!,0))</f>
        <v>0</v>
      </c>
      <c r="AP512" s="348">
        <f>IF(+NFL!$F323="Pittsburgh",+NFL!#REF!,IF(+NFL!$H323="Pittsburgh",+NFL!#REF!,0))</f>
        <v>0</v>
      </c>
      <c r="AQ512" s="48">
        <f>IF(+NFL!$F323="Pittsburgh",+NFL!#REF!,IF(+NFL!$H323="Pittsburgh",+NFL!#REF!,0))</f>
        <v>0</v>
      </c>
      <c r="AR512" s="57">
        <f>IF(+NFL!$F323="Pittsburgh",+NFL!#REF!,IF(+NFL!$H323="Pittsburgh",+NFL!#REF!,0))</f>
        <v>0</v>
      </c>
      <c r="AS512" s="64">
        <f>IF(+NFL!$F323="Pittsburgh",+NFL!#REF!,IF(+NFL!$H323="Pittsburgh",+NFL!#REF!,0))</f>
        <v>0</v>
      </c>
      <c r="AT512" s="64">
        <f>IF(+NFL!$F323="Pittsburgh",+NFL!#REF!,IF(+NFL!$H323="Pittsburgh",+NFL!#REF!,0))</f>
        <v>0</v>
      </c>
      <c r="AU512" s="57">
        <f>IF(+NFL!$F323="Pittsburgh",+NFL!#REF!,IF(+NFL!$H323="Pittsburgh",+NFL!#REF!,0))</f>
        <v>0</v>
      </c>
      <c r="AV512" s="64">
        <f>IF(+NFL!$F323="Pittsburgh",+NFL!#REF!,IF(+NFL!$H323="Pittsburgh",+NFL!#REF!,0))</f>
        <v>0</v>
      </c>
      <c r="AW512" s="46">
        <f>IF(+NFL!$F323="Pittsburgh",+NFL!#REF!,IF(+NFL!$H323="Pittsburgh",+NFL!#REF!,0))</f>
        <v>0</v>
      </c>
      <c r="AX512" s="64">
        <f>IF(+NFL!$F323="Pittsburgh",+NFL!#REF!,IF(+NFL!$H323="Pittsburgh",+NFL!#REF!,0))</f>
        <v>0</v>
      </c>
      <c r="AY512" s="57">
        <f>IF(+NFL!$F323="Pittsburgh",+NFL!#REF!,IF(+NFL!$H323="Pittsburgh",+NFL!#REF!,0))</f>
        <v>0</v>
      </c>
      <c r="AZ512" s="64">
        <f>IF(+NFL!$F323="Pittsburgh",+NFL!#REF!,IF(+NFL!$H323="Pittsburgh",+NFL!#REF!,0))</f>
        <v>0</v>
      </c>
      <c r="BA512" s="46">
        <f>IF(+NFL!$F323="Pittsburgh",+NFL!#REF!,IF(+NFL!$H323="Pittsburgh",+NFL!#REF!,0))</f>
        <v>0</v>
      </c>
      <c r="BB512" s="46">
        <f>IF(+NFL!$F323="Pittsburgh",+NFL!#REF!,IF(+NFL!$H323="Pittsburgh",+NFL!#REF!,0))</f>
        <v>0</v>
      </c>
      <c r="BC512" s="403">
        <f>IF(+NFL!$F323="Pittsburgh",+NFL!#REF!,IF(+NFL!$H323="Pittsburgh",+NFL!#REF!,0))</f>
        <v>0</v>
      </c>
      <c r="BD512" s="57">
        <f>IF(+NFL!$F323="Pittsburgh",+NFL!#REF!,IF(+NFL!$H323="Pittsburgh",+NFL!#REF!,0))</f>
        <v>0</v>
      </c>
      <c r="BE512" s="64">
        <f>IF(+NFL!$F323="Pittsburgh",+NFL!#REF!,IF(+NFL!$H323="Pittsburgh",+NFL!#REF!,0))</f>
        <v>0</v>
      </c>
      <c r="BF512" s="46">
        <f>IF(+NFL!$F323="Pittsburgh",+NFL!#REF!,IF(+NFL!$H323="Pittsburgh",+NFL!#REF!,0))</f>
        <v>0</v>
      </c>
      <c r="BG512" s="57">
        <f>IF(+NFL!$F323="Pittsburgh",+NFL!#REF!,IF(+NFL!$H323="Pittsburgh",+NFL!#REF!,0))</f>
        <v>0</v>
      </c>
      <c r="BH512" s="64">
        <f>IF(+NFL!$F323="Pittsburgh",+NFL!#REF!,IF(+NFL!$H323="Pittsburgh",+NFL!#REF!,0))</f>
        <v>0</v>
      </c>
      <c r="BI512" s="46">
        <f>IF(+NFL!$F323="Pittsburgh",+NFL!#REF!,IF(+NFL!$H323="Pittsburgh",+NFL!#REF!,0))</f>
        <v>0</v>
      </c>
      <c r="BJ512" s="87">
        <f>IF(+NFL!$F323="Pittsburgh",+NFL!#REF!,IF(+NFL!$H323="Pittsburgh",+NFL!#REF!,0))</f>
        <v>0</v>
      </c>
      <c r="BK512" s="120">
        <f>IF(+NFL!$F323="Pittsburgh",+NFL!#REF!,IF(+NFL!$H323="Pittsburgh",+NFL!#REF!,0))</f>
        <v>0</v>
      </c>
    </row>
    <row r="513" spans="1:63" s="246" customFormat="1" x14ac:dyDescent="0.8">
      <c r="A513" s="46"/>
      <c r="B513" s="348"/>
      <c r="C513" s="48"/>
      <c r="D513" s="49"/>
      <c r="E513" s="46"/>
      <c r="F513" s="959" t="str">
        <f>F514</f>
        <v>San Francisco</v>
      </c>
      <c r="G513" s="960"/>
      <c r="H513" s="960"/>
      <c r="I513" s="961"/>
      <c r="J513" s="353"/>
      <c r="K513" s="364"/>
      <c r="L513" s="384"/>
      <c r="M513" s="385"/>
      <c r="N513" s="394"/>
      <c r="O513" s="395"/>
      <c r="P513" s="394"/>
      <c r="Q513" s="396"/>
      <c r="R513" s="397"/>
      <c r="S513" s="396"/>
      <c r="T513" s="398"/>
      <c r="U513" s="396"/>
      <c r="V513" s="397"/>
      <c r="W513" s="396"/>
      <c r="X513" s="398"/>
      <c r="Y513" s="396"/>
      <c r="Z513" s="397"/>
      <c r="AA513" s="396"/>
      <c r="AB513" s="87"/>
      <c r="AC513" s="120"/>
      <c r="AD513" s="353"/>
      <c r="AE513" s="379"/>
      <c r="AF513" s="353"/>
      <c r="AG513" s="379"/>
      <c r="AH513" s="353"/>
      <c r="AI513" s="379"/>
      <c r="AJ513" s="353"/>
      <c r="AK513" s="379"/>
      <c r="AL513" s="68"/>
      <c r="AM513" s="58"/>
      <c r="AN513" s="57"/>
      <c r="AO513" s="59"/>
      <c r="AP513" s="348"/>
      <c r="AQ513" s="348"/>
      <c r="AR513" s="57"/>
      <c r="AS513" s="64"/>
      <c r="AT513" s="64"/>
      <c r="AU513" s="57"/>
      <c r="AV513" s="64"/>
      <c r="AW513" s="46"/>
      <c r="AX513" s="64"/>
      <c r="AY513" s="57"/>
      <c r="AZ513" s="64"/>
      <c r="BA513" s="46"/>
      <c r="BB513" s="46"/>
      <c r="BC513" s="348"/>
      <c r="BD513" s="57"/>
      <c r="BE513" s="64"/>
      <c r="BF513" s="46"/>
      <c r="BG513" s="57"/>
      <c r="BH513" s="64"/>
      <c r="BI513" s="46"/>
      <c r="BJ513" s="87"/>
      <c r="BK513" s="120"/>
    </row>
    <row r="514" spans="1:63" s="246" customFormat="1" x14ac:dyDescent="0.8">
      <c r="A514" s="46">
        <f>IF(+NFL!$F6="San Francisco",+NFL!A6,IF(+NFL!$H6="San Francisco",+NFL!A6,0))</f>
        <v>1</v>
      </c>
      <c r="B514" s="348" t="str">
        <f>IF(+NFL!$F6="San Francisco",+NFL!B6,IF(+NFL!$H6="San Francisco",+NFL!B6,0))</f>
        <v>Sun</v>
      </c>
      <c r="C514" s="48">
        <f>IF(+NFL!$F6="San Francisco",+NFL!C6,IF(+NFL!$H6="San Francisco",+NFL!C6,0))</f>
        <v>44815</v>
      </c>
      <c r="D514" s="490">
        <f>IF(+NFL!$F6="San Francisco",+NFL!D6,IF(+NFL!$H6="San Francisco",+NFL!D6,0))</f>
        <v>0.54166666666666663</v>
      </c>
      <c r="E514" s="46" t="str">
        <f>IF(+NFL!$F6="San Francisco",+NFL!E6,IF(+NFL!$H6="San Francisco",+NFL!E6,0))</f>
        <v>Fox</v>
      </c>
      <c r="F514" s="127" t="str">
        <f>IF(+NFL!$F6="San Francisco",+NFL!F6,IF(+NFL!$H6="San Francisco",+NFL!F6,0))</f>
        <v>San Francisco</v>
      </c>
      <c r="G514" s="46" t="str">
        <f>IF(+NFL!$F6="San Francisco",+NFL!G6,IF(+NFL!$H6="San Francisco",+NFL!G6,0))</f>
        <v>NFCW</v>
      </c>
      <c r="H514" s="127" t="str">
        <f>IF(+NFL!$F6="San Francisco",+NFL!H6,IF(+NFL!$H6="San Francisco",+NFL!H6,0))</f>
        <v>Chicago</v>
      </c>
      <c r="I514" s="46" t="str">
        <f>IF(+NFL!$F6="San Francisco",+NFL!I6,IF(+NFL!$H6="San Francisco",+NFL!I6,0))</f>
        <v>NFCN</v>
      </c>
      <c r="J514" s="353" t="str">
        <f>IF(+NFL!$F6="San Francisco",+NFL!J6,IF(+NFL!$H6="San Francisco",+NFL!J6,0))</f>
        <v>San Francisco</v>
      </c>
      <c r="K514" s="494" t="str">
        <f>IF(+NFL!$F6="San Francisco",+NFL!K6,IF(+NFL!$H6="San Francisco",+NFL!K6,0))</f>
        <v>Chicago</v>
      </c>
      <c r="L514" s="384">
        <f>IF(+NFL!$F6="San Francisco",+NFL!L6,IF(+NFL!$H6="San Francisco",+NFL!L6,0))</f>
        <v>7</v>
      </c>
      <c r="M514" s="385">
        <f>IF(+NFL!$F6="San Francisco",+NFL!M6,IF(+NFL!$H6="San Francisco",+NFL!M6,0))</f>
        <v>41</v>
      </c>
      <c r="N514" s="394" t="str">
        <f>IF(+NFL!$F6="San Francisco",+NFL!N6,IF(+NFL!$H6="San Francisco",+NFL!N6,0))</f>
        <v>Chicago</v>
      </c>
      <c r="O514" s="395">
        <f>IF(+NFL!$F6="San Francisco",+NFL!O6,IF(+NFL!$H6="San Francisco",+NFL!O6,0))</f>
        <v>19</v>
      </c>
      <c r="P514" s="394" t="str">
        <f>IF(+NFL!$F6="San Francisco",+NFL!P6,IF(+NFL!$H6="San Francisco",+NFL!P6,0))</f>
        <v>San Francisco</v>
      </c>
      <c r="Q514" s="396">
        <f>IF(+NFL!$F6="San Francisco",+NFL!Q6,IF(+NFL!$H6="San Francisco",+NFL!Q6,0))</f>
        <v>10</v>
      </c>
      <c r="R514" s="397" t="str">
        <f>IF(+NFL!$F6="San Francisco",+NFL!R6,IF(+NFL!$H6="San Francisco",+NFL!R6,0))</f>
        <v>Chicago</v>
      </c>
      <c r="S514" s="396" t="str">
        <f>IF(+NFL!$F6="San Francisco",+NFL!S6,IF(+NFL!$H6="San Francisco",+NFL!S6,0))</f>
        <v>San Francisco</v>
      </c>
      <c r="T514" s="398" t="str">
        <f>IF(+NFL!$F6="San Francisco",+NFL!T6,IF(+NFL!$H6="San Francisco",+NFL!T6,0))</f>
        <v>Chicago</v>
      </c>
      <c r="U514" s="396" t="str">
        <f>IF(+NFL!$F6="San Francisco",+NFL!U6,IF(+NFL!$H6="San Francisco",+NFL!U6,0))</f>
        <v>W</v>
      </c>
      <c r="V514" s="397"/>
      <c r="W514" s="396"/>
      <c r="X514" s="398"/>
      <c r="Y514" s="396"/>
      <c r="Z514" s="397"/>
      <c r="AA514" s="396"/>
      <c r="AB514" s="87"/>
      <c r="AC514" s="120"/>
      <c r="AD514" s="353"/>
      <c r="AE514" s="379"/>
      <c r="AF514" s="353"/>
      <c r="AG514" s="379"/>
      <c r="AH514" s="353"/>
      <c r="AI514" s="379"/>
      <c r="AJ514" s="353"/>
      <c r="AK514" s="379"/>
      <c r="AL514" s="68"/>
      <c r="AM514" s="58"/>
      <c r="AN514" s="57"/>
      <c r="AO514" s="59"/>
      <c r="AP514" s="348"/>
      <c r="AQ514" s="48"/>
      <c r="AR514" s="57"/>
      <c r="AS514" s="493"/>
      <c r="AT514" s="493"/>
      <c r="AU514" s="57"/>
      <c r="AV514" s="493"/>
      <c r="AW514" s="46"/>
      <c r="AX514" s="493"/>
      <c r="AY514" s="57"/>
      <c r="AZ514" s="493"/>
      <c r="BA514" s="46"/>
      <c r="BB514" s="46"/>
      <c r="BC514" s="403"/>
      <c r="BD514" s="57"/>
      <c r="BE514" s="493"/>
      <c r="BF514" s="46"/>
      <c r="BG514" s="57"/>
      <c r="BH514" s="493"/>
      <c r="BI514" s="46"/>
      <c r="BJ514" s="87"/>
      <c r="BK514" s="120"/>
    </row>
    <row r="515" spans="1:63" s="246" customFormat="1" x14ac:dyDescent="0.8">
      <c r="A515" s="46">
        <f>IF(+NFL!$F30="San Francisco",+NFL!A30,IF(+NFL!$H30="San Francisco",+NFL!A30,0))</f>
        <v>2</v>
      </c>
      <c r="B515" s="348" t="str">
        <f>IF(+NFL!$F30="San Francisco",+NFL!B30,IF(+NFL!$H30="San Francisco",+NFL!B30,0))</f>
        <v>Sun</v>
      </c>
      <c r="C515" s="48">
        <f>IF(+NFL!$F30="San Francisco",+NFL!C30,IF(+NFL!$H30="San Francisco",+NFL!C30,0))</f>
        <v>44822</v>
      </c>
      <c r="D515" s="490">
        <f>IF(+NFL!$F30="San Francisco",+NFL!D30,IF(+NFL!$H30="San Francisco",+NFL!D30,0))</f>
        <v>0.66666666666666663</v>
      </c>
      <c r="E515" s="46" t="str">
        <f>IF(+NFL!$F30="San Francisco",+NFL!E30,IF(+NFL!$H30="San Francisco",+NFL!E30,0))</f>
        <v>Fox</v>
      </c>
      <c r="F515" s="127" t="str">
        <f>IF(+NFL!$F30="San Francisco",+NFL!F30,IF(+NFL!$H30="San Francisco",+NFL!F30,0))</f>
        <v>Seattle</v>
      </c>
      <c r="G515" s="46" t="str">
        <f>IF(+NFL!$F30="San Francisco",+NFL!G30,IF(+NFL!$H30="San Francisco",+NFL!G30,0))</f>
        <v>NFCW</v>
      </c>
      <c r="H515" s="127" t="str">
        <f>IF(+NFL!$F30="San Francisco",+NFL!H30,IF(+NFL!$H30="San Francisco",+NFL!H30,0))</f>
        <v>San Francisco</v>
      </c>
      <c r="I515" s="46" t="str">
        <f>IF(+NFL!$F30="San Francisco",+NFL!I30,IF(+NFL!$H30="San Francisco",+NFL!I30,0))</f>
        <v>NFCW</v>
      </c>
      <c r="J515" s="353" t="str">
        <f>IF(+NFL!$F30="San Francisco",+NFL!J30,IF(+NFL!$H30="San Francisco",+NFL!J30,0))</f>
        <v>San Francisco</v>
      </c>
      <c r="K515" s="494" t="str">
        <f>IF(+NFL!$F30="San Francisco",+NFL!K30,IF(+NFL!$H30="San Francisco",+NFL!K30,0))</f>
        <v>Seattle</v>
      </c>
      <c r="L515" s="384">
        <f>IF(+NFL!$F30="San Francisco",+NFL!L30,IF(+NFL!$H30="San Francisco",+NFL!L30,0))</f>
        <v>10</v>
      </c>
      <c r="M515" s="385">
        <f>IF(+NFL!$F30="San Francisco",+NFL!M30,IF(+NFL!$H30="San Francisco",+NFL!M30,0))</f>
        <v>42.5</v>
      </c>
      <c r="N515" s="394" t="str">
        <f>IF(+NFL!$F30="San Francisco",+NFL!N30,IF(+NFL!$H30="San Francisco",+NFL!N30,0))</f>
        <v>San Francisco</v>
      </c>
      <c r="O515" s="395">
        <f>IF(+NFL!$F30="San Francisco",+NFL!O30,IF(+NFL!$H30="San Francisco",+NFL!O30,0))</f>
        <v>27</v>
      </c>
      <c r="P515" s="394" t="str">
        <f>IF(+NFL!$F30="San Francisco",+NFL!P30,IF(+NFL!$H30="San Francisco",+NFL!P30,0))</f>
        <v>Seattle</v>
      </c>
      <c r="Q515" s="396">
        <f>IF(+NFL!$F30="San Francisco",+NFL!Q30,IF(+NFL!$H30="San Francisco",+NFL!Q30,0))</f>
        <v>7</v>
      </c>
      <c r="R515" s="397" t="str">
        <f>IF(+NFL!$F30="San Francisco",+NFL!R30,IF(+NFL!$H30="San Francisco",+NFL!R30,0))</f>
        <v>San Francisco</v>
      </c>
      <c r="S515" s="396" t="str">
        <f>IF(+NFL!$F30="San Francisco",+NFL!S30,IF(+NFL!$H30="San Francisco",+NFL!S30,0))</f>
        <v>Seattle</v>
      </c>
      <c r="T515" s="398" t="str">
        <f>IF(+NFL!$F30="San Francisco",+NFL!T30,IF(+NFL!$H30="San Francisco",+NFL!T30,0))</f>
        <v>San Francisco</v>
      </c>
      <c r="U515" s="396" t="str">
        <f>IF(+NFL!$F30="San Francisco",+NFL!U30,IF(+NFL!$H30="San Francisco",+NFL!U30,0))</f>
        <v>W</v>
      </c>
      <c r="V515" s="397"/>
      <c r="W515" s="396"/>
      <c r="X515" s="398"/>
      <c r="Y515" s="396"/>
      <c r="Z515" s="397"/>
      <c r="AA515" s="396"/>
      <c r="AB515" s="87"/>
      <c r="AC515" s="120"/>
      <c r="AD515" s="353"/>
      <c r="AE515" s="379"/>
      <c r="AF515" s="353"/>
      <c r="AG515" s="379"/>
      <c r="AH515" s="353"/>
      <c r="AI515" s="379"/>
      <c r="AJ515" s="353"/>
      <c r="AK515" s="379"/>
      <c r="AL515" s="68"/>
      <c r="AM515" s="58"/>
      <c r="AN515" s="57"/>
      <c r="AO515" s="59"/>
      <c r="AP515" s="348"/>
      <c r="AQ515" s="48"/>
      <c r="AR515" s="57"/>
      <c r="AS515" s="493"/>
      <c r="AT515" s="493"/>
      <c r="AU515" s="57"/>
      <c r="AV515" s="493"/>
      <c r="AW515" s="46"/>
      <c r="AX515" s="493"/>
      <c r="AY515" s="57"/>
      <c r="AZ515" s="493"/>
      <c r="BA515" s="46"/>
      <c r="BB515" s="46"/>
      <c r="BC515" s="403"/>
      <c r="BD515" s="57"/>
      <c r="BE515" s="493"/>
      <c r="BF515" s="46"/>
      <c r="BG515" s="57"/>
      <c r="BH515" s="493"/>
      <c r="BI515" s="46"/>
      <c r="BJ515" s="87"/>
      <c r="BK515" s="120"/>
    </row>
    <row r="516" spans="1:63" s="246" customFormat="1" x14ac:dyDescent="0.8">
      <c r="A516" s="46">
        <f>IF(+NFL!$F52="San Francisco",+NFL!A52,IF(+NFL!$H52="San Francisco",+NFL!A52,0))</f>
        <v>3</v>
      </c>
      <c r="B516" s="348" t="str">
        <f>IF(+NFL!$F52="San Francisco",+NFL!B52,IF(+NFL!$H52="San Francisco",+NFL!B52,0))</f>
        <v>Sun</v>
      </c>
      <c r="C516" s="48">
        <f>IF(+NFL!$F52="San Francisco",+NFL!C52,IF(+NFL!$H52="San Francisco",+NFL!C52,0))</f>
        <v>44829</v>
      </c>
      <c r="D516" s="490">
        <f>IF(+NFL!$F52="San Francisco",+NFL!D52,IF(+NFL!$H52="San Francisco",+NFL!D52,0))</f>
        <v>0.84375</v>
      </c>
      <c r="E516" s="46" t="str">
        <f>IF(+NFL!$F52="San Francisco",+NFL!E52,IF(+NFL!$H52="San Francisco",+NFL!E52,0))</f>
        <v>NBC</v>
      </c>
      <c r="F516" s="127" t="str">
        <f>IF(+NFL!$F52="San Francisco",+NFL!F52,IF(+NFL!$H52="San Francisco",+NFL!F52,0))</f>
        <v>San Francisco</v>
      </c>
      <c r="G516" s="46" t="str">
        <f>IF(+NFL!$F52="San Francisco",+NFL!G52,IF(+NFL!$H52="San Francisco",+NFL!G52,0))</f>
        <v>NFCW</v>
      </c>
      <c r="H516" s="127" t="str">
        <f>IF(+NFL!$F52="San Francisco",+NFL!H52,IF(+NFL!$H52="San Francisco",+NFL!H52,0))</f>
        <v>Denver</v>
      </c>
      <c r="I516" s="46" t="str">
        <f>IF(+NFL!$F52="San Francisco",+NFL!I52,IF(+NFL!$H52="San Francisco",+NFL!I52,0))</f>
        <v>AFCW</v>
      </c>
      <c r="J516" s="353" t="str">
        <f>IF(+NFL!$F52="San Francisco",+NFL!J52,IF(+NFL!$H52="San Francisco",+NFL!J52,0))</f>
        <v>San Francisco</v>
      </c>
      <c r="K516" s="494" t="str">
        <f>IF(+NFL!$F52="San Francisco",+NFL!K52,IF(+NFL!$H52="San Francisco",+NFL!K52,0))</f>
        <v>Denver</v>
      </c>
      <c r="L516" s="384">
        <f>IF(+NFL!$F52="San Francisco",+NFL!L52,IF(+NFL!$H52="San Francisco",+NFL!L52,0))</f>
        <v>1.5</v>
      </c>
      <c r="M516" s="385">
        <f>IF(+NFL!$F52="San Francisco",+NFL!M52,IF(+NFL!$H52="San Francisco",+NFL!M52,0))</f>
        <v>45</v>
      </c>
      <c r="N516" s="394" t="str">
        <f>IF(+NFL!$F52="San Francisco",+NFL!N52,IF(+NFL!$H52="San Francisco",+NFL!N52,0))</f>
        <v>Denver</v>
      </c>
      <c r="O516" s="395">
        <f>IF(+NFL!$F52="San Francisco",+NFL!O52,IF(+NFL!$H52="San Francisco",+NFL!O52,0))</f>
        <v>11</v>
      </c>
      <c r="P516" s="394" t="str">
        <f>IF(+NFL!$F52="San Francisco",+NFL!P52,IF(+NFL!$H52="San Francisco",+NFL!P52,0))</f>
        <v>San Francisco</v>
      </c>
      <c r="Q516" s="396">
        <f>IF(+NFL!$F52="San Francisco",+NFL!Q52,IF(+NFL!$H52="San Francisco",+NFL!Q52,0))</f>
        <v>10</v>
      </c>
      <c r="R516" s="397" t="str">
        <f>IF(+NFL!$F52="San Francisco",+NFL!R52,IF(+NFL!$H52="San Francisco",+NFL!R52,0))</f>
        <v>Denver</v>
      </c>
      <c r="S516" s="396" t="str">
        <f>IF(+NFL!$F52="San Francisco",+NFL!S52,IF(+NFL!$H52="San Francisco",+NFL!S52,0))</f>
        <v>San Francisco</v>
      </c>
      <c r="T516" s="398" t="str">
        <f>IF(+NFL!$F52="San Francisco",+NFL!T52,IF(+NFL!$H52="San Francisco",+NFL!T52,0))</f>
        <v>Denver</v>
      </c>
      <c r="U516" s="396" t="str">
        <f>IF(+NFL!$F52="San Francisco",+NFL!U52,IF(+NFL!$H52="San Francisco",+NFL!U52,0))</f>
        <v>W</v>
      </c>
      <c r="V516" s="397"/>
      <c r="W516" s="396"/>
      <c r="X516" s="398"/>
      <c r="Y516" s="396"/>
      <c r="Z516" s="397"/>
      <c r="AA516" s="396"/>
      <c r="AB516" s="87"/>
      <c r="AC516" s="120"/>
      <c r="AD516" s="353"/>
      <c r="AE516" s="379"/>
      <c r="AF516" s="353"/>
      <c r="AG516" s="379"/>
      <c r="AH516" s="353"/>
      <c r="AI516" s="379"/>
      <c r="AJ516" s="353"/>
      <c r="AK516" s="379"/>
      <c r="AL516" s="68"/>
      <c r="AM516" s="58"/>
      <c r="AN516" s="57"/>
      <c r="AO516" s="59"/>
      <c r="AP516" s="348"/>
      <c r="AQ516" s="48"/>
      <c r="AR516" s="57"/>
      <c r="AS516" s="64"/>
      <c r="AT516" s="64"/>
      <c r="AU516" s="57"/>
      <c r="AV516" s="64"/>
      <c r="AW516" s="46"/>
      <c r="AX516" s="64"/>
      <c r="AY516" s="57"/>
      <c r="AZ516" s="64"/>
      <c r="BA516" s="46"/>
      <c r="BB516" s="46"/>
      <c r="BC516" s="403"/>
      <c r="BD516" s="57"/>
      <c r="BE516" s="64"/>
      <c r="BF516" s="46"/>
      <c r="BG516" s="57"/>
      <c r="BH516" s="64"/>
      <c r="BI516" s="46"/>
      <c r="BJ516" s="87"/>
      <c r="BK516" s="120"/>
    </row>
    <row r="517" spans="1:63" s="246" customFormat="1" x14ac:dyDescent="0.8">
      <c r="A517" s="46">
        <f>IF(+NFL!$F70="San Francisco",+NFL!A70,IF(+NFL!$H70="San Francisco",+NFL!A70,0))</f>
        <v>4</v>
      </c>
      <c r="B517" s="348" t="str">
        <f>IF(+NFL!$F70="San Francisco",+NFL!B70,IF(+NFL!$H70="San Francisco",+NFL!B70,0))</f>
        <v>Mon</v>
      </c>
      <c r="C517" s="48">
        <f>IF(+NFL!$F70="San Francisco",+NFL!C70,IF(+NFL!$H70="San Francisco",+NFL!C70,0))</f>
        <v>44837</v>
      </c>
      <c r="D517" s="490">
        <f>IF(+NFL!$F70="San Francisco",+NFL!D70,IF(+NFL!$H70="San Francisco",+NFL!D70,0))</f>
        <v>0.84375</v>
      </c>
      <c r="E517" s="46" t="str">
        <f>IF(+NFL!$F70="San Francisco",+NFL!E70,IF(+NFL!$H70="San Francisco",+NFL!E70,0))</f>
        <v>ABC</v>
      </c>
      <c r="F517" s="127" t="str">
        <f>IF(+NFL!$F70="San Francisco",+NFL!F70,IF(+NFL!$H70="San Francisco",+NFL!F70,0))</f>
        <v>LA Rams</v>
      </c>
      <c r="G517" s="46" t="str">
        <f>IF(+NFL!$F70="San Francisco",+NFL!G70,IF(+NFL!$H70="San Francisco",+NFL!G70,0))</f>
        <v>NFCW</v>
      </c>
      <c r="H517" s="127" t="str">
        <f>IF(+NFL!$F70="San Francisco",+NFL!H70,IF(+NFL!$H70="San Francisco",+NFL!H70,0))</f>
        <v>San Francisco</v>
      </c>
      <c r="I517" s="46" t="str">
        <f>IF(+NFL!$F70="San Francisco",+NFL!I70,IF(+NFL!$H70="San Francisco",+NFL!I70,0))</f>
        <v>NFCW</v>
      </c>
      <c r="J517" s="353" t="str">
        <f>IF(+NFL!$F70="San Francisco",+NFL!J70,IF(+NFL!$H70="San Francisco",+NFL!J70,0))</f>
        <v>San Francisco</v>
      </c>
      <c r="K517" s="494" t="str">
        <f>IF(+NFL!$F70="San Francisco",+NFL!K70,IF(+NFL!$H70="San Francisco",+NFL!K70,0))</f>
        <v>LA Rams</v>
      </c>
      <c r="L517" s="384">
        <f>IF(+NFL!$F70="San Francisco",+NFL!L70,IF(+NFL!$H70="San Francisco",+NFL!L70,0))</f>
        <v>2</v>
      </c>
      <c r="M517" s="385">
        <f>IF(+NFL!$F70="San Francisco",+NFL!M70,IF(+NFL!$H70="San Francisco",+NFL!M70,0))</f>
        <v>41.5</v>
      </c>
      <c r="N517" s="394" t="str">
        <f>IF(+NFL!$F70="San Francisco",+NFL!N70,IF(+NFL!$H70="San Francisco",+NFL!N70,0))</f>
        <v>San Francisco</v>
      </c>
      <c r="O517" s="395">
        <f>IF(+NFL!$F70="San Francisco",+NFL!O70,IF(+NFL!$H70="San Francisco",+NFL!O70,0))</f>
        <v>24</v>
      </c>
      <c r="P517" s="394" t="str">
        <f>IF(+NFL!$F70="San Francisco",+NFL!P70,IF(+NFL!$H70="San Francisco",+NFL!P70,0))</f>
        <v>LA Rams</v>
      </c>
      <c r="Q517" s="396">
        <f>IF(+NFL!$F70="San Francisco",+NFL!Q70,IF(+NFL!$H70="San Francisco",+NFL!Q70,0))</f>
        <v>9</v>
      </c>
      <c r="R517" s="397" t="str">
        <f>IF(+NFL!$F70="San Francisco",+NFL!R70,IF(+NFL!$H70="San Francisco",+NFL!R70,0))</f>
        <v>San Francisco</v>
      </c>
      <c r="S517" s="396" t="str">
        <f>IF(+NFL!$F70="San Francisco",+NFL!S70,IF(+NFL!$H70="San Francisco",+NFL!S70,0))</f>
        <v>LA Rams</v>
      </c>
      <c r="T517" s="398" t="str">
        <f>IF(+NFL!$F70="San Francisco",+NFL!T70,IF(+NFL!$H70="San Francisco",+NFL!T70,0))</f>
        <v>San Francisco</v>
      </c>
      <c r="U517" s="396" t="str">
        <f>IF(+NFL!$F70="San Francisco",+NFL!U70,IF(+NFL!$H70="San Francisco",+NFL!U70,0))</f>
        <v>W</v>
      </c>
      <c r="V517" s="397">
        <f>IF(+NFL!$F28="San Francisco",+NFL!#REF!,IF(+NFL!$H28="San Francisco",+NFL!#REF!,0))</f>
        <v>0</v>
      </c>
      <c r="W517" s="396">
        <f>IF(+NFL!$F28="San Francisco",+NFL!#REF!,IF(+NFL!$H28="San Francisco",+NFL!#REF!,0))</f>
        <v>0</v>
      </c>
      <c r="X517" s="398">
        <f>IF(+NFL!$F28="San Francisco",+NFL!#REF!,IF(+NFL!$H28="San Francisco",+NFL!#REF!,0))</f>
        <v>0</v>
      </c>
      <c r="Y517" s="396">
        <f>IF(+NFL!$F28="San Francisco",+NFL!#REF!,IF(+NFL!$H28="San Francisco",+NFL!#REF!,0))</f>
        <v>0</v>
      </c>
      <c r="Z517" s="397">
        <f>IF(+NFL!$F28="San Francisco",+NFL!#REF!,IF(+NFL!$H28="San Francisco",+NFL!#REF!,0))</f>
        <v>0</v>
      </c>
      <c r="AA517" s="396">
        <f>IF(+NFL!$F28="San Francisco",+NFL!#REF!,IF(+NFL!$H28="San Francisco",+NFL!#REF!,0))</f>
        <v>0</v>
      </c>
      <c r="AB517" s="87">
        <f>IF(+NFL!$F28="San Francisco",+NFL!#REF!,IF(+NFL!$H28="San Francisco",+NFL!#REF!,0))</f>
        <v>0</v>
      </c>
      <c r="AC517" s="120">
        <f>IF(+NFL!$F28="San Francisco",+NFL!#REF!,IF(+NFL!$H28="San Francisco",+NFL!#REF!,0))</f>
        <v>0</v>
      </c>
      <c r="AD517" s="353">
        <f>IF(+NFL!$F28="San Francisco",+NFL!#REF!,IF(+NFL!$H28="San Francisco",+NFL!#REF!,0))</f>
        <v>0</v>
      </c>
      <c r="AE517" s="379">
        <f>IF(+NFL!$F28="San Francisco",+NFL!#REF!,IF(+NFL!$H28="San Francisco",+NFL!#REF!,0))</f>
        <v>0</v>
      </c>
      <c r="AF517" s="353">
        <f>IF(+NFL!$F28="San Francisco",+NFL!#REF!,IF(+NFL!$H28="San Francisco",+NFL!#REF!,0))</f>
        <v>0</v>
      </c>
      <c r="AG517" s="379">
        <f>IF(+NFL!$F28="San Francisco",+NFL!#REF!,IF(+NFL!$H28="San Francisco",+NFL!#REF!,0))</f>
        <v>0</v>
      </c>
      <c r="AH517" s="353">
        <f>IF(+NFL!$F28="San Francisco",+NFL!#REF!,IF(+NFL!$H28="San Francisco",+NFL!#REF!,0))</f>
        <v>0</v>
      </c>
      <c r="AI517" s="379">
        <f>IF(+NFL!$F28="San Francisco",+NFL!#REF!,IF(+NFL!$H28="San Francisco",+NFL!#REF!,0))</f>
        <v>0</v>
      </c>
      <c r="AJ517" s="353">
        <f>IF(+NFL!$F28="San Francisco",+NFL!#REF!,IF(+NFL!$H28="San Francisco",+NFL!#REF!,0))</f>
        <v>0</v>
      </c>
      <c r="AK517" s="379">
        <f>IF(+NFL!$F28="San Francisco",+NFL!#REF!,IF(+NFL!$H28="San Francisco",+NFL!#REF!,0))</f>
        <v>0</v>
      </c>
      <c r="AL517" s="68">
        <f>IF(+NFL!$F28="San Francisco",+NFL!#REF!,IF(+NFL!$H28="San Francisco",+NFL!#REF!,0))</f>
        <v>0</v>
      </c>
      <c r="AM517" s="58">
        <f>IF(+NFL!$F28="San Francisco",+NFL!#REF!,IF(+NFL!$H28="San Francisco",+NFL!#REF!,0))</f>
        <v>0</v>
      </c>
      <c r="AN517" s="57">
        <f>IF(+NFL!$F28="San Francisco",+NFL!#REF!,IF(+NFL!$H28="San Francisco",+NFL!#REF!,0))</f>
        <v>0</v>
      </c>
      <c r="AO517" s="59">
        <f>IF(+NFL!$F28="San Francisco",+NFL!#REF!,IF(+NFL!$H28="San Francisco",+NFL!#REF!,0))</f>
        <v>0</v>
      </c>
      <c r="AP517" s="348">
        <f>IF(+NFL!$F28="San Francisco",+NFL!#REF!,IF(+NFL!$H28="San Francisco",+NFL!#REF!,0))</f>
        <v>0</v>
      </c>
      <c r="AQ517" s="48">
        <f>IF(+NFL!$F28="San Francisco",+NFL!#REF!,IF(+NFL!$H28="San Francisco",+NFL!#REF!,0))</f>
        <v>0</v>
      </c>
      <c r="AR517" s="57">
        <f>IF(+NFL!$F28="San Francisco",+NFL!#REF!,IF(+NFL!$H28="San Francisco",+NFL!#REF!,0))</f>
        <v>0</v>
      </c>
      <c r="AS517" s="64">
        <f>IF(+NFL!$F28="San Francisco",+NFL!#REF!,IF(+NFL!$H28="San Francisco",+NFL!#REF!,0))</f>
        <v>0</v>
      </c>
      <c r="AT517" s="64">
        <f>IF(+NFL!$F28="San Francisco",+NFL!#REF!,IF(+NFL!$H28="San Francisco",+NFL!#REF!,0))</f>
        <v>0</v>
      </c>
      <c r="AU517" s="57">
        <f>IF(+NFL!$F28="San Francisco",+NFL!#REF!,IF(+NFL!$H28="San Francisco",+NFL!#REF!,0))</f>
        <v>0</v>
      </c>
      <c r="AV517" s="64">
        <f>IF(+NFL!$F28="San Francisco",+NFL!#REF!,IF(+NFL!$H28="San Francisco",+NFL!#REF!,0))</f>
        <v>0</v>
      </c>
      <c r="AW517" s="46">
        <f>IF(+NFL!$F28="San Francisco",+NFL!#REF!,IF(+NFL!$H28="San Francisco",+NFL!#REF!,0))</f>
        <v>0</v>
      </c>
      <c r="AX517" s="64">
        <f>IF(+NFL!$F28="San Francisco",+NFL!#REF!,IF(+NFL!$H28="San Francisco",+NFL!#REF!,0))</f>
        <v>0</v>
      </c>
      <c r="AY517" s="57">
        <f>IF(+NFL!$F28="San Francisco",+NFL!#REF!,IF(+NFL!$H28="San Francisco",+NFL!#REF!,0))</f>
        <v>0</v>
      </c>
      <c r="AZ517" s="64">
        <f>IF(+NFL!$F28="San Francisco",+NFL!#REF!,IF(+NFL!$H28="San Francisco",+NFL!#REF!,0))</f>
        <v>0</v>
      </c>
      <c r="BA517" s="46">
        <f>IF(+NFL!$F28="San Francisco",+NFL!#REF!,IF(+NFL!$H28="San Francisco",+NFL!#REF!,0))</f>
        <v>0</v>
      </c>
      <c r="BB517" s="46">
        <f>IF(+NFL!$F28="San Francisco",+NFL!#REF!,IF(+NFL!$H28="San Francisco",+NFL!#REF!,0))</f>
        <v>0</v>
      </c>
      <c r="BC517" s="403">
        <f>IF(+NFL!$F28="San Francisco",+NFL!#REF!,IF(+NFL!$H28="San Francisco",+NFL!#REF!,0))</f>
        <v>0</v>
      </c>
      <c r="BD517" s="57">
        <f>IF(+NFL!$F28="San Francisco",+NFL!#REF!,IF(+NFL!$H28="San Francisco",+NFL!#REF!,0))</f>
        <v>0</v>
      </c>
      <c r="BE517" s="64">
        <f>IF(+NFL!$F28="San Francisco",+NFL!#REF!,IF(+NFL!$H28="San Francisco",+NFL!#REF!,0))</f>
        <v>0</v>
      </c>
      <c r="BF517" s="46">
        <f>IF(+NFL!$F28="San Francisco",+NFL!#REF!,IF(+NFL!$H28="San Francisco",+NFL!#REF!,0))</f>
        <v>0</v>
      </c>
      <c r="BG517" s="57">
        <f>IF(+NFL!$F28="San Francisco",+NFL!#REF!,IF(+NFL!$H28="San Francisco",+NFL!#REF!,0))</f>
        <v>0</v>
      </c>
      <c r="BH517" s="64">
        <f>IF(+NFL!$F28="San Francisco",+NFL!#REF!,IF(+NFL!$H28="San Francisco",+NFL!#REF!,0))</f>
        <v>0</v>
      </c>
      <c r="BI517" s="46">
        <f>IF(+NFL!$F28="San Francisco",+NFL!#REF!,IF(+NFL!$H28="San Francisco",+NFL!#REF!,0))</f>
        <v>0</v>
      </c>
      <c r="BJ517" s="87">
        <f>IF(+NFL!$F28="San Francisco",+NFL!#REF!,IF(+NFL!$H28="San Francisco",+NFL!#REF!,0))</f>
        <v>0</v>
      </c>
      <c r="BK517" s="120">
        <f>IF(+NFL!$F28="San Francisco",+NFL!#REF!,IF(+NFL!$H28="San Francisco",+NFL!#REF!,0))</f>
        <v>0</v>
      </c>
    </row>
    <row r="518" spans="1:63" s="246" customFormat="1" x14ac:dyDescent="0.8">
      <c r="A518" s="46">
        <f>IF(+NFL!$F83="San Francisco",+NFL!A83,IF(+NFL!$H83="San Francisco",+NFL!A83,0))</f>
        <v>5</v>
      </c>
      <c r="B518" s="348" t="str">
        <f>IF(+NFL!$F83="San Francisco",+NFL!B83,IF(+NFL!$H83="San Francisco",+NFL!B83,0))</f>
        <v>Sun</v>
      </c>
      <c r="C518" s="48">
        <f>IF(+NFL!$F83="San Francisco",+NFL!C83,IF(+NFL!$H83="San Francisco",+NFL!C83,0))</f>
        <v>44843</v>
      </c>
      <c r="D518" s="490">
        <f>IF(+NFL!$F83="San Francisco",+NFL!D83,IF(+NFL!$H83="San Francisco",+NFL!D83,0))</f>
        <v>0.66666666666666663</v>
      </c>
      <c r="E518" s="46" t="str">
        <f>IF(+NFL!$F83="San Francisco",+NFL!E83,IF(+NFL!$H83="San Francisco",+NFL!E83,0))</f>
        <v>Fox</v>
      </c>
      <c r="F518" s="127" t="str">
        <f>IF(+NFL!$F83="San Francisco",+NFL!F83,IF(+NFL!$H83="San Francisco",+NFL!F83,0))</f>
        <v>San Francisco</v>
      </c>
      <c r="G518" s="46" t="str">
        <f>IF(+NFL!$F83="San Francisco",+NFL!G83,IF(+NFL!$H83="San Francisco",+NFL!G83,0))</f>
        <v>NFCW</v>
      </c>
      <c r="H518" s="127" t="str">
        <f>IF(+NFL!$F83="San Francisco",+NFL!H83,IF(+NFL!$H83="San Francisco",+NFL!H83,0))</f>
        <v>Carolina</v>
      </c>
      <c r="I518" s="46" t="str">
        <f>IF(+NFL!$F83="San Francisco",+NFL!I83,IF(+NFL!$H83="San Francisco",+NFL!I83,0))</f>
        <v>NFCS</v>
      </c>
      <c r="J518" s="353" t="str">
        <f>IF(+NFL!$F83="San Francisco",+NFL!J83,IF(+NFL!$H83="San Francisco",+NFL!J83,0))</f>
        <v>San Francisco</v>
      </c>
      <c r="K518" s="494" t="str">
        <f>IF(+NFL!$F83="San Francisco",+NFL!K83,IF(+NFL!$H83="San Francisco",+NFL!K83,0))</f>
        <v>Carolina</v>
      </c>
      <c r="L518" s="384">
        <f>IF(+NFL!$F83="San Francisco",+NFL!L83,IF(+NFL!$H83="San Francisco",+NFL!L83,0))</f>
        <v>6.5</v>
      </c>
      <c r="M518" s="385">
        <f>IF(+NFL!$F83="San Francisco",+NFL!M83,IF(+NFL!$H83="San Francisco",+NFL!M83,0))</f>
        <v>38.5</v>
      </c>
      <c r="N518" s="394" t="str">
        <f>IF(+NFL!$F83="San Francisco",+NFL!N83,IF(+NFL!$H83="San Francisco",+NFL!N83,0))</f>
        <v>San Francisco</v>
      </c>
      <c r="O518" s="395">
        <f>IF(+NFL!$F83="San Francisco",+NFL!O83,IF(+NFL!$H83="San Francisco",+NFL!O83,0))</f>
        <v>37</v>
      </c>
      <c r="P518" s="394" t="str">
        <f>IF(+NFL!$F83="San Francisco",+NFL!P83,IF(+NFL!$H83="San Francisco",+NFL!P83,0))</f>
        <v>Carolina</v>
      </c>
      <c r="Q518" s="396">
        <f>IF(+NFL!$F83="San Francisco",+NFL!Q83,IF(+NFL!$H83="San Francisco",+NFL!Q83,0))</f>
        <v>15</v>
      </c>
      <c r="R518" s="397" t="str">
        <f>IF(+NFL!$F83="San Francisco",+NFL!R83,IF(+NFL!$H83="San Francisco",+NFL!R83,0))</f>
        <v>San Francisco</v>
      </c>
      <c r="S518" s="396" t="str">
        <f>IF(+NFL!$F83="San Francisco",+NFL!S83,IF(+NFL!$H83="San Francisco",+NFL!S83,0))</f>
        <v>Carolina</v>
      </c>
      <c r="T518" s="398" t="str">
        <f>IF(+NFL!$F83="San Francisco",+NFL!T83,IF(+NFL!$H83="San Francisco",+NFL!T83,0))</f>
        <v>San Francisco</v>
      </c>
      <c r="U518" s="396" t="str">
        <f>IF(+NFL!$F83="San Francisco",+NFL!U83,IF(+NFL!$H83="San Francisco",+NFL!U83,0))</f>
        <v>W</v>
      </c>
      <c r="V518" s="397">
        <f>IF(+NFL!$F60="San Francisco",+NFL!#REF!,IF(+NFL!$H60="San Francisco",+NFL!#REF!,0))</f>
        <v>0</v>
      </c>
      <c r="W518" s="396">
        <f>IF(+NFL!$F60="San Francisco",+NFL!#REF!,IF(+NFL!$H60="San Francisco",+NFL!#REF!,0))</f>
        <v>0</v>
      </c>
      <c r="X518" s="398">
        <f>IF(+NFL!$F60="San Francisco",+NFL!#REF!,IF(+NFL!$H60="San Francisco",+NFL!#REF!,0))</f>
        <v>0</v>
      </c>
      <c r="Y518" s="396">
        <f>IF(+NFL!$F60="San Francisco",+NFL!#REF!,IF(+NFL!$H60="San Francisco",+NFL!#REF!,0))</f>
        <v>0</v>
      </c>
      <c r="Z518" s="397">
        <f>IF(+NFL!$F60="San Francisco",+NFL!#REF!,IF(+NFL!$H60="San Francisco",+NFL!#REF!,0))</f>
        <v>0</v>
      </c>
      <c r="AA518" s="396">
        <f>IF(+NFL!$F60="San Francisco",+NFL!#REF!,IF(+NFL!$H60="San Francisco",+NFL!#REF!,0))</f>
        <v>0</v>
      </c>
      <c r="AB518" s="87">
        <f>IF(+NFL!$F60="San Francisco",+NFL!#REF!,IF(+NFL!$H60="San Francisco",+NFL!#REF!,0))</f>
        <v>0</v>
      </c>
      <c r="AC518" s="120">
        <f>IF(+NFL!$F60="San Francisco",+NFL!#REF!,IF(+NFL!$H60="San Francisco",+NFL!#REF!,0))</f>
        <v>0</v>
      </c>
      <c r="AD518" s="353">
        <f>IF(+NFL!$F60="San Francisco",+NFL!#REF!,IF(+NFL!$H60="San Francisco",+NFL!#REF!,0))</f>
        <v>0</v>
      </c>
      <c r="AE518" s="379">
        <f>IF(+NFL!$F60="San Francisco",+NFL!#REF!,IF(+NFL!$H60="San Francisco",+NFL!#REF!,0))</f>
        <v>0</v>
      </c>
      <c r="AF518" s="353">
        <f>IF(+NFL!$F60="San Francisco",+NFL!#REF!,IF(+NFL!$H60="San Francisco",+NFL!#REF!,0))</f>
        <v>0</v>
      </c>
      <c r="AG518" s="379">
        <f>IF(+NFL!$F60="San Francisco",+NFL!#REF!,IF(+NFL!$H60="San Francisco",+NFL!#REF!,0))</f>
        <v>0</v>
      </c>
      <c r="AH518" s="353">
        <f>IF(+NFL!$F60="San Francisco",+NFL!#REF!,IF(+NFL!$H60="San Francisco",+NFL!#REF!,0))</f>
        <v>0</v>
      </c>
      <c r="AI518" s="379">
        <f>IF(+NFL!$F60="San Francisco",+NFL!#REF!,IF(+NFL!$H60="San Francisco",+NFL!#REF!,0))</f>
        <v>0</v>
      </c>
      <c r="AJ518" s="353">
        <f>IF(+NFL!$F60="San Francisco",+NFL!#REF!,IF(+NFL!$H60="San Francisco",+NFL!#REF!,0))</f>
        <v>0</v>
      </c>
      <c r="AK518" s="379">
        <f>IF(+NFL!$F60="San Francisco",+NFL!#REF!,IF(+NFL!$H60="San Francisco",+NFL!#REF!,0))</f>
        <v>0</v>
      </c>
      <c r="AL518" s="68">
        <f>IF(+NFL!$F60="San Francisco",+NFL!#REF!,IF(+NFL!$H60="San Francisco",+NFL!#REF!,0))</f>
        <v>0</v>
      </c>
      <c r="AM518" s="58">
        <f>IF(+NFL!$F60="San Francisco",+NFL!#REF!,IF(+NFL!$H60="San Francisco",+NFL!#REF!,0))</f>
        <v>0</v>
      </c>
      <c r="AN518" s="57">
        <f>IF(+NFL!$F60="San Francisco",+NFL!#REF!,IF(+NFL!$H60="San Francisco",+NFL!#REF!,0))</f>
        <v>0</v>
      </c>
      <c r="AO518" s="59">
        <f>IF(+NFL!$F60="San Francisco",+NFL!#REF!,IF(+NFL!$H60="San Francisco",+NFL!#REF!,0))</f>
        <v>0</v>
      </c>
      <c r="AP518" s="348">
        <f>IF(+NFL!$F60="San Francisco",+NFL!#REF!,IF(+NFL!$H60="San Francisco",+NFL!#REF!,0))</f>
        <v>0</v>
      </c>
      <c r="AQ518" s="48">
        <f>IF(+NFL!$F60="San Francisco",+NFL!#REF!,IF(+NFL!$H60="San Francisco",+NFL!#REF!,0))</f>
        <v>0</v>
      </c>
      <c r="AR518" s="57">
        <f>IF(+NFL!$F60="San Francisco",+NFL!#REF!,IF(+NFL!$H60="San Francisco",+NFL!#REF!,0))</f>
        <v>0</v>
      </c>
      <c r="AS518" s="64">
        <f>IF(+NFL!$F60="San Francisco",+NFL!#REF!,IF(+NFL!$H60="San Francisco",+NFL!#REF!,0))</f>
        <v>0</v>
      </c>
      <c r="AT518" s="64">
        <f>IF(+NFL!$F60="San Francisco",+NFL!#REF!,IF(+NFL!$H60="San Francisco",+NFL!#REF!,0))</f>
        <v>0</v>
      </c>
      <c r="AU518" s="57">
        <f>IF(+NFL!$F60="San Francisco",+NFL!#REF!,IF(+NFL!$H60="San Francisco",+NFL!#REF!,0))</f>
        <v>0</v>
      </c>
      <c r="AV518" s="64">
        <f>IF(+NFL!$F60="San Francisco",+NFL!#REF!,IF(+NFL!$H60="San Francisco",+NFL!#REF!,0))</f>
        <v>0</v>
      </c>
      <c r="AW518" s="46">
        <f>IF(+NFL!$F60="San Francisco",+NFL!#REF!,IF(+NFL!$H60="San Francisco",+NFL!#REF!,0))</f>
        <v>0</v>
      </c>
      <c r="AX518" s="64">
        <f>IF(+NFL!$F60="San Francisco",+NFL!#REF!,IF(+NFL!$H60="San Francisco",+NFL!#REF!,0))</f>
        <v>0</v>
      </c>
      <c r="AY518" s="57">
        <f>IF(+NFL!$F60="San Francisco",+NFL!#REF!,IF(+NFL!$H60="San Francisco",+NFL!#REF!,0))</f>
        <v>0</v>
      </c>
      <c r="AZ518" s="64">
        <f>IF(+NFL!$F60="San Francisco",+NFL!#REF!,IF(+NFL!$H60="San Francisco",+NFL!#REF!,0))</f>
        <v>0</v>
      </c>
      <c r="BA518" s="46">
        <f>IF(+NFL!$F60="San Francisco",+NFL!#REF!,IF(+NFL!$H60="San Francisco",+NFL!#REF!,0))</f>
        <v>0</v>
      </c>
      <c r="BB518" s="46">
        <f>IF(+NFL!$F60="San Francisco",+NFL!#REF!,IF(+NFL!$H60="San Francisco",+NFL!#REF!,0))</f>
        <v>0</v>
      </c>
      <c r="BC518" s="403">
        <f>IF(+NFL!$F60="San Francisco",+NFL!#REF!,IF(+NFL!$H60="San Francisco",+NFL!#REF!,0))</f>
        <v>0</v>
      </c>
      <c r="BD518" s="57">
        <f>IF(+NFL!$F60="San Francisco",+NFL!#REF!,IF(+NFL!$H60="San Francisco",+NFL!#REF!,0))</f>
        <v>0</v>
      </c>
      <c r="BE518" s="64">
        <f>IF(+NFL!$F60="San Francisco",+NFL!#REF!,IF(+NFL!$H60="San Francisco",+NFL!#REF!,0))</f>
        <v>0</v>
      </c>
      <c r="BF518" s="46">
        <f>IF(+NFL!$F60="San Francisco",+NFL!#REF!,IF(+NFL!$H60="San Francisco",+NFL!#REF!,0))</f>
        <v>0</v>
      </c>
      <c r="BG518" s="57">
        <f>IF(+NFL!$F60="San Francisco",+NFL!#REF!,IF(+NFL!$H60="San Francisco",+NFL!#REF!,0))</f>
        <v>0</v>
      </c>
      <c r="BH518" s="64">
        <f>IF(+NFL!$F60="San Francisco",+NFL!#REF!,IF(+NFL!$H60="San Francisco",+NFL!#REF!,0))</f>
        <v>0</v>
      </c>
      <c r="BI518" s="46">
        <f>IF(+NFL!$F60="San Francisco",+NFL!#REF!,IF(+NFL!$H60="San Francisco",+NFL!#REF!,0))</f>
        <v>0</v>
      </c>
      <c r="BJ518" s="87">
        <f>IF(+NFL!$F60="San Francisco",+NFL!#REF!,IF(+NFL!$H60="San Francisco",+NFL!#REF!,0))</f>
        <v>0</v>
      </c>
      <c r="BK518" s="120">
        <f>IF(+NFL!$F60="San Francisco",+NFL!#REF!,IF(+NFL!$H60="San Francisco",+NFL!#REF!,0))</f>
        <v>0</v>
      </c>
    </row>
    <row r="519" spans="1:63" s="246" customFormat="1" x14ac:dyDescent="0.8">
      <c r="A519" s="46">
        <f>IF(+NFL!$F90="San Francisco",+NFL!A90,IF(+NFL!$H90="San Francisco",+NFL!A90,0))</f>
        <v>6</v>
      </c>
      <c r="B519" s="348" t="str">
        <f>IF(+NFL!$F90="San Francisco",+NFL!B90,IF(+NFL!$H90="San Francisco",+NFL!B90,0))</f>
        <v>Sun</v>
      </c>
      <c r="C519" s="48">
        <f>IF(+NFL!$F90="San Francisco",+NFL!C90,IF(+NFL!$H90="San Francisco",+NFL!C90,0))</f>
        <v>44847</v>
      </c>
      <c r="D519" s="490">
        <f>IF(+NFL!$F90="San Francisco",+NFL!D90,IF(+NFL!$H90="San Francisco",+NFL!D90,0))</f>
        <v>0.54166666666666663</v>
      </c>
      <c r="E519" s="46" t="str">
        <f>IF(+NFL!$F90="San Francisco",+NFL!E90,IF(+NFL!$H90="San Francisco",+NFL!E90,0))</f>
        <v>Fox</v>
      </c>
      <c r="F519" s="127" t="str">
        <f>IF(+NFL!$F90="San Francisco",+NFL!F90,IF(+NFL!$H90="San Francisco",+NFL!F90,0))</f>
        <v>San Francisco</v>
      </c>
      <c r="G519" s="46" t="str">
        <f>IF(+NFL!$F90="San Francisco",+NFL!G90,IF(+NFL!$H90="San Francisco",+NFL!G90,0))</f>
        <v>NFCW</v>
      </c>
      <c r="H519" s="127" t="str">
        <f>IF(+NFL!$F90="San Francisco",+NFL!H90,IF(+NFL!$H90="San Francisco",+NFL!H90,0))</f>
        <v>Atlanta</v>
      </c>
      <c r="I519" s="46" t="str">
        <f>IF(+NFL!$F90="San Francisco",+NFL!I90,IF(+NFL!$H90="San Francisco",+NFL!I90,0))</f>
        <v>NFCS</v>
      </c>
      <c r="J519" s="353" t="str">
        <f>IF(+NFL!$F90="San Francisco",+NFL!J90,IF(+NFL!$H90="San Francisco",+NFL!J90,0))</f>
        <v>San Francisco</v>
      </c>
      <c r="K519" s="494" t="str">
        <f>IF(+NFL!$F90="San Francisco",+NFL!K90,IF(+NFL!$H90="San Francisco",+NFL!K90,0))</f>
        <v>Atlanta</v>
      </c>
      <c r="L519" s="384">
        <f>IF(+NFL!$F90="San Francisco",+NFL!L90,IF(+NFL!$H90="San Francisco",+NFL!L90,0))</f>
        <v>5.5</v>
      </c>
      <c r="M519" s="385">
        <f>IF(+NFL!$F90="San Francisco",+NFL!M90,IF(+NFL!$H90="San Francisco",+NFL!M90,0))</f>
        <v>45</v>
      </c>
      <c r="N519" s="394" t="str">
        <f>IF(+NFL!$F90="San Francisco",+NFL!N90,IF(+NFL!$H90="San Francisco",+NFL!N90,0))</f>
        <v>Atlanta</v>
      </c>
      <c r="O519" s="395">
        <f>IF(+NFL!$F90="San Francisco",+NFL!O90,IF(+NFL!$H90="San Francisco",+NFL!O90,0))</f>
        <v>28</v>
      </c>
      <c r="P519" s="394" t="str">
        <f>IF(+NFL!$F90="San Francisco",+NFL!P90,IF(+NFL!$H90="San Francisco",+NFL!P90,0))</f>
        <v>San Francisco</v>
      </c>
      <c r="Q519" s="396">
        <f>IF(+NFL!$F90="San Francisco",+NFL!Q90,IF(+NFL!$H90="San Francisco",+NFL!Q90,0))</f>
        <v>14</v>
      </c>
      <c r="R519" s="397" t="str">
        <f>IF(+NFL!$F90="San Francisco",+NFL!R90,IF(+NFL!$H90="San Francisco",+NFL!R90,0))</f>
        <v>Atlanta</v>
      </c>
      <c r="S519" s="396" t="str">
        <f>IF(+NFL!$F90="San Francisco",+NFL!S90,IF(+NFL!$H90="San Francisco",+NFL!S90,0))</f>
        <v>San Francisco</v>
      </c>
      <c r="T519" s="398" t="str">
        <f>IF(+NFL!$F90="San Francisco",+NFL!T90,IF(+NFL!$H90="San Francisco",+NFL!T90,0))</f>
        <v>San Francisco</v>
      </c>
      <c r="U519" s="396" t="str">
        <f>IF(+NFL!$F90="San Francisco",+NFL!U90,IF(+NFL!$H90="San Francisco",+NFL!U90,0))</f>
        <v>L</v>
      </c>
      <c r="V519" s="397">
        <f>IF(+NFL!$F86="San Francisco",+NFL!#REF!,IF(+NFL!$H86="San Francisco",+NFL!#REF!,0))</f>
        <v>0</v>
      </c>
      <c r="W519" s="396">
        <f>IF(+NFL!$F86="San Francisco",+NFL!#REF!,IF(+NFL!$H86="San Francisco",+NFL!#REF!,0))</f>
        <v>0</v>
      </c>
      <c r="X519" s="398">
        <f>IF(+NFL!$F86="San Francisco",+NFL!#REF!,IF(+NFL!$H86="San Francisco",+NFL!#REF!,0))</f>
        <v>0</v>
      </c>
      <c r="Y519" s="396">
        <f>IF(+NFL!$F86="San Francisco",+NFL!#REF!,IF(+NFL!$H86="San Francisco",+NFL!#REF!,0))</f>
        <v>0</v>
      </c>
      <c r="Z519" s="397">
        <f>IF(+NFL!$F86="San Francisco",+NFL!#REF!,IF(+NFL!$H86="San Francisco",+NFL!#REF!,0))</f>
        <v>0</v>
      </c>
      <c r="AA519" s="396">
        <f>IF(+NFL!$F86="San Francisco",+NFL!#REF!,IF(+NFL!$H86="San Francisco",+NFL!#REF!,0))</f>
        <v>0</v>
      </c>
      <c r="AB519" s="87">
        <f>IF(+NFL!$F86="San Francisco",+NFL!#REF!,IF(+NFL!$H86="San Francisco",+NFL!#REF!,0))</f>
        <v>0</v>
      </c>
      <c r="AC519" s="120">
        <f>IF(+NFL!$F86="San Francisco",+NFL!#REF!,IF(+NFL!$H86="San Francisco",+NFL!#REF!,0))</f>
        <v>0</v>
      </c>
      <c r="AD519" s="353">
        <f>IF(+NFL!$F86="San Francisco",+NFL!#REF!,IF(+NFL!$H86="San Francisco",+NFL!#REF!,0))</f>
        <v>0</v>
      </c>
      <c r="AE519" s="379">
        <f>IF(+NFL!$F86="San Francisco",+NFL!#REF!,IF(+NFL!$H86="San Francisco",+NFL!#REF!,0))</f>
        <v>0</v>
      </c>
      <c r="AF519" s="353">
        <f>IF(+NFL!$F86="San Francisco",+NFL!#REF!,IF(+NFL!$H86="San Francisco",+NFL!#REF!,0))</f>
        <v>0</v>
      </c>
      <c r="AG519" s="379">
        <f>IF(+NFL!$F86="San Francisco",+NFL!#REF!,IF(+NFL!$H86="San Francisco",+NFL!#REF!,0))</f>
        <v>0</v>
      </c>
      <c r="AH519" s="353">
        <f>IF(+NFL!$F86="San Francisco",+NFL!#REF!,IF(+NFL!$H86="San Francisco",+NFL!#REF!,0))</f>
        <v>0</v>
      </c>
      <c r="AI519" s="379">
        <f>IF(+NFL!$F86="San Francisco",+NFL!#REF!,IF(+NFL!$H86="San Francisco",+NFL!#REF!,0))</f>
        <v>0</v>
      </c>
      <c r="AJ519" s="353">
        <f>IF(+NFL!$F86="San Francisco",+NFL!#REF!,IF(+NFL!$H86="San Francisco",+NFL!#REF!,0))</f>
        <v>0</v>
      </c>
      <c r="AK519" s="379">
        <f>IF(+NFL!$F86="San Francisco",+NFL!#REF!,IF(+NFL!$H86="San Francisco",+NFL!#REF!,0))</f>
        <v>0</v>
      </c>
      <c r="AL519" s="68">
        <f>IF(+NFL!$F86="San Francisco",+NFL!#REF!,IF(+NFL!$H86="San Francisco",+NFL!#REF!,0))</f>
        <v>0</v>
      </c>
      <c r="AM519" s="58">
        <f>IF(+NFL!$F86="San Francisco",+NFL!#REF!,IF(+NFL!$H86="San Francisco",+NFL!#REF!,0))</f>
        <v>0</v>
      </c>
      <c r="AN519" s="57">
        <f>IF(+NFL!$F86="San Francisco",+NFL!#REF!,IF(+NFL!$H86="San Francisco",+NFL!#REF!,0))</f>
        <v>0</v>
      </c>
      <c r="AO519" s="59">
        <f>IF(+NFL!$F86="San Francisco",+NFL!#REF!,IF(+NFL!$H86="San Francisco",+NFL!#REF!,0))</f>
        <v>0</v>
      </c>
      <c r="AP519" s="348">
        <f>IF(+NFL!$F86="San Francisco",+NFL!#REF!,IF(+NFL!$H86="San Francisco",+NFL!#REF!,0))</f>
        <v>0</v>
      </c>
      <c r="AQ519" s="48">
        <f>IF(+NFL!$F86="San Francisco",+NFL!#REF!,IF(+NFL!$H86="San Francisco",+NFL!#REF!,0))</f>
        <v>0</v>
      </c>
      <c r="AR519" s="57">
        <f>IF(+NFL!$F86="San Francisco",+NFL!#REF!,IF(+NFL!$H86="San Francisco",+NFL!#REF!,0))</f>
        <v>0</v>
      </c>
      <c r="AS519" s="64">
        <f>IF(+NFL!$F86="San Francisco",+NFL!#REF!,IF(+NFL!$H86="San Francisco",+NFL!#REF!,0))</f>
        <v>0</v>
      </c>
      <c r="AT519" s="64">
        <f>IF(+NFL!$F86="San Francisco",+NFL!#REF!,IF(+NFL!$H86="San Francisco",+NFL!#REF!,0))</f>
        <v>0</v>
      </c>
      <c r="AU519" s="57">
        <f>IF(+NFL!$F86="San Francisco",+NFL!#REF!,IF(+NFL!$H86="San Francisco",+NFL!#REF!,0))</f>
        <v>0</v>
      </c>
      <c r="AV519" s="64">
        <f>IF(+NFL!$F86="San Francisco",+NFL!#REF!,IF(+NFL!$H86="San Francisco",+NFL!#REF!,0))</f>
        <v>0</v>
      </c>
      <c r="AW519" s="46">
        <f>IF(+NFL!$F86="San Francisco",+NFL!#REF!,IF(+NFL!$H86="San Francisco",+NFL!#REF!,0))</f>
        <v>0</v>
      </c>
      <c r="AX519" s="64">
        <f>IF(+NFL!$F86="San Francisco",+NFL!#REF!,IF(+NFL!$H86="San Francisco",+NFL!#REF!,0))</f>
        <v>0</v>
      </c>
      <c r="AY519" s="57">
        <f>IF(+NFL!$F86="San Francisco",+NFL!#REF!,IF(+NFL!$H86="San Francisco",+NFL!#REF!,0))</f>
        <v>0</v>
      </c>
      <c r="AZ519" s="64">
        <f>IF(+NFL!$F86="San Francisco",+NFL!#REF!,IF(+NFL!$H86="San Francisco",+NFL!#REF!,0))</f>
        <v>0</v>
      </c>
      <c r="BA519" s="46">
        <f>IF(+NFL!$F86="San Francisco",+NFL!#REF!,IF(+NFL!$H86="San Francisco",+NFL!#REF!,0))</f>
        <v>0</v>
      </c>
      <c r="BB519" s="46">
        <f>IF(+NFL!$F86="San Francisco",+NFL!#REF!,IF(+NFL!$H86="San Francisco",+NFL!#REF!,0))</f>
        <v>0</v>
      </c>
      <c r="BC519" s="403">
        <f>IF(+NFL!$F86="San Francisco",+NFL!#REF!,IF(+NFL!$H86="San Francisco",+NFL!#REF!,0))</f>
        <v>0</v>
      </c>
      <c r="BD519" s="57">
        <f>IF(+NFL!$F86="San Francisco",+NFL!#REF!,IF(+NFL!$H86="San Francisco",+NFL!#REF!,0))</f>
        <v>0</v>
      </c>
      <c r="BE519" s="64">
        <f>IF(+NFL!$F86="San Francisco",+NFL!#REF!,IF(+NFL!$H86="San Francisco",+NFL!#REF!,0))</f>
        <v>0</v>
      </c>
      <c r="BF519" s="46">
        <f>IF(+NFL!$F86="San Francisco",+NFL!#REF!,IF(+NFL!$H86="San Francisco",+NFL!#REF!,0))</f>
        <v>0</v>
      </c>
      <c r="BG519" s="57">
        <f>IF(+NFL!$F86="San Francisco",+NFL!#REF!,IF(+NFL!$H86="San Francisco",+NFL!#REF!,0))</f>
        <v>0</v>
      </c>
      <c r="BH519" s="64">
        <f>IF(+NFL!$F86="San Francisco",+NFL!#REF!,IF(+NFL!$H86="San Francisco",+NFL!#REF!,0))</f>
        <v>0</v>
      </c>
      <c r="BI519" s="46">
        <f>IF(+NFL!$F86="San Francisco",+NFL!#REF!,IF(+NFL!$H86="San Francisco",+NFL!#REF!,0))</f>
        <v>0</v>
      </c>
      <c r="BJ519" s="87">
        <f>IF(+NFL!$F86="San Francisco",+NFL!#REF!,IF(+NFL!$H86="San Francisco",+NFL!#REF!,0))</f>
        <v>0</v>
      </c>
      <c r="BK519" s="120">
        <f>IF(+NFL!$F86="San Francisco",+NFL!#REF!,IF(+NFL!$H86="San Francisco",+NFL!#REF!,0))</f>
        <v>0</v>
      </c>
    </row>
    <row r="520" spans="1:63" s="246" customFormat="1" x14ac:dyDescent="0.8">
      <c r="A520" s="46">
        <f>IF(+NFL!$F120="San Francisco",+NFL!A120,IF(+NFL!$H120="San Francisco",+NFL!A120,0))</f>
        <v>7</v>
      </c>
      <c r="B520" s="348" t="str">
        <f>IF(+NFL!$F120="San Francisco",+NFL!B120,IF(+NFL!$H120="San Francisco",+NFL!B120,0))</f>
        <v>Sun</v>
      </c>
      <c r="C520" s="48">
        <f>IF(+NFL!$F120="San Francisco",+NFL!C120,IF(+NFL!$H120="San Francisco",+NFL!C120,0))</f>
        <v>44857</v>
      </c>
      <c r="D520" s="490">
        <f>IF(+NFL!$F120="San Francisco",+NFL!D120,IF(+NFL!$H120="San Francisco",+NFL!D120,0))</f>
        <v>0.66666666666666663</v>
      </c>
      <c r="E520" s="46" t="str">
        <f>IF(+NFL!$F120="San Francisco",+NFL!E120,IF(+NFL!$H120="San Francisco",+NFL!E120,0))</f>
        <v>CBS</v>
      </c>
      <c r="F520" s="127" t="str">
        <f>IF(+NFL!$F120="San Francisco",+NFL!F120,IF(+NFL!$H120="San Francisco",+NFL!F120,0))</f>
        <v>Kansas City</v>
      </c>
      <c r="G520" s="46" t="str">
        <f>IF(+NFL!$F120="San Francisco",+NFL!G120,IF(+NFL!$H120="San Francisco",+NFL!G120,0))</f>
        <v>AFCW</v>
      </c>
      <c r="H520" s="127" t="str">
        <f>IF(+NFL!$F120="San Francisco",+NFL!H120,IF(+NFL!$H120="San Francisco",+NFL!H120,0))</f>
        <v>San Francisco</v>
      </c>
      <c r="I520" s="46" t="str">
        <f>IF(+NFL!$F120="San Francisco",+NFL!I120,IF(+NFL!$H120="San Francisco",+NFL!I120,0))</f>
        <v>NFCW</v>
      </c>
      <c r="J520" s="353" t="str">
        <f>IF(+NFL!$F120="San Francisco",+NFL!J120,IF(+NFL!$H120="San Francisco",+NFL!J120,0))</f>
        <v>Kansas City</v>
      </c>
      <c r="K520" s="494" t="str">
        <f>IF(+NFL!$F120="San Francisco",+NFL!K120,IF(+NFL!$H120="San Francisco",+NFL!K120,0))</f>
        <v>San Francisco</v>
      </c>
      <c r="L520" s="384">
        <f>IF(+NFL!$F120="San Francisco",+NFL!L120,IF(+NFL!$H120="San Francisco",+NFL!L120,0))</f>
        <v>3</v>
      </c>
      <c r="M520" s="385">
        <f>IF(+NFL!$F120="San Francisco",+NFL!M120,IF(+NFL!$H120="San Francisco",+NFL!M120,0))</f>
        <v>48.5</v>
      </c>
      <c r="N520" s="394" t="str">
        <f>IF(+NFL!$F120="San Francisco",+NFL!N120,IF(+NFL!$H120="San Francisco",+NFL!N120,0))</f>
        <v>Kansas City</v>
      </c>
      <c r="O520" s="395">
        <f>IF(+NFL!$F120="San Francisco",+NFL!O120,IF(+NFL!$H120="San Francisco",+NFL!O120,0))</f>
        <v>44</v>
      </c>
      <c r="P520" s="394" t="str">
        <f>IF(+NFL!$F120="San Francisco",+NFL!P120,IF(+NFL!$H120="San Francisco",+NFL!P120,0))</f>
        <v>San Francisco</v>
      </c>
      <c r="Q520" s="396">
        <f>IF(+NFL!$F120="San Francisco",+NFL!Q120,IF(+NFL!$H120="San Francisco",+NFL!Q120,0))</f>
        <v>23</v>
      </c>
      <c r="R520" s="397" t="str">
        <f>IF(+NFL!$F120="San Francisco",+NFL!R120,IF(+NFL!$H120="San Francisco",+NFL!R120,0))</f>
        <v>Kansas City</v>
      </c>
      <c r="S520" s="396" t="str">
        <f>IF(+NFL!$F120="San Francisco",+NFL!S120,IF(+NFL!$H120="San Francisco",+NFL!S120,0))</f>
        <v>San Francisco</v>
      </c>
      <c r="T520" s="398" t="str">
        <f>IF(+NFL!$F120="San Francisco",+NFL!T120,IF(+NFL!$H120="San Francisco",+NFL!T120,0))</f>
        <v>San Francisco</v>
      </c>
      <c r="U520" s="396" t="str">
        <f>IF(+NFL!$F120="San Francisco",+NFL!U120,IF(+NFL!$H120="San Francisco",+NFL!U120,0))</f>
        <v>L</v>
      </c>
      <c r="V520" s="397">
        <f>IF(+NFL!$F101="San Francisco",+NFL!#REF!,IF(+NFL!$H101="San Francisco",+NFL!#REF!,0))</f>
        <v>0</v>
      </c>
      <c r="W520" s="396">
        <f>IF(+NFL!$F101="San Francisco",+NFL!#REF!,IF(+NFL!$H101="San Francisco",+NFL!#REF!,0))</f>
        <v>0</v>
      </c>
      <c r="X520" s="398">
        <f>IF(+NFL!$F101="San Francisco",+NFL!#REF!,IF(+NFL!$H101="San Francisco",+NFL!#REF!,0))</f>
        <v>0</v>
      </c>
      <c r="Y520" s="396">
        <f>IF(+NFL!$F101="San Francisco",+NFL!#REF!,IF(+NFL!$H101="San Francisco",+NFL!#REF!,0))</f>
        <v>0</v>
      </c>
      <c r="Z520" s="397">
        <f>IF(+NFL!$F101="San Francisco",+NFL!#REF!,IF(+NFL!$H101="San Francisco",+NFL!#REF!,0))</f>
        <v>0</v>
      </c>
      <c r="AA520" s="396">
        <f>IF(+NFL!$F101="San Francisco",+NFL!#REF!,IF(+NFL!$H101="San Francisco",+NFL!#REF!,0))</f>
        <v>0</v>
      </c>
      <c r="AB520" s="87">
        <f>IF(+NFL!$F101="San Francisco",+NFL!#REF!,IF(+NFL!$H101="San Francisco",+NFL!#REF!,0))</f>
        <v>0</v>
      </c>
      <c r="AC520" s="120">
        <f>IF(+NFL!$F101="San Francisco",+NFL!#REF!,IF(+NFL!$H101="San Francisco",+NFL!#REF!,0))</f>
        <v>0</v>
      </c>
      <c r="AD520" s="353">
        <f>IF(+NFL!$F101="San Francisco",+NFL!#REF!,IF(+NFL!$H101="San Francisco",+NFL!#REF!,0))</f>
        <v>0</v>
      </c>
      <c r="AE520" s="379">
        <f>IF(+NFL!$F101="San Francisco",+NFL!#REF!,IF(+NFL!$H101="San Francisco",+NFL!#REF!,0))</f>
        <v>0</v>
      </c>
      <c r="AF520" s="353">
        <f>IF(+NFL!$F101="San Francisco",+NFL!#REF!,IF(+NFL!$H101="San Francisco",+NFL!#REF!,0))</f>
        <v>0</v>
      </c>
      <c r="AG520" s="379">
        <f>IF(+NFL!$F101="San Francisco",+NFL!#REF!,IF(+NFL!$H101="San Francisco",+NFL!#REF!,0))</f>
        <v>0</v>
      </c>
      <c r="AH520" s="353">
        <f>IF(+NFL!$F101="San Francisco",+NFL!#REF!,IF(+NFL!$H101="San Francisco",+NFL!#REF!,0))</f>
        <v>0</v>
      </c>
      <c r="AI520" s="379">
        <f>IF(+NFL!$F101="San Francisco",+NFL!#REF!,IF(+NFL!$H101="San Francisco",+NFL!#REF!,0))</f>
        <v>0</v>
      </c>
      <c r="AJ520" s="353">
        <f>IF(+NFL!$F101="San Francisco",+NFL!#REF!,IF(+NFL!$H101="San Francisco",+NFL!#REF!,0))</f>
        <v>0</v>
      </c>
      <c r="AK520" s="379">
        <f>IF(+NFL!$F101="San Francisco",+NFL!#REF!,IF(+NFL!$H101="San Francisco",+NFL!#REF!,0))</f>
        <v>0</v>
      </c>
      <c r="AL520" s="68">
        <f>IF(+NFL!$F101="San Francisco",+NFL!#REF!,IF(+NFL!$H101="San Francisco",+NFL!#REF!,0))</f>
        <v>0</v>
      </c>
      <c r="AM520" s="58">
        <f>IF(+NFL!$F101="San Francisco",+NFL!#REF!,IF(+NFL!$H101="San Francisco",+NFL!#REF!,0))</f>
        <v>0</v>
      </c>
      <c r="AN520" s="57">
        <f>IF(+NFL!$F101="San Francisco",+NFL!#REF!,IF(+NFL!$H101="San Francisco",+NFL!#REF!,0))</f>
        <v>0</v>
      </c>
      <c r="AO520" s="59">
        <f>IF(+NFL!$F101="San Francisco",+NFL!#REF!,IF(+NFL!$H101="San Francisco",+NFL!#REF!,0))</f>
        <v>0</v>
      </c>
      <c r="AP520" s="348">
        <f>IF(+NFL!$F101="San Francisco",+NFL!#REF!,IF(+NFL!$H101="San Francisco",+NFL!#REF!,0))</f>
        <v>0</v>
      </c>
      <c r="AQ520" s="48">
        <f>IF(+NFL!$F101="San Francisco",+NFL!#REF!,IF(+NFL!$H101="San Francisco",+NFL!#REF!,0))</f>
        <v>0</v>
      </c>
      <c r="AR520" s="57">
        <f>IF(+NFL!$F101="San Francisco",+NFL!#REF!,IF(+NFL!$H101="San Francisco",+NFL!#REF!,0))</f>
        <v>0</v>
      </c>
      <c r="AS520" s="64">
        <f>IF(+NFL!$F101="San Francisco",+NFL!#REF!,IF(+NFL!$H101="San Francisco",+NFL!#REF!,0))</f>
        <v>0</v>
      </c>
      <c r="AT520" s="64">
        <f>IF(+NFL!$F101="San Francisco",+NFL!#REF!,IF(+NFL!$H101="San Francisco",+NFL!#REF!,0))</f>
        <v>0</v>
      </c>
      <c r="AU520" s="57">
        <f>IF(+NFL!$F101="San Francisco",+NFL!#REF!,IF(+NFL!$H101="San Francisco",+NFL!#REF!,0))</f>
        <v>0</v>
      </c>
      <c r="AV520" s="64">
        <f>IF(+NFL!$F101="San Francisco",+NFL!#REF!,IF(+NFL!$H101="San Francisco",+NFL!#REF!,0))</f>
        <v>0</v>
      </c>
      <c r="AW520" s="46">
        <f>IF(+NFL!$F101="San Francisco",+NFL!#REF!,IF(+NFL!$H101="San Francisco",+NFL!#REF!,0))</f>
        <v>0</v>
      </c>
      <c r="AX520" s="64">
        <f>IF(+NFL!$F101="San Francisco",+NFL!#REF!,IF(+NFL!$H101="San Francisco",+NFL!#REF!,0))</f>
        <v>0</v>
      </c>
      <c r="AY520" s="57">
        <f>IF(+NFL!$F101="San Francisco",+NFL!#REF!,IF(+NFL!$H101="San Francisco",+NFL!#REF!,0))</f>
        <v>0</v>
      </c>
      <c r="AZ520" s="64">
        <f>IF(+NFL!$F101="San Francisco",+NFL!#REF!,IF(+NFL!$H101="San Francisco",+NFL!#REF!,0))</f>
        <v>0</v>
      </c>
      <c r="BA520" s="46">
        <f>IF(+NFL!$F101="San Francisco",+NFL!#REF!,IF(+NFL!$H101="San Francisco",+NFL!#REF!,0))</f>
        <v>0</v>
      </c>
      <c r="BB520" s="46">
        <f>IF(+NFL!$F101="San Francisco",+NFL!#REF!,IF(+NFL!$H101="San Francisco",+NFL!#REF!,0))</f>
        <v>0</v>
      </c>
      <c r="BC520" s="403">
        <f>IF(+NFL!$F101="San Francisco",+NFL!#REF!,IF(+NFL!$H101="San Francisco",+NFL!#REF!,0))</f>
        <v>0</v>
      </c>
      <c r="BD520" s="57">
        <f>IF(+NFL!$F101="San Francisco",+NFL!#REF!,IF(+NFL!$H101="San Francisco",+NFL!#REF!,0))</f>
        <v>0</v>
      </c>
      <c r="BE520" s="64">
        <f>IF(+NFL!$F101="San Francisco",+NFL!#REF!,IF(+NFL!$H101="San Francisco",+NFL!#REF!,0))</f>
        <v>0</v>
      </c>
      <c r="BF520" s="46">
        <f>IF(+NFL!$F101="San Francisco",+NFL!#REF!,IF(+NFL!$H101="San Francisco",+NFL!#REF!,0))</f>
        <v>0</v>
      </c>
      <c r="BG520" s="57">
        <f>IF(+NFL!$F101="San Francisco",+NFL!#REF!,IF(+NFL!$H101="San Francisco",+NFL!#REF!,0))</f>
        <v>0</v>
      </c>
      <c r="BH520" s="64">
        <f>IF(+NFL!$F101="San Francisco",+NFL!#REF!,IF(+NFL!$H101="San Francisco",+NFL!#REF!,0))</f>
        <v>0</v>
      </c>
      <c r="BI520" s="46">
        <f>IF(+NFL!$F101="San Francisco",+NFL!#REF!,IF(+NFL!$H101="San Francisco",+NFL!#REF!,0))</f>
        <v>0</v>
      </c>
      <c r="BJ520" s="87">
        <f>IF(+NFL!$F101="San Francisco",+NFL!#REF!,IF(+NFL!$H101="San Francisco",+NFL!#REF!,0))</f>
        <v>0</v>
      </c>
      <c r="BK520" s="120">
        <f>IF(+NFL!$F101="San Francisco",+NFL!#REF!,IF(+NFL!$H101="San Francisco",+NFL!#REF!,0))</f>
        <v>0</v>
      </c>
    </row>
    <row r="521" spans="1:63" s="246" customFormat="1" x14ac:dyDescent="0.8">
      <c r="A521" s="46">
        <f>IF(+NFL!$F140="San Francisco",+NFL!A140,IF(+NFL!$H140="San Francisco",+NFL!A140,0))</f>
        <v>8</v>
      </c>
      <c r="B521" s="348" t="str">
        <f>IF(+NFL!$F140="San Francisco",+NFL!B140,IF(+NFL!$H140="San Francisco",+NFL!B140,0))</f>
        <v>Sun</v>
      </c>
      <c r="C521" s="48">
        <f>IF(+NFL!$F140="San Francisco",+NFL!C140,IF(+NFL!$H140="San Francisco",+NFL!C140,0))</f>
        <v>44864</v>
      </c>
      <c r="D521" s="490">
        <f>IF(+NFL!$F140="San Francisco",+NFL!D140,IF(+NFL!$H140="San Francisco",+NFL!D140,0))</f>
        <v>0.66666666666666663</v>
      </c>
      <c r="E521" s="46" t="str">
        <f>IF(+NFL!$F140="San Francisco",+NFL!E140,IF(+NFL!$H140="San Francisco",+NFL!E140,0))</f>
        <v>Fox</v>
      </c>
      <c r="F521" s="127" t="str">
        <f>IF(+NFL!$F140="San Francisco",+NFL!F140,IF(+NFL!$H140="San Francisco",+NFL!F140,0))</f>
        <v>San Francisco</v>
      </c>
      <c r="G521" s="46" t="str">
        <f>IF(+NFL!$F140="San Francisco",+NFL!G140,IF(+NFL!$H140="San Francisco",+NFL!G140,0))</f>
        <v>NFCW</v>
      </c>
      <c r="H521" s="127" t="str">
        <f>IF(+NFL!$F140="San Francisco",+NFL!H140,IF(+NFL!$H140="San Francisco",+NFL!H140,0))</f>
        <v>LA Rams</v>
      </c>
      <c r="I521" s="46" t="str">
        <f>IF(+NFL!$F140="San Francisco",+NFL!I140,IF(+NFL!$H140="San Francisco",+NFL!I140,0))</f>
        <v>NFCW</v>
      </c>
      <c r="J521" s="353" t="str">
        <f>IF(+NFL!$F140="San Francisco",+NFL!J140,IF(+NFL!$H140="San Francisco",+NFL!J140,0))</f>
        <v>San Francisco</v>
      </c>
      <c r="K521" s="494" t="str">
        <f>IF(+NFL!$F140="San Francisco",+NFL!K140,IF(+NFL!$H140="San Francisco",+NFL!K140,0))</f>
        <v>LA Rams</v>
      </c>
      <c r="L521" s="384">
        <f>IF(+NFL!$F140="San Francisco",+NFL!L140,IF(+NFL!$H140="San Francisco",+NFL!L140,0))</f>
        <v>1.5</v>
      </c>
      <c r="M521" s="385">
        <f>IF(+NFL!$F140="San Francisco",+NFL!M140,IF(+NFL!$H140="San Francisco",+NFL!M140,0))</f>
        <v>42</v>
      </c>
      <c r="N521" s="394" t="str">
        <f>IF(+NFL!$F140="San Francisco",+NFL!N140,IF(+NFL!$H140="San Francisco",+NFL!N140,0))</f>
        <v>San Francisco</v>
      </c>
      <c r="O521" s="395">
        <f>IF(+NFL!$F140="San Francisco",+NFL!O140,IF(+NFL!$H140="San Francisco",+NFL!O140,0))</f>
        <v>31</v>
      </c>
      <c r="P521" s="394" t="str">
        <f>IF(+NFL!$F140="San Francisco",+NFL!P140,IF(+NFL!$H140="San Francisco",+NFL!P140,0))</f>
        <v>LA Rams</v>
      </c>
      <c r="Q521" s="396">
        <f>IF(+NFL!$F140="San Francisco",+NFL!Q140,IF(+NFL!$H140="San Francisco",+NFL!Q140,0))</f>
        <v>14</v>
      </c>
      <c r="R521" s="397" t="str">
        <f>IF(+NFL!$F140="San Francisco",+NFL!R140,IF(+NFL!$H140="San Francisco",+NFL!R140,0))</f>
        <v>San Francisco</v>
      </c>
      <c r="S521" s="396" t="str">
        <f>IF(+NFL!$F140="San Francisco",+NFL!S140,IF(+NFL!$H140="San Francisco",+NFL!S140,0))</f>
        <v>LA Rams</v>
      </c>
      <c r="T521" s="398" t="str">
        <f>IF(+NFL!$F140="San Francisco",+NFL!T140,IF(+NFL!$H140="San Francisco",+NFL!T140,0))</f>
        <v>San Francisco</v>
      </c>
      <c r="U521" s="396" t="str">
        <f>IF(+NFL!$F140="San Francisco",+NFL!U140,IF(+NFL!$H140="San Francisco",+NFL!U140,0))</f>
        <v>W</v>
      </c>
      <c r="V521" s="397" t="e">
        <f>IF(+NFL!#REF!="San Francisco",+NFL!#REF!,IF(+NFL!#REF!="San Francisco",+NFL!#REF!,0))</f>
        <v>#REF!</v>
      </c>
      <c r="W521" s="396" t="e">
        <f>IF(+NFL!#REF!="San Francisco",+NFL!#REF!,IF(+NFL!#REF!="San Francisco",+NFL!#REF!,0))</f>
        <v>#REF!</v>
      </c>
      <c r="X521" s="398" t="e">
        <f>IF(+NFL!#REF!="San Francisco",+NFL!#REF!,IF(+NFL!#REF!="San Francisco",+NFL!#REF!,0))</f>
        <v>#REF!</v>
      </c>
      <c r="Y521" s="396" t="e">
        <f>IF(+NFL!#REF!="San Francisco",+NFL!#REF!,IF(+NFL!#REF!="San Francisco",+NFL!#REF!,0))</f>
        <v>#REF!</v>
      </c>
      <c r="Z521" s="397" t="e">
        <f>IF(+NFL!#REF!="San Francisco",+NFL!#REF!,IF(+NFL!#REF!="San Francisco",+NFL!#REF!,0))</f>
        <v>#REF!</v>
      </c>
      <c r="AA521" s="396" t="e">
        <f>IF(+NFL!#REF!="San Francisco",+NFL!#REF!,IF(+NFL!#REF!="San Francisco",+NFL!#REF!,0))</f>
        <v>#REF!</v>
      </c>
      <c r="AB521" s="87" t="e">
        <f>IF(+NFL!#REF!="San Francisco",+NFL!#REF!,IF(+NFL!#REF!="San Francisco",+NFL!#REF!,0))</f>
        <v>#REF!</v>
      </c>
      <c r="AC521" s="120" t="e">
        <f>IF(+NFL!#REF!="San Francisco",+NFL!#REF!,IF(+NFL!#REF!="San Francisco",+NFL!#REF!,0))</f>
        <v>#REF!</v>
      </c>
      <c r="AD521" s="353" t="e">
        <f>IF(+NFL!#REF!="San Francisco",+NFL!#REF!,IF(+NFL!#REF!="San Francisco",+NFL!#REF!,0))</f>
        <v>#REF!</v>
      </c>
      <c r="AE521" s="379" t="e">
        <f>IF(+NFL!#REF!="San Francisco",+NFL!#REF!,IF(+NFL!#REF!="San Francisco",+NFL!#REF!,0))</f>
        <v>#REF!</v>
      </c>
      <c r="AF521" s="353" t="e">
        <f>IF(+NFL!#REF!="San Francisco",+NFL!#REF!,IF(+NFL!#REF!="San Francisco",+NFL!#REF!,0))</f>
        <v>#REF!</v>
      </c>
      <c r="AG521" s="379" t="e">
        <f>IF(+NFL!#REF!="San Francisco",+NFL!#REF!,IF(+NFL!#REF!="San Francisco",+NFL!#REF!,0))</f>
        <v>#REF!</v>
      </c>
      <c r="AH521" s="353" t="e">
        <f>IF(+NFL!#REF!="San Francisco",+NFL!#REF!,IF(+NFL!#REF!="San Francisco",+NFL!#REF!,0))</f>
        <v>#REF!</v>
      </c>
      <c r="AI521" s="379" t="e">
        <f>IF(+NFL!#REF!="San Francisco",+NFL!#REF!,IF(+NFL!#REF!="San Francisco",+NFL!#REF!,0))</f>
        <v>#REF!</v>
      </c>
      <c r="AJ521" s="353" t="e">
        <f>IF(+NFL!#REF!="San Francisco",+NFL!#REF!,IF(+NFL!#REF!="San Francisco",+NFL!#REF!,0))</f>
        <v>#REF!</v>
      </c>
      <c r="AK521" s="379" t="e">
        <f>IF(+NFL!#REF!="San Francisco",+NFL!#REF!,IF(+NFL!#REF!="San Francisco",+NFL!#REF!,0))</f>
        <v>#REF!</v>
      </c>
      <c r="AL521" s="68" t="e">
        <f>IF(+NFL!#REF!="San Francisco",+NFL!#REF!,IF(+NFL!#REF!="San Francisco",+NFL!#REF!,0))</f>
        <v>#REF!</v>
      </c>
      <c r="AM521" s="58" t="e">
        <f>IF(+NFL!#REF!="San Francisco",+NFL!#REF!,IF(+NFL!#REF!="San Francisco",+NFL!#REF!,0))</f>
        <v>#REF!</v>
      </c>
      <c r="AN521" s="57" t="e">
        <f>IF(+NFL!#REF!="San Francisco",+NFL!#REF!,IF(+NFL!#REF!="San Francisco",+NFL!#REF!,0))</f>
        <v>#REF!</v>
      </c>
      <c r="AO521" s="59" t="e">
        <f>IF(+NFL!#REF!="San Francisco",+NFL!#REF!,IF(+NFL!#REF!="San Francisco",+NFL!#REF!,0))</f>
        <v>#REF!</v>
      </c>
      <c r="AP521" s="348" t="e">
        <f>IF(+NFL!#REF!="San Francisco",+NFL!#REF!,IF(+NFL!#REF!="San Francisco",+NFL!#REF!,0))</f>
        <v>#REF!</v>
      </c>
      <c r="AQ521" s="48" t="e">
        <f>IF(+NFL!#REF!="San Francisco",+NFL!#REF!,IF(+NFL!#REF!="San Francisco",+NFL!#REF!,0))</f>
        <v>#REF!</v>
      </c>
      <c r="AR521" s="57" t="e">
        <f>IF(+NFL!#REF!="San Francisco",+NFL!#REF!,IF(+NFL!#REF!="San Francisco",+NFL!#REF!,0))</f>
        <v>#REF!</v>
      </c>
      <c r="AS521" s="64" t="e">
        <f>IF(+NFL!#REF!="San Francisco",+NFL!#REF!,IF(+NFL!#REF!="San Francisco",+NFL!#REF!,0))</f>
        <v>#REF!</v>
      </c>
      <c r="AT521" s="64" t="e">
        <f>IF(+NFL!#REF!="San Francisco",+NFL!#REF!,IF(+NFL!#REF!="San Francisco",+NFL!#REF!,0))</f>
        <v>#REF!</v>
      </c>
      <c r="AU521" s="57" t="e">
        <f>IF(+NFL!#REF!="San Francisco",+NFL!#REF!,IF(+NFL!#REF!="San Francisco",+NFL!#REF!,0))</f>
        <v>#REF!</v>
      </c>
      <c r="AV521" s="64" t="e">
        <f>IF(+NFL!#REF!="San Francisco",+NFL!#REF!,IF(+NFL!#REF!="San Francisco",+NFL!#REF!,0))</f>
        <v>#REF!</v>
      </c>
      <c r="AW521" s="46" t="e">
        <f>IF(+NFL!#REF!="San Francisco",+NFL!#REF!,IF(+NFL!#REF!="San Francisco",+NFL!#REF!,0))</f>
        <v>#REF!</v>
      </c>
      <c r="AX521" s="64" t="e">
        <f>IF(+NFL!#REF!="San Francisco",+NFL!#REF!,IF(+NFL!#REF!="San Francisco",+NFL!#REF!,0))</f>
        <v>#REF!</v>
      </c>
      <c r="AY521" s="57" t="e">
        <f>IF(+NFL!#REF!="San Francisco",+NFL!#REF!,IF(+NFL!#REF!="San Francisco",+NFL!#REF!,0))</f>
        <v>#REF!</v>
      </c>
      <c r="AZ521" s="64" t="e">
        <f>IF(+NFL!#REF!="San Francisco",+NFL!#REF!,IF(+NFL!#REF!="San Francisco",+NFL!#REF!,0))</f>
        <v>#REF!</v>
      </c>
      <c r="BA521" s="46" t="e">
        <f>IF(+NFL!#REF!="San Francisco",+NFL!#REF!,IF(+NFL!#REF!="San Francisco",+NFL!#REF!,0))</f>
        <v>#REF!</v>
      </c>
      <c r="BB521" s="46" t="e">
        <f>IF(+NFL!#REF!="San Francisco",+NFL!#REF!,IF(+NFL!#REF!="San Francisco",+NFL!#REF!,0))</f>
        <v>#REF!</v>
      </c>
      <c r="BC521" s="403" t="e">
        <f>IF(+NFL!#REF!="San Francisco",+NFL!#REF!,IF(+NFL!#REF!="San Francisco",+NFL!#REF!,0))</f>
        <v>#REF!</v>
      </c>
      <c r="BD521" s="57" t="e">
        <f>IF(+NFL!#REF!="San Francisco",+NFL!#REF!,IF(+NFL!#REF!="San Francisco",+NFL!#REF!,0))</f>
        <v>#REF!</v>
      </c>
      <c r="BE521" s="64" t="e">
        <f>IF(+NFL!#REF!="San Francisco",+NFL!#REF!,IF(+NFL!#REF!="San Francisco",+NFL!#REF!,0))</f>
        <v>#REF!</v>
      </c>
      <c r="BF521" s="46" t="e">
        <f>IF(+NFL!#REF!="San Francisco",+NFL!#REF!,IF(+NFL!#REF!="San Francisco",+NFL!#REF!,0))</f>
        <v>#REF!</v>
      </c>
      <c r="BG521" s="57" t="e">
        <f>IF(+NFL!#REF!="San Francisco",+NFL!#REF!,IF(+NFL!#REF!="San Francisco",+NFL!#REF!,0))</f>
        <v>#REF!</v>
      </c>
      <c r="BH521" s="64" t="e">
        <f>IF(+NFL!#REF!="San Francisco",+NFL!#REF!,IF(+NFL!#REF!="San Francisco",+NFL!#REF!,0))</f>
        <v>#REF!</v>
      </c>
      <c r="BI521" s="46" t="e">
        <f>IF(+NFL!#REF!="San Francisco",+NFL!#REF!,IF(+NFL!#REF!="San Francisco",+NFL!#REF!,0))</f>
        <v>#REF!</v>
      </c>
      <c r="BJ521" s="87" t="e">
        <f>IF(+NFL!#REF!="San Francisco",+NFL!#REF!,IF(+NFL!#REF!="San Francisco",+NFL!#REF!,0))</f>
        <v>#REF!</v>
      </c>
      <c r="BK521" s="120" t="e">
        <f>IF(+NFL!#REF!="San Francisco",+NFL!#REF!,IF(+NFL!#REF!="San Francisco",+NFL!#REF!,0))</f>
        <v>#REF!</v>
      </c>
    </row>
    <row r="522" spans="1:63" s="246" customFormat="1" x14ac:dyDescent="0.8">
      <c r="A522" s="46">
        <f>IF(+NFL!$F167="San Francisco",+NFL!A167,IF(+NFL!$H167="San Francisco",+NFL!A167,0))</f>
        <v>9</v>
      </c>
      <c r="B522" s="348">
        <f>IF(+NFL!$F167="San Francisco",+NFL!B167,IF(+NFL!$H167="San Francisco",+NFL!B167,0))</f>
        <v>0</v>
      </c>
      <c r="C522" s="48">
        <f>IF(+NFL!$F167="San Francisco",+NFL!C167,IF(+NFL!$H167="San Francisco",+NFL!C167,0))</f>
        <v>0</v>
      </c>
      <c r="D522" s="490">
        <f>IF(+NFL!$F167="San Francisco",+NFL!D167,IF(+NFL!$H167="San Francisco",+NFL!D167,0))</f>
        <v>0</v>
      </c>
      <c r="E522" s="46">
        <f>IF(+NFL!$F167="San Francisco",+NFL!E167,IF(+NFL!$H167="San Francisco",+NFL!E167,0))</f>
        <v>0</v>
      </c>
      <c r="F522" s="127" t="str">
        <f>IF(+NFL!$F167="San Francisco",+NFL!F167,IF(+NFL!$H167="San Francisco",+NFL!F167,0))</f>
        <v>San Francisco</v>
      </c>
      <c r="G522" s="46" t="str">
        <f>IF(+NFL!$F167="San Francisco",+NFL!G167,IF(+NFL!$H167="San Francisco",+NFL!G167,0))</f>
        <v>NFCW</v>
      </c>
      <c r="H522" s="127">
        <f>IF(+NFL!$F167="San Francisco",+NFL!H167,IF(+NFL!$H167="San Francisco",+NFL!H167,0))</f>
        <v>0</v>
      </c>
      <c r="I522" s="46">
        <f>IF(+NFL!$F167="San Francisco",+NFL!I167,IF(+NFL!$H167="San Francisco",+NFL!I167,0))</f>
        <v>0</v>
      </c>
      <c r="J522" s="353">
        <f>IF(+NFL!$F167="San Francisco",+NFL!J167,IF(+NFL!$H167="San Francisco",+NFL!J167,0))</f>
        <v>0</v>
      </c>
      <c r="K522" s="494">
        <f>IF(+NFL!$F167="San Francisco",+NFL!K167,IF(+NFL!$H167="San Francisco",+NFL!K167,0))</f>
        <v>0</v>
      </c>
      <c r="L522" s="384">
        <f>IF(+NFL!$F167="San Francisco",+NFL!L167,IF(+NFL!$H167="San Francisco",+NFL!L167,0))</f>
        <v>0</v>
      </c>
      <c r="M522" s="385">
        <f>IF(+NFL!$F167="San Francisco",+NFL!M167,IF(+NFL!$H167="San Francisco",+NFL!M167,0))</f>
        <v>0</v>
      </c>
      <c r="N522" s="394">
        <f>IF(+NFL!$F167="San Francisco",+NFL!N167,IF(+NFL!$H167="San Francisco",+NFL!N167,0))</f>
        <v>0</v>
      </c>
      <c r="O522" s="395">
        <f>IF(+NFL!$F167="San Francisco",+NFL!O167,IF(+NFL!$H167="San Francisco",+NFL!O167,0))</f>
        <v>0</v>
      </c>
      <c r="P522" s="394">
        <f>IF(+NFL!$F167="San Francisco",+NFL!P167,IF(+NFL!$H167="San Francisco",+NFL!P167,0))</f>
        <v>0</v>
      </c>
      <c r="Q522" s="396">
        <f>IF(+NFL!$F167="San Francisco",+NFL!Q167,IF(+NFL!$H167="San Francisco",+NFL!Q167,0))</f>
        <v>0</v>
      </c>
      <c r="R522" s="397">
        <f>IF(+NFL!$F167="San Francisco",+NFL!R167,IF(+NFL!$H167="San Francisco",+NFL!R167,0))</f>
        <v>0</v>
      </c>
      <c r="S522" s="396">
        <f>IF(+NFL!$F167="San Francisco",+NFL!S167,IF(+NFL!$H167="San Francisco",+NFL!S167,0))</f>
        <v>0</v>
      </c>
      <c r="T522" s="398">
        <f>IF(+NFL!$F167="San Francisco",+NFL!T167,IF(+NFL!$H167="San Francisco",+NFL!T167,0))</f>
        <v>0</v>
      </c>
      <c r="U522" s="396">
        <f>IF(+NFL!$F167="San Francisco",+NFL!U167,IF(+NFL!$H167="San Francisco",+NFL!U167,0))</f>
        <v>0</v>
      </c>
      <c r="V522" s="397">
        <f>IF(+NFL!$F136="San Francisco",+NFL!#REF!,IF(+NFL!$H136="San Francisco",+NFL!#REF!,0))</f>
        <v>0</v>
      </c>
      <c r="W522" s="396">
        <f>IF(+NFL!$F136="San Francisco",+NFL!#REF!,IF(+NFL!$H136="San Francisco",+NFL!#REF!,0))</f>
        <v>0</v>
      </c>
      <c r="X522" s="398">
        <f>IF(+NFL!$F136="San Francisco",+NFL!#REF!,IF(+NFL!$H136="San Francisco",+NFL!#REF!,0))</f>
        <v>0</v>
      </c>
      <c r="Y522" s="396">
        <f>IF(+NFL!$F136="San Francisco",+NFL!#REF!,IF(+NFL!$H136="San Francisco",+NFL!#REF!,0))</f>
        <v>0</v>
      </c>
      <c r="Z522" s="397">
        <f>IF(+NFL!$F136="San Francisco",+NFL!#REF!,IF(+NFL!$H136="San Francisco",+NFL!#REF!,0))</f>
        <v>0</v>
      </c>
      <c r="AA522" s="396">
        <f>IF(+NFL!$F136="San Francisco",+NFL!#REF!,IF(+NFL!$H136="San Francisco",+NFL!#REF!,0))</f>
        <v>0</v>
      </c>
      <c r="AB522" s="87">
        <f>IF(+NFL!$F136="San Francisco",+NFL!#REF!,IF(+NFL!$H136="San Francisco",+NFL!#REF!,0))</f>
        <v>0</v>
      </c>
      <c r="AC522" s="120">
        <f>IF(+NFL!$F136="San Francisco",+NFL!#REF!,IF(+NFL!$H136="San Francisco",+NFL!#REF!,0))</f>
        <v>0</v>
      </c>
      <c r="AD522" s="353">
        <f>IF(+NFL!$F136="San Francisco",+NFL!#REF!,IF(+NFL!$H136="San Francisco",+NFL!#REF!,0))</f>
        <v>0</v>
      </c>
      <c r="AE522" s="379">
        <f>IF(+NFL!$F136="San Francisco",+NFL!#REF!,IF(+NFL!$H136="San Francisco",+NFL!#REF!,0))</f>
        <v>0</v>
      </c>
      <c r="AF522" s="353">
        <f>IF(+NFL!$F136="San Francisco",+NFL!#REF!,IF(+NFL!$H136="San Francisco",+NFL!#REF!,0))</f>
        <v>0</v>
      </c>
      <c r="AG522" s="379">
        <f>IF(+NFL!$F136="San Francisco",+NFL!#REF!,IF(+NFL!$H136="San Francisco",+NFL!#REF!,0))</f>
        <v>0</v>
      </c>
      <c r="AH522" s="353">
        <f>IF(+NFL!$F136="San Francisco",+NFL!#REF!,IF(+NFL!$H136="San Francisco",+NFL!#REF!,0))</f>
        <v>0</v>
      </c>
      <c r="AI522" s="379">
        <f>IF(+NFL!$F136="San Francisco",+NFL!#REF!,IF(+NFL!$H136="San Francisco",+NFL!#REF!,0))</f>
        <v>0</v>
      </c>
      <c r="AJ522" s="353">
        <f>IF(+NFL!$F136="San Francisco",+NFL!#REF!,IF(+NFL!$H136="San Francisco",+NFL!#REF!,0))</f>
        <v>0</v>
      </c>
      <c r="AK522" s="379">
        <f>IF(+NFL!$F136="San Francisco",+NFL!#REF!,IF(+NFL!$H136="San Francisco",+NFL!#REF!,0))</f>
        <v>0</v>
      </c>
      <c r="AL522" s="68">
        <f>IF(+NFL!$F136="San Francisco",+NFL!#REF!,IF(+NFL!$H136="San Francisco",+NFL!#REF!,0))</f>
        <v>0</v>
      </c>
      <c r="AM522" s="58">
        <f>IF(+NFL!$F136="San Francisco",+NFL!#REF!,IF(+NFL!$H136="San Francisco",+NFL!#REF!,0))</f>
        <v>0</v>
      </c>
      <c r="AN522" s="57">
        <f>IF(+NFL!$F136="San Francisco",+NFL!#REF!,IF(+NFL!$H136="San Francisco",+NFL!#REF!,0))</f>
        <v>0</v>
      </c>
      <c r="AO522" s="59">
        <f>IF(+NFL!$F136="San Francisco",+NFL!#REF!,IF(+NFL!$H136="San Francisco",+NFL!#REF!,0))</f>
        <v>0</v>
      </c>
      <c r="AP522" s="348">
        <f>IF(+NFL!$F136="San Francisco",+NFL!#REF!,IF(+NFL!$H136="San Francisco",+NFL!#REF!,0))</f>
        <v>0</v>
      </c>
      <c r="AQ522" s="48">
        <f>IF(+NFL!$F136="San Francisco",+NFL!#REF!,IF(+NFL!$H136="San Francisco",+NFL!#REF!,0))</f>
        <v>0</v>
      </c>
      <c r="AR522" s="57">
        <f>IF(+NFL!$F136="San Francisco",+NFL!#REF!,IF(+NFL!$H136="San Francisco",+NFL!#REF!,0))</f>
        <v>0</v>
      </c>
      <c r="AS522" s="64">
        <f>IF(+NFL!$F136="San Francisco",+NFL!#REF!,IF(+NFL!$H136="San Francisco",+NFL!#REF!,0))</f>
        <v>0</v>
      </c>
      <c r="AT522" s="64">
        <f>IF(+NFL!$F136="San Francisco",+NFL!#REF!,IF(+NFL!$H136="San Francisco",+NFL!#REF!,0))</f>
        <v>0</v>
      </c>
      <c r="AU522" s="57">
        <f>IF(+NFL!$F136="San Francisco",+NFL!#REF!,IF(+NFL!$H136="San Francisco",+NFL!#REF!,0))</f>
        <v>0</v>
      </c>
      <c r="AV522" s="64">
        <f>IF(+NFL!$F136="San Francisco",+NFL!#REF!,IF(+NFL!$H136="San Francisco",+NFL!#REF!,0))</f>
        <v>0</v>
      </c>
      <c r="AW522" s="46">
        <f>IF(+NFL!$F136="San Francisco",+NFL!#REF!,IF(+NFL!$H136="San Francisco",+NFL!#REF!,0))</f>
        <v>0</v>
      </c>
      <c r="AX522" s="64">
        <f>IF(+NFL!$F136="San Francisco",+NFL!#REF!,IF(+NFL!$H136="San Francisco",+NFL!#REF!,0))</f>
        <v>0</v>
      </c>
      <c r="AY522" s="57">
        <f>IF(+NFL!$F136="San Francisco",+NFL!#REF!,IF(+NFL!$H136="San Francisco",+NFL!#REF!,0))</f>
        <v>0</v>
      </c>
      <c r="AZ522" s="64">
        <f>IF(+NFL!$F136="San Francisco",+NFL!#REF!,IF(+NFL!$H136="San Francisco",+NFL!#REF!,0))</f>
        <v>0</v>
      </c>
      <c r="BA522" s="46">
        <f>IF(+NFL!$F136="San Francisco",+NFL!#REF!,IF(+NFL!$H136="San Francisco",+NFL!#REF!,0))</f>
        <v>0</v>
      </c>
      <c r="BB522" s="46">
        <f>IF(+NFL!$F136="San Francisco",+NFL!#REF!,IF(+NFL!$H136="San Francisco",+NFL!#REF!,0))</f>
        <v>0</v>
      </c>
      <c r="BC522" s="403">
        <f>IF(+NFL!$F136="San Francisco",+NFL!#REF!,IF(+NFL!$H136="San Francisco",+NFL!#REF!,0))</f>
        <v>0</v>
      </c>
      <c r="BD522" s="57">
        <f>IF(+NFL!$F136="San Francisco",+NFL!#REF!,IF(+NFL!$H136="San Francisco",+NFL!#REF!,0))</f>
        <v>0</v>
      </c>
      <c r="BE522" s="64">
        <f>IF(+NFL!$F136="San Francisco",+NFL!#REF!,IF(+NFL!$H136="San Francisco",+NFL!#REF!,0))</f>
        <v>0</v>
      </c>
      <c r="BF522" s="46">
        <f>IF(+NFL!$F136="San Francisco",+NFL!#REF!,IF(+NFL!$H136="San Francisco",+NFL!#REF!,0))</f>
        <v>0</v>
      </c>
      <c r="BG522" s="57">
        <f>IF(+NFL!$F136="San Francisco",+NFL!#REF!,IF(+NFL!$H136="San Francisco",+NFL!#REF!,0))</f>
        <v>0</v>
      </c>
      <c r="BH522" s="64">
        <f>IF(+NFL!$F136="San Francisco",+NFL!#REF!,IF(+NFL!$H136="San Francisco",+NFL!#REF!,0))</f>
        <v>0</v>
      </c>
      <c r="BI522" s="46">
        <f>IF(+NFL!$F136="San Francisco",+NFL!#REF!,IF(+NFL!$H136="San Francisco",+NFL!#REF!,0))</f>
        <v>0</v>
      </c>
      <c r="BJ522" s="87">
        <f>IF(+NFL!$F136="San Francisco",+NFL!#REF!,IF(+NFL!$H136="San Francisco",+NFL!#REF!,0))</f>
        <v>0</v>
      </c>
      <c r="BK522" s="120">
        <f>IF(+NFL!$F136="San Francisco",+NFL!#REF!,IF(+NFL!$H136="San Francisco",+NFL!#REF!,0))</f>
        <v>0</v>
      </c>
    </row>
    <row r="523" spans="1:63" s="246" customFormat="1" x14ac:dyDescent="0.8">
      <c r="A523" s="46">
        <f>IF(+NFL!$F181="San Francisco",+NFL!A181,IF(+NFL!$H181="San Francisco",+NFL!A181,0))</f>
        <v>10</v>
      </c>
      <c r="B523" s="348" t="str">
        <f>IF(+NFL!$F181="San Francisco",+NFL!B181,IF(+NFL!$H181="San Francisco",+NFL!B181,0))</f>
        <v>Sun</v>
      </c>
      <c r="C523" s="48">
        <f>IF(+NFL!$F181="San Francisco",+NFL!C181,IF(+NFL!$H181="San Francisco",+NFL!C181,0))</f>
        <v>44879</v>
      </c>
      <c r="D523" s="490">
        <f>IF(+NFL!$F181="San Francisco",+NFL!D181,IF(+NFL!$H181="San Francisco",+NFL!D181,0))</f>
        <v>0.84375</v>
      </c>
      <c r="E523" s="46" t="str">
        <f>IF(+NFL!$F181="San Francisco",+NFL!E181,IF(+NFL!$H181="San Francisco",+NFL!E181,0))</f>
        <v>NBC</v>
      </c>
      <c r="F523" s="127" t="str">
        <f>IF(+NFL!$F181="San Francisco",+NFL!F181,IF(+NFL!$H181="San Francisco",+NFL!F181,0))</f>
        <v>LA Chargers</v>
      </c>
      <c r="G523" s="46" t="str">
        <f>IF(+NFL!$F181="San Francisco",+NFL!G181,IF(+NFL!$H181="San Francisco",+NFL!G181,0))</f>
        <v>AFCW</v>
      </c>
      <c r="H523" s="127" t="str">
        <f>IF(+NFL!$F181="San Francisco",+NFL!H181,IF(+NFL!$H181="San Francisco",+NFL!H181,0))</f>
        <v>San Francisco</v>
      </c>
      <c r="I523" s="46" t="str">
        <f>IF(+NFL!$F181="San Francisco",+NFL!I181,IF(+NFL!$H181="San Francisco",+NFL!I181,0))</f>
        <v>NFCW</v>
      </c>
      <c r="J523" s="353" t="str">
        <f>IF(+NFL!$F181="San Francisco",+NFL!J181,IF(+NFL!$H181="San Francisco",+NFL!J181,0))</f>
        <v>San Francisco</v>
      </c>
      <c r="K523" s="494" t="str">
        <f>IF(+NFL!$F181="San Francisco",+NFL!K181,IF(+NFL!$H181="San Francisco",+NFL!K181,0))</f>
        <v>LA Chargers</v>
      </c>
      <c r="L523" s="384">
        <f>IF(+NFL!$F181="San Francisco",+NFL!L181,IF(+NFL!$H181="San Francisco",+NFL!L181,0))</f>
        <v>7</v>
      </c>
      <c r="M523" s="385">
        <f>IF(+NFL!$F181="San Francisco",+NFL!M181,IF(+NFL!$H181="San Francisco",+NFL!M181,0))</f>
        <v>45.5</v>
      </c>
      <c r="N523" s="394" t="str">
        <f>IF(+NFL!$F181="San Francisco",+NFL!N181,IF(+NFL!$H181="San Francisco",+NFL!N181,0))</f>
        <v>San Francisco</v>
      </c>
      <c r="O523" s="395">
        <f>IF(+NFL!$F181="San Francisco",+NFL!O181,IF(+NFL!$H181="San Francisco",+NFL!O181,0))</f>
        <v>22</v>
      </c>
      <c r="P523" s="394" t="str">
        <f>IF(+NFL!$F181="San Francisco",+NFL!P181,IF(+NFL!$H181="San Francisco",+NFL!P181,0))</f>
        <v>LA Chargers</v>
      </c>
      <c r="Q523" s="396">
        <f>IF(+NFL!$F181="San Francisco",+NFL!Q181,IF(+NFL!$H181="San Francisco",+NFL!Q181,0))</f>
        <v>16</v>
      </c>
      <c r="R523" s="397" t="str">
        <f>IF(+NFL!$F181="San Francisco",+NFL!R181,IF(+NFL!$H181="San Francisco",+NFL!R181,0))</f>
        <v>LA Chargers</v>
      </c>
      <c r="S523" s="396" t="str">
        <f>IF(+NFL!$F181="San Francisco",+NFL!S181,IF(+NFL!$H181="San Francisco",+NFL!S181,0))</f>
        <v>San Francisco</v>
      </c>
      <c r="T523" s="398" t="str">
        <f>IF(+NFL!$F181="San Francisco",+NFL!T181,IF(+NFL!$H181="San Francisco",+NFL!T181,0))</f>
        <v>San Francisco</v>
      </c>
      <c r="U523" s="396" t="str">
        <f>IF(+NFL!$F181="San Francisco",+NFL!U181,IF(+NFL!$H181="San Francisco",+NFL!U181,0))</f>
        <v>L</v>
      </c>
      <c r="V523" s="397">
        <f>IF(+NFL!$F160="San Francisco",+NFL!#REF!,IF(+NFL!$H160="San Francisco",+NFL!#REF!,0))</f>
        <v>0</v>
      </c>
      <c r="W523" s="396">
        <f>IF(+NFL!$F160="San Francisco",+NFL!#REF!,IF(+NFL!$H160="San Francisco",+NFL!#REF!,0))</f>
        <v>0</v>
      </c>
      <c r="X523" s="398">
        <f>IF(+NFL!$F160="San Francisco",+NFL!#REF!,IF(+NFL!$H160="San Francisco",+NFL!#REF!,0))</f>
        <v>0</v>
      </c>
      <c r="Y523" s="396">
        <f>IF(+NFL!$F160="San Francisco",+NFL!#REF!,IF(+NFL!$H160="San Francisco",+NFL!#REF!,0))</f>
        <v>0</v>
      </c>
      <c r="Z523" s="397">
        <f>IF(+NFL!$F160="San Francisco",+NFL!#REF!,IF(+NFL!$H160="San Francisco",+NFL!#REF!,0))</f>
        <v>0</v>
      </c>
      <c r="AA523" s="396">
        <f>IF(+NFL!$F160="San Francisco",+NFL!#REF!,IF(+NFL!$H160="San Francisco",+NFL!#REF!,0))</f>
        <v>0</v>
      </c>
      <c r="AB523" s="87">
        <f>IF(+NFL!$F160="San Francisco",+NFL!#REF!,IF(+NFL!$H160="San Francisco",+NFL!#REF!,0))</f>
        <v>0</v>
      </c>
      <c r="AC523" s="120">
        <f>IF(+NFL!$F160="San Francisco",+NFL!#REF!,IF(+NFL!$H160="San Francisco",+NFL!#REF!,0))</f>
        <v>0</v>
      </c>
      <c r="AD523" s="353">
        <f>IF(+NFL!$F160="San Francisco",+NFL!#REF!,IF(+NFL!$H160="San Francisco",+NFL!#REF!,0))</f>
        <v>0</v>
      </c>
      <c r="AE523" s="379">
        <f>IF(+NFL!$F160="San Francisco",+NFL!#REF!,IF(+NFL!$H160="San Francisco",+NFL!#REF!,0))</f>
        <v>0</v>
      </c>
      <c r="AF523" s="353">
        <f>IF(+NFL!$F160="San Francisco",+NFL!#REF!,IF(+NFL!$H160="San Francisco",+NFL!#REF!,0))</f>
        <v>0</v>
      </c>
      <c r="AG523" s="379">
        <f>IF(+NFL!$F160="San Francisco",+NFL!#REF!,IF(+NFL!$H160="San Francisco",+NFL!#REF!,0))</f>
        <v>0</v>
      </c>
      <c r="AH523" s="353">
        <f>IF(+NFL!$F160="San Francisco",+NFL!#REF!,IF(+NFL!$H160="San Francisco",+NFL!#REF!,0))</f>
        <v>0</v>
      </c>
      <c r="AI523" s="379">
        <f>IF(+NFL!$F160="San Francisco",+NFL!#REF!,IF(+NFL!$H160="San Francisco",+NFL!#REF!,0))</f>
        <v>0</v>
      </c>
      <c r="AJ523" s="353">
        <f>IF(+NFL!$F160="San Francisco",+NFL!#REF!,IF(+NFL!$H160="San Francisco",+NFL!#REF!,0))</f>
        <v>0</v>
      </c>
      <c r="AK523" s="379">
        <f>IF(+NFL!$F160="San Francisco",+NFL!#REF!,IF(+NFL!$H160="San Francisco",+NFL!#REF!,0))</f>
        <v>0</v>
      </c>
      <c r="AL523" s="68">
        <f>IF(+NFL!$F160="San Francisco",+NFL!#REF!,IF(+NFL!$H160="San Francisco",+NFL!#REF!,0))</f>
        <v>0</v>
      </c>
      <c r="AM523" s="58">
        <f>IF(+NFL!$F160="San Francisco",+NFL!#REF!,IF(+NFL!$H160="San Francisco",+NFL!#REF!,0))</f>
        <v>0</v>
      </c>
      <c r="AN523" s="57">
        <f>IF(+NFL!$F160="San Francisco",+NFL!#REF!,IF(+NFL!$H160="San Francisco",+NFL!#REF!,0))</f>
        <v>0</v>
      </c>
      <c r="AO523" s="59">
        <f>IF(+NFL!$F160="San Francisco",+NFL!#REF!,IF(+NFL!$H160="San Francisco",+NFL!#REF!,0))</f>
        <v>0</v>
      </c>
      <c r="AP523" s="348">
        <f>IF(+NFL!$F160="San Francisco",+NFL!#REF!,IF(+NFL!$H160="San Francisco",+NFL!#REF!,0))</f>
        <v>0</v>
      </c>
      <c r="AQ523" s="48">
        <f>IF(+NFL!$F160="San Francisco",+NFL!#REF!,IF(+NFL!$H160="San Francisco",+NFL!#REF!,0))</f>
        <v>0</v>
      </c>
      <c r="AR523" s="57">
        <f>IF(+NFL!$F160="San Francisco",+NFL!#REF!,IF(+NFL!$H160="San Francisco",+NFL!#REF!,0))</f>
        <v>0</v>
      </c>
      <c r="AS523" s="64">
        <f>IF(+NFL!$F160="San Francisco",+NFL!#REF!,IF(+NFL!$H160="San Francisco",+NFL!#REF!,0))</f>
        <v>0</v>
      </c>
      <c r="AT523" s="64">
        <f>IF(+NFL!$F160="San Francisco",+NFL!#REF!,IF(+NFL!$H160="San Francisco",+NFL!#REF!,0))</f>
        <v>0</v>
      </c>
      <c r="AU523" s="57">
        <f>IF(+NFL!$F160="San Francisco",+NFL!#REF!,IF(+NFL!$H160="San Francisco",+NFL!#REF!,0))</f>
        <v>0</v>
      </c>
      <c r="AV523" s="64">
        <f>IF(+NFL!$F160="San Francisco",+NFL!#REF!,IF(+NFL!$H160="San Francisco",+NFL!#REF!,0))</f>
        <v>0</v>
      </c>
      <c r="AW523" s="46">
        <f>IF(+NFL!$F160="San Francisco",+NFL!#REF!,IF(+NFL!$H160="San Francisco",+NFL!#REF!,0))</f>
        <v>0</v>
      </c>
      <c r="AX523" s="64">
        <f>IF(+NFL!$F160="San Francisco",+NFL!#REF!,IF(+NFL!$H160="San Francisco",+NFL!#REF!,0))</f>
        <v>0</v>
      </c>
      <c r="AY523" s="57">
        <f>IF(+NFL!$F160="San Francisco",+NFL!#REF!,IF(+NFL!$H160="San Francisco",+NFL!#REF!,0))</f>
        <v>0</v>
      </c>
      <c r="AZ523" s="64">
        <f>IF(+NFL!$F160="San Francisco",+NFL!#REF!,IF(+NFL!$H160="San Francisco",+NFL!#REF!,0))</f>
        <v>0</v>
      </c>
      <c r="BA523" s="46">
        <f>IF(+NFL!$F160="San Francisco",+NFL!#REF!,IF(+NFL!$H160="San Francisco",+NFL!#REF!,0))</f>
        <v>0</v>
      </c>
      <c r="BB523" s="46">
        <f>IF(+NFL!$F160="San Francisco",+NFL!#REF!,IF(+NFL!$H160="San Francisco",+NFL!#REF!,0))</f>
        <v>0</v>
      </c>
      <c r="BC523" s="403">
        <f>IF(+NFL!$F160="San Francisco",+NFL!#REF!,IF(+NFL!$H160="San Francisco",+NFL!#REF!,0))</f>
        <v>0</v>
      </c>
      <c r="BD523" s="57">
        <f>IF(+NFL!$F160="San Francisco",+NFL!#REF!,IF(+NFL!$H160="San Francisco",+NFL!#REF!,0))</f>
        <v>0</v>
      </c>
      <c r="BE523" s="64">
        <f>IF(+NFL!$F160="San Francisco",+NFL!#REF!,IF(+NFL!$H160="San Francisco",+NFL!#REF!,0))</f>
        <v>0</v>
      </c>
      <c r="BF523" s="46">
        <f>IF(+NFL!$F160="San Francisco",+NFL!#REF!,IF(+NFL!$H160="San Francisco",+NFL!#REF!,0))</f>
        <v>0</v>
      </c>
      <c r="BG523" s="57">
        <f>IF(+NFL!$F160="San Francisco",+NFL!#REF!,IF(+NFL!$H160="San Francisco",+NFL!#REF!,0))</f>
        <v>0</v>
      </c>
      <c r="BH523" s="64">
        <f>IF(+NFL!$F160="San Francisco",+NFL!#REF!,IF(+NFL!$H160="San Francisco",+NFL!#REF!,0))</f>
        <v>0</v>
      </c>
      <c r="BI523" s="46">
        <f>IF(+NFL!$F160="San Francisco",+NFL!#REF!,IF(+NFL!$H160="San Francisco",+NFL!#REF!,0))</f>
        <v>0</v>
      </c>
      <c r="BJ523" s="87">
        <f>IF(+NFL!$F160="San Francisco",+NFL!#REF!,IF(+NFL!$H160="San Francisco",+NFL!#REF!,0))</f>
        <v>0</v>
      </c>
      <c r="BK523" s="120">
        <f>IF(+NFL!$F160="San Francisco",+NFL!#REF!,IF(+NFL!$H160="San Francisco",+NFL!#REF!,0))</f>
        <v>0</v>
      </c>
    </row>
    <row r="524" spans="1:63" s="246" customFormat="1" x14ac:dyDescent="0.8">
      <c r="A524" s="46">
        <f>IF(+NFL!$F202="San Francisco",+NFL!A202,IF(+NFL!$H202="San Francisco",+NFL!A202,0))</f>
        <v>11</v>
      </c>
      <c r="B524" s="348" t="str">
        <f>IF(+NFL!$F202="San Francisco",+NFL!B202,IF(+NFL!$H202="San Francisco",+NFL!B202,0))</f>
        <v>Mon</v>
      </c>
      <c r="C524" s="48">
        <f>IF(+NFL!$F202="San Francisco",+NFL!C202,IF(+NFL!$H202="San Francisco",+NFL!C202,0))</f>
        <v>44887</v>
      </c>
      <c r="D524" s="490">
        <f>IF(+NFL!$F202="San Francisco",+NFL!D202,IF(+NFL!$H202="San Francisco",+NFL!D202,0))</f>
        <v>0.84375</v>
      </c>
      <c r="E524" s="46" t="str">
        <f>IF(+NFL!$F202="San Francisco",+NFL!E202,IF(+NFL!$H202="San Francisco",+NFL!E202,0))</f>
        <v>ABC</v>
      </c>
      <c r="F524" s="127" t="str">
        <f>IF(+NFL!$F202="San Francisco",+NFL!F202,IF(+NFL!$H202="San Francisco",+NFL!F202,0))</f>
        <v>San Francisco</v>
      </c>
      <c r="G524" s="46" t="str">
        <f>IF(+NFL!$F202="San Francisco",+NFL!G202,IF(+NFL!$H202="San Francisco",+NFL!G202,0))</f>
        <v>NFCW</v>
      </c>
      <c r="H524" s="127" t="str">
        <f>IF(+NFL!$F202="San Francisco",+NFL!H202,IF(+NFL!$H202="San Francisco",+NFL!H202,0))</f>
        <v>Arizona</v>
      </c>
      <c r="I524" s="46" t="str">
        <f>IF(+NFL!$F202="San Francisco",+NFL!I202,IF(+NFL!$H202="San Francisco",+NFL!I202,0))</f>
        <v>NFCW</v>
      </c>
      <c r="J524" s="353" t="str">
        <f>IF(+NFL!$F202="San Francisco",+NFL!J202,IF(+NFL!$H202="San Francisco",+NFL!J202,0))</f>
        <v>San Francisco</v>
      </c>
      <c r="K524" s="494" t="str">
        <f>IF(+NFL!$F202="San Francisco",+NFL!K202,IF(+NFL!$H202="San Francisco",+NFL!K202,0))</f>
        <v>Arizona</v>
      </c>
      <c r="L524" s="384">
        <f>IF(+NFL!$F202="San Francisco",+NFL!L202,IF(+NFL!$H202="San Francisco",+NFL!L202,0))</f>
        <v>8</v>
      </c>
      <c r="M524" s="385">
        <f>IF(+NFL!$F202="San Francisco",+NFL!M202,IF(+NFL!$H202="San Francisco",+NFL!M202,0))</f>
        <v>43.5</v>
      </c>
      <c r="N524" s="394" t="str">
        <f>IF(+NFL!$F202="San Francisco",+NFL!N202,IF(+NFL!$H202="San Francisco",+NFL!N202,0))</f>
        <v>San Francisco</v>
      </c>
      <c r="O524" s="395">
        <f>IF(+NFL!$F202="San Francisco",+NFL!O202,IF(+NFL!$H202="San Francisco",+NFL!O202,0))</f>
        <v>38</v>
      </c>
      <c r="P524" s="394" t="str">
        <f>IF(+NFL!$F202="San Francisco",+NFL!P202,IF(+NFL!$H202="San Francisco",+NFL!P202,0))</f>
        <v>Arizona</v>
      </c>
      <c r="Q524" s="396">
        <f>IF(+NFL!$F202="San Francisco",+NFL!Q202,IF(+NFL!$H202="San Francisco",+NFL!Q202,0))</f>
        <v>10</v>
      </c>
      <c r="R524" s="397" t="str">
        <f>IF(+NFL!$F202="San Francisco",+NFL!R202,IF(+NFL!$H202="San Francisco",+NFL!R202,0))</f>
        <v>San Francisco</v>
      </c>
      <c r="S524" s="396" t="str">
        <f>IF(+NFL!$F202="San Francisco",+NFL!S202,IF(+NFL!$H202="San Francisco",+NFL!S202,0))</f>
        <v>Arizona</v>
      </c>
      <c r="T524" s="398" t="str">
        <f>IF(+NFL!$F202="San Francisco",+NFL!T202,IF(+NFL!$H202="San Francisco",+NFL!T202,0))</f>
        <v>San Francisco</v>
      </c>
      <c r="U524" s="396" t="str">
        <f>IF(+NFL!$F202="San Francisco",+NFL!U202,IF(+NFL!$H202="San Francisco",+NFL!U202,0))</f>
        <v>W</v>
      </c>
      <c r="V524" s="397">
        <f>IF(+NFL!$F173="San Francisco",+NFL!#REF!,IF(+NFL!$H173="San Francisco",+NFL!#REF!,0))</f>
        <v>0</v>
      </c>
      <c r="W524" s="396">
        <f>IF(+NFL!$F173="San Francisco",+NFL!#REF!,IF(+NFL!$H173="San Francisco",+NFL!#REF!,0))</f>
        <v>0</v>
      </c>
      <c r="X524" s="398">
        <f>IF(+NFL!$F173="San Francisco",+NFL!#REF!,IF(+NFL!$H173="San Francisco",+NFL!#REF!,0))</f>
        <v>0</v>
      </c>
      <c r="Y524" s="396">
        <f>IF(+NFL!$F173="San Francisco",+NFL!#REF!,IF(+NFL!$H173="San Francisco",+NFL!#REF!,0))</f>
        <v>0</v>
      </c>
      <c r="Z524" s="397">
        <f>IF(+NFL!$F173="San Francisco",+NFL!#REF!,IF(+NFL!$H173="San Francisco",+NFL!#REF!,0))</f>
        <v>0</v>
      </c>
      <c r="AA524" s="396">
        <f>IF(+NFL!$F173="San Francisco",+NFL!#REF!,IF(+NFL!$H173="San Francisco",+NFL!#REF!,0))</f>
        <v>0</v>
      </c>
      <c r="AB524" s="87">
        <f>IF(+NFL!$F173="San Francisco",+NFL!#REF!,IF(+NFL!$H173="San Francisco",+NFL!#REF!,0))</f>
        <v>0</v>
      </c>
      <c r="AC524" s="120">
        <f>IF(+NFL!$F173="San Francisco",+NFL!#REF!,IF(+NFL!$H173="San Francisco",+NFL!#REF!,0))</f>
        <v>0</v>
      </c>
      <c r="AD524" s="353">
        <f>IF(+NFL!$F173="San Francisco",+NFL!#REF!,IF(+NFL!$H173="San Francisco",+NFL!#REF!,0))</f>
        <v>0</v>
      </c>
      <c r="AE524" s="379">
        <f>IF(+NFL!$F173="San Francisco",+NFL!#REF!,IF(+NFL!$H173="San Francisco",+NFL!#REF!,0))</f>
        <v>0</v>
      </c>
      <c r="AF524" s="353">
        <f>IF(+NFL!$F173="San Francisco",+NFL!#REF!,IF(+NFL!$H173="San Francisco",+NFL!#REF!,0))</f>
        <v>0</v>
      </c>
      <c r="AG524" s="379">
        <f>IF(+NFL!$F173="San Francisco",+NFL!#REF!,IF(+NFL!$H173="San Francisco",+NFL!#REF!,0))</f>
        <v>0</v>
      </c>
      <c r="AH524" s="353">
        <f>IF(+NFL!$F173="San Francisco",+NFL!#REF!,IF(+NFL!$H173="San Francisco",+NFL!#REF!,0))</f>
        <v>0</v>
      </c>
      <c r="AI524" s="379">
        <f>IF(+NFL!$F173="San Francisco",+NFL!#REF!,IF(+NFL!$H173="San Francisco",+NFL!#REF!,0))</f>
        <v>0</v>
      </c>
      <c r="AJ524" s="353">
        <f>IF(+NFL!$F173="San Francisco",+NFL!#REF!,IF(+NFL!$H173="San Francisco",+NFL!#REF!,0))</f>
        <v>0</v>
      </c>
      <c r="AK524" s="379">
        <f>IF(+NFL!$F173="San Francisco",+NFL!#REF!,IF(+NFL!$H173="San Francisco",+NFL!#REF!,0))</f>
        <v>0</v>
      </c>
      <c r="AL524" s="68">
        <f>IF(+NFL!$F173="San Francisco",+NFL!#REF!,IF(+NFL!$H173="San Francisco",+NFL!#REF!,0))</f>
        <v>0</v>
      </c>
      <c r="AM524" s="58">
        <f>IF(+NFL!$F173="San Francisco",+NFL!#REF!,IF(+NFL!$H173="San Francisco",+NFL!#REF!,0))</f>
        <v>0</v>
      </c>
      <c r="AN524" s="57">
        <f>IF(+NFL!$F173="San Francisco",+NFL!#REF!,IF(+NFL!$H173="San Francisco",+NFL!#REF!,0))</f>
        <v>0</v>
      </c>
      <c r="AO524" s="59">
        <f>IF(+NFL!$F173="San Francisco",+NFL!#REF!,IF(+NFL!$H173="San Francisco",+NFL!#REF!,0))</f>
        <v>0</v>
      </c>
      <c r="AP524" s="348">
        <f>IF(+NFL!$F173="San Francisco",+NFL!#REF!,IF(+NFL!$H173="San Francisco",+NFL!#REF!,0))</f>
        <v>0</v>
      </c>
      <c r="AQ524" s="48">
        <f>IF(+NFL!$F173="San Francisco",+NFL!#REF!,IF(+NFL!$H173="San Francisco",+NFL!#REF!,0))</f>
        <v>0</v>
      </c>
      <c r="AR524" s="57">
        <f>IF(+NFL!$F173="San Francisco",+NFL!#REF!,IF(+NFL!$H173="San Francisco",+NFL!#REF!,0))</f>
        <v>0</v>
      </c>
      <c r="AS524" s="64">
        <f>IF(+NFL!$F173="San Francisco",+NFL!#REF!,IF(+NFL!$H173="San Francisco",+NFL!#REF!,0))</f>
        <v>0</v>
      </c>
      <c r="AT524" s="64">
        <f>IF(+NFL!$F173="San Francisco",+NFL!#REF!,IF(+NFL!$H173="San Francisco",+NFL!#REF!,0))</f>
        <v>0</v>
      </c>
      <c r="AU524" s="57">
        <f>IF(+NFL!$F173="San Francisco",+NFL!#REF!,IF(+NFL!$H173="San Francisco",+NFL!#REF!,0))</f>
        <v>0</v>
      </c>
      <c r="AV524" s="64">
        <f>IF(+NFL!$F173="San Francisco",+NFL!#REF!,IF(+NFL!$H173="San Francisco",+NFL!#REF!,0))</f>
        <v>0</v>
      </c>
      <c r="AW524" s="46">
        <f>IF(+NFL!$F173="San Francisco",+NFL!#REF!,IF(+NFL!$H173="San Francisco",+NFL!#REF!,0))</f>
        <v>0</v>
      </c>
      <c r="AX524" s="64">
        <f>IF(+NFL!$F173="San Francisco",+NFL!#REF!,IF(+NFL!$H173="San Francisco",+NFL!#REF!,0))</f>
        <v>0</v>
      </c>
      <c r="AY524" s="57">
        <f>IF(+NFL!$F173="San Francisco",+NFL!#REF!,IF(+NFL!$H173="San Francisco",+NFL!#REF!,0))</f>
        <v>0</v>
      </c>
      <c r="AZ524" s="64">
        <f>IF(+NFL!$F173="San Francisco",+NFL!#REF!,IF(+NFL!$H173="San Francisco",+NFL!#REF!,0))</f>
        <v>0</v>
      </c>
      <c r="BA524" s="46">
        <f>IF(+NFL!$F173="San Francisco",+NFL!#REF!,IF(+NFL!$H173="San Francisco",+NFL!#REF!,0))</f>
        <v>0</v>
      </c>
      <c r="BB524" s="46">
        <f>IF(+NFL!$F173="San Francisco",+NFL!#REF!,IF(+NFL!$H173="San Francisco",+NFL!#REF!,0))</f>
        <v>0</v>
      </c>
      <c r="BC524" s="403">
        <f>IF(+NFL!$F173="San Francisco",+NFL!#REF!,IF(+NFL!$H173="San Francisco",+NFL!#REF!,0))</f>
        <v>0</v>
      </c>
      <c r="BD524" s="57">
        <f>IF(+NFL!$F173="San Francisco",+NFL!#REF!,IF(+NFL!$H173="San Francisco",+NFL!#REF!,0))</f>
        <v>0</v>
      </c>
      <c r="BE524" s="64">
        <f>IF(+NFL!$F173="San Francisco",+NFL!#REF!,IF(+NFL!$H173="San Francisco",+NFL!#REF!,0))</f>
        <v>0</v>
      </c>
      <c r="BF524" s="46">
        <f>IF(+NFL!$F173="San Francisco",+NFL!#REF!,IF(+NFL!$H173="San Francisco",+NFL!#REF!,0))</f>
        <v>0</v>
      </c>
      <c r="BG524" s="57">
        <f>IF(+NFL!$F173="San Francisco",+NFL!#REF!,IF(+NFL!$H173="San Francisco",+NFL!#REF!,0))</f>
        <v>0</v>
      </c>
      <c r="BH524" s="64">
        <f>IF(+NFL!$F173="San Francisco",+NFL!#REF!,IF(+NFL!$H173="San Francisco",+NFL!#REF!,0))</f>
        <v>0</v>
      </c>
      <c r="BI524" s="46">
        <f>IF(+NFL!$F173="San Francisco",+NFL!#REF!,IF(+NFL!$H173="San Francisco",+NFL!#REF!,0))</f>
        <v>0</v>
      </c>
      <c r="BJ524" s="87">
        <f>IF(+NFL!$F173="San Francisco",+NFL!#REF!,IF(+NFL!$H173="San Francisco",+NFL!#REF!,0))</f>
        <v>0</v>
      </c>
      <c r="BK524" s="120">
        <f>IF(+NFL!$F173="San Francisco",+NFL!#REF!,IF(+NFL!$H173="San Francisco",+NFL!#REF!,0))</f>
        <v>0</v>
      </c>
    </row>
    <row r="525" spans="1:63" s="246" customFormat="1" x14ac:dyDescent="0.8">
      <c r="A525" s="46">
        <f>IF(+NFL!$F222="San Francisco",+NFL!A222,IF(+NFL!$H222="San Francisco",+NFL!A222,0))</f>
        <v>12</v>
      </c>
      <c r="B525" s="348" t="str">
        <f>IF(+NFL!$F222="San Francisco",+NFL!B222,IF(+NFL!$H222="San Francisco",+NFL!B222,0))</f>
        <v>Sun</v>
      </c>
      <c r="C525" s="48">
        <f>IF(+NFL!$F222="San Francisco",+NFL!C222,IF(+NFL!$H222="San Francisco",+NFL!C222,0))</f>
        <v>44892</v>
      </c>
      <c r="D525" s="490">
        <f>IF(+NFL!$F222="San Francisco",+NFL!D222,IF(+NFL!$H222="San Francisco",+NFL!D222,0))</f>
        <v>0.66666666666666663</v>
      </c>
      <c r="E525" s="46" t="str">
        <f>IF(+NFL!$F222="San Francisco",+NFL!E222,IF(+NFL!$H222="San Francisco",+NFL!E222,0))</f>
        <v>Fox</v>
      </c>
      <c r="F525" s="127" t="str">
        <f>IF(+NFL!$F222="San Francisco",+NFL!F222,IF(+NFL!$H222="San Francisco",+NFL!F222,0))</f>
        <v>New Orleans</v>
      </c>
      <c r="G525" s="46" t="str">
        <f>IF(+NFL!$F222="San Francisco",+NFL!G222,IF(+NFL!$H222="San Francisco",+NFL!G222,0))</f>
        <v>NFCS</v>
      </c>
      <c r="H525" s="127" t="str">
        <f>IF(+NFL!$F222="San Francisco",+NFL!H222,IF(+NFL!$H222="San Francisco",+NFL!H222,0))</f>
        <v>San Francisco</v>
      </c>
      <c r="I525" s="46" t="str">
        <f>IF(+NFL!$F222="San Francisco",+NFL!I222,IF(+NFL!$H222="San Francisco",+NFL!I222,0))</f>
        <v>NFCW</v>
      </c>
      <c r="J525" s="353" t="str">
        <f>IF(+NFL!$F222="San Francisco",+NFL!J222,IF(+NFL!$H222="San Francisco",+NFL!J222,0))</f>
        <v>San Francisco</v>
      </c>
      <c r="K525" s="494" t="str">
        <f>IF(+NFL!$F222="San Francisco",+NFL!K222,IF(+NFL!$H222="San Francisco",+NFL!K222,0))</f>
        <v>New Orleans</v>
      </c>
      <c r="L525" s="384">
        <f>IF(+NFL!$F222="San Francisco",+NFL!L222,IF(+NFL!$H222="San Francisco",+NFL!L222,0))</f>
        <v>9.5</v>
      </c>
      <c r="M525" s="385">
        <f>IF(+NFL!$F222="San Francisco",+NFL!M222,IF(+NFL!$H222="San Francisco",+NFL!M222,0))</f>
        <v>43</v>
      </c>
      <c r="N525" s="394" t="str">
        <f>IF(+NFL!$F222="San Francisco",+NFL!N222,IF(+NFL!$H222="San Francisco",+NFL!N222,0))</f>
        <v>San Francisco</v>
      </c>
      <c r="O525" s="395">
        <f>IF(+NFL!$F222="San Francisco",+NFL!O222,IF(+NFL!$H222="San Francisco",+NFL!O222,0))</f>
        <v>13</v>
      </c>
      <c r="P525" s="394" t="str">
        <f>IF(+NFL!$F222="San Francisco",+NFL!P222,IF(+NFL!$H222="San Francisco",+NFL!P222,0))</f>
        <v>New Orleans</v>
      </c>
      <c r="Q525" s="396">
        <f>IF(+NFL!$F222="San Francisco",+NFL!Q222,IF(+NFL!$H222="San Francisco",+NFL!Q222,0))</f>
        <v>0</v>
      </c>
      <c r="R525" s="397" t="str">
        <f>IF(+NFL!$F222="San Francisco",+NFL!R222,IF(+NFL!$H222="San Francisco",+NFL!R222,0))</f>
        <v>San Francisco</v>
      </c>
      <c r="S525" s="396" t="str">
        <f>IF(+NFL!$F222="San Francisco",+NFL!S222,IF(+NFL!$H222="San Francisco",+NFL!S222,0))</f>
        <v>New Orleans</v>
      </c>
      <c r="T525" s="398" t="str">
        <f>IF(+NFL!$F222="San Francisco",+NFL!T222,IF(+NFL!$H222="San Francisco",+NFL!T222,0))</f>
        <v>New Orleans</v>
      </c>
      <c r="U525" s="396" t="str">
        <f>IF(+NFL!$F222="San Francisco",+NFL!U222,IF(+NFL!$H222="San Francisco",+NFL!U222,0))</f>
        <v>L</v>
      </c>
      <c r="V525" s="397">
        <f>IF(+NFL!$F207="San Francisco",+NFL!#REF!,IF(+NFL!$H207="San Francisco",+NFL!#REF!,0))</f>
        <v>0</v>
      </c>
      <c r="W525" s="396">
        <f>IF(+NFL!$F207="San Francisco",+NFL!#REF!,IF(+NFL!$H207="San Francisco",+NFL!#REF!,0))</f>
        <v>0</v>
      </c>
      <c r="X525" s="398">
        <f>IF(+NFL!$F207="San Francisco",+NFL!#REF!,IF(+NFL!$H207="San Francisco",+NFL!#REF!,0))</f>
        <v>0</v>
      </c>
      <c r="Y525" s="396">
        <f>IF(+NFL!$F207="San Francisco",+NFL!#REF!,IF(+NFL!$H207="San Francisco",+NFL!#REF!,0))</f>
        <v>0</v>
      </c>
      <c r="Z525" s="397">
        <f>IF(+NFL!$F207="San Francisco",+NFL!#REF!,IF(+NFL!$H207="San Francisco",+NFL!#REF!,0))</f>
        <v>0</v>
      </c>
      <c r="AA525" s="396">
        <f>IF(+NFL!$F207="San Francisco",+NFL!#REF!,IF(+NFL!$H207="San Francisco",+NFL!#REF!,0))</f>
        <v>0</v>
      </c>
      <c r="AB525" s="87">
        <f>IF(+NFL!$F207="San Francisco",+NFL!#REF!,IF(+NFL!$H207="San Francisco",+NFL!#REF!,0))</f>
        <v>0</v>
      </c>
      <c r="AC525" s="120">
        <f>IF(+NFL!$F207="San Francisco",+NFL!#REF!,IF(+NFL!$H207="San Francisco",+NFL!#REF!,0))</f>
        <v>0</v>
      </c>
      <c r="AD525" s="353">
        <f>IF(+NFL!$F207="San Francisco",+NFL!#REF!,IF(+NFL!$H207="San Francisco",+NFL!#REF!,0))</f>
        <v>0</v>
      </c>
      <c r="AE525" s="379">
        <f>IF(+NFL!$F207="San Francisco",+NFL!#REF!,IF(+NFL!$H207="San Francisco",+NFL!#REF!,0))</f>
        <v>0</v>
      </c>
      <c r="AF525" s="353">
        <f>IF(+NFL!$F207="San Francisco",+NFL!#REF!,IF(+NFL!$H207="San Francisco",+NFL!#REF!,0))</f>
        <v>0</v>
      </c>
      <c r="AG525" s="379">
        <f>IF(+NFL!$F207="San Francisco",+NFL!#REF!,IF(+NFL!$H207="San Francisco",+NFL!#REF!,0))</f>
        <v>0</v>
      </c>
      <c r="AH525" s="353">
        <f>IF(+NFL!$F207="San Francisco",+NFL!#REF!,IF(+NFL!$H207="San Francisco",+NFL!#REF!,0))</f>
        <v>0</v>
      </c>
      <c r="AI525" s="379">
        <f>IF(+NFL!$F207="San Francisco",+NFL!#REF!,IF(+NFL!$H207="San Francisco",+NFL!#REF!,0))</f>
        <v>0</v>
      </c>
      <c r="AJ525" s="353">
        <f>IF(+NFL!$F207="San Francisco",+NFL!#REF!,IF(+NFL!$H207="San Francisco",+NFL!#REF!,0))</f>
        <v>0</v>
      </c>
      <c r="AK525" s="379">
        <f>IF(+NFL!$F207="San Francisco",+NFL!#REF!,IF(+NFL!$H207="San Francisco",+NFL!#REF!,0))</f>
        <v>0</v>
      </c>
      <c r="AL525" s="68">
        <f>IF(+NFL!$F207="San Francisco",+NFL!#REF!,IF(+NFL!$H207="San Francisco",+NFL!#REF!,0))</f>
        <v>0</v>
      </c>
      <c r="AM525" s="58">
        <f>IF(+NFL!$F207="San Francisco",+NFL!#REF!,IF(+NFL!$H207="San Francisco",+NFL!#REF!,0))</f>
        <v>0</v>
      </c>
      <c r="AN525" s="57">
        <f>IF(+NFL!$F207="San Francisco",+NFL!#REF!,IF(+NFL!$H207="San Francisco",+NFL!#REF!,0))</f>
        <v>0</v>
      </c>
      <c r="AO525" s="59">
        <f>IF(+NFL!$F207="San Francisco",+NFL!#REF!,IF(+NFL!$H207="San Francisco",+NFL!#REF!,0))</f>
        <v>0</v>
      </c>
      <c r="AP525" s="348">
        <f>IF(+NFL!$F207="San Francisco",+NFL!#REF!,IF(+NFL!$H207="San Francisco",+NFL!#REF!,0))</f>
        <v>0</v>
      </c>
      <c r="AQ525" s="48">
        <f>IF(+NFL!$F207="San Francisco",+NFL!#REF!,IF(+NFL!$H207="San Francisco",+NFL!#REF!,0))</f>
        <v>0</v>
      </c>
      <c r="AR525" s="57">
        <f>IF(+NFL!$F207="San Francisco",+NFL!#REF!,IF(+NFL!$H207="San Francisco",+NFL!#REF!,0))</f>
        <v>0</v>
      </c>
      <c r="AS525" s="64">
        <f>IF(+NFL!$F207="San Francisco",+NFL!#REF!,IF(+NFL!$H207="San Francisco",+NFL!#REF!,0))</f>
        <v>0</v>
      </c>
      <c r="AT525" s="64">
        <f>IF(+NFL!$F207="San Francisco",+NFL!#REF!,IF(+NFL!$H207="San Francisco",+NFL!#REF!,0))</f>
        <v>0</v>
      </c>
      <c r="AU525" s="57">
        <f>IF(+NFL!$F207="San Francisco",+NFL!#REF!,IF(+NFL!$H207="San Francisco",+NFL!#REF!,0))</f>
        <v>0</v>
      </c>
      <c r="AV525" s="64">
        <f>IF(+NFL!$F207="San Francisco",+NFL!#REF!,IF(+NFL!$H207="San Francisco",+NFL!#REF!,0))</f>
        <v>0</v>
      </c>
      <c r="AW525" s="46">
        <f>IF(+NFL!$F207="San Francisco",+NFL!#REF!,IF(+NFL!$H207="San Francisco",+NFL!#REF!,0))</f>
        <v>0</v>
      </c>
      <c r="AX525" s="64">
        <f>IF(+NFL!$F207="San Francisco",+NFL!#REF!,IF(+NFL!$H207="San Francisco",+NFL!#REF!,0))</f>
        <v>0</v>
      </c>
      <c r="AY525" s="57">
        <f>IF(+NFL!$F207="San Francisco",+NFL!#REF!,IF(+NFL!$H207="San Francisco",+NFL!#REF!,0))</f>
        <v>0</v>
      </c>
      <c r="AZ525" s="64">
        <f>IF(+NFL!$F207="San Francisco",+NFL!#REF!,IF(+NFL!$H207="San Francisco",+NFL!#REF!,0))</f>
        <v>0</v>
      </c>
      <c r="BA525" s="46">
        <f>IF(+NFL!$F207="San Francisco",+NFL!#REF!,IF(+NFL!$H207="San Francisco",+NFL!#REF!,0))</f>
        <v>0</v>
      </c>
      <c r="BB525" s="46">
        <f>IF(+NFL!$F207="San Francisco",+NFL!#REF!,IF(+NFL!$H207="San Francisco",+NFL!#REF!,0))</f>
        <v>0</v>
      </c>
      <c r="BC525" s="403">
        <f>IF(+NFL!$F207="San Francisco",+NFL!#REF!,IF(+NFL!$H207="San Francisco",+NFL!#REF!,0))</f>
        <v>0</v>
      </c>
      <c r="BD525" s="57">
        <f>IF(+NFL!$F207="San Francisco",+NFL!#REF!,IF(+NFL!$H207="San Francisco",+NFL!#REF!,0))</f>
        <v>0</v>
      </c>
      <c r="BE525" s="64">
        <f>IF(+NFL!$F207="San Francisco",+NFL!#REF!,IF(+NFL!$H207="San Francisco",+NFL!#REF!,0))</f>
        <v>0</v>
      </c>
      <c r="BF525" s="46">
        <f>IF(+NFL!$F207="San Francisco",+NFL!#REF!,IF(+NFL!$H207="San Francisco",+NFL!#REF!,0))</f>
        <v>0</v>
      </c>
      <c r="BG525" s="57">
        <f>IF(+NFL!$F207="San Francisco",+NFL!#REF!,IF(+NFL!$H207="San Francisco",+NFL!#REF!,0))</f>
        <v>0</v>
      </c>
      <c r="BH525" s="64">
        <f>IF(+NFL!$F207="San Francisco",+NFL!#REF!,IF(+NFL!$H207="San Francisco",+NFL!#REF!,0))</f>
        <v>0</v>
      </c>
      <c r="BI525" s="46">
        <f>IF(+NFL!$F207="San Francisco",+NFL!#REF!,IF(+NFL!$H207="San Francisco",+NFL!#REF!,0))</f>
        <v>0</v>
      </c>
      <c r="BJ525" s="87">
        <f>IF(+NFL!$F207="San Francisco",+NFL!#REF!,IF(+NFL!$H207="San Francisco",+NFL!#REF!,0))</f>
        <v>0</v>
      </c>
      <c r="BK525" s="120">
        <f>IF(+NFL!$F207="San Francisco",+NFL!#REF!,IF(+NFL!$H207="San Francisco",+NFL!#REF!,0))</f>
        <v>0</v>
      </c>
    </row>
    <row r="526" spans="1:63" s="246" customFormat="1" x14ac:dyDescent="0.8">
      <c r="A526" s="46">
        <f>IF(+NFL!$F236="San Francisco",+NFL!A236,IF(+NFL!$H236="San Francisco",+NFL!A236,0))</f>
        <v>13</v>
      </c>
      <c r="B526" s="348" t="str">
        <f>IF(+NFL!$F236="San Francisco",+NFL!B236,IF(+NFL!$H236="San Francisco",+NFL!B236,0))</f>
        <v>Sun</v>
      </c>
      <c r="C526" s="48">
        <f>IF(+NFL!$F236="San Francisco",+NFL!C236,IF(+NFL!$H236="San Francisco",+NFL!C236,0))</f>
        <v>44899</v>
      </c>
      <c r="D526" s="490">
        <f>IF(+NFL!$F236="San Francisco",+NFL!D236,IF(+NFL!$H236="San Francisco",+NFL!D236,0))</f>
        <v>0.66666666666666663</v>
      </c>
      <c r="E526" s="46" t="str">
        <f>IF(+NFL!$F236="San Francisco",+NFL!E236,IF(+NFL!$H236="San Francisco",+NFL!E236,0))</f>
        <v>CBS</v>
      </c>
      <c r="F526" s="127" t="str">
        <f>IF(+NFL!$F236="San Francisco",+NFL!F236,IF(+NFL!$H236="San Francisco",+NFL!F236,0))</f>
        <v>Miami</v>
      </c>
      <c r="G526" s="46" t="str">
        <f>IF(+NFL!$F236="San Francisco",+NFL!G236,IF(+NFL!$H236="San Francisco",+NFL!G236,0))</f>
        <v>AFCE</v>
      </c>
      <c r="H526" s="127" t="str">
        <f>IF(+NFL!$F236="San Francisco",+NFL!H236,IF(+NFL!$H236="San Francisco",+NFL!H236,0))</f>
        <v>San Francisco</v>
      </c>
      <c r="I526" s="46" t="str">
        <f>IF(+NFL!$F236="San Francisco",+NFL!I236,IF(+NFL!$H236="San Francisco",+NFL!I236,0))</f>
        <v>NFCW</v>
      </c>
      <c r="J526" s="353" t="str">
        <f>IF(+NFL!$F236="San Francisco",+NFL!J236,IF(+NFL!$H236="San Francisco",+NFL!J236,0))</f>
        <v>San Francisco</v>
      </c>
      <c r="K526" s="494" t="str">
        <f>IF(+NFL!$F236="San Francisco",+NFL!K236,IF(+NFL!$H236="San Francisco",+NFL!K236,0))</f>
        <v>Miami</v>
      </c>
      <c r="L526" s="384">
        <f>IF(+NFL!$F236="San Francisco",+NFL!L236,IF(+NFL!$H236="San Francisco",+NFL!L236,0))</f>
        <v>4</v>
      </c>
      <c r="M526" s="385">
        <f>IF(+NFL!$F236="San Francisco",+NFL!M236,IF(+NFL!$H236="San Francisco",+NFL!M236,0))</f>
        <v>46.5</v>
      </c>
      <c r="N526" s="394" t="str">
        <f>IF(+NFL!$F236="San Francisco",+NFL!N236,IF(+NFL!$H236="San Francisco",+NFL!N236,0))</f>
        <v>San Francisco</v>
      </c>
      <c r="O526" s="395">
        <f>IF(+NFL!$F236="San Francisco",+NFL!O236,IF(+NFL!$H236="San Francisco",+NFL!O236,0))</f>
        <v>33</v>
      </c>
      <c r="P526" s="394" t="str">
        <f>IF(+NFL!$F236="San Francisco",+NFL!P236,IF(+NFL!$H236="San Francisco",+NFL!P236,0))</f>
        <v>Miami</v>
      </c>
      <c r="Q526" s="396">
        <f>IF(+NFL!$F236="San Francisco",+NFL!Q236,IF(+NFL!$H236="San Francisco",+NFL!Q236,0))</f>
        <v>17</v>
      </c>
      <c r="R526" s="397" t="str">
        <f>IF(+NFL!$F236="San Francisco",+NFL!R236,IF(+NFL!$H236="San Francisco",+NFL!R236,0))</f>
        <v>San Francisco</v>
      </c>
      <c r="S526" s="396" t="str">
        <f>IF(+NFL!$F236="San Francisco",+NFL!S236,IF(+NFL!$H236="San Francisco",+NFL!S236,0))</f>
        <v>Miami</v>
      </c>
      <c r="T526" s="398" t="str">
        <f>IF(+NFL!$F236="San Francisco",+NFL!T236,IF(+NFL!$H236="San Francisco",+NFL!T236,0))</f>
        <v>Miami</v>
      </c>
      <c r="U526" s="396" t="str">
        <f>IF(+NFL!$F236="San Francisco",+NFL!U236,IF(+NFL!$H236="San Francisco",+NFL!U236,0))</f>
        <v>L</v>
      </c>
      <c r="V526" s="397" t="e">
        <f>IF(+NFL!#REF!="San Francisco",+NFL!#REF!,IF(+NFL!#REF!="San Francisco",+NFL!#REF!,0))</f>
        <v>#REF!</v>
      </c>
      <c r="W526" s="396" t="e">
        <f>IF(+NFL!#REF!="San Francisco",+NFL!#REF!,IF(+NFL!#REF!="San Francisco",+NFL!#REF!,0))</f>
        <v>#REF!</v>
      </c>
      <c r="X526" s="398" t="e">
        <f>IF(+NFL!#REF!="San Francisco",+NFL!#REF!,IF(+NFL!#REF!="San Francisco",+NFL!#REF!,0))</f>
        <v>#REF!</v>
      </c>
      <c r="Y526" s="396" t="e">
        <f>IF(+NFL!#REF!="San Francisco",+NFL!#REF!,IF(+NFL!#REF!="San Francisco",+NFL!#REF!,0))</f>
        <v>#REF!</v>
      </c>
      <c r="Z526" s="397" t="e">
        <f>IF(+NFL!#REF!="San Francisco",+NFL!#REF!,IF(+NFL!#REF!="San Francisco",+NFL!#REF!,0))</f>
        <v>#REF!</v>
      </c>
      <c r="AA526" s="396" t="e">
        <f>IF(+NFL!#REF!="San Francisco",+NFL!#REF!,IF(+NFL!#REF!="San Francisco",+NFL!#REF!,0))</f>
        <v>#REF!</v>
      </c>
      <c r="AB526" s="87" t="e">
        <f>IF(+NFL!#REF!="San Francisco",+NFL!#REF!,IF(+NFL!#REF!="San Francisco",+NFL!#REF!,0))</f>
        <v>#REF!</v>
      </c>
      <c r="AC526" s="120" t="e">
        <f>IF(+NFL!#REF!="San Francisco",+NFL!#REF!,IF(+NFL!#REF!="San Francisco",+NFL!#REF!,0))</f>
        <v>#REF!</v>
      </c>
      <c r="AD526" s="353" t="e">
        <f>IF(+NFL!#REF!="San Francisco",+NFL!#REF!,IF(+NFL!#REF!="San Francisco",+NFL!#REF!,0))</f>
        <v>#REF!</v>
      </c>
      <c r="AE526" s="379" t="e">
        <f>IF(+NFL!#REF!="San Francisco",+NFL!#REF!,IF(+NFL!#REF!="San Francisco",+NFL!#REF!,0))</f>
        <v>#REF!</v>
      </c>
      <c r="AF526" s="353" t="e">
        <f>IF(+NFL!#REF!="San Francisco",+NFL!#REF!,IF(+NFL!#REF!="San Francisco",+NFL!#REF!,0))</f>
        <v>#REF!</v>
      </c>
      <c r="AG526" s="379" t="e">
        <f>IF(+NFL!#REF!="San Francisco",+NFL!#REF!,IF(+NFL!#REF!="San Francisco",+NFL!#REF!,0))</f>
        <v>#REF!</v>
      </c>
      <c r="AH526" s="353" t="e">
        <f>IF(+NFL!#REF!="San Francisco",+NFL!#REF!,IF(+NFL!#REF!="San Francisco",+NFL!#REF!,0))</f>
        <v>#REF!</v>
      </c>
      <c r="AI526" s="379" t="e">
        <f>IF(+NFL!#REF!="San Francisco",+NFL!#REF!,IF(+NFL!#REF!="San Francisco",+NFL!#REF!,0))</f>
        <v>#REF!</v>
      </c>
      <c r="AJ526" s="353" t="e">
        <f>IF(+NFL!#REF!="San Francisco",+NFL!#REF!,IF(+NFL!#REF!="San Francisco",+NFL!#REF!,0))</f>
        <v>#REF!</v>
      </c>
      <c r="AK526" s="379" t="e">
        <f>IF(+NFL!#REF!="San Francisco",+NFL!#REF!,IF(+NFL!#REF!="San Francisco",+NFL!#REF!,0))</f>
        <v>#REF!</v>
      </c>
      <c r="AL526" s="68" t="e">
        <f>IF(+NFL!#REF!="San Francisco",+NFL!#REF!,IF(+NFL!#REF!="San Francisco",+NFL!#REF!,0))</f>
        <v>#REF!</v>
      </c>
      <c r="AM526" s="58" t="e">
        <f>IF(+NFL!#REF!="San Francisco",+NFL!#REF!,IF(+NFL!#REF!="San Francisco",+NFL!#REF!,0))</f>
        <v>#REF!</v>
      </c>
      <c r="AN526" s="57" t="e">
        <f>IF(+NFL!#REF!="San Francisco",+NFL!#REF!,IF(+NFL!#REF!="San Francisco",+NFL!#REF!,0))</f>
        <v>#REF!</v>
      </c>
      <c r="AO526" s="59" t="e">
        <f>IF(+NFL!#REF!="San Francisco",+NFL!#REF!,IF(+NFL!#REF!="San Francisco",+NFL!#REF!,0))</f>
        <v>#REF!</v>
      </c>
      <c r="AP526" s="348" t="e">
        <f>IF(+NFL!#REF!="San Francisco",+NFL!#REF!,IF(+NFL!#REF!="San Francisco",+NFL!#REF!,0))</f>
        <v>#REF!</v>
      </c>
      <c r="AQ526" s="48" t="e">
        <f>IF(+NFL!#REF!="San Francisco",+NFL!#REF!,IF(+NFL!#REF!="San Francisco",+NFL!#REF!,0))</f>
        <v>#REF!</v>
      </c>
      <c r="AR526" s="57" t="e">
        <f>IF(+NFL!#REF!="San Francisco",+NFL!#REF!,IF(+NFL!#REF!="San Francisco",+NFL!#REF!,0))</f>
        <v>#REF!</v>
      </c>
      <c r="AS526" s="64" t="e">
        <f>IF(+NFL!#REF!="San Francisco",+NFL!#REF!,IF(+NFL!#REF!="San Francisco",+NFL!#REF!,0))</f>
        <v>#REF!</v>
      </c>
      <c r="AT526" s="64" t="e">
        <f>IF(+NFL!#REF!="San Francisco",+NFL!#REF!,IF(+NFL!#REF!="San Francisco",+NFL!#REF!,0))</f>
        <v>#REF!</v>
      </c>
      <c r="AU526" s="57" t="e">
        <f>IF(+NFL!#REF!="San Francisco",+NFL!#REF!,IF(+NFL!#REF!="San Francisco",+NFL!#REF!,0))</f>
        <v>#REF!</v>
      </c>
      <c r="AV526" s="64" t="e">
        <f>IF(+NFL!#REF!="San Francisco",+NFL!#REF!,IF(+NFL!#REF!="San Francisco",+NFL!#REF!,0))</f>
        <v>#REF!</v>
      </c>
      <c r="AW526" s="46" t="e">
        <f>IF(+NFL!#REF!="San Francisco",+NFL!#REF!,IF(+NFL!#REF!="San Francisco",+NFL!#REF!,0))</f>
        <v>#REF!</v>
      </c>
      <c r="AX526" s="64" t="e">
        <f>IF(+NFL!#REF!="San Francisco",+NFL!#REF!,IF(+NFL!#REF!="San Francisco",+NFL!#REF!,0))</f>
        <v>#REF!</v>
      </c>
      <c r="AY526" s="57" t="e">
        <f>IF(+NFL!#REF!="San Francisco",+NFL!#REF!,IF(+NFL!#REF!="San Francisco",+NFL!#REF!,0))</f>
        <v>#REF!</v>
      </c>
      <c r="AZ526" s="64" t="e">
        <f>IF(+NFL!#REF!="San Francisco",+NFL!#REF!,IF(+NFL!#REF!="San Francisco",+NFL!#REF!,0))</f>
        <v>#REF!</v>
      </c>
      <c r="BA526" s="46" t="e">
        <f>IF(+NFL!#REF!="San Francisco",+NFL!#REF!,IF(+NFL!#REF!="San Francisco",+NFL!#REF!,0))</f>
        <v>#REF!</v>
      </c>
      <c r="BB526" s="46" t="e">
        <f>IF(+NFL!#REF!="San Francisco",+NFL!#REF!,IF(+NFL!#REF!="San Francisco",+NFL!#REF!,0))</f>
        <v>#REF!</v>
      </c>
      <c r="BC526" s="403" t="e">
        <f>IF(+NFL!#REF!="San Francisco",+NFL!#REF!,IF(+NFL!#REF!="San Francisco",+NFL!#REF!,0))</f>
        <v>#REF!</v>
      </c>
      <c r="BD526" s="57" t="e">
        <f>IF(+NFL!#REF!="San Francisco",+NFL!#REF!,IF(+NFL!#REF!="San Francisco",+NFL!#REF!,0))</f>
        <v>#REF!</v>
      </c>
      <c r="BE526" s="64" t="e">
        <f>IF(+NFL!#REF!="San Francisco",+NFL!#REF!,IF(+NFL!#REF!="San Francisco",+NFL!#REF!,0))</f>
        <v>#REF!</v>
      </c>
      <c r="BF526" s="46" t="e">
        <f>IF(+NFL!#REF!="San Francisco",+NFL!#REF!,IF(+NFL!#REF!="San Francisco",+NFL!#REF!,0))</f>
        <v>#REF!</v>
      </c>
      <c r="BG526" s="57" t="e">
        <f>IF(+NFL!#REF!="San Francisco",+NFL!#REF!,IF(+NFL!#REF!="San Francisco",+NFL!#REF!,0))</f>
        <v>#REF!</v>
      </c>
      <c r="BH526" s="64" t="e">
        <f>IF(+NFL!#REF!="San Francisco",+NFL!#REF!,IF(+NFL!#REF!="San Francisco",+NFL!#REF!,0))</f>
        <v>#REF!</v>
      </c>
      <c r="BI526" s="46" t="e">
        <f>IF(+NFL!#REF!="San Francisco",+NFL!#REF!,IF(+NFL!#REF!="San Francisco",+NFL!#REF!,0))</f>
        <v>#REF!</v>
      </c>
      <c r="BJ526" s="87" t="e">
        <f>IF(+NFL!#REF!="San Francisco",+NFL!#REF!,IF(+NFL!#REF!="San Francisco",+NFL!#REF!,0))</f>
        <v>#REF!</v>
      </c>
      <c r="BK526" s="120" t="e">
        <f>IF(+NFL!#REF!="San Francisco",+NFL!#REF!,IF(+NFL!#REF!="San Francisco",+NFL!#REF!,0))</f>
        <v>#REF!</v>
      </c>
    </row>
    <row r="527" spans="1:63" s="246" customFormat="1" x14ac:dyDescent="0.8">
      <c r="A527" s="46">
        <f>IF(+NFL!$F254="San Francisco",+NFL!A254,IF(+NFL!$H254="San Francisco",+NFL!A254,0))</f>
        <v>14</v>
      </c>
      <c r="B527" s="348" t="str">
        <f>IF(+NFL!$F254="San Francisco",+NFL!B254,IF(+NFL!$H254="San Francisco",+NFL!B254,0))</f>
        <v>Sun</v>
      </c>
      <c r="C527" s="48">
        <f>IF(+NFL!$F254="San Francisco",+NFL!C254,IF(+NFL!$H254="San Francisco",+NFL!C254,0))</f>
        <v>44906</v>
      </c>
      <c r="D527" s="490">
        <f>IF(+NFL!$F254="San Francisco",+NFL!D254,IF(+NFL!$H254="San Francisco",+NFL!D254,0))</f>
        <v>0.54166666666666663</v>
      </c>
      <c r="E527" s="46" t="str">
        <f>IF(+NFL!$F254="San Francisco",+NFL!E254,IF(+NFL!$H254="San Francisco",+NFL!E254,0))</f>
        <v>Fox</v>
      </c>
      <c r="F527" s="127" t="str">
        <f>IF(+NFL!$F254="San Francisco",+NFL!F254,IF(+NFL!$H254="San Francisco",+NFL!F254,0))</f>
        <v>Tampa Bay</v>
      </c>
      <c r="G527" s="46" t="str">
        <f>IF(+NFL!$F254="San Francisco",+NFL!G254,IF(+NFL!$H254="San Francisco",+NFL!G254,0))</f>
        <v>NFCS</v>
      </c>
      <c r="H527" s="127" t="str">
        <f>IF(+NFL!$F254="San Francisco",+NFL!H254,IF(+NFL!$H254="San Francisco",+NFL!H254,0))</f>
        <v>San Francisco</v>
      </c>
      <c r="I527" s="46" t="str">
        <f>IF(+NFL!$F254="San Francisco",+NFL!I254,IF(+NFL!$H254="San Francisco",+NFL!I254,0))</f>
        <v>NFCW</v>
      </c>
      <c r="J527" s="353" t="str">
        <f>IF(+NFL!$F254="San Francisco",+NFL!J254,IF(+NFL!$H254="San Francisco",+NFL!J254,0))</f>
        <v>San Francisco</v>
      </c>
      <c r="K527" s="494" t="str">
        <f>IF(+NFL!$F254="San Francisco",+NFL!K254,IF(+NFL!$H254="San Francisco",+NFL!K254,0))</f>
        <v>Tampa Bay</v>
      </c>
      <c r="L527" s="384">
        <f>IF(+NFL!$F254="San Francisco",+NFL!L254,IF(+NFL!$H254="San Francisco",+NFL!L254,0))</f>
        <v>6.5</v>
      </c>
      <c r="M527" s="385">
        <f>IF(+NFL!$F254="San Francisco",+NFL!M254,IF(+NFL!$H254="San Francisco",+NFL!M254,0))</f>
        <v>43.5</v>
      </c>
      <c r="N527" s="394" t="str">
        <f>IF(+NFL!$F254="San Francisco",+NFL!N254,IF(+NFL!$H254="San Francisco",+NFL!N254,0))</f>
        <v>San Francisco</v>
      </c>
      <c r="O527" s="395">
        <f>IF(+NFL!$F254="San Francisco",+NFL!O254,IF(+NFL!$H254="San Francisco",+NFL!O254,0))</f>
        <v>35</v>
      </c>
      <c r="P527" s="394" t="str">
        <f>IF(+NFL!$F254="San Francisco",+NFL!P254,IF(+NFL!$H254="San Francisco",+NFL!P254,0))</f>
        <v>Tampa Bay</v>
      </c>
      <c r="Q527" s="396">
        <f>IF(+NFL!$F254="San Francisco",+NFL!Q254,IF(+NFL!$H254="San Francisco",+NFL!Q254,0))</f>
        <v>7</v>
      </c>
      <c r="R527" s="397" t="str">
        <f>IF(+NFL!$F254="San Francisco",+NFL!R254,IF(+NFL!$H254="San Francisco",+NFL!R254,0))</f>
        <v>San Francisco</v>
      </c>
      <c r="S527" s="396" t="str">
        <f>IF(+NFL!$F254="San Francisco",+NFL!S254,IF(+NFL!$H254="San Francisco",+NFL!S254,0))</f>
        <v>Tampa Bay</v>
      </c>
      <c r="T527" s="398">
        <f>IF(+NFL!$F254="San Francisco",+NFL!T254,IF(+NFL!$H254="San Francisco",+NFL!T254,0))</f>
        <v>0</v>
      </c>
      <c r="U527" s="396" t="str">
        <f>IF(+NFL!$F254="San Francisco",+NFL!U254,IF(+NFL!$H254="San Francisco",+NFL!U254,0))</f>
        <v>L</v>
      </c>
      <c r="V527" s="397">
        <f>IF(+NFL!$F251="San Francisco",+NFL!#REF!,IF(+NFL!$H251="San Francisco",+NFL!#REF!,0))</f>
        <v>0</v>
      </c>
      <c r="W527" s="396">
        <f>IF(+NFL!$F251="San Francisco",+NFL!#REF!,IF(+NFL!$H251="San Francisco",+NFL!#REF!,0))</f>
        <v>0</v>
      </c>
      <c r="X527" s="398">
        <f>IF(+NFL!$F251="San Francisco",+NFL!#REF!,IF(+NFL!$H251="San Francisco",+NFL!#REF!,0))</f>
        <v>0</v>
      </c>
      <c r="Y527" s="396">
        <f>IF(+NFL!$F251="San Francisco",+NFL!#REF!,IF(+NFL!$H251="San Francisco",+NFL!#REF!,0))</f>
        <v>0</v>
      </c>
      <c r="Z527" s="397">
        <f>IF(+NFL!$F251="San Francisco",+NFL!#REF!,IF(+NFL!$H251="San Francisco",+NFL!#REF!,0))</f>
        <v>0</v>
      </c>
      <c r="AA527" s="396">
        <f>IF(+NFL!$F251="San Francisco",+NFL!#REF!,IF(+NFL!$H251="San Francisco",+NFL!#REF!,0))</f>
        <v>0</v>
      </c>
      <c r="AB527" s="87">
        <f>IF(+NFL!$F251="San Francisco",+NFL!#REF!,IF(+NFL!$H251="San Francisco",+NFL!#REF!,0))</f>
        <v>0</v>
      </c>
      <c r="AC527" s="120">
        <f>IF(+NFL!$F251="San Francisco",+NFL!#REF!,IF(+NFL!$H251="San Francisco",+NFL!#REF!,0))</f>
        <v>0</v>
      </c>
      <c r="AD527" s="353">
        <f>IF(+NFL!$F251="San Francisco",+NFL!#REF!,IF(+NFL!$H251="San Francisco",+NFL!#REF!,0))</f>
        <v>0</v>
      </c>
      <c r="AE527" s="379">
        <f>IF(+NFL!$F251="San Francisco",+NFL!#REF!,IF(+NFL!$H251="San Francisco",+NFL!#REF!,0))</f>
        <v>0</v>
      </c>
      <c r="AF527" s="353">
        <f>IF(+NFL!$F251="San Francisco",+NFL!#REF!,IF(+NFL!$H251="San Francisco",+NFL!#REF!,0))</f>
        <v>0</v>
      </c>
      <c r="AG527" s="379">
        <f>IF(+NFL!$F251="San Francisco",+NFL!#REF!,IF(+NFL!$H251="San Francisco",+NFL!#REF!,0))</f>
        <v>0</v>
      </c>
      <c r="AH527" s="353">
        <f>IF(+NFL!$F251="San Francisco",+NFL!#REF!,IF(+NFL!$H251="San Francisco",+NFL!#REF!,0))</f>
        <v>0</v>
      </c>
      <c r="AI527" s="379">
        <f>IF(+NFL!$F251="San Francisco",+NFL!#REF!,IF(+NFL!$H251="San Francisco",+NFL!#REF!,0))</f>
        <v>0</v>
      </c>
      <c r="AJ527" s="353">
        <f>IF(+NFL!$F251="San Francisco",+NFL!#REF!,IF(+NFL!$H251="San Francisco",+NFL!#REF!,0))</f>
        <v>0</v>
      </c>
      <c r="AK527" s="379">
        <f>IF(+NFL!$F251="San Francisco",+NFL!#REF!,IF(+NFL!$H251="San Francisco",+NFL!#REF!,0))</f>
        <v>0</v>
      </c>
      <c r="AL527" s="68">
        <f>IF(+NFL!$F251="San Francisco",+NFL!#REF!,IF(+NFL!$H251="San Francisco",+NFL!#REF!,0))</f>
        <v>0</v>
      </c>
      <c r="AM527" s="58">
        <f>IF(+NFL!$F251="San Francisco",+NFL!#REF!,IF(+NFL!$H251="San Francisco",+NFL!#REF!,0))</f>
        <v>0</v>
      </c>
      <c r="AN527" s="57">
        <f>IF(+NFL!$F251="San Francisco",+NFL!#REF!,IF(+NFL!$H251="San Francisco",+NFL!#REF!,0))</f>
        <v>0</v>
      </c>
      <c r="AO527" s="59">
        <f>IF(+NFL!$F251="San Francisco",+NFL!#REF!,IF(+NFL!$H251="San Francisco",+NFL!#REF!,0))</f>
        <v>0</v>
      </c>
      <c r="AP527" s="348">
        <f>IF(+NFL!$F251="San Francisco",+NFL!#REF!,IF(+NFL!$H251="San Francisco",+NFL!#REF!,0))</f>
        <v>0</v>
      </c>
      <c r="AQ527" s="48">
        <f>IF(+NFL!$F251="San Francisco",+NFL!#REF!,IF(+NFL!$H251="San Francisco",+NFL!#REF!,0))</f>
        <v>0</v>
      </c>
      <c r="AR527" s="57">
        <f>IF(+NFL!$F251="San Francisco",+NFL!#REF!,IF(+NFL!$H251="San Francisco",+NFL!#REF!,0))</f>
        <v>0</v>
      </c>
      <c r="AS527" s="64">
        <f>IF(+NFL!$F251="San Francisco",+NFL!#REF!,IF(+NFL!$H251="San Francisco",+NFL!#REF!,0))</f>
        <v>0</v>
      </c>
      <c r="AT527" s="64">
        <f>IF(+NFL!$F251="San Francisco",+NFL!#REF!,IF(+NFL!$H251="San Francisco",+NFL!#REF!,0))</f>
        <v>0</v>
      </c>
      <c r="AU527" s="57">
        <f>IF(+NFL!$F251="San Francisco",+NFL!#REF!,IF(+NFL!$H251="San Francisco",+NFL!#REF!,0))</f>
        <v>0</v>
      </c>
      <c r="AV527" s="64">
        <f>IF(+NFL!$F251="San Francisco",+NFL!#REF!,IF(+NFL!$H251="San Francisco",+NFL!#REF!,0))</f>
        <v>0</v>
      </c>
      <c r="AW527" s="46">
        <f>IF(+NFL!$F251="San Francisco",+NFL!#REF!,IF(+NFL!$H251="San Francisco",+NFL!#REF!,0))</f>
        <v>0</v>
      </c>
      <c r="AX527" s="64">
        <f>IF(+NFL!$F251="San Francisco",+NFL!#REF!,IF(+NFL!$H251="San Francisco",+NFL!#REF!,0))</f>
        <v>0</v>
      </c>
      <c r="AY527" s="57">
        <f>IF(+NFL!$F251="San Francisco",+NFL!#REF!,IF(+NFL!$H251="San Francisco",+NFL!#REF!,0))</f>
        <v>0</v>
      </c>
      <c r="AZ527" s="64">
        <f>IF(+NFL!$F251="San Francisco",+NFL!#REF!,IF(+NFL!$H251="San Francisco",+NFL!#REF!,0))</f>
        <v>0</v>
      </c>
      <c r="BA527" s="46">
        <f>IF(+NFL!$F251="San Francisco",+NFL!#REF!,IF(+NFL!$H251="San Francisco",+NFL!#REF!,0))</f>
        <v>0</v>
      </c>
      <c r="BB527" s="46">
        <f>IF(+NFL!$F251="San Francisco",+NFL!#REF!,IF(+NFL!$H251="San Francisco",+NFL!#REF!,0))</f>
        <v>0</v>
      </c>
      <c r="BC527" s="403">
        <f>IF(+NFL!$F251="San Francisco",+NFL!#REF!,IF(+NFL!$H251="San Francisco",+NFL!#REF!,0))</f>
        <v>0</v>
      </c>
      <c r="BD527" s="57">
        <f>IF(+NFL!$F251="San Francisco",+NFL!#REF!,IF(+NFL!$H251="San Francisco",+NFL!#REF!,0))</f>
        <v>0</v>
      </c>
      <c r="BE527" s="64">
        <f>IF(+NFL!$F251="San Francisco",+NFL!#REF!,IF(+NFL!$H251="San Francisco",+NFL!#REF!,0))</f>
        <v>0</v>
      </c>
      <c r="BF527" s="46">
        <f>IF(+NFL!$F251="San Francisco",+NFL!#REF!,IF(+NFL!$H251="San Francisco",+NFL!#REF!,0))</f>
        <v>0</v>
      </c>
      <c r="BG527" s="57">
        <f>IF(+NFL!$F251="San Francisco",+NFL!#REF!,IF(+NFL!$H251="San Francisco",+NFL!#REF!,0))</f>
        <v>0</v>
      </c>
      <c r="BH527" s="64">
        <f>IF(+NFL!$F251="San Francisco",+NFL!#REF!,IF(+NFL!$H251="San Francisco",+NFL!#REF!,0))</f>
        <v>0</v>
      </c>
      <c r="BI527" s="46">
        <f>IF(+NFL!$F251="San Francisco",+NFL!#REF!,IF(+NFL!$H251="San Francisco",+NFL!#REF!,0))</f>
        <v>0</v>
      </c>
      <c r="BJ527" s="87">
        <f>IF(+NFL!$F251="San Francisco",+NFL!#REF!,IF(+NFL!$H251="San Francisco",+NFL!#REF!,0))</f>
        <v>0</v>
      </c>
      <c r="BK527" s="120">
        <f>IF(+NFL!$F251="San Francisco",+NFL!#REF!,IF(+NFL!$H251="San Francisco",+NFL!#REF!,0))</f>
        <v>0</v>
      </c>
    </row>
    <row r="528" spans="1:63" s="246" customFormat="1" x14ac:dyDescent="0.8">
      <c r="A528" s="46">
        <f>IF(+NFL!$F266="San Francisco",+NFL!A266,IF(+NFL!$H266="San Francisco",+NFL!A266,0))</f>
        <v>15</v>
      </c>
      <c r="B528" s="348" t="str">
        <f>IF(+NFL!$F266="San Francisco",+NFL!B266,IF(+NFL!$H266="San Francisco",+NFL!B266,0))</f>
        <v>Thurs</v>
      </c>
      <c r="C528" s="48">
        <f>IF(+NFL!$F266="San Francisco",+NFL!C266,IF(+NFL!$H266="San Francisco",+NFL!C266,0))</f>
        <v>44910</v>
      </c>
      <c r="D528" s="490">
        <f>IF(+NFL!$F266="San Francisco",+NFL!D266,IF(+NFL!$H266="San Francisco",+NFL!D266,0))</f>
        <v>0.84375</v>
      </c>
      <c r="E528" s="46" t="str">
        <f>IF(+NFL!$F266="San Francisco",+NFL!E266,IF(+NFL!$H266="San Francisco",+NFL!E266,0))</f>
        <v>NBC</v>
      </c>
      <c r="F528" s="127" t="str">
        <f>IF(+NFL!$F266="San Francisco",+NFL!F266,IF(+NFL!$H266="San Francisco",+NFL!F266,0))</f>
        <v>San Francisco</v>
      </c>
      <c r="G528" s="46" t="str">
        <f>IF(+NFL!$F266="San Francisco",+NFL!G266,IF(+NFL!$H266="San Francisco",+NFL!G266,0))</f>
        <v>NFCW</v>
      </c>
      <c r="H528" s="127" t="str">
        <f>IF(+NFL!$F266="San Francisco",+NFL!H266,IF(+NFL!$H266="San Francisco",+NFL!H266,0))</f>
        <v>Seattle</v>
      </c>
      <c r="I528" s="46" t="str">
        <f>IF(+NFL!$F266="San Francisco",+NFL!I266,IF(+NFL!$H266="San Francisco",+NFL!I266,0))</f>
        <v>NFCW</v>
      </c>
      <c r="J528" s="353" t="str">
        <f>IF(+NFL!$F266="San Francisco",+NFL!J266,IF(+NFL!$H266="San Francisco",+NFL!J266,0))</f>
        <v>San Francisco</v>
      </c>
      <c r="K528" s="494" t="str">
        <f>IF(+NFL!$F266="San Francisco",+NFL!K266,IF(+NFL!$H266="San Francisco",+NFL!K266,0))</f>
        <v>Seattle</v>
      </c>
      <c r="L528" s="384">
        <f>IF(+NFL!$F266="San Francisco",+NFL!L266,IF(+NFL!$H266="San Francisco",+NFL!L266,0))</f>
        <v>2.5</v>
      </c>
      <c r="M528" s="385">
        <f>IF(+NFL!$F266="San Francisco",+NFL!M266,IF(+NFL!$H266="San Francisco",+NFL!M266,0))</f>
        <v>39.5</v>
      </c>
      <c r="N528" s="394" t="str">
        <f>IF(+NFL!$F266="San Francisco",+NFL!N266,IF(+NFL!$H266="San Francisco",+NFL!N266,0))</f>
        <v>San Francisco</v>
      </c>
      <c r="O528" s="395">
        <f>IF(+NFL!$F266="San Francisco",+NFL!O266,IF(+NFL!$H266="San Francisco",+NFL!O266,0))</f>
        <v>21</v>
      </c>
      <c r="P528" s="394" t="str">
        <f>IF(+NFL!$F266="San Francisco",+NFL!P266,IF(+NFL!$H266="San Francisco",+NFL!P266,0))</f>
        <v>Seattle</v>
      </c>
      <c r="Q528" s="396">
        <f>IF(+NFL!$F266="San Francisco",+NFL!Q266,IF(+NFL!$H266="San Francisco",+NFL!Q266,0))</f>
        <v>13</v>
      </c>
      <c r="R528" s="397" t="str">
        <f>IF(+NFL!$F266="San Francisco",+NFL!R266,IF(+NFL!$H266="San Francisco",+NFL!R266,0))</f>
        <v>San Francisco</v>
      </c>
      <c r="S528" s="396" t="str">
        <f>IF(+NFL!$F266="San Francisco",+NFL!S266,IF(+NFL!$H266="San Francisco",+NFL!S266,0))</f>
        <v>Seattle</v>
      </c>
      <c r="T528" s="398">
        <f>IF(+NFL!$F266="San Francisco",+NFL!T266,IF(+NFL!$H266="San Francisco",+NFL!T266,0))</f>
        <v>0</v>
      </c>
      <c r="U528" s="396" t="str">
        <f>IF(+NFL!$F266="San Francisco",+NFL!U266,IF(+NFL!$H266="San Francisco",+NFL!U266,0))</f>
        <v>L</v>
      </c>
      <c r="V528" s="397">
        <f>IF(+NFL!$F275="San Francisco",+NFL!#REF!,IF(+NFL!$H275="San Francisco",+NFL!#REF!,0))</f>
        <v>0</v>
      </c>
      <c r="W528" s="396">
        <f>IF(+NFL!$F275="San Francisco",+NFL!#REF!,IF(+NFL!$H275="San Francisco",+NFL!#REF!,0))</f>
        <v>0</v>
      </c>
      <c r="X528" s="398">
        <f>IF(+NFL!$F275="San Francisco",+NFL!#REF!,IF(+NFL!$H275="San Francisco",+NFL!#REF!,0))</f>
        <v>0</v>
      </c>
      <c r="Y528" s="396">
        <f>IF(+NFL!$F275="San Francisco",+NFL!#REF!,IF(+NFL!$H275="San Francisco",+NFL!#REF!,0))</f>
        <v>0</v>
      </c>
      <c r="Z528" s="397">
        <f>IF(+NFL!$F275="San Francisco",+NFL!#REF!,IF(+NFL!$H275="San Francisco",+NFL!#REF!,0))</f>
        <v>0</v>
      </c>
      <c r="AA528" s="396">
        <f>IF(+NFL!$F275="San Francisco",+NFL!#REF!,IF(+NFL!$H275="San Francisco",+NFL!#REF!,0))</f>
        <v>0</v>
      </c>
      <c r="AB528" s="87">
        <f>IF(+NFL!$F275="San Francisco",+NFL!#REF!,IF(+NFL!$H275="San Francisco",+NFL!#REF!,0))</f>
        <v>0</v>
      </c>
      <c r="AC528" s="120">
        <f>IF(+NFL!$F275="San Francisco",+NFL!#REF!,IF(+NFL!$H275="San Francisco",+NFL!#REF!,0))</f>
        <v>0</v>
      </c>
      <c r="AD528" s="353">
        <f>IF(+NFL!$F275="San Francisco",+NFL!#REF!,IF(+NFL!$H275="San Francisco",+NFL!#REF!,0))</f>
        <v>0</v>
      </c>
      <c r="AE528" s="379">
        <f>IF(+NFL!$F275="San Francisco",+NFL!#REF!,IF(+NFL!$H275="San Francisco",+NFL!#REF!,0))</f>
        <v>0</v>
      </c>
      <c r="AF528" s="353">
        <f>IF(+NFL!$F275="San Francisco",+NFL!#REF!,IF(+NFL!$H275="San Francisco",+NFL!#REF!,0))</f>
        <v>0</v>
      </c>
      <c r="AG528" s="379">
        <f>IF(+NFL!$F275="San Francisco",+NFL!#REF!,IF(+NFL!$H275="San Francisco",+NFL!#REF!,0))</f>
        <v>0</v>
      </c>
      <c r="AH528" s="353">
        <f>IF(+NFL!$F275="San Francisco",+NFL!#REF!,IF(+NFL!$H275="San Francisco",+NFL!#REF!,0))</f>
        <v>0</v>
      </c>
      <c r="AI528" s="379">
        <f>IF(+NFL!$F275="San Francisco",+NFL!#REF!,IF(+NFL!$H275="San Francisco",+NFL!#REF!,0))</f>
        <v>0</v>
      </c>
      <c r="AJ528" s="353">
        <f>IF(+NFL!$F275="San Francisco",+NFL!#REF!,IF(+NFL!$H275="San Francisco",+NFL!#REF!,0))</f>
        <v>0</v>
      </c>
      <c r="AK528" s="379">
        <f>IF(+NFL!$F275="San Francisco",+NFL!#REF!,IF(+NFL!$H275="San Francisco",+NFL!#REF!,0))</f>
        <v>0</v>
      </c>
      <c r="AL528" s="68">
        <f>IF(+NFL!$F275="San Francisco",+NFL!#REF!,IF(+NFL!$H275="San Francisco",+NFL!#REF!,0))</f>
        <v>0</v>
      </c>
      <c r="AM528" s="58">
        <f>IF(+NFL!$F275="San Francisco",+NFL!#REF!,IF(+NFL!$H275="San Francisco",+NFL!#REF!,0))</f>
        <v>0</v>
      </c>
      <c r="AN528" s="57">
        <f>IF(+NFL!$F275="San Francisco",+NFL!#REF!,IF(+NFL!$H275="San Francisco",+NFL!#REF!,0))</f>
        <v>0</v>
      </c>
      <c r="AO528" s="59">
        <f>IF(+NFL!$F275="San Francisco",+NFL!#REF!,IF(+NFL!$H275="San Francisco",+NFL!#REF!,0))</f>
        <v>0</v>
      </c>
      <c r="AP528" s="348">
        <f>IF(+NFL!$F275="San Francisco",+NFL!#REF!,IF(+NFL!$H275="San Francisco",+NFL!#REF!,0))</f>
        <v>0</v>
      </c>
      <c r="AQ528" s="48">
        <f>IF(+NFL!$F275="San Francisco",+NFL!#REF!,IF(+NFL!$H275="San Francisco",+NFL!#REF!,0))</f>
        <v>0</v>
      </c>
      <c r="AR528" s="57">
        <f>IF(+NFL!$F275="San Francisco",+NFL!#REF!,IF(+NFL!$H275="San Francisco",+NFL!#REF!,0))</f>
        <v>0</v>
      </c>
      <c r="AS528" s="64">
        <f>IF(+NFL!$F275="San Francisco",+NFL!#REF!,IF(+NFL!$H275="San Francisco",+NFL!#REF!,0))</f>
        <v>0</v>
      </c>
      <c r="AT528" s="64">
        <f>IF(+NFL!$F275="San Francisco",+NFL!#REF!,IF(+NFL!$H275="San Francisco",+NFL!#REF!,0))</f>
        <v>0</v>
      </c>
      <c r="AU528" s="57">
        <f>IF(+NFL!$F275="San Francisco",+NFL!#REF!,IF(+NFL!$H275="San Francisco",+NFL!#REF!,0))</f>
        <v>0</v>
      </c>
      <c r="AV528" s="64">
        <f>IF(+NFL!$F275="San Francisco",+NFL!#REF!,IF(+NFL!$H275="San Francisco",+NFL!#REF!,0))</f>
        <v>0</v>
      </c>
      <c r="AW528" s="46">
        <f>IF(+NFL!$F275="San Francisco",+NFL!#REF!,IF(+NFL!$H275="San Francisco",+NFL!#REF!,0))</f>
        <v>0</v>
      </c>
      <c r="AX528" s="64">
        <f>IF(+NFL!$F275="San Francisco",+NFL!#REF!,IF(+NFL!$H275="San Francisco",+NFL!#REF!,0))</f>
        <v>0</v>
      </c>
      <c r="AY528" s="57">
        <f>IF(+NFL!$F275="San Francisco",+NFL!#REF!,IF(+NFL!$H275="San Francisco",+NFL!#REF!,0))</f>
        <v>0</v>
      </c>
      <c r="AZ528" s="64">
        <f>IF(+NFL!$F275="San Francisco",+NFL!#REF!,IF(+NFL!$H275="San Francisco",+NFL!#REF!,0))</f>
        <v>0</v>
      </c>
      <c r="BA528" s="46">
        <f>IF(+NFL!$F275="San Francisco",+NFL!#REF!,IF(+NFL!$H275="San Francisco",+NFL!#REF!,0))</f>
        <v>0</v>
      </c>
      <c r="BB528" s="46">
        <f>IF(+NFL!$F275="San Francisco",+NFL!#REF!,IF(+NFL!$H275="San Francisco",+NFL!#REF!,0))</f>
        <v>0</v>
      </c>
      <c r="BC528" s="403">
        <f>IF(+NFL!$F275="San Francisco",+NFL!#REF!,IF(+NFL!$H275="San Francisco",+NFL!#REF!,0))</f>
        <v>0</v>
      </c>
      <c r="BD528" s="57">
        <f>IF(+NFL!$F275="San Francisco",+NFL!#REF!,IF(+NFL!$H275="San Francisco",+NFL!#REF!,0))</f>
        <v>0</v>
      </c>
      <c r="BE528" s="64">
        <f>IF(+NFL!$F275="San Francisco",+NFL!#REF!,IF(+NFL!$H275="San Francisco",+NFL!#REF!,0))</f>
        <v>0</v>
      </c>
      <c r="BF528" s="46">
        <f>IF(+NFL!$F275="San Francisco",+NFL!#REF!,IF(+NFL!$H275="San Francisco",+NFL!#REF!,0))</f>
        <v>0</v>
      </c>
      <c r="BG528" s="57">
        <f>IF(+NFL!$F275="San Francisco",+NFL!#REF!,IF(+NFL!$H275="San Francisco",+NFL!#REF!,0))</f>
        <v>0</v>
      </c>
      <c r="BH528" s="64">
        <f>IF(+NFL!$F275="San Francisco",+NFL!#REF!,IF(+NFL!$H275="San Francisco",+NFL!#REF!,0))</f>
        <v>0</v>
      </c>
      <c r="BI528" s="46">
        <f>IF(+NFL!$F275="San Francisco",+NFL!#REF!,IF(+NFL!$H275="San Francisco",+NFL!#REF!,0))</f>
        <v>0</v>
      </c>
      <c r="BJ528" s="87">
        <f>IF(+NFL!$F275="San Francisco",+NFL!#REF!,IF(+NFL!$H275="San Francisco",+NFL!#REF!,0))</f>
        <v>0</v>
      </c>
      <c r="BK528" s="120">
        <f>IF(+NFL!$F275="San Francisco",+NFL!#REF!,IF(+NFL!$H275="San Francisco",+NFL!#REF!,0))</f>
        <v>0</v>
      </c>
    </row>
    <row r="529" spans="1:63" s="246" customFormat="1" x14ac:dyDescent="0.8">
      <c r="A529" s="46">
        <f>IF(+NFL!$F292="San Francisco",+NFL!A292,IF(+NFL!$H292="San Francisco",+NFL!A292,0))</f>
        <v>16</v>
      </c>
      <c r="B529" s="348" t="str">
        <f>IF(+NFL!$F292="San Francisco",+NFL!B292,IF(+NFL!$H292="San Francisco",+NFL!B292,0))</f>
        <v>Sat</v>
      </c>
      <c r="C529" s="48">
        <f>IF(+NFL!$F292="San Francisco",+NFL!C292,IF(+NFL!$H292="San Francisco",+NFL!C292,0))</f>
        <v>44919</v>
      </c>
      <c r="D529" s="490">
        <f>IF(+NFL!$F292="San Francisco",+NFL!D292,IF(+NFL!$H292="San Francisco",+NFL!D292,0))</f>
        <v>0.66666666666666663</v>
      </c>
      <c r="E529" s="46" t="str">
        <f>IF(+NFL!$F292="San Francisco",+NFL!E292,IF(+NFL!$H292="San Francisco",+NFL!E292,0))</f>
        <v>Fox</v>
      </c>
      <c r="F529" s="127" t="str">
        <f>IF(+NFL!$F292="San Francisco",+NFL!F292,IF(+NFL!$H292="San Francisco",+NFL!F292,0))</f>
        <v>Washington</v>
      </c>
      <c r="G529" s="46" t="str">
        <f>IF(+NFL!$F292="San Francisco",+NFL!G292,IF(+NFL!$H292="San Francisco",+NFL!G292,0))</f>
        <v>NFCE</v>
      </c>
      <c r="H529" s="127" t="str">
        <f>IF(+NFL!$F292="San Francisco",+NFL!H292,IF(+NFL!$H292="San Francisco",+NFL!H292,0))</f>
        <v>San Francisco</v>
      </c>
      <c r="I529" s="46" t="str">
        <f>IF(+NFL!$F292="San Francisco",+NFL!I292,IF(+NFL!$H292="San Francisco",+NFL!I292,0))</f>
        <v>NFCW</v>
      </c>
      <c r="J529" s="353" t="str">
        <f>IF(+NFL!$F292="San Francisco",+NFL!J292,IF(+NFL!$H292="San Francisco",+NFL!J292,0))</f>
        <v>San Francisco</v>
      </c>
      <c r="K529" s="494" t="str">
        <f>IF(+NFL!$F292="San Francisco",+NFL!K292,IF(+NFL!$H292="San Francisco",+NFL!K292,0))</f>
        <v>Washington</v>
      </c>
      <c r="L529" s="384">
        <f>IF(+NFL!$F292="San Francisco",+NFL!L292,IF(+NFL!$H292="San Francisco",+NFL!L292,0))</f>
        <v>6.5</v>
      </c>
      <c r="M529" s="385">
        <f>IF(+NFL!$F292="San Francisco",+NFL!M292,IF(+NFL!$H292="San Francisco",+NFL!M292,0))</f>
        <v>37.5</v>
      </c>
      <c r="N529" s="394" t="str">
        <f>IF(+NFL!$F292="San Francisco",+NFL!N292,IF(+NFL!$H292="San Francisco",+NFL!N292,0))</f>
        <v>San Francisco</v>
      </c>
      <c r="O529" s="395">
        <f>IF(+NFL!$F292="San Francisco",+NFL!O292,IF(+NFL!$H292="San Francisco",+NFL!O292,0))</f>
        <v>37</v>
      </c>
      <c r="P529" s="394" t="str">
        <f>IF(+NFL!$F292="San Francisco",+NFL!P292,IF(+NFL!$H292="San Francisco",+NFL!P292,0))</f>
        <v>Washington</v>
      </c>
      <c r="Q529" s="396">
        <f>IF(+NFL!$F292="San Francisco",+NFL!Q292,IF(+NFL!$H292="San Francisco",+NFL!Q292,0))</f>
        <v>20</v>
      </c>
      <c r="R529" s="397" t="str">
        <f>IF(+NFL!$F292="San Francisco",+NFL!R292,IF(+NFL!$H292="San Francisco",+NFL!R292,0))</f>
        <v>San Francisco</v>
      </c>
      <c r="S529" s="396" t="str">
        <f>IF(+NFL!$F292="San Francisco",+NFL!S292,IF(+NFL!$H292="San Francisco",+NFL!S292,0))</f>
        <v>Washington</v>
      </c>
      <c r="T529" s="398">
        <f>IF(+NFL!$F292="San Francisco",+NFL!T292,IF(+NFL!$H292="San Francisco",+NFL!T292,0))</f>
        <v>0</v>
      </c>
      <c r="U529" s="396" t="str">
        <f>IF(+NFL!$F292="San Francisco",+NFL!U292,IF(+NFL!$H292="San Francisco",+NFL!U292,0))</f>
        <v>L</v>
      </c>
      <c r="V529" s="397" t="e">
        <f>IF(+NFL!#REF!="San Francisco",+NFL!#REF!,IF(+NFL!#REF!="San Francisco",+NFL!#REF!,0))</f>
        <v>#REF!</v>
      </c>
      <c r="W529" s="396" t="e">
        <f>IF(+NFL!#REF!="San Francisco",+NFL!#REF!,IF(+NFL!#REF!="San Francisco",+NFL!#REF!,0))</f>
        <v>#REF!</v>
      </c>
      <c r="X529" s="398" t="e">
        <f>IF(+NFL!#REF!="San Francisco",+NFL!#REF!,IF(+NFL!#REF!="San Francisco",+NFL!#REF!,0))</f>
        <v>#REF!</v>
      </c>
      <c r="Y529" s="396" t="e">
        <f>IF(+NFL!#REF!="San Francisco",+NFL!#REF!,IF(+NFL!#REF!="San Francisco",+NFL!#REF!,0))</f>
        <v>#REF!</v>
      </c>
      <c r="Z529" s="397" t="e">
        <f>IF(+NFL!#REF!="San Francisco",+NFL!#REF!,IF(+NFL!#REF!="San Francisco",+NFL!#REF!,0))</f>
        <v>#REF!</v>
      </c>
      <c r="AA529" s="396" t="e">
        <f>IF(+NFL!#REF!="San Francisco",+NFL!#REF!,IF(+NFL!#REF!="San Francisco",+NFL!#REF!,0))</f>
        <v>#REF!</v>
      </c>
      <c r="AB529" s="87" t="e">
        <f>IF(+NFL!#REF!="San Francisco",+NFL!#REF!,IF(+NFL!#REF!="San Francisco",+NFL!#REF!,0))</f>
        <v>#REF!</v>
      </c>
      <c r="AC529" s="120" t="e">
        <f>IF(+NFL!#REF!="San Francisco",+NFL!#REF!,IF(+NFL!#REF!="San Francisco",+NFL!#REF!,0))</f>
        <v>#REF!</v>
      </c>
      <c r="AD529" s="353" t="e">
        <f>IF(+NFL!#REF!="San Francisco",+NFL!#REF!,IF(+NFL!#REF!="San Francisco",+NFL!#REF!,0))</f>
        <v>#REF!</v>
      </c>
      <c r="AE529" s="379" t="e">
        <f>IF(+NFL!#REF!="San Francisco",+NFL!#REF!,IF(+NFL!#REF!="San Francisco",+NFL!#REF!,0))</f>
        <v>#REF!</v>
      </c>
      <c r="AF529" s="353" t="e">
        <f>IF(+NFL!#REF!="San Francisco",+NFL!#REF!,IF(+NFL!#REF!="San Francisco",+NFL!#REF!,0))</f>
        <v>#REF!</v>
      </c>
      <c r="AG529" s="379" t="e">
        <f>IF(+NFL!#REF!="San Francisco",+NFL!#REF!,IF(+NFL!#REF!="San Francisco",+NFL!#REF!,0))</f>
        <v>#REF!</v>
      </c>
      <c r="AH529" s="353" t="e">
        <f>IF(+NFL!#REF!="San Francisco",+NFL!#REF!,IF(+NFL!#REF!="San Francisco",+NFL!#REF!,0))</f>
        <v>#REF!</v>
      </c>
      <c r="AI529" s="379" t="e">
        <f>IF(+NFL!#REF!="San Francisco",+NFL!#REF!,IF(+NFL!#REF!="San Francisco",+NFL!#REF!,0))</f>
        <v>#REF!</v>
      </c>
      <c r="AJ529" s="353" t="e">
        <f>IF(+NFL!#REF!="San Francisco",+NFL!#REF!,IF(+NFL!#REF!="San Francisco",+NFL!#REF!,0))</f>
        <v>#REF!</v>
      </c>
      <c r="AK529" s="379" t="e">
        <f>IF(+NFL!#REF!="San Francisco",+NFL!#REF!,IF(+NFL!#REF!="San Francisco",+NFL!#REF!,0))</f>
        <v>#REF!</v>
      </c>
      <c r="AL529" s="68" t="e">
        <f>IF(+NFL!#REF!="San Francisco",+NFL!#REF!,IF(+NFL!#REF!="San Francisco",+NFL!#REF!,0))</f>
        <v>#REF!</v>
      </c>
      <c r="AM529" s="58" t="e">
        <f>IF(+NFL!#REF!="San Francisco",+NFL!#REF!,IF(+NFL!#REF!="San Francisco",+NFL!#REF!,0))</f>
        <v>#REF!</v>
      </c>
      <c r="AN529" s="57" t="e">
        <f>IF(+NFL!#REF!="San Francisco",+NFL!#REF!,IF(+NFL!#REF!="San Francisco",+NFL!#REF!,0))</f>
        <v>#REF!</v>
      </c>
      <c r="AO529" s="59" t="e">
        <f>IF(+NFL!#REF!="San Francisco",+NFL!#REF!,IF(+NFL!#REF!="San Francisco",+NFL!#REF!,0))</f>
        <v>#REF!</v>
      </c>
      <c r="AP529" s="348" t="e">
        <f>IF(+NFL!#REF!="San Francisco",+NFL!#REF!,IF(+NFL!#REF!="San Francisco",+NFL!#REF!,0))</f>
        <v>#REF!</v>
      </c>
      <c r="AQ529" s="48" t="e">
        <f>IF(+NFL!#REF!="San Francisco",+NFL!#REF!,IF(+NFL!#REF!="San Francisco",+NFL!#REF!,0))</f>
        <v>#REF!</v>
      </c>
      <c r="AR529" s="57" t="e">
        <f>IF(+NFL!#REF!="San Francisco",+NFL!#REF!,IF(+NFL!#REF!="San Francisco",+NFL!#REF!,0))</f>
        <v>#REF!</v>
      </c>
      <c r="AS529" s="64" t="e">
        <f>IF(+NFL!#REF!="San Francisco",+NFL!#REF!,IF(+NFL!#REF!="San Francisco",+NFL!#REF!,0))</f>
        <v>#REF!</v>
      </c>
      <c r="AT529" s="64" t="e">
        <f>IF(+NFL!#REF!="San Francisco",+NFL!#REF!,IF(+NFL!#REF!="San Francisco",+NFL!#REF!,0))</f>
        <v>#REF!</v>
      </c>
      <c r="AU529" s="57" t="e">
        <f>IF(+NFL!#REF!="San Francisco",+NFL!#REF!,IF(+NFL!#REF!="San Francisco",+NFL!#REF!,0))</f>
        <v>#REF!</v>
      </c>
      <c r="AV529" s="64" t="e">
        <f>IF(+NFL!#REF!="San Francisco",+NFL!#REF!,IF(+NFL!#REF!="San Francisco",+NFL!#REF!,0))</f>
        <v>#REF!</v>
      </c>
      <c r="AW529" s="46" t="e">
        <f>IF(+NFL!#REF!="San Francisco",+NFL!#REF!,IF(+NFL!#REF!="San Francisco",+NFL!#REF!,0))</f>
        <v>#REF!</v>
      </c>
      <c r="AX529" s="64" t="e">
        <f>IF(+NFL!#REF!="San Francisco",+NFL!#REF!,IF(+NFL!#REF!="San Francisco",+NFL!#REF!,0))</f>
        <v>#REF!</v>
      </c>
      <c r="AY529" s="57" t="e">
        <f>IF(+NFL!#REF!="San Francisco",+NFL!#REF!,IF(+NFL!#REF!="San Francisco",+NFL!#REF!,0))</f>
        <v>#REF!</v>
      </c>
      <c r="AZ529" s="64" t="e">
        <f>IF(+NFL!#REF!="San Francisco",+NFL!#REF!,IF(+NFL!#REF!="San Francisco",+NFL!#REF!,0))</f>
        <v>#REF!</v>
      </c>
      <c r="BA529" s="46" t="e">
        <f>IF(+NFL!#REF!="San Francisco",+NFL!#REF!,IF(+NFL!#REF!="San Francisco",+NFL!#REF!,0))</f>
        <v>#REF!</v>
      </c>
      <c r="BB529" s="46" t="e">
        <f>IF(+NFL!#REF!="San Francisco",+NFL!#REF!,IF(+NFL!#REF!="San Francisco",+NFL!#REF!,0))</f>
        <v>#REF!</v>
      </c>
      <c r="BC529" s="403" t="e">
        <f>IF(+NFL!#REF!="San Francisco",+NFL!#REF!,IF(+NFL!#REF!="San Francisco",+NFL!#REF!,0))</f>
        <v>#REF!</v>
      </c>
      <c r="BD529" s="57" t="e">
        <f>IF(+NFL!#REF!="San Francisco",+NFL!#REF!,IF(+NFL!#REF!="San Francisco",+NFL!#REF!,0))</f>
        <v>#REF!</v>
      </c>
      <c r="BE529" s="64" t="e">
        <f>IF(+NFL!#REF!="San Francisco",+NFL!#REF!,IF(+NFL!#REF!="San Francisco",+NFL!#REF!,0))</f>
        <v>#REF!</v>
      </c>
      <c r="BF529" s="46" t="e">
        <f>IF(+NFL!#REF!="San Francisco",+NFL!#REF!,IF(+NFL!#REF!="San Francisco",+NFL!#REF!,0))</f>
        <v>#REF!</v>
      </c>
      <c r="BG529" s="57" t="e">
        <f>IF(+NFL!#REF!="San Francisco",+NFL!#REF!,IF(+NFL!#REF!="San Francisco",+NFL!#REF!,0))</f>
        <v>#REF!</v>
      </c>
      <c r="BH529" s="64" t="e">
        <f>IF(+NFL!#REF!="San Francisco",+NFL!#REF!,IF(+NFL!#REF!="San Francisco",+NFL!#REF!,0))</f>
        <v>#REF!</v>
      </c>
      <c r="BI529" s="46" t="e">
        <f>IF(+NFL!#REF!="San Francisco",+NFL!#REF!,IF(+NFL!#REF!="San Francisco",+NFL!#REF!,0))</f>
        <v>#REF!</v>
      </c>
      <c r="BJ529" s="87" t="e">
        <f>IF(+NFL!#REF!="San Francisco",+NFL!#REF!,IF(+NFL!#REF!="San Francisco",+NFL!#REF!,0))</f>
        <v>#REF!</v>
      </c>
      <c r="BK529" s="120" t="e">
        <f>IF(+NFL!#REF!="San Francisco",+NFL!#REF!,IF(+NFL!#REF!="San Francisco",+NFL!#REF!,0))</f>
        <v>#REF!</v>
      </c>
    </row>
    <row r="530" spans="1:63" s="246" customFormat="1" x14ac:dyDescent="0.8">
      <c r="A530" s="46">
        <f>IF(+NFL!$F311="San Francisco",+NFL!A311,IF(+NFL!$H311="San Francisco",+NFL!A311,0))</f>
        <v>17</v>
      </c>
      <c r="B530" s="348" t="str">
        <f>IF(+NFL!$F311="San Francisco",+NFL!B311,IF(+NFL!$H311="San Francisco",+NFL!B311,0))</f>
        <v>Sun</v>
      </c>
      <c r="C530" s="48">
        <f>IF(+NFL!$F311="San Francisco",+NFL!C311,IF(+NFL!$H311="San Francisco",+NFL!C311,0))</f>
        <v>44927</v>
      </c>
      <c r="D530" s="490">
        <f>IF(+NFL!$F311="San Francisco",+NFL!D311,IF(+NFL!$H311="San Francisco",+NFL!D311,0))</f>
        <v>0.66666666666666663</v>
      </c>
      <c r="E530" s="46" t="str">
        <f>IF(+NFL!$F311="San Francisco",+NFL!E311,IF(+NFL!$H311="San Francisco",+NFL!E311,0))</f>
        <v>Fox</v>
      </c>
      <c r="F530" s="127" t="str">
        <f>IF(+NFL!$F311="San Francisco",+NFL!F311,IF(+NFL!$H311="San Francisco",+NFL!F311,0))</f>
        <v>San Francisco</v>
      </c>
      <c r="G530" s="46" t="str">
        <f>IF(+NFL!$F311="San Francisco",+NFL!G311,IF(+NFL!$H311="San Francisco",+NFL!G311,0))</f>
        <v>NFCW</v>
      </c>
      <c r="H530" s="127" t="str">
        <f>IF(+NFL!$F311="San Francisco",+NFL!H311,IF(+NFL!$H311="San Francisco",+NFL!H311,0))</f>
        <v>Las Vegas</v>
      </c>
      <c r="I530" s="46" t="str">
        <f>IF(+NFL!$F311="San Francisco",+NFL!I311,IF(+NFL!$H311="San Francisco",+NFL!I311,0))</f>
        <v>AFCW</v>
      </c>
      <c r="J530" s="353" t="str">
        <f>IF(+NFL!$F311="San Francisco",+NFL!J311,IF(+NFL!$H311="San Francisco",+NFL!J311,0))</f>
        <v>San Francisco</v>
      </c>
      <c r="K530" s="494" t="str">
        <f>IF(+NFL!$F311="San Francisco",+NFL!K311,IF(+NFL!$H311="San Francisco",+NFL!K311,0))</f>
        <v>Las Vegas</v>
      </c>
      <c r="L530" s="384">
        <f>IF(+NFL!$F311="San Francisco",+NFL!L311,IF(+NFL!$H311="San Francisco",+NFL!L311,0))</f>
        <v>9.5</v>
      </c>
      <c r="M530" s="385">
        <f>IF(+NFL!$F311="San Francisco",+NFL!M311,IF(+NFL!$H311="San Francisco",+NFL!M311,0))</f>
        <v>41.5</v>
      </c>
      <c r="N530" s="394" t="str">
        <f>IF(+NFL!$F311="San Francisco",+NFL!N311,IF(+NFL!$H311="San Francisco",+NFL!N311,0))</f>
        <v>San Francisco</v>
      </c>
      <c r="O530" s="395">
        <f>IF(+NFL!$F311="San Francisco",+NFL!O311,IF(+NFL!$H311="San Francisco",+NFL!O311,0))</f>
        <v>37</v>
      </c>
      <c r="P530" s="394" t="str">
        <f>IF(+NFL!$F311="San Francisco",+NFL!P311,IF(+NFL!$H311="San Francisco",+NFL!P311,0))</f>
        <v>Las Vegas</v>
      </c>
      <c r="Q530" s="396">
        <f>IF(+NFL!$F311="San Francisco",+NFL!Q311,IF(+NFL!$H311="San Francisco",+NFL!Q311,0))</f>
        <v>34</v>
      </c>
      <c r="R530" s="397" t="str">
        <f>IF(+NFL!$F311="San Francisco",+NFL!R311,IF(+NFL!$H311="San Francisco",+NFL!R311,0))</f>
        <v>Las Vegas</v>
      </c>
      <c r="S530" s="396" t="str">
        <f>IF(+NFL!$F311="San Francisco",+NFL!S311,IF(+NFL!$H311="San Francisco",+NFL!S311,0))</f>
        <v>San Francisco</v>
      </c>
      <c r="T530" s="398">
        <f>IF(+NFL!$F311="San Francisco",+NFL!T311,IF(+NFL!$H311="San Francisco",+NFL!T311,0))</f>
        <v>0</v>
      </c>
      <c r="U530" s="396" t="str">
        <f>IF(+NFL!$F311="San Francisco",+NFL!U311,IF(+NFL!$H311="San Francisco",+NFL!U311,0))</f>
        <v>L</v>
      </c>
      <c r="V530" s="397">
        <f>IF(+NFL!$F313="San Francisco",+NFL!#REF!,IF(+NFL!$H313="San Francisco",+NFL!#REF!,0))</f>
        <v>0</v>
      </c>
      <c r="W530" s="396">
        <f>IF(+NFL!$F313="San Francisco",+NFL!#REF!,IF(+NFL!$H313="San Francisco",+NFL!#REF!,0))</f>
        <v>0</v>
      </c>
      <c r="X530" s="398">
        <f>IF(+NFL!$F313="San Francisco",+NFL!#REF!,IF(+NFL!$H313="San Francisco",+NFL!#REF!,0))</f>
        <v>0</v>
      </c>
      <c r="Y530" s="396">
        <f>IF(+NFL!$F313="San Francisco",+NFL!#REF!,IF(+NFL!$H313="San Francisco",+NFL!#REF!,0))</f>
        <v>0</v>
      </c>
      <c r="Z530" s="397">
        <f>IF(+NFL!$F313="San Francisco",+NFL!#REF!,IF(+NFL!$H313="San Francisco",+NFL!#REF!,0))</f>
        <v>0</v>
      </c>
      <c r="AA530" s="396">
        <f>IF(+NFL!$F313="San Francisco",+NFL!#REF!,IF(+NFL!$H313="San Francisco",+NFL!#REF!,0))</f>
        <v>0</v>
      </c>
      <c r="AB530" s="87">
        <f>IF(+NFL!$F313="San Francisco",+NFL!#REF!,IF(+NFL!$H313="San Francisco",+NFL!#REF!,0))</f>
        <v>0</v>
      </c>
      <c r="AC530" s="120">
        <f>IF(+NFL!$F313="San Francisco",+NFL!#REF!,IF(+NFL!$H313="San Francisco",+NFL!#REF!,0))</f>
        <v>0</v>
      </c>
      <c r="AD530" s="353">
        <f>IF(+NFL!$F313="San Francisco",+NFL!#REF!,IF(+NFL!$H313="San Francisco",+NFL!#REF!,0))</f>
        <v>0</v>
      </c>
      <c r="AE530" s="379">
        <f>IF(+NFL!$F313="San Francisco",+NFL!#REF!,IF(+NFL!$H313="San Francisco",+NFL!#REF!,0))</f>
        <v>0</v>
      </c>
      <c r="AF530" s="353">
        <f>IF(+NFL!$F313="San Francisco",+NFL!#REF!,IF(+NFL!$H313="San Francisco",+NFL!#REF!,0))</f>
        <v>0</v>
      </c>
      <c r="AG530" s="379">
        <f>IF(+NFL!$F313="San Francisco",+NFL!#REF!,IF(+NFL!$H313="San Francisco",+NFL!#REF!,0))</f>
        <v>0</v>
      </c>
      <c r="AH530" s="353">
        <f>IF(+NFL!$F313="San Francisco",+NFL!#REF!,IF(+NFL!$H313="San Francisco",+NFL!#REF!,0))</f>
        <v>0</v>
      </c>
      <c r="AI530" s="379">
        <f>IF(+NFL!$F313="San Francisco",+NFL!#REF!,IF(+NFL!$H313="San Francisco",+NFL!#REF!,0))</f>
        <v>0</v>
      </c>
      <c r="AJ530" s="353">
        <f>IF(+NFL!$F313="San Francisco",+NFL!#REF!,IF(+NFL!$H313="San Francisco",+NFL!#REF!,0))</f>
        <v>0</v>
      </c>
      <c r="AK530" s="379">
        <f>IF(+NFL!$F313="San Francisco",+NFL!#REF!,IF(+NFL!$H313="San Francisco",+NFL!#REF!,0))</f>
        <v>0</v>
      </c>
      <c r="AL530" s="68">
        <f>IF(+NFL!$F313="San Francisco",+NFL!#REF!,IF(+NFL!$H313="San Francisco",+NFL!#REF!,0))</f>
        <v>0</v>
      </c>
      <c r="AM530" s="58">
        <f>IF(+NFL!$F313="San Francisco",+NFL!#REF!,IF(+NFL!$H313="San Francisco",+NFL!#REF!,0))</f>
        <v>0</v>
      </c>
      <c r="AN530" s="57">
        <f>IF(+NFL!$F313="San Francisco",+NFL!#REF!,IF(+NFL!$H313="San Francisco",+NFL!#REF!,0))</f>
        <v>0</v>
      </c>
      <c r="AO530" s="59">
        <f>IF(+NFL!$F313="San Francisco",+NFL!#REF!,IF(+NFL!$H313="San Francisco",+NFL!#REF!,0))</f>
        <v>0</v>
      </c>
      <c r="AP530" s="348">
        <f>IF(+NFL!$F313="San Francisco",+NFL!#REF!,IF(+NFL!$H313="San Francisco",+NFL!#REF!,0))</f>
        <v>0</v>
      </c>
      <c r="AQ530" s="48">
        <f>IF(+NFL!$F313="San Francisco",+NFL!#REF!,IF(+NFL!$H313="San Francisco",+NFL!#REF!,0))</f>
        <v>0</v>
      </c>
      <c r="AR530" s="57">
        <f>IF(+NFL!$F313="San Francisco",+NFL!#REF!,IF(+NFL!$H313="San Francisco",+NFL!#REF!,0))</f>
        <v>0</v>
      </c>
      <c r="AS530" s="64">
        <f>IF(+NFL!$F313="San Francisco",+NFL!#REF!,IF(+NFL!$H313="San Francisco",+NFL!#REF!,0))</f>
        <v>0</v>
      </c>
      <c r="AT530" s="64">
        <f>IF(+NFL!$F313="San Francisco",+NFL!#REF!,IF(+NFL!$H313="San Francisco",+NFL!#REF!,0))</f>
        <v>0</v>
      </c>
      <c r="AU530" s="57">
        <f>IF(+NFL!$F313="San Francisco",+NFL!#REF!,IF(+NFL!$H313="San Francisco",+NFL!#REF!,0))</f>
        <v>0</v>
      </c>
      <c r="AV530" s="64">
        <f>IF(+NFL!$F313="San Francisco",+NFL!#REF!,IF(+NFL!$H313="San Francisco",+NFL!#REF!,0))</f>
        <v>0</v>
      </c>
      <c r="AW530" s="46">
        <f>IF(+NFL!$F313="San Francisco",+NFL!#REF!,IF(+NFL!$H313="San Francisco",+NFL!#REF!,0))</f>
        <v>0</v>
      </c>
      <c r="AX530" s="64">
        <f>IF(+NFL!$F313="San Francisco",+NFL!#REF!,IF(+NFL!$H313="San Francisco",+NFL!#REF!,0))</f>
        <v>0</v>
      </c>
      <c r="AY530" s="57">
        <f>IF(+NFL!$F313="San Francisco",+NFL!#REF!,IF(+NFL!$H313="San Francisco",+NFL!#REF!,0))</f>
        <v>0</v>
      </c>
      <c r="AZ530" s="64">
        <f>IF(+NFL!$F313="San Francisco",+NFL!#REF!,IF(+NFL!$H313="San Francisco",+NFL!#REF!,0))</f>
        <v>0</v>
      </c>
      <c r="BA530" s="46">
        <f>IF(+NFL!$F313="San Francisco",+NFL!#REF!,IF(+NFL!$H313="San Francisco",+NFL!#REF!,0))</f>
        <v>0</v>
      </c>
      <c r="BB530" s="46">
        <f>IF(+NFL!$F313="San Francisco",+NFL!#REF!,IF(+NFL!$H313="San Francisco",+NFL!#REF!,0))</f>
        <v>0</v>
      </c>
      <c r="BC530" s="403">
        <f>IF(+NFL!$F313="San Francisco",+NFL!#REF!,IF(+NFL!$H313="San Francisco",+NFL!#REF!,0))</f>
        <v>0</v>
      </c>
      <c r="BD530" s="57">
        <f>IF(+NFL!$F313="San Francisco",+NFL!#REF!,IF(+NFL!$H313="San Francisco",+NFL!#REF!,0))</f>
        <v>0</v>
      </c>
      <c r="BE530" s="64">
        <f>IF(+NFL!$F313="San Francisco",+NFL!#REF!,IF(+NFL!$H313="San Francisco",+NFL!#REF!,0))</f>
        <v>0</v>
      </c>
      <c r="BF530" s="46">
        <f>IF(+NFL!$F313="San Francisco",+NFL!#REF!,IF(+NFL!$H313="San Francisco",+NFL!#REF!,0))</f>
        <v>0</v>
      </c>
      <c r="BG530" s="57">
        <f>IF(+NFL!$F313="San Francisco",+NFL!#REF!,IF(+NFL!$H313="San Francisco",+NFL!#REF!,0))</f>
        <v>0</v>
      </c>
      <c r="BH530" s="64">
        <f>IF(+NFL!$F313="San Francisco",+NFL!#REF!,IF(+NFL!$H313="San Francisco",+NFL!#REF!,0))</f>
        <v>0</v>
      </c>
      <c r="BI530" s="46">
        <f>IF(+NFL!$F313="San Francisco",+NFL!#REF!,IF(+NFL!$H313="San Francisco",+NFL!#REF!,0))</f>
        <v>0</v>
      </c>
      <c r="BJ530" s="87">
        <f>IF(+NFL!$F313="San Francisco",+NFL!#REF!,IF(+NFL!$H313="San Francisco",+NFL!#REF!,0))</f>
        <v>0</v>
      </c>
      <c r="BK530" s="120">
        <f>IF(+NFL!$F313="San Francisco",+NFL!#REF!,IF(+NFL!$H313="San Francisco",+NFL!#REF!,0))</f>
        <v>0</v>
      </c>
    </row>
    <row r="531" spans="1:63" s="246" customFormat="1" x14ac:dyDescent="0.8">
      <c r="A531" s="46">
        <f>IF(+NFL!$F328="San Francisco",+NFL!A328,IF(+NFL!$H328="San Francisco",+NFL!A328,0))</f>
        <v>18</v>
      </c>
      <c r="B531" s="348" t="str">
        <f>IF(+NFL!$F328="San Francisco",+NFL!B328,IF(+NFL!$H328="San Francisco",+NFL!B328,0))</f>
        <v>Sun</v>
      </c>
      <c r="C531" s="48">
        <f>IF(+NFL!$F328="San Francisco",+NFL!C328,IF(+NFL!$H328="San Francisco",+NFL!C328,0))</f>
        <v>44934</v>
      </c>
      <c r="D531" s="490">
        <f>IF(+NFL!$F328="San Francisco",+NFL!D328,IF(+NFL!$H328="San Francisco",+NFL!D328,0))</f>
        <v>0.67708333333333337</v>
      </c>
      <c r="E531" s="46" t="str">
        <f>IF(+NFL!$F328="San Francisco",+NFL!E328,IF(+NFL!$H328="San Francisco",+NFL!E328,0))</f>
        <v>Fox</v>
      </c>
      <c r="F531" s="127" t="str">
        <f>IF(+NFL!$F328="San Francisco",+NFL!F328,IF(+NFL!$H328="San Francisco",+NFL!F328,0))</f>
        <v>Arizona</v>
      </c>
      <c r="G531" s="46" t="str">
        <f>IF(+NFL!$F328="San Francisco",+NFL!G328,IF(+NFL!$H328="San Francisco",+NFL!G328,0))</f>
        <v>NFCW</v>
      </c>
      <c r="H531" s="127" t="str">
        <f>IF(+NFL!$F328="San Francisco",+NFL!H328,IF(+NFL!$H328="San Francisco",+NFL!H328,0))</f>
        <v>San Francisco</v>
      </c>
      <c r="I531" s="46" t="str">
        <f>IF(+NFL!$F328="San Francisco",+NFL!I328,IF(+NFL!$H328="San Francisco",+NFL!I328,0))</f>
        <v>NFCW</v>
      </c>
      <c r="J531" s="353" t="str">
        <f>IF(+NFL!$F328="San Francisco",+NFL!J328,IF(+NFL!$H328="San Francisco",+NFL!J328,0))</f>
        <v>San Francisco</v>
      </c>
      <c r="K531" s="494" t="str">
        <f>IF(+NFL!$F328="San Francisco",+NFL!K328,IF(+NFL!$H328="San Francisco",+NFL!K328,0))</f>
        <v>Arizona</v>
      </c>
      <c r="L531" s="384">
        <f>IF(+NFL!$F328="San Francisco",+NFL!L328,IF(+NFL!$H328="San Francisco",+NFL!L328,0))</f>
        <v>14</v>
      </c>
      <c r="M531" s="385">
        <f>IF(+NFL!$F328="San Francisco",+NFL!M328,IF(+NFL!$H328="San Francisco",+NFL!M328,0))</f>
        <v>40.5</v>
      </c>
      <c r="N531" s="394" t="str">
        <f>IF(+NFL!$F328="San Francisco",+NFL!N328,IF(+NFL!$H328="San Francisco",+NFL!N328,0))</f>
        <v>San Francisco</v>
      </c>
      <c r="O531" s="395">
        <f>IF(+NFL!$F328="San Francisco",+NFL!O328,IF(+NFL!$H328="San Francisco",+NFL!O328,0))</f>
        <v>38</v>
      </c>
      <c r="P531" s="394" t="str">
        <f>IF(+NFL!$F328="San Francisco",+NFL!P328,IF(+NFL!$H328="San Francisco",+NFL!P328,0))</f>
        <v>Arizona</v>
      </c>
      <c r="Q531" s="396">
        <f>IF(+NFL!$F328="San Francisco",+NFL!Q328,IF(+NFL!$H328="San Francisco",+NFL!Q328,0))</f>
        <v>13</v>
      </c>
      <c r="R531" s="397" t="str">
        <f>IF(+NFL!$F328="San Francisco",+NFL!R328,IF(+NFL!$H328="San Francisco",+NFL!R328,0))</f>
        <v>San Francisco</v>
      </c>
      <c r="S531" s="396" t="str">
        <f>IF(+NFL!$F328="San Francisco",+NFL!S328,IF(+NFL!$H328="San Francisco",+NFL!S328,0))</f>
        <v>Arizona</v>
      </c>
      <c r="T531" s="398" t="str">
        <f>IF(+NFL!$F328="San Francisco",+NFL!T328,IF(+NFL!$H328="San Francisco",+NFL!T328,0))</f>
        <v>Arizona</v>
      </c>
      <c r="U531" s="396" t="str">
        <f>IF(+NFL!$F328="San Francisco",+NFL!U328,IF(+NFL!$H328="San Francisco",+NFL!U328,0))</f>
        <v>L</v>
      </c>
      <c r="V531" s="397">
        <f>IF(+NFL!$F330="San Francisco",+NFL!#REF!,IF(+NFL!$H330="San Francisco",+NFL!#REF!,0))</f>
        <v>0</v>
      </c>
      <c r="W531" s="396">
        <f>IF(+NFL!$F330="San Francisco",+NFL!#REF!,IF(+NFL!$H330="San Francisco",+NFL!#REF!,0))</f>
        <v>0</v>
      </c>
      <c r="X531" s="398">
        <f>IF(+NFL!$F330="San Francisco",+NFL!#REF!,IF(+NFL!$H330="San Francisco",+NFL!#REF!,0))</f>
        <v>0</v>
      </c>
      <c r="Y531" s="396">
        <f>IF(+NFL!$F330="San Francisco",+NFL!#REF!,IF(+NFL!$H330="San Francisco",+NFL!#REF!,0))</f>
        <v>0</v>
      </c>
      <c r="Z531" s="397">
        <f>IF(+NFL!$F330="San Francisco",+NFL!#REF!,IF(+NFL!$H330="San Francisco",+NFL!#REF!,0))</f>
        <v>0</v>
      </c>
      <c r="AA531" s="396">
        <f>IF(+NFL!$F330="San Francisco",+NFL!#REF!,IF(+NFL!$H330="San Francisco",+NFL!#REF!,0))</f>
        <v>0</v>
      </c>
      <c r="AB531" s="87">
        <f>IF(+NFL!$F330="San Francisco",+NFL!#REF!,IF(+NFL!$H330="San Francisco",+NFL!#REF!,0))</f>
        <v>0</v>
      </c>
      <c r="AC531" s="120">
        <f>IF(+NFL!$F330="San Francisco",+NFL!#REF!,IF(+NFL!$H330="San Francisco",+NFL!#REF!,0))</f>
        <v>0</v>
      </c>
      <c r="AD531" s="353">
        <f>IF(+NFL!$F330="San Francisco",+NFL!#REF!,IF(+NFL!$H330="San Francisco",+NFL!#REF!,0))</f>
        <v>0</v>
      </c>
      <c r="AE531" s="379">
        <f>IF(+NFL!$F330="San Francisco",+NFL!#REF!,IF(+NFL!$H330="San Francisco",+NFL!#REF!,0))</f>
        <v>0</v>
      </c>
      <c r="AF531" s="353">
        <f>IF(+NFL!$F330="San Francisco",+NFL!#REF!,IF(+NFL!$H330="San Francisco",+NFL!#REF!,0))</f>
        <v>0</v>
      </c>
      <c r="AG531" s="379">
        <f>IF(+NFL!$F330="San Francisco",+NFL!#REF!,IF(+NFL!$H330="San Francisco",+NFL!#REF!,0))</f>
        <v>0</v>
      </c>
      <c r="AH531" s="353">
        <f>IF(+NFL!$F330="San Francisco",+NFL!#REF!,IF(+NFL!$H330="San Francisco",+NFL!#REF!,0))</f>
        <v>0</v>
      </c>
      <c r="AI531" s="379">
        <f>IF(+NFL!$F330="San Francisco",+NFL!#REF!,IF(+NFL!$H330="San Francisco",+NFL!#REF!,0))</f>
        <v>0</v>
      </c>
      <c r="AJ531" s="353">
        <f>IF(+NFL!$F330="San Francisco",+NFL!#REF!,IF(+NFL!$H330="San Francisco",+NFL!#REF!,0))</f>
        <v>0</v>
      </c>
      <c r="AK531" s="379">
        <f>IF(+NFL!$F330="San Francisco",+NFL!#REF!,IF(+NFL!$H330="San Francisco",+NFL!#REF!,0))</f>
        <v>0</v>
      </c>
      <c r="AL531" s="68">
        <f>IF(+NFL!$F330="San Francisco",+NFL!#REF!,IF(+NFL!$H330="San Francisco",+NFL!#REF!,0))</f>
        <v>0</v>
      </c>
      <c r="AM531" s="58">
        <f>IF(+NFL!$F330="San Francisco",+NFL!#REF!,IF(+NFL!$H330="San Francisco",+NFL!#REF!,0))</f>
        <v>0</v>
      </c>
      <c r="AN531" s="57">
        <f>IF(+NFL!$F330="San Francisco",+NFL!#REF!,IF(+NFL!$H330="San Francisco",+NFL!#REF!,0))</f>
        <v>0</v>
      </c>
      <c r="AO531" s="59">
        <f>IF(+NFL!$F330="San Francisco",+NFL!#REF!,IF(+NFL!$H330="San Francisco",+NFL!#REF!,0))</f>
        <v>0</v>
      </c>
      <c r="AP531" s="348">
        <f>IF(+NFL!$F330="San Francisco",+NFL!#REF!,IF(+NFL!$H330="San Francisco",+NFL!#REF!,0))</f>
        <v>0</v>
      </c>
      <c r="AQ531" s="48">
        <f>IF(+NFL!$F330="San Francisco",+NFL!#REF!,IF(+NFL!$H330="San Francisco",+NFL!#REF!,0))</f>
        <v>0</v>
      </c>
      <c r="AR531" s="57">
        <f>IF(+NFL!$F330="San Francisco",+NFL!#REF!,IF(+NFL!$H330="San Francisco",+NFL!#REF!,0))</f>
        <v>0</v>
      </c>
      <c r="AS531" s="64">
        <f>IF(+NFL!$F330="San Francisco",+NFL!#REF!,IF(+NFL!$H330="San Francisco",+NFL!#REF!,0))</f>
        <v>0</v>
      </c>
      <c r="AT531" s="64">
        <f>IF(+NFL!$F330="San Francisco",+NFL!#REF!,IF(+NFL!$H330="San Francisco",+NFL!#REF!,0))</f>
        <v>0</v>
      </c>
      <c r="AU531" s="57">
        <f>IF(+NFL!$F330="San Francisco",+NFL!#REF!,IF(+NFL!$H330="San Francisco",+NFL!#REF!,0))</f>
        <v>0</v>
      </c>
      <c r="AV531" s="64">
        <f>IF(+NFL!$F330="San Francisco",+NFL!#REF!,IF(+NFL!$H330="San Francisco",+NFL!#REF!,0))</f>
        <v>0</v>
      </c>
      <c r="AW531" s="46">
        <f>IF(+NFL!$F330="San Francisco",+NFL!#REF!,IF(+NFL!$H330="San Francisco",+NFL!#REF!,0))</f>
        <v>0</v>
      </c>
      <c r="AX531" s="64">
        <f>IF(+NFL!$F330="San Francisco",+NFL!#REF!,IF(+NFL!$H330="San Francisco",+NFL!#REF!,0))</f>
        <v>0</v>
      </c>
      <c r="AY531" s="57">
        <f>IF(+NFL!$F330="San Francisco",+NFL!#REF!,IF(+NFL!$H330="San Francisco",+NFL!#REF!,0))</f>
        <v>0</v>
      </c>
      <c r="AZ531" s="64">
        <f>IF(+NFL!$F330="San Francisco",+NFL!#REF!,IF(+NFL!$H330="San Francisco",+NFL!#REF!,0))</f>
        <v>0</v>
      </c>
      <c r="BA531" s="46">
        <f>IF(+NFL!$F330="San Francisco",+NFL!#REF!,IF(+NFL!$H330="San Francisco",+NFL!#REF!,0))</f>
        <v>0</v>
      </c>
      <c r="BB531" s="46">
        <f>IF(+NFL!$F330="San Francisco",+NFL!#REF!,IF(+NFL!$H330="San Francisco",+NFL!#REF!,0))</f>
        <v>0</v>
      </c>
      <c r="BC531" s="403">
        <f>IF(+NFL!$F330="San Francisco",+NFL!#REF!,IF(+NFL!$H330="San Francisco",+NFL!#REF!,0))</f>
        <v>0</v>
      </c>
      <c r="BD531" s="57">
        <f>IF(+NFL!$F330="San Francisco",+NFL!#REF!,IF(+NFL!$H330="San Francisco",+NFL!#REF!,0))</f>
        <v>0</v>
      </c>
      <c r="BE531" s="64">
        <f>IF(+NFL!$F330="San Francisco",+NFL!#REF!,IF(+NFL!$H330="San Francisco",+NFL!#REF!,0))</f>
        <v>0</v>
      </c>
      <c r="BF531" s="46">
        <f>IF(+NFL!$F330="San Francisco",+NFL!#REF!,IF(+NFL!$H330="San Francisco",+NFL!#REF!,0))</f>
        <v>0</v>
      </c>
      <c r="BG531" s="57">
        <f>IF(+NFL!$F330="San Francisco",+NFL!#REF!,IF(+NFL!$H330="San Francisco",+NFL!#REF!,0))</f>
        <v>0</v>
      </c>
      <c r="BH531" s="64">
        <f>IF(+NFL!$F330="San Francisco",+NFL!#REF!,IF(+NFL!$H330="San Francisco",+NFL!#REF!,0))</f>
        <v>0</v>
      </c>
      <c r="BI531" s="46">
        <f>IF(+NFL!$F330="San Francisco",+NFL!#REF!,IF(+NFL!$H330="San Francisco",+NFL!#REF!,0))</f>
        <v>0</v>
      </c>
      <c r="BJ531" s="87">
        <f>IF(+NFL!$F330="San Francisco",+NFL!#REF!,IF(+NFL!$H330="San Francisco",+NFL!#REF!,0))</f>
        <v>0</v>
      </c>
      <c r="BK531" s="120">
        <f>IF(+NFL!$F330="San Francisco",+NFL!#REF!,IF(+NFL!$H330="San Francisco",+NFL!#REF!,0))</f>
        <v>0</v>
      </c>
    </row>
    <row r="532" spans="1:63" s="246" customFormat="1" x14ac:dyDescent="0.8">
      <c r="A532" s="46"/>
      <c r="B532" s="348"/>
      <c r="C532" s="48"/>
      <c r="D532" s="49"/>
      <c r="E532" s="46"/>
      <c r="F532" s="959" t="str">
        <f>H533</f>
        <v>Seattle</v>
      </c>
      <c r="G532" s="960"/>
      <c r="H532" s="960"/>
      <c r="I532" s="961"/>
      <c r="J532" s="353"/>
      <c r="K532" s="364"/>
      <c r="L532" s="384"/>
      <c r="M532" s="385"/>
      <c r="N532" s="394"/>
      <c r="O532" s="395"/>
      <c r="P532" s="394"/>
      <c r="Q532" s="396"/>
      <c r="R532" s="397"/>
      <c r="S532" s="396"/>
      <c r="T532" s="398"/>
      <c r="U532" s="396"/>
      <c r="V532" s="397"/>
      <c r="W532" s="396"/>
      <c r="X532" s="398"/>
      <c r="Y532" s="396"/>
      <c r="Z532" s="397"/>
      <c r="AA532" s="396"/>
      <c r="AB532" s="87"/>
      <c r="AC532" s="120"/>
      <c r="AD532" s="353"/>
      <c r="AE532" s="379"/>
      <c r="AF532" s="353"/>
      <c r="AG532" s="379"/>
      <c r="AH532" s="353"/>
      <c r="AI532" s="379"/>
      <c r="AJ532" s="353"/>
      <c r="AK532" s="379"/>
      <c r="AL532" s="68"/>
      <c r="AM532" s="58"/>
      <c r="AN532" s="57"/>
      <c r="AO532" s="59"/>
      <c r="AP532" s="348"/>
      <c r="AQ532" s="348"/>
      <c r="AR532" s="57"/>
      <c r="AS532" s="64"/>
      <c r="AT532" s="64"/>
      <c r="AU532" s="57"/>
      <c r="AV532" s="64"/>
      <c r="AW532" s="46"/>
      <c r="AX532" s="64"/>
      <c r="AY532" s="57"/>
      <c r="AZ532" s="64"/>
      <c r="BA532" s="46"/>
      <c r="BB532" s="46"/>
      <c r="BC532" s="348"/>
      <c r="BD532" s="57"/>
      <c r="BE532" s="64"/>
      <c r="BF532" s="46"/>
      <c r="BG532" s="57"/>
      <c r="BH532" s="64"/>
      <c r="BI532" s="46"/>
      <c r="BJ532" s="87"/>
      <c r="BK532" s="120"/>
    </row>
    <row r="533" spans="1:63" s="246" customFormat="1" x14ac:dyDescent="0.8">
      <c r="A533" s="46">
        <f>IF(+NFL!$F19="Seattle",+NFL!A19,IF(+NFL!$H19="Seattle",+NFL!A19,0))</f>
        <v>1</v>
      </c>
      <c r="B533" s="348" t="str">
        <f>IF(+NFL!$F19="Seattle",+NFL!B19,IF(+NFL!$H19="Seattle",+NFL!B19,0))</f>
        <v>Mon</v>
      </c>
      <c r="C533" s="48">
        <f>IF(+NFL!$F19="Seattle",+NFL!C19,IF(+NFL!$H19="Seattle",+NFL!C19,0))</f>
        <v>44816</v>
      </c>
      <c r="D533" s="490">
        <f>IF(+NFL!$F19="Seattle",+NFL!D19,IF(+NFL!$H19="Seattle",+NFL!D19,0))</f>
        <v>0.84375</v>
      </c>
      <c r="E533" s="46" t="str">
        <f>IF(+NFL!$F19="Seattle",+NFL!E19,IF(+NFL!$H19="Seattle",+NFL!E19,0))</f>
        <v>ABC</v>
      </c>
      <c r="F533" s="127" t="str">
        <f>IF(+NFL!$F19="Seattle",+NFL!F19,IF(+NFL!$H19="Seattle",+NFL!F19,0))</f>
        <v>Denver</v>
      </c>
      <c r="G533" s="46" t="str">
        <f>IF(+NFL!$F19="Seattle",+NFL!G19,IF(+NFL!$H19="Seattle",+NFL!G19,0))</f>
        <v>AFCW</v>
      </c>
      <c r="H533" s="127" t="str">
        <f>IF(+NFL!$F19="Seattle",+NFL!H19,IF(+NFL!$H19="Seattle",+NFL!H19,0))</f>
        <v>Seattle</v>
      </c>
      <c r="I533" s="46" t="str">
        <f>IF(+NFL!$F19="Seattle",+NFL!I19,IF(+NFL!$H19="Seattle",+NFL!I19,0))</f>
        <v>NFCW</v>
      </c>
      <c r="J533" s="353" t="str">
        <f>IF(+NFL!$F19="Seattle",+NFL!J19,IF(+NFL!$H19="Seattle",+NFL!J19,0))</f>
        <v>Denver</v>
      </c>
      <c r="K533" s="494" t="str">
        <f>IF(+NFL!$F19="Seattle",+NFL!K19,IF(+NFL!$H19="Seattle",+NFL!K19,0))</f>
        <v>Seattle</v>
      </c>
      <c r="L533" s="384">
        <f>IF(+NFL!$F19="Seattle",+NFL!L19,IF(+NFL!$H19="Seattle",+NFL!L19,0))</f>
        <v>6.5</v>
      </c>
      <c r="M533" s="385">
        <f>IF(+NFL!$F19="Seattle",+NFL!M19,IF(+NFL!$H19="Seattle",+NFL!M19,0))</f>
        <v>45</v>
      </c>
      <c r="N533" s="394" t="str">
        <f>IF(+NFL!$F19="Seattle",+NFL!N19,IF(+NFL!$H19="Seattle",+NFL!N19,0))</f>
        <v>Seattle</v>
      </c>
      <c r="O533" s="395">
        <f>IF(+NFL!$F19="Seattle",+NFL!O19,IF(+NFL!$H19="Seattle",+NFL!O19,0))</f>
        <v>17</v>
      </c>
      <c r="P533" s="394" t="str">
        <f>IF(+NFL!$F19="Seattle",+NFL!P19,IF(+NFL!$H19="Seattle",+NFL!P19,0))</f>
        <v>Denver</v>
      </c>
      <c r="Q533" s="396">
        <f>IF(+NFL!$F19="Seattle",+NFL!Q19,IF(+NFL!$H19="Seattle",+NFL!Q19,0))</f>
        <v>16</v>
      </c>
      <c r="R533" s="397" t="str">
        <f>IF(+NFL!$F19="Seattle",+NFL!R19,IF(+NFL!$H19="Seattle",+NFL!R19,0))</f>
        <v>Seattle</v>
      </c>
      <c r="S533" s="396" t="str">
        <f>IF(+NFL!$F19="Seattle",+NFL!S19,IF(+NFL!$H19="Seattle",+NFL!S19,0))</f>
        <v>Denver</v>
      </c>
      <c r="T533" s="398" t="str">
        <f>IF(+NFL!$F19="Seattle",+NFL!T19,IF(+NFL!$H19="Seattle",+NFL!T19,0))</f>
        <v>Denver</v>
      </c>
      <c r="U533" s="396" t="str">
        <f>IF(+NFL!$F19="Seattle",+NFL!U19,IF(+NFL!$H19="Seattle",+NFL!U19,0))</f>
        <v>L</v>
      </c>
      <c r="V533" s="397"/>
      <c r="W533" s="396"/>
      <c r="X533" s="398"/>
      <c r="Y533" s="396"/>
      <c r="Z533" s="397"/>
      <c r="AA533" s="396"/>
      <c r="AB533" s="87"/>
      <c r="AC533" s="120"/>
      <c r="AD533" s="353"/>
      <c r="AE533" s="379"/>
      <c r="AF533" s="353"/>
      <c r="AG533" s="379"/>
      <c r="AH533" s="353"/>
      <c r="AI533" s="379"/>
      <c r="AJ533" s="353"/>
      <c r="AK533" s="379"/>
      <c r="AL533" s="68"/>
      <c r="AM533" s="58"/>
      <c r="AN533" s="57"/>
      <c r="AO533" s="59"/>
      <c r="AP533" s="348"/>
      <c r="AQ533" s="48"/>
      <c r="AR533" s="57"/>
      <c r="AS533" s="493"/>
      <c r="AT533" s="493"/>
      <c r="AU533" s="57"/>
      <c r="AV533" s="493"/>
      <c r="AW533" s="46"/>
      <c r="AX533" s="493"/>
      <c r="AY533" s="57"/>
      <c r="AZ533" s="493"/>
      <c r="BA533" s="46"/>
      <c r="BB533" s="46"/>
      <c r="BC533" s="403"/>
      <c r="BD533" s="57"/>
      <c r="BE533" s="493"/>
      <c r="BF533" s="46"/>
      <c r="BG533" s="57"/>
      <c r="BH533" s="493"/>
      <c r="BI533" s="46"/>
      <c r="BJ533" s="87"/>
      <c r="BK533" s="120"/>
    </row>
    <row r="534" spans="1:63" s="246" customFormat="1" x14ac:dyDescent="0.8">
      <c r="A534" s="46">
        <f>IF(+NFL!$F30="Seattle",+NFL!A30,IF(+NFL!$H30="Seattle",+NFL!A30,0))</f>
        <v>2</v>
      </c>
      <c r="B534" s="348" t="str">
        <f>IF(+NFL!$F30="Seattle",+NFL!B30,IF(+NFL!$H30="Seattle",+NFL!B30,0))</f>
        <v>Sun</v>
      </c>
      <c r="C534" s="48">
        <f>IF(+NFL!$F30="Seattle",+NFL!C30,IF(+NFL!$H30="Seattle",+NFL!C30,0))</f>
        <v>44822</v>
      </c>
      <c r="D534" s="490">
        <f>IF(+NFL!$F30="Seattle",+NFL!D30,IF(+NFL!$H30="Seattle",+NFL!D30,0))</f>
        <v>0.66666666666666663</v>
      </c>
      <c r="E534" s="46" t="str">
        <f>IF(+NFL!$F30="Seattle",+NFL!E30,IF(+NFL!$H30="Seattle",+NFL!E30,0))</f>
        <v>Fox</v>
      </c>
      <c r="F534" s="127" t="str">
        <f>IF(+NFL!$F30="Seattle",+NFL!F30,IF(+NFL!$H30="Seattle",+NFL!F30,0))</f>
        <v>Seattle</v>
      </c>
      <c r="G534" s="46" t="str">
        <f>IF(+NFL!$F30="Seattle",+NFL!G30,IF(+NFL!$H30="Seattle",+NFL!G30,0))</f>
        <v>NFCW</v>
      </c>
      <c r="H534" s="127" t="str">
        <f>IF(+NFL!$F30="Seattle",+NFL!H30,IF(+NFL!$H30="Seattle",+NFL!H30,0))</f>
        <v>San Francisco</v>
      </c>
      <c r="I534" s="46" t="str">
        <f>IF(+NFL!$F30="Seattle",+NFL!I30,IF(+NFL!$H30="Seattle",+NFL!I30,0))</f>
        <v>NFCW</v>
      </c>
      <c r="J534" s="353" t="str">
        <f>IF(+NFL!$F30="Seattle",+NFL!J30,IF(+NFL!$H30="Seattle",+NFL!J30,0))</f>
        <v>San Francisco</v>
      </c>
      <c r="K534" s="494" t="str">
        <f>IF(+NFL!$F30="Seattle",+NFL!K30,IF(+NFL!$H30="Seattle",+NFL!K30,0))</f>
        <v>Seattle</v>
      </c>
      <c r="L534" s="384">
        <f>IF(+NFL!$F30="Seattle",+NFL!L30,IF(+NFL!$H30="Seattle",+NFL!L30,0))</f>
        <v>10</v>
      </c>
      <c r="M534" s="385">
        <f>IF(+NFL!$F30="Seattle",+NFL!M30,IF(+NFL!$H30="Seattle",+NFL!M30,0))</f>
        <v>42.5</v>
      </c>
      <c r="N534" s="394" t="str">
        <f>IF(+NFL!$F30="Seattle",+NFL!N30,IF(+NFL!$H30="Seattle",+NFL!N30,0))</f>
        <v>San Francisco</v>
      </c>
      <c r="O534" s="395">
        <f>IF(+NFL!$F30="Seattle",+NFL!O30,IF(+NFL!$H30="Seattle",+NFL!O30,0))</f>
        <v>27</v>
      </c>
      <c r="P534" s="394" t="str">
        <f>IF(+NFL!$F30="Seattle",+NFL!P30,IF(+NFL!$H30="Seattle",+NFL!P30,0))</f>
        <v>Seattle</v>
      </c>
      <c r="Q534" s="396">
        <f>IF(+NFL!$F30="Seattle",+NFL!Q30,IF(+NFL!$H30="Seattle",+NFL!Q30,0))</f>
        <v>7</v>
      </c>
      <c r="R534" s="397" t="str">
        <f>IF(+NFL!$F30="Seattle",+NFL!R30,IF(+NFL!$H30="Seattle",+NFL!R30,0))</f>
        <v>San Francisco</v>
      </c>
      <c r="S534" s="396" t="str">
        <f>IF(+NFL!$F30="Seattle",+NFL!S30,IF(+NFL!$H30="Seattle",+NFL!S30,0))</f>
        <v>Seattle</v>
      </c>
      <c r="T534" s="398" t="str">
        <f>IF(+NFL!$F30="Seattle",+NFL!T30,IF(+NFL!$H30="Seattle",+NFL!T30,0))</f>
        <v>San Francisco</v>
      </c>
      <c r="U534" s="396" t="str">
        <f>IF(+NFL!$F30="Seattle",+NFL!U30,IF(+NFL!$H30="Seattle",+NFL!U30,0))</f>
        <v>W</v>
      </c>
      <c r="V534" s="397"/>
      <c r="W534" s="396"/>
      <c r="X534" s="398"/>
      <c r="Y534" s="396"/>
      <c r="Z534" s="397"/>
      <c r="AA534" s="396"/>
      <c r="AB534" s="87"/>
      <c r="AC534" s="120"/>
      <c r="AD534" s="353"/>
      <c r="AE534" s="379"/>
      <c r="AF534" s="353"/>
      <c r="AG534" s="379"/>
      <c r="AH534" s="353"/>
      <c r="AI534" s="379"/>
      <c r="AJ534" s="353"/>
      <c r="AK534" s="379"/>
      <c r="AL534" s="68"/>
      <c r="AM534" s="58"/>
      <c r="AN534" s="57"/>
      <c r="AO534" s="59"/>
      <c r="AP534" s="348"/>
      <c r="AQ534" s="48"/>
      <c r="AR534" s="57"/>
      <c r="AS534" s="493"/>
      <c r="AT534" s="493"/>
      <c r="AU534" s="57"/>
      <c r="AV534" s="493"/>
      <c r="AW534" s="46"/>
      <c r="AX534" s="493"/>
      <c r="AY534" s="57"/>
      <c r="AZ534" s="493"/>
      <c r="BA534" s="46"/>
      <c r="BB534" s="46"/>
      <c r="BC534" s="403"/>
      <c r="BD534" s="57"/>
      <c r="BE534" s="493"/>
      <c r="BF534" s="46"/>
      <c r="BG534" s="57"/>
      <c r="BH534" s="493"/>
      <c r="BI534" s="46"/>
      <c r="BJ534" s="87"/>
      <c r="BK534" s="120"/>
    </row>
    <row r="535" spans="1:63" s="246" customFormat="1" x14ac:dyDescent="0.8">
      <c r="A535" s="46">
        <f>IF(+NFL!$F50="Seattle",+NFL!A50,IF(+NFL!$H50="Seattle",+NFL!A50,0))</f>
        <v>3</v>
      </c>
      <c r="B535" s="348" t="str">
        <f>IF(+NFL!$F50="Seattle",+NFL!B50,IF(+NFL!$H50="Seattle",+NFL!B50,0))</f>
        <v>Sun</v>
      </c>
      <c r="C535" s="48">
        <f>IF(+NFL!$F50="Seattle",+NFL!C50,IF(+NFL!$H50="Seattle",+NFL!C50,0))</f>
        <v>44829</v>
      </c>
      <c r="D535" s="490">
        <f>IF(+NFL!$F50="Seattle",+NFL!D50,IF(+NFL!$H50="Seattle",+NFL!D50,0))</f>
        <v>0.66666666666666663</v>
      </c>
      <c r="E535" s="46" t="str">
        <f>IF(+NFL!$F50="Seattle",+NFL!E50,IF(+NFL!$H50="Seattle",+NFL!E50,0))</f>
        <v>Fox</v>
      </c>
      <c r="F535" s="127" t="str">
        <f>IF(+NFL!$F50="Seattle",+NFL!F50,IF(+NFL!$H50="Seattle",+NFL!F50,0))</f>
        <v>Atlanta</v>
      </c>
      <c r="G535" s="46" t="str">
        <f>IF(+NFL!$F50="Seattle",+NFL!G50,IF(+NFL!$H50="Seattle",+NFL!G50,0))</f>
        <v>NFCS</v>
      </c>
      <c r="H535" s="127" t="str">
        <f>IF(+NFL!$F50="Seattle",+NFL!H50,IF(+NFL!$H50="Seattle",+NFL!H50,0))</f>
        <v>Seattle</v>
      </c>
      <c r="I535" s="46" t="str">
        <f>IF(+NFL!$F50="Seattle",+NFL!I50,IF(+NFL!$H50="Seattle",+NFL!I50,0))</f>
        <v>NFCW</v>
      </c>
      <c r="J535" s="353" t="str">
        <f>IF(+NFL!$F50="Seattle",+NFL!J50,IF(+NFL!$H50="Seattle",+NFL!J50,0))</f>
        <v>Seattle</v>
      </c>
      <c r="K535" s="494" t="str">
        <f>IF(+NFL!$F50="Seattle",+NFL!K50,IF(+NFL!$H50="Seattle",+NFL!K50,0))</f>
        <v>Atlanta</v>
      </c>
      <c r="L535" s="384">
        <f>IF(+NFL!$F50="Seattle",+NFL!L50,IF(+NFL!$H50="Seattle",+NFL!L50,0))</f>
        <v>2</v>
      </c>
      <c r="M535" s="385">
        <f>IF(+NFL!$F50="Seattle",+NFL!M50,IF(+NFL!$H50="Seattle",+NFL!M50,0))</f>
        <v>42</v>
      </c>
      <c r="N535" s="394" t="str">
        <f>IF(+NFL!$F50="Seattle",+NFL!N50,IF(+NFL!$H50="Seattle",+NFL!N50,0))</f>
        <v>Atlanta</v>
      </c>
      <c r="O535" s="395">
        <f>IF(+NFL!$F50="Seattle",+NFL!O50,IF(+NFL!$H50="Seattle",+NFL!O50,0))</f>
        <v>27</v>
      </c>
      <c r="P535" s="394" t="str">
        <f>IF(+NFL!$F50="Seattle",+NFL!P50,IF(+NFL!$H50="Seattle",+NFL!P50,0))</f>
        <v>Seattle</v>
      </c>
      <c r="Q535" s="396">
        <f>IF(+NFL!$F50="Seattle",+NFL!Q50,IF(+NFL!$H50="Seattle",+NFL!Q50,0))</f>
        <v>23</v>
      </c>
      <c r="R535" s="397" t="str">
        <f>IF(+NFL!$F50="Seattle",+NFL!R50,IF(+NFL!$H50="Seattle",+NFL!R50,0))</f>
        <v>Atlanta</v>
      </c>
      <c r="S535" s="396" t="str">
        <f>IF(+NFL!$F50="Seattle",+NFL!S50,IF(+NFL!$H50="Seattle",+NFL!S50,0))</f>
        <v>Seattle</v>
      </c>
      <c r="T535" s="398" t="str">
        <f>IF(+NFL!$F50="Seattle",+NFL!T50,IF(+NFL!$H50="Seattle",+NFL!T50,0))</f>
        <v>Atlanta</v>
      </c>
      <c r="U535" s="396" t="str">
        <f>IF(+NFL!$F50="Seattle",+NFL!U50,IF(+NFL!$H50="Seattle",+NFL!U50,0))</f>
        <v>W</v>
      </c>
      <c r="V535" s="397">
        <f>IF(+NFL!$F34="Seattle",+NFL!#REF!,IF(+NFL!$H34="Seattle",+NFL!#REF!,0))</f>
        <v>0</v>
      </c>
      <c r="W535" s="396">
        <f>IF(+NFL!$F34="Seattle",+NFL!#REF!,IF(+NFL!$H34="Seattle",+NFL!#REF!,0))</f>
        <v>0</v>
      </c>
      <c r="X535" s="398">
        <f>IF(+NFL!$F34="Seattle",+NFL!#REF!,IF(+NFL!$H34="Seattle",+NFL!#REF!,0))</f>
        <v>0</v>
      </c>
      <c r="Y535" s="396">
        <f>IF(+NFL!$F34="Seattle",+NFL!#REF!,IF(+NFL!$H34="Seattle",+NFL!#REF!,0))</f>
        <v>0</v>
      </c>
      <c r="Z535" s="397">
        <f>IF(+NFL!$F34="Seattle",+NFL!#REF!,IF(+NFL!$H34="Seattle",+NFL!#REF!,0))</f>
        <v>0</v>
      </c>
      <c r="AA535" s="396">
        <f>IF(+NFL!$F34="Seattle",+NFL!#REF!,IF(+NFL!$H34="Seattle",+NFL!#REF!,0))</f>
        <v>0</v>
      </c>
      <c r="AB535" s="87">
        <f>IF(+NFL!$F34="Seattle",+NFL!#REF!,IF(+NFL!$H34="Seattle",+NFL!#REF!,0))</f>
        <v>0</v>
      </c>
      <c r="AC535" s="120">
        <f>IF(+NFL!$F34="Seattle",+NFL!#REF!,IF(+NFL!$H34="Seattle",+NFL!#REF!,0))</f>
        <v>0</v>
      </c>
      <c r="AD535" s="353">
        <f>IF(+NFL!$F34="Seattle",+NFL!#REF!,IF(+NFL!$H34="Seattle",+NFL!#REF!,0))</f>
        <v>0</v>
      </c>
      <c r="AE535" s="379">
        <f>IF(+NFL!$F34="Seattle",+NFL!#REF!,IF(+NFL!$H34="Seattle",+NFL!#REF!,0))</f>
        <v>0</v>
      </c>
      <c r="AF535" s="353">
        <f>IF(+NFL!$F34="Seattle",+NFL!#REF!,IF(+NFL!$H34="Seattle",+NFL!#REF!,0))</f>
        <v>0</v>
      </c>
      <c r="AG535" s="379">
        <f>IF(+NFL!$F34="Seattle",+NFL!#REF!,IF(+NFL!$H34="Seattle",+NFL!#REF!,0))</f>
        <v>0</v>
      </c>
      <c r="AH535" s="353">
        <f>IF(+NFL!$F34="Seattle",+NFL!#REF!,IF(+NFL!$H34="Seattle",+NFL!#REF!,0))</f>
        <v>0</v>
      </c>
      <c r="AI535" s="379">
        <f>IF(+NFL!$F34="Seattle",+NFL!#REF!,IF(+NFL!$H34="Seattle",+NFL!#REF!,0))</f>
        <v>0</v>
      </c>
      <c r="AJ535" s="353">
        <f>IF(+NFL!$F34="Seattle",+NFL!#REF!,IF(+NFL!$H34="Seattle",+NFL!#REF!,0))</f>
        <v>0</v>
      </c>
      <c r="AK535" s="379">
        <f>IF(+NFL!$F34="Seattle",+NFL!#REF!,IF(+NFL!$H34="Seattle",+NFL!#REF!,0))</f>
        <v>0</v>
      </c>
      <c r="AL535" s="68">
        <f>IF(+NFL!$F34="Seattle",+NFL!#REF!,IF(+NFL!$H34="Seattle",+NFL!#REF!,0))</f>
        <v>0</v>
      </c>
      <c r="AM535" s="58">
        <f>IF(+NFL!$F34="Seattle",+NFL!#REF!,IF(+NFL!$H34="Seattle",+NFL!#REF!,0))</f>
        <v>0</v>
      </c>
      <c r="AN535" s="57">
        <f>IF(+NFL!$F34="Seattle",+NFL!#REF!,IF(+NFL!$H34="Seattle",+NFL!#REF!,0))</f>
        <v>0</v>
      </c>
      <c r="AO535" s="59">
        <f>IF(+NFL!$F34="Seattle",+NFL!#REF!,IF(+NFL!$H34="Seattle",+NFL!#REF!,0))</f>
        <v>0</v>
      </c>
      <c r="AP535" s="348">
        <f>IF(+NFL!$F34="Seattle",+NFL!#REF!,IF(+NFL!$H34="Seattle",+NFL!#REF!,0))</f>
        <v>0</v>
      </c>
      <c r="AQ535" s="48">
        <f>IF(+NFL!$F34="Seattle",+NFL!#REF!,IF(+NFL!$H34="Seattle",+NFL!#REF!,0))</f>
        <v>0</v>
      </c>
      <c r="AR535" s="57">
        <f>IF(+NFL!$F34="Seattle",+NFL!#REF!,IF(+NFL!$H34="Seattle",+NFL!#REF!,0))</f>
        <v>0</v>
      </c>
      <c r="AS535" s="64">
        <f>IF(+NFL!$F34="Seattle",+NFL!#REF!,IF(+NFL!$H34="Seattle",+NFL!#REF!,0))</f>
        <v>0</v>
      </c>
      <c r="AT535" s="64">
        <f>IF(+NFL!$F34="Seattle",+NFL!#REF!,IF(+NFL!$H34="Seattle",+NFL!#REF!,0))</f>
        <v>0</v>
      </c>
      <c r="AU535" s="57">
        <f>IF(+NFL!$F34="Seattle",+NFL!#REF!,IF(+NFL!$H34="Seattle",+NFL!#REF!,0))</f>
        <v>0</v>
      </c>
      <c r="AV535" s="64">
        <f>IF(+NFL!$F34="Seattle",+NFL!#REF!,IF(+NFL!$H34="Seattle",+NFL!#REF!,0))</f>
        <v>0</v>
      </c>
      <c r="AW535" s="46">
        <f>IF(+NFL!$F34="Seattle",+NFL!#REF!,IF(+NFL!$H34="Seattle",+NFL!#REF!,0))</f>
        <v>0</v>
      </c>
      <c r="AX535" s="64">
        <f>IF(+NFL!$F34="Seattle",+NFL!#REF!,IF(+NFL!$H34="Seattle",+NFL!#REF!,0))</f>
        <v>0</v>
      </c>
      <c r="AY535" s="57">
        <f>IF(+NFL!$F34="Seattle",+NFL!#REF!,IF(+NFL!$H34="Seattle",+NFL!#REF!,0))</f>
        <v>0</v>
      </c>
      <c r="AZ535" s="64">
        <f>IF(+NFL!$F34="Seattle",+NFL!#REF!,IF(+NFL!$H34="Seattle",+NFL!#REF!,0))</f>
        <v>0</v>
      </c>
      <c r="BA535" s="46">
        <f>IF(+NFL!$F34="Seattle",+NFL!#REF!,IF(+NFL!$H34="Seattle",+NFL!#REF!,0))</f>
        <v>0</v>
      </c>
      <c r="BB535" s="46">
        <f>IF(+NFL!$F34="Seattle",+NFL!#REF!,IF(+NFL!$H34="Seattle",+NFL!#REF!,0))</f>
        <v>0</v>
      </c>
      <c r="BC535" s="403">
        <f>IF(+NFL!$F34="Seattle",+NFL!#REF!,IF(+NFL!$H34="Seattle",+NFL!#REF!,0))</f>
        <v>0</v>
      </c>
      <c r="BD535" s="57">
        <f>IF(+NFL!$F34="Seattle",+NFL!#REF!,IF(+NFL!$H34="Seattle",+NFL!#REF!,0))</f>
        <v>0</v>
      </c>
      <c r="BE535" s="64">
        <f>IF(+NFL!$F34="Seattle",+NFL!#REF!,IF(+NFL!$H34="Seattle",+NFL!#REF!,0))</f>
        <v>0</v>
      </c>
      <c r="BF535" s="46">
        <f>IF(+NFL!$F34="Seattle",+NFL!#REF!,IF(+NFL!$H34="Seattle",+NFL!#REF!,0))</f>
        <v>0</v>
      </c>
      <c r="BG535" s="57">
        <f>IF(+NFL!$F34="Seattle",+NFL!#REF!,IF(+NFL!$H34="Seattle",+NFL!#REF!,0))</f>
        <v>0</v>
      </c>
      <c r="BH535" s="64">
        <f>IF(+NFL!$F34="Seattle",+NFL!#REF!,IF(+NFL!$H34="Seattle",+NFL!#REF!,0))</f>
        <v>0</v>
      </c>
      <c r="BI535" s="46">
        <f>IF(+NFL!$F34="Seattle",+NFL!#REF!,IF(+NFL!$H34="Seattle",+NFL!#REF!,0))</f>
        <v>0</v>
      </c>
      <c r="BJ535" s="87">
        <f>IF(+NFL!$F34="Seattle",+NFL!#REF!,IF(+NFL!$H34="Seattle",+NFL!#REF!,0))</f>
        <v>0</v>
      </c>
      <c r="BK535" s="120">
        <f>IF(+NFL!$F34="Seattle",+NFL!#REF!,IF(+NFL!$H34="Seattle",+NFL!#REF!,0))</f>
        <v>0</v>
      </c>
    </row>
    <row r="536" spans="1:63" s="246" customFormat="1" x14ac:dyDescent="0.8">
      <c r="A536" s="46">
        <f>IF(+NFL!$F59="Seattle",+NFL!A59,IF(+NFL!$H59="Seattle",+NFL!A59,0))</f>
        <v>4</v>
      </c>
      <c r="B536" s="348" t="str">
        <f>IF(+NFL!$F59="Seattle",+NFL!B59,IF(+NFL!$H59="Seattle",+NFL!B59,0))</f>
        <v>Sun</v>
      </c>
      <c r="C536" s="48">
        <f>IF(+NFL!$F59="Seattle",+NFL!C59,IF(+NFL!$H59="Seattle",+NFL!C59,0))</f>
        <v>44836</v>
      </c>
      <c r="D536" s="490">
        <f>IF(+NFL!$F59="Seattle",+NFL!D59,IF(+NFL!$H59="Seattle",+NFL!D59,0))</f>
        <v>0.54166666666666663</v>
      </c>
      <c r="E536" s="46" t="str">
        <f>IF(+NFL!$F59="Seattle",+NFL!E59,IF(+NFL!$H59="Seattle",+NFL!E59,0))</f>
        <v>Fox</v>
      </c>
      <c r="F536" s="127" t="str">
        <f>IF(+NFL!$F59="Seattle",+NFL!F59,IF(+NFL!$H59="Seattle",+NFL!F59,0))</f>
        <v>Seattle</v>
      </c>
      <c r="G536" s="46" t="str">
        <f>IF(+NFL!$F59="Seattle",+NFL!G59,IF(+NFL!$H59="Seattle",+NFL!G59,0))</f>
        <v>NFCW</v>
      </c>
      <c r="H536" s="127" t="str">
        <f>IF(+NFL!$F59="Seattle",+NFL!H59,IF(+NFL!$H59="Seattle",+NFL!H59,0))</f>
        <v>Detroit</v>
      </c>
      <c r="I536" s="46" t="str">
        <f>IF(+NFL!$F59="Seattle",+NFL!I59,IF(+NFL!$H59="Seattle",+NFL!I59,0))</f>
        <v>NFCN</v>
      </c>
      <c r="J536" s="353" t="str">
        <f>IF(+NFL!$F59="Seattle",+NFL!J59,IF(+NFL!$H59="Seattle",+NFL!J59,0))</f>
        <v>Detroit</v>
      </c>
      <c r="K536" s="494" t="str">
        <f>IF(+NFL!$F59="Seattle",+NFL!K59,IF(+NFL!$H59="Seattle",+NFL!K59,0))</f>
        <v>Seattle</v>
      </c>
      <c r="L536" s="384">
        <f>IF(+NFL!$F59="Seattle",+NFL!L59,IF(+NFL!$H59="Seattle",+NFL!L59,0))</f>
        <v>4.5</v>
      </c>
      <c r="M536" s="385">
        <f>IF(+NFL!$F59="Seattle",+NFL!M59,IF(+NFL!$H59="Seattle",+NFL!M59,0))</f>
        <v>50</v>
      </c>
      <c r="N536" s="394" t="str">
        <f>IF(+NFL!$F59="Seattle",+NFL!N59,IF(+NFL!$H59="Seattle",+NFL!N59,0))</f>
        <v>Seattle</v>
      </c>
      <c r="O536" s="395">
        <f>IF(+NFL!$F59="Seattle",+NFL!O59,IF(+NFL!$H59="Seattle",+NFL!O59,0))</f>
        <v>48</v>
      </c>
      <c r="P536" s="394" t="str">
        <f>IF(+NFL!$F59="Seattle",+NFL!P59,IF(+NFL!$H59="Seattle",+NFL!P59,0))</f>
        <v>Detroit</v>
      </c>
      <c r="Q536" s="396">
        <f>IF(+NFL!$F59="Seattle",+NFL!Q59,IF(+NFL!$H59="Seattle",+NFL!Q59,0))</f>
        <v>45</v>
      </c>
      <c r="R536" s="397" t="str">
        <f>IF(+NFL!$F59="Seattle",+NFL!R59,IF(+NFL!$H59="Seattle",+NFL!R59,0))</f>
        <v>Seattle</v>
      </c>
      <c r="S536" s="396" t="str">
        <f>IF(+NFL!$F59="Seattle",+NFL!S59,IF(+NFL!$H59="Seattle",+NFL!S59,0))</f>
        <v>Detroit</v>
      </c>
      <c r="T536" s="398" t="str">
        <f>IF(+NFL!$F59="Seattle",+NFL!T59,IF(+NFL!$H59="Seattle",+NFL!T59,0))</f>
        <v>Detroit</v>
      </c>
      <c r="U536" s="396" t="str">
        <f>IF(+NFL!$F59="Seattle",+NFL!U59,IF(+NFL!$H59="Seattle",+NFL!U59,0))</f>
        <v>L</v>
      </c>
      <c r="V536" s="397">
        <f>IF(+NFL!$F61="Seattle",+NFL!#REF!,IF(+NFL!$H61="Seattle",+NFL!#REF!,0))</f>
        <v>0</v>
      </c>
      <c r="W536" s="396">
        <f>IF(+NFL!$F61="Seattle",+NFL!#REF!,IF(+NFL!$H61="Seattle",+NFL!#REF!,0))</f>
        <v>0</v>
      </c>
      <c r="X536" s="398">
        <f>IF(+NFL!$F61="Seattle",+NFL!#REF!,IF(+NFL!$H61="Seattle",+NFL!#REF!,0))</f>
        <v>0</v>
      </c>
      <c r="Y536" s="396">
        <f>IF(+NFL!$F61="Seattle",+NFL!#REF!,IF(+NFL!$H61="Seattle",+NFL!#REF!,0))</f>
        <v>0</v>
      </c>
      <c r="Z536" s="397">
        <f>IF(+NFL!$F61="Seattle",+NFL!#REF!,IF(+NFL!$H61="Seattle",+NFL!#REF!,0))</f>
        <v>0</v>
      </c>
      <c r="AA536" s="396">
        <f>IF(+NFL!$F61="Seattle",+NFL!#REF!,IF(+NFL!$H61="Seattle",+NFL!#REF!,0))</f>
        <v>0</v>
      </c>
      <c r="AB536" s="87">
        <f>IF(+NFL!$F61="Seattle",+NFL!#REF!,IF(+NFL!$H61="Seattle",+NFL!#REF!,0))</f>
        <v>0</v>
      </c>
      <c r="AC536" s="120">
        <f>IF(+NFL!$F61="Seattle",+NFL!#REF!,IF(+NFL!$H61="Seattle",+NFL!#REF!,0))</f>
        <v>0</v>
      </c>
      <c r="AD536" s="353">
        <f>IF(+NFL!$F61="Seattle",+NFL!#REF!,IF(+NFL!$H61="Seattle",+NFL!#REF!,0))</f>
        <v>0</v>
      </c>
      <c r="AE536" s="379">
        <f>IF(+NFL!$F61="Seattle",+NFL!#REF!,IF(+NFL!$H61="Seattle",+NFL!#REF!,0))</f>
        <v>0</v>
      </c>
      <c r="AF536" s="353">
        <f>IF(+NFL!$F61="Seattle",+NFL!#REF!,IF(+NFL!$H61="Seattle",+NFL!#REF!,0))</f>
        <v>0</v>
      </c>
      <c r="AG536" s="379">
        <f>IF(+NFL!$F61="Seattle",+NFL!#REF!,IF(+NFL!$H61="Seattle",+NFL!#REF!,0))</f>
        <v>0</v>
      </c>
      <c r="AH536" s="353">
        <f>IF(+NFL!$F61="Seattle",+NFL!#REF!,IF(+NFL!$H61="Seattle",+NFL!#REF!,0))</f>
        <v>0</v>
      </c>
      <c r="AI536" s="379">
        <f>IF(+NFL!$F61="Seattle",+NFL!#REF!,IF(+NFL!$H61="Seattle",+NFL!#REF!,0))</f>
        <v>0</v>
      </c>
      <c r="AJ536" s="353">
        <f>IF(+NFL!$F61="Seattle",+NFL!#REF!,IF(+NFL!$H61="Seattle",+NFL!#REF!,0))</f>
        <v>0</v>
      </c>
      <c r="AK536" s="379">
        <f>IF(+NFL!$F61="Seattle",+NFL!#REF!,IF(+NFL!$H61="Seattle",+NFL!#REF!,0))</f>
        <v>0</v>
      </c>
      <c r="AL536" s="68">
        <f>IF(+NFL!$F61="Seattle",+NFL!#REF!,IF(+NFL!$H61="Seattle",+NFL!#REF!,0))</f>
        <v>0</v>
      </c>
      <c r="AM536" s="58">
        <f>IF(+NFL!$F61="Seattle",+NFL!#REF!,IF(+NFL!$H61="Seattle",+NFL!#REF!,0))</f>
        <v>0</v>
      </c>
      <c r="AN536" s="57">
        <f>IF(+NFL!$F61="Seattle",+NFL!#REF!,IF(+NFL!$H61="Seattle",+NFL!#REF!,0))</f>
        <v>0</v>
      </c>
      <c r="AO536" s="59">
        <f>IF(+NFL!$F61="Seattle",+NFL!#REF!,IF(+NFL!$H61="Seattle",+NFL!#REF!,0))</f>
        <v>0</v>
      </c>
      <c r="AP536" s="348">
        <f>IF(+NFL!$F61="Seattle",+NFL!#REF!,IF(+NFL!$H61="Seattle",+NFL!#REF!,0))</f>
        <v>0</v>
      </c>
      <c r="AQ536" s="48">
        <f>IF(+NFL!$F61="Seattle",+NFL!#REF!,IF(+NFL!$H61="Seattle",+NFL!#REF!,0))</f>
        <v>0</v>
      </c>
      <c r="AR536" s="57">
        <f>IF(+NFL!$F61="Seattle",+NFL!#REF!,IF(+NFL!$H61="Seattle",+NFL!#REF!,0))</f>
        <v>0</v>
      </c>
      <c r="AS536" s="64">
        <f>IF(+NFL!$F61="Seattle",+NFL!#REF!,IF(+NFL!$H61="Seattle",+NFL!#REF!,0))</f>
        <v>0</v>
      </c>
      <c r="AT536" s="64">
        <f>IF(+NFL!$F61="Seattle",+NFL!#REF!,IF(+NFL!$H61="Seattle",+NFL!#REF!,0))</f>
        <v>0</v>
      </c>
      <c r="AU536" s="57">
        <f>IF(+NFL!$F61="Seattle",+NFL!#REF!,IF(+NFL!$H61="Seattle",+NFL!#REF!,0))</f>
        <v>0</v>
      </c>
      <c r="AV536" s="64">
        <f>IF(+NFL!$F61="Seattle",+NFL!#REF!,IF(+NFL!$H61="Seattle",+NFL!#REF!,0))</f>
        <v>0</v>
      </c>
      <c r="AW536" s="46">
        <f>IF(+NFL!$F61="Seattle",+NFL!#REF!,IF(+NFL!$H61="Seattle",+NFL!#REF!,0))</f>
        <v>0</v>
      </c>
      <c r="AX536" s="64">
        <f>IF(+NFL!$F61="Seattle",+NFL!#REF!,IF(+NFL!$H61="Seattle",+NFL!#REF!,0))</f>
        <v>0</v>
      </c>
      <c r="AY536" s="57">
        <f>IF(+NFL!$F61="Seattle",+NFL!#REF!,IF(+NFL!$H61="Seattle",+NFL!#REF!,0))</f>
        <v>0</v>
      </c>
      <c r="AZ536" s="64">
        <f>IF(+NFL!$F61="Seattle",+NFL!#REF!,IF(+NFL!$H61="Seattle",+NFL!#REF!,0))</f>
        <v>0</v>
      </c>
      <c r="BA536" s="46">
        <f>IF(+NFL!$F61="Seattle",+NFL!#REF!,IF(+NFL!$H61="Seattle",+NFL!#REF!,0))</f>
        <v>0</v>
      </c>
      <c r="BB536" s="46">
        <f>IF(+NFL!$F61="Seattle",+NFL!#REF!,IF(+NFL!$H61="Seattle",+NFL!#REF!,0))</f>
        <v>0</v>
      </c>
      <c r="BC536" s="403">
        <f>IF(+NFL!$F61="Seattle",+NFL!#REF!,IF(+NFL!$H61="Seattle",+NFL!#REF!,0))</f>
        <v>0</v>
      </c>
      <c r="BD536" s="57">
        <f>IF(+NFL!$F61="Seattle",+NFL!#REF!,IF(+NFL!$H61="Seattle",+NFL!#REF!,0))</f>
        <v>0</v>
      </c>
      <c r="BE536" s="64">
        <f>IF(+NFL!$F61="Seattle",+NFL!#REF!,IF(+NFL!$H61="Seattle",+NFL!#REF!,0))</f>
        <v>0</v>
      </c>
      <c r="BF536" s="46">
        <f>IF(+NFL!$F61="Seattle",+NFL!#REF!,IF(+NFL!$H61="Seattle",+NFL!#REF!,0))</f>
        <v>0</v>
      </c>
      <c r="BG536" s="57">
        <f>IF(+NFL!$F61="Seattle",+NFL!#REF!,IF(+NFL!$H61="Seattle",+NFL!#REF!,0))</f>
        <v>0</v>
      </c>
      <c r="BH536" s="64">
        <f>IF(+NFL!$F61="Seattle",+NFL!#REF!,IF(+NFL!$H61="Seattle",+NFL!#REF!,0))</f>
        <v>0</v>
      </c>
      <c r="BI536" s="46">
        <f>IF(+NFL!$F61="Seattle",+NFL!#REF!,IF(+NFL!$H61="Seattle",+NFL!#REF!,0))</f>
        <v>0</v>
      </c>
      <c r="BJ536" s="87">
        <f>IF(+NFL!$F61="Seattle",+NFL!#REF!,IF(+NFL!$H61="Seattle",+NFL!#REF!,0))</f>
        <v>0</v>
      </c>
      <c r="BK536" s="120">
        <f>IF(+NFL!$F61="Seattle",+NFL!#REF!,IF(+NFL!$H61="Seattle",+NFL!#REF!,0))</f>
        <v>0</v>
      </c>
    </row>
    <row r="537" spans="1:63" s="246" customFormat="1" x14ac:dyDescent="0.8">
      <c r="A537" s="46">
        <f>IF(+NFL!$F78="Seattle",+NFL!A78,IF(+NFL!$H78="Seattle",+NFL!A78,0))</f>
        <v>5</v>
      </c>
      <c r="B537" s="348" t="str">
        <f>IF(+NFL!$F78="Seattle",+NFL!B78,IF(+NFL!$H78="Seattle",+NFL!B78,0))</f>
        <v>Sun</v>
      </c>
      <c r="C537" s="48">
        <f>IF(+NFL!$F78="Seattle",+NFL!C78,IF(+NFL!$H78="Seattle",+NFL!C78,0))</f>
        <v>44843</v>
      </c>
      <c r="D537" s="490">
        <f>IF(+NFL!$F78="Seattle",+NFL!D78,IF(+NFL!$H78="Seattle",+NFL!D78,0))</f>
        <v>0.54166666666666663</v>
      </c>
      <c r="E537" s="46" t="str">
        <f>IF(+NFL!$F78="Seattle",+NFL!E78,IF(+NFL!$H78="Seattle",+NFL!E78,0))</f>
        <v>Fox</v>
      </c>
      <c r="F537" s="127" t="str">
        <f>IF(+NFL!$F78="Seattle",+NFL!F78,IF(+NFL!$H78="Seattle",+NFL!F78,0))</f>
        <v>Seattle</v>
      </c>
      <c r="G537" s="46" t="str">
        <f>IF(+NFL!$F78="Seattle",+NFL!G78,IF(+NFL!$H78="Seattle",+NFL!G78,0))</f>
        <v>NFCW</v>
      </c>
      <c r="H537" s="127" t="str">
        <f>IF(+NFL!$F78="Seattle",+NFL!H78,IF(+NFL!$H78="Seattle",+NFL!H78,0))</f>
        <v>New Orleans</v>
      </c>
      <c r="I537" s="46" t="str">
        <f>IF(+NFL!$F78="Seattle",+NFL!I78,IF(+NFL!$H78="Seattle",+NFL!I78,0))</f>
        <v>NFCS</v>
      </c>
      <c r="J537" s="353" t="str">
        <f>IF(+NFL!$F78="Seattle",+NFL!J78,IF(+NFL!$H78="Seattle",+NFL!J78,0))</f>
        <v>New Orleans</v>
      </c>
      <c r="K537" s="494" t="str">
        <f>IF(+NFL!$F78="Seattle",+NFL!K78,IF(+NFL!$H78="Seattle",+NFL!K78,0))</f>
        <v>Seattle</v>
      </c>
      <c r="L537" s="384">
        <f>IF(+NFL!$F78="Seattle",+NFL!L78,IF(+NFL!$H78="Seattle",+NFL!L78,0))</f>
        <v>5.5</v>
      </c>
      <c r="M537" s="385">
        <f>IF(+NFL!$F78="Seattle",+NFL!M78,IF(+NFL!$H78="Seattle",+NFL!M78,0))</f>
        <v>46</v>
      </c>
      <c r="N537" s="394" t="str">
        <f>IF(+NFL!$F78="Seattle",+NFL!N78,IF(+NFL!$H78="Seattle",+NFL!N78,0))</f>
        <v>New Orleans</v>
      </c>
      <c r="O537" s="395">
        <f>IF(+NFL!$F78="Seattle",+NFL!O78,IF(+NFL!$H78="Seattle",+NFL!O78,0))</f>
        <v>39</v>
      </c>
      <c r="P537" s="394" t="str">
        <f>IF(+NFL!$F78="Seattle",+NFL!P78,IF(+NFL!$H78="Seattle",+NFL!P78,0))</f>
        <v>Seattle</v>
      </c>
      <c r="Q537" s="396">
        <f>IF(+NFL!$F78="Seattle",+NFL!Q78,IF(+NFL!$H78="Seattle",+NFL!Q78,0))</f>
        <v>32</v>
      </c>
      <c r="R537" s="397" t="str">
        <f>IF(+NFL!$F78="Seattle",+NFL!R78,IF(+NFL!$H78="Seattle",+NFL!R78,0))</f>
        <v>New Orleans</v>
      </c>
      <c r="S537" s="396" t="str">
        <f>IF(+NFL!$F78="Seattle",+NFL!S78,IF(+NFL!$H78="Seattle",+NFL!S78,0))</f>
        <v>Seattle</v>
      </c>
      <c r="T537" s="398" t="str">
        <f>IF(+NFL!$F78="Seattle",+NFL!T78,IF(+NFL!$H78="Seattle",+NFL!T78,0))</f>
        <v>New Orleans</v>
      </c>
      <c r="U537" s="396" t="str">
        <f>IF(+NFL!$F78="Seattle",+NFL!U78,IF(+NFL!$H78="Seattle",+NFL!U78,0))</f>
        <v>W</v>
      </c>
      <c r="V537" s="397">
        <f>IF(+NFL!$F79="Seattle",+NFL!#REF!,IF(+NFL!$H79="Seattle",+NFL!#REF!,0))</f>
        <v>0</v>
      </c>
      <c r="W537" s="396">
        <f>IF(+NFL!$F79="Seattle",+NFL!#REF!,IF(+NFL!$H79="Seattle",+NFL!#REF!,0))</f>
        <v>0</v>
      </c>
      <c r="X537" s="398">
        <f>IF(+NFL!$F79="Seattle",+NFL!#REF!,IF(+NFL!$H79="Seattle",+NFL!#REF!,0))</f>
        <v>0</v>
      </c>
      <c r="Y537" s="396">
        <f>IF(+NFL!$F79="Seattle",+NFL!#REF!,IF(+NFL!$H79="Seattle",+NFL!#REF!,0))</f>
        <v>0</v>
      </c>
      <c r="Z537" s="397">
        <f>IF(+NFL!$F79="Seattle",+NFL!#REF!,IF(+NFL!$H79="Seattle",+NFL!#REF!,0))</f>
        <v>0</v>
      </c>
      <c r="AA537" s="396">
        <f>IF(+NFL!$F79="Seattle",+NFL!#REF!,IF(+NFL!$H79="Seattle",+NFL!#REF!,0))</f>
        <v>0</v>
      </c>
      <c r="AB537" s="87">
        <f>IF(+NFL!$F79="Seattle",+NFL!#REF!,IF(+NFL!$H79="Seattle",+NFL!#REF!,0))</f>
        <v>0</v>
      </c>
      <c r="AC537" s="120">
        <f>IF(+NFL!$F79="Seattle",+NFL!#REF!,IF(+NFL!$H79="Seattle",+NFL!#REF!,0))</f>
        <v>0</v>
      </c>
      <c r="AD537" s="353">
        <f>IF(+NFL!$F79="Seattle",+NFL!#REF!,IF(+NFL!$H79="Seattle",+NFL!#REF!,0))</f>
        <v>0</v>
      </c>
      <c r="AE537" s="379">
        <f>IF(+NFL!$F79="Seattle",+NFL!#REF!,IF(+NFL!$H79="Seattle",+NFL!#REF!,0))</f>
        <v>0</v>
      </c>
      <c r="AF537" s="353">
        <f>IF(+NFL!$F79="Seattle",+NFL!#REF!,IF(+NFL!$H79="Seattle",+NFL!#REF!,0))</f>
        <v>0</v>
      </c>
      <c r="AG537" s="379">
        <f>IF(+NFL!$F79="Seattle",+NFL!#REF!,IF(+NFL!$H79="Seattle",+NFL!#REF!,0))</f>
        <v>0</v>
      </c>
      <c r="AH537" s="353">
        <f>IF(+NFL!$F79="Seattle",+NFL!#REF!,IF(+NFL!$H79="Seattle",+NFL!#REF!,0))</f>
        <v>0</v>
      </c>
      <c r="AI537" s="379">
        <f>IF(+NFL!$F79="Seattle",+NFL!#REF!,IF(+NFL!$H79="Seattle",+NFL!#REF!,0))</f>
        <v>0</v>
      </c>
      <c r="AJ537" s="353">
        <f>IF(+NFL!$F79="Seattle",+NFL!#REF!,IF(+NFL!$H79="Seattle",+NFL!#REF!,0))</f>
        <v>0</v>
      </c>
      <c r="AK537" s="379">
        <f>IF(+NFL!$F79="Seattle",+NFL!#REF!,IF(+NFL!$H79="Seattle",+NFL!#REF!,0))</f>
        <v>0</v>
      </c>
      <c r="AL537" s="68">
        <f>IF(+NFL!$F79="Seattle",+NFL!#REF!,IF(+NFL!$H79="Seattle",+NFL!#REF!,0))</f>
        <v>0</v>
      </c>
      <c r="AM537" s="58">
        <f>IF(+NFL!$F79="Seattle",+NFL!#REF!,IF(+NFL!$H79="Seattle",+NFL!#REF!,0))</f>
        <v>0</v>
      </c>
      <c r="AN537" s="57">
        <f>IF(+NFL!$F79="Seattle",+NFL!#REF!,IF(+NFL!$H79="Seattle",+NFL!#REF!,0))</f>
        <v>0</v>
      </c>
      <c r="AO537" s="59">
        <f>IF(+NFL!$F79="Seattle",+NFL!#REF!,IF(+NFL!$H79="Seattle",+NFL!#REF!,0))</f>
        <v>0</v>
      </c>
      <c r="AP537" s="348">
        <f>IF(+NFL!$F79="Seattle",+NFL!#REF!,IF(+NFL!$H79="Seattle",+NFL!#REF!,0))</f>
        <v>0</v>
      </c>
      <c r="AQ537" s="48">
        <f>IF(+NFL!$F79="Seattle",+NFL!#REF!,IF(+NFL!$H79="Seattle",+NFL!#REF!,0))</f>
        <v>0</v>
      </c>
      <c r="AR537" s="57">
        <f>IF(+NFL!$F79="Seattle",+NFL!#REF!,IF(+NFL!$H79="Seattle",+NFL!#REF!,0))</f>
        <v>0</v>
      </c>
      <c r="AS537" s="64">
        <f>IF(+NFL!$F79="Seattle",+NFL!#REF!,IF(+NFL!$H79="Seattle",+NFL!#REF!,0))</f>
        <v>0</v>
      </c>
      <c r="AT537" s="64">
        <f>IF(+NFL!$F79="Seattle",+NFL!#REF!,IF(+NFL!$H79="Seattle",+NFL!#REF!,0))</f>
        <v>0</v>
      </c>
      <c r="AU537" s="57">
        <f>IF(+NFL!$F79="Seattle",+NFL!#REF!,IF(+NFL!$H79="Seattle",+NFL!#REF!,0))</f>
        <v>0</v>
      </c>
      <c r="AV537" s="64">
        <f>IF(+NFL!$F79="Seattle",+NFL!#REF!,IF(+NFL!$H79="Seattle",+NFL!#REF!,0))</f>
        <v>0</v>
      </c>
      <c r="AW537" s="46">
        <f>IF(+NFL!$F79="Seattle",+NFL!#REF!,IF(+NFL!$H79="Seattle",+NFL!#REF!,0))</f>
        <v>0</v>
      </c>
      <c r="AX537" s="64">
        <f>IF(+NFL!$F79="Seattle",+NFL!#REF!,IF(+NFL!$H79="Seattle",+NFL!#REF!,0))</f>
        <v>0</v>
      </c>
      <c r="AY537" s="57">
        <f>IF(+NFL!$F79="Seattle",+NFL!#REF!,IF(+NFL!$H79="Seattle",+NFL!#REF!,0))</f>
        <v>0</v>
      </c>
      <c r="AZ537" s="64">
        <f>IF(+NFL!$F79="Seattle",+NFL!#REF!,IF(+NFL!$H79="Seattle",+NFL!#REF!,0))</f>
        <v>0</v>
      </c>
      <c r="BA537" s="46">
        <f>IF(+NFL!$F79="Seattle",+NFL!#REF!,IF(+NFL!$H79="Seattle",+NFL!#REF!,0))</f>
        <v>0</v>
      </c>
      <c r="BB537" s="46">
        <f>IF(+NFL!$F79="Seattle",+NFL!#REF!,IF(+NFL!$H79="Seattle",+NFL!#REF!,0))</f>
        <v>0</v>
      </c>
      <c r="BC537" s="403">
        <f>IF(+NFL!$F79="Seattle",+NFL!#REF!,IF(+NFL!$H79="Seattle",+NFL!#REF!,0))</f>
        <v>0</v>
      </c>
      <c r="BD537" s="57">
        <f>IF(+NFL!$F79="Seattle",+NFL!#REF!,IF(+NFL!$H79="Seattle",+NFL!#REF!,0))</f>
        <v>0</v>
      </c>
      <c r="BE537" s="64">
        <f>IF(+NFL!$F79="Seattle",+NFL!#REF!,IF(+NFL!$H79="Seattle",+NFL!#REF!,0))</f>
        <v>0</v>
      </c>
      <c r="BF537" s="46">
        <f>IF(+NFL!$F79="Seattle",+NFL!#REF!,IF(+NFL!$H79="Seattle",+NFL!#REF!,0))</f>
        <v>0</v>
      </c>
      <c r="BG537" s="57">
        <f>IF(+NFL!$F79="Seattle",+NFL!#REF!,IF(+NFL!$H79="Seattle",+NFL!#REF!,0))</f>
        <v>0</v>
      </c>
      <c r="BH537" s="64">
        <f>IF(+NFL!$F79="Seattle",+NFL!#REF!,IF(+NFL!$H79="Seattle",+NFL!#REF!,0))</f>
        <v>0</v>
      </c>
      <c r="BI537" s="46">
        <f>IF(+NFL!$F79="Seattle",+NFL!#REF!,IF(+NFL!$H79="Seattle",+NFL!#REF!,0))</f>
        <v>0</v>
      </c>
      <c r="BJ537" s="87">
        <f>IF(+NFL!$F79="Seattle",+NFL!#REF!,IF(+NFL!$H79="Seattle",+NFL!#REF!,0))</f>
        <v>0</v>
      </c>
      <c r="BK537" s="120">
        <f>IF(+NFL!$F79="Seattle",+NFL!#REF!,IF(+NFL!$H79="Seattle",+NFL!#REF!,0))</f>
        <v>0</v>
      </c>
    </row>
    <row r="538" spans="1:63" s="246" customFormat="1" x14ac:dyDescent="0.8">
      <c r="A538" s="46">
        <f>IF(+NFL!$F99="Seattle",+NFL!A99,IF(+NFL!$H99="Seattle",+NFL!A99,0))</f>
        <v>6</v>
      </c>
      <c r="B538" s="348" t="str">
        <f>IF(+NFL!$F99="Seattle",+NFL!B99,IF(+NFL!$H99="Seattle",+NFL!B99,0))</f>
        <v>Sun</v>
      </c>
      <c r="C538" s="48">
        <f>IF(+NFL!$F99="Seattle",+NFL!C99,IF(+NFL!$H99="Seattle",+NFL!C99,0))</f>
        <v>44850</v>
      </c>
      <c r="D538" s="490">
        <f>IF(+NFL!$F99="Seattle",+NFL!D99,IF(+NFL!$H99="Seattle",+NFL!D99,0))</f>
        <v>0.66666666666666663</v>
      </c>
      <c r="E538" s="46" t="str">
        <f>IF(+NFL!$F99="Seattle",+NFL!E99,IF(+NFL!$H99="Seattle",+NFL!E99,0))</f>
        <v>Fox</v>
      </c>
      <c r="F538" s="127" t="str">
        <f>IF(+NFL!$F99="Seattle",+NFL!F99,IF(+NFL!$H99="Seattle",+NFL!F99,0))</f>
        <v>Arizona</v>
      </c>
      <c r="G538" s="46" t="str">
        <f>IF(+NFL!$F99="Seattle",+NFL!G99,IF(+NFL!$H99="Seattle",+NFL!G99,0))</f>
        <v>NFCW</v>
      </c>
      <c r="H538" s="127" t="str">
        <f>IF(+NFL!$F99="Seattle",+NFL!H99,IF(+NFL!$H99="Seattle",+NFL!H99,0))</f>
        <v>Seattle</v>
      </c>
      <c r="I538" s="46" t="str">
        <f>IF(+NFL!$F99="Seattle",+NFL!I99,IF(+NFL!$H99="Seattle",+NFL!I99,0))</f>
        <v>NFCW</v>
      </c>
      <c r="J538" s="353" t="str">
        <f>IF(+NFL!$F99="Seattle",+NFL!J99,IF(+NFL!$H99="Seattle",+NFL!J99,0))</f>
        <v>Arizona</v>
      </c>
      <c r="K538" s="494" t="str">
        <f>IF(+NFL!$F99="Seattle",+NFL!K99,IF(+NFL!$H99="Seattle",+NFL!K99,0))</f>
        <v>Seattle</v>
      </c>
      <c r="L538" s="384">
        <f>IF(+NFL!$F99="Seattle",+NFL!L99,IF(+NFL!$H99="Seattle",+NFL!L99,0))</f>
        <v>2.5</v>
      </c>
      <c r="M538" s="385">
        <f>IF(+NFL!$F99="Seattle",+NFL!M99,IF(+NFL!$H99="Seattle",+NFL!M99,0))</f>
        <v>50.5</v>
      </c>
      <c r="N538" s="394" t="str">
        <f>IF(+NFL!$F99="Seattle",+NFL!N99,IF(+NFL!$H99="Seattle",+NFL!N99,0))</f>
        <v>Seattle</v>
      </c>
      <c r="O538" s="395">
        <f>IF(+NFL!$F99="Seattle",+NFL!O99,IF(+NFL!$H99="Seattle",+NFL!O99,0))</f>
        <v>19</v>
      </c>
      <c r="P538" s="394" t="str">
        <f>IF(+NFL!$F99="Seattle",+NFL!P99,IF(+NFL!$H99="Seattle",+NFL!P99,0))</f>
        <v>Arizona</v>
      </c>
      <c r="Q538" s="396">
        <f>IF(+NFL!$F99="Seattle",+NFL!Q99,IF(+NFL!$H99="Seattle",+NFL!Q99,0))</f>
        <v>9</v>
      </c>
      <c r="R538" s="397" t="str">
        <f>IF(+NFL!$F99="Seattle",+NFL!R99,IF(+NFL!$H99="Seattle",+NFL!R99,0))</f>
        <v>Seattle</v>
      </c>
      <c r="S538" s="396" t="str">
        <f>IF(+NFL!$F99="Seattle",+NFL!S99,IF(+NFL!$H99="Seattle",+NFL!S99,0))</f>
        <v>Arizona</v>
      </c>
      <c r="T538" s="398" t="str">
        <f>IF(+NFL!$F99="Seattle",+NFL!T99,IF(+NFL!$H99="Seattle",+NFL!T99,0))</f>
        <v>Arizona</v>
      </c>
      <c r="U538" s="396" t="str">
        <f>IF(+NFL!$F99="Seattle",+NFL!U99,IF(+NFL!$H99="Seattle",+NFL!U99,0))</f>
        <v>L</v>
      </c>
      <c r="V538" s="397">
        <f>IF(+NFL!$F89="Seattle",+NFL!#REF!,IF(+NFL!$H89="Seattle",+NFL!#REF!,0))</f>
        <v>0</v>
      </c>
      <c r="W538" s="396">
        <f>IF(+NFL!$F89="Seattle",+NFL!#REF!,IF(+NFL!$H89="Seattle",+NFL!#REF!,0))</f>
        <v>0</v>
      </c>
      <c r="X538" s="398">
        <f>IF(+NFL!$F89="Seattle",+NFL!#REF!,IF(+NFL!$H89="Seattle",+NFL!#REF!,0))</f>
        <v>0</v>
      </c>
      <c r="Y538" s="396">
        <f>IF(+NFL!$F89="Seattle",+NFL!#REF!,IF(+NFL!$H89="Seattle",+NFL!#REF!,0))</f>
        <v>0</v>
      </c>
      <c r="Z538" s="397">
        <f>IF(+NFL!$F89="Seattle",+NFL!#REF!,IF(+NFL!$H89="Seattle",+NFL!#REF!,0))</f>
        <v>0</v>
      </c>
      <c r="AA538" s="396">
        <f>IF(+NFL!$F89="Seattle",+NFL!#REF!,IF(+NFL!$H89="Seattle",+NFL!#REF!,0))</f>
        <v>0</v>
      </c>
      <c r="AB538" s="87">
        <f>IF(+NFL!$F89="Seattle",+NFL!#REF!,IF(+NFL!$H89="Seattle",+NFL!#REF!,0))</f>
        <v>0</v>
      </c>
      <c r="AC538" s="120">
        <f>IF(+NFL!$F89="Seattle",+NFL!#REF!,IF(+NFL!$H89="Seattle",+NFL!#REF!,0))</f>
        <v>0</v>
      </c>
      <c r="AD538" s="353">
        <f>IF(+NFL!$F89="Seattle",+NFL!#REF!,IF(+NFL!$H89="Seattle",+NFL!#REF!,0))</f>
        <v>0</v>
      </c>
      <c r="AE538" s="379">
        <f>IF(+NFL!$F89="Seattle",+NFL!#REF!,IF(+NFL!$H89="Seattle",+NFL!#REF!,0))</f>
        <v>0</v>
      </c>
      <c r="AF538" s="353">
        <f>IF(+NFL!$F89="Seattle",+NFL!#REF!,IF(+NFL!$H89="Seattle",+NFL!#REF!,0))</f>
        <v>0</v>
      </c>
      <c r="AG538" s="379">
        <f>IF(+NFL!$F89="Seattle",+NFL!#REF!,IF(+NFL!$H89="Seattle",+NFL!#REF!,0))</f>
        <v>0</v>
      </c>
      <c r="AH538" s="353">
        <f>IF(+NFL!$F89="Seattle",+NFL!#REF!,IF(+NFL!$H89="Seattle",+NFL!#REF!,0))</f>
        <v>0</v>
      </c>
      <c r="AI538" s="379">
        <f>IF(+NFL!$F89="Seattle",+NFL!#REF!,IF(+NFL!$H89="Seattle",+NFL!#REF!,0))</f>
        <v>0</v>
      </c>
      <c r="AJ538" s="353">
        <f>IF(+NFL!$F89="Seattle",+NFL!#REF!,IF(+NFL!$H89="Seattle",+NFL!#REF!,0))</f>
        <v>0</v>
      </c>
      <c r="AK538" s="379">
        <f>IF(+NFL!$F89="Seattle",+NFL!#REF!,IF(+NFL!$H89="Seattle",+NFL!#REF!,0))</f>
        <v>0</v>
      </c>
      <c r="AL538" s="68">
        <f>IF(+NFL!$F89="Seattle",+NFL!#REF!,IF(+NFL!$H89="Seattle",+NFL!#REF!,0))</f>
        <v>0</v>
      </c>
      <c r="AM538" s="58">
        <f>IF(+NFL!$F89="Seattle",+NFL!#REF!,IF(+NFL!$H89="Seattle",+NFL!#REF!,0))</f>
        <v>0</v>
      </c>
      <c r="AN538" s="57">
        <f>IF(+NFL!$F89="Seattle",+NFL!#REF!,IF(+NFL!$H89="Seattle",+NFL!#REF!,0))</f>
        <v>0</v>
      </c>
      <c r="AO538" s="59">
        <f>IF(+NFL!$F89="Seattle",+NFL!#REF!,IF(+NFL!$H89="Seattle",+NFL!#REF!,0))</f>
        <v>0</v>
      </c>
      <c r="AP538" s="348">
        <f>IF(+NFL!$F89="Seattle",+NFL!#REF!,IF(+NFL!$H89="Seattle",+NFL!#REF!,0))</f>
        <v>0</v>
      </c>
      <c r="AQ538" s="48">
        <f>IF(+NFL!$F89="Seattle",+NFL!#REF!,IF(+NFL!$H89="Seattle",+NFL!#REF!,0))</f>
        <v>0</v>
      </c>
      <c r="AR538" s="57">
        <f>IF(+NFL!$F89="Seattle",+NFL!#REF!,IF(+NFL!$H89="Seattle",+NFL!#REF!,0))</f>
        <v>0</v>
      </c>
      <c r="AS538" s="64">
        <f>IF(+NFL!$F89="Seattle",+NFL!#REF!,IF(+NFL!$H89="Seattle",+NFL!#REF!,0))</f>
        <v>0</v>
      </c>
      <c r="AT538" s="64">
        <f>IF(+NFL!$F89="Seattle",+NFL!#REF!,IF(+NFL!$H89="Seattle",+NFL!#REF!,0))</f>
        <v>0</v>
      </c>
      <c r="AU538" s="57">
        <f>IF(+NFL!$F89="Seattle",+NFL!#REF!,IF(+NFL!$H89="Seattle",+NFL!#REF!,0))</f>
        <v>0</v>
      </c>
      <c r="AV538" s="64">
        <f>IF(+NFL!$F89="Seattle",+NFL!#REF!,IF(+NFL!$H89="Seattle",+NFL!#REF!,0))</f>
        <v>0</v>
      </c>
      <c r="AW538" s="46">
        <f>IF(+NFL!$F89="Seattle",+NFL!#REF!,IF(+NFL!$H89="Seattle",+NFL!#REF!,0))</f>
        <v>0</v>
      </c>
      <c r="AX538" s="64">
        <f>IF(+NFL!$F89="Seattle",+NFL!#REF!,IF(+NFL!$H89="Seattle",+NFL!#REF!,0))</f>
        <v>0</v>
      </c>
      <c r="AY538" s="57">
        <f>IF(+NFL!$F89="Seattle",+NFL!#REF!,IF(+NFL!$H89="Seattle",+NFL!#REF!,0))</f>
        <v>0</v>
      </c>
      <c r="AZ538" s="64">
        <f>IF(+NFL!$F89="Seattle",+NFL!#REF!,IF(+NFL!$H89="Seattle",+NFL!#REF!,0))</f>
        <v>0</v>
      </c>
      <c r="BA538" s="46">
        <f>IF(+NFL!$F89="Seattle",+NFL!#REF!,IF(+NFL!$H89="Seattle",+NFL!#REF!,0))</f>
        <v>0</v>
      </c>
      <c r="BB538" s="46">
        <f>IF(+NFL!$F89="Seattle",+NFL!#REF!,IF(+NFL!$H89="Seattle",+NFL!#REF!,0))</f>
        <v>0</v>
      </c>
      <c r="BC538" s="403">
        <f>IF(+NFL!$F89="Seattle",+NFL!#REF!,IF(+NFL!$H89="Seattle",+NFL!#REF!,0))</f>
        <v>0</v>
      </c>
      <c r="BD538" s="57">
        <f>IF(+NFL!$F89="Seattle",+NFL!#REF!,IF(+NFL!$H89="Seattle",+NFL!#REF!,0))</f>
        <v>0</v>
      </c>
      <c r="BE538" s="64">
        <f>IF(+NFL!$F89="Seattle",+NFL!#REF!,IF(+NFL!$H89="Seattle",+NFL!#REF!,0))</f>
        <v>0</v>
      </c>
      <c r="BF538" s="46">
        <f>IF(+NFL!$F89="Seattle",+NFL!#REF!,IF(+NFL!$H89="Seattle",+NFL!#REF!,0))</f>
        <v>0</v>
      </c>
      <c r="BG538" s="57">
        <f>IF(+NFL!$F89="Seattle",+NFL!#REF!,IF(+NFL!$H89="Seattle",+NFL!#REF!,0))</f>
        <v>0</v>
      </c>
      <c r="BH538" s="64">
        <f>IF(+NFL!$F89="Seattle",+NFL!#REF!,IF(+NFL!$H89="Seattle",+NFL!#REF!,0))</f>
        <v>0</v>
      </c>
      <c r="BI538" s="46">
        <f>IF(+NFL!$F89="Seattle",+NFL!#REF!,IF(+NFL!$H89="Seattle",+NFL!#REF!,0))</f>
        <v>0</v>
      </c>
      <c r="BJ538" s="87">
        <f>IF(+NFL!$F89="Seattle",+NFL!#REF!,IF(+NFL!$H89="Seattle",+NFL!#REF!,0))</f>
        <v>0</v>
      </c>
      <c r="BK538" s="120">
        <f>IF(+NFL!$F89="Seattle",+NFL!#REF!,IF(+NFL!$H89="Seattle",+NFL!#REF!,0))</f>
        <v>0</v>
      </c>
    </row>
    <row r="539" spans="1:63" s="246" customFormat="1" x14ac:dyDescent="0.8">
      <c r="A539" s="46">
        <f>IF(+NFL!$F119="Seattle",+NFL!A119,IF(+NFL!$H119="Seattle",+NFL!A119,0))</f>
        <v>7</v>
      </c>
      <c r="B539" s="348" t="str">
        <f>IF(+NFL!$F119="Seattle",+NFL!B119,IF(+NFL!$H119="Seattle",+NFL!B119,0))</f>
        <v>Sun</v>
      </c>
      <c r="C539" s="48">
        <f>IF(+NFL!$F119="Seattle",+NFL!C119,IF(+NFL!$H119="Seattle",+NFL!C119,0))</f>
        <v>44857</v>
      </c>
      <c r="D539" s="490">
        <f>IF(+NFL!$F119="Seattle",+NFL!D119,IF(+NFL!$H119="Seattle",+NFL!D119,0))</f>
        <v>0.66666666666666663</v>
      </c>
      <c r="E539" s="46" t="str">
        <f>IF(+NFL!$F119="Seattle",+NFL!E119,IF(+NFL!$H119="Seattle",+NFL!E119,0))</f>
        <v>Fox</v>
      </c>
      <c r="F539" s="127" t="str">
        <f>IF(+NFL!$F119="Seattle",+NFL!F119,IF(+NFL!$H119="Seattle",+NFL!F119,0))</f>
        <v>Seattle</v>
      </c>
      <c r="G539" s="46" t="str">
        <f>IF(+NFL!$F119="Seattle",+NFL!G119,IF(+NFL!$H119="Seattle",+NFL!G119,0))</f>
        <v>NFCW</v>
      </c>
      <c r="H539" s="127" t="str">
        <f>IF(+NFL!$F119="Seattle",+NFL!H119,IF(+NFL!$H119="Seattle",+NFL!H119,0))</f>
        <v>LA Chargers</v>
      </c>
      <c r="I539" s="46" t="str">
        <f>IF(+NFL!$F119="Seattle",+NFL!I119,IF(+NFL!$H119="Seattle",+NFL!I119,0))</f>
        <v>AFCW</v>
      </c>
      <c r="J539" s="353" t="str">
        <f>IF(+NFL!$F119="Seattle",+NFL!J119,IF(+NFL!$H119="Seattle",+NFL!J119,0))</f>
        <v>LA Chargers</v>
      </c>
      <c r="K539" s="494" t="str">
        <f>IF(+NFL!$F119="Seattle",+NFL!K119,IF(+NFL!$H119="Seattle",+NFL!K119,0))</f>
        <v>Seattle</v>
      </c>
      <c r="L539" s="384">
        <f>IF(+NFL!$F119="Seattle",+NFL!L119,IF(+NFL!$H119="Seattle",+NFL!L119,0))</f>
        <v>6</v>
      </c>
      <c r="M539" s="385">
        <f>IF(+NFL!$F119="Seattle",+NFL!M119,IF(+NFL!$H119="Seattle",+NFL!M119,0))</f>
        <v>51</v>
      </c>
      <c r="N539" s="394" t="str">
        <f>IF(+NFL!$F119="Seattle",+NFL!N119,IF(+NFL!$H119="Seattle",+NFL!N119,0))</f>
        <v>Seattle</v>
      </c>
      <c r="O539" s="395">
        <f>IF(+NFL!$F119="Seattle",+NFL!O119,IF(+NFL!$H119="Seattle",+NFL!O119,0))</f>
        <v>37</v>
      </c>
      <c r="P539" s="394" t="str">
        <f>IF(+NFL!$F119="Seattle",+NFL!P119,IF(+NFL!$H119="Seattle",+NFL!P119,0))</f>
        <v>LA Chargers</v>
      </c>
      <c r="Q539" s="396">
        <f>IF(+NFL!$F119="Seattle",+NFL!Q119,IF(+NFL!$H119="Seattle",+NFL!Q119,0))</f>
        <v>23</v>
      </c>
      <c r="R539" s="397" t="str">
        <f>IF(+NFL!$F119="Seattle",+NFL!R119,IF(+NFL!$H119="Seattle",+NFL!R119,0))</f>
        <v>Seattle</v>
      </c>
      <c r="S539" s="396" t="str">
        <f>IF(+NFL!$F119="Seattle",+NFL!S119,IF(+NFL!$H119="Seattle",+NFL!S119,0))</f>
        <v>LA Chargers</v>
      </c>
      <c r="T539" s="398" t="str">
        <f>IF(+NFL!$F119="Seattle",+NFL!T119,IF(+NFL!$H119="Seattle",+NFL!T119,0))</f>
        <v>Seattle</v>
      </c>
      <c r="U539" s="396" t="str">
        <f>IF(+NFL!$F119="Seattle",+NFL!U119,IF(+NFL!$H119="Seattle",+NFL!U119,0))</f>
        <v>W</v>
      </c>
      <c r="V539" s="397">
        <f>IF(+NFL!$F110="Seattle",+NFL!#REF!,IF(+NFL!$H110="Seattle",+NFL!#REF!,0))</f>
        <v>0</v>
      </c>
      <c r="W539" s="396">
        <f>IF(+NFL!$F110="Seattle",+NFL!#REF!,IF(+NFL!$H110="Seattle",+NFL!#REF!,0))</f>
        <v>0</v>
      </c>
      <c r="X539" s="398">
        <f>IF(+NFL!$F110="Seattle",+NFL!#REF!,IF(+NFL!$H110="Seattle",+NFL!#REF!,0))</f>
        <v>0</v>
      </c>
      <c r="Y539" s="396">
        <f>IF(+NFL!$F110="Seattle",+NFL!#REF!,IF(+NFL!$H110="Seattle",+NFL!#REF!,0))</f>
        <v>0</v>
      </c>
      <c r="Z539" s="397">
        <f>IF(+NFL!$F110="Seattle",+NFL!#REF!,IF(+NFL!$H110="Seattle",+NFL!#REF!,0))</f>
        <v>0</v>
      </c>
      <c r="AA539" s="396">
        <f>IF(+NFL!$F110="Seattle",+NFL!#REF!,IF(+NFL!$H110="Seattle",+NFL!#REF!,0))</f>
        <v>0</v>
      </c>
      <c r="AB539" s="87">
        <f>IF(+NFL!$F110="Seattle",+NFL!#REF!,IF(+NFL!$H110="Seattle",+NFL!#REF!,0))</f>
        <v>0</v>
      </c>
      <c r="AC539" s="120">
        <f>IF(+NFL!$F110="Seattle",+NFL!#REF!,IF(+NFL!$H110="Seattle",+NFL!#REF!,0))</f>
        <v>0</v>
      </c>
      <c r="AD539" s="353">
        <f>IF(+NFL!$F110="Seattle",+NFL!#REF!,IF(+NFL!$H110="Seattle",+NFL!#REF!,0))</f>
        <v>0</v>
      </c>
      <c r="AE539" s="379">
        <f>IF(+NFL!$F110="Seattle",+NFL!#REF!,IF(+NFL!$H110="Seattle",+NFL!#REF!,0))</f>
        <v>0</v>
      </c>
      <c r="AF539" s="353">
        <f>IF(+NFL!$F110="Seattle",+NFL!#REF!,IF(+NFL!$H110="Seattle",+NFL!#REF!,0))</f>
        <v>0</v>
      </c>
      <c r="AG539" s="379">
        <f>IF(+NFL!$F110="Seattle",+NFL!#REF!,IF(+NFL!$H110="Seattle",+NFL!#REF!,0))</f>
        <v>0</v>
      </c>
      <c r="AH539" s="353">
        <f>IF(+NFL!$F110="Seattle",+NFL!#REF!,IF(+NFL!$H110="Seattle",+NFL!#REF!,0))</f>
        <v>0</v>
      </c>
      <c r="AI539" s="379">
        <f>IF(+NFL!$F110="Seattle",+NFL!#REF!,IF(+NFL!$H110="Seattle",+NFL!#REF!,0))</f>
        <v>0</v>
      </c>
      <c r="AJ539" s="353">
        <f>IF(+NFL!$F110="Seattle",+NFL!#REF!,IF(+NFL!$H110="Seattle",+NFL!#REF!,0))</f>
        <v>0</v>
      </c>
      <c r="AK539" s="379">
        <f>IF(+NFL!$F110="Seattle",+NFL!#REF!,IF(+NFL!$H110="Seattle",+NFL!#REF!,0))</f>
        <v>0</v>
      </c>
      <c r="AL539" s="68">
        <f>IF(+NFL!$F110="Seattle",+NFL!#REF!,IF(+NFL!$H110="Seattle",+NFL!#REF!,0))</f>
        <v>0</v>
      </c>
      <c r="AM539" s="58">
        <f>IF(+NFL!$F110="Seattle",+NFL!#REF!,IF(+NFL!$H110="Seattle",+NFL!#REF!,0))</f>
        <v>0</v>
      </c>
      <c r="AN539" s="57">
        <f>IF(+NFL!$F110="Seattle",+NFL!#REF!,IF(+NFL!$H110="Seattle",+NFL!#REF!,0))</f>
        <v>0</v>
      </c>
      <c r="AO539" s="59">
        <f>IF(+NFL!$F110="Seattle",+NFL!#REF!,IF(+NFL!$H110="Seattle",+NFL!#REF!,0))</f>
        <v>0</v>
      </c>
      <c r="AP539" s="348">
        <f>IF(+NFL!$F110="Seattle",+NFL!#REF!,IF(+NFL!$H110="Seattle",+NFL!#REF!,0))</f>
        <v>0</v>
      </c>
      <c r="AQ539" s="48">
        <f>IF(+NFL!$F110="Seattle",+NFL!#REF!,IF(+NFL!$H110="Seattle",+NFL!#REF!,0))</f>
        <v>0</v>
      </c>
      <c r="AR539" s="57">
        <f>IF(+NFL!$F110="Seattle",+NFL!#REF!,IF(+NFL!$H110="Seattle",+NFL!#REF!,0))</f>
        <v>0</v>
      </c>
      <c r="AS539" s="64">
        <f>IF(+NFL!$F110="Seattle",+NFL!#REF!,IF(+NFL!$H110="Seattle",+NFL!#REF!,0))</f>
        <v>0</v>
      </c>
      <c r="AT539" s="64">
        <f>IF(+NFL!$F110="Seattle",+NFL!#REF!,IF(+NFL!$H110="Seattle",+NFL!#REF!,0))</f>
        <v>0</v>
      </c>
      <c r="AU539" s="57">
        <f>IF(+NFL!$F110="Seattle",+NFL!#REF!,IF(+NFL!$H110="Seattle",+NFL!#REF!,0))</f>
        <v>0</v>
      </c>
      <c r="AV539" s="64">
        <f>IF(+NFL!$F110="Seattle",+NFL!#REF!,IF(+NFL!$H110="Seattle",+NFL!#REF!,0))</f>
        <v>0</v>
      </c>
      <c r="AW539" s="46">
        <f>IF(+NFL!$F110="Seattle",+NFL!#REF!,IF(+NFL!$H110="Seattle",+NFL!#REF!,0))</f>
        <v>0</v>
      </c>
      <c r="AX539" s="64">
        <f>IF(+NFL!$F110="Seattle",+NFL!#REF!,IF(+NFL!$H110="Seattle",+NFL!#REF!,0))</f>
        <v>0</v>
      </c>
      <c r="AY539" s="57">
        <f>IF(+NFL!$F110="Seattle",+NFL!#REF!,IF(+NFL!$H110="Seattle",+NFL!#REF!,0))</f>
        <v>0</v>
      </c>
      <c r="AZ539" s="64">
        <f>IF(+NFL!$F110="Seattle",+NFL!#REF!,IF(+NFL!$H110="Seattle",+NFL!#REF!,0))</f>
        <v>0</v>
      </c>
      <c r="BA539" s="46">
        <f>IF(+NFL!$F110="Seattle",+NFL!#REF!,IF(+NFL!$H110="Seattle",+NFL!#REF!,0))</f>
        <v>0</v>
      </c>
      <c r="BB539" s="46">
        <f>IF(+NFL!$F110="Seattle",+NFL!#REF!,IF(+NFL!$H110="Seattle",+NFL!#REF!,0))</f>
        <v>0</v>
      </c>
      <c r="BC539" s="403">
        <f>IF(+NFL!$F110="Seattle",+NFL!#REF!,IF(+NFL!$H110="Seattle",+NFL!#REF!,0))</f>
        <v>0</v>
      </c>
      <c r="BD539" s="57">
        <f>IF(+NFL!$F110="Seattle",+NFL!#REF!,IF(+NFL!$H110="Seattle",+NFL!#REF!,0))</f>
        <v>0</v>
      </c>
      <c r="BE539" s="64">
        <f>IF(+NFL!$F110="Seattle",+NFL!#REF!,IF(+NFL!$H110="Seattle",+NFL!#REF!,0))</f>
        <v>0</v>
      </c>
      <c r="BF539" s="46">
        <f>IF(+NFL!$F110="Seattle",+NFL!#REF!,IF(+NFL!$H110="Seattle",+NFL!#REF!,0))</f>
        <v>0</v>
      </c>
      <c r="BG539" s="57">
        <f>IF(+NFL!$F110="Seattle",+NFL!#REF!,IF(+NFL!$H110="Seattle",+NFL!#REF!,0))</f>
        <v>0</v>
      </c>
      <c r="BH539" s="64">
        <f>IF(+NFL!$F110="Seattle",+NFL!#REF!,IF(+NFL!$H110="Seattle",+NFL!#REF!,0))</f>
        <v>0</v>
      </c>
      <c r="BI539" s="46">
        <f>IF(+NFL!$F110="Seattle",+NFL!#REF!,IF(+NFL!$H110="Seattle",+NFL!#REF!,0))</f>
        <v>0</v>
      </c>
      <c r="BJ539" s="87">
        <f>IF(+NFL!$F110="Seattle",+NFL!#REF!,IF(+NFL!$H110="Seattle",+NFL!#REF!,0))</f>
        <v>0</v>
      </c>
      <c r="BK539" s="120">
        <f>IF(+NFL!$F110="Seattle",+NFL!#REF!,IF(+NFL!$H110="Seattle",+NFL!#REF!,0))</f>
        <v>0</v>
      </c>
    </row>
    <row r="540" spans="1:63" s="246" customFormat="1" x14ac:dyDescent="0.8">
      <c r="A540" s="46">
        <f>IF(+NFL!$F141="Seattle",+NFL!A141,IF(+NFL!$H141="Seattle",+NFL!A141,0))</f>
        <v>8</v>
      </c>
      <c r="B540" s="348" t="str">
        <f>IF(+NFL!$F141="Seattle",+NFL!B141,IF(+NFL!$H141="Seattle",+NFL!B141,0))</f>
        <v>Sun</v>
      </c>
      <c r="C540" s="48">
        <f>IF(+NFL!$F141="Seattle",+NFL!C141,IF(+NFL!$H141="Seattle",+NFL!C141,0))</f>
        <v>44864</v>
      </c>
      <c r="D540" s="490">
        <f>IF(+NFL!$F141="Seattle",+NFL!D141,IF(+NFL!$H141="Seattle",+NFL!D141,0))</f>
        <v>0.66666666666666663</v>
      </c>
      <c r="E540" s="46" t="str">
        <f>IF(+NFL!$F141="Seattle",+NFL!E141,IF(+NFL!$H141="Seattle",+NFL!E141,0))</f>
        <v>Fox</v>
      </c>
      <c r="F540" s="127" t="str">
        <f>IF(+NFL!$F141="Seattle",+NFL!F141,IF(+NFL!$H141="Seattle",+NFL!F141,0))</f>
        <v>NY Giants</v>
      </c>
      <c r="G540" s="46" t="str">
        <f>IF(+NFL!$F141="Seattle",+NFL!G141,IF(+NFL!$H141="Seattle",+NFL!G141,0))</f>
        <v>NFCE</v>
      </c>
      <c r="H540" s="127" t="str">
        <f>IF(+NFL!$F141="Seattle",+NFL!H141,IF(+NFL!$H141="Seattle",+NFL!H141,0))</f>
        <v>Seattle</v>
      </c>
      <c r="I540" s="46" t="str">
        <f>IF(+NFL!$F141="Seattle",+NFL!I141,IF(+NFL!$H141="Seattle",+NFL!I141,0))</f>
        <v>NFCW</v>
      </c>
      <c r="J540" s="353" t="str">
        <f>IF(+NFL!$F141="Seattle",+NFL!J141,IF(+NFL!$H141="Seattle",+NFL!J141,0))</f>
        <v>Seattle</v>
      </c>
      <c r="K540" s="494" t="str">
        <f>IF(+NFL!$F141="Seattle",+NFL!K141,IF(+NFL!$H141="Seattle",+NFL!K141,0))</f>
        <v>NY Giants</v>
      </c>
      <c r="L540" s="384">
        <f>IF(+NFL!$F141="Seattle",+NFL!L141,IF(+NFL!$H141="Seattle",+NFL!L141,0))</f>
        <v>3</v>
      </c>
      <c r="M540" s="385">
        <f>IF(+NFL!$F141="Seattle",+NFL!M141,IF(+NFL!$H141="Seattle",+NFL!M141,0))</f>
        <v>44.5</v>
      </c>
      <c r="N540" s="394" t="str">
        <f>IF(+NFL!$F141="Seattle",+NFL!N141,IF(+NFL!$H141="Seattle",+NFL!N141,0))</f>
        <v>Seattle</v>
      </c>
      <c r="O540" s="395">
        <f>IF(+NFL!$F141="Seattle",+NFL!O141,IF(+NFL!$H141="Seattle",+NFL!O141,0))</f>
        <v>27</v>
      </c>
      <c r="P540" s="394" t="str">
        <f>IF(+NFL!$F141="Seattle",+NFL!P141,IF(+NFL!$H141="Seattle",+NFL!P141,0))</f>
        <v>NY Giants</v>
      </c>
      <c r="Q540" s="396">
        <f>IF(+NFL!$F141="Seattle",+NFL!Q141,IF(+NFL!$H141="Seattle",+NFL!Q141,0))</f>
        <v>13</v>
      </c>
      <c r="R540" s="397" t="str">
        <f>IF(+NFL!$F141="Seattle",+NFL!R141,IF(+NFL!$H141="Seattle",+NFL!R141,0))</f>
        <v>Seattle</v>
      </c>
      <c r="S540" s="396" t="str">
        <f>IF(+NFL!$F141="Seattle",+NFL!S141,IF(+NFL!$H141="Seattle",+NFL!S141,0))</f>
        <v>NY Giants</v>
      </c>
      <c r="T540" s="398" t="str">
        <f>IF(+NFL!$F141="Seattle",+NFL!T141,IF(+NFL!$H141="Seattle",+NFL!T141,0))</f>
        <v>Seattle</v>
      </c>
      <c r="U540" s="396" t="str">
        <f>IF(+NFL!$F141="Seattle",+NFL!U141,IF(+NFL!$H141="Seattle",+NFL!U141,0))</f>
        <v>W</v>
      </c>
      <c r="V540" s="397">
        <f>IF(+NFL!$F140="Seattle",+NFL!#REF!,IF(+NFL!$H140="Seattle",+NFL!#REF!,0))</f>
        <v>0</v>
      </c>
      <c r="W540" s="396">
        <f>IF(+NFL!$F140="Seattle",+NFL!#REF!,IF(+NFL!$H140="Seattle",+NFL!#REF!,0))</f>
        <v>0</v>
      </c>
      <c r="X540" s="398">
        <f>IF(+NFL!$F140="Seattle",+NFL!#REF!,IF(+NFL!$H140="Seattle",+NFL!#REF!,0))</f>
        <v>0</v>
      </c>
      <c r="Y540" s="396">
        <f>IF(+NFL!$F140="Seattle",+NFL!#REF!,IF(+NFL!$H140="Seattle",+NFL!#REF!,0))</f>
        <v>0</v>
      </c>
      <c r="Z540" s="397">
        <f>IF(+NFL!$F140="Seattle",+NFL!#REF!,IF(+NFL!$H140="Seattle",+NFL!#REF!,0))</f>
        <v>0</v>
      </c>
      <c r="AA540" s="396">
        <f>IF(+NFL!$F140="Seattle",+NFL!#REF!,IF(+NFL!$H140="Seattle",+NFL!#REF!,0))</f>
        <v>0</v>
      </c>
      <c r="AB540" s="87">
        <f>IF(+NFL!$F140="Seattle",+NFL!#REF!,IF(+NFL!$H140="Seattle",+NFL!#REF!,0))</f>
        <v>0</v>
      </c>
      <c r="AC540" s="120">
        <f>IF(+NFL!$F140="Seattle",+NFL!#REF!,IF(+NFL!$H140="Seattle",+NFL!#REF!,0))</f>
        <v>0</v>
      </c>
      <c r="AD540" s="353">
        <f>IF(+NFL!$F140="Seattle",+NFL!#REF!,IF(+NFL!$H140="Seattle",+NFL!#REF!,0))</f>
        <v>0</v>
      </c>
      <c r="AE540" s="379">
        <f>IF(+NFL!$F140="Seattle",+NFL!#REF!,IF(+NFL!$H140="Seattle",+NFL!#REF!,0))</f>
        <v>0</v>
      </c>
      <c r="AF540" s="353">
        <f>IF(+NFL!$F140="Seattle",+NFL!#REF!,IF(+NFL!$H140="Seattle",+NFL!#REF!,0))</f>
        <v>0</v>
      </c>
      <c r="AG540" s="379">
        <f>IF(+NFL!$F140="Seattle",+NFL!#REF!,IF(+NFL!$H140="Seattle",+NFL!#REF!,0))</f>
        <v>0</v>
      </c>
      <c r="AH540" s="353">
        <f>IF(+NFL!$F140="Seattle",+NFL!#REF!,IF(+NFL!$H140="Seattle",+NFL!#REF!,0))</f>
        <v>0</v>
      </c>
      <c r="AI540" s="379">
        <f>IF(+NFL!$F140="Seattle",+NFL!#REF!,IF(+NFL!$H140="Seattle",+NFL!#REF!,0))</f>
        <v>0</v>
      </c>
      <c r="AJ540" s="353">
        <f>IF(+NFL!$F140="Seattle",+NFL!#REF!,IF(+NFL!$H140="Seattle",+NFL!#REF!,0))</f>
        <v>0</v>
      </c>
      <c r="AK540" s="379">
        <f>IF(+NFL!$F140="Seattle",+NFL!#REF!,IF(+NFL!$H140="Seattle",+NFL!#REF!,0))</f>
        <v>0</v>
      </c>
      <c r="AL540" s="68">
        <f>IF(+NFL!$F140="Seattle",+NFL!#REF!,IF(+NFL!$H140="Seattle",+NFL!#REF!,0))</f>
        <v>0</v>
      </c>
      <c r="AM540" s="58">
        <f>IF(+NFL!$F140="Seattle",+NFL!#REF!,IF(+NFL!$H140="Seattle",+NFL!#REF!,0))</f>
        <v>0</v>
      </c>
      <c r="AN540" s="57">
        <f>IF(+NFL!$F140="Seattle",+NFL!#REF!,IF(+NFL!$H140="Seattle",+NFL!#REF!,0))</f>
        <v>0</v>
      </c>
      <c r="AO540" s="59">
        <f>IF(+NFL!$F140="Seattle",+NFL!#REF!,IF(+NFL!$H140="Seattle",+NFL!#REF!,0))</f>
        <v>0</v>
      </c>
      <c r="AP540" s="348">
        <f>IF(+NFL!$F140="Seattle",+NFL!#REF!,IF(+NFL!$H140="Seattle",+NFL!#REF!,0))</f>
        <v>0</v>
      </c>
      <c r="AQ540" s="48">
        <f>IF(+NFL!$F140="Seattle",+NFL!#REF!,IF(+NFL!$H140="Seattle",+NFL!#REF!,0))</f>
        <v>0</v>
      </c>
      <c r="AR540" s="57">
        <f>IF(+NFL!$F140="Seattle",+NFL!#REF!,IF(+NFL!$H140="Seattle",+NFL!#REF!,0))</f>
        <v>0</v>
      </c>
      <c r="AS540" s="64">
        <f>IF(+NFL!$F140="Seattle",+NFL!#REF!,IF(+NFL!$H140="Seattle",+NFL!#REF!,0))</f>
        <v>0</v>
      </c>
      <c r="AT540" s="64">
        <f>IF(+NFL!$F140="Seattle",+NFL!#REF!,IF(+NFL!$H140="Seattle",+NFL!#REF!,0))</f>
        <v>0</v>
      </c>
      <c r="AU540" s="57">
        <f>IF(+NFL!$F140="Seattle",+NFL!#REF!,IF(+NFL!$H140="Seattle",+NFL!#REF!,0))</f>
        <v>0</v>
      </c>
      <c r="AV540" s="64">
        <f>IF(+NFL!$F140="Seattle",+NFL!#REF!,IF(+NFL!$H140="Seattle",+NFL!#REF!,0))</f>
        <v>0</v>
      </c>
      <c r="AW540" s="46">
        <f>IF(+NFL!$F140="Seattle",+NFL!#REF!,IF(+NFL!$H140="Seattle",+NFL!#REF!,0))</f>
        <v>0</v>
      </c>
      <c r="AX540" s="64">
        <f>IF(+NFL!$F140="Seattle",+NFL!#REF!,IF(+NFL!$H140="Seattle",+NFL!#REF!,0))</f>
        <v>0</v>
      </c>
      <c r="AY540" s="57">
        <f>IF(+NFL!$F140="Seattle",+NFL!#REF!,IF(+NFL!$H140="Seattle",+NFL!#REF!,0))</f>
        <v>0</v>
      </c>
      <c r="AZ540" s="64">
        <f>IF(+NFL!$F140="Seattle",+NFL!#REF!,IF(+NFL!$H140="Seattle",+NFL!#REF!,0))</f>
        <v>0</v>
      </c>
      <c r="BA540" s="46">
        <f>IF(+NFL!$F140="Seattle",+NFL!#REF!,IF(+NFL!$H140="Seattle",+NFL!#REF!,0))</f>
        <v>0</v>
      </c>
      <c r="BB540" s="46">
        <f>IF(+NFL!$F140="Seattle",+NFL!#REF!,IF(+NFL!$H140="Seattle",+NFL!#REF!,0))</f>
        <v>0</v>
      </c>
      <c r="BC540" s="403">
        <f>IF(+NFL!$F140="Seattle",+NFL!#REF!,IF(+NFL!$H140="Seattle",+NFL!#REF!,0))</f>
        <v>0</v>
      </c>
      <c r="BD540" s="57">
        <f>IF(+NFL!$F140="Seattle",+NFL!#REF!,IF(+NFL!$H140="Seattle",+NFL!#REF!,0))</f>
        <v>0</v>
      </c>
      <c r="BE540" s="64">
        <f>IF(+NFL!$F140="Seattle",+NFL!#REF!,IF(+NFL!$H140="Seattle",+NFL!#REF!,0))</f>
        <v>0</v>
      </c>
      <c r="BF540" s="46">
        <f>IF(+NFL!$F140="Seattle",+NFL!#REF!,IF(+NFL!$H140="Seattle",+NFL!#REF!,0))</f>
        <v>0</v>
      </c>
      <c r="BG540" s="57">
        <f>IF(+NFL!$F140="Seattle",+NFL!#REF!,IF(+NFL!$H140="Seattle",+NFL!#REF!,0))</f>
        <v>0</v>
      </c>
      <c r="BH540" s="64">
        <f>IF(+NFL!$F140="Seattle",+NFL!#REF!,IF(+NFL!$H140="Seattle",+NFL!#REF!,0))</f>
        <v>0</v>
      </c>
      <c r="BI540" s="46">
        <f>IF(+NFL!$F140="Seattle",+NFL!#REF!,IF(+NFL!$H140="Seattle",+NFL!#REF!,0))</f>
        <v>0</v>
      </c>
      <c r="BJ540" s="87">
        <f>IF(+NFL!$F140="Seattle",+NFL!#REF!,IF(+NFL!$H140="Seattle",+NFL!#REF!,0))</f>
        <v>0</v>
      </c>
      <c r="BK540" s="120">
        <f>IF(+NFL!$F140="Seattle",+NFL!#REF!,IF(+NFL!$H140="Seattle",+NFL!#REF!,0))</f>
        <v>0</v>
      </c>
    </row>
    <row r="541" spans="1:63" s="246" customFormat="1" x14ac:dyDescent="0.8">
      <c r="A541" s="46">
        <f>IF(+NFL!$F157="Seattle",+NFL!A157,IF(+NFL!$H157="Seattle",+NFL!A157,0))</f>
        <v>9</v>
      </c>
      <c r="B541" s="348" t="str">
        <f>IF(+NFL!$F157="Seattle",+NFL!B157,IF(+NFL!$H157="Seattle",+NFL!B157,0))</f>
        <v>Sun</v>
      </c>
      <c r="C541" s="48">
        <f>IF(+NFL!$F157="Seattle",+NFL!C157,IF(+NFL!$H157="Seattle",+NFL!C157,0))</f>
        <v>44871</v>
      </c>
      <c r="D541" s="490">
        <f>IF(+NFL!$F157="Seattle",+NFL!D157,IF(+NFL!$H157="Seattle",+NFL!D157,0))</f>
        <v>0.54166666666666663</v>
      </c>
      <c r="E541" s="46" t="str">
        <f>IF(+NFL!$F157="Seattle",+NFL!E157,IF(+NFL!$H157="Seattle",+NFL!E157,0))</f>
        <v>Fox</v>
      </c>
      <c r="F541" s="127" t="str">
        <f>IF(+NFL!$F157="Seattle",+NFL!F157,IF(+NFL!$H157="Seattle",+NFL!F157,0))</f>
        <v>Seattle</v>
      </c>
      <c r="G541" s="46" t="str">
        <f>IF(+NFL!$F157="Seattle",+NFL!G157,IF(+NFL!$H157="Seattle",+NFL!G157,0))</f>
        <v>NFCW</v>
      </c>
      <c r="H541" s="127" t="str">
        <f>IF(+NFL!$F157="Seattle",+NFL!H157,IF(+NFL!$H157="Seattle",+NFL!H157,0))</f>
        <v>Arizona</v>
      </c>
      <c r="I541" s="46" t="str">
        <f>IF(+NFL!$F157="Seattle",+NFL!I157,IF(+NFL!$H157="Seattle",+NFL!I157,0))</f>
        <v>NFCW</v>
      </c>
      <c r="J541" s="353" t="str">
        <f>IF(+NFL!$F157="Seattle",+NFL!J157,IF(+NFL!$H157="Seattle",+NFL!J157,0))</f>
        <v>Arizona</v>
      </c>
      <c r="K541" s="494" t="str">
        <f>IF(+NFL!$F157="Seattle",+NFL!K157,IF(+NFL!$H157="Seattle",+NFL!K157,0))</f>
        <v>Seattle</v>
      </c>
      <c r="L541" s="384">
        <f>IF(+NFL!$F157="Seattle",+NFL!L157,IF(+NFL!$H157="Seattle",+NFL!L157,0))</f>
        <v>2</v>
      </c>
      <c r="M541" s="385">
        <f>IF(+NFL!$F157="Seattle",+NFL!M157,IF(+NFL!$H157="Seattle",+NFL!M157,0))</f>
        <v>50.5</v>
      </c>
      <c r="N541" s="394" t="str">
        <f>IF(+NFL!$F157="Seattle",+NFL!N157,IF(+NFL!$H157="Seattle",+NFL!N157,0))</f>
        <v>Seattle</v>
      </c>
      <c r="O541" s="395">
        <f>IF(+NFL!$F157="Seattle",+NFL!O157,IF(+NFL!$H157="Seattle",+NFL!O157,0))</f>
        <v>31</v>
      </c>
      <c r="P541" s="394" t="str">
        <f>IF(+NFL!$F157="Seattle",+NFL!P157,IF(+NFL!$H157="Seattle",+NFL!P157,0))</f>
        <v>Arizona</v>
      </c>
      <c r="Q541" s="396">
        <f>IF(+NFL!$F157="Seattle",+NFL!Q157,IF(+NFL!$H157="Seattle",+NFL!Q157,0))</f>
        <v>21</v>
      </c>
      <c r="R541" s="397" t="str">
        <f>IF(+NFL!$F157="Seattle",+NFL!R157,IF(+NFL!$H157="Seattle",+NFL!R157,0))</f>
        <v>Seattle</v>
      </c>
      <c r="S541" s="396" t="str">
        <f>IF(+NFL!$F157="Seattle",+NFL!S157,IF(+NFL!$H157="Seattle",+NFL!S157,0))</f>
        <v>Arizona</v>
      </c>
      <c r="T541" s="398" t="str">
        <f>IF(+NFL!$F157="Seattle",+NFL!T157,IF(+NFL!$H157="Seattle",+NFL!T157,0))</f>
        <v>Arizona</v>
      </c>
      <c r="U541" s="396" t="str">
        <f>IF(+NFL!$F157="Seattle",+NFL!U157,IF(+NFL!$H157="Seattle",+NFL!U157,0))</f>
        <v>L</v>
      </c>
      <c r="V541" s="397">
        <f>IF(+NFL!$F151="Seattle",+NFL!#REF!,IF(+NFL!$H151="Seattle",+NFL!#REF!,0))</f>
        <v>0</v>
      </c>
      <c r="W541" s="396">
        <f>IF(+NFL!$F151="Seattle",+NFL!#REF!,IF(+NFL!$H151="Seattle",+NFL!#REF!,0))</f>
        <v>0</v>
      </c>
      <c r="X541" s="398">
        <f>IF(+NFL!$F151="Seattle",+NFL!#REF!,IF(+NFL!$H151="Seattle",+NFL!#REF!,0))</f>
        <v>0</v>
      </c>
      <c r="Y541" s="396">
        <f>IF(+NFL!$F151="Seattle",+NFL!#REF!,IF(+NFL!$H151="Seattle",+NFL!#REF!,0))</f>
        <v>0</v>
      </c>
      <c r="Z541" s="397">
        <f>IF(+NFL!$F151="Seattle",+NFL!#REF!,IF(+NFL!$H151="Seattle",+NFL!#REF!,0))</f>
        <v>0</v>
      </c>
      <c r="AA541" s="396">
        <f>IF(+NFL!$F151="Seattle",+NFL!#REF!,IF(+NFL!$H151="Seattle",+NFL!#REF!,0))</f>
        <v>0</v>
      </c>
      <c r="AB541" s="87">
        <f>IF(+NFL!$F151="Seattle",+NFL!#REF!,IF(+NFL!$H151="Seattle",+NFL!#REF!,0))</f>
        <v>0</v>
      </c>
      <c r="AC541" s="120">
        <f>IF(+NFL!$F151="Seattle",+NFL!#REF!,IF(+NFL!$H151="Seattle",+NFL!#REF!,0))</f>
        <v>0</v>
      </c>
      <c r="AD541" s="353">
        <f>IF(+NFL!$F151="Seattle",+NFL!#REF!,IF(+NFL!$H151="Seattle",+NFL!#REF!,0))</f>
        <v>0</v>
      </c>
      <c r="AE541" s="379">
        <f>IF(+NFL!$F151="Seattle",+NFL!#REF!,IF(+NFL!$H151="Seattle",+NFL!#REF!,0))</f>
        <v>0</v>
      </c>
      <c r="AF541" s="353">
        <f>IF(+NFL!$F151="Seattle",+NFL!#REF!,IF(+NFL!$H151="Seattle",+NFL!#REF!,0))</f>
        <v>0</v>
      </c>
      <c r="AG541" s="379">
        <f>IF(+NFL!$F151="Seattle",+NFL!#REF!,IF(+NFL!$H151="Seattle",+NFL!#REF!,0))</f>
        <v>0</v>
      </c>
      <c r="AH541" s="353">
        <f>IF(+NFL!$F151="Seattle",+NFL!#REF!,IF(+NFL!$H151="Seattle",+NFL!#REF!,0))</f>
        <v>0</v>
      </c>
      <c r="AI541" s="379">
        <f>IF(+NFL!$F151="Seattle",+NFL!#REF!,IF(+NFL!$H151="Seattle",+NFL!#REF!,0))</f>
        <v>0</v>
      </c>
      <c r="AJ541" s="353">
        <f>IF(+NFL!$F151="Seattle",+NFL!#REF!,IF(+NFL!$H151="Seattle",+NFL!#REF!,0))</f>
        <v>0</v>
      </c>
      <c r="AK541" s="379">
        <f>IF(+NFL!$F151="Seattle",+NFL!#REF!,IF(+NFL!$H151="Seattle",+NFL!#REF!,0))</f>
        <v>0</v>
      </c>
      <c r="AL541" s="68">
        <f>IF(+NFL!$F151="Seattle",+NFL!#REF!,IF(+NFL!$H151="Seattle",+NFL!#REF!,0))</f>
        <v>0</v>
      </c>
      <c r="AM541" s="58">
        <f>IF(+NFL!$F151="Seattle",+NFL!#REF!,IF(+NFL!$H151="Seattle",+NFL!#REF!,0))</f>
        <v>0</v>
      </c>
      <c r="AN541" s="57">
        <f>IF(+NFL!$F151="Seattle",+NFL!#REF!,IF(+NFL!$H151="Seattle",+NFL!#REF!,0))</f>
        <v>0</v>
      </c>
      <c r="AO541" s="59">
        <f>IF(+NFL!$F151="Seattle",+NFL!#REF!,IF(+NFL!$H151="Seattle",+NFL!#REF!,0))</f>
        <v>0</v>
      </c>
      <c r="AP541" s="348">
        <f>IF(+NFL!$F151="Seattle",+NFL!#REF!,IF(+NFL!$H151="Seattle",+NFL!#REF!,0))</f>
        <v>0</v>
      </c>
      <c r="AQ541" s="48">
        <f>IF(+NFL!$F151="Seattle",+NFL!#REF!,IF(+NFL!$H151="Seattle",+NFL!#REF!,0))</f>
        <v>0</v>
      </c>
      <c r="AR541" s="57">
        <f>IF(+NFL!$F151="Seattle",+NFL!#REF!,IF(+NFL!$H151="Seattle",+NFL!#REF!,0))</f>
        <v>0</v>
      </c>
      <c r="AS541" s="64">
        <f>IF(+NFL!$F151="Seattle",+NFL!#REF!,IF(+NFL!$H151="Seattle",+NFL!#REF!,0))</f>
        <v>0</v>
      </c>
      <c r="AT541" s="64">
        <f>IF(+NFL!$F151="Seattle",+NFL!#REF!,IF(+NFL!$H151="Seattle",+NFL!#REF!,0))</f>
        <v>0</v>
      </c>
      <c r="AU541" s="57">
        <f>IF(+NFL!$F151="Seattle",+NFL!#REF!,IF(+NFL!$H151="Seattle",+NFL!#REF!,0))</f>
        <v>0</v>
      </c>
      <c r="AV541" s="64">
        <f>IF(+NFL!$F151="Seattle",+NFL!#REF!,IF(+NFL!$H151="Seattle",+NFL!#REF!,0))</f>
        <v>0</v>
      </c>
      <c r="AW541" s="46">
        <f>IF(+NFL!$F151="Seattle",+NFL!#REF!,IF(+NFL!$H151="Seattle",+NFL!#REF!,0))</f>
        <v>0</v>
      </c>
      <c r="AX541" s="64">
        <f>IF(+NFL!$F151="Seattle",+NFL!#REF!,IF(+NFL!$H151="Seattle",+NFL!#REF!,0))</f>
        <v>0</v>
      </c>
      <c r="AY541" s="57">
        <f>IF(+NFL!$F151="Seattle",+NFL!#REF!,IF(+NFL!$H151="Seattle",+NFL!#REF!,0))</f>
        <v>0</v>
      </c>
      <c r="AZ541" s="64">
        <f>IF(+NFL!$F151="Seattle",+NFL!#REF!,IF(+NFL!$H151="Seattle",+NFL!#REF!,0))</f>
        <v>0</v>
      </c>
      <c r="BA541" s="46">
        <f>IF(+NFL!$F151="Seattle",+NFL!#REF!,IF(+NFL!$H151="Seattle",+NFL!#REF!,0))</f>
        <v>0</v>
      </c>
      <c r="BB541" s="46">
        <f>IF(+NFL!$F151="Seattle",+NFL!#REF!,IF(+NFL!$H151="Seattle",+NFL!#REF!,0))</f>
        <v>0</v>
      </c>
      <c r="BC541" s="403">
        <f>IF(+NFL!$F151="Seattle",+NFL!#REF!,IF(+NFL!$H151="Seattle",+NFL!#REF!,0))</f>
        <v>0</v>
      </c>
      <c r="BD541" s="57">
        <f>IF(+NFL!$F151="Seattle",+NFL!#REF!,IF(+NFL!$H151="Seattle",+NFL!#REF!,0))</f>
        <v>0</v>
      </c>
      <c r="BE541" s="64">
        <f>IF(+NFL!$F151="Seattle",+NFL!#REF!,IF(+NFL!$H151="Seattle",+NFL!#REF!,0))</f>
        <v>0</v>
      </c>
      <c r="BF541" s="46">
        <f>IF(+NFL!$F151="Seattle",+NFL!#REF!,IF(+NFL!$H151="Seattle",+NFL!#REF!,0))</f>
        <v>0</v>
      </c>
      <c r="BG541" s="57">
        <f>IF(+NFL!$F151="Seattle",+NFL!#REF!,IF(+NFL!$H151="Seattle",+NFL!#REF!,0))</f>
        <v>0</v>
      </c>
      <c r="BH541" s="64">
        <f>IF(+NFL!$F151="Seattle",+NFL!#REF!,IF(+NFL!$H151="Seattle",+NFL!#REF!,0))</f>
        <v>0</v>
      </c>
      <c r="BI541" s="46">
        <f>IF(+NFL!$F151="Seattle",+NFL!#REF!,IF(+NFL!$H151="Seattle",+NFL!#REF!,0))</f>
        <v>0</v>
      </c>
      <c r="BJ541" s="87">
        <f>IF(+NFL!$F151="Seattle",+NFL!#REF!,IF(+NFL!$H151="Seattle",+NFL!#REF!,0))</f>
        <v>0</v>
      </c>
      <c r="BK541" s="120">
        <f>IF(+NFL!$F151="Seattle",+NFL!#REF!,IF(+NFL!$H151="Seattle",+NFL!#REF!,0))</f>
        <v>0</v>
      </c>
    </row>
    <row r="542" spans="1:63" s="246" customFormat="1" x14ac:dyDescent="0.8">
      <c r="A542" s="46">
        <f>IF(+NFL!$F170="Seattle",+NFL!A170,IF(+NFL!$H170="Seattle",+NFL!A170,0))</f>
        <v>10</v>
      </c>
      <c r="B542" s="348" t="str">
        <f>IF(+NFL!$F170="Seattle",+NFL!B170,IF(+NFL!$H170="Seattle",+NFL!B170,0))</f>
        <v>Sun</v>
      </c>
      <c r="C542" s="48">
        <f>IF(+NFL!$F170="Seattle",+NFL!C170,IF(+NFL!$H170="Seattle",+NFL!C170,0))</f>
        <v>44878</v>
      </c>
      <c r="D542" s="490">
        <f>IF(+NFL!$F170="Seattle",+NFL!D170,IF(+NFL!$H170="Seattle",+NFL!D170,0))</f>
        <v>0.39583333333333331</v>
      </c>
      <c r="E542" s="46" t="str">
        <f>IF(+NFL!$F170="Seattle",+NFL!E170,IF(+NFL!$H170="Seattle",+NFL!E170,0))</f>
        <v>NFL</v>
      </c>
      <c r="F542" s="127" t="str">
        <f>IF(+NFL!$F170="Seattle",+NFL!F170,IF(+NFL!$H170="Seattle",+NFL!F170,0))</f>
        <v>Seattle</v>
      </c>
      <c r="G542" s="46" t="str">
        <f>IF(+NFL!$F170="Seattle",+NFL!G170,IF(+NFL!$H170="Seattle",+NFL!G170,0))</f>
        <v>NFCW</v>
      </c>
      <c r="H542" s="127" t="str">
        <f>IF(+NFL!$F170="Seattle",+NFL!H170,IF(+NFL!$H170="Seattle",+NFL!H170,0))</f>
        <v>Tampa Bay</v>
      </c>
      <c r="I542" s="46" t="str">
        <f>IF(+NFL!$F170="Seattle",+NFL!I170,IF(+NFL!$H170="Seattle",+NFL!I170,0))</f>
        <v>NFCS</v>
      </c>
      <c r="J542" s="353" t="str">
        <f>IF(+NFL!$F170="Seattle",+NFL!J170,IF(+NFL!$H170="Seattle",+NFL!J170,0))</f>
        <v>Tampa Bay</v>
      </c>
      <c r="K542" s="494" t="str">
        <f>IF(+NFL!$F170="Seattle",+NFL!K170,IF(+NFL!$H170="Seattle",+NFL!K170,0))</f>
        <v>Seattle</v>
      </c>
      <c r="L542" s="384">
        <f>IF(+NFL!$F170="Seattle",+NFL!L170,IF(+NFL!$H170="Seattle",+NFL!L170,0))</f>
        <v>2.5</v>
      </c>
      <c r="M542" s="385">
        <f>IF(+NFL!$F170="Seattle",+NFL!M170,IF(+NFL!$H170="Seattle",+NFL!M170,0))</f>
        <v>44.5</v>
      </c>
      <c r="N542" s="394" t="str">
        <f>IF(+NFL!$F170="Seattle",+NFL!N170,IF(+NFL!$H170="Seattle",+NFL!N170,0))</f>
        <v>Tampa Bay</v>
      </c>
      <c r="O542" s="395">
        <f>IF(+NFL!$F170="Seattle",+NFL!O170,IF(+NFL!$H170="Seattle",+NFL!O170,0))</f>
        <v>21</v>
      </c>
      <c r="P542" s="394" t="str">
        <f>IF(+NFL!$F170="Seattle",+NFL!P170,IF(+NFL!$H170="Seattle",+NFL!P170,0))</f>
        <v>Seattle</v>
      </c>
      <c r="Q542" s="396">
        <f>IF(+NFL!$F170="Seattle",+NFL!Q170,IF(+NFL!$H170="Seattle",+NFL!Q170,0))</f>
        <v>16</v>
      </c>
      <c r="R542" s="397" t="str">
        <f>IF(+NFL!$F170="Seattle",+NFL!R170,IF(+NFL!$H170="Seattle",+NFL!R170,0))</f>
        <v>Tampa Bay</v>
      </c>
      <c r="S542" s="396" t="str">
        <f>IF(+NFL!$F170="Seattle",+NFL!S170,IF(+NFL!$H170="Seattle",+NFL!S170,0))</f>
        <v>Seattle</v>
      </c>
      <c r="T542" s="398" t="str">
        <f>IF(+NFL!$F170="Seattle",+NFL!T170,IF(+NFL!$H170="Seattle",+NFL!T170,0))</f>
        <v>Seattle</v>
      </c>
      <c r="U542" s="396" t="str">
        <f>IF(+NFL!$F170="Seattle",+NFL!U170,IF(+NFL!$H170="Seattle",+NFL!U170,0))</f>
        <v>L</v>
      </c>
      <c r="V542" s="397">
        <f>IF(+NFL!$F182="Seattle",+NFL!#REF!,IF(+NFL!$H182="Seattle",+NFL!#REF!,0))</f>
        <v>0</v>
      </c>
      <c r="W542" s="396">
        <f>IF(+NFL!$F182="Seattle",+NFL!#REF!,IF(+NFL!$H182="Seattle",+NFL!#REF!,0))</f>
        <v>0</v>
      </c>
      <c r="X542" s="398">
        <f>IF(+NFL!$F182="Seattle",+NFL!#REF!,IF(+NFL!$H182="Seattle",+NFL!#REF!,0))</f>
        <v>0</v>
      </c>
      <c r="Y542" s="396">
        <f>IF(+NFL!$F182="Seattle",+NFL!#REF!,IF(+NFL!$H182="Seattle",+NFL!#REF!,0))</f>
        <v>0</v>
      </c>
      <c r="Z542" s="397">
        <f>IF(+NFL!$F182="Seattle",+NFL!#REF!,IF(+NFL!$H182="Seattle",+NFL!#REF!,0))</f>
        <v>0</v>
      </c>
      <c r="AA542" s="396">
        <f>IF(+NFL!$F182="Seattle",+NFL!#REF!,IF(+NFL!$H182="Seattle",+NFL!#REF!,0))</f>
        <v>0</v>
      </c>
      <c r="AB542" s="87">
        <f>IF(+NFL!$F182="Seattle",+NFL!#REF!,IF(+NFL!$H182="Seattle",+NFL!#REF!,0))</f>
        <v>0</v>
      </c>
      <c r="AC542" s="120">
        <f>IF(+NFL!$F182="Seattle",+NFL!#REF!,IF(+NFL!$H182="Seattle",+NFL!#REF!,0))</f>
        <v>0</v>
      </c>
      <c r="AD542" s="353">
        <f>IF(+NFL!$F182="Seattle",+NFL!#REF!,IF(+NFL!$H182="Seattle",+NFL!#REF!,0))</f>
        <v>0</v>
      </c>
      <c r="AE542" s="379">
        <f>IF(+NFL!$F182="Seattle",+NFL!#REF!,IF(+NFL!$H182="Seattle",+NFL!#REF!,0))</f>
        <v>0</v>
      </c>
      <c r="AF542" s="353">
        <f>IF(+NFL!$F182="Seattle",+NFL!#REF!,IF(+NFL!$H182="Seattle",+NFL!#REF!,0))</f>
        <v>0</v>
      </c>
      <c r="AG542" s="379">
        <f>IF(+NFL!$F182="Seattle",+NFL!#REF!,IF(+NFL!$H182="Seattle",+NFL!#REF!,0))</f>
        <v>0</v>
      </c>
      <c r="AH542" s="353">
        <f>IF(+NFL!$F182="Seattle",+NFL!#REF!,IF(+NFL!$H182="Seattle",+NFL!#REF!,0))</f>
        <v>0</v>
      </c>
      <c r="AI542" s="379">
        <f>IF(+NFL!$F182="Seattle",+NFL!#REF!,IF(+NFL!$H182="Seattle",+NFL!#REF!,0))</f>
        <v>0</v>
      </c>
      <c r="AJ542" s="353">
        <f>IF(+NFL!$F182="Seattle",+NFL!#REF!,IF(+NFL!$H182="Seattle",+NFL!#REF!,0))</f>
        <v>0</v>
      </c>
      <c r="AK542" s="379">
        <f>IF(+NFL!$F182="Seattle",+NFL!#REF!,IF(+NFL!$H182="Seattle",+NFL!#REF!,0))</f>
        <v>0</v>
      </c>
      <c r="AL542" s="68">
        <f>IF(+NFL!$F182="Seattle",+NFL!#REF!,IF(+NFL!$H182="Seattle",+NFL!#REF!,0))</f>
        <v>0</v>
      </c>
      <c r="AM542" s="58">
        <f>IF(+NFL!$F182="Seattle",+NFL!#REF!,IF(+NFL!$H182="Seattle",+NFL!#REF!,0))</f>
        <v>0</v>
      </c>
      <c r="AN542" s="57">
        <f>IF(+NFL!$F182="Seattle",+NFL!#REF!,IF(+NFL!$H182="Seattle",+NFL!#REF!,0))</f>
        <v>0</v>
      </c>
      <c r="AO542" s="59">
        <f>IF(+NFL!$F182="Seattle",+NFL!#REF!,IF(+NFL!$H182="Seattle",+NFL!#REF!,0))</f>
        <v>0</v>
      </c>
      <c r="AP542" s="348">
        <f>IF(+NFL!$F182="Seattle",+NFL!#REF!,IF(+NFL!$H182="Seattle",+NFL!#REF!,0))</f>
        <v>0</v>
      </c>
      <c r="AQ542" s="48">
        <f>IF(+NFL!$F182="Seattle",+NFL!#REF!,IF(+NFL!$H182="Seattle",+NFL!#REF!,0))</f>
        <v>0</v>
      </c>
      <c r="AR542" s="57">
        <f>IF(+NFL!$F182="Seattle",+NFL!#REF!,IF(+NFL!$H182="Seattle",+NFL!#REF!,0))</f>
        <v>0</v>
      </c>
      <c r="AS542" s="64">
        <f>IF(+NFL!$F182="Seattle",+NFL!#REF!,IF(+NFL!$H182="Seattle",+NFL!#REF!,0))</f>
        <v>0</v>
      </c>
      <c r="AT542" s="64">
        <f>IF(+NFL!$F182="Seattle",+NFL!#REF!,IF(+NFL!$H182="Seattle",+NFL!#REF!,0))</f>
        <v>0</v>
      </c>
      <c r="AU542" s="57">
        <f>IF(+NFL!$F182="Seattle",+NFL!#REF!,IF(+NFL!$H182="Seattle",+NFL!#REF!,0))</f>
        <v>0</v>
      </c>
      <c r="AV542" s="64">
        <f>IF(+NFL!$F182="Seattle",+NFL!#REF!,IF(+NFL!$H182="Seattle",+NFL!#REF!,0))</f>
        <v>0</v>
      </c>
      <c r="AW542" s="46">
        <f>IF(+NFL!$F182="Seattle",+NFL!#REF!,IF(+NFL!$H182="Seattle",+NFL!#REF!,0))</f>
        <v>0</v>
      </c>
      <c r="AX542" s="64">
        <f>IF(+NFL!$F182="Seattle",+NFL!#REF!,IF(+NFL!$H182="Seattle",+NFL!#REF!,0))</f>
        <v>0</v>
      </c>
      <c r="AY542" s="57">
        <f>IF(+NFL!$F182="Seattle",+NFL!#REF!,IF(+NFL!$H182="Seattle",+NFL!#REF!,0))</f>
        <v>0</v>
      </c>
      <c r="AZ542" s="64">
        <f>IF(+NFL!$F182="Seattle",+NFL!#REF!,IF(+NFL!$H182="Seattle",+NFL!#REF!,0))</f>
        <v>0</v>
      </c>
      <c r="BA542" s="46">
        <f>IF(+NFL!$F182="Seattle",+NFL!#REF!,IF(+NFL!$H182="Seattle",+NFL!#REF!,0))</f>
        <v>0</v>
      </c>
      <c r="BB542" s="46">
        <f>IF(+NFL!$F182="Seattle",+NFL!#REF!,IF(+NFL!$H182="Seattle",+NFL!#REF!,0))</f>
        <v>0</v>
      </c>
      <c r="BC542" s="403">
        <f>IF(+NFL!$F182="Seattle",+NFL!#REF!,IF(+NFL!$H182="Seattle",+NFL!#REF!,0))</f>
        <v>0</v>
      </c>
      <c r="BD542" s="57">
        <f>IF(+NFL!$F182="Seattle",+NFL!#REF!,IF(+NFL!$H182="Seattle",+NFL!#REF!,0))</f>
        <v>0</v>
      </c>
      <c r="BE542" s="64">
        <f>IF(+NFL!$F182="Seattle",+NFL!#REF!,IF(+NFL!$H182="Seattle",+NFL!#REF!,0))</f>
        <v>0</v>
      </c>
      <c r="BF542" s="46">
        <f>IF(+NFL!$F182="Seattle",+NFL!#REF!,IF(+NFL!$H182="Seattle",+NFL!#REF!,0))</f>
        <v>0</v>
      </c>
      <c r="BG542" s="57">
        <f>IF(+NFL!$F182="Seattle",+NFL!#REF!,IF(+NFL!$H182="Seattle",+NFL!#REF!,0))</f>
        <v>0</v>
      </c>
      <c r="BH542" s="64">
        <f>IF(+NFL!$F182="Seattle",+NFL!#REF!,IF(+NFL!$H182="Seattle",+NFL!#REF!,0))</f>
        <v>0</v>
      </c>
      <c r="BI542" s="46">
        <f>IF(+NFL!$F182="Seattle",+NFL!#REF!,IF(+NFL!$H182="Seattle",+NFL!#REF!,0))</f>
        <v>0</v>
      </c>
      <c r="BJ542" s="87">
        <f>IF(+NFL!$F182="Seattle",+NFL!#REF!,IF(+NFL!$H182="Seattle",+NFL!#REF!,0))</f>
        <v>0</v>
      </c>
      <c r="BK542" s="120">
        <f>IF(+NFL!$F182="Seattle",+NFL!#REF!,IF(+NFL!$H182="Seattle",+NFL!#REF!,0))</f>
        <v>0</v>
      </c>
    </row>
    <row r="543" spans="1:63" s="246" customFormat="1" x14ac:dyDescent="0.8">
      <c r="A543" s="46">
        <f>IF(+NFL!$F205="Seattle",+NFL!A205,IF(+NFL!$H205="Seattle",+NFL!A205,0))</f>
        <v>11</v>
      </c>
      <c r="B543" s="348">
        <f>IF(+NFL!$F205="Seattle",+NFL!B205,IF(+NFL!$H205="Seattle",+NFL!B205,0))</f>
        <v>0</v>
      </c>
      <c r="C543" s="48">
        <f>IF(+NFL!$F205="Seattle",+NFL!C205,IF(+NFL!$H205="Seattle",+NFL!C205,0))</f>
        <v>0</v>
      </c>
      <c r="D543" s="490">
        <f>IF(+NFL!$F205="Seattle",+NFL!D205,IF(+NFL!$H205="Seattle",+NFL!D205,0))</f>
        <v>0</v>
      </c>
      <c r="E543" s="46">
        <f>IF(+NFL!$F205="Seattle",+NFL!E205,IF(+NFL!$H205="Seattle",+NFL!E205,0))</f>
        <v>0</v>
      </c>
      <c r="F543" s="127" t="str">
        <f>IF(+NFL!$F205="Seattle",+NFL!F205,IF(+NFL!$H205="Seattle",+NFL!F205,0))</f>
        <v>Seattle</v>
      </c>
      <c r="G543" s="46" t="str">
        <f>IF(+NFL!$F205="Seattle",+NFL!G205,IF(+NFL!$H205="Seattle",+NFL!G205,0))</f>
        <v>NFCW</v>
      </c>
      <c r="H543" s="127">
        <f>IF(+NFL!$F205="Seattle",+NFL!H205,IF(+NFL!$H205="Seattle",+NFL!H205,0))</f>
        <v>0</v>
      </c>
      <c r="I543" s="46">
        <f>IF(+NFL!$F205="Seattle",+NFL!I205,IF(+NFL!$H205="Seattle",+NFL!I205,0))</f>
        <v>0</v>
      </c>
      <c r="J543" s="353">
        <f>IF(+NFL!$F205="Seattle",+NFL!J205,IF(+NFL!$H205="Seattle",+NFL!J205,0))</f>
        <v>0</v>
      </c>
      <c r="K543" s="494">
        <f>IF(+NFL!$F205="Seattle",+NFL!K205,IF(+NFL!$H205="Seattle",+NFL!K205,0))</f>
        <v>0</v>
      </c>
      <c r="L543" s="384">
        <f>IF(+NFL!$F205="Seattle",+NFL!L205,IF(+NFL!$H205="Seattle",+NFL!L205,0))</f>
        <v>0</v>
      </c>
      <c r="M543" s="385">
        <f>IF(+NFL!$F205="Seattle",+NFL!M205,IF(+NFL!$H205="Seattle",+NFL!M205,0))</f>
        <v>0</v>
      </c>
      <c r="N543" s="394">
        <f>IF(+NFL!$F205="Seattle",+NFL!N205,IF(+NFL!$H205="Seattle",+NFL!N205,0))</f>
        <v>0</v>
      </c>
      <c r="O543" s="395">
        <f>IF(+NFL!$F205="Seattle",+NFL!O205,IF(+NFL!$H205="Seattle",+NFL!O205,0))</f>
        <v>0</v>
      </c>
      <c r="P543" s="394">
        <f>IF(+NFL!$F205="Seattle",+NFL!P205,IF(+NFL!$H205="Seattle",+NFL!P205,0))</f>
        <v>0</v>
      </c>
      <c r="Q543" s="396">
        <f>IF(+NFL!$F205="Seattle",+NFL!Q205,IF(+NFL!$H205="Seattle",+NFL!Q205,0))</f>
        <v>0</v>
      </c>
      <c r="R543" s="397">
        <f>IF(+NFL!$F205="Seattle",+NFL!R205,IF(+NFL!$H205="Seattle",+NFL!R205,0))</f>
        <v>0</v>
      </c>
      <c r="S543" s="396">
        <f>IF(+NFL!$F205="Seattle",+NFL!S205,IF(+NFL!$H205="Seattle",+NFL!S205,0))</f>
        <v>0</v>
      </c>
      <c r="T543" s="398">
        <f>IF(+NFL!$F205="Seattle",+NFL!T205,IF(+NFL!$H205="Seattle",+NFL!T205,0))</f>
        <v>0</v>
      </c>
      <c r="U543" s="396">
        <f>IF(+NFL!$F205="Seattle",+NFL!U205,IF(+NFL!$H205="Seattle",+NFL!U205,0))</f>
        <v>0</v>
      </c>
      <c r="V543" s="397">
        <f>IF(+NFL!$F207="Seattle",+NFL!#REF!,IF(+NFL!$H207="Seattle",+NFL!#REF!,0))</f>
        <v>0</v>
      </c>
      <c r="W543" s="396">
        <f>IF(+NFL!$F207="Seattle",+NFL!#REF!,IF(+NFL!$H207="Seattle",+NFL!#REF!,0))</f>
        <v>0</v>
      </c>
      <c r="X543" s="398">
        <f>IF(+NFL!$F207="Seattle",+NFL!#REF!,IF(+NFL!$H207="Seattle",+NFL!#REF!,0))</f>
        <v>0</v>
      </c>
      <c r="Y543" s="396">
        <f>IF(+NFL!$F207="Seattle",+NFL!#REF!,IF(+NFL!$H207="Seattle",+NFL!#REF!,0))</f>
        <v>0</v>
      </c>
      <c r="Z543" s="397">
        <f>IF(+NFL!$F207="Seattle",+NFL!#REF!,IF(+NFL!$H207="Seattle",+NFL!#REF!,0))</f>
        <v>0</v>
      </c>
      <c r="AA543" s="396">
        <f>IF(+NFL!$F207="Seattle",+NFL!#REF!,IF(+NFL!$H207="Seattle",+NFL!#REF!,0))</f>
        <v>0</v>
      </c>
      <c r="AB543" s="87">
        <f>IF(+NFL!$F207="Seattle",+NFL!#REF!,IF(+NFL!$H207="Seattle",+NFL!#REF!,0))</f>
        <v>0</v>
      </c>
      <c r="AC543" s="120">
        <f>IF(+NFL!$F207="Seattle",+NFL!#REF!,IF(+NFL!$H207="Seattle",+NFL!#REF!,0))</f>
        <v>0</v>
      </c>
      <c r="AD543" s="353">
        <f>IF(+NFL!$F207="Seattle",+NFL!#REF!,IF(+NFL!$H207="Seattle",+NFL!#REF!,0))</f>
        <v>0</v>
      </c>
      <c r="AE543" s="379">
        <f>IF(+NFL!$F207="Seattle",+NFL!#REF!,IF(+NFL!$H207="Seattle",+NFL!#REF!,0))</f>
        <v>0</v>
      </c>
      <c r="AF543" s="353">
        <f>IF(+NFL!$F207="Seattle",+NFL!#REF!,IF(+NFL!$H207="Seattle",+NFL!#REF!,0))</f>
        <v>0</v>
      </c>
      <c r="AG543" s="379">
        <f>IF(+NFL!$F207="Seattle",+NFL!#REF!,IF(+NFL!$H207="Seattle",+NFL!#REF!,0))</f>
        <v>0</v>
      </c>
      <c r="AH543" s="353">
        <f>IF(+NFL!$F207="Seattle",+NFL!#REF!,IF(+NFL!$H207="Seattle",+NFL!#REF!,0))</f>
        <v>0</v>
      </c>
      <c r="AI543" s="379">
        <f>IF(+NFL!$F207="Seattle",+NFL!#REF!,IF(+NFL!$H207="Seattle",+NFL!#REF!,0))</f>
        <v>0</v>
      </c>
      <c r="AJ543" s="353">
        <f>IF(+NFL!$F207="Seattle",+NFL!#REF!,IF(+NFL!$H207="Seattle",+NFL!#REF!,0))</f>
        <v>0</v>
      </c>
      <c r="AK543" s="379">
        <f>IF(+NFL!$F207="Seattle",+NFL!#REF!,IF(+NFL!$H207="Seattle",+NFL!#REF!,0))</f>
        <v>0</v>
      </c>
      <c r="AL543" s="68">
        <f>IF(+NFL!$F207="Seattle",+NFL!#REF!,IF(+NFL!$H207="Seattle",+NFL!#REF!,0))</f>
        <v>0</v>
      </c>
      <c r="AM543" s="58">
        <f>IF(+NFL!$F207="Seattle",+NFL!#REF!,IF(+NFL!$H207="Seattle",+NFL!#REF!,0))</f>
        <v>0</v>
      </c>
      <c r="AN543" s="57">
        <f>IF(+NFL!$F207="Seattle",+NFL!#REF!,IF(+NFL!$H207="Seattle",+NFL!#REF!,0))</f>
        <v>0</v>
      </c>
      <c r="AO543" s="59">
        <f>IF(+NFL!$F207="Seattle",+NFL!#REF!,IF(+NFL!$H207="Seattle",+NFL!#REF!,0))</f>
        <v>0</v>
      </c>
      <c r="AP543" s="348">
        <f>IF(+NFL!$F207="Seattle",+NFL!#REF!,IF(+NFL!$H207="Seattle",+NFL!#REF!,0))</f>
        <v>0</v>
      </c>
      <c r="AQ543" s="48">
        <f>IF(+NFL!$F207="Seattle",+NFL!#REF!,IF(+NFL!$H207="Seattle",+NFL!#REF!,0))</f>
        <v>0</v>
      </c>
      <c r="AR543" s="57">
        <f>IF(+NFL!$F207="Seattle",+NFL!#REF!,IF(+NFL!$H207="Seattle",+NFL!#REF!,0))</f>
        <v>0</v>
      </c>
      <c r="AS543" s="64">
        <f>IF(+NFL!$F207="Seattle",+NFL!#REF!,IF(+NFL!$H207="Seattle",+NFL!#REF!,0))</f>
        <v>0</v>
      </c>
      <c r="AT543" s="64">
        <f>IF(+NFL!$F207="Seattle",+NFL!#REF!,IF(+NFL!$H207="Seattle",+NFL!#REF!,0))</f>
        <v>0</v>
      </c>
      <c r="AU543" s="57">
        <f>IF(+NFL!$F207="Seattle",+NFL!#REF!,IF(+NFL!$H207="Seattle",+NFL!#REF!,0))</f>
        <v>0</v>
      </c>
      <c r="AV543" s="64">
        <f>IF(+NFL!$F207="Seattle",+NFL!#REF!,IF(+NFL!$H207="Seattle",+NFL!#REF!,0))</f>
        <v>0</v>
      </c>
      <c r="AW543" s="46">
        <f>IF(+NFL!$F207="Seattle",+NFL!#REF!,IF(+NFL!$H207="Seattle",+NFL!#REF!,0))</f>
        <v>0</v>
      </c>
      <c r="AX543" s="64">
        <f>IF(+NFL!$F207="Seattle",+NFL!#REF!,IF(+NFL!$H207="Seattle",+NFL!#REF!,0))</f>
        <v>0</v>
      </c>
      <c r="AY543" s="57">
        <f>IF(+NFL!$F207="Seattle",+NFL!#REF!,IF(+NFL!$H207="Seattle",+NFL!#REF!,0))</f>
        <v>0</v>
      </c>
      <c r="AZ543" s="64">
        <f>IF(+NFL!$F207="Seattle",+NFL!#REF!,IF(+NFL!$H207="Seattle",+NFL!#REF!,0))</f>
        <v>0</v>
      </c>
      <c r="BA543" s="46">
        <f>IF(+NFL!$F207="Seattle",+NFL!#REF!,IF(+NFL!$H207="Seattle",+NFL!#REF!,0))</f>
        <v>0</v>
      </c>
      <c r="BB543" s="46">
        <f>IF(+NFL!$F207="Seattle",+NFL!#REF!,IF(+NFL!$H207="Seattle",+NFL!#REF!,0))</f>
        <v>0</v>
      </c>
      <c r="BC543" s="403">
        <f>IF(+NFL!$F207="Seattle",+NFL!#REF!,IF(+NFL!$H207="Seattle",+NFL!#REF!,0))</f>
        <v>0</v>
      </c>
      <c r="BD543" s="57">
        <f>IF(+NFL!$F207="Seattle",+NFL!#REF!,IF(+NFL!$H207="Seattle",+NFL!#REF!,0))</f>
        <v>0</v>
      </c>
      <c r="BE543" s="64">
        <f>IF(+NFL!$F207="Seattle",+NFL!#REF!,IF(+NFL!$H207="Seattle",+NFL!#REF!,0))</f>
        <v>0</v>
      </c>
      <c r="BF543" s="46">
        <f>IF(+NFL!$F207="Seattle",+NFL!#REF!,IF(+NFL!$H207="Seattle",+NFL!#REF!,0))</f>
        <v>0</v>
      </c>
      <c r="BG543" s="57">
        <f>IF(+NFL!$F207="Seattle",+NFL!#REF!,IF(+NFL!$H207="Seattle",+NFL!#REF!,0))</f>
        <v>0</v>
      </c>
      <c r="BH543" s="64">
        <f>IF(+NFL!$F207="Seattle",+NFL!#REF!,IF(+NFL!$H207="Seattle",+NFL!#REF!,0))</f>
        <v>0</v>
      </c>
      <c r="BI543" s="46">
        <f>IF(+NFL!$F207="Seattle",+NFL!#REF!,IF(+NFL!$H207="Seattle",+NFL!#REF!,0))</f>
        <v>0</v>
      </c>
      <c r="BJ543" s="87">
        <f>IF(+NFL!$F207="Seattle",+NFL!#REF!,IF(+NFL!$H207="Seattle",+NFL!#REF!,0))</f>
        <v>0</v>
      </c>
      <c r="BK543" s="120">
        <f>IF(+NFL!$F207="Seattle",+NFL!#REF!,IF(+NFL!$H207="Seattle",+NFL!#REF!,0))</f>
        <v>0</v>
      </c>
    </row>
    <row r="544" spans="1:63" s="246" customFormat="1" x14ac:dyDescent="0.8">
      <c r="A544" s="46">
        <f>IF(+NFL!$F220="Seattle",+NFL!A220,IF(+NFL!$H220="Seattle",+NFL!A220,0))</f>
        <v>12</v>
      </c>
      <c r="B544" s="348" t="str">
        <f>IF(+NFL!$F220="Seattle",+NFL!B220,IF(+NFL!$H220="Seattle",+NFL!B220,0))</f>
        <v>Sun</v>
      </c>
      <c r="C544" s="48">
        <f>IF(+NFL!$F220="Seattle",+NFL!C220,IF(+NFL!$H220="Seattle",+NFL!C220,0))</f>
        <v>44892</v>
      </c>
      <c r="D544" s="490">
        <f>IF(+NFL!$F220="Seattle",+NFL!D220,IF(+NFL!$H220="Seattle",+NFL!D220,0))</f>
        <v>0.66666666666666663</v>
      </c>
      <c r="E544" s="46" t="str">
        <f>IF(+NFL!$F220="Seattle",+NFL!E220,IF(+NFL!$H220="Seattle",+NFL!E220,0))</f>
        <v>CBS</v>
      </c>
      <c r="F544" s="127" t="str">
        <f>IF(+NFL!$F220="Seattle",+NFL!F220,IF(+NFL!$H220="Seattle",+NFL!F220,0))</f>
        <v>Las Vegas</v>
      </c>
      <c r="G544" s="46" t="str">
        <f>IF(+NFL!$F220="Seattle",+NFL!G220,IF(+NFL!$H220="Seattle",+NFL!G220,0))</f>
        <v>AFCW</v>
      </c>
      <c r="H544" s="127" t="str">
        <f>IF(+NFL!$F220="Seattle",+NFL!H220,IF(+NFL!$H220="Seattle",+NFL!H220,0))</f>
        <v>Seattle</v>
      </c>
      <c r="I544" s="46" t="str">
        <f>IF(+NFL!$F220="Seattle",+NFL!I220,IF(+NFL!$H220="Seattle",+NFL!I220,0))</f>
        <v>NFCW</v>
      </c>
      <c r="J544" s="353" t="str">
        <f>IF(+NFL!$F220="Seattle",+NFL!J220,IF(+NFL!$H220="Seattle",+NFL!J220,0))</f>
        <v>Seattle</v>
      </c>
      <c r="K544" s="494" t="str">
        <f>IF(+NFL!$F220="Seattle",+NFL!K220,IF(+NFL!$H220="Seattle",+NFL!K220,0))</f>
        <v>Las Vegas</v>
      </c>
      <c r="L544" s="384">
        <f>IF(+NFL!$F220="Seattle",+NFL!L220,IF(+NFL!$H220="Seattle",+NFL!L220,0))</f>
        <v>3.5</v>
      </c>
      <c r="M544" s="385">
        <f>IF(+NFL!$F220="Seattle",+NFL!M220,IF(+NFL!$H220="Seattle",+NFL!M220,0))</f>
        <v>47.5</v>
      </c>
      <c r="N544" s="394" t="str">
        <f>IF(+NFL!$F220="Seattle",+NFL!N220,IF(+NFL!$H220="Seattle",+NFL!N220,0))</f>
        <v>Las Vegas</v>
      </c>
      <c r="O544" s="395">
        <f>IF(+NFL!$F220="Seattle",+NFL!O220,IF(+NFL!$H220="Seattle",+NFL!O220,0))</f>
        <v>40</v>
      </c>
      <c r="P544" s="394" t="str">
        <f>IF(+NFL!$F220="Seattle",+NFL!P220,IF(+NFL!$H220="Seattle",+NFL!P220,0))</f>
        <v>Seattle</v>
      </c>
      <c r="Q544" s="396">
        <f>IF(+NFL!$F220="Seattle",+NFL!Q220,IF(+NFL!$H220="Seattle",+NFL!Q220,0))</f>
        <v>34</v>
      </c>
      <c r="R544" s="397" t="str">
        <f>IF(+NFL!$F220="Seattle",+NFL!R220,IF(+NFL!$H220="Seattle",+NFL!R220,0))</f>
        <v>Las Vegas</v>
      </c>
      <c r="S544" s="396" t="str">
        <f>IF(+NFL!$F220="Seattle",+NFL!S220,IF(+NFL!$H220="Seattle",+NFL!S220,0))</f>
        <v>Seattle</v>
      </c>
      <c r="T544" s="398" t="str">
        <f>IF(+NFL!$F220="Seattle",+NFL!T220,IF(+NFL!$H220="Seattle",+NFL!T220,0))</f>
        <v>Seattle</v>
      </c>
      <c r="U544" s="396" t="str">
        <f>IF(+NFL!$F220="Seattle",+NFL!U220,IF(+NFL!$H220="Seattle",+NFL!U220,0))</f>
        <v>L</v>
      </c>
      <c r="V544" s="397" t="e">
        <f>IF(+NFL!$F235="Seattle",+NFL!#REF!,IF(+NFL!$H235="Seattle",+NFL!#REF!,0))</f>
        <v>#REF!</v>
      </c>
      <c r="W544" s="396" t="e">
        <f>IF(+NFL!$F235="Seattle",+NFL!#REF!,IF(+NFL!$H235="Seattle",+NFL!#REF!,0))</f>
        <v>#REF!</v>
      </c>
      <c r="X544" s="398" t="e">
        <f>IF(+NFL!$F235="Seattle",+NFL!#REF!,IF(+NFL!$H235="Seattle",+NFL!#REF!,0))</f>
        <v>#REF!</v>
      </c>
      <c r="Y544" s="396" t="e">
        <f>IF(+NFL!$F235="Seattle",+NFL!#REF!,IF(+NFL!$H235="Seattle",+NFL!#REF!,0))</f>
        <v>#REF!</v>
      </c>
      <c r="Z544" s="397" t="e">
        <f>IF(+NFL!$F235="Seattle",+NFL!#REF!,IF(+NFL!$H235="Seattle",+NFL!#REF!,0))</f>
        <v>#REF!</v>
      </c>
      <c r="AA544" s="396" t="e">
        <f>IF(+NFL!$F235="Seattle",+NFL!#REF!,IF(+NFL!$H235="Seattle",+NFL!#REF!,0))</f>
        <v>#REF!</v>
      </c>
      <c r="AB544" s="87" t="e">
        <f>IF(+NFL!$F235="Seattle",+NFL!#REF!,IF(+NFL!$H235="Seattle",+NFL!#REF!,0))</f>
        <v>#REF!</v>
      </c>
      <c r="AC544" s="120" t="e">
        <f>IF(+NFL!$F235="Seattle",+NFL!#REF!,IF(+NFL!$H235="Seattle",+NFL!#REF!,0))</f>
        <v>#REF!</v>
      </c>
      <c r="AD544" s="353" t="e">
        <f>IF(+NFL!$F235="Seattle",+NFL!#REF!,IF(+NFL!$H235="Seattle",+NFL!#REF!,0))</f>
        <v>#REF!</v>
      </c>
      <c r="AE544" s="379" t="e">
        <f>IF(+NFL!$F235="Seattle",+NFL!#REF!,IF(+NFL!$H235="Seattle",+NFL!#REF!,0))</f>
        <v>#REF!</v>
      </c>
      <c r="AF544" s="353" t="e">
        <f>IF(+NFL!$F235="Seattle",+NFL!#REF!,IF(+NFL!$H235="Seattle",+NFL!#REF!,0))</f>
        <v>#REF!</v>
      </c>
      <c r="AG544" s="379" t="e">
        <f>IF(+NFL!$F235="Seattle",+NFL!#REF!,IF(+NFL!$H235="Seattle",+NFL!#REF!,0))</f>
        <v>#REF!</v>
      </c>
      <c r="AH544" s="353" t="e">
        <f>IF(+NFL!$F235="Seattle",+NFL!#REF!,IF(+NFL!$H235="Seattle",+NFL!#REF!,0))</f>
        <v>#REF!</v>
      </c>
      <c r="AI544" s="379" t="e">
        <f>IF(+NFL!$F235="Seattle",+NFL!#REF!,IF(+NFL!$H235="Seattle",+NFL!#REF!,0))</f>
        <v>#REF!</v>
      </c>
      <c r="AJ544" s="353" t="e">
        <f>IF(+NFL!$F235="Seattle",+NFL!#REF!,IF(+NFL!$H235="Seattle",+NFL!#REF!,0))</f>
        <v>#REF!</v>
      </c>
      <c r="AK544" s="379" t="e">
        <f>IF(+NFL!$F235="Seattle",+NFL!#REF!,IF(+NFL!$H235="Seattle",+NFL!#REF!,0))</f>
        <v>#REF!</v>
      </c>
      <c r="AL544" s="68" t="e">
        <f>IF(+NFL!$F235="Seattle",+NFL!#REF!,IF(+NFL!$H235="Seattle",+NFL!#REF!,0))</f>
        <v>#REF!</v>
      </c>
      <c r="AM544" s="58" t="e">
        <f>IF(+NFL!$F235="Seattle",+NFL!#REF!,IF(+NFL!$H235="Seattle",+NFL!#REF!,0))</f>
        <v>#REF!</v>
      </c>
      <c r="AN544" s="57" t="e">
        <f>IF(+NFL!$F235="Seattle",+NFL!#REF!,IF(+NFL!$H235="Seattle",+NFL!#REF!,0))</f>
        <v>#REF!</v>
      </c>
      <c r="AO544" s="59" t="e">
        <f>IF(+NFL!$F235="Seattle",+NFL!#REF!,IF(+NFL!$H235="Seattle",+NFL!#REF!,0))</f>
        <v>#REF!</v>
      </c>
      <c r="AP544" s="348" t="e">
        <f>IF(+NFL!$F235="Seattle",+NFL!#REF!,IF(+NFL!$H235="Seattle",+NFL!#REF!,0))</f>
        <v>#REF!</v>
      </c>
      <c r="AQ544" s="48" t="e">
        <f>IF(+NFL!$F235="Seattle",+NFL!#REF!,IF(+NFL!$H235="Seattle",+NFL!#REF!,0))</f>
        <v>#REF!</v>
      </c>
      <c r="AR544" s="57" t="e">
        <f>IF(+NFL!$F235="Seattle",+NFL!#REF!,IF(+NFL!$H235="Seattle",+NFL!#REF!,0))</f>
        <v>#REF!</v>
      </c>
      <c r="AS544" s="64" t="e">
        <f>IF(+NFL!$F235="Seattle",+NFL!#REF!,IF(+NFL!$H235="Seattle",+NFL!#REF!,0))</f>
        <v>#REF!</v>
      </c>
      <c r="AT544" s="64" t="e">
        <f>IF(+NFL!$F235="Seattle",+NFL!#REF!,IF(+NFL!$H235="Seattle",+NFL!#REF!,0))</f>
        <v>#REF!</v>
      </c>
      <c r="AU544" s="57" t="e">
        <f>IF(+NFL!$F235="Seattle",+NFL!#REF!,IF(+NFL!$H235="Seattle",+NFL!#REF!,0))</f>
        <v>#REF!</v>
      </c>
      <c r="AV544" s="64" t="e">
        <f>IF(+NFL!$F235="Seattle",+NFL!#REF!,IF(+NFL!$H235="Seattle",+NFL!#REF!,0))</f>
        <v>#REF!</v>
      </c>
      <c r="AW544" s="46" t="e">
        <f>IF(+NFL!$F235="Seattle",+NFL!#REF!,IF(+NFL!$H235="Seattle",+NFL!#REF!,0))</f>
        <v>#REF!</v>
      </c>
      <c r="AX544" s="64" t="e">
        <f>IF(+NFL!$F235="Seattle",+NFL!#REF!,IF(+NFL!$H235="Seattle",+NFL!#REF!,0))</f>
        <v>#REF!</v>
      </c>
      <c r="AY544" s="57" t="e">
        <f>IF(+NFL!$F235="Seattle",+NFL!#REF!,IF(+NFL!$H235="Seattle",+NFL!#REF!,0))</f>
        <v>#REF!</v>
      </c>
      <c r="AZ544" s="64" t="e">
        <f>IF(+NFL!$F235="Seattle",+NFL!#REF!,IF(+NFL!$H235="Seattle",+NFL!#REF!,0))</f>
        <v>#REF!</v>
      </c>
      <c r="BA544" s="46" t="e">
        <f>IF(+NFL!$F235="Seattle",+NFL!#REF!,IF(+NFL!$H235="Seattle",+NFL!#REF!,0))</f>
        <v>#REF!</v>
      </c>
      <c r="BB544" s="46" t="e">
        <f>IF(+NFL!$F235="Seattle",+NFL!#REF!,IF(+NFL!$H235="Seattle",+NFL!#REF!,0))</f>
        <v>#REF!</v>
      </c>
      <c r="BC544" s="403" t="e">
        <f>IF(+NFL!$F235="Seattle",+NFL!#REF!,IF(+NFL!$H235="Seattle",+NFL!#REF!,0))</f>
        <v>#REF!</v>
      </c>
      <c r="BD544" s="57" t="e">
        <f>IF(+NFL!$F235="Seattle",+NFL!#REF!,IF(+NFL!$H235="Seattle",+NFL!#REF!,0))</f>
        <v>#REF!</v>
      </c>
      <c r="BE544" s="64" t="e">
        <f>IF(+NFL!$F235="Seattle",+NFL!#REF!,IF(+NFL!$H235="Seattle",+NFL!#REF!,0))</f>
        <v>#REF!</v>
      </c>
      <c r="BF544" s="46" t="e">
        <f>IF(+NFL!$F235="Seattle",+NFL!#REF!,IF(+NFL!$H235="Seattle",+NFL!#REF!,0))</f>
        <v>#REF!</v>
      </c>
      <c r="BG544" s="57" t="e">
        <f>IF(+NFL!$F235="Seattle",+NFL!#REF!,IF(+NFL!$H235="Seattle",+NFL!#REF!,0))</f>
        <v>#REF!</v>
      </c>
      <c r="BH544" s="64" t="e">
        <f>IF(+NFL!$F235="Seattle",+NFL!#REF!,IF(+NFL!$H235="Seattle",+NFL!#REF!,0))</f>
        <v>#REF!</v>
      </c>
      <c r="BI544" s="46" t="e">
        <f>IF(+NFL!$F235="Seattle",+NFL!#REF!,IF(+NFL!$H235="Seattle",+NFL!#REF!,0))</f>
        <v>#REF!</v>
      </c>
      <c r="BJ544" s="87" t="e">
        <f>IF(+NFL!$F235="Seattle",+NFL!#REF!,IF(+NFL!$H235="Seattle",+NFL!#REF!,0))</f>
        <v>#REF!</v>
      </c>
      <c r="BK544" s="120" t="e">
        <f>IF(+NFL!$F235="Seattle",+NFL!#REF!,IF(+NFL!$H235="Seattle",+NFL!#REF!,0))</f>
        <v>#REF!</v>
      </c>
    </row>
    <row r="545" spans="1:63" s="246" customFormat="1" x14ac:dyDescent="0.8">
      <c r="A545" s="46">
        <f>IF(+NFL!$F235="Seattle",+NFL!A235,IF(+NFL!$H235="Seattle",+NFL!A235,0))</f>
        <v>13</v>
      </c>
      <c r="B545" s="348" t="str">
        <f>IF(+NFL!$F235="Seattle",+NFL!B235,IF(+NFL!$H235="Seattle",+NFL!B235,0))</f>
        <v>Sun</v>
      </c>
      <c r="C545" s="48">
        <f>IF(+NFL!$F235="Seattle",+NFL!C235,IF(+NFL!$H235="Seattle",+NFL!C235,0))</f>
        <v>44899</v>
      </c>
      <c r="D545" s="490">
        <f>IF(+NFL!$F235="Seattle",+NFL!D235,IF(+NFL!$H235="Seattle",+NFL!D235,0))</f>
        <v>0.66666666666666663</v>
      </c>
      <c r="E545" s="46" t="str">
        <f>IF(+NFL!$F235="Seattle",+NFL!E235,IF(+NFL!$H235="Seattle",+NFL!E235,0))</f>
        <v>Fox</v>
      </c>
      <c r="F545" s="127" t="str">
        <f>IF(+NFL!$F235="Seattle",+NFL!F235,IF(+NFL!$H235="Seattle",+NFL!F235,0))</f>
        <v>Seattle</v>
      </c>
      <c r="G545" s="46" t="str">
        <f>IF(+NFL!$F235="Seattle",+NFL!G235,IF(+NFL!$H235="Seattle",+NFL!G235,0))</f>
        <v>NFCW</v>
      </c>
      <c r="H545" s="127" t="str">
        <f>IF(+NFL!$F235="Seattle",+NFL!H235,IF(+NFL!$H235="Seattle",+NFL!H235,0))</f>
        <v>LA Rams</v>
      </c>
      <c r="I545" s="46" t="str">
        <f>IF(+NFL!$F235="Seattle",+NFL!I235,IF(+NFL!$H235="Seattle",+NFL!I235,0))</f>
        <v>NFCW</v>
      </c>
      <c r="J545" s="353" t="str">
        <f>IF(+NFL!$F235="Seattle",+NFL!J235,IF(+NFL!$H235="Seattle",+NFL!J235,0))</f>
        <v>Seattle</v>
      </c>
      <c r="K545" s="494" t="str">
        <f>IF(+NFL!$F235="Seattle",+NFL!K235,IF(+NFL!$H235="Seattle",+NFL!K235,0))</f>
        <v>LA Rams</v>
      </c>
      <c r="L545" s="384">
        <f>IF(+NFL!$F235="Seattle",+NFL!L235,IF(+NFL!$H235="Seattle",+NFL!L235,0))</f>
        <v>7.5</v>
      </c>
      <c r="M545" s="385">
        <f>IF(+NFL!$F235="Seattle",+NFL!M235,IF(+NFL!$H235="Seattle",+NFL!M235,0))</f>
        <v>41</v>
      </c>
      <c r="N545" s="394" t="str">
        <f>IF(+NFL!$F235="Seattle",+NFL!N235,IF(+NFL!$H235="Seattle",+NFL!N235,0))</f>
        <v>Seattle</v>
      </c>
      <c r="O545" s="395">
        <f>IF(+NFL!$F235="Seattle",+NFL!O235,IF(+NFL!$H235="Seattle",+NFL!O235,0))</f>
        <v>27</v>
      </c>
      <c r="P545" s="394" t="str">
        <f>IF(+NFL!$F235="Seattle",+NFL!P235,IF(+NFL!$H235="Seattle",+NFL!P235,0))</f>
        <v>LA Rams</v>
      </c>
      <c r="Q545" s="396">
        <f>IF(+NFL!$F235="Seattle",+NFL!Q235,IF(+NFL!$H235="Seattle",+NFL!Q235,0))</f>
        <v>23</v>
      </c>
      <c r="R545" s="397" t="str">
        <f>IF(+NFL!$F235="Seattle",+NFL!R235,IF(+NFL!$H235="Seattle",+NFL!R235,0))</f>
        <v>LA Rams</v>
      </c>
      <c r="S545" s="396" t="str">
        <f>IF(+NFL!$F235="Seattle",+NFL!S235,IF(+NFL!$H235="Seattle",+NFL!S235,0))</f>
        <v>Seattle</v>
      </c>
      <c r="T545" s="398" t="str">
        <f>IF(+NFL!$F235="Seattle",+NFL!T235,IF(+NFL!$H235="Seattle",+NFL!T235,0))</f>
        <v>Seattle</v>
      </c>
      <c r="U545" s="396" t="str">
        <f>IF(+NFL!$F235="Seattle",+NFL!U235,IF(+NFL!$H235="Seattle",+NFL!U235,0))</f>
        <v>L</v>
      </c>
      <c r="V545" s="397">
        <f>IF(+NFL!$F252="Seattle",+NFL!#REF!,IF(+NFL!$H252="Seattle",+NFL!#REF!,0))</f>
        <v>0</v>
      </c>
      <c r="W545" s="396">
        <f>IF(+NFL!$F252="Seattle",+NFL!#REF!,IF(+NFL!$H252="Seattle",+NFL!#REF!,0))</f>
        <v>0</v>
      </c>
      <c r="X545" s="398">
        <f>IF(+NFL!$F252="Seattle",+NFL!#REF!,IF(+NFL!$H252="Seattle",+NFL!#REF!,0))</f>
        <v>0</v>
      </c>
      <c r="Y545" s="396">
        <f>IF(+NFL!$F252="Seattle",+NFL!#REF!,IF(+NFL!$H252="Seattle",+NFL!#REF!,0))</f>
        <v>0</v>
      </c>
      <c r="Z545" s="397">
        <f>IF(+NFL!$F252="Seattle",+NFL!#REF!,IF(+NFL!$H252="Seattle",+NFL!#REF!,0))</f>
        <v>0</v>
      </c>
      <c r="AA545" s="396">
        <f>IF(+NFL!$F252="Seattle",+NFL!#REF!,IF(+NFL!$H252="Seattle",+NFL!#REF!,0))</f>
        <v>0</v>
      </c>
      <c r="AB545" s="87">
        <f>IF(+NFL!$F252="Seattle",+NFL!#REF!,IF(+NFL!$H252="Seattle",+NFL!#REF!,0))</f>
        <v>0</v>
      </c>
      <c r="AC545" s="120">
        <f>IF(+NFL!$F252="Seattle",+NFL!#REF!,IF(+NFL!$H252="Seattle",+NFL!#REF!,0))</f>
        <v>0</v>
      </c>
      <c r="AD545" s="353">
        <f>IF(+NFL!$F252="Seattle",+NFL!#REF!,IF(+NFL!$H252="Seattle",+NFL!#REF!,0))</f>
        <v>0</v>
      </c>
      <c r="AE545" s="379">
        <f>IF(+NFL!$F252="Seattle",+NFL!#REF!,IF(+NFL!$H252="Seattle",+NFL!#REF!,0))</f>
        <v>0</v>
      </c>
      <c r="AF545" s="353">
        <f>IF(+NFL!$F252="Seattle",+NFL!#REF!,IF(+NFL!$H252="Seattle",+NFL!#REF!,0))</f>
        <v>0</v>
      </c>
      <c r="AG545" s="379">
        <f>IF(+NFL!$F252="Seattle",+NFL!#REF!,IF(+NFL!$H252="Seattle",+NFL!#REF!,0))</f>
        <v>0</v>
      </c>
      <c r="AH545" s="353">
        <f>IF(+NFL!$F252="Seattle",+NFL!#REF!,IF(+NFL!$H252="Seattle",+NFL!#REF!,0))</f>
        <v>0</v>
      </c>
      <c r="AI545" s="379">
        <f>IF(+NFL!$F252="Seattle",+NFL!#REF!,IF(+NFL!$H252="Seattle",+NFL!#REF!,0))</f>
        <v>0</v>
      </c>
      <c r="AJ545" s="353">
        <f>IF(+NFL!$F252="Seattle",+NFL!#REF!,IF(+NFL!$H252="Seattle",+NFL!#REF!,0))</f>
        <v>0</v>
      </c>
      <c r="AK545" s="379">
        <f>IF(+NFL!$F252="Seattle",+NFL!#REF!,IF(+NFL!$H252="Seattle",+NFL!#REF!,0))</f>
        <v>0</v>
      </c>
      <c r="AL545" s="68">
        <f>IF(+NFL!$F252="Seattle",+NFL!#REF!,IF(+NFL!$H252="Seattle",+NFL!#REF!,0))</f>
        <v>0</v>
      </c>
      <c r="AM545" s="58">
        <f>IF(+NFL!$F252="Seattle",+NFL!#REF!,IF(+NFL!$H252="Seattle",+NFL!#REF!,0))</f>
        <v>0</v>
      </c>
      <c r="AN545" s="57">
        <f>IF(+NFL!$F252="Seattle",+NFL!#REF!,IF(+NFL!$H252="Seattle",+NFL!#REF!,0))</f>
        <v>0</v>
      </c>
      <c r="AO545" s="59">
        <f>IF(+NFL!$F252="Seattle",+NFL!#REF!,IF(+NFL!$H252="Seattle",+NFL!#REF!,0))</f>
        <v>0</v>
      </c>
      <c r="AP545" s="348">
        <f>IF(+NFL!$F252="Seattle",+NFL!#REF!,IF(+NFL!$H252="Seattle",+NFL!#REF!,0))</f>
        <v>0</v>
      </c>
      <c r="AQ545" s="48">
        <f>IF(+NFL!$F252="Seattle",+NFL!#REF!,IF(+NFL!$H252="Seattle",+NFL!#REF!,0))</f>
        <v>0</v>
      </c>
      <c r="AR545" s="57">
        <f>IF(+NFL!$F252="Seattle",+NFL!#REF!,IF(+NFL!$H252="Seattle",+NFL!#REF!,0))</f>
        <v>0</v>
      </c>
      <c r="AS545" s="64">
        <f>IF(+NFL!$F252="Seattle",+NFL!#REF!,IF(+NFL!$H252="Seattle",+NFL!#REF!,0))</f>
        <v>0</v>
      </c>
      <c r="AT545" s="64">
        <f>IF(+NFL!$F252="Seattle",+NFL!#REF!,IF(+NFL!$H252="Seattle",+NFL!#REF!,0))</f>
        <v>0</v>
      </c>
      <c r="AU545" s="57">
        <f>IF(+NFL!$F252="Seattle",+NFL!#REF!,IF(+NFL!$H252="Seattle",+NFL!#REF!,0))</f>
        <v>0</v>
      </c>
      <c r="AV545" s="64">
        <f>IF(+NFL!$F252="Seattle",+NFL!#REF!,IF(+NFL!$H252="Seattle",+NFL!#REF!,0))</f>
        <v>0</v>
      </c>
      <c r="AW545" s="46">
        <f>IF(+NFL!$F252="Seattle",+NFL!#REF!,IF(+NFL!$H252="Seattle",+NFL!#REF!,0))</f>
        <v>0</v>
      </c>
      <c r="AX545" s="64">
        <f>IF(+NFL!$F252="Seattle",+NFL!#REF!,IF(+NFL!$H252="Seattle",+NFL!#REF!,0))</f>
        <v>0</v>
      </c>
      <c r="AY545" s="57">
        <f>IF(+NFL!$F252="Seattle",+NFL!#REF!,IF(+NFL!$H252="Seattle",+NFL!#REF!,0))</f>
        <v>0</v>
      </c>
      <c r="AZ545" s="64">
        <f>IF(+NFL!$F252="Seattle",+NFL!#REF!,IF(+NFL!$H252="Seattle",+NFL!#REF!,0))</f>
        <v>0</v>
      </c>
      <c r="BA545" s="46">
        <f>IF(+NFL!$F252="Seattle",+NFL!#REF!,IF(+NFL!$H252="Seattle",+NFL!#REF!,0))</f>
        <v>0</v>
      </c>
      <c r="BB545" s="46">
        <f>IF(+NFL!$F252="Seattle",+NFL!#REF!,IF(+NFL!$H252="Seattle",+NFL!#REF!,0))</f>
        <v>0</v>
      </c>
      <c r="BC545" s="403">
        <f>IF(+NFL!$F252="Seattle",+NFL!#REF!,IF(+NFL!$H252="Seattle",+NFL!#REF!,0))</f>
        <v>0</v>
      </c>
      <c r="BD545" s="57">
        <f>IF(+NFL!$F252="Seattle",+NFL!#REF!,IF(+NFL!$H252="Seattle",+NFL!#REF!,0))</f>
        <v>0</v>
      </c>
      <c r="BE545" s="64">
        <f>IF(+NFL!$F252="Seattle",+NFL!#REF!,IF(+NFL!$H252="Seattle",+NFL!#REF!,0))</f>
        <v>0</v>
      </c>
      <c r="BF545" s="46">
        <f>IF(+NFL!$F252="Seattle",+NFL!#REF!,IF(+NFL!$H252="Seattle",+NFL!#REF!,0))</f>
        <v>0</v>
      </c>
      <c r="BG545" s="57">
        <f>IF(+NFL!$F252="Seattle",+NFL!#REF!,IF(+NFL!$H252="Seattle",+NFL!#REF!,0))</f>
        <v>0</v>
      </c>
      <c r="BH545" s="64">
        <f>IF(+NFL!$F252="Seattle",+NFL!#REF!,IF(+NFL!$H252="Seattle",+NFL!#REF!,0))</f>
        <v>0</v>
      </c>
      <c r="BI545" s="46">
        <f>IF(+NFL!$F252="Seattle",+NFL!#REF!,IF(+NFL!$H252="Seattle",+NFL!#REF!,0))</f>
        <v>0</v>
      </c>
      <c r="BJ545" s="87">
        <f>IF(+NFL!$F252="Seattle",+NFL!#REF!,IF(+NFL!$H252="Seattle",+NFL!#REF!,0))</f>
        <v>0</v>
      </c>
      <c r="BK545" s="120">
        <f>IF(+NFL!$F252="Seattle",+NFL!#REF!,IF(+NFL!$H252="Seattle",+NFL!#REF!,0))</f>
        <v>0</v>
      </c>
    </row>
    <row r="546" spans="1:63" s="246" customFormat="1" x14ac:dyDescent="0.8">
      <c r="A546" s="46">
        <f>IF(+NFL!$F255="Seattle",+NFL!A255,IF(+NFL!$H255="Seattle",+NFL!A255,0))</f>
        <v>14</v>
      </c>
      <c r="B546" s="348" t="str">
        <f>IF(+NFL!$F255="Seattle",+NFL!B255,IF(+NFL!$H255="Seattle",+NFL!B255,0))</f>
        <v>Sun</v>
      </c>
      <c r="C546" s="48">
        <f>IF(+NFL!$F255="Seattle",+NFL!C255,IF(+NFL!$H255="Seattle",+NFL!C255,0))</f>
        <v>44906</v>
      </c>
      <c r="D546" s="490">
        <f>IF(+NFL!$F255="Seattle",+NFL!D255,IF(+NFL!$H255="Seattle",+NFL!D255,0))</f>
        <v>0.66666666666666663</v>
      </c>
      <c r="E546" s="46" t="str">
        <f>IF(+NFL!$F255="Seattle",+NFL!E255,IF(+NFL!$H255="Seattle",+NFL!E255,0))</f>
        <v>Fox</v>
      </c>
      <c r="F546" s="127" t="str">
        <f>IF(+NFL!$F255="Seattle",+NFL!F255,IF(+NFL!$H255="Seattle",+NFL!F255,0))</f>
        <v>Carolina</v>
      </c>
      <c r="G546" s="46" t="str">
        <f>IF(+NFL!$F255="Seattle",+NFL!G255,IF(+NFL!$H255="Seattle",+NFL!G255,0))</f>
        <v>NFCS</v>
      </c>
      <c r="H546" s="127" t="str">
        <f>IF(+NFL!$F255="Seattle",+NFL!H255,IF(+NFL!$H255="Seattle",+NFL!H255,0))</f>
        <v>Seattle</v>
      </c>
      <c r="I546" s="46" t="str">
        <f>IF(+NFL!$F255="Seattle",+NFL!I255,IF(+NFL!$H255="Seattle",+NFL!I255,0))</f>
        <v>NFCW</v>
      </c>
      <c r="J546" s="353" t="str">
        <f>IF(+NFL!$F255="Seattle",+NFL!J255,IF(+NFL!$H255="Seattle",+NFL!J255,0))</f>
        <v>Seattle</v>
      </c>
      <c r="K546" s="494" t="str">
        <f>IF(+NFL!$F255="Seattle",+NFL!K255,IF(+NFL!$H255="Seattle",+NFL!K255,0))</f>
        <v>Carolina</v>
      </c>
      <c r="L546" s="384">
        <f>IF(+NFL!$F255="Seattle",+NFL!L255,IF(+NFL!$H255="Seattle",+NFL!L255,0))</f>
        <v>2.5</v>
      </c>
      <c r="M546" s="385">
        <f>IF(+NFL!$F255="Seattle",+NFL!M255,IF(+NFL!$H255="Seattle",+NFL!M255,0))</f>
        <v>41.5</v>
      </c>
      <c r="N546" s="394" t="str">
        <f>IF(+NFL!$F255="Seattle",+NFL!N255,IF(+NFL!$H255="Seattle",+NFL!N255,0))</f>
        <v>Carolina</v>
      </c>
      <c r="O546" s="395">
        <f>IF(+NFL!$F255="Seattle",+NFL!O255,IF(+NFL!$H255="Seattle",+NFL!O255,0))</f>
        <v>30</v>
      </c>
      <c r="P546" s="394" t="str">
        <f>IF(+NFL!$F255="Seattle",+NFL!P255,IF(+NFL!$H255="Seattle",+NFL!P255,0))</f>
        <v>Seattle</v>
      </c>
      <c r="Q546" s="396">
        <f>IF(+NFL!$F255="Seattle",+NFL!Q255,IF(+NFL!$H255="Seattle",+NFL!Q255,0))</f>
        <v>24</v>
      </c>
      <c r="R546" s="397" t="str">
        <f>IF(+NFL!$F255="Seattle",+NFL!R255,IF(+NFL!$H255="Seattle",+NFL!R255,0))</f>
        <v>Carolina</v>
      </c>
      <c r="S546" s="396" t="str">
        <f>IF(+NFL!$F255="Seattle",+NFL!S255,IF(+NFL!$H255="Seattle",+NFL!S255,0))</f>
        <v>Seattle</v>
      </c>
      <c r="T546" s="398">
        <f>IF(+NFL!$F255="Seattle",+NFL!T255,IF(+NFL!$H255="Seattle",+NFL!T255,0))</f>
        <v>0</v>
      </c>
      <c r="U546" s="396" t="str">
        <f>IF(+NFL!$F255="Seattle",+NFL!U255,IF(+NFL!$H255="Seattle",+NFL!U255,0))</f>
        <v>L</v>
      </c>
      <c r="V546" s="397">
        <f>IF(+NFL!$F280="Seattle",+NFL!#REF!,IF(+NFL!$H280="Seattle",+NFL!#REF!,0))</f>
        <v>0</v>
      </c>
      <c r="W546" s="396">
        <f>IF(+NFL!$F280="Seattle",+NFL!#REF!,IF(+NFL!$H280="Seattle",+NFL!#REF!,0))</f>
        <v>0</v>
      </c>
      <c r="X546" s="398">
        <f>IF(+NFL!$F280="Seattle",+NFL!#REF!,IF(+NFL!$H280="Seattle",+NFL!#REF!,0))</f>
        <v>0</v>
      </c>
      <c r="Y546" s="396">
        <f>IF(+NFL!$F280="Seattle",+NFL!#REF!,IF(+NFL!$H280="Seattle",+NFL!#REF!,0))</f>
        <v>0</v>
      </c>
      <c r="Z546" s="397">
        <f>IF(+NFL!$F280="Seattle",+NFL!#REF!,IF(+NFL!$H280="Seattle",+NFL!#REF!,0))</f>
        <v>0</v>
      </c>
      <c r="AA546" s="396">
        <f>IF(+NFL!$F280="Seattle",+NFL!#REF!,IF(+NFL!$H280="Seattle",+NFL!#REF!,0))</f>
        <v>0</v>
      </c>
      <c r="AB546" s="87">
        <f>IF(+NFL!$F280="Seattle",+NFL!#REF!,IF(+NFL!$H280="Seattle",+NFL!#REF!,0))</f>
        <v>0</v>
      </c>
      <c r="AC546" s="120">
        <f>IF(+NFL!$F280="Seattle",+NFL!#REF!,IF(+NFL!$H280="Seattle",+NFL!#REF!,0))</f>
        <v>0</v>
      </c>
      <c r="AD546" s="353">
        <f>IF(+NFL!$F280="Seattle",+NFL!#REF!,IF(+NFL!$H280="Seattle",+NFL!#REF!,0))</f>
        <v>0</v>
      </c>
      <c r="AE546" s="379">
        <f>IF(+NFL!$F280="Seattle",+NFL!#REF!,IF(+NFL!$H280="Seattle",+NFL!#REF!,0))</f>
        <v>0</v>
      </c>
      <c r="AF546" s="353">
        <f>IF(+NFL!$F280="Seattle",+NFL!#REF!,IF(+NFL!$H280="Seattle",+NFL!#REF!,0))</f>
        <v>0</v>
      </c>
      <c r="AG546" s="379">
        <f>IF(+NFL!$F280="Seattle",+NFL!#REF!,IF(+NFL!$H280="Seattle",+NFL!#REF!,0))</f>
        <v>0</v>
      </c>
      <c r="AH546" s="353">
        <f>IF(+NFL!$F280="Seattle",+NFL!#REF!,IF(+NFL!$H280="Seattle",+NFL!#REF!,0))</f>
        <v>0</v>
      </c>
      <c r="AI546" s="379">
        <f>IF(+NFL!$F280="Seattle",+NFL!#REF!,IF(+NFL!$H280="Seattle",+NFL!#REF!,0))</f>
        <v>0</v>
      </c>
      <c r="AJ546" s="353">
        <f>IF(+NFL!$F280="Seattle",+NFL!#REF!,IF(+NFL!$H280="Seattle",+NFL!#REF!,0))</f>
        <v>0</v>
      </c>
      <c r="AK546" s="379">
        <f>IF(+NFL!$F280="Seattle",+NFL!#REF!,IF(+NFL!$H280="Seattle",+NFL!#REF!,0))</f>
        <v>0</v>
      </c>
      <c r="AL546" s="68">
        <f>IF(+NFL!$F280="Seattle",+NFL!#REF!,IF(+NFL!$H280="Seattle",+NFL!#REF!,0))</f>
        <v>0</v>
      </c>
      <c r="AM546" s="58">
        <f>IF(+NFL!$F280="Seattle",+NFL!#REF!,IF(+NFL!$H280="Seattle",+NFL!#REF!,0))</f>
        <v>0</v>
      </c>
      <c r="AN546" s="57">
        <f>IF(+NFL!$F280="Seattle",+NFL!#REF!,IF(+NFL!$H280="Seattle",+NFL!#REF!,0))</f>
        <v>0</v>
      </c>
      <c r="AO546" s="59">
        <f>IF(+NFL!$F280="Seattle",+NFL!#REF!,IF(+NFL!$H280="Seattle",+NFL!#REF!,0))</f>
        <v>0</v>
      </c>
      <c r="AP546" s="348">
        <f>IF(+NFL!$F280="Seattle",+NFL!#REF!,IF(+NFL!$H280="Seattle",+NFL!#REF!,0))</f>
        <v>0</v>
      </c>
      <c r="AQ546" s="48">
        <f>IF(+NFL!$F280="Seattle",+NFL!#REF!,IF(+NFL!$H280="Seattle",+NFL!#REF!,0))</f>
        <v>0</v>
      </c>
      <c r="AR546" s="57">
        <f>IF(+NFL!$F280="Seattle",+NFL!#REF!,IF(+NFL!$H280="Seattle",+NFL!#REF!,0))</f>
        <v>0</v>
      </c>
      <c r="AS546" s="64">
        <f>IF(+NFL!$F280="Seattle",+NFL!#REF!,IF(+NFL!$H280="Seattle",+NFL!#REF!,0))</f>
        <v>0</v>
      </c>
      <c r="AT546" s="64">
        <f>IF(+NFL!$F280="Seattle",+NFL!#REF!,IF(+NFL!$H280="Seattle",+NFL!#REF!,0))</f>
        <v>0</v>
      </c>
      <c r="AU546" s="57">
        <f>IF(+NFL!$F280="Seattle",+NFL!#REF!,IF(+NFL!$H280="Seattle",+NFL!#REF!,0))</f>
        <v>0</v>
      </c>
      <c r="AV546" s="64">
        <f>IF(+NFL!$F280="Seattle",+NFL!#REF!,IF(+NFL!$H280="Seattle",+NFL!#REF!,0))</f>
        <v>0</v>
      </c>
      <c r="AW546" s="46">
        <f>IF(+NFL!$F280="Seattle",+NFL!#REF!,IF(+NFL!$H280="Seattle",+NFL!#REF!,0))</f>
        <v>0</v>
      </c>
      <c r="AX546" s="64">
        <f>IF(+NFL!$F280="Seattle",+NFL!#REF!,IF(+NFL!$H280="Seattle",+NFL!#REF!,0))</f>
        <v>0</v>
      </c>
      <c r="AY546" s="57">
        <f>IF(+NFL!$F280="Seattle",+NFL!#REF!,IF(+NFL!$H280="Seattle",+NFL!#REF!,0))</f>
        <v>0</v>
      </c>
      <c r="AZ546" s="64">
        <f>IF(+NFL!$F280="Seattle",+NFL!#REF!,IF(+NFL!$H280="Seattle",+NFL!#REF!,0))</f>
        <v>0</v>
      </c>
      <c r="BA546" s="46">
        <f>IF(+NFL!$F280="Seattle",+NFL!#REF!,IF(+NFL!$H280="Seattle",+NFL!#REF!,0))</f>
        <v>0</v>
      </c>
      <c r="BB546" s="46">
        <f>IF(+NFL!$F280="Seattle",+NFL!#REF!,IF(+NFL!$H280="Seattle",+NFL!#REF!,0))</f>
        <v>0</v>
      </c>
      <c r="BC546" s="403">
        <f>IF(+NFL!$F280="Seattle",+NFL!#REF!,IF(+NFL!$H280="Seattle",+NFL!#REF!,0))</f>
        <v>0</v>
      </c>
      <c r="BD546" s="57">
        <f>IF(+NFL!$F280="Seattle",+NFL!#REF!,IF(+NFL!$H280="Seattle",+NFL!#REF!,0))</f>
        <v>0</v>
      </c>
      <c r="BE546" s="64">
        <f>IF(+NFL!$F280="Seattle",+NFL!#REF!,IF(+NFL!$H280="Seattle",+NFL!#REF!,0))</f>
        <v>0</v>
      </c>
      <c r="BF546" s="46">
        <f>IF(+NFL!$F280="Seattle",+NFL!#REF!,IF(+NFL!$H280="Seattle",+NFL!#REF!,0))</f>
        <v>0</v>
      </c>
      <c r="BG546" s="57">
        <f>IF(+NFL!$F280="Seattle",+NFL!#REF!,IF(+NFL!$H280="Seattle",+NFL!#REF!,0))</f>
        <v>0</v>
      </c>
      <c r="BH546" s="64">
        <f>IF(+NFL!$F280="Seattle",+NFL!#REF!,IF(+NFL!$H280="Seattle",+NFL!#REF!,0))</f>
        <v>0</v>
      </c>
      <c r="BI546" s="46">
        <f>IF(+NFL!$F280="Seattle",+NFL!#REF!,IF(+NFL!$H280="Seattle",+NFL!#REF!,0))</f>
        <v>0</v>
      </c>
      <c r="BJ546" s="87">
        <f>IF(+NFL!$F280="Seattle",+NFL!#REF!,IF(+NFL!$H280="Seattle",+NFL!#REF!,0))</f>
        <v>0</v>
      </c>
      <c r="BK546" s="120">
        <f>IF(+NFL!$F280="Seattle",+NFL!#REF!,IF(+NFL!$H280="Seattle",+NFL!#REF!,0))</f>
        <v>0</v>
      </c>
    </row>
    <row r="547" spans="1:63" s="246" customFormat="1" x14ac:dyDescent="0.8">
      <c r="A547" s="46">
        <f>IF(+NFL!$F266="Seattle",+NFL!A266,IF(+NFL!$H266="Seattle",+NFL!A266,0))</f>
        <v>15</v>
      </c>
      <c r="B547" s="348" t="str">
        <f>IF(+NFL!$F266="Seattle",+NFL!B266,IF(+NFL!$H266="Seattle",+NFL!B266,0))</f>
        <v>Thurs</v>
      </c>
      <c r="C547" s="48">
        <f>IF(+NFL!$F266="Seattle",+NFL!C266,IF(+NFL!$H266="Seattle",+NFL!C266,0))</f>
        <v>44910</v>
      </c>
      <c r="D547" s="490">
        <f>IF(+NFL!$F266="Seattle",+NFL!D266,IF(+NFL!$H266="Seattle",+NFL!D266,0))</f>
        <v>0.84375</v>
      </c>
      <c r="E547" s="46" t="str">
        <f>IF(+NFL!$F266="Seattle",+NFL!E266,IF(+NFL!$H266="Seattle",+NFL!E266,0))</f>
        <v>NBC</v>
      </c>
      <c r="F547" s="127" t="str">
        <f>IF(+NFL!$F266="Seattle",+NFL!F266,IF(+NFL!$H266="Seattle",+NFL!F266,0))</f>
        <v>San Francisco</v>
      </c>
      <c r="G547" s="46" t="str">
        <f>IF(+NFL!$F266="Seattle",+NFL!G266,IF(+NFL!$H266="Seattle",+NFL!G266,0))</f>
        <v>NFCW</v>
      </c>
      <c r="H547" s="127" t="str">
        <f>IF(+NFL!$F266="Seattle",+NFL!H266,IF(+NFL!$H266="Seattle",+NFL!H266,0))</f>
        <v>Seattle</v>
      </c>
      <c r="I547" s="46" t="str">
        <f>IF(+NFL!$F266="Seattle",+NFL!I266,IF(+NFL!$H266="Seattle",+NFL!I266,0))</f>
        <v>NFCW</v>
      </c>
      <c r="J547" s="353" t="str">
        <f>IF(+NFL!$F266="Seattle",+NFL!J266,IF(+NFL!$H266="Seattle",+NFL!J266,0))</f>
        <v>San Francisco</v>
      </c>
      <c r="K547" s="494" t="str">
        <f>IF(+NFL!$F266="Seattle",+NFL!K266,IF(+NFL!$H266="Seattle",+NFL!K266,0))</f>
        <v>Seattle</v>
      </c>
      <c r="L547" s="384">
        <f>IF(+NFL!$F266="Seattle",+NFL!L266,IF(+NFL!$H266="Seattle",+NFL!L266,0))</f>
        <v>2.5</v>
      </c>
      <c r="M547" s="385">
        <f>IF(+NFL!$F266="Seattle",+NFL!M266,IF(+NFL!$H266="Seattle",+NFL!M266,0))</f>
        <v>39.5</v>
      </c>
      <c r="N547" s="394" t="str">
        <f>IF(+NFL!$F266="Seattle",+NFL!N266,IF(+NFL!$H266="Seattle",+NFL!N266,0))</f>
        <v>San Francisco</v>
      </c>
      <c r="O547" s="395">
        <f>IF(+NFL!$F266="Seattle",+NFL!O266,IF(+NFL!$H266="Seattle",+NFL!O266,0))</f>
        <v>21</v>
      </c>
      <c r="P547" s="394" t="str">
        <f>IF(+NFL!$F266="Seattle",+NFL!P266,IF(+NFL!$H266="Seattle",+NFL!P266,0))</f>
        <v>Seattle</v>
      </c>
      <c r="Q547" s="396">
        <f>IF(+NFL!$F266="Seattle",+NFL!Q266,IF(+NFL!$H266="Seattle",+NFL!Q266,0))</f>
        <v>13</v>
      </c>
      <c r="R547" s="397" t="str">
        <f>IF(+NFL!$F266="Seattle",+NFL!R266,IF(+NFL!$H266="Seattle",+NFL!R266,0))</f>
        <v>San Francisco</v>
      </c>
      <c r="S547" s="396" t="str">
        <f>IF(+NFL!$F266="Seattle",+NFL!S266,IF(+NFL!$H266="Seattle",+NFL!S266,0))</f>
        <v>Seattle</v>
      </c>
      <c r="T547" s="398">
        <f>IF(+NFL!$F266="Seattle",+NFL!T266,IF(+NFL!$H266="Seattle",+NFL!T266,0))</f>
        <v>0</v>
      </c>
      <c r="U547" s="396" t="str">
        <f>IF(+NFL!$F266="Seattle",+NFL!U266,IF(+NFL!$H266="Seattle",+NFL!U266,0))</f>
        <v>L</v>
      </c>
      <c r="V547" s="397">
        <f>IF(+NFL!$F296="Seattle",+NFL!#REF!,IF(+NFL!$H296="Seattle",+NFL!#REF!,0))</f>
        <v>0</v>
      </c>
      <c r="W547" s="396">
        <f>IF(+NFL!$F296="Seattle",+NFL!#REF!,IF(+NFL!$H296="Seattle",+NFL!#REF!,0))</f>
        <v>0</v>
      </c>
      <c r="X547" s="398">
        <f>IF(+NFL!$F296="Seattle",+NFL!#REF!,IF(+NFL!$H296="Seattle",+NFL!#REF!,0))</f>
        <v>0</v>
      </c>
      <c r="Y547" s="396">
        <f>IF(+NFL!$F296="Seattle",+NFL!#REF!,IF(+NFL!$H296="Seattle",+NFL!#REF!,0))</f>
        <v>0</v>
      </c>
      <c r="Z547" s="397">
        <f>IF(+NFL!$F296="Seattle",+NFL!#REF!,IF(+NFL!$H296="Seattle",+NFL!#REF!,0))</f>
        <v>0</v>
      </c>
      <c r="AA547" s="396">
        <f>IF(+NFL!$F296="Seattle",+NFL!#REF!,IF(+NFL!$H296="Seattle",+NFL!#REF!,0))</f>
        <v>0</v>
      </c>
      <c r="AB547" s="87">
        <f>IF(+NFL!$F296="Seattle",+NFL!#REF!,IF(+NFL!$H296="Seattle",+NFL!#REF!,0))</f>
        <v>0</v>
      </c>
      <c r="AC547" s="120">
        <f>IF(+NFL!$F296="Seattle",+NFL!#REF!,IF(+NFL!$H296="Seattle",+NFL!#REF!,0))</f>
        <v>0</v>
      </c>
      <c r="AD547" s="353">
        <f>IF(+NFL!$F296="Seattle",+NFL!#REF!,IF(+NFL!$H296="Seattle",+NFL!#REF!,0))</f>
        <v>0</v>
      </c>
      <c r="AE547" s="379">
        <f>IF(+NFL!$F296="Seattle",+NFL!#REF!,IF(+NFL!$H296="Seattle",+NFL!#REF!,0))</f>
        <v>0</v>
      </c>
      <c r="AF547" s="353">
        <f>IF(+NFL!$F296="Seattle",+NFL!#REF!,IF(+NFL!$H296="Seattle",+NFL!#REF!,0))</f>
        <v>0</v>
      </c>
      <c r="AG547" s="379">
        <f>IF(+NFL!$F296="Seattle",+NFL!#REF!,IF(+NFL!$H296="Seattle",+NFL!#REF!,0))</f>
        <v>0</v>
      </c>
      <c r="AH547" s="353">
        <f>IF(+NFL!$F296="Seattle",+NFL!#REF!,IF(+NFL!$H296="Seattle",+NFL!#REF!,0))</f>
        <v>0</v>
      </c>
      <c r="AI547" s="379">
        <f>IF(+NFL!$F296="Seattle",+NFL!#REF!,IF(+NFL!$H296="Seattle",+NFL!#REF!,0))</f>
        <v>0</v>
      </c>
      <c r="AJ547" s="353">
        <f>IF(+NFL!$F296="Seattle",+NFL!#REF!,IF(+NFL!$H296="Seattle",+NFL!#REF!,0))</f>
        <v>0</v>
      </c>
      <c r="AK547" s="379">
        <f>IF(+NFL!$F296="Seattle",+NFL!#REF!,IF(+NFL!$H296="Seattle",+NFL!#REF!,0))</f>
        <v>0</v>
      </c>
      <c r="AL547" s="68">
        <f>IF(+NFL!$F296="Seattle",+NFL!#REF!,IF(+NFL!$H296="Seattle",+NFL!#REF!,0))</f>
        <v>0</v>
      </c>
      <c r="AM547" s="58">
        <f>IF(+NFL!$F296="Seattle",+NFL!#REF!,IF(+NFL!$H296="Seattle",+NFL!#REF!,0))</f>
        <v>0</v>
      </c>
      <c r="AN547" s="57">
        <f>IF(+NFL!$F296="Seattle",+NFL!#REF!,IF(+NFL!$H296="Seattle",+NFL!#REF!,0))</f>
        <v>0</v>
      </c>
      <c r="AO547" s="59">
        <f>IF(+NFL!$F296="Seattle",+NFL!#REF!,IF(+NFL!$H296="Seattle",+NFL!#REF!,0))</f>
        <v>0</v>
      </c>
      <c r="AP547" s="348">
        <f>IF(+NFL!$F296="Seattle",+NFL!#REF!,IF(+NFL!$H296="Seattle",+NFL!#REF!,0))</f>
        <v>0</v>
      </c>
      <c r="AQ547" s="48">
        <f>IF(+NFL!$F296="Seattle",+NFL!#REF!,IF(+NFL!$H296="Seattle",+NFL!#REF!,0))</f>
        <v>0</v>
      </c>
      <c r="AR547" s="57">
        <f>IF(+NFL!$F296="Seattle",+NFL!#REF!,IF(+NFL!$H296="Seattle",+NFL!#REF!,0))</f>
        <v>0</v>
      </c>
      <c r="AS547" s="64">
        <f>IF(+NFL!$F296="Seattle",+NFL!#REF!,IF(+NFL!$H296="Seattle",+NFL!#REF!,0))</f>
        <v>0</v>
      </c>
      <c r="AT547" s="64">
        <f>IF(+NFL!$F296="Seattle",+NFL!#REF!,IF(+NFL!$H296="Seattle",+NFL!#REF!,0))</f>
        <v>0</v>
      </c>
      <c r="AU547" s="57">
        <f>IF(+NFL!$F296="Seattle",+NFL!#REF!,IF(+NFL!$H296="Seattle",+NFL!#REF!,0))</f>
        <v>0</v>
      </c>
      <c r="AV547" s="64">
        <f>IF(+NFL!$F296="Seattle",+NFL!#REF!,IF(+NFL!$H296="Seattle",+NFL!#REF!,0))</f>
        <v>0</v>
      </c>
      <c r="AW547" s="46">
        <f>IF(+NFL!$F296="Seattle",+NFL!#REF!,IF(+NFL!$H296="Seattle",+NFL!#REF!,0))</f>
        <v>0</v>
      </c>
      <c r="AX547" s="64">
        <f>IF(+NFL!$F296="Seattle",+NFL!#REF!,IF(+NFL!$H296="Seattle",+NFL!#REF!,0))</f>
        <v>0</v>
      </c>
      <c r="AY547" s="57">
        <f>IF(+NFL!$F296="Seattle",+NFL!#REF!,IF(+NFL!$H296="Seattle",+NFL!#REF!,0))</f>
        <v>0</v>
      </c>
      <c r="AZ547" s="64">
        <f>IF(+NFL!$F296="Seattle",+NFL!#REF!,IF(+NFL!$H296="Seattle",+NFL!#REF!,0))</f>
        <v>0</v>
      </c>
      <c r="BA547" s="46">
        <f>IF(+NFL!$F296="Seattle",+NFL!#REF!,IF(+NFL!$H296="Seattle",+NFL!#REF!,0))</f>
        <v>0</v>
      </c>
      <c r="BB547" s="46">
        <f>IF(+NFL!$F296="Seattle",+NFL!#REF!,IF(+NFL!$H296="Seattle",+NFL!#REF!,0))</f>
        <v>0</v>
      </c>
      <c r="BC547" s="403">
        <f>IF(+NFL!$F296="Seattle",+NFL!#REF!,IF(+NFL!$H296="Seattle",+NFL!#REF!,0))</f>
        <v>0</v>
      </c>
      <c r="BD547" s="57">
        <f>IF(+NFL!$F296="Seattle",+NFL!#REF!,IF(+NFL!$H296="Seattle",+NFL!#REF!,0))</f>
        <v>0</v>
      </c>
      <c r="BE547" s="64">
        <f>IF(+NFL!$F296="Seattle",+NFL!#REF!,IF(+NFL!$H296="Seattle",+NFL!#REF!,0))</f>
        <v>0</v>
      </c>
      <c r="BF547" s="46">
        <f>IF(+NFL!$F296="Seattle",+NFL!#REF!,IF(+NFL!$H296="Seattle",+NFL!#REF!,0))</f>
        <v>0</v>
      </c>
      <c r="BG547" s="57">
        <f>IF(+NFL!$F296="Seattle",+NFL!#REF!,IF(+NFL!$H296="Seattle",+NFL!#REF!,0))</f>
        <v>0</v>
      </c>
      <c r="BH547" s="64">
        <f>IF(+NFL!$F296="Seattle",+NFL!#REF!,IF(+NFL!$H296="Seattle",+NFL!#REF!,0))</f>
        <v>0</v>
      </c>
      <c r="BI547" s="46">
        <f>IF(+NFL!$F296="Seattle",+NFL!#REF!,IF(+NFL!$H296="Seattle",+NFL!#REF!,0))</f>
        <v>0</v>
      </c>
      <c r="BJ547" s="87">
        <f>IF(+NFL!$F296="Seattle",+NFL!#REF!,IF(+NFL!$H296="Seattle",+NFL!#REF!,0))</f>
        <v>0</v>
      </c>
      <c r="BK547" s="120">
        <f>IF(+NFL!$F296="Seattle",+NFL!#REF!,IF(+NFL!$H296="Seattle",+NFL!#REF!,0))</f>
        <v>0</v>
      </c>
    </row>
    <row r="548" spans="1:63" s="246" customFormat="1" x14ac:dyDescent="0.8">
      <c r="A548" s="46">
        <f>IF(+NFL!$F287="Seattle",+NFL!A287,IF(+NFL!$H287="Seattle",+NFL!A287,0))</f>
        <v>16</v>
      </c>
      <c r="B548" s="348" t="str">
        <f>IF(+NFL!$F287="Seattle",+NFL!B287,IF(+NFL!$H287="Seattle",+NFL!B287,0))</f>
        <v>Sat</v>
      </c>
      <c r="C548" s="48">
        <f>IF(+NFL!$F287="Seattle",+NFL!C287,IF(+NFL!$H287="Seattle",+NFL!C287,0))</f>
        <v>44919</v>
      </c>
      <c r="D548" s="490">
        <f>IF(+NFL!$F287="Seattle",+NFL!D287,IF(+NFL!$H287="Seattle",+NFL!D287,0))</f>
        <v>0.54166666666666663</v>
      </c>
      <c r="E548" s="46" t="str">
        <f>IF(+NFL!$F287="Seattle",+NFL!E287,IF(+NFL!$H287="Seattle",+NFL!E287,0))</f>
        <v>Fox</v>
      </c>
      <c r="F548" s="127" t="str">
        <f>IF(+NFL!$F287="Seattle",+NFL!F287,IF(+NFL!$H287="Seattle",+NFL!F287,0))</f>
        <v>Seattle</v>
      </c>
      <c r="G548" s="46" t="str">
        <f>IF(+NFL!$F287="Seattle",+NFL!G287,IF(+NFL!$H287="Seattle",+NFL!G287,0))</f>
        <v>NFCW</v>
      </c>
      <c r="H548" s="127" t="str">
        <f>IF(+NFL!$F287="Seattle",+NFL!H287,IF(+NFL!$H287="Seattle",+NFL!H287,0))</f>
        <v>Kansas City</v>
      </c>
      <c r="I548" s="46" t="str">
        <f>IF(+NFL!$F287="Seattle",+NFL!I287,IF(+NFL!$H287="Seattle",+NFL!I287,0))</f>
        <v>AFCW</v>
      </c>
      <c r="J548" s="353" t="str">
        <f>IF(+NFL!$F287="Seattle",+NFL!J287,IF(+NFL!$H287="Seattle",+NFL!J287,0))</f>
        <v>Kansas City</v>
      </c>
      <c r="K548" s="494" t="str">
        <f>IF(+NFL!$F287="Seattle",+NFL!K287,IF(+NFL!$H287="Seattle",+NFL!K287,0))</f>
        <v>Seattle</v>
      </c>
      <c r="L548" s="384">
        <f>IF(+NFL!$F287="Seattle",+NFL!L287,IF(+NFL!$H287="Seattle",+NFL!L287,0))</f>
        <v>10.5</v>
      </c>
      <c r="M548" s="385">
        <f>IF(+NFL!$F287="Seattle",+NFL!M287,IF(+NFL!$H287="Seattle",+NFL!M287,0))</f>
        <v>50.5</v>
      </c>
      <c r="N548" s="394" t="str">
        <f>IF(+NFL!$F287="Seattle",+NFL!N287,IF(+NFL!$H287="Seattle",+NFL!N287,0))</f>
        <v>Kansas City</v>
      </c>
      <c r="O548" s="395">
        <f>IF(+NFL!$F287="Seattle",+NFL!O287,IF(+NFL!$H287="Seattle",+NFL!O287,0))</f>
        <v>24</v>
      </c>
      <c r="P548" s="394" t="str">
        <f>IF(+NFL!$F287="Seattle",+NFL!P287,IF(+NFL!$H287="Seattle",+NFL!P287,0))</f>
        <v>Seattle</v>
      </c>
      <c r="Q548" s="396">
        <f>IF(+NFL!$F287="Seattle",+NFL!Q287,IF(+NFL!$H287="Seattle",+NFL!Q287,0))</f>
        <v>10</v>
      </c>
      <c r="R548" s="397" t="str">
        <f>IF(+NFL!$F287="Seattle",+NFL!R287,IF(+NFL!$H287="Seattle",+NFL!R287,0))</f>
        <v>Kansas City</v>
      </c>
      <c r="S548" s="396" t="str">
        <f>IF(+NFL!$F287="Seattle",+NFL!S287,IF(+NFL!$H287="Seattle",+NFL!S287,0))</f>
        <v>Seattle</v>
      </c>
      <c r="T548" s="398">
        <f>IF(+NFL!$F287="Seattle",+NFL!T287,IF(+NFL!$H287="Seattle",+NFL!T287,0))</f>
        <v>0</v>
      </c>
      <c r="U548" s="396" t="str">
        <f>IF(+NFL!$F287="Seattle",+NFL!U287,IF(+NFL!$H287="Seattle",+NFL!U287,0))</f>
        <v>L</v>
      </c>
      <c r="V548" s="397">
        <f>IF(+NFL!$F309="Seattle",+NFL!#REF!,IF(+NFL!$H309="Seattle",+NFL!#REF!,0))</f>
        <v>0</v>
      </c>
      <c r="W548" s="396">
        <f>IF(+NFL!$F309="Seattle",+NFL!#REF!,IF(+NFL!$H309="Seattle",+NFL!#REF!,0))</f>
        <v>0</v>
      </c>
      <c r="X548" s="398">
        <f>IF(+NFL!$F309="Seattle",+NFL!#REF!,IF(+NFL!$H309="Seattle",+NFL!#REF!,0))</f>
        <v>0</v>
      </c>
      <c r="Y548" s="396">
        <f>IF(+NFL!$F309="Seattle",+NFL!#REF!,IF(+NFL!$H309="Seattle",+NFL!#REF!,0))</f>
        <v>0</v>
      </c>
      <c r="Z548" s="397">
        <f>IF(+NFL!$F309="Seattle",+NFL!#REF!,IF(+NFL!$H309="Seattle",+NFL!#REF!,0))</f>
        <v>0</v>
      </c>
      <c r="AA548" s="396">
        <f>IF(+NFL!$F309="Seattle",+NFL!#REF!,IF(+NFL!$H309="Seattle",+NFL!#REF!,0))</f>
        <v>0</v>
      </c>
      <c r="AB548" s="87">
        <f>IF(+NFL!$F309="Seattle",+NFL!#REF!,IF(+NFL!$H309="Seattle",+NFL!#REF!,0))</f>
        <v>0</v>
      </c>
      <c r="AC548" s="120">
        <f>IF(+NFL!$F309="Seattle",+NFL!#REF!,IF(+NFL!$H309="Seattle",+NFL!#REF!,0))</f>
        <v>0</v>
      </c>
      <c r="AD548" s="353">
        <f>IF(+NFL!$F309="Seattle",+NFL!#REF!,IF(+NFL!$H309="Seattle",+NFL!#REF!,0))</f>
        <v>0</v>
      </c>
      <c r="AE548" s="379">
        <f>IF(+NFL!$F309="Seattle",+NFL!#REF!,IF(+NFL!$H309="Seattle",+NFL!#REF!,0))</f>
        <v>0</v>
      </c>
      <c r="AF548" s="353">
        <f>IF(+NFL!$F309="Seattle",+NFL!#REF!,IF(+NFL!$H309="Seattle",+NFL!#REF!,0))</f>
        <v>0</v>
      </c>
      <c r="AG548" s="379">
        <f>IF(+NFL!$F309="Seattle",+NFL!#REF!,IF(+NFL!$H309="Seattle",+NFL!#REF!,0))</f>
        <v>0</v>
      </c>
      <c r="AH548" s="353">
        <f>IF(+NFL!$F309="Seattle",+NFL!#REF!,IF(+NFL!$H309="Seattle",+NFL!#REF!,0))</f>
        <v>0</v>
      </c>
      <c r="AI548" s="379">
        <f>IF(+NFL!$F309="Seattle",+NFL!#REF!,IF(+NFL!$H309="Seattle",+NFL!#REF!,0))</f>
        <v>0</v>
      </c>
      <c r="AJ548" s="353">
        <f>IF(+NFL!$F309="Seattle",+NFL!#REF!,IF(+NFL!$H309="Seattle",+NFL!#REF!,0))</f>
        <v>0</v>
      </c>
      <c r="AK548" s="379">
        <f>IF(+NFL!$F309="Seattle",+NFL!#REF!,IF(+NFL!$H309="Seattle",+NFL!#REF!,0))</f>
        <v>0</v>
      </c>
      <c r="AL548" s="68">
        <f>IF(+NFL!$F309="Seattle",+NFL!#REF!,IF(+NFL!$H309="Seattle",+NFL!#REF!,0))</f>
        <v>0</v>
      </c>
      <c r="AM548" s="58">
        <f>IF(+NFL!$F309="Seattle",+NFL!#REF!,IF(+NFL!$H309="Seattle",+NFL!#REF!,0))</f>
        <v>0</v>
      </c>
      <c r="AN548" s="57">
        <f>IF(+NFL!$F309="Seattle",+NFL!#REF!,IF(+NFL!$H309="Seattle",+NFL!#REF!,0))</f>
        <v>0</v>
      </c>
      <c r="AO548" s="59">
        <f>IF(+NFL!$F309="Seattle",+NFL!#REF!,IF(+NFL!$H309="Seattle",+NFL!#REF!,0))</f>
        <v>0</v>
      </c>
      <c r="AP548" s="348">
        <f>IF(+NFL!$F309="Seattle",+NFL!#REF!,IF(+NFL!$H309="Seattle",+NFL!#REF!,0))</f>
        <v>0</v>
      </c>
      <c r="AQ548" s="48">
        <f>IF(+NFL!$F309="Seattle",+NFL!#REF!,IF(+NFL!$H309="Seattle",+NFL!#REF!,0))</f>
        <v>0</v>
      </c>
      <c r="AR548" s="57">
        <f>IF(+NFL!$F309="Seattle",+NFL!#REF!,IF(+NFL!$H309="Seattle",+NFL!#REF!,0))</f>
        <v>0</v>
      </c>
      <c r="AS548" s="64">
        <f>IF(+NFL!$F309="Seattle",+NFL!#REF!,IF(+NFL!$H309="Seattle",+NFL!#REF!,0))</f>
        <v>0</v>
      </c>
      <c r="AT548" s="64">
        <f>IF(+NFL!$F309="Seattle",+NFL!#REF!,IF(+NFL!$H309="Seattle",+NFL!#REF!,0))</f>
        <v>0</v>
      </c>
      <c r="AU548" s="57">
        <f>IF(+NFL!$F309="Seattle",+NFL!#REF!,IF(+NFL!$H309="Seattle",+NFL!#REF!,0))</f>
        <v>0</v>
      </c>
      <c r="AV548" s="64">
        <f>IF(+NFL!$F309="Seattle",+NFL!#REF!,IF(+NFL!$H309="Seattle",+NFL!#REF!,0))</f>
        <v>0</v>
      </c>
      <c r="AW548" s="46">
        <f>IF(+NFL!$F309="Seattle",+NFL!#REF!,IF(+NFL!$H309="Seattle",+NFL!#REF!,0))</f>
        <v>0</v>
      </c>
      <c r="AX548" s="64">
        <f>IF(+NFL!$F309="Seattle",+NFL!#REF!,IF(+NFL!$H309="Seattle",+NFL!#REF!,0))</f>
        <v>0</v>
      </c>
      <c r="AY548" s="57">
        <f>IF(+NFL!$F309="Seattle",+NFL!#REF!,IF(+NFL!$H309="Seattle",+NFL!#REF!,0))</f>
        <v>0</v>
      </c>
      <c r="AZ548" s="64">
        <f>IF(+NFL!$F309="Seattle",+NFL!#REF!,IF(+NFL!$H309="Seattle",+NFL!#REF!,0))</f>
        <v>0</v>
      </c>
      <c r="BA548" s="46">
        <f>IF(+NFL!$F309="Seattle",+NFL!#REF!,IF(+NFL!$H309="Seattle",+NFL!#REF!,0))</f>
        <v>0</v>
      </c>
      <c r="BB548" s="46">
        <f>IF(+NFL!$F309="Seattle",+NFL!#REF!,IF(+NFL!$H309="Seattle",+NFL!#REF!,0))</f>
        <v>0</v>
      </c>
      <c r="BC548" s="403">
        <f>IF(+NFL!$F309="Seattle",+NFL!#REF!,IF(+NFL!$H309="Seattle",+NFL!#REF!,0))</f>
        <v>0</v>
      </c>
      <c r="BD548" s="57">
        <f>IF(+NFL!$F309="Seattle",+NFL!#REF!,IF(+NFL!$H309="Seattle",+NFL!#REF!,0))</f>
        <v>0</v>
      </c>
      <c r="BE548" s="64">
        <f>IF(+NFL!$F309="Seattle",+NFL!#REF!,IF(+NFL!$H309="Seattle",+NFL!#REF!,0))</f>
        <v>0</v>
      </c>
      <c r="BF548" s="46">
        <f>IF(+NFL!$F309="Seattle",+NFL!#REF!,IF(+NFL!$H309="Seattle",+NFL!#REF!,0))</f>
        <v>0</v>
      </c>
      <c r="BG548" s="57">
        <f>IF(+NFL!$F309="Seattle",+NFL!#REF!,IF(+NFL!$H309="Seattle",+NFL!#REF!,0))</f>
        <v>0</v>
      </c>
      <c r="BH548" s="64">
        <f>IF(+NFL!$F309="Seattle",+NFL!#REF!,IF(+NFL!$H309="Seattle",+NFL!#REF!,0))</f>
        <v>0</v>
      </c>
      <c r="BI548" s="46">
        <f>IF(+NFL!$F309="Seattle",+NFL!#REF!,IF(+NFL!$H309="Seattle",+NFL!#REF!,0))</f>
        <v>0</v>
      </c>
      <c r="BJ548" s="87">
        <f>IF(+NFL!$F309="Seattle",+NFL!#REF!,IF(+NFL!$H309="Seattle",+NFL!#REF!,0))</f>
        <v>0</v>
      </c>
      <c r="BK548" s="120">
        <f>IF(+NFL!$F309="Seattle",+NFL!#REF!,IF(+NFL!$H309="Seattle",+NFL!#REF!,0))</f>
        <v>0</v>
      </c>
    </row>
    <row r="549" spans="1:63" s="246" customFormat="1" x14ac:dyDescent="0.8">
      <c r="A549" s="46">
        <f>IF(+NFL!$F312="Seattle",+NFL!A312,IF(+NFL!$H312="Seattle",+NFL!A312,0))</f>
        <v>17</v>
      </c>
      <c r="B549" s="348" t="str">
        <f>IF(+NFL!$F312="Seattle",+NFL!B312,IF(+NFL!$H312="Seattle",+NFL!B312,0))</f>
        <v>Sun</v>
      </c>
      <c r="C549" s="48">
        <f>IF(+NFL!$F312="Seattle",+NFL!C312,IF(+NFL!$H312="Seattle",+NFL!C312,0))</f>
        <v>44927</v>
      </c>
      <c r="D549" s="490">
        <f>IF(+NFL!$F312="Seattle",+NFL!D312,IF(+NFL!$H312="Seattle",+NFL!D312,0))</f>
        <v>0.66666666666666663</v>
      </c>
      <c r="E549" s="46" t="str">
        <f>IF(+NFL!$F312="Seattle",+NFL!E312,IF(+NFL!$H312="Seattle",+NFL!E312,0))</f>
        <v>CBS</v>
      </c>
      <c r="F549" s="127" t="str">
        <f>IF(+NFL!$F312="Seattle",+NFL!F312,IF(+NFL!$H312="Seattle",+NFL!F312,0))</f>
        <v>NY Jets</v>
      </c>
      <c r="G549" s="46" t="str">
        <f>IF(+NFL!$F312="Seattle",+NFL!G312,IF(+NFL!$H312="Seattle",+NFL!G312,0))</f>
        <v>AFCE</v>
      </c>
      <c r="H549" s="127" t="str">
        <f>IF(+NFL!$F312="Seattle",+NFL!H312,IF(+NFL!$H312="Seattle",+NFL!H312,0))</f>
        <v>Seattle</v>
      </c>
      <c r="I549" s="46" t="str">
        <f>IF(+NFL!$F312="Seattle",+NFL!I312,IF(+NFL!$H312="Seattle",+NFL!I312,0))</f>
        <v>NFCW</v>
      </c>
      <c r="J549" s="353" t="str">
        <f>IF(+NFL!$F312="Seattle",+NFL!J312,IF(+NFL!$H312="Seattle",+NFL!J312,0))</f>
        <v>NY Jets</v>
      </c>
      <c r="K549" s="494" t="str">
        <f>IF(+NFL!$F312="Seattle",+NFL!K312,IF(+NFL!$H312="Seattle",+NFL!K312,0))</f>
        <v>Seattle</v>
      </c>
      <c r="L549" s="384">
        <f>IF(+NFL!$F312="Seattle",+NFL!L312,IF(+NFL!$H312="Seattle",+NFL!L312,0))</f>
        <v>2.5</v>
      </c>
      <c r="M549" s="385">
        <f>IF(+NFL!$F312="Seattle",+NFL!M312,IF(+NFL!$H312="Seattle",+NFL!M312,0))</f>
        <v>43.5</v>
      </c>
      <c r="N549" s="394" t="str">
        <f>IF(+NFL!$F312="Seattle",+NFL!N312,IF(+NFL!$H312="Seattle",+NFL!N312,0))</f>
        <v>Seattle</v>
      </c>
      <c r="O549" s="395">
        <f>IF(+NFL!$F312="Seattle",+NFL!O312,IF(+NFL!$H312="Seattle",+NFL!O312,0))</f>
        <v>23</v>
      </c>
      <c r="P549" s="394" t="str">
        <f>IF(+NFL!$F312="Seattle",+NFL!P312,IF(+NFL!$H312="Seattle",+NFL!P312,0))</f>
        <v>NY Jets</v>
      </c>
      <c r="Q549" s="396">
        <f>IF(+NFL!$F312="Seattle",+NFL!Q312,IF(+NFL!$H312="Seattle",+NFL!Q312,0))</f>
        <v>6</v>
      </c>
      <c r="R549" s="397" t="str">
        <f>IF(+NFL!$F312="Seattle",+NFL!R312,IF(+NFL!$H312="Seattle",+NFL!R312,0))</f>
        <v>Seattle</v>
      </c>
      <c r="S549" s="396" t="str">
        <f>IF(+NFL!$F312="Seattle",+NFL!S312,IF(+NFL!$H312="Seattle",+NFL!S312,0))</f>
        <v>NY Jets</v>
      </c>
      <c r="T549" s="398">
        <f>IF(+NFL!$F312="Seattle",+NFL!T312,IF(+NFL!$H312="Seattle",+NFL!T312,0))</f>
        <v>0</v>
      </c>
      <c r="U549" s="396" t="str">
        <f>IF(+NFL!$F312="Seattle",+NFL!U312,IF(+NFL!$H312="Seattle",+NFL!U312,0))</f>
        <v>L</v>
      </c>
      <c r="V549" s="397">
        <f>IF(+NFL!$F331="Seattle",+NFL!#REF!,IF(+NFL!$H331="Seattle",+NFL!#REF!,0))</f>
        <v>0</v>
      </c>
      <c r="W549" s="396">
        <f>IF(+NFL!$F331="Seattle",+NFL!#REF!,IF(+NFL!$H331="Seattle",+NFL!#REF!,0))</f>
        <v>0</v>
      </c>
      <c r="X549" s="398">
        <f>IF(+NFL!$F331="Seattle",+NFL!#REF!,IF(+NFL!$H331="Seattle",+NFL!#REF!,0))</f>
        <v>0</v>
      </c>
      <c r="Y549" s="396">
        <f>IF(+NFL!$F331="Seattle",+NFL!#REF!,IF(+NFL!$H331="Seattle",+NFL!#REF!,0))</f>
        <v>0</v>
      </c>
      <c r="Z549" s="397">
        <f>IF(+NFL!$F331="Seattle",+NFL!#REF!,IF(+NFL!$H331="Seattle",+NFL!#REF!,0))</f>
        <v>0</v>
      </c>
      <c r="AA549" s="396">
        <f>IF(+NFL!$F331="Seattle",+NFL!#REF!,IF(+NFL!$H331="Seattle",+NFL!#REF!,0))</f>
        <v>0</v>
      </c>
      <c r="AB549" s="87">
        <f>IF(+NFL!$F331="Seattle",+NFL!#REF!,IF(+NFL!$H331="Seattle",+NFL!#REF!,0))</f>
        <v>0</v>
      </c>
      <c r="AC549" s="120">
        <f>IF(+NFL!$F331="Seattle",+NFL!#REF!,IF(+NFL!$H331="Seattle",+NFL!#REF!,0))</f>
        <v>0</v>
      </c>
      <c r="AD549" s="353">
        <f>IF(+NFL!$F331="Seattle",+NFL!#REF!,IF(+NFL!$H331="Seattle",+NFL!#REF!,0))</f>
        <v>0</v>
      </c>
      <c r="AE549" s="379">
        <f>IF(+NFL!$F331="Seattle",+NFL!#REF!,IF(+NFL!$H331="Seattle",+NFL!#REF!,0))</f>
        <v>0</v>
      </c>
      <c r="AF549" s="353">
        <f>IF(+NFL!$F331="Seattle",+NFL!#REF!,IF(+NFL!$H331="Seattle",+NFL!#REF!,0))</f>
        <v>0</v>
      </c>
      <c r="AG549" s="379">
        <f>IF(+NFL!$F331="Seattle",+NFL!#REF!,IF(+NFL!$H331="Seattle",+NFL!#REF!,0))</f>
        <v>0</v>
      </c>
      <c r="AH549" s="353">
        <f>IF(+NFL!$F331="Seattle",+NFL!#REF!,IF(+NFL!$H331="Seattle",+NFL!#REF!,0))</f>
        <v>0</v>
      </c>
      <c r="AI549" s="379">
        <f>IF(+NFL!$F331="Seattle",+NFL!#REF!,IF(+NFL!$H331="Seattle",+NFL!#REF!,0))</f>
        <v>0</v>
      </c>
      <c r="AJ549" s="353">
        <f>IF(+NFL!$F331="Seattle",+NFL!#REF!,IF(+NFL!$H331="Seattle",+NFL!#REF!,0))</f>
        <v>0</v>
      </c>
      <c r="AK549" s="379">
        <f>IF(+NFL!$F331="Seattle",+NFL!#REF!,IF(+NFL!$H331="Seattle",+NFL!#REF!,0))</f>
        <v>0</v>
      </c>
      <c r="AL549" s="68">
        <f>IF(+NFL!$F331="Seattle",+NFL!#REF!,IF(+NFL!$H331="Seattle",+NFL!#REF!,0))</f>
        <v>0</v>
      </c>
      <c r="AM549" s="58">
        <f>IF(+NFL!$F331="Seattle",+NFL!#REF!,IF(+NFL!$H331="Seattle",+NFL!#REF!,0))</f>
        <v>0</v>
      </c>
      <c r="AN549" s="57">
        <f>IF(+NFL!$F331="Seattle",+NFL!#REF!,IF(+NFL!$H331="Seattle",+NFL!#REF!,0))</f>
        <v>0</v>
      </c>
      <c r="AO549" s="59">
        <f>IF(+NFL!$F331="Seattle",+NFL!#REF!,IF(+NFL!$H331="Seattle",+NFL!#REF!,0))</f>
        <v>0</v>
      </c>
      <c r="AP549" s="348">
        <f>IF(+NFL!$F331="Seattle",+NFL!#REF!,IF(+NFL!$H331="Seattle",+NFL!#REF!,0))</f>
        <v>0</v>
      </c>
      <c r="AQ549" s="48">
        <f>IF(+NFL!$F331="Seattle",+NFL!#REF!,IF(+NFL!$H331="Seattle",+NFL!#REF!,0))</f>
        <v>0</v>
      </c>
      <c r="AR549" s="57">
        <f>IF(+NFL!$F331="Seattle",+NFL!#REF!,IF(+NFL!$H331="Seattle",+NFL!#REF!,0))</f>
        <v>0</v>
      </c>
      <c r="AS549" s="64">
        <f>IF(+NFL!$F331="Seattle",+NFL!#REF!,IF(+NFL!$H331="Seattle",+NFL!#REF!,0))</f>
        <v>0</v>
      </c>
      <c r="AT549" s="64">
        <f>IF(+NFL!$F331="Seattle",+NFL!#REF!,IF(+NFL!$H331="Seattle",+NFL!#REF!,0))</f>
        <v>0</v>
      </c>
      <c r="AU549" s="57">
        <f>IF(+NFL!$F331="Seattle",+NFL!#REF!,IF(+NFL!$H331="Seattle",+NFL!#REF!,0))</f>
        <v>0</v>
      </c>
      <c r="AV549" s="64">
        <f>IF(+NFL!$F331="Seattle",+NFL!#REF!,IF(+NFL!$H331="Seattle",+NFL!#REF!,0))</f>
        <v>0</v>
      </c>
      <c r="AW549" s="46">
        <f>IF(+NFL!$F331="Seattle",+NFL!#REF!,IF(+NFL!$H331="Seattle",+NFL!#REF!,0))</f>
        <v>0</v>
      </c>
      <c r="AX549" s="64">
        <f>IF(+NFL!$F331="Seattle",+NFL!#REF!,IF(+NFL!$H331="Seattle",+NFL!#REF!,0))</f>
        <v>0</v>
      </c>
      <c r="AY549" s="57">
        <f>IF(+NFL!$F331="Seattle",+NFL!#REF!,IF(+NFL!$H331="Seattle",+NFL!#REF!,0))</f>
        <v>0</v>
      </c>
      <c r="AZ549" s="64">
        <f>IF(+NFL!$F331="Seattle",+NFL!#REF!,IF(+NFL!$H331="Seattle",+NFL!#REF!,0))</f>
        <v>0</v>
      </c>
      <c r="BA549" s="46">
        <f>IF(+NFL!$F331="Seattle",+NFL!#REF!,IF(+NFL!$H331="Seattle",+NFL!#REF!,0))</f>
        <v>0</v>
      </c>
      <c r="BB549" s="46">
        <f>IF(+NFL!$F331="Seattle",+NFL!#REF!,IF(+NFL!$H331="Seattle",+NFL!#REF!,0))</f>
        <v>0</v>
      </c>
      <c r="BC549" s="403">
        <f>IF(+NFL!$F331="Seattle",+NFL!#REF!,IF(+NFL!$H331="Seattle",+NFL!#REF!,0))</f>
        <v>0</v>
      </c>
      <c r="BD549" s="57">
        <f>IF(+NFL!$F331="Seattle",+NFL!#REF!,IF(+NFL!$H331="Seattle",+NFL!#REF!,0))</f>
        <v>0</v>
      </c>
      <c r="BE549" s="64">
        <f>IF(+NFL!$F331="Seattle",+NFL!#REF!,IF(+NFL!$H331="Seattle",+NFL!#REF!,0))</f>
        <v>0</v>
      </c>
      <c r="BF549" s="46">
        <f>IF(+NFL!$F331="Seattle",+NFL!#REF!,IF(+NFL!$H331="Seattle",+NFL!#REF!,0))</f>
        <v>0</v>
      </c>
      <c r="BG549" s="57">
        <f>IF(+NFL!$F331="Seattle",+NFL!#REF!,IF(+NFL!$H331="Seattle",+NFL!#REF!,0))</f>
        <v>0</v>
      </c>
      <c r="BH549" s="64">
        <f>IF(+NFL!$F331="Seattle",+NFL!#REF!,IF(+NFL!$H331="Seattle",+NFL!#REF!,0))</f>
        <v>0</v>
      </c>
      <c r="BI549" s="46">
        <f>IF(+NFL!$F331="Seattle",+NFL!#REF!,IF(+NFL!$H331="Seattle",+NFL!#REF!,0))</f>
        <v>0</v>
      </c>
      <c r="BJ549" s="87">
        <f>IF(+NFL!$F331="Seattle",+NFL!#REF!,IF(+NFL!$H331="Seattle",+NFL!#REF!,0))</f>
        <v>0</v>
      </c>
      <c r="BK549" s="120">
        <f>IF(+NFL!$F331="Seattle",+NFL!#REF!,IF(+NFL!$H331="Seattle",+NFL!#REF!,0))</f>
        <v>0</v>
      </c>
    </row>
    <row r="550" spans="1:63" s="246" customFormat="1" x14ac:dyDescent="0.8">
      <c r="A550" s="46">
        <f>IF(+NFL!$F329="Seattle",+NFL!A329,IF(+NFL!$H329="Seattle",+NFL!A329,0))</f>
        <v>18</v>
      </c>
      <c r="B550" s="348" t="str">
        <f>IF(+NFL!$F329="Seattle",+NFL!B329,IF(+NFL!$H329="Seattle",+NFL!B329,0))</f>
        <v>Sun</v>
      </c>
      <c r="C550" s="48">
        <f>IF(+NFL!$F329="Seattle",+NFL!C329,IF(+NFL!$H329="Seattle",+NFL!C329,0))</f>
        <v>44934</v>
      </c>
      <c r="D550" s="490">
        <f>IF(+NFL!$F329="Seattle",+NFL!D329,IF(+NFL!$H329="Seattle",+NFL!D329,0))</f>
        <v>0.67708333333333337</v>
      </c>
      <c r="E550" s="46" t="str">
        <f>IF(+NFL!$F329="Seattle",+NFL!E329,IF(+NFL!$H329="Seattle",+NFL!E329,0))</f>
        <v>Fox</v>
      </c>
      <c r="F550" s="127" t="str">
        <f>IF(+NFL!$F329="Seattle",+NFL!F329,IF(+NFL!$H329="Seattle",+NFL!F329,0))</f>
        <v>LA Rams</v>
      </c>
      <c r="G550" s="46" t="str">
        <f>IF(+NFL!$F329="Seattle",+NFL!G329,IF(+NFL!$H329="Seattle",+NFL!G329,0))</f>
        <v>NFCW</v>
      </c>
      <c r="H550" s="127" t="str">
        <f>IF(+NFL!$F329="Seattle",+NFL!H329,IF(+NFL!$H329="Seattle",+NFL!H329,0))</f>
        <v>Seattle</v>
      </c>
      <c r="I550" s="46" t="str">
        <f>IF(+NFL!$F329="Seattle",+NFL!I329,IF(+NFL!$H329="Seattle",+NFL!I329,0))</f>
        <v>NFCW</v>
      </c>
      <c r="J550" s="353" t="str">
        <f>IF(+NFL!$F329="Seattle",+NFL!J329,IF(+NFL!$H329="Seattle",+NFL!J329,0))</f>
        <v>Seattle</v>
      </c>
      <c r="K550" s="494" t="str">
        <f>IF(+NFL!$F329="Seattle",+NFL!K329,IF(+NFL!$H329="Seattle",+NFL!K329,0))</f>
        <v>LA Rams</v>
      </c>
      <c r="L550" s="384">
        <f>IF(+NFL!$F329="Seattle",+NFL!L329,IF(+NFL!$H329="Seattle",+NFL!L329,0))</f>
        <v>6.5</v>
      </c>
      <c r="M550" s="385">
        <f>IF(+NFL!$F329="Seattle",+NFL!M329,IF(+NFL!$H329="Seattle",+NFL!M329,0))</f>
        <v>41.5</v>
      </c>
      <c r="N550" s="394" t="str">
        <f>IF(+NFL!$F329="Seattle",+NFL!N329,IF(+NFL!$H329="Seattle",+NFL!N329,0))</f>
        <v>Seattle</v>
      </c>
      <c r="O550" s="395">
        <f>IF(+NFL!$F329="Seattle",+NFL!O329,IF(+NFL!$H329="Seattle",+NFL!O329,0))</f>
        <v>19</v>
      </c>
      <c r="P550" s="394" t="str">
        <f>IF(+NFL!$F329="Seattle",+NFL!P329,IF(+NFL!$H329="Seattle",+NFL!P329,0))</f>
        <v>LA Rams</v>
      </c>
      <c r="Q550" s="396">
        <f>IF(+NFL!$F329="Seattle",+NFL!Q329,IF(+NFL!$H329="Seattle",+NFL!Q329,0))</f>
        <v>16</v>
      </c>
      <c r="R550" s="397" t="str">
        <f>IF(+NFL!$F329="Seattle",+NFL!R329,IF(+NFL!$H329="Seattle",+NFL!R329,0))</f>
        <v>LA Rams</v>
      </c>
      <c r="S550" s="396" t="str">
        <f>IF(+NFL!$F329="Seattle",+NFL!S329,IF(+NFL!$H329="Seattle",+NFL!S329,0))</f>
        <v>Seattle</v>
      </c>
      <c r="T550" s="398" t="str">
        <f>IF(+NFL!$F329="Seattle",+NFL!T329,IF(+NFL!$H329="Seattle",+NFL!T329,0))</f>
        <v>LA Rams</v>
      </c>
      <c r="U550" s="396" t="str">
        <f>IF(+NFL!$F329="Seattle",+NFL!U329,IF(+NFL!$H329="Seattle",+NFL!U329,0))</f>
        <v>W</v>
      </c>
      <c r="V550" s="397">
        <f>IF(+NFL!$F352="Seattle",+NFL!#REF!,IF(+NFL!$H352="Seattle",+NFL!#REF!,0))</f>
        <v>0</v>
      </c>
      <c r="W550" s="396">
        <f>IF(+NFL!$F352="Seattle",+NFL!#REF!,IF(+NFL!$H352="Seattle",+NFL!#REF!,0))</f>
        <v>0</v>
      </c>
      <c r="X550" s="398">
        <f>IF(+NFL!$F352="Seattle",+NFL!#REF!,IF(+NFL!$H352="Seattle",+NFL!#REF!,0))</f>
        <v>0</v>
      </c>
      <c r="Y550" s="396">
        <f>IF(+NFL!$F352="Seattle",+NFL!#REF!,IF(+NFL!$H352="Seattle",+NFL!#REF!,0))</f>
        <v>0</v>
      </c>
      <c r="Z550" s="397">
        <f>IF(+NFL!$F352="Seattle",+NFL!#REF!,IF(+NFL!$H352="Seattle",+NFL!#REF!,0))</f>
        <v>0</v>
      </c>
      <c r="AA550" s="396">
        <f>IF(+NFL!$F352="Seattle",+NFL!#REF!,IF(+NFL!$H352="Seattle",+NFL!#REF!,0))</f>
        <v>0</v>
      </c>
      <c r="AB550" s="87">
        <f>IF(+NFL!$F352="Seattle",+NFL!#REF!,IF(+NFL!$H352="Seattle",+NFL!#REF!,0))</f>
        <v>0</v>
      </c>
      <c r="AC550" s="120">
        <f>IF(+NFL!$F352="Seattle",+NFL!#REF!,IF(+NFL!$H352="Seattle",+NFL!#REF!,0))</f>
        <v>0</v>
      </c>
      <c r="AD550" s="353">
        <f>IF(+NFL!$F352="Seattle",+NFL!#REF!,IF(+NFL!$H352="Seattle",+NFL!#REF!,0))</f>
        <v>0</v>
      </c>
      <c r="AE550" s="379">
        <f>IF(+NFL!$F352="Seattle",+NFL!#REF!,IF(+NFL!$H352="Seattle",+NFL!#REF!,0))</f>
        <v>0</v>
      </c>
      <c r="AF550" s="353">
        <f>IF(+NFL!$F352="Seattle",+NFL!#REF!,IF(+NFL!$H352="Seattle",+NFL!#REF!,0))</f>
        <v>0</v>
      </c>
      <c r="AG550" s="379">
        <f>IF(+NFL!$F352="Seattle",+NFL!#REF!,IF(+NFL!$H352="Seattle",+NFL!#REF!,0))</f>
        <v>0</v>
      </c>
      <c r="AH550" s="353">
        <f>IF(+NFL!$F352="Seattle",+NFL!#REF!,IF(+NFL!$H352="Seattle",+NFL!#REF!,0))</f>
        <v>0</v>
      </c>
      <c r="AI550" s="379">
        <f>IF(+NFL!$F352="Seattle",+NFL!#REF!,IF(+NFL!$H352="Seattle",+NFL!#REF!,0))</f>
        <v>0</v>
      </c>
      <c r="AJ550" s="353">
        <f>IF(+NFL!$F352="Seattle",+NFL!#REF!,IF(+NFL!$H352="Seattle",+NFL!#REF!,0))</f>
        <v>0</v>
      </c>
      <c r="AK550" s="379">
        <f>IF(+NFL!$F352="Seattle",+NFL!#REF!,IF(+NFL!$H352="Seattle",+NFL!#REF!,0))</f>
        <v>0</v>
      </c>
      <c r="AL550" s="68">
        <f>IF(+NFL!$F352="Seattle",+NFL!#REF!,IF(+NFL!$H352="Seattle",+NFL!#REF!,0))</f>
        <v>0</v>
      </c>
      <c r="AM550" s="58">
        <f>IF(+NFL!$F352="Seattle",+NFL!#REF!,IF(+NFL!$H352="Seattle",+NFL!#REF!,0))</f>
        <v>0</v>
      </c>
      <c r="AN550" s="57">
        <f>IF(+NFL!$F352="Seattle",+NFL!#REF!,IF(+NFL!$H352="Seattle",+NFL!#REF!,0))</f>
        <v>0</v>
      </c>
      <c r="AO550" s="59">
        <f>IF(+NFL!$F352="Seattle",+NFL!#REF!,IF(+NFL!$H352="Seattle",+NFL!#REF!,0))</f>
        <v>0</v>
      </c>
      <c r="AP550" s="348">
        <f>IF(+NFL!$F352="Seattle",+NFL!#REF!,IF(+NFL!$H352="Seattle",+NFL!#REF!,0))</f>
        <v>0</v>
      </c>
      <c r="AQ550" s="48">
        <f>IF(+NFL!$F352="Seattle",+NFL!#REF!,IF(+NFL!$H352="Seattle",+NFL!#REF!,0))</f>
        <v>0</v>
      </c>
      <c r="AR550" s="57">
        <f>IF(+NFL!$F352="Seattle",+NFL!#REF!,IF(+NFL!$H352="Seattle",+NFL!#REF!,0))</f>
        <v>0</v>
      </c>
      <c r="AS550" s="64">
        <f>IF(+NFL!$F352="Seattle",+NFL!#REF!,IF(+NFL!$H352="Seattle",+NFL!#REF!,0))</f>
        <v>0</v>
      </c>
      <c r="AT550" s="64">
        <f>IF(+NFL!$F352="Seattle",+NFL!#REF!,IF(+NFL!$H352="Seattle",+NFL!#REF!,0))</f>
        <v>0</v>
      </c>
      <c r="AU550" s="57">
        <f>IF(+NFL!$F352="Seattle",+NFL!#REF!,IF(+NFL!$H352="Seattle",+NFL!#REF!,0))</f>
        <v>0</v>
      </c>
      <c r="AV550" s="64">
        <f>IF(+NFL!$F352="Seattle",+NFL!#REF!,IF(+NFL!$H352="Seattle",+NFL!#REF!,0))</f>
        <v>0</v>
      </c>
      <c r="AW550" s="46">
        <f>IF(+NFL!$F352="Seattle",+NFL!#REF!,IF(+NFL!$H352="Seattle",+NFL!#REF!,0))</f>
        <v>0</v>
      </c>
      <c r="AX550" s="64">
        <f>IF(+NFL!$F352="Seattle",+NFL!#REF!,IF(+NFL!$H352="Seattle",+NFL!#REF!,0))</f>
        <v>0</v>
      </c>
      <c r="AY550" s="57">
        <f>IF(+NFL!$F352="Seattle",+NFL!#REF!,IF(+NFL!$H352="Seattle",+NFL!#REF!,0))</f>
        <v>0</v>
      </c>
      <c r="AZ550" s="64">
        <f>IF(+NFL!$F352="Seattle",+NFL!#REF!,IF(+NFL!$H352="Seattle",+NFL!#REF!,0))</f>
        <v>0</v>
      </c>
      <c r="BA550" s="46">
        <f>IF(+NFL!$F352="Seattle",+NFL!#REF!,IF(+NFL!$H352="Seattle",+NFL!#REF!,0))</f>
        <v>0</v>
      </c>
      <c r="BB550" s="46">
        <f>IF(+NFL!$F352="Seattle",+NFL!#REF!,IF(+NFL!$H352="Seattle",+NFL!#REF!,0))</f>
        <v>0</v>
      </c>
      <c r="BC550" s="403">
        <f>IF(+NFL!$F352="Seattle",+NFL!#REF!,IF(+NFL!$H352="Seattle",+NFL!#REF!,0))</f>
        <v>0</v>
      </c>
      <c r="BD550" s="57">
        <f>IF(+NFL!$F352="Seattle",+NFL!#REF!,IF(+NFL!$H352="Seattle",+NFL!#REF!,0))</f>
        <v>0</v>
      </c>
      <c r="BE550" s="64">
        <f>IF(+NFL!$F352="Seattle",+NFL!#REF!,IF(+NFL!$H352="Seattle",+NFL!#REF!,0))</f>
        <v>0</v>
      </c>
      <c r="BF550" s="46">
        <f>IF(+NFL!$F352="Seattle",+NFL!#REF!,IF(+NFL!$H352="Seattle",+NFL!#REF!,0))</f>
        <v>0</v>
      </c>
      <c r="BG550" s="57">
        <f>IF(+NFL!$F352="Seattle",+NFL!#REF!,IF(+NFL!$H352="Seattle",+NFL!#REF!,0))</f>
        <v>0</v>
      </c>
      <c r="BH550" s="64">
        <f>IF(+NFL!$F352="Seattle",+NFL!#REF!,IF(+NFL!$H352="Seattle",+NFL!#REF!,0))</f>
        <v>0</v>
      </c>
      <c r="BI550" s="46">
        <f>IF(+NFL!$F352="Seattle",+NFL!#REF!,IF(+NFL!$H352="Seattle",+NFL!#REF!,0))</f>
        <v>0</v>
      </c>
      <c r="BJ550" s="87">
        <f>IF(+NFL!$F352="Seattle",+NFL!#REF!,IF(+NFL!$H352="Seattle",+NFL!#REF!,0))</f>
        <v>0</v>
      </c>
      <c r="BK550" s="120">
        <f>IF(+NFL!$F352="Seattle",+NFL!#REF!,IF(+NFL!$H352="Seattle",+NFL!#REF!,0))</f>
        <v>0</v>
      </c>
    </row>
    <row r="551" spans="1:63" s="246" customFormat="1" x14ac:dyDescent="0.8">
      <c r="A551" s="46"/>
      <c r="B551" s="348"/>
      <c r="C551" s="48"/>
      <c r="D551" s="490"/>
      <c r="E551" s="46"/>
      <c r="F551" s="959" t="str">
        <f>F552</f>
        <v>Tampa Bay</v>
      </c>
      <c r="G551" s="960"/>
      <c r="H551" s="960"/>
      <c r="I551" s="961"/>
      <c r="J551" s="353"/>
      <c r="K551" s="494"/>
      <c r="L551" s="384"/>
      <c r="M551" s="385"/>
      <c r="N551" s="394"/>
      <c r="O551" s="395"/>
      <c r="P551" s="394"/>
      <c r="Q551" s="396"/>
      <c r="R551" s="397"/>
      <c r="S551" s="396"/>
      <c r="T551" s="398"/>
      <c r="U551" s="396"/>
      <c r="V551" s="397"/>
      <c r="W551" s="396"/>
      <c r="X551" s="398"/>
      <c r="Y551" s="396"/>
      <c r="Z551" s="397"/>
      <c r="AA551" s="396"/>
      <c r="AB551" s="87"/>
      <c r="AC551" s="120"/>
      <c r="AD551" s="353"/>
      <c r="AE551" s="379"/>
      <c r="AF551" s="353"/>
      <c r="AG551" s="379"/>
      <c r="AH551" s="353"/>
      <c r="AI551" s="379"/>
      <c r="AJ551" s="353"/>
      <c r="AK551" s="379"/>
      <c r="AL551" s="68"/>
      <c r="AM551" s="58"/>
      <c r="AN551" s="57"/>
      <c r="AO551" s="59"/>
      <c r="AP551" s="348"/>
      <c r="AQ551" s="348"/>
      <c r="AR551" s="57"/>
      <c r="AS551" s="493"/>
      <c r="AT551" s="493"/>
      <c r="AU551" s="57"/>
      <c r="AV551" s="493"/>
      <c r="AW551" s="46"/>
      <c r="AX551" s="493"/>
      <c r="AY551" s="57"/>
      <c r="AZ551" s="493"/>
      <c r="BA551" s="46"/>
      <c r="BB551" s="46"/>
      <c r="BC551" s="348"/>
      <c r="BD551" s="57"/>
      <c r="BE551" s="493"/>
      <c r="BF551" s="46"/>
      <c r="BG551" s="57"/>
      <c r="BH551" s="493"/>
      <c r="BI551" s="46"/>
      <c r="BJ551" s="87"/>
      <c r="BK551" s="120"/>
    </row>
    <row r="552" spans="1:63" s="246" customFormat="1" x14ac:dyDescent="0.8">
      <c r="A552" s="46">
        <f>IF(+NFL!$F18="Tampa Bay",+NFL!A18,IF(+NFL!$H18="Tampa Bay",+NFL!A18,0))</f>
        <v>1</v>
      </c>
      <c r="B552" s="348" t="str">
        <f>IF(+NFL!$F18="Tampa Bay",+NFL!B18,IF(+NFL!$H18="Tampa Bay",+NFL!B18,0))</f>
        <v>Sun</v>
      </c>
      <c r="C552" s="48">
        <f>IF(+NFL!$F18="Tampa Bay",+NFL!C18,IF(+NFL!$H18="Tampa Bay",+NFL!C18,0))</f>
        <v>44815</v>
      </c>
      <c r="D552" s="490">
        <f>IF(+NFL!$F18="Tampa Bay",+NFL!D18,IF(+NFL!$H18="Tampa Bay",+NFL!D18,0))</f>
        <v>0.84375</v>
      </c>
      <c r="E552" s="46" t="str">
        <f>IF(+NFL!$F18="Tampa Bay",+NFL!E18,IF(+NFL!$H18="Tampa Bay",+NFL!E18,0))</f>
        <v>NBC</v>
      </c>
      <c r="F552" s="127" t="str">
        <f>IF(+NFL!$F18="Tampa Bay",+NFL!F18,IF(+NFL!$H18="Tampa Bay",+NFL!F18,0))</f>
        <v>Tampa Bay</v>
      </c>
      <c r="G552" s="46" t="str">
        <f>IF(+NFL!$F18="Tampa Bay",+NFL!G18,IF(+NFL!$H18="Tampa Bay",+NFL!G18,0))</f>
        <v>NFCS</v>
      </c>
      <c r="H552" s="127" t="str">
        <f>IF(+NFL!$F18="Tampa Bay",+NFL!H18,IF(+NFL!$H18="Tampa Bay",+NFL!H18,0))</f>
        <v>Dallas</v>
      </c>
      <c r="I552" s="46" t="str">
        <f>IF(+NFL!$F18="Tampa Bay",+NFL!I18,IF(+NFL!$H18="Tampa Bay",+NFL!I18,0))</f>
        <v>NFCE</v>
      </c>
      <c r="J552" s="353" t="str">
        <f>IF(+NFL!$F18="Tampa Bay",+NFL!J18,IF(+NFL!$H18="Tampa Bay",+NFL!J18,0))</f>
        <v>Tampa Bay</v>
      </c>
      <c r="K552" s="494" t="str">
        <f>IF(+NFL!$F18="Tampa Bay",+NFL!K18,IF(+NFL!$H18="Tampa Bay",+NFL!K18,0))</f>
        <v>Dallas</v>
      </c>
      <c r="L552" s="384">
        <f>IF(+NFL!$F18="Tampa Bay",+NFL!L18,IF(+NFL!$H18="Tampa Bay",+NFL!L18,0))</f>
        <v>2.5</v>
      </c>
      <c r="M552" s="385">
        <f>IF(+NFL!$F18="Tampa Bay",+NFL!M18,IF(+NFL!$H18="Tampa Bay",+NFL!M18,0))</f>
        <v>51</v>
      </c>
      <c r="N552" s="394" t="str">
        <f>IF(+NFL!$F18="Tampa Bay",+NFL!N18,IF(+NFL!$H18="Tampa Bay",+NFL!N18,0))</f>
        <v>Tampa Bay</v>
      </c>
      <c r="O552" s="395">
        <f>IF(+NFL!$F18="Tampa Bay",+NFL!O18,IF(+NFL!$H18="Tampa Bay",+NFL!O18,0))</f>
        <v>19</v>
      </c>
      <c r="P552" s="394" t="str">
        <f>IF(+NFL!$F18="Tampa Bay",+NFL!P18,IF(+NFL!$H18="Tampa Bay",+NFL!P18,0))</f>
        <v>Dallas</v>
      </c>
      <c r="Q552" s="396">
        <f>IF(+NFL!$F18="Tampa Bay",+NFL!Q18,IF(+NFL!$H18="Tampa Bay",+NFL!Q18,0))</f>
        <v>3</v>
      </c>
      <c r="R552" s="397" t="str">
        <f>IF(+NFL!$F18="Tampa Bay",+NFL!R18,IF(+NFL!$H18="Tampa Bay",+NFL!R18,0))</f>
        <v>Tampa Bay</v>
      </c>
      <c r="S552" s="396" t="str">
        <f>IF(+NFL!$F18="Tampa Bay",+NFL!S18,IF(+NFL!$H18="Tampa Bay",+NFL!S18,0))</f>
        <v>Dallas</v>
      </c>
      <c r="T552" s="398" t="str">
        <f>IF(+NFL!$F18="Tampa Bay",+NFL!T18,IF(+NFL!$H18="Tampa Bay",+NFL!T18,0))</f>
        <v>Tampa Bay</v>
      </c>
      <c r="U552" s="396" t="str">
        <f>IF(+NFL!$F18="Tampa Bay",+NFL!U18,IF(+NFL!$H18="Tampa Bay",+NFL!U18,0))</f>
        <v>W</v>
      </c>
      <c r="V552" s="397"/>
      <c r="W552" s="396"/>
      <c r="X552" s="398"/>
      <c r="Y552" s="396"/>
      <c r="Z552" s="397"/>
      <c r="AA552" s="396"/>
      <c r="AB552" s="87"/>
      <c r="AC552" s="120"/>
      <c r="AD552" s="353"/>
      <c r="AE552" s="379"/>
      <c r="AF552" s="353"/>
      <c r="AG552" s="379"/>
      <c r="AH552" s="353"/>
      <c r="AI552" s="379"/>
      <c r="AJ552" s="353"/>
      <c r="AK552" s="379"/>
      <c r="AL552" s="68"/>
      <c r="AM552" s="58"/>
      <c r="AN552" s="57"/>
      <c r="AO552" s="59"/>
      <c r="AP552" s="348"/>
      <c r="AQ552" s="48"/>
      <c r="AR552" s="57"/>
      <c r="AS552" s="493"/>
      <c r="AT552" s="493"/>
      <c r="AU552" s="57"/>
      <c r="AV552" s="493"/>
      <c r="AW552" s="46"/>
      <c r="AX552" s="493"/>
      <c r="AY552" s="57"/>
      <c r="AZ552" s="493"/>
      <c r="BA552" s="46"/>
      <c r="BB552" s="46"/>
      <c r="BC552" s="403"/>
      <c r="BD552" s="57"/>
      <c r="BE552" s="493"/>
      <c r="BF552" s="46"/>
      <c r="BG552" s="57"/>
      <c r="BH552" s="493"/>
      <c r="BI552" s="46"/>
      <c r="BJ552" s="87"/>
      <c r="BK552" s="120"/>
    </row>
    <row r="553" spans="1:63" s="246" customFormat="1" x14ac:dyDescent="0.8">
      <c r="A553" s="46">
        <f>IF(+NFL!$F24="Tampa Bay",+NFL!A24,IF(+NFL!$H24="Tampa Bay",+NFL!A24,0))</f>
        <v>2</v>
      </c>
      <c r="B553" s="348" t="str">
        <f>IF(+NFL!$F24="Tampa Bay",+NFL!B24,IF(+NFL!$H24="Tampa Bay",+NFL!B24,0))</f>
        <v>Sun</v>
      </c>
      <c r="C553" s="48">
        <f>IF(+NFL!$F24="Tampa Bay",+NFL!C24,IF(+NFL!$H24="Tampa Bay",+NFL!C24,0))</f>
        <v>44822</v>
      </c>
      <c r="D553" s="490">
        <f>IF(+NFL!$F24="Tampa Bay",+NFL!D24,IF(+NFL!$H24="Tampa Bay",+NFL!D24,0))</f>
        <v>0.54166666666666663</v>
      </c>
      <c r="E553" s="46" t="str">
        <f>IF(+NFL!$F24="Tampa Bay",+NFL!E24,IF(+NFL!$H24="Tampa Bay",+NFL!E24,0))</f>
        <v>Fox</v>
      </c>
      <c r="F553" s="127" t="str">
        <f>IF(+NFL!$F24="Tampa Bay",+NFL!F24,IF(+NFL!$H24="Tampa Bay",+NFL!F24,0))</f>
        <v>Tampa Bay</v>
      </c>
      <c r="G553" s="46" t="str">
        <f>IF(+NFL!$F24="Tampa Bay",+NFL!G24,IF(+NFL!$H24="Tampa Bay",+NFL!G24,0))</f>
        <v>NFCS</v>
      </c>
      <c r="H553" s="127" t="str">
        <f>IF(+NFL!$F24="Tampa Bay",+NFL!H24,IF(+NFL!$H24="Tampa Bay",+NFL!H24,0))</f>
        <v>New Orleans</v>
      </c>
      <c r="I553" s="46" t="str">
        <f>IF(+NFL!$F24="Tampa Bay",+NFL!I24,IF(+NFL!$H24="Tampa Bay",+NFL!I24,0))</f>
        <v>NFCS</v>
      </c>
      <c r="J553" s="353" t="str">
        <f>IF(+NFL!$F24="Tampa Bay",+NFL!J24,IF(+NFL!$H24="Tampa Bay",+NFL!J24,0))</f>
        <v>Tampa Bay</v>
      </c>
      <c r="K553" s="494" t="str">
        <f>IF(+NFL!$F24="Tampa Bay",+NFL!K24,IF(+NFL!$H24="Tampa Bay",+NFL!K24,0))</f>
        <v>New Orleans</v>
      </c>
      <c r="L553" s="384">
        <f>IF(+NFL!$F24="Tampa Bay",+NFL!L24,IF(+NFL!$H24="Tampa Bay",+NFL!L24,0))</f>
        <v>2.5</v>
      </c>
      <c r="M553" s="385">
        <f>IF(+NFL!$F24="Tampa Bay",+NFL!M24,IF(+NFL!$H24="Tampa Bay",+NFL!M24,0))</f>
        <v>44</v>
      </c>
      <c r="N553" s="394" t="str">
        <f>IF(+NFL!$F24="Tampa Bay",+NFL!N24,IF(+NFL!$H24="Tampa Bay",+NFL!N24,0))</f>
        <v>New Orleans</v>
      </c>
      <c r="O553" s="395">
        <f>IF(+NFL!$F24="Tampa Bay",+NFL!O24,IF(+NFL!$H24="Tampa Bay",+NFL!O24,0))</f>
        <v>20</v>
      </c>
      <c r="P553" s="394" t="str">
        <f>IF(+NFL!$F24="Tampa Bay",+NFL!P24,IF(+NFL!$H24="Tampa Bay",+NFL!P24,0))</f>
        <v>Tampa Bay</v>
      </c>
      <c r="Q553" s="396">
        <f>IF(+NFL!$F24="Tampa Bay",+NFL!Q24,IF(+NFL!$H24="Tampa Bay",+NFL!Q24,0))</f>
        <v>10</v>
      </c>
      <c r="R553" s="397" t="str">
        <f>IF(+NFL!$F24="Tampa Bay",+NFL!R24,IF(+NFL!$H24="Tampa Bay",+NFL!R24,0))</f>
        <v>New Orleans</v>
      </c>
      <c r="S553" s="396" t="str">
        <f>IF(+NFL!$F24="Tampa Bay",+NFL!S24,IF(+NFL!$H24="Tampa Bay",+NFL!S24,0))</f>
        <v>Tampa Bay</v>
      </c>
      <c r="T553" s="398" t="str">
        <f>IF(+NFL!$F24="Tampa Bay",+NFL!T24,IF(+NFL!$H24="Tampa Bay",+NFL!T24,0))</f>
        <v>New Orleans</v>
      </c>
      <c r="U553" s="396" t="str">
        <f>IF(+NFL!$F24="Tampa Bay",+NFL!U24,IF(+NFL!$H24="Tampa Bay",+NFL!U24,0))</f>
        <v>W</v>
      </c>
      <c r="V553" s="397"/>
      <c r="W553" s="396"/>
      <c r="X553" s="398"/>
      <c r="Y553" s="396"/>
      <c r="Z553" s="397"/>
      <c r="AA553" s="396"/>
      <c r="AB553" s="87"/>
      <c r="AC553" s="120"/>
      <c r="AD553" s="353"/>
      <c r="AE553" s="379"/>
      <c r="AF553" s="353"/>
      <c r="AG553" s="379"/>
      <c r="AH553" s="353"/>
      <c r="AI553" s="379"/>
      <c r="AJ553" s="353"/>
      <c r="AK553" s="379"/>
      <c r="AL553" s="68"/>
      <c r="AM553" s="58"/>
      <c r="AN553" s="57"/>
      <c r="AO553" s="59"/>
      <c r="AP553" s="348"/>
      <c r="AQ553" s="48"/>
      <c r="AR553" s="57"/>
      <c r="AS553" s="64"/>
      <c r="AT553" s="64"/>
      <c r="AU553" s="57"/>
      <c r="AV553" s="64"/>
      <c r="AW553" s="46"/>
      <c r="AX553" s="64"/>
      <c r="AY553" s="57"/>
      <c r="AZ553" s="64"/>
      <c r="BA553" s="46"/>
      <c r="BB553" s="46"/>
      <c r="BC553" s="403"/>
      <c r="BD553" s="57"/>
      <c r="BE553" s="64"/>
      <c r="BF553" s="46"/>
      <c r="BG553" s="57"/>
      <c r="BH553" s="64"/>
      <c r="BI553" s="46"/>
      <c r="BJ553" s="87"/>
      <c r="BK553" s="120"/>
    </row>
    <row r="554" spans="1:63" s="246" customFormat="1" x14ac:dyDescent="0.8">
      <c r="A554" s="46">
        <f>IF(+NFL!$F51="Tampa Bay",+NFL!A51,IF(+NFL!$H51="Tampa Bay",+NFL!A51,0))</f>
        <v>3</v>
      </c>
      <c r="B554" s="348" t="str">
        <f>IF(+NFL!$F51="Tampa Bay",+NFL!B51,IF(+NFL!$H51="Tampa Bay",+NFL!B51,0))</f>
        <v>Sun</v>
      </c>
      <c r="C554" s="48">
        <f>IF(+NFL!$F51="Tampa Bay",+NFL!C51,IF(+NFL!$H51="Tampa Bay",+NFL!C51,0))</f>
        <v>44829</v>
      </c>
      <c r="D554" s="490">
        <f>IF(+NFL!$F51="Tampa Bay",+NFL!D51,IF(+NFL!$H51="Tampa Bay",+NFL!D51,0))</f>
        <v>0.66666666666666663</v>
      </c>
      <c r="E554" s="46" t="str">
        <f>IF(+NFL!$F51="Tampa Bay",+NFL!E51,IF(+NFL!$H51="Tampa Bay",+NFL!E51,0))</f>
        <v>Fox</v>
      </c>
      <c r="F554" s="127" t="str">
        <f>IF(+NFL!$F51="Tampa Bay",+NFL!F51,IF(+NFL!$H51="Tampa Bay",+NFL!F51,0))</f>
        <v>Green Bay</v>
      </c>
      <c r="G554" s="46" t="str">
        <f>IF(+NFL!$F51="Tampa Bay",+NFL!G51,IF(+NFL!$H51="Tampa Bay",+NFL!G51,0))</f>
        <v>NFCN</v>
      </c>
      <c r="H554" s="127" t="str">
        <f>IF(+NFL!$F51="Tampa Bay",+NFL!H51,IF(+NFL!$H51="Tampa Bay",+NFL!H51,0))</f>
        <v>Tampa Bay</v>
      </c>
      <c r="I554" s="46" t="str">
        <f>IF(+NFL!$F51="Tampa Bay",+NFL!I51,IF(+NFL!$H51="Tampa Bay",+NFL!I51,0))</f>
        <v>NFCS</v>
      </c>
      <c r="J554" s="353" t="str">
        <f>IF(+NFL!$F51="Tampa Bay",+NFL!J51,IF(+NFL!$H51="Tampa Bay",+NFL!J51,0))</f>
        <v>Tampa Bay</v>
      </c>
      <c r="K554" s="494" t="str">
        <f>IF(+NFL!$F51="Tampa Bay",+NFL!K51,IF(+NFL!$H51="Tampa Bay",+NFL!K51,0))</f>
        <v>Green Bay</v>
      </c>
      <c r="L554" s="384">
        <f>IF(+NFL!$F51="Tampa Bay",+NFL!L51,IF(+NFL!$H51="Tampa Bay",+NFL!L51,0))</f>
        <v>2</v>
      </c>
      <c r="M554" s="385">
        <f>IF(+NFL!$F51="Tampa Bay",+NFL!M51,IF(+NFL!$H51="Tampa Bay",+NFL!M51,0))</f>
        <v>42</v>
      </c>
      <c r="N554" s="394" t="str">
        <f>IF(+NFL!$F51="Tampa Bay",+NFL!N51,IF(+NFL!$H51="Tampa Bay",+NFL!N51,0))</f>
        <v>Green Bay</v>
      </c>
      <c r="O554" s="395">
        <f>IF(+NFL!$F51="Tampa Bay",+NFL!O51,IF(+NFL!$H51="Tampa Bay",+NFL!O51,0))</f>
        <v>14</v>
      </c>
      <c r="P554" s="394" t="str">
        <f>IF(+NFL!$F51="Tampa Bay",+NFL!P51,IF(+NFL!$H51="Tampa Bay",+NFL!P51,0))</f>
        <v>Tampa Bay</v>
      </c>
      <c r="Q554" s="396">
        <f>IF(+NFL!$F51="Tampa Bay",+NFL!Q51,IF(+NFL!$H51="Tampa Bay",+NFL!Q51,0))</f>
        <v>12</v>
      </c>
      <c r="R554" s="397" t="str">
        <f>IF(+NFL!$F51="Tampa Bay",+NFL!R51,IF(+NFL!$H51="Tampa Bay",+NFL!R51,0))</f>
        <v>Green Bay</v>
      </c>
      <c r="S554" s="396" t="str">
        <f>IF(+NFL!$F51="Tampa Bay",+NFL!S51,IF(+NFL!$H51="Tampa Bay",+NFL!S51,0))</f>
        <v>Tampa Bay</v>
      </c>
      <c r="T554" s="398" t="str">
        <f>IF(+NFL!$F51="Tampa Bay",+NFL!T51,IF(+NFL!$H51="Tampa Bay",+NFL!T51,0))</f>
        <v>Green Bay</v>
      </c>
      <c r="U554" s="396" t="str">
        <f>IF(+NFL!$F51="Tampa Bay",+NFL!U51,IF(+NFL!$H51="Tampa Bay",+NFL!U51,0))</f>
        <v>W</v>
      </c>
      <c r="V554" s="397">
        <f>IF(+NFL!$F27="Tampa Bay",+NFL!#REF!,IF(+NFL!$H27="Tampa Bay",+NFL!#REF!,0))</f>
        <v>0</v>
      </c>
      <c r="W554" s="396">
        <f>IF(+NFL!$F27="Tampa Bay",+NFL!#REF!,IF(+NFL!$H27="Tampa Bay",+NFL!#REF!,0))</f>
        <v>0</v>
      </c>
      <c r="X554" s="398">
        <f>IF(+NFL!$F27="Tampa Bay",+NFL!#REF!,IF(+NFL!$H27="Tampa Bay",+NFL!#REF!,0))</f>
        <v>0</v>
      </c>
      <c r="Y554" s="396">
        <f>IF(+NFL!$F27="Tampa Bay",+NFL!#REF!,IF(+NFL!$H27="Tampa Bay",+NFL!#REF!,0))</f>
        <v>0</v>
      </c>
      <c r="Z554" s="397">
        <f>IF(+NFL!$F27="Tampa Bay",+NFL!#REF!,IF(+NFL!$H27="Tampa Bay",+NFL!#REF!,0))</f>
        <v>0</v>
      </c>
      <c r="AA554" s="396">
        <f>IF(+NFL!$F27="Tampa Bay",+NFL!#REF!,IF(+NFL!$H27="Tampa Bay",+NFL!#REF!,0))</f>
        <v>0</v>
      </c>
      <c r="AB554" s="87">
        <f>IF(+NFL!$F27="Tampa Bay",+NFL!#REF!,IF(+NFL!$H27="Tampa Bay",+NFL!#REF!,0))</f>
        <v>0</v>
      </c>
      <c r="AC554" s="120">
        <f>IF(+NFL!$F27="Tampa Bay",+NFL!#REF!,IF(+NFL!$H27="Tampa Bay",+NFL!#REF!,0))</f>
        <v>0</v>
      </c>
      <c r="AD554" s="353">
        <f>IF(+NFL!$F27="Tampa Bay",+NFL!#REF!,IF(+NFL!$H27="Tampa Bay",+NFL!#REF!,0))</f>
        <v>0</v>
      </c>
      <c r="AE554" s="379">
        <f>IF(+NFL!$F27="Tampa Bay",+NFL!#REF!,IF(+NFL!$H27="Tampa Bay",+NFL!#REF!,0))</f>
        <v>0</v>
      </c>
      <c r="AF554" s="353">
        <f>IF(+NFL!$F27="Tampa Bay",+NFL!#REF!,IF(+NFL!$H27="Tampa Bay",+NFL!#REF!,0))</f>
        <v>0</v>
      </c>
      <c r="AG554" s="379">
        <f>IF(+NFL!$F27="Tampa Bay",+NFL!#REF!,IF(+NFL!$H27="Tampa Bay",+NFL!#REF!,0))</f>
        <v>0</v>
      </c>
      <c r="AH554" s="353">
        <f>IF(+NFL!$F27="Tampa Bay",+NFL!#REF!,IF(+NFL!$H27="Tampa Bay",+NFL!#REF!,0))</f>
        <v>0</v>
      </c>
      <c r="AI554" s="379">
        <f>IF(+NFL!$F27="Tampa Bay",+NFL!#REF!,IF(+NFL!$H27="Tampa Bay",+NFL!#REF!,0))</f>
        <v>0</v>
      </c>
      <c r="AJ554" s="353">
        <f>IF(+NFL!$F27="Tampa Bay",+NFL!#REF!,IF(+NFL!$H27="Tampa Bay",+NFL!#REF!,0))</f>
        <v>0</v>
      </c>
      <c r="AK554" s="379">
        <f>IF(+NFL!$F27="Tampa Bay",+NFL!#REF!,IF(+NFL!$H27="Tampa Bay",+NFL!#REF!,0))</f>
        <v>0</v>
      </c>
      <c r="AL554" s="68">
        <f>IF(+NFL!$F27="Tampa Bay",+NFL!#REF!,IF(+NFL!$H27="Tampa Bay",+NFL!#REF!,0))</f>
        <v>0</v>
      </c>
      <c r="AM554" s="58">
        <f>IF(+NFL!$F27="Tampa Bay",+NFL!#REF!,IF(+NFL!$H27="Tampa Bay",+NFL!#REF!,0))</f>
        <v>0</v>
      </c>
      <c r="AN554" s="57">
        <f>IF(+NFL!$F27="Tampa Bay",+NFL!#REF!,IF(+NFL!$H27="Tampa Bay",+NFL!#REF!,0))</f>
        <v>0</v>
      </c>
      <c r="AO554" s="59">
        <f>IF(+NFL!$F27="Tampa Bay",+NFL!#REF!,IF(+NFL!$H27="Tampa Bay",+NFL!#REF!,0))</f>
        <v>0</v>
      </c>
      <c r="AP554" s="348">
        <f>IF(+NFL!$F27="Tampa Bay",+NFL!#REF!,IF(+NFL!$H27="Tampa Bay",+NFL!#REF!,0))</f>
        <v>0</v>
      </c>
      <c r="AQ554" s="48">
        <f>IF(+NFL!$F27="Tampa Bay",+NFL!#REF!,IF(+NFL!$H27="Tampa Bay",+NFL!#REF!,0))</f>
        <v>0</v>
      </c>
      <c r="AR554" s="57">
        <f>IF(+NFL!$F27="Tampa Bay",+NFL!#REF!,IF(+NFL!$H27="Tampa Bay",+NFL!#REF!,0))</f>
        <v>0</v>
      </c>
      <c r="AS554" s="64">
        <f>IF(+NFL!$F27="Tampa Bay",+NFL!#REF!,IF(+NFL!$H27="Tampa Bay",+NFL!#REF!,0))</f>
        <v>0</v>
      </c>
      <c r="AT554" s="64">
        <f>IF(+NFL!$F27="Tampa Bay",+NFL!#REF!,IF(+NFL!$H27="Tampa Bay",+NFL!#REF!,0))</f>
        <v>0</v>
      </c>
      <c r="AU554" s="57">
        <f>IF(+NFL!$F27="Tampa Bay",+NFL!#REF!,IF(+NFL!$H27="Tampa Bay",+NFL!#REF!,0))</f>
        <v>0</v>
      </c>
      <c r="AV554" s="64">
        <f>IF(+NFL!$F27="Tampa Bay",+NFL!#REF!,IF(+NFL!$H27="Tampa Bay",+NFL!#REF!,0))</f>
        <v>0</v>
      </c>
      <c r="AW554" s="46">
        <f>IF(+NFL!$F27="Tampa Bay",+NFL!#REF!,IF(+NFL!$H27="Tampa Bay",+NFL!#REF!,0))</f>
        <v>0</v>
      </c>
      <c r="AX554" s="64">
        <f>IF(+NFL!$F27="Tampa Bay",+NFL!#REF!,IF(+NFL!$H27="Tampa Bay",+NFL!#REF!,0))</f>
        <v>0</v>
      </c>
      <c r="AY554" s="57">
        <f>IF(+NFL!$F27="Tampa Bay",+NFL!#REF!,IF(+NFL!$H27="Tampa Bay",+NFL!#REF!,0))</f>
        <v>0</v>
      </c>
      <c r="AZ554" s="64">
        <f>IF(+NFL!$F27="Tampa Bay",+NFL!#REF!,IF(+NFL!$H27="Tampa Bay",+NFL!#REF!,0))</f>
        <v>0</v>
      </c>
      <c r="BA554" s="46">
        <f>IF(+NFL!$F27="Tampa Bay",+NFL!#REF!,IF(+NFL!$H27="Tampa Bay",+NFL!#REF!,0))</f>
        <v>0</v>
      </c>
      <c r="BB554" s="46">
        <f>IF(+NFL!$F27="Tampa Bay",+NFL!#REF!,IF(+NFL!$H27="Tampa Bay",+NFL!#REF!,0))</f>
        <v>0</v>
      </c>
      <c r="BC554" s="403">
        <f>IF(+NFL!$F27="Tampa Bay",+NFL!#REF!,IF(+NFL!$H27="Tampa Bay",+NFL!#REF!,0))</f>
        <v>0</v>
      </c>
      <c r="BD554" s="57">
        <f>IF(+NFL!$F27="Tampa Bay",+NFL!#REF!,IF(+NFL!$H27="Tampa Bay",+NFL!#REF!,0))</f>
        <v>0</v>
      </c>
      <c r="BE554" s="64">
        <f>IF(+NFL!$F27="Tampa Bay",+NFL!#REF!,IF(+NFL!$H27="Tampa Bay",+NFL!#REF!,0))</f>
        <v>0</v>
      </c>
      <c r="BF554" s="46">
        <f>IF(+NFL!$F27="Tampa Bay",+NFL!#REF!,IF(+NFL!$H27="Tampa Bay",+NFL!#REF!,0))</f>
        <v>0</v>
      </c>
      <c r="BG554" s="57">
        <f>IF(+NFL!$F27="Tampa Bay",+NFL!#REF!,IF(+NFL!$H27="Tampa Bay",+NFL!#REF!,0))</f>
        <v>0</v>
      </c>
      <c r="BH554" s="64">
        <f>IF(+NFL!$F27="Tampa Bay",+NFL!#REF!,IF(+NFL!$H27="Tampa Bay",+NFL!#REF!,0))</f>
        <v>0</v>
      </c>
      <c r="BI554" s="46">
        <f>IF(+NFL!$F27="Tampa Bay",+NFL!#REF!,IF(+NFL!$H27="Tampa Bay",+NFL!#REF!,0))</f>
        <v>0</v>
      </c>
      <c r="BJ554" s="87">
        <f>IF(+NFL!$F27="Tampa Bay",+NFL!#REF!,IF(+NFL!$H27="Tampa Bay",+NFL!#REF!,0))</f>
        <v>0</v>
      </c>
      <c r="BK554" s="120">
        <f>IF(+NFL!$F27="Tampa Bay",+NFL!#REF!,IF(+NFL!$H27="Tampa Bay",+NFL!#REF!,0))</f>
        <v>0</v>
      </c>
    </row>
    <row r="555" spans="1:63" s="246" customFormat="1" x14ac:dyDescent="0.8">
      <c r="A555" s="46">
        <f>IF(+NFL!$F69="Tampa Bay",+NFL!A69,IF(+NFL!$H69="Tampa Bay",+NFL!A69,0))</f>
        <v>4</v>
      </c>
      <c r="B555" s="348" t="str">
        <f>IF(+NFL!$F69="Tampa Bay",+NFL!B69,IF(+NFL!$H69="Tampa Bay",+NFL!B69,0))</f>
        <v>Sun</v>
      </c>
      <c r="C555" s="48">
        <f>IF(+NFL!$F69="Tampa Bay",+NFL!C69,IF(+NFL!$H69="Tampa Bay",+NFL!C69,0))</f>
        <v>44836</v>
      </c>
      <c r="D555" s="490">
        <f>IF(+NFL!$F69="Tampa Bay",+NFL!D69,IF(+NFL!$H69="Tampa Bay",+NFL!D69,0))</f>
        <v>0.84375</v>
      </c>
      <c r="E555" s="46" t="str">
        <f>IF(+NFL!$F69="Tampa Bay",+NFL!E69,IF(+NFL!$H69="Tampa Bay",+NFL!E69,0))</f>
        <v>NBC</v>
      </c>
      <c r="F555" s="127" t="str">
        <f>IF(+NFL!$F69="Tampa Bay",+NFL!F69,IF(+NFL!$H69="Tampa Bay",+NFL!F69,0))</f>
        <v>Kansas City</v>
      </c>
      <c r="G555" s="46" t="str">
        <f>IF(+NFL!$F69="Tampa Bay",+NFL!G69,IF(+NFL!$H69="Tampa Bay",+NFL!G69,0))</f>
        <v>AFCW</v>
      </c>
      <c r="H555" s="127" t="str">
        <f>IF(+NFL!$F69="Tampa Bay",+NFL!H69,IF(+NFL!$H69="Tampa Bay",+NFL!H69,0))</f>
        <v>Tampa Bay</v>
      </c>
      <c r="I555" s="46" t="str">
        <f>IF(+NFL!$F69="Tampa Bay",+NFL!I69,IF(+NFL!$H69="Tampa Bay",+NFL!I69,0))</f>
        <v>NFCS</v>
      </c>
      <c r="J555" s="353" t="str">
        <f>IF(+NFL!$F69="Tampa Bay",+NFL!J69,IF(+NFL!$H69="Tampa Bay",+NFL!J69,0))</f>
        <v>Kansas City</v>
      </c>
      <c r="K555" s="494" t="str">
        <f>IF(+NFL!$F69="Tampa Bay",+NFL!K69,IF(+NFL!$H69="Tampa Bay",+NFL!K69,0))</f>
        <v>Tampa Bay</v>
      </c>
      <c r="L555" s="384">
        <f>IF(+NFL!$F69="Tampa Bay",+NFL!L69,IF(+NFL!$H69="Tampa Bay",+NFL!L69,0))</f>
        <v>2</v>
      </c>
      <c r="M555" s="385">
        <f>IF(+NFL!$F69="Tampa Bay",+NFL!M69,IF(+NFL!$H69="Tampa Bay",+NFL!M69,0))</f>
        <v>45</v>
      </c>
      <c r="N555" s="394" t="str">
        <f>IF(+NFL!$F69="Tampa Bay",+NFL!N69,IF(+NFL!$H69="Tampa Bay",+NFL!N69,0))</f>
        <v>Kansas City</v>
      </c>
      <c r="O555" s="395">
        <f>IF(+NFL!$F69="Tampa Bay",+NFL!O69,IF(+NFL!$H69="Tampa Bay",+NFL!O69,0))</f>
        <v>41</v>
      </c>
      <c r="P555" s="394" t="str">
        <f>IF(+NFL!$F69="Tampa Bay",+NFL!P69,IF(+NFL!$H69="Tampa Bay",+NFL!P69,0))</f>
        <v>Tampa Bay</v>
      </c>
      <c r="Q555" s="396">
        <f>IF(+NFL!$F69="Tampa Bay",+NFL!Q69,IF(+NFL!$H69="Tampa Bay",+NFL!Q69,0))</f>
        <v>31</v>
      </c>
      <c r="R555" s="397" t="str">
        <f>IF(+NFL!$F69="Tampa Bay",+NFL!R69,IF(+NFL!$H69="Tampa Bay",+NFL!R69,0))</f>
        <v>Kansas City</v>
      </c>
      <c r="S555" s="396" t="str">
        <f>IF(+NFL!$F69="Tampa Bay",+NFL!S69,IF(+NFL!$H69="Tampa Bay",+NFL!S69,0))</f>
        <v>Tampa Bay</v>
      </c>
      <c r="T555" s="398" t="str">
        <f>IF(+NFL!$F69="Tampa Bay",+NFL!T69,IF(+NFL!$H69="Tampa Bay",+NFL!T69,0))</f>
        <v>Kansas City</v>
      </c>
      <c r="U555" s="396" t="str">
        <f>IF(+NFL!$F69="Tampa Bay",+NFL!U69,IF(+NFL!$H69="Tampa Bay",+NFL!U69,0))</f>
        <v>W</v>
      </c>
      <c r="V555" s="397">
        <f>IF(+NFL!$F58="Tampa Bay",+NFL!#REF!,IF(+NFL!$H58="Tampa Bay",+NFL!#REF!,0))</f>
        <v>0</v>
      </c>
      <c r="W555" s="396">
        <f>IF(+NFL!$F58="Tampa Bay",+NFL!#REF!,IF(+NFL!$H58="Tampa Bay",+NFL!#REF!,0))</f>
        <v>0</v>
      </c>
      <c r="X555" s="398">
        <f>IF(+NFL!$F58="Tampa Bay",+NFL!#REF!,IF(+NFL!$H58="Tampa Bay",+NFL!#REF!,0))</f>
        <v>0</v>
      </c>
      <c r="Y555" s="396">
        <f>IF(+NFL!$F58="Tampa Bay",+NFL!#REF!,IF(+NFL!$H58="Tampa Bay",+NFL!#REF!,0))</f>
        <v>0</v>
      </c>
      <c r="Z555" s="397">
        <f>IF(+NFL!$F58="Tampa Bay",+NFL!#REF!,IF(+NFL!$H58="Tampa Bay",+NFL!#REF!,0))</f>
        <v>0</v>
      </c>
      <c r="AA555" s="396">
        <f>IF(+NFL!$F58="Tampa Bay",+NFL!#REF!,IF(+NFL!$H58="Tampa Bay",+NFL!#REF!,0))</f>
        <v>0</v>
      </c>
      <c r="AB555" s="87">
        <f>IF(+NFL!$F58="Tampa Bay",+NFL!#REF!,IF(+NFL!$H58="Tampa Bay",+NFL!#REF!,0))</f>
        <v>0</v>
      </c>
      <c r="AC555" s="120">
        <f>IF(+NFL!$F58="Tampa Bay",+NFL!#REF!,IF(+NFL!$H58="Tampa Bay",+NFL!#REF!,0))</f>
        <v>0</v>
      </c>
      <c r="AD555" s="353">
        <f>IF(+NFL!$F58="Tampa Bay",+NFL!#REF!,IF(+NFL!$H58="Tampa Bay",+NFL!#REF!,0))</f>
        <v>0</v>
      </c>
      <c r="AE555" s="379">
        <f>IF(+NFL!$F58="Tampa Bay",+NFL!#REF!,IF(+NFL!$H58="Tampa Bay",+NFL!#REF!,0))</f>
        <v>0</v>
      </c>
      <c r="AF555" s="353">
        <f>IF(+NFL!$F58="Tampa Bay",+NFL!#REF!,IF(+NFL!$H58="Tampa Bay",+NFL!#REF!,0))</f>
        <v>0</v>
      </c>
      <c r="AG555" s="379">
        <f>IF(+NFL!$F58="Tampa Bay",+NFL!#REF!,IF(+NFL!$H58="Tampa Bay",+NFL!#REF!,0))</f>
        <v>0</v>
      </c>
      <c r="AH555" s="353">
        <f>IF(+NFL!$F58="Tampa Bay",+NFL!#REF!,IF(+NFL!$H58="Tampa Bay",+NFL!#REF!,0))</f>
        <v>0</v>
      </c>
      <c r="AI555" s="379">
        <f>IF(+NFL!$F58="Tampa Bay",+NFL!#REF!,IF(+NFL!$H58="Tampa Bay",+NFL!#REF!,0))</f>
        <v>0</v>
      </c>
      <c r="AJ555" s="353">
        <f>IF(+NFL!$F58="Tampa Bay",+NFL!#REF!,IF(+NFL!$H58="Tampa Bay",+NFL!#REF!,0))</f>
        <v>0</v>
      </c>
      <c r="AK555" s="379">
        <f>IF(+NFL!$F58="Tampa Bay",+NFL!#REF!,IF(+NFL!$H58="Tampa Bay",+NFL!#REF!,0))</f>
        <v>0</v>
      </c>
      <c r="AL555" s="68">
        <f>IF(+NFL!$F58="Tampa Bay",+NFL!#REF!,IF(+NFL!$H58="Tampa Bay",+NFL!#REF!,0))</f>
        <v>0</v>
      </c>
      <c r="AM555" s="58">
        <f>IF(+NFL!$F58="Tampa Bay",+NFL!#REF!,IF(+NFL!$H58="Tampa Bay",+NFL!#REF!,0))</f>
        <v>0</v>
      </c>
      <c r="AN555" s="57">
        <f>IF(+NFL!$F58="Tampa Bay",+NFL!#REF!,IF(+NFL!$H58="Tampa Bay",+NFL!#REF!,0))</f>
        <v>0</v>
      </c>
      <c r="AO555" s="59">
        <f>IF(+NFL!$F58="Tampa Bay",+NFL!#REF!,IF(+NFL!$H58="Tampa Bay",+NFL!#REF!,0))</f>
        <v>0</v>
      </c>
      <c r="AP555" s="348">
        <f>IF(+NFL!$F58="Tampa Bay",+NFL!#REF!,IF(+NFL!$H58="Tampa Bay",+NFL!#REF!,0))</f>
        <v>0</v>
      </c>
      <c r="AQ555" s="48">
        <f>IF(+NFL!$F58="Tampa Bay",+NFL!#REF!,IF(+NFL!$H58="Tampa Bay",+NFL!#REF!,0))</f>
        <v>0</v>
      </c>
      <c r="AR555" s="57">
        <f>IF(+NFL!$F58="Tampa Bay",+NFL!#REF!,IF(+NFL!$H58="Tampa Bay",+NFL!#REF!,0))</f>
        <v>0</v>
      </c>
      <c r="AS555" s="64">
        <f>IF(+NFL!$F58="Tampa Bay",+NFL!#REF!,IF(+NFL!$H58="Tampa Bay",+NFL!#REF!,0))</f>
        <v>0</v>
      </c>
      <c r="AT555" s="64">
        <f>IF(+NFL!$F58="Tampa Bay",+NFL!#REF!,IF(+NFL!$H58="Tampa Bay",+NFL!#REF!,0))</f>
        <v>0</v>
      </c>
      <c r="AU555" s="57">
        <f>IF(+NFL!$F58="Tampa Bay",+NFL!#REF!,IF(+NFL!$H58="Tampa Bay",+NFL!#REF!,0))</f>
        <v>0</v>
      </c>
      <c r="AV555" s="64">
        <f>IF(+NFL!$F58="Tampa Bay",+NFL!#REF!,IF(+NFL!$H58="Tampa Bay",+NFL!#REF!,0))</f>
        <v>0</v>
      </c>
      <c r="AW555" s="46">
        <f>IF(+NFL!$F58="Tampa Bay",+NFL!#REF!,IF(+NFL!$H58="Tampa Bay",+NFL!#REF!,0))</f>
        <v>0</v>
      </c>
      <c r="AX555" s="64">
        <f>IF(+NFL!$F58="Tampa Bay",+NFL!#REF!,IF(+NFL!$H58="Tampa Bay",+NFL!#REF!,0))</f>
        <v>0</v>
      </c>
      <c r="AY555" s="57">
        <f>IF(+NFL!$F58="Tampa Bay",+NFL!#REF!,IF(+NFL!$H58="Tampa Bay",+NFL!#REF!,0))</f>
        <v>0</v>
      </c>
      <c r="AZ555" s="64">
        <f>IF(+NFL!$F58="Tampa Bay",+NFL!#REF!,IF(+NFL!$H58="Tampa Bay",+NFL!#REF!,0))</f>
        <v>0</v>
      </c>
      <c r="BA555" s="46">
        <f>IF(+NFL!$F58="Tampa Bay",+NFL!#REF!,IF(+NFL!$H58="Tampa Bay",+NFL!#REF!,0))</f>
        <v>0</v>
      </c>
      <c r="BB555" s="46">
        <f>IF(+NFL!$F58="Tampa Bay",+NFL!#REF!,IF(+NFL!$H58="Tampa Bay",+NFL!#REF!,0))</f>
        <v>0</v>
      </c>
      <c r="BC555" s="403">
        <f>IF(+NFL!$F58="Tampa Bay",+NFL!#REF!,IF(+NFL!$H58="Tampa Bay",+NFL!#REF!,0))</f>
        <v>0</v>
      </c>
      <c r="BD555" s="57">
        <f>IF(+NFL!$F58="Tampa Bay",+NFL!#REF!,IF(+NFL!$H58="Tampa Bay",+NFL!#REF!,0))</f>
        <v>0</v>
      </c>
      <c r="BE555" s="64">
        <f>IF(+NFL!$F58="Tampa Bay",+NFL!#REF!,IF(+NFL!$H58="Tampa Bay",+NFL!#REF!,0))</f>
        <v>0</v>
      </c>
      <c r="BF555" s="46">
        <f>IF(+NFL!$F58="Tampa Bay",+NFL!#REF!,IF(+NFL!$H58="Tampa Bay",+NFL!#REF!,0))</f>
        <v>0</v>
      </c>
      <c r="BG555" s="57">
        <f>IF(+NFL!$F58="Tampa Bay",+NFL!#REF!,IF(+NFL!$H58="Tampa Bay",+NFL!#REF!,0))</f>
        <v>0</v>
      </c>
      <c r="BH555" s="64">
        <f>IF(+NFL!$F58="Tampa Bay",+NFL!#REF!,IF(+NFL!$H58="Tampa Bay",+NFL!#REF!,0))</f>
        <v>0</v>
      </c>
      <c r="BI555" s="46">
        <f>IF(+NFL!$F58="Tampa Bay",+NFL!#REF!,IF(+NFL!$H58="Tampa Bay",+NFL!#REF!,0))</f>
        <v>0</v>
      </c>
      <c r="BJ555" s="87">
        <f>IF(+NFL!$F58="Tampa Bay",+NFL!#REF!,IF(+NFL!$H58="Tampa Bay",+NFL!#REF!,0))</f>
        <v>0</v>
      </c>
      <c r="BK555" s="120">
        <f>IF(+NFL!$F58="Tampa Bay",+NFL!#REF!,IF(+NFL!$H58="Tampa Bay",+NFL!#REF!,0))</f>
        <v>0</v>
      </c>
    </row>
    <row r="556" spans="1:63" s="246" customFormat="1" x14ac:dyDescent="0.8">
      <c r="A556" s="46">
        <f>IF(+NFL!$F80="Tampa Bay",+NFL!A80,IF(+NFL!$H80="Tampa Bay",+NFL!A80,0))</f>
        <v>5</v>
      </c>
      <c r="B556" s="348" t="str">
        <f>IF(+NFL!$F80="Tampa Bay",+NFL!B80,IF(+NFL!$H80="Tampa Bay",+NFL!B80,0))</f>
        <v>Sun</v>
      </c>
      <c r="C556" s="48">
        <f>IF(+NFL!$F80="Tampa Bay",+NFL!C80,IF(+NFL!$H80="Tampa Bay",+NFL!C80,0))</f>
        <v>44843</v>
      </c>
      <c r="D556" s="490">
        <f>IF(+NFL!$F80="Tampa Bay",+NFL!D80,IF(+NFL!$H80="Tampa Bay",+NFL!D80,0))</f>
        <v>0.54166666666666663</v>
      </c>
      <c r="E556" s="46" t="str">
        <f>IF(+NFL!$F80="Tampa Bay",+NFL!E80,IF(+NFL!$H80="Tampa Bay",+NFL!E80,0))</f>
        <v>Fox</v>
      </c>
      <c r="F556" s="127" t="str">
        <f>IF(+NFL!$F80="Tampa Bay",+NFL!F80,IF(+NFL!$H80="Tampa Bay",+NFL!F80,0))</f>
        <v>Atlanta</v>
      </c>
      <c r="G556" s="46" t="str">
        <f>IF(+NFL!$F80="Tampa Bay",+NFL!G80,IF(+NFL!$H80="Tampa Bay",+NFL!G80,0))</f>
        <v>NFCS</v>
      </c>
      <c r="H556" s="127" t="str">
        <f>IF(+NFL!$F80="Tampa Bay",+NFL!H80,IF(+NFL!$H80="Tampa Bay",+NFL!H80,0))</f>
        <v>Tampa Bay</v>
      </c>
      <c r="I556" s="46" t="str">
        <f>IF(+NFL!$F80="Tampa Bay",+NFL!I80,IF(+NFL!$H80="Tampa Bay",+NFL!I80,0))</f>
        <v>NFCS</v>
      </c>
      <c r="J556" s="353" t="str">
        <f>IF(+NFL!$F80="Tampa Bay",+NFL!J80,IF(+NFL!$H80="Tampa Bay",+NFL!J80,0))</f>
        <v>Tampa Bay</v>
      </c>
      <c r="K556" s="494" t="str">
        <f>IF(+NFL!$F80="Tampa Bay",+NFL!K80,IF(+NFL!$H80="Tampa Bay",+NFL!K80,0))</f>
        <v>Atlanta</v>
      </c>
      <c r="L556" s="384">
        <f>IF(+NFL!$F80="Tampa Bay",+NFL!L80,IF(+NFL!$H80="Tampa Bay",+NFL!L80,0))</f>
        <v>9</v>
      </c>
      <c r="M556" s="385">
        <f>IF(+NFL!$F80="Tampa Bay",+NFL!M80,IF(+NFL!$H80="Tampa Bay",+NFL!M80,0))</f>
        <v>48</v>
      </c>
      <c r="N556" s="394" t="str">
        <f>IF(+NFL!$F80="Tampa Bay",+NFL!N80,IF(+NFL!$H80="Tampa Bay",+NFL!N80,0))</f>
        <v>Tampa Bay</v>
      </c>
      <c r="O556" s="395">
        <f>IF(+NFL!$F80="Tampa Bay",+NFL!O80,IF(+NFL!$H80="Tampa Bay",+NFL!O80,0))</f>
        <v>21</v>
      </c>
      <c r="P556" s="394" t="str">
        <f>IF(+NFL!$F80="Tampa Bay",+NFL!P80,IF(+NFL!$H80="Tampa Bay",+NFL!P80,0))</f>
        <v>Atlanta</v>
      </c>
      <c r="Q556" s="396">
        <f>IF(+NFL!$F80="Tampa Bay",+NFL!Q80,IF(+NFL!$H80="Tampa Bay",+NFL!Q80,0))</f>
        <v>15</v>
      </c>
      <c r="R556" s="397" t="str">
        <f>IF(+NFL!$F80="Tampa Bay",+NFL!R80,IF(+NFL!$H80="Tampa Bay",+NFL!R80,0))</f>
        <v>Atlanta</v>
      </c>
      <c r="S556" s="396" t="str">
        <f>IF(+NFL!$F80="Tampa Bay",+NFL!S80,IF(+NFL!$H80="Tampa Bay",+NFL!S80,0))</f>
        <v>Tampa Bay</v>
      </c>
      <c r="T556" s="398" t="str">
        <f>IF(+NFL!$F80="Tampa Bay",+NFL!T80,IF(+NFL!$H80="Tampa Bay",+NFL!T80,0))</f>
        <v>Atlanta</v>
      </c>
      <c r="U556" s="396" t="str">
        <f>IF(+NFL!$F80="Tampa Bay",+NFL!U80,IF(+NFL!$H80="Tampa Bay",+NFL!U80,0))</f>
        <v>W</v>
      </c>
      <c r="V556" s="397">
        <f>IF(+NFL!$F78="Tampa Bay",+NFL!#REF!,IF(+NFL!$H78="Tampa Bay",+NFL!#REF!,0))</f>
        <v>0</v>
      </c>
      <c r="W556" s="396">
        <f>IF(+NFL!$F78="Tampa Bay",+NFL!#REF!,IF(+NFL!$H78="Tampa Bay",+NFL!#REF!,0))</f>
        <v>0</v>
      </c>
      <c r="X556" s="398">
        <f>IF(+NFL!$F78="Tampa Bay",+NFL!#REF!,IF(+NFL!$H78="Tampa Bay",+NFL!#REF!,0))</f>
        <v>0</v>
      </c>
      <c r="Y556" s="396">
        <f>IF(+NFL!$F78="Tampa Bay",+NFL!#REF!,IF(+NFL!$H78="Tampa Bay",+NFL!#REF!,0))</f>
        <v>0</v>
      </c>
      <c r="Z556" s="397">
        <f>IF(+NFL!$F78="Tampa Bay",+NFL!#REF!,IF(+NFL!$H78="Tampa Bay",+NFL!#REF!,0))</f>
        <v>0</v>
      </c>
      <c r="AA556" s="396">
        <f>IF(+NFL!$F78="Tampa Bay",+NFL!#REF!,IF(+NFL!$H78="Tampa Bay",+NFL!#REF!,0))</f>
        <v>0</v>
      </c>
      <c r="AB556" s="87">
        <f>IF(+NFL!$F78="Tampa Bay",+NFL!#REF!,IF(+NFL!$H78="Tampa Bay",+NFL!#REF!,0))</f>
        <v>0</v>
      </c>
      <c r="AC556" s="120">
        <f>IF(+NFL!$F78="Tampa Bay",+NFL!#REF!,IF(+NFL!$H78="Tampa Bay",+NFL!#REF!,0))</f>
        <v>0</v>
      </c>
      <c r="AD556" s="353">
        <f>IF(+NFL!$F78="Tampa Bay",+NFL!#REF!,IF(+NFL!$H78="Tampa Bay",+NFL!#REF!,0))</f>
        <v>0</v>
      </c>
      <c r="AE556" s="379">
        <f>IF(+NFL!$F78="Tampa Bay",+NFL!#REF!,IF(+NFL!$H78="Tampa Bay",+NFL!#REF!,0))</f>
        <v>0</v>
      </c>
      <c r="AF556" s="353">
        <f>IF(+NFL!$F78="Tampa Bay",+NFL!#REF!,IF(+NFL!$H78="Tampa Bay",+NFL!#REF!,0))</f>
        <v>0</v>
      </c>
      <c r="AG556" s="379">
        <f>IF(+NFL!$F78="Tampa Bay",+NFL!#REF!,IF(+NFL!$H78="Tampa Bay",+NFL!#REF!,0))</f>
        <v>0</v>
      </c>
      <c r="AH556" s="353">
        <f>IF(+NFL!$F78="Tampa Bay",+NFL!#REF!,IF(+NFL!$H78="Tampa Bay",+NFL!#REF!,0))</f>
        <v>0</v>
      </c>
      <c r="AI556" s="379">
        <f>IF(+NFL!$F78="Tampa Bay",+NFL!#REF!,IF(+NFL!$H78="Tampa Bay",+NFL!#REF!,0))</f>
        <v>0</v>
      </c>
      <c r="AJ556" s="353">
        <f>IF(+NFL!$F78="Tampa Bay",+NFL!#REF!,IF(+NFL!$H78="Tampa Bay",+NFL!#REF!,0))</f>
        <v>0</v>
      </c>
      <c r="AK556" s="379">
        <f>IF(+NFL!$F78="Tampa Bay",+NFL!#REF!,IF(+NFL!$H78="Tampa Bay",+NFL!#REF!,0))</f>
        <v>0</v>
      </c>
      <c r="AL556" s="68">
        <f>IF(+NFL!$F78="Tampa Bay",+NFL!#REF!,IF(+NFL!$H78="Tampa Bay",+NFL!#REF!,0))</f>
        <v>0</v>
      </c>
      <c r="AM556" s="58">
        <f>IF(+NFL!$F78="Tampa Bay",+NFL!#REF!,IF(+NFL!$H78="Tampa Bay",+NFL!#REF!,0))</f>
        <v>0</v>
      </c>
      <c r="AN556" s="57">
        <f>IF(+NFL!$F78="Tampa Bay",+NFL!#REF!,IF(+NFL!$H78="Tampa Bay",+NFL!#REF!,0))</f>
        <v>0</v>
      </c>
      <c r="AO556" s="59">
        <f>IF(+NFL!$F78="Tampa Bay",+NFL!#REF!,IF(+NFL!$H78="Tampa Bay",+NFL!#REF!,0))</f>
        <v>0</v>
      </c>
      <c r="AP556" s="348">
        <f>IF(+NFL!$F78="Tampa Bay",+NFL!#REF!,IF(+NFL!$H78="Tampa Bay",+NFL!#REF!,0))</f>
        <v>0</v>
      </c>
      <c r="AQ556" s="48">
        <f>IF(+NFL!$F78="Tampa Bay",+NFL!#REF!,IF(+NFL!$H78="Tampa Bay",+NFL!#REF!,0))</f>
        <v>0</v>
      </c>
      <c r="AR556" s="57">
        <f>IF(+NFL!$F78="Tampa Bay",+NFL!#REF!,IF(+NFL!$H78="Tampa Bay",+NFL!#REF!,0))</f>
        <v>0</v>
      </c>
      <c r="AS556" s="64">
        <f>IF(+NFL!$F78="Tampa Bay",+NFL!#REF!,IF(+NFL!$H78="Tampa Bay",+NFL!#REF!,0))</f>
        <v>0</v>
      </c>
      <c r="AT556" s="64">
        <f>IF(+NFL!$F78="Tampa Bay",+NFL!#REF!,IF(+NFL!$H78="Tampa Bay",+NFL!#REF!,0))</f>
        <v>0</v>
      </c>
      <c r="AU556" s="57">
        <f>IF(+NFL!$F78="Tampa Bay",+NFL!#REF!,IF(+NFL!$H78="Tampa Bay",+NFL!#REF!,0))</f>
        <v>0</v>
      </c>
      <c r="AV556" s="64">
        <f>IF(+NFL!$F78="Tampa Bay",+NFL!#REF!,IF(+NFL!$H78="Tampa Bay",+NFL!#REF!,0))</f>
        <v>0</v>
      </c>
      <c r="AW556" s="46">
        <f>IF(+NFL!$F78="Tampa Bay",+NFL!#REF!,IF(+NFL!$H78="Tampa Bay",+NFL!#REF!,0))</f>
        <v>0</v>
      </c>
      <c r="AX556" s="64">
        <f>IF(+NFL!$F78="Tampa Bay",+NFL!#REF!,IF(+NFL!$H78="Tampa Bay",+NFL!#REF!,0))</f>
        <v>0</v>
      </c>
      <c r="AY556" s="57">
        <f>IF(+NFL!$F78="Tampa Bay",+NFL!#REF!,IF(+NFL!$H78="Tampa Bay",+NFL!#REF!,0))</f>
        <v>0</v>
      </c>
      <c r="AZ556" s="64">
        <f>IF(+NFL!$F78="Tampa Bay",+NFL!#REF!,IF(+NFL!$H78="Tampa Bay",+NFL!#REF!,0))</f>
        <v>0</v>
      </c>
      <c r="BA556" s="46">
        <f>IF(+NFL!$F78="Tampa Bay",+NFL!#REF!,IF(+NFL!$H78="Tampa Bay",+NFL!#REF!,0))</f>
        <v>0</v>
      </c>
      <c r="BB556" s="46">
        <f>IF(+NFL!$F78="Tampa Bay",+NFL!#REF!,IF(+NFL!$H78="Tampa Bay",+NFL!#REF!,0))</f>
        <v>0</v>
      </c>
      <c r="BC556" s="403">
        <f>IF(+NFL!$F78="Tampa Bay",+NFL!#REF!,IF(+NFL!$H78="Tampa Bay",+NFL!#REF!,0))</f>
        <v>0</v>
      </c>
      <c r="BD556" s="57">
        <f>IF(+NFL!$F78="Tampa Bay",+NFL!#REF!,IF(+NFL!$H78="Tampa Bay",+NFL!#REF!,0))</f>
        <v>0</v>
      </c>
      <c r="BE556" s="64">
        <f>IF(+NFL!$F78="Tampa Bay",+NFL!#REF!,IF(+NFL!$H78="Tampa Bay",+NFL!#REF!,0))</f>
        <v>0</v>
      </c>
      <c r="BF556" s="46">
        <f>IF(+NFL!$F78="Tampa Bay",+NFL!#REF!,IF(+NFL!$H78="Tampa Bay",+NFL!#REF!,0))</f>
        <v>0</v>
      </c>
      <c r="BG556" s="57">
        <f>IF(+NFL!$F78="Tampa Bay",+NFL!#REF!,IF(+NFL!$H78="Tampa Bay",+NFL!#REF!,0))</f>
        <v>0</v>
      </c>
      <c r="BH556" s="64">
        <f>IF(+NFL!$F78="Tampa Bay",+NFL!#REF!,IF(+NFL!$H78="Tampa Bay",+NFL!#REF!,0))</f>
        <v>0</v>
      </c>
      <c r="BI556" s="46">
        <f>IF(+NFL!$F78="Tampa Bay",+NFL!#REF!,IF(+NFL!$H78="Tampa Bay",+NFL!#REF!,0))</f>
        <v>0</v>
      </c>
      <c r="BJ556" s="87">
        <f>IF(+NFL!$F78="Tampa Bay",+NFL!#REF!,IF(+NFL!$H78="Tampa Bay",+NFL!#REF!,0))</f>
        <v>0</v>
      </c>
      <c r="BK556" s="120">
        <f>IF(+NFL!$F78="Tampa Bay",+NFL!#REF!,IF(+NFL!$H78="Tampa Bay",+NFL!#REF!,0))</f>
        <v>0</v>
      </c>
    </row>
    <row r="557" spans="1:63" s="246" customFormat="1" x14ac:dyDescent="0.8">
      <c r="A557" s="46">
        <f>IF(+NFL!$F97="Tampa Bay",+NFL!A97,IF(+NFL!$H97="Tampa Bay",+NFL!A97,0))</f>
        <v>6</v>
      </c>
      <c r="B557" s="348" t="str">
        <f>IF(+NFL!$F97="Tampa Bay",+NFL!B97,IF(+NFL!$H97="Tampa Bay",+NFL!B97,0))</f>
        <v>Sun</v>
      </c>
      <c r="C557" s="48">
        <f>IF(+NFL!$F97="Tampa Bay",+NFL!C97,IF(+NFL!$H97="Tampa Bay",+NFL!C97,0))</f>
        <v>44850</v>
      </c>
      <c r="D557" s="490">
        <f>IF(+NFL!$F97="Tampa Bay",+NFL!D97,IF(+NFL!$H97="Tampa Bay",+NFL!D97,0))</f>
        <v>0.54166666666666663</v>
      </c>
      <c r="E557" s="46" t="str">
        <f>IF(+NFL!$F97="Tampa Bay",+NFL!E97,IF(+NFL!$H97="Tampa Bay",+NFL!E97,0))</f>
        <v>Fox</v>
      </c>
      <c r="F557" s="127" t="str">
        <f>IF(+NFL!$F97="Tampa Bay",+NFL!F97,IF(+NFL!$H97="Tampa Bay",+NFL!F97,0))</f>
        <v>Tampa Bay</v>
      </c>
      <c r="G557" s="46" t="str">
        <f>IF(+NFL!$F97="Tampa Bay",+NFL!G97,IF(+NFL!$H97="Tampa Bay",+NFL!G97,0))</f>
        <v>NFCS</v>
      </c>
      <c r="H557" s="127" t="str">
        <f>IF(+NFL!$F97="Tampa Bay",+NFL!H97,IF(+NFL!$H97="Tampa Bay",+NFL!H97,0))</f>
        <v>Pittsburgh</v>
      </c>
      <c r="I557" s="46" t="str">
        <f>IF(+NFL!$F97="Tampa Bay",+NFL!I97,IF(+NFL!$H97="Tampa Bay",+NFL!I97,0))</f>
        <v>AFCN</v>
      </c>
      <c r="J557" s="353" t="str">
        <f>IF(+NFL!$F97="Tampa Bay",+NFL!J97,IF(+NFL!$H97="Tampa Bay",+NFL!J97,0))</f>
        <v>Tampa Bay</v>
      </c>
      <c r="K557" s="494" t="str">
        <f>IF(+NFL!$F97="Tampa Bay",+NFL!K97,IF(+NFL!$H97="Tampa Bay",+NFL!K97,0))</f>
        <v>Pittsburgh</v>
      </c>
      <c r="L557" s="384">
        <f>IF(+NFL!$F97="Tampa Bay",+NFL!L97,IF(+NFL!$H97="Tampa Bay",+NFL!L97,0))</f>
        <v>8</v>
      </c>
      <c r="M557" s="385">
        <f>IF(+NFL!$F97="Tampa Bay",+NFL!M97,IF(+NFL!$H97="Tampa Bay",+NFL!M97,0))</f>
        <v>44</v>
      </c>
      <c r="N557" s="394" t="str">
        <f>IF(+NFL!$F97="Tampa Bay",+NFL!N97,IF(+NFL!$H97="Tampa Bay",+NFL!N97,0))</f>
        <v>Pittsburgh</v>
      </c>
      <c r="O557" s="395">
        <f>IF(+NFL!$F97="Tampa Bay",+NFL!O97,IF(+NFL!$H97="Tampa Bay",+NFL!O97,0))</f>
        <v>20</v>
      </c>
      <c r="P557" s="394" t="str">
        <f>IF(+NFL!$F97="Tampa Bay",+NFL!P97,IF(+NFL!$H97="Tampa Bay",+NFL!P97,0))</f>
        <v>Tampa Bay</v>
      </c>
      <c r="Q557" s="396">
        <f>IF(+NFL!$F97="Tampa Bay",+NFL!Q97,IF(+NFL!$H97="Tampa Bay",+NFL!Q97,0))</f>
        <v>18</v>
      </c>
      <c r="R557" s="397" t="str">
        <f>IF(+NFL!$F97="Tampa Bay",+NFL!R97,IF(+NFL!$H97="Tampa Bay",+NFL!R97,0))</f>
        <v>Pittsburgh</v>
      </c>
      <c r="S557" s="396" t="str">
        <f>IF(+NFL!$F97="Tampa Bay",+NFL!S97,IF(+NFL!$H97="Tampa Bay",+NFL!S97,0))</f>
        <v>Tampa Bay</v>
      </c>
      <c r="T557" s="398" t="str">
        <f>IF(+NFL!$F97="Tampa Bay",+NFL!T97,IF(+NFL!$H97="Tampa Bay",+NFL!T97,0))</f>
        <v>Pittsburgh</v>
      </c>
      <c r="U557" s="396" t="str">
        <f>IF(+NFL!$F97="Tampa Bay",+NFL!U97,IF(+NFL!$H97="Tampa Bay",+NFL!U97,0))</f>
        <v>W</v>
      </c>
      <c r="V557" s="397">
        <f>IF(+NFL!$F93="Tampa Bay",+NFL!#REF!,IF(+NFL!$H93="Tampa Bay",+NFL!#REF!,0))</f>
        <v>0</v>
      </c>
      <c r="W557" s="396">
        <f>IF(+NFL!$F93="Tampa Bay",+NFL!#REF!,IF(+NFL!$H93="Tampa Bay",+NFL!#REF!,0))</f>
        <v>0</v>
      </c>
      <c r="X557" s="398">
        <f>IF(+NFL!$F93="Tampa Bay",+NFL!#REF!,IF(+NFL!$H93="Tampa Bay",+NFL!#REF!,0))</f>
        <v>0</v>
      </c>
      <c r="Y557" s="396">
        <f>IF(+NFL!$F93="Tampa Bay",+NFL!#REF!,IF(+NFL!$H93="Tampa Bay",+NFL!#REF!,0))</f>
        <v>0</v>
      </c>
      <c r="Z557" s="397">
        <f>IF(+NFL!$F93="Tampa Bay",+NFL!#REF!,IF(+NFL!$H93="Tampa Bay",+NFL!#REF!,0))</f>
        <v>0</v>
      </c>
      <c r="AA557" s="396">
        <f>IF(+NFL!$F93="Tampa Bay",+NFL!#REF!,IF(+NFL!$H93="Tampa Bay",+NFL!#REF!,0))</f>
        <v>0</v>
      </c>
      <c r="AB557" s="87">
        <f>IF(+NFL!$F93="Tampa Bay",+NFL!#REF!,IF(+NFL!$H93="Tampa Bay",+NFL!#REF!,0))</f>
        <v>0</v>
      </c>
      <c r="AC557" s="120">
        <f>IF(+NFL!$F93="Tampa Bay",+NFL!#REF!,IF(+NFL!$H93="Tampa Bay",+NFL!#REF!,0))</f>
        <v>0</v>
      </c>
      <c r="AD557" s="353">
        <f>IF(+NFL!$F93="Tampa Bay",+NFL!#REF!,IF(+NFL!$H93="Tampa Bay",+NFL!#REF!,0))</f>
        <v>0</v>
      </c>
      <c r="AE557" s="379">
        <f>IF(+NFL!$F93="Tampa Bay",+NFL!#REF!,IF(+NFL!$H93="Tampa Bay",+NFL!#REF!,0))</f>
        <v>0</v>
      </c>
      <c r="AF557" s="353">
        <f>IF(+NFL!$F93="Tampa Bay",+NFL!#REF!,IF(+NFL!$H93="Tampa Bay",+NFL!#REF!,0))</f>
        <v>0</v>
      </c>
      <c r="AG557" s="379">
        <f>IF(+NFL!$F93="Tampa Bay",+NFL!#REF!,IF(+NFL!$H93="Tampa Bay",+NFL!#REF!,0))</f>
        <v>0</v>
      </c>
      <c r="AH557" s="353">
        <f>IF(+NFL!$F93="Tampa Bay",+NFL!#REF!,IF(+NFL!$H93="Tampa Bay",+NFL!#REF!,0))</f>
        <v>0</v>
      </c>
      <c r="AI557" s="379">
        <f>IF(+NFL!$F93="Tampa Bay",+NFL!#REF!,IF(+NFL!$H93="Tampa Bay",+NFL!#REF!,0))</f>
        <v>0</v>
      </c>
      <c r="AJ557" s="353">
        <f>IF(+NFL!$F93="Tampa Bay",+NFL!#REF!,IF(+NFL!$H93="Tampa Bay",+NFL!#REF!,0))</f>
        <v>0</v>
      </c>
      <c r="AK557" s="379">
        <f>IF(+NFL!$F93="Tampa Bay",+NFL!#REF!,IF(+NFL!$H93="Tampa Bay",+NFL!#REF!,0))</f>
        <v>0</v>
      </c>
      <c r="AL557" s="68">
        <f>IF(+NFL!$F93="Tampa Bay",+NFL!#REF!,IF(+NFL!$H93="Tampa Bay",+NFL!#REF!,0))</f>
        <v>0</v>
      </c>
      <c r="AM557" s="58">
        <f>IF(+NFL!$F93="Tampa Bay",+NFL!#REF!,IF(+NFL!$H93="Tampa Bay",+NFL!#REF!,0))</f>
        <v>0</v>
      </c>
      <c r="AN557" s="57">
        <f>IF(+NFL!$F93="Tampa Bay",+NFL!#REF!,IF(+NFL!$H93="Tampa Bay",+NFL!#REF!,0))</f>
        <v>0</v>
      </c>
      <c r="AO557" s="59">
        <f>IF(+NFL!$F93="Tampa Bay",+NFL!#REF!,IF(+NFL!$H93="Tampa Bay",+NFL!#REF!,0))</f>
        <v>0</v>
      </c>
      <c r="AP557" s="348">
        <f>IF(+NFL!$F93="Tampa Bay",+NFL!#REF!,IF(+NFL!$H93="Tampa Bay",+NFL!#REF!,0))</f>
        <v>0</v>
      </c>
      <c r="AQ557" s="48">
        <f>IF(+NFL!$F93="Tampa Bay",+NFL!#REF!,IF(+NFL!$H93="Tampa Bay",+NFL!#REF!,0))</f>
        <v>0</v>
      </c>
      <c r="AR557" s="57">
        <f>IF(+NFL!$F93="Tampa Bay",+NFL!#REF!,IF(+NFL!$H93="Tampa Bay",+NFL!#REF!,0))</f>
        <v>0</v>
      </c>
      <c r="AS557" s="64">
        <f>IF(+NFL!$F93="Tampa Bay",+NFL!#REF!,IF(+NFL!$H93="Tampa Bay",+NFL!#REF!,0))</f>
        <v>0</v>
      </c>
      <c r="AT557" s="64">
        <f>IF(+NFL!$F93="Tampa Bay",+NFL!#REF!,IF(+NFL!$H93="Tampa Bay",+NFL!#REF!,0))</f>
        <v>0</v>
      </c>
      <c r="AU557" s="57">
        <f>IF(+NFL!$F93="Tampa Bay",+NFL!#REF!,IF(+NFL!$H93="Tampa Bay",+NFL!#REF!,0))</f>
        <v>0</v>
      </c>
      <c r="AV557" s="64">
        <f>IF(+NFL!$F93="Tampa Bay",+NFL!#REF!,IF(+NFL!$H93="Tampa Bay",+NFL!#REF!,0))</f>
        <v>0</v>
      </c>
      <c r="AW557" s="46">
        <f>IF(+NFL!$F93="Tampa Bay",+NFL!#REF!,IF(+NFL!$H93="Tampa Bay",+NFL!#REF!,0))</f>
        <v>0</v>
      </c>
      <c r="AX557" s="64">
        <f>IF(+NFL!$F93="Tampa Bay",+NFL!#REF!,IF(+NFL!$H93="Tampa Bay",+NFL!#REF!,0))</f>
        <v>0</v>
      </c>
      <c r="AY557" s="57">
        <f>IF(+NFL!$F93="Tampa Bay",+NFL!#REF!,IF(+NFL!$H93="Tampa Bay",+NFL!#REF!,0))</f>
        <v>0</v>
      </c>
      <c r="AZ557" s="64">
        <f>IF(+NFL!$F93="Tampa Bay",+NFL!#REF!,IF(+NFL!$H93="Tampa Bay",+NFL!#REF!,0))</f>
        <v>0</v>
      </c>
      <c r="BA557" s="46">
        <f>IF(+NFL!$F93="Tampa Bay",+NFL!#REF!,IF(+NFL!$H93="Tampa Bay",+NFL!#REF!,0))</f>
        <v>0</v>
      </c>
      <c r="BB557" s="46">
        <f>IF(+NFL!$F93="Tampa Bay",+NFL!#REF!,IF(+NFL!$H93="Tampa Bay",+NFL!#REF!,0))</f>
        <v>0</v>
      </c>
      <c r="BC557" s="403">
        <f>IF(+NFL!$F93="Tampa Bay",+NFL!#REF!,IF(+NFL!$H93="Tampa Bay",+NFL!#REF!,0))</f>
        <v>0</v>
      </c>
      <c r="BD557" s="57">
        <f>IF(+NFL!$F93="Tampa Bay",+NFL!#REF!,IF(+NFL!$H93="Tampa Bay",+NFL!#REF!,0))</f>
        <v>0</v>
      </c>
      <c r="BE557" s="64">
        <f>IF(+NFL!$F93="Tampa Bay",+NFL!#REF!,IF(+NFL!$H93="Tampa Bay",+NFL!#REF!,0))</f>
        <v>0</v>
      </c>
      <c r="BF557" s="46">
        <f>IF(+NFL!$F93="Tampa Bay",+NFL!#REF!,IF(+NFL!$H93="Tampa Bay",+NFL!#REF!,0))</f>
        <v>0</v>
      </c>
      <c r="BG557" s="57">
        <f>IF(+NFL!$F93="Tampa Bay",+NFL!#REF!,IF(+NFL!$H93="Tampa Bay",+NFL!#REF!,0))</f>
        <v>0</v>
      </c>
      <c r="BH557" s="64">
        <f>IF(+NFL!$F93="Tampa Bay",+NFL!#REF!,IF(+NFL!$H93="Tampa Bay",+NFL!#REF!,0))</f>
        <v>0</v>
      </c>
      <c r="BI557" s="46">
        <f>IF(+NFL!$F93="Tampa Bay",+NFL!#REF!,IF(+NFL!$H93="Tampa Bay",+NFL!#REF!,0))</f>
        <v>0</v>
      </c>
      <c r="BJ557" s="87">
        <f>IF(+NFL!$F93="Tampa Bay",+NFL!#REF!,IF(+NFL!$H93="Tampa Bay",+NFL!#REF!,0))</f>
        <v>0</v>
      </c>
      <c r="BK557" s="120">
        <f>IF(+NFL!$F93="Tampa Bay",+NFL!#REF!,IF(+NFL!$H93="Tampa Bay",+NFL!#REF!,0))</f>
        <v>0</v>
      </c>
    </row>
    <row r="558" spans="1:63" s="246" customFormat="1" x14ac:dyDescent="0.8">
      <c r="A558" s="46">
        <f>IF(+NFL!$F114="Tampa Bay",+NFL!A114,IF(+NFL!$H114="Tampa Bay",+NFL!A114,0))</f>
        <v>7</v>
      </c>
      <c r="B558" s="348" t="str">
        <f>IF(+NFL!$F114="Tampa Bay",+NFL!B114,IF(+NFL!$H114="Tampa Bay",+NFL!B114,0))</f>
        <v>Sun</v>
      </c>
      <c r="C558" s="48">
        <f>IF(+NFL!$F114="Tampa Bay",+NFL!C114,IF(+NFL!$H114="Tampa Bay",+NFL!C114,0))</f>
        <v>44857</v>
      </c>
      <c r="D558" s="490">
        <f>IF(+NFL!$F114="Tampa Bay",+NFL!D114,IF(+NFL!$H114="Tampa Bay",+NFL!D114,0))</f>
        <v>0.54166666666666663</v>
      </c>
      <c r="E558" s="46" t="str">
        <f>IF(+NFL!$F114="Tampa Bay",+NFL!E114,IF(+NFL!$H114="Tampa Bay",+NFL!E114,0))</f>
        <v>Fox</v>
      </c>
      <c r="F558" s="127" t="str">
        <f>IF(+NFL!$F114="Tampa Bay",+NFL!F114,IF(+NFL!$H114="Tampa Bay",+NFL!F114,0))</f>
        <v>Tampa Bay</v>
      </c>
      <c r="G558" s="46" t="str">
        <f>IF(+NFL!$F114="Tampa Bay",+NFL!G114,IF(+NFL!$H114="Tampa Bay",+NFL!G114,0))</f>
        <v>NFCS</v>
      </c>
      <c r="H558" s="127" t="str">
        <f>IF(+NFL!$F114="Tampa Bay",+NFL!H114,IF(+NFL!$H114="Tampa Bay",+NFL!H114,0))</f>
        <v>Carolina</v>
      </c>
      <c r="I558" s="46" t="str">
        <f>IF(+NFL!$F114="Tampa Bay",+NFL!I114,IF(+NFL!$H114="Tampa Bay",+NFL!I114,0))</f>
        <v>NFCS</v>
      </c>
      <c r="J558" s="353" t="str">
        <f>IF(+NFL!$F114="Tampa Bay",+NFL!J114,IF(+NFL!$H114="Tampa Bay",+NFL!J114,0))</f>
        <v>Tampa Bay</v>
      </c>
      <c r="K558" s="494" t="str">
        <f>IF(+NFL!$F114="Tampa Bay",+NFL!K114,IF(+NFL!$H114="Tampa Bay",+NFL!K114,0))</f>
        <v>Carolina</v>
      </c>
      <c r="L558" s="384">
        <f>IF(+NFL!$F114="Tampa Bay",+NFL!L114,IF(+NFL!$H114="Tampa Bay",+NFL!L114,0))</f>
        <v>11</v>
      </c>
      <c r="M558" s="385">
        <f>IF(+NFL!$F114="Tampa Bay",+NFL!M114,IF(+NFL!$H114="Tampa Bay",+NFL!M114,0))</f>
        <v>40</v>
      </c>
      <c r="N558" s="394" t="str">
        <f>IF(+NFL!$F114="Tampa Bay",+NFL!N114,IF(+NFL!$H114="Tampa Bay",+NFL!N114,0))</f>
        <v>Carolina</v>
      </c>
      <c r="O558" s="395">
        <f>IF(+NFL!$F114="Tampa Bay",+NFL!O114,IF(+NFL!$H114="Tampa Bay",+NFL!O114,0))</f>
        <v>21</v>
      </c>
      <c r="P558" s="394" t="str">
        <f>IF(+NFL!$F114="Tampa Bay",+NFL!P114,IF(+NFL!$H114="Tampa Bay",+NFL!P114,0))</f>
        <v>Tampa Bay</v>
      </c>
      <c r="Q558" s="396">
        <f>IF(+NFL!$F114="Tampa Bay",+NFL!Q114,IF(+NFL!$H114="Tampa Bay",+NFL!Q114,0))</f>
        <v>3</v>
      </c>
      <c r="R558" s="397" t="str">
        <f>IF(+NFL!$F114="Tampa Bay",+NFL!R114,IF(+NFL!$H114="Tampa Bay",+NFL!R114,0))</f>
        <v>Carolina</v>
      </c>
      <c r="S558" s="396" t="str">
        <f>IF(+NFL!$F114="Tampa Bay",+NFL!S114,IF(+NFL!$H114="Tampa Bay",+NFL!S114,0))</f>
        <v>Tampa Bay</v>
      </c>
      <c r="T558" s="398" t="str">
        <f>IF(+NFL!$F114="Tampa Bay",+NFL!T114,IF(+NFL!$H114="Tampa Bay",+NFL!T114,0))</f>
        <v>Tampa Bay</v>
      </c>
      <c r="U558" s="396" t="str">
        <f>IF(+NFL!$F114="Tampa Bay",+NFL!U114,IF(+NFL!$H114="Tampa Bay",+NFL!U114,0))</f>
        <v>L</v>
      </c>
      <c r="V558" s="397">
        <f>IF(+NFL!$F109="Tampa Bay",+NFL!#REF!,IF(+NFL!$H109="Tampa Bay",+NFL!#REF!,0))</f>
        <v>0</v>
      </c>
      <c r="W558" s="396">
        <f>IF(+NFL!$F109="Tampa Bay",+NFL!#REF!,IF(+NFL!$H109="Tampa Bay",+NFL!#REF!,0))</f>
        <v>0</v>
      </c>
      <c r="X558" s="398">
        <f>IF(+NFL!$F109="Tampa Bay",+NFL!#REF!,IF(+NFL!$H109="Tampa Bay",+NFL!#REF!,0))</f>
        <v>0</v>
      </c>
      <c r="Y558" s="396">
        <f>IF(+NFL!$F109="Tampa Bay",+NFL!#REF!,IF(+NFL!$H109="Tampa Bay",+NFL!#REF!,0))</f>
        <v>0</v>
      </c>
      <c r="Z558" s="397">
        <f>IF(+NFL!$F109="Tampa Bay",+NFL!#REF!,IF(+NFL!$H109="Tampa Bay",+NFL!#REF!,0))</f>
        <v>0</v>
      </c>
      <c r="AA558" s="396">
        <f>IF(+NFL!$F109="Tampa Bay",+NFL!#REF!,IF(+NFL!$H109="Tampa Bay",+NFL!#REF!,0))</f>
        <v>0</v>
      </c>
      <c r="AB558" s="87">
        <f>IF(+NFL!$F109="Tampa Bay",+NFL!#REF!,IF(+NFL!$H109="Tampa Bay",+NFL!#REF!,0))</f>
        <v>0</v>
      </c>
      <c r="AC558" s="120">
        <f>IF(+NFL!$F109="Tampa Bay",+NFL!#REF!,IF(+NFL!$H109="Tampa Bay",+NFL!#REF!,0))</f>
        <v>0</v>
      </c>
      <c r="AD558" s="353">
        <f>IF(+NFL!$F109="Tampa Bay",+NFL!#REF!,IF(+NFL!$H109="Tampa Bay",+NFL!#REF!,0))</f>
        <v>0</v>
      </c>
      <c r="AE558" s="379">
        <f>IF(+NFL!$F109="Tampa Bay",+NFL!#REF!,IF(+NFL!$H109="Tampa Bay",+NFL!#REF!,0))</f>
        <v>0</v>
      </c>
      <c r="AF558" s="353">
        <f>IF(+NFL!$F109="Tampa Bay",+NFL!#REF!,IF(+NFL!$H109="Tampa Bay",+NFL!#REF!,0))</f>
        <v>0</v>
      </c>
      <c r="AG558" s="379">
        <f>IF(+NFL!$F109="Tampa Bay",+NFL!#REF!,IF(+NFL!$H109="Tampa Bay",+NFL!#REF!,0))</f>
        <v>0</v>
      </c>
      <c r="AH558" s="353">
        <f>IF(+NFL!$F109="Tampa Bay",+NFL!#REF!,IF(+NFL!$H109="Tampa Bay",+NFL!#REF!,0))</f>
        <v>0</v>
      </c>
      <c r="AI558" s="379">
        <f>IF(+NFL!$F109="Tampa Bay",+NFL!#REF!,IF(+NFL!$H109="Tampa Bay",+NFL!#REF!,0))</f>
        <v>0</v>
      </c>
      <c r="AJ558" s="353">
        <f>IF(+NFL!$F109="Tampa Bay",+NFL!#REF!,IF(+NFL!$H109="Tampa Bay",+NFL!#REF!,0))</f>
        <v>0</v>
      </c>
      <c r="AK558" s="379">
        <f>IF(+NFL!$F109="Tampa Bay",+NFL!#REF!,IF(+NFL!$H109="Tampa Bay",+NFL!#REF!,0))</f>
        <v>0</v>
      </c>
      <c r="AL558" s="68">
        <f>IF(+NFL!$F109="Tampa Bay",+NFL!#REF!,IF(+NFL!$H109="Tampa Bay",+NFL!#REF!,0))</f>
        <v>0</v>
      </c>
      <c r="AM558" s="58">
        <f>IF(+NFL!$F109="Tampa Bay",+NFL!#REF!,IF(+NFL!$H109="Tampa Bay",+NFL!#REF!,0))</f>
        <v>0</v>
      </c>
      <c r="AN558" s="57">
        <f>IF(+NFL!$F109="Tampa Bay",+NFL!#REF!,IF(+NFL!$H109="Tampa Bay",+NFL!#REF!,0))</f>
        <v>0</v>
      </c>
      <c r="AO558" s="59">
        <f>IF(+NFL!$F109="Tampa Bay",+NFL!#REF!,IF(+NFL!$H109="Tampa Bay",+NFL!#REF!,0))</f>
        <v>0</v>
      </c>
      <c r="AP558" s="348">
        <f>IF(+NFL!$F109="Tampa Bay",+NFL!#REF!,IF(+NFL!$H109="Tampa Bay",+NFL!#REF!,0))</f>
        <v>0</v>
      </c>
      <c r="AQ558" s="48">
        <f>IF(+NFL!$F109="Tampa Bay",+NFL!#REF!,IF(+NFL!$H109="Tampa Bay",+NFL!#REF!,0))</f>
        <v>0</v>
      </c>
      <c r="AR558" s="57">
        <f>IF(+NFL!$F109="Tampa Bay",+NFL!#REF!,IF(+NFL!$H109="Tampa Bay",+NFL!#REF!,0))</f>
        <v>0</v>
      </c>
      <c r="AS558" s="64">
        <f>IF(+NFL!$F109="Tampa Bay",+NFL!#REF!,IF(+NFL!$H109="Tampa Bay",+NFL!#REF!,0))</f>
        <v>0</v>
      </c>
      <c r="AT558" s="64">
        <f>IF(+NFL!$F109="Tampa Bay",+NFL!#REF!,IF(+NFL!$H109="Tampa Bay",+NFL!#REF!,0))</f>
        <v>0</v>
      </c>
      <c r="AU558" s="57">
        <f>IF(+NFL!$F109="Tampa Bay",+NFL!#REF!,IF(+NFL!$H109="Tampa Bay",+NFL!#REF!,0))</f>
        <v>0</v>
      </c>
      <c r="AV558" s="64">
        <f>IF(+NFL!$F109="Tampa Bay",+NFL!#REF!,IF(+NFL!$H109="Tampa Bay",+NFL!#REF!,0))</f>
        <v>0</v>
      </c>
      <c r="AW558" s="46">
        <f>IF(+NFL!$F109="Tampa Bay",+NFL!#REF!,IF(+NFL!$H109="Tampa Bay",+NFL!#REF!,0))</f>
        <v>0</v>
      </c>
      <c r="AX558" s="64">
        <f>IF(+NFL!$F109="Tampa Bay",+NFL!#REF!,IF(+NFL!$H109="Tampa Bay",+NFL!#REF!,0))</f>
        <v>0</v>
      </c>
      <c r="AY558" s="57">
        <f>IF(+NFL!$F109="Tampa Bay",+NFL!#REF!,IF(+NFL!$H109="Tampa Bay",+NFL!#REF!,0))</f>
        <v>0</v>
      </c>
      <c r="AZ558" s="64">
        <f>IF(+NFL!$F109="Tampa Bay",+NFL!#REF!,IF(+NFL!$H109="Tampa Bay",+NFL!#REF!,0))</f>
        <v>0</v>
      </c>
      <c r="BA558" s="46">
        <f>IF(+NFL!$F109="Tampa Bay",+NFL!#REF!,IF(+NFL!$H109="Tampa Bay",+NFL!#REF!,0))</f>
        <v>0</v>
      </c>
      <c r="BB558" s="46">
        <f>IF(+NFL!$F109="Tampa Bay",+NFL!#REF!,IF(+NFL!$H109="Tampa Bay",+NFL!#REF!,0))</f>
        <v>0</v>
      </c>
      <c r="BC558" s="403">
        <f>IF(+NFL!$F109="Tampa Bay",+NFL!#REF!,IF(+NFL!$H109="Tampa Bay",+NFL!#REF!,0))</f>
        <v>0</v>
      </c>
      <c r="BD558" s="57">
        <f>IF(+NFL!$F109="Tampa Bay",+NFL!#REF!,IF(+NFL!$H109="Tampa Bay",+NFL!#REF!,0))</f>
        <v>0</v>
      </c>
      <c r="BE558" s="64">
        <f>IF(+NFL!$F109="Tampa Bay",+NFL!#REF!,IF(+NFL!$H109="Tampa Bay",+NFL!#REF!,0))</f>
        <v>0</v>
      </c>
      <c r="BF558" s="46">
        <f>IF(+NFL!$F109="Tampa Bay",+NFL!#REF!,IF(+NFL!$H109="Tampa Bay",+NFL!#REF!,0))</f>
        <v>0</v>
      </c>
      <c r="BG558" s="57">
        <f>IF(+NFL!$F109="Tampa Bay",+NFL!#REF!,IF(+NFL!$H109="Tampa Bay",+NFL!#REF!,0))</f>
        <v>0</v>
      </c>
      <c r="BH558" s="64">
        <f>IF(+NFL!$F109="Tampa Bay",+NFL!#REF!,IF(+NFL!$H109="Tampa Bay",+NFL!#REF!,0))</f>
        <v>0</v>
      </c>
      <c r="BI558" s="46">
        <f>IF(+NFL!$F109="Tampa Bay",+NFL!#REF!,IF(+NFL!$H109="Tampa Bay",+NFL!#REF!,0))</f>
        <v>0</v>
      </c>
      <c r="BJ558" s="87">
        <f>IF(+NFL!$F109="Tampa Bay",+NFL!#REF!,IF(+NFL!$H109="Tampa Bay",+NFL!#REF!,0))</f>
        <v>0</v>
      </c>
      <c r="BK558" s="120">
        <f>IF(+NFL!$F109="Tampa Bay",+NFL!#REF!,IF(+NFL!$H109="Tampa Bay",+NFL!#REF!,0))</f>
        <v>0</v>
      </c>
    </row>
    <row r="559" spans="1:63" s="246" customFormat="1" x14ac:dyDescent="0.8">
      <c r="A559" s="46">
        <f>IF(+NFL!$F129="Tampa Bay",+NFL!A129,IF(+NFL!$H129="Tampa Bay",+NFL!A129,0))</f>
        <v>8</v>
      </c>
      <c r="B559" s="348" t="str">
        <f>IF(+NFL!$F129="Tampa Bay",+NFL!B129,IF(+NFL!$H129="Tampa Bay",+NFL!B129,0))</f>
        <v>Thurs</v>
      </c>
      <c r="C559" s="48">
        <f>IF(+NFL!$F129="Tampa Bay",+NFL!C129,IF(+NFL!$H129="Tampa Bay",+NFL!C129,0))</f>
        <v>44861</v>
      </c>
      <c r="D559" s="490">
        <f>IF(+NFL!$F129="Tampa Bay",+NFL!D129,IF(+NFL!$H129="Tampa Bay",+NFL!D129,0))</f>
        <v>0.84375</v>
      </c>
      <c r="E559" s="46" t="str">
        <f>IF(+NFL!$F129="Tampa Bay",+NFL!E129,IF(+NFL!$H129="Tampa Bay",+NFL!E129,0))</f>
        <v>NBC</v>
      </c>
      <c r="F559" s="127" t="str">
        <f>IF(+NFL!$F129="Tampa Bay",+NFL!F129,IF(+NFL!$H129="Tampa Bay",+NFL!F129,0))</f>
        <v>Baltimore</v>
      </c>
      <c r="G559" s="46" t="str">
        <f>IF(+NFL!$F129="Tampa Bay",+NFL!G129,IF(+NFL!$H129="Tampa Bay",+NFL!G129,0))</f>
        <v>AFCN</v>
      </c>
      <c r="H559" s="127" t="str">
        <f>IF(+NFL!$F129="Tampa Bay",+NFL!H129,IF(+NFL!$H129="Tampa Bay",+NFL!H129,0))</f>
        <v>Tampa Bay</v>
      </c>
      <c r="I559" s="46" t="str">
        <f>IF(+NFL!$F129="Tampa Bay",+NFL!I129,IF(+NFL!$H129="Tampa Bay",+NFL!I129,0))</f>
        <v>NFCS</v>
      </c>
      <c r="J559" s="353" t="str">
        <f>IF(+NFL!$F129="Tampa Bay",+NFL!J129,IF(+NFL!$H129="Tampa Bay",+NFL!J129,0))</f>
        <v>Baltimore</v>
      </c>
      <c r="K559" s="494" t="str">
        <f>IF(+NFL!$F129="Tampa Bay",+NFL!K129,IF(+NFL!$H129="Tampa Bay",+NFL!K129,0))</f>
        <v>Tampa Bay</v>
      </c>
      <c r="L559" s="384">
        <f>IF(+NFL!$F129="Tampa Bay",+NFL!L129,IF(+NFL!$H129="Tampa Bay",+NFL!L129,0))</f>
        <v>1.5</v>
      </c>
      <c r="M559" s="385">
        <f>IF(+NFL!$F129="Tampa Bay",+NFL!M129,IF(+NFL!$H129="Tampa Bay",+NFL!M129,0))</f>
        <v>45</v>
      </c>
      <c r="N559" s="394" t="str">
        <f>IF(+NFL!$F129="Tampa Bay",+NFL!N129,IF(+NFL!$H129="Tampa Bay",+NFL!N129,0))</f>
        <v>Baltimore</v>
      </c>
      <c r="O559" s="395">
        <f>IF(+NFL!$F129="Tampa Bay",+NFL!O129,IF(+NFL!$H129="Tampa Bay",+NFL!O129,0))</f>
        <v>27</v>
      </c>
      <c r="P559" s="394" t="str">
        <f>IF(+NFL!$F129="Tampa Bay",+NFL!P129,IF(+NFL!$H129="Tampa Bay",+NFL!P129,0))</f>
        <v>Tampa Bay</v>
      </c>
      <c r="Q559" s="396">
        <f>IF(+NFL!$F129="Tampa Bay",+NFL!Q129,IF(+NFL!$H129="Tampa Bay",+NFL!Q129,0))</f>
        <v>22</v>
      </c>
      <c r="R559" s="397" t="str">
        <f>IF(+NFL!$F129="Tampa Bay",+NFL!R129,IF(+NFL!$H129="Tampa Bay",+NFL!R129,0))</f>
        <v>Baltimore</v>
      </c>
      <c r="S559" s="396" t="str">
        <f>IF(+NFL!$F129="Tampa Bay",+NFL!S129,IF(+NFL!$H129="Tampa Bay",+NFL!S129,0))</f>
        <v>Tampa Bay</v>
      </c>
      <c r="T559" s="398" t="str">
        <f>IF(+NFL!$F129="Tampa Bay",+NFL!T129,IF(+NFL!$H129="Tampa Bay",+NFL!T129,0))</f>
        <v>Baltimore</v>
      </c>
      <c r="U559" s="396" t="str">
        <f>IF(+NFL!$F129="Tampa Bay",+NFL!U129,IF(+NFL!$H129="Tampa Bay",+NFL!U129,0))</f>
        <v>W</v>
      </c>
      <c r="V559" s="397" t="e">
        <f>IF(+NFL!#REF!="Tampa Bay",+NFL!#REF!,IF(+NFL!#REF!="Tampa Bay",+NFL!#REF!,0))</f>
        <v>#REF!</v>
      </c>
      <c r="W559" s="396" t="e">
        <f>IF(+NFL!#REF!="Tampa Bay",+NFL!#REF!,IF(+NFL!#REF!="Tampa Bay",+NFL!#REF!,0))</f>
        <v>#REF!</v>
      </c>
      <c r="X559" s="398" t="e">
        <f>IF(+NFL!#REF!="Tampa Bay",+NFL!#REF!,IF(+NFL!#REF!="Tampa Bay",+NFL!#REF!,0))</f>
        <v>#REF!</v>
      </c>
      <c r="Y559" s="396" t="e">
        <f>IF(+NFL!#REF!="Tampa Bay",+NFL!#REF!,IF(+NFL!#REF!="Tampa Bay",+NFL!#REF!,0))</f>
        <v>#REF!</v>
      </c>
      <c r="Z559" s="397" t="e">
        <f>IF(+NFL!#REF!="Tampa Bay",+NFL!#REF!,IF(+NFL!#REF!="Tampa Bay",+NFL!#REF!,0))</f>
        <v>#REF!</v>
      </c>
      <c r="AA559" s="396" t="e">
        <f>IF(+NFL!#REF!="Tampa Bay",+NFL!#REF!,IF(+NFL!#REF!="Tampa Bay",+NFL!#REF!,0))</f>
        <v>#REF!</v>
      </c>
      <c r="AB559" s="87" t="e">
        <f>IF(+NFL!#REF!="Tampa Bay",+NFL!#REF!,IF(+NFL!#REF!="Tampa Bay",+NFL!#REF!,0))</f>
        <v>#REF!</v>
      </c>
      <c r="AC559" s="120" t="e">
        <f>IF(+NFL!#REF!="Tampa Bay",+NFL!#REF!,IF(+NFL!#REF!="Tampa Bay",+NFL!#REF!,0))</f>
        <v>#REF!</v>
      </c>
      <c r="AD559" s="353" t="e">
        <f>IF(+NFL!#REF!="Tampa Bay",+NFL!#REF!,IF(+NFL!#REF!="Tampa Bay",+NFL!#REF!,0))</f>
        <v>#REF!</v>
      </c>
      <c r="AE559" s="379" t="e">
        <f>IF(+NFL!#REF!="Tampa Bay",+NFL!#REF!,IF(+NFL!#REF!="Tampa Bay",+NFL!#REF!,0))</f>
        <v>#REF!</v>
      </c>
      <c r="AF559" s="353" t="e">
        <f>IF(+NFL!#REF!="Tampa Bay",+NFL!#REF!,IF(+NFL!#REF!="Tampa Bay",+NFL!#REF!,0))</f>
        <v>#REF!</v>
      </c>
      <c r="AG559" s="379" t="e">
        <f>IF(+NFL!#REF!="Tampa Bay",+NFL!#REF!,IF(+NFL!#REF!="Tampa Bay",+NFL!#REF!,0))</f>
        <v>#REF!</v>
      </c>
      <c r="AH559" s="353" t="e">
        <f>IF(+NFL!#REF!="Tampa Bay",+NFL!#REF!,IF(+NFL!#REF!="Tampa Bay",+NFL!#REF!,0))</f>
        <v>#REF!</v>
      </c>
      <c r="AI559" s="379" t="e">
        <f>IF(+NFL!#REF!="Tampa Bay",+NFL!#REF!,IF(+NFL!#REF!="Tampa Bay",+NFL!#REF!,0))</f>
        <v>#REF!</v>
      </c>
      <c r="AJ559" s="353" t="e">
        <f>IF(+NFL!#REF!="Tampa Bay",+NFL!#REF!,IF(+NFL!#REF!="Tampa Bay",+NFL!#REF!,0))</f>
        <v>#REF!</v>
      </c>
      <c r="AK559" s="379" t="e">
        <f>IF(+NFL!#REF!="Tampa Bay",+NFL!#REF!,IF(+NFL!#REF!="Tampa Bay",+NFL!#REF!,0))</f>
        <v>#REF!</v>
      </c>
      <c r="AL559" s="68" t="e">
        <f>IF(+NFL!#REF!="Tampa Bay",+NFL!#REF!,IF(+NFL!#REF!="Tampa Bay",+NFL!#REF!,0))</f>
        <v>#REF!</v>
      </c>
      <c r="AM559" s="58" t="e">
        <f>IF(+NFL!#REF!="Tampa Bay",+NFL!#REF!,IF(+NFL!#REF!="Tampa Bay",+NFL!#REF!,0))</f>
        <v>#REF!</v>
      </c>
      <c r="AN559" s="57" t="e">
        <f>IF(+NFL!#REF!="Tampa Bay",+NFL!#REF!,IF(+NFL!#REF!="Tampa Bay",+NFL!#REF!,0))</f>
        <v>#REF!</v>
      </c>
      <c r="AO559" s="59" t="e">
        <f>IF(+NFL!#REF!="Tampa Bay",+NFL!#REF!,IF(+NFL!#REF!="Tampa Bay",+NFL!#REF!,0))</f>
        <v>#REF!</v>
      </c>
      <c r="AP559" s="348" t="e">
        <f>IF(+NFL!#REF!="Tampa Bay",+NFL!#REF!,IF(+NFL!#REF!="Tampa Bay",+NFL!#REF!,0))</f>
        <v>#REF!</v>
      </c>
      <c r="AQ559" s="48" t="e">
        <f>IF(+NFL!#REF!="Tampa Bay",+NFL!#REF!,IF(+NFL!#REF!="Tampa Bay",+NFL!#REF!,0))</f>
        <v>#REF!</v>
      </c>
      <c r="AR559" s="57" t="e">
        <f>IF(+NFL!#REF!="Tampa Bay",+NFL!#REF!,IF(+NFL!#REF!="Tampa Bay",+NFL!#REF!,0))</f>
        <v>#REF!</v>
      </c>
      <c r="AS559" s="64" t="e">
        <f>IF(+NFL!#REF!="Tampa Bay",+NFL!#REF!,IF(+NFL!#REF!="Tampa Bay",+NFL!#REF!,0))</f>
        <v>#REF!</v>
      </c>
      <c r="AT559" s="64" t="e">
        <f>IF(+NFL!#REF!="Tampa Bay",+NFL!#REF!,IF(+NFL!#REF!="Tampa Bay",+NFL!#REF!,0))</f>
        <v>#REF!</v>
      </c>
      <c r="AU559" s="57" t="e">
        <f>IF(+NFL!#REF!="Tampa Bay",+NFL!#REF!,IF(+NFL!#REF!="Tampa Bay",+NFL!#REF!,0))</f>
        <v>#REF!</v>
      </c>
      <c r="AV559" s="64" t="e">
        <f>IF(+NFL!#REF!="Tampa Bay",+NFL!#REF!,IF(+NFL!#REF!="Tampa Bay",+NFL!#REF!,0))</f>
        <v>#REF!</v>
      </c>
      <c r="AW559" s="46" t="e">
        <f>IF(+NFL!#REF!="Tampa Bay",+NFL!#REF!,IF(+NFL!#REF!="Tampa Bay",+NFL!#REF!,0))</f>
        <v>#REF!</v>
      </c>
      <c r="AX559" s="64" t="e">
        <f>IF(+NFL!#REF!="Tampa Bay",+NFL!#REF!,IF(+NFL!#REF!="Tampa Bay",+NFL!#REF!,0))</f>
        <v>#REF!</v>
      </c>
      <c r="AY559" s="57" t="e">
        <f>IF(+NFL!#REF!="Tampa Bay",+NFL!#REF!,IF(+NFL!#REF!="Tampa Bay",+NFL!#REF!,0))</f>
        <v>#REF!</v>
      </c>
      <c r="AZ559" s="64" t="e">
        <f>IF(+NFL!#REF!="Tampa Bay",+NFL!#REF!,IF(+NFL!#REF!="Tampa Bay",+NFL!#REF!,0))</f>
        <v>#REF!</v>
      </c>
      <c r="BA559" s="46" t="e">
        <f>IF(+NFL!#REF!="Tampa Bay",+NFL!#REF!,IF(+NFL!#REF!="Tampa Bay",+NFL!#REF!,0))</f>
        <v>#REF!</v>
      </c>
      <c r="BB559" s="46" t="e">
        <f>IF(+NFL!#REF!="Tampa Bay",+NFL!#REF!,IF(+NFL!#REF!="Tampa Bay",+NFL!#REF!,0))</f>
        <v>#REF!</v>
      </c>
      <c r="BC559" s="403" t="e">
        <f>IF(+NFL!#REF!="Tampa Bay",+NFL!#REF!,IF(+NFL!#REF!="Tampa Bay",+NFL!#REF!,0))</f>
        <v>#REF!</v>
      </c>
      <c r="BD559" s="57" t="e">
        <f>IF(+NFL!#REF!="Tampa Bay",+NFL!#REF!,IF(+NFL!#REF!="Tampa Bay",+NFL!#REF!,0))</f>
        <v>#REF!</v>
      </c>
      <c r="BE559" s="64" t="e">
        <f>IF(+NFL!#REF!="Tampa Bay",+NFL!#REF!,IF(+NFL!#REF!="Tampa Bay",+NFL!#REF!,0))</f>
        <v>#REF!</v>
      </c>
      <c r="BF559" s="46" t="e">
        <f>IF(+NFL!#REF!="Tampa Bay",+NFL!#REF!,IF(+NFL!#REF!="Tampa Bay",+NFL!#REF!,0))</f>
        <v>#REF!</v>
      </c>
      <c r="BG559" s="57" t="e">
        <f>IF(+NFL!#REF!="Tampa Bay",+NFL!#REF!,IF(+NFL!#REF!="Tampa Bay",+NFL!#REF!,0))</f>
        <v>#REF!</v>
      </c>
      <c r="BH559" s="64" t="e">
        <f>IF(+NFL!#REF!="Tampa Bay",+NFL!#REF!,IF(+NFL!#REF!="Tampa Bay",+NFL!#REF!,0))</f>
        <v>#REF!</v>
      </c>
      <c r="BI559" s="46" t="e">
        <f>IF(+NFL!#REF!="Tampa Bay",+NFL!#REF!,IF(+NFL!#REF!="Tampa Bay",+NFL!#REF!,0))</f>
        <v>#REF!</v>
      </c>
      <c r="BJ559" s="87" t="e">
        <f>IF(+NFL!#REF!="Tampa Bay",+NFL!#REF!,IF(+NFL!#REF!="Tampa Bay",+NFL!#REF!,0))</f>
        <v>#REF!</v>
      </c>
      <c r="BK559" s="120" t="e">
        <f>IF(+NFL!#REF!="Tampa Bay",+NFL!#REF!,IF(+NFL!#REF!="Tampa Bay",+NFL!#REF!,0))</f>
        <v>#REF!</v>
      </c>
    </row>
    <row r="560" spans="1:63" s="246" customFormat="1" x14ac:dyDescent="0.8">
      <c r="A560" s="46">
        <f>IF(+NFL!$F158="Tampa Bay",+NFL!A158,IF(+NFL!$H158="Tampa Bay",+NFL!A158,0))</f>
        <v>9</v>
      </c>
      <c r="B560" s="348" t="str">
        <f>IF(+NFL!$F158="Tampa Bay",+NFL!B158,IF(+NFL!$H158="Tampa Bay",+NFL!B158,0))</f>
        <v>Sun</v>
      </c>
      <c r="C560" s="48">
        <f>IF(+NFL!$F158="Tampa Bay",+NFL!C158,IF(+NFL!$H158="Tampa Bay",+NFL!C158,0))</f>
        <v>44871</v>
      </c>
      <c r="D560" s="490">
        <f>IF(+NFL!$F158="Tampa Bay",+NFL!D158,IF(+NFL!$H158="Tampa Bay",+NFL!D158,0))</f>
        <v>0.66666666666666663</v>
      </c>
      <c r="E560" s="46" t="str">
        <f>IF(+NFL!$F158="Tampa Bay",+NFL!E158,IF(+NFL!$H158="Tampa Bay",+NFL!E158,0))</f>
        <v>Fox</v>
      </c>
      <c r="F560" s="127" t="str">
        <f>IF(+NFL!$F158="Tampa Bay",+NFL!F158,IF(+NFL!$H158="Tampa Bay",+NFL!F158,0))</f>
        <v>LA Rams</v>
      </c>
      <c r="G560" s="46" t="str">
        <f>IF(+NFL!$F158="Tampa Bay",+NFL!G158,IF(+NFL!$H158="Tampa Bay",+NFL!G158,0))</f>
        <v>NFCW</v>
      </c>
      <c r="H560" s="127" t="str">
        <f>IF(+NFL!$F158="Tampa Bay",+NFL!H158,IF(+NFL!$H158="Tampa Bay",+NFL!H158,0))</f>
        <v>Tampa Bay</v>
      </c>
      <c r="I560" s="46" t="str">
        <f>IF(+NFL!$F158="Tampa Bay",+NFL!I158,IF(+NFL!$H158="Tampa Bay",+NFL!I158,0))</f>
        <v>NFCS</v>
      </c>
      <c r="J560" s="353" t="str">
        <f>IF(+NFL!$F158="Tampa Bay",+NFL!J158,IF(+NFL!$H158="Tampa Bay",+NFL!J158,0))</f>
        <v>Tampa Bay</v>
      </c>
      <c r="K560" s="494" t="str">
        <f>IF(+NFL!$F158="Tampa Bay",+NFL!K158,IF(+NFL!$H158="Tampa Bay",+NFL!K158,0))</f>
        <v>LA Rams</v>
      </c>
      <c r="L560" s="384">
        <f>IF(+NFL!$F158="Tampa Bay",+NFL!L158,IF(+NFL!$H158="Tampa Bay",+NFL!L158,0))</f>
        <v>2.5</v>
      </c>
      <c r="M560" s="385">
        <f>IF(+NFL!$F158="Tampa Bay",+NFL!M158,IF(+NFL!$H158="Tampa Bay",+NFL!M158,0))</f>
        <v>42.5</v>
      </c>
      <c r="N560" s="394" t="str">
        <f>IF(+NFL!$F158="Tampa Bay",+NFL!N158,IF(+NFL!$H158="Tampa Bay",+NFL!N158,0))</f>
        <v>Tampa Bay</v>
      </c>
      <c r="O560" s="395">
        <f>IF(+NFL!$F158="Tampa Bay",+NFL!O158,IF(+NFL!$H158="Tampa Bay",+NFL!O158,0))</f>
        <v>16</v>
      </c>
      <c r="P560" s="394" t="str">
        <f>IF(+NFL!$F158="Tampa Bay",+NFL!P158,IF(+NFL!$H158="Tampa Bay",+NFL!P158,0))</f>
        <v>LA Rams</v>
      </c>
      <c r="Q560" s="396">
        <f>IF(+NFL!$F158="Tampa Bay",+NFL!Q158,IF(+NFL!$H158="Tampa Bay",+NFL!Q158,0))</f>
        <v>13</v>
      </c>
      <c r="R560" s="397" t="str">
        <f>IF(+NFL!$F158="Tampa Bay",+NFL!R158,IF(+NFL!$H158="Tampa Bay",+NFL!R158,0))</f>
        <v>Tampa Bay</v>
      </c>
      <c r="S560" s="396" t="str">
        <f>IF(+NFL!$F158="Tampa Bay",+NFL!S158,IF(+NFL!$H158="Tampa Bay",+NFL!S158,0))</f>
        <v>LA Rams</v>
      </c>
      <c r="T560" s="398" t="str">
        <f>IF(+NFL!$F158="Tampa Bay",+NFL!T158,IF(+NFL!$H158="Tampa Bay",+NFL!T158,0))</f>
        <v>LA Rams</v>
      </c>
      <c r="U560" s="396" t="str">
        <f>IF(+NFL!$F158="Tampa Bay",+NFL!U158,IF(+NFL!$H158="Tampa Bay",+NFL!U158,0))</f>
        <v>L</v>
      </c>
      <c r="V560" s="397">
        <f>IF(+NFL!$F182="Tampa Bay",+NFL!#REF!,IF(+NFL!$H182="Tampa Bay",+NFL!#REF!,0))</f>
        <v>0</v>
      </c>
      <c r="W560" s="396">
        <f>IF(+NFL!$F182="Tampa Bay",+NFL!#REF!,IF(+NFL!$H182="Tampa Bay",+NFL!#REF!,0))</f>
        <v>0</v>
      </c>
      <c r="X560" s="398">
        <f>IF(+NFL!$F182="Tampa Bay",+NFL!#REF!,IF(+NFL!$H182="Tampa Bay",+NFL!#REF!,0))</f>
        <v>0</v>
      </c>
      <c r="Y560" s="396">
        <f>IF(+NFL!$F182="Tampa Bay",+NFL!#REF!,IF(+NFL!$H182="Tampa Bay",+NFL!#REF!,0))</f>
        <v>0</v>
      </c>
      <c r="Z560" s="397">
        <f>IF(+NFL!$F182="Tampa Bay",+NFL!#REF!,IF(+NFL!$H182="Tampa Bay",+NFL!#REF!,0))</f>
        <v>0</v>
      </c>
      <c r="AA560" s="396">
        <f>IF(+NFL!$F182="Tampa Bay",+NFL!#REF!,IF(+NFL!$H182="Tampa Bay",+NFL!#REF!,0))</f>
        <v>0</v>
      </c>
      <c r="AB560" s="87">
        <f>IF(+NFL!$F182="Tampa Bay",+NFL!#REF!,IF(+NFL!$H182="Tampa Bay",+NFL!#REF!,0))</f>
        <v>0</v>
      </c>
      <c r="AC560" s="120">
        <f>IF(+NFL!$F182="Tampa Bay",+NFL!#REF!,IF(+NFL!$H182="Tampa Bay",+NFL!#REF!,0))</f>
        <v>0</v>
      </c>
      <c r="AD560" s="353">
        <f>IF(+NFL!$F182="Tampa Bay",+NFL!#REF!,IF(+NFL!$H182="Tampa Bay",+NFL!#REF!,0))</f>
        <v>0</v>
      </c>
      <c r="AE560" s="379">
        <f>IF(+NFL!$F182="Tampa Bay",+NFL!#REF!,IF(+NFL!$H182="Tampa Bay",+NFL!#REF!,0))</f>
        <v>0</v>
      </c>
      <c r="AF560" s="353">
        <f>IF(+NFL!$F182="Tampa Bay",+NFL!#REF!,IF(+NFL!$H182="Tampa Bay",+NFL!#REF!,0))</f>
        <v>0</v>
      </c>
      <c r="AG560" s="379">
        <f>IF(+NFL!$F182="Tampa Bay",+NFL!#REF!,IF(+NFL!$H182="Tampa Bay",+NFL!#REF!,0))</f>
        <v>0</v>
      </c>
      <c r="AH560" s="353">
        <f>IF(+NFL!$F182="Tampa Bay",+NFL!#REF!,IF(+NFL!$H182="Tampa Bay",+NFL!#REF!,0))</f>
        <v>0</v>
      </c>
      <c r="AI560" s="379">
        <f>IF(+NFL!$F182="Tampa Bay",+NFL!#REF!,IF(+NFL!$H182="Tampa Bay",+NFL!#REF!,0))</f>
        <v>0</v>
      </c>
      <c r="AJ560" s="353">
        <f>IF(+NFL!$F182="Tampa Bay",+NFL!#REF!,IF(+NFL!$H182="Tampa Bay",+NFL!#REF!,0))</f>
        <v>0</v>
      </c>
      <c r="AK560" s="379">
        <f>IF(+NFL!$F182="Tampa Bay",+NFL!#REF!,IF(+NFL!$H182="Tampa Bay",+NFL!#REF!,0))</f>
        <v>0</v>
      </c>
      <c r="AL560" s="68">
        <f>IF(+NFL!$F182="Tampa Bay",+NFL!#REF!,IF(+NFL!$H182="Tampa Bay",+NFL!#REF!,0))</f>
        <v>0</v>
      </c>
      <c r="AM560" s="58">
        <f>IF(+NFL!$F182="Tampa Bay",+NFL!#REF!,IF(+NFL!$H182="Tampa Bay",+NFL!#REF!,0))</f>
        <v>0</v>
      </c>
      <c r="AN560" s="57">
        <f>IF(+NFL!$F182="Tampa Bay",+NFL!#REF!,IF(+NFL!$H182="Tampa Bay",+NFL!#REF!,0))</f>
        <v>0</v>
      </c>
      <c r="AO560" s="59">
        <f>IF(+NFL!$F182="Tampa Bay",+NFL!#REF!,IF(+NFL!$H182="Tampa Bay",+NFL!#REF!,0))</f>
        <v>0</v>
      </c>
      <c r="AP560" s="348">
        <f>IF(+NFL!$F182="Tampa Bay",+NFL!#REF!,IF(+NFL!$H182="Tampa Bay",+NFL!#REF!,0))</f>
        <v>0</v>
      </c>
      <c r="AQ560" s="48">
        <f>IF(+NFL!$F182="Tampa Bay",+NFL!#REF!,IF(+NFL!$H182="Tampa Bay",+NFL!#REF!,0))</f>
        <v>0</v>
      </c>
      <c r="AR560" s="57">
        <f>IF(+NFL!$F182="Tampa Bay",+NFL!#REF!,IF(+NFL!$H182="Tampa Bay",+NFL!#REF!,0))</f>
        <v>0</v>
      </c>
      <c r="AS560" s="64">
        <f>IF(+NFL!$F182="Tampa Bay",+NFL!#REF!,IF(+NFL!$H182="Tampa Bay",+NFL!#REF!,0))</f>
        <v>0</v>
      </c>
      <c r="AT560" s="64">
        <f>IF(+NFL!$F182="Tampa Bay",+NFL!#REF!,IF(+NFL!$H182="Tampa Bay",+NFL!#REF!,0))</f>
        <v>0</v>
      </c>
      <c r="AU560" s="57">
        <f>IF(+NFL!$F182="Tampa Bay",+NFL!#REF!,IF(+NFL!$H182="Tampa Bay",+NFL!#REF!,0))</f>
        <v>0</v>
      </c>
      <c r="AV560" s="64">
        <f>IF(+NFL!$F182="Tampa Bay",+NFL!#REF!,IF(+NFL!$H182="Tampa Bay",+NFL!#REF!,0))</f>
        <v>0</v>
      </c>
      <c r="AW560" s="46">
        <f>IF(+NFL!$F182="Tampa Bay",+NFL!#REF!,IF(+NFL!$H182="Tampa Bay",+NFL!#REF!,0))</f>
        <v>0</v>
      </c>
      <c r="AX560" s="64">
        <f>IF(+NFL!$F182="Tampa Bay",+NFL!#REF!,IF(+NFL!$H182="Tampa Bay",+NFL!#REF!,0))</f>
        <v>0</v>
      </c>
      <c r="AY560" s="57">
        <f>IF(+NFL!$F182="Tampa Bay",+NFL!#REF!,IF(+NFL!$H182="Tampa Bay",+NFL!#REF!,0))</f>
        <v>0</v>
      </c>
      <c r="AZ560" s="64">
        <f>IF(+NFL!$F182="Tampa Bay",+NFL!#REF!,IF(+NFL!$H182="Tampa Bay",+NFL!#REF!,0))</f>
        <v>0</v>
      </c>
      <c r="BA560" s="46">
        <f>IF(+NFL!$F182="Tampa Bay",+NFL!#REF!,IF(+NFL!$H182="Tampa Bay",+NFL!#REF!,0))</f>
        <v>0</v>
      </c>
      <c r="BB560" s="46">
        <f>IF(+NFL!$F182="Tampa Bay",+NFL!#REF!,IF(+NFL!$H182="Tampa Bay",+NFL!#REF!,0))</f>
        <v>0</v>
      </c>
      <c r="BC560" s="403">
        <f>IF(+NFL!$F182="Tampa Bay",+NFL!#REF!,IF(+NFL!$H182="Tampa Bay",+NFL!#REF!,0))</f>
        <v>0</v>
      </c>
      <c r="BD560" s="57">
        <f>IF(+NFL!$F182="Tampa Bay",+NFL!#REF!,IF(+NFL!$H182="Tampa Bay",+NFL!#REF!,0))</f>
        <v>0</v>
      </c>
      <c r="BE560" s="64">
        <f>IF(+NFL!$F182="Tampa Bay",+NFL!#REF!,IF(+NFL!$H182="Tampa Bay",+NFL!#REF!,0))</f>
        <v>0</v>
      </c>
      <c r="BF560" s="46">
        <f>IF(+NFL!$F182="Tampa Bay",+NFL!#REF!,IF(+NFL!$H182="Tampa Bay",+NFL!#REF!,0))</f>
        <v>0</v>
      </c>
      <c r="BG560" s="57">
        <f>IF(+NFL!$F182="Tampa Bay",+NFL!#REF!,IF(+NFL!$H182="Tampa Bay",+NFL!#REF!,0))</f>
        <v>0</v>
      </c>
      <c r="BH560" s="64">
        <f>IF(+NFL!$F182="Tampa Bay",+NFL!#REF!,IF(+NFL!$H182="Tampa Bay",+NFL!#REF!,0))</f>
        <v>0</v>
      </c>
      <c r="BI560" s="46">
        <f>IF(+NFL!$F182="Tampa Bay",+NFL!#REF!,IF(+NFL!$H182="Tampa Bay",+NFL!#REF!,0))</f>
        <v>0</v>
      </c>
      <c r="BJ560" s="87">
        <f>IF(+NFL!$F182="Tampa Bay",+NFL!#REF!,IF(+NFL!$H182="Tampa Bay",+NFL!#REF!,0))</f>
        <v>0</v>
      </c>
      <c r="BK560" s="120">
        <f>IF(+NFL!$F182="Tampa Bay",+NFL!#REF!,IF(+NFL!$H182="Tampa Bay",+NFL!#REF!,0))</f>
        <v>0</v>
      </c>
    </row>
    <row r="561" spans="1:68" s="246" customFormat="1" x14ac:dyDescent="0.8">
      <c r="A561" s="46">
        <f>IF(+NFL!$F170="Tampa Bay",+NFL!A170,IF(+NFL!$H170="Tampa Bay",+NFL!A170,0))</f>
        <v>10</v>
      </c>
      <c r="B561" s="348" t="str">
        <f>IF(+NFL!$F170="Tampa Bay",+NFL!B170,IF(+NFL!$H170="Tampa Bay",+NFL!B170,0))</f>
        <v>Sun</v>
      </c>
      <c r="C561" s="48">
        <f>IF(+NFL!$F170="Tampa Bay",+NFL!C170,IF(+NFL!$H170="Tampa Bay",+NFL!C170,0))</f>
        <v>44878</v>
      </c>
      <c r="D561" s="490">
        <f>IF(+NFL!$F170="Tampa Bay",+NFL!D170,IF(+NFL!$H170="Tampa Bay",+NFL!D170,0))</f>
        <v>0.39583333333333331</v>
      </c>
      <c r="E561" s="46" t="str">
        <f>IF(+NFL!$F170="Tampa Bay",+NFL!E170,IF(+NFL!$H170="Tampa Bay",+NFL!E170,0))</f>
        <v>NFL</v>
      </c>
      <c r="F561" s="127" t="str">
        <f>IF(+NFL!$F170="Tampa Bay",+NFL!F170,IF(+NFL!$H170="Tampa Bay",+NFL!F170,0))</f>
        <v>Seattle</v>
      </c>
      <c r="G561" s="46" t="str">
        <f>IF(+NFL!$F170="Tampa Bay",+NFL!G170,IF(+NFL!$H170="Tampa Bay",+NFL!G170,0))</f>
        <v>NFCW</v>
      </c>
      <c r="H561" s="127" t="str">
        <f>IF(+NFL!$F170="Tampa Bay",+NFL!H170,IF(+NFL!$H170="Tampa Bay",+NFL!H170,0))</f>
        <v>Tampa Bay</v>
      </c>
      <c r="I561" s="46" t="str">
        <f>IF(+NFL!$F170="Tampa Bay",+NFL!I170,IF(+NFL!$H170="Tampa Bay",+NFL!I170,0))</f>
        <v>NFCS</v>
      </c>
      <c r="J561" s="353" t="str">
        <f>IF(+NFL!$F170="Tampa Bay",+NFL!J170,IF(+NFL!$H170="Tampa Bay",+NFL!J170,0))</f>
        <v>Tampa Bay</v>
      </c>
      <c r="K561" s="494" t="str">
        <f>IF(+NFL!$F170="Tampa Bay",+NFL!K170,IF(+NFL!$H170="Tampa Bay",+NFL!K170,0))</f>
        <v>Seattle</v>
      </c>
      <c r="L561" s="384">
        <f>IF(+NFL!$F170="Tampa Bay",+NFL!L170,IF(+NFL!$H170="Tampa Bay",+NFL!L170,0))</f>
        <v>2.5</v>
      </c>
      <c r="M561" s="385">
        <f>IF(+NFL!$F170="Tampa Bay",+NFL!M170,IF(+NFL!$H170="Tampa Bay",+NFL!M170,0))</f>
        <v>44.5</v>
      </c>
      <c r="N561" s="394" t="str">
        <f>IF(+NFL!$F170="Tampa Bay",+NFL!N170,IF(+NFL!$H170="Tampa Bay",+NFL!N170,0))</f>
        <v>Tampa Bay</v>
      </c>
      <c r="O561" s="395">
        <f>IF(+NFL!$F170="Tampa Bay",+NFL!O170,IF(+NFL!$H170="Tampa Bay",+NFL!O170,0))</f>
        <v>21</v>
      </c>
      <c r="P561" s="394" t="str">
        <f>IF(+NFL!$F170="Tampa Bay",+NFL!P170,IF(+NFL!$H170="Tampa Bay",+NFL!P170,0))</f>
        <v>Seattle</v>
      </c>
      <c r="Q561" s="396">
        <f>IF(+NFL!$F170="Tampa Bay",+NFL!Q170,IF(+NFL!$H170="Tampa Bay",+NFL!Q170,0))</f>
        <v>16</v>
      </c>
      <c r="R561" s="397" t="str">
        <f>IF(+NFL!$F170="Tampa Bay",+NFL!R170,IF(+NFL!$H170="Tampa Bay",+NFL!R170,0))</f>
        <v>Tampa Bay</v>
      </c>
      <c r="S561" s="396" t="str">
        <f>IF(+NFL!$F170="Tampa Bay",+NFL!S170,IF(+NFL!$H170="Tampa Bay",+NFL!S170,0))</f>
        <v>Seattle</v>
      </c>
      <c r="T561" s="398" t="str">
        <f>IF(+NFL!$F170="Tampa Bay",+NFL!T170,IF(+NFL!$H170="Tampa Bay",+NFL!T170,0))</f>
        <v>Seattle</v>
      </c>
      <c r="U561" s="396" t="str">
        <f>IF(+NFL!$F170="Tampa Bay",+NFL!U170,IF(+NFL!$H170="Tampa Bay",+NFL!U170,0))</f>
        <v>L</v>
      </c>
      <c r="V561" s="397">
        <f>IF(+NFL!$F203="Tampa Bay",+NFL!#REF!,IF(+NFL!$H203="Tampa Bay",+NFL!#REF!,0))</f>
        <v>0</v>
      </c>
      <c r="W561" s="396">
        <f>IF(+NFL!$F203="Tampa Bay",+NFL!#REF!,IF(+NFL!$H203="Tampa Bay",+NFL!#REF!,0))</f>
        <v>0</v>
      </c>
      <c r="X561" s="398">
        <f>IF(+NFL!$F203="Tampa Bay",+NFL!#REF!,IF(+NFL!$H203="Tampa Bay",+NFL!#REF!,0))</f>
        <v>0</v>
      </c>
      <c r="Y561" s="396">
        <f>IF(+NFL!$F203="Tampa Bay",+NFL!#REF!,IF(+NFL!$H203="Tampa Bay",+NFL!#REF!,0))</f>
        <v>0</v>
      </c>
      <c r="Z561" s="397">
        <f>IF(+NFL!$F203="Tampa Bay",+NFL!#REF!,IF(+NFL!$H203="Tampa Bay",+NFL!#REF!,0))</f>
        <v>0</v>
      </c>
      <c r="AA561" s="396">
        <f>IF(+NFL!$F203="Tampa Bay",+NFL!#REF!,IF(+NFL!$H203="Tampa Bay",+NFL!#REF!,0))</f>
        <v>0</v>
      </c>
      <c r="AB561" s="87">
        <f>IF(+NFL!$F203="Tampa Bay",+NFL!#REF!,IF(+NFL!$H203="Tampa Bay",+NFL!#REF!,0))</f>
        <v>0</v>
      </c>
      <c r="AC561" s="120">
        <f>IF(+NFL!$F203="Tampa Bay",+NFL!#REF!,IF(+NFL!$H203="Tampa Bay",+NFL!#REF!,0))</f>
        <v>0</v>
      </c>
      <c r="AD561" s="353">
        <f>IF(+NFL!$F203="Tampa Bay",+NFL!#REF!,IF(+NFL!$H203="Tampa Bay",+NFL!#REF!,0))</f>
        <v>0</v>
      </c>
      <c r="AE561" s="379">
        <f>IF(+NFL!$F203="Tampa Bay",+NFL!#REF!,IF(+NFL!$H203="Tampa Bay",+NFL!#REF!,0))</f>
        <v>0</v>
      </c>
      <c r="AF561" s="353">
        <f>IF(+NFL!$F203="Tampa Bay",+NFL!#REF!,IF(+NFL!$H203="Tampa Bay",+NFL!#REF!,0))</f>
        <v>0</v>
      </c>
      <c r="AG561" s="379">
        <f>IF(+NFL!$F203="Tampa Bay",+NFL!#REF!,IF(+NFL!$H203="Tampa Bay",+NFL!#REF!,0))</f>
        <v>0</v>
      </c>
      <c r="AH561" s="353">
        <f>IF(+NFL!$F203="Tampa Bay",+NFL!#REF!,IF(+NFL!$H203="Tampa Bay",+NFL!#REF!,0))</f>
        <v>0</v>
      </c>
      <c r="AI561" s="379">
        <f>IF(+NFL!$F203="Tampa Bay",+NFL!#REF!,IF(+NFL!$H203="Tampa Bay",+NFL!#REF!,0))</f>
        <v>0</v>
      </c>
      <c r="AJ561" s="353">
        <f>IF(+NFL!$F203="Tampa Bay",+NFL!#REF!,IF(+NFL!$H203="Tampa Bay",+NFL!#REF!,0))</f>
        <v>0</v>
      </c>
      <c r="AK561" s="379">
        <f>IF(+NFL!$F203="Tampa Bay",+NFL!#REF!,IF(+NFL!$H203="Tampa Bay",+NFL!#REF!,0))</f>
        <v>0</v>
      </c>
      <c r="AL561" s="68">
        <f>IF(+NFL!$F203="Tampa Bay",+NFL!#REF!,IF(+NFL!$H203="Tampa Bay",+NFL!#REF!,0))</f>
        <v>0</v>
      </c>
      <c r="AM561" s="58">
        <f>IF(+NFL!$F203="Tampa Bay",+NFL!#REF!,IF(+NFL!$H203="Tampa Bay",+NFL!#REF!,0))</f>
        <v>0</v>
      </c>
      <c r="AN561" s="57">
        <f>IF(+NFL!$F203="Tampa Bay",+NFL!#REF!,IF(+NFL!$H203="Tampa Bay",+NFL!#REF!,0))</f>
        <v>0</v>
      </c>
      <c r="AO561" s="59">
        <f>IF(+NFL!$F203="Tampa Bay",+NFL!#REF!,IF(+NFL!$H203="Tampa Bay",+NFL!#REF!,0))</f>
        <v>0</v>
      </c>
      <c r="AP561" s="348">
        <f>IF(+NFL!$F203="Tampa Bay",+NFL!#REF!,IF(+NFL!$H203="Tampa Bay",+NFL!#REF!,0))</f>
        <v>0</v>
      </c>
      <c r="AQ561" s="48">
        <f>IF(+NFL!$F203="Tampa Bay",+NFL!#REF!,IF(+NFL!$H203="Tampa Bay",+NFL!#REF!,0))</f>
        <v>0</v>
      </c>
      <c r="AR561" s="57">
        <f>IF(+NFL!$F203="Tampa Bay",+NFL!#REF!,IF(+NFL!$H203="Tampa Bay",+NFL!#REF!,0))</f>
        <v>0</v>
      </c>
      <c r="AS561" s="64">
        <f>IF(+NFL!$F203="Tampa Bay",+NFL!#REF!,IF(+NFL!$H203="Tampa Bay",+NFL!#REF!,0))</f>
        <v>0</v>
      </c>
      <c r="AT561" s="64">
        <f>IF(+NFL!$F203="Tampa Bay",+NFL!#REF!,IF(+NFL!$H203="Tampa Bay",+NFL!#REF!,0))</f>
        <v>0</v>
      </c>
      <c r="AU561" s="57">
        <f>IF(+NFL!$F203="Tampa Bay",+NFL!#REF!,IF(+NFL!$H203="Tampa Bay",+NFL!#REF!,0))</f>
        <v>0</v>
      </c>
      <c r="AV561" s="64">
        <f>IF(+NFL!$F203="Tampa Bay",+NFL!#REF!,IF(+NFL!$H203="Tampa Bay",+NFL!#REF!,0))</f>
        <v>0</v>
      </c>
      <c r="AW561" s="46">
        <f>IF(+NFL!$F203="Tampa Bay",+NFL!#REF!,IF(+NFL!$H203="Tampa Bay",+NFL!#REF!,0))</f>
        <v>0</v>
      </c>
      <c r="AX561" s="64">
        <f>IF(+NFL!$F203="Tampa Bay",+NFL!#REF!,IF(+NFL!$H203="Tampa Bay",+NFL!#REF!,0))</f>
        <v>0</v>
      </c>
      <c r="AY561" s="57">
        <f>IF(+NFL!$F203="Tampa Bay",+NFL!#REF!,IF(+NFL!$H203="Tampa Bay",+NFL!#REF!,0))</f>
        <v>0</v>
      </c>
      <c r="AZ561" s="64">
        <f>IF(+NFL!$F203="Tampa Bay",+NFL!#REF!,IF(+NFL!$H203="Tampa Bay",+NFL!#REF!,0))</f>
        <v>0</v>
      </c>
      <c r="BA561" s="46">
        <f>IF(+NFL!$F203="Tampa Bay",+NFL!#REF!,IF(+NFL!$H203="Tampa Bay",+NFL!#REF!,0))</f>
        <v>0</v>
      </c>
      <c r="BB561" s="46">
        <f>IF(+NFL!$F203="Tampa Bay",+NFL!#REF!,IF(+NFL!$H203="Tampa Bay",+NFL!#REF!,0))</f>
        <v>0</v>
      </c>
      <c r="BC561" s="403">
        <f>IF(+NFL!$F203="Tampa Bay",+NFL!#REF!,IF(+NFL!$H203="Tampa Bay",+NFL!#REF!,0))</f>
        <v>0</v>
      </c>
      <c r="BD561" s="57">
        <f>IF(+NFL!$F203="Tampa Bay",+NFL!#REF!,IF(+NFL!$H203="Tampa Bay",+NFL!#REF!,0))</f>
        <v>0</v>
      </c>
      <c r="BE561" s="64">
        <f>IF(+NFL!$F203="Tampa Bay",+NFL!#REF!,IF(+NFL!$H203="Tampa Bay",+NFL!#REF!,0))</f>
        <v>0</v>
      </c>
      <c r="BF561" s="46">
        <f>IF(+NFL!$F203="Tampa Bay",+NFL!#REF!,IF(+NFL!$H203="Tampa Bay",+NFL!#REF!,0))</f>
        <v>0</v>
      </c>
      <c r="BG561" s="57">
        <f>IF(+NFL!$F203="Tampa Bay",+NFL!#REF!,IF(+NFL!$H203="Tampa Bay",+NFL!#REF!,0))</f>
        <v>0</v>
      </c>
      <c r="BH561" s="64">
        <f>IF(+NFL!$F203="Tampa Bay",+NFL!#REF!,IF(+NFL!$H203="Tampa Bay",+NFL!#REF!,0))</f>
        <v>0</v>
      </c>
      <c r="BI561" s="46">
        <f>IF(+NFL!$F203="Tampa Bay",+NFL!#REF!,IF(+NFL!$H203="Tampa Bay",+NFL!#REF!,0))</f>
        <v>0</v>
      </c>
      <c r="BJ561" s="87">
        <f>IF(+NFL!$F203="Tampa Bay",+NFL!#REF!,IF(+NFL!$H203="Tampa Bay",+NFL!#REF!,0))</f>
        <v>0</v>
      </c>
      <c r="BK561" s="120">
        <f>IF(+NFL!$F203="Tampa Bay",+NFL!#REF!,IF(+NFL!$H203="Tampa Bay",+NFL!#REF!,0))</f>
        <v>0</v>
      </c>
    </row>
    <row r="562" spans="1:68" s="246" customFormat="1" x14ac:dyDescent="0.8">
      <c r="A562" s="46">
        <f>IF(+NFL!$F206="Tampa Bay",+NFL!A206,IF(+NFL!$H206="Tampa Bay",+NFL!A206,0))</f>
        <v>11</v>
      </c>
      <c r="B562" s="348">
        <f>IF(+NFL!$F206="Tampa Bay",+NFL!B206,IF(+NFL!$H206="Tampa Bay",+NFL!B206,0))</f>
        <v>0</v>
      </c>
      <c r="C562" s="48">
        <f>IF(+NFL!$F206="Tampa Bay",+NFL!C206,IF(+NFL!$H206="Tampa Bay",+NFL!C206,0))</f>
        <v>0</v>
      </c>
      <c r="D562" s="490">
        <f>IF(+NFL!$F206="Tampa Bay",+NFL!D206,IF(+NFL!$H206="Tampa Bay",+NFL!D206,0))</f>
        <v>0</v>
      </c>
      <c r="E562" s="46">
        <f>IF(+NFL!$F206="Tampa Bay",+NFL!E206,IF(+NFL!$H206="Tampa Bay",+NFL!E206,0))</f>
        <v>0</v>
      </c>
      <c r="F562" s="127" t="str">
        <f>IF(+NFL!$F206="Tampa Bay",+NFL!F206,IF(+NFL!$H206="Tampa Bay",+NFL!F206,0))</f>
        <v>Tampa Bay</v>
      </c>
      <c r="G562" s="46" t="str">
        <f>IF(+NFL!$F206="Tampa Bay",+NFL!G206,IF(+NFL!$H206="Tampa Bay",+NFL!G206,0))</f>
        <v>NFCS</v>
      </c>
      <c r="H562" s="127">
        <f>IF(+NFL!$F206="Tampa Bay",+NFL!H206,IF(+NFL!$H206="Tampa Bay",+NFL!H206,0))</f>
        <v>0</v>
      </c>
      <c r="I562" s="46">
        <f>IF(+NFL!$F206="Tampa Bay",+NFL!I206,IF(+NFL!$H206="Tampa Bay",+NFL!I206,0))</f>
        <v>0</v>
      </c>
      <c r="J562" s="353">
        <f>IF(+NFL!$F206="Tampa Bay",+NFL!J206,IF(+NFL!$H206="Tampa Bay",+NFL!J206,0))</f>
        <v>0</v>
      </c>
      <c r="K562" s="494">
        <f>IF(+NFL!$F206="Tampa Bay",+NFL!K206,IF(+NFL!$H206="Tampa Bay",+NFL!K206,0))</f>
        <v>0</v>
      </c>
      <c r="L562" s="384">
        <f>IF(+NFL!$F206="Tampa Bay",+NFL!L206,IF(+NFL!$H206="Tampa Bay",+NFL!L206,0))</f>
        <v>0</v>
      </c>
      <c r="M562" s="385">
        <f>IF(+NFL!$F206="Tampa Bay",+NFL!M206,IF(+NFL!$H206="Tampa Bay",+NFL!M206,0))</f>
        <v>0</v>
      </c>
      <c r="N562" s="394">
        <f>IF(+NFL!$F206="Tampa Bay",+NFL!N206,IF(+NFL!$H206="Tampa Bay",+NFL!N206,0))</f>
        <v>0</v>
      </c>
      <c r="O562" s="395">
        <f>IF(+NFL!$F206="Tampa Bay",+NFL!O206,IF(+NFL!$H206="Tampa Bay",+NFL!O206,0))</f>
        <v>0</v>
      </c>
      <c r="P562" s="394">
        <f>IF(+NFL!$F206="Tampa Bay",+NFL!P206,IF(+NFL!$H206="Tampa Bay",+NFL!P206,0))</f>
        <v>0</v>
      </c>
      <c r="Q562" s="396">
        <f>IF(+NFL!$F206="Tampa Bay",+NFL!Q206,IF(+NFL!$H206="Tampa Bay",+NFL!Q206,0))</f>
        <v>0</v>
      </c>
      <c r="R562" s="397">
        <f>IF(+NFL!$F206="Tampa Bay",+NFL!R206,IF(+NFL!$H206="Tampa Bay",+NFL!R206,0))</f>
        <v>0</v>
      </c>
      <c r="S562" s="396">
        <f>IF(+NFL!$F206="Tampa Bay",+NFL!S206,IF(+NFL!$H206="Tampa Bay",+NFL!S206,0))</f>
        <v>0</v>
      </c>
      <c r="T562" s="398">
        <f>IF(+NFL!$F206="Tampa Bay",+NFL!T206,IF(+NFL!$H206="Tampa Bay",+NFL!T206,0))</f>
        <v>0</v>
      </c>
      <c r="U562" s="396">
        <f>IF(+NFL!$F206="Tampa Bay",+NFL!U206,IF(+NFL!$H206="Tampa Bay",+NFL!U206,0))</f>
        <v>0</v>
      </c>
      <c r="V562" s="397">
        <f>IF(+NFL!$F223="Tampa Bay",+NFL!#REF!,IF(+NFL!$H223="Tampa Bay",+NFL!#REF!,0))</f>
        <v>0</v>
      </c>
      <c r="W562" s="396">
        <f>IF(+NFL!$F223="Tampa Bay",+NFL!#REF!,IF(+NFL!$H223="Tampa Bay",+NFL!#REF!,0))</f>
        <v>0</v>
      </c>
      <c r="X562" s="398">
        <f>IF(+NFL!$F223="Tampa Bay",+NFL!#REF!,IF(+NFL!$H223="Tampa Bay",+NFL!#REF!,0))</f>
        <v>0</v>
      </c>
      <c r="Y562" s="396">
        <f>IF(+NFL!$F223="Tampa Bay",+NFL!#REF!,IF(+NFL!$H223="Tampa Bay",+NFL!#REF!,0))</f>
        <v>0</v>
      </c>
      <c r="Z562" s="397">
        <f>IF(+NFL!$F223="Tampa Bay",+NFL!#REF!,IF(+NFL!$H223="Tampa Bay",+NFL!#REF!,0))</f>
        <v>0</v>
      </c>
      <c r="AA562" s="396">
        <f>IF(+NFL!$F223="Tampa Bay",+NFL!#REF!,IF(+NFL!$H223="Tampa Bay",+NFL!#REF!,0))</f>
        <v>0</v>
      </c>
      <c r="AB562" s="87">
        <f>IF(+NFL!$F223="Tampa Bay",+NFL!#REF!,IF(+NFL!$H223="Tampa Bay",+NFL!#REF!,0))</f>
        <v>0</v>
      </c>
      <c r="AC562" s="120">
        <f>IF(+NFL!$F223="Tampa Bay",+NFL!#REF!,IF(+NFL!$H223="Tampa Bay",+NFL!#REF!,0))</f>
        <v>0</v>
      </c>
      <c r="AD562" s="353">
        <f>IF(+NFL!$F223="Tampa Bay",+NFL!#REF!,IF(+NFL!$H223="Tampa Bay",+NFL!#REF!,0))</f>
        <v>0</v>
      </c>
      <c r="AE562" s="379">
        <f>IF(+NFL!$F223="Tampa Bay",+NFL!#REF!,IF(+NFL!$H223="Tampa Bay",+NFL!#REF!,0))</f>
        <v>0</v>
      </c>
      <c r="AF562" s="353">
        <f>IF(+NFL!$F223="Tampa Bay",+NFL!#REF!,IF(+NFL!$H223="Tampa Bay",+NFL!#REF!,0))</f>
        <v>0</v>
      </c>
      <c r="AG562" s="379">
        <f>IF(+NFL!$F223="Tampa Bay",+NFL!#REF!,IF(+NFL!$H223="Tampa Bay",+NFL!#REF!,0))</f>
        <v>0</v>
      </c>
      <c r="AH562" s="353">
        <f>IF(+NFL!$F223="Tampa Bay",+NFL!#REF!,IF(+NFL!$H223="Tampa Bay",+NFL!#REF!,0))</f>
        <v>0</v>
      </c>
      <c r="AI562" s="379">
        <f>IF(+NFL!$F223="Tampa Bay",+NFL!#REF!,IF(+NFL!$H223="Tampa Bay",+NFL!#REF!,0))</f>
        <v>0</v>
      </c>
      <c r="AJ562" s="353">
        <f>IF(+NFL!$F223="Tampa Bay",+NFL!#REF!,IF(+NFL!$H223="Tampa Bay",+NFL!#REF!,0))</f>
        <v>0</v>
      </c>
      <c r="AK562" s="379">
        <f>IF(+NFL!$F223="Tampa Bay",+NFL!#REF!,IF(+NFL!$H223="Tampa Bay",+NFL!#REF!,0))</f>
        <v>0</v>
      </c>
      <c r="AL562" s="68">
        <f>IF(+NFL!$F223="Tampa Bay",+NFL!#REF!,IF(+NFL!$H223="Tampa Bay",+NFL!#REF!,0))</f>
        <v>0</v>
      </c>
      <c r="AM562" s="58">
        <f>IF(+NFL!$F223="Tampa Bay",+NFL!#REF!,IF(+NFL!$H223="Tampa Bay",+NFL!#REF!,0))</f>
        <v>0</v>
      </c>
      <c r="AN562" s="57">
        <f>IF(+NFL!$F223="Tampa Bay",+NFL!#REF!,IF(+NFL!$H223="Tampa Bay",+NFL!#REF!,0))</f>
        <v>0</v>
      </c>
      <c r="AO562" s="59">
        <f>IF(+NFL!$F223="Tampa Bay",+NFL!#REF!,IF(+NFL!$H223="Tampa Bay",+NFL!#REF!,0))</f>
        <v>0</v>
      </c>
      <c r="AP562" s="348">
        <f>IF(+NFL!$F223="Tampa Bay",+NFL!#REF!,IF(+NFL!$H223="Tampa Bay",+NFL!#REF!,0))</f>
        <v>0</v>
      </c>
      <c r="AQ562" s="48">
        <f>IF(+NFL!$F223="Tampa Bay",+NFL!#REF!,IF(+NFL!$H223="Tampa Bay",+NFL!#REF!,0))</f>
        <v>0</v>
      </c>
      <c r="AR562" s="57">
        <f>IF(+NFL!$F223="Tampa Bay",+NFL!#REF!,IF(+NFL!$H223="Tampa Bay",+NFL!#REF!,0))</f>
        <v>0</v>
      </c>
      <c r="AS562" s="64">
        <f>IF(+NFL!$F223="Tampa Bay",+NFL!#REF!,IF(+NFL!$H223="Tampa Bay",+NFL!#REF!,0))</f>
        <v>0</v>
      </c>
      <c r="AT562" s="64">
        <f>IF(+NFL!$F223="Tampa Bay",+NFL!#REF!,IF(+NFL!$H223="Tampa Bay",+NFL!#REF!,0))</f>
        <v>0</v>
      </c>
      <c r="AU562" s="57">
        <f>IF(+NFL!$F223="Tampa Bay",+NFL!#REF!,IF(+NFL!$H223="Tampa Bay",+NFL!#REF!,0))</f>
        <v>0</v>
      </c>
      <c r="AV562" s="64">
        <f>IF(+NFL!$F223="Tampa Bay",+NFL!#REF!,IF(+NFL!$H223="Tampa Bay",+NFL!#REF!,0))</f>
        <v>0</v>
      </c>
      <c r="AW562" s="46">
        <f>IF(+NFL!$F223="Tampa Bay",+NFL!#REF!,IF(+NFL!$H223="Tampa Bay",+NFL!#REF!,0))</f>
        <v>0</v>
      </c>
      <c r="AX562" s="64">
        <f>IF(+NFL!$F223="Tampa Bay",+NFL!#REF!,IF(+NFL!$H223="Tampa Bay",+NFL!#REF!,0))</f>
        <v>0</v>
      </c>
      <c r="AY562" s="57">
        <f>IF(+NFL!$F223="Tampa Bay",+NFL!#REF!,IF(+NFL!$H223="Tampa Bay",+NFL!#REF!,0))</f>
        <v>0</v>
      </c>
      <c r="AZ562" s="64">
        <f>IF(+NFL!$F223="Tampa Bay",+NFL!#REF!,IF(+NFL!$H223="Tampa Bay",+NFL!#REF!,0))</f>
        <v>0</v>
      </c>
      <c r="BA562" s="46">
        <f>IF(+NFL!$F223="Tampa Bay",+NFL!#REF!,IF(+NFL!$H223="Tampa Bay",+NFL!#REF!,0))</f>
        <v>0</v>
      </c>
      <c r="BB562" s="46">
        <f>IF(+NFL!$F223="Tampa Bay",+NFL!#REF!,IF(+NFL!$H223="Tampa Bay",+NFL!#REF!,0))</f>
        <v>0</v>
      </c>
      <c r="BC562" s="403">
        <f>IF(+NFL!$F223="Tampa Bay",+NFL!#REF!,IF(+NFL!$H223="Tampa Bay",+NFL!#REF!,0))</f>
        <v>0</v>
      </c>
      <c r="BD562" s="57">
        <f>IF(+NFL!$F223="Tampa Bay",+NFL!#REF!,IF(+NFL!$H223="Tampa Bay",+NFL!#REF!,0))</f>
        <v>0</v>
      </c>
      <c r="BE562" s="64">
        <f>IF(+NFL!$F223="Tampa Bay",+NFL!#REF!,IF(+NFL!$H223="Tampa Bay",+NFL!#REF!,0))</f>
        <v>0</v>
      </c>
      <c r="BF562" s="46">
        <f>IF(+NFL!$F223="Tampa Bay",+NFL!#REF!,IF(+NFL!$H223="Tampa Bay",+NFL!#REF!,0))</f>
        <v>0</v>
      </c>
      <c r="BG562" s="57">
        <f>IF(+NFL!$F223="Tampa Bay",+NFL!#REF!,IF(+NFL!$H223="Tampa Bay",+NFL!#REF!,0))</f>
        <v>0</v>
      </c>
      <c r="BH562" s="64">
        <f>IF(+NFL!$F223="Tampa Bay",+NFL!#REF!,IF(+NFL!$H223="Tampa Bay",+NFL!#REF!,0))</f>
        <v>0</v>
      </c>
      <c r="BI562" s="46">
        <f>IF(+NFL!$F223="Tampa Bay",+NFL!#REF!,IF(+NFL!$H223="Tampa Bay",+NFL!#REF!,0))</f>
        <v>0</v>
      </c>
      <c r="BJ562" s="87">
        <f>IF(+NFL!$F223="Tampa Bay",+NFL!#REF!,IF(+NFL!$H223="Tampa Bay",+NFL!#REF!,0))</f>
        <v>0</v>
      </c>
      <c r="BK562" s="120">
        <f>IF(+NFL!$F223="Tampa Bay",+NFL!#REF!,IF(+NFL!$H223="Tampa Bay",+NFL!#REF!,0))</f>
        <v>0</v>
      </c>
    </row>
    <row r="563" spans="1:68" s="246" customFormat="1" x14ac:dyDescent="0.8">
      <c r="A563" s="46">
        <f>IF(+NFL!$F212="Tampa Bay",+NFL!A212,IF(+NFL!$H212="Tampa Bay",+NFL!A212,0))</f>
        <v>12</v>
      </c>
      <c r="B563" s="348" t="str">
        <f>IF(+NFL!$F212="Tampa Bay",+NFL!B212,IF(+NFL!$H212="Tampa Bay",+NFL!B212,0))</f>
        <v>Sun</v>
      </c>
      <c r="C563" s="48">
        <f>IF(+NFL!$F212="Tampa Bay",+NFL!C212,IF(+NFL!$H212="Tampa Bay",+NFL!C212,0))</f>
        <v>44892</v>
      </c>
      <c r="D563" s="490">
        <f>IF(+NFL!$F212="Tampa Bay",+NFL!D212,IF(+NFL!$H212="Tampa Bay",+NFL!D212,0))</f>
        <v>0.54166666666666663</v>
      </c>
      <c r="E563" s="46" t="str">
        <f>IF(+NFL!$F212="Tampa Bay",+NFL!E212,IF(+NFL!$H212="Tampa Bay",+NFL!E212,0))</f>
        <v>Fox</v>
      </c>
      <c r="F563" s="127" t="str">
        <f>IF(+NFL!$F212="Tampa Bay",+NFL!F212,IF(+NFL!$H212="Tampa Bay",+NFL!F212,0))</f>
        <v>Tampa Bay</v>
      </c>
      <c r="G563" s="46" t="str">
        <f>IF(+NFL!$F212="Tampa Bay",+NFL!G212,IF(+NFL!$H212="Tampa Bay",+NFL!G212,0))</f>
        <v>NFCS</v>
      </c>
      <c r="H563" s="127" t="str">
        <f>IF(+NFL!$F212="Tampa Bay",+NFL!H212,IF(+NFL!$H212="Tampa Bay",+NFL!H212,0))</f>
        <v>Cleveland</v>
      </c>
      <c r="I563" s="46" t="str">
        <f>IF(+NFL!$F212="Tampa Bay",+NFL!I212,IF(+NFL!$H212="Tampa Bay",+NFL!I212,0))</f>
        <v>AFCN</v>
      </c>
      <c r="J563" s="353" t="str">
        <f>IF(+NFL!$F212="Tampa Bay",+NFL!J212,IF(+NFL!$H212="Tampa Bay",+NFL!J212,0))</f>
        <v>Tampa Bay</v>
      </c>
      <c r="K563" s="494" t="str">
        <f>IF(+NFL!$F212="Tampa Bay",+NFL!K212,IF(+NFL!$H212="Tampa Bay",+NFL!K212,0))</f>
        <v>Cleveland</v>
      </c>
      <c r="L563" s="384">
        <f>IF(+NFL!$F212="Tampa Bay",+NFL!L212,IF(+NFL!$H212="Tampa Bay",+NFL!L212,0))</f>
        <v>3.5</v>
      </c>
      <c r="M563" s="385">
        <f>IF(+NFL!$F212="Tampa Bay",+NFL!M212,IF(+NFL!$H212="Tampa Bay",+NFL!M212,0))</f>
        <v>43</v>
      </c>
      <c r="N563" s="394" t="str">
        <f>IF(+NFL!$F212="Tampa Bay",+NFL!N212,IF(+NFL!$H212="Tampa Bay",+NFL!N212,0))</f>
        <v>Cleveland</v>
      </c>
      <c r="O563" s="395">
        <f>IF(+NFL!$F212="Tampa Bay",+NFL!O212,IF(+NFL!$H212="Tampa Bay",+NFL!O212,0))</f>
        <v>23</v>
      </c>
      <c r="P563" s="394" t="str">
        <f>IF(+NFL!$F212="Tampa Bay",+NFL!P212,IF(+NFL!$H212="Tampa Bay",+NFL!P212,0))</f>
        <v>Tampa Bay</v>
      </c>
      <c r="Q563" s="396">
        <f>IF(+NFL!$F212="Tampa Bay",+NFL!Q212,IF(+NFL!$H212="Tampa Bay",+NFL!Q212,0))</f>
        <v>17</v>
      </c>
      <c r="R563" s="397" t="str">
        <f>IF(+NFL!$F212="Tampa Bay",+NFL!R212,IF(+NFL!$H212="Tampa Bay",+NFL!R212,0))</f>
        <v>Cleveland</v>
      </c>
      <c r="S563" s="396" t="str">
        <f>IF(+NFL!$F212="Tampa Bay",+NFL!S212,IF(+NFL!$H212="Tampa Bay",+NFL!S212,0))</f>
        <v>Tampa Bay</v>
      </c>
      <c r="T563" s="398" t="str">
        <f>IF(+NFL!$F212="Tampa Bay",+NFL!T212,IF(+NFL!$H212="Tampa Bay",+NFL!T212,0))</f>
        <v>Cleveland</v>
      </c>
      <c r="U563" s="396" t="str">
        <f>IF(+NFL!$F212="Tampa Bay",+NFL!U212,IF(+NFL!$H212="Tampa Bay",+NFL!U212,0))</f>
        <v>W</v>
      </c>
      <c r="V563" s="397">
        <f>IF(+NFL!$F239="Tampa Bay",+NFL!#REF!,IF(+NFL!$H239="Tampa Bay",+NFL!#REF!,0))</f>
        <v>0</v>
      </c>
      <c r="W563" s="396">
        <f>IF(+NFL!$F239="Tampa Bay",+NFL!#REF!,IF(+NFL!$H239="Tampa Bay",+NFL!#REF!,0))</f>
        <v>0</v>
      </c>
      <c r="X563" s="398">
        <f>IF(+NFL!$F239="Tampa Bay",+NFL!#REF!,IF(+NFL!$H239="Tampa Bay",+NFL!#REF!,0))</f>
        <v>0</v>
      </c>
      <c r="Y563" s="396">
        <f>IF(+NFL!$F239="Tampa Bay",+NFL!#REF!,IF(+NFL!$H239="Tampa Bay",+NFL!#REF!,0))</f>
        <v>0</v>
      </c>
      <c r="Z563" s="397">
        <f>IF(+NFL!$F239="Tampa Bay",+NFL!#REF!,IF(+NFL!$H239="Tampa Bay",+NFL!#REF!,0))</f>
        <v>0</v>
      </c>
      <c r="AA563" s="396">
        <f>IF(+NFL!$F239="Tampa Bay",+NFL!#REF!,IF(+NFL!$H239="Tampa Bay",+NFL!#REF!,0))</f>
        <v>0</v>
      </c>
      <c r="AB563" s="87">
        <f>IF(+NFL!$F239="Tampa Bay",+NFL!#REF!,IF(+NFL!$H239="Tampa Bay",+NFL!#REF!,0))</f>
        <v>0</v>
      </c>
      <c r="AC563" s="120">
        <f>IF(+NFL!$F239="Tampa Bay",+NFL!#REF!,IF(+NFL!$H239="Tampa Bay",+NFL!#REF!,0))</f>
        <v>0</v>
      </c>
      <c r="AD563" s="353">
        <f>IF(+NFL!$F239="Tampa Bay",+NFL!#REF!,IF(+NFL!$H239="Tampa Bay",+NFL!#REF!,0))</f>
        <v>0</v>
      </c>
      <c r="AE563" s="379">
        <f>IF(+NFL!$F239="Tampa Bay",+NFL!#REF!,IF(+NFL!$H239="Tampa Bay",+NFL!#REF!,0))</f>
        <v>0</v>
      </c>
      <c r="AF563" s="353">
        <f>IF(+NFL!$F239="Tampa Bay",+NFL!#REF!,IF(+NFL!$H239="Tampa Bay",+NFL!#REF!,0))</f>
        <v>0</v>
      </c>
      <c r="AG563" s="379">
        <f>IF(+NFL!$F239="Tampa Bay",+NFL!#REF!,IF(+NFL!$H239="Tampa Bay",+NFL!#REF!,0))</f>
        <v>0</v>
      </c>
      <c r="AH563" s="353">
        <f>IF(+NFL!$F239="Tampa Bay",+NFL!#REF!,IF(+NFL!$H239="Tampa Bay",+NFL!#REF!,0))</f>
        <v>0</v>
      </c>
      <c r="AI563" s="379">
        <f>IF(+NFL!$F239="Tampa Bay",+NFL!#REF!,IF(+NFL!$H239="Tampa Bay",+NFL!#REF!,0))</f>
        <v>0</v>
      </c>
      <c r="AJ563" s="353">
        <f>IF(+NFL!$F239="Tampa Bay",+NFL!#REF!,IF(+NFL!$H239="Tampa Bay",+NFL!#REF!,0))</f>
        <v>0</v>
      </c>
      <c r="AK563" s="379">
        <f>IF(+NFL!$F239="Tampa Bay",+NFL!#REF!,IF(+NFL!$H239="Tampa Bay",+NFL!#REF!,0))</f>
        <v>0</v>
      </c>
      <c r="AL563" s="68">
        <f>IF(+NFL!$F239="Tampa Bay",+NFL!#REF!,IF(+NFL!$H239="Tampa Bay",+NFL!#REF!,0))</f>
        <v>0</v>
      </c>
      <c r="AM563" s="58">
        <f>IF(+NFL!$F239="Tampa Bay",+NFL!#REF!,IF(+NFL!$H239="Tampa Bay",+NFL!#REF!,0))</f>
        <v>0</v>
      </c>
      <c r="AN563" s="57">
        <f>IF(+NFL!$F239="Tampa Bay",+NFL!#REF!,IF(+NFL!$H239="Tampa Bay",+NFL!#REF!,0))</f>
        <v>0</v>
      </c>
      <c r="AO563" s="59">
        <f>IF(+NFL!$F239="Tampa Bay",+NFL!#REF!,IF(+NFL!$H239="Tampa Bay",+NFL!#REF!,0))</f>
        <v>0</v>
      </c>
      <c r="AP563" s="348">
        <f>IF(+NFL!$F239="Tampa Bay",+NFL!#REF!,IF(+NFL!$H239="Tampa Bay",+NFL!#REF!,0))</f>
        <v>0</v>
      </c>
      <c r="AQ563" s="48">
        <f>IF(+NFL!$F239="Tampa Bay",+NFL!#REF!,IF(+NFL!$H239="Tampa Bay",+NFL!#REF!,0))</f>
        <v>0</v>
      </c>
      <c r="AR563" s="57">
        <f>IF(+NFL!$F239="Tampa Bay",+NFL!#REF!,IF(+NFL!$H239="Tampa Bay",+NFL!#REF!,0))</f>
        <v>0</v>
      </c>
      <c r="AS563" s="64">
        <f>IF(+NFL!$F239="Tampa Bay",+NFL!#REF!,IF(+NFL!$H239="Tampa Bay",+NFL!#REF!,0))</f>
        <v>0</v>
      </c>
      <c r="AT563" s="64">
        <f>IF(+NFL!$F239="Tampa Bay",+NFL!#REF!,IF(+NFL!$H239="Tampa Bay",+NFL!#REF!,0))</f>
        <v>0</v>
      </c>
      <c r="AU563" s="57">
        <f>IF(+NFL!$F239="Tampa Bay",+NFL!#REF!,IF(+NFL!$H239="Tampa Bay",+NFL!#REF!,0))</f>
        <v>0</v>
      </c>
      <c r="AV563" s="64">
        <f>IF(+NFL!$F239="Tampa Bay",+NFL!#REF!,IF(+NFL!$H239="Tampa Bay",+NFL!#REF!,0))</f>
        <v>0</v>
      </c>
      <c r="AW563" s="46">
        <f>IF(+NFL!$F239="Tampa Bay",+NFL!#REF!,IF(+NFL!$H239="Tampa Bay",+NFL!#REF!,0))</f>
        <v>0</v>
      </c>
      <c r="AX563" s="64">
        <f>IF(+NFL!$F239="Tampa Bay",+NFL!#REF!,IF(+NFL!$H239="Tampa Bay",+NFL!#REF!,0))</f>
        <v>0</v>
      </c>
      <c r="AY563" s="57">
        <f>IF(+NFL!$F239="Tampa Bay",+NFL!#REF!,IF(+NFL!$H239="Tampa Bay",+NFL!#REF!,0))</f>
        <v>0</v>
      </c>
      <c r="AZ563" s="64">
        <f>IF(+NFL!$F239="Tampa Bay",+NFL!#REF!,IF(+NFL!$H239="Tampa Bay",+NFL!#REF!,0))</f>
        <v>0</v>
      </c>
      <c r="BA563" s="46">
        <f>IF(+NFL!$F239="Tampa Bay",+NFL!#REF!,IF(+NFL!$H239="Tampa Bay",+NFL!#REF!,0))</f>
        <v>0</v>
      </c>
      <c r="BB563" s="46">
        <f>IF(+NFL!$F239="Tampa Bay",+NFL!#REF!,IF(+NFL!$H239="Tampa Bay",+NFL!#REF!,0))</f>
        <v>0</v>
      </c>
      <c r="BC563" s="403">
        <f>IF(+NFL!$F239="Tampa Bay",+NFL!#REF!,IF(+NFL!$H239="Tampa Bay",+NFL!#REF!,0))</f>
        <v>0</v>
      </c>
      <c r="BD563" s="57">
        <f>IF(+NFL!$F239="Tampa Bay",+NFL!#REF!,IF(+NFL!$H239="Tampa Bay",+NFL!#REF!,0))</f>
        <v>0</v>
      </c>
      <c r="BE563" s="64">
        <f>IF(+NFL!$F239="Tampa Bay",+NFL!#REF!,IF(+NFL!$H239="Tampa Bay",+NFL!#REF!,0))</f>
        <v>0</v>
      </c>
      <c r="BF563" s="46">
        <f>IF(+NFL!$F239="Tampa Bay",+NFL!#REF!,IF(+NFL!$H239="Tampa Bay",+NFL!#REF!,0))</f>
        <v>0</v>
      </c>
      <c r="BG563" s="57">
        <f>IF(+NFL!$F239="Tampa Bay",+NFL!#REF!,IF(+NFL!$H239="Tampa Bay",+NFL!#REF!,0))</f>
        <v>0</v>
      </c>
      <c r="BH563" s="64">
        <f>IF(+NFL!$F239="Tampa Bay",+NFL!#REF!,IF(+NFL!$H239="Tampa Bay",+NFL!#REF!,0))</f>
        <v>0</v>
      </c>
      <c r="BI563" s="46">
        <f>IF(+NFL!$F239="Tampa Bay",+NFL!#REF!,IF(+NFL!$H239="Tampa Bay",+NFL!#REF!,0))</f>
        <v>0</v>
      </c>
      <c r="BJ563" s="87">
        <f>IF(+NFL!$F239="Tampa Bay",+NFL!#REF!,IF(+NFL!$H239="Tampa Bay",+NFL!#REF!,0))</f>
        <v>0</v>
      </c>
      <c r="BK563" s="120">
        <f>IF(+NFL!$F239="Tampa Bay",+NFL!#REF!,IF(+NFL!$H239="Tampa Bay",+NFL!#REF!,0))</f>
        <v>0</v>
      </c>
    </row>
    <row r="564" spans="1:68" s="246" customFormat="1" x14ac:dyDescent="0.8">
      <c r="A564" s="46">
        <f>IF(+NFL!$F240="Tampa Bay",+NFL!A240,IF(+NFL!$H240="Tampa Bay",+NFL!A240,0))</f>
        <v>13</v>
      </c>
      <c r="B564" s="348" t="str">
        <f>IF(+NFL!$F240="Tampa Bay",+NFL!B240,IF(+NFL!$H240="Tampa Bay",+NFL!B240,0))</f>
        <v>Mon</v>
      </c>
      <c r="C564" s="48">
        <f>IF(+NFL!$F240="Tampa Bay",+NFL!C240,IF(+NFL!$H240="Tampa Bay",+NFL!C240,0))</f>
        <v>44900</v>
      </c>
      <c r="D564" s="490">
        <f>IF(+NFL!$F240="Tampa Bay",+NFL!D240,IF(+NFL!$H240="Tampa Bay",+NFL!D240,0))</f>
        <v>0.84375</v>
      </c>
      <c r="E564" s="46" t="str">
        <f>IF(+NFL!$F240="Tampa Bay",+NFL!E240,IF(+NFL!$H240="Tampa Bay",+NFL!E240,0))</f>
        <v>ABC</v>
      </c>
      <c r="F564" s="127" t="str">
        <f>IF(+NFL!$F240="Tampa Bay",+NFL!F240,IF(+NFL!$H240="Tampa Bay",+NFL!F240,0))</f>
        <v>New Orleans</v>
      </c>
      <c r="G564" s="46" t="str">
        <f>IF(+NFL!$F240="Tampa Bay",+NFL!G240,IF(+NFL!$H240="Tampa Bay",+NFL!G240,0))</f>
        <v>AFCS</v>
      </c>
      <c r="H564" s="127" t="str">
        <f>IF(+NFL!$F240="Tampa Bay",+NFL!H240,IF(+NFL!$H240="Tampa Bay",+NFL!H240,0))</f>
        <v>Tampa Bay</v>
      </c>
      <c r="I564" s="46" t="str">
        <f>IF(+NFL!$F240="Tampa Bay",+NFL!I240,IF(+NFL!$H240="Tampa Bay",+NFL!I240,0))</f>
        <v>NFCE</v>
      </c>
      <c r="J564" s="353" t="str">
        <f>IF(+NFL!$F240="Tampa Bay",+NFL!J240,IF(+NFL!$H240="Tampa Bay",+NFL!J240,0))</f>
        <v>Tampa Bay</v>
      </c>
      <c r="K564" s="494" t="str">
        <f>IF(+NFL!$F240="Tampa Bay",+NFL!K240,IF(+NFL!$H240="Tampa Bay",+NFL!K240,0))</f>
        <v>New Orleans</v>
      </c>
      <c r="L564" s="384">
        <f>IF(+NFL!$F240="Tampa Bay",+NFL!L240,IF(+NFL!$H240="Tampa Bay",+NFL!L240,0))</f>
        <v>4</v>
      </c>
      <c r="M564" s="385">
        <f>IF(+NFL!$F240="Tampa Bay",+NFL!M240,IF(+NFL!$H240="Tampa Bay",+NFL!M240,0))</f>
        <v>40.5</v>
      </c>
      <c r="N564" s="394" t="str">
        <f>IF(+NFL!$F240="Tampa Bay",+NFL!N240,IF(+NFL!$H240="Tampa Bay",+NFL!N240,0))</f>
        <v>Tampa Bay</v>
      </c>
      <c r="O564" s="395">
        <f>IF(+NFL!$F240="Tampa Bay",+NFL!O240,IF(+NFL!$H240="Tampa Bay",+NFL!O240,0))</f>
        <v>17</v>
      </c>
      <c r="P564" s="394" t="str">
        <f>IF(+NFL!$F240="Tampa Bay",+NFL!P240,IF(+NFL!$H240="Tampa Bay",+NFL!P240,0))</f>
        <v>New Orleans</v>
      </c>
      <c r="Q564" s="396">
        <f>IF(+NFL!$F240="Tampa Bay",+NFL!Q240,IF(+NFL!$H240="Tampa Bay",+NFL!Q240,0))</f>
        <v>16</v>
      </c>
      <c r="R564" s="397" t="str">
        <f>IF(+NFL!$F240="Tampa Bay",+NFL!R240,IF(+NFL!$H240="Tampa Bay",+NFL!R240,0))</f>
        <v>New Orleans</v>
      </c>
      <c r="S564" s="396" t="str">
        <f>IF(+NFL!$F240="Tampa Bay",+NFL!S240,IF(+NFL!$H240="Tampa Bay",+NFL!S240,0))</f>
        <v>Tampa Bay</v>
      </c>
      <c r="T564" s="398" t="str">
        <f>IF(+NFL!$F240="Tampa Bay",+NFL!T240,IF(+NFL!$H240="Tampa Bay",+NFL!T240,0))</f>
        <v>New Orleans</v>
      </c>
      <c r="U564" s="396" t="str">
        <f>IF(+NFL!$F240="Tampa Bay",+NFL!U240,IF(+NFL!$H240="Tampa Bay",+NFL!U240,0))</f>
        <v>W</v>
      </c>
      <c r="V564" s="397" t="e">
        <f>IF(+NFL!$F240="Tampa Bay",+NFL!#REF!,IF(+NFL!$H240="Tampa Bay",+NFL!#REF!,0))</f>
        <v>#REF!</v>
      </c>
      <c r="W564" s="396" t="e">
        <f>IF(+NFL!$F240="Tampa Bay",+NFL!#REF!,IF(+NFL!$H240="Tampa Bay",+NFL!#REF!,0))</f>
        <v>#REF!</v>
      </c>
      <c r="X564" s="398" t="e">
        <f>IF(+NFL!$F240="Tampa Bay",+NFL!#REF!,IF(+NFL!$H240="Tampa Bay",+NFL!#REF!,0))</f>
        <v>#REF!</v>
      </c>
      <c r="Y564" s="396" t="e">
        <f>IF(+NFL!$F240="Tampa Bay",+NFL!#REF!,IF(+NFL!$H240="Tampa Bay",+NFL!#REF!,0))</f>
        <v>#REF!</v>
      </c>
      <c r="Z564" s="397" t="e">
        <f>IF(+NFL!$F240="Tampa Bay",+NFL!#REF!,IF(+NFL!$H240="Tampa Bay",+NFL!#REF!,0))</f>
        <v>#REF!</v>
      </c>
      <c r="AA564" s="396" t="e">
        <f>IF(+NFL!$F240="Tampa Bay",+NFL!#REF!,IF(+NFL!$H240="Tampa Bay",+NFL!#REF!,0))</f>
        <v>#REF!</v>
      </c>
      <c r="AB564" s="87" t="e">
        <f>IF(+NFL!$F240="Tampa Bay",+NFL!#REF!,IF(+NFL!$H240="Tampa Bay",+NFL!#REF!,0))</f>
        <v>#REF!</v>
      </c>
      <c r="AC564" s="120" t="e">
        <f>IF(+NFL!$F240="Tampa Bay",+NFL!#REF!,IF(+NFL!$H240="Tampa Bay",+NFL!#REF!,0))</f>
        <v>#REF!</v>
      </c>
      <c r="AD564" s="353" t="e">
        <f>IF(+NFL!$F240="Tampa Bay",+NFL!#REF!,IF(+NFL!$H240="Tampa Bay",+NFL!#REF!,0))</f>
        <v>#REF!</v>
      </c>
      <c r="AE564" s="379" t="e">
        <f>IF(+NFL!$F240="Tampa Bay",+NFL!#REF!,IF(+NFL!$H240="Tampa Bay",+NFL!#REF!,0))</f>
        <v>#REF!</v>
      </c>
      <c r="AF564" s="353" t="e">
        <f>IF(+NFL!$F240="Tampa Bay",+NFL!#REF!,IF(+NFL!$H240="Tampa Bay",+NFL!#REF!,0))</f>
        <v>#REF!</v>
      </c>
      <c r="AG564" s="379" t="e">
        <f>IF(+NFL!$F240="Tampa Bay",+NFL!#REF!,IF(+NFL!$H240="Tampa Bay",+NFL!#REF!,0))</f>
        <v>#REF!</v>
      </c>
      <c r="AH564" s="353" t="e">
        <f>IF(+NFL!$F240="Tampa Bay",+NFL!#REF!,IF(+NFL!$H240="Tampa Bay",+NFL!#REF!,0))</f>
        <v>#REF!</v>
      </c>
      <c r="AI564" s="379" t="e">
        <f>IF(+NFL!$F240="Tampa Bay",+NFL!#REF!,IF(+NFL!$H240="Tampa Bay",+NFL!#REF!,0))</f>
        <v>#REF!</v>
      </c>
      <c r="AJ564" s="353" t="e">
        <f>IF(+NFL!$F240="Tampa Bay",+NFL!#REF!,IF(+NFL!$H240="Tampa Bay",+NFL!#REF!,0))</f>
        <v>#REF!</v>
      </c>
      <c r="AK564" s="379" t="e">
        <f>IF(+NFL!$F240="Tampa Bay",+NFL!#REF!,IF(+NFL!$H240="Tampa Bay",+NFL!#REF!,0))</f>
        <v>#REF!</v>
      </c>
      <c r="AL564" s="68" t="e">
        <f>IF(+NFL!$F240="Tampa Bay",+NFL!#REF!,IF(+NFL!$H240="Tampa Bay",+NFL!#REF!,0))</f>
        <v>#REF!</v>
      </c>
      <c r="AM564" s="58" t="e">
        <f>IF(+NFL!$F240="Tampa Bay",+NFL!#REF!,IF(+NFL!$H240="Tampa Bay",+NFL!#REF!,0))</f>
        <v>#REF!</v>
      </c>
      <c r="AN564" s="57" t="e">
        <f>IF(+NFL!$F240="Tampa Bay",+NFL!#REF!,IF(+NFL!$H240="Tampa Bay",+NFL!#REF!,0))</f>
        <v>#REF!</v>
      </c>
      <c r="AO564" s="59" t="e">
        <f>IF(+NFL!$F240="Tampa Bay",+NFL!#REF!,IF(+NFL!$H240="Tampa Bay",+NFL!#REF!,0))</f>
        <v>#REF!</v>
      </c>
      <c r="AP564" s="348" t="e">
        <f>IF(+NFL!$F240="Tampa Bay",+NFL!#REF!,IF(+NFL!$H240="Tampa Bay",+NFL!#REF!,0))</f>
        <v>#REF!</v>
      </c>
      <c r="AQ564" s="48" t="e">
        <f>IF(+NFL!$F240="Tampa Bay",+NFL!#REF!,IF(+NFL!$H240="Tampa Bay",+NFL!#REF!,0))</f>
        <v>#REF!</v>
      </c>
      <c r="AR564" s="57" t="e">
        <f>IF(+NFL!$F240="Tampa Bay",+NFL!#REF!,IF(+NFL!$H240="Tampa Bay",+NFL!#REF!,0))</f>
        <v>#REF!</v>
      </c>
      <c r="AS564" s="493" t="e">
        <f>IF(+NFL!$F240="Tampa Bay",+NFL!#REF!,IF(+NFL!$H240="Tampa Bay",+NFL!#REF!,0))</f>
        <v>#REF!</v>
      </c>
      <c r="AT564" s="493" t="e">
        <f>IF(+NFL!$F240="Tampa Bay",+NFL!#REF!,IF(+NFL!$H240="Tampa Bay",+NFL!#REF!,0))</f>
        <v>#REF!</v>
      </c>
      <c r="AU564" s="57" t="e">
        <f>IF(+NFL!$F240="Tampa Bay",+NFL!#REF!,IF(+NFL!$H240="Tampa Bay",+NFL!#REF!,0))</f>
        <v>#REF!</v>
      </c>
      <c r="AV564" s="493" t="e">
        <f>IF(+NFL!$F240="Tampa Bay",+NFL!#REF!,IF(+NFL!$H240="Tampa Bay",+NFL!#REF!,0))</f>
        <v>#REF!</v>
      </c>
      <c r="AW564" s="46" t="e">
        <f>IF(+NFL!$F240="Tampa Bay",+NFL!#REF!,IF(+NFL!$H240="Tampa Bay",+NFL!#REF!,0))</f>
        <v>#REF!</v>
      </c>
      <c r="AX564" s="493" t="e">
        <f>IF(+NFL!$F240="Tampa Bay",+NFL!#REF!,IF(+NFL!$H240="Tampa Bay",+NFL!#REF!,0))</f>
        <v>#REF!</v>
      </c>
      <c r="AY564" s="57" t="e">
        <f>IF(+NFL!$F240="Tampa Bay",+NFL!#REF!,IF(+NFL!$H240="Tampa Bay",+NFL!#REF!,0))</f>
        <v>#REF!</v>
      </c>
      <c r="AZ564" s="493" t="e">
        <f>IF(+NFL!$F240="Tampa Bay",+NFL!#REF!,IF(+NFL!$H240="Tampa Bay",+NFL!#REF!,0))</f>
        <v>#REF!</v>
      </c>
      <c r="BA564" s="46" t="e">
        <f>IF(+NFL!$F240="Tampa Bay",+NFL!#REF!,IF(+NFL!$H240="Tampa Bay",+NFL!#REF!,0))</f>
        <v>#REF!</v>
      </c>
      <c r="BB564" s="46" t="e">
        <f>IF(+NFL!$F240="Tampa Bay",+NFL!#REF!,IF(+NFL!$H240="Tampa Bay",+NFL!#REF!,0))</f>
        <v>#REF!</v>
      </c>
      <c r="BC564" s="403" t="e">
        <f>IF(+NFL!$F240="Tampa Bay",+NFL!#REF!,IF(+NFL!$H240="Tampa Bay",+NFL!#REF!,0))</f>
        <v>#REF!</v>
      </c>
      <c r="BD564" s="57" t="e">
        <f>IF(+NFL!$F240="Tampa Bay",+NFL!#REF!,IF(+NFL!$H240="Tampa Bay",+NFL!#REF!,0))</f>
        <v>#REF!</v>
      </c>
      <c r="BE564" s="493" t="e">
        <f>IF(+NFL!$F240="Tampa Bay",+NFL!#REF!,IF(+NFL!$H240="Tampa Bay",+NFL!#REF!,0))</f>
        <v>#REF!</v>
      </c>
      <c r="BF564" s="46" t="e">
        <f>IF(+NFL!$F240="Tampa Bay",+NFL!#REF!,IF(+NFL!$H240="Tampa Bay",+NFL!#REF!,0))</f>
        <v>#REF!</v>
      </c>
      <c r="BG564" s="57" t="e">
        <f>IF(+NFL!$F240="Tampa Bay",+NFL!#REF!,IF(+NFL!$H240="Tampa Bay",+NFL!#REF!,0))</f>
        <v>#REF!</v>
      </c>
      <c r="BH564" s="493" t="e">
        <f>IF(+NFL!$F240="Tampa Bay",+NFL!#REF!,IF(+NFL!$H240="Tampa Bay",+NFL!#REF!,0))</f>
        <v>#REF!</v>
      </c>
      <c r="BI564" s="46" t="e">
        <f>IF(+NFL!$F240="Tampa Bay",+NFL!#REF!,IF(+NFL!$H240="Tampa Bay",+NFL!#REF!,0))</f>
        <v>#REF!</v>
      </c>
      <c r="BJ564" s="87" t="e">
        <f>IF(+NFL!$F240="Tampa Bay",+NFL!#REF!,IF(+NFL!$H240="Tampa Bay",+NFL!#REF!,0))</f>
        <v>#REF!</v>
      </c>
      <c r="BK564" s="120" t="e">
        <f>IF(+NFL!$F240="Tampa Bay",+NFL!#REF!,IF(+NFL!$H240="Tampa Bay",+NFL!#REF!,0))</f>
        <v>#REF!</v>
      </c>
      <c r="BL564" s="246" t="e">
        <f>IF(+NFL!$F240="Tampa Bay",+NFL!#REF!,IF(+NFL!$H240="Tampa Bay",+NFL!#REF!,0))</f>
        <v>#REF!</v>
      </c>
      <c r="BM564" s="246" t="e">
        <f>IF(+NFL!$F240="Tampa Bay",+NFL!#REF!,IF(+NFL!$H240="Tampa Bay",+NFL!#REF!,0))</f>
        <v>#REF!</v>
      </c>
      <c r="BN564" s="246" t="e">
        <f>IF(+NFL!$F240="Tampa Bay",+NFL!#REF!,IF(+NFL!$H240="Tampa Bay",+NFL!#REF!,0))</f>
        <v>#REF!</v>
      </c>
      <c r="BO564" s="246" t="e">
        <f>IF(+NFL!$F240="Tampa Bay",+NFL!#REF!,IF(+NFL!$H240="Tampa Bay",+NFL!#REF!,0))</f>
        <v>#REF!</v>
      </c>
      <c r="BP564" s="246" t="e">
        <f>IF(+NFL!$F240="Tampa Bay",+NFL!#REF!,IF(+NFL!$H240="Tampa Bay",+NFL!#REF!,0))</f>
        <v>#REF!</v>
      </c>
    </row>
    <row r="565" spans="1:68" s="246" customFormat="1" x14ac:dyDescent="0.8">
      <c r="A565" s="46">
        <f>IF(+NFL!$F254="Tampa Bay",+NFL!A254,IF(+NFL!$H254="Tampa Bay",+NFL!A254,0))</f>
        <v>14</v>
      </c>
      <c r="B565" s="348" t="str">
        <f>IF(+NFL!$F254="Tampa Bay",+NFL!B254,IF(+NFL!$H254="Tampa Bay",+NFL!B254,0))</f>
        <v>Sun</v>
      </c>
      <c r="C565" s="48">
        <f>IF(+NFL!$F254="Tampa Bay",+NFL!C254,IF(+NFL!$H254="Tampa Bay",+NFL!C254,0))</f>
        <v>44906</v>
      </c>
      <c r="D565" s="490">
        <f>IF(+NFL!$F254="Tampa Bay",+NFL!D254,IF(+NFL!$H254="Tampa Bay",+NFL!D254,0))</f>
        <v>0.54166666666666663</v>
      </c>
      <c r="E565" s="46" t="str">
        <f>IF(+NFL!$F254="Tampa Bay",+NFL!E254,IF(+NFL!$H254="Tampa Bay",+NFL!E254,0))</f>
        <v>Fox</v>
      </c>
      <c r="F565" s="127" t="str">
        <f>IF(+NFL!$F254="Tampa Bay",+NFL!F254,IF(+NFL!$H254="Tampa Bay",+NFL!F254,0))</f>
        <v>Tampa Bay</v>
      </c>
      <c r="G565" s="46" t="str">
        <f>IF(+NFL!$F254="Tampa Bay",+NFL!G254,IF(+NFL!$H254="Tampa Bay",+NFL!G254,0))</f>
        <v>NFCS</v>
      </c>
      <c r="H565" s="127" t="str">
        <f>IF(+NFL!$F254="Tampa Bay",+NFL!H254,IF(+NFL!$H254="Tampa Bay",+NFL!H254,0))</f>
        <v>San Francisco</v>
      </c>
      <c r="I565" s="46" t="str">
        <f>IF(+NFL!$F254="Tampa Bay",+NFL!I254,IF(+NFL!$H254="Tampa Bay",+NFL!I254,0))</f>
        <v>NFCW</v>
      </c>
      <c r="J565" s="353" t="str">
        <f>IF(+NFL!$F254="Tampa Bay",+NFL!J254,IF(+NFL!$H254="Tampa Bay",+NFL!J254,0))</f>
        <v>San Francisco</v>
      </c>
      <c r="K565" s="494" t="str">
        <f>IF(+NFL!$F254="Tampa Bay",+NFL!K254,IF(+NFL!$H254="Tampa Bay",+NFL!K254,0))</f>
        <v>Tampa Bay</v>
      </c>
      <c r="L565" s="384">
        <f>IF(+NFL!$F254="Tampa Bay",+NFL!L254,IF(+NFL!$H254="Tampa Bay",+NFL!L254,0))</f>
        <v>6.5</v>
      </c>
      <c r="M565" s="385">
        <f>IF(+NFL!$F254="Tampa Bay",+NFL!M254,IF(+NFL!$H254="Tampa Bay",+NFL!M254,0))</f>
        <v>43.5</v>
      </c>
      <c r="N565" s="394" t="str">
        <f>IF(+NFL!$F254="Tampa Bay",+NFL!N254,IF(+NFL!$H254="Tampa Bay",+NFL!N254,0))</f>
        <v>San Francisco</v>
      </c>
      <c r="O565" s="395">
        <f>IF(+NFL!$F254="Tampa Bay",+NFL!O254,IF(+NFL!$H254="Tampa Bay",+NFL!O254,0))</f>
        <v>35</v>
      </c>
      <c r="P565" s="394" t="str">
        <f>IF(+NFL!$F254="Tampa Bay",+NFL!P254,IF(+NFL!$H254="Tampa Bay",+NFL!P254,0))</f>
        <v>Tampa Bay</v>
      </c>
      <c r="Q565" s="396">
        <f>IF(+NFL!$F254="Tampa Bay",+NFL!Q254,IF(+NFL!$H254="Tampa Bay",+NFL!Q254,0))</f>
        <v>7</v>
      </c>
      <c r="R565" s="397" t="str">
        <f>IF(+NFL!$F254="Tampa Bay",+NFL!R254,IF(+NFL!$H254="Tampa Bay",+NFL!R254,0))</f>
        <v>San Francisco</v>
      </c>
      <c r="S565" s="396" t="str">
        <f>IF(+NFL!$F254="Tampa Bay",+NFL!S254,IF(+NFL!$H254="Tampa Bay",+NFL!S254,0))</f>
        <v>Tampa Bay</v>
      </c>
      <c r="T565" s="398">
        <f>IF(+NFL!$F254="Tampa Bay",+NFL!T254,IF(+NFL!$H254="Tampa Bay",+NFL!T254,0))</f>
        <v>0</v>
      </c>
      <c r="U565" s="396" t="str">
        <f>IF(+NFL!$F254="Tampa Bay",+NFL!U254,IF(+NFL!$H254="Tampa Bay",+NFL!U254,0))</f>
        <v>L</v>
      </c>
      <c r="V565" s="397">
        <f>IF(+NFL!$F274="Tampa Bay",+NFL!#REF!,IF(+NFL!$H274="Tampa Bay",+NFL!#REF!,0))</f>
        <v>0</v>
      </c>
      <c r="W565" s="396">
        <f>IF(+NFL!$F274="Tampa Bay",+NFL!#REF!,IF(+NFL!$H274="Tampa Bay",+NFL!#REF!,0))</f>
        <v>0</v>
      </c>
      <c r="X565" s="398">
        <f>IF(+NFL!$F274="Tampa Bay",+NFL!#REF!,IF(+NFL!$H274="Tampa Bay",+NFL!#REF!,0))</f>
        <v>0</v>
      </c>
      <c r="Y565" s="396">
        <f>IF(+NFL!$F274="Tampa Bay",+NFL!#REF!,IF(+NFL!$H274="Tampa Bay",+NFL!#REF!,0))</f>
        <v>0</v>
      </c>
      <c r="Z565" s="397">
        <f>IF(+NFL!$F274="Tampa Bay",+NFL!#REF!,IF(+NFL!$H274="Tampa Bay",+NFL!#REF!,0))</f>
        <v>0</v>
      </c>
      <c r="AA565" s="396">
        <f>IF(+NFL!$F274="Tampa Bay",+NFL!#REF!,IF(+NFL!$H274="Tampa Bay",+NFL!#REF!,0))</f>
        <v>0</v>
      </c>
      <c r="AB565" s="87">
        <f>IF(+NFL!$F274="Tampa Bay",+NFL!#REF!,IF(+NFL!$H274="Tampa Bay",+NFL!#REF!,0))</f>
        <v>0</v>
      </c>
      <c r="AC565" s="120">
        <f>IF(+NFL!$F274="Tampa Bay",+NFL!#REF!,IF(+NFL!$H274="Tampa Bay",+NFL!#REF!,0))</f>
        <v>0</v>
      </c>
      <c r="AD565" s="353">
        <f>IF(+NFL!$F274="Tampa Bay",+NFL!#REF!,IF(+NFL!$H274="Tampa Bay",+NFL!#REF!,0))</f>
        <v>0</v>
      </c>
      <c r="AE565" s="379">
        <f>IF(+NFL!$F274="Tampa Bay",+NFL!#REF!,IF(+NFL!$H274="Tampa Bay",+NFL!#REF!,0))</f>
        <v>0</v>
      </c>
      <c r="AF565" s="353">
        <f>IF(+NFL!$F274="Tampa Bay",+NFL!#REF!,IF(+NFL!$H274="Tampa Bay",+NFL!#REF!,0))</f>
        <v>0</v>
      </c>
      <c r="AG565" s="379">
        <f>IF(+NFL!$F274="Tampa Bay",+NFL!#REF!,IF(+NFL!$H274="Tampa Bay",+NFL!#REF!,0))</f>
        <v>0</v>
      </c>
      <c r="AH565" s="353">
        <f>IF(+NFL!$F274="Tampa Bay",+NFL!#REF!,IF(+NFL!$H274="Tampa Bay",+NFL!#REF!,0))</f>
        <v>0</v>
      </c>
      <c r="AI565" s="379">
        <f>IF(+NFL!$F274="Tampa Bay",+NFL!#REF!,IF(+NFL!$H274="Tampa Bay",+NFL!#REF!,0))</f>
        <v>0</v>
      </c>
      <c r="AJ565" s="353">
        <f>IF(+NFL!$F274="Tampa Bay",+NFL!#REF!,IF(+NFL!$H274="Tampa Bay",+NFL!#REF!,0))</f>
        <v>0</v>
      </c>
      <c r="AK565" s="379">
        <f>IF(+NFL!$F274="Tampa Bay",+NFL!#REF!,IF(+NFL!$H274="Tampa Bay",+NFL!#REF!,0))</f>
        <v>0</v>
      </c>
      <c r="AL565" s="68">
        <f>IF(+NFL!$F274="Tampa Bay",+NFL!#REF!,IF(+NFL!$H274="Tampa Bay",+NFL!#REF!,0))</f>
        <v>0</v>
      </c>
      <c r="AM565" s="58">
        <f>IF(+NFL!$F274="Tampa Bay",+NFL!#REF!,IF(+NFL!$H274="Tampa Bay",+NFL!#REF!,0))</f>
        <v>0</v>
      </c>
      <c r="AN565" s="57">
        <f>IF(+NFL!$F274="Tampa Bay",+NFL!#REF!,IF(+NFL!$H274="Tampa Bay",+NFL!#REF!,0))</f>
        <v>0</v>
      </c>
      <c r="AO565" s="59">
        <f>IF(+NFL!$F274="Tampa Bay",+NFL!#REF!,IF(+NFL!$H274="Tampa Bay",+NFL!#REF!,0))</f>
        <v>0</v>
      </c>
      <c r="AP565" s="348">
        <f>IF(+NFL!$F274="Tampa Bay",+NFL!#REF!,IF(+NFL!$H274="Tampa Bay",+NFL!#REF!,0))</f>
        <v>0</v>
      </c>
      <c r="AQ565" s="48">
        <f>IF(+NFL!$F274="Tampa Bay",+NFL!#REF!,IF(+NFL!$H274="Tampa Bay",+NFL!#REF!,0))</f>
        <v>0</v>
      </c>
      <c r="AR565" s="57">
        <f>IF(+NFL!$F274="Tampa Bay",+NFL!#REF!,IF(+NFL!$H274="Tampa Bay",+NFL!#REF!,0))</f>
        <v>0</v>
      </c>
      <c r="AS565" s="64">
        <f>IF(+NFL!$F274="Tampa Bay",+NFL!#REF!,IF(+NFL!$H274="Tampa Bay",+NFL!#REF!,0))</f>
        <v>0</v>
      </c>
      <c r="AT565" s="64">
        <f>IF(+NFL!$F274="Tampa Bay",+NFL!#REF!,IF(+NFL!$H274="Tampa Bay",+NFL!#REF!,0))</f>
        <v>0</v>
      </c>
      <c r="AU565" s="57">
        <f>IF(+NFL!$F274="Tampa Bay",+NFL!#REF!,IF(+NFL!$H274="Tampa Bay",+NFL!#REF!,0))</f>
        <v>0</v>
      </c>
      <c r="AV565" s="64">
        <f>IF(+NFL!$F274="Tampa Bay",+NFL!#REF!,IF(+NFL!$H274="Tampa Bay",+NFL!#REF!,0))</f>
        <v>0</v>
      </c>
      <c r="AW565" s="46">
        <f>IF(+NFL!$F274="Tampa Bay",+NFL!#REF!,IF(+NFL!$H274="Tampa Bay",+NFL!#REF!,0))</f>
        <v>0</v>
      </c>
      <c r="AX565" s="64">
        <f>IF(+NFL!$F274="Tampa Bay",+NFL!#REF!,IF(+NFL!$H274="Tampa Bay",+NFL!#REF!,0))</f>
        <v>0</v>
      </c>
      <c r="AY565" s="57">
        <f>IF(+NFL!$F274="Tampa Bay",+NFL!#REF!,IF(+NFL!$H274="Tampa Bay",+NFL!#REF!,0))</f>
        <v>0</v>
      </c>
      <c r="AZ565" s="64">
        <f>IF(+NFL!$F274="Tampa Bay",+NFL!#REF!,IF(+NFL!$H274="Tampa Bay",+NFL!#REF!,0))</f>
        <v>0</v>
      </c>
      <c r="BA565" s="46">
        <f>IF(+NFL!$F274="Tampa Bay",+NFL!#REF!,IF(+NFL!$H274="Tampa Bay",+NFL!#REF!,0))</f>
        <v>0</v>
      </c>
      <c r="BB565" s="46">
        <f>IF(+NFL!$F274="Tampa Bay",+NFL!#REF!,IF(+NFL!$H274="Tampa Bay",+NFL!#REF!,0))</f>
        <v>0</v>
      </c>
      <c r="BC565" s="403">
        <f>IF(+NFL!$F274="Tampa Bay",+NFL!#REF!,IF(+NFL!$H274="Tampa Bay",+NFL!#REF!,0))</f>
        <v>0</v>
      </c>
      <c r="BD565" s="57">
        <f>IF(+NFL!$F274="Tampa Bay",+NFL!#REF!,IF(+NFL!$H274="Tampa Bay",+NFL!#REF!,0))</f>
        <v>0</v>
      </c>
      <c r="BE565" s="64">
        <f>IF(+NFL!$F274="Tampa Bay",+NFL!#REF!,IF(+NFL!$H274="Tampa Bay",+NFL!#REF!,0))</f>
        <v>0</v>
      </c>
      <c r="BF565" s="46">
        <f>IF(+NFL!$F274="Tampa Bay",+NFL!#REF!,IF(+NFL!$H274="Tampa Bay",+NFL!#REF!,0))</f>
        <v>0</v>
      </c>
      <c r="BG565" s="57">
        <f>IF(+NFL!$F274="Tampa Bay",+NFL!#REF!,IF(+NFL!$H274="Tampa Bay",+NFL!#REF!,0))</f>
        <v>0</v>
      </c>
      <c r="BH565" s="64">
        <f>IF(+NFL!$F274="Tampa Bay",+NFL!#REF!,IF(+NFL!$H274="Tampa Bay",+NFL!#REF!,0))</f>
        <v>0</v>
      </c>
      <c r="BI565" s="46">
        <f>IF(+NFL!$F274="Tampa Bay",+NFL!#REF!,IF(+NFL!$H274="Tampa Bay",+NFL!#REF!,0))</f>
        <v>0</v>
      </c>
      <c r="BJ565" s="87">
        <f>IF(+NFL!$F274="Tampa Bay",+NFL!#REF!,IF(+NFL!$H274="Tampa Bay",+NFL!#REF!,0))</f>
        <v>0</v>
      </c>
      <c r="BK565" s="120">
        <f>IF(+NFL!$F274="Tampa Bay",+NFL!#REF!,IF(+NFL!$H274="Tampa Bay",+NFL!#REF!,0))</f>
        <v>0</v>
      </c>
    </row>
    <row r="566" spans="1:68" s="246" customFormat="1" x14ac:dyDescent="0.8">
      <c r="A566" s="46">
        <f>IF(+NFL!$F279="Tampa Bay",+NFL!A279,IF(+NFL!$H279="Tampa Bay",+NFL!A279,0))</f>
        <v>15</v>
      </c>
      <c r="B566" s="348" t="str">
        <f>IF(+NFL!$F279="Tampa Bay",+NFL!B279,IF(+NFL!$H279="Tampa Bay",+NFL!B279,0))</f>
        <v>Sun</v>
      </c>
      <c r="C566" s="48">
        <f>IF(+NFL!$F279="Tampa Bay",+NFL!C279,IF(+NFL!$H279="Tampa Bay",+NFL!C279,0))</f>
        <v>44913</v>
      </c>
      <c r="D566" s="490">
        <f>IF(+NFL!$F279="Tampa Bay",+NFL!D279,IF(+NFL!$H279="Tampa Bay",+NFL!D279,0))</f>
        <v>0.66666666666666663</v>
      </c>
      <c r="E566" s="46" t="str">
        <f>IF(+NFL!$F279="Tampa Bay",+NFL!E279,IF(+NFL!$H279="Tampa Bay",+NFL!E279,0))</f>
        <v>CBS</v>
      </c>
      <c r="F566" s="127" t="str">
        <f>IF(+NFL!$F279="Tampa Bay",+NFL!F279,IF(+NFL!$H279="Tampa Bay",+NFL!F279,0))</f>
        <v>Cincinnati</v>
      </c>
      <c r="G566" s="46" t="str">
        <f>IF(+NFL!$F279="Tampa Bay",+NFL!G279,IF(+NFL!$H279="Tampa Bay",+NFL!G279,0))</f>
        <v>AFCN</v>
      </c>
      <c r="H566" s="127" t="str">
        <f>IF(+NFL!$F279="Tampa Bay",+NFL!H279,IF(+NFL!$H279="Tampa Bay",+NFL!H279,0))</f>
        <v>Tampa Bay</v>
      </c>
      <c r="I566" s="46" t="str">
        <f>IF(+NFL!$F279="Tampa Bay",+NFL!I279,IF(+NFL!$H279="Tampa Bay",+NFL!I279,0))</f>
        <v>NFCS</v>
      </c>
      <c r="J566" s="353" t="str">
        <f>IF(+NFL!$F279="Tampa Bay",+NFL!J279,IF(+NFL!$H279="Tampa Bay",+NFL!J279,0))</f>
        <v>Cincinnati</v>
      </c>
      <c r="K566" s="494" t="str">
        <f>IF(+NFL!$F279="Tampa Bay",+NFL!K279,IF(+NFL!$H279="Tampa Bay",+NFL!K279,0))</f>
        <v>Tampa Bay</v>
      </c>
      <c r="L566" s="384">
        <f>IF(+NFL!$F279="Tampa Bay",+NFL!L279,IF(+NFL!$H279="Tampa Bay",+NFL!L279,0))</f>
        <v>3.5</v>
      </c>
      <c r="M566" s="385">
        <f>IF(+NFL!$F279="Tampa Bay",+NFL!M279,IF(+NFL!$H279="Tampa Bay",+NFL!M279,0))</f>
        <v>46.5</v>
      </c>
      <c r="N566" s="394" t="str">
        <f>IF(+NFL!$F279="Tampa Bay",+NFL!N279,IF(+NFL!$H279="Tampa Bay",+NFL!N279,0))</f>
        <v>Cincinnati</v>
      </c>
      <c r="O566" s="395">
        <f>IF(+NFL!$F279="Tampa Bay",+NFL!O279,IF(+NFL!$H279="Tampa Bay",+NFL!O279,0))</f>
        <v>34</v>
      </c>
      <c r="P566" s="394" t="str">
        <f>IF(+NFL!$F279="Tampa Bay",+NFL!P279,IF(+NFL!$H279="Tampa Bay",+NFL!P279,0))</f>
        <v>Tampa Bay</v>
      </c>
      <c r="Q566" s="396">
        <f>IF(+NFL!$F279="Tampa Bay",+NFL!Q279,IF(+NFL!$H279="Tampa Bay",+NFL!Q279,0))</f>
        <v>23</v>
      </c>
      <c r="R566" s="397" t="str">
        <f>IF(+NFL!$F279="Tampa Bay",+NFL!R279,IF(+NFL!$H279="Tampa Bay",+NFL!R279,0))</f>
        <v>Cincinnati</v>
      </c>
      <c r="S566" s="396" t="str">
        <f>IF(+NFL!$F279="Tampa Bay",+NFL!S279,IF(+NFL!$H279="Tampa Bay",+NFL!S279,0))</f>
        <v>Tampa Bay</v>
      </c>
      <c r="T566" s="398">
        <f>IF(+NFL!$F279="Tampa Bay",+NFL!T279,IF(+NFL!$H279="Tampa Bay",+NFL!T279,0))</f>
        <v>0</v>
      </c>
      <c r="U566" s="396" t="str">
        <f>IF(+NFL!$F279="Tampa Bay",+NFL!U279,IF(+NFL!$H279="Tampa Bay",+NFL!U279,0))</f>
        <v>L</v>
      </c>
      <c r="V566" s="397">
        <f>IF(+NFL!$F290="Tampa Bay",+NFL!#REF!,IF(+NFL!$H290="Tampa Bay",+NFL!#REF!,0))</f>
        <v>0</v>
      </c>
      <c r="W566" s="396">
        <f>IF(+NFL!$F290="Tampa Bay",+NFL!#REF!,IF(+NFL!$H290="Tampa Bay",+NFL!#REF!,0))</f>
        <v>0</v>
      </c>
      <c r="X566" s="398">
        <f>IF(+NFL!$F290="Tampa Bay",+NFL!#REF!,IF(+NFL!$H290="Tampa Bay",+NFL!#REF!,0))</f>
        <v>0</v>
      </c>
      <c r="Y566" s="396">
        <f>IF(+NFL!$F290="Tampa Bay",+NFL!#REF!,IF(+NFL!$H290="Tampa Bay",+NFL!#REF!,0))</f>
        <v>0</v>
      </c>
      <c r="Z566" s="397">
        <f>IF(+NFL!$F290="Tampa Bay",+NFL!#REF!,IF(+NFL!$H290="Tampa Bay",+NFL!#REF!,0))</f>
        <v>0</v>
      </c>
      <c r="AA566" s="396">
        <f>IF(+NFL!$F290="Tampa Bay",+NFL!#REF!,IF(+NFL!$H290="Tampa Bay",+NFL!#REF!,0))</f>
        <v>0</v>
      </c>
      <c r="AB566" s="87">
        <f>IF(+NFL!$F290="Tampa Bay",+NFL!#REF!,IF(+NFL!$H290="Tampa Bay",+NFL!#REF!,0))</f>
        <v>0</v>
      </c>
      <c r="AC566" s="120">
        <f>IF(+NFL!$F290="Tampa Bay",+NFL!#REF!,IF(+NFL!$H290="Tampa Bay",+NFL!#REF!,0))</f>
        <v>0</v>
      </c>
      <c r="AD566" s="353">
        <f>IF(+NFL!$F290="Tampa Bay",+NFL!#REF!,IF(+NFL!$H290="Tampa Bay",+NFL!#REF!,0))</f>
        <v>0</v>
      </c>
      <c r="AE566" s="379">
        <f>IF(+NFL!$F290="Tampa Bay",+NFL!#REF!,IF(+NFL!$H290="Tampa Bay",+NFL!#REF!,0))</f>
        <v>0</v>
      </c>
      <c r="AF566" s="353">
        <f>IF(+NFL!$F290="Tampa Bay",+NFL!#REF!,IF(+NFL!$H290="Tampa Bay",+NFL!#REF!,0))</f>
        <v>0</v>
      </c>
      <c r="AG566" s="379">
        <f>IF(+NFL!$F290="Tampa Bay",+NFL!#REF!,IF(+NFL!$H290="Tampa Bay",+NFL!#REF!,0))</f>
        <v>0</v>
      </c>
      <c r="AH566" s="353">
        <f>IF(+NFL!$F290="Tampa Bay",+NFL!#REF!,IF(+NFL!$H290="Tampa Bay",+NFL!#REF!,0))</f>
        <v>0</v>
      </c>
      <c r="AI566" s="379">
        <f>IF(+NFL!$F290="Tampa Bay",+NFL!#REF!,IF(+NFL!$H290="Tampa Bay",+NFL!#REF!,0))</f>
        <v>0</v>
      </c>
      <c r="AJ566" s="353">
        <f>IF(+NFL!$F290="Tampa Bay",+NFL!#REF!,IF(+NFL!$H290="Tampa Bay",+NFL!#REF!,0))</f>
        <v>0</v>
      </c>
      <c r="AK566" s="379">
        <f>IF(+NFL!$F290="Tampa Bay",+NFL!#REF!,IF(+NFL!$H290="Tampa Bay",+NFL!#REF!,0))</f>
        <v>0</v>
      </c>
      <c r="AL566" s="68">
        <f>IF(+NFL!$F290="Tampa Bay",+NFL!#REF!,IF(+NFL!$H290="Tampa Bay",+NFL!#REF!,0))</f>
        <v>0</v>
      </c>
      <c r="AM566" s="58">
        <f>IF(+NFL!$F290="Tampa Bay",+NFL!#REF!,IF(+NFL!$H290="Tampa Bay",+NFL!#REF!,0))</f>
        <v>0</v>
      </c>
      <c r="AN566" s="57">
        <f>IF(+NFL!$F290="Tampa Bay",+NFL!#REF!,IF(+NFL!$H290="Tampa Bay",+NFL!#REF!,0))</f>
        <v>0</v>
      </c>
      <c r="AO566" s="59">
        <f>IF(+NFL!$F290="Tampa Bay",+NFL!#REF!,IF(+NFL!$H290="Tampa Bay",+NFL!#REF!,0))</f>
        <v>0</v>
      </c>
      <c r="AP566" s="348">
        <f>IF(+NFL!$F290="Tampa Bay",+NFL!#REF!,IF(+NFL!$H290="Tampa Bay",+NFL!#REF!,0))</f>
        <v>0</v>
      </c>
      <c r="AQ566" s="48">
        <f>IF(+NFL!$F290="Tampa Bay",+NFL!#REF!,IF(+NFL!$H290="Tampa Bay",+NFL!#REF!,0))</f>
        <v>0</v>
      </c>
      <c r="AR566" s="57">
        <f>IF(+NFL!$F290="Tampa Bay",+NFL!#REF!,IF(+NFL!$H290="Tampa Bay",+NFL!#REF!,0))</f>
        <v>0</v>
      </c>
      <c r="AS566" s="64">
        <f>IF(+NFL!$F290="Tampa Bay",+NFL!#REF!,IF(+NFL!$H290="Tampa Bay",+NFL!#REF!,0))</f>
        <v>0</v>
      </c>
      <c r="AT566" s="64">
        <f>IF(+NFL!$F290="Tampa Bay",+NFL!#REF!,IF(+NFL!$H290="Tampa Bay",+NFL!#REF!,0))</f>
        <v>0</v>
      </c>
      <c r="AU566" s="57">
        <f>IF(+NFL!$F290="Tampa Bay",+NFL!#REF!,IF(+NFL!$H290="Tampa Bay",+NFL!#REF!,0))</f>
        <v>0</v>
      </c>
      <c r="AV566" s="64">
        <f>IF(+NFL!$F290="Tampa Bay",+NFL!#REF!,IF(+NFL!$H290="Tampa Bay",+NFL!#REF!,0))</f>
        <v>0</v>
      </c>
      <c r="AW566" s="46">
        <f>IF(+NFL!$F290="Tampa Bay",+NFL!#REF!,IF(+NFL!$H290="Tampa Bay",+NFL!#REF!,0))</f>
        <v>0</v>
      </c>
      <c r="AX566" s="64">
        <f>IF(+NFL!$F290="Tampa Bay",+NFL!#REF!,IF(+NFL!$H290="Tampa Bay",+NFL!#REF!,0))</f>
        <v>0</v>
      </c>
      <c r="AY566" s="57">
        <f>IF(+NFL!$F290="Tampa Bay",+NFL!#REF!,IF(+NFL!$H290="Tampa Bay",+NFL!#REF!,0))</f>
        <v>0</v>
      </c>
      <c r="AZ566" s="64">
        <f>IF(+NFL!$F290="Tampa Bay",+NFL!#REF!,IF(+NFL!$H290="Tampa Bay",+NFL!#REF!,0))</f>
        <v>0</v>
      </c>
      <c r="BA566" s="46">
        <f>IF(+NFL!$F290="Tampa Bay",+NFL!#REF!,IF(+NFL!$H290="Tampa Bay",+NFL!#REF!,0))</f>
        <v>0</v>
      </c>
      <c r="BB566" s="46">
        <f>IF(+NFL!$F290="Tampa Bay",+NFL!#REF!,IF(+NFL!$H290="Tampa Bay",+NFL!#REF!,0))</f>
        <v>0</v>
      </c>
      <c r="BC566" s="403">
        <f>IF(+NFL!$F290="Tampa Bay",+NFL!#REF!,IF(+NFL!$H290="Tampa Bay",+NFL!#REF!,0))</f>
        <v>0</v>
      </c>
      <c r="BD566" s="57">
        <f>IF(+NFL!$F290="Tampa Bay",+NFL!#REF!,IF(+NFL!$H290="Tampa Bay",+NFL!#REF!,0))</f>
        <v>0</v>
      </c>
      <c r="BE566" s="64">
        <f>IF(+NFL!$F290="Tampa Bay",+NFL!#REF!,IF(+NFL!$H290="Tampa Bay",+NFL!#REF!,0))</f>
        <v>0</v>
      </c>
      <c r="BF566" s="46">
        <f>IF(+NFL!$F290="Tampa Bay",+NFL!#REF!,IF(+NFL!$H290="Tampa Bay",+NFL!#REF!,0))</f>
        <v>0</v>
      </c>
      <c r="BG566" s="57">
        <f>IF(+NFL!$F290="Tampa Bay",+NFL!#REF!,IF(+NFL!$H290="Tampa Bay",+NFL!#REF!,0))</f>
        <v>0</v>
      </c>
      <c r="BH566" s="64">
        <f>IF(+NFL!$F290="Tampa Bay",+NFL!#REF!,IF(+NFL!$H290="Tampa Bay",+NFL!#REF!,0))</f>
        <v>0</v>
      </c>
      <c r="BI566" s="46">
        <f>IF(+NFL!$F290="Tampa Bay",+NFL!#REF!,IF(+NFL!$H290="Tampa Bay",+NFL!#REF!,0))</f>
        <v>0</v>
      </c>
      <c r="BJ566" s="87">
        <f>IF(+NFL!$F290="Tampa Bay",+NFL!#REF!,IF(+NFL!$H290="Tampa Bay",+NFL!#REF!,0))</f>
        <v>0</v>
      </c>
      <c r="BK566" s="120">
        <f>IF(+NFL!$F290="Tampa Bay",+NFL!#REF!,IF(+NFL!$H290="Tampa Bay",+NFL!#REF!,0))</f>
        <v>0</v>
      </c>
    </row>
    <row r="567" spans="1:68" s="246" customFormat="1" x14ac:dyDescent="0.8">
      <c r="A567" s="46">
        <f>IF(+NFL!$F297="Tampa Bay",+NFL!A297,IF(+NFL!$H297="Tampa Bay",+NFL!A297,0))</f>
        <v>16</v>
      </c>
      <c r="B567" s="348" t="str">
        <f>IF(+NFL!$F297="Tampa Bay",+NFL!B297,IF(+NFL!$H297="Tampa Bay",+NFL!B297,0))</f>
        <v>Sun</v>
      </c>
      <c r="C567" s="48">
        <f>IF(+NFL!$F297="Tampa Bay",+NFL!C297,IF(+NFL!$H297="Tampa Bay",+NFL!C297,0))</f>
        <v>44920</v>
      </c>
      <c r="D567" s="490">
        <f>IF(+NFL!$F297="Tampa Bay",+NFL!D297,IF(+NFL!$H297="Tampa Bay",+NFL!D297,0))</f>
        <v>0.84375</v>
      </c>
      <c r="E567" s="46" t="str">
        <f>IF(+NFL!$F297="Tampa Bay",+NFL!E297,IF(+NFL!$H297="Tampa Bay",+NFL!E297,0))</f>
        <v>NBC</v>
      </c>
      <c r="F567" s="127" t="str">
        <f>IF(+NFL!$F297="Tampa Bay",+NFL!F297,IF(+NFL!$H297="Tampa Bay",+NFL!F297,0))</f>
        <v>Tampa Bay</v>
      </c>
      <c r="G567" s="46" t="str">
        <f>IF(+NFL!$F297="Tampa Bay",+NFL!G297,IF(+NFL!$H297="Tampa Bay",+NFL!G297,0))</f>
        <v>NFCS</v>
      </c>
      <c r="H567" s="127" t="str">
        <f>IF(+NFL!$F297="Tampa Bay",+NFL!H297,IF(+NFL!$H297="Tampa Bay",+NFL!H297,0))</f>
        <v>Arizona</v>
      </c>
      <c r="I567" s="46" t="str">
        <f>IF(+NFL!$F297="Tampa Bay",+NFL!I297,IF(+NFL!$H297="Tampa Bay",+NFL!I297,0))</f>
        <v>NFCW</v>
      </c>
      <c r="J567" s="353" t="str">
        <f>IF(+NFL!$F297="Tampa Bay",+NFL!J297,IF(+NFL!$H297="Tampa Bay",+NFL!J297,0))</f>
        <v>Tampa Bay</v>
      </c>
      <c r="K567" s="494" t="str">
        <f>IF(+NFL!$F297="Tampa Bay",+NFL!K297,IF(+NFL!$H297="Tampa Bay",+NFL!K297,0))</f>
        <v>Arizona</v>
      </c>
      <c r="L567" s="384">
        <f>IF(+NFL!$F297="Tampa Bay",+NFL!L297,IF(+NFL!$H297="Tampa Bay",+NFL!L297,0))</f>
        <v>7.5</v>
      </c>
      <c r="M567" s="385">
        <f>IF(+NFL!$F297="Tampa Bay",+NFL!M297,IF(+NFL!$H297="Tampa Bay",+NFL!M297,0))</f>
        <v>41.5</v>
      </c>
      <c r="N567" s="394" t="str">
        <f>IF(+NFL!$F297="Tampa Bay",+NFL!N297,IF(+NFL!$H297="Tampa Bay",+NFL!N297,0))</f>
        <v>Tampa Bay</v>
      </c>
      <c r="O567" s="395">
        <f>IF(+NFL!$F297="Tampa Bay",+NFL!O297,IF(+NFL!$H297="Tampa Bay",+NFL!O297,0))</f>
        <v>19</v>
      </c>
      <c r="P567" s="394" t="str">
        <f>IF(+NFL!$F297="Tampa Bay",+NFL!P297,IF(+NFL!$H297="Tampa Bay",+NFL!P297,0))</f>
        <v>Arizona</v>
      </c>
      <c r="Q567" s="396">
        <f>IF(+NFL!$F297="Tampa Bay",+NFL!Q297,IF(+NFL!$H297="Tampa Bay",+NFL!Q297,0))</f>
        <v>16</v>
      </c>
      <c r="R567" s="397" t="str">
        <f>IF(+NFL!$F297="Tampa Bay",+NFL!R297,IF(+NFL!$H297="Tampa Bay",+NFL!R297,0))</f>
        <v>Arizona</v>
      </c>
      <c r="S567" s="396" t="str">
        <f>IF(+NFL!$F297="Tampa Bay",+NFL!S297,IF(+NFL!$H297="Tampa Bay",+NFL!S297,0))</f>
        <v>Tampa Bay</v>
      </c>
      <c r="T567" s="398">
        <f>IF(+NFL!$F297="Tampa Bay",+NFL!T297,IF(+NFL!$H297="Tampa Bay",+NFL!T297,0))</f>
        <v>0</v>
      </c>
      <c r="U567" s="396" t="str">
        <f>IF(+NFL!$F297="Tampa Bay",+NFL!U297,IF(+NFL!$H297="Tampa Bay",+NFL!U297,0))</f>
        <v>L</v>
      </c>
      <c r="V567" s="397">
        <f>IF(+NFL!$F303="Tampa Bay",+NFL!#REF!,IF(+NFL!$H303="Tampa Bay",+NFL!#REF!,0))</f>
        <v>0</v>
      </c>
      <c r="W567" s="396">
        <f>IF(+NFL!$F303="Tampa Bay",+NFL!#REF!,IF(+NFL!$H303="Tampa Bay",+NFL!#REF!,0))</f>
        <v>0</v>
      </c>
      <c r="X567" s="398">
        <f>IF(+NFL!$F303="Tampa Bay",+NFL!#REF!,IF(+NFL!$H303="Tampa Bay",+NFL!#REF!,0))</f>
        <v>0</v>
      </c>
      <c r="Y567" s="396">
        <f>IF(+NFL!$F303="Tampa Bay",+NFL!#REF!,IF(+NFL!$H303="Tampa Bay",+NFL!#REF!,0))</f>
        <v>0</v>
      </c>
      <c r="Z567" s="397">
        <f>IF(+NFL!$F303="Tampa Bay",+NFL!#REF!,IF(+NFL!$H303="Tampa Bay",+NFL!#REF!,0))</f>
        <v>0</v>
      </c>
      <c r="AA567" s="396">
        <f>IF(+NFL!$F303="Tampa Bay",+NFL!#REF!,IF(+NFL!$H303="Tampa Bay",+NFL!#REF!,0))</f>
        <v>0</v>
      </c>
      <c r="AB567" s="87">
        <f>IF(+NFL!$F303="Tampa Bay",+NFL!#REF!,IF(+NFL!$H303="Tampa Bay",+NFL!#REF!,0))</f>
        <v>0</v>
      </c>
      <c r="AC567" s="120">
        <f>IF(+NFL!$F303="Tampa Bay",+NFL!#REF!,IF(+NFL!$H303="Tampa Bay",+NFL!#REF!,0))</f>
        <v>0</v>
      </c>
      <c r="AD567" s="353">
        <f>IF(+NFL!$F303="Tampa Bay",+NFL!#REF!,IF(+NFL!$H303="Tampa Bay",+NFL!#REF!,0))</f>
        <v>0</v>
      </c>
      <c r="AE567" s="379">
        <f>IF(+NFL!$F303="Tampa Bay",+NFL!#REF!,IF(+NFL!$H303="Tampa Bay",+NFL!#REF!,0))</f>
        <v>0</v>
      </c>
      <c r="AF567" s="353">
        <f>IF(+NFL!$F303="Tampa Bay",+NFL!#REF!,IF(+NFL!$H303="Tampa Bay",+NFL!#REF!,0))</f>
        <v>0</v>
      </c>
      <c r="AG567" s="379">
        <f>IF(+NFL!$F303="Tampa Bay",+NFL!#REF!,IF(+NFL!$H303="Tampa Bay",+NFL!#REF!,0))</f>
        <v>0</v>
      </c>
      <c r="AH567" s="353">
        <f>IF(+NFL!$F303="Tampa Bay",+NFL!#REF!,IF(+NFL!$H303="Tampa Bay",+NFL!#REF!,0))</f>
        <v>0</v>
      </c>
      <c r="AI567" s="379">
        <f>IF(+NFL!$F303="Tampa Bay",+NFL!#REF!,IF(+NFL!$H303="Tampa Bay",+NFL!#REF!,0))</f>
        <v>0</v>
      </c>
      <c r="AJ567" s="353">
        <f>IF(+NFL!$F303="Tampa Bay",+NFL!#REF!,IF(+NFL!$H303="Tampa Bay",+NFL!#REF!,0))</f>
        <v>0</v>
      </c>
      <c r="AK567" s="379">
        <f>IF(+NFL!$F303="Tampa Bay",+NFL!#REF!,IF(+NFL!$H303="Tampa Bay",+NFL!#REF!,0))</f>
        <v>0</v>
      </c>
      <c r="AL567" s="68">
        <f>IF(+NFL!$F303="Tampa Bay",+NFL!#REF!,IF(+NFL!$H303="Tampa Bay",+NFL!#REF!,0))</f>
        <v>0</v>
      </c>
      <c r="AM567" s="58">
        <f>IF(+NFL!$F303="Tampa Bay",+NFL!#REF!,IF(+NFL!$H303="Tampa Bay",+NFL!#REF!,0))</f>
        <v>0</v>
      </c>
      <c r="AN567" s="57">
        <f>IF(+NFL!$F303="Tampa Bay",+NFL!#REF!,IF(+NFL!$H303="Tampa Bay",+NFL!#REF!,0))</f>
        <v>0</v>
      </c>
      <c r="AO567" s="59">
        <f>IF(+NFL!$F303="Tampa Bay",+NFL!#REF!,IF(+NFL!$H303="Tampa Bay",+NFL!#REF!,0))</f>
        <v>0</v>
      </c>
      <c r="AP567" s="348">
        <f>IF(+NFL!$F303="Tampa Bay",+NFL!#REF!,IF(+NFL!$H303="Tampa Bay",+NFL!#REF!,0))</f>
        <v>0</v>
      </c>
      <c r="AQ567" s="48">
        <f>IF(+NFL!$F303="Tampa Bay",+NFL!#REF!,IF(+NFL!$H303="Tampa Bay",+NFL!#REF!,0))</f>
        <v>0</v>
      </c>
      <c r="AR567" s="57">
        <f>IF(+NFL!$F303="Tampa Bay",+NFL!#REF!,IF(+NFL!$H303="Tampa Bay",+NFL!#REF!,0))</f>
        <v>0</v>
      </c>
      <c r="AS567" s="64">
        <f>IF(+NFL!$F303="Tampa Bay",+NFL!#REF!,IF(+NFL!$H303="Tampa Bay",+NFL!#REF!,0))</f>
        <v>0</v>
      </c>
      <c r="AT567" s="64">
        <f>IF(+NFL!$F303="Tampa Bay",+NFL!#REF!,IF(+NFL!$H303="Tampa Bay",+NFL!#REF!,0))</f>
        <v>0</v>
      </c>
      <c r="AU567" s="57">
        <f>IF(+NFL!$F303="Tampa Bay",+NFL!#REF!,IF(+NFL!$H303="Tampa Bay",+NFL!#REF!,0))</f>
        <v>0</v>
      </c>
      <c r="AV567" s="64">
        <f>IF(+NFL!$F303="Tampa Bay",+NFL!#REF!,IF(+NFL!$H303="Tampa Bay",+NFL!#REF!,0))</f>
        <v>0</v>
      </c>
      <c r="AW567" s="46">
        <f>IF(+NFL!$F303="Tampa Bay",+NFL!#REF!,IF(+NFL!$H303="Tampa Bay",+NFL!#REF!,0))</f>
        <v>0</v>
      </c>
      <c r="AX567" s="64">
        <f>IF(+NFL!$F303="Tampa Bay",+NFL!#REF!,IF(+NFL!$H303="Tampa Bay",+NFL!#REF!,0))</f>
        <v>0</v>
      </c>
      <c r="AY567" s="57">
        <f>IF(+NFL!$F303="Tampa Bay",+NFL!#REF!,IF(+NFL!$H303="Tampa Bay",+NFL!#REF!,0))</f>
        <v>0</v>
      </c>
      <c r="AZ567" s="64">
        <f>IF(+NFL!$F303="Tampa Bay",+NFL!#REF!,IF(+NFL!$H303="Tampa Bay",+NFL!#REF!,0))</f>
        <v>0</v>
      </c>
      <c r="BA567" s="46">
        <f>IF(+NFL!$F303="Tampa Bay",+NFL!#REF!,IF(+NFL!$H303="Tampa Bay",+NFL!#REF!,0))</f>
        <v>0</v>
      </c>
      <c r="BB567" s="46">
        <f>IF(+NFL!$F303="Tampa Bay",+NFL!#REF!,IF(+NFL!$H303="Tampa Bay",+NFL!#REF!,0))</f>
        <v>0</v>
      </c>
      <c r="BC567" s="403">
        <f>IF(+NFL!$F303="Tampa Bay",+NFL!#REF!,IF(+NFL!$H303="Tampa Bay",+NFL!#REF!,0))</f>
        <v>0</v>
      </c>
      <c r="BD567" s="57">
        <f>IF(+NFL!$F303="Tampa Bay",+NFL!#REF!,IF(+NFL!$H303="Tampa Bay",+NFL!#REF!,0))</f>
        <v>0</v>
      </c>
      <c r="BE567" s="64">
        <f>IF(+NFL!$F303="Tampa Bay",+NFL!#REF!,IF(+NFL!$H303="Tampa Bay",+NFL!#REF!,0))</f>
        <v>0</v>
      </c>
      <c r="BF567" s="46">
        <f>IF(+NFL!$F303="Tampa Bay",+NFL!#REF!,IF(+NFL!$H303="Tampa Bay",+NFL!#REF!,0))</f>
        <v>0</v>
      </c>
      <c r="BG567" s="57">
        <f>IF(+NFL!$F303="Tampa Bay",+NFL!#REF!,IF(+NFL!$H303="Tampa Bay",+NFL!#REF!,0))</f>
        <v>0</v>
      </c>
      <c r="BH567" s="64">
        <f>IF(+NFL!$F303="Tampa Bay",+NFL!#REF!,IF(+NFL!$H303="Tampa Bay",+NFL!#REF!,0))</f>
        <v>0</v>
      </c>
      <c r="BI567" s="46">
        <f>IF(+NFL!$F303="Tampa Bay",+NFL!#REF!,IF(+NFL!$H303="Tampa Bay",+NFL!#REF!,0))</f>
        <v>0</v>
      </c>
      <c r="BJ567" s="87">
        <f>IF(+NFL!$F303="Tampa Bay",+NFL!#REF!,IF(+NFL!$H303="Tampa Bay",+NFL!#REF!,0))</f>
        <v>0</v>
      </c>
      <c r="BK567" s="120">
        <f>IF(+NFL!$F303="Tampa Bay",+NFL!#REF!,IF(+NFL!$H303="Tampa Bay",+NFL!#REF!,0))</f>
        <v>0</v>
      </c>
    </row>
    <row r="568" spans="1:68" s="246" customFormat="1" x14ac:dyDescent="0.8">
      <c r="A568" s="46">
        <f>IF(+NFL!$F307="Tampa Bay",+NFL!A307,IF(+NFL!$H307="Tampa Bay",+NFL!A307,0))</f>
        <v>17</v>
      </c>
      <c r="B568" s="348" t="str">
        <f>IF(+NFL!$F307="Tampa Bay",+NFL!B307,IF(+NFL!$H307="Tampa Bay",+NFL!B307,0))</f>
        <v>Sun</v>
      </c>
      <c r="C568" s="48">
        <f>IF(+NFL!$F307="Tampa Bay",+NFL!C307,IF(+NFL!$H307="Tampa Bay",+NFL!C307,0))</f>
        <v>44927</v>
      </c>
      <c r="D568" s="490">
        <f>IF(+NFL!$F307="Tampa Bay",+NFL!D307,IF(+NFL!$H307="Tampa Bay",+NFL!D307,0))</f>
        <v>0.54166666666666663</v>
      </c>
      <c r="E568" s="46" t="str">
        <f>IF(+NFL!$F307="Tampa Bay",+NFL!E307,IF(+NFL!$H307="Tampa Bay",+NFL!E307,0))</f>
        <v>Fox</v>
      </c>
      <c r="F568" s="127" t="str">
        <f>IF(+NFL!$F307="Tampa Bay",+NFL!F307,IF(+NFL!$H307="Tampa Bay",+NFL!F307,0))</f>
        <v>Carolina</v>
      </c>
      <c r="G568" s="46" t="str">
        <f>IF(+NFL!$F307="Tampa Bay",+NFL!G307,IF(+NFL!$H307="Tampa Bay",+NFL!G307,0))</f>
        <v>NFCS</v>
      </c>
      <c r="H568" s="127" t="str">
        <f>IF(+NFL!$F307="Tampa Bay",+NFL!H307,IF(+NFL!$H307="Tampa Bay",+NFL!H307,0))</f>
        <v>Tampa Bay</v>
      </c>
      <c r="I568" s="46" t="str">
        <f>IF(+NFL!$F307="Tampa Bay",+NFL!I307,IF(+NFL!$H307="Tampa Bay",+NFL!I307,0))</f>
        <v>NFCS</v>
      </c>
      <c r="J568" s="353" t="str">
        <f>IF(+NFL!$F307="Tampa Bay",+NFL!J307,IF(+NFL!$H307="Tampa Bay",+NFL!J307,0))</f>
        <v>Tampa Bay</v>
      </c>
      <c r="K568" s="494" t="str">
        <f>IF(+NFL!$F307="Tampa Bay",+NFL!K307,IF(+NFL!$H307="Tampa Bay",+NFL!K307,0))</f>
        <v>Carolina</v>
      </c>
      <c r="L568" s="384">
        <f>IF(+NFL!$F307="Tampa Bay",+NFL!L307,IF(+NFL!$H307="Tampa Bay",+NFL!L307,0))</f>
        <v>3.5</v>
      </c>
      <c r="M568" s="385">
        <f>IF(+NFL!$F307="Tampa Bay",+NFL!M307,IF(+NFL!$H307="Tampa Bay",+NFL!M307,0))</f>
        <v>40.5</v>
      </c>
      <c r="N568" s="394" t="str">
        <f>IF(+NFL!$F307="Tampa Bay",+NFL!N307,IF(+NFL!$H307="Tampa Bay",+NFL!N307,0))</f>
        <v>Tampa Bay</v>
      </c>
      <c r="O568" s="395">
        <f>IF(+NFL!$F307="Tampa Bay",+NFL!O307,IF(+NFL!$H307="Tampa Bay",+NFL!O307,0))</f>
        <v>30</v>
      </c>
      <c r="P568" s="394" t="str">
        <f>IF(+NFL!$F307="Tampa Bay",+NFL!P307,IF(+NFL!$H307="Tampa Bay",+NFL!P307,0))</f>
        <v>Carolina</v>
      </c>
      <c r="Q568" s="396">
        <f>IF(+NFL!$F307="Tampa Bay",+NFL!Q307,IF(+NFL!$H307="Tampa Bay",+NFL!Q307,0))</f>
        <v>24</v>
      </c>
      <c r="R568" s="397" t="str">
        <f>IF(+NFL!$F307="Tampa Bay",+NFL!R307,IF(+NFL!$H307="Tampa Bay",+NFL!R307,0))</f>
        <v>Tampa Bay</v>
      </c>
      <c r="S568" s="396" t="str">
        <f>IF(+NFL!$F307="Tampa Bay",+NFL!S307,IF(+NFL!$H307="Tampa Bay",+NFL!S307,0))</f>
        <v>Carolina</v>
      </c>
      <c r="T568" s="398">
        <f>IF(+NFL!$F307="Tampa Bay",+NFL!T307,IF(+NFL!$H307="Tampa Bay",+NFL!T307,0))</f>
        <v>0</v>
      </c>
      <c r="U568" s="396" t="str">
        <f>IF(+NFL!$F307="Tampa Bay",+NFL!U307,IF(+NFL!$H307="Tampa Bay",+NFL!U307,0))</f>
        <v>L</v>
      </c>
      <c r="V568" s="397">
        <f>IF(+NFL!$F324="Tampa Bay",+NFL!#REF!,IF(+NFL!$H324="Tampa Bay",+NFL!#REF!,0))</f>
        <v>0</v>
      </c>
      <c r="W568" s="396">
        <f>IF(+NFL!$F324="Tampa Bay",+NFL!#REF!,IF(+NFL!$H324="Tampa Bay",+NFL!#REF!,0))</f>
        <v>0</v>
      </c>
      <c r="X568" s="398">
        <f>IF(+NFL!$F324="Tampa Bay",+NFL!#REF!,IF(+NFL!$H324="Tampa Bay",+NFL!#REF!,0))</f>
        <v>0</v>
      </c>
      <c r="Y568" s="396">
        <f>IF(+NFL!$F324="Tampa Bay",+NFL!#REF!,IF(+NFL!$H324="Tampa Bay",+NFL!#REF!,0))</f>
        <v>0</v>
      </c>
      <c r="Z568" s="397">
        <f>IF(+NFL!$F324="Tampa Bay",+NFL!#REF!,IF(+NFL!$H324="Tampa Bay",+NFL!#REF!,0))</f>
        <v>0</v>
      </c>
      <c r="AA568" s="396">
        <f>IF(+NFL!$F324="Tampa Bay",+NFL!#REF!,IF(+NFL!$H324="Tampa Bay",+NFL!#REF!,0))</f>
        <v>0</v>
      </c>
      <c r="AB568" s="87">
        <f>IF(+NFL!$F324="Tampa Bay",+NFL!#REF!,IF(+NFL!$H324="Tampa Bay",+NFL!#REF!,0))</f>
        <v>0</v>
      </c>
      <c r="AC568" s="120">
        <f>IF(+NFL!$F324="Tampa Bay",+NFL!#REF!,IF(+NFL!$H324="Tampa Bay",+NFL!#REF!,0))</f>
        <v>0</v>
      </c>
      <c r="AD568" s="353">
        <f>IF(+NFL!$F324="Tampa Bay",+NFL!#REF!,IF(+NFL!$H324="Tampa Bay",+NFL!#REF!,0))</f>
        <v>0</v>
      </c>
      <c r="AE568" s="379">
        <f>IF(+NFL!$F324="Tampa Bay",+NFL!#REF!,IF(+NFL!$H324="Tampa Bay",+NFL!#REF!,0))</f>
        <v>0</v>
      </c>
      <c r="AF568" s="353">
        <f>IF(+NFL!$F324="Tampa Bay",+NFL!#REF!,IF(+NFL!$H324="Tampa Bay",+NFL!#REF!,0))</f>
        <v>0</v>
      </c>
      <c r="AG568" s="379">
        <f>IF(+NFL!$F324="Tampa Bay",+NFL!#REF!,IF(+NFL!$H324="Tampa Bay",+NFL!#REF!,0))</f>
        <v>0</v>
      </c>
      <c r="AH568" s="353">
        <f>IF(+NFL!$F324="Tampa Bay",+NFL!#REF!,IF(+NFL!$H324="Tampa Bay",+NFL!#REF!,0))</f>
        <v>0</v>
      </c>
      <c r="AI568" s="379">
        <f>IF(+NFL!$F324="Tampa Bay",+NFL!#REF!,IF(+NFL!$H324="Tampa Bay",+NFL!#REF!,0))</f>
        <v>0</v>
      </c>
      <c r="AJ568" s="353">
        <f>IF(+NFL!$F324="Tampa Bay",+NFL!#REF!,IF(+NFL!$H324="Tampa Bay",+NFL!#REF!,0))</f>
        <v>0</v>
      </c>
      <c r="AK568" s="379">
        <f>IF(+NFL!$F324="Tampa Bay",+NFL!#REF!,IF(+NFL!$H324="Tampa Bay",+NFL!#REF!,0))</f>
        <v>0</v>
      </c>
      <c r="AL568" s="68">
        <f>IF(+NFL!$F324="Tampa Bay",+NFL!#REF!,IF(+NFL!$H324="Tampa Bay",+NFL!#REF!,0))</f>
        <v>0</v>
      </c>
      <c r="AM568" s="58">
        <f>IF(+NFL!$F324="Tampa Bay",+NFL!#REF!,IF(+NFL!$H324="Tampa Bay",+NFL!#REF!,0))</f>
        <v>0</v>
      </c>
      <c r="AN568" s="57">
        <f>IF(+NFL!$F324="Tampa Bay",+NFL!#REF!,IF(+NFL!$H324="Tampa Bay",+NFL!#REF!,0))</f>
        <v>0</v>
      </c>
      <c r="AO568" s="59">
        <f>IF(+NFL!$F324="Tampa Bay",+NFL!#REF!,IF(+NFL!$H324="Tampa Bay",+NFL!#REF!,0))</f>
        <v>0</v>
      </c>
      <c r="AP568" s="348">
        <f>IF(+NFL!$F324="Tampa Bay",+NFL!#REF!,IF(+NFL!$H324="Tampa Bay",+NFL!#REF!,0))</f>
        <v>0</v>
      </c>
      <c r="AQ568" s="48">
        <f>IF(+NFL!$F324="Tampa Bay",+NFL!#REF!,IF(+NFL!$H324="Tampa Bay",+NFL!#REF!,0))</f>
        <v>0</v>
      </c>
      <c r="AR568" s="57">
        <f>IF(+NFL!$F324="Tampa Bay",+NFL!#REF!,IF(+NFL!$H324="Tampa Bay",+NFL!#REF!,0))</f>
        <v>0</v>
      </c>
      <c r="AS568" s="64">
        <f>IF(+NFL!$F324="Tampa Bay",+NFL!#REF!,IF(+NFL!$H324="Tampa Bay",+NFL!#REF!,0))</f>
        <v>0</v>
      </c>
      <c r="AT568" s="64">
        <f>IF(+NFL!$F324="Tampa Bay",+NFL!#REF!,IF(+NFL!$H324="Tampa Bay",+NFL!#REF!,0))</f>
        <v>0</v>
      </c>
      <c r="AU568" s="57">
        <f>IF(+NFL!$F324="Tampa Bay",+NFL!#REF!,IF(+NFL!$H324="Tampa Bay",+NFL!#REF!,0))</f>
        <v>0</v>
      </c>
      <c r="AV568" s="64">
        <f>IF(+NFL!$F324="Tampa Bay",+NFL!#REF!,IF(+NFL!$H324="Tampa Bay",+NFL!#REF!,0))</f>
        <v>0</v>
      </c>
      <c r="AW568" s="46">
        <f>IF(+NFL!$F324="Tampa Bay",+NFL!#REF!,IF(+NFL!$H324="Tampa Bay",+NFL!#REF!,0))</f>
        <v>0</v>
      </c>
      <c r="AX568" s="64">
        <f>IF(+NFL!$F324="Tampa Bay",+NFL!#REF!,IF(+NFL!$H324="Tampa Bay",+NFL!#REF!,0))</f>
        <v>0</v>
      </c>
      <c r="AY568" s="57">
        <f>IF(+NFL!$F324="Tampa Bay",+NFL!#REF!,IF(+NFL!$H324="Tampa Bay",+NFL!#REF!,0))</f>
        <v>0</v>
      </c>
      <c r="AZ568" s="64">
        <f>IF(+NFL!$F324="Tampa Bay",+NFL!#REF!,IF(+NFL!$H324="Tampa Bay",+NFL!#REF!,0))</f>
        <v>0</v>
      </c>
      <c r="BA568" s="46">
        <f>IF(+NFL!$F324="Tampa Bay",+NFL!#REF!,IF(+NFL!$H324="Tampa Bay",+NFL!#REF!,0))</f>
        <v>0</v>
      </c>
      <c r="BB568" s="46">
        <f>IF(+NFL!$F324="Tampa Bay",+NFL!#REF!,IF(+NFL!$H324="Tampa Bay",+NFL!#REF!,0))</f>
        <v>0</v>
      </c>
      <c r="BC568" s="403">
        <f>IF(+NFL!$F324="Tampa Bay",+NFL!#REF!,IF(+NFL!$H324="Tampa Bay",+NFL!#REF!,0))</f>
        <v>0</v>
      </c>
      <c r="BD568" s="57">
        <f>IF(+NFL!$F324="Tampa Bay",+NFL!#REF!,IF(+NFL!$H324="Tampa Bay",+NFL!#REF!,0))</f>
        <v>0</v>
      </c>
      <c r="BE568" s="64">
        <f>IF(+NFL!$F324="Tampa Bay",+NFL!#REF!,IF(+NFL!$H324="Tampa Bay",+NFL!#REF!,0))</f>
        <v>0</v>
      </c>
      <c r="BF568" s="46">
        <f>IF(+NFL!$F324="Tampa Bay",+NFL!#REF!,IF(+NFL!$H324="Tampa Bay",+NFL!#REF!,0))</f>
        <v>0</v>
      </c>
      <c r="BG568" s="57">
        <f>IF(+NFL!$F324="Tampa Bay",+NFL!#REF!,IF(+NFL!$H324="Tampa Bay",+NFL!#REF!,0))</f>
        <v>0</v>
      </c>
      <c r="BH568" s="64">
        <f>IF(+NFL!$F324="Tampa Bay",+NFL!#REF!,IF(+NFL!$H324="Tampa Bay",+NFL!#REF!,0))</f>
        <v>0</v>
      </c>
      <c r="BI568" s="46">
        <f>IF(+NFL!$F324="Tampa Bay",+NFL!#REF!,IF(+NFL!$H324="Tampa Bay",+NFL!#REF!,0))</f>
        <v>0</v>
      </c>
      <c r="BJ568" s="87">
        <f>IF(+NFL!$F324="Tampa Bay",+NFL!#REF!,IF(+NFL!$H324="Tampa Bay",+NFL!#REF!,0))</f>
        <v>0</v>
      </c>
      <c r="BK568" s="120">
        <f>IF(+NFL!$F324="Tampa Bay",+NFL!#REF!,IF(+NFL!$H324="Tampa Bay",+NFL!#REF!,0))</f>
        <v>0</v>
      </c>
    </row>
    <row r="569" spans="1:68" s="246" customFormat="1" x14ac:dyDescent="0.8">
      <c r="A569" s="46">
        <f>IF(+NFL!$F316="Tampa Bay",+NFL!A316,IF(+NFL!$H316="Tampa Bay",+NFL!A316,0))</f>
        <v>0</v>
      </c>
      <c r="B569" s="348">
        <f>IF(+NFL!$F316="Tampa Bay",+NFL!B316,IF(+NFL!$H316="Tampa Bay",+NFL!B316,0))</f>
        <v>0</v>
      </c>
      <c r="C569" s="48">
        <f>IF(+NFL!$F316="Tampa Bay",+NFL!C316,IF(+NFL!$H316="Tampa Bay",+NFL!C316,0))</f>
        <v>0</v>
      </c>
      <c r="D569" s="490">
        <f>IF(+NFL!$F316="Tampa Bay",+NFL!D316,IF(+NFL!$H316="Tampa Bay",+NFL!D316,0))</f>
        <v>0</v>
      </c>
      <c r="E569" s="46">
        <f>IF(+NFL!$F316="Tampa Bay",+NFL!E316,IF(+NFL!$H316="Tampa Bay",+NFL!E316,0))</f>
        <v>0</v>
      </c>
      <c r="F569" s="127">
        <f>IF(+NFL!$F316="Tampa Bay",+NFL!F316,IF(+NFL!$H316="Tampa Bay",+NFL!F316,0))</f>
        <v>0</v>
      </c>
      <c r="G569" s="46">
        <f>IF(+NFL!$F316="Tampa Bay",+NFL!G316,IF(+NFL!$H316="Tampa Bay",+NFL!G316,0))</f>
        <v>0</v>
      </c>
      <c r="H569" s="127">
        <f>IF(+NFL!$F316="Tampa Bay",+NFL!H316,IF(+NFL!$H316="Tampa Bay",+NFL!H316,0))</f>
        <v>0</v>
      </c>
      <c r="I569" s="46">
        <f>IF(+NFL!$F316="Tampa Bay",+NFL!I316,IF(+NFL!$H316="Tampa Bay",+NFL!I316,0))</f>
        <v>0</v>
      </c>
      <c r="J569" s="353">
        <f>IF(+NFL!$F316="Tampa Bay",+NFL!J316,IF(+NFL!$H316="Tampa Bay",+NFL!J316,0))</f>
        <v>0</v>
      </c>
      <c r="K569" s="494">
        <f>IF(+NFL!$F316="Tampa Bay",+NFL!K316,IF(+NFL!$H316="Tampa Bay",+NFL!K316,0))</f>
        <v>0</v>
      </c>
      <c r="L569" s="384">
        <f>IF(+NFL!$F316="Tampa Bay",+NFL!L316,IF(+NFL!$H316="Tampa Bay",+NFL!L316,0))</f>
        <v>0</v>
      </c>
      <c r="M569" s="385">
        <f>IF(+NFL!$F316="Tampa Bay",+NFL!M316,IF(+NFL!$H316="Tampa Bay",+NFL!M316,0))</f>
        <v>0</v>
      </c>
      <c r="N569" s="394">
        <f>IF(+NFL!$F316="Tampa Bay",+NFL!N316,IF(+NFL!$H316="Tampa Bay",+NFL!N316,0))</f>
        <v>0</v>
      </c>
      <c r="O569" s="395">
        <f>IF(+NFL!$F316="Tampa Bay",+NFL!O316,IF(+NFL!$H316="Tampa Bay",+NFL!O316,0))</f>
        <v>0</v>
      </c>
      <c r="P569" s="394">
        <f>IF(+NFL!$F316="Tampa Bay",+NFL!P316,IF(+NFL!$H316="Tampa Bay",+NFL!P316,0))</f>
        <v>0</v>
      </c>
      <c r="Q569" s="396">
        <f>IF(+NFL!$F316="Tampa Bay",+NFL!Q316,IF(+NFL!$H316="Tampa Bay",+NFL!Q316,0))</f>
        <v>0</v>
      </c>
      <c r="R569" s="397">
        <f>IF(+NFL!$F316="Tampa Bay",+NFL!R316,IF(+NFL!$H316="Tampa Bay",+NFL!R316,0))</f>
        <v>0</v>
      </c>
      <c r="S569" s="396">
        <f>IF(+NFL!$F316="Tampa Bay",+NFL!S316,IF(+NFL!$H316="Tampa Bay",+NFL!S316,0))</f>
        <v>0</v>
      </c>
      <c r="T569" s="398">
        <f>IF(+NFL!$F316="Tampa Bay",+NFL!T316,IF(+NFL!$H316="Tampa Bay",+NFL!T316,0))</f>
        <v>0</v>
      </c>
      <c r="U569" s="396">
        <f>IF(+NFL!$F316="Tampa Bay",+NFL!U316,IF(+NFL!$H316="Tampa Bay",+NFL!U316,0))</f>
        <v>0</v>
      </c>
      <c r="V569" s="397">
        <f>IF(+NFL!$F345="Tampa Bay",+NFL!#REF!,IF(+NFL!$H345="Tampa Bay",+NFL!#REF!,0))</f>
        <v>0</v>
      </c>
      <c r="W569" s="396">
        <f>IF(+NFL!$F345="Tampa Bay",+NFL!#REF!,IF(+NFL!$H345="Tampa Bay",+NFL!#REF!,0))</f>
        <v>0</v>
      </c>
      <c r="X569" s="398">
        <f>IF(+NFL!$F345="Tampa Bay",+NFL!#REF!,IF(+NFL!$H345="Tampa Bay",+NFL!#REF!,0))</f>
        <v>0</v>
      </c>
      <c r="Y569" s="396">
        <f>IF(+NFL!$F345="Tampa Bay",+NFL!#REF!,IF(+NFL!$H345="Tampa Bay",+NFL!#REF!,0))</f>
        <v>0</v>
      </c>
      <c r="Z569" s="397">
        <f>IF(+NFL!$F345="Tampa Bay",+NFL!#REF!,IF(+NFL!$H345="Tampa Bay",+NFL!#REF!,0))</f>
        <v>0</v>
      </c>
      <c r="AA569" s="396">
        <f>IF(+NFL!$F345="Tampa Bay",+NFL!#REF!,IF(+NFL!$H345="Tampa Bay",+NFL!#REF!,0))</f>
        <v>0</v>
      </c>
      <c r="AB569" s="87">
        <f>IF(+NFL!$F345="Tampa Bay",+NFL!#REF!,IF(+NFL!$H345="Tampa Bay",+NFL!#REF!,0))</f>
        <v>0</v>
      </c>
      <c r="AC569" s="120">
        <f>IF(+NFL!$F345="Tampa Bay",+NFL!#REF!,IF(+NFL!$H345="Tampa Bay",+NFL!#REF!,0))</f>
        <v>0</v>
      </c>
      <c r="AD569" s="353">
        <f>IF(+NFL!$F345="Tampa Bay",+NFL!#REF!,IF(+NFL!$H345="Tampa Bay",+NFL!#REF!,0))</f>
        <v>0</v>
      </c>
      <c r="AE569" s="379">
        <f>IF(+NFL!$F345="Tampa Bay",+NFL!#REF!,IF(+NFL!$H345="Tampa Bay",+NFL!#REF!,0))</f>
        <v>0</v>
      </c>
      <c r="AF569" s="353">
        <f>IF(+NFL!$F345="Tampa Bay",+NFL!#REF!,IF(+NFL!$H345="Tampa Bay",+NFL!#REF!,0))</f>
        <v>0</v>
      </c>
      <c r="AG569" s="379">
        <f>IF(+NFL!$F345="Tampa Bay",+NFL!#REF!,IF(+NFL!$H345="Tampa Bay",+NFL!#REF!,0))</f>
        <v>0</v>
      </c>
      <c r="AH569" s="353">
        <f>IF(+NFL!$F345="Tampa Bay",+NFL!#REF!,IF(+NFL!$H345="Tampa Bay",+NFL!#REF!,0))</f>
        <v>0</v>
      </c>
      <c r="AI569" s="379">
        <f>IF(+NFL!$F345="Tampa Bay",+NFL!#REF!,IF(+NFL!$H345="Tampa Bay",+NFL!#REF!,0))</f>
        <v>0</v>
      </c>
      <c r="AJ569" s="353">
        <f>IF(+NFL!$F345="Tampa Bay",+NFL!#REF!,IF(+NFL!$H345="Tampa Bay",+NFL!#REF!,0))</f>
        <v>0</v>
      </c>
      <c r="AK569" s="379">
        <f>IF(+NFL!$F345="Tampa Bay",+NFL!#REF!,IF(+NFL!$H345="Tampa Bay",+NFL!#REF!,0))</f>
        <v>0</v>
      </c>
      <c r="AL569" s="68">
        <f>IF(+NFL!$F345="Tampa Bay",+NFL!#REF!,IF(+NFL!$H345="Tampa Bay",+NFL!#REF!,0))</f>
        <v>0</v>
      </c>
      <c r="AM569" s="58">
        <f>IF(+NFL!$F345="Tampa Bay",+NFL!#REF!,IF(+NFL!$H345="Tampa Bay",+NFL!#REF!,0))</f>
        <v>0</v>
      </c>
      <c r="AN569" s="57">
        <f>IF(+NFL!$F345="Tampa Bay",+NFL!#REF!,IF(+NFL!$H345="Tampa Bay",+NFL!#REF!,0))</f>
        <v>0</v>
      </c>
      <c r="AO569" s="59">
        <f>IF(+NFL!$F345="Tampa Bay",+NFL!#REF!,IF(+NFL!$H345="Tampa Bay",+NFL!#REF!,0))</f>
        <v>0</v>
      </c>
      <c r="AP569" s="348">
        <f>IF(+NFL!$F345="Tampa Bay",+NFL!#REF!,IF(+NFL!$H345="Tampa Bay",+NFL!#REF!,0))</f>
        <v>0</v>
      </c>
      <c r="AQ569" s="48">
        <f>IF(+NFL!$F345="Tampa Bay",+NFL!#REF!,IF(+NFL!$H345="Tampa Bay",+NFL!#REF!,0))</f>
        <v>0</v>
      </c>
      <c r="AR569" s="57">
        <f>IF(+NFL!$F345="Tampa Bay",+NFL!#REF!,IF(+NFL!$H345="Tampa Bay",+NFL!#REF!,0))</f>
        <v>0</v>
      </c>
      <c r="AS569" s="64">
        <f>IF(+NFL!$F345="Tampa Bay",+NFL!#REF!,IF(+NFL!$H345="Tampa Bay",+NFL!#REF!,0))</f>
        <v>0</v>
      </c>
      <c r="AT569" s="64">
        <f>IF(+NFL!$F345="Tampa Bay",+NFL!#REF!,IF(+NFL!$H345="Tampa Bay",+NFL!#REF!,0))</f>
        <v>0</v>
      </c>
      <c r="AU569" s="57">
        <f>IF(+NFL!$F345="Tampa Bay",+NFL!#REF!,IF(+NFL!$H345="Tampa Bay",+NFL!#REF!,0))</f>
        <v>0</v>
      </c>
      <c r="AV569" s="64">
        <f>IF(+NFL!$F345="Tampa Bay",+NFL!#REF!,IF(+NFL!$H345="Tampa Bay",+NFL!#REF!,0))</f>
        <v>0</v>
      </c>
      <c r="AW569" s="46">
        <f>IF(+NFL!$F345="Tampa Bay",+NFL!#REF!,IF(+NFL!$H345="Tampa Bay",+NFL!#REF!,0))</f>
        <v>0</v>
      </c>
      <c r="AX569" s="64">
        <f>IF(+NFL!$F345="Tampa Bay",+NFL!#REF!,IF(+NFL!$H345="Tampa Bay",+NFL!#REF!,0))</f>
        <v>0</v>
      </c>
      <c r="AY569" s="57">
        <f>IF(+NFL!$F345="Tampa Bay",+NFL!#REF!,IF(+NFL!$H345="Tampa Bay",+NFL!#REF!,0))</f>
        <v>0</v>
      </c>
      <c r="AZ569" s="64">
        <f>IF(+NFL!$F345="Tampa Bay",+NFL!#REF!,IF(+NFL!$H345="Tampa Bay",+NFL!#REF!,0))</f>
        <v>0</v>
      </c>
      <c r="BA569" s="46">
        <f>IF(+NFL!$F345="Tampa Bay",+NFL!#REF!,IF(+NFL!$H345="Tampa Bay",+NFL!#REF!,0))</f>
        <v>0</v>
      </c>
      <c r="BB569" s="46">
        <f>IF(+NFL!$F345="Tampa Bay",+NFL!#REF!,IF(+NFL!$H345="Tampa Bay",+NFL!#REF!,0))</f>
        <v>0</v>
      </c>
      <c r="BC569" s="403">
        <f>IF(+NFL!$F345="Tampa Bay",+NFL!#REF!,IF(+NFL!$H345="Tampa Bay",+NFL!#REF!,0))</f>
        <v>0</v>
      </c>
      <c r="BD569" s="57">
        <f>IF(+NFL!$F345="Tampa Bay",+NFL!#REF!,IF(+NFL!$H345="Tampa Bay",+NFL!#REF!,0))</f>
        <v>0</v>
      </c>
      <c r="BE569" s="64">
        <f>IF(+NFL!$F345="Tampa Bay",+NFL!#REF!,IF(+NFL!$H345="Tampa Bay",+NFL!#REF!,0))</f>
        <v>0</v>
      </c>
      <c r="BF569" s="46">
        <f>IF(+NFL!$F345="Tampa Bay",+NFL!#REF!,IF(+NFL!$H345="Tampa Bay",+NFL!#REF!,0))</f>
        <v>0</v>
      </c>
      <c r="BG569" s="57">
        <f>IF(+NFL!$F345="Tampa Bay",+NFL!#REF!,IF(+NFL!$H345="Tampa Bay",+NFL!#REF!,0))</f>
        <v>0</v>
      </c>
      <c r="BH569" s="64">
        <f>IF(+NFL!$F345="Tampa Bay",+NFL!#REF!,IF(+NFL!$H345="Tampa Bay",+NFL!#REF!,0))</f>
        <v>0</v>
      </c>
      <c r="BI569" s="46">
        <f>IF(+NFL!$F345="Tampa Bay",+NFL!#REF!,IF(+NFL!$H345="Tampa Bay",+NFL!#REF!,0))</f>
        <v>0</v>
      </c>
      <c r="BJ569" s="87">
        <f>IF(+NFL!$F345="Tampa Bay",+NFL!#REF!,IF(+NFL!$H345="Tampa Bay",+NFL!#REF!,0))</f>
        <v>0</v>
      </c>
      <c r="BK569" s="120">
        <f>IF(+NFL!$F345="Tampa Bay",+NFL!#REF!,IF(+NFL!$H345="Tampa Bay",+NFL!#REF!,0))</f>
        <v>0</v>
      </c>
    </row>
    <row r="570" spans="1:68" s="246" customFormat="1" x14ac:dyDescent="0.8">
      <c r="A570" s="46"/>
      <c r="B570" s="348"/>
      <c r="C570" s="48"/>
      <c r="D570" s="49"/>
      <c r="E570" s="46"/>
      <c r="F570" s="959" t="str">
        <f>H571</f>
        <v>Tennessee</v>
      </c>
      <c r="G570" s="960"/>
      <c r="H570" s="960"/>
      <c r="I570" s="961"/>
      <c r="J570" s="353"/>
      <c r="K570" s="364"/>
      <c r="L570" s="384"/>
      <c r="M570" s="385"/>
      <c r="N570" s="394"/>
      <c r="O570" s="395"/>
      <c r="P570" s="394"/>
      <c r="Q570" s="396"/>
      <c r="R570" s="397"/>
      <c r="S570" s="396"/>
      <c r="T570" s="398"/>
      <c r="U570" s="396"/>
      <c r="V570" s="397"/>
      <c r="W570" s="396"/>
      <c r="X570" s="398"/>
      <c r="Y570" s="396"/>
      <c r="Z570" s="397"/>
      <c r="AA570" s="396"/>
      <c r="AB570" s="87"/>
      <c r="AC570" s="120"/>
      <c r="AD570" s="353"/>
      <c r="AE570" s="379"/>
      <c r="AF570" s="353"/>
      <c r="AG570" s="379"/>
      <c r="AH570" s="353"/>
      <c r="AI570" s="379"/>
      <c r="AJ570" s="353"/>
      <c r="AK570" s="379"/>
      <c r="AL570" s="68"/>
      <c r="AM570" s="58"/>
      <c r="AN570" s="57"/>
      <c r="AO570" s="59"/>
      <c r="AP570" s="348"/>
      <c r="AQ570" s="348"/>
      <c r="AR570" s="57"/>
      <c r="AS570" s="64"/>
      <c r="AT570" s="64"/>
      <c r="AU570" s="57"/>
      <c r="AV570" s="64"/>
      <c r="AW570" s="46"/>
      <c r="AX570" s="64"/>
      <c r="AY570" s="57"/>
      <c r="AZ570" s="64"/>
      <c r="BA570" s="46"/>
      <c r="BB570" s="46"/>
      <c r="BC570" s="348"/>
      <c r="BD570" s="57"/>
      <c r="BE570" s="64"/>
      <c r="BF570" s="46"/>
      <c r="BG570" s="57"/>
      <c r="BH570" s="64"/>
      <c r="BI570" s="46"/>
      <c r="BJ570" s="87"/>
      <c r="BK570" s="120"/>
    </row>
    <row r="571" spans="1:68" s="246" customFormat="1" x14ac:dyDescent="0.8">
      <c r="A571" s="46">
        <f>IF(+NFL!$F14="Tennessee",+NFL!A14,IF(+NFL!$H14="Tennessee",+NFL!A14,0))</f>
        <v>1</v>
      </c>
      <c r="B571" s="348" t="str">
        <f>IF(+NFL!$F14="Tennessee",+NFL!B14,IF(+NFL!$H14="Tennessee",+NFL!B14,0))</f>
        <v>Sun</v>
      </c>
      <c r="C571" s="48">
        <f>IF(+NFL!$F14="Tennessee",+NFL!C14,IF(+NFL!$H14="Tennessee",+NFL!C14,0))</f>
        <v>44815</v>
      </c>
      <c r="D571" s="490">
        <f>IF(+NFL!$F14="Tennessee",+NFL!D14,IF(+NFL!$H14="Tennessee",+NFL!D14,0))</f>
        <v>0.66666666666666663</v>
      </c>
      <c r="E571" s="46" t="str">
        <f>IF(+NFL!$F14="Tennessee",+NFL!E14,IF(+NFL!$H14="Tennessee",+NFL!E14,0))</f>
        <v>Fox</v>
      </c>
      <c r="F571" s="127" t="str">
        <f>IF(+NFL!$F14="Tennessee",+NFL!F14,IF(+NFL!$H14="Tennessee",+NFL!F14,0))</f>
        <v>NY Giants</v>
      </c>
      <c r="G571" s="46" t="str">
        <f>IF(+NFL!$F14="Tennessee",+NFL!G14,IF(+NFL!$H14="Tennessee",+NFL!G14,0))</f>
        <v>NFCE</v>
      </c>
      <c r="H571" s="127" t="str">
        <f>IF(+NFL!$F14="Tennessee",+NFL!H14,IF(+NFL!$H14="Tennessee",+NFL!H14,0))</f>
        <v>Tennessee</v>
      </c>
      <c r="I571" s="46" t="str">
        <f>IF(+NFL!$F14="Tennessee",+NFL!I14,IF(+NFL!$H14="Tennessee",+NFL!I14,0))</f>
        <v>AFCS</v>
      </c>
      <c r="J571" s="353" t="str">
        <f>IF(+NFL!$F14="Tennessee",+NFL!J14,IF(+NFL!$H14="Tennessee",+NFL!J14,0))</f>
        <v>Tennessee</v>
      </c>
      <c r="K571" s="494" t="str">
        <f>IF(+NFL!$F14="Tennessee",+NFL!K14,IF(+NFL!$H14="Tennessee",+NFL!K14,0))</f>
        <v>NY Giants</v>
      </c>
      <c r="L571" s="384">
        <f>IF(+NFL!$F14="Tennessee",+NFL!L14,IF(+NFL!$H14="Tennessee",+NFL!L14,0))</f>
        <v>5.5</v>
      </c>
      <c r="M571" s="385">
        <f>IF(+NFL!$F14="Tennessee",+NFL!M14,IF(+NFL!$H14="Tennessee",+NFL!M14,0))</f>
        <v>43.5</v>
      </c>
      <c r="N571" s="394" t="str">
        <f>IF(+NFL!$F14="Tennessee",+NFL!N14,IF(+NFL!$H14="Tennessee",+NFL!N14,0))</f>
        <v>NY Giants</v>
      </c>
      <c r="O571" s="395">
        <f>IF(+NFL!$F14="Tennessee",+NFL!O14,IF(+NFL!$H14="Tennessee",+NFL!O14,0))</f>
        <v>21</v>
      </c>
      <c r="P571" s="394" t="str">
        <f>IF(+NFL!$F14="Tennessee",+NFL!P14,IF(+NFL!$H14="Tennessee",+NFL!P14,0))</f>
        <v>Tennessee</v>
      </c>
      <c r="Q571" s="396">
        <f>IF(+NFL!$F14="Tennessee",+NFL!Q14,IF(+NFL!$H14="Tennessee",+NFL!Q14,0))</f>
        <v>20</v>
      </c>
      <c r="R571" s="397" t="str">
        <f>IF(+NFL!$F14="Tennessee",+NFL!R14,IF(+NFL!$H14="Tennessee",+NFL!R14,0))</f>
        <v>NY Giants</v>
      </c>
      <c r="S571" s="396" t="str">
        <f>IF(+NFL!$F14="Tennessee",+NFL!S14,IF(+NFL!$H14="Tennessee",+NFL!S14,0))</f>
        <v>Tennessee</v>
      </c>
      <c r="T571" s="398" t="str">
        <f>IF(+NFL!$F14="Tennessee",+NFL!T14,IF(+NFL!$H14="Tennessee",+NFL!T14,0))</f>
        <v>NY Giants</v>
      </c>
      <c r="U571" s="396" t="str">
        <f>IF(+NFL!$F14="Tennessee",+NFL!U14,IF(+NFL!$H14="Tennessee",+NFL!U14,0))</f>
        <v>W</v>
      </c>
      <c r="V571" s="397"/>
      <c r="W571" s="396"/>
      <c r="X571" s="398"/>
      <c r="Y571" s="396"/>
      <c r="Z571" s="397"/>
      <c r="AA571" s="396"/>
      <c r="AB571" s="87"/>
      <c r="AC571" s="120"/>
      <c r="AD571" s="353"/>
      <c r="AE571" s="379"/>
      <c r="AF571" s="353"/>
      <c r="AG571" s="379"/>
      <c r="AH571" s="353"/>
      <c r="AI571" s="379"/>
      <c r="AJ571" s="353"/>
      <c r="AK571" s="379"/>
      <c r="AL571" s="68"/>
      <c r="AM571" s="58"/>
      <c r="AN571" s="57"/>
      <c r="AO571" s="59"/>
      <c r="AP571" s="348"/>
      <c r="AQ571" s="48"/>
      <c r="AR571" s="57"/>
      <c r="AS571" s="493"/>
      <c r="AT571" s="493"/>
      <c r="AU571" s="57"/>
      <c r="AV571" s="493"/>
      <c r="AW571" s="46"/>
      <c r="AX571" s="493"/>
      <c r="AY571" s="57"/>
      <c r="AZ571" s="493"/>
      <c r="BA571" s="46"/>
      <c r="BB571" s="46"/>
      <c r="BC571" s="403"/>
      <c r="BD571" s="57"/>
      <c r="BE571" s="493"/>
      <c r="BF571" s="46"/>
      <c r="BG571" s="57"/>
      <c r="BH571" s="493"/>
      <c r="BI571" s="46"/>
      <c r="BJ571" s="87"/>
      <c r="BK571" s="120"/>
    </row>
    <row r="572" spans="1:68" s="246" customFormat="1" x14ac:dyDescent="0.8">
      <c r="A572" s="46">
        <f>IF(+NFL!$F35="Tennessee",+NFL!A35,IF(+NFL!$H35="Tennessee",+NFL!A35,0))</f>
        <v>2</v>
      </c>
      <c r="B572" s="348" t="str">
        <f>IF(+NFL!$F35="Tennessee",+NFL!B35,IF(+NFL!$H35="Tennessee",+NFL!B35,0))</f>
        <v>Mon</v>
      </c>
      <c r="C572" s="48">
        <f>IF(+NFL!$F35="Tennessee",+NFL!C35,IF(+NFL!$H35="Tennessee",+NFL!C35,0))</f>
        <v>44823</v>
      </c>
      <c r="D572" s="490">
        <f>IF(+NFL!$F35="Tennessee",+NFL!D35,IF(+NFL!$H35="Tennessee",+NFL!D35,0))</f>
        <v>0.8125</v>
      </c>
      <c r="E572" s="46" t="str">
        <f>IF(+NFL!$F35="Tennessee",+NFL!E35,IF(+NFL!$H35="Tennessee",+NFL!E35,0))</f>
        <v>ESPN</v>
      </c>
      <c r="F572" s="127" t="str">
        <f>IF(+NFL!$F35="Tennessee",+NFL!F35,IF(+NFL!$H35="Tennessee",+NFL!F35,0))</f>
        <v>Tennessee</v>
      </c>
      <c r="G572" s="46" t="str">
        <f>IF(+NFL!$F35="Tennessee",+NFL!G35,IF(+NFL!$H35="Tennessee",+NFL!G35,0))</f>
        <v>AFCS</v>
      </c>
      <c r="H572" s="127" t="str">
        <f>IF(+NFL!$F35="Tennessee",+NFL!H35,IF(+NFL!$H35="Tennessee",+NFL!H35,0))</f>
        <v>Buffalo</v>
      </c>
      <c r="I572" s="46" t="str">
        <f>IF(+NFL!$F35="Tennessee",+NFL!I35,IF(+NFL!$H35="Tennessee",+NFL!I35,0))</f>
        <v>AFCE</v>
      </c>
      <c r="J572" s="353" t="str">
        <f>IF(+NFL!$F35="Tennessee",+NFL!J35,IF(+NFL!$H35="Tennessee",+NFL!J35,0))</f>
        <v>Buffalo</v>
      </c>
      <c r="K572" s="494" t="str">
        <f>IF(+NFL!$F35="Tennessee",+NFL!K35,IF(+NFL!$H35="Tennessee",+NFL!K35,0))</f>
        <v>Tennessee</v>
      </c>
      <c r="L572" s="384">
        <f>IF(+NFL!$F35="Tennessee",+NFL!L35,IF(+NFL!$H35="Tennessee",+NFL!L35,0))</f>
        <v>10</v>
      </c>
      <c r="M572" s="385">
        <f>IF(+NFL!$F35="Tennessee",+NFL!M35,IF(+NFL!$H35="Tennessee",+NFL!M35,0))</f>
        <v>49.5</v>
      </c>
      <c r="N572" s="394" t="str">
        <f>IF(+NFL!$F35="Tennessee",+NFL!N35,IF(+NFL!$H35="Tennessee",+NFL!N35,0))</f>
        <v>Buffalo</v>
      </c>
      <c r="O572" s="395">
        <f>IF(+NFL!$F35="Tennessee",+NFL!O35,IF(+NFL!$H35="Tennessee",+NFL!O35,0))</f>
        <v>41</v>
      </c>
      <c r="P572" s="394" t="str">
        <f>IF(+NFL!$F35="Tennessee",+NFL!P35,IF(+NFL!$H35="Tennessee",+NFL!P35,0))</f>
        <v>Tennessee</v>
      </c>
      <c r="Q572" s="396">
        <f>IF(+NFL!$F35="Tennessee",+NFL!Q35,IF(+NFL!$H35="Tennessee",+NFL!Q35,0))</f>
        <v>7</v>
      </c>
      <c r="R572" s="397" t="str">
        <f>IF(+NFL!$F35="Tennessee",+NFL!R35,IF(+NFL!$H35="Tennessee",+NFL!R35,0))</f>
        <v>Buffalo</v>
      </c>
      <c r="S572" s="396" t="str">
        <f>IF(+NFL!$F35="Tennessee",+NFL!S35,IF(+NFL!$H35="Tennessee",+NFL!S35,0))</f>
        <v>Tennessee</v>
      </c>
      <c r="T572" s="398" t="str">
        <f>IF(+NFL!$F35="Tennessee",+NFL!T35,IF(+NFL!$H35="Tennessee",+NFL!T35,0))</f>
        <v>Tennessee</v>
      </c>
      <c r="U572" s="396" t="str">
        <f>IF(+NFL!$F35="Tennessee",+NFL!U35,IF(+NFL!$H35="Tennessee",+NFL!U35,0))</f>
        <v>L</v>
      </c>
      <c r="V572" s="397"/>
      <c r="W572" s="396"/>
      <c r="X572" s="398"/>
      <c r="Y572" s="396"/>
      <c r="Z572" s="397"/>
      <c r="AA572" s="396"/>
      <c r="AB572" s="87"/>
      <c r="AC572" s="120"/>
      <c r="AD572" s="353"/>
      <c r="AE572" s="379"/>
      <c r="AF572" s="353"/>
      <c r="AG572" s="379"/>
      <c r="AH572" s="353"/>
      <c r="AI572" s="379"/>
      <c r="AJ572" s="353"/>
      <c r="AK572" s="379"/>
      <c r="AL572" s="68"/>
      <c r="AM572" s="58"/>
      <c r="AN572" s="57"/>
      <c r="AO572" s="59"/>
      <c r="AP572" s="348"/>
      <c r="AQ572" s="48"/>
      <c r="AR572" s="57"/>
      <c r="AS572" s="493"/>
      <c r="AT572" s="493"/>
      <c r="AU572" s="57"/>
      <c r="AV572" s="493"/>
      <c r="AW572" s="46"/>
      <c r="AX572" s="493"/>
      <c r="AY572" s="57"/>
      <c r="AZ572" s="493"/>
      <c r="BA572" s="46"/>
      <c r="BB572" s="46"/>
      <c r="BC572" s="403"/>
      <c r="BD572" s="57"/>
      <c r="BE572" s="493"/>
      <c r="BF572" s="46"/>
      <c r="BG572" s="57"/>
      <c r="BH572" s="493"/>
      <c r="BI572" s="46"/>
      <c r="BJ572" s="87"/>
      <c r="BK572" s="120"/>
    </row>
    <row r="573" spans="1:68" s="246" customFormat="1" x14ac:dyDescent="0.8">
      <c r="A573" s="46">
        <f>IF(+NFL!$F40="Tennessee",+NFL!A40,IF(+NFL!$H40="Tennessee",+NFL!A40,0))</f>
        <v>3</v>
      </c>
      <c r="B573" s="348" t="str">
        <f>IF(+NFL!$F40="Tennessee",+NFL!B40,IF(+NFL!$H40="Tennessee",+NFL!B40,0))</f>
        <v>Sun</v>
      </c>
      <c r="C573" s="48">
        <f>IF(+NFL!$F40="Tennessee",+NFL!C40,IF(+NFL!$H40="Tennessee",+NFL!C40,0))</f>
        <v>44829</v>
      </c>
      <c r="D573" s="490">
        <f>IF(+NFL!$F40="Tennessee",+NFL!D40,IF(+NFL!$H40="Tennessee",+NFL!D40,0))</f>
        <v>0.54166666666666663</v>
      </c>
      <c r="E573" s="46" t="str">
        <f>IF(+NFL!$F40="Tennessee",+NFL!E40,IF(+NFL!$H40="Tennessee",+NFL!E40,0))</f>
        <v>CBS</v>
      </c>
      <c r="F573" s="127" t="str">
        <f>IF(+NFL!$F40="Tennessee",+NFL!F40,IF(+NFL!$H40="Tennessee",+NFL!F40,0))</f>
        <v>Las Vegas</v>
      </c>
      <c r="G573" s="46" t="str">
        <f>IF(+NFL!$F40="Tennessee",+NFL!G40,IF(+NFL!$H40="Tennessee",+NFL!G40,0))</f>
        <v>AFCW</v>
      </c>
      <c r="H573" s="127" t="str">
        <f>IF(+NFL!$F40="Tennessee",+NFL!H40,IF(+NFL!$H40="Tennessee",+NFL!H40,0))</f>
        <v>Tennessee</v>
      </c>
      <c r="I573" s="46" t="str">
        <f>IF(+NFL!$F40="Tennessee",+NFL!I40,IF(+NFL!$H40="Tennessee",+NFL!I40,0))</f>
        <v>AFCS</v>
      </c>
      <c r="J573" s="353" t="str">
        <f>IF(+NFL!$F40="Tennessee",+NFL!J40,IF(+NFL!$H40="Tennessee",+NFL!J40,0))</f>
        <v>Las Vegas</v>
      </c>
      <c r="K573" s="494" t="str">
        <f>IF(+NFL!$F40="Tennessee",+NFL!K40,IF(+NFL!$H40="Tennessee",+NFL!K40,0))</f>
        <v>Tennessee</v>
      </c>
      <c r="L573" s="384">
        <f>IF(+NFL!$F40="Tennessee",+NFL!L40,IF(+NFL!$H40="Tennessee",+NFL!L40,0))</f>
        <v>2</v>
      </c>
      <c r="M573" s="385">
        <f>IF(+NFL!$F40="Tennessee",+NFL!M40,IF(+NFL!$H40="Tennessee",+NFL!M40,0))</f>
        <v>45.5</v>
      </c>
      <c r="N573" s="394" t="str">
        <f>IF(+NFL!$F40="Tennessee",+NFL!N40,IF(+NFL!$H40="Tennessee",+NFL!N40,0))</f>
        <v>Tennessee</v>
      </c>
      <c r="O573" s="395">
        <f>IF(+NFL!$F40="Tennessee",+NFL!O40,IF(+NFL!$H40="Tennessee",+NFL!O40,0))</f>
        <v>24</v>
      </c>
      <c r="P573" s="394" t="str">
        <f>IF(+NFL!$F40="Tennessee",+NFL!P40,IF(+NFL!$H40="Tennessee",+NFL!P40,0))</f>
        <v>Las Vegas</v>
      </c>
      <c r="Q573" s="396">
        <f>IF(+NFL!$F40="Tennessee",+NFL!Q40,IF(+NFL!$H40="Tennessee",+NFL!Q40,0))</f>
        <v>22</v>
      </c>
      <c r="R573" s="397" t="str">
        <f>IF(+NFL!$F40="Tennessee",+NFL!R40,IF(+NFL!$H40="Tennessee",+NFL!R40,0))</f>
        <v>Tennessee</v>
      </c>
      <c r="S573" s="396" t="str">
        <f>IF(+NFL!$F40="Tennessee",+NFL!S40,IF(+NFL!$H40="Tennessee",+NFL!S40,0))</f>
        <v>Las Vegas</v>
      </c>
      <c r="T573" s="398" t="str">
        <f>IF(+NFL!$F40="Tennessee",+NFL!T40,IF(+NFL!$H40="Tennessee",+NFL!T40,0))</f>
        <v>Las Vegas</v>
      </c>
      <c r="U573" s="396" t="str">
        <f>IF(+NFL!$F40="Tennessee",+NFL!U40,IF(+NFL!$H40="Tennessee",+NFL!U40,0))</f>
        <v>L</v>
      </c>
      <c r="V573" s="397"/>
      <c r="W573" s="396"/>
      <c r="X573" s="398"/>
      <c r="Y573" s="396"/>
      <c r="Z573" s="397"/>
      <c r="AA573" s="396"/>
      <c r="AB573" s="87"/>
      <c r="AC573" s="120"/>
      <c r="AD573" s="353"/>
      <c r="AE573" s="379"/>
      <c r="AF573" s="353"/>
      <c r="AG573" s="379"/>
      <c r="AH573" s="353"/>
      <c r="AI573" s="379"/>
      <c r="AJ573" s="353"/>
      <c r="AK573" s="379"/>
      <c r="AL573" s="68"/>
      <c r="AM573" s="58"/>
      <c r="AN573" s="57"/>
      <c r="AO573" s="59"/>
      <c r="AP573" s="348"/>
      <c r="AQ573" s="48"/>
      <c r="AR573" s="57"/>
      <c r="AS573" s="64"/>
      <c r="AT573" s="64"/>
      <c r="AU573" s="57"/>
      <c r="AV573" s="64"/>
      <c r="AW573" s="46"/>
      <c r="AX573" s="64"/>
      <c r="AY573" s="57"/>
      <c r="AZ573" s="64"/>
      <c r="BA573" s="46"/>
      <c r="BB573" s="46"/>
      <c r="BC573" s="403"/>
      <c r="BD573" s="57"/>
      <c r="BE573" s="64"/>
      <c r="BF573" s="46"/>
      <c r="BG573" s="57"/>
      <c r="BH573" s="64"/>
      <c r="BI573" s="46"/>
      <c r="BJ573" s="87"/>
      <c r="BK573" s="120"/>
    </row>
    <row r="574" spans="1:68" s="246" customFormat="1" x14ac:dyDescent="0.8">
      <c r="A574" s="46">
        <f>IF(+NFL!$F60="Tennessee",+NFL!A60,IF(+NFL!$H60="Tennessee",+NFL!A60,0))</f>
        <v>4</v>
      </c>
      <c r="B574" s="348" t="str">
        <f>IF(+NFL!$F60="Tennessee",+NFL!B60,IF(+NFL!$H60="Tennessee",+NFL!B60,0))</f>
        <v>Sun</v>
      </c>
      <c r="C574" s="48">
        <f>IF(+NFL!$F60="Tennessee",+NFL!C60,IF(+NFL!$H60="Tennessee",+NFL!C60,0))</f>
        <v>44836</v>
      </c>
      <c r="D574" s="490">
        <f>IF(+NFL!$F60="Tennessee",+NFL!D60,IF(+NFL!$H60="Tennessee",+NFL!D60,0))</f>
        <v>0.54166666666666663</v>
      </c>
      <c r="E574" s="46" t="str">
        <f>IF(+NFL!$F60="Tennessee",+NFL!E60,IF(+NFL!$H60="Tennessee",+NFL!E60,0))</f>
        <v>CBS</v>
      </c>
      <c r="F574" s="127" t="str">
        <f>IF(+NFL!$F60="Tennessee",+NFL!F60,IF(+NFL!$H60="Tennessee",+NFL!F60,0))</f>
        <v>Tennessee</v>
      </c>
      <c r="G574" s="46" t="str">
        <f>IF(+NFL!$F60="Tennessee",+NFL!G60,IF(+NFL!$H60="Tennessee",+NFL!G60,0))</f>
        <v>AFCS</v>
      </c>
      <c r="H574" s="127" t="str">
        <f>IF(+NFL!$F60="Tennessee",+NFL!H60,IF(+NFL!$H60="Tennessee",+NFL!H60,0))</f>
        <v>Indianapolis</v>
      </c>
      <c r="I574" s="46" t="str">
        <f>IF(+NFL!$F60="Tennessee",+NFL!I60,IF(+NFL!$H60="Tennessee",+NFL!I60,0))</f>
        <v>AFCS</v>
      </c>
      <c r="J574" s="353" t="str">
        <f>IF(+NFL!$F60="Tennessee",+NFL!J60,IF(+NFL!$H60="Tennessee",+NFL!J60,0))</f>
        <v>Indianapolis</v>
      </c>
      <c r="K574" s="494" t="str">
        <f>IF(+NFL!$F60="Tennessee",+NFL!K60,IF(+NFL!$H60="Tennessee",+NFL!K60,0))</f>
        <v>Tennessee</v>
      </c>
      <c r="L574" s="384">
        <f>IF(+NFL!$F60="Tennessee",+NFL!L60,IF(+NFL!$H60="Tennessee",+NFL!L60,0))</f>
        <v>3.5</v>
      </c>
      <c r="M574" s="385">
        <f>IF(+NFL!$F60="Tennessee",+NFL!M60,IF(+NFL!$H60="Tennessee",+NFL!M60,0))</f>
        <v>42.5</v>
      </c>
      <c r="N574" s="394" t="str">
        <f>IF(+NFL!$F60="Tennessee",+NFL!N60,IF(+NFL!$H60="Tennessee",+NFL!N60,0))</f>
        <v>Tennessee</v>
      </c>
      <c r="O574" s="395">
        <f>IF(+NFL!$F60="Tennessee",+NFL!O60,IF(+NFL!$H60="Tennessee",+NFL!O60,0))</f>
        <v>24</v>
      </c>
      <c r="P574" s="394" t="str">
        <f>IF(+NFL!$F60="Tennessee",+NFL!P60,IF(+NFL!$H60="Tennessee",+NFL!P60,0))</f>
        <v>Indianapolis</v>
      </c>
      <c r="Q574" s="396">
        <f>IF(+NFL!$F60="Tennessee",+NFL!Q60,IF(+NFL!$H60="Tennessee",+NFL!Q60,0))</f>
        <v>17</v>
      </c>
      <c r="R574" s="397" t="str">
        <f>IF(+NFL!$F60="Tennessee",+NFL!R60,IF(+NFL!$H60="Tennessee",+NFL!R60,0))</f>
        <v>Tennessee</v>
      </c>
      <c r="S574" s="396" t="str">
        <f>IF(+NFL!$F60="Tennessee",+NFL!S60,IF(+NFL!$H60="Tennessee",+NFL!S60,0))</f>
        <v>Indianapolis</v>
      </c>
      <c r="T574" s="398" t="str">
        <f>IF(+NFL!$F60="Tennessee",+NFL!T60,IF(+NFL!$H60="Tennessee",+NFL!T60,0))</f>
        <v>Tennessee</v>
      </c>
      <c r="U574" s="396" t="str">
        <f>IF(+NFL!$F60="Tennessee",+NFL!U60,IF(+NFL!$H60="Tennessee",+NFL!U60,0))</f>
        <v>W</v>
      </c>
      <c r="V574" s="397">
        <f>IF(+NFL!$F31="Tennessee",+NFL!#REF!,IF(+NFL!$H31="Tennessee",+NFL!#REF!,0))</f>
        <v>0</v>
      </c>
      <c r="W574" s="396">
        <f>IF(+NFL!$F31="Tennessee",+NFL!#REF!,IF(+NFL!$H31="Tennessee",+NFL!#REF!,0))</f>
        <v>0</v>
      </c>
      <c r="X574" s="398">
        <f>IF(+NFL!$F31="Tennessee",+NFL!#REF!,IF(+NFL!$H31="Tennessee",+NFL!#REF!,0))</f>
        <v>0</v>
      </c>
      <c r="Y574" s="396">
        <f>IF(+NFL!$F31="Tennessee",+NFL!#REF!,IF(+NFL!$H31="Tennessee",+NFL!#REF!,0))</f>
        <v>0</v>
      </c>
      <c r="Z574" s="397">
        <f>IF(+NFL!$F31="Tennessee",+NFL!#REF!,IF(+NFL!$H31="Tennessee",+NFL!#REF!,0))</f>
        <v>0</v>
      </c>
      <c r="AA574" s="396">
        <f>IF(+NFL!$F31="Tennessee",+NFL!#REF!,IF(+NFL!$H31="Tennessee",+NFL!#REF!,0))</f>
        <v>0</v>
      </c>
      <c r="AB574" s="87">
        <f>IF(+NFL!$F31="Tennessee",+NFL!#REF!,IF(+NFL!$H31="Tennessee",+NFL!#REF!,0))</f>
        <v>0</v>
      </c>
      <c r="AC574" s="120">
        <f>IF(+NFL!$F31="Tennessee",+NFL!#REF!,IF(+NFL!$H31="Tennessee",+NFL!#REF!,0))</f>
        <v>0</v>
      </c>
      <c r="AD574" s="353">
        <f>IF(+NFL!$F31="Tennessee",+NFL!#REF!,IF(+NFL!$H31="Tennessee",+NFL!#REF!,0))</f>
        <v>0</v>
      </c>
      <c r="AE574" s="379">
        <f>IF(+NFL!$F31="Tennessee",+NFL!#REF!,IF(+NFL!$H31="Tennessee",+NFL!#REF!,0))</f>
        <v>0</v>
      </c>
      <c r="AF574" s="353">
        <f>IF(+NFL!$F31="Tennessee",+NFL!#REF!,IF(+NFL!$H31="Tennessee",+NFL!#REF!,0))</f>
        <v>0</v>
      </c>
      <c r="AG574" s="379">
        <f>IF(+NFL!$F31="Tennessee",+NFL!#REF!,IF(+NFL!$H31="Tennessee",+NFL!#REF!,0))</f>
        <v>0</v>
      </c>
      <c r="AH574" s="353">
        <f>IF(+NFL!$F31="Tennessee",+NFL!#REF!,IF(+NFL!$H31="Tennessee",+NFL!#REF!,0))</f>
        <v>0</v>
      </c>
      <c r="AI574" s="379">
        <f>IF(+NFL!$F31="Tennessee",+NFL!#REF!,IF(+NFL!$H31="Tennessee",+NFL!#REF!,0))</f>
        <v>0</v>
      </c>
      <c r="AJ574" s="353">
        <f>IF(+NFL!$F31="Tennessee",+NFL!#REF!,IF(+NFL!$H31="Tennessee",+NFL!#REF!,0))</f>
        <v>0</v>
      </c>
      <c r="AK574" s="379">
        <f>IF(+NFL!$F31="Tennessee",+NFL!#REF!,IF(+NFL!$H31="Tennessee",+NFL!#REF!,0))</f>
        <v>0</v>
      </c>
      <c r="AL574" s="68">
        <f>IF(+NFL!$F31="Tennessee",+NFL!#REF!,IF(+NFL!$H31="Tennessee",+NFL!#REF!,0))</f>
        <v>0</v>
      </c>
      <c r="AM574" s="58">
        <f>IF(+NFL!$F31="Tennessee",+NFL!#REF!,IF(+NFL!$H31="Tennessee",+NFL!#REF!,0))</f>
        <v>0</v>
      </c>
      <c r="AN574" s="57">
        <f>IF(+NFL!$F31="Tennessee",+NFL!#REF!,IF(+NFL!$H31="Tennessee",+NFL!#REF!,0))</f>
        <v>0</v>
      </c>
      <c r="AO574" s="59">
        <f>IF(+NFL!$F31="Tennessee",+NFL!#REF!,IF(+NFL!$H31="Tennessee",+NFL!#REF!,0))</f>
        <v>0</v>
      </c>
      <c r="AP574" s="348">
        <f>IF(+NFL!$F31="Tennessee",+NFL!#REF!,IF(+NFL!$H31="Tennessee",+NFL!#REF!,0))</f>
        <v>0</v>
      </c>
      <c r="AQ574" s="48">
        <f>IF(+NFL!$F31="Tennessee",+NFL!#REF!,IF(+NFL!$H31="Tennessee",+NFL!#REF!,0))</f>
        <v>0</v>
      </c>
      <c r="AR574" s="57">
        <f>IF(+NFL!$F31="Tennessee",+NFL!#REF!,IF(+NFL!$H31="Tennessee",+NFL!#REF!,0))</f>
        <v>0</v>
      </c>
      <c r="AS574" s="64">
        <f>IF(+NFL!$F31="Tennessee",+NFL!#REF!,IF(+NFL!$H31="Tennessee",+NFL!#REF!,0))</f>
        <v>0</v>
      </c>
      <c r="AT574" s="64">
        <f>IF(+NFL!$F31="Tennessee",+NFL!#REF!,IF(+NFL!$H31="Tennessee",+NFL!#REF!,0))</f>
        <v>0</v>
      </c>
      <c r="AU574" s="57">
        <f>IF(+NFL!$F31="Tennessee",+NFL!#REF!,IF(+NFL!$H31="Tennessee",+NFL!#REF!,0))</f>
        <v>0</v>
      </c>
      <c r="AV574" s="64">
        <f>IF(+NFL!$F31="Tennessee",+NFL!#REF!,IF(+NFL!$H31="Tennessee",+NFL!#REF!,0))</f>
        <v>0</v>
      </c>
      <c r="AW574" s="46">
        <f>IF(+NFL!$F31="Tennessee",+NFL!#REF!,IF(+NFL!$H31="Tennessee",+NFL!#REF!,0))</f>
        <v>0</v>
      </c>
      <c r="AX574" s="64">
        <f>IF(+NFL!$F31="Tennessee",+NFL!#REF!,IF(+NFL!$H31="Tennessee",+NFL!#REF!,0))</f>
        <v>0</v>
      </c>
      <c r="AY574" s="57">
        <f>IF(+NFL!$F31="Tennessee",+NFL!#REF!,IF(+NFL!$H31="Tennessee",+NFL!#REF!,0))</f>
        <v>0</v>
      </c>
      <c r="AZ574" s="64">
        <f>IF(+NFL!$F31="Tennessee",+NFL!#REF!,IF(+NFL!$H31="Tennessee",+NFL!#REF!,0))</f>
        <v>0</v>
      </c>
      <c r="BA574" s="46">
        <f>IF(+NFL!$F31="Tennessee",+NFL!#REF!,IF(+NFL!$H31="Tennessee",+NFL!#REF!,0))</f>
        <v>0</v>
      </c>
      <c r="BB574" s="46">
        <f>IF(+NFL!$F31="Tennessee",+NFL!#REF!,IF(+NFL!$H31="Tennessee",+NFL!#REF!,0))</f>
        <v>0</v>
      </c>
      <c r="BC574" s="403">
        <f>IF(+NFL!$F31="Tennessee",+NFL!#REF!,IF(+NFL!$H31="Tennessee",+NFL!#REF!,0))</f>
        <v>0</v>
      </c>
      <c r="BD574" s="57">
        <f>IF(+NFL!$F31="Tennessee",+NFL!#REF!,IF(+NFL!$H31="Tennessee",+NFL!#REF!,0))</f>
        <v>0</v>
      </c>
      <c r="BE574" s="64">
        <f>IF(+NFL!$F31="Tennessee",+NFL!#REF!,IF(+NFL!$H31="Tennessee",+NFL!#REF!,0))</f>
        <v>0</v>
      </c>
      <c r="BF574" s="46">
        <f>IF(+NFL!$F31="Tennessee",+NFL!#REF!,IF(+NFL!$H31="Tennessee",+NFL!#REF!,0))</f>
        <v>0</v>
      </c>
      <c r="BG574" s="57">
        <f>IF(+NFL!$F31="Tennessee",+NFL!#REF!,IF(+NFL!$H31="Tennessee",+NFL!#REF!,0))</f>
        <v>0</v>
      </c>
      <c r="BH574" s="64">
        <f>IF(+NFL!$F31="Tennessee",+NFL!#REF!,IF(+NFL!$H31="Tennessee",+NFL!#REF!,0))</f>
        <v>0</v>
      </c>
      <c r="BI574" s="46">
        <f>IF(+NFL!$F31="Tennessee",+NFL!#REF!,IF(+NFL!$H31="Tennessee",+NFL!#REF!,0))</f>
        <v>0</v>
      </c>
      <c r="BJ574" s="87">
        <f>IF(+NFL!$F31="Tennessee",+NFL!#REF!,IF(+NFL!$H31="Tennessee",+NFL!#REF!,0))</f>
        <v>0</v>
      </c>
      <c r="BK574" s="120">
        <f>IF(+NFL!$F31="Tennessee",+NFL!#REF!,IF(+NFL!$H31="Tennessee",+NFL!#REF!,0))</f>
        <v>0</v>
      </c>
    </row>
    <row r="575" spans="1:68" s="246" customFormat="1" x14ac:dyDescent="0.8">
      <c r="A575" s="46">
        <f>IF(+NFL!$F81="Tennessee",+NFL!A81,IF(+NFL!$H81="Tennessee",+NFL!A81,0))</f>
        <v>5</v>
      </c>
      <c r="B575" s="348" t="str">
        <f>IF(+NFL!$F81="Tennessee",+NFL!B81,IF(+NFL!$H81="Tennessee",+NFL!B81,0))</f>
        <v>Sun</v>
      </c>
      <c r="C575" s="48">
        <f>IF(+NFL!$F81="Tennessee",+NFL!C81,IF(+NFL!$H81="Tennessee",+NFL!C81,0))</f>
        <v>44843</v>
      </c>
      <c r="D575" s="490">
        <f>IF(+NFL!$F81="Tennessee",+NFL!D81,IF(+NFL!$H81="Tennessee",+NFL!D81,0))</f>
        <v>0.54166666666666663</v>
      </c>
      <c r="E575" s="46" t="str">
        <f>IF(+NFL!$F81="Tennessee",+NFL!E81,IF(+NFL!$H81="Tennessee",+NFL!E81,0))</f>
        <v>CBS</v>
      </c>
      <c r="F575" s="127" t="str">
        <f>IF(+NFL!$F81="Tennessee",+NFL!F81,IF(+NFL!$H81="Tennessee",+NFL!F81,0))</f>
        <v>Tennessee</v>
      </c>
      <c r="G575" s="46" t="str">
        <f>IF(+NFL!$F81="Tennessee",+NFL!G81,IF(+NFL!$H81="Tennessee",+NFL!G81,0))</f>
        <v>AFCS</v>
      </c>
      <c r="H575" s="127" t="str">
        <f>IF(+NFL!$F81="Tennessee",+NFL!H81,IF(+NFL!$H81="Tennessee",+NFL!H81,0))</f>
        <v>Washington</v>
      </c>
      <c r="I575" s="46" t="str">
        <f>IF(+NFL!$F81="Tennessee",+NFL!I81,IF(+NFL!$H81="Tennessee",+NFL!I81,0))</f>
        <v>NFCE</v>
      </c>
      <c r="J575" s="353" t="str">
        <f>IF(+NFL!$F81="Tennessee",+NFL!J81,IF(+NFL!$H81="Tennessee",+NFL!J81,0))</f>
        <v>Tennessee</v>
      </c>
      <c r="K575" s="494" t="str">
        <f>IF(+NFL!$F81="Tennessee",+NFL!K81,IF(+NFL!$H81="Tennessee",+NFL!K81,0))</f>
        <v>Washington</v>
      </c>
      <c r="L575" s="384">
        <f>IF(+NFL!$F81="Tennessee",+NFL!L81,IF(+NFL!$H81="Tennessee",+NFL!L81,0))</f>
        <v>2.5</v>
      </c>
      <c r="M575" s="385">
        <f>IF(+NFL!$F81="Tennessee",+NFL!M81,IF(+NFL!$H81="Tennessee",+NFL!M81,0))</f>
        <v>42.5</v>
      </c>
      <c r="N575" s="394" t="str">
        <f>IF(+NFL!$F81="Tennessee",+NFL!N81,IF(+NFL!$H81="Tennessee",+NFL!N81,0))</f>
        <v>Tennessee</v>
      </c>
      <c r="O575" s="395">
        <f>IF(+NFL!$F81="Tennessee",+NFL!O81,IF(+NFL!$H81="Tennessee",+NFL!O81,0))</f>
        <v>21</v>
      </c>
      <c r="P575" s="394" t="str">
        <f>IF(+NFL!$F81="Tennessee",+NFL!P81,IF(+NFL!$H81="Tennessee",+NFL!P81,0))</f>
        <v>Washington</v>
      </c>
      <c r="Q575" s="396">
        <f>IF(+NFL!$F81="Tennessee",+NFL!Q81,IF(+NFL!$H81="Tennessee",+NFL!Q81,0))</f>
        <v>17</v>
      </c>
      <c r="R575" s="397" t="str">
        <f>IF(+NFL!$F81="Tennessee",+NFL!R81,IF(+NFL!$H81="Tennessee",+NFL!R81,0))</f>
        <v>Tennessee</v>
      </c>
      <c r="S575" s="396" t="str">
        <f>IF(+NFL!$F81="Tennessee",+NFL!S81,IF(+NFL!$H81="Tennessee",+NFL!S81,0))</f>
        <v>Washington</v>
      </c>
      <c r="T575" s="398" t="str">
        <f>IF(+NFL!$F81="Tennessee",+NFL!T81,IF(+NFL!$H81="Tennessee",+NFL!T81,0))</f>
        <v>Tennessee</v>
      </c>
      <c r="U575" s="396" t="str">
        <f>IF(+NFL!$F81="Tennessee",+NFL!U81,IF(+NFL!$H81="Tennessee",+NFL!U81,0))</f>
        <v>W</v>
      </c>
      <c r="V575" s="397">
        <f>IF(+NFL!$F47="Tennessee",+NFL!#REF!,IF(+NFL!$H47="Tennessee",+NFL!#REF!,0))</f>
        <v>0</v>
      </c>
      <c r="W575" s="396">
        <f>IF(+NFL!$F47="Tennessee",+NFL!#REF!,IF(+NFL!$H47="Tennessee",+NFL!#REF!,0))</f>
        <v>0</v>
      </c>
      <c r="X575" s="398">
        <f>IF(+NFL!$F47="Tennessee",+NFL!#REF!,IF(+NFL!$H47="Tennessee",+NFL!#REF!,0))</f>
        <v>0</v>
      </c>
      <c r="Y575" s="396">
        <f>IF(+NFL!$F47="Tennessee",+NFL!#REF!,IF(+NFL!$H47="Tennessee",+NFL!#REF!,0))</f>
        <v>0</v>
      </c>
      <c r="Z575" s="397">
        <f>IF(+NFL!$F47="Tennessee",+NFL!#REF!,IF(+NFL!$H47="Tennessee",+NFL!#REF!,0))</f>
        <v>0</v>
      </c>
      <c r="AA575" s="396">
        <f>IF(+NFL!$F47="Tennessee",+NFL!#REF!,IF(+NFL!$H47="Tennessee",+NFL!#REF!,0))</f>
        <v>0</v>
      </c>
      <c r="AB575" s="87">
        <f>IF(+NFL!$F47="Tennessee",+NFL!#REF!,IF(+NFL!$H47="Tennessee",+NFL!#REF!,0))</f>
        <v>0</v>
      </c>
      <c r="AC575" s="120">
        <f>IF(+NFL!$F47="Tennessee",+NFL!#REF!,IF(+NFL!$H47="Tennessee",+NFL!#REF!,0))</f>
        <v>0</v>
      </c>
      <c r="AD575" s="353">
        <f>IF(+NFL!$F47="Tennessee",+NFL!#REF!,IF(+NFL!$H47="Tennessee",+NFL!#REF!,0))</f>
        <v>0</v>
      </c>
      <c r="AE575" s="379">
        <f>IF(+NFL!$F47="Tennessee",+NFL!#REF!,IF(+NFL!$H47="Tennessee",+NFL!#REF!,0))</f>
        <v>0</v>
      </c>
      <c r="AF575" s="353">
        <f>IF(+NFL!$F47="Tennessee",+NFL!#REF!,IF(+NFL!$H47="Tennessee",+NFL!#REF!,0))</f>
        <v>0</v>
      </c>
      <c r="AG575" s="379">
        <f>IF(+NFL!$F47="Tennessee",+NFL!#REF!,IF(+NFL!$H47="Tennessee",+NFL!#REF!,0))</f>
        <v>0</v>
      </c>
      <c r="AH575" s="353">
        <f>IF(+NFL!$F47="Tennessee",+NFL!#REF!,IF(+NFL!$H47="Tennessee",+NFL!#REF!,0))</f>
        <v>0</v>
      </c>
      <c r="AI575" s="379">
        <f>IF(+NFL!$F47="Tennessee",+NFL!#REF!,IF(+NFL!$H47="Tennessee",+NFL!#REF!,0))</f>
        <v>0</v>
      </c>
      <c r="AJ575" s="353">
        <f>IF(+NFL!$F47="Tennessee",+NFL!#REF!,IF(+NFL!$H47="Tennessee",+NFL!#REF!,0))</f>
        <v>0</v>
      </c>
      <c r="AK575" s="379">
        <f>IF(+NFL!$F47="Tennessee",+NFL!#REF!,IF(+NFL!$H47="Tennessee",+NFL!#REF!,0))</f>
        <v>0</v>
      </c>
      <c r="AL575" s="68">
        <f>IF(+NFL!$F47="Tennessee",+NFL!#REF!,IF(+NFL!$H47="Tennessee",+NFL!#REF!,0))</f>
        <v>0</v>
      </c>
      <c r="AM575" s="58">
        <f>IF(+NFL!$F47="Tennessee",+NFL!#REF!,IF(+NFL!$H47="Tennessee",+NFL!#REF!,0))</f>
        <v>0</v>
      </c>
      <c r="AN575" s="57">
        <f>IF(+NFL!$F47="Tennessee",+NFL!#REF!,IF(+NFL!$H47="Tennessee",+NFL!#REF!,0))</f>
        <v>0</v>
      </c>
      <c r="AO575" s="59">
        <f>IF(+NFL!$F47="Tennessee",+NFL!#REF!,IF(+NFL!$H47="Tennessee",+NFL!#REF!,0))</f>
        <v>0</v>
      </c>
      <c r="AP575" s="348">
        <f>IF(+NFL!$F47="Tennessee",+NFL!#REF!,IF(+NFL!$H47="Tennessee",+NFL!#REF!,0))</f>
        <v>0</v>
      </c>
      <c r="AQ575" s="48">
        <f>IF(+NFL!$F47="Tennessee",+NFL!#REF!,IF(+NFL!$H47="Tennessee",+NFL!#REF!,0))</f>
        <v>0</v>
      </c>
      <c r="AR575" s="57">
        <f>IF(+NFL!$F47="Tennessee",+NFL!#REF!,IF(+NFL!$H47="Tennessee",+NFL!#REF!,0))</f>
        <v>0</v>
      </c>
      <c r="AS575" s="64">
        <f>IF(+NFL!$F47="Tennessee",+NFL!#REF!,IF(+NFL!$H47="Tennessee",+NFL!#REF!,0))</f>
        <v>0</v>
      </c>
      <c r="AT575" s="64">
        <f>IF(+NFL!$F47="Tennessee",+NFL!#REF!,IF(+NFL!$H47="Tennessee",+NFL!#REF!,0))</f>
        <v>0</v>
      </c>
      <c r="AU575" s="57">
        <f>IF(+NFL!$F47="Tennessee",+NFL!#REF!,IF(+NFL!$H47="Tennessee",+NFL!#REF!,0))</f>
        <v>0</v>
      </c>
      <c r="AV575" s="64">
        <f>IF(+NFL!$F47="Tennessee",+NFL!#REF!,IF(+NFL!$H47="Tennessee",+NFL!#REF!,0))</f>
        <v>0</v>
      </c>
      <c r="AW575" s="46">
        <f>IF(+NFL!$F47="Tennessee",+NFL!#REF!,IF(+NFL!$H47="Tennessee",+NFL!#REF!,0))</f>
        <v>0</v>
      </c>
      <c r="AX575" s="64">
        <f>IF(+NFL!$F47="Tennessee",+NFL!#REF!,IF(+NFL!$H47="Tennessee",+NFL!#REF!,0))</f>
        <v>0</v>
      </c>
      <c r="AY575" s="57">
        <f>IF(+NFL!$F47="Tennessee",+NFL!#REF!,IF(+NFL!$H47="Tennessee",+NFL!#REF!,0))</f>
        <v>0</v>
      </c>
      <c r="AZ575" s="64">
        <f>IF(+NFL!$F47="Tennessee",+NFL!#REF!,IF(+NFL!$H47="Tennessee",+NFL!#REF!,0))</f>
        <v>0</v>
      </c>
      <c r="BA575" s="46">
        <f>IF(+NFL!$F47="Tennessee",+NFL!#REF!,IF(+NFL!$H47="Tennessee",+NFL!#REF!,0))</f>
        <v>0</v>
      </c>
      <c r="BB575" s="46">
        <f>IF(+NFL!$F47="Tennessee",+NFL!#REF!,IF(+NFL!$H47="Tennessee",+NFL!#REF!,0))</f>
        <v>0</v>
      </c>
      <c r="BC575" s="403">
        <f>IF(+NFL!$F47="Tennessee",+NFL!#REF!,IF(+NFL!$H47="Tennessee",+NFL!#REF!,0))</f>
        <v>0</v>
      </c>
      <c r="BD575" s="57">
        <f>IF(+NFL!$F47="Tennessee",+NFL!#REF!,IF(+NFL!$H47="Tennessee",+NFL!#REF!,0))</f>
        <v>0</v>
      </c>
      <c r="BE575" s="64">
        <f>IF(+NFL!$F47="Tennessee",+NFL!#REF!,IF(+NFL!$H47="Tennessee",+NFL!#REF!,0))</f>
        <v>0</v>
      </c>
      <c r="BF575" s="46">
        <f>IF(+NFL!$F47="Tennessee",+NFL!#REF!,IF(+NFL!$H47="Tennessee",+NFL!#REF!,0))</f>
        <v>0</v>
      </c>
      <c r="BG575" s="57">
        <f>IF(+NFL!$F47="Tennessee",+NFL!#REF!,IF(+NFL!$H47="Tennessee",+NFL!#REF!,0))</f>
        <v>0</v>
      </c>
      <c r="BH575" s="64">
        <f>IF(+NFL!$F47="Tennessee",+NFL!#REF!,IF(+NFL!$H47="Tennessee",+NFL!#REF!,0))</f>
        <v>0</v>
      </c>
      <c r="BI575" s="46">
        <f>IF(+NFL!$F47="Tennessee",+NFL!#REF!,IF(+NFL!$H47="Tennessee",+NFL!#REF!,0))</f>
        <v>0</v>
      </c>
      <c r="BJ575" s="87">
        <f>IF(+NFL!$F47="Tennessee",+NFL!#REF!,IF(+NFL!$H47="Tennessee",+NFL!#REF!,0))</f>
        <v>0</v>
      </c>
      <c r="BK575" s="120">
        <f>IF(+NFL!$F47="Tennessee",+NFL!#REF!,IF(+NFL!$H47="Tennessee",+NFL!#REF!,0))</f>
        <v>0</v>
      </c>
    </row>
    <row r="576" spans="1:68" s="246" customFormat="1" x14ac:dyDescent="0.8">
      <c r="A576" s="46">
        <f>IF(+NFL!$F105="Tennessee",+NFL!A105,IF(+NFL!$H105="Tennessee",+NFL!A105,0))</f>
        <v>6</v>
      </c>
      <c r="B576" s="348">
        <f>IF(+NFL!$F105="Tennessee",+NFL!B105,IF(+NFL!$H105="Tennessee",+NFL!B105,0))</f>
        <v>0</v>
      </c>
      <c r="C576" s="48">
        <f>IF(+NFL!$F105="Tennessee",+NFL!C105,IF(+NFL!$H105="Tennessee",+NFL!C105,0))</f>
        <v>0</v>
      </c>
      <c r="D576" s="490">
        <f>IF(+NFL!$F105="Tennessee",+NFL!D105,IF(+NFL!$H105="Tennessee",+NFL!D105,0))</f>
        <v>0</v>
      </c>
      <c r="E576" s="46">
        <f>IF(+NFL!$F105="Tennessee",+NFL!E105,IF(+NFL!$H105="Tennessee",+NFL!E105,0))</f>
        <v>0</v>
      </c>
      <c r="F576" s="127" t="str">
        <f>IF(+NFL!$F105="Tennessee",+NFL!F105,IF(+NFL!$H105="Tennessee",+NFL!F105,0))</f>
        <v>Tennessee</v>
      </c>
      <c r="G576" s="46" t="str">
        <f>IF(+NFL!$F105="Tennessee",+NFL!G105,IF(+NFL!$H105="Tennessee",+NFL!G105,0))</f>
        <v>AFCS</v>
      </c>
      <c r="H576" s="127">
        <f>IF(+NFL!$F105="Tennessee",+NFL!H105,IF(+NFL!$H105="Tennessee",+NFL!H105,0))</f>
        <v>0</v>
      </c>
      <c r="I576" s="46">
        <f>IF(+NFL!$F105="Tennessee",+NFL!I105,IF(+NFL!$H105="Tennessee",+NFL!I105,0))</f>
        <v>0</v>
      </c>
      <c r="J576" s="353">
        <f>IF(+NFL!$F105="Tennessee",+NFL!J105,IF(+NFL!$H105="Tennessee",+NFL!J105,0))</f>
        <v>0</v>
      </c>
      <c r="K576" s="494">
        <f>IF(+NFL!$F105="Tennessee",+NFL!K105,IF(+NFL!$H105="Tennessee",+NFL!K105,0))</f>
        <v>0</v>
      </c>
      <c r="L576" s="384">
        <f>IF(+NFL!$F105="Tennessee",+NFL!L105,IF(+NFL!$H105="Tennessee",+NFL!L105,0))</f>
        <v>0</v>
      </c>
      <c r="M576" s="385">
        <f>IF(+NFL!$F105="Tennessee",+NFL!M105,IF(+NFL!$H105="Tennessee",+NFL!M105,0))</f>
        <v>0</v>
      </c>
      <c r="N576" s="394">
        <f>IF(+NFL!$F105="Tennessee",+NFL!N105,IF(+NFL!$H105="Tennessee",+NFL!N105,0))</f>
        <v>0</v>
      </c>
      <c r="O576" s="395">
        <f>IF(+NFL!$F105="Tennessee",+NFL!O105,IF(+NFL!$H105="Tennessee",+NFL!O105,0))</f>
        <v>0</v>
      </c>
      <c r="P576" s="394">
        <f>IF(+NFL!$F105="Tennessee",+NFL!P105,IF(+NFL!$H105="Tennessee",+NFL!P105,0))</f>
        <v>0</v>
      </c>
      <c r="Q576" s="396">
        <f>IF(+NFL!$F105="Tennessee",+NFL!Q105,IF(+NFL!$H105="Tennessee",+NFL!Q105,0))</f>
        <v>0</v>
      </c>
      <c r="R576" s="397">
        <f>IF(+NFL!$F105="Tennessee",+NFL!R105,IF(+NFL!$H105="Tennessee",+NFL!R105,0))</f>
        <v>0</v>
      </c>
      <c r="S576" s="396">
        <f>IF(+NFL!$F105="Tennessee",+NFL!S105,IF(+NFL!$H105="Tennessee",+NFL!S105,0))</f>
        <v>0</v>
      </c>
      <c r="T576" s="398">
        <f>IF(+NFL!$F105="Tennessee",+NFL!T105,IF(+NFL!$H105="Tennessee",+NFL!T105,0))</f>
        <v>0</v>
      </c>
      <c r="U576" s="396">
        <f>IF(+NFL!$F105="Tennessee",+NFL!U105,IF(+NFL!$H105="Tennessee",+NFL!U105,0))</f>
        <v>0</v>
      </c>
      <c r="V576" s="397">
        <f>IF(+NFL!$F70="Tennessee",+NFL!#REF!,IF(+NFL!$H70="Tennessee",+NFL!#REF!,0))</f>
        <v>0</v>
      </c>
      <c r="W576" s="396">
        <f>IF(+NFL!$F70="Tennessee",+NFL!#REF!,IF(+NFL!$H70="Tennessee",+NFL!#REF!,0))</f>
        <v>0</v>
      </c>
      <c r="X576" s="398">
        <f>IF(+NFL!$F70="Tennessee",+NFL!#REF!,IF(+NFL!$H70="Tennessee",+NFL!#REF!,0))</f>
        <v>0</v>
      </c>
      <c r="Y576" s="396">
        <f>IF(+NFL!$F70="Tennessee",+NFL!#REF!,IF(+NFL!$H70="Tennessee",+NFL!#REF!,0))</f>
        <v>0</v>
      </c>
      <c r="Z576" s="397">
        <f>IF(+NFL!$F70="Tennessee",+NFL!#REF!,IF(+NFL!$H70="Tennessee",+NFL!#REF!,0))</f>
        <v>0</v>
      </c>
      <c r="AA576" s="396">
        <f>IF(+NFL!$F70="Tennessee",+NFL!#REF!,IF(+NFL!$H70="Tennessee",+NFL!#REF!,0))</f>
        <v>0</v>
      </c>
      <c r="AB576" s="87">
        <f>IF(+NFL!$F70="Tennessee",+NFL!#REF!,IF(+NFL!$H70="Tennessee",+NFL!#REF!,0))</f>
        <v>0</v>
      </c>
      <c r="AC576" s="120">
        <f>IF(+NFL!$F70="Tennessee",+NFL!#REF!,IF(+NFL!$H70="Tennessee",+NFL!#REF!,0))</f>
        <v>0</v>
      </c>
      <c r="AD576" s="353">
        <f>IF(+NFL!$F70="Tennessee",+NFL!#REF!,IF(+NFL!$H70="Tennessee",+NFL!#REF!,0))</f>
        <v>0</v>
      </c>
      <c r="AE576" s="379">
        <f>IF(+NFL!$F70="Tennessee",+NFL!#REF!,IF(+NFL!$H70="Tennessee",+NFL!#REF!,0))</f>
        <v>0</v>
      </c>
      <c r="AF576" s="353">
        <f>IF(+NFL!$F70="Tennessee",+NFL!#REF!,IF(+NFL!$H70="Tennessee",+NFL!#REF!,0))</f>
        <v>0</v>
      </c>
      <c r="AG576" s="379">
        <f>IF(+NFL!$F70="Tennessee",+NFL!#REF!,IF(+NFL!$H70="Tennessee",+NFL!#REF!,0))</f>
        <v>0</v>
      </c>
      <c r="AH576" s="353">
        <f>IF(+NFL!$F70="Tennessee",+NFL!#REF!,IF(+NFL!$H70="Tennessee",+NFL!#REF!,0))</f>
        <v>0</v>
      </c>
      <c r="AI576" s="379">
        <f>IF(+NFL!$F70="Tennessee",+NFL!#REF!,IF(+NFL!$H70="Tennessee",+NFL!#REF!,0))</f>
        <v>0</v>
      </c>
      <c r="AJ576" s="353">
        <f>IF(+NFL!$F70="Tennessee",+NFL!#REF!,IF(+NFL!$H70="Tennessee",+NFL!#REF!,0))</f>
        <v>0</v>
      </c>
      <c r="AK576" s="379">
        <f>IF(+NFL!$F70="Tennessee",+NFL!#REF!,IF(+NFL!$H70="Tennessee",+NFL!#REF!,0))</f>
        <v>0</v>
      </c>
      <c r="AL576" s="68">
        <f>IF(+NFL!$F70="Tennessee",+NFL!#REF!,IF(+NFL!$H70="Tennessee",+NFL!#REF!,0))</f>
        <v>0</v>
      </c>
      <c r="AM576" s="58">
        <f>IF(+NFL!$F70="Tennessee",+NFL!#REF!,IF(+NFL!$H70="Tennessee",+NFL!#REF!,0))</f>
        <v>0</v>
      </c>
      <c r="AN576" s="57">
        <f>IF(+NFL!$F70="Tennessee",+NFL!#REF!,IF(+NFL!$H70="Tennessee",+NFL!#REF!,0))</f>
        <v>0</v>
      </c>
      <c r="AO576" s="59">
        <f>IF(+NFL!$F70="Tennessee",+NFL!#REF!,IF(+NFL!$H70="Tennessee",+NFL!#REF!,0))</f>
        <v>0</v>
      </c>
      <c r="AP576" s="348">
        <f>IF(+NFL!$F70="Tennessee",+NFL!#REF!,IF(+NFL!$H70="Tennessee",+NFL!#REF!,0))</f>
        <v>0</v>
      </c>
      <c r="AQ576" s="48">
        <f>IF(+NFL!$F70="Tennessee",+NFL!#REF!,IF(+NFL!$H70="Tennessee",+NFL!#REF!,0))</f>
        <v>0</v>
      </c>
      <c r="AR576" s="57">
        <f>IF(+NFL!$F70="Tennessee",+NFL!#REF!,IF(+NFL!$H70="Tennessee",+NFL!#REF!,0))</f>
        <v>0</v>
      </c>
      <c r="AS576" s="64">
        <f>IF(+NFL!$F70="Tennessee",+NFL!#REF!,IF(+NFL!$H70="Tennessee",+NFL!#REF!,0))</f>
        <v>0</v>
      </c>
      <c r="AT576" s="64">
        <f>IF(+NFL!$F70="Tennessee",+NFL!#REF!,IF(+NFL!$H70="Tennessee",+NFL!#REF!,0))</f>
        <v>0</v>
      </c>
      <c r="AU576" s="57">
        <f>IF(+NFL!$F70="Tennessee",+NFL!#REF!,IF(+NFL!$H70="Tennessee",+NFL!#REF!,0))</f>
        <v>0</v>
      </c>
      <c r="AV576" s="64">
        <f>IF(+NFL!$F70="Tennessee",+NFL!#REF!,IF(+NFL!$H70="Tennessee",+NFL!#REF!,0))</f>
        <v>0</v>
      </c>
      <c r="AW576" s="46">
        <f>IF(+NFL!$F70="Tennessee",+NFL!#REF!,IF(+NFL!$H70="Tennessee",+NFL!#REF!,0))</f>
        <v>0</v>
      </c>
      <c r="AX576" s="64">
        <f>IF(+NFL!$F70="Tennessee",+NFL!#REF!,IF(+NFL!$H70="Tennessee",+NFL!#REF!,0))</f>
        <v>0</v>
      </c>
      <c r="AY576" s="57">
        <f>IF(+NFL!$F70="Tennessee",+NFL!#REF!,IF(+NFL!$H70="Tennessee",+NFL!#REF!,0))</f>
        <v>0</v>
      </c>
      <c r="AZ576" s="64">
        <f>IF(+NFL!$F70="Tennessee",+NFL!#REF!,IF(+NFL!$H70="Tennessee",+NFL!#REF!,0))</f>
        <v>0</v>
      </c>
      <c r="BA576" s="46">
        <f>IF(+NFL!$F70="Tennessee",+NFL!#REF!,IF(+NFL!$H70="Tennessee",+NFL!#REF!,0))</f>
        <v>0</v>
      </c>
      <c r="BB576" s="46">
        <f>IF(+NFL!$F70="Tennessee",+NFL!#REF!,IF(+NFL!$H70="Tennessee",+NFL!#REF!,0))</f>
        <v>0</v>
      </c>
      <c r="BC576" s="403">
        <f>IF(+NFL!$F70="Tennessee",+NFL!#REF!,IF(+NFL!$H70="Tennessee",+NFL!#REF!,0))</f>
        <v>0</v>
      </c>
      <c r="BD576" s="57">
        <f>IF(+NFL!$F70="Tennessee",+NFL!#REF!,IF(+NFL!$H70="Tennessee",+NFL!#REF!,0))</f>
        <v>0</v>
      </c>
      <c r="BE576" s="64">
        <f>IF(+NFL!$F70="Tennessee",+NFL!#REF!,IF(+NFL!$H70="Tennessee",+NFL!#REF!,0))</f>
        <v>0</v>
      </c>
      <c r="BF576" s="46">
        <f>IF(+NFL!$F70="Tennessee",+NFL!#REF!,IF(+NFL!$H70="Tennessee",+NFL!#REF!,0))</f>
        <v>0</v>
      </c>
      <c r="BG576" s="57">
        <f>IF(+NFL!$F70="Tennessee",+NFL!#REF!,IF(+NFL!$H70="Tennessee",+NFL!#REF!,0))</f>
        <v>0</v>
      </c>
      <c r="BH576" s="64">
        <f>IF(+NFL!$F70="Tennessee",+NFL!#REF!,IF(+NFL!$H70="Tennessee",+NFL!#REF!,0))</f>
        <v>0</v>
      </c>
      <c r="BI576" s="46">
        <f>IF(+NFL!$F70="Tennessee",+NFL!#REF!,IF(+NFL!$H70="Tennessee",+NFL!#REF!,0))</f>
        <v>0</v>
      </c>
      <c r="BJ576" s="87">
        <f>IF(+NFL!$F70="Tennessee",+NFL!#REF!,IF(+NFL!$H70="Tennessee",+NFL!#REF!,0))</f>
        <v>0</v>
      </c>
      <c r="BK576" s="120">
        <f>IF(+NFL!$F70="Tennessee",+NFL!#REF!,IF(+NFL!$H70="Tennessee",+NFL!#REF!,0))</f>
        <v>0</v>
      </c>
    </row>
    <row r="577" spans="1:63" s="246" customFormat="1" x14ac:dyDescent="0.8">
      <c r="A577" s="46">
        <f>IF(+NFL!$F112="Tennessee",+NFL!A112,IF(+NFL!$H112="Tennessee",+NFL!A112,0))</f>
        <v>7</v>
      </c>
      <c r="B577" s="348" t="str">
        <f>IF(+NFL!$F112="Tennessee",+NFL!B112,IF(+NFL!$H112="Tennessee",+NFL!B112,0))</f>
        <v>Sun</v>
      </c>
      <c r="C577" s="48">
        <f>IF(+NFL!$F112="Tennessee",+NFL!C112,IF(+NFL!$H112="Tennessee",+NFL!C112,0))</f>
        <v>44857</v>
      </c>
      <c r="D577" s="490">
        <f>IF(+NFL!$F112="Tennessee",+NFL!D112,IF(+NFL!$H112="Tennessee",+NFL!D112,0))</f>
        <v>0.54166666666666663</v>
      </c>
      <c r="E577" s="46" t="str">
        <f>IF(+NFL!$F112="Tennessee",+NFL!E112,IF(+NFL!$H112="Tennessee",+NFL!E112,0))</f>
        <v>CBS</v>
      </c>
      <c r="F577" s="127" t="str">
        <f>IF(+NFL!$F112="Tennessee",+NFL!F112,IF(+NFL!$H112="Tennessee",+NFL!F112,0))</f>
        <v>Indianapolis</v>
      </c>
      <c r="G577" s="46" t="str">
        <f>IF(+NFL!$F112="Tennessee",+NFL!G112,IF(+NFL!$H112="Tennessee",+NFL!G112,0))</f>
        <v>AFCS</v>
      </c>
      <c r="H577" s="127" t="str">
        <f>IF(+NFL!$F112="Tennessee",+NFL!H112,IF(+NFL!$H112="Tennessee",+NFL!H112,0))</f>
        <v>Tennessee</v>
      </c>
      <c r="I577" s="46" t="str">
        <f>IF(+NFL!$F112="Tennessee",+NFL!I112,IF(+NFL!$H112="Tennessee",+NFL!I112,0))</f>
        <v>AFCS</v>
      </c>
      <c r="J577" s="353" t="str">
        <f>IF(+NFL!$F112="Tennessee",+NFL!J112,IF(+NFL!$H112="Tennessee",+NFL!J112,0))</f>
        <v>Tennessee</v>
      </c>
      <c r="K577" s="494" t="str">
        <f>IF(+NFL!$F112="Tennessee",+NFL!K112,IF(+NFL!$H112="Tennessee",+NFL!K112,0))</f>
        <v>Indianapolis</v>
      </c>
      <c r="L577" s="384">
        <f>IF(+NFL!$F112="Tennessee",+NFL!L112,IF(+NFL!$H112="Tennessee",+NFL!L112,0))</f>
        <v>2.5</v>
      </c>
      <c r="M577" s="385">
        <f>IF(+NFL!$F112="Tennessee",+NFL!M112,IF(+NFL!$H112="Tennessee",+NFL!M112,0))</f>
        <v>42.5</v>
      </c>
      <c r="N577" s="394" t="str">
        <f>IF(+NFL!$F112="Tennessee",+NFL!N112,IF(+NFL!$H112="Tennessee",+NFL!N112,0))</f>
        <v>Tennessee</v>
      </c>
      <c r="O577" s="395">
        <f>IF(+NFL!$F112="Tennessee",+NFL!O112,IF(+NFL!$H112="Tennessee",+NFL!O112,0))</f>
        <v>19</v>
      </c>
      <c r="P577" s="394" t="str">
        <f>IF(+NFL!$F112="Tennessee",+NFL!P112,IF(+NFL!$H112="Tennessee",+NFL!P112,0))</f>
        <v>Indianapolis</v>
      </c>
      <c r="Q577" s="396">
        <f>IF(+NFL!$F112="Tennessee",+NFL!Q112,IF(+NFL!$H112="Tennessee",+NFL!Q112,0))</f>
        <v>10</v>
      </c>
      <c r="R577" s="397" t="str">
        <f>IF(+NFL!$F112="Tennessee",+NFL!R112,IF(+NFL!$H112="Tennessee",+NFL!R112,0))</f>
        <v>Tennessee</v>
      </c>
      <c r="S577" s="396" t="str">
        <f>IF(+NFL!$F112="Tennessee",+NFL!S112,IF(+NFL!$H112="Tennessee",+NFL!S112,0))</f>
        <v>Indianapolis</v>
      </c>
      <c r="T577" s="398" t="str">
        <f>IF(+NFL!$F112="Tennessee",+NFL!T112,IF(+NFL!$H112="Tennessee",+NFL!T112,0))</f>
        <v>Tennessee</v>
      </c>
      <c r="U577" s="396" t="str">
        <f>IF(+NFL!$F112="Tennessee",+NFL!U112,IF(+NFL!$H112="Tennessee",+NFL!U112,0))</f>
        <v>W</v>
      </c>
      <c r="V577" s="397">
        <f>IF(+NFL!$F91="Tennessee",+NFL!#REF!,IF(+NFL!$H91="Tennessee",+NFL!#REF!,0))</f>
        <v>0</v>
      </c>
      <c r="W577" s="396">
        <f>IF(+NFL!$F91="Tennessee",+NFL!#REF!,IF(+NFL!$H91="Tennessee",+NFL!#REF!,0))</f>
        <v>0</v>
      </c>
      <c r="X577" s="398">
        <f>IF(+NFL!$F91="Tennessee",+NFL!#REF!,IF(+NFL!$H91="Tennessee",+NFL!#REF!,0))</f>
        <v>0</v>
      </c>
      <c r="Y577" s="396">
        <f>IF(+NFL!$F91="Tennessee",+NFL!#REF!,IF(+NFL!$H91="Tennessee",+NFL!#REF!,0))</f>
        <v>0</v>
      </c>
      <c r="Z577" s="397">
        <f>IF(+NFL!$F91="Tennessee",+NFL!#REF!,IF(+NFL!$H91="Tennessee",+NFL!#REF!,0))</f>
        <v>0</v>
      </c>
      <c r="AA577" s="396">
        <f>IF(+NFL!$F91="Tennessee",+NFL!#REF!,IF(+NFL!$H91="Tennessee",+NFL!#REF!,0))</f>
        <v>0</v>
      </c>
      <c r="AB577" s="87">
        <f>IF(+NFL!$F91="Tennessee",+NFL!#REF!,IF(+NFL!$H91="Tennessee",+NFL!#REF!,0))</f>
        <v>0</v>
      </c>
      <c r="AC577" s="120">
        <f>IF(+NFL!$F91="Tennessee",+NFL!#REF!,IF(+NFL!$H91="Tennessee",+NFL!#REF!,0))</f>
        <v>0</v>
      </c>
      <c r="AD577" s="353">
        <f>IF(+NFL!$F91="Tennessee",+NFL!#REF!,IF(+NFL!$H91="Tennessee",+NFL!#REF!,0))</f>
        <v>0</v>
      </c>
      <c r="AE577" s="379">
        <f>IF(+NFL!$F91="Tennessee",+NFL!#REF!,IF(+NFL!$H91="Tennessee",+NFL!#REF!,0))</f>
        <v>0</v>
      </c>
      <c r="AF577" s="353">
        <f>IF(+NFL!$F91="Tennessee",+NFL!#REF!,IF(+NFL!$H91="Tennessee",+NFL!#REF!,0))</f>
        <v>0</v>
      </c>
      <c r="AG577" s="379">
        <f>IF(+NFL!$F91="Tennessee",+NFL!#REF!,IF(+NFL!$H91="Tennessee",+NFL!#REF!,0))</f>
        <v>0</v>
      </c>
      <c r="AH577" s="353">
        <f>IF(+NFL!$F91="Tennessee",+NFL!#REF!,IF(+NFL!$H91="Tennessee",+NFL!#REF!,0))</f>
        <v>0</v>
      </c>
      <c r="AI577" s="379">
        <f>IF(+NFL!$F91="Tennessee",+NFL!#REF!,IF(+NFL!$H91="Tennessee",+NFL!#REF!,0))</f>
        <v>0</v>
      </c>
      <c r="AJ577" s="353">
        <f>IF(+NFL!$F91="Tennessee",+NFL!#REF!,IF(+NFL!$H91="Tennessee",+NFL!#REF!,0))</f>
        <v>0</v>
      </c>
      <c r="AK577" s="379">
        <f>IF(+NFL!$F91="Tennessee",+NFL!#REF!,IF(+NFL!$H91="Tennessee",+NFL!#REF!,0))</f>
        <v>0</v>
      </c>
      <c r="AL577" s="68">
        <f>IF(+NFL!$F91="Tennessee",+NFL!#REF!,IF(+NFL!$H91="Tennessee",+NFL!#REF!,0))</f>
        <v>0</v>
      </c>
      <c r="AM577" s="58">
        <f>IF(+NFL!$F91="Tennessee",+NFL!#REF!,IF(+NFL!$H91="Tennessee",+NFL!#REF!,0))</f>
        <v>0</v>
      </c>
      <c r="AN577" s="57">
        <f>IF(+NFL!$F91="Tennessee",+NFL!#REF!,IF(+NFL!$H91="Tennessee",+NFL!#REF!,0))</f>
        <v>0</v>
      </c>
      <c r="AO577" s="59">
        <f>IF(+NFL!$F91="Tennessee",+NFL!#REF!,IF(+NFL!$H91="Tennessee",+NFL!#REF!,0))</f>
        <v>0</v>
      </c>
      <c r="AP577" s="348">
        <f>IF(+NFL!$F91="Tennessee",+NFL!#REF!,IF(+NFL!$H91="Tennessee",+NFL!#REF!,0))</f>
        <v>0</v>
      </c>
      <c r="AQ577" s="48">
        <f>IF(+NFL!$F91="Tennessee",+NFL!#REF!,IF(+NFL!$H91="Tennessee",+NFL!#REF!,0))</f>
        <v>0</v>
      </c>
      <c r="AR577" s="57">
        <f>IF(+NFL!$F91="Tennessee",+NFL!#REF!,IF(+NFL!$H91="Tennessee",+NFL!#REF!,0))</f>
        <v>0</v>
      </c>
      <c r="AS577" s="64">
        <f>IF(+NFL!$F91="Tennessee",+NFL!#REF!,IF(+NFL!$H91="Tennessee",+NFL!#REF!,0))</f>
        <v>0</v>
      </c>
      <c r="AT577" s="64">
        <f>IF(+NFL!$F91="Tennessee",+NFL!#REF!,IF(+NFL!$H91="Tennessee",+NFL!#REF!,0))</f>
        <v>0</v>
      </c>
      <c r="AU577" s="57">
        <f>IF(+NFL!$F91="Tennessee",+NFL!#REF!,IF(+NFL!$H91="Tennessee",+NFL!#REF!,0))</f>
        <v>0</v>
      </c>
      <c r="AV577" s="64">
        <f>IF(+NFL!$F91="Tennessee",+NFL!#REF!,IF(+NFL!$H91="Tennessee",+NFL!#REF!,0))</f>
        <v>0</v>
      </c>
      <c r="AW577" s="46">
        <f>IF(+NFL!$F91="Tennessee",+NFL!#REF!,IF(+NFL!$H91="Tennessee",+NFL!#REF!,0))</f>
        <v>0</v>
      </c>
      <c r="AX577" s="64">
        <f>IF(+NFL!$F91="Tennessee",+NFL!#REF!,IF(+NFL!$H91="Tennessee",+NFL!#REF!,0))</f>
        <v>0</v>
      </c>
      <c r="AY577" s="57">
        <f>IF(+NFL!$F91="Tennessee",+NFL!#REF!,IF(+NFL!$H91="Tennessee",+NFL!#REF!,0))</f>
        <v>0</v>
      </c>
      <c r="AZ577" s="64">
        <f>IF(+NFL!$F91="Tennessee",+NFL!#REF!,IF(+NFL!$H91="Tennessee",+NFL!#REF!,0))</f>
        <v>0</v>
      </c>
      <c r="BA577" s="46">
        <f>IF(+NFL!$F91="Tennessee",+NFL!#REF!,IF(+NFL!$H91="Tennessee",+NFL!#REF!,0))</f>
        <v>0</v>
      </c>
      <c r="BB577" s="46">
        <f>IF(+NFL!$F91="Tennessee",+NFL!#REF!,IF(+NFL!$H91="Tennessee",+NFL!#REF!,0))</f>
        <v>0</v>
      </c>
      <c r="BC577" s="403">
        <f>IF(+NFL!$F91="Tennessee",+NFL!#REF!,IF(+NFL!$H91="Tennessee",+NFL!#REF!,0))</f>
        <v>0</v>
      </c>
      <c r="BD577" s="57">
        <f>IF(+NFL!$F91="Tennessee",+NFL!#REF!,IF(+NFL!$H91="Tennessee",+NFL!#REF!,0))</f>
        <v>0</v>
      </c>
      <c r="BE577" s="64">
        <f>IF(+NFL!$F91="Tennessee",+NFL!#REF!,IF(+NFL!$H91="Tennessee",+NFL!#REF!,0))</f>
        <v>0</v>
      </c>
      <c r="BF577" s="46">
        <f>IF(+NFL!$F91="Tennessee",+NFL!#REF!,IF(+NFL!$H91="Tennessee",+NFL!#REF!,0))</f>
        <v>0</v>
      </c>
      <c r="BG577" s="57">
        <f>IF(+NFL!$F91="Tennessee",+NFL!#REF!,IF(+NFL!$H91="Tennessee",+NFL!#REF!,0))</f>
        <v>0</v>
      </c>
      <c r="BH577" s="64">
        <f>IF(+NFL!$F91="Tennessee",+NFL!#REF!,IF(+NFL!$H91="Tennessee",+NFL!#REF!,0))</f>
        <v>0</v>
      </c>
      <c r="BI577" s="46">
        <f>IF(+NFL!$F91="Tennessee",+NFL!#REF!,IF(+NFL!$H91="Tennessee",+NFL!#REF!,0))</f>
        <v>0</v>
      </c>
      <c r="BJ577" s="87">
        <f>IF(+NFL!$F91="Tennessee",+NFL!#REF!,IF(+NFL!$H91="Tennessee",+NFL!#REF!,0))</f>
        <v>0</v>
      </c>
      <c r="BK577" s="120">
        <f>IF(+NFL!$F91="Tennessee",+NFL!#REF!,IF(+NFL!$H91="Tennessee",+NFL!#REF!,0))</f>
        <v>0</v>
      </c>
    </row>
    <row r="578" spans="1:63" s="246" customFormat="1" x14ac:dyDescent="0.8">
      <c r="A578" s="46">
        <f>IF(+NFL!$F138="Tennessee",+NFL!A138,IF(+NFL!$H138="Tennessee",+NFL!A138,0))</f>
        <v>8</v>
      </c>
      <c r="B578" s="348" t="str">
        <f>IF(+NFL!$F138="Tennessee",+NFL!B138,IF(+NFL!$H138="Tennessee",+NFL!B138,0))</f>
        <v>Sun</v>
      </c>
      <c r="C578" s="48">
        <f>IF(+NFL!$F138="Tennessee",+NFL!C138,IF(+NFL!$H138="Tennessee",+NFL!C138,0))</f>
        <v>44864</v>
      </c>
      <c r="D578" s="490">
        <f>IF(+NFL!$F138="Tennessee",+NFL!D138,IF(+NFL!$H138="Tennessee",+NFL!D138,0))</f>
        <v>0.66666666666666663</v>
      </c>
      <c r="E578" s="46" t="str">
        <f>IF(+NFL!$F138="Tennessee",+NFL!E138,IF(+NFL!$H138="Tennessee",+NFL!E138,0))</f>
        <v>CBS</v>
      </c>
      <c r="F578" s="127" t="str">
        <f>IF(+NFL!$F138="Tennessee",+NFL!F138,IF(+NFL!$H138="Tennessee",+NFL!F138,0))</f>
        <v>Tennessee</v>
      </c>
      <c r="G578" s="46" t="str">
        <f>IF(+NFL!$F138="Tennessee",+NFL!G138,IF(+NFL!$H138="Tennessee",+NFL!G138,0))</f>
        <v>AFCS</v>
      </c>
      <c r="H578" s="127" t="str">
        <f>IF(+NFL!$F138="Tennessee",+NFL!H138,IF(+NFL!$H138="Tennessee",+NFL!H138,0))</f>
        <v>Houston</v>
      </c>
      <c r="I578" s="46" t="str">
        <f>IF(+NFL!$F138="Tennessee",+NFL!I138,IF(+NFL!$H138="Tennessee",+NFL!I138,0))</f>
        <v>AFCS</v>
      </c>
      <c r="J578" s="353" t="str">
        <f>IF(+NFL!$F138="Tennessee",+NFL!J138,IF(+NFL!$H138="Tennessee",+NFL!J138,0))</f>
        <v>Tennessee</v>
      </c>
      <c r="K578" s="494" t="str">
        <f>IF(+NFL!$F138="Tennessee",+NFL!K138,IF(+NFL!$H138="Tennessee",+NFL!K138,0))</f>
        <v>Houston</v>
      </c>
      <c r="L578" s="384">
        <f>IF(+NFL!$F138="Tennessee",+NFL!L138,IF(+NFL!$H138="Tennessee",+NFL!L138,0))</f>
        <v>2</v>
      </c>
      <c r="M578" s="385">
        <f>IF(+NFL!$F138="Tennessee",+NFL!M138,IF(+NFL!$H138="Tennessee",+NFL!M138,0))</f>
        <v>40.5</v>
      </c>
      <c r="N578" s="394" t="str">
        <f>IF(+NFL!$F138="Tennessee",+NFL!N138,IF(+NFL!$H138="Tennessee",+NFL!N138,0))</f>
        <v>Tennessee</v>
      </c>
      <c r="O578" s="395">
        <f>IF(+NFL!$F138="Tennessee",+NFL!O138,IF(+NFL!$H138="Tennessee",+NFL!O138,0))</f>
        <v>17</v>
      </c>
      <c r="P578" s="394" t="str">
        <f>IF(+NFL!$F138="Tennessee",+NFL!P138,IF(+NFL!$H138="Tennessee",+NFL!P138,0))</f>
        <v>Houston</v>
      </c>
      <c r="Q578" s="396">
        <f>IF(+NFL!$F138="Tennessee",+NFL!Q138,IF(+NFL!$H138="Tennessee",+NFL!Q138,0))</f>
        <v>10</v>
      </c>
      <c r="R578" s="397" t="str">
        <f>IF(+NFL!$F138="Tennessee",+NFL!R138,IF(+NFL!$H138="Tennessee",+NFL!R138,0))</f>
        <v>Tennessee</v>
      </c>
      <c r="S578" s="396" t="str">
        <f>IF(+NFL!$F138="Tennessee",+NFL!S138,IF(+NFL!$H138="Tennessee",+NFL!S138,0))</f>
        <v>Houston</v>
      </c>
      <c r="T578" s="398" t="str">
        <f>IF(+NFL!$F138="Tennessee",+NFL!T138,IF(+NFL!$H138="Tennessee",+NFL!T138,0))</f>
        <v>Tennessee</v>
      </c>
      <c r="U578" s="396" t="str">
        <f>IF(+NFL!$F138="Tennessee",+NFL!U138,IF(+NFL!$H138="Tennessee",+NFL!U138,0))</f>
        <v>W</v>
      </c>
      <c r="V578" s="397">
        <f>IF(+NFL!$F117="Tennessee",+NFL!#REF!,IF(+NFL!$H117="Tennessee",+NFL!#REF!,0))</f>
        <v>0</v>
      </c>
      <c r="W578" s="396">
        <f>IF(+NFL!$F117="Tennessee",+NFL!#REF!,IF(+NFL!$H117="Tennessee",+NFL!#REF!,0))</f>
        <v>0</v>
      </c>
      <c r="X578" s="398">
        <f>IF(+NFL!$F117="Tennessee",+NFL!#REF!,IF(+NFL!$H117="Tennessee",+NFL!#REF!,0))</f>
        <v>0</v>
      </c>
      <c r="Y578" s="396">
        <f>IF(+NFL!$F117="Tennessee",+NFL!#REF!,IF(+NFL!$H117="Tennessee",+NFL!#REF!,0))</f>
        <v>0</v>
      </c>
      <c r="Z578" s="397">
        <f>IF(+NFL!$F117="Tennessee",+NFL!#REF!,IF(+NFL!$H117="Tennessee",+NFL!#REF!,0))</f>
        <v>0</v>
      </c>
      <c r="AA578" s="396">
        <f>IF(+NFL!$F117="Tennessee",+NFL!#REF!,IF(+NFL!$H117="Tennessee",+NFL!#REF!,0))</f>
        <v>0</v>
      </c>
      <c r="AB578" s="87">
        <f>IF(+NFL!$F117="Tennessee",+NFL!#REF!,IF(+NFL!$H117="Tennessee",+NFL!#REF!,0))</f>
        <v>0</v>
      </c>
      <c r="AC578" s="120">
        <f>IF(+NFL!$F117="Tennessee",+NFL!#REF!,IF(+NFL!$H117="Tennessee",+NFL!#REF!,0))</f>
        <v>0</v>
      </c>
      <c r="AD578" s="353">
        <f>IF(+NFL!$F117="Tennessee",+NFL!#REF!,IF(+NFL!$H117="Tennessee",+NFL!#REF!,0))</f>
        <v>0</v>
      </c>
      <c r="AE578" s="379">
        <f>IF(+NFL!$F117="Tennessee",+NFL!#REF!,IF(+NFL!$H117="Tennessee",+NFL!#REF!,0))</f>
        <v>0</v>
      </c>
      <c r="AF578" s="353">
        <f>IF(+NFL!$F117="Tennessee",+NFL!#REF!,IF(+NFL!$H117="Tennessee",+NFL!#REF!,0))</f>
        <v>0</v>
      </c>
      <c r="AG578" s="379">
        <f>IF(+NFL!$F117="Tennessee",+NFL!#REF!,IF(+NFL!$H117="Tennessee",+NFL!#REF!,0))</f>
        <v>0</v>
      </c>
      <c r="AH578" s="353">
        <f>IF(+NFL!$F117="Tennessee",+NFL!#REF!,IF(+NFL!$H117="Tennessee",+NFL!#REF!,0))</f>
        <v>0</v>
      </c>
      <c r="AI578" s="379">
        <f>IF(+NFL!$F117="Tennessee",+NFL!#REF!,IF(+NFL!$H117="Tennessee",+NFL!#REF!,0))</f>
        <v>0</v>
      </c>
      <c r="AJ578" s="353">
        <f>IF(+NFL!$F117="Tennessee",+NFL!#REF!,IF(+NFL!$H117="Tennessee",+NFL!#REF!,0))</f>
        <v>0</v>
      </c>
      <c r="AK578" s="379">
        <f>IF(+NFL!$F117="Tennessee",+NFL!#REF!,IF(+NFL!$H117="Tennessee",+NFL!#REF!,0))</f>
        <v>0</v>
      </c>
      <c r="AL578" s="68">
        <f>IF(+NFL!$F117="Tennessee",+NFL!#REF!,IF(+NFL!$H117="Tennessee",+NFL!#REF!,0))</f>
        <v>0</v>
      </c>
      <c r="AM578" s="58">
        <f>IF(+NFL!$F117="Tennessee",+NFL!#REF!,IF(+NFL!$H117="Tennessee",+NFL!#REF!,0))</f>
        <v>0</v>
      </c>
      <c r="AN578" s="57">
        <f>IF(+NFL!$F117="Tennessee",+NFL!#REF!,IF(+NFL!$H117="Tennessee",+NFL!#REF!,0))</f>
        <v>0</v>
      </c>
      <c r="AO578" s="59">
        <f>IF(+NFL!$F117="Tennessee",+NFL!#REF!,IF(+NFL!$H117="Tennessee",+NFL!#REF!,0))</f>
        <v>0</v>
      </c>
      <c r="AP578" s="348">
        <f>IF(+NFL!$F117="Tennessee",+NFL!#REF!,IF(+NFL!$H117="Tennessee",+NFL!#REF!,0))</f>
        <v>0</v>
      </c>
      <c r="AQ578" s="48">
        <f>IF(+NFL!$F117="Tennessee",+NFL!#REF!,IF(+NFL!$H117="Tennessee",+NFL!#REF!,0))</f>
        <v>0</v>
      </c>
      <c r="AR578" s="57">
        <f>IF(+NFL!$F117="Tennessee",+NFL!#REF!,IF(+NFL!$H117="Tennessee",+NFL!#REF!,0))</f>
        <v>0</v>
      </c>
      <c r="AS578" s="64">
        <f>IF(+NFL!$F117="Tennessee",+NFL!#REF!,IF(+NFL!$H117="Tennessee",+NFL!#REF!,0))</f>
        <v>0</v>
      </c>
      <c r="AT578" s="64">
        <f>IF(+NFL!$F117="Tennessee",+NFL!#REF!,IF(+NFL!$H117="Tennessee",+NFL!#REF!,0))</f>
        <v>0</v>
      </c>
      <c r="AU578" s="57">
        <f>IF(+NFL!$F117="Tennessee",+NFL!#REF!,IF(+NFL!$H117="Tennessee",+NFL!#REF!,0))</f>
        <v>0</v>
      </c>
      <c r="AV578" s="64">
        <f>IF(+NFL!$F117="Tennessee",+NFL!#REF!,IF(+NFL!$H117="Tennessee",+NFL!#REF!,0))</f>
        <v>0</v>
      </c>
      <c r="AW578" s="46">
        <f>IF(+NFL!$F117="Tennessee",+NFL!#REF!,IF(+NFL!$H117="Tennessee",+NFL!#REF!,0))</f>
        <v>0</v>
      </c>
      <c r="AX578" s="64">
        <f>IF(+NFL!$F117="Tennessee",+NFL!#REF!,IF(+NFL!$H117="Tennessee",+NFL!#REF!,0))</f>
        <v>0</v>
      </c>
      <c r="AY578" s="57">
        <f>IF(+NFL!$F117="Tennessee",+NFL!#REF!,IF(+NFL!$H117="Tennessee",+NFL!#REF!,0))</f>
        <v>0</v>
      </c>
      <c r="AZ578" s="64">
        <f>IF(+NFL!$F117="Tennessee",+NFL!#REF!,IF(+NFL!$H117="Tennessee",+NFL!#REF!,0))</f>
        <v>0</v>
      </c>
      <c r="BA578" s="46">
        <f>IF(+NFL!$F117="Tennessee",+NFL!#REF!,IF(+NFL!$H117="Tennessee",+NFL!#REF!,0))</f>
        <v>0</v>
      </c>
      <c r="BB578" s="46">
        <f>IF(+NFL!$F117="Tennessee",+NFL!#REF!,IF(+NFL!$H117="Tennessee",+NFL!#REF!,0))</f>
        <v>0</v>
      </c>
      <c r="BC578" s="403">
        <f>IF(+NFL!$F117="Tennessee",+NFL!#REF!,IF(+NFL!$H117="Tennessee",+NFL!#REF!,0))</f>
        <v>0</v>
      </c>
      <c r="BD578" s="57">
        <f>IF(+NFL!$F117="Tennessee",+NFL!#REF!,IF(+NFL!$H117="Tennessee",+NFL!#REF!,0))</f>
        <v>0</v>
      </c>
      <c r="BE578" s="64">
        <f>IF(+NFL!$F117="Tennessee",+NFL!#REF!,IF(+NFL!$H117="Tennessee",+NFL!#REF!,0))</f>
        <v>0</v>
      </c>
      <c r="BF578" s="46">
        <f>IF(+NFL!$F117="Tennessee",+NFL!#REF!,IF(+NFL!$H117="Tennessee",+NFL!#REF!,0))</f>
        <v>0</v>
      </c>
      <c r="BG578" s="57">
        <f>IF(+NFL!$F117="Tennessee",+NFL!#REF!,IF(+NFL!$H117="Tennessee",+NFL!#REF!,0))</f>
        <v>0</v>
      </c>
      <c r="BH578" s="64">
        <f>IF(+NFL!$F117="Tennessee",+NFL!#REF!,IF(+NFL!$H117="Tennessee",+NFL!#REF!,0))</f>
        <v>0</v>
      </c>
      <c r="BI578" s="46">
        <f>IF(+NFL!$F117="Tennessee",+NFL!#REF!,IF(+NFL!$H117="Tennessee",+NFL!#REF!,0))</f>
        <v>0</v>
      </c>
      <c r="BJ578" s="87">
        <f>IF(+NFL!$F117="Tennessee",+NFL!#REF!,IF(+NFL!$H117="Tennessee",+NFL!#REF!,0))</f>
        <v>0</v>
      </c>
      <c r="BK578" s="120">
        <f>IF(+NFL!$F117="Tennessee",+NFL!#REF!,IF(+NFL!$H117="Tennessee",+NFL!#REF!,0))</f>
        <v>0</v>
      </c>
    </row>
    <row r="579" spans="1:63" s="246" customFormat="1" x14ac:dyDescent="0.8">
      <c r="A579" s="46">
        <f>IF(+NFL!$F159="Tennessee",+NFL!A159,IF(+NFL!$H159="Tennessee",+NFL!A159,0))</f>
        <v>9</v>
      </c>
      <c r="B579" s="348" t="str">
        <f>IF(+NFL!$F159="Tennessee",+NFL!B159,IF(+NFL!$H159="Tennessee",+NFL!B159,0))</f>
        <v>Sun</v>
      </c>
      <c r="C579" s="48">
        <f>IF(+NFL!$F159="Tennessee",+NFL!C159,IF(+NFL!$H159="Tennessee",+NFL!C159,0))</f>
        <v>44871</v>
      </c>
      <c r="D579" s="490">
        <f>IF(+NFL!$F159="Tennessee",+NFL!D159,IF(+NFL!$H159="Tennessee",+NFL!D159,0))</f>
        <v>0.84375</v>
      </c>
      <c r="E579" s="46" t="str">
        <f>IF(+NFL!$F159="Tennessee",+NFL!E159,IF(+NFL!$H159="Tennessee",+NFL!E159,0))</f>
        <v>NBC</v>
      </c>
      <c r="F579" s="127" t="str">
        <f>IF(+NFL!$F159="Tennessee",+NFL!F159,IF(+NFL!$H159="Tennessee",+NFL!F159,0))</f>
        <v>Tennessee</v>
      </c>
      <c r="G579" s="46" t="str">
        <f>IF(+NFL!$F159="Tennessee",+NFL!G159,IF(+NFL!$H159="Tennessee",+NFL!G159,0))</f>
        <v>NFCW</v>
      </c>
      <c r="H579" s="127" t="str">
        <f>IF(+NFL!$F159="Tennessee",+NFL!H159,IF(+NFL!$H159="Tennessee",+NFL!H159,0))</f>
        <v>Kansas City</v>
      </c>
      <c r="I579" s="46" t="str">
        <f>IF(+NFL!$F159="Tennessee",+NFL!I159,IF(+NFL!$H159="Tennessee",+NFL!I159,0))</f>
        <v>AFCW</v>
      </c>
      <c r="J579" s="353" t="str">
        <f>IF(+NFL!$F159="Tennessee",+NFL!J159,IF(+NFL!$H159="Tennessee",+NFL!J159,0))</f>
        <v>Kansas City</v>
      </c>
      <c r="K579" s="494" t="str">
        <f>IF(+NFL!$F159="Tennessee",+NFL!K159,IF(+NFL!$H159="Tennessee",+NFL!K159,0))</f>
        <v>Tennessee</v>
      </c>
      <c r="L579" s="384">
        <f>IF(+NFL!$F159="Tennessee",+NFL!L159,IF(+NFL!$H159="Tennessee",+NFL!L159,0))</f>
        <v>12.5</v>
      </c>
      <c r="M579" s="385">
        <f>IF(+NFL!$F159="Tennessee",+NFL!M159,IF(+NFL!$H159="Tennessee",+NFL!M159,0))</f>
        <v>46</v>
      </c>
      <c r="N579" s="394" t="str">
        <f>IF(+NFL!$F159="Tennessee",+NFL!N159,IF(+NFL!$H159="Tennessee",+NFL!N159,0))</f>
        <v>Kansas City</v>
      </c>
      <c r="O579" s="395">
        <f>IF(+NFL!$F159="Tennessee",+NFL!O159,IF(+NFL!$H159="Tennessee",+NFL!O159,0))</f>
        <v>20</v>
      </c>
      <c r="P579" s="394" t="str">
        <f>IF(+NFL!$F159="Tennessee",+NFL!P159,IF(+NFL!$H159="Tennessee",+NFL!P159,0))</f>
        <v>Tennessee</v>
      </c>
      <c r="Q579" s="396">
        <f>IF(+NFL!$F159="Tennessee",+NFL!Q159,IF(+NFL!$H159="Tennessee",+NFL!Q159,0))</f>
        <v>13</v>
      </c>
      <c r="R579" s="397" t="str">
        <f>IF(+NFL!$F159="Tennessee",+NFL!R159,IF(+NFL!$H159="Tennessee",+NFL!R159,0))</f>
        <v>Tennessee</v>
      </c>
      <c r="S579" s="396" t="str">
        <f>IF(+NFL!$F159="Tennessee",+NFL!S159,IF(+NFL!$H159="Tennessee",+NFL!S159,0))</f>
        <v>Kansas City</v>
      </c>
      <c r="T579" s="398" t="str">
        <f>IF(+NFL!$F159="Tennessee",+NFL!T159,IF(+NFL!$H159="Tennessee",+NFL!T159,0))</f>
        <v>Tennessee</v>
      </c>
      <c r="U579" s="396" t="str">
        <f>IF(+NFL!$F159="Tennessee",+NFL!U159,IF(+NFL!$H159="Tennessee",+NFL!U159,0))</f>
        <v>W</v>
      </c>
      <c r="V579" s="397">
        <f>IF(+NFL!$F137="Tennessee",+NFL!#REF!,IF(+NFL!$H137="Tennessee",+NFL!#REF!,0))</f>
        <v>0</v>
      </c>
      <c r="W579" s="396">
        <f>IF(+NFL!$F137="Tennessee",+NFL!#REF!,IF(+NFL!$H137="Tennessee",+NFL!#REF!,0))</f>
        <v>0</v>
      </c>
      <c r="X579" s="398">
        <f>IF(+NFL!$F137="Tennessee",+NFL!#REF!,IF(+NFL!$H137="Tennessee",+NFL!#REF!,0))</f>
        <v>0</v>
      </c>
      <c r="Y579" s="396">
        <f>IF(+NFL!$F137="Tennessee",+NFL!#REF!,IF(+NFL!$H137="Tennessee",+NFL!#REF!,0))</f>
        <v>0</v>
      </c>
      <c r="Z579" s="397">
        <f>IF(+NFL!$F137="Tennessee",+NFL!#REF!,IF(+NFL!$H137="Tennessee",+NFL!#REF!,0))</f>
        <v>0</v>
      </c>
      <c r="AA579" s="396">
        <f>IF(+NFL!$F137="Tennessee",+NFL!#REF!,IF(+NFL!$H137="Tennessee",+NFL!#REF!,0))</f>
        <v>0</v>
      </c>
      <c r="AB579" s="87">
        <f>IF(+NFL!$F137="Tennessee",+NFL!#REF!,IF(+NFL!$H137="Tennessee",+NFL!#REF!,0))</f>
        <v>0</v>
      </c>
      <c r="AC579" s="120">
        <f>IF(+NFL!$F137="Tennessee",+NFL!#REF!,IF(+NFL!$H137="Tennessee",+NFL!#REF!,0))</f>
        <v>0</v>
      </c>
      <c r="AD579" s="353">
        <f>IF(+NFL!$F137="Tennessee",+NFL!#REF!,IF(+NFL!$H137="Tennessee",+NFL!#REF!,0))</f>
        <v>0</v>
      </c>
      <c r="AE579" s="379">
        <f>IF(+NFL!$F137="Tennessee",+NFL!#REF!,IF(+NFL!$H137="Tennessee",+NFL!#REF!,0))</f>
        <v>0</v>
      </c>
      <c r="AF579" s="353">
        <f>IF(+NFL!$F137="Tennessee",+NFL!#REF!,IF(+NFL!$H137="Tennessee",+NFL!#REF!,0))</f>
        <v>0</v>
      </c>
      <c r="AG579" s="379">
        <f>IF(+NFL!$F137="Tennessee",+NFL!#REF!,IF(+NFL!$H137="Tennessee",+NFL!#REF!,0))</f>
        <v>0</v>
      </c>
      <c r="AH579" s="353">
        <f>IF(+NFL!$F137="Tennessee",+NFL!#REF!,IF(+NFL!$H137="Tennessee",+NFL!#REF!,0))</f>
        <v>0</v>
      </c>
      <c r="AI579" s="379">
        <f>IF(+NFL!$F137="Tennessee",+NFL!#REF!,IF(+NFL!$H137="Tennessee",+NFL!#REF!,0))</f>
        <v>0</v>
      </c>
      <c r="AJ579" s="353">
        <f>IF(+NFL!$F137="Tennessee",+NFL!#REF!,IF(+NFL!$H137="Tennessee",+NFL!#REF!,0))</f>
        <v>0</v>
      </c>
      <c r="AK579" s="379">
        <f>IF(+NFL!$F137="Tennessee",+NFL!#REF!,IF(+NFL!$H137="Tennessee",+NFL!#REF!,0))</f>
        <v>0</v>
      </c>
      <c r="AL579" s="68">
        <f>IF(+NFL!$F137="Tennessee",+NFL!#REF!,IF(+NFL!$H137="Tennessee",+NFL!#REF!,0))</f>
        <v>0</v>
      </c>
      <c r="AM579" s="58">
        <f>IF(+NFL!$F137="Tennessee",+NFL!#REF!,IF(+NFL!$H137="Tennessee",+NFL!#REF!,0))</f>
        <v>0</v>
      </c>
      <c r="AN579" s="57">
        <f>IF(+NFL!$F137="Tennessee",+NFL!#REF!,IF(+NFL!$H137="Tennessee",+NFL!#REF!,0))</f>
        <v>0</v>
      </c>
      <c r="AO579" s="59">
        <f>IF(+NFL!$F137="Tennessee",+NFL!#REF!,IF(+NFL!$H137="Tennessee",+NFL!#REF!,0))</f>
        <v>0</v>
      </c>
      <c r="AP579" s="348">
        <f>IF(+NFL!$F137="Tennessee",+NFL!#REF!,IF(+NFL!$H137="Tennessee",+NFL!#REF!,0))</f>
        <v>0</v>
      </c>
      <c r="AQ579" s="48">
        <f>IF(+NFL!$F137="Tennessee",+NFL!#REF!,IF(+NFL!$H137="Tennessee",+NFL!#REF!,0))</f>
        <v>0</v>
      </c>
      <c r="AR579" s="57">
        <f>IF(+NFL!$F137="Tennessee",+NFL!#REF!,IF(+NFL!$H137="Tennessee",+NFL!#REF!,0))</f>
        <v>0</v>
      </c>
      <c r="AS579" s="64">
        <f>IF(+NFL!$F137="Tennessee",+NFL!#REF!,IF(+NFL!$H137="Tennessee",+NFL!#REF!,0))</f>
        <v>0</v>
      </c>
      <c r="AT579" s="64">
        <f>IF(+NFL!$F137="Tennessee",+NFL!#REF!,IF(+NFL!$H137="Tennessee",+NFL!#REF!,0))</f>
        <v>0</v>
      </c>
      <c r="AU579" s="57">
        <f>IF(+NFL!$F137="Tennessee",+NFL!#REF!,IF(+NFL!$H137="Tennessee",+NFL!#REF!,0))</f>
        <v>0</v>
      </c>
      <c r="AV579" s="64">
        <f>IF(+NFL!$F137="Tennessee",+NFL!#REF!,IF(+NFL!$H137="Tennessee",+NFL!#REF!,0))</f>
        <v>0</v>
      </c>
      <c r="AW579" s="46">
        <f>IF(+NFL!$F137="Tennessee",+NFL!#REF!,IF(+NFL!$H137="Tennessee",+NFL!#REF!,0))</f>
        <v>0</v>
      </c>
      <c r="AX579" s="64">
        <f>IF(+NFL!$F137="Tennessee",+NFL!#REF!,IF(+NFL!$H137="Tennessee",+NFL!#REF!,0))</f>
        <v>0</v>
      </c>
      <c r="AY579" s="57">
        <f>IF(+NFL!$F137="Tennessee",+NFL!#REF!,IF(+NFL!$H137="Tennessee",+NFL!#REF!,0))</f>
        <v>0</v>
      </c>
      <c r="AZ579" s="64">
        <f>IF(+NFL!$F137="Tennessee",+NFL!#REF!,IF(+NFL!$H137="Tennessee",+NFL!#REF!,0))</f>
        <v>0</v>
      </c>
      <c r="BA579" s="46">
        <f>IF(+NFL!$F137="Tennessee",+NFL!#REF!,IF(+NFL!$H137="Tennessee",+NFL!#REF!,0))</f>
        <v>0</v>
      </c>
      <c r="BB579" s="46">
        <f>IF(+NFL!$F137="Tennessee",+NFL!#REF!,IF(+NFL!$H137="Tennessee",+NFL!#REF!,0))</f>
        <v>0</v>
      </c>
      <c r="BC579" s="403">
        <f>IF(+NFL!$F137="Tennessee",+NFL!#REF!,IF(+NFL!$H137="Tennessee",+NFL!#REF!,0))</f>
        <v>0</v>
      </c>
      <c r="BD579" s="57">
        <f>IF(+NFL!$F137="Tennessee",+NFL!#REF!,IF(+NFL!$H137="Tennessee",+NFL!#REF!,0))</f>
        <v>0</v>
      </c>
      <c r="BE579" s="64">
        <f>IF(+NFL!$F137="Tennessee",+NFL!#REF!,IF(+NFL!$H137="Tennessee",+NFL!#REF!,0))</f>
        <v>0</v>
      </c>
      <c r="BF579" s="46">
        <f>IF(+NFL!$F137="Tennessee",+NFL!#REF!,IF(+NFL!$H137="Tennessee",+NFL!#REF!,0))</f>
        <v>0</v>
      </c>
      <c r="BG579" s="57">
        <f>IF(+NFL!$F137="Tennessee",+NFL!#REF!,IF(+NFL!$H137="Tennessee",+NFL!#REF!,0))</f>
        <v>0</v>
      </c>
      <c r="BH579" s="64">
        <f>IF(+NFL!$F137="Tennessee",+NFL!#REF!,IF(+NFL!$H137="Tennessee",+NFL!#REF!,0))</f>
        <v>0</v>
      </c>
      <c r="BI579" s="46">
        <f>IF(+NFL!$F137="Tennessee",+NFL!#REF!,IF(+NFL!$H137="Tennessee",+NFL!#REF!,0))</f>
        <v>0</v>
      </c>
      <c r="BJ579" s="87">
        <f>IF(+NFL!$F137="Tennessee",+NFL!#REF!,IF(+NFL!$H137="Tennessee",+NFL!#REF!,0))</f>
        <v>0</v>
      </c>
      <c r="BK579" s="120">
        <f>IF(+NFL!$F137="Tennessee",+NFL!#REF!,IF(+NFL!$H137="Tennessee",+NFL!#REF!,0))</f>
        <v>0</v>
      </c>
    </row>
    <row r="580" spans="1:63" s="246" customFormat="1" x14ac:dyDescent="0.8">
      <c r="A580" s="46">
        <f>IF(+NFL!$F173="Tennessee",+NFL!A173,IF(+NFL!$H173="Tennessee",+NFL!A173,0))</f>
        <v>10</v>
      </c>
      <c r="B580" s="348" t="str">
        <f>IF(+NFL!$F173="Tennessee",+NFL!B173,IF(+NFL!$H173="Tennessee",+NFL!B173,0))</f>
        <v>Sun</v>
      </c>
      <c r="C580" s="48">
        <f>IF(+NFL!$F173="Tennessee",+NFL!C173,IF(+NFL!$H173="Tennessee",+NFL!C173,0))</f>
        <v>44878</v>
      </c>
      <c r="D580" s="490">
        <f>IF(+NFL!$F173="Tennessee",+NFL!D173,IF(+NFL!$H173="Tennessee",+NFL!D173,0))</f>
        <v>0.54166666666666663</v>
      </c>
      <c r="E580" s="46" t="str">
        <f>IF(+NFL!$F173="Tennessee",+NFL!E173,IF(+NFL!$H173="Tennessee",+NFL!E173,0))</f>
        <v>CBS</v>
      </c>
      <c r="F580" s="127" t="str">
        <f>IF(+NFL!$F173="Tennessee",+NFL!F173,IF(+NFL!$H173="Tennessee",+NFL!F173,0))</f>
        <v>Denver</v>
      </c>
      <c r="G580" s="46" t="str">
        <f>IF(+NFL!$F173="Tennessee",+NFL!G173,IF(+NFL!$H173="Tennessee",+NFL!G173,0))</f>
        <v>AFCW</v>
      </c>
      <c r="H580" s="127" t="str">
        <f>IF(+NFL!$F173="Tennessee",+NFL!H173,IF(+NFL!$H173="Tennessee",+NFL!H173,0))</f>
        <v>Tennessee</v>
      </c>
      <c r="I580" s="46" t="str">
        <f>IF(+NFL!$F173="Tennessee",+NFL!I173,IF(+NFL!$H173="Tennessee",+NFL!I173,0))</f>
        <v>AFCS</v>
      </c>
      <c r="J580" s="353" t="str">
        <f>IF(+NFL!$F173="Tennessee",+NFL!J173,IF(+NFL!$H173="Tennessee",+NFL!J173,0))</f>
        <v>Tennessee</v>
      </c>
      <c r="K580" s="494" t="str">
        <f>IF(+NFL!$F173="Tennessee",+NFL!K173,IF(+NFL!$H173="Tennessee",+NFL!K173,0))</f>
        <v>Denver</v>
      </c>
      <c r="L580" s="384">
        <f>IF(+NFL!$F173="Tennessee",+NFL!L173,IF(+NFL!$H173="Tennessee",+NFL!L173,0))</f>
        <v>3</v>
      </c>
      <c r="M580" s="385">
        <f>IF(+NFL!$F173="Tennessee",+NFL!M173,IF(+NFL!$H173="Tennessee",+NFL!M173,0))</f>
        <v>38.5</v>
      </c>
      <c r="N580" s="394" t="str">
        <f>IF(+NFL!$F173="Tennessee",+NFL!N173,IF(+NFL!$H173="Tennessee",+NFL!N173,0))</f>
        <v>Tennessee</v>
      </c>
      <c r="O580" s="395">
        <f>IF(+NFL!$F173="Tennessee",+NFL!O173,IF(+NFL!$H173="Tennessee",+NFL!O173,0))</f>
        <v>17</v>
      </c>
      <c r="P580" s="394" t="str">
        <f>IF(+NFL!$F173="Tennessee",+NFL!P173,IF(+NFL!$H173="Tennessee",+NFL!P173,0))</f>
        <v>Denver</v>
      </c>
      <c r="Q580" s="396">
        <f>IF(+NFL!$F173="Tennessee",+NFL!Q173,IF(+NFL!$H173="Tennessee",+NFL!Q173,0))</f>
        <v>10</v>
      </c>
      <c r="R580" s="397" t="str">
        <f>IF(+NFL!$F173="Tennessee",+NFL!R173,IF(+NFL!$H173="Tennessee",+NFL!R173,0))</f>
        <v>Tennessee</v>
      </c>
      <c r="S580" s="396" t="str">
        <f>IF(+NFL!$F173="Tennessee",+NFL!S173,IF(+NFL!$H173="Tennessee",+NFL!S173,0))</f>
        <v>Denver</v>
      </c>
      <c r="T580" s="398" t="str">
        <f>IF(+NFL!$F173="Tennessee",+NFL!T173,IF(+NFL!$H173="Tennessee",+NFL!T173,0))</f>
        <v>Tennessee</v>
      </c>
      <c r="U580" s="396" t="str">
        <f>IF(+NFL!$F173="Tennessee",+NFL!U173,IF(+NFL!$H173="Tennessee",+NFL!U173,0))</f>
        <v>W</v>
      </c>
      <c r="V580" s="397" t="e">
        <f>IF(+NFL!#REF!="Tennessee",+NFL!#REF!,IF(+NFL!#REF!="Tennessee",+NFL!#REF!,0))</f>
        <v>#REF!</v>
      </c>
      <c r="W580" s="396" t="e">
        <f>IF(+NFL!#REF!="Tennessee",+NFL!#REF!,IF(+NFL!#REF!="Tennessee",+NFL!#REF!,0))</f>
        <v>#REF!</v>
      </c>
      <c r="X580" s="398" t="e">
        <f>IF(+NFL!#REF!="Tennessee",+NFL!#REF!,IF(+NFL!#REF!="Tennessee",+NFL!#REF!,0))</f>
        <v>#REF!</v>
      </c>
      <c r="Y580" s="396" t="e">
        <f>IF(+NFL!#REF!="Tennessee",+NFL!#REF!,IF(+NFL!#REF!="Tennessee",+NFL!#REF!,0))</f>
        <v>#REF!</v>
      </c>
      <c r="Z580" s="397" t="e">
        <f>IF(+NFL!#REF!="Tennessee",+NFL!#REF!,IF(+NFL!#REF!="Tennessee",+NFL!#REF!,0))</f>
        <v>#REF!</v>
      </c>
      <c r="AA580" s="396" t="e">
        <f>IF(+NFL!#REF!="Tennessee",+NFL!#REF!,IF(+NFL!#REF!="Tennessee",+NFL!#REF!,0))</f>
        <v>#REF!</v>
      </c>
      <c r="AB580" s="87" t="e">
        <f>IF(+NFL!#REF!="Tennessee",+NFL!#REF!,IF(+NFL!#REF!="Tennessee",+NFL!#REF!,0))</f>
        <v>#REF!</v>
      </c>
      <c r="AC580" s="120" t="e">
        <f>IF(+NFL!#REF!="Tennessee",+NFL!#REF!,IF(+NFL!#REF!="Tennessee",+NFL!#REF!,0))</f>
        <v>#REF!</v>
      </c>
      <c r="AD580" s="353" t="e">
        <f>IF(+NFL!#REF!="Tennessee",+NFL!#REF!,IF(+NFL!#REF!="Tennessee",+NFL!#REF!,0))</f>
        <v>#REF!</v>
      </c>
      <c r="AE580" s="379" t="e">
        <f>IF(+NFL!#REF!="Tennessee",+NFL!#REF!,IF(+NFL!#REF!="Tennessee",+NFL!#REF!,0))</f>
        <v>#REF!</v>
      </c>
      <c r="AF580" s="353" t="e">
        <f>IF(+NFL!#REF!="Tennessee",+NFL!#REF!,IF(+NFL!#REF!="Tennessee",+NFL!#REF!,0))</f>
        <v>#REF!</v>
      </c>
      <c r="AG580" s="379" t="e">
        <f>IF(+NFL!#REF!="Tennessee",+NFL!#REF!,IF(+NFL!#REF!="Tennessee",+NFL!#REF!,0))</f>
        <v>#REF!</v>
      </c>
      <c r="AH580" s="353" t="e">
        <f>IF(+NFL!#REF!="Tennessee",+NFL!#REF!,IF(+NFL!#REF!="Tennessee",+NFL!#REF!,0))</f>
        <v>#REF!</v>
      </c>
      <c r="AI580" s="379" t="e">
        <f>IF(+NFL!#REF!="Tennessee",+NFL!#REF!,IF(+NFL!#REF!="Tennessee",+NFL!#REF!,0))</f>
        <v>#REF!</v>
      </c>
      <c r="AJ580" s="353" t="e">
        <f>IF(+NFL!#REF!="Tennessee",+NFL!#REF!,IF(+NFL!#REF!="Tennessee",+NFL!#REF!,0))</f>
        <v>#REF!</v>
      </c>
      <c r="AK580" s="379" t="e">
        <f>IF(+NFL!#REF!="Tennessee",+NFL!#REF!,IF(+NFL!#REF!="Tennessee",+NFL!#REF!,0))</f>
        <v>#REF!</v>
      </c>
      <c r="AL580" s="68" t="e">
        <f>IF(+NFL!#REF!="Tennessee",+NFL!#REF!,IF(+NFL!#REF!="Tennessee",+NFL!#REF!,0))</f>
        <v>#REF!</v>
      </c>
      <c r="AM580" s="58" t="e">
        <f>IF(+NFL!#REF!="Tennessee",+NFL!#REF!,IF(+NFL!#REF!="Tennessee",+NFL!#REF!,0))</f>
        <v>#REF!</v>
      </c>
      <c r="AN580" s="57" t="e">
        <f>IF(+NFL!#REF!="Tennessee",+NFL!#REF!,IF(+NFL!#REF!="Tennessee",+NFL!#REF!,0))</f>
        <v>#REF!</v>
      </c>
      <c r="AO580" s="59" t="e">
        <f>IF(+NFL!#REF!="Tennessee",+NFL!#REF!,IF(+NFL!#REF!="Tennessee",+NFL!#REF!,0))</f>
        <v>#REF!</v>
      </c>
      <c r="AP580" s="348" t="e">
        <f>IF(+NFL!#REF!="Tennessee",+NFL!#REF!,IF(+NFL!#REF!="Tennessee",+NFL!#REF!,0))</f>
        <v>#REF!</v>
      </c>
      <c r="AQ580" s="48" t="e">
        <f>IF(+NFL!#REF!="Tennessee",+NFL!#REF!,IF(+NFL!#REF!="Tennessee",+NFL!#REF!,0))</f>
        <v>#REF!</v>
      </c>
      <c r="AR580" s="57" t="e">
        <f>IF(+NFL!#REF!="Tennessee",+NFL!#REF!,IF(+NFL!#REF!="Tennessee",+NFL!#REF!,0))</f>
        <v>#REF!</v>
      </c>
      <c r="AS580" s="64" t="e">
        <f>IF(+NFL!#REF!="Tennessee",+NFL!#REF!,IF(+NFL!#REF!="Tennessee",+NFL!#REF!,0))</f>
        <v>#REF!</v>
      </c>
      <c r="AT580" s="64" t="e">
        <f>IF(+NFL!#REF!="Tennessee",+NFL!#REF!,IF(+NFL!#REF!="Tennessee",+NFL!#REF!,0))</f>
        <v>#REF!</v>
      </c>
      <c r="AU580" s="57" t="e">
        <f>IF(+NFL!#REF!="Tennessee",+NFL!#REF!,IF(+NFL!#REF!="Tennessee",+NFL!#REF!,0))</f>
        <v>#REF!</v>
      </c>
      <c r="AV580" s="64" t="e">
        <f>IF(+NFL!#REF!="Tennessee",+NFL!#REF!,IF(+NFL!#REF!="Tennessee",+NFL!#REF!,0))</f>
        <v>#REF!</v>
      </c>
      <c r="AW580" s="46" t="e">
        <f>IF(+NFL!#REF!="Tennessee",+NFL!#REF!,IF(+NFL!#REF!="Tennessee",+NFL!#REF!,0))</f>
        <v>#REF!</v>
      </c>
      <c r="AX580" s="64" t="e">
        <f>IF(+NFL!#REF!="Tennessee",+NFL!#REF!,IF(+NFL!#REF!="Tennessee",+NFL!#REF!,0))</f>
        <v>#REF!</v>
      </c>
      <c r="AY580" s="57" t="e">
        <f>IF(+NFL!#REF!="Tennessee",+NFL!#REF!,IF(+NFL!#REF!="Tennessee",+NFL!#REF!,0))</f>
        <v>#REF!</v>
      </c>
      <c r="AZ580" s="64" t="e">
        <f>IF(+NFL!#REF!="Tennessee",+NFL!#REF!,IF(+NFL!#REF!="Tennessee",+NFL!#REF!,0))</f>
        <v>#REF!</v>
      </c>
      <c r="BA580" s="46" t="e">
        <f>IF(+NFL!#REF!="Tennessee",+NFL!#REF!,IF(+NFL!#REF!="Tennessee",+NFL!#REF!,0))</f>
        <v>#REF!</v>
      </c>
      <c r="BB580" s="46" t="e">
        <f>IF(+NFL!#REF!="Tennessee",+NFL!#REF!,IF(+NFL!#REF!="Tennessee",+NFL!#REF!,0))</f>
        <v>#REF!</v>
      </c>
      <c r="BC580" s="403" t="e">
        <f>IF(+NFL!#REF!="Tennessee",+NFL!#REF!,IF(+NFL!#REF!="Tennessee",+NFL!#REF!,0))</f>
        <v>#REF!</v>
      </c>
      <c r="BD580" s="57" t="e">
        <f>IF(+NFL!#REF!="Tennessee",+NFL!#REF!,IF(+NFL!#REF!="Tennessee",+NFL!#REF!,0))</f>
        <v>#REF!</v>
      </c>
      <c r="BE580" s="64" t="e">
        <f>IF(+NFL!#REF!="Tennessee",+NFL!#REF!,IF(+NFL!#REF!="Tennessee",+NFL!#REF!,0))</f>
        <v>#REF!</v>
      </c>
      <c r="BF580" s="46" t="e">
        <f>IF(+NFL!#REF!="Tennessee",+NFL!#REF!,IF(+NFL!#REF!="Tennessee",+NFL!#REF!,0))</f>
        <v>#REF!</v>
      </c>
      <c r="BG580" s="57" t="e">
        <f>IF(+NFL!#REF!="Tennessee",+NFL!#REF!,IF(+NFL!#REF!="Tennessee",+NFL!#REF!,0))</f>
        <v>#REF!</v>
      </c>
      <c r="BH580" s="64" t="e">
        <f>IF(+NFL!#REF!="Tennessee",+NFL!#REF!,IF(+NFL!#REF!="Tennessee",+NFL!#REF!,0))</f>
        <v>#REF!</v>
      </c>
      <c r="BI580" s="46" t="e">
        <f>IF(+NFL!#REF!="Tennessee",+NFL!#REF!,IF(+NFL!#REF!="Tennessee",+NFL!#REF!,0))</f>
        <v>#REF!</v>
      </c>
      <c r="BJ580" s="87" t="e">
        <f>IF(+NFL!#REF!="Tennessee",+NFL!#REF!,IF(+NFL!#REF!="Tennessee",+NFL!#REF!,0))</f>
        <v>#REF!</v>
      </c>
      <c r="BK580" s="120" t="e">
        <f>IF(+NFL!#REF!="Tennessee",+NFL!#REF!,IF(+NFL!#REF!="Tennessee",+NFL!#REF!,0))</f>
        <v>#REF!</v>
      </c>
    </row>
    <row r="581" spans="1:63" s="246" customFormat="1" x14ac:dyDescent="0.8">
      <c r="A581" s="46">
        <f>IF(+NFL!$F189="Tennessee",+NFL!A189,IF(+NFL!$H189="Tennessee",+NFL!A189,0))</f>
        <v>11</v>
      </c>
      <c r="B581" s="348" t="str">
        <f>IF(+NFL!$F189="Tennessee",+NFL!B189,IF(+NFL!$H189="Tennessee",+NFL!B189,0))</f>
        <v>Thurs</v>
      </c>
      <c r="C581" s="48">
        <f>IF(+NFL!$F189="Tennessee",+NFL!C189,IF(+NFL!$H189="Tennessee",+NFL!C189,0))</f>
        <v>44882</v>
      </c>
      <c r="D581" s="490">
        <f>IF(+NFL!$F189="Tennessee",+NFL!D189,IF(+NFL!$H189="Tennessee",+NFL!D189,0))</f>
        <v>0.39583333333333331</v>
      </c>
      <c r="E581" s="46" t="str">
        <f>IF(+NFL!$F189="Tennessee",+NFL!E189,IF(+NFL!$H189="Tennessee",+NFL!E189,0))</f>
        <v>NBC</v>
      </c>
      <c r="F581" s="127" t="str">
        <f>IF(+NFL!$F189="Tennessee",+NFL!F189,IF(+NFL!$H189="Tennessee",+NFL!F189,0))</f>
        <v>Tennessee</v>
      </c>
      <c r="G581" s="46" t="str">
        <f>IF(+NFL!$F189="Tennessee",+NFL!G189,IF(+NFL!$H189="Tennessee",+NFL!G189,0))</f>
        <v>AFCS</v>
      </c>
      <c r="H581" s="127" t="str">
        <f>IF(+NFL!$F189="Tennessee",+NFL!H189,IF(+NFL!$H189="Tennessee",+NFL!H189,0))</f>
        <v>Green Bay</v>
      </c>
      <c r="I581" s="46" t="str">
        <f>IF(+NFL!$F189="Tennessee",+NFL!I189,IF(+NFL!$H189="Tennessee",+NFL!I189,0))</f>
        <v>NFCN</v>
      </c>
      <c r="J581" s="353" t="str">
        <f>IF(+NFL!$F189="Tennessee",+NFL!J189,IF(+NFL!$H189="Tennessee",+NFL!J189,0))</f>
        <v>Green Bay</v>
      </c>
      <c r="K581" s="494" t="str">
        <f>IF(+NFL!$F189="Tennessee",+NFL!K189,IF(+NFL!$H189="Tennessee",+NFL!K189,0))</f>
        <v>Tennessee</v>
      </c>
      <c r="L581" s="384">
        <f>IF(+NFL!$F189="Tennessee",+NFL!L189,IF(+NFL!$H189="Tennessee",+NFL!L189,0))</f>
        <v>3</v>
      </c>
      <c r="M581" s="385">
        <f>IF(+NFL!$F189="Tennessee",+NFL!M189,IF(+NFL!$H189="Tennessee",+NFL!M189,0))</f>
        <v>41</v>
      </c>
      <c r="N581" s="394" t="str">
        <f>IF(+NFL!$F189="Tennessee",+NFL!N189,IF(+NFL!$H189="Tennessee",+NFL!N189,0))</f>
        <v>Tennessee</v>
      </c>
      <c r="O581" s="395">
        <f>IF(+NFL!$F189="Tennessee",+NFL!O189,IF(+NFL!$H189="Tennessee",+NFL!O189,0))</f>
        <v>27</v>
      </c>
      <c r="P581" s="394" t="str">
        <f>IF(+NFL!$F189="Tennessee",+NFL!P189,IF(+NFL!$H189="Tennessee",+NFL!P189,0))</f>
        <v>Green Bay</v>
      </c>
      <c r="Q581" s="396">
        <f>IF(+NFL!$F189="Tennessee",+NFL!Q189,IF(+NFL!$H189="Tennessee",+NFL!Q189,0))</f>
        <v>17</v>
      </c>
      <c r="R581" s="397" t="str">
        <f>IF(+NFL!$F189="Tennessee",+NFL!R189,IF(+NFL!$H189="Tennessee",+NFL!R189,0))</f>
        <v>Tennessee</v>
      </c>
      <c r="S581" s="396" t="str">
        <f>IF(+NFL!$F189="Tennessee",+NFL!S189,IF(+NFL!$H189="Tennessee",+NFL!S189,0))</f>
        <v>Green Bay</v>
      </c>
      <c r="T581" s="398" t="str">
        <f>IF(+NFL!$F189="Tennessee",+NFL!T189,IF(+NFL!$H189="Tennessee",+NFL!T189,0))</f>
        <v>Tennessee</v>
      </c>
      <c r="U581" s="396" t="str">
        <f>IF(+NFL!$F189="Tennessee",+NFL!U189,IF(+NFL!$H189="Tennessee",+NFL!U189,0))</f>
        <v>W</v>
      </c>
      <c r="V581" s="397">
        <f>IF(+NFL!$F180="Tennessee",+NFL!#REF!,IF(+NFL!$H180="Tennessee",+NFL!#REF!,0))</f>
        <v>0</v>
      </c>
      <c r="W581" s="396">
        <f>IF(+NFL!$F180="Tennessee",+NFL!#REF!,IF(+NFL!$H180="Tennessee",+NFL!#REF!,0))</f>
        <v>0</v>
      </c>
      <c r="X581" s="398">
        <f>IF(+NFL!$F180="Tennessee",+NFL!#REF!,IF(+NFL!$H180="Tennessee",+NFL!#REF!,0))</f>
        <v>0</v>
      </c>
      <c r="Y581" s="396">
        <f>IF(+NFL!$F180="Tennessee",+NFL!#REF!,IF(+NFL!$H180="Tennessee",+NFL!#REF!,0))</f>
        <v>0</v>
      </c>
      <c r="Z581" s="397">
        <f>IF(+NFL!$F180="Tennessee",+NFL!#REF!,IF(+NFL!$H180="Tennessee",+NFL!#REF!,0))</f>
        <v>0</v>
      </c>
      <c r="AA581" s="396">
        <f>IF(+NFL!$F180="Tennessee",+NFL!#REF!,IF(+NFL!$H180="Tennessee",+NFL!#REF!,0))</f>
        <v>0</v>
      </c>
      <c r="AB581" s="87">
        <f>IF(+NFL!$F180="Tennessee",+NFL!#REF!,IF(+NFL!$H180="Tennessee",+NFL!#REF!,0))</f>
        <v>0</v>
      </c>
      <c r="AC581" s="120">
        <f>IF(+NFL!$F180="Tennessee",+NFL!#REF!,IF(+NFL!$H180="Tennessee",+NFL!#REF!,0))</f>
        <v>0</v>
      </c>
      <c r="AD581" s="353">
        <f>IF(+NFL!$F180="Tennessee",+NFL!#REF!,IF(+NFL!$H180="Tennessee",+NFL!#REF!,0))</f>
        <v>0</v>
      </c>
      <c r="AE581" s="379">
        <f>IF(+NFL!$F180="Tennessee",+NFL!#REF!,IF(+NFL!$H180="Tennessee",+NFL!#REF!,0))</f>
        <v>0</v>
      </c>
      <c r="AF581" s="353">
        <f>IF(+NFL!$F180="Tennessee",+NFL!#REF!,IF(+NFL!$H180="Tennessee",+NFL!#REF!,0))</f>
        <v>0</v>
      </c>
      <c r="AG581" s="379">
        <f>IF(+NFL!$F180="Tennessee",+NFL!#REF!,IF(+NFL!$H180="Tennessee",+NFL!#REF!,0))</f>
        <v>0</v>
      </c>
      <c r="AH581" s="353">
        <f>IF(+NFL!$F180="Tennessee",+NFL!#REF!,IF(+NFL!$H180="Tennessee",+NFL!#REF!,0))</f>
        <v>0</v>
      </c>
      <c r="AI581" s="379">
        <f>IF(+NFL!$F180="Tennessee",+NFL!#REF!,IF(+NFL!$H180="Tennessee",+NFL!#REF!,0))</f>
        <v>0</v>
      </c>
      <c r="AJ581" s="353">
        <f>IF(+NFL!$F180="Tennessee",+NFL!#REF!,IF(+NFL!$H180="Tennessee",+NFL!#REF!,0))</f>
        <v>0</v>
      </c>
      <c r="AK581" s="379">
        <f>IF(+NFL!$F180="Tennessee",+NFL!#REF!,IF(+NFL!$H180="Tennessee",+NFL!#REF!,0))</f>
        <v>0</v>
      </c>
      <c r="AL581" s="68">
        <f>IF(+NFL!$F180="Tennessee",+NFL!#REF!,IF(+NFL!$H180="Tennessee",+NFL!#REF!,0))</f>
        <v>0</v>
      </c>
      <c r="AM581" s="58">
        <f>IF(+NFL!$F180="Tennessee",+NFL!#REF!,IF(+NFL!$H180="Tennessee",+NFL!#REF!,0))</f>
        <v>0</v>
      </c>
      <c r="AN581" s="57">
        <f>IF(+NFL!$F180="Tennessee",+NFL!#REF!,IF(+NFL!$H180="Tennessee",+NFL!#REF!,0))</f>
        <v>0</v>
      </c>
      <c r="AO581" s="59">
        <f>IF(+NFL!$F180="Tennessee",+NFL!#REF!,IF(+NFL!$H180="Tennessee",+NFL!#REF!,0))</f>
        <v>0</v>
      </c>
      <c r="AP581" s="348">
        <f>IF(+NFL!$F180="Tennessee",+NFL!#REF!,IF(+NFL!$H180="Tennessee",+NFL!#REF!,0))</f>
        <v>0</v>
      </c>
      <c r="AQ581" s="48">
        <f>IF(+NFL!$F180="Tennessee",+NFL!#REF!,IF(+NFL!$H180="Tennessee",+NFL!#REF!,0))</f>
        <v>0</v>
      </c>
      <c r="AR581" s="57">
        <f>IF(+NFL!$F180="Tennessee",+NFL!#REF!,IF(+NFL!$H180="Tennessee",+NFL!#REF!,0))</f>
        <v>0</v>
      </c>
      <c r="AS581" s="64">
        <f>IF(+NFL!$F180="Tennessee",+NFL!#REF!,IF(+NFL!$H180="Tennessee",+NFL!#REF!,0))</f>
        <v>0</v>
      </c>
      <c r="AT581" s="64">
        <f>IF(+NFL!$F180="Tennessee",+NFL!#REF!,IF(+NFL!$H180="Tennessee",+NFL!#REF!,0))</f>
        <v>0</v>
      </c>
      <c r="AU581" s="57">
        <f>IF(+NFL!$F180="Tennessee",+NFL!#REF!,IF(+NFL!$H180="Tennessee",+NFL!#REF!,0))</f>
        <v>0</v>
      </c>
      <c r="AV581" s="64">
        <f>IF(+NFL!$F180="Tennessee",+NFL!#REF!,IF(+NFL!$H180="Tennessee",+NFL!#REF!,0))</f>
        <v>0</v>
      </c>
      <c r="AW581" s="46">
        <f>IF(+NFL!$F180="Tennessee",+NFL!#REF!,IF(+NFL!$H180="Tennessee",+NFL!#REF!,0))</f>
        <v>0</v>
      </c>
      <c r="AX581" s="64">
        <f>IF(+NFL!$F180="Tennessee",+NFL!#REF!,IF(+NFL!$H180="Tennessee",+NFL!#REF!,0))</f>
        <v>0</v>
      </c>
      <c r="AY581" s="57">
        <f>IF(+NFL!$F180="Tennessee",+NFL!#REF!,IF(+NFL!$H180="Tennessee",+NFL!#REF!,0))</f>
        <v>0</v>
      </c>
      <c r="AZ581" s="64">
        <f>IF(+NFL!$F180="Tennessee",+NFL!#REF!,IF(+NFL!$H180="Tennessee",+NFL!#REF!,0))</f>
        <v>0</v>
      </c>
      <c r="BA581" s="46">
        <f>IF(+NFL!$F180="Tennessee",+NFL!#REF!,IF(+NFL!$H180="Tennessee",+NFL!#REF!,0))</f>
        <v>0</v>
      </c>
      <c r="BB581" s="46">
        <f>IF(+NFL!$F180="Tennessee",+NFL!#REF!,IF(+NFL!$H180="Tennessee",+NFL!#REF!,0))</f>
        <v>0</v>
      </c>
      <c r="BC581" s="403">
        <f>IF(+NFL!$F180="Tennessee",+NFL!#REF!,IF(+NFL!$H180="Tennessee",+NFL!#REF!,0))</f>
        <v>0</v>
      </c>
      <c r="BD581" s="57">
        <f>IF(+NFL!$F180="Tennessee",+NFL!#REF!,IF(+NFL!$H180="Tennessee",+NFL!#REF!,0))</f>
        <v>0</v>
      </c>
      <c r="BE581" s="64">
        <f>IF(+NFL!$F180="Tennessee",+NFL!#REF!,IF(+NFL!$H180="Tennessee",+NFL!#REF!,0))</f>
        <v>0</v>
      </c>
      <c r="BF581" s="46">
        <f>IF(+NFL!$F180="Tennessee",+NFL!#REF!,IF(+NFL!$H180="Tennessee",+NFL!#REF!,0))</f>
        <v>0</v>
      </c>
      <c r="BG581" s="57">
        <f>IF(+NFL!$F180="Tennessee",+NFL!#REF!,IF(+NFL!$H180="Tennessee",+NFL!#REF!,0))</f>
        <v>0</v>
      </c>
      <c r="BH581" s="64">
        <f>IF(+NFL!$F180="Tennessee",+NFL!#REF!,IF(+NFL!$H180="Tennessee",+NFL!#REF!,0))</f>
        <v>0</v>
      </c>
      <c r="BI581" s="46">
        <f>IF(+NFL!$F180="Tennessee",+NFL!#REF!,IF(+NFL!$H180="Tennessee",+NFL!#REF!,0))</f>
        <v>0</v>
      </c>
      <c r="BJ581" s="87">
        <f>IF(+NFL!$F180="Tennessee",+NFL!#REF!,IF(+NFL!$H180="Tennessee",+NFL!#REF!,0))</f>
        <v>0</v>
      </c>
      <c r="BK581" s="120">
        <f>IF(+NFL!$F180="Tennessee",+NFL!#REF!,IF(+NFL!$H180="Tennessee",+NFL!#REF!,0))</f>
        <v>0</v>
      </c>
    </row>
    <row r="582" spans="1:63" s="246" customFormat="1" x14ac:dyDescent="0.8">
      <c r="A582" s="46">
        <f>IF(+NFL!$F213="Tennessee",+NFL!A213,IF(+NFL!$H213="Tennessee",+NFL!A213,0))</f>
        <v>12</v>
      </c>
      <c r="B582" s="348" t="str">
        <f>IF(+NFL!$F213="Tennessee",+NFL!B213,IF(+NFL!$H213="Tennessee",+NFL!B213,0))</f>
        <v>Sun</v>
      </c>
      <c r="C582" s="48">
        <f>IF(+NFL!$F213="Tennessee",+NFL!C213,IF(+NFL!$H213="Tennessee",+NFL!C213,0))</f>
        <v>44892</v>
      </c>
      <c r="D582" s="490">
        <f>IF(+NFL!$F213="Tennessee",+NFL!D213,IF(+NFL!$H213="Tennessee",+NFL!D213,0))</f>
        <v>0.54166666666666663</v>
      </c>
      <c r="E582" s="46" t="str">
        <f>IF(+NFL!$F213="Tennessee",+NFL!E213,IF(+NFL!$H213="Tennessee",+NFL!E213,0))</f>
        <v>CBS</v>
      </c>
      <c r="F582" s="127" t="str">
        <f>IF(+NFL!$F213="Tennessee",+NFL!F213,IF(+NFL!$H213="Tennessee",+NFL!F213,0))</f>
        <v>Cincinnati</v>
      </c>
      <c r="G582" s="46" t="str">
        <f>IF(+NFL!$F213="Tennessee",+NFL!G213,IF(+NFL!$H213="Tennessee",+NFL!G213,0))</f>
        <v>AFCN</v>
      </c>
      <c r="H582" s="127" t="str">
        <f>IF(+NFL!$F213="Tennessee",+NFL!H213,IF(+NFL!$H213="Tennessee",+NFL!H213,0))</f>
        <v>Tennessee</v>
      </c>
      <c r="I582" s="46" t="str">
        <f>IF(+NFL!$F213="Tennessee",+NFL!I213,IF(+NFL!$H213="Tennessee",+NFL!I213,0))</f>
        <v>AFCS</v>
      </c>
      <c r="J582" s="353" t="str">
        <f>IF(+NFL!$F213="Tennessee",+NFL!J213,IF(+NFL!$H213="Tennessee",+NFL!J213,0))</f>
        <v>Cincinnati</v>
      </c>
      <c r="K582" s="494" t="str">
        <f>IF(+NFL!$F213="Tennessee",+NFL!K213,IF(+NFL!$H213="Tennessee",+NFL!K213,0))</f>
        <v>Tennessee</v>
      </c>
      <c r="L582" s="384">
        <f>IF(+NFL!$F213="Tennessee",+NFL!L213,IF(+NFL!$H213="Tennessee",+NFL!L213,0))</f>
        <v>1.5</v>
      </c>
      <c r="M582" s="385">
        <f>IF(+NFL!$F213="Tennessee",+NFL!M213,IF(+NFL!$H213="Tennessee",+NFL!M213,0))</f>
        <v>42.5</v>
      </c>
      <c r="N582" s="394" t="str">
        <f>IF(+NFL!$F213="Tennessee",+NFL!N213,IF(+NFL!$H213="Tennessee",+NFL!N213,0))</f>
        <v>Cincinnati</v>
      </c>
      <c r="O582" s="395">
        <f>IF(+NFL!$F213="Tennessee",+NFL!O213,IF(+NFL!$H213="Tennessee",+NFL!O213,0))</f>
        <v>20</v>
      </c>
      <c r="P582" s="394" t="str">
        <f>IF(+NFL!$F213="Tennessee",+NFL!P213,IF(+NFL!$H213="Tennessee",+NFL!P213,0))</f>
        <v>Tennessee</v>
      </c>
      <c r="Q582" s="396">
        <f>IF(+NFL!$F213="Tennessee",+NFL!Q213,IF(+NFL!$H213="Tennessee",+NFL!Q213,0))</f>
        <v>16</v>
      </c>
      <c r="R582" s="397" t="str">
        <f>IF(+NFL!$F213="Tennessee",+NFL!R213,IF(+NFL!$H213="Tennessee",+NFL!R213,0))</f>
        <v>Cincinnati</v>
      </c>
      <c r="S582" s="396" t="str">
        <f>IF(+NFL!$F213="Tennessee",+NFL!S213,IF(+NFL!$H213="Tennessee",+NFL!S213,0))</f>
        <v>Tennessee</v>
      </c>
      <c r="T582" s="398" t="str">
        <f>IF(+NFL!$F213="Tennessee",+NFL!T213,IF(+NFL!$H213="Tennessee",+NFL!T213,0))</f>
        <v>Cincinnati</v>
      </c>
      <c r="U582" s="396" t="str">
        <f>IF(+NFL!$F213="Tennessee",+NFL!U213,IF(+NFL!$H213="Tennessee",+NFL!U213,0))</f>
        <v>W</v>
      </c>
      <c r="V582" s="397">
        <f>IF(+NFL!$F200="Tennessee",+NFL!#REF!,IF(+NFL!$H200="Tennessee",+NFL!#REF!,0))</f>
        <v>0</v>
      </c>
      <c r="W582" s="396">
        <f>IF(+NFL!$F200="Tennessee",+NFL!#REF!,IF(+NFL!$H200="Tennessee",+NFL!#REF!,0))</f>
        <v>0</v>
      </c>
      <c r="X582" s="398">
        <f>IF(+NFL!$F200="Tennessee",+NFL!#REF!,IF(+NFL!$H200="Tennessee",+NFL!#REF!,0))</f>
        <v>0</v>
      </c>
      <c r="Y582" s="396">
        <f>IF(+NFL!$F200="Tennessee",+NFL!#REF!,IF(+NFL!$H200="Tennessee",+NFL!#REF!,0))</f>
        <v>0</v>
      </c>
      <c r="Z582" s="397">
        <f>IF(+NFL!$F200="Tennessee",+NFL!#REF!,IF(+NFL!$H200="Tennessee",+NFL!#REF!,0))</f>
        <v>0</v>
      </c>
      <c r="AA582" s="396">
        <f>IF(+NFL!$F200="Tennessee",+NFL!#REF!,IF(+NFL!$H200="Tennessee",+NFL!#REF!,0))</f>
        <v>0</v>
      </c>
      <c r="AB582" s="87">
        <f>IF(+NFL!$F200="Tennessee",+NFL!#REF!,IF(+NFL!$H200="Tennessee",+NFL!#REF!,0))</f>
        <v>0</v>
      </c>
      <c r="AC582" s="120">
        <f>IF(+NFL!$F200="Tennessee",+NFL!#REF!,IF(+NFL!$H200="Tennessee",+NFL!#REF!,0))</f>
        <v>0</v>
      </c>
      <c r="AD582" s="353">
        <f>IF(+NFL!$F200="Tennessee",+NFL!#REF!,IF(+NFL!$H200="Tennessee",+NFL!#REF!,0))</f>
        <v>0</v>
      </c>
      <c r="AE582" s="379">
        <f>IF(+NFL!$F200="Tennessee",+NFL!#REF!,IF(+NFL!$H200="Tennessee",+NFL!#REF!,0))</f>
        <v>0</v>
      </c>
      <c r="AF582" s="353">
        <f>IF(+NFL!$F200="Tennessee",+NFL!#REF!,IF(+NFL!$H200="Tennessee",+NFL!#REF!,0))</f>
        <v>0</v>
      </c>
      <c r="AG582" s="379">
        <f>IF(+NFL!$F200="Tennessee",+NFL!#REF!,IF(+NFL!$H200="Tennessee",+NFL!#REF!,0))</f>
        <v>0</v>
      </c>
      <c r="AH582" s="353">
        <f>IF(+NFL!$F200="Tennessee",+NFL!#REF!,IF(+NFL!$H200="Tennessee",+NFL!#REF!,0))</f>
        <v>0</v>
      </c>
      <c r="AI582" s="379">
        <f>IF(+NFL!$F200="Tennessee",+NFL!#REF!,IF(+NFL!$H200="Tennessee",+NFL!#REF!,0))</f>
        <v>0</v>
      </c>
      <c r="AJ582" s="353">
        <f>IF(+NFL!$F200="Tennessee",+NFL!#REF!,IF(+NFL!$H200="Tennessee",+NFL!#REF!,0))</f>
        <v>0</v>
      </c>
      <c r="AK582" s="379">
        <f>IF(+NFL!$F200="Tennessee",+NFL!#REF!,IF(+NFL!$H200="Tennessee",+NFL!#REF!,0))</f>
        <v>0</v>
      </c>
      <c r="AL582" s="68">
        <f>IF(+NFL!$F200="Tennessee",+NFL!#REF!,IF(+NFL!$H200="Tennessee",+NFL!#REF!,0))</f>
        <v>0</v>
      </c>
      <c r="AM582" s="58">
        <f>IF(+NFL!$F200="Tennessee",+NFL!#REF!,IF(+NFL!$H200="Tennessee",+NFL!#REF!,0))</f>
        <v>0</v>
      </c>
      <c r="AN582" s="57">
        <f>IF(+NFL!$F200="Tennessee",+NFL!#REF!,IF(+NFL!$H200="Tennessee",+NFL!#REF!,0))</f>
        <v>0</v>
      </c>
      <c r="AO582" s="59">
        <f>IF(+NFL!$F200="Tennessee",+NFL!#REF!,IF(+NFL!$H200="Tennessee",+NFL!#REF!,0))</f>
        <v>0</v>
      </c>
      <c r="AP582" s="348">
        <f>IF(+NFL!$F200="Tennessee",+NFL!#REF!,IF(+NFL!$H200="Tennessee",+NFL!#REF!,0))</f>
        <v>0</v>
      </c>
      <c r="AQ582" s="48">
        <f>IF(+NFL!$F200="Tennessee",+NFL!#REF!,IF(+NFL!$H200="Tennessee",+NFL!#REF!,0))</f>
        <v>0</v>
      </c>
      <c r="AR582" s="57">
        <f>IF(+NFL!$F200="Tennessee",+NFL!#REF!,IF(+NFL!$H200="Tennessee",+NFL!#REF!,0))</f>
        <v>0</v>
      </c>
      <c r="AS582" s="64">
        <f>IF(+NFL!$F200="Tennessee",+NFL!#REF!,IF(+NFL!$H200="Tennessee",+NFL!#REF!,0))</f>
        <v>0</v>
      </c>
      <c r="AT582" s="64">
        <f>IF(+NFL!$F200="Tennessee",+NFL!#REF!,IF(+NFL!$H200="Tennessee",+NFL!#REF!,0))</f>
        <v>0</v>
      </c>
      <c r="AU582" s="57">
        <f>IF(+NFL!$F200="Tennessee",+NFL!#REF!,IF(+NFL!$H200="Tennessee",+NFL!#REF!,0))</f>
        <v>0</v>
      </c>
      <c r="AV582" s="64">
        <f>IF(+NFL!$F200="Tennessee",+NFL!#REF!,IF(+NFL!$H200="Tennessee",+NFL!#REF!,0))</f>
        <v>0</v>
      </c>
      <c r="AW582" s="46">
        <f>IF(+NFL!$F200="Tennessee",+NFL!#REF!,IF(+NFL!$H200="Tennessee",+NFL!#REF!,0))</f>
        <v>0</v>
      </c>
      <c r="AX582" s="64">
        <f>IF(+NFL!$F200="Tennessee",+NFL!#REF!,IF(+NFL!$H200="Tennessee",+NFL!#REF!,0))</f>
        <v>0</v>
      </c>
      <c r="AY582" s="57">
        <f>IF(+NFL!$F200="Tennessee",+NFL!#REF!,IF(+NFL!$H200="Tennessee",+NFL!#REF!,0))</f>
        <v>0</v>
      </c>
      <c r="AZ582" s="64">
        <f>IF(+NFL!$F200="Tennessee",+NFL!#REF!,IF(+NFL!$H200="Tennessee",+NFL!#REF!,0))</f>
        <v>0</v>
      </c>
      <c r="BA582" s="46">
        <f>IF(+NFL!$F200="Tennessee",+NFL!#REF!,IF(+NFL!$H200="Tennessee",+NFL!#REF!,0))</f>
        <v>0</v>
      </c>
      <c r="BB582" s="46">
        <f>IF(+NFL!$F200="Tennessee",+NFL!#REF!,IF(+NFL!$H200="Tennessee",+NFL!#REF!,0))</f>
        <v>0</v>
      </c>
      <c r="BC582" s="403">
        <f>IF(+NFL!$F200="Tennessee",+NFL!#REF!,IF(+NFL!$H200="Tennessee",+NFL!#REF!,0))</f>
        <v>0</v>
      </c>
      <c r="BD582" s="57">
        <f>IF(+NFL!$F200="Tennessee",+NFL!#REF!,IF(+NFL!$H200="Tennessee",+NFL!#REF!,0))</f>
        <v>0</v>
      </c>
      <c r="BE582" s="64">
        <f>IF(+NFL!$F200="Tennessee",+NFL!#REF!,IF(+NFL!$H200="Tennessee",+NFL!#REF!,0))</f>
        <v>0</v>
      </c>
      <c r="BF582" s="46">
        <f>IF(+NFL!$F200="Tennessee",+NFL!#REF!,IF(+NFL!$H200="Tennessee",+NFL!#REF!,0))</f>
        <v>0</v>
      </c>
      <c r="BG582" s="57">
        <f>IF(+NFL!$F200="Tennessee",+NFL!#REF!,IF(+NFL!$H200="Tennessee",+NFL!#REF!,0))</f>
        <v>0</v>
      </c>
      <c r="BH582" s="64">
        <f>IF(+NFL!$F200="Tennessee",+NFL!#REF!,IF(+NFL!$H200="Tennessee",+NFL!#REF!,0))</f>
        <v>0</v>
      </c>
      <c r="BI582" s="46">
        <f>IF(+NFL!$F200="Tennessee",+NFL!#REF!,IF(+NFL!$H200="Tennessee",+NFL!#REF!,0))</f>
        <v>0</v>
      </c>
      <c r="BJ582" s="87">
        <f>IF(+NFL!$F200="Tennessee",+NFL!#REF!,IF(+NFL!$H200="Tennessee",+NFL!#REF!,0))</f>
        <v>0</v>
      </c>
      <c r="BK582" s="120">
        <f>IF(+NFL!$F200="Tennessee",+NFL!#REF!,IF(+NFL!$H200="Tennessee",+NFL!#REF!,0))</f>
        <v>0</v>
      </c>
    </row>
    <row r="583" spans="1:63" s="246" customFormat="1" x14ac:dyDescent="0.8">
      <c r="A583" s="46">
        <f>IF(+NFL!$F232="Tennessee",+NFL!A232,IF(+NFL!$H232="Tennessee",+NFL!A232,0))</f>
        <v>13</v>
      </c>
      <c r="B583" s="348" t="str">
        <f>IF(+NFL!$F232="Tennessee",+NFL!B232,IF(+NFL!$H232="Tennessee",+NFL!B232,0))</f>
        <v>Sun</v>
      </c>
      <c r="C583" s="48">
        <f>IF(+NFL!$F232="Tennessee",+NFL!C232,IF(+NFL!$H232="Tennessee",+NFL!C232,0))</f>
        <v>44899</v>
      </c>
      <c r="D583" s="490">
        <f>IF(+NFL!$F232="Tennessee",+NFL!D232,IF(+NFL!$H232="Tennessee",+NFL!D232,0))</f>
        <v>0.54166666666666663</v>
      </c>
      <c r="E583" s="46" t="str">
        <f>IF(+NFL!$F232="Tennessee",+NFL!E232,IF(+NFL!$H232="Tennessee",+NFL!E232,0))</f>
        <v>CBS</v>
      </c>
      <c r="F583" s="127" t="str">
        <f>IF(+NFL!$F232="Tennessee",+NFL!F232,IF(+NFL!$H232="Tennessee",+NFL!F232,0))</f>
        <v>Tennessee</v>
      </c>
      <c r="G583" s="46" t="str">
        <f>IF(+NFL!$F232="Tennessee",+NFL!G232,IF(+NFL!$H232="Tennessee",+NFL!G232,0))</f>
        <v>AFCS</v>
      </c>
      <c r="H583" s="127" t="str">
        <f>IF(+NFL!$F232="Tennessee",+NFL!H232,IF(+NFL!$H232="Tennessee",+NFL!H232,0))</f>
        <v>Philadelphia</v>
      </c>
      <c r="I583" s="46" t="str">
        <f>IF(+NFL!$F232="Tennessee",+NFL!I232,IF(+NFL!$H232="Tennessee",+NFL!I232,0))</f>
        <v>NFCE</v>
      </c>
      <c r="J583" s="353" t="str">
        <f>IF(+NFL!$F232="Tennessee",+NFL!J232,IF(+NFL!$H232="Tennessee",+NFL!J232,0))</f>
        <v>Philadelphia</v>
      </c>
      <c r="K583" s="494" t="str">
        <f>IF(+NFL!$F232="Tennessee",+NFL!K232,IF(+NFL!$H232="Tennessee",+NFL!K232,0))</f>
        <v>Tennessee</v>
      </c>
      <c r="L583" s="384">
        <f>IF(+NFL!$F232="Tennessee",+NFL!L232,IF(+NFL!$H232="Tennessee",+NFL!L232,0))</f>
        <v>5.5</v>
      </c>
      <c r="M583" s="385">
        <f>IF(+NFL!$F232="Tennessee",+NFL!M232,IF(+NFL!$H232="Tennessee",+NFL!M232,0))</f>
        <v>44.5</v>
      </c>
      <c r="N583" s="394" t="str">
        <f>IF(+NFL!$F232="Tennessee",+NFL!N232,IF(+NFL!$H232="Tennessee",+NFL!N232,0))</f>
        <v>Philadelphia</v>
      </c>
      <c r="O583" s="395">
        <f>IF(+NFL!$F232="Tennessee",+NFL!O232,IF(+NFL!$H232="Tennessee",+NFL!O232,0))</f>
        <v>35</v>
      </c>
      <c r="P583" s="394" t="str">
        <f>IF(+NFL!$F232="Tennessee",+NFL!P232,IF(+NFL!$H232="Tennessee",+NFL!P232,0))</f>
        <v>Tennessee</v>
      </c>
      <c r="Q583" s="396">
        <f>IF(+NFL!$F232="Tennessee",+NFL!Q232,IF(+NFL!$H232="Tennessee",+NFL!Q232,0))</f>
        <v>10</v>
      </c>
      <c r="R583" s="397" t="str">
        <f>IF(+NFL!$F232="Tennessee",+NFL!R232,IF(+NFL!$H232="Tennessee",+NFL!R232,0))</f>
        <v>Philadelphia</v>
      </c>
      <c r="S583" s="396" t="str">
        <f>IF(+NFL!$F232="Tennessee",+NFL!S232,IF(+NFL!$H232="Tennessee",+NFL!S232,0))</f>
        <v>Tennessee</v>
      </c>
      <c r="T583" s="398" t="str">
        <f>IF(+NFL!$F232="Tennessee",+NFL!T232,IF(+NFL!$H232="Tennessee",+NFL!T232,0))</f>
        <v>Tennessee</v>
      </c>
      <c r="U583" s="396" t="str">
        <f>IF(+NFL!$F232="Tennessee",+NFL!U232,IF(+NFL!$H232="Tennessee",+NFL!U232,0))</f>
        <v>L</v>
      </c>
      <c r="V583" s="397">
        <f>IF(+NFL!$F233="Tennessee",+NFL!#REF!,IF(+NFL!$H233="Tennessee",+NFL!#REF!,0))</f>
        <v>0</v>
      </c>
      <c r="W583" s="396">
        <f>IF(+NFL!$F233="Tennessee",+NFL!#REF!,IF(+NFL!$H233="Tennessee",+NFL!#REF!,0))</f>
        <v>0</v>
      </c>
      <c r="X583" s="398">
        <f>IF(+NFL!$F233="Tennessee",+NFL!#REF!,IF(+NFL!$H233="Tennessee",+NFL!#REF!,0))</f>
        <v>0</v>
      </c>
      <c r="Y583" s="396">
        <f>IF(+NFL!$F233="Tennessee",+NFL!#REF!,IF(+NFL!$H233="Tennessee",+NFL!#REF!,0))</f>
        <v>0</v>
      </c>
      <c r="Z583" s="397">
        <f>IF(+NFL!$F233="Tennessee",+NFL!#REF!,IF(+NFL!$H233="Tennessee",+NFL!#REF!,0))</f>
        <v>0</v>
      </c>
      <c r="AA583" s="396">
        <f>IF(+NFL!$F233="Tennessee",+NFL!#REF!,IF(+NFL!$H233="Tennessee",+NFL!#REF!,0))</f>
        <v>0</v>
      </c>
      <c r="AB583" s="87">
        <f>IF(+NFL!$F233="Tennessee",+NFL!#REF!,IF(+NFL!$H233="Tennessee",+NFL!#REF!,0))</f>
        <v>0</v>
      </c>
      <c r="AC583" s="120">
        <f>IF(+NFL!$F233="Tennessee",+NFL!#REF!,IF(+NFL!$H233="Tennessee",+NFL!#REF!,0))</f>
        <v>0</v>
      </c>
      <c r="AD583" s="353">
        <f>IF(+NFL!$F233="Tennessee",+NFL!#REF!,IF(+NFL!$H233="Tennessee",+NFL!#REF!,0))</f>
        <v>0</v>
      </c>
      <c r="AE583" s="379">
        <f>IF(+NFL!$F233="Tennessee",+NFL!#REF!,IF(+NFL!$H233="Tennessee",+NFL!#REF!,0))</f>
        <v>0</v>
      </c>
      <c r="AF583" s="353">
        <f>IF(+NFL!$F233="Tennessee",+NFL!#REF!,IF(+NFL!$H233="Tennessee",+NFL!#REF!,0))</f>
        <v>0</v>
      </c>
      <c r="AG583" s="379">
        <f>IF(+NFL!$F233="Tennessee",+NFL!#REF!,IF(+NFL!$H233="Tennessee",+NFL!#REF!,0))</f>
        <v>0</v>
      </c>
      <c r="AH583" s="353">
        <f>IF(+NFL!$F233="Tennessee",+NFL!#REF!,IF(+NFL!$H233="Tennessee",+NFL!#REF!,0))</f>
        <v>0</v>
      </c>
      <c r="AI583" s="379">
        <f>IF(+NFL!$F233="Tennessee",+NFL!#REF!,IF(+NFL!$H233="Tennessee",+NFL!#REF!,0))</f>
        <v>0</v>
      </c>
      <c r="AJ583" s="353">
        <f>IF(+NFL!$F233="Tennessee",+NFL!#REF!,IF(+NFL!$H233="Tennessee",+NFL!#REF!,0))</f>
        <v>0</v>
      </c>
      <c r="AK583" s="379">
        <f>IF(+NFL!$F233="Tennessee",+NFL!#REF!,IF(+NFL!$H233="Tennessee",+NFL!#REF!,0))</f>
        <v>0</v>
      </c>
      <c r="AL583" s="68">
        <f>IF(+NFL!$F233="Tennessee",+NFL!#REF!,IF(+NFL!$H233="Tennessee",+NFL!#REF!,0))</f>
        <v>0</v>
      </c>
      <c r="AM583" s="58">
        <f>IF(+NFL!$F233="Tennessee",+NFL!#REF!,IF(+NFL!$H233="Tennessee",+NFL!#REF!,0))</f>
        <v>0</v>
      </c>
      <c r="AN583" s="57">
        <f>IF(+NFL!$F233="Tennessee",+NFL!#REF!,IF(+NFL!$H233="Tennessee",+NFL!#REF!,0))</f>
        <v>0</v>
      </c>
      <c r="AO583" s="59">
        <f>IF(+NFL!$F233="Tennessee",+NFL!#REF!,IF(+NFL!$H233="Tennessee",+NFL!#REF!,0))</f>
        <v>0</v>
      </c>
      <c r="AP583" s="348">
        <f>IF(+NFL!$F233="Tennessee",+NFL!#REF!,IF(+NFL!$H233="Tennessee",+NFL!#REF!,0))</f>
        <v>0</v>
      </c>
      <c r="AQ583" s="48">
        <f>IF(+NFL!$F233="Tennessee",+NFL!#REF!,IF(+NFL!$H233="Tennessee",+NFL!#REF!,0))</f>
        <v>0</v>
      </c>
      <c r="AR583" s="57">
        <f>IF(+NFL!$F233="Tennessee",+NFL!#REF!,IF(+NFL!$H233="Tennessee",+NFL!#REF!,0))</f>
        <v>0</v>
      </c>
      <c r="AS583" s="64">
        <f>IF(+NFL!$F233="Tennessee",+NFL!#REF!,IF(+NFL!$H233="Tennessee",+NFL!#REF!,0))</f>
        <v>0</v>
      </c>
      <c r="AT583" s="64">
        <f>IF(+NFL!$F233="Tennessee",+NFL!#REF!,IF(+NFL!$H233="Tennessee",+NFL!#REF!,0))</f>
        <v>0</v>
      </c>
      <c r="AU583" s="57">
        <f>IF(+NFL!$F233="Tennessee",+NFL!#REF!,IF(+NFL!$H233="Tennessee",+NFL!#REF!,0))</f>
        <v>0</v>
      </c>
      <c r="AV583" s="64">
        <f>IF(+NFL!$F233="Tennessee",+NFL!#REF!,IF(+NFL!$H233="Tennessee",+NFL!#REF!,0))</f>
        <v>0</v>
      </c>
      <c r="AW583" s="46">
        <f>IF(+NFL!$F233="Tennessee",+NFL!#REF!,IF(+NFL!$H233="Tennessee",+NFL!#REF!,0))</f>
        <v>0</v>
      </c>
      <c r="AX583" s="64">
        <f>IF(+NFL!$F233="Tennessee",+NFL!#REF!,IF(+NFL!$H233="Tennessee",+NFL!#REF!,0))</f>
        <v>0</v>
      </c>
      <c r="AY583" s="57">
        <f>IF(+NFL!$F233="Tennessee",+NFL!#REF!,IF(+NFL!$H233="Tennessee",+NFL!#REF!,0))</f>
        <v>0</v>
      </c>
      <c r="AZ583" s="64">
        <f>IF(+NFL!$F233="Tennessee",+NFL!#REF!,IF(+NFL!$H233="Tennessee",+NFL!#REF!,0))</f>
        <v>0</v>
      </c>
      <c r="BA583" s="46">
        <f>IF(+NFL!$F233="Tennessee",+NFL!#REF!,IF(+NFL!$H233="Tennessee",+NFL!#REF!,0))</f>
        <v>0</v>
      </c>
      <c r="BB583" s="46">
        <f>IF(+NFL!$F233="Tennessee",+NFL!#REF!,IF(+NFL!$H233="Tennessee",+NFL!#REF!,0))</f>
        <v>0</v>
      </c>
      <c r="BC583" s="403">
        <f>IF(+NFL!$F233="Tennessee",+NFL!#REF!,IF(+NFL!$H233="Tennessee",+NFL!#REF!,0))</f>
        <v>0</v>
      </c>
      <c r="BD583" s="57">
        <f>IF(+NFL!$F233="Tennessee",+NFL!#REF!,IF(+NFL!$H233="Tennessee",+NFL!#REF!,0))</f>
        <v>0</v>
      </c>
      <c r="BE583" s="64">
        <f>IF(+NFL!$F233="Tennessee",+NFL!#REF!,IF(+NFL!$H233="Tennessee",+NFL!#REF!,0))</f>
        <v>0</v>
      </c>
      <c r="BF583" s="46">
        <f>IF(+NFL!$F233="Tennessee",+NFL!#REF!,IF(+NFL!$H233="Tennessee",+NFL!#REF!,0))</f>
        <v>0</v>
      </c>
      <c r="BG583" s="57">
        <f>IF(+NFL!$F233="Tennessee",+NFL!#REF!,IF(+NFL!$H233="Tennessee",+NFL!#REF!,0))</f>
        <v>0</v>
      </c>
      <c r="BH583" s="64">
        <f>IF(+NFL!$F233="Tennessee",+NFL!#REF!,IF(+NFL!$H233="Tennessee",+NFL!#REF!,0))</f>
        <v>0</v>
      </c>
      <c r="BI583" s="46">
        <f>IF(+NFL!$F233="Tennessee",+NFL!#REF!,IF(+NFL!$H233="Tennessee",+NFL!#REF!,0))</f>
        <v>0</v>
      </c>
      <c r="BJ583" s="87">
        <f>IF(+NFL!$F233="Tennessee",+NFL!#REF!,IF(+NFL!$H233="Tennessee",+NFL!#REF!,0))</f>
        <v>0</v>
      </c>
      <c r="BK583" s="120">
        <f>IF(+NFL!$F233="Tennessee",+NFL!#REF!,IF(+NFL!$H233="Tennessee",+NFL!#REF!,0))</f>
        <v>0</v>
      </c>
    </row>
    <row r="584" spans="1:63" s="246" customFormat="1" x14ac:dyDescent="0.8">
      <c r="A584" s="46">
        <f>IF(+NFL!$F250="Tennessee",+NFL!A250,IF(+NFL!$H250="Tennessee",+NFL!A250,0))</f>
        <v>14</v>
      </c>
      <c r="B584" s="348" t="str">
        <f>IF(+NFL!$F250="Tennessee",+NFL!B250,IF(+NFL!$H250="Tennessee",+NFL!B250,0))</f>
        <v>Sun</v>
      </c>
      <c r="C584" s="48">
        <f>IF(+NFL!$F250="Tennessee",+NFL!C250,IF(+NFL!$H250="Tennessee",+NFL!C250,0))</f>
        <v>44906</v>
      </c>
      <c r="D584" s="490">
        <f>IF(+NFL!$F250="Tennessee",+NFL!D250,IF(+NFL!$H250="Tennessee",+NFL!D250,0))</f>
        <v>0.54166666666666663</v>
      </c>
      <c r="E584" s="46" t="str">
        <f>IF(+NFL!$F250="Tennessee",+NFL!E250,IF(+NFL!$H250="Tennessee",+NFL!E250,0))</f>
        <v>CBS</v>
      </c>
      <c r="F584" s="127" t="str">
        <f>IF(+NFL!$F250="Tennessee",+NFL!F250,IF(+NFL!$H250="Tennessee",+NFL!F250,0))</f>
        <v>Jacksonville</v>
      </c>
      <c r="G584" s="46" t="str">
        <f>IF(+NFL!$F250="Tennessee",+NFL!G250,IF(+NFL!$H250="Tennessee",+NFL!G250,0))</f>
        <v>AFCS</v>
      </c>
      <c r="H584" s="127" t="str">
        <f>IF(+NFL!$F250="Tennessee",+NFL!H250,IF(+NFL!$H250="Tennessee",+NFL!H250,0))</f>
        <v>Tennessee</v>
      </c>
      <c r="I584" s="46" t="str">
        <f>IF(+NFL!$F250="Tennessee",+NFL!I250,IF(+NFL!$H250="Tennessee",+NFL!I250,0))</f>
        <v>AFCS</v>
      </c>
      <c r="J584" s="353" t="str">
        <f>IF(+NFL!$F250="Tennessee",+NFL!J250,IF(+NFL!$H250="Tennessee",+NFL!J250,0))</f>
        <v>Tennessee</v>
      </c>
      <c r="K584" s="494" t="str">
        <f>IF(+NFL!$F250="Tennessee",+NFL!K250,IF(+NFL!$H250="Tennessee",+NFL!K250,0))</f>
        <v>Jacksonville</v>
      </c>
      <c r="L584" s="384">
        <f>IF(+NFL!$F250="Tennessee",+NFL!L250,IF(+NFL!$H250="Tennessee",+NFL!L250,0))</f>
        <v>3.5</v>
      </c>
      <c r="M584" s="385">
        <f>IF(+NFL!$F250="Tennessee",+NFL!M250,IF(+NFL!$H250="Tennessee",+NFL!M250,0))</f>
        <v>41.5</v>
      </c>
      <c r="N584" s="394" t="str">
        <f>IF(+NFL!$F250="Tennessee",+NFL!N250,IF(+NFL!$H250="Tennessee",+NFL!N250,0))</f>
        <v>Jacksonville</v>
      </c>
      <c r="O584" s="395">
        <f>IF(+NFL!$F250="Tennessee",+NFL!O250,IF(+NFL!$H250="Tennessee",+NFL!O250,0))</f>
        <v>36</v>
      </c>
      <c r="P584" s="394" t="str">
        <f>IF(+NFL!$F250="Tennessee",+NFL!P250,IF(+NFL!$H250="Tennessee",+NFL!P250,0))</f>
        <v>Tennessee</v>
      </c>
      <c r="Q584" s="396">
        <f>IF(+NFL!$F250="Tennessee",+NFL!Q250,IF(+NFL!$H250="Tennessee",+NFL!Q250,0))</f>
        <v>22</v>
      </c>
      <c r="R584" s="397" t="str">
        <f>IF(+NFL!$F250="Tennessee",+NFL!R250,IF(+NFL!$H250="Tennessee",+NFL!R250,0))</f>
        <v>Jacksonville</v>
      </c>
      <c r="S584" s="396" t="str">
        <f>IF(+NFL!$F250="Tennessee",+NFL!S250,IF(+NFL!$H250="Tennessee",+NFL!S250,0))</f>
        <v>Tennessee</v>
      </c>
      <c r="T584" s="398">
        <f>IF(+NFL!$F250="Tennessee",+NFL!T250,IF(+NFL!$H250="Tennessee",+NFL!T250,0))</f>
        <v>0</v>
      </c>
      <c r="U584" s="396" t="str">
        <f>IF(+NFL!$F250="Tennessee",+NFL!U250,IF(+NFL!$H250="Tennessee",+NFL!U250,0))</f>
        <v>L</v>
      </c>
      <c r="V584" s="397">
        <f>IF(+NFL!$F249="Tennessee",+NFL!#REF!,IF(+NFL!$H249="Tennessee",+NFL!#REF!,0))</f>
        <v>0</v>
      </c>
      <c r="W584" s="396">
        <f>IF(+NFL!$F249="Tennessee",+NFL!#REF!,IF(+NFL!$H249="Tennessee",+NFL!#REF!,0))</f>
        <v>0</v>
      </c>
      <c r="X584" s="398">
        <f>IF(+NFL!$F249="Tennessee",+NFL!#REF!,IF(+NFL!$H249="Tennessee",+NFL!#REF!,0))</f>
        <v>0</v>
      </c>
      <c r="Y584" s="396">
        <f>IF(+NFL!$F249="Tennessee",+NFL!#REF!,IF(+NFL!$H249="Tennessee",+NFL!#REF!,0))</f>
        <v>0</v>
      </c>
      <c r="Z584" s="397">
        <f>IF(+NFL!$F249="Tennessee",+NFL!#REF!,IF(+NFL!$H249="Tennessee",+NFL!#REF!,0))</f>
        <v>0</v>
      </c>
      <c r="AA584" s="396">
        <f>IF(+NFL!$F249="Tennessee",+NFL!#REF!,IF(+NFL!$H249="Tennessee",+NFL!#REF!,0))</f>
        <v>0</v>
      </c>
      <c r="AB584" s="87">
        <f>IF(+NFL!$F249="Tennessee",+NFL!#REF!,IF(+NFL!$H249="Tennessee",+NFL!#REF!,0))</f>
        <v>0</v>
      </c>
      <c r="AC584" s="120">
        <f>IF(+NFL!$F249="Tennessee",+NFL!#REF!,IF(+NFL!$H249="Tennessee",+NFL!#REF!,0))</f>
        <v>0</v>
      </c>
      <c r="AD584" s="353">
        <f>IF(+NFL!$F249="Tennessee",+NFL!#REF!,IF(+NFL!$H249="Tennessee",+NFL!#REF!,0))</f>
        <v>0</v>
      </c>
      <c r="AE584" s="379">
        <f>IF(+NFL!$F249="Tennessee",+NFL!#REF!,IF(+NFL!$H249="Tennessee",+NFL!#REF!,0))</f>
        <v>0</v>
      </c>
      <c r="AF584" s="353">
        <f>IF(+NFL!$F249="Tennessee",+NFL!#REF!,IF(+NFL!$H249="Tennessee",+NFL!#REF!,0))</f>
        <v>0</v>
      </c>
      <c r="AG584" s="379">
        <f>IF(+NFL!$F249="Tennessee",+NFL!#REF!,IF(+NFL!$H249="Tennessee",+NFL!#REF!,0))</f>
        <v>0</v>
      </c>
      <c r="AH584" s="353">
        <f>IF(+NFL!$F249="Tennessee",+NFL!#REF!,IF(+NFL!$H249="Tennessee",+NFL!#REF!,0))</f>
        <v>0</v>
      </c>
      <c r="AI584" s="379">
        <f>IF(+NFL!$F249="Tennessee",+NFL!#REF!,IF(+NFL!$H249="Tennessee",+NFL!#REF!,0))</f>
        <v>0</v>
      </c>
      <c r="AJ584" s="353">
        <f>IF(+NFL!$F249="Tennessee",+NFL!#REF!,IF(+NFL!$H249="Tennessee",+NFL!#REF!,0))</f>
        <v>0</v>
      </c>
      <c r="AK584" s="379">
        <f>IF(+NFL!$F249="Tennessee",+NFL!#REF!,IF(+NFL!$H249="Tennessee",+NFL!#REF!,0))</f>
        <v>0</v>
      </c>
      <c r="AL584" s="68">
        <f>IF(+NFL!$F249="Tennessee",+NFL!#REF!,IF(+NFL!$H249="Tennessee",+NFL!#REF!,0))</f>
        <v>0</v>
      </c>
      <c r="AM584" s="58">
        <f>IF(+NFL!$F249="Tennessee",+NFL!#REF!,IF(+NFL!$H249="Tennessee",+NFL!#REF!,0))</f>
        <v>0</v>
      </c>
      <c r="AN584" s="57">
        <f>IF(+NFL!$F249="Tennessee",+NFL!#REF!,IF(+NFL!$H249="Tennessee",+NFL!#REF!,0))</f>
        <v>0</v>
      </c>
      <c r="AO584" s="59">
        <f>IF(+NFL!$F249="Tennessee",+NFL!#REF!,IF(+NFL!$H249="Tennessee",+NFL!#REF!,0))</f>
        <v>0</v>
      </c>
      <c r="AP584" s="348">
        <f>IF(+NFL!$F249="Tennessee",+NFL!#REF!,IF(+NFL!$H249="Tennessee",+NFL!#REF!,0))</f>
        <v>0</v>
      </c>
      <c r="AQ584" s="48">
        <f>IF(+NFL!$F249="Tennessee",+NFL!#REF!,IF(+NFL!$H249="Tennessee",+NFL!#REF!,0))</f>
        <v>0</v>
      </c>
      <c r="AR584" s="57">
        <f>IF(+NFL!$F249="Tennessee",+NFL!#REF!,IF(+NFL!$H249="Tennessee",+NFL!#REF!,0))</f>
        <v>0</v>
      </c>
      <c r="AS584" s="64">
        <f>IF(+NFL!$F249="Tennessee",+NFL!#REF!,IF(+NFL!$H249="Tennessee",+NFL!#REF!,0))</f>
        <v>0</v>
      </c>
      <c r="AT584" s="64">
        <f>IF(+NFL!$F249="Tennessee",+NFL!#REF!,IF(+NFL!$H249="Tennessee",+NFL!#REF!,0))</f>
        <v>0</v>
      </c>
      <c r="AU584" s="57">
        <f>IF(+NFL!$F249="Tennessee",+NFL!#REF!,IF(+NFL!$H249="Tennessee",+NFL!#REF!,0))</f>
        <v>0</v>
      </c>
      <c r="AV584" s="64">
        <f>IF(+NFL!$F249="Tennessee",+NFL!#REF!,IF(+NFL!$H249="Tennessee",+NFL!#REF!,0))</f>
        <v>0</v>
      </c>
      <c r="AW584" s="46">
        <f>IF(+NFL!$F249="Tennessee",+NFL!#REF!,IF(+NFL!$H249="Tennessee",+NFL!#REF!,0))</f>
        <v>0</v>
      </c>
      <c r="AX584" s="64">
        <f>IF(+NFL!$F249="Tennessee",+NFL!#REF!,IF(+NFL!$H249="Tennessee",+NFL!#REF!,0))</f>
        <v>0</v>
      </c>
      <c r="AY584" s="57">
        <f>IF(+NFL!$F249="Tennessee",+NFL!#REF!,IF(+NFL!$H249="Tennessee",+NFL!#REF!,0))</f>
        <v>0</v>
      </c>
      <c r="AZ584" s="64">
        <f>IF(+NFL!$F249="Tennessee",+NFL!#REF!,IF(+NFL!$H249="Tennessee",+NFL!#REF!,0))</f>
        <v>0</v>
      </c>
      <c r="BA584" s="46">
        <f>IF(+NFL!$F249="Tennessee",+NFL!#REF!,IF(+NFL!$H249="Tennessee",+NFL!#REF!,0))</f>
        <v>0</v>
      </c>
      <c r="BB584" s="46">
        <f>IF(+NFL!$F249="Tennessee",+NFL!#REF!,IF(+NFL!$H249="Tennessee",+NFL!#REF!,0))</f>
        <v>0</v>
      </c>
      <c r="BC584" s="403">
        <f>IF(+NFL!$F249="Tennessee",+NFL!#REF!,IF(+NFL!$H249="Tennessee",+NFL!#REF!,0))</f>
        <v>0</v>
      </c>
      <c r="BD584" s="57">
        <f>IF(+NFL!$F249="Tennessee",+NFL!#REF!,IF(+NFL!$H249="Tennessee",+NFL!#REF!,0))</f>
        <v>0</v>
      </c>
      <c r="BE584" s="64">
        <f>IF(+NFL!$F249="Tennessee",+NFL!#REF!,IF(+NFL!$H249="Tennessee",+NFL!#REF!,0))</f>
        <v>0</v>
      </c>
      <c r="BF584" s="46">
        <f>IF(+NFL!$F249="Tennessee",+NFL!#REF!,IF(+NFL!$H249="Tennessee",+NFL!#REF!,0))</f>
        <v>0</v>
      </c>
      <c r="BG584" s="57">
        <f>IF(+NFL!$F249="Tennessee",+NFL!#REF!,IF(+NFL!$H249="Tennessee",+NFL!#REF!,0))</f>
        <v>0</v>
      </c>
      <c r="BH584" s="64">
        <f>IF(+NFL!$F249="Tennessee",+NFL!#REF!,IF(+NFL!$H249="Tennessee",+NFL!#REF!,0))</f>
        <v>0</v>
      </c>
      <c r="BI584" s="46">
        <f>IF(+NFL!$F249="Tennessee",+NFL!#REF!,IF(+NFL!$H249="Tennessee",+NFL!#REF!,0))</f>
        <v>0</v>
      </c>
      <c r="BJ584" s="87">
        <f>IF(+NFL!$F249="Tennessee",+NFL!#REF!,IF(+NFL!$H249="Tennessee",+NFL!#REF!,0))</f>
        <v>0</v>
      </c>
      <c r="BK584" s="120">
        <f>IF(+NFL!$F249="Tennessee",+NFL!#REF!,IF(+NFL!$H249="Tennessee",+NFL!#REF!,0))</f>
        <v>0</v>
      </c>
    </row>
    <row r="585" spans="1:63" s="246" customFormat="1" x14ac:dyDescent="0.8">
      <c r="A585" s="46">
        <f>IF(+NFL!$F278="Tennessee",+NFL!A278,IF(+NFL!$H278="Tennessee",+NFL!A278,0))</f>
        <v>15</v>
      </c>
      <c r="B585" s="348" t="str">
        <f>IF(+NFL!$F278="Tennessee",+NFL!B278,IF(+NFL!$H278="Tennessee",+NFL!B278,0))</f>
        <v>Sun</v>
      </c>
      <c r="C585" s="48">
        <f>IF(+NFL!$F278="Tennessee",+NFL!C278,IF(+NFL!$H278="Tennessee",+NFL!C278,0))</f>
        <v>44913</v>
      </c>
      <c r="D585" s="490">
        <f>IF(+NFL!$F278="Tennessee",+NFL!D278,IF(+NFL!$H278="Tennessee",+NFL!D278,0))</f>
        <v>0.66666666666666663</v>
      </c>
      <c r="E585" s="46" t="str">
        <f>IF(+NFL!$F278="Tennessee",+NFL!E278,IF(+NFL!$H278="Tennessee",+NFL!E278,0))</f>
        <v>CBS</v>
      </c>
      <c r="F585" s="127" t="str">
        <f>IF(+NFL!$F278="Tennessee",+NFL!F278,IF(+NFL!$H278="Tennessee",+NFL!F278,0))</f>
        <v>Tennessee</v>
      </c>
      <c r="G585" s="46" t="str">
        <f>IF(+NFL!$F278="Tennessee",+NFL!G278,IF(+NFL!$H278="Tennessee",+NFL!G278,0))</f>
        <v>AFCS</v>
      </c>
      <c r="H585" s="127" t="str">
        <f>IF(+NFL!$F278="Tennessee",+NFL!H278,IF(+NFL!$H278="Tennessee",+NFL!H278,0))</f>
        <v>LA Chargers</v>
      </c>
      <c r="I585" s="46" t="str">
        <f>IF(+NFL!$F278="Tennessee",+NFL!I278,IF(+NFL!$H278="Tennessee",+NFL!I278,0))</f>
        <v>AFCW</v>
      </c>
      <c r="J585" s="353" t="str">
        <f>IF(+NFL!$F278="Tennessee",+NFL!J278,IF(+NFL!$H278="Tennessee",+NFL!J278,0))</f>
        <v>LA Chargers</v>
      </c>
      <c r="K585" s="494" t="str">
        <f>IF(+NFL!$F278="Tennessee",+NFL!K278,IF(+NFL!$H278="Tennessee",+NFL!K278,0))</f>
        <v>Tennessee</v>
      </c>
      <c r="L585" s="384">
        <f>IF(+NFL!$F278="Tennessee",+NFL!L278,IF(+NFL!$H278="Tennessee",+NFL!L278,0))</f>
        <v>3</v>
      </c>
      <c r="M585" s="385">
        <f>IF(+NFL!$F278="Tennessee",+NFL!M278,IF(+NFL!$H278="Tennessee",+NFL!M278,0))</f>
        <v>46.5</v>
      </c>
      <c r="N585" s="394" t="str">
        <f>IF(+NFL!$F278="Tennessee",+NFL!N278,IF(+NFL!$H278="Tennessee",+NFL!N278,0))</f>
        <v>LA Chargers</v>
      </c>
      <c r="O585" s="395">
        <f>IF(+NFL!$F278="Tennessee",+NFL!O278,IF(+NFL!$H278="Tennessee",+NFL!O278,0))</f>
        <v>17</v>
      </c>
      <c r="P585" s="394" t="str">
        <f>IF(+NFL!$F278="Tennessee",+NFL!P278,IF(+NFL!$H278="Tennessee",+NFL!P278,0))</f>
        <v>Tennessee</v>
      </c>
      <c r="Q585" s="396">
        <f>IF(+NFL!$F278="Tennessee",+NFL!Q278,IF(+NFL!$H278="Tennessee",+NFL!Q278,0))</f>
        <v>14</v>
      </c>
      <c r="R585" s="397" t="str">
        <f>IF(+NFL!$F278="Tennessee",+NFL!R278,IF(+NFL!$H278="Tennessee",+NFL!R278,0))</f>
        <v>LA Chargers</v>
      </c>
      <c r="S585" s="396" t="str">
        <f>IF(+NFL!$F278="Tennessee",+NFL!S278,IF(+NFL!$H278="Tennessee",+NFL!S278,0))</f>
        <v>Tennessee</v>
      </c>
      <c r="T585" s="398">
        <f>IF(+NFL!$F278="Tennessee",+NFL!T278,IF(+NFL!$H278="Tennessee",+NFL!T278,0))</f>
        <v>0</v>
      </c>
      <c r="U585" s="396" t="str">
        <f>IF(+NFL!$F278="Tennessee",+NFL!U278,IF(+NFL!$H278="Tennessee",+NFL!U278,0))</f>
        <v>T</v>
      </c>
      <c r="V585" s="397">
        <f>IF(+NFL!$F269="Tennessee",+NFL!#REF!,IF(+NFL!$H269="Tennessee",+NFL!#REF!,0))</f>
        <v>0</v>
      </c>
      <c r="W585" s="396">
        <f>IF(+NFL!$F269="Tennessee",+NFL!#REF!,IF(+NFL!$H269="Tennessee",+NFL!#REF!,0))</f>
        <v>0</v>
      </c>
      <c r="X585" s="398">
        <f>IF(+NFL!$F269="Tennessee",+NFL!#REF!,IF(+NFL!$H269="Tennessee",+NFL!#REF!,0))</f>
        <v>0</v>
      </c>
      <c r="Y585" s="396">
        <f>IF(+NFL!$F269="Tennessee",+NFL!#REF!,IF(+NFL!$H269="Tennessee",+NFL!#REF!,0))</f>
        <v>0</v>
      </c>
      <c r="Z585" s="397">
        <f>IF(+NFL!$F269="Tennessee",+NFL!#REF!,IF(+NFL!$H269="Tennessee",+NFL!#REF!,0))</f>
        <v>0</v>
      </c>
      <c r="AA585" s="396">
        <f>IF(+NFL!$F269="Tennessee",+NFL!#REF!,IF(+NFL!$H269="Tennessee",+NFL!#REF!,0))</f>
        <v>0</v>
      </c>
      <c r="AB585" s="87">
        <f>IF(+NFL!$F269="Tennessee",+NFL!#REF!,IF(+NFL!$H269="Tennessee",+NFL!#REF!,0))</f>
        <v>0</v>
      </c>
      <c r="AC585" s="120">
        <f>IF(+NFL!$F269="Tennessee",+NFL!#REF!,IF(+NFL!$H269="Tennessee",+NFL!#REF!,0))</f>
        <v>0</v>
      </c>
      <c r="AD585" s="353">
        <f>IF(+NFL!$F269="Tennessee",+NFL!#REF!,IF(+NFL!$H269="Tennessee",+NFL!#REF!,0))</f>
        <v>0</v>
      </c>
      <c r="AE585" s="379">
        <f>IF(+NFL!$F269="Tennessee",+NFL!#REF!,IF(+NFL!$H269="Tennessee",+NFL!#REF!,0))</f>
        <v>0</v>
      </c>
      <c r="AF585" s="353">
        <f>IF(+NFL!$F269="Tennessee",+NFL!#REF!,IF(+NFL!$H269="Tennessee",+NFL!#REF!,0))</f>
        <v>0</v>
      </c>
      <c r="AG585" s="379">
        <f>IF(+NFL!$F269="Tennessee",+NFL!#REF!,IF(+NFL!$H269="Tennessee",+NFL!#REF!,0))</f>
        <v>0</v>
      </c>
      <c r="AH585" s="353">
        <f>IF(+NFL!$F269="Tennessee",+NFL!#REF!,IF(+NFL!$H269="Tennessee",+NFL!#REF!,0))</f>
        <v>0</v>
      </c>
      <c r="AI585" s="379">
        <f>IF(+NFL!$F269="Tennessee",+NFL!#REF!,IF(+NFL!$H269="Tennessee",+NFL!#REF!,0))</f>
        <v>0</v>
      </c>
      <c r="AJ585" s="353">
        <f>IF(+NFL!$F269="Tennessee",+NFL!#REF!,IF(+NFL!$H269="Tennessee",+NFL!#REF!,0))</f>
        <v>0</v>
      </c>
      <c r="AK585" s="379">
        <f>IF(+NFL!$F269="Tennessee",+NFL!#REF!,IF(+NFL!$H269="Tennessee",+NFL!#REF!,0))</f>
        <v>0</v>
      </c>
      <c r="AL585" s="68">
        <f>IF(+NFL!$F269="Tennessee",+NFL!#REF!,IF(+NFL!$H269="Tennessee",+NFL!#REF!,0))</f>
        <v>0</v>
      </c>
      <c r="AM585" s="58">
        <f>IF(+NFL!$F269="Tennessee",+NFL!#REF!,IF(+NFL!$H269="Tennessee",+NFL!#REF!,0))</f>
        <v>0</v>
      </c>
      <c r="AN585" s="57">
        <f>IF(+NFL!$F269="Tennessee",+NFL!#REF!,IF(+NFL!$H269="Tennessee",+NFL!#REF!,0))</f>
        <v>0</v>
      </c>
      <c r="AO585" s="59">
        <f>IF(+NFL!$F269="Tennessee",+NFL!#REF!,IF(+NFL!$H269="Tennessee",+NFL!#REF!,0))</f>
        <v>0</v>
      </c>
      <c r="AP585" s="348">
        <f>IF(+NFL!$F269="Tennessee",+NFL!#REF!,IF(+NFL!$H269="Tennessee",+NFL!#REF!,0))</f>
        <v>0</v>
      </c>
      <c r="AQ585" s="48">
        <f>IF(+NFL!$F269="Tennessee",+NFL!#REF!,IF(+NFL!$H269="Tennessee",+NFL!#REF!,0))</f>
        <v>0</v>
      </c>
      <c r="AR585" s="57">
        <f>IF(+NFL!$F269="Tennessee",+NFL!#REF!,IF(+NFL!$H269="Tennessee",+NFL!#REF!,0))</f>
        <v>0</v>
      </c>
      <c r="AS585" s="64">
        <f>IF(+NFL!$F269="Tennessee",+NFL!#REF!,IF(+NFL!$H269="Tennessee",+NFL!#REF!,0))</f>
        <v>0</v>
      </c>
      <c r="AT585" s="64">
        <f>IF(+NFL!$F269="Tennessee",+NFL!#REF!,IF(+NFL!$H269="Tennessee",+NFL!#REF!,0))</f>
        <v>0</v>
      </c>
      <c r="AU585" s="57">
        <f>IF(+NFL!$F269="Tennessee",+NFL!#REF!,IF(+NFL!$H269="Tennessee",+NFL!#REF!,0))</f>
        <v>0</v>
      </c>
      <c r="AV585" s="64">
        <f>IF(+NFL!$F269="Tennessee",+NFL!#REF!,IF(+NFL!$H269="Tennessee",+NFL!#REF!,0))</f>
        <v>0</v>
      </c>
      <c r="AW585" s="46">
        <f>IF(+NFL!$F269="Tennessee",+NFL!#REF!,IF(+NFL!$H269="Tennessee",+NFL!#REF!,0))</f>
        <v>0</v>
      </c>
      <c r="AX585" s="64">
        <f>IF(+NFL!$F269="Tennessee",+NFL!#REF!,IF(+NFL!$H269="Tennessee",+NFL!#REF!,0))</f>
        <v>0</v>
      </c>
      <c r="AY585" s="57">
        <f>IF(+NFL!$F269="Tennessee",+NFL!#REF!,IF(+NFL!$H269="Tennessee",+NFL!#REF!,0))</f>
        <v>0</v>
      </c>
      <c r="AZ585" s="64">
        <f>IF(+NFL!$F269="Tennessee",+NFL!#REF!,IF(+NFL!$H269="Tennessee",+NFL!#REF!,0))</f>
        <v>0</v>
      </c>
      <c r="BA585" s="46">
        <f>IF(+NFL!$F269="Tennessee",+NFL!#REF!,IF(+NFL!$H269="Tennessee",+NFL!#REF!,0))</f>
        <v>0</v>
      </c>
      <c r="BB585" s="46">
        <f>IF(+NFL!$F269="Tennessee",+NFL!#REF!,IF(+NFL!$H269="Tennessee",+NFL!#REF!,0))</f>
        <v>0</v>
      </c>
      <c r="BC585" s="403">
        <f>IF(+NFL!$F269="Tennessee",+NFL!#REF!,IF(+NFL!$H269="Tennessee",+NFL!#REF!,0))</f>
        <v>0</v>
      </c>
      <c r="BD585" s="57">
        <f>IF(+NFL!$F269="Tennessee",+NFL!#REF!,IF(+NFL!$H269="Tennessee",+NFL!#REF!,0))</f>
        <v>0</v>
      </c>
      <c r="BE585" s="64">
        <f>IF(+NFL!$F269="Tennessee",+NFL!#REF!,IF(+NFL!$H269="Tennessee",+NFL!#REF!,0))</f>
        <v>0</v>
      </c>
      <c r="BF585" s="46">
        <f>IF(+NFL!$F269="Tennessee",+NFL!#REF!,IF(+NFL!$H269="Tennessee",+NFL!#REF!,0))</f>
        <v>0</v>
      </c>
      <c r="BG585" s="57">
        <f>IF(+NFL!$F269="Tennessee",+NFL!#REF!,IF(+NFL!$H269="Tennessee",+NFL!#REF!,0))</f>
        <v>0</v>
      </c>
      <c r="BH585" s="64">
        <f>IF(+NFL!$F269="Tennessee",+NFL!#REF!,IF(+NFL!$H269="Tennessee",+NFL!#REF!,0))</f>
        <v>0</v>
      </c>
      <c r="BI585" s="46">
        <f>IF(+NFL!$F269="Tennessee",+NFL!#REF!,IF(+NFL!$H269="Tennessee",+NFL!#REF!,0))</f>
        <v>0</v>
      </c>
      <c r="BJ585" s="87">
        <f>IF(+NFL!$F269="Tennessee",+NFL!#REF!,IF(+NFL!$H269="Tennessee",+NFL!#REF!,0))</f>
        <v>0</v>
      </c>
      <c r="BK585" s="120">
        <f>IF(+NFL!$F269="Tennessee",+NFL!#REF!,IF(+NFL!$H269="Tennessee",+NFL!#REF!,0))</f>
        <v>0</v>
      </c>
    </row>
    <row r="586" spans="1:63" s="246" customFormat="1" x14ac:dyDescent="0.8">
      <c r="A586" s="46">
        <f>IF(+NFL!$F286="Tennessee",+NFL!A286,IF(+NFL!$H286="Tennessee",+NFL!A286,0))</f>
        <v>16</v>
      </c>
      <c r="B586" s="348" t="str">
        <f>IF(+NFL!$F286="Tennessee",+NFL!B286,IF(+NFL!$H286="Tennessee",+NFL!B286,0))</f>
        <v>Sat</v>
      </c>
      <c r="C586" s="48">
        <f>IF(+NFL!$F286="Tennessee",+NFL!C286,IF(+NFL!$H286="Tennessee",+NFL!C286,0))</f>
        <v>44919</v>
      </c>
      <c r="D586" s="490">
        <f>IF(+NFL!$F286="Tennessee",+NFL!D286,IF(+NFL!$H286="Tennessee",+NFL!D286,0))</f>
        <v>0.54166666666666663</v>
      </c>
      <c r="E586" s="46" t="str">
        <f>IF(+NFL!$F286="Tennessee",+NFL!E286,IF(+NFL!$H286="Tennessee",+NFL!E286,0))</f>
        <v>CBS</v>
      </c>
      <c r="F586" s="127" t="str">
        <f>IF(+NFL!$F286="Tennessee",+NFL!F286,IF(+NFL!$H286="Tennessee",+NFL!F286,0))</f>
        <v>Houston</v>
      </c>
      <c r="G586" s="46" t="str">
        <f>IF(+NFL!$F286="Tennessee",+NFL!G286,IF(+NFL!$H286="Tennessee",+NFL!G286,0))</f>
        <v>AFCS</v>
      </c>
      <c r="H586" s="127" t="str">
        <f>IF(+NFL!$F286="Tennessee",+NFL!H286,IF(+NFL!$H286="Tennessee",+NFL!H286,0))</f>
        <v>Tennessee</v>
      </c>
      <c r="I586" s="46" t="str">
        <f>IF(+NFL!$F286="Tennessee",+NFL!I286,IF(+NFL!$H286="Tennessee",+NFL!I286,0))</f>
        <v>AFCS</v>
      </c>
      <c r="J586" s="353" t="str">
        <f>IF(+NFL!$F286="Tennessee",+NFL!J286,IF(+NFL!$H286="Tennessee",+NFL!J286,0))</f>
        <v>Tennessee</v>
      </c>
      <c r="K586" s="494" t="str">
        <f>IF(+NFL!$F286="Tennessee",+NFL!K286,IF(+NFL!$H286="Tennessee",+NFL!K286,0))</f>
        <v>Houston</v>
      </c>
      <c r="L586" s="384">
        <f>IF(+NFL!$F286="Tennessee",+NFL!L286,IF(+NFL!$H286="Tennessee",+NFL!L286,0))</f>
        <v>3.5</v>
      </c>
      <c r="M586" s="385">
        <f>IF(+NFL!$F286="Tennessee",+NFL!M286,IF(+NFL!$H286="Tennessee",+NFL!M286,0))</f>
        <v>34.5</v>
      </c>
      <c r="N586" s="394" t="str">
        <f>IF(+NFL!$F286="Tennessee",+NFL!N286,IF(+NFL!$H286="Tennessee",+NFL!N286,0))</f>
        <v>Houston</v>
      </c>
      <c r="O586" s="395">
        <f>IF(+NFL!$F286="Tennessee",+NFL!O286,IF(+NFL!$H286="Tennessee",+NFL!O286,0))</f>
        <v>19</v>
      </c>
      <c r="P586" s="394" t="str">
        <f>IF(+NFL!$F286="Tennessee",+NFL!P286,IF(+NFL!$H286="Tennessee",+NFL!P286,0))</f>
        <v>Tennessee</v>
      </c>
      <c r="Q586" s="396">
        <f>IF(+NFL!$F286="Tennessee",+NFL!Q286,IF(+NFL!$H286="Tennessee",+NFL!Q286,0))</f>
        <v>14</v>
      </c>
      <c r="R586" s="397" t="str">
        <f>IF(+NFL!$F286="Tennessee",+NFL!R286,IF(+NFL!$H286="Tennessee",+NFL!R286,0))</f>
        <v>Houston</v>
      </c>
      <c r="S586" s="396" t="str">
        <f>IF(+NFL!$F286="Tennessee",+NFL!S286,IF(+NFL!$H286="Tennessee",+NFL!S286,0))</f>
        <v>Tennessee</v>
      </c>
      <c r="T586" s="398">
        <f>IF(+NFL!$F286="Tennessee",+NFL!T286,IF(+NFL!$H286="Tennessee",+NFL!T286,0))</f>
        <v>0</v>
      </c>
      <c r="U586" s="396" t="str">
        <f>IF(+NFL!$F286="Tennessee",+NFL!U286,IF(+NFL!$H286="Tennessee",+NFL!U286,0))</f>
        <v>L</v>
      </c>
      <c r="V586" s="397">
        <f>IF(+NFL!$F293="Tennessee",+NFL!#REF!,IF(+NFL!$H293="Tennessee",+NFL!#REF!,0))</f>
        <v>0</v>
      </c>
      <c r="W586" s="396">
        <f>IF(+NFL!$F293="Tennessee",+NFL!#REF!,IF(+NFL!$H293="Tennessee",+NFL!#REF!,0))</f>
        <v>0</v>
      </c>
      <c r="X586" s="398">
        <f>IF(+NFL!$F293="Tennessee",+NFL!#REF!,IF(+NFL!$H293="Tennessee",+NFL!#REF!,0))</f>
        <v>0</v>
      </c>
      <c r="Y586" s="396">
        <f>IF(+NFL!$F293="Tennessee",+NFL!#REF!,IF(+NFL!$H293="Tennessee",+NFL!#REF!,0))</f>
        <v>0</v>
      </c>
      <c r="Z586" s="397">
        <f>IF(+NFL!$F293="Tennessee",+NFL!#REF!,IF(+NFL!$H293="Tennessee",+NFL!#REF!,0))</f>
        <v>0</v>
      </c>
      <c r="AA586" s="396">
        <f>IF(+NFL!$F293="Tennessee",+NFL!#REF!,IF(+NFL!$H293="Tennessee",+NFL!#REF!,0))</f>
        <v>0</v>
      </c>
      <c r="AB586" s="87">
        <f>IF(+NFL!$F293="Tennessee",+NFL!#REF!,IF(+NFL!$H293="Tennessee",+NFL!#REF!,0))</f>
        <v>0</v>
      </c>
      <c r="AC586" s="120">
        <f>IF(+NFL!$F293="Tennessee",+NFL!#REF!,IF(+NFL!$H293="Tennessee",+NFL!#REF!,0))</f>
        <v>0</v>
      </c>
      <c r="AD586" s="353">
        <f>IF(+NFL!$F293="Tennessee",+NFL!#REF!,IF(+NFL!$H293="Tennessee",+NFL!#REF!,0))</f>
        <v>0</v>
      </c>
      <c r="AE586" s="379">
        <f>IF(+NFL!$F293="Tennessee",+NFL!#REF!,IF(+NFL!$H293="Tennessee",+NFL!#REF!,0))</f>
        <v>0</v>
      </c>
      <c r="AF586" s="353">
        <f>IF(+NFL!$F293="Tennessee",+NFL!#REF!,IF(+NFL!$H293="Tennessee",+NFL!#REF!,0))</f>
        <v>0</v>
      </c>
      <c r="AG586" s="379">
        <f>IF(+NFL!$F293="Tennessee",+NFL!#REF!,IF(+NFL!$H293="Tennessee",+NFL!#REF!,0))</f>
        <v>0</v>
      </c>
      <c r="AH586" s="353">
        <f>IF(+NFL!$F293="Tennessee",+NFL!#REF!,IF(+NFL!$H293="Tennessee",+NFL!#REF!,0))</f>
        <v>0</v>
      </c>
      <c r="AI586" s="379">
        <f>IF(+NFL!$F293="Tennessee",+NFL!#REF!,IF(+NFL!$H293="Tennessee",+NFL!#REF!,0))</f>
        <v>0</v>
      </c>
      <c r="AJ586" s="353">
        <f>IF(+NFL!$F293="Tennessee",+NFL!#REF!,IF(+NFL!$H293="Tennessee",+NFL!#REF!,0))</f>
        <v>0</v>
      </c>
      <c r="AK586" s="379">
        <f>IF(+NFL!$F293="Tennessee",+NFL!#REF!,IF(+NFL!$H293="Tennessee",+NFL!#REF!,0))</f>
        <v>0</v>
      </c>
      <c r="AL586" s="68">
        <f>IF(+NFL!$F293="Tennessee",+NFL!#REF!,IF(+NFL!$H293="Tennessee",+NFL!#REF!,0))</f>
        <v>0</v>
      </c>
      <c r="AM586" s="58">
        <f>IF(+NFL!$F293="Tennessee",+NFL!#REF!,IF(+NFL!$H293="Tennessee",+NFL!#REF!,0))</f>
        <v>0</v>
      </c>
      <c r="AN586" s="57">
        <f>IF(+NFL!$F293="Tennessee",+NFL!#REF!,IF(+NFL!$H293="Tennessee",+NFL!#REF!,0))</f>
        <v>0</v>
      </c>
      <c r="AO586" s="59">
        <f>IF(+NFL!$F293="Tennessee",+NFL!#REF!,IF(+NFL!$H293="Tennessee",+NFL!#REF!,0))</f>
        <v>0</v>
      </c>
      <c r="AP586" s="348">
        <f>IF(+NFL!$F293="Tennessee",+NFL!#REF!,IF(+NFL!$H293="Tennessee",+NFL!#REF!,0))</f>
        <v>0</v>
      </c>
      <c r="AQ586" s="48">
        <f>IF(+NFL!$F293="Tennessee",+NFL!#REF!,IF(+NFL!$H293="Tennessee",+NFL!#REF!,0))</f>
        <v>0</v>
      </c>
      <c r="AR586" s="57">
        <f>IF(+NFL!$F293="Tennessee",+NFL!#REF!,IF(+NFL!$H293="Tennessee",+NFL!#REF!,0))</f>
        <v>0</v>
      </c>
      <c r="AS586" s="64">
        <f>IF(+NFL!$F293="Tennessee",+NFL!#REF!,IF(+NFL!$H293="Tennessee",+NFL!#REF!,0))</f>
        <v>0</v>
      </c>
      <c r="AT586" s="64">
        <f>IF(+NFL!$F293="Tennessee",+NFL!#REF!,IF(+NFL!$H293="Tennessee",+NFL!#REF!,0))</f>
        <v>0</v>
      </c>
      <c r="AU586" s="57">
        <f>IF(+NFL!$F293="Tennessee",+NFL!#REF!,IF(+NFL!$H293="Tennessee",+NFL!#REF!,0))</f>
        <v>0</v>
      </c>
      <c r="AV586" s="64">
        <f>IF(+NFL!$F293="Tennessee",+NFL!#REF!,IF(+NFL!$H293="Tennessee",+NFL!#REF!,0))</f>
        <v>0</v>
      </c>
      <c r="AW586" s="46">
        <f>IF(+NFL!$F293="Tennessee",+NFL!#REF!,IF(+NFL!$H293="Tennessee",+NFL!#REF!,0))</f>
        <v>0</v>
      </c>
      <c r="AX586" s="64">
        <f>IF(+NFL!$F293="Tennessee",+NFL!#REF!,IF(+NFL!$H293="Tennessee",+NFL!#REF!,0))</f>
        <v>0</v>
      </c>
      <c r="AY586" s="57">
        <f>IF(+NFL!$F293="Tennessee",+NFL!#REF!,IF(+NFL!$H293="Tennessee",+NFL!#REF!,0))</f>
        <v>0</v>
      </c>
      <c r="AZ586" s="64">
        <f>IF(+NFL!$F293="Tennessee",+NFL!#REF!,IF(+NFL!$H293="Tennessee",+NFL!#REF!,0))</f>
        <v>0</v>
      </c>
      <c r="BA586" s="46">
        <f>IF(+NFL!$F293="Tennessee",+NFL!#REF!,IF(+NFL!$H293="Tennessee",+NFL!#REF!,0))</f>
        <v>0</v>
      </c>
      <c r="BB586" s="46">
        <f>IF(+NFL!$F293="Tennessee",+NFL!#REF!,IF(+NFL!$H293="Tennessee",+NFL!#REF!,0))</f>
        <v>0</v>
      </c>
      <c r="BC586" s="403">
        <f>IF(+NFL!$F293="Tennessee",+NFL!#REF!,IF(+NFL!$H293="Tennessee",+NFL!#REF!,0))</f>
        <v>0</v>
      </c>
      <c r="BD586" s="57">
        <f>IF(+NFL!$F293="Tennessee",+NFL!#REF!,IF(+NFL!$H293="Tennessee",+NFL!#REF!,0))</f>
        <v>0</v>
      </c>
      <c r="BE586" s="64">
        <f>IF(+NFL!$F293="Tennessee",+NFL!#REF!,IF(+NFL!$H293="Tennessee",+NFL!#REF!,0))</f>
        <v>0</v>
      </c>
      <c r="BF586" s="46">
        <f>IF(+NFL!$F293="Tennessee",+NFL!#REF!,IF(+NFL!$H293="Tennessee",+NFL!#REF!,0))</f>
        <v>0</v>
      </c>
      <c r="BG586" s="57">
        <f>IF(+NFL!$F293="Tennessee",+NFL!#REF!,IF(+NFL!$H293="Tennessee",+NFL!#REF!,0))</f>
        <v>0</v>
      </c>
      <c r="BH586" s="64">
        <f>IF(+NFL!$F293="Tennessee",+NFL!#REF!,IF(+NFL!$H293="Tennessee",+NFL!#REF!,0))</f>
        <v>0</v>
      </c>
      <c r="BI586" s="46">
        <f>IF(+NFL!$F293="Tennessee",+NFL!#REF!,IF(+NFL!$H293="Tennessee",+NFL!#REF!,0))</f>
        <v>0</v>
      </c>
      <c r="BJ586" s="87">
        <f>IF(+NFL!$F293="Tennessee",+NFL!#REF!,IF(+NFL!$H293="Tennessee",+NFL!#REF!,0))</f>
        <v>0</v>
      </c>
      <c r="BK586" s="120">
        <f>IF(+NFL!$F293="Tennessee",+NFL!#REF!,IF(+NFL!$H293="Tennessee",+NFL!#REF!,0))</f>
        <v>0</v>
      </c>
    </row>
    <row r="587" spans="1:63" s="246" customFormat="1" x14ac:dyDescent="0.8">
      <c r="A587" s="46">
        <f>IF(+NFL!$F300="Tennessee",+NFL!A300,IF(+NFL!$H300="Tennessee",+NFL!A300,0))</f>
        <v>17</v>
      </c>
      <c r="B587" s="348" t="str">
        <f>IF(+NFL!$F300="Tennessee",+NFL!B300,IF(+NFL!$H300="Tennessee",+NFL!B300,0))</f>
        <v>Thurs</v>
      </c>
      <c r="C587" s="48">
        <f>IF(+NFL!$F300="Tennessee",+NFL!C300,IF(+NFL!$H300="Tennessee",+NFL!C300,0))</f>
        <v>44924</v>
      </c>
      <c r="D587" s="490">
        <f>IF(+NFL!$F300="Tennessee",+NFL!D300,IF(+NFL!$H300="Tennessee",+NFL!D300,0))</f>
        <v>0.84375</v>
      </c>
      <c r="E587" s="46" t="str">
        <f>IF(+NFL!$F300="Tennessee",+NFL!E300,IF(+NFL!$H300="Tennessee",+NFL!E300,0))</f>
        <v>NBC</v>
      </c>
      <c r="F587" s="127" t="str">
        <f>IF(+NFL!$F300="Tennessee",+NFL!F300,IF(+NFL!$H300="Tennessee",+NFL!F300,0))</f>
        <v>Dallas</v>
      </c>
      <c r="G587" s="46" t="str">
        <f>IF(+NFL!$F300="Tennessee",+NFL!G300,IF(+NFL!$H300="Tennessee",+NFL!G300,0))</f>
        <v>NFCE</v>
      </c>
      <c r="H587" s="127" t="str">
        <f>IF(+NFL!$F300="Tennessee",+NFL!H300,IF(+NFL!$H300="Tennessee",+NFL!H300,0))</f>
        <v>Tennessee</v>
      </c>
      <c r="I587" s="46" t="str">
        <f>IF(+NFL!$F300="Tennessee",+NFL!I300,IF(+NFL!$H300="Tennessee",+NFL!I300,0))</f>
        <v>AFCS</v>
      </c>
      <c r="J587" s="353" t="str">
        <f>IF(+NFL!$F300="Tennessee",+NFL!J300,IF(+NFL!$H300="Tennessee",+NFL!J300,0))</f>
        <v>Dallas</v>
      </c>
      <c r="K587" s="494" t="str">
        <f>IF(+NFL!$F300="Tennessee",+NFL!K300,IF(+NFL!$H300="Tennessee",+NFL!K300,0))</f>
        <v>Tennessee</v>
      </c>
      <c r="L587" s="384">
        <f>IF(+NFL!$F300="Tennessee",+NFL!L300,IF(+NFL!$H300="Tennessee",+NFL!L300,0))</f>
        <v>11.5</v>
      </c>
      <c r="M587" s="385">
        <f>IF(+NFL!$F300="Tennessee",+NFL!M300,IF(+NFL!$H300="Tennessee",+NFL!M300,0))</f>
        <v>39.5</v>
      </c>
      <c r="N587" s="394" t="str">
        <f>IF(+NFL!$F300="Tennessee",+NFL!N300,IF(+NFL!$H300="Tennessee",+NFL!N300,0))</f>
        <v>Dallas</v>
      </c>
      <c r="O587" s="395">
        <f>IF(+NFL!$F300="Tennessee",+NFL!O300,IF(+NFL!$H300="Tennessee",+NFL!O300,0))</f>
        <v>27</v>
      </c>
      <c r="P587" s="394" t="str">
        <f>IF(+NFL!$F300="Tennessee",+NFL!P300,IF(+NFL!$H300="Tennessee",+NFL!P300,0))</f>
        <v>Tennessee</v>
      </c>
      <c r="Q587" s="396">
        <f>IF(+NFL!$F300="Tennessee",+NFL!Q300,IF(+NFL!$H300="Tennessee",+NFL!Q300,0))</f>
        <v>13</v>
      </c>
      <c r="R587" s="397" t="str">
        <f>IF(+NFL!$F300="Tennessee",+NFL!R300,IF(+NFL!$H300="Tennessee",+NFL!R300,0))</f>
        <v>Dallas</v>
      </c>
      <c r="S587" s="396" t="str">
        <f>IF(+NFL!$F300="Tennessee",+NFL!S300,IF(+NFL!$H300="Tennessee",+NFL!S300,0))</f>
        <v>Tennessee</v>
      </c>
      <c r="T587" s="398">
        <f>IF(+NFL!$F300="Tennessee",+NFL!T300,IF(+NFL!$H300="Tennessee",+NFL!T300,0))</f>
        <v>0</v>
      </c>
      <c r="U587" s="396" t="str">
        <f>IF(+NFL!$F300="Tennessee",+NFL!U300,IF(+NFL!$H300="Tennessee",+NFL!U300,0))</f>
        <v>L</v>
      </c>
      <c r="V587" s="397" t="e">
        <f>IF(+NFL!#REF!="Tennessee",+NFL!#REF!,IF(+NFL!#REF!="Tennessee",+NFL!#REF!,0))</f>
        <v>#REF!</v>
      </c>
      <c r="W587" s="396" t="e">
        <f>IF(+NFL!#REF!="Tennessee",+NFL!#REF!,IF(+NFL!#REF!="Tennessee",+NFL!#REF!,0))</f>
        <v>#REF!</v>
      </c>
      <c r="X587" s="398" t="e">
        <f>IF(+NFL!#REF!="Tennessee",+NFL!#REF!,IF(+NFL!#REF!="Tennessee",+NFL!#REF!,0))</f>
        <v>#REF!</v>
      </c>
      <c r="Y587" s="396" t="e">
        <f>IF(+NFL!#REF!="Tennessee",+NFL!#REF!,IF(+NFL!#REF!="Tennessee",+NFL!#REF!,0))</f>
        <v>#REF!</v>
      </c>
      <c r="Z587" s="397" t="e">
        <f>IF(+NFL!#REF!="Tennessee",+NFL!#REF!,IF(+NFL!#REF!="Tennessee",+NFL!#REF!,0))</f>
        <v>#REF!</v>
      </c>
      <c r="AA587" s="396" t="e">
        <f>IF(+NFL!#REF!="Tennessee",+NFL!#REF!,IF(+NFL!#REF!="Tennessee",+NFL!#REF!,0))</f>
        <v>#REF!</v>
      </c>
      <c r="AB587" s="87" t="e">
        <f>IF(+NFL!#REF!="Tennessee",+NFL!#REF!,IF(+NFL!#REF!="Tennessee",+NFL!#REF!,0))</f>
        <v>#REF!</v>
      </c>
      <c r="AC587" s="120" t="e">
        <f>IF(+NFL!#REF!="Tennessee",+NFL!#REF!,IF(+NFL!#REF!="Tennessee",+NFL!#REF!,0))</f>
        <v>#REF!</v>
      </c>
      <c r="AD587" s="353" t="e">
        <f>IF(+NFL!#REF!="Tennessee",+NFL!#REF!,IF(+NFL!#REF!="Tennessee",+NFL!#REF!,0))</f>
        <v>#REF!</v>
      </c>
      <c r="AE587" s="379" t="e">
        <f>IF(+NFL!#REF!="Tennessee",+NFL!#REF!,IF(+NFL!#REF!="Tennessee",+NFL!#REF!,0))</f>
        <v>#REF!</v>
      </c>
      <c r="AF587" s="353" t="e">
        <f>IF(+NFL!#REF!="Tennessee",+NFL!#REF!,IF(+NFL!#REF!="Tennessee",+NFL!#REF!,0))</f>
        <v>#REF!</v>
      </c>
      <c r="AG587" s="379" t="e">
        <f>IF(+NFL!#REF!="Tennessee",+NFL!#REF!,IF(+NFL!#REF!="Tennessee",+NFL!#REF!,0))</f>
        <v>#REF!</v>
      </c>
      <c r="AH587" s="353" t="e">
        <f>IF(+NFL!#REF!="Tennessee",+NFL!#REF!,IF(+NFL!#REF!="Tennessee",+NFL!#REF!,0))</f>
        <v>#REF!</v>
      </c>
      <c r="AI587" s="379" t="e">
        <f>IF(+NFL!#REF!="Tennessee",+NFL!#REF!,IF(+NFL!#REF!="Tennessee",+NFL!#REF!,0))</f>
        <v>#REF!</v>
      </c>
      <c r="AJ587" s="353" t="e">
        <f>IF(+NFL!#REF!="Tennessee",+NFL!#REF!,IF(+NFL!#REF!="Tennessee",+NFL!#REF!,0))</f>
        <v>#REF!</v>
      </c>
      <c r="AK587" s="379" t="e">
        <f>IF(+NFL!#REF!="Tennessee",+NFL!#REF!,IF(+NFL!#REF!="Tennessee",+NFL!#REF!,0))</f>
        <v>#REF!</v>
      </c>
      <c r="AL587" s="68" t="e">
        <f>IF(+NFL!#REF!="Tennessee",+NFL!#REF!,IF(+NFL!#REF!="Tennessee",+NFL!#REF!,0))</f>
        <v>#REF!</v>
      </c>
      <c r="AM587" s="58" t="e">
        <f>IF(+NFL!#REF!="Tennessee",+NFL!#REF!,IF(+NFL!#REF!="Tennessee",+NFL!#REF!,0))</f>
        <v>#REF!</v>
      </c>
      <c r="AN587" s="57" t="e">
        <f>IF(+NFL!#REF!="Tennessee",+NFL!#REF!,IF(+NFL!#REF!="Tennessee",+NFL!#REF!,0))</f>
        <v>#REF!</v>
      </c>
      <c r="AO587" s="59" t="e">
        <f>IF(+NFL!#REF!="Tennessee",+NFL!#REF!,IF(+NFL!#REF!="Tennessee",+NFL!#REF!,0))</f>
        <v>#REF!</v>
      </c>
      <c r="AP587" s="348" t="e">
        <f>IF(+NFL!#REF!="Tennessee",+NFL!#REF!,IF(+NFL!#REF!="Tennessee",+NFL!#REF!,0))</f>
        <v>#REF!</v>
      </c>
      <c r="AQ587" s="48" t="e">
        <f>IF(+NFL!#REF!="Tennessee",+NFL!#REF!,IF(+NFL!#REF!="Tennessee",+NFL!#REF!,0))</f>
        <v>#REF!</v>
      </c>
      <c r="AR587" s="57" t="e">
        <f>IF(+NFL!#REF!="Tennessee",+NFL!#REF!,IF(+NFL!#REF!="Tennessee",+NFL!#REF!,0))</f>
        <v>#REF!</v>
      </c>
      <c r="AS587" s="64" t="e">
        <f>IF(+NFL!#REF!="Tennessee",+NFL!#REF!,IF(+NFL!#REF!="Tennessee",+NFL!#REF!,0))</f>
        <v>#REF!</v>
      </c>
      <c r="AT587" s="64" t="e">
        <f>IF(+NFL!#REF!="Tennessee",+NFL!#REF!,IF(+NFL!#REF!="Tennessee",+NFL!#REF!,0))</f>
        <v>#REF!</v>
      </c>
      <c r="AU587" s="57" t="e">
        <f>IF(+NFL!#REF!="Tennessee",+NFL!#REF!,IF(+NFL!#REF!="Tennessee",+NFL!#REF!,0))</f>
        <v>#REF!</v>
      </c>
      <c r="AV587" s="64" t="e">
        <f>IF(+NFL!#REF!="Tennessee",+NFL!#REF!,IF(+NFL!#REF!="Tennessee",+NFL!#REF!,0))</f>
        <v>#REF!</v>
      </c>
      <c r="AW587" s="46" t="e">
        <f>IF(+NFL!#REF!="Tennessee",+NFL!#REF!,IF(+NFL!#REF!="Tennessee",+NFL!#REF!,0))</f>
        <v>#REF!</v>
      </c>
      <c r="AX587" s="64" t="e">
        <f>IF(+NFL!#REF!="Tennessee",+NFL!#REF!,IF(+NFL!#REF!="Tennessee",+NFL!#REF!,0))</f>
        <v>#REF!</v>
      </c>
      <c r="AY587" s="57" t="e">
        <f>IF(+NFL!#REF!="Tennessee",+NFL!#REF!,IF(+NFL!#REF!="Tennessee",+NFL!#REF!,0))</f>
        <v>#REF!</v>
      </c>
      <c r="AZ587" s="64" t="e">
        <f>IF(+NFL!#REF!="Tennessee",+NFL!#REF!,IF(+NFL!#REF!="Tennessee",+NFL!#REF!,0))</f>
        <v>#REF!</v>
      </c>
      <c r="BA587" s="46" t="e">
        <f>IF(+NFL!#REF!="Tennessee",+NFL!#REF!,IF(+NFL!#REF!="Tennessee",+NFL!#REF!,0))</f>
        <v>#REF!</v>
      </c>
      <c r="BB587" s="46" t="e">
        <f>IF(+NFL!#REF!="Tennessee",+NFL!#REF!,IF(+NFL!#REF!="Tennessee",+NFL!#REF!,0))</f>
        <v>#REF!</v>
      </c>
      <c r="BC587" s="403" t="e">
        <f>IF(+NFL!#REF!="Tennessee",+NFL!#REF!,IF(+NFL!#REF!="Tennessee",+NFL!#REF!,0))</f>
        <v>#REF!</v>
      </c>
      <c r="BD587" s="57" t="e">
        <f>IF(+NFL!#REF!="Tennessee",+NFL!#REF!,IF(+NFL!#REF!="Tennessee",+NFL!#REF!,0))</f>
        <v>#REF!</v>
      </c>
      <c r="BE587" s="64" t="e">
        <f>IF(+NFL!#REF!="Tennessee",+NFL!#REF!,IF(+NFL!#REF!="Tennessee",+NFL!#REF!,0))</f>
        <v>#REF!</v>
      </c>
      <c r="BF587" s="46" t="e">
        <f>IF(+NFL!#REF!="Tennessee",+NFL!#REF!,IF(+NFL!#REF!="Tennessee",+NFL!#REF!,0))</f>
        <v>#REF!</v>
      </c>
      <c r="BG587" s="57" t="e">
        <f>IF(+NFL!#REF!="Tennessee",+NFL!#REF!,IF(+NFL!#REF!="Tennessee",+NFL!#REF!,0))</f>
        <v>#REF!</v>
      </c>
      <c r="BH587" s="64" t="e">
        <f>IF(+NFL!#REF!="Tennessee",+NFL!#REF!,IF(+NFL!#REF!="Tennessee",+NFL!#REF!,0))</f>
        <v>#REF!</v>
      </c>
      <c r="BI587" s="46" t="e">
        <f>IF(+NFL!#REF!="Tennessee",+NFL!#REF!,IF(+NFL!#REF!="Tennessee",+NFL!#REF!,0))</f>
        <v>#REF!</v>
      </c>
      <c r="BJ587" s="87" t="e">
        <f>IF(+NFL!#REF!="Tennessee",+NFL!#REF!,IF(+NFL!#REF!="Tennessee",+NFL!#REF!,0))</f>
        <v>#REF!</v>
      </c>
      <c r="BK587" s="120" t="e">
        <f>IF(+NFL!#REF!="Tennessee",+NFL!#REF!,IF(+NFL!#REF!="Tennessee",+NFL!#REF!,0))</f>
        <v>#REF!</v>
      </c>
    </row>
    <row r="588" spans="1:63" s="246" customFormat="1" x14ac:dyDescent="0.8">
      <c r="A588" s="46">
        <f>IF(+NFL!$F331="Tennessee",+NFL!A331,IF(+NFL!$H331="Tennessee",+NFL!A331,0))</f>
        <v>0</v>
      </c>
      <c r="B588" s="348">
        <f>IF(+NFL!$F331="Tennessee",+NFL!B331,IF(+NFL!$H331="Tennessee",+NFL!B331,0))</f>
        <v>0</v>
      </c>
      <c r="C588" s="48">
        <f>IF(+NFL!$F331="Tennessee",+NFL!C331,IF(+NFL!$H331="Tennessee",+NFL!C331,0))</f>
        <v>0</v>
      </c>
      <c r="D588" s="490">
        <f>IF(+NFL!$F331="Tennessee",+NFL!D331,IF(+NFL!$H331="Tennessee",+NFL!D331,0))</f>
        <v>0</v>
      </c>
      <c r="E588" s="46">
        <f>IF(+NFL!$F331="Tennessee",+NFL!E331,IF(+NFL!$H331="Tennessee",+NFL!E331,0))</f>
        <v>0</v>
      </c>
      <c r="F588" s="127">
        <f>IF(+NFL!$F331="Tennessee",+NFL!F331,IF(+NFL!$H331="Tennessee",+NFL!F331,0))</f>
        <v>0</v>
      </c>
      <c r="G588" s="46">
        <f>IF(+NFL!$F331="Tennessee",+NFL!G331,IF(+NFL!$H331="Tennessee",+NFL!G331,0))</f>
        <v>0</v>
      </c>
      <c r="H588" s="127">
        <f>IF(+NFL!$F331="Tennessee",+NFL!H331,IF(+NFL!$H331="Tennessee",+NFL!H331,0))</f>
        <v>0</v>
      </c>
      <c r="I588" s="46">
        <f>IF(+NFL!$F331="Tennessee",+NFL!I331,IF(+NFL!$H331="Tennessee",+NFL!I331,0))</f>
        <v>0</v>
      </c>
      <c r="J588" s="353">
        <f>IF(+NFL!$F331="Tennessee",+NFL!J331,IF(+NFL!$H331="Tennessee",+NFL!J331,0))</f>
        <v>0</v>
      </c>
      <c r="K588" s="494">
        <f>IF(+NFL!$F331="Tennessee",+NFL!K331,IF(+NFL!$H331="Tennessee",+NFL!K331,0))</f>
        <v>0</v>
      </c>
      <c r="L588" s="384">
        <f>IF(+NFL!$F331="Tennessee",+NFL!L331,IF(+NFL!$H331="Tennessee",+NFL!L331,0))</f>
        <v>0</v>
      </c>
      <c r="M588" s="385">
        <f>IF(+NFL!$F331="Tennessee",+NFL!M331,IF(+NFL!$H331="Tennessee",+NFL!M331,0))</f>
        <v>0</v>
      </c>
      <c r="N588" s="394">
        <f>IF(+NFL!$F331="Tennessee",+NFL!N331,IF(+NFL!$H331="Tennessee",+NFL!N331,0))</f>
        <v>0</v>
      </c>
      <c r="O588" s="395">
        <f>IF(+NFL!$F331="Tennessee",+NFL!O331,IF(+NFL!$H331="Tennessee",+NFL!O331,0))</f>
        <v>0</v>
      </c>
      <c r="P588" s="394">
        <f>IF(+NFL!$F331="Tennessee",+NFL!P331,IF(+NFL!$H331="Tennessee",+NFL!P331,0))</f>
        <v>0</v>
      </c>
      <c r="Q588" s="396">
        <f>IF(+NFL!$F331="Tennessee",+NFL!Q331,IF(+NFL!$H331="Tennessee",+NFL!Q331,0))</f>
        <v>0</v>
      </c>
      <c r="R588" s="397">
        <f>IF(+NFL!$F331="Tennessee",+NFL!R331,IF(+NFL!$H331="Tennessee",+NFL!R331,0))</f>
        <v>0</v>
      </c>
      <c r="S588" s="396">
        <f>IF(+NFL!$F331="Tennessee",+NFL!S331,IF(+NFL!$H331="Tennessee",+NFL!S331,0))</f>
        <v>0</v>
      </c>
      <c r="T588" s="398">
        <f>IF(+NFL!$F331="Tennessee",+NFL!T331,IF(+NFL!$H331="Tennessee",+NFL!T331,0))</f>
        <v>0</v>
      </c>
      <c r="U588" s="396">
        <f>IF(+NFL!$F331="Tennessee",+NFL!U331,IF(+NFL!$H331="Tennessee",+NFL!U331,0))</f>
        <v>0</v>
      </c>
      <c r="V588" s="397">
        <f>IF(+NFL!$F325="Tennessee",+NFL!#REF!,IF(+NFL!$H325="Tennessee",+NFL!#REF!,0))</f>
        <v>0</v>
      </c>
      <c r="W588" s="396">
        <f>IF(+NFL!$F325="Tennessee",+NFL!#REF!,IF(+NFL!$H325="Tennessee",+NFL!#REF!,0))</f>
        <v>0</v>
      </c>
      <c r="X588" s="398">
        <f>IF(+NFL!$F325="Tennessee",+NFL!#REF!,IF(+NFL!$H325="Tennessee",+NFL!#REF!,0))</f>
        <v>0</v>
      </c>
      <c r="Y588" s="396">
        <f>IF(+NFL!$F325="Tennessee",+NFL!#REF!,IF(+NFL!$H325="Tennessee",+NFL!#REF!,0))</f>
        <v>0</v>
      </c>
      <c r="Z588" s="397">
        <f>IF(+NFL!$F325="Tennessee",+NFL!#REF!,IF(+NFL!$H325="Tennessee",+NFL!#REF!,0))</f>
        <v>0</v>
      </c>
      <c r="AA588" s="396">
        <f>IF(+NFL!$F325="Tennessee",+NFL!#REF!,IF(+NFL!$H325="Tennessee",+NFL!#REF!,0))</f>
        <v>0</v>
      </c>
      <c r="AB588" s="87">
        <f>IF(+NFL!$F325="Tennessee",+NFL!#REF!,IF(+NFL!$H325="Tennessee",+NFL!#REF!,0))</f>
        <v>0</v>
      </c>
      <c r="AC588" s="120">
        <f>IF(+NFL!$F325="Tennessee",+NFL!#REF!,IF(+NFL!$H325="Tennessee",+NFL!#REF!,0))</f>
        <v>0</v>
      </c>
      <c r="AD588" s="353">
        <f>IF(+NFL!$F325="Tennessee",+NFL!#REF!,IF(+NFL!$H325="Tennessee",+NFL!#REF!,0))</f>
        <v>0</v>
      </c>
      <c r="AE588" s="379">
        <f>IF(+NFL!$F325="Tennessee",+NFL!#REF!,IF(+NFL!$H325="Tennessee",+NFL!#REF!,0))</f>
        <v>0</v>
      </c>
      <c r="AF588" s="353">
        <f>IF(+NFL!$F325="Tennessee",+NFL!#REF!,IF(+NFL!$H325="Tennessee",+NFL!#REF!,0))</f>
        <v>0</v>
      </c>
      <c r="AG588" s="379">
        <f>IF(+NFL!$F325="Tennessee",+NFL!#REF!,IF(+NFL!$H325="Tennessee",+NFL!#REF!,0))</f>
        <v>0</v>
      </c>
      <c r="AH588" s="353">
        <f>IF(+NFL!$F325="Tennessee",+NFL!#REF!,IF(+NFL!$H325="Tennessee",+NFL!#REF!,0))</f>
        <v>0</v>
      </c>
      <c r="AI588" s="379">
        <f>IF(+NFL!$F325="Tennessee",+NFL!#REF!,IF(+NFL!$H325="Tennessee",+NFL!#REF!,0))</f>
        <v>0</v>
      </c>
      <c r="AJ588" s="353">
        <f>IF(+NFL!$F325="Tennessee",+NFL!#REF!,IF(+NFL!$H325="Tennessee",+NFL!#REF!,0))</f>
        <v>0</v>
      </c>
      <c r="AK588" s="379">
        <f>IF(+NFL!$F325="Tennessee",+NFL!#REF!,IF(+NFL!$H325="Tennessee",+NFL!#REF!,0))</f>
        <v>0</v>
      </c>
      <c r="AL588" s="68">
        <f>IF(+NFL!$F325="Tennessee",+NFL!#REF!,IF(+NFL!$H325="Tennessee",+NFL!#REF!,0))</f>
        <v>0</v>
      </c>
      <c r="AM588" s="58">
        <f>IF(+NFL!$F325="Tennessee",+NFL!#REF!,IF(+NFL!$H325="Tennessee",+NFL!#REF!,0))</f>
        <v>0</v>
      </c>
      <c r="AN588" s="57">
        <f>IF(+NFL!$F325="Tennessee",+NFL!#REF!,IF(+NFL!$H325="Tennessee",+NFL!#REF!,0))</f>
        <v>0</v>
      </c>
      <c r="AO588" s="59">
        <f>IF(+NFL!$F325="Tennessee",+NFL!#REF!,IF(+NFL!$H325="Tennessee",+NFL!#REF!,0))</f>
        <v>0</v>
      </c>
      <c r="AP588" s="348">
        <f>IF(+NFL!$F325="Tennessee",+NFL!#REF!,IF(+NFL!$H325="Tennessee",+NFL!#REF!,0))</f>
        <v>0</v>
      </c>
      <c r="AQ588" s="48">
        <f>IF(+NFL!$F325="Tennessee",+NFL!#REF!,IF(+NFL!$H325="Tennessee",+NFL!#REF!,0))</f>
        <v>0</v>
      </c>
      <c r="AR588" s="57">
        <f>IF(+NFL!$F325="Tennessee",+NFL!#REF!,IF(+NFL!$H325="Tennessee",+NFL!#REF!,0))</f>
        <v>0</v>
      </c>
      <c r="AS588" s="64">
        <f>IF(+NFL!$F325="Tennessee",+NFL!#REF!,IF(+NFL!$H325="Tennessee",+NFL!#REF!,0))</f>
        <v>0</v>
      </c>
      <c r="AT588" s="64">
        <f>IF(+NFL!$F325="Tennessee",+NFL!#REF!,IF(+NFL!$H325="Tennessee",+NFL!#REF!,0))</f>
        <v>0</v>
      </c>
      <c r="AU588" s="57">
        <f>IF(+NFL!$F325="Tennessee",+NFL!#REF!,IF(+NFL!$H325="Tennessee",+NFL!#REF!,0))</f>
        <v>0</v>
      </c>
      <c r="AV588" s="64">
        <f>IF(+NFL!$F325="Tennessee",+NFL!#REF!,IF(+NFL!$H325="Tennessee",+NFL!#REF!,0))</f>
        <v>0</v>
      </c>
      <c r="AW588" s="46">
        <f>IF(+NFL!$F325="Tennessee",+NFL!#REF!,IF(+NFL!$H325="Tennessee",+NFL!#REF!,0))</f>
        <v>0</v>
      </c>
      <c r="AX588" s="64">
        <f>IF(+NFL!$F325="Tennessee",+NFL!#REF!,IF(+NFL!$H325="Tennessee",+NFL!#REF!,0))</f>
        <v>0</v>
      </c>
      <c r="AY588" s="57">
        <f>IF(+NFL!$F325="Tennessee",+NFL!#REF!,IF(+NFL!$H325="Tennessee",+NFL!#REF!,0))</f>
        <v>0</v>
      </c>
      <c r="AZ588" s="64">
        <f>IF(+NFL!$F325="Tennessee",+NFL!#REF!,IF(+NFL!$H325="Tennessee",+NFL!#REF!,0))</f>
        <v>0</v>
      </c>
      <c r="BA588" s="46">
        <f>IF(+NFL!$F325="Tennessee",+NFL!#REF!,IF(+NFL!$H325="Tennessee",+NFL!#REF!,0))</f>
        <v>0</v>
      </c>
      <c r="BB588" s="46">
        <f>IF(+NFL!$F325="Tennessee",+NFL!#REF!,IF(+NFL!$H325="Tennessee",+NFL!#REF!,0))</f>
        <v>0</v>
      </c>
      <c r="BC588" s="403">
        <f>IF(+NFL!$F325="Tennessee",+NFL!#REF!,IF(+NFL!$H325="Tennessee",+NFL!#REF!,0))</f>
        <v>0</v>
      </c>
      <c r="BD588" s="57">
        <f>IF(+NFL!$F325="Tennessee",+NFL!#REF!,IF(+NFL!$H325="Tennessee",+NFL!#REF!,0))</f>
        <v>0</v>
      </c>
      <c r="BE588" s="64">
        <f>IF(+NFL!$F325="Tennessee",+NFL!#REF!,IF(+NFL!$H325="Tennessee",+NFL!#REF!,0))</f>
        <v>0</v>
      </c>
      <c r="BF588" s="46">
        <f>IF(+NFL!$F325="Tennessee",+NFL!#REF!,IF(+NFL!$H325="Tennessee",+NFL!#REF!,0))</f>
        <v>0</v>
      </c>
      <c r="BG588" s="57">
        <f>IF(+NFL!$F325="Tennessee",+NFL!#REF!,IF(+NFL!$H325="Tennessee",+NFL!#REF!,0))</f>
        <v>0</v>
      </c>
      <c r="BH588" s="64">
        <f>IF(+NFL!$F325="Tennessee",+NFL!#REF!,IF(+NFL!$H325="Tennessee",+NFL!#REF!,0))</f>
        <v>0</v>
      </c>
      <c r="BI588" s="46">
        <f>IF(+NFL!$F325="Tennessee",+NFL!#REF!,IF(+NFL!$H325="Tennessee",+NFL!#REF!,0))</f>
        <v>0</v>
      </c>
      <c r="BJ588" s="87">
        <f>IF(+NFL!$F325="Tennessee",+NFL!#REF!,IF(+NFL!$H325="Tennessee",+NFL!#REF!,0))</f>
        <v>0</v>
      </c>
      <c r="BK588" s="120">
        <f>IF(+NFL!$F325="Tennessee",+NFL!#REF!,IF(+NFL!$H325="Tennessee",+NFL!#REF!,0))</f>
        <v>0</v>
      </c>
    </row>
    <row r="589" spans="1:63" s="246" customFormat="1" x14ac:dyDescent="0.8">
      <c r="A589" s="46"/>
      <c r="B589" s="348"/>
      <c r="C589" s="48"/>
      <c r="D589" s="49"/>
      <c r="E589" s="46"/>
      <c r="F589" s="959" t="str">
        <f>H590</f>
        <v>Washington</v>
      </c>
      <c r="G589" s="960"/>
      <c r="H589" s="960"/>
      <c r="I589" s="961"/>
      <c r="J589" s="353"/>
      <c r="K589" s="364"/>
      <c r="L589" s="384"/>
      <c r="M589" s="385"/>
      <c r="N589" s="394"/>
      <c r="O589" s="395"/>
      <c r="P589" s="394"/>
      <c r="Q589" s="396"/>
      <c r="R589" s="397"/>
      <c r="S589" s="396"/>
      <c r="T589" s="398"/>
      <c r="U589" s="396"/>
      <c r="V589" s="397"/>
      <c r="W589" s="396"/>
      <c r="X589" s="398"/>
      <c r="Y589" s="396"/>
      <c r="Z589" s="397"/>
      <c r="AA589" s="396"/>
      <c r="AB589" s="87"/>
      <c r="AC589" s="120"/>
      <c r="AD589" s="353"/>
      <c r="AE589" s="379"/>
      <c r="AF589" s="353"/>
      <c r="AG589" s="379"/>
      <c r="AH589" s="353"/>
      <c r="AI589" s="379"/>
      <c r="AJ589" s="353"/>
      <c r="AK589" s="379"/>
      <c r="AL589" s="68"/>
      <c r="AM589" s="58"/>
      <c r="AN589" s="57"/>
      <c r="AO589" s="59"/>
      <c r="AP589" s="348"/>
      <c r="AQ589" s="348"/>
      <c r="AR589" s="57"/>
      <c r="AS589" s="64"/>
      <c r="AT589" s="64"/>
      <c r="AU589" s="57"/>
      <c r="AV589" s="64"/>
      <c r="AW589" s="46"/>
      <c r="AX589" s="64"/>
      <c r="AY589" s="57"/>
      <c r="AZ589" s="64"/>
      <c r="BA589" s="46"/>
      <c r="BB589" s="46"/>
      <c r="BC589" s="348"/>
      <c r="BD589" s="57"/>
      <c r="BE589" s="64"/>
      <c r="BF589" s="46"/>
      <c r="BG589" s="57"/>
      <c r="BH589" s="64"/>
      <c r="BI589" s="46"/>
      <c r="BJ589" s="87"/>
      <c r="BK589" s="120"/>
    </row>
    <row r="590" spans="1:63" s="246" customFormat="1" x14ac:dyDescent="0.8">
      <c r="A590" s="46">
        <f>IF(+NFL!$F11="Washington",+NFL!A11,IF(+NFL!$H11="Washington",+NFL!A11,0))</f>
        <v>1</v>
      </c>
      <c r="B590" s="348" t="str">
        <f>IF(+NFL!$F11="Washington",+NFL!B11,IF(+NFL!$H11="Washington",+NFL!B11,0))</f>
        <v>Sun</v>
      </c>
      <c r="C590" s="48">
        <f>IF(+NFL!$F11="Washington",+NFL!C11,IF(+NFL!$H11="Washington",+NFL!C11,0))</f>
        <v>44815</v>
      </c>
      <c r="D590" s="490">
        <f>IF(+NFL!$F11="Washington",+NFL!D11,IF(+NFL!$H11="Washington",+NFL!D11,0))</f>
        <v>0.54166666666666663</v>
      </c>
      <c r="E590" s="46" t="str">
        <f>IF(+NFL!$F11="Washington",+NFL!E11,IF(+NFL!$H11="Washington",+NFL!E11,0))</f>
        <v>CBS</v>
      </c>
      <c r="F590" s="127" t="str">
        <f>IF(+NFL!$F11="Washington",+NFL!F11,IF(+NFL!$H11="Washington",+NFL!F11,0))</f>
        <v>Jacksonville</v>
      </c>
      <c r="G590" s="46" t="str">
        <f>IF(+NFL!$F11="Washington",+NFL!G11,IF(+NFL!$H11="Washington",+NFL!G11,0))</f>
        <v>AFCS</v>
      </c>
      <c r="H590" s="127" t="str">
        <f>IF(+NFL!$F11="Washington",+NFL!H11,IF(+NFL!$H11="Washington",+NFL!H11,0))</f>
        <v>Washington</v>
      </c>
      <c r="I590" s="46" t="str">
        <f>IF(+NFL!$F11="Washington",+NFL!I11,IF(+NFL!$H11="Washington",+NFL!I11,0))</f>
        <v>NFCE</v>
      </c>
      <c r="J590" s="353" t="str">
        <f>IF(+NFL!$F11="Washington",+NFL!J11,IF(+NFL!$H11="Washington",+NFL!J11,0))</f>
        <v>Washington</v>
      </c>
      <c r="K590" s="494" t="str">
        <f>IF(+NFL!$F11="Washington",+NFL!K11,IF(+NFL!$H11="Washington",+NFL!K11,0))</f>
        <v>Jacksonville</v>
      </c>
      <c r="L590" s="384">
        <f>IF(+NFL!$F11="Washington",+NFL!L11,IF(+NFL!$H11="Washington",+NFL!L11,0))</f>
        <v>2.5</v>
      </c>
      <c r="M590" s="385">
        <f>IF(+NFL!$F11="Washington",+NFL!M11,IF(+NFL!$H11="Washington",+NFL!M11,0))</f>
        <v>44</v>
      </c>
      <c r="N590" s="394" t="str">
        <f>IF(+NFL!$F11="Washington",+NFL!N11,IF(+NFL!$H11="Washington",+NFL!N11,0))</f>
        <v>Washington</v>
      </c>
      <c r="O590" s="395">
        <f>IF(+NFL!$F11="Washington",+NFL!O11,IF(+NFL!$H11="Washington",+NFL!O11,0))</f>
        <v>28</v>
      </c>
      <c r="P590" s="394" t="str">
        <f>IF(+NFL!$F11="Washington",+NFL!P11,IF(+NFL!$H11="Washington",+NFL!P11,0))</f>
        <v>Jacksonville</v>
      </c>
      <c r="Q590" s="396">
        <f>IF(+NFL!$F11="Washington",+NFL!Q11,IF(+NFL!$H11="Washington",+NFL!Q11,0))</f>
        <v>22</v>
      </c>
      <c r="R590" s="397" t="str">
        <f>IF(+NFL!$F11="Washington",+NFL!R11,IF(+NFL!$H11="Washington",+NFL!R11,0))</f>
        <v>Washington</v>
      </c>
      <c r="S590" s="396" t="str">
        <f>IF(+NFL!$F11="Washington",+NFL!S11,IF(+NFL!$H11="Washington",+NFL!S11,0))</f>
        <v>Jacksonville</v>
      </c>
      <c r="T590" s="398" t="str">
        <f>IF(+NFL!$F11="Washington",+NFL!T11,IF(+NFL!$H11="Washington",+NFL!T11,0))</f>
        <v>Jacksonville</v>
      </c>
      <c r="U590" s="396" t="str">
        <f>IF(+NFL!$F11="Washington",+NFL!U11,IF(+NFL!$H11="Washington",+NFL!U11,0))</f>
        <v>L</v>
      </c>
      <c r="V590" s="397"/>
      <c r="W590" s="396"/>
      <c r="X590" s="398"/>
      <c r="Y590" s="396"/>
      <c r="Z590" s="397"/>
      <c r="AA590" s="396"/>
      <c r="AB590" s="87"/>
      <c r="AC590" s="120"/>
      <c r="AD590" s="353"/>
      <c r="AE590" s="379"/>
      <c r="AF590" s="353"/>
      <c r="AG590" s="379"/>
      <c r="AH590" s="353"/>
      <c r="AI590" s="379"/>
      <c r="AJ590" s="353"/>
      <c r="AK590" s="379"/>
      <c r="AL590" s="68"/>
      <c r="AM590" s="58"/>
      <c r="AN590" s="57"/>
      <c r="AO590" s="59"/>
      <c r="AP590" s="348"/>
      <c r="AQ590" s="48"/>
      <c r="AR590" s="57"/>
      <c r="AS590" s="493"/>
      <c r="AT590" s="493"/>
      <c r="AU590" s="57"/>
      <c r="AV590" s="493"/>
      <c r="AW590" s="46"/>
      <c r="AX590" s="493"/>
      <c r="AY590" s="57"/>
      <c r="AZ590" s="493"/>
      <c r="BA590" s="46"/>
      <c r="BB590" s="46"/>
      <c r="BC590" s="403"/>
      <c r="BD590" s="57"/>
      <c r="BE590" s="493"/>
      <c r="BF590" s="46"/>
      <c r="BG590" s="57"/>
      <c r="BH590" s="493"/>
      <c r="BI590" s="46"/>
      <c r="BJ590" s="87"/>
      <c r="BK590" s="120"/>
    </row>
    <row r="591" spans="1:63" s="246" customFormat="1" x14ac:dyDescent="0.8">
      <c r="A591" s="46">
        <f>IF(+NFL!$F23="Washington",+NFL!A23,IF(+NFL!$H23="Washington",+NFL!A23,0))</f>
        <v>2</v>
      </c>
      <c r="B591" s="348" t="str">
        <f>IF(+NFL!$F23="Washington",+NFL!B23,IF(+NFL!$H23="Washington",+NFL!B23,0))</f>
        <v>Sun</v>
      </c>
      <c r="C591" s="48">
        <f>IF(+NFL!$F23="Washington",+NFL!C23,IF(+NFL!$H23="Washington",+NFL!C23,0))</f>
        <v>44822</v>
      </c>
      <c r="D591" s="490">
        <f>IF(+NFL!$F23="Washington",+NFL!D23,IF(+NFL!$H23="Washington",+NFL!D23,0))</f>
        <v>0.54166666666666663</v>
      </c>
      <c r="E591" s="46" t="str">
        <f>IF(+NFL!$F23="Washington",+NFL!E23,IF(+NFL!$H23="Washington",+NFL!E23,0))</f>
        <v>Fox</v>
      </c>
      <c r="F591" s="127" t="str">
        <f>IF(+NFL!$F23="Washington",+NFL!F23,IF(+NFL!$H23="Washington",+NFL!F23,0))</f>
        <v>Washington</v>
      </c>
      <c r="G591" s="46" t="str">
        <f>IF(+NFL!$F23="Washington",+NFL!G23,IF(+NFL!$H23="Washington",+NFL!G23,0))</f>
        <v>NFCE</v>
      </c>
      <c r="H591" s="127" t="str">
        <f>IF(+NFL!$F23="Washington",+NFL!H23,IF(+NFL!$H23="Washington",+NFL!H23,0))</f>
        <v>Detroit</v>
      </c>
      <c r="I591" s="46" t="str">
        <f>IF(+NFL!$F23="Washington",+NFL!I23,IF(+NFL!$H23="Washington",+NFL!I23,0))</f>
        <v>NFCN</v>
      </c>
      <c r="J591" s="353" t="str">
        <f>IF(+NFL!$F23="Washington",+NFL!J23,IF(+NFL!$H23="Washington",+NFL!J23,0))</f>
        <v>Detroit</v>
      </c>
      <c r="K591" s="494" t="str">
        <f>IF(+NFL!$F23="Washington",+NFL!K23,IF(+NFL!$H23="Washington",+NFL!K23,0))</f>
        <v>Washington</v>
      </c>
      <c r="L591" s="384">
        <f>IF(+NFL!$F23="Washington",+NFL!L23,IF(+NFL!$H23="Washington",+NFL!L23,0))</f>
        <v>2.5</v>
      </c>
      <c r="M591" s="385">
        <f>IF(+NFL!$F23="Washington",+NFL!M23,IF(+NFL!$H23="Washington",+NFL!M23,0))</f>
        <v>49.5</v>
      </c>
      <c r="N591" s="394" t="str">
        <f>IF(+NFL!$F23="Washington",+NFL!N23,IF(+NFL!$H23="Washington",+NFL!N23,0))</f>
        <v>Detroit</v>
      </c>
      <c r="O591" s="395">
        <f>IF(+NFL!$F23="Washington",+NFL!O23,IF(+NFL!$H23="Washington",+NFL!O23,0))</f>
        <v>36</v>
      </c>
      <c r="P591" s="394" t="str">
        <f>IF(+NFL!$F23="Washington",+NFL!P23,IF(+NFL!$H23="Washington",+NFL!P23,0))</f>
        <v>Washington</v>
      </c>
      <c r="Q591" s="396">
        <f>IF(+NFL!$F23="Washington",+NFL!Q23,IF(+NFL!$H23="Washington",+NFL!Q23,0))</f>
        <v>27</v>
      </c>
      <c r="R591" s="397" t="str">
        <f>IF(+NFL!$F23="Washington",+NFL!R23,IF(+NFL!$H23="Washington",+NFL!R23,0))</f>
        <v>Detroit</v>
      </c>
      <c r="S591" s="396" t="str">
        <f>IF(+NFL!$F23="Washington",+NFL!S23,IF(+NFL!$H23="Washington",+NFL!S23,0))</f>
        <v>Washington</v>
      </c>
      <c r="T591" s="398" t="str">
        <f>IF(+NFL!$F23="Washington",+NFL!T23,IF(+NFL!$H23="Washington",+NFL!T23,0))</f>
        <v>Washington</v>
      </c>
      <c r="U591" s="396" t="str">
        <f>IF(+NFL!$F23="Washington",+NFL!U23,IF(+NFL!$H23="Washington",+NFL!U23,0))</f>
        <v>L</v>
      </c>
      <c r="V591" s="397"/>
      <c r="W591" s="396"/>
      <c r="X591" s="398"/>
      <c r="Y591" s="396"/>
      <c r="Z591" s="397"/>
      <c r="AA591" s="396"/>
      <c r="AB591" s="87"/>
      <c r="AC591" s="120"/>
      <c r="AD591" s="353"/>
      <c r="AE591" s="379"/>
      <c r="AF591" s="353"/>
      <c r="AG591" s="379"/>
      <c r="AH591" s="353"/>
      <c r="AI591" s="379"/>
      <c r="AJ591" s="353"/>
      <c r="AK591" s="379"/>
      <c r="AL591" s="68"/>
      <c r="AM591" s="58"/>
      <c r="AN591" s="57"/>
      <c r="AO591" s="59"/>
      <c r="AP591" s="348"/>
      <c r="AQ591" s="48"/>
      <c r="AR591" s="57"/>
      <c r="AS591" s="493"/>
      <c r="AT591" s="493"/>
      <c r="AU591" s="57"/>
      <c r="AV591" s="493"/>
      <c r="AW591" s="46"/>
      <c r="AX591" s="493"/>
      <c r="AY591" s="57"/>
      <c r="AZ591" s="493"/>
      <c r="BA591" s="46"/>
      <c r="BB591" s="46"/>
      <c r="BC591" s="403"/>
      <c r="BD591" s="57"/>
      <c r="BE591" s="493"/>
      <c r="BF591" s="46"/>
      <c r="BG591" s="57"/>
      <c r="BH591" s="493"/>
      <c r="BI591" s="46"/>
      <c r="BJ591" s="87"/>
      <c r="BK591" s="120"/>
    </row>
    <row r="592" spans="1:63" s="246" customFormat="1" x14ac:dyDescent="0.8">
      <c r="A592" s="46">
        <f>IF(+NFL!$F46="Washington",+NFL!A46,IF(+NFL!$H46="Washington",+NFL!A46,0))</f>
        <v>3</v>
      </c>
      <c r="B592" s="348" t="str">
        <f>IF(+NFL!$F46="Washington",+NFL!B46,IF(+NFL!$H46="Washington",+NFL!B46,0))</f>
        <v>Sun</v>
      </c>
      <c r="C592" s="48">
        <f>IF(+NFL!$F46="Washington",+NFL!C46,IF(+NFL!$H46="Washington",+NFL!C46,0))</f>
        <v>44829</v>
      </c>
      <c r="D592" s="490">
        <f>IF(+NFL!$F46="Washington",+NFL!D46,IF(+NFL!$H46="Washington",+NFL!D46,0))</f>
        <v>0.54166666666666663</v>
      </c>
      <c r="E592" s="46" t="str">
        <f>IF(+NFL!$F46="Washington",+NFL!E46,IF(+NFL!$H46="Washington",+NFL!E46,0))</f>
        <v>Fox</v>
      </c>
      <c r="F592" s="127" t="str">
        <f>IF(+NFL!$F46="Washington",+NFL!F46,IF(+NFL!$H46="Washington",+NFL!F46,0))</f>
        <v>Philadelphia</v>
      </c>
      <c r="G592" s="46" t="str">
        <f>IF(+NFL!$F46="Washington",+NFL!G46,IF(+NFL!$H46="Washington",+NFL!G46,0))</f>
        <v>NFCE</v>
      </c>
      <c r="H592" s="127" t="str">
        <f>IF(+NFL!$F46="Washington",+NFL!H46,IF(+NFL!$H46="Washington",+NFL!H46,0))</f>
        <v>Washington</v>
      </c>
      <c r="I592" s="46" t="str">
        <f>IF(+NFL!$F46="Washington",+NFL!I46,IF(+NFL!$H46="Washington",+NFL!I46,0))</f>
        <v>NFCE</v>
      </c>
      <c r="J592" s="353" t="str">
        <f>IF(+NFL!$F46="Washington",+NFL!J46,IF(+NFL!$H46="Washington",+NFL!J46,0))</f>
        <v>Philadelphia</v>
      </c>
      <c r="K592" s="494" t="str">
        <f>IF(+NFL!$F46="Washington",+NFL!K46,IF(+NFL!$H46="Washington",+NFL!K46,0))</f>
        <v>Washington</v>
      </c>
      <c r="L592" s="384">
        <f>IF(+NFL!$F46="Washington",+NFL!L46,IF(+NFL!$H46="Washington",+NFL!L46,0))</f>
        <v>6.5</v>
      </c>
      <c r="M592" s="385">
        <f>IF(+NFL!$F46="Washington",+NFL!M46,IF(+NFL!$H46="Washington",+NFL!M46,0))</f>
        <v>47</v>
      </c>
      <c r="N592" s="394" t="str">
        <f>IF(+NFL!$F46="Washington",+NFL!N46,IF(+NFL!$H46="Washington",+NFL!N46,0))</f>
        <v>Philadelphia</v>
      </c>
      <c r="O592" s="395">
        <f>IF(+NFL!$F46="Washington",+NFL!O46,IF(+NFL!$H46="Washington",+NFL!O46,0))</f>
        <v>24</v>
      </c>
      <c r="P592" s="394" t="str">
        <f>IF(+NFL!$F46="Washington",+NFL!P46,IF(+NFL!$H46="Washington",+NFL!P46,0))</f>
        <v>Washington</v>
      </c>
      <c r="Q592" s="396">
        <f>IF(+NFL!$F46="Washington",+NFL!Q46,IF(+NFL!$H46="Washington",+NFL!Q46,0))</f>
        <v>8</v>
      </c>
      <c r="R592" s="397" t="str">
        <f>IF(+NFL!$F46="Washington",+NFL!R46,IF(+NFL!$H46="Washington",+NFL!R46,0))</f>
        <v>Philadelphia</v>
      </c>
      <c r="S592" s="396" t="str">
        <f>IF(+NFL!$F46="Washington",+NFL!S46,IF(+NFL!$H46="Washington",+NFL!S46,0))</f>
        <v>Washington</v>
      </c>
      <c r="T592" s="398" t="str">
        <f>IF(+NFL!$F46="Washington",+NFL!T46,IF(+NFL!$H46="Washington",+NFL!T46,0))</f>
        <v>Washington</v>
      </c>
      <c r="U592" s="396" t="str">
        <f>IF(+NFL!$F46="Washington",+NFL!U46,IF(+NFL!$H46="Washington",+NFL!U46,0))</f>
        <v>L</v>
      </c>
      <c r="V592" s="397"/>
      <c r="W592" s="396"/>
      <c r="X592" s="398"/>
      <c r="Y592" s="396"/>
      <c r="Z592" s="397"/>
      <c r="AA592" s="396"/>
      <c r="AB592" s="87"/>
      <c r="AC592" s="120"/>
      <c r="AD592" s="353"/>
      <c r="AE592" s="379"/>
      <c r="AF592" s="353"/>
      <c r="AG592" s="379"/>
      <c r="AH592" s="353"/>
      <c r="AI592" s="379"/>
      <c r="AJ592" s="353"/>
      <c r="AK592" s="379"/>
      <c r="AL592" s="68"/>
      <c r="AM592" s="58"/>
      <c r="AN592" s="57"/>
      <c r="AO592" s="59"/>
      <c r="AP592" s="348"/>
      <c r="AQ592" s="48"/>
      <c r="AR592" s="57"/>
      <c r="AS592" s="64"/>
      <c r="AT592" s="64"/>
      <c r="AU592" s="57"/>
      <c r="AV592" s="64"/>
      <c r="AW592" s="46"/>
      <c r="AX592" s="64"/>
      <c r="AY592" s="57"/>
      <c r="AZ592" s="64"/>
      <c r="BA592" s="46"/>
      <c r="BB592" s="46"/>
      <c r="BC592" s="403"/>
      <c r="BD592" s="57"/>
      <c r="BE592" s="64"/>
      <c r="BF592" s="46"/>
      <c r="BG592" s="57"/>
      <c r="BH592" s="64"/>
      <c r="BI592" s="46"/>
      <c r="BJ592" s="87"/>
      <c r="BK592" s="120"/>
    </row>
    <row r="593" spans="1:63" s="246" customFormat="1" x14ac:dyDescent="0.8">
      <c r="A593" s="46">
        <f>IF(+NFL!$F58="Washington",+NFL!A58,IF(+NFL!$H58="Washington",+NFL!A58,0))</f>
        <v>4</v>
      </c>
      <c r="B593" s="348" t="str">
        <f>IF(+NFL!$F58="Washington",+NFL!B58,IF(+NFL!$H58="Washington",+NFL!B58,0))</f>
        <v>Sun</v>
      </c>
      <c r="C593" s="48">
        <f>IF(+NFL!$F58="Washington",+NFL!C58,IF(+NFL!$H58="Washington",+NFL!C58,0))</f>
        <v>44836</v>
      </c>
      <c r="D593" s="490">
        <f>IF(+NFL!$F58="Washington",+NFL!D58,IF(+NFL!$H58="Washington",+NFL!D58,0))</f>
        <v>0.54166666666666663</v>
      </c>
      <c r="E593" s="46" t="str">
        <f>IF(+NFL!$F58="Washington",+NFL!E58,IF(+NFL!$H58="Washington",+NFL!E58,0))</f>
        <v>Fox</v>
      </c>
      <c r="F593" s="127" t="str">
        <f>IF(+NFL!$F58="Washington",+NFL!F58,IF(+NFL!$H58="Washington",+NFL!F58,0))</f>
        <v>Washington</v>
      </c>
      <c r="G593" s="46" t="str">
        <f>IF(+NFL!$F58="Washington",+NFL!G58,IF(+NFL!$H58="Washington",+NFL!G58,0))</f>
        <v>NFCE</v>
      </c>
      <c r="H593" s="127" t="str">
        <f>IF(+NFL!$F58="Washington",+NFL!H58,IF(+NFL!$H58="Washington",+NFL!H58,0))</f>
        <v>Dallas</v>
      </c>
      <c r="I593" s="46" t="str">
        <f>IF(+NFL!$F58="Washington",+NFL!I58,IF(+NFL!$H58="Washington",+NFL!I58,0))</f>
        <v>NFCE</v>
      </c>
      <c r="J593" s="353" t="str">
        <f>IF(+NFL!$F58="Washington",+NFL!J58,IF(+NFL!$H58="Washington",+NFL!J58,0))</f>
        <v>Dallas</v>
      </c>
      <c r="K593" s="494" t="str">
        <f>IF(+NFL!$F58="Washington",+NFL!K58,IF(+NFL!$H58="Washington",+NFL!K58,0))</f>
        <v>Washington</v>
      </c>
      <c r="L593" s="384">
        <f>IF(+NFL!$F58="Washington",+NFL!L58,IF(+NFL!$H58="Washington",+NFL!L58,0))</f>
        <v>3</v>
      </c>
      <c r="M593" s="385">
        <f>IF(+NFL!$F58="Washington",+NFL!M58,IF(+NFL!$H58="Washington",+NFL!M58,0))</f>
        <v>42.5</v>
      </c>
      <c r="N593" s="394" t="str">
        <f>IF(+NFL!$F58="Washington",+NFL!N58,IF(+NFL!$H58="Washington",+NFL!N58,0))</f>
        <v>Dallas</v>
      </c>
      <c r="O593" s="395">
        <f>IF(+NFL!$F58="Washington",+NFL!O58,IF(+NFL!$H58="Washington",+NFL!O58,0))</f>
        <v>25</v>
      </c>
      <c r="P593" s="394" t="str">
        <f>IF(+NFL!$F58="Washington",+NFL!P58,IF(+NFL!$H58="Washington",+NFL!P58,0))</f>
        <v>Washington</v>
      </c>
      <c r="Q593" s="396">
        <f>IF(+NFL!$F58="Washington",+NFL!Q58,IF(+NFL!$H58="Washington",+NFL!Q58,0))</f>
        <v>10</v>
      </c>
      <c r="R593" s="397" t="str">
        <f>IF(+NFL!$F58="Washington",+NFL!R58,IF(+NFL!$H58="Washington",+NFL!R58,0))</f>
        <v>Dallas</v>
      </c>
      <c r="S593" s="396" t="str">
        <f>IF(+NFL!$F58="Washington",+NFL!S58,IF(+NFL!$H58="Washington",+NFL!S58,0))</f>
        <v>Washington</v>
      </c>
      <c r="T593" s="398" t="str">
        <f>IF(+NFL!$F58="Washington",+NFL!T58,IF(+NFL!$H58="Washington",+NFL!T58,0))</f>
        <v>Dallas</v>
      </c>
      <c r="U593" s="396" t="str">
        <f>IF(+NFL!$F58="Washington",+NFL!U58,IF(+NFL!$H58="Washington",+NFL!U58,0))</f>
        <v>W</v>
      </c>
      <c r="V593" s="397">
        <f>IF(+NFL!$F35="Washington",+NFL!#REF!,IF(+NFL!$H35="Washington",+NFL!#REF!,0))</f>
        <v>0</v>
      </c>
      <c r="W593" s="396">
        <f>IF(+NFL!$F35="Washington",+NFL!#REF!,IF(+NFL!$H35="Washington",+NFL!#REF!,0))</f>
        <v>0</v>
      </c>
      <c r="X593" s="398">
        <f>IF(+NFL!$F35="Washington",+NFL!#REF!,IF(+NFL!$H35="Washington",+NFL!#REF!,0))</f>
        <v>0</v>
      </c>
      <c r="Y593" s="396">
        <f>IF(+NFL!$F35="Washington",+NFL!#REF!,IF(+NFL!$H35="Washington",+NFL!#REF!,0))</f>
        <v>0</v>
      </c>
      <c r="Z593" s="397">
        <f>IF(+NFL!$F35="Washington",+NFL!#REF!,IF(+NFL!$H35="Washington",+NFL!#REF!,0))</f>
        <v>0</v>
      </c>
      <c r="AA593" s="396">
        <f>IF(+NFL!$F35="Washington",+NFL!#REF!,IF(+NFL!$H35="Washington",+NFL!#REF!,0))</f>
        <v>0</v>
      </c>
      <c r="AB593" s="87">
        <f>IF(+NFL!$F35="Washington",+NFL!#REF!,IF(+NFL!$H35="Washington",+NFL!#REF!,0))</f>
        <v>0</v>
      </c>
      <c r="AC593" s="120">
        <f>IF(+NFL!$F35="Washington",+NFL!#REF!,IF(+NFL!$H35="Washington",+NFL!#REF!,0))</f>
        <v>0</v>
      </c>
      <c r="AD593" s="353">
        <f>IF(+NFL!$F35="Washington",+NFL!#REF!,IF(+NFL!$H35="Washington",+NFL!#REF!,0))</f>
        <v>0</v>
      </c>
      <c r="AE593" s="379">
        <f>IF(+NFL!$F35="Washington",+NFL!#REF!,IF(+NFL!$H35="Washington",+NFL!#REF!,0))</f>
        <v>0</v>
      </c>
      <c r="AF593" s="353">
        <f>IF(+NFL!$F35="Washington",+NFL!#REF!,IF(+NFL!$H35="Washington",+NFL!#REF!,0))</f>
        <v>0</v>
      </c>
      <c r="AG593" s="379">
        <f>IF(+NFL!$F35="Washington",+NFL!#REF!,IF(+NFL!$H35="Washington",+NFL!#REF!,0))</f>
        <v>0</v>
      </c>
      <c r="AH593" s="353">
        <f>IF(+NFL!$F35="Washington",+NFL!#REF!,IF(+NFL!$H35="Washington",+NFL!#REF!,0))</f>
        <v>0</v>
      </c>
      <c r="AI593" s="379">
        <f>IF(+NFL!$F35="Washington",+NFL!#REF!,IF(+NFL!$H35="Washington",+NFL!#REF!,0))</f>
        <v>0</v>
      </c>
      <c r="AJ593" s="353">
        <f>IF(+NFL!$F35="Washington",+NFL!#REF!,IF(+NFL!$H35="Washington",+NFL!#REF!,0))</f>
        <v>0</v>
      </c>
      <c r="AK593" s="379">
        <f>IF(+NFL!$F35="Washington",+NFL!#REF!,IF(+NFL!$H35="Washington",+NFL!#REF!,0))</f>
        <v>0</v>
      </c>
      <c r="AL593" s="68">
        <f>IF(+NFL!$F35="Washington",+NFL!#REF!,IF(+NFL!$H35="Washington",+NFL!#REF!,0))</f>
        <v>0</v>
      </c>
      <c r="AM593" s="58">
        <f>IF(+NFL!$F35="Washington",+NFL!#REF!,IF(+NFL!$H35="Washington",+NFL!#REF!,0))</f>
        <v>0</v>
      </c>
      <c r="AN593" s="57">
        <f>IF(+NFL!$F35="Washington",+NFL!#REF!,IF(+NFL!$H35="Washington",+NFL!#REF!,0))</f>
        <v>0</v>
      </c>
      <c r="AO593" s="59">
        <f>IF(+NFL!$F35="Washington",+NFL!#REF!,IF(+NFL!$H35="Washington",+NFL!#REF!,0))</f>
        <v>0</v>
      </c>
      <c r="AP593" s="348">
        <f>IF(+NFL!$F35="Washington",+NFL!#REF!,IF(+NFL!$H35="Washington",+NFL!#REF!,0))</f>
        <v>0</v>
      </c>
      <c r="AQ593" s="48">
        <f>IF(+NFL!$F35="Washington",+NFL!#REF!,IF(+NFL!$H35="Washington",+NFL!#REF!,0))</f>
        <v>0</v>
      </c>
      <c r="AR593" s="57">
        <f>IF(+NFL!$F35="Washington",+NFL!#REF!,IF(+NFL!$H35="Washington",+NFL!#REF!,0))</f>
        <v>0</v>
      </c>
      <c r="AS593" s="64">
        <f>IF(+NFL!$F35="Washington",+NFL!#REF!,IF(+NFL!$H35="Washington",+NFL!#REF!,0))</f>
        <v>0</v>
      </c>
      <c r="AT593" s="64">
        <f>IF(+NFL!$F35="Washington",+NFL!#REF!,IF(+NFL!$H35="Washington",+NFL!#REF!,0))</f>
        <v>0</v>
      </c>
      <c r="AU593" s="57">
        <f>IF(+NFL!$F35="Washington",+NFL!#REF!,IF(+NFL!$H35="Washington",+NFL!#REF!,0))</f>
        <v>0</v>
      </c>
      <c r="AV593" s="64">
        <f>IF(+NFL!$F35="Washington",+NFL!#REF!,IF(+NFL!$H35="Washington",+NFL!#REF!,0))</f>
        <v>0</v>
      </c>
      <c r="AW593" s="46">
        <f>IF(+NFL!$F35="Washington",+NFL!#REF!,IF(+NFL!$H35="Washington",+NFL!#REF!,0))</f>
        <v>0</v>
      </c>
      <c r="AX593" s="64">
        <f>IF(+NFL!$F35="Washington",+NFL!#REF!,IF(+NFL!$H35="Washington",+NFL!#REF!,0))</f>
        <v>0</v>
      </c>
      <c r="AY593" s="57">
        <f>IF(+NFL!$F35="Washington",+NFL!#REF!,IF(+NFL!$H35="Washington",+NFL!#REF!,0))</f>
        <v>0</v>
      </c>
      <c r="AZ593" s="64">
        <f>IF(+NFL!$F35="Washington",+NFL!#REF!,IF(+NFL!$H35="Washington",+NFL!#REF!,0))</f>
        <v>0</v>
      </c>
      <c r="BA593" s="46">
        <f>IF(+NFL!$F35="Washington",+NFL!#REF!,IF(+NFL!$H35="Washington",+NFL!#REF!,0))</f>
        <v>0</v>
      </c>
      <c r="BB593" s="46">
        <f>IF(+NFL!$F35="Washington",+NFL!#REF!,IF(+NFL!$H35="Washington",+NFL!#REF!,0))</f>
        <v>0</v>
      </c>
      <c r="BC593" s="403">
        <f>IF(+NFL!$F35="Washington",+NFL!#REF!,IF(+NFL!$H35="Washington",+NFL!#REF!,0))</f>
        <v>0</v>
      </c>
      <c r="BD593" s="57">
        <f>IF(+NFL!$F35="Washington",+NFL!#REF!,IF(+NFL!$H35="Washington",+NFL!#REF!,0))</f>
        <v>0</v>
      </c>
      <c r="BE593" s="64">
        <f>IF(+NFL!$F35="Washington",+NFL!#REF!,IF(+NFL!$H35="Washington",+NFL!#REF!,0))</f>
        <v>0</v>
      </c>
      <c r="BF593" s="46">
        <f>IF(+NFL!$F35="Washington",+NFL!#REF!,IF(+NFL!$H35="Washington",+NFL!#REF!,0))</f>
        <v>0</v>
      </c>
      <c r="BG593" s="57">
        <f>IF(+NFL!$F35="Washington",+NFL!#REF!,IF(+NFL!$H35="Washington",+NFL!#REF!,0))</f>
        <v>0</v>
      </c>
      <c r="BH593" s="64">
        <f>IF(+NFL!$F35="Washington",+NFL!#REF!,IF(+NFL!$H35="Washington",+NFL!#REF!,0))</f>
        <v>0</v>
      </c>
      <c r="BI593" s="46">
        <f>IF(+NFL!$F35="Washington",+NFL!#REF!,IF(+NFL!$H35="Washington",+NFL!#REF!,0))</f>
        <v>0</v>
      </c>
      <c r="BJ593" s="87">
        <f>IF(+NFL!$F35="Washington",+NFL!#REF!,IF(+NFL!$H35="Washington",+NFL!#REF!,0))</f>
        <v>0</v>
      </c>
      <c r="BK593" s="120">
        <f>IF(+NFL!$F35="Washington",+NFL!#REF!,IF(+NFL!$H35="Washington",+NFL!#REF!,0))</f>
        <v>0</v>
      </c>
    </row>
    <row r="594" spans="1:63" s="246" customFormat="1" x14ac:dyDescent="0.8">
      <c r="A594" s="46">
        <f>IF(+NFL!$F81="Washington",+NFL!A81,IF(+NFL!$H81="Washington",+NFL!A81,0))</f>
        <v>5</v>
      </c>
      <c r="B594" s="348" t="str">
        <f>IF(+NFL!$F81="Washington",+NFL!B81,IF(+NFL!$H81="Washington",+NFL!B81,0))</f>
        <v>Sun</v>
      </c>
      <c r="C594" s="48">
        <f>IF(+NFL!$F81="Washington",+NFL!C81,IF(+NFL!$H81="Washington",+NFL!C81,0))</f>
        <v>44843</v>
      </c>
      <c r="D594" s="490">
        <f>IF(+NFL!$F81="Washington",+NFL!D81,IF(+NFL!$H81="Washington",+NFL!D81,0))</f>
        <v>0.54166666666666663</v>
      </c>
      <c r="E594" s="46" t="str">
        <f>IF(+NFL!$F81="Washington",+NFL!E81,IF(+NFL!$H81="Washington",+NFL!E81,0))</f>
        <v>CBS</v>
      </c>
      <c r="F594" s="127" t="str">
        <f>IF(+NFL!$F81="Washington",+NFL!F81,IF(+NFL!$H81="Washington",+NFL!F81,0))</f>
        <v>Tennessee</v>
      </c>
      <c r="G594" s="46" t="str">
        <f>IF(+NFL!$F81="Washington",+NFL!G81,IF(+NFL!$H81="Washington",+NFL!G81,0))</f>
        <v>AFCS</v>
      </c>
      <c r="H594" s="127" t="str">
        <f>IF(+NFL!$F81="Washington",+NFL!H81,IF(+NFL!$H81="Washington",+NFL!H81,0))</f>
        <v>Washington</v>
      </c>
      <c r="I594" s="46" t="str">
        <f>IF(+NFL!$F81="Washington",+NFL!I81,IF(+NFL!$H81="Washington",+NFL!I81,0))</f>
        <v>NFCE</v>
      </c>
      <c r="J594" s="353" t="str">
        <f>IF(+NFL!$F81="Washington",+NFL!J81,IF(+NFL!$H81="Washington",+NFL!J81,0))</f>
        <v>Tennessee</v>
      </c>
      <c r="K594" s="494" t="str">
        <f>IF(+NFL!$F81="Washington",+NFL!K81,IF(+NFL!$H81="Washington",+NFL!K81,0))</f>
        <v>Washington</v>
      </c>
      <c r="L594" s="384">
        <f>IF(+NFL!$F81="Washington",+NFL!L81,IF(+NFL!$H81="Washington",+NFL!L81,0))</f>
        <v>2.5</v>
      </c>
      <c r="M594" s="385">
        <f>IF(+NFL!$F81="Washington",+NFL!M81,IF(+NFL!$H81="Washington",+NFL!M81,0))</f>
        <v>42.5</v>
      </c>
      <c r="N594" s="394" t="str">
        <f>IF(+NFL!$F81="Washington",+NFL!N81,IF(+NFL!$H81="Washington",+NFL!N81,0))</f>
        <v>Tennessee</v>
      </c>
      <c r="O594" s="395">
        <f>IF(+NFL!$F81="Washington",+NFL!O81,IF(+NFL!$H81="Washington",+NFL!O81,0))</f>
        <v>21</v>
      </c>
      <c r="P594" s="394" t="str">
        <f>IF(+NFL!$F81="Washington",+NFL!P81,IF(+NFL!$H81="Washington",+NFL!P81,0))</f>
        <v>Washington</v>
      </c>
      <c r="Q594" s="396">
        <f>IF(+NFL!$F81="Washington",+NFL!Q81,IF(+NFL!$H81="Washington",+NFL!Q81,0))</f>
        <v>17</v>
      </c>
      <c r="R594" s="397" t="str">
        <f>IF(+NFL!$F81="Washington",+NFL!R81,IF(+NFL!$H81="Washington",+NFL!R81,0))</f>
        <v>Tennessee</v>
      </c>
      <c r="S594" s="396" t="str">
        <f>IF(+NFL!$F81="Washington",+NFL!S81,IF(+NFL!$H81="Washington",+NFL!S81,0))</f>
        <v>Washington</v>
      </c>
      <c r="T594" s="398" t="str">
        <f>IF(+NFL!$F81="Washington",+NFL!T81,IF(+NFL!$H81="Washington",+NFL!T81,0))</f>
        <v>Tennessee</v>
      </c>
      <c r="U594" s="396" t="str">
        <f>IF(+NFL!$F81="Washington",+NFL!U81,IF(+NFL!$H81="Washington",+NFL!U81,0))</f>
        <v>W</v>
      </c>
      <c r="V594" s="397">
        <f>IF(+NFL!$F65="Washington",+NFL!#REF!,IF(+NFL!$H65="Washington",+NFL!#REF!,0))</f>
        <v>0</v>
      </c>
      <c r="W594" s="396">
        <f>IF(+NFL!$F65="Washington",+NFL!#REF!,IF(+NFL!$H65="Washington",+NFL!#REF!,0))</f>
        <v>0</v>
      </c>
      <c r="X594" s="398">
        <f>IF(+NFL!$F65="Washington",+NFL!#REF!,IF(+NFL!$H65="Washington",+NFL!#REF!,0))</f>
        <v>0</v>
      </c>
      <c r="Y594" s="396">
        <f>IF(+NFL!$F65="Washington",+NFL!#REF!,IF(+NFL!$H65="Washington",+NFL!#REF!,0))</f>
        <v>0</v>
      </c>
      <c r="Z594" s="397">
        <f>IF(+NFL!$F65="Washington",+NFL!#REF!,IF(+NFL!$H65="Washington",+NFL!#REF!,0))</f>
        <v>0</v>
      </c>
      <c r="AA594" s="396">
        <f>IF(+NFL!$F65="Washington",+NFL!#REF!,IF(+NFL!$H65="Washington",+NFL!#REF!,0))</f>
        <v>0</v>
      </c>
      <c r="AB594" s="87">
        <f>IF(+NFL!$F65="Washington",+NFL!#REF!,IF(+NFL!$H65="Washington",+NFL!#REF!,0))</f>
        <v>0</v>
      </c>
      <c r="AC594" s="120">
        <f>IF(+NFL!$F65="Washington",+NFL!#REF!,IF(+NFL!$H65="Washington",+NFL!#REF!,0))</f>
        <v>0</v>
      </c>
      <c r="AD594" s="353">
        <f>IF(+NFL!$F65="Washington",+NFL!#REF!,IF(+NFL!$H65="Washington",+NFL!#REF!,0))</f>
        <v>0</v>
      </c>
      <c r="AE594" s="379">
        <f>IF(+NFL!$F65="Washington",+NFL!#REF!,IF(+NFL!$H65="Washington",+NFL!#REF!,0))</f>
        <v>0</v>
      </c>
      <c r="AF594" s="353">
        <f>IF(+NFL!$F65="Washington",+NFL!#REF!,IF(+NFL!$H65="Washington",+NFL!#REF!,0))</f>
        <v>0</v>
      </c>
      <c r="AG594" s="379">
        <f>IF(+NFL!$F65="Washington",+NFL!#REF!,IF(+NFL!$H65="Washington",+NFL!#REF!,0))</f>
        <v>0</v>
      </c>
      <c r="AH594" s="353">
        <f>IF(+NFL!$F65="Washington",+NFL!#REF!,IF(+NFL!$H65="Washington",+NFL!#REF!,0))</f>
        <v>0</v>
      </c>
      <c r="AI594" s="379">
        <f>IF(+NFL!$F65="Washington",+NFL!#REF!,IF(+NFL!$H65="Washington",+NFL!#REF!,0))</f>
        <v>0</v>
      </c>
      <c r="AJ594" s="353">
        <f>IF(+NFL!$F65="Washington",+NFL!#REF!,IF(+NFL!$H65="Washington",+NFL!#REF!,0))</f>
        <v>0</v>
      </c>
      <c r="AK594" s="379">
        <f>IF(+NFL!$F65="Washington",+NFL!#REF!,IF(+NFL!$H65="Washington",+NFL!#REF!,0))</f>
        <v>0</v>
      </c>
      <c r="AL594" s="68">
        <f>IF(+NFL!$F65="Washington",+NFL!#REF!,IF(+NFL!$H65="Washington",+NFL!#REF!,0))</f>
        <v>0</v>
      </c>
      <c r="AM594" s="58">
        <f>IF(+NFL!$F65="Washington",+NFL!#REF!,IF(+NFL!$H65="Washington",+NFL!#REF!,0))</f>
        <v>0</v>
      </c>
      <c r="AN594" s="57">
        <f>IF(+NFL!$F65="Washington",+NFL!#REF!,IF(+NFL!$H65="Washington",+NFL!#REF!,0))</f>
        <v>0</v>
      </c>
      <c r="AO594" s="59">
        <f>IF(+NFL!$F65="Washington",+NFL!#REF!,IF(+NFL!$H65="Washington",+NFL!#REF!,0))</f>
        <v>0</v>
      </c>
      <c r="AP594" s="348">
        <f>IF(+NFL!$F65="Washington",+NFL!#REF!,IF(+NFL!$H65="Washington",+NFL!#REF!,0))</f>
        <v>0</v>
      </c>
      <c r="AQ594" s="48">
        <f>IF(+NFL!$F65="Washington",+NFL!#REF!,IF(+NFL!$H65="Washington",+NFL!#REF!,0))</f>
        <v>0</v>
      </c>
      <c r="AR594" s="57">
        <f>IF(+NFL!$F65="Washington",+NFL!#REF!,IF(+NFL!$H65="Washington",+NFL!#REF!,0))</f>
        <v>0</v>
      </c>
      <c r="AS594" s="64">
        <f>IF(+NFL!$F65="Washington",+NFL!#REF!,IF(+NFL!$H65="Washington",+NFL!#REF!,0))</f>
        <v>0</v>
      </c>
      <c r="AT594" s="64">
        <f>IF(+NFL!$F65="Washington",+NFL!#REF!,IF(+NFL!$H65="Washington",+NFL!#REF!,0))</f>
        <v>0</v>
      </c>
      <c r="AU594" s="57">
        <f>IF(+NFL!$F65="Washington",+NFL!#REF!,IF(+NFL!$H65="Washington",+NFL!#REF!,0))</f>
        <v>0</v>
      </c>
      <c r="AV594" s="64">
        <f>IF(+NFL!$F65="Washington",+NFL!#REF!,IF(+NFL!$H65="Washington",+NFL!#REF!,0))</f>
        <v>0</v>
      </c>
      <c r="AW594" s="46">
        <f>IF(+NFL!$F65="Washington",+NFL!#REF!,IF(+NFL!$H65="Washington",+NFL!#REF!,0))</f>
        <v>0</v>
      </c>
      <c r="AX594" s="64">
        <f>IF(+NFL!$F65="Washington",+NFL!#REF!,IF(+NFL!$H65="Washington",+NFL!#REF!,0))</f>
        <v>0</v>
      </c>
      <c r="AY594" s="57">
        <f>IF(+NFL!$F65="Washington",+NFL!#REF!,IF(+NFL!$H65="Washington",+NFL!#REF!,0))</f>
        <v>0</v>
      </c>
      <c r="AZ594" s="64">
        <f>IF(+NFL!$F65="Washington",+NFL!#REF!,IF(+NFL!$H65="Washington",+NFL!#REF!,0))</f>
        <v>0</v>
      </c>
      <c r="BA594" s="46">
        <f>IF(+NFL!$F65="Washington",+NFL!#REF!,IF(+NFL!$H65="Washington",+NFL!#REF!,0))</f>
        <v>0</v>
      </c>
      <c r="BB594" s="46">
        <f>IF(+NFL!$F65="Washington",+NFL!#REF!,IF(+NFL!$H65="Washington",+NFL!#REF!,0))</f>
        <v>0</v>
      </c>
      <c r="BC594" s="403">
        <f>IF(+NFL!$F65="Washington",+NFL!#REF!,IF(+NFL!$H65="Washington",+NFL!#REF!,0))</f>
        <v>0</v>
      </c>
      <c r="BD594" s="57">
        <f>IF(+NFL!$F65="Washington",+NFL!#REF!,IF(+NFL!$H65="Washington",+NFL!#REF!,0))</f>
        <v>0</v>
      </c>
      <c r="BE594" s="64">
        <f>IF(+NFL!$F65="Washington",+NFL!#REF!,IF(+NFL!$H65="Washington",+NFL!#REF!,0))</f>
        <v>0</v>
      </c>
      <c r="BF594" s="46">
        <f>IF(+NFL!$F65="Washington",+NFL!#REF!,IF(+NFL!$H65="Washington",+NFL!#REF!,0))</f>
        <v>0</v>
      </c>
      <c r="BG594" s="57">
        <f>IF(+NFL!$F65="Washington",+NFL!#REF!,IF(+NFL!$H65="Washington",+NFL!#REF!,0))</f>
        <v>0</v>
      </c>
      <c r="BH594" s="64">
        <f>IF(+NFL!$F65="Washington",+NFL!#REF!,IF(+NFL!$H65="Washington",+NFL!#REF!,0))</f>
        <v>0</v>
      </c>
      <c r="BI594" s="46">
        <f>IF(+NFL!$F65="Washington",+NFL!#REF!,IF(+NFL!$H65="Washington",+NFL!#REF!,0))</f>
        <v>0</v>
      </c>
      <c r="BJ594" s="87">
        <f>IF(+NFL!$F65="Washington",+NFL!#REF!,IF(+NFL!$H65="Washington",+NFL!#REF!,0))</f>
        <v>0</v>
      </c>
      <c r="BK594" s="120">
        <f>IF(+NFL!$F65="Washington",+NFL!#REF!,IF(+NFL!$H65="Washington",+NFL!#REF!,0))</f>
        <v>0</v>
      </c>
    </row>
    <row r="595" spans="1:63" s="246" customFormat="1" x14ac:dyDescent="0.8">
      <c r="A595" s="46">
        <f>IF(+NFL!$F89="Washington",+NFL!A89,IF(+NFL!$H89="Washington",+NFL!A89,0))</f>
        <v>6</v>
      </c>
      <c r="B595" s="348" t="str">
        <f>IF(+NFL!$F89="Washington",+NFL!B89,IF(+NFL!$H89="Washington",+NFL!B89,0))</f>
        <v>Thurs</v>
      </c>
      <c r="C595" s="48">
        <f>IF(+NFL!$F89="Washington",+NFL!C89,IF(+NFL!$H89="Washington",+NFL!C89,0))</f>
        <v>44847</v>
      </c>
      <c r="D595" s="490">
        <f>IF(+NFL!$F89="Washington",+NFL!D89,IF(+NFL!$H89="Washington",+NFL!D89,0))</f>
        <v>0.84375</v>
      </c>
      <c r="E595" s="46" t="str">
        <f>IF(+NFL!$F89="Washington",+NFL!E89,IF(+NFL!$H89="Washington",+NFL!E89,0))</f>
        <v>NBC</v>
      </c>
      <c r="F595" s="127" t="str">
        <f>IF(+NFL!$F89="Washington",+NFL!F89,IF(+NFL!$H89="Washington",+NFL!F89,0))</f>
        <v>Washington</v>
      </c>
      <c r="G595" s="46" t="str">
        <f>IF(+NFL!$F89="Washington",+NFL!G89,IF(+NFL!$H89="Washington",+NFL!G89,0))</f>
        <v>NFCE</v>
      </c>
      <c r="H595" s="127" t="str">
        <f>IF(+NFL!$F89="Washington",+NFL!H89,IF(+NFL!$H89="Washington",+NFL!H89,0))</f>
        <v>Chicago</v>
      </c>
      <c r="I595" s="46" t="str">
        <f>IF(+NFL!$F89="Washington",+NFL!I89,IF(+NFL!$H89="Washington",+NFL!I89,0))</f>
        <v>NFCN</v>
      </c>
      <c r="J595" s="353" t="str">
        <f>IF(+NFL!$F89="Washington",+NFL!J89,IF(+NFL!$H89="Washington",+NFL!J89,0))</f>
        <v>Washington</v>
      </c>
      <c r="K595" s="494" t="str">
        <f>IF(+NFL!$F89="Washington",+NFL!K89,IF(+NFL!$H89="Washington",+NFL!K89,0))</f>
        <v>Chicago</v>
      </c>
      <c r="L595" s="384">
        <f>IF(+NFL!$F89="Washington",+NFL!L89,IF(+NFL!$H89="Washington",+NFL!L89,0))</f>
        <v>1</v>
      </c>
      <c r="M595" s="385">
        <f>IF(+NFL!$F89="Washington",+NFL!M89,IF(+NFL!$H89="Washington",+NFL!M89,0))</f>
        <v>38</v>
      </c>
      <c r="N595" s="394" t="str">
        <f>IF(+NFL!$F89="Washington",+NFL!N89,IF(+NFL!$H89="Washington",+NFL!N89,0))</f>
        <v>Washington</v>
      </c>
      <c r="O595" s="395">
        <f>IF(+NFL!$F89="Washington",+NFL!O89,IF(+NFL!$H89="Washington",+NFL!O89,0))</f>
        <v>12</v>
      </c>
      <c r="P595" s="394" t="str">
        <f>IF(+NFL!$F89="Washington",+NFL!P89,IF(+NFL!$H89="Washington",+NFL!P89,0))</f>
        <v>Chicago</v>
      </c>
      <c r="Q595" s="396">
        <f>IF(+NFL!$F89="Washington",+NFL!Q89,IF(+NFL!$H89="Washington",+NFL!Q89,0))</f>
        <v>7</v>
      </c>
      <c r="R595" s="397" t="str">
        <f>IF(+NFL!$F89="Washington",+NFL!R89,IF(+NFL!$H89="Washington",+NFL!R89,0))</f>
        <v>Washington</v>
      </c>
      <c r="S595" s="396" t="str">
        <f>IF(+NFL!$F89="Washington",+NFL!S89,IF(+NFL!$H89="Washington",+NFL!S89,0))</f>
        <v>Chicago</v>
      </c>
      <c r="T595" s="398" t="str">
        <f>IF(+NFL!$F89="Washington",+NFL!T89,IF(+NFL!$H89="Washington",+NFL!T89,0))</f>
        <v>Washington</v>
      </c>
      <c r="U595" s="396" t="str">
        <f>IF(+NFL!$F89="Washington",+NFL!U89,IF(+NFL!$H89="Washington",+NFL!U89,0))</f>
        <v>W</v>
      </c>
      <c r="V595" s="397">
        <f>IF(+NFL!$F75="Washington",+NFL!#REF!,IF(+NFL!$H75="Washington",+NFL!#REF!,0))</f>
        <v>0</v>
      </c>
      <c r="W595" s="396">
        <f>IF(+NFL!$F75="Washington",+NFL!#REF!,IF(+NFL!$H75="Washington",+NFL!#REF!,0))</f>
        <v>0</v>
      </c>
      <c r="X595" s="398">
        <f>IF(+NFL!$F75="Washington",+NFL!#REF!,IF(+NFL!$H75="Washington",+NFL!#REF!,0))</f>
        <v>0</v>
      </c>
      <c r="Y595" s="396">
        <f>IF(+NFL!$F75="Washington",+NFL!#REF!,IF(+NFL!$H75="Washington",+NFL!#REF!,0))</f>
        <v>0</v>
      </c>
      <c r="Z595" s="397">
        <f>IF(+NFL!$F75="Washington",+NFL!#REF!,IF(+NFL!$H75="Washington",+NFL!#REF!,0))</f>
        <v>0</v>
      </c>
      <c r="AA595" s="396">
        <f>IF(+NFL!$F75="Washington",+NFL!#REF!,IF(+NFL!$H75="Washington",+NFL!#REF!,0))</f>
        <v>0</v>
      </c>
      <c r="AB595" s="87">
        <f>IF(+NFL!$F75="Washington",+NFL!#REF!,IF(+NFL!$H75="Washington",+NFL!#REF!,0))</f>
        <v>0</v>
      </c>
      <c r="AC595" s="120">
        <f>IF(+NFL!$F75="Washington",+NFL!#REF!,IF(+NFL!$H75="Washington",+NFL!#REF!,0))</f>
        <v>0</v>
      </c>
      <c r="AD595" s="353">
        <f>IF(+NFL!$F75="Washington",+NFL!#REF!,IF(+NFL!$H75="Washington",+NFL!#REF!,0))</f>
        <v>0</v>
      </c>
      <c r="AE595" s="379">
        <f>IF(+NFL!$F75="Washington",+NFL!#REF!,IF(+NFL!$H75="Washington",+NFL!#REF!,0))</f>
        <v>0</v>
      </c>
      <c r="AF595" s="353">
        <f>IF(+NFL!$F75="Washington",+NFL!#REF!,IF(+NFL!$H75="Washington",+NFL!#REF!,0))</f>
        <v>0</v>
      </c>
      <c r="AG595" s="379">
        <f>IF(+NFL!$F75="Washington",+NFL!#REF!,IF(+NFL!$H75="Washington",+NFL!#REF!,0))</f>
        <v>0</v>
      </c>
      <c r="AH595" s="353">
        <f>IF(+NFL!$F75="Washington",+NFL!#REF!,IF(+NFL!$H75="Washington",+NFL!#REF!,0))</f>
        <v>0</v>
      </c>
      <c r="AI595" s="379">
        <f>IF(+NFL!$F75="Washington",+NFL!#REF!,IF(+NFL!$H75="Washington",+NFL!#REF!,0))</f>
        <v>0</v>
      </c>
      <c r="AJ595" s="353">
        <f>IF(+NFL!$F75="Washington",+NFL!#REF!,IF(+NFL!$H75="Washington",+NFL!#REF!,0))</f>
        <v>0</v>
      </c>
      <c r="AK595" s="379">
        <f>IF(+NFL!$F75="Washington",+NFL!#REF!,IF(+NFL!$H75="Washington",+NFL!#REF!,0))</f>
        <v>0</v>
      </c>
      <c r="AL595" s="68">
        <f>IF(+NFL!$F75="Washington",+NFL!#REF!,IF(+NFL!$H75="Washington",+NFL!#REF!,0))</f>
        <v>0</v>
      </c>
      <c r="AM595" s="58">
        <f>IF(+NFL!$F75="Washington",+NFL!#REF!,IF(+NFL!$H75="Washington",+NFL!#REF!,0))</f>
        <v>0</v>
      </c>
      <c r="AN595" s="57">
        <f>IF(+NFL!$F75="Washington",+NFL!#REF!,IF(+NFL!$H75="Washington",+NFL!#REF!,0))</f>
        <v>0</v>
      </c>
      <c r="AO595" s="59">
        <f>IF(+NFL!$F75="Washington",+NFL!#REF!,IF(+NFL!$H75="Washington",+NFL!#REF!,0))</f>
        <v>0</v>
      </c>
      <c r="AP595" s="348">
        <f>IF(+NFL!$F75="Washington",+NFL!#REF!,IF(+NFL!$H75="Washington",+NFL!#REF!,0))</f>
        <v>0</v>
      </c>
      <c r="AQ595" s="48">
        <f>IF(+NFL!$F75="Washington",+NFL!#REF!,IF(+NFL!$H75="Washington",+NFL!#REF!,0))</f>
        <v>0</v>
      </c>
      <c r="AR595" s="57">
        <f>IF(+NFL!$F75="Washington",+NFL!#REF!,IF(+NFL!$H75="Washington",+NFL!#REF!,0))</f>
        <v>0</v>
      </c>
      <c r="AS595" s="64">
        <f>IF(+NFL!$F75="Washington",+NFL!#REF!,IF(+NFL!$H75="Washington",+NFL!#REF!,0))</f>
        <v>0</v>
      </c>
      <c r="AT595" s="64">
        <f>IF(+NFL!$F75="Washington",+NFL!#REF!,IF(+NFL!$H75="Washington",+NFL!#REF!,0))</f>
        <v>0</v>
      </c>
      <c r="AU595" s="57">
        <f>IF(+NFL!$F75="Washington",+NFL!#REF!,IF(+NFL!$H75="Washington",+NFL!#REF!,0))</f>
        <v>0</v>
      </c>
      <c r="AV595" s="64">
        <f>IF(+NFL!$F75="Washington",+NFL!#REF!,IF(+NFL!$H75="Washington",+NFL!#REF!,0))</f>
        <v>0</v>
      </c>
      <c r="AW595" s="46">
        <f>IF(+NFL!$F75="Washington",+NFL!#REF!,IF(+NFL!$H75="Washington",+NFL!#REF!,0))</f>
        <v>0</v>
      </c>
      <c r="AX595" s="64">
        <f>IF(+NFL!$F75="Washington",+NFL!#REF!,IF(+NFL!$H75="Washington",+NFL!#REF!,0))</f>
        <v>0</v>
      </c>
      <c r="AY595" s="57">
        <f>IF(+NFL!$F75="Washington",+NFL!#REF!,IF(+NFL!$H75="Washington",+NFL!#REF!,0))</f>
        <v>0</v>
      </c>
      <c r="AZ595" s="64">
        <f>IF(+NFL!$F75="Washington",+NFL!#REF!,IF(+NFL!$H75="Washington",+NFL!#REF!,0))</f>
        <v>0</v>
      </c>
      <c r="BA595" s="46">
        <f>IF(+NFL!$F75="Washington",+NFL!#REF!,IF(+NFL!$H75="Washington",+NFL!#REF!,0))</f>
        <v>0</v>
      </c>
      <c r="BB595" s="46">
        <f>IF(+NFL!$F75="Washington",+NFL!#REF!,IF(+NFL!$H75="Washington",+NFL!#REF!,0))</f>
        <v>0</v>
      </c>
      <c r="BC595" s="403">
        <f>IF(+NFL!$F75="Washington",+NFL!#REF!,IF(+NFL!$H75="Washington",+NFL!#REF!,0))</f>
        <v>0</v>
      </c>
      <c r="BD595" s="57">
        <f>IF(+NFL!$F75="Washington",+NFL!#REF!,IF(+NFL!$H75="Washington",+NFL!#REF!,0))</f>
        <v>0</v>
      </c>
      <c r="BE595" s="64">
        <f>IF(+NFL!$F75="Washington",+NFL!#REF!,IF(+NFL!$H75="Washington",+NFL!#REF!,0))</f>
        <v>0</v>
      </c>
      <c r="BF595" s="46">
        <f>IF(+NFL!$F75="Washington",+NFL!#REF!,IF(+NFL!$H75="Washington",+NFL!#REF!,0))</f>
        <v>0</v>
      </c>
      <c r="BG595" s="57">
        <f>IF(+NFL!$F75="Washington",+NFL!#REF!,IF(+NFL!$H75="Washington",+NFL!#REF!,0))</f>
        <v>0</v>
      </c>
      <c r="BH595" s="64">
        <f>IF(+NFL!$F75="Washington",+NFL!#REF!,IF(+NFL!$H75="Washington",+NFL!#REF!,0))</f>
        <v>0</v>
      </c>
      <c r="BI595" s="46">
        <f>IF(+NFL!$F75="Washington",+NFL!#REF!,IF(+NFL!$H75="Washington",+NFL!#REF!,0))</f>
        <v>0</v>
      </c>
      <c r="BJ595" s="87">
        <f>IF(+NFL!$F75="Washington",+NFL!#REF!,IF(+NFL!$H75="Washington",+NFL!#REF!,0))</f>
        <v>0</v>
      </c>
      <c r="BK595" s="120">
        <f>IF(+NFL!$F75="Washington",+NFL!#REF!,IF(+NFL!$H75="Washington",+NFL!#REF!,0))</f>
        <v>0</v>
      </c>
    </row>
    <row r="596" spans="1:63" s="246" customFormat="1" x14ac:dyDescent="0.8">
      <c r="A596" s="46">
        <f>IF(+NFL!$F113="Washington",+NFL!A113,IF(+NFL!$H113="Washington",+NFL!A113,0))</f>
        <v>7</v>
      </c>
      <c r="B596" s="348" t="str">
        <f>IF(+NFL!$F113="Washington",+NFL!B113,IF(+NFL!$H113="Washington",+NFL!B113,0))</f>
        <v>Sun</v>
      </c>
      <c r="C596" s="48">
        <f>IF(+NFL!$F113="Washington",+NFL!C113,IF(+NFL!$H113="Washington",+NFL!C113,0))</f>
        <v>44857</v>
      </c>
      <c r="D596" s="490">
        <f>IF(+NFL!$F113="Washington",+NFL!D113,IF(+NFL!$H113="Washington",+NFL!D113,0))</f>
        <v>0.54166666666666663</v>
      </c>
      <c r="E596" s="46" t="str">
        <f>IF(+NFL!$F113="Washington",+NFL!E113,IF(+NFL!$H113="Washington",+NFL!E113,0))</f>
        <v>Fox</v>
      </c>
      <c r="F596" s="127" t="str">
        <f>IF(+NFL!$F113="Washington",+NFL!F113,IF(+NFL!$H113="Washington",+NFL!F113,0))</f>
        <v>Green Bay</v>
      </c>
      <c r="G596" s="46" t="str">
        <f>IF(+NFL!$F113="Washington",+NFL!G113,IF(+NFL!$H113="Washington",+NFL!G113,0))</f>
        <v>NFCN</v>
      </c>
      <c r="H596" s="127" t="str">
        <f>IF(+NFL!$F113="Washington",+NFL!H113,IF(+NFL!$H113="Washington",+NFL!H113,0))</f>
        <v>Washington</v>
      </c>
      <c r="I596" s="46" t="str">
        <f>IF(+NFL!$F113="Washington",+NFL!I113,IF(+NFL!$H113="Washington",+NFL!I113,0))</f>
        <v>NFCE</v>
      </c>
      <c r="J596" s="353" t="str">
        <f>IF(+NFL!$F113="Washington",+NFL!J113,IF(+NFL!$H113="Washington",+NFL!J113,0))</f>
        <v>Green Bay</v>
      </c>
      <c r="K596" s="494" t="str">
        <f>IF(+NFL!$F113="Washington",+NFL!K113,IF(+NFL!$H113="Washington",+NFL!K113,0))</f>
        <v>Washington</v>
      </c>
      <c r="L596" s="384">
        <f>IF(+NFL!$F113="Washington",+NFL!L113,IF(+NFL!$H113="Washington",+NFL!L113,0))</f>
        <v>5</v>
      </c>
      <c r="M596" s="385">
        <f>IF(+NFL!$F113="Washington",+NFL!M113,IF(+NFL!$H113="Washington",+NFL!M113,0))</f>
        <v>42</v>
      </c>
      <c r="N596" s="394" t="str">
        <f>IF(+NFL!$F113="Washington",+NFL!N113,IF(+NFL!$H113="Washington",+NFL!N113,0))</f>
        <v>Washington</v>
      </c>
      <c r="O596" s="395">
        <f>IF(+NFL!$F113="Washington",+NFL!O113,IF(+NFL!$H113="Washington",+NFL!O113,0))</f>
        <v>23</v>
      </c>
      <c r="P596" s="394" t="str">
        <f>IF(+NFL!$F113="Washington",+NFL!P113,IF(+NFL!$H113="Washington",+NFL!P113,0))</f>
        <v>Green Bay</v>
      </c>
      <c r="Q596" s="396">
        <f>IF(+NFL!$F113="Washington",+NFL!Q113,IF(+NFL!$H113="Washington",+NFL!Q113,0))</f>
        <v>21</v>
      </c>
      <c r="R596" s="397" t="str">
        <f>IF(+NFL!$F113="Washington",+NFL!R113,IF(+NFL!$H113="Washington",+NFL!R113,0))</f>
        <v>Washington</v>
      </c>
      <c r="S596" s="396" t="str">
        <f>IF(+NFL!$F113="Washington",+NFL!S113,IF(+NFL!$H113="Washington",+NFL!S113,0))</f>
        <v>Green Bay</v>
      </c>
      <c r="T596" s="398" t="str">
        <f>IF(+NFL!$F113="Washington",+NFL!T113,IF(+NFL!$H113="Washington",+NFL!T113,0))</f>
        <v>Green Bay</v>
      </c>
      <c r="U596" s="396" t="str">
        <f>IF(+NFL!$F113="Washington",+NFL!U113,IF(+NFL!$H113="Washington",+NFL!U113,0))</f>
        <v>L</v>
      </c>
      <c r="V596" s="397">
        <f>IF(+NFL!$F95="Washington",+NFL!#REF!,IF(+NFL!$H95="Washington",+NFL!#REF!,0))</f>
        <v>0</v>
      </c>
      <c r="W596" s="396">
        <f>IF(+NFL!$F95="Washington",+NFL!#REF!,IF(+NFL!$H95="Washington",+NFL!#REF!,0))</f>
        <v>0</v>
      </c>
      <c r="X596" s="398">
        <f>IF(+NFL!$F95="Washington",+NFL!#REF!,IF(+NFL!$H95="Washington",+NFL!#REF!,0))</f>
        <v>0</v>
      </c>
      <c r="Y596" s="396">
        <f>IF(+NFL!$F95="Washington",+NFL!#REF!,IF(+NFL!$H95="Washington",+NFL!#REF!,0))</f>
        <v>0</v>
      </c>
      <c r="Z596" s="397">
        <f>IF(+NFL!$F95="Washington",+NFL!#REF!,IF(+NFL!$H95="Washington",+NFL!#REF!,0))</f>
        <v>0</v>
      </c>
      <c r="AA596" s="396">
        <f>IF(+NFL!$F95="Washington",+NFL!#REF!,IF(+NFL!$H95="Washington",+NFL!#REF!,0))</f>
        <v>0</v>
      </c>
      <c r="AB596" s="87">
        <f>IF(+NFL!$F95="Washington",+NFL!#REF!,IF(+NFL!$H95="Washington",+NFL!#REF!,0))</f>
        <v>0</v>
      </c>
      <c r="AC596" s="120">
        <f>IF(+NFL!$F95="Washington",+NFL!#REF!,IF(+NFL!$H95="Washington",+NFL!#REF!,0))</f>
        <v>0</v>
      </c>
      <c r="AD596" s="353">
        <f>IF(+NFL!$F95="Washington",+NFL!#REF!,IF(+NFL!$H95="Washington",+NFL!#REF!,0))</f>
        <v>0</v>
      </c>
      <c r="AE596" s="379">
        <f>IF(+NFL!$F95="Washington",+NFL!#REF!,IF(+NFL!$H95="Washington",+NFL!#REF!,0))</f>
        <v>0</v>
      </c>
      <c r="AF596" s="353">
        <f>IF(+NFL!$F95="Washington",+NFL!#REF!,IF(+NFL!$H95="Washington",+NFL!#REF!,0))</f>
        <v>0</v>
      </c>
      <c r="AG596" s="379">
        <f>IF(+NFL!$F95="Washington",+NFL!#REF!,IF(+NFL!$H95="Washington",+NFL!#REF!,0))</f>
        <v>0</v>
      </c>
      <c r="AH596" s="353">
        <f>IF(+NFL!$F95="Washington",+NFL!#REF!,IF(+NFL!$H95="Washington",+NFL!#REF!,0))</f>
        <v>0</v>
      </c>
      <c r="AI596" s="379">
        <f>IF(+NFL!$F95="Washington",+NFL!#REF!,IF(+NFL!$H95="Washington",+NFL!#REF!,0))</f>
        <v>0</v>
      </c>
      <c r="AJ596" s="353">
        <f>IF(+NFL!$F95="Washington",+NFL!#REF!,IF(+NFL!$H95="Washington",+NFL!#REF!,0))</f>
        <v>0</v>
      </c>
      <c r="AK596" s="379">
        <f>IF(+NFL!$F95="Washington",+NFL!#REF!,IF(+NFL!$H95="Washington",+NFL!#REF!,0))</f>
        <v>0</v>
      </c>
      <c r="AL596" s="68">
        <f>IF(+NFL!$F95="Washington",+NFL!#REF!,IF(+NFL!$H95="Washington",+NFL!#REF!,0))</f>
        <v>0</v>
      </c>
      <c r="AM596" s="58">
        <f>IF(+NFL!$F95="Washington",+NFL!#REF!,IF(+NFL!$H95="Washington",+NFL!#REF!,0))</f>
        <v>0</v>
      </c>
      <c r="AN596" s="57">
        <f>IF(+NFL!$F95="Washington",+NFL!#REF!,IF(+NFL!$H95="Washington",+NFL!#REF!,0))</f>
        <v>0</v>
      </c>
      <c r="AO596" s="59">
        <f>IF(+NFL!$F95="Washington",+NFL!#REF!,IF(+NFL!$H95="Washington",+NFL!#REF!,0))</f>
        <v>0</v>
      </c>
      <c r="AP596" s="348">
        <f>IF(+NFL!$F95="Washington",+NFL!#REF!,IF(+NFL!$H95="Washington",+NFL!#REF!,0))</f>
        <v>0</v>
      </c>
      <c r="AQ596" s="48">
        <f>IF(+NFL!$F95="Washington",+NFL!#REF!,IF(+NFL!$H95="Washington",+NFL!#REF!,0))</f>
        <v>0</v>
      </c>
      <c r="AR596" s="57">
        <f>IF(+NFL!$F95="Washington",+NFL!#REF!,IF(+NFL!$H95="Washington",+NFL!#REF!,0))</f>
        <v>0</v>
      </c>
      <c r="AS596" s="64">
        <f>IF(+NFL!$F95="Washington",+NFL!#REF!,IF(+NFL!$H95="Washington",+NFL!#REF!,0))</f>
        <v>0</v>
      </c>
      <c r="AT596" s="64">
        <f>IF(+NFL!$F95="Washington",+NFL!#REF!,IF(+NFL!$H95="Washington",+NFL!#REF!,0))</f>
        <v>0</v>
      </c>
      <c r="AU596" s="57">
        <f>IF(+NFL!$F95="Washington",+NFL!#REF!,IF(+NFL!$H95="Washington",+NFL!#REF!,0))</f>
        <v>0</v>
      </c>
      <c r="AV596" s="64">
        <f>IF(+NFL!$F95="Washington",+NFL!#REF!,IF(+NFL!$H95="Washington",+NFL!#REF!,0))</f>
        <v>0</v>
      </c>
      <c r="AW596" s="46">
        <f>IF(+NFL!$F95="Washington",+NFL!#REF!,IF(+NFL!$H95="Washington",+NFL!#REF!,0))</f>
        <v>0</v>
      </c>
      <c r="AX596" s="64">
        <f>IF(+NFL!$F95="Washington",+NFL!#REF!,IF(+NFL!$H95="Washington",+NFL!#REF!,0))</f>
        <v>0</v>
      </c>
      <c r="AY596" s="57">
        <f>IF(+NFL!$F95="Washington",+NFL!#REF!,IF(+NFL!$H95="Washington",+NFL!#REF!,0))</f>
        <v>0</v>
      </c>
      <c r="AZ596" s="64">
        <f>IF(+NFL!$F95="Washington",+NFL!#REF!,IF(+NFL!$H95="Washington",+NFL!#REF!,0))</f>
        <v>0</v>
      </c>
      <c r="BA596" s="46">
        <f>IF(+NFL!$F95="Washington",+NFL!#REF!,IF(+NFL!$H95="Washington",+NFL!#REF!,0))</f>
        <v>0</v>
      </c>
      <c r="BB596" s="46">
        <f>IF(+NFL!$F95="Washington",+NFL!#REF!,IF(+NFL!$H95="Washington",+NFL!#REF!,0))</f>
        <v>0</v>
      </c>
      <c r="BC596" s="403">
        <f>IF(+NFL!$F95="Washington",+NFL!#REF!,IF(+NFL!$H95="Washington",+NFL!#REF!,0))</f>
        <v>0</v>
      </c>
      <c r="BD596" s="57">
        <f>IF(+NFL!$F95="Washington",+NFL!#REF!,IF(+NFL!$H95="Washington",+NFL!#REF!,0))</f>
        <v>0</v>
      </c>
      <c r="BE596" s="64">
        <f>IF(+NFL!$F95="Washington",+NFL!#REF!,IF(+NFL!$H95="Washington",+NFL!#REF!,0))</f>
        <v>0</v>
      </c>
      <c r="BF596" s="46">
        <f>IF(+NFL!$F95="Washington",+NFL!#REF!,IF(+NFL!$H95="Washington",+NFL!#REF!,0))</f>
        <v>0</v>
      </c>
      <c r="BG596" s="57">
        <f>IF(+NFL!$F95="Washington",+NFL!#REF!,IF(+NFL!$H95="Washington",+NFL!#REF!,0))</f>
        <v>0</v>
      </c>
      <c r="BH596" s="64">
        <f>IF(+NFL!$F95="Washington",+NFL!#REF!,IF(+NFL!$H95="Washington",+NFL!#REF!,0))</f>
        <v>0</v>
      </c>
      <c r="BI596" s="46">
        <f>IF(+NFL!$F95="Washington",+NFL!#REF!,IF(+NFL!$H95="Washington",+NFL!#REF!,0))</f>
        <v>0</v>
      </c>
      <c r="BJ596" s="87">
        <f>IF(+NFL!$F95="Washington",+NFL!#REF!,IF(+NFL!$H95="Washington",+NFL!#REF!,0))</f>
        <v>0</v>
      </c>
      <c r="BK596" s="120">
        <f>IF(+NFL!$F95="Washington",+NFL!#REF!,IF(+NFL!$H95="Washington",+NFL!#REF!,0))</f>
        <v>0</v>
      </c>
    </row>
    <row r="597" spans="1:63" s="246" customFormat="1" x14ac:dyDescent="0.8">
      <c r="A597" s="46">
        <f>IF(+NFL!$F139="Washington",+NFL!A139,IF(+NFL!$H139="Washington",+NFL!A139,0))</f>
        <v>8</v>
      </c>
      <c r="B597" s="348" t="str">
        <f>IF(+NFL!$F139="Washington",+NFL!B139,IF(+NFL!$H139="Washington",+NFL!B139,0))</f>
        <v>Sun</v>
      </c>
      <c r="C597" s="48">
        <f>IF(+NFL!$F139="Washington",+NFL!C139,IF(+NFL!$H139="Washington",+NFL!C139,0))</f>
        <v>44864</v>
      </c>
      <c r="D597" s="490">
        <f>IF(+NFL!$F139="Washington",+NFL!D139,IF(+NFL!$H139="Washington",+NFL!D139,0))</f>
        <v>0.66666666666666663</v>
      </c>
      <c r="E597" s="46" t="str">
        <f>IF(+NFL!$F139="Washington",+NFL!E139,IF(+NFL!$H139="Washington",+NFL!E139,0))</f>
        <v>Fox</v>
      </c>
      <c r="F597" s="127" t="str">
        <f>IF(+NFL!$F139="Washington",+NFL!F139,IF(+NFL!$H139="Washington",+NFL!F139,0))</f>
        <v>Washington</v>
      </c>
      <c r="G597" s="46" t="str">
        <f>IF(+NFL!$F139="Washington",+NFL!G139,IF(+NFL!$H139="Washington",+NFL!G139,0))</f>
        <v>NFCE</v>
      </c>
      <c r="H597" s="127" t="str">
        <f>IF(+NFL!$F139="Washington",+NFL!H139,IF(+NFL!$H139="Washington",+NFL!H139,0))</f>
        <v>Indianapolis</v>
      </c>
      <c r="I597" s="46" t="str">
        <f>IF(+NFL!$F139="Washington",+NFL!I139,IF(+NFL!$H139="Washington",+NFL!I139,0))</f>
        <v>AFCS</v>
      </c>
      <c r="J597" s="353" t="str">
        <f>IF(+NFL!$F139="Washington",+NFL!J139,IF(+NFL!$H139="Washington",+NFL!J139,0))</f>
        <v>Indianapolis</v>
      </c>
      <c r="K597" s="494" t="str">
        <f>IF(+NFL!$F139="Washington",+NFL!K139,IF(+NFL!$H139="Washington",+NFL!K139,0))</f>
        <v>Washington</v>
      </c>
      <c r="L597" s="384">
        <f>IF(+NFL!$F139="Washington",+NFL!L139,IF(+NFL!$H139="Washington",+NFL!L139,0))</f>
        <v>3</v>
      </c>
      <c r="M597" s="385">
        <f>IF(+NFL!$F139="Washington",+NFL!M139,IF(+NFL!$H139="Washington",+NFL!M139,0))</f>
        <v>40</v>
      </c>
      <c r="N597" s="394" t="str">
        <f>IF(+NFL!$F139="Washington",+NFL!N139,IF(+NFL!$H139="Washington",+NFL!N139,0))</f>
        <v>Washington</v>
      </c>
      <c r="O597" s="395">
        <f>IF(+NFL!$F139="Washington",+NFL!O139,IF(+NFL!$H139="Washington",+NFL!O139,0))</f>
        <v>17</v>
      </c>
      <c r="P597" s="394" t="str">
        <f>IF(+NFL!$F139="Washington",+NFL!P139,IF(+NFL!$H139="Washington",+NFL!P139,0))</f>
        <v>Indianapolis</v>
      </c>
      <c r="Q597" s="396">
        <f>IF(+NFL!$F139="Washington",+NFL!Q139,IF(+NFL!$H139="Washington",+NFL!Q139,0))</f>
        <v>16</v>
      </c>
      <c r="R597" s="397" t="str">
        <f>IF(+NFL!$F139="Washington",+NFL!R139,IF(+NFL!$H139="Washington",+NFL!R139,0))</f>
        <v>Washington</v>
      </c>
      <c r="S597" s="396" t="str">
        <f>IF(+NFL!$F139="Washington",+NFL!S139,IF(+NFL!$H139="Washington",+NFL!S139,0))</f>
        <v>Indianapolis</v>
      </c>
      <c r="T597" s="398" t="str">
        <f>IF(+NFL!$F139="Washington",+NFL!T139,IF(+NFL!$H139="Washington",+NFL!T139,0))</f>
        <v>Indianapolis</v>
      </c>
      <c r="U597" s="396" t="str">
        <f>IF(+NFL!$F139="Washington",+NFL!U139,IF(+NFL!$H139="Washington",+NFL!U139,0))</f>
        <v>L</v>
      </c>
      <c r="V597" s="397">
        <f>IF(+NFL!$F112="Washington",+NFL!#REF!,IF(+NFL!$H112="Washington",+NFL!#REF!,0))</f>
        <v>0</v>
      </c>
      <c r="W597" s="396">
        <f>IF(+NFL!$F112="Washington",+NFL!#REF!,IF(+NFL!$H112="Washington",+NFL!#REF!,0))</f>
        <v>0</v>
      </c>
      <c r="X597" s="398">
        <f>IF(+NFL!$F112="Washington",+NFL!#REF!,IF(+NFL!$H112="Washington",+NFL!#REF!,0))</f>
        <v>0</v>
      </c>
      <c r="Y597" s="396">
        <f>IF(+NFL!$F112="Washington",+NFL!#REF!,IF(+NFL!$H112="Washington",+NFL!#REF!,0))</f>
        <v>0</v>
      </c>
      <c r="Z597" s="397">
        <f>IF(+NFL!$F112="Washington",+NFL!#REF!,IF(+NFL!$H112="Washington",+NFL!#REF!,0))</f>
        <v>0</v>
      </c>
      <c r="AA597" s="396">
        <f>IF(+NFL!$F112="Washington",+NFL!#REF!,IF(+NFL!$H112="Washington",+NFL!#REF!,0))</f>
        <v>0</v>
      </c>
      <c r="AB597" s="87">
        <f>IF(+NFL!$F112="Washington",+NFL!#REF!,IF(+NFL!$H112="Washington",+NFL!#REF!,0))</f>
        <v>0</v>
      </c>
      <c r="AC597" s="120">
        <f>IF(+NFL!$F112="Washington",+NFL!#REF!,IF(+NFL!$H112="Washington",+NFL!#REF!,0))</f>
        <v>0</v>
      </c>
      <c r="AD597" s="353">
        <f>IF(+NFL!$F112="Washington",+NFL!#REF!,IF(+NFL!$H112="Washington",+NFL!#REF!,0))</f>
        <v>0</v>
      </c>
      <c r="AE597" s="379">
        <f>IF(+NFL!$F112="Washington",+NFL!#REF!,IF(+NFL!$H112="Washington",+NFL!#REF!,0))</f>
        <v>0</v>
      </c>
      <c r="AF597" s="353">
        <f>IF(+NFL!$F112="Washington",+NFL!#REF!,IF(+NFL!$H112="Washington",+NFL!#REF!,0))</f>
        <v>0</v>
      </c>
      <c r="AG597" s="379">
        <f>IF(+NFL!$F112="Washington",+NFL!#REF!,IF(+NFL!$H112="Washington",+NFL!#REF!,0))</f>
        <v>0</v>
      </c>
      <c r="AH597" s="353">
        <f>IF(+NFL!$F112="Washington",+NFL!#REF!,IF(+NFL!$H112="Washington",+NFL!#REF!,0))</f>
        <v>0</v>
      </c>
      <c r="AI597" s="379">
        <f>IF(+NFL!$F112="Washington",+NFL!#REF!,IF(+NFL!$H112="Washington",+NFL!#REF!,0))</f>
        <v>0</v>
      </c>
      <c r="AJ597" s="353">
        <f>IF(+NFL!$F112="Washington",+NFL!#REF!,IF(+NFL!$H112="Washington",+NFL!#REF!,0))</f>
        <v>0</v>
      </c>
      <c r="AK597" s="379">
        <f>IF(+NFL!$F112="Washington",+NFL!#REF!,IF(+NFL!$H112="Washington",+NFL!#REF!,0))</f>
        <v>0</v>
      </c>
      <c r="AL597" s="68">
        <f>IF(+NFL!$F112="Washington",+NFL!#REF!,IF(+NFL!$H112="Washington",+NFL!#REF!,0))</f>
        <v>0</v>
      </c>
      <c r="AM597" s="58">
        <f>IF(+NFL!$F112="Washington",+NFL!#REF!,IF(+NFL!$H112="Washington",+NFL!#REF!,0))</f>
        <v>0</v>
      </c>
      <c r="AN597" s="57">
        <f>IF(+NFL!$F112="Washington",+NFL!#REF!,IF(+NFL!$H112="Washington",+NFL!#REF!,0))</f>
        <v>0</v>
      </c>
      <c r="AO597" s="59">
        <f>IF(+NFL!$F112="Washington",+NFL!#REF!,IF(+NFL!$H112="Washington",+NFL!#REF!,0))</f>
        <v>0</v>
      </c>
      <c r="AP597" s="348">
        <f>IF(+NFL!$F112="Washington",+NFL!#REF!,IF(+NFL!$H112="Washington",+NFL!#REF!,0))</f>
        <v>0</v>
      </c>
      <c r="AQ597" s="48">
        <f>IF(+NFL!$F112="Washington",+NFL!#REF!,IF(+NFL!$H112="Washington",+NFL!#REF!,0))</f>
        <v>0</v>
      </c>
      <c r="AR597" s="57">
        <f>IF(+NFL!$F112="Washington",+NFL!#REF!,IF(+NFL!$H112="Washington",+NFL!#REF!,0))</f>
        <v>0</v>
      </c>
      <c r="AS597" s="64">
        <f>IF(+NFL!$F112="Washington",+NFL!#REF!,IF(+NFL!$H112="Washington",+NFL!#REF!,0))</f>
        <v>0</v>
      </c>
      <c r="AT597" s="64">
        <f>IF(+NFL!$F112="Washington",+NFL!#REF!,IF(+NFL!$H112="Washington",+NFL!#REF!,0))</f>
        <v>0</v>
      </c>
      <c r="AU597" s="57">
        <f>IF(+NFL!$F112="Washington",+NFL!#REF!,IF(+NFL!$H112="Washington",+NFL!#REF!,0))</f>
        <v>0</v>
      </c>
      <c r="AV597" s="64">
        <f>IF(+NFL!$F112="Washington",+NFL!#REF!,IF(+NFL!$H112="Washington",+NFL!#REF!,0))</f>
        <v>0</v>
      </c>
      <c r="AW597" s="46">
        <f>IF(+NFL!$F112="Washington",+NFL!#REF!,IF(+NFL!$H112="Washington",+NFL!#REF!,0))</f>
        <v>0</v>
      </c>
      <c r="AX597" s="64">
        <f>IF(+NFL!$F112="Washington",+NFL!#REF!,IF(+NFL!$H112="Washington",+NFL!#REF!,0))</f>
        <v>0</v>
      </c>
      <c r="AY597" s="57">
        <f>IF(+NFL!$F112="Washington",+NFL!#REF!,IF(+NFL!$H112="Washington",+NFL!#REF!,0))</f>
        <v>0</v>
      </c>
      <c r="AZ597" s="64">
        <f>IF(+NFL!$F112="Washington",+NFL!#REF!,IF(+NFL!$H112="Washington",+NFL!#REF!,0))</f>
        <v>0</v>
      </c>
      <c r="BA597" s="46">
        <f>IF(+NFL!$F112="Washington",+NFL!#REF!,IF(+NFL!$H112="Washington",+NFL!#REF!,0))</f>
        <v>0</v>
      </c>
      <c r="BB597" s="46">
        <f>IF(+NFL!$F112="Washington",+NFL!#REF!,IF(+NFL!$H112="Washington",+NFL!#REF!,0))</f>
        <v>0</v>
      </c>
      <c r="BC597" s="403">
        <f>IF(+NFL!$F112="Washington",+NFL!#REF!,IF(+NFL!$H112="Washington",+NFL!#REF!,0))</f>
        <v>0</v>
      </c>
      <c r="BD597" s="57">
        <f>IF(+NFL!$F112="Washington",+NFL!#REF!,IF(+NFL!$H112="Washington",+NFL!#REF!,0))</f>
        <v>0</v>
      </c>
      <c r="BE597" s="64">
        <f>IF(+NFL!$F112="Washington",+NFL!#REF!,IF(+NFL!$H112="Washington",+NFL!#REF!,0))</f>
        <v>0</v>
      </c>
      <c r="BF597" s="46">
        <f>IF(+NFL!$F112="Washington",+NFL!#REF!,IF(+NFL!$H112="Washington",+NFL!#REF!,0))</f>
        <v>0</v>
      </c>
      <c r="BG597" s="57">
        <f>IF(+NFL!$F112="Washington",+NFL!#REF!,IF(+NFL!$H112="Washington",+NFL!#REF!,0))</f>
        <v>0</v>
      </c>
      <c r="BH597" s="64">
        <f>IF(+NFL!$F112="Washington",+NFL!#REF!,IF(+NFL!$H112="Washington",+NFL!#REF!,0))</f>
        <v>0</v>
      </c>
      <c r="BI597" s="46">
        <f>IF(+NFL!$F112="Washington",+NFL!#REF!,IF(+NFL!$H112="Washington",+NFL!#REF!,0))</f>
        <v>0</v>
      </c>
      <c r="BJ597" s="87">
        <f>IF(+NFL!$F112="Washington",+NFL!#REF!,IF(+NFL!$H112="Washington",+NFL!#REF!,0))</f>
        <v>0</v>
      </c>
      <c r="BK597" s="120">
        <f>IF(+NFL!$F112="Washington",+NFL!#REF!,IF(+NFL!$H112="Washington",+NFL!#REF!,0))</f>
        <v>0</v>
      </c>
    </row>
    <row r="598" spans="1:63" s="246" customFormat="1" x14ac:dyDescent="0.8">
      <c r="A598" s="46">
        <f>IF(+NFL!$F154="Washington",+NFL!A154,IF(+NFL!$H154="Washington",+NFL!A154,0))</f>
        <v>9</v>
      </c>
      <c r="B598" s="348" t="str">
        <f>IF(+NFL!$F154="Washington",+NFL!B154,IF(+NFL!$H154="Washington",+NFL!B154,0))</f>
        <v>Sun</v>
      </c>
      <c r="C598" s="48">
        <f>IF(+NFL!$F154="Washington",+NFL!C154,IF(+NFL!$H154="Washington",+NFL!C154,0))</f>
        <v>44871</v>
      </c>
      <c r="D598" s="490">
        <f>IF(+NFL!$F154="Washington",+NFL!D154,IF(+NFL!$H154="Washington",+NFL!D154,0))</f>
        <v>0.54166666666666663</v>
      </c>
      <c r="E598" s="46" t="str">
        <f>IF(+NFL!$F154="Washington",+NFL!E154,IF(+NFL!$H154="Washington",+NFL!E154,0))</f>
        <v>Fox</v>
      </c>
      <c r="F598" s="127" t="str">
        <f>IF(+NFL!$F154="Washington",+NFL!F154,IF(+NFL!$H154="Washington",+NFL!F154,0))</f>
        <v>Minnesota</v>
      </c>
      <c r="G598" s="46" t="str">
        <f>IF(+NFL!$F154="Washington",+NFL!G154,IF(+NFL!$H154="Washington",+NFL!G154,0))</f>
        <v>NFCN</v>
      </c>
      <c r="H598" s="127" t="str">
        <f>IF(+NFL!$F154="Washington",+NFL!H154,IF(+NFL!$H154="Washington",+NFL!H154,0))</f>
        <v>Washington</v>
      </c>
      <c r="I598" s="46" t="str">
        <f>IF(+NFL!$F154="Washington",+NFL!I154,IF(+NFL!$H154="Washington",+NFL!I154,0))</f>
        <v>NFCE</v>
      </c>
      <c r="J598" s="353" t="str">
        <f>IF(+NFL!$F154="Washington",+NFL!J154,IF(+NFL!$H154="Washington",+NFL!J154,0))</f>
        <v>Minnesota</v>
      </c>
      <c r="K598" s="494" t="str">
        <f>IF(+NFL!$F154="Washington",+NFL!K154,IF(+NFL!$H154="Washington",+NFL!K154,0))</f>
        <v>Washington</v>
      </c>
      <c r="L598" s="384">
        <f>IF(+NFL!$F154="Washington",+NFL!L154,IF(+NFL!$H154="Washington",+NFL!L154,0))</f>
        <v>3.5</v>
      </c>
      <c r="M598" s="385">
        <f>IF(+NFL!$F154="Washington",+NFL!M154,IF(+NFL!$H154="Washington",+NFL!M154,0))</f>
        <v>43.5</v>
      </c>
      <c r="N598" s="394" t="str">
        <f>IF(+NFL!$F154="Washington",+NFL!N154,IF(+NFL!$H154="Washington",+NFL!N154,0))</f>
        <v>Minnesota</v>
      </c>
      <c r="O598" s="395">
        <f>IF(+NFL!$F154="Washington",+NFL!O154,IF(+NFL!$H154="Washington",+NFL!O154,0))</f>
        <v>20</v>
      </c>
      <c r="P598" s="394" t="str">
        <f>IF(+NFL!$F154="Washington",+NFL!P154,IF(+NFL!$H154="Washington",+NFL!P154,0))</f>
        <v>Washington</v>
      </c>
      <c r="Q598" s="396">
        <f>IF(+NFL!$F154="Washington",+NFL!Q154,IF(+NFL!$H154="Washington",+NFL!Q154,0))</f>
        <v>17</v>
      </c>
      <c r="R598" s="397" t="str">
        <f>IF(+NFL!$F154="Washington",+NFL!R154,IF(+NFL!$H154="Washington",+NFL!R154,0))</f>
        <v>Washington</v>
      </c>
      <c r="S598" s="396" t="str">
        <f>IF(+NFL!$F154="Washington",+NFL!S154,IF(+NFL!$H154="Washington",+NFL!S154,0))</f>
        <v>Minnesota</v>
      </c>
      <c r="T598" s="398" t="str">
        <f>IF(+NFL!$F154="Washington",+NFL!T154,IF(+NFL!$H154="Washington",+NFL!T154,0))</f>
        <v>Washington</v>
      </c>
      <c r="U598" s="396" t="str">
        <f>IF(+NFL!$F154="Washington",+NFL!U154,IF(+NFL!$H154="Washington",+NFL!U154,0))</f>
        <v>W</v>
      </c>
      <c r="V598" s="397">
        <f>IF(+NFL!$F136="Washington",+NFL!#REF!,IF(+NFL!$H136="Washington",+NFL!#REF!,0))</f>
        <v>0</v>
      </c>
      <c r="W598" s="396">
        <f>IF(+NFL!$F136="Washington",+NFL!#REF!,IF(+NFL!$H136="Washington",+NFL!#REF!,0))</f>
        <v>0</v>
      </c>
      <c r="X598" s="398">
        <f>IF(+NFL!$F136="Washington",+NFL!#REF!,IF(+NFL!$H136="Washington",+NFL!#REF!,0))</f>
        <v>0</v>
      </c>
      <c r="Y598" s="396">
        <f>IF(+NFL!$F136="Washington",+NFL!#REF!,IF(+NFL!$H136="Washington",+NFL!#REF!,0))</f>
        <v>0</v>
      </c>
      <c r="Z598" s="397">
        <f>IF(+NFL!$F136="Washington",+NFL!#REF!,IF(+NFL!$H136="Washington",+NFL!#REF!,0))</f>
        <v>0</v>
      </c>
      <c r="AA598" s="396">
        <f>IF(+NFL!$F136="Washington",+NFL!#REF!,IF(+NFL!$H136="Washington",+NFL!#REF!,0))</f>
        <v>0</v>
      </c>
      <c r="AB598" s="87">
        <f>IF(+NFL!$F136="Washington",+NFL!#REF!,IF(+NFL!$H136="Washington",+NFL!#REF!,0))</f>
        <v>0</v>
      </c>
      <c r="AC598" s="120">
        <f>IF(+NFL!$F136="Washington",+NFL!#REF!,IF(+NFL!$H136="Washington",+NFL!#REF!,0))</f>
        <v>0</v>
      </c>
      <c r="AD598" s="353">
        <f>IF(+NFL!$F136="Washington",+NFL!#REF!,IF(+NFL!$H136="Washington",+NFL!#REF!,0))</f>
        <v>0</v>
      </c>
      <c r="AE598" s="379">
        <f>IF(+NFL!$F136="Washington",+NFL!#REF!,IF(+NFL!$H136="Washington",+NFL!#REF!,0))</f>
        <v>0</v>
      </c>
      <c r="AF598" s="353">
        <f>IF(+NFL!$F136="Washington",+NFL!#REF!,IF(+NFL!$H136="Washington",+NFL!#REF!,0))</f>
        <v>0</v>
      </c>
      <c r="AG598" s="379">
        <f>IF(+NFL!$F136="Washington",+NFL!#REF!,IF(+NFL!$H136="Washington",+NFL!#REF!,0))</f>
        <v>0</v>
      </c>
      <c r="AH598" s="353">
        <f>IF(+NFL!$F136="Washington",+NFL!#REF!,IF(+NFL!$H136="Washington",+NFL!#REF!,0))</f>
        <v>0</v>
      </c>
      <c r="AI598" s="379">
        <f>IF(+NFL!$F136="Washington",+NFL!#REF!,IF(+NFL!$H136="Washington",+NFL!#REF!,0))</f>
        <v>0</v>
      </c>
      <c r="AJ598" s="353">
        <f>IF(+NFL!$F136="Washington",+NFL!#REF!,IF(+NFL!$H136="Washington",+NFL!#REF!,0))</f>
        <v>0</v>
      </c>
      <c r="AK598" s="379">
        <f>IF(+NFL!$F136="Washington",+NFL!#REF!,IF(+NFL!$H136="Washington",+NFL!#REF!,0))</f>
        <v>0</v>
      </c>
      <c r="AL598" s="68">
        <f>IF(+NFL!$F136="Washington",+NFL!#REF!,IF(+NFL!$H136="Washington",+NFL!#REF!,0))</f>
        <v>0</v>
      </c>
      <c r="AM598" s="58">
        <f>IF(+NFL!$F136="Washington",+NFL!#REF!,IF(+NFL!$H136="Washington",+NFL!#REF!,0))</f>
        <v>0</v>
      </c>
      <c r="AN598" s="57">
        <f>IF(+NFL!$F136="Washington",+NFL!#REF!,IF(+NFL!$H136="Washington",+NFL!#REF!,0))</f>
        <v>0</v>
      </c>
      <c r="AO598" s="59">
        <f>IF(+NFL!$F136="Washington",+NFL!#REF!,IF(+NFL!$H136="Washington",+NFL!#REF!,0))</f>
        <v>0</v>
      </c>
      <c r="AP598" s="348">
        <f>IF(+NFL!$F136="Washington",+NFL!#REF!,IF(+NFL!$H136="Washington",+NFL!#REF!,0))</f>
        <v>0</v>
      </c>
      <c r="AQ598" s="48">
        <f>IF(+NFL!$F136="Washington",+NFL!#REF!,IF(+NFL!$H136="Washington",+NFL!#REF!,0))</f>
        <v>0</v>
      </c>
      <c r="AR598" s="57">
        <f>IF(+NFL!$F136="Washington",+NFL!#REF!,IF(+NFL!$H136="Washington",+NFL!#REF!,0))</f>
        <v>0</v>
      </c>
      <c r="AS598" s="64">
        <f>IF(+NFL!$F136="Washington",+NFL!#REF!,IF(+NFL!$H136="Washington",+NFL!#REF!,0))</f>
        <v>0</v>
      </c>
      <c r="AT598" s="64">
        <f>IF(+NFL!$F136="Washington",+NFL!#REF!,IF(+NFL!$H136="Washington",+NFL!#REF!,0))</f>
        <v>0</v>
      </c>
      <c r="AU598" s="57">
        <f>IF(+NFL!$F136="Washington",+NFL!#REF!,IF(+NFL!$H136="Washington",+NFL!#REF!,0))</f>
        <v>0</v>
      </c>
      <c r="AV598" s="64">
        <f>IF(+NFL!$F136="Washington",+NFL!#REF!,IF(+NFL!$H136="Washington",+NFL!#REF!,0))</f>
        <v>0</v>
      </c>
      <c r="AW598" s="46">
        <f>IF(+NFL!$F136="Washington",+NFL!#REF!,IF(+NFL!$H136="Washington",+NFL!#REF!,0))</f>
        <v>0</v>
      </c>
      <c r="AX598" s="64">
        <f>IF(+NFL!$F136="Washington",+NFL!#REF!,IF(+NFL!$H136="Washington",+NFL!#REF!,0))</f>
        <v>0</v>
      </c>
      <c r="AY598" s="57">
        <f>IF(+NFL!$F136="Washington",+NFL!#REF!,IF(+NFL!$H136="Washington",+NFL!#REF!,0))</f>
        <v>0</v>
      </c>
      <c r="AZ598" s="64">
        <f>IF(+NFL!$F136="Washington",+NFL!#REF!,IF(+NFL!$H136="Washington",+NFL!#REF!,0))</f>
        <v>0</v>
      </c>
      <c r="BA598" s="46">
        <f>IF(+NFL!$F136="Washington",+NFL!#REF!,IF(+NFL!$H136="Washington",+NFL!#REF!,0))</f>
        <v>0</v>
      </c>
      <c r="BB598" s="46">
        <f>IF(+NFL!$F136="Washington",+NFL!#REF!,IF(+NFL!$H136="Washington",+NFL!#REF!,0))</f>
        <v>0</v>
      </c>
      <c r="BC598" s="403">
        <f>IF(+NFL!$F136="Washington",+NFL!#REF!,IF(+NFL!$H136="Washington",+NFL!#REF!,0))</f>
        <v>0</v>
      </c>
      <c r="BD598" s="57">
        <f>IF(+NFL!$F136="Washington",+NFL!#REF!,IF(+NFL!$H136="Washington",+NFL!#REF!,0))</f>
        <v>0</v>
      </c>
      <c r="BE598" s="64">
        <f>IF(+NFL!$F136="Washington",+NFL!#REF!,IF(+NFL!$H136="Washington",+NFL!#REF!,0))</f>
        <v>0</v>
      </c>
      <c r="BF598" s="46">
        <f>IF(+NFL!$F136="Washington",+NFL!#REF!,IF(+NFL!$H136="Washington",+NFL!#REF!,0))</f>
        <v>0</v>
      </c>
      <c r="BG598" s="57">
        <f>IF(+NFL!$F136="Washington",+NFL!#REF!,IF(+NFL!$H136="Washington",+NFL!#REF!,0))</f>
        <v>0</v>
      </c>
      <c r="BH598" s="64">
        <f>IF(+NFL!$F136="Washington",+NFL!#REF!,IF(+NFL!$H136="Washington",+NFL!#REF!,0))</f>
        <v>0</v>
      </c>
      <c r="BI598" s="46">
        <f>IF(+NFL!$F136="Washington",+NFL!#REF!,IF(+NFL!$H136="Washington",+NFL!#REF!,0))</f>
        <v>0</v>
      </c>
      <c r="BJ598" s="87">
        <f>IF(+NFL!$F136="Washington",+NFL!#REF!,IF(+NFL!$H136="Washington",+NFL!#REF!,0))</f>
        <v>0</v>
      </c>
      <c r="BK598" s="120">
        <f>IF(+NFL!$F136="Washington",+NFL!#REF!,IF(+NFL!$H136="Washington",+NFL!#REF!,0))</f>
        <v>0</v>
      </c>
    </row>
    <row r="599" spans="1:63" s="246" customFormat="1" x14ac:dyDescent="0.8">
      <c r="A599" s="46">
        <f>IF(+NFL!$F182="Washington",+NFL!A182,IF(+NFL!$H182="Washington",+NFL!A182,0))</f>
        <v>10</v>
      </c>
      <c r="B599" s="348" t="str">
        <f>IF(+NFL!$F182="Washington",+NFL!B182,IF(+NFL!$H182="Washington",+NFL!B182,0))</f>
        <v>Mon</v>
      </c>
      <c r="C599" s="48">
        <f>IF(+NFL!$F182="Washington",+NFL!C182,IF(+NFL!$H182="Washington",+NFL!C182,0))</f>
        <v>44880</v>
      </c>
      <c r="D599" s="490">
        <f>IF(+NFL!$F182="Washington",+NFL!D182,IF(+NFL!$H182="Washington",+NFL!D182,0))</f>
        <v>0.84375</v>
      </c>
      <c r="E599" s="46" t="str">
        <f>IF(+NFL!$F182="Washington",+NFL!E182,IF(+NFL!$H182="Washington",+NFL!E182,0))</f>
        <v>ABC</v>
      </c>
      <c r="F599" s="127" t="str">
        <f>IF(+NFL!$F182="Washington",+NFL!F182,IF(+NFL!$H182="Washington",+NFL!F182,0))</f>
        <v>Washington</v>
      </c>
      <c r="G599" s="46" t="str">
        <f>IF(+NFL!$F182="Washington",+NFL!G182,IF(+NFL!$H182="Washington",+NFL!G182,0))</f>
        <v>NFCE</v>
      </c>
      <c r="H599" s="127" t="str">
        <f>IF(+NFL!$F182="Washington",+NFL!H182,IF(+NFL!$H182="Washington",+NFL!H182,0))</f>
        <v>Philadelphia</v>
      </c>
      <c r="I599" s="46" t="str">
        <f>IF(+NFL!$F182="Washington",+NFL!I182,IF(+NFL!$H182="Washington",+NFL!I182,0))</f>
        <v>NFCE</v>
      </c>
      <c r="J599" s="353" t="str">
        <f>IF(+NFL!$F182="Washington",+NFL!J182,IF(+NFL!$H182="Washington",+NFL!J182,0))</f>
        <v>Philadelphia</v>
      </c>
      <c r="K599" s="494" t="str">
        <f>IF(+NFL!$F182="Washington",+NFL!K182,IF(+NFL!$H182="Washington",+NFL!K182,0))</f>
        <v>Washington</v>
      </c>
      <c r="L599" s="384">
        <f>IF(+NFL!$F182="Washington",+NFL!L182,IF(+NFL!$H182="Washington",+NFL!L182,0))</f>
        <v>11</v>
      </c>
      <c r="M599" s="385">
        <f>IF(+NFL!$F182="Washington",+NFL!M182,IF(+NFL!$H182="Washington",+NFL!M182,0))</f>
        <v>44</v>
      </c>
      <c r="N599" s="394" t="str">
        <f>IF(+NFL!$F182="Washington",+NFL!N182,IF(+NFL!$H182="Washington",+NFL!N182,0))</f>
        <v>Washington</v>
      </c>
      <c r="O599" s="395">
        <f>IF(+NFL!$F182="Washington",+NFL!O182,IF(+NFL!$H182="Washington",+NFL!O182,0))</f>
        <v>32</v>
      </c>
      <c r="P599" s="394" t="str">
        <f>IF(+NFL!$F182="Washington",+NFL!P182,IF(+NFL!$H182="Washington",+NFL!P182,0))</f>
        <v>Philadelphia</v>
      </c>
      <c r="Q599" s="396">
        <f>IF(+NFL!$F182="Washington",+NFL!Q182,IF(+NFL!$H182="Washington",+NFL!Q182,0))</f>
        <v>21</v>
      </c>
      <c r="R599" s="397" t="str">
        <f>IF(+NFL!$F182="Washington",+NFL!R182,IF(+NFL!$H182="Washington",+NFL!R182,0))</f>
        <v>Washington</v>
      </c>
      <c r="S599" s="396" t="str">
        <f>IF(+NFL!$F182="Washington",+NFL!S182,IF(+NFL!$H182="Washington",+NFL!S182,0))</f>
        <v>Philadelphia</v>
      </c>
      <c r="T599" s="398" t="str">
        <f>IF(+NFL!$F182="Washington",+NFL!T182,IF(+NFL!$H182="Washington",+NFL!T182,0))</f>
        <v>Philadelphia</v>
      </c>
      <c r="U599" s="396" t="str">
        <f>IF(+NFL!$F182="Washington",+NFL!U182,IF(+NFL!$H182="Washington",+NFL!U182,0))</f>
        <v>L</v>
      </c>
      <c r="V599" s="397">
        <f>IF(+NFL!$F150="Washington",+NFL!#REF!,IF(+NFL!$H150="Washington",+NFL!#REF!,0))</f>
        <v>0</v>
      </c>
      <c r="W599" s="396">
        <f>IF(+NFL!$F150="Washington",+NFL!#REF!,IF(+NFL!$H150="Washington",+NFL!#REF!,0))</f>
        <v>0</v>
      </c>
      <c r="X599" s="398">
        <f>IF(+NFL!$F150="Washington",+NFL!#REF!,IF(+NFL!$H150="Washington",+NFL!#REF!,0))</f>
        <v>0</v>
      </c>
      <c r="Y599" s="396">
        <f>IF(+NFL!$F150="Washington",+NFL!#REF!,IF(+NFL!$H150="Washington",+NFL!#REF!,0))</f>
        <v>0</v>
      </c>
      <c r="Z599" s="397">
        <f>IF(+NFL!$F150="Washington",+NFL!#REF!,IF(+NFL!$H150="Washington",+NFL!#REF!,0))</f>
        <v>0</v>
      </c>
      <c r="AA599" s="396">
        <f>IF(+NFL!$F150="Washington",+NFL!#REF!,IF(+NFL!$H150="Washington",+NFL!#REF!,0))</f>
        <v>0</v>
      </c>
      <c r="AB599" s="87">
        <f>IF(+NFL!$F150="Washington",+NFL!#REF!,IF(+NFL!$H150="Washington",+NFL!#REF!,0))</f>
        <v>0</v>
      </c>
      <c r="AC599" s="120">
        <f>IF(+NFL!$F150="Washington",+NFL!#REF!,IF(+NFL!$H150="Washington",+NFL!#REF!,0))</f>
        <v>0</v>
      </c>
      <c r="AD599" s="353">
        <f>IF(+NFL!$F150="Washington",+NFL!#REF!,IF(+NFL!$H150="Washington",+NFL!#REF!,0))</f>
        <v>0</v>
      </c>
      <c r="AE599" s="379">
        <f>IF(+NFL!$F150="Washington",+NFL!#REF!,IF(+NFL!$H150="Washington",+NFL!#REF!,0))</f>
        <v>0</v>
      </c>
      <c r="AF599" s="353">
        <f>IF(+NFL!$F150="Washington",+NFL!#REF!,IF(+NFL!$H150="Washington",+NFL!#REF!,0))</f>
        <v>0</v>
      </c>
      <c r="AG599" s="379">
        <f>IF(+NFL!$F150="Washington",+NFL!#REF!,IF(+NFL!$H150="Washington",+NFL!#REF!,0))</f>
        <v>0</v>
      </c>
      <c r="AH599" s="353">
        <f>IF(+NFL!$F150="Washington",+NFL!#REF!,IF(+NFL!$H150="Washington",+NFL!#REF!,0))</f>
        <v>0</v>
      </c>
      <c r="AI599" s="379">
        <f>IF(+NFL!$F150="Washington",+NFL!#REF!,IF(+NFL!$H150="Washington",+NFL!#REF!,0))</f>
        <v>0</v>
      </c>
      <c r="AJ599" s="353">
        <f>IF(+NFL!$F150="Washington",+NFL!#REF!,IF(+NFL!$H150="Washington",+NFL!#REF!,0))</f>
        <v>0</v>
      </c>
      <c r="AK599" s="379">
        <f>IF(+NFL!$F150="Washington",+NFL!#REF!,IF(+NFL!$H150="Washington",+NFL!#REF!,0))</f>
        <v>0</v>
      </c>
      <c r="AL599" s="68">
        <f>IF(+NFL!$F150="Washington",+NFL!#REF!,IF(+NFL!$H150="Washington",+NFL!#REF!,0))</f>
        <v>0</v>
      </c>
      <c r="AM599" s="58">
        <f>IF(+NFL!$F150="Washington",+NFL!#REF!,IF(+NFL!$H150="Washington",+NFL!#REF!,0))</f>
        <v>0</v>
      </c>
      <c r="AN599" s="57">
        <f>IF(+NFL!$F150="Washington",+NFL!#REF!,IF(+NFL!$H150="Washington",+NFL!#REF!,0))</f>
        <v>0</v>
      </c>
      <c r="AO599" s="59">
        <f>IF(+NFL!$F150="Washington",+NFL!#REF!,IF(+NFL!$H150="Washington",+NFL!#REF!,0))</f>
        <v>0</v>
      </c>
      <c r="AP599" s="348">
        <f>IF(+NFL!$F150="Washington",+NFL!#REF!,IF(+NFL!$H150="Washington",+NFL!#REF!,0))</f>
        <v>0</v>
      </c>
      <c r="AQ599" s="48">
        <f>IF(+NFL!$F150="Washington",+NFL!#REF!,IF(+NFL!$H150="Washington",+NFL!#REF!,0))</f>
        <v>0</v>
      </c>
      <c r="AR599" s="57">
        <f>IF(+NFL!$F150="Washington",+NFL!#REF!,IF(+NFL!$H150="Washington",+NFL!#REF!,0))</f>
        <v>0</v>
      </c>
      <c r="AS599" s="64">
        <f>IF(+NFL!$F150="Washington",+NFL!#REF!,IF(+NFL!$H150="Washington",+NFL!#REF!,0))</f>
        <v>0</v>
      </c>
      <c r="AT599" s="64">
        <f>IF(+NFL!$F150="Washington",+NFL!#REF!,IF(+NFL!$H150="Washington",+NFL!#REF!,0))</f>
        <v>0</v>
      </c>
      <c r="AU599" s="57">
        <f>IF(+NFL!$F150="Washington",+NFL!#REF!,IF(+NFL!$H150="Washington",+NFL!#REF!,0))</f>
        <v>0</v>
      </c>
      <c r="AV599" s="64">
        <f>IF(+NFL!$F150="Washington",+NFL!#REF!,IF(+NFL!$H150="Washington",+NFL!#REF!,0))</f>
        <v>0</v>
      </c>
      <c r="AW599" s="46">
        <f>IF(+NFL!$F150="Washington",+NFL!#REF!,IF(+NFL!$H150="Washington",+NFL!#REF!,0))</f>
        <v>0</v>
      </c>
      <c r="AX599" s="64">
        <f>IF(+NFL!$F150="Washington",+NFL!#REF!,IF(+NFL!$H150="Washington",+NFL!#REF!,0))</f>
        <v>0</v>
      </c>
      <c r="AY599" s="57">
        <f>IF(+NFL!$F150="Washington",+NFL!#REF!,IF(+NFL!$H150="Washington",+NFL!#REF!,0))</f>
        <v>0</v>
      </c>
      <c r="AZ599" s="64">
        <f>IF(+NFL!$F150="Washington",+NFL!#REF!,IF(+NFL!$H150="Washington",+NFL!#REF!,0))</f>
        <v>0</v>
      </c>
      <c r="BA599" s="46">
        <f>IF(+NFL!$F150="Washington",+NFL!#REF!,IF(+NFL!$H150="Washington",+NFL!#REF!,0))</f>
        <v>0</v>
      </c>
      <c r="BB599" s="46">
        <f>IF(+NFL!$F150="Washington",+NFL!#REF!,IF(+NFL!$H150="Washington",+NFL!#REF!,0))</f>
        <v>0</v>
      </c>
      <c r="BC599" s="403">
        <f>IF(+NFL!$F150="Washington",+NFL!#REF!,IF(+NFL!$H150="Washington",+NFL!#REF!,0))</f>
        <v>0</v>
      </c>
      <c r="BD599" s="57">
        <f>IF(+NFL!$F150="Washington",+NFL!#REF!,IF(+NFL!$H150="Washington",+NFL!#REF!,0))</f>
        <v>0</v>
      </c>
      <c r="BE599" s="64">
        <f>IF(+NFL!$F150="Washington",+NFL!#REF!,IF(+NFL!$H150="Washington",+NFL!#REF!,0))</f>
        <v>0</v>
      </c>
      <c r="BF599" s="46">
        <f>IF(+NFL!$F150="Washington",+NFL!#REF!,IF(+NFL!$H150="Washington",+NFL!#REF!,0))</f>
        <v>0</v>
      </c>
      <c r="BG599" s="57">
        <f>IF(+NFL!$F150="Washington",+NFL!#REF!,IF(+NFL!$H150="Washington",+NFL!#REF!,0))</f>
        <v>0</v>
      </c>
      <c r="BH599" s="64">
        <f>IF(+NFL!$F150="Washington",+NFL!#REF!,IF(+NFL!$H150="Washington",+NFL!#REF!,0))</f>
        <v>0</v>
      </c>
      <c r="BI599" s="46">
        <f>IF(+NFL!$F150="Washington",+NFL!#REF!,IF(+NFL!$H150="Washington",+NFL!#REF!,0))</f>
        <v>0</v>
      </c>
      <c r="BJ599" s="87">
        <f>IF(+NFL!$F150="Washington",+NFL!#REF!,IF(+NFL!$H150="Washington",+NFL!#REF!,0))</f>
        <v>0</v>
      </c>
      <c r="BK599" s="120">
        <f>IF(+NFL!$F150="Washington",+NFL!#REF!,IF(+NFL!$H150="Washington",+NFL!#REF!,0))</f>
        <v>0</v>
      </c>
    </row>
    <row r="600" spans="1:63" s="246" customFormat="1" x14ac:dyDescent="0.8">
      <c r="A600" s="46">
        <f>IF(+NFL!$F197="Washington",+NFL!A197,IF(+NFL!$H197="Washington",+NFL!A197,0))</f>
        <v>11</v>
      </c>
      <c r="B600" s="348" t="str">
        <f>IF(+NFL!$F197="Washington",+NFL!B197,IF(+NFL!$H197="Washington",+NFL!B197,0))</f>
        <v>Sun</v>
      </c>
      <c r="C600" s="48">
        <f>IF(+NFL!$F197="Washington",+NFL!C197,IF(+NFL!$H197="Washington",+NFL!C197,0))</f>
        <v>44885</v>
      </c>
      <c r="D600" s="490">
        <f>IF(+NFL!$F197="Washington",+NFL!D197,IF(+NFL!$H197="Washington",+NFL!D197,0))</f>
        <v>0.54166666666666663</v>
      </c>
      <c r="E600" s="46" t="str">
        <f>IF(+NFL!$F197="Washington",+NFL!E197,IF(+NFL!$H197="Washington",+NFL!E197,0))</f>
        <v>Fox</v>
      </c>
      <c r="F600" s="127" t="str">
        <f>IF(+NFL!$F197="Washington",+NFL!F197,IF(+NFL!$H197="Washington",+NFL!F197,0))</f>
        <v>Washington</v>
      </c>
      <c r="G600" s="46" t="str">
        <f>IF(+NFL!$F197="Washington",+NFL!G197,IF(+NFL!$H197="Washington",+NFL!G197,0))</f>
        <v>NFCE</v>
      </c>
      <c r="H600" s="127" t="str">
        <f>IF(+NFL!$F197="Washington",+NFL!H197,IF(+NFL!$H197="Washington",+NFL!H197,0))</f>
        <v>Houston</v>
      </c>
      <c r="I600" s="46" t="str">
        <f>IF(+NFL!$F197="Washington",+NFL!I197,IF(+NFL!$H197="Washington",+NFL!I197,0))</f>
        <v>AFCS</v>
      </c>
      <c r="J600" s="353" t="str">
        <f>IF(+NFL!$F197="Washington",+NFL!J197,IF(+NFL!$H197="Washington",+NFL!J197,0))</f>
        <v>Washington</v>
      </c>
      <c r="K600" s="494" t="str">
        <f>IF(+NFL!$F197="Washington",+NFL!K197,IF(+NFL!$H197="Washington",+NFL!K197,0))</f>
        <v>Houston</v>
      </c>
      <c r="L600" s="384">
        <f>IF(+NFL!$F197="Washington",+NFL!L197,IF(+NFL!$H197="Washington",+NFL!L197,0))</f>
        <v>3.5</v>
      </c>
      <c r="M600" s="385">
        <f>IF(+NFL!$F197="Washington",+NFL!M197,IF(+NFL!$H197="Washington",+NFL!M197,0))</f>
        <v>40.5</v>
      </c>
      <c r="N600" s="394" t="str">
        <f>IF(+NFL!$F197="Washington",+NFL!N197,IF(+NFL!$H197="Washington",+NFL!N197,0))</f>
        <v>Washington</v>
      </c>
      <c r="O600" s="395">
        <f>IF(+NFL!$F197="Washington",+NFL!O197,IF(+NFL!$H197="Washington",+NFL!O197,0))</f>
        <v>23</v>
      </c>
      <c r="P600" s="394" t="str">
        <f>IF(+NFL!$F197="Washington",+NFL!P197,IF(+NFL!$H197="Washington",+NFL!P197,0))</f>
        <v>Houston</v>
      </c>
      <c r="Q600" s="396">
        <f>IF(+NFL!$F197="Washington",+NFL!Q197,IF(+NFL!$H197="Washington",+NFL!Q197,0))</f>
        <v>10</v>
      </c>
      <c r="R600" s="397" t="str">
        <f>IF(+NFL!$F197="Washington",+NFL!R197,IF(+NFL!$H197="Washington",+NFL!R197,0))</f>
        <v>Washington</v>
      </c>
      <c r="S600" s="396" t="str">
        <f>IF(+NFL!$F197="Washington",+NFL!S197,IF(+NFL!$H197="Washington",+NFL!S197,0))</f>
        <v>Houston</v>
      </c>
      <c r="T600" s="398" t="str">
        <f>IF(+NFL!$F197="Washington",+NFL!T197,IF(+NFL!$H197="Washington",+NFL!T197,0))</f>
        <v>Washington</v>
      </c>
      <c r="U600" s="396" t="str">
        <f>IF(+NFL!$F197="Washington",+NFL!U197,IF(+NFL!$H197="Washington",+NFL!U197,0))</f>
        <v>W</v>
      </c>
      <c r="V600" s="397">
        <f>IF(+NFL!$F175="Washington",+NFL!#REF!,IF(+NFL!$H175="Washington",+NFL!#REF!,0))</f>
        <v>0</v>
      </c>
      <c r="W600" s="396">
        <f>IF(+NFL!$F175="Washington",+NFL!#REF!,IF(+NFL!$H175="Washington",+NFL!#REF!,0))</f>
        <v>0</v>
      </c>
      <c r="X600" s="398">
        <f>IF(+NFL!$F175="Washington",+NFL!#REF!,IF(+NFL!$H175="Washington",+NFL!#REF!,0))</f>
        <v>0</v>
      </c>
      <c r="Y600" s="396">
        <f>IF(+NFL!$F175="Washington",+NFL!#REF!,IF(+NFL!$H175="Washington",+NFL!#REF!,0))</f>
        <v>0</v>
      </c>
      <c r="Z600" s="397">
        <f>IF(+NFL!$F175="Washington",+NFL!#REF!,IF(+NFL!$H175="Washington",+NFL!#REF!,0))</f>
        <v>0</v>
      </c>
      <c r="AA600" s="396">
        <f>IF(+NFL!$F175="Washington",+NFL!#REF!,IF(+NFL!$H175="Washington",+NFL!#REF!,0))</f>
        <v>0</v>
      </c>
      <c r="AB600" s="87">
        <f>IF(+NFL!$F175="Washington",+NFL!#REF!,IF(+NFL!$H175="Washington",+NFL!#REF!,0))</f>
        <v>0</v>
      </c>
      <c r="AC600" s="120">
        <f>IF(+NFL!$F175="Washington",+NFL!#REF!,IF(+NFL!$H175="Washington",+NFL!#REF!,0))</f>
        <v>0</v>
      </c>
      <c r="AD600" s="353">
        <f>IF(+NFL!$F175="Washington",+NFL!#REF!,IF(+NFL!$H175="Washington",+NFL!#REF!,0))</f>
        <v>0</v>
      </c>
      <c r="AE600" s="379">
        <f>IF(+NFL!$F175="Washington",+NFL!#REF!,IF(+NFL!$H175="Washington",+NFL!#REF!,0))</f>
        <v>0</v>
      </c>
      <c r="AF600" s="353">
        <f>IF(+NFL!$F175="Washington",+NFL!#REF!,IF(+NFL!$H175="Washington",+NFL!#REF!,0))</f>
        <v>0</v>
      </c>
      <c r="AG600" s="379">
        <f>IF(+NFL!$F175="Washington",+NFL!#REF!,IF(+NFL!$H175="Washington",+NFL!#REF!,0))</f>
        <v>0</v>
      </c>
      <c r="AH600" s="353">
        <f>IF(+NFL!$F175="Washington",+NFL!#REF!,IF(+NFL!$H175="Washington",+NFL!#REF!,0))</f>
        <v>0</v>
      </c>
      <c r="AI600" s="379">
        <f>IF(+NFL!$F175="Washington",+NFL!#REF!,IF(+NFL!$H175="Washington",+NFL!#REF!,0))</f>
        <v>0</v>
      </c>
      <c r="AJ600" s="353">
        <f>IF(+NFL!$F175="Washington",+NFL!#REF!,IF(+NFL!$H175="Washington",+NFL!#REF!,0))</f>
        <v>0</v>
      </c>
      <c r="AK600" s="379">
        <f>IF(+NFL!$F175="Washington",+NFL!#REF!,IF(+NFL!$H175="Washington",+NFL!#REF!,0))</f>
        <v>0</v>
      </c>
      <c r="AL600" s="68">
        <f>IF(+NFL!$F175="Washington",+NFL!#REF!,IF(+NFL!$H175="Washington",+NFL!#REF!,0))</f>
        <v>0</v>
      </c>
      <c r="AM600" s="58">
        <f>IF(+NFL!$F175="Washington",+NFL!#REF!,IF(+NFL!$H175="Washington",+NFL!#REF!,0))</f>
        <v>0</v>
      </c>
      <c r="AN600" s="57">
        <f>IF(+NFL!$F175="Washington",+NFL!#REF!,IF(+NFL!$H175="Washington",+NFL!#REF!,0))</f>
        <v>0</v>
      </c>
      <c r="AO600" s="59">
        <f>IF(+NFL!$F175="Washington",+NFL!#REF!,IF(+NFL!$H175="Washington",+NFL!#REF!,0))</f>
        <v>0</v>
      </c>
      <c r="AP600" s="348">
        <f>IF(+NFL!$F175="Washington",+NFL!#REF!,IF(+NFL!$H175="Washington",+NFL!#REF!,0))</f>
        <v>0</v>
      </c>
      <c r="AQ600" s="48">
        <f>IF(+NFL!$F175="Washington",+NFL!#REF!,IF(+NFL!$H175="Washington",+NFL!#REF!,0))</f>
        <v>0</v>
      </c>
      <c r="AR600" s="57">
        <f>IF(+NFL!$F175="Washington",+NFL!#REF!,IF(+NFL!$H175="Washington",+NFL!#REF!,0))</f>
        <v>0</v>
      </c>
      <c r="AS600" s="64">
        <f>IF(+NFL!$F175="Washington",+NFL!#REF!,IF(+NFL!$H175="Washington",+NFL!#REF!,0))</f>
        <v>0</v>
      </c>
      <c r="AT600" s="64">
        <f>IF(+NFL!$F175="Washington",+NFL!#REF!,IF(+NFL!$H175="Washington",+NFL!#REF!,0))</f>
        <v>0</v>
      </c>
      <c r="AU600" s="57">
        <f>IF(+NFL!$F175="Washington",+NFL!#REF!,IF(+NFL!$H175="Washington",+NFL!#REF!,0))</f>
        <v>0</v>
      </c>
      <c r="AV600" s="64">
        <f>IF(+NFL!$F175="Washington",+NFL!#REF!,IF(+NFL!$H175="Washington",+NFL!#REF!,0))</f>
        <v>0</v>
      </c>
      <c r="AW600" s="46">
        <f>IF(+NFL!$F175="Washington",+NFL!#REF!,IF(+NFL!$H175="Washington",+NFL!#REF!,0))</f>
        <v>0</v>
      </c>
      <c r="AX600" s="64">
        <f>IF(+NFL!$F175="Washington",+NFL!#REF!,IF(+NFL!$H175="Washington",+NFL!#REF!,0))</f>
        <v>0</v>
      </c>
      <c r="AY600" s="57">
        <f>IF(+NFL!$F175="Washington",+NFL!#REF!,IF(+NFL!$H175="Washington",+NFL!#REF!,0))</f>
        <v>0</v>
      </c>
      <c r="AZ600" s="64">
        <f>IF(+NFL!$F175="Washington",+NFL!#REF!,IF(+NFL!$H175="Washington",+NFL!#REF!,0))</f>
        <v>0</v>
      </c>
      <c r="BA600" s="46">
        <f>IF(+NFL!$F175="Washington",+NFL!#REF!,IF(+NFL!$H175="Washington",+NFL!#REF!,0))</f>
        <v>0</v>
      </c>
      <c r="BB600" s="46">
        <f>IF(+NFL!$F175="Washington",+NFL!#REF!,IF(+NFL!$H175="Washington",+NFL!#REF!,0))</f>
        <v>0</v>
      </c>
      <c r="BC600" s="403">
        <f>IF(+NFL!$F175="Washington",+NFL!#REF!,IF(+NFL!$H175="Washington",+NFL!#REF!,0))</f>
        <v>0</v>
      </c>
      <c r="BD600" s="57">
        <f>IF(+NFL!$F175="Washington",+NFL!#REF!,IF(+NFL!$H175="Washington",+NFL!#REF!,0))</f>
        <v>0</v>
      </c>
      <c r="BE600" s="64">
        <f>IF(+NFL!$F175="Washington",+NFL!#REF!,IF(+NFL!$H175="Washington",+NFL!#REF!,0))</f>
        <v>0</v>
      </c>
      <c r="BF600" s="46">
        <f>IF(+NFL!$F175="Washington",+NFL!#REF!,IF(+NFL!$H175="Washington",+NFL!#REF!,0))</f>
        <v>0</v>
      </c>
      <c r="BG600" s="57">
        <f>IF(+NFL!$F175="Washington",+NFL!#REF!,IF(+NFL!$H175="Washington",+NFL!#REF!,0))</f>
        <v>0</v>
      </c>
      <c r="BH600" s="64">
        <f>IF(+NFL!$F175="Washington",+NFL!#REF!,IF(+NFL!$H175="Washington",+NFL!#REF!,0))</f>
        <v>0</v>
      </c>
      <c r="BI600" s="46">
        <f>IF(+NFL!$F175="Washington",+NFL!#REF!,IF(+NFL!$H175="Washington",+NFL!#REF!,0))</f>
        <v>0</v>
      </c>
      <c r="BJ600" s="87">
        <f>IF(+NFL!$F175="Washington",+NFL!#REF!,IF(+NFL!$H175="Washington",+NFL!#REF!,0))</f>
        <v>0</v>
      </c>
      <c r="BK600" s="120">
        <f>IF(+NFL!$F175="Washington",+NFL!#REF!,IF(+NFL!$H175="Washington",+NFL!#REF!,0))</f>
        <v>0</v>
      </c>
    </row>
    <row r="601" spans="1:63" s="246" customFormat="1" x14ac:dyDescent="0.8">
      <c r="A601" s="46">
        <f>IF(+NFL!$F216="Washington",+NFL!A216,IF(+NFL!$H216="Washington",+NFL!A216,0))</f>
        <v>12</v>
      </c>
      <c r="B601" s="348" t="str">
        <f>IF(+NFL!$F216="Washington",+NFL!B216,IF(+NFL!$H216="Washington",+NFL!B216,0))</f>
        <v>Sun</v>
      </c>
      <c r="C601" s="48">
        <f>IF(+NFL!$F216="Washington",+NFL!C216,IF(+NFL!$H216="Washington",+NFL!C216,0))</f>
        <v>44892</v>
      </c>
      <c r="D601" s="490">
        <f>IF(+NFL!$F216="Washington",+NFL!D216,IF(+NFL!$H216="Washington",+NFL!D216,0))</f>
        <v>0.54166666666666663</v>
      </c>
      <c r="E601" s="46" t="str">
        <f>IF(+NFL!$F216="Washington",+NFL!E216,IF(+NFL!$H216="Washington",+NFL!E216,0))</f>
        <v>Fox</v>
      </c>
      <c r="F601" s="127" t="str">
        <f>IF(+NFL!$F216="Washington",+NFL!F216,IF(+NFL!$H216="Washington",+NFL!F216,0))</f>
        <v>Atlanta</v>
      </c>
      <c r="G601" s="46" t="str">
        <f>IF(+NFL!$F216="Washington",+NFL!G216,IF(+NFL!$H216="Washington",+NFL!G216,0))</f>
        <v>NFCS</v>
      </c>
      <c r="H601" s="127" t="str">
        <f>IF(+NFL!$F216="Washington",+NFL!H216,IF(+NFL!$H216="Washington",+NFL!H216,0))</f>
        <v>Washington</v>
      </c>
      <c r="I601" s="46" t="str">
        <f>IF(+NFL!$F216="Washington",+NFL!I216,IF(+NFL!$H216="Washington",+NFL!I216,0))</f>
        <v>NFCE</v>
      </c>
      <c r="J601" s="353" t="str">
        <f>IF(+NFL!$F216="Washington",+NFL!J216,IF(+NFL!$H216="Washington",+NFL!J216,0))</f>
        <v>Washington</v>
      </c>
      <c r="K601" s="494" t="str">
        <f>IF(+NFL!$F216="Washington",+NFL!K216,IF(+NFL!$H216="Washington",+NFL!K216,0))</f>
        <v>Atlanta</v>
      </c>
      <c r="L601" s="384">
        <f>IF(+NFL!$F216="Washington",+NFL!L216,IF(+NFL!$H216="Washington",+NFL!L216,0))</f>
        <v>4.5</v>
      </c>
      <c r="M601" s="385">
        <f>IF(+NFL!$F216="Washington",+NFL!M216,IF(+NFL!$H216="Washington",+NFL!M216,0))</f>
        <v>41.5</v>
      </c>
      <c r="N601" s="394" t="str">
        <f>IF(+NFL!$F216="Washington",+NFL!N216,IF(+NFL!$H216="Washington",+NFL!N216,0))</f>
        <v>Washington</v>
      </c>
      <c r="O601" s="395">
        <f>IF(+NFL!$F216="Washington",+NFL!O216,IF(+NFL!$H216="Washington",+NFL!O216,0))</f>
        <v>19</v>
      </c>
      <c r="P601" s="394" t="str">
        <f>IF(+NFL!$F216="Washington",+NFL!P216,IF(+NFL!$H216="Washington",+NFL!P216,0))</f>
        <v>Atlanta</v>
      </c>
      <c r="Q601" s="396">
        <f>IF(+NFL!$F216="Washington",+NFL!Q216,IF(+NFL!$H216="Washington",+NFL!Q216,0))</f>
        <v>13</v>
      </c>
      <c r="R601" s="397" t="str">
        <f>IF(+NFL!$F216="Washington",+NFL!R216,IF(+NFL!$H216="Washington",+NFL!R216,0))</f>
        <v>Washington</v>
      </c>
      <c r="S601" s="396" t="str">
        <f>IF(+NFL!$F216="Washington",+NFL!S216,IF(+NFL!$H216="Washington",+NFL!S216,0))</f>
        <v>Atlanta</v>
      </c>
      <c r="T601" s="398" t="str">
        <f>IF(+NFL!$F216="Washington",+NFL!T216,IF(+NFL!$H216="Washington",+NFL!T216,0))</f>
        <v>Washington</v>
      </c>
      <c r="U601" s="396" t="str">
        <f>IF(+NFL!$F216="Washington",+NFL!U216,IF(+NFL!$H216="Washington",+NFL!U216,0))</f>
        <v>W</v>
      </c>
      <c r="V601" s="397">
        <f>IF(+NFL!$F212="Washington",+NFL!#REF!,IF(+NFL!$H212="Washington",+NFL!#REF!,0))</f>
        <v>0</v>
      </c>
      <c r="W601" s="396">
        <f>IF(+NFL!$F212="Washington",+NFL!#REF!,IF(+NFL!$H212="Washington",+NFL!#REF!,0))</f>
        <v>0</v>
      </c>
      <c r="X601" s="398">
        <f>IF(+NFL!$F212="Washington",+NFL!#REF!,IF(+NFL!$H212="Washington",+NFL!#REF!,0))</f>
        <v>0</v>
      </c>
      <c r="Y601" s="396">
        <f>IF(+NFL!$F212="Washington",+NFL!#REF!,IF(+NFL!$H212="Washington",+NFL!#REF!,0))</f>
        <v>0</v>
      </c>
      <c r="Z601" s="397">
        <f>IF(+NFL!$F212="Washington",+NFL!#REF!,IF(+NFL!$H212="Washington",+NFL!#REF!,0))</f>
        <v>0</v>
      </c>
      <c r="AA601" s="396">
        <f>IF(+NFL!$F212="Washington",+NFL!#REF!,IF(+NFL!$H212="Washington",+NFL!#REF!,0))</f>
        <v>0</v>
      </c>
      <c r="AB601" s="87">
        <f>IF(+NFL!$F212="Washington",+NFL!#REF!,IF(+NFL!$H212="Washington",+NFL!#REF!,0))</f>
        <v>0</v>
      </c>
      <c r="AC601" s="120">
        <f>IF(+NFL!$F212="Washington",+NFL!#REF!,IF(+NFL!$H212="Washington",+NFL!#REF!,0))</f>
        <v>0</v>
      </c>
      <c r="AD601" s="353">
        <f>IF(+NFL!$F212="Washington",+NFL!#REF!,IF(+NFL!$H212="Washington",+NFL!#REF!,0))</f>
        <v>0</v>
      </c>
      <c r="AE601" s="379">
        <f>IF(+NFL!$F212="Washington",+NFL!#REF!,IF(+NFL!$H212="Washington",+NFL!#REF!,0))</f>
        <v>0</v>
      </c>
      <c r="AF601" s="353">
        <f>IF(+NFL!$F212="Washington",+NFL!#REF!,IF(+NFL!$H212="Washington",+NFL!#REF!,0))</f>
        <v>0</v>
      </c>
      <c r="AG601" s="379">
        <f>IF(+NFL!$F212="Washington",+NFL!#REF!,IF(+NFL!$H212="Washington",+NFL!#REF!,0))</f>
        <v>0</v>
      </c>
      <c r="AH601" s="353">
        <f>IF(+NFL!$F212="Washington",+NFL!#REF!,IF(+NFL!$H212="Washington",+NFL!#REF!,0))</f>
        <v>0</v>
      </c>
      <c r="AI601" s="379">
        <f>IF(+NFL!$F212="Washington",+NFL!#REF!,IF(+NFL!$H212="Washington",+NFL!#REF!,0))</f>
        <v>0</v>
      </c>
      <c r="AJ601" s="353">
        <f>IF(+NFL!$F212="Washington",+NFL!#REF!,IF(+NFL!$H212="Washington",+NFL!#REF!,0))</f>
        <v>0</v>
      </c>
      <c r="AK601" s="379">
        <f>IF(+NFL!$F212="Washington",+NFL!#REF!,IF(+NFL!$H212="Washington",+NFL!#REF!,0))</f>
        <v>0</v>
      </c>
      <c r="AL601" s="68">
        <f>IF(+NFL!$F212="Washington",+NFL!#REF!,IF(+NFL!$H212="Washington",+NFL!#REF!,0))</f>
        <v>0</v>
      </c>
      <c r="AM601" s="58">
        <f>IF(+NFL!$F212="Washington",+NFL!#REF!,IF(+NFL!$H212="Washington",+NFL!#REF!,0))</f>
        <v>0</v>
      </c>
      <c r="AN601" s="57">
        <f>IF(+NFL!$F212="Washington",+NFL!#REF!,IF(+NFL!$H212="Washington",+NFL!#REF!,0))</f>
        <v>0</v>
      </c>
      <c r="AO601" s="59">
        <f>IF(+NFL!$F212="Washington",+NFL!#REF!,IF(+NFL!$H212="Washington",+NFL!#REF!,0))</f>
        <v>0</v>
      </c>
      <c r="AP601" s="348">
        <f>IF(+NFL!$F212="Washington",+NFL!#REF!,IF(+NFL!$H212="Washington",+NFL!#REF!,0))</f>
        <v>0</v>
      </c>
      <c r="AQ601" s="48">
        <f>IF(+NFL!$F212="Washington",+NFL!#REF!,IF(+NFL!$H212="Washington",+NFL!#REF!,0))</f>
        <v>0</v>
      </c>
      <c r="AR601" s="57">
        <f>IF(+NFL!$F212="Washington",+NFL!#REF!,IF(+NFL!$H212="Washington",+NFL!#REF!,0))</f>
        <v>0</v>
      </c>
      <c r="AS601" s="64">
        <f>IF(+NFL!$F212="Washington",+NFL!#REF!,IF(+NFL!$H212="Washington",+NFL!#REF!,0))</f>
        <v>0</v>
      </c>
      <c r="AT601" s="64">
        <f>IF(+NFL!$F212="Washington",+NFL!#REF!,IF(+NFL!$H212="Washington",+NFL!#REF!,0))</f>
        <v>0</v>
      </c>
      <c r="AU601" s="57">
        <f>IF(+NFL!$F212="Washington",+NFL!#REF!,IF(+NFL!$H212="Washington",+NFL!#REF!,0))</f>
        <v>0</v>
      </c>
      <c r="AV601" s="64">
        <f>IF(+NFL!$F212="Washington",+NFL!#REF!,IF(+NFL!$H212="Washington",+NFL!#REF!,0))</f>
        <v>0</v>
      </c>
      <c r="AW601" s="46">
        <f>IF(+NFL!$F212="Washington",+NFL!#REF!,IF(+NFL!$H212="Washington",+NFL!#REF!,0))</f>
        <v>0</v>
      </c>
      <c r="AX601" s="64">
        <f>IF(+NFL!$F212="Washington",+NFL!#REF!,IF(+NFL!$H212="Washington",+NFL!#REF!,0))</f>
        <v>0</v>
      </c>
      <c r="AY601" s="57">
        <f>IF(+NFL!$F212="Washington",+NFL!#REF!,IF(+NFL!$H212="Washington",+NFL!#REF!,0))</f>
        <v>0</v>
      </c>
      <c r="AZ601" s="64">
        <f>IF(+NFL!$F212="Washington",+NFL!#REF!,IF(+NFL!$H212="Washington",+NFL!#REF!,0))</f>
        <v>0</v>
      </c>
      <c r="BA601" s="46">
        <f>IF(+NFL!$F212="Washington",+NFL!#REF!,IF(+NFL!$H212="Washington",+NFL!#REF!,0))</f>
        <v>0</v>
      </c>
      <c r="BB601" s="46">
        <f>IF(+NFL!$F212="Washington",+NFL!#REF!,IF(+NFL!$H212="Washington",+NFL!#REF!,0))</f>
        <v>0</v>
      </c>
      <c r="BC601" s="403">
        <f>IF(+NFL!$F212="Washington",+NFL!#REF!,IF(+NFL!$H212="Washington",+NFL!#REF!,0))</f>
        <v>0</v>
      </c>
      <c r="BD601" s="57">
        <f>IF(+NFL!$F212="Washington",+NFL!#REF!,IF(+NFL!$H212="Washington",+NFL!#REF!,0))</f>
        <v>0</v>
      </c>
      <c r="BE601" s="64">
        <f>IF(+NFL!$F212="Washington",+NFL!#REF!,IF(+NFL!$H212="Washington",+NFL!#REF!,0))</f>
        <v>0</v>
      </c>
      <c r="BF601" s="46">
        <f>IF(+NFL!$F212="Washington",+NFL!#REF!,IF(+NFL!$H212="Washington",+NFL!#REF!,0))</f>
        <v>0</v>
      </c>
      <c r="BG601" s="57">
        <f>IF(+NFL!$F212="Washington",+NFL!#REF!,IF(+NFL!$H212="Washington",+NFL!#REF!,0))</f>
        <v>0</v>
      </c>
      <c r="BH601" s="64">
        <f>IF(+NFL!$F212="Washington",+NFL!#REF!,IF(+NFL!$H212="Washington",+NFL!#REF!,0))</f>
        <v>0</v>
      </c>
      <c r="BI601" s="46">
        <f>IF(+NFL!$F212="Washington",+NFL!#REF!,IF(+NFL!$H212="Washington",+NFL!#REF!,0))</f>
        <v>0</v>
      </c>
      <c r="BJ601" s="87">
        <f>IF(+NFL!$F212="Washington",+NFL!#REF!,IF(+NFL!$H212="Washington",+NFL!#REF!,0))</f>
        <v>0</v>
      </c>
      <c r="BK601" s="120">
        <f>IF(+NFL!$F212="Washington",+NFL!#REF!,IF(+NFL!$H212="Washington",+NFL!#REF!,0))</f>
        <v>0</v>
      </c>
    </row>
    <row r="602" spans="1:63" s="246" customFormat="1" x14ac:dyDescent="0.8">
      <c r="A602" s="46">
        <f>IF(+NFL!$F231="Washington",+NFL!A231,IF(+NFL!$H231="Washington",+NFL!A231,0))</f>
        <v>13</v>
      </c>
      <c r="B602" s="348" t="str">
        <f>IF(+NFL!$F231="Washington",+NFL!B231,IF(+NFL!$H231="Washington",+NFL!B231,0))</f>
        <v>Sun</v>
      </c>
      <c r="C602" s="48">
        <f>IF(+NFL!$F231="Washington",+NFL!C231,IF(+NFL!$H231="Washington",+NFL!C231,0))</f>
        <v>44899</v>
      </c>
      <c r="D602" s="490">
        <f>IF(+NFL!$F231="Washington",+NFL!D231,IF(+NFL!$H231="Washington",+NFL!D231,0))</f>
        <v>0.54166666666666663</v>
      </c>
      <c r="E602" s="46" t="str">
        <f>IF(+NFL!$F231="Washington",+NFL!E231,IF(+NFL!$H231="Washington",+NFL!E231,0))</f>
        <v>Fox</v>
      </c>
      <c r="F602" s="127" t="str">
        <f>IF(+NFL!$F231="Washington",+NFL!F231,IF(+NFL!$H231="Washington",+NFL!F231,0))</f>
        <v>Washington</v>
      </c>
      <c r="G602" s="46" t="str">
        <f>IF(+NFL!$F231="Washington",+NFL!G231,IF(+NFL!$H231="Washington",+NFL!G231,0))</f>
        <v>NFCE</v>
      </c>
      <c r="H602" s="127" t="str">
        <f>IF(+NFL!$F231="Washington",+NFL!H231,IF(+NFL!$H231="Washington",+NFL!H231,0))</f>
        <v>NY Giants</v>
      </c>
      <c r="I602" s="46" t="str">
        <f>IF(+NFL!$F231="Washington",+NFL!I231,IF(+NFL!$H231="Washington",+NFL!I231,0))</f>
        <v>NFCE</v>
      </c>
      <c r="J602" s="353" t="str">
        <f>IF(+NFL!$F231="Washington",+NFL!J231,IF(+NFL!$H231="Washington",+NFL!J231,0))</f>
        <v>Washington</v>
      </c>
      <c r="K602" s="494" t="str">
        <f>IF(+NFL!$F231="Washington",+NFL!K231,IF(+NFL!$H231="Washington",+NFL!K231,0))</f>
        <v>NY Giants</v>
      </c>
      <c r="L602" s="384">
        <f>IF(+NFL!$F231="Washington",+NFL!L231,IF(+NFL!$H231="Washington",+NFL!L231,0))</f>
        <v>2.5</v>
      </c>
      <c r="M602" s="385">
        <f>IF(+NFL!$F231="Washington",+NFL!M231,IF(+NFL!$H231="Washington",+NFL!M231,0))</f>
        <v>40.5</v>
      </c>
      <c r="N602" s="394" t="str">
        <f>IF(+NFL!$F231="Washington",+NFL!N231,IF(+NFL!$H231="Washington",+NFL!N231,0))</f>
        <v>NY Giants</v>
      </c>
      <c r="O602" s="395">
        <f>IF(+NFL!$F231="Washington",+NFL!O231,IF(+NFL!$H231="Washington",+NFL!O231,0))</f>
        <v>20</v>
      </c>
      <c r="P602" s="394" t="str">
        <f>IF(+NFL!$F231="Washington",+NFL!P231,IF(+NFL!$H231="Washington",+NFL!P231,0))</f>
        <v>Washington</v>
      </c>
      <c r="Q602" s="396">
        <f>IF(+NFL!$F231="Washington",+NFL!Q231,IF(+NFL!$H231="Washington",+NFL!Q231,0))</f>
        <v>20</v>
      </c>
      <c r="R602" s="397" t="str">
        <f>IF(+NFL!$F231="Washington",+NFL!R231,IF(+NFL!$H231="Washington",+NFL!R231,0))</f>
        <v>NY Giants</v>
      </c>
      <c r="S602" s="396" t="str">
        <f>IF(+NFL!$F231="Washington",+NFL!S231,IF(+NFL!$H231="Washington",+NFL!S231,0))</f>
        <v>Washington</v>
      </c>
      <c r="T602" s="398" t="str">
        <f>IF(+NFL!$F231="Washington",+NFL!T231,IF(+NFL!$H231="Washington",+NFL!T231,0))</f>
        <v>Washington</v>
      </c>
      <c r="U602" s="396" t="str">
        <f>IF(+NFL!$F231="Washington",+NFL!U231,IF(+NFL!$H231="Washington",+NFL!U231,0))</f>
        <v>L</v>
      </c>
      <c r="V602" s="397">
        <f>IF(+NFL!$F224="Washington",+NFL!#REF!,IF(+NFL!$H224="Washington",+NFL!#REF!,0))</f>
        <v>0</v>
      </c>
      <c r="W602" s="396">
        <f>IF(+NFL!$F224="Washington",+NFL!#REF!,IF(+NFL!$H224="Washington",+NFL!#REF!,0))</f>
        <v>0</v>
      </c>
      <c r="X602" s="398">
        <f>IF(+NFL!$F224="Washington",+NFL!#REF!,IF(+NFL!$H224="Washington",+NFL!#REF!,0))</f>
        <v>0</v>
      </c>
      <c r="Y602" s="396">
        <f>IF(+NFL!$F224="Washington",+NFL!#REF!,IF(+NFL!$H224="Washington",+NFL!#REF!,0))</f>
        <v>0</v>
      </c>
      <c r="Z602" s="397">
        <f>IF(+NFL!$F224="Washington",+NFL!#REF!,IF(+NFL!$H224="Washington",+NFL!#REF!,0))</f>
        <v>0</v>
      </c>
      <c r="AA602" s="396">
        <f>IF(+NFL!$F224="Washington",+NFL!#REF!,IF(+NFL!$H224="Washington",+NFL!#REF!,0))</f>
        <v>0</v>
      </c>
      <c r="AB602" s="87">
        <f>IF(+NFL!$F224="Washington",+NFL!#REF!,IF(+NFL!$H224="Washington",+NFL!#REF!,0))</f>
        <v>0</v>
      </c>
      <c r="AC602" s="120">
        <f>IF(+NFL!$F224="Washington",+NFL!#REF!,IF(+NFL!$H224="Washington",+NFL!#REF!,0))</f>
        <v>0</v>
      </c>
      <c r="AD602" s="353">
        <f>IF(+NFL!$F224="Washington",+NFL!#REF!,IF(+NFL!$H224="Washington",+NFL!#REF!,0))</f>
        <v>0</v>
      </c>
      <c r="AE602" s="379">
        <f>IF(+NFL!$F224="Washington",+NFL!#REF!,IF(+NFL!$H224="Washington",+NFL!#REF!,0))</f>
        <v>0</v>
      </c>
      <c r="AF602" s="353">
        <f>IF(+NFL!$F224="Washington",+NFL!#REF!,IF(+NFL!$H224="Washington",+NFL!#REF!,0))</f>
        <v>0</v>
      </c>
      <c r="AG602" s="379">
        <f>IF(+NFL!$F224="Washington",+NFL!#REF!,IF(+NFL!$H224="Washington",+NFL!#REF!,0))</f>
        <v>0</v>
      </c>
      <c r="AH602" s="353">
        <f>IF(+NFL!$F224="Washington",+NFL!#REF!,IF(+NFL!$H224="Washington",+NFL!#REF!,0))</f>
        <v>0</v>
      </c>
      <c r="AI602" s="379">
        <f>IF(+NFL!$F224="Washington",+NFL!#REF!,IF(+NFL!$H224="Washington",+NFL!#REF!,0))</f>
        <v>0</v>
      </c>
      <c r="AJ602" s="353">
        <f>IF(+NFL!$F224="Washington",+NFL!#REF!,IF(+NFL!$H224="Washington",+NFL!#REF!,0))</f>
        <v>0</v>
      </c>
      <c r="AK602" s="379">
        <f>IF(+NFL!$F224="Washington",+NFL!#REF!,IF(+NFL!$H224="Washington",+NFL!#REF!,0))</f>
        <v>0</v>
      </c>
      <c r="AL602" s="68">
        <f>IF(+NFL!$F224="Washington",+NFL!#REF!,IF(+NFL!$H224="Washington",+NFL!#REF!,0))</f>
        <v>0</v>
      </c>
      <c r="AM602" s="58">
        <f>IF(+NFL!$F224="Washington",+NFL!#REF!,IF(+NFL!$H224="Washington",+NFL!#REF!,0))</f>
        <v>0</v>
      </c>
      <c r="AN602" s="57">
        <f>IF(+NFL!$F224="Washington",+NFL!#REF!,IF(+NFL!$H224="Washington",+NFL!#REF!,0))</f>
        <v>0</v>
      </c>
      <c r="AO602" s="59">
        <f>IF(+NFL!$F224="Washington",+NFL!#REF!,IF(+NFL!$H224="Washington",+NFL!#REF!,0))</f>
        <v>0</v>
      </c>
      <c r="AP602" s="348">
        <f>IF(+NFL!$F224="Washington",+NFL!#REF!,IF(+NFL!$H224="Washington",+NFL!#REF!,0))</f>
        <v>0</v>
      </c>
      <c r="AQ602" s="48">
        <f>IF(+NFL!$F224="Washington",+NFL!#REF!,IF(+NFL!$H224="Washington",+NFL!#REF!,0))</f>
        <v>0</v>
      </c>
      <c r="AR602" s="57">
        <f>IF(+NFL!$F224="Washington",+NFL!#REF!,IF(+NFL!$H224="Washington",+NFL!#REF!,0))</f>
        <v>0</v>
      </c>
      <c r="AS602" s="64">
        <f>IF(+NFL!$F224="Washington",+NFL!#REF!,IF(+NFL!$H224="Washington",+NFL!#REF!,0))</f>
        <v>0</v>
      </c>
      <c r="AT602" s="64">
        <f>IF(+NFL!$F224="Washington",+NFL!#REF!,IF(+NFL!$H224="Washington",+NFL!#REF!,0))</f>
        <v>0</v>
      </c>
      <c r="AU602" s="57">
        <f>IF(+NFL!$F224="Washington",+NFL!#REF!,IF(+NFL!$H224="Washington",+NFL!#REF!,0))</f>
        <v>0</v>
      </c>
      <c r="AV602" s="64">
        <f>IF(+NFL!$F224="Washington",+NFL!#REF!,IF(+NFL!$H224="Washington",+NFL!#REF!,0))</f>
        <v>0</v>
      </c>
      <c r="AW602" s="46">
        <f>IF(+NFL!$F224="Washington",+NFL!#REF!,IF(+NFL!$H224="Washington",+NFL!#REF!,0))</f>
        <v>0</v>
      </c>
      <c r="AX602" s="64">
        <f>IF(+NFL!$F224="Washington",+NFL!#REF!,IF(+NFL!$H224="Washington",+NFL!#REF!,0))</f>
        <v>0</v>
      </c>
      <c r="AY602" s="57">
        <f>IF(+NFL!$F224="Washington",+NFL!#REF!,IF(+NFL!$H224="Washington",+NFL!#REF!,0))</f>
        <v>0</v>
      </c>
      <c r="AZ602" s="64">
        <f>IF(+NFL!$F224="Washington",+NFL!#REF!,IF(+NFL!$H224="Washington",+NFL!#REF!,0))</f>
        <v>0</v>
      </c>
      <c r="BA602" s="46">
        <f>IF(+NFL!$F224="Washington",+NFL!#REF!,IF(+NFL!$H224="Washington",+NFL!#REF!,0))</f>
        <v>0</v>
      </c>
      <c r="BB602" s="46">
        <f>IF(+NFL!$F224="Washington",+NFL!#REF!,IF(+NFL!$H224="Washington",+NFL!#REF!,0))</f>
        <v>0</v>
      </c>
      <c r="BC602" s="403">
        <f>IF(+NFL!$F224="Washington",+NFL!#REF!,IF(+NFL!$H224="Washington",+NFL!#REF!,0))</f>
        <v>0</v>
      </c>
      <c r="BD602" s="57">
        <f>IF(+NFL!$F224="Washington",+NFL!#REF!,IF(+NFL!$H224="Washington",+NFL!#REF!,0))</f>
        <v>0</v>
      </c>
      <c r="BE602" s="64">
        <f>IF(+NFL!$F224="Washington",+NFL!#REF!,IF(+NFL!$H224="Washington",+NFL!#REF!,0))</f>
        <v>0</v>
      </c>
      <c r="BF602" s="46">
        <f>IF(+NFL!$F224="Washington",+NFL!#REF!,IF(+NFL!$H224="Washington",+NFL!#REF!,0))</f>
        <v>0</v>
      </c>
      <c r="BG602" s="57">
        <f>IF(+NFL!$F224="Washington",+NFL!#REF!,IF(+NFL!$H224="Washington",+NFL!#REF!,0))</f>
        <v>0</v>
      </c>
      <c r="BH602" s="64">
        <f>IF(+NFL!$F224="Washington",+NFL!#REF!,IF(+NFL!$H224="Washington",+NFL!#REF!,0))</f>
        <v>0</v>
      </c>
      <c r="BI602" s="46">
        <f>IF(+NFL!$F224="Washington",+NFL!#REF!,IF(+NFL!$H224="Washington",+NFL!#REF!,0))</f>
        <v>0</v>
      </c>
      <c r="BJ602" s="87">
        <f>IF(+NFL!$F224="Washington",+NFL!#REF!,IF(+NFL!$H224="Washington",+NFL!#REF!,0))</f>
        <v>0</v>
      </c>
      <c r="BK602" s="120">
        <f>IF(+NFL!$F224="Washington",+NFL!#REF!,IF(+NFL!$H224="Washington",+NFL!#REF!,0))</f>
        <v>0</v>
      </c>
    </row>
    <row r="603" spans="1:63" s="246" customFormat="1" x14ac:dyDescent="0.8">
      <c r="A603" s="46">
        <f>IF(+NFL!$F264="Washington",+NFL!A264,IF(+NFL!$H264="Washington",+NFL!A264,0))</f>
        <v>14</v>
      </c>
      <c r="B603" s="348">
        <f>IF(+NFL!$F264="Washington",+NFL!B264,IF(+NFL!$H264="Washington",+NFL!B264,0))</f>
        <v>0</v>
      </c>
      <c r="C603" s="48">
        <f>IF(+NFL!$F264="Washington",+NFL!C264,IF(+NFL!$H264="Washington",+NFL!C264,0))</f>
        <v>0</v>
      </c>
      <c r="D603" s="490">
        <f>IF(+NFL!$F264="Washington",+NFL!D264,IF(+NFL!$H264="Washington",+NFL!D264,0))</f>
        <v>0</v>
      </c>
      <c r="E603" s="46">
        <f>IF(+NFL!$F264="Washington",+NFL!E264,IF(+NFL!$H264="Washington",+NFL!E264,0))</f>
        <v>0</v>
      </c>
      <c r="F603" s="127" t="str">
        <f>IF(+NFL!$F264="Washington",+NFL!F264,IF(+NFL!$H264="Washington",+NFL!F264,0))</f>
        <v>Washington</v>
      </c>
      <c r="G603" s="46" t="str">
        <f>IF(+NFL!$F264="Washington",+NFL!G264,IF(+NFL!$H264="Washington",+NFL!G264,0))</f>
        <v>NFCE</v>
      </c>
      <c r="H603" s="127">
        <f>IF(+NFL!$F264="Washington",+NFL!H264,IF(+NFL!$H264="Washington",+NFL!H264,0))</f>
        <v>0</v>
      </c>
      <c r="I603" s="46">
        <f>IF(+NFL!$F264="Washington",+NFL!I264,IF(+NFL!$H264="Washington",+NFL!I264,0))</f>
        <v>0</v>
      </c>
      <c r="J603" s="353">
        <f>IF(+NFL!$F264="Washington",+NFL!J264,IF(+NFL!$H264="Washington",+NFL!J264,0))</f>
        <v>0</v>
      </c>
      <c r="K603" s="494">
        <f>IF(+NFL!$F264="Washington",+NFL!K264,IF(+NFL!$H264="Washington",+NFL!K264,0))</f>
        <v>0</v>
      </c>
      <c r="L603" s="384">
        <f>IF(+NFL!$F264="Washington",+NFL!L264,IF(+NFL!$H264="Washington",+NFL!L264,0))</f>
        <v>0</v>
      </c>
      <c r="M603" s="385">
        <f>IF(+NFL!$F264="Washington",+NFL!M264,IF(+NFL!$H264="Washington",+NFL!M264,0))</f>
        <v>0</v>
      </c>
      <c r="N603" s="394">
        <f>IF(+NFL!$F264="Washington",+NFL!N264,IF(+NFL!$H264="Washington",+NFL!N264,0))</f>
        <v>0</v>
      </c>
      <c r="O603" s="395">
        <f>IF(+NFL!$F264="Washington",+NFL!O264,IF(+NFL!$H264="Washington",+NFL!O264,0))</f>
        <v>0</v>
      </c>
      <c r="P603" s="394">
        <f>IF(+NFL!$F264="Washington",+NFL!P264,IF(+NFL!$H264="Washington",+NFL!P264,0))</f>
        <v>0</v>
      </c>
      <c r="Q603" s="396">
        <f>IF(+NFL!$F264="Washington",+NFL!Q264,IF(+NFL!$H264="Washington",+NFL!Q264,0))</f>
        <v>0</v>
      </c>
      <c r="R603" s="397">
        <f>IF(+NFL!$F264="Washington",+NFL!R264,IF(+NFL!$H264="Washington",+NFL!R264,0))</f>
        <v>0</v>
      </c>
      <c r="S603" s="396">
        <f>IF(+NFL!$F264="Washington",+NFL!S264,IF(+NFL!$H264="Washington",+NFL!S264,0))</f>
        <v>0</v>
      </c>
      <c r="T603" s="398">
        <f>IF(+NFL!$F264="Washington",+NFL!T264,IF(+NFL!$H264="Washington",+NFL!T264,0))</f>
        <v>0</v>
      </c>
      <c r="U603" s="396">
        <f>IF(+NFL!$F264="Washington",+NFL!U264,IF(+NFL!$H264="Washington",+NFL!U264,0))</f>
        <v>0</v>
      </c>
      <c r="V603" s="397">
        <f>IF(+NFL!$F248="Washington",+NFL!#REF!,IF(+NFL!$H248="Washington",+NFL!#REF!,0))</f>
        <v>0</v>
      </c>
      <c r="W603" s="396">
        <f>IF(+NFL!$F248="Washington",+NFL!#REF!,IF(+NFL!$H248="Washington",+NFL!#REF!,0))</f>
        <v>0</v>
      </c>
      <c r="X603" s="398">
        <f>IF(+NFL!$F248="Washington",+NFL!#REF!,IF(+NFL!$H248="Washington",+NFL!#REF!,0))</f>
        <v>0</v>
      </c>
      <c r="Y603" s="396">
        <f>IF(+NFL!$F248="Washington",+NFL!#REF!,IF(+NFL!$H248="Washington",+NFL!#REF!,0))</f>
        <v>0</v>
      </c>
      <c r="Z603" s="397">
        <f>IF(+NFL!$F248="Washington",+NFL!#REF!,IF(+NFL!$H248="Washington",+NFL!#REF!,0))</f>
        <v>0</v>
      </c>
      <c r="AA603" s="396">
        <f>IF(+NFL!$F248="Washington",+NFL!#REF!,IF(+NFL!$H248="Washington",+NFL!#REF!,0))</f>
        <v>0</v>
      </c>
      <c r="AB603" s="87">
        <f>IF(+NFL!$F248="Washington",+NFL!#REF!,IF(+NFL!$H248="Washington",+NFL!#REF!,0))</f>
        <v>0</v>
      </c>
      <c r="AC603" s="120">
        <f>IF(+NFL!$F248="Washington",+NFL!#REF!,IF(+NFL!$H248="Washington",+NFL!#REF!,0))</f>
        <v>0</v>
      </c>
      <c r="AD603" s="353">
        <f>IF(+NFL!$F248="Washington",+NFL!#REF!,IF(+NFL!$H248="Washington",+NFL!#REF!,0))</f>
        <v>0</v>
      </c>
      <c r="AE603" s="379">
        <f>IF(+NFL!$F248="Washington",+NFL!#REF!,IF(+NFL!$H248="Washington",+NFL!#REF!,0))</f>
        <v>0</v>
      </c>
      <c r="AF603" s="353">
        <f>IF(+NFL!$F248="Washington",+NFL!#REF!,IF(+NFL!$H248="Washington",+NFL!#REF!,0))</f>
        <v>0</v>
      </c>
      <c r="AG603" s="379">
        <f>IF(+NFL!$F248="Washington",+NFL!#REF!,IF(+NFL!$H248="Washington",+NFL!#REF!,0))</f>
        <v>0</v>
      </c>
      <c r="AH603" s="353">
        <f>IF(+NFL!$F248="Washington",+NFL!#REF!,IF(+NFL!$H248="Washington",+NFL!#REF!,0))</f>
        <v>0</v>
      </c>
      <c r="AI603" s="379">
        <f>IF(+NFL!$F248="Washington",+NFL!#REF!,IF(+NFL!$H248="Washington",+NFL!#REF!,0))</f>
        <v>0</v>
      </c>
      <c r="AJ603" s="353">
        <f>IF(+NFL!$F248="Washington",+NFL!#REF!,IF(+NFL!$H248="Washington",+NFL!#REF!,0))</f>
        <v>0</v>
      </c>
      <c r="AK603" s="379">
        <f>IF(+NFL!$F248="Washington",+NFL!#REF!,IF(+NFL!$H248="Washington",+NFL!#REF!,0))</f>
        <v>0</v>
      </c>
      <c r="AL603" s="68">
        <f>IF(+NFL!$F248="Washington",+NFL!#REF!,IF(+NFL!$H248="Washington",+NFL!#REF!,0))</f>
        <v>0</v>
      </c>
      <c r="AM603" s="58">
        <f>IF(+NFL!$F248="Washington",+NFL!#REF!,IF(+NFL!$H248="Washington",+NFL!#REF!,0))</f>
        <v>0</v>
      </c>
      <c r="AN603" s="57">
        <f>IF(+NFL!$F248="Washington",+NFL!#REF!,IF(+NFL!$H248="Washington",+NFL!#REF!,0))</f>
        <v>0</v>
      </c>
      <c r="AO603" s="59">
        <f>IF(+NFL!$F248="Washington",+NFL!#REF!,IF(+NFL!$H248="Washington",+NFL!#REF!,0))</f>
        <v>0</v>
      </c>
      <c r="AP603" s="348">
        <f>IF(+NFL!$F248="Washington",+NFL!#REF!,IF(+NFL!$H248="Washington",+NFL!#REF!,0))</f>
        <v>0</v>
      </c>
      <c r="AQ603" s="48">
        <f>IF(+NFL!$F248="Washington",+NFL!#REF!,IF(+NFL!$H248="Washington",+NFL!#REF!,0))</f>
        <v>0</v>
      </c>
      <c r="AR603" s="57">
        <f>IF(+NFL!$F248="Washington",+NFL!#REF!,IF(+NFL!$H248="Washington",+NFL!#REF!,0))</f>
        <v>0</v>
      </c>
      <c r="AS603" s="64">
        <f>IF(+NFL!$F248="Washington",+NFL!#REF!,IF(+NFL!$H248="Washington",+NFL!#REF!,0))</f>
        <v>0</v>
      </c>
      <c r="AT603" s="64">
        <f>IF(+NFL!$F248="Washington",+NFL!#REF!,IF(+NFL!$H248="Washington",+NFL!#REF!,0))</f>
        <v>0</v>
      </c>
      <c r="AU603" s="57">
        <f>IF(+NFL!$F248="Washington",+NFL!#REF!,IF(+NFL!$H248="Washington",+NFL!#REF!,0))</f>
        <v>0</v>
      </c>
      <c r="AV603" s="64">
        <f>IF(+NFL!$F248="Washington",+NFL!#REF!,IF(+NFL!$H248="Washington",+NFL!#REF!,0))</f>
        <v>0</v>
      </c>
      <c r="AW603" s="46">
        <f>IF(+NFL!$F248="Washington",+NFL!#REF!,IF(+NFL!$H248="Washington",+NFL!#REF!,0))</f>
        <v>0</v>
      </c>
      <c r="AX603" s="64">
        <f>IF(+NFL!$F248="Washington",+NFL!#REF!,IF(+NFL!$H248="Washington",+NFL!#REF!,0))</f>
        <v>0</v>
      </c>
      <c r="AY603" s="57">
        <f>IF(+NFL!$F248="Washington",+NFL!#REF!,IF(+NFL!$H248="Washington",+NFL!#REF!,0))</f>
        <v>0</v>
      </c>
      <c r="AZ603" s="64">
        <f>IF(+NFL!$F248="Washington",+NFL!#REF!,IF(+NFL!$H248="Washington",+NFL!#REF!,0))</f>
        <v>0</v>
      </c>
      <c r="BA603" s="46">
        <f>IF(+NFL!$F248="Washington",+NFL!#REF!,IF(+NFL!$H248="Washington",+NFL!#REF!,0))</f>
        <v>0</v>
      </c>
      <c r="BB603" s="46">
        <f>IF(+NFL!$F248="Washington",+NFL!#REF!,IF(+NFL!$H248="Washington",+NFL!#REF!,0))</f>
        <v>0</v>
      </c>
      <c r="BC603" s="403">
        <f>IF(+NFL!$F248="Washington",+NFL!#REF!,IF(+NFL!$H248="Washington",+NFL!#REF!,0))</f>
        <v>0</v>
      </c>
      <c r="BD603" s="57">
        <f>IF(+NFL!$F248="Washington",+NFL!#REF!,IF(+NFL!$H248="Washington",+NFL!#REF!,0))</f>
        <v>0</v>
      </c>
      <c r="BE603" s="64">
        <f>IF(+NFL!$F248="Washington",+NFL!#REF!,IF(+NFL!$H248="Washington",+NFL!#REF!,0))</f>
        <v>0</v>
      </c>
      <c r="BF603" s="46">
        <f>IF(+NFL!$F248="Washington",+NFL!#REF!,IF(+NFL!$H248="Washington",+NFL!#REF!,0))</f>
        <v>0</v>
      </c>
      <c r="BG603" s="57">
        <f>IF(+NFL!$F248="Washington",+NFL!#REF!,IF(+NFL!$H248="Washington",+NFL!#REF!,0))</f>
        <v>0</v>
      </c>
      <c r="BH603" s="64">
        <f>IF(+NFL!$F248="Washington",+NFL!#REF!,IF(+NFL!$H248="Washington",+NFL!#REF!,0))</f>
        <v>0</v>
      </c>
      <c r="BI603" s="46">
        <f>IF(+NFL!$F248="Washington",+NFL!#REF!,IF(+NFL!$H248="Washington",+NFL!#REF!,0))</f>
        <v>0</v>
      </c>
      <c r="BJ603" s="87">
        <f>IF(+NFL!$F248="Washington",+NFL!#REF!,IF(+NFL!$H248="Washington",+NFL!#REF!,0))</f>
        <v>0</v>
      </c>
      <c r="BK603" s="120">
        <f>IF(+NFL!$F248="Washington",+NFL!#REF!,IF(+NFL!$H248="Washington",+NFL!#REF!,0))</f>
        <v>0</v>
      </c>
    </row>
    <row r="604" spans="1:63" s="246" customFormat="1" x14ac:dyDescent="0.8">
      <c r="A604" s="46">
        <f>IF(+NFL!$F271="Washington",+NFL!A271,IF(+NFL!$H271="Washington",+NFL!A271,0))</f>
        <v>15</v>
      </c>
      <c r="B604" s="348" t="str">
        <f>IF(+NFL!$F271="Washington",+NFL!B271,IF(+NFL!$H271="Washington",+NFL!B271,0))</f>
        <v>Sun</v>
      </c>
      <c r="C604" s="48">
        <f>IF(+NFL!$F271="Washington",+NFL!C271,IF(+NFL!$H271="Washington",+NFL!C271,0))</f>
        <v>44913</v>
      </c>
      <c r="D604" s="490">
        <f>IF(+NFL!$F271="Washington",+NFL!D271,IF(+NFL!$H271="Washington",+NFL!D271,0))</f>
        <v>0.54166666666666663</v>
      </c>
      <c r="E604" s="46" t="str">
        <f>IF(+NFL!$F271="Washington",+NFL!E271,IF(+NFL!$H271="Washington",+NFL!E271,0))</f>
        <v>Fox</v>
      </c>
      <c r="F604" s="127" t="str">
        <f>IF(+NFL!$F271="Washington",+NFL!F271,IF(+NFL!$H271="Washington",+NFL!F271,0))</f>
        <v>NY Giants</v>
      </c>
      <c r="G604" s="46" t="str">
        <f>IF(+NFL!$F271="Washington",+NFL!G271,IF(+NFL!$H271="Washington",+NFL!G271,0))</f>
        <v>NFCE</v>
      </c>
      <c r="H604" s="127" t="str">
        <f>IF(+NFL!$F271="Washington",+NFL!H271,IF(+NFL!$H271="Washington",+NFL!H271,0))</f>
        <v>Washington</v>
      </c>
      <c r="I604" s="46" t="str">
        <f>IF(+NFL!$F271="Washington",+NFL!I271,IF(+NFL!$H271="Washington",+NFL!I271,0))</f>
        <v>NFCE</v>
      </c>
      <c r="J604" s="353" t="str">
        <f>IF(+NFL!$F271="Washington",+NFL!J271,IF(+NFL!$H271="Washington",+NFL!J271,0))</f>
        <v>Washington</v>
      </c>
      <c r="K604" s="494" t="str">
        <f>IF(+NFL!$F271="Washington",+NFL!K271,IF(+NFL!$H271="Washington",+NFL!K271,0))</f>
        <v>NY Giants</v>
      </c>
      <c r="L604" s="384">
        <f>IF(+NFL!$F271="Washington",+NFL!L271,IF(+NFL!$H271="Washington",+NFL!L271,0))</f>
        <v>3.5</v>
      </c>
      <c r="M604" s="385">
        <f>IF(+NFL!$F271="Washington",+NFL!M271,IF(+NFL!$H271="Washington",+NFL!M271,0))</f>
        <v>40</v>
      </c>
      <c r="N604" s="394" t="str">
        <f>IF(+NFL!$F271="Washington",+NFL!N271,IF(+NFL!$H271="Washington",+NFL!N271,0))</f>
        <v>NY Giants</v>
      </c>
      <c r="O604" s="395">
        <f>IF(+NFL!$F271="Washington",+NFL!O271,IF(+NFL!$H271="Washington",+NFL!O271,0))</f>
        <v>20</v>
      </c>
      <c r="P604" s="394" t="str">
        <f>IF(+NFL!$F271="Washington",+NFL!P271,IF(+NFL!$H271="Washington",+NFL!P271,0))</f>
        <v>Washington</v>
      </c>
      <c r="Q604" s="396">
        <f>IF(+NFL!$F271="Washington",+NFL!Q271,IF(+NFL!$H271="Washington",+NFL!Q271,0))</f>
        <v>12</v>
      </c>
      <c r="R604" s="397" t="str">
        <f>IF(+NFL!$F271="Washington",+NFL!R271,IF(+NFL!$H271="Washington",+NFL!R271,0))</f>
        <v>NY Giants</v>
      </c>
      <c r="S604" s="396" t="str">
        <f>IF(+NFL!$F271="Washington",+NFL!S271,IF(+NFL!$H271="Washington",+NFL!S271,0))</f>
        <v>Washington</v>
      </c>
      <c r="T604" s="398">
        <f>IF(+NFL!$F271="Washington",+NFL!T271,IF(+NFL!$H271="Washington",+NFL!T271,0))</f>
        <v>0</v>
      </c>
      <c r="U604" s="396" t="str">
        <f>IF(+NFL!$F271="Washington",+NFL!U271,IF(+NFL!$H271="Washington",+NFL!U271,0))</f>
        <v>L</v>
      </c>
      <c r="V604" s="397">
        <f>IF(+NFL!$F273="Washington",+NFL!#REF!,IF(+NFL!$H273="Washington",+NFL!#REF!,0))</f>
        <v>0</v>
      </c>
      <c r="W604" s="396">
        <f>IF(+NFL!$F273="Washington",+NFL!#REF!,IF(+NFL!$H273="Washington",+NFL!#REF!,0))</f>
        <v>0</v>
      </c>
      <c r="X604" s="398">
        <f>IF(+NFL!$F273="Washington",+NFL!#REF!,IF(+NFL!$H273="Washington",+NFL!#REF!,0))</f>
        <v>0</v>
      </c>
      <c r="Y604" s="396">
        <f>IF(+NFL!$F273="Washington",+NFL!#REF!,IF(+NFL!$H273="Washington",+NFL!#REF!,0))</f>
        <v>0</v>
      </c>
      <c r="Z604" s="397">
        <f>IF(+NFL!$F273="Washington",+NFL!#REF!,IF(+NFL!$H273="Washington",+NFL!#REF!,0))</f>
        <v>0</v>
      </c>
      <c r="AA604" s="396">
        <f>IF(+NFL!$F273="Washington",+NFL!#REF!,IF(+NFL!$H273="Washington",+NFL!#REF!,0))</f>
        <v>0</v>
      </c>
      <c r="AB604" s="87">
        <f>IF(+NFL!$F273="Washington",+NFL!#REF!,IF(+NFL!$H273="Washington",+NFL!#REF!,0))</f>
        <v>0</v>
      </c>
      <c r="AC604" s="120">
        <f>IF(+NFL!$F273="Washington",+NFL!#REF!,IF(+NFL!$H273="Washington",+NFL!#REF!,0))</f>
        <v>0</v>
      </c>
      <c r="AD604" s="353">
        <f>IF(+NFL!$F273="Washington",+NFL!#REF!,IF(+NFL!$H273="Washington",+NFL!#REF!,0))</f>
        <v>0</v>
      </c>
      <c r="AE604" s="379">
        <f>IF(+NFL!$F273="Washington",+NFL!#REF!,IF(+NFL!$H273="Washington",+NFL!#REF!,0))</f>
        <v>0</v>
      </c>
      <c r="AF604" s="353">
        <f>IF(+NFL!$F273="Washington",+NFL!#REF!,IF(+NFL!$H273="Washington",+NFL!#REF!,0))</f>
        <v>0</v>
      </c>
      <c r="AG604" s="379">
        <f>IF(+NFL!$F273="Washington",+NFL!#REF!,IF(+NFL!$H273="Washington",+NFL!#REF!,0))</f>
        <v>0</v>
      </c>
      <c r="AH604" s="353">
        <f>IF(+NFL!$F273="Washington",+NFL!#REF!,IF(+NFL!$H273="Washington",+NFL!#REF!,0))</f>
        <v>0</v>
      </c>
      <c r="AI604" s="379">
        <f>IF(+NFL!$F273="Washington",+NFL!#REF!,IF(+NFL!$H273="Washington",+NFL!#REF!,0))</f>
        <v>0</v>
      </c>
      <c r="AJ604" s="353">
        <f>IF(+NFL!$F273="Washington",+NFL!#REF!,IF(+NFL!$H273="Washington",+NFL!#REF!,0))</f>
        <v>0</v>
      </c>
      <c r="AK604" s="379">
        <f>IF(+NFL!$F273="Washington",+NFL!#REF!,IF(+NFL!$H273="Washington",+NFL!#REF!,0))</f>
        <v>0</v>
      </c>
      <c r="AL604" s="68">
        <f>IF(+NFL!$F273="Washington",+NFL!#REF!,IF(+NFL!$H273="Washington",+NFL!#REF!,0))</f>
        <v>0</v>
      </c>
      <c r="AM604" s="58">
        <f>IF(+NFL!$F273="Washington",+NFL!#REF!,IF(+NFL!$H273="Washington",+NFL!#REF!,0))</f>
        <v>0</v>
      </c>
      <c r="AN604" s="57">
        <f>IF(+NFL!$F273="Washington",+NFL!#REF!,IF(+NFL!$H273="Washington",+NFL!#REF!,0))</f>
        <v>0</v>
      </c>
      <c r="AO604" s="59">
        <f>IF(+NFL!$F273="Washington",+NFL!#REF!,IF(+NFL!$H273="Washington",+NFL!#REF!,0))</f>
        <v>0</v>
      </c>
      <c r="AP604" s="348">
        <f>IF(+NFL!$F273="Washington",+NFL!#REF!,IF(+NFL!$H273="Washington",+NFL!#REF!,0))</f>
        <v>0</v>
      </c>
      <c r="AQ604" s="48">
        <f>IF(+NFL!$F273="Washington",+NFL!#REF!,IF(+NFL!$H273="Washington",+NFL!#REF!,0))</f>
        <v>0</v>
      </c>
      <c r="AR604" s="57">
        <f>IF(+NFL!$F273="Washington",+NFL!#REF!,IF(+NFL!$H273="Washington",+NFL!#REF!,0))</f>
        <v>0</v>
      </c>
      <c r="AS604" s="64">
        <f>IF(+NFL!$F273="Washington",+NFL!#REF!,IF(+NFL!$H273="Washington",+NFL!#REF!,0))</f>
        <v>0</v>
      </c>
      <c r="AT604" s="64">
        <f>IF(+NFL!$F273="Washington",+NFL!#REF!,IF(+NFL!$H273="Washington",+NFL!#REF!,0))</f>
        <v>0</v>
      </c>
      <c r="AU604" s="57">
        <f>IF(+NFL!$F273="Washington",+NFL!#REF!,IF(+NFL!$H273="Washington",+NFL!#REF!,0))</f>
        <v>0</v>
      </c>
      <c r="AV604" s="64">
        <f>IF(+NFL!$F273="Washington",+NFL!#REF!,IF(+NFL!$H273="Washington",+NFL!#REF!,0))</f>
        <v>0</v>
      </c>
      <c r="AW604" s="46">
        <f>IF(+NFL!$F273="Washington",+NFL!#REF!,IF(+NFL!$H273="Washington",+NFL!#REF!,0))</f>
        <v>0</v>
      </c>
      <c r="AX604" s="64">
        <f>IF(+NFL!$F273="Washington",+NFL!#REF!,IF(+NFL!$H273="Washington",+NFL!#REF!,0))</f>
        <v>0</v>
      </c>
      <c r="AY604" s="57">
        <f>IF(+NFL!$F273="Washington",+NFL!#REF!,IF(+NFL!$H273="Washington",+NFL!#REF!,0))</f>
        <v>0</v>
      </c>
      <c r="AZ604" s="64">
        <f>IF(+NFL!$F273="Washington",+NFL!#REF!,IF(+NFL!$H273="Washington",+NFL!#REF!,0))</f>
        <v>0</v>
      </c>
      <c r="BA604" s="46">
        <f>IF(+NFL!$F273="Washington",+NFL!#REF!,IF(+NFL!$H273="Washington",+NFL!#REF!,0))</f>
        <v>0</v>
      </c>
      <c r="BB604" s="46">
        <f>IF(+NFL!$F273="Washington",+NFL!#REF!,IF(+NFL!$H273="Washington",+NFL!#REF!,0))</f>
        <v>0</v>
      </c>
      <c r="BC604" s="403">
        <f>IF(+NFL!$F273="Washington",+NFL!#REF!,IF(+NFL!$H273="Washington",+NFL!#REF!,0))</f>
        <v>0</v>
      </c>
      <c r="BD604" s="57">
        <f>IF(+NFL!$F273="Washington",+NFL!#REF!,IF(+NFL!$H273="Washington",+NFL!#REF!,0))</f>
        <v>0</v>
      </c>
      <c r="BE604" s="64">
        <f>IF(+NFL!$F273="Washington",+NFL!#REF!,IF(+NFL!$H273="Washington",+NFL!#REF!,0))</f>
        <v>0</v>
      </c>
      <c r="BF604" s="46">
        <f>IF(+NFL!$F273="Washington",+NFL!#REF!,IF(+NFL!$H273="Washington",+NFL!#REF!,0))</f>
        <v>0</v>
      </c>
      <c r="BG604" s="57">
        <f>IF(+NFL!$F273="Washington",+NFL!#REF!,IF(+NFL!$H273="Washington",+NFL!#REF!,0))</f>
        <v>0</v>
      </c>
      <c r="BH604" s="64">
        <f>IF(+NFL!$F273="Washington",+NFL!#REF!,IF(+NFL!$H273="Washington",+NFL!#REF!,0))</f>
        <v>0</v>
      </c>
      <c r="BI604" s="46">
        <f>IF(+NFL!$F273="Washington",+NFL!#REF!,IF(+NFL!$H273="Washington",+NFL!#REF!,0))</f>
        <v>0</v>
      </c>
      <c r="BJ604" s="87">
        <f>IF(+NFL!$F273="Washington",+NFL!#REF!,IF(+NFL!$H273="Washington",+NFL!#REF!,0))</f>
        <v>0</v>
      </c>
      <c r="BK604" s="120">
        <f>IF(+NFL!$F273="Washington",+NFL!#REF!,IF(+NFL!$H273="Washington",+NFL!#REF!,0))</f>
        <v>0</v>
      </c>
    </row>
    <row r="605" spans="1:63" s="246" customFormat="1" x14ac:dyDescent="0.8">
      <c r="A605" s="46">
        <f>IF(+NFL!$F292="Washington",+NFL!A292,IF(+NFL!$H292="Washington",+NFL!A292,0))</f>
        <v>16</v>
      </c>
      <c r="B605" s="348" t="str">
        <f>IF(+NFL!$F292="Washington",+NFL!B292,IF(+NFL!$H292="Washington",+NFL!B292,0))</f>
        <v>Sat</v>
      </c>
      <c r="C605" s="48">
        <f>IF(+NFL!$F292="Washington",+NFL!C292,IF(+NFL!$H292="Washington",+NFL!C292,0))</f>
        <v>44919</v>
      </c>
      <c r="D605" s="490">
        <f>IF(+NFL!$F292="Washington",+NFL!D292,IF(+NFL!$H292="Washington",+NFL!D292,0))</f>
        <v>0.66666666666666663</v>
      </c>
      <c r="E605" s="46" t="str">
        <f>IF(+NFL!$F292="Washington",+NFL!E292,IF(+NFL!$H292="Washington",+NFL!E292,0))</f>
        <v>Fox</v>
      </c>
      <c r="F605" s="127" t="str">
        <f>IF(+NFL!$F292="Washington",+NFL!F292,IF(+NFL!$H292="Washington",+NFL!F292,0))</f>
        <v>Washington</v>
      </c>
      <c r="G605" s="46" t="str">
        <f>IF(+NFL!$F292="Washington",+NFL!G292,IF(+NFL!$H292="Washington",+NFL!G292,0))</f>
        <v>NFCE</v>
      </c>
      <c r="H605" s="127" t="str">
        <f>IF(+NFL!$F292="Washington",+NFL!H292,IF(+NFL!$H292="Washington",+NFL!H292,0))</f>
        <v>San Francisco</v>
      </c>
      <c r="I605" s="46" t="str">
        <f>IF(+NFL!$F292="Washington",+NFL!I292,IF(+NFL!$H292="Washington",+NFL!I292,0))</f>
        <v>NFCW</v>
      </c>
      <c r="J605" s="353" t="str">
        <f>IF(+NFL!$F292="Washington",+NFL!J292,IF(+NFL!$H292="Washington",+NFL!J292,0))</f>
        <v>San Francisco</v>
      </c>
      <c r="K605" s="494" t="str">
        <f>IF(+NFL!$F292="Washington",+NFL!K292,IF(+NFL!$H292="Washington",+NFL!K292,0))</f>
        <v>Washington</v>
      </c>
      <c r="L605" s="384">
        <f>IF(+NFL!$F292="Washington",+NFL!L292,IF(+NFL!$H292="Washington",+NFL!L292,0))</f>
        <v>6.5</v>
      </c>
      <c r="M605" s="385">
        <f>IF(+NFL!$F292="Washington",+NFL!M292,IF(+NFL!$H292="Washington",+NFL!M292,0))</f>
        <v>37.5</v>
      </c>
      <c r="N605" s="394" t="str">
        <f>IF(+NFL!$F292="Washington",+NFL!N292,IF(+NFL!$H292="Washington",+NFL!N292,0))</f>
        <v>San Francisco</v>
      </c>
      <c r="O605" s="395">
        <f>IF(+NFL!$F292="Washington",+NFL!O292,IF(+NFL!$H292="Washington",+NFL!O292,0))</f>
        <v>37</v>
      </c>
      <c r="P605" s="394" t="str">
        <f>IF(+NFL!$F292="Washington",+NFL!P292,IF(+NFL!$H292="Washington",+NFL!P292,0))</f>
        <v>Washington</v>
      </c>
      <c r="Q605" s="396">
        <f>IF(+NFL!$F292="Washington",+NFL!Q292,IF(+NFL!$H292="Washington",+NFL!Q292,0))</f>
        <v>20</v>
      </c>
      <c r="R605" s="397" t="str">
        <f>IF(+NFL!$F292="Washington",+NFL!R292,IF(+NFL!$H292="Washington",+NFL!R292,0))</f>
        <v>San Francisco</v>
      </c>
      <c r="S605" s="396" t="str">
        <f>IF(+NFL!$F292="Washington",+NFL!S292,IF(+NFL!$H292="Washington",+NFL!S292,0))</f>
        <v>Washington</v>
      </c>
      <c r="T605" s="398">
        <f>IF(+NFL!$F292="Washington",+NFL!T292,IF(+NFL!$H292="Washington",+NFL!T292,0))</f>
        <v>0</v>
      </c>
      <c r="U605" s="396" t="str">
        <f>IF(+NFL!$F292="Washington",+NFL!U292,IF(+NFL!$H292="Washington",+NFL!U292,0))</f>
        <v>L</v>
      </c>
      <c r="V605" s="397">
        <f>IF(+NFL!$F287="Washington",+NFL!#REF!,IF(+NFL!$H287="Washington",+NFL!#REF!,0))</f>
        <v>0</v>
      </c>
      <c r="W605" s="396">
        <f>IF(+NFL!$F287="Washington",+NFL!#REF!,IF(+NFL!$H287="Washington",+NFL!#REF!,0))</f>
        <v>0</v>
      </c>
      <c r="X605" s="398">
        <f>IF(+NFL!$F287="Washington",+NFL!#REF!,IF(+NFL!$H287="Washington",+NFL!#REF!,0))</f>
        <v>0</v>
      </c>
      <c r="Y605" s="396">
        <f>IF(+NFL!$F287="Washington",+NFL!#REF!,IF(+NFL!$H287="Washington",+NFL!#REF!,0))</f>
        <v>0</v>
      </c>
      <c r="Z605" s="397">
        <f>IF(+NFL!$F287="Washington",+NFL!#REF!,IF(+NFL!$H287="Washington",+NFL!#REF!,0))</f>
        <v>0</v>
      </c>
      <c r="AA605" s="396">
        <f>IF(+NFL!$F287="Washington",+NFL!#REF!,IF(+NFL!$H287="Washington",+NFL!#REF!,0))</f>
        <v>0</v>
      </c>
      <c r="AB605" s="87">
        <f>IF(+NFL!$F287="Washington",+NFL!#REF!,IF(+NFL!$H287="Washington",+NFL!#REF!,0))</f>
        <v>0</v>
      </c>
      <c r="AC605" s="120">
        <f>IF(+NFL!$F287="Washington",+NFL!#REF!,IF(+NFL!$H287="Washington",+NFL!#REF!,0))</f>
        <v>0</v>
      </c>
      <c r="AD605" s="353">
        <f>IF(+NFL!$F287="Washington",+NFL!#REF!,IF(+NFL!$H287="Washington",+NFL!#REF!,0))</f>
        <v>0</v>
      </c>
      <c r="AE605" s="379">
        <f>IF(+NFL!$F287="Washington",+NFL!#REF!,IF(+NFL!$H287="Washington",+NFL!#REF!,0))</f>
        <v>0</v>
      </c>
      <c r="AF605" s="353">
        <f>IF(+NFL!$F287="Washington",+NFL!#REF!,IF(+NFL!$H287="Washington",+NFL!#REF!,0))</f>
        <v>0</v>
      </c>
      <c r="AG605" s="379">
        <f>IF(+NFL!$F287="Washington",+NFL!#REF!,IF(+NFL!$H287="Washington",+NFL!#REF!,0))</f>
        <v>0</v>
      </c>
      <c r="AH605" s="353">
        <f>IF(+NFL!$F287="Washington",+NFL!#REF!,IF(+NFL!$H287="Washington",+NFL!#REF!,0))</f>
        <v>0</v>
      </c>
      <c r="AI605" s="379">
        <f>IF(+NFL!$F287="Washington",+NFL!#REF!,IF(+NFL!$H287="Washington",+NFL!#REF!,0))</f>
        <v>0</v>
      </c>
      <c r="AJ605" s="353">
        <f>IF(+NFL!$F287="Washington",+NFL!#REF!,IF(+NFL!$H287="Washington",+NFL!#REF!,0))</f>
        <v>0</v>
      </c>
      <c r="AK605" s="379">
        <f>IF(+NFL!$F287="Washington",+NFL!#REF!,IF(+NFL!$H287="Washington",+NFL!#REF!,0))</f>
        <v>0</v>
      </c>
      <c r="AL605" s="68">
        <f>IF(+NFL!$F287="Washington",+NFL!#REF!,IF(+NFL!$H287="Washington",+NFL!#REF!,0))</f>
        <v>0</v>
      </c>
      <c r="AM605" s="58">
        <f>IF(+NFL!$F287="Washington",+NFL!#REF!,IF(+NFL!$H287="Washington",+NFL!#REF!,0))</f>
        <v>0</v>
      </c>
      <c r="AN605" s="57">
        <f>IF(+NFL!$F287="Washington",+NFL!#REF!,IF(+NFL!$H287="Washington",+NFL!#REF!,0))</f>
        <v>0</v>
      </c>
      <c r="AO605" s="59">
        <f>IF(+NFL!$F287="Washington",+NFL!#REF!,IF(+NFL!$H287="Washington",+NFL!#REF!,0))</f>
        <v>0</v>
      </c>
      <c r="AP605" s="348">
        <f>IF(+NFL!$F287="Washington",+NFL!#REF!,IF(+NFL!$H287="Washington",+NFL!#REF!,0))</f>
        <v>0</v>
      </c>
      <c r="AQ605" s="48">
        <f>IF(+NFL!$F287="Washington",+NFL!#REF!,IF(+NFL!$H287="Washington",+NFL!#REF!,0))</f>
        <v>0</v>
      </c>
      <c r="AR605" s="57">
        <f>IF(+NFL!$F287="Washington",+NFL!#REF!,IF(+NFL!$H287="Washington",+NFL!#REF!,0))</f>
        <v>0</v>
      </c>
      <c r="AS605" s="64">
        <f>IF(+NFL!$F287="Washington",+NFL!#REF!,IF(+NFL!$H287="Washington",+NFL!#REF!,0))</f>
        <v>0</v>
      </c>
      <c r="AT605" s="64">
        <f>IF(+NFL!$F287="Washington",+NFL!#REF!,IF(+NFL!$H287="Washington",+NFL!#REF!,0))</f>
        <v>0</v>
      </c>
      <c r="AU605" s="57">
        <f>IF(+NFL!$F287="Washington",+NFL!#REF!,IF(+NFL!$H287="Washington",+NFL!#REF!,0))</f>
        <v>0</v>
      </c>
      <c r="AV605" s="64">
        <f>IF(+NFL!$F287="Washington",+NFL!#REF!,IF(+NFL!$H287="Washington",+NFL!#REF!,0))</f>
        <v>0</v>
      </c>
      <c r="AW605" s="46">
        <f>IF(+NFL!$F287="Washington",+NFL!#REF!,IF(+NFL!$H287="Washington",+NFL!#REF!,0))</f>
        <v>0</v>
      </c>
      <c r="AX605" s="64">
        <f>IF(+NFL!$F287="Washington",+NFL!#REF!,IF(+NFL!$H287="Washington",+NFL!#REF!,0))</f>
        <v>0</v>
      </c>
      <c r="AY605" s="57">
        <f>IF(+NFL!$F287="Washington",+NFL!#REF!,IF(+NFL!$H287="Washington",+NFL!#REF!,0))</f>
        <v>0</v>
      </c>
      <c r="AZ605" s="64">
        <f>IF(+NFL!$F287="Washington",+NFL!#REF!,IF(+NFL!$H287="Washington",+NFL!#REF!,0))</f>
        <v>0</v>
      </c>
      <c r="BA605" s="46">
        <f>IF(+NFL!$F287="Washington",+NFL!#REF!,IF(+NFL!$H287="Washington",+NFL!#REF!,0))</f>
        <v>0</v>
      </c>
      <c r="BB605" s="46">
        <f>IF(+NFL!$F287="Washington",+NFL!#REF!,IF(+NFL!$H287="Washington",+NFL!#REF!,0))</f>
        <v>0</v>
      </c>
      <c r="BC605" s="403">
        <f>IF(+NFL!$F287="Washington",+NFL!#REF!,IF(+NFL!$H287="Washington",+NFL!#REF!,0))</f>
        <v>0</v>
      </c>
      <c r="BD605" s="57">
        <f>IF(+NFL!$F287="Washington",+NFL!#REF!,IF(+NFL!$H287="Washington",+NFL!#REF!,0))</f>
        <v>0</v>
      </c>
      <c r="BE605" s="64">
        <f>IF(+NFL!$F287="Washington",+NFL!#REF!,IF(+NFL!$H287="Washington",+NFL!#REF!,0))</f>
        <v>0</v>
      </c>
      <c r="BF605" s="46">
        <f>IF(+NFL!$F287="Washington",+NFL!#REF!,IF(+NFL!$H287="Washington",+NFL!#REF!,0))</f>
        <v>0</v>
      </c>
      <c r="BG605" s="57">
        <f>IF(+NFL!$F287="Washington",+NFL!#REF!,IF(+NFL!$H287="Washington",+NFL!#REF!,0))</f>
        <v>0</v>
      </c>
      <c r="BH605" s="64">
        <f>IF(+NFL!$F287="Washington",+NFL!#REF!,IF(+NFL!$H287="Washington",+NFL!#REF!,0))</f>
        <v>0</v>
      </c>
      <c r="BI605" s="46">
        <f>IF(+NFL!$F287="Washington",+NFL!#REF!,IF(+NFL!$H287="Washington",+NFL!#REF!,0))</f>
        <v>0</v>
      </c>
      <c r="BJ605" s="87">
        <f>IF(+NFL!$F287="Washington",+NFL!#REF!,IF(+NFL!$H287="Washington",+NFL!#REF!,0))</f>
        <v>0</v>
      </c>
      <c r="BK605" s="120">
        <f>IF(+NFL!$F287="Washington",+NFL!#REF!,IF(+NFL!$H287="Washington",+NFL!#REF!,0))</f>
        <v>0</v>
      </c>
    </row>
    <row r="606" spans="1:63" s="246" customFormat="1" x14ac:dyDescent="0.8">
      <c r="A606" s="46">
        <f>IF(+NFL!$F308="Washington",+NFL!A308,IF(+NFL!$H308="Washington",+NFL!A308,0))</f>
        <v>17</v>
      </c>
      <c r="B606" s="348" t="str">
        <f>IF(+NFL!$F308="Washington",+NFL!B308,IF(+NFL!$H308="Washington",+NFL!B308,0))</f>
        <v>Sun</v>
      </c>
      <c r="C606" s="48">
        <f>IF(+NFL!$F308="Washington",+NFL!C308,IF(+NFL!$H308="Washington",+NFL!C308,0))</f>
        <v>44927</v>
      </c>
      <c r="D606" s="490">
        <f>IF(+NFL!$F308="Washington",+NFL!D308,IF(+NFL!$H308="Washington",+NFL!D308,0))</f>
        <v>0.54166666666666663</v>
      </c>
      <c r="E606" s="46" t="str">
        <f>IF(+NFL!$F308="Washington",+NFL!E308,IF(+NFL!$H308="Washington",+NFL!E308,0))</f>
        <v>CBS</v>
      </c>
      <c r="F606" s="127" t="str">
        <f>IF(+NFL!$F308="Washington",+NFL!F308,IF(+NFL!$H308="Washington",+NFL!F308,0))</f>
        <v>Cleveland</v>
      </c>
      <c r="G606" s="46" t="str">
        <f>IF(+NFL!$F308="Washington",+NFL!G308,IF(+NFL!$H308="Washington",+NFL!G308,0))</f>
        <v>AFCN</v>
      </c>
      <c r="H606" s="127" t="str">
        <f>IF(+NFL!$F308="Washington",+NFL!H308,IF(+NFL!$H308="Washington",+NFL!H308,0))</f>
        <v>Washington</v>
      </c>
      <c r="I606" s="46" t="str">
        <f>IF(+NFL!$F308="Washington",+NFL!I308,IF(+NFL!$H308="Washington",+NFL!I308,0))</f>
        <v>NFCE</v>
      </c>
      <c r="J606" s="353" t="str">
        <f>IF(+NFL!$F308="Washington",+NFL!J308,IF(+NFL!$H308="Washington",+NFL!J308,0))</f>
        <v>Washington</v>
      </c>
      <c r="K606" s="494" t="str">
        <f>IF(+NFL!$F308="Washington",+NFL!K308,IF(+NFL!$H308="Washington",+NFL!K308,0))</f>
        <v>Cleveland</v>
      </c>
      <c r="L606" s="384">
        <f>IF(+NFL!$F308="Washington",+NFL!L308,IF(+NFL!$H308="Washington",+NFL!L308,0))</f>
        <v>1.5</v>
      </c>
      <c r="M606" s="385">
        <f>IF(+NFL!$F308="Washington",+NFL!M308,IF(+NFL!$H308="Washington",+NFL!M308,0))</f>
        <v>41.5</v>
      </c>
      <c r="N606" s="394" t="str">
        <f>IF(+NFL!$F308="Washington",+NFL!N308,IF(+NFL!$H308="Washington",+NFL!N308,0))</f>
        <v>Cleveland</v>
      </c>
      <c r="O606" s="395">
        <f>IF(+NFL!$F308="Washington",+NFL!O308,IF(+NFL!$H308="Washington",+NFL!O308,0))</f>
        <v>24</v>
      </c>
      <c r="P606" s="394" t="str">
        <f>IF(+NFL!$F308="Washington",+NFL!P308,IF(+NFL!$H308="Washington",+NFL!P308,0))</f>
        <v>Washington</v>
      </c>
      <c r="Q606" s="396">
        <f>IF(+NFL!$F308="Washington",+NFL!Q308,IF(+NFL!$H308="Washington",+NFL!Q308,0))</f>
        <v>10</v>
      </c>
      <c r="R606" s="397" t="str">
        <f>IF(+NFL!$F308="Washington",+NFL!R308,IF(+NFL!$H308="Washington",+NFL!R308,0))</f>
        <v>Cleveland</v>
      </c>
      <c r="S606" s="396" t="str">
        <f>IF(+NFL!$F308="Washington",+NFL!S308,IF(+NFL!$H308="Washington",+NFL!S308,0))</f>
        <v>Washington</v>
      </c>
      <c r="T606" s="398">
        <f>IF(+NFL!$F308="Washington",+NFL!T308,IF(+NFL!$H308="Washington",+NFL!T308,0))</f>
        <v>0</v>
      </c>
      <c r="U606" s="396" t="str">
        <f>IF(+NFL!$F308="Washington",+NFL!U308,IF(+NFL!$H308="Washington",+NFL!U308,0))</f>
        <v>L</v>
      </c>
      <c r="V606" s="397" t="e">
        <f>IF(+NFL!$F308="Washington",+NFL!#REF!,IF(+NFL!$H308="Washington",+NFL!#REF!,0))</f>
        <v>#REF!</v>
      </c>
      <c r="W606" s="396" t="e">
        <f>IF(+NFL!$F308="Washington",+NFL!#REF!,IF(+NFL!$H308="Washington",+NFL!#REF!,0))</f>
        <v>#REF!</v>
      </c>
      <c r="X606" s="398" t="e">
        <f>IF(+NFL!$F308="Washington",+NFL!#REF!,IF(+NFL!$H308="Washington",+NFL!#REF!,0))</f>
        <v>#REF!</v>
      </c>
      <c r="Y606" s="396" t="e">
        <f>IF(+NFL!$F308="Washington",+NFL!#REF!,IF(+NFL!$H308="Washington",+NFL!#REF!,0))</f>
        <v>#REF!</v>
      </c>
      <c r="Z606" s="397" t="e">
        <f>IF(+NFL!$F308="Washington",+NFL!#REF!,IF(+NFL!$H308="Washington",+NFL!#REF!,0))</f>
        <v>#REF!</v>
      </c>
      <c r="AA606" s="396" t="e">
        <f>IF(+NFL!$F308="Washington",+NFL!#REF!,IF(+NFL!$H308="Washington",+NFL!#REF!,0))</f>
        <v>#REF!</v>
      </c>
      <c r="AB606" s="87" t="e">
        <f>IF(+NFL!$F308="Washington",+NFL!#REF!,IF(+NFL!$H308="Washington",+NFL!#REF!,0))</f>
        <v>#REF!</v>
      </c>
      <c r="AC606" s="120" t="e">
        <f>IF(+NFL!$F308="Washington",+NFL!#REF!,IF(+NFL!$H308="Washington",+NFL!#REF!,0))</f>
        <v>#REF!</v>
      </c>
      <c r="AD606" s="353" t="e">
        <f>IF(+NFL!$F308="Washington",+NFL!#REF!,IF(+NFL!$H308="Washington",+NFL!#REF!,0))</f>
        <v>#REF!</v>
      </c>
      <c r="AE606" s="379" t="e">
        <f>IF(+NFL!$F308="Washington",+NFL!#REF!,IF(+NFL!$H308="Washington",+NFL!#REF!,0))</f>
        <v>#REF!</v>
      </c>
      <c r="AF606" s="353" t="e">
        <f>IF(+NFL!$F308="Washington",+NFL!#REF!,IF(+NFL!$H308="Washington",+NFL!#REF!,0))</f>
        <v>#REF!</v>
      </c>
      <c r="AG606" s="379" t="e">
        <f>IF(+NFL!$F308="Washington",+NFL!#REF!,IF(+NFL!$H308="Washington",+NFL!#REF!,0))</f>
        <v>#REF!</v>
      </c>
      <c r="AH606" s="353" t="e">
        <f>IF(+NFL!$F308="Washington",+NFL!#REF!,IF(+NFL!$H308="Washington",+NFL!#REF!,0))</f>
        <v>#REF!</v>
      </c>
      <c r="AI606" s="379" t="e">
        <f>IF(+NFL!$F308="Washington",+NFL!#REF!,IF(+NFL!$H308="Washington",+NFL!#REF!,0))</f>
        <v>#REF!</v>
      </c>
      <c r="AJ606" s="353" t="e">
        <f>IF(+NFL!$F308="Washington",+NFL!#REF!,IF(+NFL!$H308="Washington",+NFL!#REF!,0))</f>
        <v>#REF!</v>
      </c>
      <c r="AK606" s="379" t="e">
        <f>IF(+NFL!$F308="Washington",+NFL!#REF!,IF(+NFL!$H308="Washington",+NFL!#REF!,0))</f>
        <v>#REF!</v>
      </c>
      <c r="AL606" s="68" t="e">
        <f>IF(+NFL!$F308="Washington",+NFL!#REF!,IF(+NFL!$H308="Washington",+NFL!#REF!,0))</f>
        <v>#REF!</v>
      </c>
      <c r="AM606" s="58" t="e">
        <f>IF(+NFL!$F308="Washington",+NFL!#REF!,IF(+NFL!$H308="Washington",+NFL!#REF!,0))</f>
        <v>#REF!</v>
      </c>
      <c r="AN606" s="57" t="e">
        <f>IF(+NFL!$F308="Washington",+NFL!#REF!,IF(+NFL!$H308="Washington",+NFL!#REF!,0))</f>
        <v>#REF!</v>
      </c>
      <c r="AO606" s="59" t="e">
        <f>IF(+NFL!$F308="Washington",+NFL!#REF!,IF(+NFL!$H308="Washington",+NFL!#REF!,0))</f>
        <v>#REF!</v>
      </c>
      <c r="AP606" s="348" t="e">
        <f>IF(+NFL!$F308="Washington",+NFL!#REF!,IF(+NFL!$H308="Washington",+NFL!#REF!,0))</f>
        <v>#REF!</v>
      </c>
      <c r="AQ606" s="48" t="e">
        <f>IF(+NFL!$F308="Washington",+NFL!#REF!,IF(+NFL!$H308="Washington",+NFL!#REF!,0))</f>
        <v>#REF!</v>
      </c>
      <c r="AR606" s="57" t="e">
        <f>IF(+NFL!$F308="Washington",+NFL!#REF!,IF(+NFL!$H308="Washington",+NFL!#REF!,0))</f>
        <v>#REF!</v>
      </c>
      <c r="AS606" s="64" t="e">
        <f>IF(+NFL!$F308="Washington",+NFL!#REF!,IF(+NFL!$H308="Washington",+NFL!#REF!,0))</f>
        <v>#REF!</v>
      </c>
      <c r="AT606" s="64" t="e">
        <f>IF(+NFL!$F308="Washington",+NFL!#REF!,IF(+NFL!$H308="Washington",+NFL!#REF!,0))</f>
        <v>#REF!</v>
      </c>
      <c r="AU606" s="57" t="e">
        <f>IF(+NFL!$F308="Washington",+NFL!#REF!,IF(+NFL!$H308="Washington",+NFL!#REF!,0))</f>
        <v>#REF!</v>
      </c>
      <c r="AV606" s="64" t="e">
        <f>IF(+NFL!$F308="Washington",+NFL!#REF!,IF(+NFL!$H308="Washington",+NFL!#REF!,0))</f>
        <v>#REF!</v>
      </c>
      <c r="AW606" s="46" t="e">
        <f>IF(+NFL!$F308="Washington",+NFL!#REF!,IF(+NFL!$H308="Washington",+NFL!#REF!,0))</f>
        <v>#REF!</v>
      </c>
      <c r="AX606" s="64" t="e">
        <f>IF(+NFL!$F308="Washington",+NFL!#REF!,IF(+NFL!$H308="Washington",+NFL!#REF!,0))</f>
        <v>#REF!</v>
      </c>
      <c r="AY606" s="57" t="e">
        <f>IF(+NFL!$F308="Washington",+NFL!#REF!,IF(+NFL!$H308="Washington",+NFL!#REF!,0))</f>
        <v>#REF!</v>
      </c>
      <c r="AZ606" s="64" t="e">
        <f>IF(+NFL!$F308="Washington",+NFL!#REF!,IF(+NFL!$H308="Washington",+NFL!#REF!,0))</f>
        <v>#REF!</v>
      </c>
      <c r="BA606" s="46" t="e">
        <f>IF(+NFL!$F308="Washington",+NFL!#REF!,IF(+NFL!$H308="Washington",+NFL!#REF!,0))</f>
        <v>#REF!</v>
      </c>
      <c r="BB606" s="46" t="e">
        <f>IF(+NFL!$F308="Washington",+NFL!#REF!,IF(+NFL!$H308="Washington",+NFL!#REF!,0))</f>
        <v>#REF!</v>
      </c>
      <c r="BC606" s="403" t="e">
        <f>IF(+NFL!$F308="Washington",+NFL!#REF!,IF(+NFL!$H308="Washington",+NFL!#REF!,0))</f>
        <v>#REF!</v>
      </c>
      <c r="BD606" s="57" t="e">
        <f>IF(+NFL!$F308="Washington",+NFL!#REF!,IF(+NFL!$H308="Washington",+NFL!#REF!,0))</f>
        <v>#REF!</v>
      </c>
      <c r="BE606" s="64" t="e">
        <f>IF(+NFL!$F308="Washington",+NFL!#REF!,IF(+NFL!$H308="Washington",+NFL!#REF!,0))</f>
        <v>#REF!</v>
      </c>
      <c r="BF606" s="46" t="e">
        <f>IF(+NFL!$F308="Washington",+NFL!#REF!,IF(+NFL!$H308="Washington",+NFL!#REF!,0))</f>
        <v>#REF!</v>
      </c>
      <c r="BG606" s="57" t="e">
        <f>IF(+NFL!$F308="Washington",+NFL!#REF!,IF(+NFL!$H308="Washington",+NFL!#REF!,0))</f>
        <v>#REF!</v>
      </c>
      <c r="BH606" s="64" t="e">
        <f>IF(+NFL!$F308="Washington",+NFL!#REF!,IF(+NFL!$H308="Washington",+NFL!#REF!,0))</f>
        <v>#REF!</v>
      </c>
      <c r="BI606" s="46" t="e">
        <f>IF(+NFL!$F308="Washington",+NFL!#REF!,IF(+NFL!$H308="Washington",+NFL!#REF!,0))</f>
        <v>#REF!</v>
      </c>
      <c r="BJ606" s="87" t="e">
        <f>IF(+NFL!$F308="Washington",+NFL!#REF!,IF(+NFL!$H308="Washington",+NFL!#REF!,0))</f>
        <v>#REF!</v>
      </c>
      <c r="BK606" s="120" t="e">
        <f>IF(+NFL!$F308="Washington",+NFL!#REF!,IF(+NFL!$H308="Washington",+NFL!#REF!,0))</f>
        <v>#REF!</v>
      </c>
    </row>
    <row r="607" spans="1:63" s="246" customFormat="1" x14ac:dyDescent="0.8">
      <c r="A607" s="46">
        <f>IF(+NFL!$F330="Washington",+NFL!A330,IF(+NFL!$H330="Washington",+NFL!A330,0))</f>
        <v>18</v>
      </c>
      <c r="B607" s="348" t="str">
        <f>IF(+NFL!$F330="Washington",+NFL!B330,IF(+NFL!$H330="Washington",+NFL!B330,0))</f>
        <v>Sun</v>
      </c>
      <c r="C607" s="48">
        <f>IF(+NFL!$F330="Washington",+NFL!C330,IF(+NFL!$H330="Washington",+NFL!C330,0))</f>
        <v>44934</v>
      </c>
      <c r="D607" s="490">
        <f>IF(+NFL!$F330="Washington",+NFL!D330,IF(+NFL!$H330="Washington",+NFL!D330,0))</f>
        <v>0.67708333333333337</v>
      </c>
      <c r="E607" s="46" t="str">
        <f>IF(+NFL!$F330="Washington",+NFL!E330,IF(+NFL!$H330="Washington",+NFL!E330,0))</f>
        <v>Fox</v>
      </c>
      <c r="F607" s="127" t="str">
        <f>IF(+NFL!$F330="Washington",+NFL!F330,IF(+NFL!$H330="Washington",+NFL!F330,0))</f>
        <v>Dallas</v>
      </c>
      <c r="G607" s="46" t="str">
        <f>IF(+NFL!$F330="Washington",+NFL!G330,IF(+NFL!$H330="Washington",+NFL!G330,0))</f>
        <v>NFCE</v>
      </c>
      <c r="H607" s="127" t="str">
        <f>IF(+NFL!$F330="Washington",+NFL!H330,IF(+NFL!$H330="Washington",+NFL!H330,0))</f>
        <v>Washington</v>
      </c>
      <c r="I607" s="46" t="str">
        <f>IF(+NFL!$F330="Washington",+NFL!I330,IF(+NFL!$H330="Washington",+NFL!I330,0))</f>
        <v>NFCE</v>
      </c>
      <c r="J607" s="353" t="str">
        <f>IF(+NFL!$F330="Washington",+NFL!J330,IF(+NFL!$H330="Washington",+NFL!J330,0))</f>
        <v>Dallas</v>
      </c>
      <c r="K607" s="494" t="str">
        <f>IF(+NFL!$F330="Washington",+NFL!K330,IF(+NFL!$H330="Washington",+NFL!K330,0))</f>
        <v>Washington</v>
      </c>
      <c r="L607" s="384">
        <f>IF(+NFL!$F330="Washington",+NFL!L330,IF(+NFL!$H330="Washington",+NFL!L330,0))</f>
        <v>7.5</v>
      </c>
      <c r="M607" s="385">
        <f>IF(+NFL!$F330="Washington",+NFL!M330,IF(+NFL!$H330="Washington",+NFL!M330,0))</f>
        <v>41</v>
      </c>
      <c r="N607" s="394" t="str">
        <f>IF(+NFL!$F330="Washington",+NFL!N330,IF(+NFL!$H330="Washington",+NFL!N330,0))</f>
        <v>Washington</v>
      </c>
      <c r="O607" s="395">
        <f>IF(+NFL!$F330="Washington",+NFL!O330,IF(+NFL!$H330="Washington",+NFL!O330,0))</f>
        <v>26</v>
      </c>
      <c r="P607" s="394" t="str">
        <f>IF(+NFL!$F330="Washington",+NFL!P330,IF(+NFL!$H330="Washington",+NFL!P330,0))</f>
        <v>Dallas</v>
      </c>
      <c r="Q607" s="396">
        <f>IF(+NFL!$F330="Washington",+NFL!Q330,IF(+NFL!$H330="Washington",+NFL!Q330,0))</f>
        <v>6</v>
      </c>
      <c r="R607" s="397" t="str">
        <f>IF(+NFL!$F330="Washington",+NFL!R330,IF(+NFL!$H330="Washington",+NFL!R330,0))</f>
        <v>Washington</v>
      </c>
      <c r="S607" s="396" t="str">
        <f>IF(+NFL!$F330="Washington",+NFL!S330,IF(+NFL!$H330="Washington",+NFL!S330,0))</f>
        <v>Dallas</v>
      </c>
      <c r="T607" s="398" t="str">
        <f>IF(+NFL!$F330="Washington",+NFL!T330,IF(+NFL!$H330="Washington",+NFL!T330,0))</f>
        <v>Washington</v>
      </c>
      <c r="U607" s="396" t="str">
        <f>IF(+NFL!$F330="Washington",+NFL!U330,IF(+NFL!$H330="Washington",+NFL!U330,0))</f>
        <v>W</v>
      </c>
      <c r="V607" s="397">
        <f>IF(+NFL!$F326="Washington",+NFL!#REF!,IF(+NFL!$H326="Washington",+NFL!#REF!,0))</f>
        <v>0</v>
      </c>
      <c r="W607" s="396">
        <f>IF(+NFL!$F326="Washington",+NFL!#REF!,IF(+NFL!$H326="Washington",+NFL!#REF!,0))</f>
        <v>0</v>
      </c>
      <c r="X607" s="398">
        <f>IF(+NFL!$F326="Washington",+NFL!#REF!,IF(+NFL!$H326="Washington",+NFL!#REF!,0))</f>
        <v>0</v>
      </c>
      <c r="Y607" s="396">
        <f>IF(+NFL!$F326="Washington",+NFL!#REF!,IF(+NFL!$H326="Washington",+NFL!#REF!,0))</f>
        <v>0</v>
      </c>
      <c r="Z607" s="397">
        <f>IF(+NFL!$F326="Washington",+NFL!#REF!,IF(+NFL!$H326="Washington",+NFL!#REF!,0))</f>
        <v>0</v>
      </c>
      <c r="AA607" s="396">
        <f>IF(+NFL!$F326="Washington",+NFL!#REF!,IF(+NFL!$H326="Washington",+NFL!#REF!,0))</f>
        <v>0</v>
      </c>
      <c r="AB607" s="87">
        <f>IF(+NFL!$F326="Washington",+NFL!#REF!,IF(+NFL!$H326="Washington",+NFL!#REF!,0))</f>
        <v>0</v>
      </c>
      <c r="AC607" s="120">
        <f>IF(+NFL!$F326="Washington",+NFL!#REF!,IF(+NFL!$H326="Washington",+NFL!#REF!,0))</f>
        <v>0</v>
      </c>
      <c r="AD607" s="353">
        <f>IF(+NFL!$F326="Washington",+NFL!#REF!,IF(+NFL!$H326="Washington",+NFL!#REF!,0))</f>
        <v>0</v>
      </c>
      <c r="AE607" s="379">
        <f>IF(+NFL!$F326="Washington",+NFL!#REF!,IF(+NFL!$H326="Washington",+NFL!#REF!,0))</f>
        <v>0</v>
      </c>
      <c r="AF607" s="353">
        <f>IF(+NFL!$F326="Washington",+NFL!#REF!,IF(+NFL!$H326="Washington",+NFL!#REF!,0))</f>
        <v>0</v>
      </c>
      <c r="AG607" s="379">
        <f>IF(+NFL!$F326="Washington",+NFL!#REF!,IF(+NFL!$H326="Washington",+NFL!#REF!,0))</f>
        <v>0</v>
      </c>
      <c r="AH607" s="353">
        <f>IF(+NFL!$F326="Washington",+NFL!#REF!,IF(+NFL!$H326="Washington",+NFL!#REF!,0))</f>
        <v>0</v>
      </c>
      <c r="AI607" s="379">
        <f>IF(+NFL!$F326="Washington",+NFL!#REF!,IF(+NFL!$H326="Washington",+NFL!#REF!,0))</f>
        <v>0</v>
      </c>
      <c r="AJ607" s="353">
        <f>IF(+NFL!$F326="Washington",+NFL!#REF!,IF(+NFL!$H326="Washington",+NFL!#REF!,0))</f>
        <v>0</v>
      </c>
      <c r="AK607" s="379">
        <f>IF(+NFL!$F326="Washington",+NFL!#REF!,IF(+NFL!$H326="Washington",+NFL!#REF!,0))</f>
        <v>0</v>
      </c>
      <c r="AL607" s="68">
        <f>IF(+NFL!$F326="Washington",+NFL!#REF!,IF(+NFL!$H326="Washington",+NFL!#REF!,0))</f>
        <v>0</v>
      </c>
      <c r="AM607" s="58">
        <f>IF(+NFL!$F326="Washington",+NFL!#REF!,IF(+NFL!$H326="Washington",+NFL!#REF!,0))</f>
        <v>0</v>
      </c>
      <c r="AN607" s="57">
        <f>IF(+NFL!$F326="Washington",+NFL!#REF!,IF(+NFL!$H326="Washington",+NFL!#REF!,0))</f>
        <v>0</v>
      </c>
      <c r="AO607" s="59">
        <f>IF(+NFL!$F326="Washington",+NFL!#REF!,IF(+NFL!$H326="Washington",+NFL!#REF!,0))</f>
        <v>0</v>
      </c>
      <c r="AP607" s="348">
        <f>IF(+NFL!$F326="Washington",+NFL!#REF!,IF(+NFL!$H326="Washington",+NFL!#REF!,0))</f>
        <v>0</v>
      </c>
      <c r="AQ607" s="48">
        <f>IF(+NFL!$F326="Washington",+NFL!#REF!,IF(+NFL!$H326="Washington",+NFL!#REF!,0))</f>
        <v>0</v>
      </c>
      <c r="AR607" s="57">
        <f>IF(+NFL!$F326="Washington",+NFL!#REF!,IF(+NFL!$H326="Washington",+NFL!#REF!,0))</f>
        <v>0</v>
      </c>
      <c r="AS607" s="64">
        <f>IF(+NFL!$F326="Washington",+NFL!#REF!,IF(+NFL!$H326="Washington",+NFL!#REF!,0))</f>
        <v>0</v>
      </c>
      <c r="AT607" s="64">
        <f>IF(+NFL!$F326="Washington",+NFL!#REF!,IF(+NFL!$H326="Washington",+NFL!#REF!,0))</f>
        <v>0</v>
      </c>
      <c r="AU607" s="57">
        <f>IF(+NFL!$F326="Washington",+NFL!#REF!,IF(+NFL!$H326="Washington",+NFL!#REF!,0))</f>
        <v>0</v>
      </c>
      <c r="AV607" s="64">
        <f>IF(+NFL!$F326="Washington",+NFL!#REF!,IF(+NFL!$H326="Washington",+NFL!#REF!,0))</f>
        <v>0</v>
      </c>
      <c r="AW607" s="46">
        <f>IF(+NFL!$F326="Washington",+NFL!#REF!,IF(+NFL!$H326="Washington",+NFL!#REF!,0))</f>
        <v>0</v>
      </c>
      <c r="AX607" s="64">
        <f>IF(+NFL!$F326="Washington",+NFL!#REF!,IF(+NFL!$H326="Washington",+NFL!#REF!,0))</f>
        <v>0</v>
      </c>
      <c r="AY607" s="57">
        <f>IF(+NFL!$F326="Washington",+NFL!#REF!,IF(+NFL!$H326="Washington",+NFL!#REF!,0))</f>
        <v>0</v>
      </c>
      <c r="AZ607" s="64">
        <f>IF(+NFL!$F326="Washington",+NFL!#REF!,IF(+NFL!$H326="Washington",+NFL!#REF!,0))</f>
        <v>0</v>
      </c>
      <c r="BA607" s="46">
        <f>IF(+NFL!$F326="Washington",+NFL!#REF!,IF(+NFL!$H326="Washington",+NFL!#REF!,0))</f>
        <v>0</v>
      </c>
      <c r="BB607" s="46">
        <f>IF(+NFL!$F326="Washington",+NFL!#REF!,IF(+NFL!$H326="Washington",+NFL!#REF!,0))</f>
        <v>0</v>
      </c>
      <c r="BC607" s="403">
        <f>IF(+NFL!$F326="Washington",+NFL!#REF!,IF(+NFL!$H326="Washington",+NFL!#REF!,0))</f>
        <v>0</v>
      </c>
      <c r="BD607" s="57">
        <f>IF(+NFL!$F326="Washington",+NFL!#REF!,IF(+NFL!$H326="Washington",+NFL!#REF!,0))</f>
        <v>0</v>
      </c>
      <c r="BE607" s="64">
        <f>IF(+NFL!$F326="Washington",+NFL!#REF!,IF(+NFL!$H326="Washington",+NFL!#REF!,0))</f>
        <v>0</v>
      </c>
      <c r="BF607" s="46">
        <f>IF(+NFL!$F326="Washington",+NFL!#REF!,IF(+NFL!$H326="Washington",+NFL!#REF!,0))</f>
        <v>0</v>
      </c>
      <c r="BG607" s="57">
        <f>IF(+NFL!$F326="Washington",+NFL!#REF!,IF(+NFL!$H326="Washington",+NFL!#REF!,0))</f>
        <v>0</v>
      </c>
      <c r="BH607" s="64">
        <f>IF(+NFL!$F326="Washington",+NFL!#REF!,IF(+NFL!$H326="Washington",+NFL!#REF!,0))</f>
        <v>0</v>
      </c>
      <c r="BI607" s="46">
        <f>IF(+NFL!$F326="Washington",+NFL!#REF!,IF(+NFL!$H326="Washington",+NFL!#REF!,0))</f>
        <v>0</v>
      </c>
      <c r="BJ607" s="87">
        <f>IF(+NFL!$F326="Washington",+NFL!#REF!,IF(+NFL!$H326="Washington",+NFL!#REF!,0))</f>
        <v>0</v>
      </c>
      <c r="BK607" s="120">
        <f>IF(+NFL!$F326="Washington",+NFL!#REF!,IF(+NFL!$H326="Washington",+NFL!#REF!,0))</f>
        <v>0</v>
      </c>
    </row>
  </sheetData>
  <sortState xmlns:xlrd2="http://schemas.microsoft.com/office/spreadsheetml/2017/richdata2" ref="A590:U607">
    <sortCondition ref="A590:A607"/>
    <sortCondition ref="H590:H607"/>
  </sortState>
  <mergeCells count="45">
    <mergeCell ref="F286:I286"/>
    <mergeCell ref="F79:I79"/>
    <mergeCell ref="F97:I97"/>
    <mergeCell ref="F115:I115"/>
    <mergeCell ref="F134:I134"/>
    <mergeCell ref="F172:I172"/>
    <mergeCell ref="F191:I191"/>
    <mergeCell ref="F210:I210"/>
    <mergeCell ref="F229:I229"/>
    <mergeCell ref="F248:I248"/>
    <mergeCell ref="F267:I267"/>
    <mergeCell ref="F153:I153"/>
    <mergeCell ref="F1:I1"/>
    <mergeCell ref="N1:Q1"/>
    <mergeCell ref="R1:S1"/>
    <mergeCell ref="F22:I22"/>
    <mergeCell ref="F60:I60"/>
    <mergeCell ref="F3:I3"/>
    <mergeCell ref="F41:I41"/>
    <mergeCell ref="AU1:AW1"/>
    <mergeCell ref="BJ1:BK1"/>
    <mergeCell ref="AY1:BA1"/>
    <mergeCell ref="BD1:BF1"/>
    <mergeCell ref="BG1:BI1"/>
    <mergeCell ref="Z1:AA1"/>
    <mergeCell ref="AP1:AP2"/>
    <mergeCell ref="AL2:AO2"/>
    <mergeCell ref="X1:Y1"/>
    <mergeCell ref="AR1:AT1"/>
    <mergeCell ref="F589:I589"/>
    <mergeCell ref="F475:I475"/>
    <mergeCell ref="F493:I493"/>
    <mergeCell ref="F513:I513"/>
    <mergeCell ref="F532:I532"/>
    <mergeCell ref="F570:I570"/>
    <mergeCell ref="F551:I551"/>
    <mergeCell ref="F418:I418"/>
    <mergeCell ref="F437:I437"/>
    <mergeCell ref="F456:I456"/>
    <mergeCell ref="F343:I343"/>
    <mergeCell ref="F305:I305"/>
    <mergeCell ref="F324:I324"/>
    <mergeCell ref="F380:I380"/>
    <mergeCell ref="F399:I399"/>
    <mergeCell ref="F362:I362"/>
  </mergeCells>
  <pageMargins left="0.25" right="0.25" top="0.25" bottom="0.25" header="0.3" footer="0.3"/>
  <pageSetup scale="58" fitToHeight="0" orientation="landscape" r:id="rId1"/>
  <headerFooter scaleWithDoc="0">
    <oddFooter>&amp;CNFL</oddFooter>
  </headerFooter>
  <rowBreaks count="10" manualBreakCount="10">
    <brk id="59" max="18" man="1"/>
    <brk id="114" max="18" man="1"/>
    <brk id="171" max="18" man="1"/>
    <brk id="228" max="18" man="1"/>
    <brk id="285" max="18" man="1"/>
    <brk id="342" max="18" man="1"/>
    <brk id="398" max="18" man="1"/>
    <brk id="455" max="18" man="1"/>
    <brk id="512" max="18" man="1"/>
    <brk id="569" max="18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7"/>
  <dimension ref="A1:CL1381"/>
  <sheetViews>
    <sheetView zoomScale="80" zoomScaleNormal="80" workbookViewId="0">
      <selection activeCell="A9" sqref="A9"/>
    </sheetView>
  </sheetViews>
  <sheetFormatPr defaultColWidth="8.86328125" defaultRowHeight="16" x14ac:dyDescent="0.8"/>
  <cols>
    <col min="1" max="1" width="7.31640625" style="46" customWidth="1"/>
    <col min="2" max="2" width="5.86328125" style="47" customWidth="1"/>
    <col min="3" max="3" width="8" style="48" customWidth="1"/>
    <col min="4" max="4" width="11.6796875" style="49" customWidth="1"/>
    <col min="5" max="5" width="9.1328125" style="46" customWidth="1"/>
    <col min="6" max="6" width="27.6796875" style="57" customWidth="1"/>
    <col min="7" max="7" width="8.6796875" style="46" customWidth="1"/>
    <col min="8" max="8" width="27.6796875" style="57" customWidth="1"/>
    <col min="9" max="9" width="8.6796875" style="46" customWidth="1"/>
    <col min="10" max="10" width="27.6796875" style="57" customWidth="1"/>
    <col min="11" max="11" width="27.6796875" style="46" customWidth="1"/>
    <col min="12" max="12" width="8" style="131" customWidth="1"/>
    <col min="13" max="13" width="8" style="132" customWidth="1"/>
    <col min="14" max="14" width="27.6796875" style="64" customWidth="1"/>
    <col min="15" max="15" width="5.6796875" style="64" customWidth="1"/>
    <col min="16" max="16" width="27.6796875" style="64" customWidth="1"/>
    <col min="17" max="17" width="5.6796875" style="46" customWidth="1"/>
    <col min="18" max="19" width="27.6796875" style="64" customWidth="1"/>
    <col min="20" max="20" width="27.6796875" style="57" customWidth="1"/>
    <col min="21" max="21" width="8.76953125" style="46" customWidth="1"/>
    <col min="22" max="22" width="28.1328125" style="57" customWidth="1"/>
    <col min="23" max="23" width="8.76953125" style="46" customWidth="1"/>
    <col min="24" max="24" width="9.54296875" style="71" customWidth="1"/>
    <col min="25" max="25" width="9.54296875" style="59" customWidth="1"/>
    <col min="26" max="26" width="8" style="71" customWidth="1"/>
    <col min="27" max="27" width="8" style="59" customWidth="1"/>
    <col min="28" max="28" width="12.453125" style="87" customWidth="1"/>
    <col min="29" max="29" width="12.453125" style="120" customWidth="1"/>
    <col min="30" max="30" width="27.6796875" style="57" customWidth="1"/>
    <col min="31" max="31" width="6.6796875" style="46" customWidth="1"/>
    <col min="32" max="32" width="27.6796875" style="57" customWidth="1"/>
    <col min="33" max="33" width="6.6796875" style="46" customWidth="1"/>
    <col min="34" max="34" width="27.6796875" style="57" customWidth="1"/>
    <col min="35" max="35" width="6.6796875" style="46" customWidth="1"/>
    <col min="36" max="36" width="27.6796875" style="57" customWidth="1"/>
    <col min="37" max="37" width="6.6796875" style="46" customWidth="1"/>
    <col min="38" max="38" width="27.6796875" style="57" customWidth="1"/>
    <col min="39" max="39" width="5.6796875" style="58" customWidth="1"/>
    <col min="40" max="40" width="27.6796875" style="57" customWidth="1"/>
    <col min="41" max="41" width="5.6796875" style="59" customWidth="1"/>
    <col min="42" max="42" width="3" style="47" customWidth="1"/>
    <col min="43" max="43" width="28.31640625" style="47" customWidth="1"/>
    <col min="44" max="44" width="5.31640625" style="57" customWidth="1"/>
    <col min="45" max="46" width="5.31640625" style="64" customWidth="1"/>
    <col min="47" max="47" width="5.31640625" style="57" customWidth="1"/>
    <col min="48" max="48" width="5.31640625" style="64" customWidth="1"/>
    <col min="49" max="49" width="5.31640625" style="46" customWidth="1"/>
    <col min="50" max="50" width="2.6796875" style="64" customWidth="1"/>
    <col min="51" max="51" width="5.31640625" style="71" customWidth="1"/>
    <col min="52" max="52" width="5.31640625" style="58" customWidth="1"/>
    <col min="53" max="53" width="5.31640625" style="59" customWidth="1"/>
    <col min="54" max="54" width="2.6796875" style="59" customWidth="1"/>
    <col min="55" max="55" width="25" style="47" customWidth="1"/>
    <col min="56" max="56" width="5.31640625" style="57" customWidth="1"/>
    <col min="57" max="58" width="5.31640625" style="64" customWidth="1"/>
    <col min="59" max="59" width="5.31640625" style="57" customWidth="1"/>
    <col min="60" max="60" width="5.31640625" style="64" customWidth="1"/>
    <col min="61" max="61" width="5.31640625" style="46" customWidth="1"/>
    <col min="62" max="62" width="9.31640625" style="87" customWidth="1"/>
    <col min="63" max="63" width="9.453125" style="120" customWidth="1"/>
    <col min="64" max="64" width="2.6796875" style="227" customWidth="1"/>
    <col min="65" max="65" width="24.31640625" style="177" customWidth="1"/>
    <col min="66" max="67" width="9.1328125" style="227" customWidth="1"/>
    <col min="68" max="68" width="9.1328125" style="228" customWidth="1"/>
    <col min="69" max="69" width="9.1328125" style="241" customWidth="1"/>
    <col min="70" max="70" width="24.31640625" style="242" customWidth="1"/>
    <col min="71" max="73" width="9.1328125" style="243" customWidth="1"/>
    <col min="74" max="74" width="9.1328125" style="244" customWidth="1"/>
    <col min="75" max="75" width="5.6796875" style="256" customWidth="1"/>
    <col min="76" max="76" width="15.6796875" style="257" customWidth="1"/>
    <col min="77" max="77" width="15.6796875" style="258" customWidth="1"/>
    <col min="78" max="79" width="9.1328125" style="259" customWidth="1"/>
    <col min="80" max="83" width="9.1328125" style="256" customWidth="1"/>
    <col min="84" max="86" width="8.86328125" style="260"/>
    <col min="87" max="16384" width="8.86328125" style="9"/>
  </cols>
  <sheetData>
    <row r="1" spans="1:90" s="252" customFormat="1" ht="33.75" customHeight="1" x14ac:dyDescent="0.8">
      <c r="A1" s="1"/>
      <c r="B1" s="1"/>
      <c r="C1" s="2"/>
      <c r="D1" s="3"/>
      <c r="E1" s="1"/>
      <c r="F1" s="7"/>
      <c r="G1" s="7"/>
      <c r="H1" s="92"/>
      <c r="I1" s="7"/>
      <c r="J1" s="1"/>
      <c r="K1" s="1"/>
      <c r="L1" s="247"/>
      <c r="M1" s="248"/>
      <c r="N1" s="983"/>
      <c r="O1" s="983"/>
      <c r="P1" s="983"/>
      <c r="Q1" s="984"/>
      <c r="R1" s="7"/>
      <c r="S1" s="7"/>
      <c r="T1" s="1"/>
      <c r="U1" s="1"/>
      <c r="V1" s="1"/>
      <c r="W1" s="1"/>
      <c r="X1" s="7"/>
      <c r="Y1" s="7"/>
      <c r="Z1" s="985" t="s">
        <v>0</v>
      </c>
      <c r="AA1" s="986"/>
      <c r="AB1" s="94"/>
      <c r="AC1" s="94"/>
      <c r="AD1" s="1"/>
      <c r="AE1" s="1"/>
      <c r="AF1" s="1"/>
      <c r="AG1" s="1"/>
      <c r="AH1" s="1"/>
      <c r="AI1" s="1"/>
      <c r="AJ1" s="1"/>
      <c r="AK1" s="1"/>
      <c r="AL1" s="989"/>
      <c r="AM1" s="989"/>
      <c r="AN1" s="989"/>
      <c r="AO1" s="989"/>
      <c r="AP1" s="990" t="s">
        <v>1</v>
      </c>
      <c r="AQ1" s="952" t="s">
        <v>319</v>
      </c>
      <c r="AR1" s="952"/>
      <c r="AS1" s="952"/>
      <c r="AT1" s="952"/>
      <c r="AU1" s="952"/>
      <c r="AV1" s="952"/>
      <c r="AW1" s="952"/>
      <c r="AX1" s="6"/>
      <c r="AY1" s="7"/>
      <c r="AZ1" s="7"/>
      <c r="BA1" s="7"/>
      <c r="BB1" s="8"/>
      <c r="BC1" s="952" t="s">
        <v>319</v>
      </c>
      <c r="BD1" s="952"/>
      <c r="BE1" s="952"/>
      <c r="BF1" s="952"/>
      <c r="BG1" s="952"/>
      <c r="BH1" s="952"/>
      <c r="BI1" s="952"/>
      <c r="BJ1" s="94"/>
      <c r="BK1" s="94"/>
      <c r="BL1" s="7"/>
      <c r="BM1" s="95"/>
      <c r="BN1" s="1"/>
      <c r="BO1" s="1" t="s">
        <v>6</v>
      </c>
      <c r="BP1" s="1"/>
      <c r="BQ1" s="1"/>
      <c r="BR1" s="95"/>
      <c r="BS1" s="1"/>
      <c r="BT1" s="1" t="s">
        <v>8</v>
      </c>
      <c r="BU1" s="1"/>
      <c r="BV1" s="38"/>
      <c r="BW1" s="249"/>
      <c r="BX1" s="995" t="s">
        <v>362</v>
      </c>
      <c r="BY1" s="996"/>
      <c r="BZ1" s="250"/>
      <c r="CA1" s="250"/>
      <c r="CB1" s="249"/>
      <c r="CC1" s="249"/>
      <c r="CD1" s="249"/>
      <c r="CE1" s="249"/>
      <c r="CF1" s="251"/>
      <c r="CG1" s="251"/>
      <c r="CH1" s="251"/>
      <c r="CI1" s="249"/>
      <c r="CJ1" s="249"/>
      <c r="CK1" s="249"/>
      <c r="CL1" s="249"/>
    </row>
    <row r="2" spans="1:90" s="255" customFormat="1" ht="33.75" customHeight="1" x14ac:dyDescent="0.8">
      <c r="A2" s="10"/>
      <c r="B2" s="10"/>
      <c r="C2" s="11"/>
      <c r="D2" s="12"/>
      <c r="E2" s="96"/>
      <c r="F2" s="981" t="s">
        <v>2</v>
      </c>
      <c r="G2" s="974"/>
      <c r="H2" s="974"/>
      <c r="I2" s="975"/>
      <c r="J2" s="97"/>
      <c r="K2" s="96"/>
      <c r="L2" s="99"/>
      <c r="M2" s="100"/>
      <c r="N2" s="981" t="s">
        <v>3</v>
      </c>
      <c r="O2" s="974"/>
      <c r="P2" s="974"/>
      <c r="Q2" s="975"/>
      <c r="R2" s="981" t="s">
        <v>4</v>
      </c>
      <c r="S2" s="975"/>
      <c r="T2" s="97"/>
      <c r="U2" s="96"/>
      <c r="V2" s="97"/>
      <c r="W2" s="96"/>
      <c r="X2" s="991" t="s">
        <v>5</v>
      </c>
      <c r="Y2" s="992"/>
      <c r="Z2" s="987"/>
      <c r="AA2" s="988"/>
      <c r="AB2" s="101"/>
      <c r="AC2" s="102"/>
      <c r="AD2" s="97"/>
      <c r="AE2" s="96"/>
      <c r="AF2" s="97"/>
      <c r="AG2" s="96"/>
      <c r="AH2" s="97" t="s">
        <v>320</v>
      </c>
      <c r="AI2" s="96"/>
      <c r="AJ2" s="97" t="s">
        <v>321</v>
      </c>
      <c r="AK2" s="96"/>
      <c r="AL2" s="17"/>
      <c r="AM2" s="18"/>
      <c r="AN2" s="18"/>
      <c r="AO2" s="19"/>
      <c r="AP2" s="964"/>
      <c r="AQ2" s="20"/>
      <c r="AR2" s="971" t="s">
        <v>6</v>
      </c>
      <c r="AS2" s="999"/>
      <c r="AT2" s="1000"/>
      <c r="AU2" s="971" t="s">
        <v>7</v>
      </c>
      <c r="AV2" s="997"/>
      <c r="AW2" s="998"/>
      <c r="AX2" s="6"/>
      <c r="AY2" s="978" t="s">
        <v>322</v>
      </c>
      <c r="AZ2" s="979"/>
      <c r="BA2" s="980"/>
      <c r="BB2" s="8"/>
      <c r="BC2" s="20"/>
      <c r="BD2" s="971" t="s">
        <v>8</v>
      </c>
      <c r="BE2" s="999"/>
      <c r="BF2" s="1000"/>
      <c r="BG2" s="971" t="s">
        <v>7</v>
      </c>
      <c r="BH2" s="997"/>
      <c r="BI2" s="998"/>
      <c r="BJ2" s="976" t="s">
        <v>9</v>
      </c>
      <c r="BK2" s="977"/>
      <c r="BL2" s="103"/>
      <c r="BM2" s="97" t="s">
        <v>323</v>
      </c>
      <c r="BN2" s="98"/>
      <c r="BO2" s="98"/>
      <c r="BP2" s="98"/>
      <c r="BQ2" s="98"/>
      <c r="BR2" s="97" t="s">
        <v>323</v>
      </c>
      <c r="BS2" s="98"/>
      <c r="BT2" s="98"/>
      <c r="BU2" s="98"/>
      <c r="BV2" s="96"/>
      <c r="BW2" s="253"/>
      <c r="BX2" s="995" t="s">
        <v>363</v>
      </c>
      <c r="BY2" s="996"/>
      <c r="BZ2" s="254" t="s">
        <v>364</v>
      </c>
      <c r="CA2" s="254" t="s">
        <v>365</v>
      </c>
      <c r="CB2" s="253"/>
      <c r="CC2" s="253"/>
      <c r="CD2" s="253"/>
      <c r="CE2" s="253"/>
      <c r="CF2" s="993" t="s">
        <v>366</v>
      </c>
      <c r="CG2" s="994"/>
      <c r="CH2" s="994"/>
      <c r="CI2" s="253"/>
      <c r="CJ2" s="253"/>
      <c r="CK2" s="253"/>
      <c r="CL2" s="253"/>
    </row>
    <row r="3" spans="1:90" x14ac:dyDescent="0.8">
      <c r="A3" s="22" t="s">
        <v>10</v>
      </c>
      <c r="B3" s="23" t="s">
        <v>11</v>
      </c>
      <c r="C3" s="24" t="s">
        <v>12</v>
      </c>
      <c r="D3" s="25" t="s">
        <v>13</v>
      </c>
      <c r="E3" s="22" t="s">
        <v>14</v>
      </c>
      <c r="F3" s="104" t="s">
        <v>6</v>
      </c>
      <c r="G3" s="22" t="s">
        <v>15</v>
      </c>
      <c r="H3" s="104" t="s">
        <v>8</v>
      </c>
      <c r="I3" s="22" t="s">
        <v>15</v>
      </c>
      <c r="J3" s="104" t="s">
        <v>16</v>
      </c>
      <c r="K3" s="22" t="s">
        <v>17</v>
      </c>
      <c r="L3" s="106" t="s">
        <v>18</v>
      </c>
      <c r="M3" s="107" t="s">
        <v>19</v>
      </c>
      <c r="N3" s="105" t="s">
        <v>20</v>
      </c>
      <c r="O3" s="105"/>
      <c r="P3" s="105" t="s">
        <v>21</v>
      </c>
      <c r="Q3" s="108"/>
      <c r="R3" s="105" t="s">
        <v>20</v>
      </c>
      <c r="S3" s="105" t="s">
        <v>21</v>
      </c>
      <c r="T3" s="104" t="s">
        <v>22</v>
      </c>
      <c r="U3" s="22" t="s">
        <v>23</v>
      </c>
      <c r="V3" s="104" t="s">
        <v>324</v>
      </c>
      <c r="W3" s="22" t="s">
        <v>23</v>
      </c>
      <c r="X3" s="109" t="s">
        <v>25</v>
      </c>
      <c r="Y3" s="108" t="s">
        <v>324</v>
      </c>
      <c r="Z3" s="109" t="s">
        <v>26</v>
      </c>
      <c r="AA3" s="108" t="s">
        <v>23</v>
      </c>
      <c r="AB3" s="80" t="s">
        <v>27</v>
      </c>
      <c r="AC3" s="110" t="s">
        <v>28</v>
      </c>
      <c r="AD3" s="104" t="s">
        <v>325</v>
      </c>
      <c r="AE3" s="22" t="s">
        <v>23</v>
      </c>
      <c r="AF3" s="104" t="s">
        <v>284</v>
      </c>
      <c r="AG3" s="22" t="s">
        <v>23</v>
      </c>
      <c r="AH3" s="104" t="s">
        <v>326</v>
      </c>
      <c r="AI3" s="22" t="s">
        <v>23</v>
      </c>
      <c r="AJ3" s="111" t="s">
        <v>327</v>
      </c>
      <c r="AK3" s="22"/>
      <c r="AL3" s="966" t="s">
        <v>29</v>
      </c>
      <c r="AM3" s="967"/>
      <c r="AN3" s="967"/>
      <c r="AO3" s="968"/>
      <c r="AP3" s="965"/>
      <c r="AQ3" s="32" t="s">
        <v>30</v>
      </c>
      <c r="AR3" s="33" t="s">
        <v>31</v>
      </c>
      <c r="AS3" s="34" t="s">
        <v>32</v>
      </c>
      <c r="AT3" s="35" t="s">
        <v>33</v>
      </c>
      <c r="AU3" s="33" t="s">
        <v>31</v>
      </c>
      <c r="AV3" s="34" t="s">
        <v>32</v>
      </c>
      <c r="AW3" s="35" t="s">
        <v>33</v>
      </c>
      <c r="AX3" s="36"/>
      <c r="AY3" s="33" t="s">
        <v>31</v>
      </c>
      <c r="AZ3" s="34" t="s">
        <v>32</v>
      </c>
      <c r="BA3" s="35" t="s">
        <v>33</v>
      </c>
      <c r="BB3" s="37"/>
      <c r="BC3" s="32" t="s">
        <v>8</v>
      </c>
      <c r="BD3" s="33" t="s">
        <v>31</v>
      </c>
      <c r="BE3" s="34" t="s">
        <v>32</v>
      </c>
      <c r="BF3" s="35" t="s">
        <v>33</v>
      </c>
      <c r="BG3" s="33" t="s">
        <v>31</v>
      </c>
      <c r="BH3" s="34" t="s">
        <v>32</v>
      </c>
      <c r="BI3" s="35" t="s">
        <v>33</v>
      </c>
      <c r="BJ3" s="112" t="s">
        <v>6</v>
      </c>
      <c r="BK3" s="113" t="s">
        <v>8</v>
      </c>
      <c r="BL3" s="103"/>
      <c r="BM3" s="104" t="s">
        <v>6</v>
      </c>
      <c r="BN3" s="105" t="s">
        <v>317</v>
      </c>
      <c r="BO3" s="105" t="s">
        <v>311</v>
      </c>
      <c r="BP3" s="105" t="s">
        <v>312</v>
      </c>
      <c r="BQ3" s="105" t="s">
        <v>313</v>
      </c>
      <c r="BR3" s="104" t="s">
        <v>8</v>
      </c>
      <c r="BS3" s="105" t="s">
        <v>318</v>
      </c>
      <c r="BT3" s="105" t="s">
        <v>314</v>
      </c>
      <c r="BU3" s="105" t="s">
        <v>315</v>
      </c>
      <c r="BV3" s="22" t="s">
        <v>316</v>
      </c>
    </row>
    <row r="4" spans="1:90" x14ac:dyDescent="0.8">
      <c r="B4" s="46"/>
      <c r="C4" s="62"/>
      <c r="F4" s="114"/>
      <c r="H4" s="127"/>
      <c r="J4" s="115"/>
      <c r="K4" s="261"/>
      <c r="L4" s="117"/>
      <c r="M4" s="118"/>
      <c r="N4" s="116"/>
      <c r="P4" s="116"/>
      <c r="R4" s="57"/>
      <c r="S4" s="46"/>
      <c r="T4" s="119"/>
      <c r="U4" s="120"/>
      <c r="V4" s="115"/>
      <c r="W4" s="120"/>
      <c r="AA4" s="46"/>
      <c r="AD4" s="115"/>
      <c r="AE4" s="120"/>
      <c r="AF4" s="115"/>
      <c r="AG4" s="120"/>
      <c r="AQ4" s="67"/>
      <c r="AY4" s="57"/>
      <c r="AZ4" s="64"/>
      <c r="BA4" s="46"/>
      <c r="BB4" s="46"/>
      <c r="BC4" s="48"/>
      <c r="BL4" s="121"/>
      <c r="BM4" s="122"/>
      <c r="BN4" s="123"/>
      <c r="BO4" s="123"/>
      <c r="BP4" s="123"/>
      <c r="BQ4" s="123"/>
      <c r="BR4" s="122"/>
      <c r="BS4" s="124"/>
      <c r="BT4" s="124"/>
      <c r="BU4" s="124"/>
      <c r="BV4" s="125"/>
      <c r="BW4" s="82"/>
      <c r="CD4" s="262"/>
    </row>
    <row r="5" spans="1:90" x14ac:dyDescent="0.8">
      <c r="A5" s="46" t="s">
        <v>390</v>
      </c>
      <c r="B5" s="46" t="s">
        <v>34</v>
      </c>
      <c r="C5" s="62">
        <v>44576</v>
      </c>
      <c r="D5" s="49">
        <f>D6</f>
        <v>0.6875</v>
      </c>
      <c r="E5" s="46" t="s">
        <v>303</v>
      </c>
      <c r="F5" s="114" t="s">
        <v>353</v>
      </c>
      <c r="G5" s="46" t="s">
        <v>340</v>
      </c>
      <c r="H5" s="127" t="s">
        <v>350</v>
      </c>
      <c r="I5" s="46" t="s">
        <v>347</v>
      </c>
      <c r="J5" s="133" t="str">
        <f>F5</f>
        <v>San Francisco</v>
      </c>
      <c r="K5" s="261" t="str">
        <f t="shared" ref="K5" si="0">IF(+J5=F5,H5,F5)</f>
        <v>Seattle</v>
      </c>
      <c r="L5" s="131">
        <v>9.5</v>
      </c>
      <c r="M5" s="132">
        <v>48.5</v>
      </c>
      <c r="N5" s="116" t="str">
        <f>J5</f>
        <v>San Francisco</v>
      </c>
      <c r="O5" s="64">
        <v>41</v>
      </c>
      <c r="P5" s="116" t="str">
        <f>IF(+N5=J5,K5,J5)</f>
        <v>Seattle</v>
      </c>
      <c r="Q5" s="46">
        <v>23</v>
      </c>
      <c r="R5" s="330" t="str">
        <f>IF(N5=J5,IF(O5-Q5&lt;L5,+P5,+N5),K5)</f>
        <v>San Francisco</v>
      </c>
      <c r="S5" s="325" t="str">
        <f>IF(R5=J5,K5,J5)</f>
        <v>Seattle</v>
      </c>
      <c r="T5" s="128" t="str">
        <f>K5</f>
        <v>Seattle</v>
      </c>
      <c r="U5" s="349" t="str">
        <f>IF($N5=$J5,IF($O5-$Q5=$L5,"T",IF($R5=T5,"W","L")),IF($R5=T5,"W","L"))</f>
        <v>L</v>
      </c>
      <c r="V5" s="134"/>
      <c r="W5" s="349"/>
      <c r="X5" s="135"/>
      <c r="Y5" s="136"/>
      <c r="AA5" s="136"/>
      <c r="AD5" s="134"/>
      <c r="AE5" s="120"/>
      <c r="AF5" s="71"/>
      <c r="AH5" s="71"/>
      <c r="AJ5" s="134"/>
      <c r="AK5" s="120"/>
      <c r="AL5" s="71"/>
      <c r="AN5" s="71"/>
      <c r="AP5" s="137"/>
      <c r="AQ5" s="67"/>
      <c r="BB5" s="46"/>
      <c r="BC5" s="48"/>
      <c r="BL5" s="121"/>
      <c r="BM5" s="122"/>
      <c r="BN5" s="123"/>
      <c r="BO5" s="123"/>
      <c r="BP5" s="123"/>
      <c r="BQ5" s="123"/>
      <c r="BR5" s="122"/>
      <c r="BS5" s="124"/>
      <c r="BT5" s="124"/>
      <c r="BU5" s="124"/>
      <c r="BV5" s="125"/>
      <c r="BW5" s="82"/>
      <c r="CD5" s="262"/>
    </row>
    <row r="6" spans="1:90" x14ac:dyDescent="0.8">
      <c r="A6" s="46" t="s">
        <v>390</v>
      </c>
      <c r="B6" s="46" t="s">
        <v>34</v>
      </c>
      <c r="C6" s="62">
        <v>44576</v>
      </c>
      <c r="D6" s="49">
        <f>16.5/24</f>
        <v>0.6875</v>
      </c>
      <c r="E6" s="46" t="s">
        <v>179</v>
      </c>
      <c r="F6" s="127" t="s">
        <v>357</v>
      </c>
      <c r="G6" s="46" t="s">
        <v>329</v>
      </c>
      <c r="H6" s="114" t="s">
        <v>342</v>
      </c>
      <c r="I6" s="46" t="s">
        <v>343</v>
      </c>
      <c r="J6" s="115" t="str">
        <f>F6</f>
        <v>LA Chargers</v>
      </c>
      <c r="K6" s="261" t="str">
        <f>IF(+J6=F6,H6,F6)</f>
        <v>Jacksonville</v>
      </c>
      <c r="L6" s="117">
        <v>5.5</v>
      </c>
      <c r="M6" s="118">
        <v>49.5</v>
      </c>
      <c r="N6" s="116" t="str">
        <f>K6</f>
        <v>Jacksonville</v>
      </c>
      <c r="O6" s="64">
        <v>31</v>
      </c>
      <c r="P6" s="116" t="str">
        <f t="shared" ref="P6:P9" si="1">IF(+N6=J6,K6,J6)</f>
        <v>LA Chargers</v>
      </c>
      <c r="Q6" s="46">
        <v>30</v>
      </c>
      <c r="R6" s="330" t="str">
        <f t="shared" ref="R6:R10" si="2">IF(N6=J6,IF(O6-Q6&lt;L6,+P6,+N6),K6)</f>
        <v>Jacksonville</v>
      </c>
      <c r="S6" s="325" t="str">
        <f t="shared" ref="S6:S10" si="3">IF(R6=J6,K6,J6)</f>
        <v>LA Chargers</v>
      </c>
      <c r="T6" s="128" t="str">
        <f>J6</f>
        <v>LA Chargers</v>
      </c>
      <c r="U6" s="349" t="str">
        <f t="shared" ref="U6:U10" si="4">IF($N6=$J6,IF($O6-$Q6=$L6,"T",IF($R6=T6,"W","L")),IF($R6=T6,"W","L"))</f>
        <v>L</v>
      </c>
      <c r="V6" s="115"/>
      <c r="W6" s="349"/>
      <c r="AA6" s="46"/>
      <c r="AD6" s="115"/>
      <c r="AE6" s="120"/>
      <c r="AQ6" s="67"/>
      <c r="AY6" s="57"/>
      <c r="AZ6" s="64"/>
      <c r="BA6" s="46"/>
      <c r="BB6" s="46"/>
      <c r="BC6" s="48"/>
      <c r="BL6" s="121"/>
      <c r="BM6" s="122"/>
      <c r="BN6" s="123"/>
      <c r="BO6" s="123"/>
      <c r="BP6" s="123"/>
      <c r="BQ6" s="123"/>
      <c r="BR6" s="122"/>
      <c r="BS6" s="124"/>
      <c r="BT6" s="124"/>
      <c r="BU6" s="124"/>
      <c r="BV6" s="125"/>
      <c r="BW6" s="82"/>
      <c r="CD6" s="262"/>
    </row>
    <row r="7" spans="1:90" x14ac:dyDescent="0.8">
      <c r="A7" s="46" t="s">
        <v>390</v>
      </c>
      <c r="B7" s="46" t="s">
        <v>34</v>
      </c>
      <c r="C7" s="62">
        <f>C6</f>
        <v>44576</v>
      </c>
      <c r="D7" s="49">
        <f>20.25/24</f>
        <v>0.84375</v>
      </c>
      <c r="E7" s="46" t="s">
        <v>303</v>
      </c>
      <c r="F7" s="127" t="s">
        <v>345</v>
      </c>
      <c r="G7" s="46" t="s">
        <v>331</v>
      </c>
      <c r="H7" s="127" t="s">
        <v>67</v>
      </c>
      <c r="I7" s="46" t="s">
        <v>331</v>
      </c>
      <c r="J7" s="128" t="str">
        <f>H7</f>
        <v>Buffalo</v>
      </c>
      <c r="K7" s="261" t="str">
        <f>IF(+J7=F7,H7,F7)</f>
        <v>Miami</v>
      </c>
      <c r="L7" s="117">
        <v>13.5</v>
      </c>
      <c r="M7" s="118">
        <v>44.5</v>
      </c>
      <c r="N7" s="116" t="str">
        <f>J7</f>
        <v>Buffalo</v>
      </c>
      <c r="O7" s="64">
        <v>34</v>
      </c>
      <c r="P7" s="116" t="str">
        <f t="shared" si="1"/>
        <v>Miami</v>
      </c>
      <c r="Q7" s="46">
        <v>31</v>
      </c>
      <c r="R7" s="330" t="str">
        <f t="shared" si="2"/>
        <v>Miami</v>
      </c>
      <c r="S7" s="325" t="str">
        <f t="shared" si="3"/>
        <v>Buffalo</v>
      </c>
      <c r="T7" s="128" t="str">
        <f>J7</f>
        <v>Buffalo</v>
      </c>
      <c r="U7" s="349" t="str">
        <f t="shared" si="4"/>
        <v>L</v>
      </c>
      <c r="V7" s="128"/>
      <c r="W7" s="349"/>
      <c r="X7" s="129"/>
      <c r="Y7" s="120"/>
      <c r="AD7" s="128"/>
      <c r="AE7" s="120"/>
      <c r="AL7" s="69"/>
      <c r="AN7" s="70"/>
      <c r="AQ7" s="67"/>
      <c r="AY7" s="57"/>
      <c r="AZ7" s="64"/>
      <c r="BA7" s="46"/>
      <c r="BB7" s="46"/>
      <c r="BC7" s="48"/>
      <c r="BL7" s="121"/>
      <c r="BM7" s="122"/>
      <c r="BN7" s="123"/>
      <c r="BO7" s="123"/>
      <c r="BP7" s="123"/>
      <c r="BQ7" s="123"/>
      <c r="BR7" s="122"/>
      <c r="BS7" s="124"/>
      <c r="BT7" s="124"/>
      <c r="BU7" s="124"/>
      <c r="BV7" s="125"/>
      <c r="BW7" s="82"/>
      <c r="CD7" s="262"/>
    </row>
    <row r="8" spans="1:90" x14ac:dyDescent="0.8">
      <c r="A8" s="46" t="s">
        <v>390</v>
      </c>
      <c r="B8" s="46" t="s">
        <v>220</v>
      </c>
      <c r="C8" s="62">
        <f>+C7+1</f>
        <v>44577</v>
      </c>
      <c r="D8" s="49">
        <f>13/24</f>
        <v>0.54166666666666663</v>
      </c>
      <c r="E8" s="46" t="s">
        <v>118</v>
      </c>
      <c r="F8" s="127" t="s">
        <v>337</v>
      </c>
      <c r="G8" s="46" t="s">
        <v>338</v>
      </c>
      <c r="H8" s="114" t="s">
        <v>55</v>
      </c>
      <c r="I8" s="46" t="s">
        <v>338</v>
      </c>
      <c r="J8" s="128" t="str">
        <f>H8</f>
        <v>Cincinnati</v>
      </c>
      <c r="K8" s="261" t="str">
        <f>IF(+J8=F8,H8,F8)</f>
        <v>Baltimore</v>
      </c>
      <c r="L8" s="131">
        <v>8.5</v>
      </c>
      <c r="M8" s="132">
        <v>40.4</v>
      </c>
      <c r="N8" s="116" t="str">
        <f>J8</f>
        <v>Cincinnati</v>
      </c>
      <c r="O8" s="64">
        <v>24</v>
      </c>
      <c r="P8" s="116" t="str">
        <f t="shared" si="1"/>
        <v>Baltimore</v>
      </c>
      <c r="Q8" s="46">
        <v>17</v>
      </c>
      <c r="R8" s="330" t="str">
        <f t="shared" si="2"/>
        <v>Baltimore</v>
      </c>
      <c r="S8" s="325" t="str">
        <f t="shared" si="3"/>
        <v>Cincinnati</v>
      </c>
      <c r="T8" s="128" t="str">
        <f>R8</f>
        <v>Baltimore</v>
      </c>
      <c r="U8" s="349" t="str">
        <f t="shared" si="4"/>
        <v>W</v>
      </c>
      <c r="V8" s="128"/>
      <c r="W8" s="349"/>
      <c r="AD8" s="128"/>
      <c r="AE8" s="120"/>
      <c r="AJ8" s="128"/>
      <c r="AK8" s="120"/>
      <c r="AQ8" s="67"/>
      <c r="AY8" s="57"/>
      <c r="AZ8" s="64"/>
      <c r="BA8" s="46"/>
      <c r="BB8" s="46"/>
      <c r="BC8" s="48"/>
      <c r="BL8" s="121"/>
      <c r="BM8" s="122"/>
      <c r="BN8" s="123"/>
      <c r="BO8" s="123"/>
      <c r="BP8" s="123"/>
      <c r="BQ8" s="123"/>
      <c r="BR8" s="122"/>
      <c r="BS8" s="124"/>
      <c r="BT8" s="124"/>
      <c r="BU8" s="124"/>
      <c r="BV8" s="125"/>
      <c r="BW8" s="82"/>
      <c r="CD8" s="262"/>
    </row>
    <row r="9" spans="1:90" x14ac:dyDescent="0.8">
      <c r="A9" s="46" t="s">
        <v>390</v>
      </c>
      <c r="B9" s="46" t="s">
        <v>220</v>
      </c>
      <c r="C9" s="62">
        <f>+C8+1</f>
        <v>44578</v>
      </c>
      <c r="D9" s="490">
        <f>13/24</f>
        <v>0.54166666666666663</v>
      </c>
      <c r="E9" s="46" t="s">
        <v>118</v>
      </c>
      <c r="F9" s="127" t="s">
        <v>354</v>
      </c>
      <c r="G9" s="46" t="s">
        <v>347</v>
      </c>
      <c r="H9" s="114" t="s">
        <v>69</v>
      </c>
      <c r="I9" s="46" t="s">
        <v>336</v>
      </c>
      <c r="J9" s="128" t="str">
        <f>H9</f>
        <v>Minnesota</v>
      </c>
      <c r="K9" s="261" t="str">
        <f>IF(+J9=F9,H9,F9)</f>
        <v>NY Giants</v>
      </c>
      <c r="L9" s="131">
        <v>2.5</v>
      </c>
      <c r="M9" s="132">
        <v>48</v>
      </c>
      <c r="N9" s="116" t="str">
        <f>K9</f>
        <v>NY Giants</v>
      </c>
      <c r="O9" s="493">
        <v>31</v>
      </c>
      <c r="P9" s="116" t="str">
        <f t="shared" si="1"/>
        <v>Minnesota</v>
      </c>
      <c r="Q9" s="46">
        <v>24</v>
      </c>
      <c r="R9" s="330" t="str">
        <f t="shared" ref="R9" si="5">IF(N9=J9,IF(O9-Q9&lt;L9,+P9,+N9),K9)</f>
        <v>NY Giants</v>
      </c>
      <c r="S9" s="325" t="str">
        <f t="shared" ref="S9" si="6">IF(R9=J9,K9,J9)</f>
        <v>Minnesota</v>
      </c>
      <c r="T9" s="128" t="str">
        <f>R9</f>
        <v>NY Giants</v>
      </c>
      <c r="U9" s="349" t="str">
        <f t="shared" ref="U9" si="7">IF($N9=$J9,IF($O9-$Q9=$L9,"T",IF($R9=T9,"W","L")),IF($R9=T9,"W","L"))</f>
        <v>W</v>
      </c>
      <c r="V9" s="128"/>
      <c r="W9" s="349"/>
      <c r="AD9" s="128"/>
      <c r="AE9" s="120"/>
      <c r="AJ9" s="128"/>
      <c r="AK9" s="120"/>
      <c r="AP9" s="348"/>
      <c r="AQ9" s="67"/>
      <c r="AS9" s="493"/>
      <c r="AT9" s="493"/>
      <c r="AV9" s="493"/>
      <c r="AX9" s="493"/>
      <c r="AY9" s="57"/>
      <c r="AZ9" s="493"/>
      <c r="BA9" s="46"/>
      <c r="BB9" s="46"/>
      <c r="BC9" s="48"/>
      <c r="BE9" s="493"/>
      <c r="BF9" s="493"/>
      <c r="BH9" s="493"/>
      <c r="BL9" s="121"/>
      <c r="BM9" s="122"/>
      <c r="BN9" s="123"/>
      <c r="BO9" s="123"/>
      <c r="BP9" s="123"/>
      <c r="BQ9" s="123"/>
      <c r="BR9" s="122"/>
      <c r="BS9" s="124"/>
      <c r="BT9" s="124"/>
      <c r="BU9" s="124"/>
      <c r="BV9" s="125"/>
      <c r="BW9" s="82"/>
      <c r="CD9" s="262"/>
    </row>
    <row r="10" spans="1:90" x14ac:dyDescent="0.8">
      <c r="A10" s="46" t="s">
        <v>390</v>
      </c>
      <c r="B10" s="46" t="s">
        <v>225</v>
      </c>
      <c r="C10" s="62">
        <v>44578</v>
      </c>
      <c r="D10" s="490">
        <f>D9</f>
        <v>0.54166666666666663</v>
      </c>
      <c r="E10" s="46" t="s">
        <v>135</v>
      </c>
      <c r="F10" s="114" t="s">
        <v>355</v>
      </c>
      <c r="G10" s="46" t="s">
        <v>347</v>
      </c>
      <c r="H10" s="127" t="s">
        <v>344</v>
      </c>
      <c r="I10" s="144" t="s">
        <v>334</v>
      </c>
      <c r="J10" s="133" t="str">
        <f>F10</f>
        <v>Dallas</v>
      </c>
      <c r="K10" s="261" t="str">
        <f>IF(+J10=F10,H10,F10)</f>
        <v>Tampa Bay</v>
      </c>
      <c r="L10" s="131">
        <v>12.5</v>
      </c>
      <c r="M10" s="132">
        <v>46.5</v>
      </c>
      <c r="N10" s="116" t="str">
        <f>J10</f>
        <v>Dallas</v>
      </c>
      <c r="O10" s="493">
        <v>31</v>
      </c>
      <c r="P10" s="116" t="str">
        <f t="shared" ref="P10" si="8">IF(+N10=J10,K10,J10)</f>
        <v>Tampa Bay</v>
      </c>
      <c r="Q10" s="46">
        <v>14</v>
      </c>
      <c r="R10" s="330" t="str">
        <f t="shared" si="2"/>
        <v>Dallas</v>
      </c>
      <c r="S10" s="325" t="str">
        <f t="shared" si="3"/>
        <v>Tampa Bay</v>
      </c>
      <c r="T10" s="128" t="str">
        <f>S10</f>
        <v>Tampa Bay</v>
      </c>
      <c r="U10" s="349" t="str">
        <f t="shared" si="4"/>
        <v>L</v>
      </c>
      <c r="V10" s="134"/>
      <c r="W10" s="349"/>
      <c r="X10" s="135"/>
      <c r="Y10" s="136"/>
      <c r="AA10" s="136"/>
      <c r="AD10" s="134"/>
      <c r="AE10" s="120"/>
      <c r="AF10" s="71"/>
      <c r="AH10" s="71"/>
      <c r="AJ10" s="134"/>
      <c r="AK10" s="120"/>
      <c r="AL10" s="71"/>
      <c r="AN10" s="71"/>
      <c r="AP10" s="137"/>
      <c r="AQ10" s="67"/>
      <c r="AS10" s="493"/>
      <c r="AT10" s="493"/>
      <c r="AV10" s="493"/>
      <c r="AX10" s="493"/>
      <c r="BB10" s="46"/>
      <c r="BC10" s="48"/>
      <c r="BE10" s="493"/>
      <c r="BF10" s="493"/>
      <c r="BH10" s="493"/>
      <c r="BL10" s="121"/>
      <c r="BM10" s="122"/>
      <c r="BN10" s="123"/>
      <c r="BO10" s="123"/>
      <c r="BP10" s="123"/>
      <c r="BQ10" s="123"/>
      <c r="BR10" s="122"/>
      <c r="BS10" s="124"/>
      <c r="BT10" s="124"/>
      <c r="BU10" s="124"/>
      <c r="BV10" s="125"/>
      <c r="BW10" s="82"/>
      <c r="CD10" s="262"/>
    </row>
    <row r="11" spans="1:90" x14ac:dyDescent="0.8">
      <c r="B11" s="46"/>
      <c r="C11" s="62"/>
      <c r="D11" s="490"/>
      <c r="F11" s="114"/>
      <c r="H11" s="127"/>
      <c r="J11" s="133"/>
      <c r="K11" s="261"/>
      <c r="N11" s="116"/>
      <c r="O11" s="493"/>
      <c r="P11" s="116"/>
      <c r="R11" s="330"/>
      <c r="S11" s="325"/>
      <c r="T11" s="128"/>
      <c r="U11" s="120"/>
      <c r="V11" s="134"/>
      <c r="W11" s="120"/>
      <c r="X11" s="135"/>
      <c r="Y11" s="136"/>
      <c r="AA11" s="136"/>
      <c r="AD11" s="134"/>
      <c r="AE11" s="120"/>
      <c r="AF11" s="71"/>
      <c r="AH11" s="71"/>
      <c r="AJ11" s="134"/>
      <c r="AK11" s="120"/>
      <c r="AL11" s="71"/>
      <c r="AN11" s="71"/>
      <c r="AP11" s="137"/>
      <c r="AQ11" s="67"/>
      <c r="AS11" s="493"/>
      <c r="AT11" s="493"/>
      <c r="AV11" s="493"/>
      <c r="AX11" s="493"/>
      <c r="BB11" s="46"/>
      <c r="BC11" s="48"/>
      <c r="BE11" s="493"/>
      <c r="BF11" s="493"/>
      <c r="BH11" s="493"/>
      <c r="BL11" s="121"/>
      <c r="BM11" s="122"/>
      <c r="BN11" s="123"/>
      <c r="BO11" s="123"/>
      <c r="BP11" s="123"/>
      <c r="BQ11" s="123"/>
      <c r="BR11" s="122"/>
      <c r="BS11" s="124"/>
      <c r="BT11" s="124"/>
      <c r="BU11" s="124"/>
      <c r="BV11" s="125"/>
      <c r="BW11" s="82"/>
      <c r="CD11" s="262"/>
    </row>
    <row r="12" spans="1:90" x14ac:dyDescent="0.8">
      <c r="B12" s="46"/>
      <c r="C12" s="62"/>
      <c r="F12" s="127"/>
      <c r="H12" s="127"/>
      <c r="J12" s="115"/>
      <c r="K12" s="261"/>
      <c r="L12" s="117"/>
      <c r="M12" s="118"/>
      <c r="N12" s="116"/>
      <c r="P12" s="116"/>
      <c r="R12" s="57"/>
      <c r="S12" s="46"/>
      <c r="T12" s="128"/>
      <c r="U12" s="120"/>
      <c r="V12" s="115"/>
      <c r="W12" s="120"/>
      <c r="X12" s="129"/>
      <c r="Y12" s="120"/>
      <c r="AJ12" s="128"/>
      <c r="AK12" s="120"/>
      <c r="AN12" s="70"/>
      <c r="AQ12" s="67"/>
      <c r="AY12" s="57"/>
      <c r="AZ12" s="64"/>
      <c r="BA12" s="46"/>
      <c r="BB12" s="46"/>
      <c r="BC12" s="48"/>
      <c r="BL12" s="121"/>
      <c r="BM12" s="122"/>
      <c r="BN12" s="123"/>
      <c r="BO12" s="123"/>
      <c r="BP12" s="123"/>
      <c r="BQ12" s="123"/>
      <c r="BR12" s="122"/>
      <c r="BS12" s="124"/>
      <c r="BT12" s="124"/>
      <c r="BU12" s="124"/>
      <c r="BV12" s="125"/>
      <c r="BW12" s="82"/>
      <c r="CD12" s="262"/>
    </row>
    <row r="13" spans="1:90" x14ac:dyDescent="0.8">
      <c r="A13" s="46" t="s">
        <v>391</v>
      </c>
      <c r="B13" s="46" t="s">
        <v>34</v>
      </c>
      <c r="C13" s="62">
        <v>44583</v>
      </c>
      <c r="D13" s="49">
        <f>13/24</f>
        <v>0.54166666666666663</v>
      </c>
      <c r="F13" s="114" t="s">
        <v>342</v>
      </c>
      <c r="G13" s="46" t="s">
        <v>343</v>
      </c>
      <c r="H13" s="114" t="s">
        <v>328</v>
      </c>
      <c r="I13" s="46" t="s">
        <v>329</v>
      </c>
      <c r="J13" s="115" t="str">
        <f>H13</f>
        <v>Kansas City</v>
      </c>
      <c r="K13" s="261" t="str">
        <f>IF(+J13=F13,#REF!,F13)</f>
        <v>Jacksonville</v>
      </c>
      <c r="L13" s="131">
        <v>9.5</v>
      </c>
      <c r="M13" s="132">
        <v>51.5</v>
      </c>
      <c r="N13" s="116" t="str">
        <f>J13</f>
        <v>Kansas City</v>
      </c>
      <c r="O13" s="64">
        <v>27</v>
      </c>
      <c r="P13" s="116" t="str">
        <f>K13</f>
        <v>Jacksonville</v>
      </c>
      <c r="Q13" s="46">
        <v>20</v>
      </c>
      <c r="R13" s="330" t="str">
        <f>IF(N13=J13,IF(O13-Q13&lt;L13,+P13,+N13),K13)</f>
        <v>Jacksonville</v>
      </c>
      <c r="S13" s="325" t="str">
        <f>IF(R13=J13,K13,J13)</f>
        <v>Kansas City</v>
      </c>
      <c r="T13" s="128" t="str">
        <f>R13</f>
        <v>Jacksonville</v>
      </c>
      <c r="U13" s="349" t="str">
        <f t="shared" ref="U13:U16" si="9">IF($N13=$J13,IF($O13-$Q13=$L13,"T",IF($R13=T13,"W","L")),IF($R13=T13,"W","L"))</f>
        <v>W</v>
      </c>
      <c r="V13" s="115"/>
      <c r="W13" s="120"/>
      <c r="X13" s="57"/>
      <c r="Y13" s="46"/>
      <c r="Z13" s="57"/>
      <c r="AA13" s="46"/>
      <c r="AD13" s="115"/>
      <c r="AE13" s="120"/>
      <c r="AF13" s="128"/>
      <c r="AG13" s="120"/>
      <c r="AH13" s="115"/>
      <c r="AM13" s="64"/>
      <c r="AN13" s="70"/>
      <c r="AO13" s="46"/>
      <c r="AQ13" s="67"/>
      <c r="BC13" s="48"/>
      <c r="BL13" s="121"/>
      <c r="BM13" s="122"/>
      <c r="BN13" s="123"/>
      <c r="BO13" s="123"/>
      <c r="BP13" s="123"/>
      <c r="BQ13" s="123"/>
      <c r="BR13" s="122"/>
      <c r="BS13" s="124"/>
      <c r="BT13" s="124"/>
      <c r="BU13" s="124"/>
      <c r="BV13" s="125"/>
      <c r="BW13" s="82"/>
      <c r="CD13" s="262"/>
    </row>
    <row r="14" spans="1:90" x14ac:dyDescent="0.8">
      <c r="A14" s="46" t="str">
        <f>+A13</f>
        <v>Div</v>
      </c>
      <c r="B14" s="46" t="s">
        <v>34</v>
      </c>
      <c r="C14" s="62">
        <v>44583</v>
      </c>
      <c r="D14" s="49">
        <f>16.5/24</f>
        <v>0.6875</v>
      </c>
      <c r="F14" s="127" t="s">
        <v>354</v>
      </c>
      <c r="G14" s="46" t="s">
        <v>347</v>
      </c>
      <c r="H14" s="114" t="s">
        <v>346</v>
      </c>
      <c r="I14" s="46" t="s">
        <v>347</v>
      </c>
      <c r="J14" s="115" t="str">
        <f>H14</f>
        <v>Philadelphia</v>
      </c>
      <c r="K14" s="261" t="str">
        <f>F14</f>
        <v>NY Giants</v>
      </c>
      <c r="L14" s="117">
        <v>7.5</v>
      </c>
      <c r="M14" s="118">
        <v>47.5</v>
      </c>
      <c r="N14" s="116" t="str">
        <f>J14</f>
        <v>Philadelphia</v>
      </c>
      <c r="O14" s="64">
        <v>38</v>
      </c>
      <c r="P14" s="116" t="str">
        <f>K14</f>
        <v>NY Giants</v>
      </c>
      <c r="Q14" s="46">
        <v>7</v>
      </c>
      <c r="R14" s="330" t="str">
        <f>IF(N14=J14,IF(O14-Q14&lt;L14,+P14,+N14),K14)</f>
        <v>Philadelphia</v>
      </c>
      <c r="S14" s="325" t="str">
        <f>IF(R14=J14,K14,J14)</f>
        <v>NY Giants</v>
      </c>
      <c r="T14" s="128" t="str">
        <f>R14</f>
        <v>Philadelphia</v>
      </c>
      <c r="U14" s="349" t="str">
        <f t="shared" si="9"/>
        <v>W</v>
      </c>
      <c r="V14" s="138"/>
      <c r="W14" s="120"/>
      <c r="X14" s="135"/>
      <c r="Y14" s="139"/>
      <c r="AA14" s="46"/>
      <c r="AC14" s="120">
        <f>IF(+U14="W",+AB14/20*38.2,0)</f>
        <v>0</v>
      </c>
      <c r="AD14" s="138"/>
      <c r="AE14" s="120"/>
      <c r="AJ14" s="140"/>
      <c r="AL14" s="68"/>
      <c r="AQ14" s="67"/>
      <c r="AY14" s="57"/>
      <c r="AZ14" s="64"/>
      <c r="BA14" s="46"/>
      <c r="BB14" s="46"/>
      <c r="BC14" s="48"/>
      <c r="BL14" s="121"/>
      <c r="BM14" s="122"/>
      <c r="BN14" s="123"/>
      <c r="BO14" s="123"/>
      <c r="BP14" s="123"/>
      <c r="BQ14" s="123"/>
      <c r="BR14" s="122"/>
      <c r="BS14" s="124"/>
      <c r="BT14" s="124"/>
      <c r="BU14" s="124"/>
      <c r="BV14" s="125"/>
      <c r="BW14" s="82"/>
      <c r="CD14" s="262"/>
    </row>
    <row r="15" spans="1:90" x14ac:dyDescent="0.8">
      <c r="A15" s="46" t="str">
        <f>+A14</f>
        <v>Div</v>
      </c>
      <c r="B15" s="46" t="s">
        <v>220</v>
      </c>
      <c r="C15" s="62">
        <v>44584</v>
      </c>
      <c r="D15" s="490">
        <f>13/24</f>
        <v>0.54166666666666663</v>
      </c>
      <c r="F15" s="114" t="str">
        <f>H6</f>
        <v>Jacksonville</v>
      </c>
      <c r="G15" s="46" t="str">
        <f>I6</f>
        <v>AFCS</v>
      </c>
      <c r="H15" s="115" t="str">
        <f>H7</f>
        <v>Buffalo</v>
      </c>
      <c r="I15" s="46" t="str">
        <f>I7</f>
        <v>AFCE</v>
      </c>
      <c r="J15" s="115" t="str">
        <f>H15</f>
        <v>Buffalo</v>
      </c>
      <c r="K15" s="261" t="str">
        <f>IF(+J15=F15,H14,F15)</f>
        <v>Jacksonville</v>
      </c>
      <c r="L15" s="117">
        <v>5.5</v>
      </c>
      <c r="M15" s="118">
        <v>48.5</v>
      </c>
      <c r="N15" s="116" t="str">
        <f>K15</f>
        <v>Jacksonville</v>
      </c>
      <c r="O15" s="64">
        <v>27</v>
      </c>
      <c r="P15" s="116" t="str">
        <f>J15</f>
        <v>Buffalo</v>
      </c>
      <c r="Q15" s="46">
        <v>10</v>
      </c>
      <c r="R15" s="330" t="str">
        <f>IF(N15=J15,IF(O15-Q15&lt;L15,+P15,+N15),K15)</f>
        <v>Jacksonville</v>
      </c>
      <c r="S15" s="325" t="str">
        <f>IF(R15=J15,K15,J15)</f>
        <v>Buffalo</v>
      </c>
      <c r="T15" s="128" t="str">
        <f>S15</f>
        <v>Buffalo</v>
      </c>
      <c r="U15" s="349" t="str">
        <f t="shared" si="9"/>
        <v>L</v>
      </c>
      <c r="V15" s="115"/>
      <c r="W15" s="120"/>
      <c r="X15" s="129"/>
      <c r="Y15" s="120"/>
      <c r="AC15" s="120">
        <f>IF(+U15="W",+AB15/20*38.2,0)</f>
        <v>0</v>
      </c>
      <c r="AD15" s="115"/>
      <c r="AE15" s="120"/>
      <c r="AN15" s="70"/>
      <c r="AQ15" s="67"/>
      <c r="AY15" s="57"/>
      <c r="AZ15" s="64"/>
      <c r="BA15" s="46"/>
      <c r="BB15" s="46"/>
      <c r="BC15" s="48"/>
      <c r="BL15" s="121"/>
      <c r="BM15" s="122"/>
      <c r="BN15" s="123"/>
      <c r="BO15" s="123"/>
      <c r="BP15" s="123"/>
      <c r="BQ15" s="123"/>
      <c r="BR15" s="122"/>
      <c r="BS15" s="124"/>
      <c r="BT15" s="124"/>
      <c r="BU15" s="124"/>
      <c r="BV15" s="125"/>
      <c r="BW15" s="82"/>
      <c r="CD15" s="262"/>
    </row>
    <row r="16" spans="1:90" x14ac:dyDescent="0.8">
      <c r="A16" s="46" t="str">
        <f>+A15</f>
        <v>Div</v>
      </c>
      <c r="B16" s="46" t="s">
        <v>220</v>
      </c>
      <c r="C16" s="62">
        <v>44584</v>
      </c>
      <c r="D16" s="490">
        <f>16.5/24</f>
        <v>0.6875</v>
      </c>
      <c r="F16" s="127" t="str">
        <f>H5</f>
        <v>Seattle</v>
      </c>
      <c r="G16" s="46" t="str">
        <f>I5</f>
        <v>NFCE</v>
      </c>
      <c r="H16" s="115" t="str">
        <f>F5</f>
        <v>San Francisco</v>
      </c>
      <c r="I16" s="46" t="str">
        <f>G5</f>
        <v>NFCW</v>
      </c>
      <c r="J16" s="115" t="str">
        <f>H16</f>
        <v>San Francisco</v>
      </c>
      <c r="K16" s="261" t="str">
        <f>IF(+J16=F16,H13,F16)</f>
        <v>Seattle</v>
      </c>
      <c r="L16" s="117">
        <v>3.5</v>
      </c>
      <c r="M16" s="118">
        <v>46.5</v>
      </c>
      <c r="N16" s="116" t="str">
        <f>J16</f>
        <v>San Francisco</v>
      </c>
      <c r="O16" s="64">
        <v>19</v>
      </c>
      <c r="P16" s="116" t="str">
        <f>K16</f>
        <v>Seattle</v>
      </c>
      <c r="Q16" s="46">
        <v>12</v>
      </c>
      <c r="R16" s="330" t="str">
        <f>IF(N16=J16,IF(O16-Q16&lt;L16,+P16,+N16),K16)</f>
        <v>San Francisco</v>
      </c>
      <c r="S16" s="325" t="str">
        <f>IF(R16=J16,K16,J16)</f>
        <v>Seattle</v>
      </c>
      <c r="T16" s="128" t="str">
        <f>R16</f>
        <v>San Francisco</v>
      </c>
      <c r="U16" s="349" t="str">
        <f t="shared" si="9"/>
        <v>W</v>
      </c>
      <c r="V16" s="128"/>
      <c r="W16" s="120"/>
      <c r="X16" s="129"/>
      <c r="Y16" s="120"/>
      <c r="AC16" s="120">
        <f>IF(+U16="W",+AB16/20*38.2,0)</f>
        <v>0</v>
      </c>
      <c r="AJ16" s="128"/>
      <c r="AK16" s="120"/>
      <c r="AL16" s="68"/>
      <c r="AQ16" s="67"/>
      <c r="AY16" s="57"/>
      <c r="AZ16" s="64"/>
      <c r="BA16" s="46"/>
      <c r="BB16" s="46"/>
      <c r="BC16" s="48"/>
      <c r="BL16" s="121"/>
      <c r="BM16" s="122"/>
      <c r="BN16" s="123"/>
      <c r="BO16" s="123"/>
      <c r="BP16" s="123"/>
      <c r="BQ16" s="123"/>
      <c r="BR16" s="122"/>
      <c r="BS16" s="124"/>
      <c r="BT16" s="124"/>
      <c r="BU16" s="124"/>
      <c r="BV16" s="125"/>
      <c r="BW16" s="82"/>
      <c r="CD16" s="262"/>
    </row>
    <row r="17" spans="1:86" x14ac:dyDescent="0.8">
      <c r="B17" s="46"/>
      <c r="C17" s="62"/>
      <c r="F17" s="114"/>
      <c r="H17" s="114"/>
      <c r="J17" s="141"/>
      <c r="K17" s="263"/>
      <c r="N17" s="116"/>
      <c r="P17" s="116"/>
      <c r="R17" s="57"/>
      <c r="S17" s="46"/>
      <c r="T17" s="128"/>
      <c r="U17" s="120"/>
      <c r="V17" s="128"/>
      <c r="W17" s="120"/>
      <c r="X17" s="57"/>
      <c r="Y17" s="46"/>
      <c r="Z17" s="57"/>
      <c r="AA17" s="46"/>
      <c r="AD17" s="128"/>
      <c r="AE17" s="120"/>
      <c r="AJ17" s="128"/>
      <c r="AK17" s="120"/>
      <c r="AM17" s="64"/>
      <c r="AN17" s="70"/>
      <c r="AO17" s="46"/>
      <c r="AQ17" s="67"/>
      <c r="BC17" s="48"/>
      <c r="BL17" s="121"/>
      <c r="BM17" s="122"/>
      <c r="BN17" s="123"/>
      <c r="BO17" s="123"/>
      <c r="BP17" s="123"/>
      <c r="BQ17" s="123"/>
      <c r="BR17" s="122"/>
      <c r="BS17" s="124"/>
      <c r="BT17" s="124"/>
      <c r="BU17" s="124"/>
      <c r="BV17" s="125"/>
      <c r="BW17" s="82"/>
      <c r="CD17" s="262"/>
    </row>
    <row r="18" spans="1:86" x14ac:dyDescent="0.8">
      <c r="A18" s="46" t="s">
        <v>403</v>
      </c>
      <c r="B18" s="46" t="s">
        <v>220</v>
      </c>
      <c r="C18" s="62">
        <v>44591</v>
      </c>
      <c r="D18" s="49">
        <f>15.5/24</f>
        <v>0.64583333333333337</v>
      </c>
      <c r="F18" s="114" t="s">
        <v>353</v>
      </c>
      <c r="G18" s="46" t="s">
        <v>340</v>
      </c>
      <c r="H18" s="114" t="s">
        <v>346</v>
      </c>
      <c r="I18" s="46" t="s">
        <v>347</v>
      </c>
      <c r="J18" s="115" t="str">
        <f>H18</f>
        <v>Philadelphia</v>
      </c>
      <c r="K18" s="261" t="str">
        <f>IF(+J18=F18,H18,F18)</f>
        <v>San Francisco</v>
      </c>
      <c r="L18" s="117">
        <v>2.5</v>
      </c>
      <c r="M18" s="118">
        <v>44.5</v>
      </c>
      <c r="N18" s="116" t="str">
        <f>J18</f>
        <v>Philadelphia</v>
      </c>
      <c r="O18" s="64">
        <v>31</v>
      </c>
      <c r="P18" s="116" t="str">
        <f>K18</f>
        <v>San Francisco</v>
      </c>
      <c r="Q18" s="46">
        <v>7</v>
      </c>
      <c r="R18" s="330" t="str">
        <f>IF(N18=J18,IF(O18-Q18&lt;L18,+P18,+N18),K18)</f>
        <v>Philadelphia</v>
      </c>
      <c r="S18" s="325" t="str">
        <f>IF(R18=J18,K18,J18)</f>
        <v>San Francisco</v>
      </c>
      <c r="T18" s="128" t="str">
        <f>R18</f>
        <v>Philadelphia</v>
      </c>
      <c r="U18" s="349" t="str">
        <f t="shared" ref="U18:U19" si="10">IF($N18=$J18,IF($O18-$Q18=$L18,"T",IF($R18=T18,"W","L")),IF($R18=T18,"W","L"))</f>
        <v>W</v>
      </c>
      <c r="V18" s="115"/>
      <c r="W18" s="120"/>
      <c r="X18" s="129"/>
      <c r="Y18" s="120"/>
      <c r="AD18" s="115"/>
      <c r="AE18" s="120"/>
      <c r="AN18" s="70"/>
      <c r="AP18" s="348"/>
      <c r="AQ18" s="67"/>
      <c r="AY18" s="57"/>
      <c r="AZ18" s="64"/>
      <c r="BA18" s="46"/>
      <c r="BB18" s="46"/>
      <c r="BC18" s="48"/>
      <c r="BL18" s="121"/>
      <c r="BM18" s="122"/>
      <c r="BN18" s="123"/>
      <c r="BO18" s="123"/>
      <c r="BP18" s="123"/>
      <c r="BQ18" s="123"/>
      <c r="BR18" s="122"/>
      <c r="BS18" s="124"/>
      <c r="BT18" s="124"/>
      <c r="BU18" s="124"/>
      <c r="BV18" s="125"/>
      <c r="BW18" s="82"/>
      <c r="CD18" s="262"/>
    </row>
    <row r="19" spans="1:86" x14ac:dyDescent="0.8">
      <c r="A19" s="46" t="str">
        <f>+A18</f>
        <v>Champ</v>
      </c>
      <c r="B19" s="46" t="s">
        <v>220</v>
      </c>
      <c r="C19" s="62">
        <v>44591</v>
      </c>
      <c r="D19" s="49">
        <f>19/24</f>
        <v>0.79166666666666663</v>
      </c>
      <c r="F19" s="127" t="s">
        <v>55</v>
      </c>
      <c r="G19" s="46" t="s">
        <v>338</v>
      </c>
      <c r="H19" s="114" t="s">
        <v>328</v>
      </c>
      <c r="I19" s="46" t="s">
        <v>329</v>
      </c>
      <c r="J19" s="115" t="str">
        <f>H19</f>
        <v>Kansas City</v>
      </c>
      <c r="K19" s="261" t="str">
        <f>IF(+J19=F19,H19,F19)</f>
        <v>Cincinnati</v>
      </c>
      <c r="L19" s="117">
        <v>1.5</v>
      </c>
      <c r="M19" s="118">
        <v>48.5</v>
      </c>
      <c r="N19" s="116" t="str">
        <f>J19</f>
        <v>Kansas City</v>
      </c>
      <c r="O19" s="64">
        <v>23</v>
      </c>
      <c r="P19" s="116" t="str">
        <f>K19</f>
        <v>Cincinnati</v>
      </c>
      <c r="Q19" s="46">
        <v>20</v>
      </c>
      <c r="R19" s="330" t="str">
        <f>IF(N19=J19,IF(O19-Q19&lt;L19,+P19,+N19),K19)</f>
        <v>Kansas City</v>
      </c>
      <c r="S19" s="325" t="str">
        <f>IF(R19=J19,K19,J19)</f>
        <v>Cincinnati</v>
      </c>
      <c r="T19" s="128" t="str">
        <f>S19</f>
        <v>Cincinnati</v>
      </c>
      <c r="U19" s="349" t="str">
        <f t="shared" si="10"/>
        <v>L</v>
      </c>
      <c r="V19" s="128"/>
      <c r="W19" s="120"/>
      <c r="X19" s="129"/>
      <c r="Y19" s="120"/>
      <c r="AJ19" s="128"/>
      <c r="AK19" s="120"/>
      <c r="AL19" s="68"/>
      <c r="AP19" s="348"/>
      <c r="AQ19" s="67"/>
      <c r="AY19" s="57"/>
      <c r="AZ19" s="64"/>
      <c r="BA19" s="46"/>
      <c r="BB19" s="46"/>
      <c r="BC19" s="48"/>
      <c r="BL19" s="121"/>
      <c r="BM19" s="122"/>
      <c r="BN19" s="123"/>
      <c r="BO19" s="123"/>
      <c r="BP19" s="123"/>
      <c r="BQ19" s="123"/>
      <c r="BR19" s="122"/>
      <c r="BS19" s="124"/>
      <c r="BT19" s="124"/>
      <c r="BU19" s="124"/>
      <c r="BV19" s="125"/>
      <c r="BW19" s="82"/>
      <c r="CD19" s="262"/>
    </row>
    <row r="20" spans="1:86" x14ac:dyDescent="0.8">
      <c r="B20" s="46"/>
      <c r="C20" s="62"/>
      <c r="F20" s="114"/>
      <c r="H20" s="127"/>
      <c r="J20" s="128"/>
      <c r="K20" s="62"/>
      <c r="L20" s="117"/>
      <c r="M20" s="118"/>
      <c r="N20" s="116"/>
      <c r="P20" s="116"/>
      <c r="R20" s="57"/>
      <c r="S20" s="46"/>
      <c r="T20" s="128"/>
      <c r="U20" s="120"/>
      <c r="V20" s="128"/>
      <c r="W20" s="120"/>
      <c r="X20" s="135"/>
      <c r="Y20" s="136"/>
      <c r="AD20" s="128"/>
      <c r="AE20" s="120"/>
      <c r="AL20" s="68"/>
      <c r="AQ20" s="67"/>
      <c r="AY20" s="57"/>
      <c r="AZ20" s="64"/>
      <c r="BA20" s="46"/>
      <c r="BB20" s="46"/>
      <c r="BC20" s="48"/>
      <c r="BL20" s="121"/>
      <c r="BM20" s="122"/>
      <c r="BN20" s="123"/>
      <c r="BO20" s="123"/>
      <c r="BP20" s="123"/>
      <c r="BQ20" s="123"/>
      <c r="BR20" s="122"/>
      <c r="BS20" s="124"/>
      <c r="BT20" s="124"/>
      <c r="BU20" s="124"/>
      <c r="BV20" s="125"/>
      <c r="BW20" s="82"/>
      <c r="CD20" s="262"/>
    </row>
    <row r="21" spans="1:86" x14ac:dyDescent="0.8">
      <c r="A21" s="46" t="s">
        <v>435</v>
      </c>
      <c r="B21" s="46" t="s">
        <v>220</v>
      </c>
      <c r="C21" s="62">
        <v>44605</v>
      </c>
      <c r="D21" s="49">
        <f>18.5/24</f>
        <v>0.77083333333333337</v>
      </c>
      <c r="E21" s="46" t="s">
        <v>118</v>
      </c>
      <c r="F21" s="114" t="s">
        <v>328</v>
      </c>
      <c r="G21" s="46" t="s">
        <v>329</v>
      </c>
      <c r="H21" s="114" t="s">
        <v>346</v>
      </c>
      <c r="I21" s="46" t="s">
        <v>347</v>
      </c>
      <c r="J21" s="115" t="str">
        <f>H21</f>
        <v>Philadelphia</v>
      </c>
      <c r="K21" s="62" t="str">
        <f>F21</f>
        <v>Kansas City</v>
      </c>
      <c r="L21" s="131">
        <v>1.5</v>
      </c>
      <c r="M21" s="132">
        <v>51.5</v>
      </c>
      <c r="N21" s="116" t="str">
        <f>K21</f>
        <v>Kansas City</v>
      </c>
      <c r="O21" s="64">
        <v>38</v>
      </c>
      <c r="P21" s="116" t="str">
        <f>K21</f>
        <v>Kansas City</v>
      </c>
      <c r="Q21" s="46">
        <v>35</v>
      </c>
      <c r="R21" s="330" t="str">
        <f t="shared" ref="R21" si="11">IF(N21=J21,IF(O21-Q21&lt;L21,+P21,+N21),K21)</f>
        <v>Kansas City</v>
      </c>
      <c r="S21" s="325" t="str">
        <f t="shared" ref="S21" si="12">IF(R21=J21,K21,J21)</f>
        <v>Philadelphia</v>
      </c>
      <c r="T21" s="128" t="str">
        <f>J21</f>
        <v>Philadelphia</v>
      </c>
      <c r="U21" s="349" t="str">
        <f t="shared" ref="U21" si="13">IF($N21=$J21,IF($O21-$Q21=$L21,"T",IF($R21=T21,"W","L")),IF($R21=T21,"W","L"))</f>
        <v>L</v>
      </c>
      <c r="V21" s="128" t="str">
        <f>T21</f>
        <v>Philadelphia</v>
      </c>
      <c r="W21" s="120"/>
      <c r="X21" s="135"/>
      <c r="Y21" s="136"/>
      <c r="Z21" s="57"/>
      <c r="AA21" s="46"/>
      <c r="AD21" s="128"/>
      <c r="AE21" s="120"/>
      <c r="AL21" s="70"/>
      <c r="AM21" s="64"/>
      <c r="AN21" s="70"/>
      <c r="AO21" s="46"/>
      <c r="AQ21" s="67"/>
      <c r="BC21" s="48"/>
      <c r="BL21" s="121"/>
      <c r="BM21" s="122"/>
      <c r="BN21" s="123"/>
      <c r="BO21" s="123"/>
      <c r="BP21" s="123"/>
      <c r="BQ21" s="123"/>
      <c r="BR21" s="122"/>
      <c r="BS21" s="124"/>
      <c r="BT21" s="124"/>
      <c r="BU21" s="124"/>
      <c r="BV21" s="125"/>
      <c r="BW21" s="82"/>
      <c r="CD21" s="262"/>
    </row>
    <row r="22" spans="1:86" x14ac:dyDescent="0.8">
      <c r="B22" s="46"/>
      <c r="C22" s="62"/>
      <c r="F22" s="114"/>
      <c r="H22" s="114"/>
      <c r="J22" s="115"/>
      <c r="K22" s="261"/>
      <c r="L22" s="117"/>
      <c r="M22" s="118"/>
      <c r="N22" s="116"/>
      <c r="P22" s="116"/>
      <c r="R22" s="57"/>
      <c r="S22" s="46"/>
      <c r="T22" s="128"/>
      <c r="U22" s="120"/>
      <c r="V22" s="115"/>
      <c r="W22" s="120"/>
      <c r="X22" s="140"/>
      <c r="Y22" s="144"/>
      <c r="AD22" s="115"/>
      <c r="AE22" s="120"/>
      <c r="AL22" s="69"/>
      <c r="AN22" s="70"/>
      <c r="AQ22" s="67"/>
      <c r="AY22" s="57"/>
      <c r="AZ22" s="64"/>
      <c r="BA22" s="46"/>
      <c r="BB22" s="46"/>
      <c r="BC22" s="48"/>
      <c r="BL22" s="121"/>
      <c r="BM22" s="122"/>
      <c r="BN22" s="123"/>
      <c r="BO22" s="123"/>
      <c r="BP22" s="123"/>
      <c r="BQ22" s="123"/>
      <c r="BR22" s="122"/>
      <c r="BS22" s="124"/>
      <c r="BT22" s="124"/>
      <c r="BU22" s="124"/>
      <c r="BV22" s="125"/>
      <c r="BW22" s="82"/>
      <c r="CD22" s="262"/>
    </row>
    <row r="23" spans="1:86" x14ac:dyDescent="0.8">
      <c r="B23" s="46"/>
      <c r="C23" s="62"/>
      <c r="F23" s="130"/>
      <c r="H23" s="114"/>
      <c r="J23" s="142"/>
      <c r="K23" s="264"/>
      <c r="N23" s="116"/>
      <c r="P23" s="116"/>
      <c r="R23" s="57"/>
      <c r="S23" s="46"/>
      <c r="T23" s="128"/>
      <c r="U23" s="139"/>
      <c r="V23" s="134"/>
      <c r="W23" s="139"/>
      <c r="X23" s="140"/>
      <c r="Y23" s="144"/>
      <c r="AA23" s="136"/>
      <c r="AC23" s="120">
        <f>+SUM(AC6:AC22)</f>
        <v>0</v>
      </c>
      <c r="AD23" s="143"/>
      <c r="AE23" s="144"/>
      <c r="AF23" s="71"/>
      <c r="AG23" s="144"/>
      <c r="AH23" s="71"/>
      <c r="AJ23" s="143"/>
      <c r="AK23" s="144"/>
      <c r="AL23" s="71"/>
      <c r="AN23" s="71"/>
      <c r="AP23" s="137"/>
      <c r="AQ23" s="67"/>
      <c r="BB23" s="46"/>
      <c r="BC23" s="48"/>
      <c r="BL23" s="121"/>
      <c r="BM23" s="146"/>
      <c r="BN23" s="147"/>
      <c r="BO23" s="147"/>
      <c r="BP23" s="147"/>
      <c r="BQ23" s="147"/>
      <c r="BR23" s="146"/>
      <c r="BS23" s="148"/>
      <c r="BT23" s="148"/>
      <c r="BU23" s="148"/>
      <c r="BV23" s="149"/>
      <c r="BW23" s="82"/>
      <c r="CD23" s="262"/>
    </row>
    <row r="24" spans="1:86" x14ac:dyDescent="0.8">
      <c r="F24" s="130"/>
      <c r="G24" s="86"/>
      <c r="H24" s="130"/>
      <c r="I24" s="86"/>
      <c r="J24" s="128"/>
      <c r="L24" s="117"/>
      <c r="M24" s="118"/>
      <c r="P24" s="130"/>
      <c r="R24" s="57"/>
      <c r="S24" s="150"/>
      <c r="T24" s="140"/>
      <c r="U24" s="139"/>
      <c r="V24" s="140"/>
      <c r="W24" s="139"/>
      <c r="X24" s="143"/>
      <c r="AA24" s="136"/>
      <c r="AD24" s="119"/>
      <c r="AE24" s="139"/>
      <c r="AG24" s="139"/>
      <c r="AJ24" s="140"/>
      <c r="AK24" s="144"/>
      <c r="AN24" s="70"/>
      <c r="AQ24" s="67"/>
      <c r="AT24" s="46"/>
      <c r="AY24" s="57"/>
      <c r="AZ24" s="64"/>
      <c r="BA24" s="46"/>
      <c r="BB24" s="46"/>
      <c r="BC24" s="48"/>
      <c r="BF24" s="46"/>
      <c r="BL24" s="121"/>
      <c r="BM24" s="146"/>
      <c r="BN24" s="147"/>
      <c r="BO24" s="147"/>
      <c r="BP24" s="147"/>
      <c r="BQ24" s="147"/>
      <c r="BR24" s="146"/>
      <c r="BS24" s="148"/>
      <c r="BT24" s="148"/>
      <c r="BU24" s="148"/>
      <c r="BV24" s="149"/>
      <c r="BW24" s="82"/>
      <c r="CD24" s="262"/>
    </row>
    <row r="25" spans="1:86" x14ac:dyDescent="0.8">
      <c r="F25" s="130"/>
      <c r="G25" s="86"/>
      <c r="H25" s="91"/>
      <c r="I25" s="86"/>
      <c r="J25" s="115"/>
      <c r="N25" s="116"/>
      <c r="P25" s="116"/>
      <c r="R25" s="57"/>
      <c r="S25" s="150"/>
      <c r="T25" s="128"/>
      <c r="U25" s="120"/>
      <c r="V25" s="128"/>
      <c r="W25" s="120"/>
      <c r="AA25" s="46"/>
      <c r="AF25" s="128"/>
      <c r="AG25" s="120"/>
      <c r="AL25" s="70"/>
      <c r="AN25" s="70"/>
      <c r="AQ25" s="67"/>
      <c r="AT25" s="46"/>
      <c r="AY25" s="57"/>
      <c r="AZ25" s="64"/>
      <c r="BA25" s="46"/>
      <c r="BB25" s="46"/>
      <c r="BC25" s="48"/>
      <c r="BF25" s="46"/>
      <c r="BL25" s="121"/>
      <c r="BM25" s="146"/>
      <c r="BN25" s="147"/>
      <c r="BO25" s="147"/>
      <c r="BP25" s="147"/>
      <c r="BQ25" s="147"/>
      <c r="BR25" s="146"/>
      <c r="BS25" s="148"/>
      <c r="BT25" s="148"/>
      <c r="BU25" s="148"/>
      <c r="BV25" s="149"/>
      <c r="BW25" s="82"/>
      <c r="CD25" s="262"/>
    </row>
    <row r="26" spans="1:86" x14ac:dyDescent="0.8">
      <c r="F26" s="127"/>
      <c r="H26" s="114"/>
      <c r="J26" s="115"/>
      <c r="K26" s="62"/>
      <c r="L26" s="117"/>
      <c r="M26" s="118"/>
      <c r="N26" s="116"/>
      <c r="P26" s="116"/>
      <c r="R26" s="57"/>
      <c r="S26" s="46"/>
      <c r="T26" s="138"/>
      <c r="U26" s="120"/>
      <c r="V26" s="115"/>
      <c r="W26" s="120"/>
      <c r="AA26" s="46"/>
      <c r="AD26" s="115"/>
      <c r="AE26" s="120"/>
      <c r="AF26" s="115"/>
      <c r="AG26" s="120"/>
      <c r="AQ26" s="67"/>
      <c r="AT26" s="46"/>
      <c r="AY26" s="57"/>
      <c r="AZ26" s="64"/>
      <c r="BA26" s="46"/>
      <c r="BB26" s="46"/>
      <c r="BC26" s="48"/>
      <c r="BF26" s="46"/>
      <c r="BL26" s="121"/>
      <c r="BM26" s="122"/>
      <c r="BN26" s="123"/>
      <c r="BO26" s="123"/>
      <c r="BP26" s="123"/>
      <c r="BQ26" s="123"/>
      <c r="BR26" s="122"/>
      <c r="BS26" s="124"/>
      <c r="BT26" s="124"/>
      <c r="BU26" s="124"/>
      <c r="BV26" s="125"/>
      <c r="BW26" s="82"/>
      <c r="CD26" s="262"/>
      <c r="CH26" s="265"/>
    </row>
    <row r="27" spans="1:86" x14ac:dyDescent="0.8">
      <c r="F27" s="114"/>
      <c r="H27" s="114"/>
      <c r="J27" s="128"/>
      <c r="K27" s="62"/>
      <c r="L27" s="117"/>
      <c r="M27" s="118"/>
      <c r="N27" s="130"/>
      <c r="P27" s="116"/>
      <c r="R27" s="57"/>
      <c r="S27" s="46"/>
      <c r="T27" s="128"/>
      <c r="U27" s="120"/>
      <c r="V27" s="128"/>
      <c r="W27" s="120"/>
      <c r="AA27" s="46"/>
      <c r="AD27" s="115"/>
      <c r="AE27" s="120"/>
      <c r="AQ27" s="67"/>
      <c r="AT27" s="46"/>
      <c r="AY27" s="57"/>
      <c r="AZ27" s="64"/>
      <c r="BA27" s="46"/>
      <c r="BB27" s="46"/>
      <c r="BC27" s="48"/>
      <c r="BF27" s="46"/>
      <c r="BL27" s="121"/>
      <c r="BM27" s="122"/>
      <c r="BN27" s="123"/>
      <c r="BO27" s="123"/>
      <c r="BP27" s="123"/>
      <c r="BQ27" s="123"/>
      <c r="BR27" s="122"/>
      <c r="BS27" s="124"/>
      <c r="BT27" s="124"/>
      <c r="BU27" s="124"/>
      <c r="BV27" s="125"/>
      <c r="BW27" s="82"/>
      <c r="CD27" s="262"/>
      <c r="CH27" s="265"/>
    </row>
    <row r="28" spans="1:86" x14ac:dyDescent="0.8">
      <c r="F28" s="114"/>
      <c r="H28" s="114"/>
      <c r="J28" s="128"/>
      <c r="K28" s="62"/>
      <c r="L28" s="117"/>
      <c r="M28" s="118"/>
      <c r="N28" s="130"/>
      <c r="P28" s="116"/>
      <c r="R28" s="57"/>
      <c r="S28" s="46"/>
      <c r="T28" s="119"/>
      <c r="U28" s="120"/>
      <c r="V28" s="128"/>
      <c r="W28" s="120"/>
      <c r="X28" s="129"/>
      <c r="Y28" s="120"/>
      <c r="AD28" s="115"/>
      <c r="AE28" s="120"/>
      <c r="AJ28" s="128"/>
      <c r="AK28" s="120"/>
      <c r="AL28" s="68"/>
      <c r="AQ28" s="67"/>
      <c r="AT28" s="46"/>
      <c r="AY28" s="57"/>
      <c r="AZ28" s="64"/>
      <c r="BA28" s="46"/>
      <c r="BB28" s="46"/>
      <c r="BC28" s="48"/>
      <c r="BF28" s="46"/>
      <c r="BL28" s="121"/>
      <c r="BM28" s="122"/>
      <c r="BN28" s="123"/>
      <c r="BO28" s="123"/>
      <c r="BP28" s="123"/>
      <c r="BQ28" s="123"/>
      <c r="BR28" s="122"/>
      <c r="BS28" s="124"/>
      <c r="BT28" s="124"/>
      <c r="BU28" s="124"/>
      <c r="BV28" s="125"/>
      <c r="BW28" s="82"/>
      <c r="CD28" s="262"/>
      <c r="CH28" s="265"/>
    </row>
    <row r="29" spans="1:86" x14ac:dyDescent="0.8">
      <c r="F29" s="114"/>
      <c r="H29" s="114"/>
      <c r="J29" s="128"/>
      <c r="K29" s="62"/>
      <c r="N29" s="130"/>
      <c r="P29" s="116"/>
      <c r="R29" s="57"/>
      <c r="S29" s="46"/>
      <c r="T29" s="128"/>
      <c r="U29" s="120"/>
      <c r="V29" s="128"/>
      <c r="W29" s="120"/>
      <c r="AD29" s="115"/>
      <c r="AE29" s="120"/>
      <c r="AF29" s="128"/>
      <c r="AG29" s="120"/>
      <c r="AK29" s="120"/>
      <c r="AN29" s="70"/>
      <c r="AQ29" s="67"/>
      <c r="AT29" s="46"/>
      <c r="AY29" s="57"/>
      <c r="AZ29" s="64"/>
      <c r="BA29" s="46"/>
      <c r="BB29" s="46"/>
      <c r="BC29" s="48"/>
      <c r="BF29" s="46"/>
      <c r="BL29" s="121"/>
      <c r="BM29" s="122"/>
      <c r="BN29" s="123"/>
      <c r="BO29" s="123"/>
      <c r="BP29" s="123"/>
      <c r="BQ29" s="123"/>
      <c r="BR29" s="122"/>
      <c r="BS29" s="124"/>
      <c r="BT29" s="124"/>
      <c r="BU29" s="124"/>
      <c r="BV29" s="125"/>
      <c r="BW29" s="82"/>
      <c r="CD29" s="262"/>
      <c r="CH29" s="265"/>
    </row>
    <row r="30" spans="1:86" x14ac:dyDescent="0.8">
      <c r="F30" s="127"/>
      <c r="H30" s="127"/>
      <c r="J30" s="115"/>
      <c r="K30" s="62"/>
      <c r="L30" s="117"/>
      <c r="M30" s="118"/>
      <c r="N30" s="116"/>
      <c r="P30" s="116"/>
      <c r="R30" s="57"/>
      <c r="S30" s="46"/>
      <c r="T30" s="119"/>
      <c r="U30" s="120"/>
      <c r="V30" s="128"/>
      <c r="W30" s="120"/>
      <c r="X30" s="129"/>
      <c r="Y30" s="120"/>
      <c r="AD30" s="128"/>
      <c r="AE30" s="120"/>
      <c r="AG30" s="120"/>
      <c r="AL30" s="69"/>
      <c r="AN30" s="70"/>
      <c r="AQ30" s="67"/>
      <c r="AT30" s="46"/>
      <c r="AY30" s="57"/>
      <c r="AZ30" s="64"/>
      <c r="BA30" s="46"/>
      <c r="BB30" s="46"/>
      <c r="BC30" s="48"/>
      <c r="BF30" s="46"/>
      <c r="BL30" s="121"/>
      <c r="BM30" s="122"/>
      <c r="BN30" s="123"/>
      <c r="BO30" s="123"/>
      <c r="BP30" s="123"/>
      <c r="BQ30" s="123"/>
      <c r="BR30" s="122"/>
      <c r="BS30" s="124"/>
      <c r="BT30" s="124"/>
      <c r="BU30" s="124"/>
      <c r="BV30" s="125"/>
      <c r="BW30" s="82"/>
      <c r="CD30" s="262"/>
      <c r="CH30" s="265"/>
    </row>
    <row r="31" spans="1:86" x14ac:dyDescent="0.8">
      <c r="F31" s="114"/>
      <c r="H31" s="114"/>
      <c r="J31" s="115"/>
      <c r="K31" s="62"/>
      <c r="N31" s="116"/>
      <c r="P31" s="116"/>
      <c r="R31" s="57"/>
      <c r="S31" s="46"/>
      <c r="T31" s="115"/>
      <c r="U31" s="120"/>
      <c r="V31" s="115"/>
      <c r="W31" s="120"/>
      <c r="X31" s="57"/>
      <c r="Y31" s="46"/>
      <c r="Z31" s="57"/>
      <c r="AA31" s="46"/>
      <c r="AD31" s="115"/>
      <c r="AE31" s="120"/>
      <c r="AF31" s="115"/>
      <c r="AG31" s="120"/>
      <c r="AH31" s="128"/>
      <c r="AJ31" s="115"/>
      <c r="AL31" s="69"/>
      <c r="AM31" s="64"/>
      <c r="AN31" s="70"/>
      <c r="AO31" s="46"/>
      <c r="AQ31" s="67"/>
      <c r="AT31" s="46"/>
      <c r="BC31" s="48"/>
      <c r="BF31" s="46"/>
      <c r="BL31" s="121"/>
      <c r="BM31" s="122"/>
      <c r="BN31" s="123"/>
      <c r="BO31" s="123"/>
      <c r="BP31" s="123"/>
      <c r="BQ31" s="123"/>
      <c r="BR31" s="122"/>
      <c r="BS31" s="124"/>
      <c r="BT31" s="124"/>
      <c r="BU31" s="124"/>
      <c r="BV31" s="125"/>
      <c r="BW31" s="82"/>
      <c r="CD31" s="262"/>
      <c r="CH31" s="265"/>
    </row>
    <row r="32" spans="1:86" x14ac:dyDescent="0.8">
      <c r="F32" s="127"/>
      <c r="H32" s="127"/>
      <c r="J32" s="128"/>
      <c r="K32" s="62"/>
      <c r="N32" s="130"/>
      <c r="P32" s="116"/>
      <c r="R32" s="57"/>
      <c r="S32" s="46"/>
      <c r="T32" s="128"/>
      <c r="U32" s="120"/>
      <c r="V32" s="128"/>
      <c r="W32" s="120"/>
      <c r="X32" s="57"/>
      <c r="Y32" s="46"/>
      <c r="Z32" s="57"/>
      <c r="AA32" s="46"/>
      <c r="AD32" s="128"/>
      <c r="AE32" s="120"/>
      <c r="AF32" s="128"/>
      <c r="AG32" s="120"/>
      <c r="AJ32" s="128"/>
      <c r="AK32" s="120"/>
      <c r="AM32" s="64"/>
      <c r="AO32" s="46"/>
      <c r="AQ32" s="67"/>
      <c r="AT32" s="46"/>
      <c r="BC32" s="48"/>
      <c r="BF32" s="46"/>
      <c r="BL32" s="121"/>
      <c r="BM32" s="122"/>
      <c r="BN32" s="123"/>
      <c r="BO32" s="123"/>
      <c r="BP32" s="123"/>
      <c r="BQ32" s="123"/>
      <c r="BR32" s="122"/>
      <c r="BS32" s="124"/>
      <c r="BT32" s="124"/>
      <c r="BU32" s="124"/>
      <c r="BV32" s="125"/>
      <c r="BW32" s="82"/>
      <c r="CD32" s="262"/>
      <c r="CH32" s="265"/>
    </row>
    <row r="33" spans="6:86" x14ac:dyDescent="0.8">
      <c r="F33" s="127"/>
      <c r="H33" s="127"/>
      <c r="J33" s="128"/>
      <c r="K33" s="62"/>
      <c r="N33" s="116"/>
      <c r="P33" s="116"/>
      <c r="R33" s="57"/>
      <c r="S33" s="46"/>
      <c r="T33" s="115"/>
      <c r="U33" s="120"/>
      <c r="V33" s="115"/>
      <c r="W33" s="120"/>
      <c r="X33" s="57"/>
      <c r="Y33" s="46"/>
      <c r="Z33" s="57"/>
      <c r="AA33" s="46"/>
      <c r="AD33" s="115"/>
      <c r="AE33" s="120"/>
      <c r="AM33" s="64"/>
      <c r="AO33" s="46"/>
      <c r="AQ33" s="67"/>
      <c r="AT33" s="46"/>
      <c r="AY33" s="57"/>
      <c r="AZ33" s="64"/>
      <c r="BA33" s="46"/>
      <c r="BC33" s="48"/>
      <c r="BF33" s="46"/>
      <c r="BL33" s="121"/>
      <c r="BM33" s="122"/>
      <c r="BN33" s="123"/>
      <c r="BO33" s="123"/>
      <c r="BP33" s="123"/>
      <c r="BQ33" s="123"/>
      <c r="BR33" s="122"/>
      <c r="BS33" s="124"/>
      <c r="BT33" s="124"/>
      <c r="BU33" s="124"/>
      <c r="BV33" s="125"/>
      <c r="BW33" s="82"/>
      <c r="CD33" s="262"/>
      <c r="CH33" s="265"/>
    </row>
    <row r="34" spans="6:86" x14ac:dyDescent="0.8">
      <c r="F34" s="127"/>
      <c r="H34" s="127"/>
      <c r="J34" s="115"/>
      <c r="K34" s="62"/>
      <c r="L34" s="117"/>
      <c r="M34" s="118"/>
      <c r="N34" s="116"/>
      <c r="P34" s="116"/>
      <c r="R34" s="57"/>
      <c r="S34" s="46"/>
      <c r="T34" s="115"/>
      <c r="U34" s="120"/>
      <c r="V34" s="115"/>
      <c r="W34" s="120"/>
      <c r="AD34" s="128"/>
      <c r="AE34" s="120"/>
      <c r="AF34" s="115"/>
      <c r="AG34" s="120"/>
      <c r="AQ34" s="67"/>
      <c r="AT34" s="46"/>
      <c r="AY34" s="57"/>
      <c r="AZ34" s="64"/>
      <c r="BA34" s="46"/>
      <c r="BB34" s="46"/>
      <c r="BC34" s="48"/>
      <c r="BF34" s="46"/>
      <c r="BL34" s="121"/>
      <c r="BM34" s="122"/>
      <c r="BN34" s="123"/>
      <c r="BO34" s="123"/>
      <c r="BP34" s="123"/>
      <c r="BQ34" s="123"/>
      <c r="BR34" s="122"/>
      <c r="BS34" s="124"/>
      <c r="BT34" s="124"/>
      <c r="BU34" s="124"/>
      <c r="BV34" s="125"/>
      <c r="BW34" s="82"/>
      <c r="CD34" s="262"/>
      <c r="CH34" s="265"/>
    </row>
    <row r="35" spans="6:86" x14ac:dyDescent="0.8">
      <c r="F35" s="114"/>
      <c r="H35" s="114"/>
      <c r="J35" s="115"/>
      <c r="K35" s="62"/>
      <c r="N35" s="116"/>
      <c r="P35" s="116"/>
      <c r="R35" s="57"/>
      <c r="S35" s="46"/>
      <c r="T35" s="115"/>
      <c r="U35" s="120"/>
      <c r="V35" s="115"/>
      <c r="W35" s="120"/>
      <c r="X35" s="57"/>
      <c r="Y35" s="46"/>
      <c r="Z35" s="57"/>
      <c r="AA35" s="46"/>
      <c r="AD35" s="115"/>
      <c r="AE35" s="120"/>
      <c r="AF35" s="140"/>
      <c r="AL35" s="70"/>
      <c r="AM35" s="64"/>
      <c r="AN35" s="70"/>
      <c r="AO35" s="46"/>
      <c r="AQ35" s="67"/>
      <c r="AT35" s="46"/>
      <c r="BC35" s="48"/>
      <c r="BF35" s="46"/>
      <c r="BL35" s="121"/>
      <c r="BM35" s="122"/>
      <c r="BN35" s="123"/>
      <c r="BO35" s="123"/>
      <c r="BP35" s="123"/>
      <c r="BQ35" s="123"/>
      <c r="BR35" s="122"/>
      <c r="BS35" s="124"/>
      <c r="BT35" s="124"/>
      <c r="BU35" s="124"/>
      <c r="BV35" s="125"/>
      <c r="BW35" s="82"/>
      <c r="CD35" s="262"/>
      <c r="CH35" s="265"/>
    </row>
    <row r="36" spans="6:86" x14ac:dyDescent="0.8">
      <c r="F36" s="127"/>
      <c r="H36" s="127"/>
      <c r="J36" s="128"/>
      <c r="K36" s="62"/>
      <c r="N36" s="130"/>
      <c r="P36" s="116"/>
      <c r="R36" s="57"/>
      <c r="S36" s="46"/>
      <c r="T36" s="128"/>
      <c r="U36" s="120"/>
      <c r="V36" s="128"/>
      <c r="W36" s="120"/>
      <c r="X36" s="140"/>
      <c r="Y36" s="144"/>
      <c r="Z36" s="57"/>
      <c r="AA36" s="144"/>
      <c r="AD36" s="128"/>
      <c r="AE36" s="120"/>
      <c r="AF36" s="140"/>
      <c r="AJ36" s="128"/>
      <c r="AK36" s="120"/>
      <c r="AL36" s="70"/>
      <c r="AM36" s="64"/>
      <c r="AN36" s="70"/>
      <c r="AO36" s="46"/>
      <c r="AQ36" s="67"/>
      <c r="AT36" s="46"/>
      <c r="AY36" s="57"/>
      <c r="AZ36" s="64"/>
      <c r="BA36" s="46"/>
      <c r="BB36" s="46"/>
      <c r="BC36" s="48"/>
      <c r="BF36" s="46"/>
      <c r="BL36" s="121"/>
      <c r="BM36" s="122"/>
      <c r="BN36" s="123"/>
      <c r="BO36" s="123"/>
      <c r="BP36" s="123"/>
      <c r="BQ36" s="123"/>
      <c r="BR36" s="122"/>
      <c r="BS36" s="124"/>
      <c r="BT36" s="124"/>
      <c r="BU36" s="124"/>
      <c r="BV36" s="125"/>
      <c r="BW36" s="82"/>
      <c r="CD36" s="262"/>
      <c r="CH36" s="265"/>
    </row>
    <row r="37" spans="6:86" x14ac:dyDescent="0.8">
      <c r="F37" s="114"/>
      <c r="H37" s="114"/>
      <c r="J37" s="115"/>
      <c r="K37" s="62"/>
      <c r="L37" s="117"/>
      <c r="M37" s="118"/>
      <c r="N37" s="116"/>
      <c r="P37" s="116"/>
      <c r="R37" s="57"/>
      <c r="S37" s="46"/>
      <c r="T37" s="115"/>
      <c r="U37" s="120"/>
      <c r="V37" s="115"/>
      <c r="W37" s="120"/>
      <c r="X37" s="143"/>
      <c r="Y37" s="136"/>
      <c r="AA37" s="144"/>
      <c r="AD37" s="140"/>
      <c r="AF37" s="115"/>
      <c r="AG37" s="120"/>
      <c r="AL37" s="70"/>
      <c r="AM37" s="64"/>
      <c r="AN37" s="70"/>
      <c r="AO37" s="46"/>
      <c r="AQ37" s="67"/>
      <c r="AT37" s="46"/>
      <c r="AY37" s="57"/>
      <c r="AZ37" s="64"/>
      <c r="BA37" s="46"/>
      <c r="BB37" s="46"/>
      <c r="BC37" s="48"/>
      <c r="BF37" s="46"/>
      <c r="BL37" s="121"/>
      <c r="BM37" s="122"/>
      <c r="BN37" s="123"/>
      <c r="BO37" s="123"/>
      <c r="BP37" s="123"/>
      <c r="BQ37" s="123"/>
      <c r="BR37" s="122"/>
      <c r="BS37" s="124"/>
      <c r="BT37" s="124"/>
      <c r="BU37" s="124"/>
      <c r="BV37" s="125"/>
      <c r="BW37" s="82"/>
      <c r="CD37" s="262"/>
      <c r="CH37" s="265"/>
    </row>
    <row r="38" spans="6:86" x14ac:dyDescent="0.8">
      <c r="F38" s="114"/>
      <c r="H38" s="127"/>
      <c r="J38" s="128"/>
      <c r="K38" s="62"/>
      <c r="N38" s="130"/>
      <c r="P38" s="116"/>
      <c r="R38" s="57"/>
      <c r="S38" s="46"/>
      <c r="T38" s="128"/>
      <c r="U38" s="120"/>
      <c r="V38" s="115"/>
      <c r="W38" s="120"/>
      <c r="X38" s="140"/>
      <c r="Y38" s="46"/>
      <c r="Z38" s="57"/>
      <c r="AA38" s="46"/>
      <c r="AF38" s="128"/>
      <c r="AG38" s="120"/>
      <c r="AJ38" s="128"/>
      <c r="AK38" s="120"/>
      <c r="AL38" s="70"/>
      <c r="AM38" s="64"/>
      <c r="AN38" s="70"/>
      <c r="AO38" s="46"/>
      <c r="AQ38" s="67"/>
      <c r="AT38" s="46"/>
      <c r="BC38" s="48"/>
      <c r="BF38" s="46"/>
      <c r="BL38" s="121"/>
      <c r="BM38" s="122"/>
      <c r="BN38" s="123"/>
      <c r="BO38" s="123"/>
      <c r="BP38" s="123"/>
      <c r="BQ38" s="123"/>
      <c r="BR38" s="122"/>
      <c r="BS38" s="124"/>
      <c r="BT38" s="124"/>
      <c r="BU38" s="124"/>
      <c r="BV38" s="125"/>
      <c r="BW38" s="82"/>
      <c r="CD38" s="262"/>
      <c r="CH38" s="265"/>
    </row>
    <row r="39" spans="6:86" x14ac:dyDescent="0.8">
      <c r="F39" s="114"/>
      <c r="H39" s="127"/>
      <c r="J39" s="115"/>
      <c r="K39" s="62"/>
      <c r="L39" s="117"/>
      <c r="M39" s="118"/>
      <c r="N39" s="116"/>
      <c r="P39" s="116"/>
      <c r="R39" s="57"/>
      <c r="S39" s="46"/>
      <c r="T39" s="138"/>
      <c r="U39" s="120"/>
      <c r="V39" s="115"/>
      <c r="W39" s="120"/>
      <c r="X39" s="129"/>
      <c r="Y39" s="139"/>
      <c r="AD39" s="115"/>
      <c r="AE39" s="120"/>
      <c r="AH39" s="128"/>
      <c r="AJ39" s="115"/>
      <c r="AK39" s="120"/>
      <c r="AL39" s="68"/>
      <c r="AQ39" s="67"/>
      <c r="AT39" s="46"/>
      <c r="AY39" s="57"/>
      <c r="AZ39" s="64"/>
      <c r="BA39" s="46"/>
      <c r="BB39" s="46"/>
      <c r="BC39" s="48"/>
      <c r="BF39" s="46"/>
      <c r="BL39" s="121"/>
      <c r="BM39" s="122"/>
      <c r="BN39" s="123"/>
      <c r="BO39" s="123"/>
      <c r="BP39" s="123"/>
      <c r="BQ39" s="123"/>
      <c r="BR39" s="122"/>
      <c r="BS39" s="124"/>
      <c r="BT39" s="124"/>
      <c r="BU39" s="124"/>
      <c r="BV39" s="125"/>
      <c r="BW39" s="82"/>
      <c r="CD39" s="262"/>
      <c r="CH39" s="265"/>
    </row>
    <row r="40" spans="6:86" x14ac:dyDescent="0.8">
      <c r="F40" s="127"/>
      <c r="H40" s="127"/>
      <c r="J40" s="128"/>
      <c r="K40" s="62"/>
      <c r="L40" s="117"/>
      <c r="M40" s="118"/>
      <c r="N40" s="130"/>
      <c r="P40" s="116"/>
      <c r="R40" s="57"/>
      <c r="S40" s="46"/>
      <c r="T40" s="138"/>
      <c r="U40" s="120"/>
      <c r="V40" s="115"/>
      <c r="W40" s="120"/>
      <c r="X40" s="129"/>
      <c r="Y40" s="120"/>
      <c r="AL40" s="70"/>
      <c r="AM40" s="64"/>
      <c r="AN40" s="70"/>
      <c r="AO40" s="46"/>
      <c r="AQ40" s="67"/>
      <c r="AT40" s="46"/>
      <c r="AY40" s="57"/>
      <c r="AZ40" s="64"/>
      <c r="BA40" s="46"/>
      <c r="BB40" s="46"/>
      <c r="BC40" s="48"/>
      <c r="BF40" s="46"/>
      <c r="BL40" s="121"/>
      <c r="BM40" s="122"/>
      <c r="BN40" s="123"/>
      <c r="BO40" s="123"/>
      <c r="BP40" s="123"/>
      <c r="BQ40" s="123"/>
      <c r="BR40" s="122"/>
      <c r="BS40" s="124"/>
      <c r="BT40" s="124"/>
      <c r="BU40" s="124"/>
      <c r="BV40" s="125"/>
      <c r="BW40" s="82"/>
      <c r="CD40" s="262"/>
      <c r="CH40" s="265"/>
    </row>
    <row r="41" spans="6:86" x14ac:dyDescent="0.8">
      <c r="F41" s="114"/>
      <c r="H41" s="127"/>
      <c r="J41" s="115"/>
      <c r="K41" s="62"/>
      <c r="L41" s="117"/>
      <c r="M41" s="118"/>
      <c r="N41" s="116"/>
      <c r="P41" s="116"/>
      <c r="R41" s="57"/>
      <c r="S41" s="46"/>
      <c r="T41" s="138"/>
      <c r="U41" s="120"/>
      <c r="V41" s="115"/>
      <c r="W41" s="120"/>
      <c r="X41" s="129"/>
      <c r="Y41" s="120"/>
      <c r="AL41" s="70"/>
      <c r="AM41" s="64"/>
      <c r="AN41" s="70"/>
      <c r="AO41" s="46"/>
      <c r="AQ41" s="67"/>
      <c r="AT41" s="46"/>
      <c r="AY41" s="57"/>
      <c r="AZ41" s="64"/>
      <c r="BA41" s="46"/>
      <c r="BB41" s="46"/>
      <c r="BC41" s="48"/>
      <c r="BF41" s="46"/>
      <c r="BL41" s="121"/>
      <c r="BM41" s="122"/>
      <c r="BN41" s="123"/>
      <c r="BO41" s="123"/>
      <c r="BP41" s="123"/>
      <c r="BQ41" s="123"/>
      <c r="BR41" s="122"/>
      <c r="BS41" s="124"/>
      <c r="BT41" s="124"/>
      <c r="BU41" s="124"/>
      <c r="BV41" s="125"/>
      <c r="BW41" s="82"/>
      <c r="CD41" s="262"/>
      <c r="CH41" s="265"/>
    </row>
    <row r="42" spans="6:86" x14ac:dyDescent="0.8">
      <c r="F42" s="91"/>
      <c r="G42" s="86"/>
      <c r="H42" s="130"/>
      <c r="I42" s="86"/>
      <c r="J42" s="115"/>
      <c r="L42" s="117"/>
      <c r="M42" s="118"/>
      <c r="N42" s="116"/>
      <c r="R42" s="57"/>
      <c r="S42" s="150"/>
      <c r="T42" s="115"/>
      <c r="U42" s="139"/>
      <c r="V42" s="115"/>
      <c r="W42" s="139"/>
      <c r="X42" s="143"/>
      <c r="AA42" s="136"/>
      <c r="AE42" s="144"/>
      <c r="AG42" s="144"/>
      <c r="AI42" s="144"/>
      <c r="AK42" s="144"/>
      <c r="AL42" s="70"/>
      <c r="AM42" s="64"/>
      <c r="AN42" s="70"/>
      <c r="AO42" s="46"/>
      <c r="AQ42" s="67"/>
      <c r="AT42" s="46"/>
      <c r="AY42" s="57"/>
      <c r="AZ42" s="64"/>
      <c r="BA42" s="46"/>
      <c r="BB42" s="46"/>
      <c r="BC42" s="48"/>
      <c r="BF42" s="46"/>
      <c r="BL42" s="121"/>
      <c r="BM42" s="122"/>
      <c r="BN42" s="123"/>
      <c r="BO42" s="123"/>
      <c r="BP42" s="123"/>
      <c r="BQ42" s="123"/>
      <c r="BR42" s="122"/>
      <c r="BS42" s="124"/>
      <c r="BT42" s="124"/>
      <c r="BU42" s="124"/>
      <c r="BV42" s="125"/>
      <c r="BW42" s="82"/>
      <c r="CD42" s="262"/>
      <c r="CH42" s="265"/>
    </row>
    <row r="43" spans="6:86" x14ac:dyDescent="0.8">
      <c r="F43" s="130"/>
      <c r="G43" s="86"/>
      <c r="H43" s="130"/>
      <c r="I43" s="86"/>
      <c r="J43" s="128"/>
      <c r="L43" s="117"/>
      <c r="M43" s="118"/>
      <c r="P43" s="130"/>
      <c r="R43" s="57"/>
      <c r="S43" s="150"/>
      <c r="T43" s="119"/>
      <c r="U43" s="139"/>
      <c r="V43" s="128"/>
      <c r="W43" s="139"/>
      <c r="X43" s="129"/>
      <c r="Y43" s="120"/>
      <c r="AA43" s="136"/>
      <c r="AE43" s="144"/>
      <c r="AF43" s="128"/>
      <c r="AG43" s="139"/>
      <c r="AI43" s="144"/>
      <c r="AK43" s="144"/>
      <c r="AL43" s="68"/>
      <c r="AQ43" s="67"/>
      <c r="AT43" s="46"/>
      <c r="AY43" s="57"/>
      <c r="AZ43" s="64"/>
      <c r="BA43" s="46"/>
      <c r="BB43" s="46"/>
      <c r="BC43" s="48"/>
      <c r="BF43" s="46"/>
      <c r="BL43" s="121"/>
      <c r="BM43" s="122"/>
      <c r="BN43" s="123"/>
      <c r="BO43" s="123"/>
      <c r="BP43" s="123"/>
      <c r="BQ43" s="123"/>
      <c r="BR43" s="122"/>
      <c r="BS43" s="124"/>
      <c r="BT43" s="124"/>
      <c r="BU43" s="124"/>
      <c r="BV43" s="125"/>
      <c r="BW43" s="82"/>
      <c r="CD43" s="262"/>
      <c r="CH43" s="265"/>
    </row>
    <row r="44" spans="6:86" x14ac:dyDescent="0.8">
      <c r="F44" s="91"/>
      <c r="G44" s="86"/>
      <c r="H44" s="130"/>
      <c r="I44" s="86"/>
      <c r="J44" s="128"/>
      <c r="N44" s="58"/>
      <c r="O44" s="58"/>
      <c r="P44" s="145"/>
      <c r="Q44" s="59"/>
      <c r="R44" s="57"/>
      <c r="S44" s="150"/>
      <c r="T44" s="71"/>
      <c r="U44" s="120"/>
      <c r="V44" s="71"/>
      <c r="W44" s="120"/>
      <c r="AD44" s="71"/>
      <c r="AF44" s="133"/>
      <c r="AG44" s="120"/>
      <c r="AH44" s="71"/>
      <c r="AJ44" s="71"/>
      <c r="AL44" s="70"/>
      <c r="AM44" s="64"/>
      <c r="AN44" s="70"/>
      <c r="AO44" s="46"/>
      <c r="AP44" s="137"/>
      <c r="AQ44" s="67"/>
      <c r="AT44" s="46"/>
      <c r="AY44" s="57"/>
      <c r="AZ44" s="64"/>
      <c r="BA44" s="46"/>
      <c r="BB44" s="46"/>
      <c r="BC44" s="48"/>
      <c r="BF44" s="46"/>
      <c r="BL44" s="121"/>
      <c r="BM44" s="122"/>
      <c r="BN44" s="123"/>
      <c r="BO44" s="123"/>
      <c r="BP44" s="123"/>
      <c r="BQ44" s="123"/>
      <c r="BR44" s="122"/>
      <c r="BS44" s="124"/>
      <c r="BT44" s="124"/>
      <c r="BU44" s="124"/>
      <c r="BV44" s="125"/>
      <c r="BW44" s="82"/>
      <c r="CD44" s="262"/>
      <c r="CH44" s="265"/>
    </row>
    <row r="45" spans="6:86" x14ac:dyDescent="0.8">
      <c r="F45" s="127"/>
      <c r="H45" s="114"/>
      <c r="J45" s="115"/>
      <c r="K45" s="62"/>
      <c r="L45" s="117"/>
      <c r="M45" s="118"/>
      <c r="N45" s="116"/>
      <c r="P45" s="116"/>
      <c r="R45" s="57"/>
      <c r="S45" s="46"/>
      <c r="T45" s="138"/>
      <c r="U45" s="120"/>
      <c r="V45" s="115"/>
      <c r="W45" s="120"/>
      <c r="X45" s="129"/>
      <c r="Y45" s="120"/>
      <c r="AA45" s="46"/>
      <c r="AF45" s="115"/>
      <c r="AG45" s="120"/>
      <c r="AL45" s="68"/>
      <c r="AQ45" s="67"/>
      <c r="AT45" s="46"/>
      <c r="AY45" s="57"/>
      <c r="AZ45" s="64"/>
      <c r="BA45" s="46"/>
      <c r="BB45" s="46"/>
      <c r="BC45" s="48"/>
      <c r="BF45" s="46"/>
      <c r="BL45" s="121"/>
      <c r="BM45" s="122"/>
      <c r="BN45" s="123"/>
      <c r="BO45" s="123"/>
      <c r="BP45" s="123"/>
      <c r="BQ45" s="123"/>
      <c r="BR45" s="122"/>
      <c r="BS45" s="124"/>
      <c r="BT45" s="124"/>
      <c r="BU45" s="124"/>
      <c r="BV45" s="125"/>
      <c r="BW45" s="82"/>
      <c r="CD45" s="262"/>
      <c r="CH45" s="265"/>
    </row>
    <row r="46" spans="6:86" x14ac:dyDescent="0.8">
      <c r="F46" s="127"/>
      <c r="H46" s="114"/>
      <c r="J46" s="115"/>
      <c r="K46" s="62"/>
      <c r="N46" s="116"/>
      <c r="P46" s="116"/>
      <c r="R46" s="57"/>
      <c r="S46" s="46"/>
      <c r="T46" s="115"/>
      <c r="U46" s="120"/>
      <c r="V46" s="115"/>
      <c r="W46" s="120"/>
      <c r="X46" s="57"/>
      <c r="Y46" s="46"/>
      <c r="Z46" s="57"/>
      <c r="AA46" s="46"/>
      <c r="AD46" s="128"/>
      <c r="AE46" s="120"/>
      <c r="AF46" s="128"/>
      <c r="AG46" s="120"/>
      <c r="AL46" s="70"/>
      <c r="AM46" s="64"/>
      <c r="AN46" s="70"/>
      <c r="AO46" s="46"/>
      <c r="AQ46" s="67"/>
      <c r="AT46" s="46"/>
      <c r="BC46" s="48"/>
      <c r="BF46" s="46"/>
      <c r="BL46" s="121"/>
      <c r="BM46" s="122"/>
      <c r="BN46" s="123"/>
      <c r="BO46" s="123"/>
      <c r="BP46" s="123"/>
      <c r="BQ46" s="123"/>
      <c r="BR46" s="122"/>
      <c r="BS46" s="124"/>
      <c r="BT46" s="124"/>
      <c r="BU46" s="124"/>
      <c r="BV46" s="125"/>
      <c r="BW46" s="82"/>
      <c r="CD46" s="262"/>
      <c r="CH46" s="265"/>
    </row>
    <row r="47" spans="6:86" x14ac:dyDescent="0.8">
      <c r="F47" s="127"/>
      <c r="H47" s="127"/>
      <c r="J47" s="128"/>
      <c r="K47" s="62"/>
      <c r="L47" s="117"/>
      <c r="M47" s="118"/>
      <c r="N47" s="130"/>
      <c r="P47" s="130"/>
      <c r="R47" s="57"/>
      <c r="S47" s="46"/>
      <c r="T47" s="138"/>
      <c r="U47" s="120"/>
      <c r="V47" s="115"/>
      <c r="W47" s="120"/>
      <c r="X47" s="129"/>
      <c r="Y47" s="120"/>
      <c r="AD47" s="128"/>
      <c r="AE47" s="120"/>
      <c r="AL47" s="68"/>
      <c r="AQ47" s="67"/>
      <c r="AT47" s="46"/>
      <c r="AY47" s="57"/>
      <c r="AZ47" s="64"/>
      <c r="BA47" s="46"/>
      <c r="BB47" s="46"/>
      <c r="BC47" s="48"/>
      <c r="BF47" s="46"/>
      <c r="BL47" s="121"/>
      <c r="BM47" s="122"/>
      <c r="BN47" s="123"/>
      <c r="BO47" s="123"/>
      <c r="BP47" s="123"/>
      <c r="BQ47" s="123"/>
      <c r="BR47" s="122"/>
      <c r="BS47" s="124"/>
      <c r="BT47" s="124"/>
      <c r="BU47" s="124"/>
      <c r="BV47" s="125"/>
      <c r="BW47" s="82"/>
      <c r="CD47" s="262"/>
      <c r="CH47" s="265"/>
    </row>
    <row r="48" spans="6:86" x14ac:dyDescent="0.8">
      <c r="F48" s="114"/>
      <c r="H48" s="127"/>
      <c r="J48" s="128"/>
      <c r="K48" s="62"/>
      <c r="N48" s="130"/>
      <c r="P48" s="130"/>
      <c r="R48" s="57"/>
      <c r="S48" s="46"/>
      <c r="T48" s="128"/>
      <c r="U48" s="120"/>
      <c r="V48" s="128"/>
      <c r="W48" s="120"/>
      <c r="AA48" s="46"/>
      <c r="AD48" s="128"/>
      <c r="AE48" s="120"/>
      <c r="AF48" s="128"/>
      <c r="AG48" s="120"/>
      <c r="AH48" s="115"/>
      <c r="AJ48" s="128"/>
      <c r="AK48" s="120"/>
      <c r="AN48" s="70"/>
      <c r="AQ48" s="67"/>
      <c r="AT48" s="46"/>
      <c r="AY48" s="57"/>
      <c r="AZ48" s="64"/>
      <c r="BA48" s="46"/>
      <c r="BB48" s="46"/>
      <c r="BC48" s="48"/>
      <c r="BF48" s="46"/>
      <c r="BL48" s="121"/>
      <c r="BM48" s="122"/>
      <c r="BN48" s="123"/>
      <c r="BO48" s="123"/>
      <c r="BP48" s="123"/>
      <c r="BQ48" s="123"/>
      <c r="BR48" s="122"/>
      <c r="BS48" s="124"/>
      <c r="BT48" s="124"/>
      <c r="BU48" s="124"/>
      <c r="BV48" s="125"/>
      <c r="BW48" s="82"/>
      <c r="CD48" s="262"/>
      <c r="CH48" s="265"/>
    </row>
    <row r="49" spans="5:86" x14ac:dyDescent="0.8">
      <c r="F49" s="127"/>
      <c r="H49" s="114"/>
      <c r="J49" s="128"/>
      <c r="K49" s="62"/>
      <c r="L49" s="117"/>
      <c r="M49" s="118"/>
      <c r="N49" s="130"/>
      <c r="P49" s="130"/>
      <c r="R49" s="57"/>
      <c r="S49" s="46"/>
      <c r="T49" s="138"/>
      <c r="U49" s="120"/>
      <c r="V49" s="115"/>
      <c r="W49" s="120"/>
      <c r="X49" s="129"/>
      <c r="Y49" s="120"/>
      <c r="AA49" s="46"/>
      <c r="AF49" s="128"/>
      <c r="AG49" s="120"/>
      <c r="AN49" s="70"/>
      <c r="AQ49" s="67"/>
      <c r="AT49" s="46"/>
      <c r="AY49" s="57"/>
      <c r="AZ49" s="64"/>
      <c r="BA49" s="46"/>
      <c r="BB49" s="46"/>
      <c r="BC49" s="48"/>
      <c r="BF49" s="46"/>
      <c r="BL49" s="121"/>
      <c r="BM49" s="122"/>
      <c r="BN49" s="123"/>
      <c r="BO49" s="123"/>
      <c r="BP49" s="123"/>
      <c r="BQ49" s="123"/>
      <c r="BR49" s="122"/>
      <c r="BS49" s="124"/>
      <c r="BT49" s="124"/>
      <c r="BU49" s="124"/>
      <c r="BV49" s="125"/>
      <c r="BW49" s="82"/>
      <c r="CD49" s="262"/>
      <c r="CH49" s="265"/>
    </row>
    <row r="50" spans="5:86" x14ac:dyDescent="0.8">
      <c r="F50" s="127"/>
      <c r="H50" s="114"/>
      <c r="J50" s="115"/>
      <c r="K50" s="62"/>
      <c r="N50" s="116"/>
      <c r="P50" s="116"/>
      <c r="R50" s="57"/>
      <c r="S50" s="46"/>
      <c r="T50" s="115"/>
      <c r="U50" s="120"/>
      <c r="V50" s="115"/>
      <c r="W50" s="120"/>
      <c r="X50" s="57"/>
      <c r="Y50" s="46"/>
      <c r="Z50" s="57"/>
      <c r="AA50" s="46"/>
      <c r="AF50" s="140"/>
      <c r="AN50" s="70"/>
      <c r="AQ50" s="67"/>
      <c r="AT50" s="46"/>
      <c r="BC50" s="48"/>
      <c r="BF50" s="46"/>
      <c r="BL50" s="121"/>
      <c r="BM50" s="122"/>
      <c r="BN50" s="123"/>
      <c r="BO50" s="123"/>
      <c r="BP50" s="123"/>
      <c r="BQ50" s="123"/>
      <c r="BR50" s="122"/>
      <c r="BS50" s="124"/>
      <c r="BT50" s="124"/>
      <c r="BU50" s="124"/>
      <c r="BV50" s="125"/>
      <c r="BW50" s="82"/>
      <c r="CD50" s="262"/>
      <c r="CH50" s="265"/>
    </row>
    <row r="51" spans="5:86" x14ac:dyDescent="0.8">
      <c r="F51" s="127"/>
      <c r="H51" s="127"/>
      <c r="J51" s="128"/>
      <c r="K51" s="62"/>
      <c r="L51" s="117"/>
      <c r="M51" s="118"/>
      <c r="N51" s="130"/>
      <c r="P51" s="130"/>
      <c r="R51" s="57"/>
      <c r="S51" s="46"/>
      <c r="T51" s="119"/>
      <c r="U51" s="120"/>
      <c r="V51" s="128"/>
      <c r="W51" s="120"/>
      <c r="AF51" s="140"/>
      <c r="AK51" s="120"/>
      <c r="AN51" s="70"/>
      <c r="AQ51" s="67"/>
      <c r="AT51" s="46"/>
      <c r="AY51" s="57"/>
      <c r="AZ51" s="64"/>
      <c r="BA51" s="46"/>
      <c r="BB51" s="46"/>
      <c r="BC51" s="48"/>
      <c r="BF51" s="46"/>
      <c r="BL51" s="121"/>
      <c r="BM51" s="122"/>
      <c r="BN51" s="123"/>
      <c r="BO51" s="123"/>
      <c r="BP51" s="123"/>
      <c r="BQ51" s="123"/>
      <c r="BR51" s="122"/>
      <c r="BS51" s="124"/>
      <c r="BT51" s="124"/>
      <c r="BU51" s="124"/>
      <c r="BV51" s="125"/>
      <c r="BW51" s="82"/>
      <c r="CD51" s="262"/>
      <c r="CH51" s="265"/>
    </row>
    <row r="52" spans="5:86" x14ac:dyDescent="0.8">
      <c r="F52" s="127"/>
      <c r="H52" s="114"/>
      <c r="J52" s="115"/>
      <c r="K52" s="62"/>
      <c r="L52" s="117"/>
      <c r="M52" s="118"/>
      <c r="N52" s="130"/>
      <c r="P52" s="116"/>
      <c r="R52" s="57"/>
      <c r="S52" s="46"/>
      <c r="T52" s="138"/>
      <c r="U52" s="120"/>
      <c r="V52" s="115"/>
      <c r="W52" s="120"/>
      <c r="X52" s="129"/>
      <c r="Y52" s="139"/>
      <c r="AF52" s="115"/>
      <c r="AG52" s="120"/>
      <c r="AK52" s="120"/>
      <c r="AL52" s="70"/>
      <c r="AM52" s="64"/>
      <c r="AN52" s="70"/>
      <c r="AO52" s="46"/>
      <c r="AQ52" s="67"/>
      <c r="AT52" s="46"/>
      <c r="AY52" s="57"/>
      <c r="AZ52" s="64"/>
      <c r="BA52" s="46"/>
      <c r="BB52" s="46"/>
      <c r="BC52" s="48"/>
      <c r="BF52" s="46"/>
      <c r="BL52" s="121"/>
      <c r="BM52" s="122"/>
      <c r="BN52" s="123"/>
      <c r="BO52" s="123"/>
      <c r="BP52" s="123"/>
      <c r="BQ52" s="123"/>
      <c r="BR52" s="122"/>
      <c r="BS52" s="124"/>
      <c r="BT52" s="124"/>
      <c r="BU52" s="124"/>
      <c r="BV52" s="125"/>
      <c r="BW52" s="82"/>
      <c r="CD52" s="262"/>
      <c r="CH52" s="265"/>
    </row>
    <row r="53" spans="5:86" x14ac:dyDescent="0.8">
      <c r="F53" s="127"/>
      <c r="H53" s="114"/>
      <c r="J53" s="115"/>
      <c r="K53" s="62"/>
      <c r="N53" s="91"/>
      <c r="O53" s="58"/>
      <c r="P53" s="91"/>
      <c r="Q53" s="59"/>
      <c r="R53" s="57"/>
      <c r="S53" s="46"/>
      <c r="T53" s="134"/>
      <c r="U53" s="120"/>
      <c r="V53" s="134"/>
      <c r="W53" s="120"/>
      <c r="X53" s="135"/>
      <c r="Y53" s="136"/>
      <c r="AA53" s="46"/>
      <c r="AD53" s="143"/>
      <c r="AF53" s="142"/>
      <c r="AG53" s="120"/>
      <c r="AH53" s="71"/>
      <c r="AJ53" s="143"/>
      <c r="AK53" s="120"/>
      <c r="AL53" s="71"/>
      <c r="AN53" s="71"/>
      <c r="AP53" s="137"/>
      <c r="AQ53" s="67"/>
      <c r="AT53" s="46"/>
      <c r="BB53" s="46"/>
      <c r="BC53" s="48"/>
      <c r="BF53" s="46"/>
      <c r="BL53" s="121"/>
      <c r="BM53" s="122"/>
      <c r="BN53" s="123"/>
      <c r="BO53" s="123"/>
      <c r="BP53" s="123"/>
      <c r="BQ53" s="123"/>
      <c r="BR53" s="122"/>
      <c r="BS53" s="124"/>
      <c r="BT53" s="124"/>
      <c r="BU53" s="124"/>
      <c r="BV53" s="125"/>
      <c r="BW53" s="82"/>
      <c r="CD53" s="262"/>
      <c r="CH53" s="265"/>
    </row>
    <row r="54" spans="5:86" x14ac:dyDescent="0.8">
      <c r="F54" s="114"/>
      <c r="H54" s="127"/>
      <c r="J54" s="128"/>
      <c r="K54" s="62"/>
      <c r="L54" s="117"/>
      <c r="M54" s="118"/>
      <c r="N54" s="130"/>
      <c r="P54" s="130"/>
      <c r="R54" s="57"/>
      <c r="S54" s="46"/>
      <c r="T54" s="128"/>
      <c r="U54" s="120"/>
      <c r="V54" s="128"/>
      <c r="W54" s="120"/>
      <c r="X54" s="143"/>
      <c r="Y54" s="136"/>
      <c r="AA54" s="144"/>
      <c r="AD54" s="133"/>
      <c r="AE54" s="120"/>
      <c r="AQ54" s="67"/>
      <c r="AT54" s="46"/>
      <c r="AY54" s="57"/>
      <c r="AZ54" s="64"/>
      <c r="BA54" s="46"/>
      <c r="BB54" s="46"/>
      <c r="BC54" s="48"/>
      <c r="BF54" s="46"/>
      <c r="BL54" s="121"/>
      <c r="BM54" s="122"/>
      <c r="BN54" s="123"/>
      <c r="BO54" s="123"/>
      <c r="BP54" s="123"/>
      <c r="BQ54" s="123"/>
      <c r="BR54" s="122"/>
      <c r="BS54" s="124"/>
      <c r="BT54" s="124"/>
      <c r="BU54" s="124"/>
      <c r="BV54" s="125"/>
      <c r="BW54" s="82"/>
      <c r="CD54" s="262"/>
      <c r="CH54" s="265"/>
    </row>
    <row r="55" spans="5:86" x14ac:dyDescent="0.8">
      <c r="F55" s="114"/>
      <c r="H55" s="114"/>
      <c r="J55" s="128"/>
      <c r="K55" s="62"/>
      <c r="L55" s="117"/>
      <c r="M55" s="118"/>
      <c r="N55" s="130"/>
      <c r="P55" s="130"/>
      <c r="R55" s="57"/>
      <c r="S55" s="46"/>
      <c r="T55" s="119"/>
      <c r="U55" s="120"/>
      <c r="V55" s="119"/>
      <c r="W55" s="120"/>
      <c r="X55" s="135"/>
      <c r="Y55" s="139"/>
      <c r="AA55" s="46"/>
      <c r="AD55" s="87"/>
      <c r="AE55" s="120"/>
      <c r="AJ55" s="140"/>
      <c r="AL55" s="68"/>
      <c r="AQ55" s="67"/>
      <c r="AT55" s="46"/>
      <c r="AY55" s="57"/>
      <c r="AZ55" s="64"/>
      <c r="BA55" s="46"/>
      <c r="BB55" s="46"/>
      <c r="BC55" s="48"/>
      <c r="BF55" s="46"/>
      <c r="BL55" s="121"/>
      <c r="BM55" s="122"/>
      <c r="BN55" s="123"/>
      <c r="BO55" s="123"/>
      <c r="BP55" s="123"/>
      <c r="BQ55" s="123"/>
      <c r="BR55" s="122"/>
      <c r="BS55" s="124"/>
      <c r="BT55" s="124"/>
      <c r="BU55" s="124"/>
      <c r="BV55" s="125"/>
      <c r="BW55" s="82"/>
      <c r="CD55" s="262"/>
      <c r="CH55" s="265"/>
    </row>
    <row r="56" spans="5:86" x14ac:dyDescent="0.8">
      <c r="F56" s="127"/>
      <c r="H56" s="127"/>
      <c r="J56" s="128"/>
      <c r="K56" s="62"/>
      <c r="L56" s="117"/>
      <c r="M56" s="118"/>
      <c r="N56" s="130"/>
      <c r="P56" s="130"/>
      <c r="R56" s="57"/>
      <c r="S56" s="46"/>
      <c r="T56" s="119"/>
      <c r="U56" s="120"/>
      <c r="V56" s="128"/>
      <c r="W56" s="120"/>
      <c r="X56" s="129"/>
      <c r="Y56" s="120"/>
      <c r="AD56" s="128"/>
      <c r="AE56" s="120"/>
      <c r="AK56" s="120"/>
      <c r="AL56" s="70"/>
      <c r="AM56" s="64"/>
      <c r="AN56" s="70"/>
      <c r="AO56" s="46"/>
      <c r="AQ56" s="67"/>
      <c r="AT56" s="46"/>
      <c r="AY56" s="57"/>
      <c r="AZ56" s="64"/>
      <c r="BA56" s="46"/>
      <c r="BB56" s="46"/>
      <c r="BC56" s="48"/>
      <c r="BF56" s="46"/>
      <c r="BL56" s="121"/>
      <c r="BM56" s="122"/>
      <c r="BN56" s="123"/>
      <c r="BO56" s="123"/>
      <c r="BP56" s="123"/>
      <c r="BQ56" s="123"/>
      <c r="BR56" s="122"/>
      <c r="BS56" s="124"/>
      <c r="BT56" s="124"/>
      <c r="BU56" s="124"/>
      <c r="BV56" s="125"/>
      <c r="BW56" s="82"/>
      <c r="CD56" s="262"/>
      <c r="CH56" s="265"/>
    </row>
    <row r="57" spans="5:86" x14ac:dyDescent="0.8">
      <c r="F57" s="114"/>
      <c r="H57" s="114"/>
      <c r="J57" s="128"/>
      <c r="K57" s="62"/>
      <c r="N57" s="130"/>
      <c r="P57" s="130"/>
      <c r="R57" s="57"/>
      <c r="S57" s="46"/>
      <c r="T57" s="128"/>
      <c r="U57" s="120"/>
      <c r="V57" s="115"/>
      <c r="W57" s="120"/>
      <c r="X57" s="57"/>
      <c r="Y57" s="46"/>
      <c r="Z57" s="57"/>
      <c r="AA57" s="46"/>
      <c r="AD57" s="128"/>
      <c r="AE57" s="120"/>
      <c r="AL57" s="70"/>
      <c r="AM57" s="64"/>
      <c r="AN57" s="70"/>
      <c r="AO57" s="46"/>
      <c r="AQ57" s="67"/>
      <c r="AT57" s="46"/>
      <c r="BC57" s="48"/>
      <c r="BF57" s="46"/>
      <c r="BL57" s="121"/>
      <c r="BM57" s="122"/>
      <c r="BN57" s="123"/>
      <c r="BO57" s="123"/>
      <c r="BP57" s="123"/>
      <c r="BQ57" s="123"/>
      <c r="BR57" s="122"/>
      <c r="BS57" s="124"/>
      <c r="BT57" s="124"/>
      <c r="BU57" s="124"/>
      <c r="BV57" s="125"/>
      <c r="BW57" s="82"/>
      <c r="CD57" s="262"/>
      <c r="CH57" s="265"/>
    </row>
    <row r="58" spans="5:86" x14ac:dyDescent="0.8">
      <c r="F58" s="114"/>
      <c r="H58" s="114"/>
      <c r="J58" s="49"/>
      <c r="K58" s="62"/>
      <c r="N58" s="266"/>
      <c r="O58" s="58"/>
      <c r="P58" s="266"/>
      <c r="Q58" s="59"/>
      <c r="R58" s="57"/>
      <c r="S58" s="46"/>
      <c r="T58" s="151"/>
      <c r="U58" s="120"/>
      <c r="V58" s="152"/>
      <c r="W58" s="120"/>
      <c r="X58" s="135"/>
      <c r="Y58" s="136"/>
      <c r="AA58" s="46"/>
      <c r="AD58" s="151"/>
      <c r="AE58" s="120"/>
      <c r="AF58" s="71"/>
      <c r="AH58" s="71"/>
      <c r="AJ58" s="151"/>
      <c r="AK58" s="120"/>
      <c r="AL58" s="71"/>
      <c r="AN58" s="71"/>
      <c r="AP58" s="137"/>
      <c r="AQ58" s="67"/>
      <c r="AT58" s="46"/>
      <c r="BB58" s="46"/>
      <c r="BC58" s="48"/>
      <c r="BF58" s="46"/>
      <c r="BL58" s="121"/>
      <c r="BM58" s="122"/>
      <c r="BN58" s="123"/>
      <c r="BO58" s="123"/>
      <c r="BP58" s="123"/>
      <c r="BQ58" s="123"/>
      <c r="BR58" s="122"/>
      <c r="BS58" s="124"/>
      <c r="BT58" s="124"/>
      <c r="BU58" s="124"/>
      <c r="BV58" s="125"/>
      <c r="BW58" s="82"/>
      <c r="CD58" s="262"/>
      <c r="CH58" s="265"/>
    </row>
    <row r="59" spans="5:86" x14ac:dyDescent="0.8">
      <c r="F59" s="127"/>
      <c r="H59" s="114"/>
      <c r="J59" s="115"/>
      <c r="K59" s="62"/>
      <c r="N59" s="116"/>
      <c r="P59" s="116"/>
      <c r="R59" s="57"/>
      <c r="S59" s="46"/>
      <c r="T59" s="128"/>
      <c r="U59" s="120"/>
      <c r="V59" s="128"/>
      <c r="W59" s="120"/>
      <c r="AD59" s="128"/>
      <c r="AE59" s="120"/>
      <c r="AN59" s="70"/>
      <c r="AQ59" s="67"/>
      <c r="AT59" s="46"/>
      <c r="AY59" s="57"/>
      <c r="AZ59" s="64"/>
      <c r="BA59" s="46"/>
      <c r="BB59" s="46"/>
      <c r="BC59" s="48"/>
      <c r="BF59" s="46"/>
      <c r="BL59" s="121"/>
      <c r="BM59" s="122"/>
      <c r="BN59" s="123"/>
      <c r="BO59" s="123"/>
      <c r="BP59" s="123"/>
      <c r="BQ59" s="123"/>
      <c r="BR59" s="122"/>
      <c r="BS59" s="124"/>
      <c r="BT59" s="124"/>
      <c r="BU59" s="124"/>
      <c r="BV59" s="125"/>
      <c r="BW59" s="82"/>
      <c r="CD59" s="262"/>
      <c r="CH59" s="265"/>
    </row>
    <row r="60" spans="5:86" x14ac:dyDescent="0.8">
      <c r="F60" s="114"/>
      <c r="H60" s="127"/>
      <c r="J60" s="49"/>
      <c r="K60" s="62"/>
      <c r="N60" s="191"/>
      <c r="P60" s="191"/>
      <c r="R60" s="57"/>
      <c r="S60" s="46"/>
      <c r="T60" s="115"/>
      <c r="U60" s="120"/>
      <c r="V60" s="115"/>
      <c r="W60" s="120"/>
      <c r="X60" s="57"/>
      <c r="Y60" s="46"/>
      <c r="Z60" s="57"/>
      <c r="AA60" s="46"/>
      <c r="AM60" s="64"/>
      <c r="AO60" s="46"/>
      <c r="AQ60" s="67"/>
      <c r="AT60" s="46"/>
      <c r="AY60" s="57"/>
      <c r="AZ60" s="64"/>
      <c r="BA60" s="46"/>
      <c r="BC60" s="48"/>
      <c r="BF60" s="46"/>
      <c r="BL60" s="121"/>
      <c r="BM60" s="122"/>
      <c r="BN60" s="123"/>
      <c r="BO60" s="123"/>
      <c r="BP60" s="123"/>
      <c r="BQ60" s="123"/>
      <c r="BR60" s="122"/>
      <c r="BS60" s="124"/>
      <c r="BT60" s="124"/>
      <c r="BU60" s="124"/>
      <c r="BV60" s="125"/>
      <c r="BW60" s="82"/>
      <c r="CD60" s="262"/>
      <c r="CH60" s="265"/>
    </row>
    <row r="61" spans="5:86" x14ac:dyDescent="0.8">
      <c r="E61" s="86"/>
      <c r="F61" s="91"/>
      <c r="G61" s="86"/>
      <c r="H61" s="91"/>
      <c r="I61" s="86"/>
      <c r="J61" s="49"/>
      <c r="L61" s="117"/>
      <c r="M61" s="118"/>
      <c r="P61" s="191"/>
      <c r="R61" s="57"/>
      <c r="S61" s="150"/>
      <c r="T61" s="115"/>
      <c r="U61" s="139"/>
      <c r="V61" s="115"/>
      <c r="W61" s="139"/>
      <c r="X61" s="143"/>
      <c r="AA61" s="144"/>
      <c r="AE61" s="144"/>
      <c r="AK61" s="144"/>
      <c r="AL61" s="70"/>
      <c r="AM61" s="64"/>
      <c r="AN61" s="70"/>
      <c r="AO61" s="46"/>
      <c r="AQ61" s="67"/>
      <c r="AT61" s="46"/>
      <c r="AY61" s="57"/>
      <c r="AZ61" s="64"/>
      <c r="BA61" s="46"/>
      <c r="BB61" s="46"/>
      <c r="BC61" s="48"/>
      <c r="BF61" s="46"/>
      <c r="BL61" s="121"/>
      <c r="BM61" s="122"/>
      <c r="BN61" s="123"/>
      <c r="BO61" s="123"/>
      <c r="BP61" s="123"/>
      <c r="BQ61" s="123"/>
      <c r="BR61" s="122"/>
      <c r="BS61" s="124"/>
      <c r="BT61" s="124"/>
      <c r="BU61" s="124"/>
      <c r="BV61" s="125"/>
      <c r="BW61" s="82"/>
      <c r="CD61" s="262"/>
      <c r="CH61" s="265"/>
    </row>
    <row r="62" spans="5:86" x14ac:dyDescent="0.8">
      <c r="E62" s="86"/>
      <c r="F62" s="130"/>
      <c r="G62" s="86"/>
      <c r="H62" s="130"/>
      <c r="I62" s="86"/>
      <c r="J62" s="49"/>
      <c r="P62" s="191"/>
      <c r="R62" s="57"/>
      <c r="S62" s="150"/>
      <c r="T62" s="128"/>
      <c r="U62" s="139"/>
      <c r="V62" s="128"/>
      <c r="W62" s="139"/>
      <c r="X62" s="140"/>
      <c r="Y62" s="46"/>
      <c r="Z62" s="57"/>
      <c r="AA62" s="144"/>
      <c r="AE62" s="144"/>
      <c r="AI62" s="144"/>
      <c r="AK62" s="144"/>
      <c r="AM62" s="64"/>
      <c r="AO62" s="46"/>
      <c r="AQ62" s="67"/>
      <c r="AT62" s="46"/>
      <c r="BC62" s="48"/>
      <c r="BF62" s="46"/>
      <c r="BL62" s="121"/>
      <c r="BM62" s="122"/>
      <c r="BN62" s="123"/>
      <c r="BO62" s="123"/>
      <c r="BP62" s="123"/>
      <c r="BQ62" s="123"/>
      <c r="BR62" s="122"/>
      <c r="BS62" s="124"/>
      <c r="BT62" s="124"/>
      <c r="BU62" s="124"/>
      <c r="BV62" s="125"/>
      <c r="BW62" s="82"/>
      <c r="CD62" s="262"/>
    </row>
    <row r="63" spans="5:86" x14ac:dyDescent="0.8">
      <c r="E63" s="86"/>
      <c r="F63" s="130"/>
      <c r="G63" s="86"/>
      <c r="H63" s="91"/>
      <c r="I63" s="86"/>
      <c r="J63" s="115"/>
      <c r="L63" s="117"/>
      <c r="M63" s="118"/>
      <c r="N63" s="116"/>
      <c r="R63" s="57"/>
      <c r="S63" s="150"/>
      <c r="T63" s="140"/>
      <c r="U63" s="120"/>
      <c r="W63" s="120"/>
      <c r="X63" s="129"/>
      <c r="Y63" s="120"/>
      <c r="AQ63" s="67"/>
      <c r="AT63" s="46"/>
      <c r="AY63" s="57"/>
      <c r="AZ63" s="64"/>
      <c r="BA63" s="46"/>
      <c r="BB63" s="46"/>
      <c r="BC63" s="48"/>
      <c r="BF63" s="46"/>
      <c r="BL63" s="121"/>
      <c r="BM63" s="122"/>
      <c r="BN63" s="123"/>
      <c r="BO63" s="123"/>
      <c r="BP63" s="123"/>
      <c r="BQ63" s="123"/>
      <c r="BR63" s="122"/>
      <c r="BS63" s="124"/>
      <c r="BT63" s="124"/>
      <c r="BU63" s="124"/>
      <c r="BV63" s="125"/>
      <c r="BW63" s="82"/>
      <c r="CD63" s="262"/>
    </row>
    <row r="64" spans="5:86" x14ac:dyDescent="0.8">
      <c r="F64" s="114"/>
      <c r="H64" s="114"/>
      <c r="J64" s="115"/>
      <c r="K64" s="62"/>
      <c r="L64" s="117"/>
      <c r="M64" s="118"/>
      <c r="N64" s="116"/>
      <c r="P64" s="130"/>
      <c r="R64" s="57"/>
      <c r="S64" s="46"/>
      <c r="T64" s="138"/>
      <c r="U64" s="120"/>
      <c r="V64" s="128"/>
      <c r="W64" s="120"/>
      <c r="X64" s="129"/>
      <c r="Y64" s="120"/>
      <c r="AL64" s="68"/>
      <c r="AQ64" s="67"/>
      <c r="AT64" s="46"/>
      <c r="AY64" s="57"/>
      <c r="AZ64" s="64"/>
      <c r="BA64" s="46"/>
      <c r="BB64" s="46"/>
      <c r="BC64" s="48"/>
      <c r="BF64" s="46"/>
      <c r="BL64" s="121"/>
      <c r="BM64" s="122"/>
      <c r="BN64" s="123"/>
      <c r="BO64" s="123"/>
      <c r="BP64" s="123"/>
      <c r="BQ64" s="123"/>
      <c r="BR64" s="122"/>
      <c r="BS64" s="124"/>
      <c r="BT64" s="124"/>
      <c r="BU64" s="124"/>
      <c r="BV64" s="125"/>
      <c r="BW64" s="82"/>
      <c r="CD64" s="262"/>
    </row>
    <row r="65" spans="5:86" x14ac:dyDescent="0.8">
      <c r="F65" s="114"/>
      <c r="H65" s="114"/>
      <c r="J65" s="115"/>
      <c r="K65" s="62"/>
      <c r="L65" s="117"/>
      <c r="M65" s="118"/>
      <c r="N65" s="116"/>
      <c r="P65" s="130"/>
      <c r="R65" s="57"/>
      <c r="S65" s="46"/>
      <c r="T65" s="119"/>
      <c r="U65" s="120"/>
      <c r="V65" s="119"/>
      <c r="W65" s="120"/>
      <c r="X65" s="135"/>
      <c r="Y65" s="139"/>
      <c r="AA65" s="136"/>
      <c r="AD65" s="140"/>
      <c r="AJ65" s="140"/>
      <c r="AN65" s="70"/>
      <c r="AQ65" s="67"/>
      <c r="AT65" s="46"/>
      <c r="AY65" s="57"/>
      <c r="AZ65" s="64"/>
      <c r="BA65" s="46"/>
      <c r="BB65" s="46"/>
      <c r="BC65" s="48"/>
      <c r="BF65" s="46"/>
      <c r="BL65" s="121"/>
      <c r="BM65" s="122"/>
      <c r="BN65" s="123"/>
      <c r="BO65" s="123"/>
      <c r="BP65" s="123"/>
      <c r="BQ65" s="123"/>
      <c r="BR65" s="122"/>
      <c r="BS65" s="124"/>
      <c r="BT65" s="124"/>
      <c r="BU65" s="124"/>
      <c r="BV65" s="125"/>
      <c r="BW65" s="82"/>
      <c r="CD65" s="262"/>
      <c r="CH65" s="265"/>
    </row>
    <row r="66" spans="5:86" x14ac:dyDescent="0.8">
      <c r="F66" s="127"/>
      <c r="H66" s="127"/>
      <c r="J66" s="133"/>
      <c r="K66" s="62"/>
      <c r="N66" s="145"/>
      <c r="O66" s="58"/>
      <c r="P66" s="130"/>
      <c r="Q66" s="59"/>
      <c r="R66" s="57"/>
      <c r="S66" s="46"/>
      <c r="T66" s="134"/>
      <c r="U66" s="120"/>
      <c r="V66" s="134"/>
      <c r="W66" s="120"/>
      <c r="X66" s="135"/>
      <c r="Y66" s="136"/>
      <c r="AA66" s="136"/>
      <c r="AD66" s="134"/>
      <c r="AE66" s="120"/>
      <c r="AF66" s="71"/>
      <c r="AH66" s="71"/>
      <c r="AJ66" s="143"/>
      <c r="AL66" s="71"/>
      <c r="AN66" s="71"/>
      <c r="AP66" s="137"/>
      <c r="AQ66" s="67"/>
      <c r="AT66" s="46"/>
      <c r="AY66" s="57"/>
      <c r="AZ66" s="64"/>
      <c r="BA66" s="46"/>
      <c r="BB66" s="46"/>
      <c r="BC66" s="48"/>
      <c r="BF66" s="46"/>
      <c r="BL66" s="121"/>
      <c r="BM66" s="122"/>
      <c r="BN66" s="123"/>
      <c r="BO66" s="123"/>
      <c r="BP66" s="123"/>
      <c r="BQ66" s="123"/>
      <c r="BR66" s="122"/>
      <c r="BS66" s="124"/>
      <c r="BT66" s="124"/>
      <c r="BU66" s="124"/>
      <c r="BV66" s="125"/>
      <c r="BW66" s="82"/>
      <c r="CD66" s="262"/>
      <c r="CH66" s="265"/>
    </row>
    <row r="67" spans="5:86" x14ac:dyDescent="0.8">
      <c r="F67" s="127"/>
      <c r="H67" s="114"/>
      <c r="J67" s="141"/>
      <c r="K67" s="62"/>
      <c r="N67" s="130"/>
      <c r="P67" s="130"/>
      <c r="R67" s="57"/>
      <c r="S67" s="46"/>
      <c r="T67" s="128"/>
      <c r="U67" s="120"/>
      <c r="V67" s="128"/>
      <c r="W67" s="120"/>
      <c r="X67" s="57"/>
      <c r="Y67" s="46"/>
      <c r="Z67" s="57"/>
      <c r="AA67" s="46"/>
      <c r="AN67" s="70"/>
      <c r="AQ67" s="67"/>
      <c r="AT67" s="46"/>
      <c r="BC67" s="48"/>
      <c r="BF67" s="46"/>
      <c r="BL67" s="121"/>
      <c r="BM67" s="122"/>
      <c r="BN67" s="123"/>
      <c r="BO67" s="123"/>
      <c r="BP67" s="123"/>
      <c r="BQ67" s="123"/>
      <c r="BR67" s="122"/>
      <c r="BS67" s="124"/>
      <c r="BT67" s="124"/>
      <c r="BU67" s="124"/>
      <c r="BV67" s="125"/>
      <c r="BW67" s="82"/>
      <c r="CD67" s="262"/>
      <c r="CH67" s="265"/>
    </row>
    <row r="68" spans="5:86" x14ac:dyDescent="0.8">
      <c r="F68" s="114"/>
      <c r="H68" s="127"/>
      <c r="J68" s="128"/>
      <c r="K68" s="62"/>
      <c r="L68" s="117"/>
      <c r="M68" s="118"/>
      <c r="N68" s="130"/>
      <c r="P68" s="130"/>
      <c r="R68" s="57"/>
      <c r="S68" s="46"/>
      <c r="T68" s="119"/>
      <c r="U68" s="120"/>
      <c r="V68" s="128"/>
      <c r="W68" s="120"/>
      <c r="X68" s="129"/>
      <c r="Y68" s="120"/>
      <c r="AA68" s="46"/>
      <c r="AJ68" s="128"/>
      <c r="AK68" s="120"/>
      <c r="AN68" s="70"/>
      <c r="AQ68" s="67"/>
      <c r="AT68" s="46"/>
      <c r="AY68" s="57"/>
      <c r="AZ68" s="64"/>
      <c r="BA68" s="46"/>
      <c r="BB68" s="46"/>
      <c r="BC68" s="48"/>
      <c r="BF68" s="46"/>
      <c r="BL68" s="121"/>
      <c r="BM68" s="122"/>
      <c r="BN68" s="123"/>
      <c r="BO68" s="123"/>
      <c r="BP68" s="123"/>
      <c r="BQ68" s="123"/>
      <c r="BR68" s="122"/>
      <c r="BS68" s="124"/>
      <c r="BT68" s="124"/>
      <c r="BU68" s="124"/>
      <c r="BV68" s="125"/>
      <c r="BW68" s="82"/>
      <c r="CD68" s="262"/>
      <c r="CH68" s="265"/>
    </row>
    <row r="69" spans="5:86" x14ac:dyDescent="0.8">
      <c r="F69" s="114"/>
      <c r="H69" s="114"/>
      <c r="J69" s="128"/>
      <c r="K69" s="62"/>
      <c r="L69" s="117"/>
      <c r="M69" s="118"/>
      <c r="N69" s="130"/>
      <c r="P69" s="130"/>
      <c r="R69" s="57"/>
      <c r="S69" s="46"/>
      <c r="T69" s="138"/>
      <c r="U69" s="120"/>
      <c r="V69" s="115"/>
      <c r="W69" s="120"/>
      <c r="X69" s="129"/>
      <c r="Y69" s="120"/>
      <c r="AD69" s="115"/>
      <c r="AE69" s="120"/>
      <c r="AL69" s="70"/>
      <c r="AM69" s="64"/>
      <c r="AN69" s="70"/>
      <c r="AO69" s="46"/>
      <c r="AQ69" s="67"/>
      <c r="AT69" s="46"/>
      <c r="AY69" s="57"/>
      <c r="AZ69" s="64"/>
      <c r="BA69" s="46"/>
      <c r="BB69" s="46"/>
      <c r="BC69" s="48"/>
      <c r="BF69" s="46"/>
      <c r="BL69" s="121"/>
      <c r="BM69" s="122"/>
      <c r="BN69" s="123"/>
      <c r="BO69" s="123"/>
      <c r="BP69" s="123"/>
      <c r="BQ69" s="123"/>
      <c r="BR69" s="122"/>
      <c r="BS69" s="124"/>
      <c r="BT69" s="124"/>
      <c r="BU69" s="124"/>
      <c r="BV69" s="125"/>
      <c r="BW69" s="82"/>
      <c r="CD69" s="262"/>
      <c r="CH69" s="265"/>
    </row>
    <row r="70" spans="5:86" x14ac:dyDescent="0.8">
      <c r="F70" s="114"/>
      <c r="H70" s="114"/>
      <c r="J70" s="115"/>
      <c r="K70" s="62"/>
      <c r="L70" s="117"/>
      <c r="M70" s="118"/>
      <c r="N70" s="116"/>
      <c r="P70" s="130"/>
      <c r="R70" s="57"/>
      <c r="S70" s="46"/>
      <c r="T70" s="138"/>
      <c r="U70" s="120"/>
      <c r="V70" s="115"/>
      <c r="W70" s="120"/>
      <c r="AA70" s="136"/>
      <c r="AJ70" s="128"/>
      <c r="AK70" s="120"/>
      <c r="AN70" s="70"/>
      <c r="AQ70" s="67"/>
      <c r="AT70" s="46"/>
      <c r="AY70" s="57"/>
      <c r="AZ70" s="64"/>
      <c r="BA70" s="46"/>
      <c r="BB70" s="46"/>
      <c r="BC70" s="48"/>
      <c r="BF70" s="46"/>
      <c r="BL70" s="121"/>
      <c r="BM70" s="122"/>
      <c r="BN70" s="123"/>
      <c r="BO70" s="123"/>
      <c r="BP70" s="123"/>
      <c r="BQ70" s="123"/>
      <c r="BR70" s="122"/>
      <c r="BS70" s="124"/>
      <c r="BT70" s="124"/>
      <c r="BU70" s="124"/>
      <c r="BV70" s="125"/>
      <c r="BW70" s="82"/>
      <c r="CD70" s="262"/>
      <c r="CH70" s="265"/>
    </row>
    <row r="71" spans="5:86" x14ac:dyDescent="0.8">
      <c r="F71" s="127"/>
      <c r="H71" s="127"/>
      <c r="J71" s="128"/>
      <c r="K71" s="62"/>
      <c r="N71" s="130"/>
      <c r="P71" s="130"/>
      <c r="R71" s="57"/>
      <c r="S71" s="46"/>
      <c r="T71" s="128"/>
      <c r="U71" s="120"/>
      <c r="V71" s="128"/>
      <c r="W71" s="120"/>
      <c r="X71" s="57"/>
      <c r="Y71" s="46"/>
      <c r="Z71" s="57"/>
      <c r="AA71" s="144"/>
      <c r="AD71" s="130"/>
      <c r="AE71" s="120"/>
      <c r="AJ71" s="128"/>
      <c r="AK71" s="120"/>
      <c r="AL71" s="70"/>
      <c r="AM71" s="64"/>
      <c r="AN71" s="70"/>
      <c r="AO71" s="46"/>
      <c r="AQ71" s="67"/>
      <c r="AT71" s="46"/>
      <c r="BC71" s="48"/>
      <c r="BF71" s="46"/>
      <c r="BL71" s="121"/>
      <c r="BM71" s="122"/>
      <c r="BN71" s="123"/>
      <c r="BO71" s="123"/>
      <c r="BP71" s="123"/>
      <c r="BQ71" s="123"/>
      <c r="BR71" s="122"/>
      <c r="BS71" s="124"/>
      <c r="BT71" s="124"/>
      <c r="BU71" s="124"/>
      <c r="BV71" s="125"/>
      <c r="BW71" s="82"/>
      <c r="CD71" s="262"/>
      <c r="CH71" s="265"/>
    </row>
    <row r="72" spans="5:86" x14ac:dyDescent="0.8">
      <c r="F72" s="127"/>
      <c r="H72" s="127"/>
      <c r="J72" s="128"/>
      <c r="K72" s="62"/>
      <c r="L72" s="117"/>
      <c r="M72" s="118"/>
      <c r="N72" s="130"/>
      <c r="P72" s="130"/>
      <c r="R72" s="57"/>
      <c r="S72" s="46"/>
      <c r="T72" s="128"/>
      <c r="U72" s="120"/>
      <c r="V72" s="128"/>
      <c r="W72" s="120"/>
      <c r="AA72" s="46"/>
      <c r="AD72" s="128"/>
      <c r="AE72" s="120"/>
      <c r="AQ72" s="67"/>
      <c r="AT72" s="46"/>
      <c r="AY72" s="57"/>
      <c r="AZ72" s="64"/>
      <c r="BA72" s="46"/>
      <c r="BB72" s="46"/>
      <c r="BC72" s="48"/>
      <c r="BF72" s="46"/>
      <c r="BL72" s="121"/>
      <c r="BM72" s="122"/>
      <c r="BN72" s="123"/>
      <c r="BO72" s="123"/>
      <c r="BP72" s="123"/>
      <c r="BQ72" s="123"/>
      <c r="BR72" s="122"/>
      <c r="BS72" s="124"/>
      <c r="BT72" s="124"/>
      <c r="BU72" s="124"/>
      <c r="BV72" s="125"/>
      <c r="BW72" s="82"/>
      <c r="CD72" s="262"/>
      <c r="CH72" s="265"/>
    </row>
    <row r="73" spans="5:86" x14ac:dyDescent="0.8">
      <c r="F73" s="127"/>
      <c r="H73" s="127"/>
      <c r="J73" s="141"/>
      <c r="K73" s="62"/>
      <c r="N73" s="130"/>
      <c r="P73" s="130"/>
      <c r="R73" s="57"/>
      <c r="S73" s="46"/>
      <c r="T73" s="128"/>
      <c r="U73" s="120"/>
      <c r="V73" s="128"/>
      <c r="W73" s="120"/>
      <c r="X73" s="57"/>
      <c r="Y73" s="46"/>
      <c r="Z73" s="57"/>
      <c r="AA73" s="46"/>
      <c r="AD73" s="128"/>
      <c r="AE73" s="120"/>
      <c r="AJ73" s="128"/>
      <c r="AK73" s="120"/>
      <c r="AL73" s="70"/>
      <c r="AM73" s="64"/>
      <c r="AN73" s="70"/>
      <c r="AO73" s="46"/>
      <c r="AQ73" s="67"/>
      <c r="AT73" s="46"/>
      <c r="BC73" s="48"/>
      <c r="BF73" s="46"/>
      <c r="BL73" s="121"/>
      <c r="BM73" s="122"/>
      <c r="BN73" s="123"/>
      <c r="BO73" s="123"/>
      <c r="BP73" s="123"/>
      <c r="BQ73" s="123"/>
      <c r="BR73" s="122"/>
      <c r="BS73" s="124"/>
      <c r="BT73" s="124"/>
      <c r="BU73" s="124"/>
      <c r="BV73" s="125"/>
      <c r="BW73" s="82"/>
      <c r="CD73" s="262"/>
      <c r="CH73" s="265"/>
    </row>
    <row r="74" spans="5:86" x14ac:dyDescent="0.8">
      <c r="F74" s="114"/>
      <c r="H74" s="127"/>
      <c r="J74" s="128"/>
      <c r="K74" s="62"/>
      <c r="N74" s="116"/>
      <c r="P74" s="130"/>
      <c r="R74" s="57"/>
      <c r="S74" s="46"/>
      <c r="T74" s="115"/>
      <c r="U74" s="120"/>
      <c r="V74" s="115"/>
      <c r="W74" s="120"/>
      <c r="AA74" s="46"/>
      <c r="AD74" s="128"/>
      <c r="AE74" s="120"/>
      <c r="AG74" s="120"/>
      <c r="AK74" s="120"/>
      <c r="AL74" s="70"/>
      <c r="AM74" s="64"/>
      <c r="AN74" s="70"/>
      <c r="AO74" s="46"/>
      <c r="AQ74" s="67"/>
      <c r="AT74" s="46"/>
      <c r="AY74" s="57"/>
      <c r="AZ74" s="64"/>
      <c r="BA74" s="46"/>
      <c r="BB74" s="46"/>
      <c r="BC74" s="48"/>
      <c r="BF74" s="46"/>
      <c r="BL74" s="121"/>
      <c r="BM74" s="122"/>
      <c r="BN74" s="123"/>
      <c r="BO74" s="123"/>
      <c r="BP74" s="123"/>
      <c r="BQ74" s="123"/>
      <c r="BR74" s="122"/>
      <c r="BS74" s="124"/>
      <c r="BT74" s="124"/>
      <c r="BU74" s="124"/>
      <c r="BV74" s="125"/>
      <c r="BW74" s="82"/>
      <c r="CD74" s="262"/>
      <c r="CH74" s="265"/>
    </row>
    <row r="75" spans="5:86" x14ac:dyDescent="0.8">
      <c r="F75" s="127"/>
      <c r="H75" s="114"/>
      <c r="J75" s="128"/>
      <c r="K75" s="62"/>
      <c r="N75" s="130"/>
      <c r="P75" s="130"/>
      <c r="R75" s="57"/>
      <c r="S75" s="46"/>
      <c r="T75" s="128"/>
      <c r="U75" s="120"/>
      <c r="V75" s="128"/>
      <c r="W75" s="120"/>
      <c r="X75" s="57"/>
      <c r="Y75" s="46"/>
      <c r="Z75" s="57"/>
      <c r="AA75" s="46"/>
      <c r="AD75" s="128"/>
      <c r="AE75" s="120"/>
      <c r="AG75" s="120"/>
      <c r="AH75" s="128"/>
      <c r="AK75" s="120"/>
      <c r="AM75" s="64"/>
      <c r="AO75" s="46"/>
      <c r="AQ75" s="67"/>
      <c r="AT75" s="46"/>
      <c r="BC75" s="48"/>
      <c r="BF75" s="46"/>
      <c r="BL75" s="121"/>
      <c r="BM75" s="122"/>
      <c r="BN75" s="123"/>
      <c r="BO75" s="123"/>
      <c r="BP75" s="123"/>
      <c r="BQ75" s="123"/>
      <c r="BR75" s="122"/>
      <c r="BS75" s="124"/>
      <c r="BT75" s="124"/>
      <c r="BU75" s="124"/>
      <c r="BV75" s="125"/>
      <c r="BW75" s="82"/>
      <c r="CD75" s="262"/>
      <c r="CH75" s="265"/>
    </row>
    <row r="76" spans="5:86" x14ac:dyDescent="0.8">
      <c r="F76" s="114"/>
      <c r="H76" s="114"/>
      <c r="J76" s="115"/>
      <c r="K76" s="62"/>
      <c r="L76" s="117"/>
      <c r="M76" s="118"/>
      <c r="N76" s="116"/>
      <c r="P76" s="130"/>
      <c r="R76" s="57"/>
      <c r="S76" s="46"/>
      <c r="T76" s="138"/>
      <c r="U76" s="120"/>
      <c r="V76" s="115"/>
      <c r="W76" s="120"/>
      <c r="X76" s="129"/>
      <c r="Y76" s="120"/>
      <c r="AJ76" s="128"/>
      <c r="AK76" s="120"/>
      <c r="AN76" s="70"/>
      <c r="AQ76" s="67"/>
      <c r="AT76" s="46"/>
      <c r="AY76" s="57"/>
      <c r="AZ76" s="64"/>
      <c r="BA76" s="46"/>
      <c r="BB76" s="46"/>
      <c r="BC76" s="48"/>
      <c r="BF76" s="46"/>
      <c r="BL76" s="121"/>
      <c r="BM76" s="122"/>
      <c r="BN76" s="123"/>
      <c r="BO76" s="123"/>
      <c r="BP76" s="123"/>
      <c r="BQ76" s="123"/>
      <c r="BR76" s="122"/>
      <c r="BS76" s="124"/>
      <c r="BT76" s="124"/>
      <c r="BU76" s="124"/>
      <c r="BV76" s="125"/>
      <c r="BW76" s="82"/>
      <c r="CD76" s="262"/>
      <c r="CH76" s="265"/>
    </row>
    <row r="77" spans="5:86" x14ac:dyDescent="0.8">
      <c r="F77" s="127"/>
      <c r="H77" s="114"/>
      <c r="J77" s="115"/>
      <c r="K77" s="62"/>
      <c r="N77" s="116"/>
      <c r="P77" s="130"/>
      <c r="R77" s="57"/>
      <c r="S77" s="46"/>
      <c r="T77" s="115"/>
      <c r="U77" s="120"/>
      <c r="V77" s="115"/>
      <c r="W77" s="120"/>
      <c r="X77" s="57"/>
      <c r="Y77" s="46"/>
      <c r="Z77" s="57"/>
      <c r="AA77" s="46"/>
      <c r="AD77" s="115"/>
      <c r="AE77" s="120"/>
      <c r="AG77" s="120"/>
      <c r="AN77" s="70"/>
      <c r="AQ77" s="67"/>
      <c r="AT77" s="46"/>
      <c r="BC77" s="48"/>
      <c r="BF77" s="46"/>
      <c r="BL77" s="121"/>
      <c r="BM77" s="122"/>
      <c r="BN77" s="123"/>
      <c r="BO77" s="123"/>
      <c r="BP77" s="123"/>
      <c r="BQ77" s="123"/>
      <c r="BR77" s="122"/>
      <c r="BS77" s="124"/>
      <c r="BT77" s="124"/>
      <c r="BU77" s="124"/>
      <c r="BV77" s="125"/>
      <c r="BW77" s="82"/>
      <c r="CD77" s="262"/>
      <c r="CH77" s="265"/>
    </row>
    <row r="78" spans="5:86" x14ac:dyDescent="0.8">
      <c r="F78" s="127"/>
      <c r="H78" s="127"/>
      <c r="J78" s="128"/>
      <c r="K78" s="62"/>
      <c r="L78" s="117"/>
      <c r="M78" s="118"/>
      <c r="N78" s="130"/>
      <c r="P78" s="130"/>
      <c r="R78" s="57"/>
      <c r="S78" s="46"/>
      <c r="T78" s="115"/>
      <c r="U78" s="120"/>
      <c r="V78" s="115"/>
      <c r="W78" s="120"/>
      <c r="AD78" s="128"/>
      <c r="AE78" s="120"/>
      <c r="AF78" s="115"/>
      <c r="AG78" s="120"/>
      <c r="AH78" s="128"/>
      <c r="AL78" s="70"/>
      <c r="AM78" s="64"/>
      <c r="AN78" s="70"/>
      <c r="AO78" s="46"/>
      <c r="AQ78" s="67"/>
      <c r="AT78" s="46"/>
      <c r="AY78" s="57"/>
      <c r="AZ78" s="64"/>
      <c r="BA78" s="46"/>
      <c r="BC78" s="48"/>
      <c r="BF78" s="46"/>
      <c r="BL78" s="121"/>
      <c r="BM78" s="122"/>
      <c r="BN78" s="123"/>
      <c r="BO78" s="123"/>
      <c r="BP78" s="123"/>
      <c r="BQ78" s="123"/>
      <c r="BR78" s="122"/>
      <c r="BS78" s="124"/>
      <c r="BT78" s="124"/>
      <c r="BU78" s="124"/>
      <c r="BV78" s="125"/>
      <c r="BW78" s="82"/>
      <c r="CD78" s="262"/>
      <c r="CH78" s="265"/>
    </row>
    <row r="79" spans="5:86" x14ac:dyDescent="0.8">
      <c r="F79" s="114"/>
      <c r="H79" s="114"/>
      <c r="J79" s="115"/>
      <c r="L79" s="117"/>
      <c r="M79" s="118"/>
      <c r="N79" s="116"/>
      <c r="P79" s="130"/>
      <c r="R79" s="57"/>
      <c r="S79" s="150"/>
      <c r="T79" s="119"/>
      <c r="U79" s="139"/>
      <c r="V79" s="128"/>
      <c r="W79" s="139"/>
      <c r="X79" s="129"/>
      <c r="Y79" s="120"/>
      <c r="AA79" s="136"/>
      <c r="AE79" s="144"/>
      <c r="AF79" s="115"/>
      <c r="AG79" s="120"/>
      <c r="AK79" s="144"/>
      <c r="AL79" s="68"/>
      <c r="AQ79" s="67"/>
      <c r="AT79" s="46"/>
      <c r="AY79" s="57"/>
      <c r="AZ79" s="64"/>
      <c r="BA79" s="46"/>
      <c r="BB79" s="46"/>
      <c r="BC79" s="48"/>
      <c r="BF79" s="46"/>
      <c r="BL79" s="121"/>
      <c r="BM79" s="122"/>
      <c r="BN79" s="123"/>
      <c r="BO79" s="123"/>
      <c r="BP79" s="123"/>
      <c r="BQ79" s="123"/>
      <c r="BR79" s="122"/>
      <c r="BS79" s="124"/>
      <c r="BT79" s="124"/>
      <c r="BU79" s="124"/>
      <c r="BV79" s="125"/>
      <c r="BW79" s="82"/>
      <c r="CD79" s="262"/>
    </row>
    <row r="80" spans="5:86" x14ac:dyDescent="0.8">
      <c r="E80" s="86"/>
      <c r="F80" s="127"/>
      <c r="H80" s="130"/>
      <c r="I80" s="86"/>
      <c r="J80" s="128"/>
      <c r="L80" s="117"/>
      <c r="M80" s="118"/>
      <c r="N80" s="130"/>
      <c r="P80" s="130"/>
      <c r="R80" s="57"/>
      <c r="S80" s="150"/>
      <c r="T80" s="119"/>
      <c r="U80" s="139"/>
      <c r="V80" s="128"/>
      <c r="W80" s="139"/>
      <c r="X80" s="129"/>
      <c r="Y80" s="120"/>
      <c r="AA80" s="136"/>
      <c r="AE80" s="144"/>
      <c r="AG80" s="120"/>
      <c r="AI80" s="144"/>
      <c r="AK80" s="144"/>
      <c r="AL80" s="70"/>
      <c r="AM80" s="64"/>
      <c r="AN80" s="70"/>
      <c r="AO80" s="46"/>
      <c r="AQ80" s="67"/>
      <c r="AT80" s="46"/>
      <c r="AY80" s="57"/>
      <c r="AZ80" s="64"/>
      <c r="BA80" s="46"/>
      <c r="BB80" s="46"/>
      <c r="BC80" s="48"/>
      <c r="BF80" s="46"/>
      <c r="BL80" s="121"/>
      <c r="BM80" s="122"/>
      <c r="BN80" s="123"/>
      <c r="BO80" s="123"/>
      <c r="BP80" s="123"/>
      <c r="BQ80" s="123"/>
      <c r="BR80" s="122"/>
      <c r="BS80" s="124"/>
      <c r="BT80" s="124"/>
      <c r="BU80" s="124"/>
      <c r="BV80" s="125"/>
      <c r="BW80" s="82"/>
      <c r="CD80" s="262"/>
    </row>
    <row r="81" spans="5:86" x14ac:dyDescent="0.8">
      <c r="E81" s="86"/>
      <c r="F81" s="114"/>
      <c r="H81" s="130"/>
      <c r="I81" s="86"/>
      <c r="J81" s="128"/>
      <c r="L81" s="117"/>
      <c r="M81" s="118"/>
      <c r="N81" s="130"/>
      <c r="P81" s="116"/>
      <c r="R81" s="57"/>
      <c r="S81" s="150"/>
      <c r="T81" s="119"/>
      <c r="U81" s="120"/>
      <c r="V81" s="128"/>
      <c r="W81" s="120"/>
      <c r="X81" s="129"/>
      <c r="Y81" s="120"/>
      <c r="AF81" s="115"/>
      <c r="AG81" s="120"/>
      <c r="AK81" s="144"/>
      <c r="AL81" s="68"/>
      <c r="AQ81" s="67"/>
      <c r="AT81" s="46"/>
      <c r="AY81" s="57"/>
      <c r="AZ81" s="64"/>
      <c r="BA81" s="46"/>
      <c r="BB81" s="46"/>
      <c r="BC81" s="48"/>
      <c r="BF81" s="46"/>
      <c r="BL81" s="121"/>
      <c r="BM81" s="122"/>
      <c r="BN81" s="123"/>
      <c r="BO81" s="123"/>
      <c r="BP81" s="123"/>
      <c r="BQ81" s="123"/>
      <c r="BR81" s="122"/>
      <c r="BS81" s="124"/>
      <c r="BT81" s="124"/>
      <c r="BU81" s="124"/>
      <c r="BV81" s="125"/>
      <c r="BW81" s="82"/>
      <c r="CD81" s="262"/>
    </row>
    <row r="82" spans="5:86" x14ac:dyDescent="0.8">
      <c r="E82" s="86"/>
      <c r="F82" s="91"/>
      <c r="G82" s="86"/>
      <c r="H82" s="130"/>
      <c r="I82" s="86"/>
      <c r="J82" s="115"/>
      <c r="N82" s="116"/>
      <c r="O82" s="58"/>
      <c r="P82" s="145"/>
      <c r="Q82" s="59"/>
      <c r="R82" s="57"/>
      <c r="S82" s="150"/>
      <c r="T82" s="142"/>
      <c r="U82" s="120"/>
      <c r="V82" s="133"/>
      <c r="W82" s="120"/>
      <c r="AA82" s="46"/>
      <c r="AD82" s="71"/>
      <c r="AF82" s="71"/>
      <c r="AG82" s="120"/>
      <c r="AH82" s="71"/>
      <c r="AJ82" s="71"/>
      <c r="AL82" s="70"/>
      <c r="AM82" s="64"/>
      <c r="AN82" s="70"/>
      <c r="AO82" s="46"/>
      <c r="AP82" s="137"/>
      <c r="AQ82" s="67"/>
      <c r="AT82" s="46"/>
      <c r="AY82" s="57"/>
      <c r="AZ82" s="64"/>
      <c r="BA82" s="46"/>
      <c r="BB82" s="46"/>
      <c r="BC82" s="48"/>
      <c r="BF82" s="46"/>
      <c r="BL82" s="121"/>
      <c r="BM82" s="122"/>
      <c r="BN82" s="123"/>
      <c r="BO82" s="123"/>
      <c r="BP82" s="123"/>
      <c r="BQ82" s="123"/>
      <c r="BR82" s="122"/>
      <c r="BS82" s="124"/>
      <c r="BT82" s="124"/>
      <c r="BU82" s="124"/>
      <c r="BV82" s="125"/>
      <c r="BW82" s="82"/>
      <c r="CD82" s="262"/>
    </row>
    <row r="83" spans="5:86" x14ac:dyDescent="0.8">
      <c r="E83" s="86"/>
      <c r="F83" s="91"/>
      <c r="G83" s="86"/>
      <c r="H83" s="130"/>
      <c r="I83" s="86"/>
      <c r="J83" s="115"/>
      <c r="N83" s="116"/>
      <c r="O83" s="58"/>
      <c r="P83" s="145"/>
      <c r="Q83" s="59"/>
      <c r="R83" s="57"/>
      <c r="S83" s="150"/>
      <c r="T83" s="142"/>
      <c r="U83" s="120"/>
      <c r="V83" s="133"/>
      <c r="W83" s="120"/>
      <c r="AA83" s="46"/>
      <c r="AD83" s="71"/>
      <c r="AF83" s="71"/>
      <c r="AG83" s="120"/>
      <c r="AH83" s="71"/>
      <c r="AJ83" s="71"/>
      <c r="AL83" s="70"/>
      <c r="AM83" s="64"/>
      <c r="AN83" s="70"/>
      <c r="AO83" s="46"/>
      <c r="AP83" s="137"/>
      <c r="AQ83" s="67"/>
      <c r="AT83" s="46"/>
      <c r="AY83" s="57"/>
      <c r="AZ83" s="64"/>
      <c r="BA83" s="46"/>
      <c r="BB83" s="46"/>
      <c r="BC83" s="48"/>
      <c r="BF83" s="46"/>
      <c r="BL83" s="121"/>
      <c r="BM83" s="122"/>
      <c r="BN83" s="123"/>
      <c r="BO83" s="123"/>
      <c r="BP83" s="123"/>
      <c r="BQ83" s="123"/>
      <c r="BR83" s="122"/>
      <c r="BS83" s="124"/>
      <c r="BT83" s="124"/>
      <c r="BU83" s="124"/>
      <c r="BV83" s="125"/>
      <c r="BW83" s="82"/>
      <c r="CD83" s="262"/>
    </row>
    <row r="84" spans="5:86" x14ac:dyDescent="0.8">
      <c r="E84" s="86"/>
      <c r="F84" s="130"/>
      <c r="G84" s="86"/>
      <c r="H84" s="114"/>
      <c r="I84" s="86"/>
      <c r="J84" s="128"/>
      <c r="L84" s="117"/>
      <c r="M84" s="118"/>
      <c r="N84" s="130"/>
      <c r="P84" s="130"/>
      <c r="R84" s="57"/>
      <c r="S84" s="150"/>
      <c r="T84" s="119"/>
      <c r="U84" s="120"/>
      <c r="V84" s="128"/>
      <c r="W84" s="120"/>
      <c r="X84" s="129"/>
      <c r="Y84" s="120"/>
      <c r="AL84" s="70"/>
      <c r="AM84" s="64"/>
      <c r="AN84" s="70"/>
      <c r="AO84" s="46"/>
      <c r="AQ84" s="67"/>
      <c r="AT84" s="46"/>
      <c r="AY84" s="57"/>
      <c r="AZ84" s="64"/>
      <c r="BA84" s="46"/>
      <c r="BB84" s="46"/>
      <c r="BC84" s="48"/>
      <c r="BF84" s="46"/>
      <c r="BL84" s="121"/>
      <c r="BM84" s="122"/>
      <c r="BN84" s="123"/>
      <c r="BO84" s="123"/>
      <c r="BP84" s="123"/>
      <c r="BQ84" s="123"/>
      <c r="BR84" s="122"/>
      <c r="BS84" s="124"/>
      <c r="BT84" s="124"/>
      <c r="BU84" s="124"/>
      <c r="BV84" s="125"/>
      <c r="BW84" s="82"/>
      <c r="CD84" s="262"/>
      <c r="CH84" s="265"/>
    </row>
    <row r="85" spans="5:86" x14ac:dyDescent="0.8">
      <c r="F85" s="127"/>
      <c r="H85" s="114"/>
      <c r="J85" s="115"/>
      <c r="K85" s="62"/>
      <c r="L85" s="117"/>
      <c r="M85" s="118"/>
      <c r="N85" s="116"/>
      <c r="P85" s="130"/>
      <c r="R85" s="57"/>
      <c r="S85" s="46"/>
      <c r="T85" s="138"/>
      <c r="U85" s="120"/>
      <c r="V85" s="115"/>
      <c r="W85" s="120"/>
      <c r="X85" s="129"/>
      <c r="Y85" s="120"/>
      <c r="AA85" s="46"/>
      <c r="AF85" s="115"/>
      <c r="AG85" s="120"/>
      <c r="AN85" s="70"/>
      <c r="AQ85" s="67"/>
      <c r="AT85" s="46"/>
      <c r="AY85" s="57"/>
      <c r="AZ85" s="64"/>
      <c r="BA85" s="46"/>
      <c r="BB85" s="46"/>
      <c r="BC85" s="48"/>
      <c r="BF85" s="46"/>
      <c r="BL85" s="121"/>
      <c r="BM85" s="122"/>
      <c r="BN85" s="123"/>
      <c r="BO85" s="123"/>
      <c r="BP85" s="123"/>
      <c r="BQ85" s="123"/>
      <c r="BR85" s="122"/>
      <c r="BS85" s="124"/>
      <c r="BT85" s="124"/>
      <c r="BU85" s="124"/>
      <c r="BV85" s="125"/>
      <c r="BW85" s="82"/>
      <c r="CD85" s="262"/>
      <c r="CH85" s="265"/>
    </row>
    <row r="86" spans="5:86" x14ac:dyDescent="0.8">
      <c r="F86" s="114"/>
      <c r="H86" s="127"/>
      <c r="J86" s="128"/>
      <c r="K86" s="62"/>
      <c r="L86" s="117"/>
      <c r="M86" s="118"/>
      <c r="N86" s="130"/>
      <c r="P86" s="130"/>
      <c r="R86" s="57"/>
      <c r="S86" s="46"/>
      <c r="T86" s="119"/>
      <c r="U86" s="120"/>
      <c r="V86" s="119"/>
      <c r="W86" s="120"/>
      <c r="X86" s="135"/>
      <c r="Y86" s="139"/>
      <c r="AA86" s="136"/>
      <c r="AD86" s="119"/>
      <c r="AE86" s="120"/>
      <c r="AJ86" s="119"/>
      <c r="AK86" s="120"/>
      <c r="AL86" s="68"/>
      <c r="AQ86" s="67"/>
      <c r="AT86" s="46"/>
      <c r="AY86" s="57"/>
      <c r="AZ86" s="64"/>
      <c r="BA86" s="46"/>
      <c r="BB86" s="46"/>
      <c r="BC86" s="48"/>
      <c r="BF86" s="46"/>
      <c r="BL86" s="121"/>
      <c r="BM86" s="122"/>
      <c r="BN86" s="123"/>
      <c r="BO86" s="123"/>
      <c r="BP86" s="123"/>
      <c r="BQ86" s="123"/>
      <c r="BR86" s="122"/>
      <c r="BS86" s="124"/>
      <c r="BT86" s="124"/>
      <c r="BU86" s="124"/>
      <c r="BV86" s="125"/>
      <c r="BW86" s="82"/>
      <c r="CD86" s="262"/>
      <c r="CH86" s="265"/>
    </row>
    <row r="87" spans="5:86" x14ac:dyDescent="0.8">
      <c r="F87" s="114"/>
      <c r="H87" s="127"/>
      <c r="J87" s="128"/>
      <c r="K87" s="62"/>
      <c r="L87" s="117"/>
      <c r="M87" s="118"/>
      <c r="N87" s="130"/>
      <c r="P87" s="116"/>
      <c r="R87" s="57"/>
      <c r="S87" s="46"/>
      <c r="T87" s="119"/>
      <c r="U87" s="120"/>
      <c r="V87" s="115"/>
      <c r="W87" s="120"/>
      <c r="X87" s="129"/>
      <c r="Y87" s="120"/>
      <c r="AD87" s="128"/>
      <c r="AE87" s="120"/>
      <c r="AG87" s="120"/>
      <c r="AN87" s="70"/>
      <c r="AQ87" s="67"/>
      <c r="AT87" s="46"/>
      <c r="AY87" s="57"/>
      <c r="AZ87" s="64"/>
      <c r="BA87" s="46"/>
      <c r="BB87" s="46"/>
      <c r="BC87" s="48"/>
      <c r="BF87" s="46"/>
      <c r="BL87" s="121"/>
      <c r="BM87" s="122"/>
      <c r="BN87" s="123"/>
      <c r="BO87" s="123"/>
      <c r="BP87" s="123"/>
      <c r="BQ87" s="123"/>
      <c r="BR87" s="122"/>
      <c r="BS87" s="124"/>
      <c r="BT87" s="124"/>
      <c r="BU87" s="124"/>
      <c r="BV87" s="125"/>
      <c r="BW87" s="82"/>
      <c r="CD87" s="262"/>
      <c r="CH87" s="265"/>
    </row>
    <row r="88" spans="5:86" x14ac:dyDescent="0.8">
      <c r="F88" s="127"/>
      <c r="H88" s="114"/>
      <c r="J88" s="115"/>
      <c r="K88" s="62"/>
      <c r="N88" s="116"/>
      <c r="P88" s="116"/>
      <c r="R88" s="57"/>
      <c r="S88" s="46"/>
      <c r="T88" s="115"/>
      <c r="U88" s="120"/>
      <c r="V88" s="115"/>
      <c r="W88" s="120"/>
      <c r="X88" s="57"/>
      <c r="Y88" s="46"/>
      <c r="Z88" s="57"/>
      <c r="AA88" s="46"/>
      <c r="AF88" s="115"/>
      <c r="AG88" s="120"/>
      <c r="AM88" s="64"/>
      <c r="AO88" s="46"/>
      <c r="AQ88" s="67"/>
      <c r="AT88" s="46"/>
      <c r="BC88" s="48"/>
      <c r="BF88" s="46"/>
      <c r="BL88" s="121"/>
      <c r="BM88" s="122"/>
      <c r="BN88" s="123"/>
      <c r="BO88" s="123"/>
      <c r="BP88" s="123"/>
      <c r="BQ88" s="123"/>
      <c r="BR88" s="122"/>
      <c r="BS88" s="124"/>
      <c r="BT88" s="124"/>
      <c r="BU88" s="124"/>
      <c r="BV88" s="125"/>
      <c r="BW88" s="82"/>
      <c r="CD88" s="262"/>
      <c r="CH88" s="265"/>
    </row>
    <row r="89" spans="5:86" x14ac:dyDescent="0.8">
      <c r="F89" s="127"/>
      <c r="H89" s="114"/>
      <c r="J89" s="115"/>
      <c r="K89" s="62"/>
      <c r="L89" s="117"/>
      <c r="M89" s="118"/>
      <c r="N89" s="130"/>
      <c r="P89" s="116"/>
      <c r="R89" s="57"/>
      <c r="S89" s="46"/>
      <c r="T89" s="119"/>
      <c r="U89" s="120"/>
      <c r="V89" s="128"/>
      <c r="W89" s="120"/>
      <c r="X89" s="129"/>
      <c r="Y89" s="120"/>
      <c r="AA89" s="136"/>
      <c r="AG89" s="144"/>
      <c r="AL89" s="70"/>
      <c r="AM89" s="64"/>
      <c r="AN89" s="70"/>
      <c r="AO89" s="46"/>
      <c r="AQ89" s="67"/>
      <c r="AT89" s="46"/>
      <c r="AY89" s="57"/>
      <c r="AZ89" s="64"/>
      <c r="BA89" s="46"/>
      <c r="BB89" s="46"/>
      <c r="BC89" s="48"/>
      <c r="BF89" s="46"/>
      <c r="BL89" s="121"/>
      <c r="BM89" s="122"/>
      <c r="BN89" s="123"/>
      <c r="BO89" s="123"/>
      <c r="BP89" s="123"/>
      <c r="BQ89" s="123"/>
      <c r="BR89" s="122"/>
      <c r="BS89" s="124"/>
      <c r="BT89" s="124"/>
      <c r="BU89" s="124"/>
      <c r="BV89" s="125"/>
      <c r="BW89" s="82"/>
      <c r="CD89" s="262"/>
      <c r="CH89" s="265"/>
    </row>
    <row r="90" spans="5:86" x14ac:dyDescent="0.8">
      <c r="F90" s="114"/>
      <c r="H90" s="127"/>
      <c r="J90" s="141"/>
      <c r="K90" s="62"/>
      <c r="N90" s="130"/>
      <c r="P90" s="130"/>
      <c r="R90" s="57"/>
      <c r="S90" s="46"/>
      <c r="T90" s="128"/>
      <c r="U90" s="120"/>
      <c r="V90" s="128"/>
      <c r="W90" s="120"/>
      <c r="X90" s="140"/>
      <c r="Y90" s="46"/>
      <c r="Z90" s="57"/>
      <c r="AA90" s="144"/>
      <c r="AD90" s="128"/>
      <c r="AE90" s="120"/>
      <c r="AG90" s="144"/>
      <c r="AJ90" s="115"/>
      <c r="AK90" s="120"/>
      <c r="AM90" s="64"/>
      <c r="AO90" s="46"/>
      <c r="AQ90" s="67"/>
      <c r="AT90" s="46"/>
      <c r="BC90" s="48"/>
      <c r="BF90" s="46"/>
      <c r="BL90" s="121"/>
      <c r="BM90" s="122"/>
      <c r="BN90" s="123"/>
      <c r="BO90" s="123"/>
      <c r="BP90" s="123"/>
      <c r="BQ90" s="123"/>
      <c r="BR90" s="122"/>
      <c r="BS90" s="124"/>
      <c r="BT90" s="124"/>
      <c r="BU90" s="124"/>
      <c r="BV90" s="125"/>
      <c r="BW90" s="82"/>
      <c r="CD90" s="262"/>
      <c r="CH90" s="265"/>
    </row>
    <row r="91" spans="5:86" x14ac:dyDescent="0.8">
      <c r="F91" s="127"/>
      <c r="H91" s="127"/>
      <c r="J91" s="128"/>
      <c r="K91" s="62"/>
      <c r="L91" s="117"/>
      <c r="M91" s="118"/>
      <c r="N91" s="130"/>
      <c r="P91" s="130"/>
      <c r="R91" s="57"/>
      <c r="S91" s="46"/>
      <c r="T91" s="128"/>
      <c r="U91" s="120"/>
      <c r="V91" s="128"/>
      <c r="W91" s="120"/>
      <c r="AA91" s="46"/>
      <c r="AD91" s="128"/>
      <c r="AE91" s="120"/>
      <c r="AJ91" s="128"/>
      <c r="AK91" s="120"/>
      <c r="AQ91" s="67"/>
      <c r="AT91" s="46"/>
      <c r="AY91" s="57"/>
      <c r="AZ91" s="64"/>
      <c r="BA91" s="46"/>
      <c r="BB91" s="46"/>
      <c r="BC91" s="48"/>
      <c r="BF91" s="46"/>
      <c r="BL91" s="121"/>
      <c r="BM91" s="122"/>
      <c r="BN91" s="123"/>
      <c r="BO91" s="123"/>
      <c r="BP91" s="123"/>
      <c r="BQ91" s="123"/>
      <c r="BR91" s="122"/>
      <c r="BS91" s="124"/>
      <c r="BT91" s="124"/>
      <c r="BU91" s="124"/>
      <c r="BV91" s="125"/>
      <c r="BW91" s="82"/>
      <c r="CD91" s="262"/>
      <c r="CH91" s="265"/>
    </row>
    <row r="92" spans="5:86" x14ac:dyDescent="0.8">
      <c r="F92" s="127"/>
      <c r="H92" s="114"/>
      <c r="J92" s="115"/>
      <c r="K92" s="62"/>
      <c r="N92" s="116"/>
      <c r="P92" s="130"/>
      <c r="R92" s="57"/>
      <c r="S92" s="46"/>
      <c r="T92" s="115"/>
      <c r="U92" s="120"/>
      <c r="V92" s="128"/>
      <c r="W92" s="120"/>
      <c r="AH92" s="128"/>
      <c r="AL92" s="70"/>
      <c r="AM92" s="64"/>
      <c r="AN92" s="70"/>
      <c r="AO92" s="46"/>
      <c r="AQ92" s="67"/>
      <c r="AT92" s="46"/>
      <c r="AY92" s="57"/>
      <c r="AZ92" s="64"/>
      <c r="BA92" s="46"/>
      <c r="BB92" s="46"/>
      <c r="BC92" s="48"/>
      <c r="BF92" s="46"/>
      <c r="BL92" s="121"/>
      <c r="BM92" s="122"/>
      <c r="BN92" s="123"/>
      <c r="BO92" s="123"/>
      <c r="BP92" s="123"/>
      <c r="BQ92" s="123"/>
      <c r="BR92" s="122"/>
      <c r="BS92" s="124"/>
      <c r="BT92" s="124"/>
      <c r="BU92" s="124"/>
      <c r="BV92" s="125"/>
      <c r="BW92" s="82"/>
      <c r="CD92" s="262"/>
      <c r="CH92" s="265"/>
    </row>
    <row r="93" spans="5:86" x14ac:dyDescent="0.8">
      <c r="F93" s="114"/>
      <c r="H93" s="127"/>
      <c r="J93" s="133"/>
      <c r="K93" s="62"/>
      <c r="N93" s="145"/>
      <c r="O93" s="58"/>
      <c r="P93" s="145"/>
      <c r="Q93" s="59"/>
      <c r="R93" s="57"/>
      <c r="S93" s="46"/>
      <c r="T93" s="134"/>
      <c r="U93" s="120"/>
      <c r="V93" s="134"/>
      <c r="W93" s="120"/>
      <c r="X93" s="135"/>
      <c r="Y93" s="136"/>
      <c r="AA93" s="136"/>
      <c r="AD93" s="143"/>
      <c r="AF93" s="71"/>
      <c r="AH93" s="71"/>
      <c r="AJ93" s="134"/>
      <c r="AK93" s="120"/>
      <c r="AL93" s="71"/>
      <c r="AN93" s="71"/>
      <c r="AP93" s="137"/>
      <c r="AQ93" s="67"/>
      <c r="AT93" s="46"/>
      <c r="AY93" s="57"/>
      <c r="AZ93" s="64"/>
      <c r="BA93" s="46"/>
      <c r="BB93" s="46"/>
      <c r="BC93" s="48"/>
      <c r="BF93" s="46"/>
      <c r="BL93" s="121"/>
      <c r="BM93" s="122"/>
      <c r="BN93" s="123"/>
      <c r="BO93" s="123"/>
      <c r="BP93" s="123"/>
      <c r="BQ93" s="123"/>
      <c r="BR93" s="122"/>
      <c r="BS93" s="124"/>
      <c r="BT93" s="124"/>
      <c r="BU93" s="124"/>
      <c r="BV93" s="125"/>
      <c r="BW93" s="82"/>
      <c r="CD93" s="262"/>
      <c r="CH93" s="265"/>
    </row>
    <row r="94" spans="5:86" x14ac:dyDescent="0.8">
      <c r="F94" s="114"/>
      <c r="H94" s="114"/>
      <c r="J94" s="115"/>
      <c r="K94" s="62"/>
      <c r="L94" s="117"/>
      <c r="M94" s="118"/>
      <c r="N94" s="130"/>
      <c r="P94" s="116"/>
      <c r="R94" s="57"/>
      <c r="S94" s="46"/>
      <c r="T94" s="115"/>
      <c r="U94" s="120"/>
      <c r="V94" s="128"/>
      <c r="W94" s="120"/>
      <c r="AA94" s="46"/>
      <c r="AD94" s="115"/>
      <c r="AE94" s="120"/>
      <c r="AF94" s="128"/>
      <c r="AG94" s="120"/>
      <c r="AJ94" s="115"/>
      <c r="AK94" s="120"/>
      <c r="AL94" s="70"/>
      <c r="AM94" s="64"/>
      <c r="AN94" s="70"/>
      <c r="AO94" s="46"/>
      <c r="AQ94" s="67"/>
      <c r="AT94" s="46"/>
      <c r="AY94" s="57"/>
      <c r="AZ94" s="64"/>
      <c r="BA94" s="46"/>
      <c r="BB94" s="46"/>
      <c r="BC94" s="48"/>
      <c r="BF94" s="46"/>
      <c r="BL94" s="121"/>
      <c r="BM94" s="122"/>
      <c r="BN94" s="123"/>
      <c r="BO94" s="123"/>
      <c r="BP94" s="123"/>
      <c r="BQ94" s="123"/>
      <c r="BR94" s="122"/>
      <c r="BS94" s="124"/>
      <c r="BT94" s="124"/>
      <c r="BU94" s="124"/>
      <c r="BV94" s="125"/>
      <c r="BW94" s="82"/>
      <c r="CD94" s="262"/>
      <c r="CH94" s="265"/>
    </row>
    <row r="95" spans="5:86" x14ac:dyDescent="0.8">
      <c r="F95" s="114"/>
      <c r="H95" s="114"/>
      <c r="J95" s="128"/>
      <c r="K95" s="62"/>
      <c r="L95" s="117"/>
      <c r="M95" s="118"/>
      <c r="N95" s="130"/>
      <c r="P95" s="130"/>
      <c r="R95" s="57"/>
      <c r="S95" s="46"/>
      <c r="T95" s="138"/>
      <c r="U95" s="120"/>
      <c r="V95" s="138"/>
      <c r="W95" s="120"/>
      <c r="X95" s="135"/>
      <c r="Y95" s="139"/>
      <c r="AA95" s="136"/>
      <c r="AD95" s="140"/>
      <c r="AF95" s="115"/>
      <c r="AG95" s="120"/>
      <c r="AJ95" s="138"/>
      <c r="AK95" s="120"/>
      <c r="AN95" s="70"/>
      <c r="AQ95" s="67"/>
      <c r="AT95" s="46"/>
      <c r="AY95" s="57"/>
      <c r="AZ95" s="64"/>
      <c r="BA95" s="46"/>
      <c r="BB95" s="46"/>
      <c r="BC95" s="48"/>
      <c r="BF95" s="46"/>
      <c r="BL95" s="121"/>
      <c r="BM95" s="122"/>
      <c r="BN95" s="123"/>
      <c r="BO95" s="123"/>
      <c r="BP95" s="123"/>
      <c r="BQ95" s="123"/>
      <c r="BR95" s="122"/>
      <c r="BS95" s="124"/>
      <c r="BT95" s="124"/>
      <c r="BU95" s="124"/>
      <c r="BV95" s="125"/>
      <c r="BW95" s="82"/>
      <c r="CD95" s="262"/>
      <c r="CH95" s="265"/>
    </row>
    <row r="96" spans="5:86" x14ac:dyDescent="0.8">
      <c r="F96" s="114"/>
      <c r="H96" s="127"/>
      <c r="J96" s="128"/>
      <c r="K96" s="62"/>
      <c r="L96" s="117"/>
      <c r="M96" s="118"/>
      <c r="N96" s="130"/>
      <c r="P96" s="130"/>
      <c r="R96" s="57"/>
      <c r="S96" s="46"/>
      <c r="T96" s="119"/>
      <c r="U96" s="120"/>
      <c r="V96" s="115"/>
      <c r="W96" s="120"/>
      <c r="X96" s="129"/>
      <c r="Y96" s="120"/>
      <c r="AD96" s="128"/>
      <c r="AE96" s="120"/>
      <c r="AF96" s="115"/>
      <c r="AG96" s="120"/>
      <c r="AL96" s="69"/>
      <c r="AN96" s="70"/>
      <c r="AQ96" s="67"/>
      <c r="AT96" s="46"/>
      <c r="AY96" s="57"/>
      <c r="AZ96" s="64"/>
      <c r="BA96" s="46"/>
      <c r="BB96" s="46"/>
      <c r="BC96" s="48"/>
      <c r="BF96" s="46"/>
      <c r="BL96" s="121"/>
      <c r="BM96" s="122"/>
      <c r="BN96" s="123"/>
      <c r="BO96" s="123"/>
      <c r="BP96" s="123"/>
      <c r="BQ96" s="123"/>
      <c r="BR96" s="122"/>
      <c r="BS96" s="124"/>
      <c r="BT96" s="124"/>
      <c r="BU96" s="124"/>
      <c r="BV96" s="125"/>
      <c r="BW96" s="82"/>
      <c r="CD96" s="262"/>
      <c r="CH96" s="265"/>
    </row>
    <row r="97" spans="5:86" x14ac:dyDescent="0.8">
      <c r="F97" s="127"/>
      <c r="H97" s="127"/>
      <c r="J97" s="128"/>
      <c r="K97" s="62"/>
      <c r="L97" s="117"/>
      <c r="M97" s="118"/>
      <c r="N97" s="130"/>
      <c r="P97" s="130"/>
      <c r="R97" s="57"/>
      <c r="S97" s="46"/>
      <c r="T97" s="119"/>
      <c r="U97" s="120"/>
      <c r="V97" s="128"/>
      <c r="W97" s="120"/>
      <c r="AB97" s="84"/>
      <c r="AF97" s="128"/>
      <c r="AG97" s="120"/>
      <c r="AH97" s="128"/>
      <c r="AQ97" s="67"/>
      <c r="AT97" s="46"/>
      <c r="AY97" s="57"/>
      <c r="AZ97" s="64"/>
      <c r="BA97" s="46"/>
      <c r="BB97" s="46"/>
      <c r="BC97" s="48"/>
      <c r="BF97" s="46"/>
      <c r="BL97" s="121"/>
      <c r="BM97" s="122"/>
      <c r="BN97" s="123"/>
      <c r="BO97" s="123"/>
      <c r="BP97" s="123"/>
      <c r="BQ97" s="123"/>
      <c r="BR97" s="122"/>
      <c r="BS97" s="124"/>
      <c r="BT97" s="124"/>
      <c r="BU97" s="124"/>
      <c r="BV97" s="125"/>
      <c r="BW97" s="82"/>
      <c r="CD97" s="262"/>
    </row>
    <row r="98" spans="5:86" x14ac:dyDescent="0.8">
      <c r="F98" s="127"/>
      <c r="H98" s="114"/>
      <c r="J98" s="115"/>
      <c r="K98" s="62"/>
      <c r="L98" s="117"/>
      <c r="M98" s="118"/>
      <c r="N98" s="116"/>
      <c r="P98" s="116"/>
      <c r="R98" s="57"/>
      <c r="S98" s="46"/>
      <c r="T98" s="138"/>
      <c r="U98" s="120"/>
      <c r="V98" s="115"/>
      <c r="W98" s="120"/>
      <c r="X98" s="129"/>
      <c r="Y98" s="120"/>
      <c r="AA98" s="46"/>
      <c r="AD98" s="115"/>
      <c r="AE98" s="120"/>
      <c r="AF98" s="115"/>
      <c r="AG98" s="120"/>
      <c r="AL98" s="69"/>
      <c r="AN98" s="70"/>
      <c r="AQ98" s="67"/>
      <c r="AT98" s="46"/>
      <c r="AY98" s="57"/>
      <c r="AZ98" s="64"/>
      <c r="BA98" s="46"/>
      <c r="BB98" s="46"/>
      <c r="BC98" s="48"/>
      <c r="BF98" s="46"/>
      <c r="BL98" s="121"/>
      <c r="BM98" s="122"/>
      <c r="BN98" s="123"/>
      <c r="BO98" s="123"/>
      <c r="BP98" s="123"/>
      <c r="BQ98" s="123"/>
      <c r="BR98" s="122"/>
      <c r="BS98" s="124"/>
      <c r="BT98" s="124"/>
      <c r="BU98" s="124"/>
      <c r="BV98" s="125"/>
      <c r="BW98" s="82"/>
      <c r="CD98" s="262"/>
    </row>
    <row r="99" spans="5:86" x14ac:dyDescent="0.8">
      <c r="F99" s="114"/>
      <c r="H99" s="114"/>
      <c r="J99" s="128"/>
      <c r="N99" s="130"/>
      <c r="R99" s="57"/>
      <c r="S99" s="150"/>
      <c r="T99" s="128"/>
      <c r="U99" s="139"/>
      <c r="V99" s="128"/>
      <c r="W99" s="139"/>
      <c r="X99" s="140"/>
      <c r="Y99" s="46"/>
      <c r="Z99" s="57"/>
      <c r="AA99" s="144"/>
      <c r="AE99" s="144"/>
      <c r="AF99" s="128"/>
      <c r="AG99" s="120"/>
      <c r="AI99" s="144"/>
      <c r="AK99" s="144"/>
      <c r="AL99" s="69"/>
      <c r="AN99" s="70"/>
      <c r="AQ99" s="67"/>
      <c r="AT99" s="46"/>
      <c r="BC99" s="48"/>
      <c r="BF99" s="46"/>
      <c r="BL99" s="121"/>
      <c r="BM99" s="122"/>
      <c r="BN99" s="123"/>
      <c r="BO99" s="123"/>
      <c r="BP99" s="123"/>
      <c r="BQ99" s="123"/>
      <c r="BR99" s="122"/>
      <c r="BS99" s="124"/>
      <c r="BT99" s="124"/>
      <c r="BU99" s="124"/>
      <c r="BV99" s="125"/>
      <c r="BW99" s="82"/>
      <c r="CD99" s="262"/>
    </row>
    <row r="100" spans="5:86" x14ac:dyDescent="0.8">
      <c r="E100" s="86"/>
      <c r="F100" s="114"/>
      <c r="H100" s="130"/>
      <c r="I100" s="86"/>
      <c r="J100" s="128"/>
      <c r="N100" s="130"/>
      <c r="R100" s="57"/>
      <c r="S100" s="150"/>
      <c r="T100" s="128"/>
      <c r="U100" s="139"/>
      <c r="V100" s="128"/>
      <c r="W100" s="139"/>
      <c r="X100" s="140"/>
      <c r="Y100" s="46"/>
      <c r="Z100" s="57"/>
      <c r="AA100" s="144"/>
      <c r="AE100" s="144"/>
      <c r="AF100" s="128"/>
      <c r="AG100" s="120"/>
      <c r="AK100" s="144"/>
      <c r="AL100" s="69"/>
      <c r="AN100" s="70"/>
      <c r="AQ100" s="67"/>
      <c r="AT100" s="46"/>
      <c r="BC100" s="48"/>
      <c r="BF100" s="46"/>
      <c r="BL100" s="121"/>
      <c r="BM100" s="122"/>
      <c r="BN100" s="123"/>
      <c r="BO100" s="123"/>
      <c r="BP100" s="123"/>
      <c r="BQ100" s="123"/>
      <c r="BR100" s="122"/>
      <c r="BS100" s="124"/>
      <c r="BT100" s="124"/>
      <c r="BU100" s="124"/>
      <c r="BV100" s="125"/>
      <c r="BW100" s="82"/>
      <c r="CD100" s="262"/>
      <c r="CH100" s="265"/>
    </row>
    <row r="101" spans="5:86" x14ac:dyDescent="0.8">
      <c r="E101" s="86"/>
      <c r="F101" s="127"/>
      <c r="H101" s="130"/>
      <c r="I101" s="86"/>
      <c r="J101" s="128"/>
      <c r="L101" s="117"/>
      <c r="M101" s="118"/>
      <c r="P101" s="130"/>
      <c r="R101" s="57"/>
      <c r="S101" s="150"/>
      <c r="T101" s="138"/>
      <c r="U101" s="120"/>
      <c r="V101" s="138"/>
      <c r="W101" s="120"/>
      <c r="X101" s="135"/>
      <c r="Y101" s="139"/>
      <c r="AA101" s="136"/>
      <c r="AD101" s="140"/>
      <c r="AF101" s="128"/>
      <c r="AG101" s="120"/>
      <c r="AJ101" s="140"/>
      <c r="AL101" s="68"/>
      <c r="AQ101" s="67"/>
      <c r="AT101" s="46"/>
      <c r="AY101" s="57"/>
      <c r="AZ101" s="64"/>
      <c r="BA101" s="46"/>
      <c r="BB101" s="46"/>
      <c r="BC101" s="48"/>
      <c r="BF101" s="46"/>
      <c r="BL101" s="121"/>
      <c r="BM101" s="122"/>
      <c r="BN101" s="123"/>
      <c r="BO101" s="123"/>
      <c r="BP101" s="123"/>
      <c r="BQ101" s="123"/>
      <c r="BR101" s="122"/>
      <c r="BS101" s="124"/>
      <c r="BT101" s="124"/>
      <c r="BU101" s="124"/>
      <c r="BV101" s="125"/>
      <c r="BW101" s="82"/>
      <c r="CD101" s="262"/>
      <c r="CH101" s="265"/>
    </row>
    <row r="102" spans="5:86" x14ac:dyDescent="0.8">
      <c r="E102" s="86"/>
      <c r="F102" s="127"/>
      <c r="H102" s="91"/>
      <c r="I102" s="86"/>
      <c r="J102" s="115"/>
      <c r="L102" s="117"/>
      <c r="M102" s="118"/>
      <c r="P102" s="116"/>
      <c r="R102" s="57"/>
      <c r="S102" s="150"/>
      <c r="T102" s="138"/>
      <c r="U102" s="120"/>
      <c r="V102" s="115"/>
      <c r="W102" s="120"/>
      <c r="X102" s="129"/>
      <c r="Y102" s="120"/>
      <c r="AF102" s="115"/>
      <c r="AG102" s="120"/>
      <c r="AL102" s="69"/>
      <c r="AN102" s="70"/>
      <c r="AQ102" s="67"/>
      <c r="AT102" s="46"/>
      <c r="AY102" s="57"/>
      <c r="AZ102" s="64"/>
      <c r="BA102" s="46"/>
      <c r="BB102" s="46"/>
      <c r="BC102" s="48"/>
      <c r="BF102" s="46"/>
      <c r="BL102" s="121"/>
      <c r="BM102" s="122"/>
      <c r="BN102" s="123"/>
      <c r="BO102" s="123"/>
      <c r="BP102" s="123"/>
      <c r="BQ102" s="123"/>
      <c r="BR102" s="122"/>
      <c r="BS102" s="124"/>
      <c r="BT102" s="124"/>
      <c r="BU102" s="124"/>
      <c r="BV102" s="125"/>
      <c r="BW102" s="82"/>
      <c r="CD102" s="262"/>
      <c r="CH102" s="265"/>
    </row>
    <row r="103" spans="5:86" x14ac:dyDescent="0.8">
      <c r="E103" s="86"/>
      <c r="F103" s="114"/>
      <c r="H103" s="130"/>
      <c r="I103" s="86"/>
      <c r="J103" s="128"/>
      <c r="L103" s="117"/>
      <c r="M103" s="118"/>
      <c r="N103" s="116"/>
      <c r="R103" s="57"/>
      <c r="S103" s="150"/>
      <c r="T103" s="119"/>
      <c r="U103" s="120"/>
      <c r="V103" s="128"/>
      <c r="W103" s="120"/>
      <c r="X103" s="129"/>
      <c r="Y103" s="120"/>
      <c r="AF103" s="115"/>
      <c r="AG103" s="120"/>
      <c r="AN103" s="70"/>
      <c r="AQ103" s="67"/>
      <c r="AT103" s="46"/>
      <c r="AY103" s="57"/>
      <c r="AZ103" s="64"/>
      <c r="BA103" s="46"/>
      <c r="BB103" s="46"/>
      <c r="BC103" s="48"/>
      <c r="BF103" s="46"/>
      <c r="BL103" s="121"/>
      <c r="BM103" s="122"/>
      <c r="BN103" s="123"/>
      <c r="BO103" s="123"/>
      <c r="BP103" s="123"/>
      <c r="BQ103" s="123"/>
      <c r="BR103" s="122"/>
      <c r="BS103" s="124"/>
      <c r="BT103" s="124"/>
      <c r="BU103" s="124"/>
      <c r="BV103" s="125"/>
      <c r="BW103" s="82"/>
      <c r="CD103" s="262"/>
      <c r="CH103" s="265"/>
    </row>
    <row r="104" spans="5:86" x14ac:dyDescent="0.8">
      <c r="E104" s="86"/>
      <c r="F104" s="130"/>
      <c r="G104" s="86"/>
      <c r="H104" s="91"/>
      <c r="I104" s="86"/>
      <c r="J104" s="128"/>
      <c r="L104" s="117"/>
      <c r="M104" s="118"/>
      <c r="P104" s="130"/>
      <c r="R104" s="57"/>
      <c r="S104" s="150"/>
      <c r="T104" s="128"/>
      <c r="U104" s="120"/>
      <c r="V104" s="128"/>
      <c r="W104" s="120"/>
      <c r="AA104" s="46"/>
      <c r="AF104" s="128"/>
      <c r="AG104" s="120"/>
      <c r="AQ104" s="67"/>
      <c r="AT104" s="46"/>
      <c r="AY104" s="57"/>
      <c r="AZ104" s="64"/>
      <c r="BA104" s="46"/>
      <c r="BB104" s="46"/>
      <c r="BC104" s="48"/>
      <c r="BF104" s="46"/>
      <c r="BL104" s="121"/>
      <c r="BM104" s="122"/>
      <c r="BN104" s="123"/>
      <c r="BO104" s="123"/>
      <c r="BP104" s="123"/>
      <c r="BQ104" s="123"/>
      <c r="BR104" s="122"/>
      <c r="BS104" s="124"/>
      <c r="BT104" s="124"/>
      <c r="BU104" s="124"/>
      <c r="BV104" s="125"/>
      <c r="BW104" s="82"/>
      <c r="CD104" s="262"/>
      <c r="CH104" s="265"/>
    </row>
    <row r="105" spans="5:86" x14ac:dyDescent="0.8">
      <c r="E105" s="86"/>
      <c r="F105" s="91"/>
      <c r="G105" s="86"/>
      <c r="H105" s="91"/>
      <c r="I105" s="86"/>
      <c r="J105" s="115"/>
      <c r="N105" s="116"/>
      <c r="R105" s="57"/>
      <c r="S105" s="150"/>
      <c r="U105" s="120"/>
      <c r="W105" s="120"/>
      <c r="X105" s="57"/>
      <c r="Y105" s="46"/>
      <c r="Z105" s="57"/>
      <c r="AA105" s="46"/>
      <c r="AF105" s="115"/>
      <c r="AG105" s="120"/>
      <c r="AN105" s="70"/>
      <c r="AQ105" s="67"/>
      <c r="AT105" s="46"/>
      <c r="BC105" s="48"/>
      <c r="BF105" s="46"/>
      <c r="BL105" s="121"/>
      <c r="BM105" s="122"/>
      <c r="BN105" s="123"/>
      <c r="BO105" s="123"/>
      <c r="BP105" s="123"/>
      <c r="BQ105" s="123"/>
      <c r="BR105" s="122"/>
      <c r="BS105" s="124"/>
      <c r="BT105" s="124"/>
      <c r="BU105" s="124"/>
      <c r="BV105" s="125"/>
      <c r="BW105" s="82"/>
      <c r="CD105" s="262"/>
      <c r="CH105" s="265"/>
    </row>
    <row r="106" spans="5:86" x14ac:dyDescent="0.8">
      <c r="E106" s="86"/>
      <c r="F106" s="130"/>
      <c r="G106" s="86"/>
      <c r="H106" s="91"/>
      <c r="I106" s="86"/>
      <c r="J106" s="141"/>
      <c r="N106" s="130"/>
      <c r="R106" s="57"/>
      <c r="S106" s="150"/>
      <c r="T106" s="128"/>
      <c r="U106" s="120"/>
      <c r="V106" s="128"/>
      <c r="W106" s="120"/>
      <c r="X106" s="57"/>
      <c r="Y106" s="46"/>
      <c r="Z106" s="57"/>
      <c r="AA106" s="46"/>
      <c r="AF106" s="115"/>
      <c r="AG106" s="120"/>
      <c r="AL106" s="69"/>
      <c r="AN106" s="70"/>
      <c r="AQ106" s="67"/>
      <c r="AT106" s="46"/>
      <c r="BC106" s="48"/>
      <c r="BF106" s="46"/>
      <c r="BL106" s="121"/>
      <c r="BM106" s="122"/>
      <c r="BN106" s="123"/>
      <c r="BO106" s="123"/>
      <c r="BP106" s="123"/>
      <c r="BQ106" s="123"/>
      <c r="BR106" s="122"/>
      <c r="BS106" s="124"/>
      <c r="BT106" s="124"/>
      <c r="BU106" s="124"/>
      <c r="BV106" s="125"/>
      <c r="BW106" s="82"/>
      <c r="CD106" s="262"/>
      <c r="CH106" s="265"/>
    </row>
    <row r="107" spans="5:86" x14ac:dyDescent="0.8">
      <c r="F107" s="127"/>
      <c r="H107" s="114"/>
      <c r="J107" s="128"/>
      <c r="K107" s="62"/>
      <c r="L107" s="117"/>
      <c r="M107" s="118"/>
      <c r="N107" s="130"/>
      <c r="P107" s="130"/>
      <c r="R107" s="57"/>
      <c r="S107" s="46"/>
      <c r="T107" s="119"/>
      <c r="U107" s="120"/>
      <c r="V107" s="128"/>
      <c r="W107" s="120"/>
      <c r="X107" s="129"/>
      <c r="Y107" s="120"/>
      <c r="AA107" s="136"/>
      <c r="AD107" s="128"/>
      <c r="AE107" s="120"/>
      <c r="AG107" s="144"/>
      <c r="AL107" s="69"/>
      <c r="AN107" s="70"/>
      <c r="AQ107" s="67"/>
      <c r="AT107" s="46"/>
      <c r="AY107" s="57"/>
      <c r="AZ107" s="64"/>
      <c r="BA107" s="46"/>
      <c r="BB107" s="46"/>
      <c r="BC107" s="48"/>
      <c r="BF107" s="46"/>
      <c r="BL107" s="121"/>
      <c r="BM107" s="122"/>
      <c r="BN107" s="123"/>
      <c r="BO107" s="123"/>
      <c r="BP107" s="123"/>
      <c r="BQ107" s="123"/>
      <c r="BR107" s="122"/>
      <c r="BS107" s="124"/>
      <c r="BT107" s="124"/>
      <c r="BU107" s="124"/>
      <c r="BV107" s="125"/>
      <c r="BW107" s="82"/>
      <c r="CD107" s="262"/>
      <c r="CH107" s="265"/>
    </row>
    <row r="108" spans="5:86" x14ac:dyDescent="0.8">
      <c r="F108" s="114"/>
      <c r="H108" s="114"/>
      <c r="J108" s="115"/>
      <c r="K108" s="62"/>
      <c r="L108" s="117"/>
      <c r="M108" s="118"/>
      <c r="N108" s="116"/>
      <c r="P108" s="130"/>
      <c r="R108" s="57"/>
      <c r="S108" s="46"/>
      <c r="T108" s="138"/>
      <c r="U108" s="120"/>
      <c r="V108" s="115"/>
      <c r="W108" s="120"/>
      <c r="X108" s="143"/>
      <c r="AA108" s="136"/>
      <c r="AD108" s="115"/>
      <c r="AE108" s="120"/>
      <c r="AG108" s="144"/>
      <c r="AH108" s="128"/>
      <c r="AQ108" s="67"/>
      <c r="AT108" s="46"/>
      <c r="AY108" s="57"/>
      <c r="AZ108" s="64"/>
      <c r="BA108" s="46"/>
      <c r="BB108" s="46"/>
      <c r="BC108" s="48"/>
      <c r="BF108" s="46"/>
      <c r="BL108" s="121"/>
      <c r="BM108" s="122"/>
      <c r="BN108" s="123"/>
      <c r="BO108" s="123"/>
      <c r="BP108" s="123"/>
      <c r="BQ108" s="123"/>
      <c r="BR108" s="122"/>
      <c r="BS108" s="124"/>
      <c r="BT108" s="124"/>
      <c r="BU108" s="124"/>
      <c r="BV108" s="125"/>
      <c r="BW108" s="82"/>
      <c r="CD108" s="262"/>
      <c r="CH108" s="265"/>
    </row>
    <row r="109" spans="5:86" x14ac:dyDescent="0.8">
      <c r="F109" s="114"/>
      <c r="H109" s="114"/>
      <c r="J109" s="115"/>
      <c r="K109" s="62"/>
      <c r="L109" s="117"/>
      <c r="M109" s="118"/>
      <c r="N109" s="130"/>
      <c r="P109" s="130"/>
      <c r="R109" s="57"/>
      <c r="S109" s="46"/>
      <c r="T109" s="138"/>
      <c r="U109" s="120"/>
      <c r="V109" s="128"/>
      <c r="W109" s="120"/>
      <c r="X109" s="129"/>
      <c r="Y109" s="120"/>
      <c r="AD109" s="128"/>
      <c r="AE109" s="120"/>
      <c r="AJ109" s="115"/>
      <c r="AK109" s="120"/>
      <c r="AL109" s="68"/>
      <c r="AQ109" s="67"/>
      <c r="AT109" s="46"/>
      <c r="AY109" s="57"/>
      <c r="AZ109" s="64"/>
      <c r="BA109" s="46"/>
      <c r="BB109" s="46"/>
      <c r="BC109" s="48"/>
      <c r="BF109" s="46"/>
      <c r="BL109" s="121"/>
      <c r="BM109" s="122"/>
      <c r="BN109" s="123"/>
      <c r="BO109" s="123"/>
      <c r="BP109" s="123"/>
      <c r="BQ109" s="123"/>
      <c r="BR109" s="122"/>
      <c r="BS109" s="124"/>
      <c r="BT109" s="124"/>
      <c r="BU109" s="124"/>
      <c r="BV109" s="125"/>
      <c r="BW109" s="82"/>
      <c r="CD109" s="262"/>
      <c r="CH109" s="265"/>
    </row>
    <row r="110" spans="5:86" x14ac:dyDescent="0.8">
      <c r="F110" s="127"/>
      <c r="H110" s="127"/>
      <c r="J110" s="128"/>
      <c r="K110" s="62"/>
      <c r="N110" s="130"/>
      <c r="P110" s="130"/>
      <c r="R110" s="57"/>
      <c r="S110" s="46"/>
      <c r="T110" s="128"/>
      <c r="U110" s="120"/>
      <c r="V110" s="128"/>
      <c r="W110" s="120"/>
      <c r="AD110" s="128"/>
      <c r="AE110" s="120"/>
      <c r="AN110" s="70"/>
      <c r="AQ110" s="67"/>
      <c r="AT110" s="46"/>
      <c r="AY110" s="57"/>
      <c r="AZ110" s="64"/>
      <c r="BA110" s="46"/>
      <c r="BB110" s="46"/>
      <c r="BC110" s="48"/>
      <c r="BF110" s="46"/>
      <c r="BL110" s="121"/>
      <c r="BM110" s="122"/>
      <c r="BN110" s="123"/>
      <c r="BO110" s="123"/>
      <c r="BP110" s="123"/>
      <c r="BQ110" s="123"/>
      <c r="BR110" s="122"/>
      <c r="BS110" s="124"/>
      <c r="BT110" s="124"/>
      <c r="BU110" s="124"/>
      <c r="BV110" s="125"/>
      <c r="BW110" s="82"/>
      <c r="CD110" s="262"/>
      <c r="CH110" s="265"/>
    </row>
    <row r="111" spans="5:86" x14ac:dyDescent="0.8">
      <c r="F111" s="127"/>
      <c r="H111" s="127"/>
      <c r="J111" s="128"/>
      <c r="K111" s="62"/>
      <c r="N111" s="130"/>
      <c r="P111" s="130"/>
      <c r="R111" s="57"/>
      <c r="S111" s="46"/>
      <c r="T111" s="128"/>
      <c r="U111" s="120"/>
      <c r="V111" s="128"/>
      <c r="W111" s="120"/>
      <c r="AD111" s="128"/>
      <c r="AE111" s="120"/>
      <c r="AJ111" s="128"/>
      <c r="AK111" s="120"/>
      <c r="AQ111" s="67"/>
      <c r="AT111" s="46"/>
      <c r="AY111" s="57"/>
      <c r="AZ111" s="64"/>
      <c r="BA111" s="46"/>
      <c r="BB111" s="46"/>
      <c r="BC111" s="48"/>
      <c r="BF111" s="46"/>
      <c r="BL111" s="121"/>
      <c r="BM111" s="122"/>
      <c r="BN111" s="123"/>
      <c r="BO111" s="123"/>
      <c r="BP111" s="123"/>
      <c r="BQ111" s="123"/>
      <c r="BR111" s="122"/>
      <c r="BS111" s="124"/>
      <c r="BT111" s="124"/>
      <c r="BU111" s="124"/>
      <c r="BV111" s="125"/>
      <c r="BW111" s="82"/>
      <c r="CD111" s="262"/>
      <c r="CH111" s="265"/>
    </row>
    <row r="112" spans="5:86" x14ac:dyDescent="0.8">
      <c r="F112" s="114"/>
      <c r="H112" s="127"/>
      <c r="J112" s="142"/>
      <c r="K112" s="62"/>
      <c r="N112" s="91"/>
      <c r="O112" s="58"/>
      <c r="P112" s="130"/>
      <c r="Q112" s="59"/>
      <c r="R112" s="57"/>
      <c r="S112" s="46"/>
      <c r="T112" s="151"/>
      <c r="U112" s="120"/>
      <c r="V112" s="151"/>
      <c r="W112" s="120"/>
      <c r="X112" s="135"/>
      <c r="Y112" s="136"/>
      <c r="AA112" s="136"/>
      <c r="AD112" s="134"/>
      <c r="AE112" s="120"/>
      <c r="AF112" s="71"/>
      <c r="AH112" s="71"/>
      <c r="AJ112" s="143"/>
      <c r="AN112" s="70"/>
      <c r="AP112" s="137"/>
      <c r="AQ112" s="67"/>
      <c r="AT112" s="46"/>
      <c r="BB112" s="46"/>
      <c r="BC112" s="48"/>
      <c r="BF112" s="46"/>
      <c r="BL112" s="121"/>
      <c r="BM112" s="122"/>
      <c r="BN112" s="123"/>
      <c r="BO112" s="123"/>
      <c r="BP112" s="123"/>
      <c r="BQ112" s="123"/>
      <c r="BR112" s="122"/>
      <c r="BS112" s="124"/>
      <c r="BT112" s="124"/>
      <c r="BU112" s="124"/>
      <c r="BV112" s="125"/>
      <c r="BW112" s="82"/>
      <c r="CD112" s="262"/>
      <c r="CH112" s="265"/>
    </row>
    <row r="113" spans="2:86" x14ac:dyDescent="0.8">
      <c r="F113" s="114"/>
      <c r="H113" s="127"/>
      <c r="J113" s="115"/>
      <c r="K113" s="62"/>
      <c r="N113" s="130"/>
      <c r="P113" s="130"/>
      <c r="R113" s="57"/>
      <c r="S113" s="46"/>
      <c r="T113" s="115"/>
      <c r="U113" s="120"/>
      <c r="V113" s="115"/>
      <c r="W113" s="120"/>
      <c r="X113" s="57"/>
      <c r="Y113" s="46"/>
      <c r="Z113" s="57"/>
      <c r="AA113" s="46"/>
      <c r="AD113" s="128"/>
      <c r="AE113" s="120"/>
      <c r="AG113" s="120"/>
      <c r="AM113" s="64"/>
      <c r="AO113" s="46"/>
      <c r="AQ113" s="67"/>
      <c r="AT113" s="46"/>
      <c r="BC113" s="48"/>
      <c r="BF113" s="46"/>
      <c r="BL113" s="121"/>
      <c r="BM113" s="122"/>
      <c r="BN113" s="123"/>
      <c r="BO113" s="123"/>
      <c r="BP113" s="123"/>
      <c r="BQ113" s="123"/>
      <c r="BR113" s="122"/>
      <c r="BS113" s="124"/>
      <c r="BT113" s="124"/>
      <c r="BU113" s="124"/>
      <c r="BV113" s="125"/>
      <c r="BW113" s="82"/>
      <c r="CD113" s="262"/>
      <c r="CH113" s="265"/>
    </row>
    <row r="114" spans="2:86" x14ac:dyDescent="0.8">
      <c r="F114" s="114"/>
      <c r="H114" s="127"/>
      <c r="J114" s="115"/>
      <c r="K114" s="62"/>
      <c r="N114" s="116"/>
      <c r="P114" s="130"/>
      <c r="R114" s="57"/>
      <c r="S114" s="46"/>
      <c r="T114" s="115"/>
      <c r="U114" s="120"/>
      <c r="V114" s="128"/>
      <c r="W114" s="120"/>
      <c r="X114" s="57"/>
      <c r="Y114" s="46"/>
      <c r="Z114" s="57"/>
      <c r="AA114" s="46"/>
      <c r="AF114" s="115"/>
      <c r="AG114" s="120"/>
      <c r="AL114" s="69"/>
      <c r="AN114" s="70"/>
      <c r="AQ114" s="67"/>
      <c r="AT114" s="46"/>
      <c r="BC114" s="48"/>
      <c r="BF114" s="46"/>
      <c r="BL114" s="121"/>
      <c r="BM114" s="122"/>
      <c r="BN114" s="123"/>
      <c r="BO114" s="123"/>
      <c r="BP114" s="123"/>
      <c r="BQ114" s="123"/>
      <c r="BR114" s="122"/>
      <c r="BS114" s="124"/>
      <c r="BT114" s="124"/>
      <c r="BU114" s="124"/>
      <c r="BV114" s="125"/>
      <c r="BW114" s="82"/>
      <c r="CD114" s="262"/>
    </row>
    <row r="115" spans="2:86" x14ac:dyDescent="0.8">
      <c r="F115" s="114"/>
      <c r="H115" s="114"/>
      <c r="J115" s="115"/>
      <c r="K115" s="62"/>
      <c r="N115" s="116"/>
      <c r="P115" s="130"/>
      <c r="R115" s="57"/>
      <c r="S115" s="46"/>
      <c r="T115" s="115"/>
      <c r="U115" s="120"/>
      <c r="V115" s="115"/>
      <c r="W115" s="120"/>
      <c r="X115" s="57"/>
      <c r="Y115" s="46"/>
      <c r="Z115" s="57"/>
      <c r="AA115" s="46"/>
      <c r="AD115" s="115"/>
      <c r="AE115" s="120"/>
      <c r="AF115" s="115"/>
      <c r="AG115" s="120"/>
      <c r="AH115" s="128"/>
      <c r="AJ115" s="115"/>
      <c r="AM115" s="64"/>
      <c r="AO115" s="46"/>
      <c r="AQ115" s="67"/>
      <c r="AT115" s="46"/>
      <c r="BC115" s="48"/>
      <c r="BF115" s="46"/>
      <c r="BL115" s="121"/>
      <c r="BM115" s="122"/>
      <c r="BN115" s="123"/>
      <c r="BO115" s="123"/>
      <c r="BP115" s="123"/>
      <c r="BQ115" s="123"/>
      <c r="BR115" s="122"/>
      <c r="BS115" s="124"/>
      <c r="BT115" s="124"/>
      <c r="BU115" s="124"/>
      <c r="BV115" s="125"/>
      <c r="BW115" s="82"/>
      <c r="CD115" s="262"/>
    </row>
    <row r="116" spans="2:86" x14ac:dyDescent="0.8">
      <c r="F116" s="114"/>
      <c r="H116" s="114"/>
      <c r="J116" s="115"/>
      <c r="K116" s="62"/>
      <c r="L116" s="117"/>
      <c r="M116" s="118"/>
      <c r="N116" s="116"/>
      <c r="P116" s="130"/>
      <c r="R116" s="57"/>
      <c r="S116" s="46"/>
      <c r="T116" s="138"/>
      <c r="U116" s="120"/>
      <c r="V116" s="115"/>
      <c r="W116" s="120"/>
      <c r="X116" s="129"/>
      <c r="Y116" s="120"/>
      <c r="AD116" s="115"/>
      <c r="AE116" s="120"/>
      <c r="AF116" s="115"/>
      <c r="AG116" s="120"/>
      <c r="AJ116" s="115"/>
      <c r="AK116" s="120"/>
      <c r="AL116" s="68"/>
      <c r="AQ116" s="67"/>
      <c r="AT116" s="46"/>
      <c r="AY116" s="57"/>
      <c r="AZ116" s="64"/>
      <c r="BA116" s="46"/>
      <c r="BB116" s="46"/>
      <c r="BC116" s="48"/>
      <c r="BF116" s="46"/>
      <c r="BL116" s="121"/>
      <c r="BM116" s="122"/>
      <c r="BN116" s="123"/>
      <c r="BO116" s="123"/>
      <c r="BP116" s="123"/>
      <c r="BQ116" s="123"/>
      <c r="BR116" s="122"/>
      <c r="BS116" s="124"/>
      <c r="BT116" s="124"/>
      <c r="BU116" s="124"/>
      <c r="BV116" s="125"/>
      <c r="BW116" s="82"/>
      <c r="CD116" s="262"/>
      <c r="CH116" s="265"/>
    </row>
    <row r="117" spans="2:86" x14ac:dyDescent="0.8">
      <c r="F117" s="127"/>
      <c r="H117" s="127"/>
      <c r="J117" s="128"/>
      <c r="K117" s="62"/>
      <c r="L117" s="117"/>
      <c r="M117" s="118"/>
      <c r="N117" s="130"/>
      <c r="P117" s="130"/>
      <c r="R117" s="57"/>
      <c r="S117" s="46"/>
      <c r="T117" s="119"/>
      <c r="U117" s="120"/>
      <c r="V117" s="128"/>
      <c r="W117" s="120"/>
      <c r="X117" s="129"/>
      <c r="Y117" s="120"/>
      <c r="AD117" s="128"/>
      <c r="AE117" s="120"/>
      <c r="AJ117" s="128"/>
      <c r="AK117" s="120"/>
      <c r="AL117" s="68"/>
      <c r="AQ117" s="67"/>
      <c r="AT117" s="46"/>
      <c r="AY117" s="57"/>
      <c r="AZ117" s="64"/>
      <c r="BA117" s="46"/>
      <c r="BB117" s="46"/>
      <c r="BC117" s="48"/>
      <c r="BF117" s="46"/>
      <c r="BL117" s="121"/>
      <c r="BM117" s="122"/>
      <c r="BN117" s="123"/>
      <c r="BO117" s="123"/>
      <c r="BP117" s="123"/>
      <c r="BQ117" s="123"/>
      <c r="BR117" s="122"/>
      <c r="BS117" s="124"/>
      <c r="BT117" s="124"/>
      <c r="BU117" s="124"/>
      <c r="BV117" s="125"/>
      <c r="BW117" s="82"/>
      <c r="CD117" s="262"/>
      <c r="CH117" s="265"/>
    </row>
    <row r="118" spans="2:86" x14ac:dyDescent="0.8">
      <c r="F118" s="114"/>
      <c r="H118" s="114"/>
      <c r="J118" s="115"/>
      <c r="K118" s="62"/>
      <c r="N118" s="116"/>
      <c r="P118" s="130"/>
      <c r="R118" s="57"/>
      <c r="S118" s="46"/>
      <c r="T118" s="115"/>
      <c r="U118" s="120"/>
      <c r="V118" s="115"/>
      <c r="W118" s="120"/>
      <c r="X118" s="57"/>
      <c r="Y118" s="46"/>
      <c r="Z118" s="57"/>
      <c r="AA118" s="46"/>
      <c r="AD118" s="128"/>
      <c r="AE118" s="120"/>
      <c r="AJ118" s="115"/>
      <c r="AK118" s="120"/>
      <c r="AM118" s="64"/>
      <c r="AO118" s="46"/>
      <c r="AQ118" s="67"/>
      <c r="AT118" s="46"/>
      <c r="BC118" s="48"/>
      <c r="BF118" s="46"/>
      <c r="BL118" s="121"/>
      <c r="BM118" s="122"/>
      <c r="BN118" s="123"/>
      <c r="BO118" s="123"/>
      <c r="BP118" s="123"/>
      <c r="BQ118" s="123"/>
      <c r="BR118" s="122"/>
      <c r="BS118" s="124"/>
      <c r="BT118" s="124"/>
      <c r="BU118" s="124"/>
      <c r="BV118" s="125"/>
      <c r="BW118" s="82"/>
      <c r="CD118" s="262"/>
      <c r="CH118" s="265"/>
    </row>
    <row r="119" spans="2:86" x14ac:dyDescent="0.8">
      <c r="F119" s="114"/>
      <c r="H119" s="127"/>
      <c r="J119" s="115"/>
      <c r="K119" s="62"/>
      <c r="L119" s="117"/>
      <c r="M119" s="118"/>
      <c r="N119" s="116"/>
      <c r="P119" s="130"/>
      <c r="R119" s="57"/>
      <c r="S119" s="46"/>
      <c r="T119" s="119"/>
      <c r="U119" s="120"/>
      <c r="V119" s="128"/>
      <c r="W119" s="120"/>
      <c r="X119" s="129"/>
      <c r="Y119" s="120"/>
      <c r="AF119" s="115"/>
      <c r="AG119" s="120"/>
      <c r="AJ119" s="115"/>
      <c r="AK119" s="120"/>
      <c r="AL119" s="69"/>
      <c r="AN119" s="70"/>
      <c r="AQ119" s="67"/>
      <c r="AT119" s="46"/>
      <c r="AY119" s="57"/>
      <c r="AZ119" s="64"/>
      <c r="BA119" s="46"/>
      <c r="BB119" s="46"/>
      <c r="BC119" s="48"/>
      <c r="BF119" s="46"/>
      <c r="BL119" s="121"/>
      <c r="BM119" s="122"/>
      <c r="BN119" s="123"/>
      <c r="BO119" s="123"/>
      <c r="BP119" s="123"/>
      <c r="BQ119" s="123"/>
      <c r="BR119" s="122"/>
      <c r="BS119" s="124"/>
      <c r="BT119" s="124"/>
      <c r="BU119" s="124"/>
      <c r="BV119" s="125"/>
      <c r="BW119" s="82"/>
      <c r="CD119" s="262"/>
      <c r="CH119" s="265"/>
    </row>
    <row r="120" spans="2:86" x14ac:dyDescent="0.8">
      <c r="F120" s="114"/>
      <c r="H120" s="127"/>
      <c r="J120" s="115"/>
      <c r="K120" s="62"/>
      <c r="L120" s="117"/>
      <c r="M120" s="118"/>
      <c r="N120" s="116"/>
      <c r="P120" s="130"/>
      <c r="R120" s="57"/>
      <c r="S120" s="46"/>
      <c r="T120" s="119"/>
      <c r="U120" s="120"/>
      <c r="V120" s="128"/>
      <c r="W120" s="120"/>
      <c r="X120" s="129"/>
      <c r="Y120" s="120"/>
      <c r="AD120" s="128"/>
      <c r="AE120" s="120"/>
      <c r="AF120" s="115"/>
      <c r="AG120" s="120"/>
      <c r="AL120" s="69"/>
      <c r="AN120" s="70"/>
      <c r="AQ120" s="67"/>
      <c r="AT120" s="46"/>
      <c r="AY120" s="57"/>
      <c r="AZ120" s="64"/>
      <c r="BA120" s="46"/>
      <c r="BB120" s="46"/>
      <c r="BC120" s="48"/>
      <c r="BF120" s="46"/>
      <c r="BL120" s="121"/>
      <c r="BM120" s="122"/>
      <c r="BN120" s="123"/>
      <c r="BO120" s="123"/>
      <c r="BP120" s="123"/>
      <c r="BQ120" s="123"/>
      <c r="BR120" s="122"/>
      <c r="BS120" s="124"/>
      <c r="BT120" s="124"/>
      <c r="BU120" s="124"/>
      <c r="BV120" s="125"/>
      <c r="BW120" s="82"/>
      <c r="CD120" s="262"/>
      <c r="CH120" s="265"/>
    </row>
    <row r="121" spans="2:86" x14ac:dyDescent="0.8">
      <c r="F121" s="127"/>
      <c r="H121" s="127"/>
      <c r="J121" s="115"/>
      <c r="K121" s="62"/>
      <c r="L121" s="117"/>
      <c r="M121" s="118"/>
      <c r="N121" s="116"/>
      <c r="P121" s="130"/>
      <c r="R121" s="57"/>
      <c r="S121" s="46"/>
      <c r="T121" s="119"/>
      <c r="U121" s="120"/>
      <c r="V121" s="128"/>
      <c r="W121" s="120"/>
      <c r="X121" s="129"/>
      <c r="Y121" s="120"/>
      <c r="AD121" s="128"/>
      <c r="AE121" s="120"/>
      <c r="AF121" s="115"/>
      <c r="AG121" s="120"/>
      <c r="AL121" s="68"/>
      <c r="AQ121" s="67"/>
      <c r="AT121" s="46"/>
      <c r="AY121" s="57"/>
      <c r="AZ121" s="64"/>
      <c r="BA121" s="46"/>
      <c r="BB121" s="46"/>
      <c r="BC121" s="48"/>
      <c r="BF121" s="46"/>
      <c r="BL121" s="121"/>
      <c r="BM121" s="122"/>
      <c r="BN121" s="123"/>
      <c r="BO121" s="123"/>
      <c r="BP121" s="123"/>
      <c r="BQ121" s="123"/>
      <c r="BR121" s="122"/>
      <c r="BS121" s="124"/>
      <c r="BT121" s="124"/>
      <c r="BU121" s="124"/>
      <c r="BV121" s="125"/>
      <c r="BW121" s="82"/>
      <c r="CD121" s="262"/>
      <c r="CH121" s="265"/>
    </row>
    <row r="122" spans="2:86" x14ac:dyDescent="0.8">
      <c r="F122" s="114"/>
      <c r="H122" s="114"/>
      <c r="J122" s="115"/>
      <c r="L122" s="117"/>
      <c r="M122" s="118"/>
      <c r="N122" s="116"/>
      <c r="P122" s="91"/>
      <c r="R122" s="57"/>
      <c r="S122" s="150"/>
      <c r="T122" s="140"/>
      <c r="U122" s="139"/>
      <c r="V122" s="128"/>
      <c r="W122" s="139"/>
      <c r="X122" s="129"/>
      <c r="Y122" s="120"/>
      <c r="AE122" s="144"/>
      <c r="AF122" s="115"/>
      <c r="AG122" s="120"/>
      <c r="AJ122" s="140"/>
      <c r="AN122" s="70"/>
      <c r="AQ122" s="67"/>
      <c r="AT122" s="46"/>
      <c r="AY122" s="57"/>
      <c r="AZ122" s="64"/>
      <c r="BA122" s="46"/>
      <c r="BB122" s="46"/>
      <c r="BC122" s="48"/>
      <c r="BF122" s="46"/>
      <c r="BL122" s="121"/>
      <c r="BM122" s="122"/>
      <c r="BN122" s="123"/>
      <c r="BO122" s="123"/>
      <c r="BP122" s="123"/>
      <c r="BQ122" s="123"/>
      <c r="BR122" s="122"/>
      <c r="BS122" s="124"/>
      <c r="BT122" s="124"/>
      <c r="BU122" s="124"/>
      <c r="BV122" s="125"/>
      <c r="BW122" s="82"/>
      <c r="CD122" s="262"/>
      <c r="CH122" s="265"/>
    </row>
    <row r="123" spans="2:86" x14ac:dyDescent="0.8">
      <c r="E123" s="86"/>
      <c r="F123" s="127"/>
      <c r="H123" s="130"/>
      <c r="I123" s="86"/>
      <c r="J123" s="115"/>
      <c r="L123" s="117"/>
      <c r="M123" s="118"/>
      <c r="P123" s="91"/>
      <c r="R123" s="57"/>
      <c r="S123" s="150"/>
      <c r="T123" s="140"/>
      <c r="U123" s="139"/>
      <c r="V123" s="128"/>
      <c r="W123" s="139"/>
      <c r="X123" s="129"/>
      <c r="Y123" s="120"/>
      <c r="AE123" s="144"/>
      <c r="AG123" s="120"/>
      <c r="AJ123" s="140"/>
      <c r="AL123" s="69"/>
      <c r="AN123" s="70"/>
      <c r="AQ123" s="67"/>
      <c r="AT123" s="46"/>
      <c r="AY123" s="57"/>
      <c r="AZ123" s="64"/>
      <c r="BA123" s="46"/>
      <c r="BB123" s="46"/>
      <c r="BC123" s="48"/>
      <c r="BF123" s="46"/>
      <c r="BL123" s="121"/>
      <c r="BM123" s="122"/>
      <c r="BN123" s="123"/>
      <c r="BO123" s="123"/>
      <c r="BP123" s="123"/>
      <c r="BQ123" s="123"/>
      <c r="BR123" s="122"/>
      <c r="BS123" s="124"/>
      <c r="BT123" s="124"/>
      <c r="BU123" s="124"/>
      <c r="BV123" s="125"/>
      <c r="BW123" s="82"/>
      <c r="CD123" s="262"/>
      <c r="CH123" s="265"/>
    </row>
    <row r="124" spans="2:86" x14ac:dyDescent="0.8">
      <c r="E124" s="86"/>
      <c r="F124" s="127"/>
      <c r="H124" s="130"/>
      <c r="I124" s="86"/>
      <c r="J124" s="128"/>
      <c r="L124" s="117"/>
      <c r="M124" s="118"/>
      <c r="N124" s="130"/>
      <c r="P124" s="91"/>
      <c r="R124" s="57"/>
      <c r="S124" s="150"/>
      <c r="T124" s="140"/>
      <c r="U124" s="120"/>
      <c r="V124" s="138"/>
      <c r="W124" s="120"/>
      <c r="X124" s="135"/>
      <c r="Y124" s="139"/>
      <c r="AA124" s="136"/>
      <c r="AD124" s="140"/>
      <c r="AF124" s="115"/>
      <c r="AG124" s="120"/>
      <c r="AJ124" s="140"/>
      <c r="AL124" s="68"/>
      <c r="AQ124" s="67"/>
      <c r="AT124" s="46"/>
      <c r="AY124" s="57"/>
      <c r="AZ124" s="64"/>
      <c r="BA124" s="46"/>
      <c r="BB124" s="46"/>
      <c r="BC124" s="48"/>
      <c r="BF124" s="46"/>
      <c r="BL124" s="121"/>
      <c r="BM124" s="122"/>
      <c r="BN124" s="123"/>
      <c r="BO124" s="123"/>
      <c r="BP124" s="123"/>
      <c r="BQ124" s="123"/>
      <c r="BR124" s="122"/>
      <c r="BS124" s="124"/>
      <c r="BT124" s="124"/>
      <c r="BU124" s="124"/>
      <c r="BV124" s="125"/>
      <c r="BW124" s="82"/>
      <c r="CD124" s="262"/>
      <c r="CH124" s="265"/>
    </row>
    <row r="125" spans="2:86" x14ac:dyDescent="0.8">
      <c r="E125" s="86"/>
      <c r="F125" s="127"/>
      <c r="H125" s="91"/>
      <c r="I125" s="86"/>
      <c r="J125" s="115"/>
      <c r="N125" s="116"/>
      <c r="P125" s="91"/>
      <c r="R125" s="57"/>
      <c r="S125" s="150"/>
      <c r="T125" s="115"/>
      <c r="U125" s="120"/>
      <c r="V125" s="115"/>
      <c r="W125" s="120"/>
      <c r="X125" s="57"/>
      <c r="Y125" s="46"/>
      <c r="Z125" s="57"/>
      <c r="AA125" s="46"/>
      <c r="AF125" s="115"/>
      <c r="AG125" s="120"/>
      <c r="AN125" s="70"/>
      <c r="AQ125" s="67"/>
      <c r="AT125" s="46"/>
      <c r="BC125" s="48"/>
      <c r="BF125" s="46"/>
      <c r="BL125" s="121"/>
      <c r="BM125" s="122"/>
      <c r="BN125" s="123"/>
      <c r="BO125" s="123"/>
      <c r="BP125" s="123"/>
      <c r="BQ125" s="123"/>
      <c r="BR125" s="122"/>
      <c r="BS125" s="124"/>
      <c r="BT125" s="124"/>
      <c r="BU125" s="124"/>
      <c r="BV125" s="125"/>
      <c r="BW125" s="82"/>
      <c r="CD125" s="262"/>
      <c r="CH125" s="265"/>
    </row>
    <row r="126" spans="2:86" x14ac:dyDescent="0.8">
      <c r="E126" s="86"/>
      <c r="F126" s="114"/>
      <c r="H126" s="130"/>
      <c r="I126" s="86"/>
      <c r="J126" s="128"/>
      <c r="L126" s="117"/>
      <c r="M126" s="118"/>
      <c r="N126" s="130"/>
      <c r="P126" s="91"/>
      <c r="R126" s="57"/>
      <c r="S126" s="150"/>
      <c r="T126" s="140"/>
      <c r="U126" s="120"/>
      <c r="V126" s="128"/>
      <c r="W126" s="120"/>
      <c r="X126" s="129"/>
      <c r="Y126" s="120"/>
      <c r="AF126" s="115"/>
      <c r="AG126" s="120"/>
      <c r="AL126" s="69"/>
      <c r="AN126" s="70"/>
      <c r="AQ126" s="67"/>
      <c r="AT126" s="46"/>
      <c r="AY126" s="57"/>
      <c r="AZ126" s="64"/>
      <c r="BA126" s="46"/>
      <c r="BB126" s="46"/>
      <c r="BC126" s="48"/>
      <c r="BF126" s="46"/>
      <c r="BL126" s="121"/>
      <c r="BM126" s="122"/>
      <c r="BN126" s="123"/>
      <c r="BO126" s="123"/>
      <c r="BP126" s="123"/>
      <c r="BQ126" s="123"/>
      <c r="BR126" s="122"/>
      <c r="BS126" s="124"/>
      <c r="BT126" s="124"/>
      <c r="BU126" s="124"/>
      <c r="BV126" s="125"/>
      <c r="BW126" s="82"/>
      <c r="CD126" s="262"/>
      <c r="CH126" s="265"/>
    </row>
    <row r="127" spans="2:86" x14ac:dyDescent="0.8">
      <c r="B127" s="46"/>
      <c r="F127" s="70"/>
      <c r="G127" s="86"/>
      <c r="H127" s="91"/>
      <c r="I127" s="86"/>
      <c r="L127" s="117"/>
      <c r="M127" s="118"/>
      <c r="R127" s="57"/>
      <c r="S127" s="150"/>
      <c r="U127" s="139"/>
      <c r="W127" s="139"/>
      <c r="X127" s="143"/>
      <c r="AA127" s="46"/>
      <c r="AG127" s="144"/>
      <c r="AQ127" s="67"/>
      <c r="AT127" s="46"/>
      <c r="AY127" s="57"/>
      <c r="AZ127" s="64"/>
      <c r="BA127" s="46"/>
      <c r="BB127" s="46"/>
      <c r="BC127" s="48"/>
      <c r="BF127" s="46"/>
      <c r="BL127" s="121"/>
      <c r="BM127" s="122"/>
      <c r="BN127" s="123"/>
      <c r="BO127" s="123"/>
      <c r="BP127" s="123"/>
      <c r="BQ127" s="123"/>
      <c r="BR127" s="122"/>
      <c r="BS127" s="124"/>
      <c r="BT127" s="124"/>
      <c r="BU127" s="124"/>
      <c r="BV127" s="125"/>
      <c r="BW127" s="82"/>
      <c r="CD127" s="262"/>
      <c r="CH127" s="265"/>
    </row>
    <row r="128" spans="2:86" x14ac:dyDescent="0.8">
      <c r="F128" s="127"/>
      <c r="H128" s="127"/>
      <c r="J128" s="128"/>
      <c r="K128" s="62"/>
      <c r="L128" s="117"/>
      <c r="M128" s="118"/>
      <c r="N128" s="130"/>
      <c r="P128" s="130"/>
      <c r="R128" s="57"/>
      <c r="S128" s="46"/>
      <c r="T128" s="119"/>
      <c r="U128" s="120"/>
      <c r="V128" s="128"/>
      <c r="W128" s="120"/>
      <c r="X128" s="129"/>
      <c r="Y128" s="120"/>
      <c r="AA128" s="136"/>
      <c r="AG128" s="144"/>
      <c r="AL128" s="69"/>
      <c r="AN128" s="70"/>
      <c r="AQ128" s="67"/>
      <c r="AT128" s="46"/>
      <c r="AY128" s="57"/>
      <c r="AZ128" s="64"/>
      <c r="BA128" s="46"/>
      <c r="BB128" s="46"/>
      <c r="BC128" s="48"/>
      <c r="BF128" s="46"/>
      <c r="BL128" s="121"/>
      <c r="BM128" s="122"/>
      <c r="BN128" s="123"/>
      <c r="BO128" s="123"/>
      <c r="BP128" s="123"/>
      <c r="BQ128" s="123"/>
      <c r="BR128" s="122"/>
      <c r="BS128" s="124"/>
      <c r="BT128" s="124"/>
      <c r="BU128" s="124"/>
      <c r="BV128" s="125"/>
      <c r="BW128" s="82"/>
      <c r="CD128" s="262"/>
      <c r="CH128" s="265"/>
    </row>
    <row r="129" spans="5:86" x14ac:dyDescent="0.8">
      <c r="F129" s="127"/>
      <c r="H129" s="114"/>
      <c r="J129" s="128"/>
      <c r="K129" s="62"/>
      <c r="L129" s="117"/>
      <c r="M129" s="118"/>
      <c r="N129" s="130"/>
      <c r="P129" s="130"/>
      <c r="R129" s="57"/>
      <c r="S129" s="46"/>
      <c r="T129" s="119"/>
      <c r="U129" s="120"/>
      <c r="V129" s="128"/>
      <c r="W129" s="120"/>
      <c r="X129" s="143"/>
      <c r="AA129" s="136"/>
      <c r="AG129" s="144"/>
      <c r="AQ129" s="67"/>
      <c r="AT129" s="46"/>
      <c r="AY129" s="57"/>
      <c r="AZ129" s="64"/>
      <c r="BA129" s="46"/>
      <c r="BB129" s="46"/>
      <c r="BC129" s="48"/>
      <c r="BF129" s="46"/>
      <c r="BL129" s="121"/>
      <c r="BM129" s="122"/>
      <c r="BN129" s="123"/>
      <c r="BO129" s="123"/>
      <c r="BP129" s="123"/>
      <c r="BQ129" s="123"/>
      <c r="BR129" s="122"/>
      <c r="BS129" s="124"/>
      <c r="BT129" s="124"/>
      <c r="BU129" s="124"/>
      <c r="BV129" s="125"/>
      <c r="BW129" s="82"/>
      <c r="CD129" s="262"/>
      <c r="CH129" s="265"/>
    </row>
    <row r="130" spans="5:86" x14ac:dyDescent="0.8">
      <c r="F130" s="127"/>
      <c r="H130" s="127"/>
      <c r="J130" s="128"/>
      <c r="K130" s="62"/>
      <c r="L130" s="117"/>
      <c r="M130" s="118"/>
      <c r="N130" s="130"/>
      <c r="P130" s="130"/>
      <c r="R130" s="57"/>
      <c r="S130" s="46"/>
      <c r="T130" s="119"/>
      <c r="U130" s="120"/>
      <c r="V130" s="128"/>
      <c r="W130" s="120"/>
      <c r="X130" s="129"/>
      <c r="Y130" s="120"/>
      <c r="AD130" s="128"/>
      <c r="AE130" s="120"/>
      <c r="AH130" s="128"/>
      <c r="AJ130" s="128"/>
      <c r="AK130" s="120"/>
      <c r="AL130" s="68"/>
      <c r="AQ130" s="67"/>
      <c r="AT130" s="46"/>
      <c r="AY130" s="57"/>
      <c r="AZ130" s="64"/>
      <c r="BA130" s="46"/>
      <c r="BB130" s="46"/>
      <c r="BC130" s="48"/>
      <c r="BF130" s="46"/>
      <c r="BL130" s="121"/>
      <c r="BM130" s="122"/>
      <c r="BN130" s="123"/>
      <c r="BO130" s="123"/>
      <c r="BP130" s="123"/>
      <c r="BQ130" s="123"/>
      <c r="BR130" s="122"/>
      <c r="BS130" s="124"/>
      <c r="BT130" s="124"/>
      <c r="BU130" s="124"/>
      <c r="BV130" s="125"/>
      <c r="BW130" s="82"/>
      <c r="CD130" s="262"/>
    </row>
    <row r="131" spans="5:86" x14ac:dyDescent="0.8">
      <c r="F131" s="114"/>
      <c r="H131" s="127"/>
      <c r="J131" s="128"/>
      <c r="K131" s="62"/>
      <c r="N131" s="130"/>
      <c r="P131" s="130"/>
      <c r="R131" s="57"/>
      <c r="S131" s="46"/>
      <c r="T131" s="128"/>
      <c r="U131" s="120"/>
      <c r="V131" s="128"/>
      <c r="W131" s="120"/>
      <c r="AD131" s="115"/>
      <c r="AE131" s="120"/>
      <c r="AN131" s="70"/>
      <c r="AQ131" s="67"/>
      <c r="AT131" s="46"/>
      <c r="AY131" s="57"/>
      <c r="AZ131" s="64"/>
      <c r="BA131" s="46"/>
      <c r="BB131" s="46"/>
      <c r="BC131" s="48"/>
      <c r="BF131" s="46"/>
      <c r="BL131" s="121"/>
      <c r="BM131" s="122"/>
      <c r="BN131" s="123"/>
      <c r="BO131" s="123"/>
      <c r="BP131" s="123"/>
      <c r="BQ131" s="123"/>
      <c r="BR131" s="122"/>
      <c r="BS131" s="124"/>
      <c r="BT131" s="124"/>
      <c r="BU131" s="124"/>
      <c r="BV131" s="125"/>
      <c r="BW131" s="82"/>
      <c r="CD131" s="262"/>
    </row>
    <row r="132" spans="5:86" x14ac:dyDescent="0.8">
      <c r="F132" s="127"/>
      <c r="H132" s="114"/>
      <c r="J132" s="128"/>
      <c r="K132" s="62"/>
      <c r="N132" s="130"/>
      <c r="P132" s="130"/>
      <c r="R132" s="57"/>
      <c r="S132" s="46"/>
      <c r="T132" s="128"/>
      <c r="U132" s="120"/>
      <c r="V132" s="128"/>
      <c r="W132" s="120"/>
      <c r="AD132" s="128"/>
      <c r="AE132" s="120"/>
      <c r="AJ132" s="128"/>
      <c r="AK132" s="120"/>
      <c r="AQ132" s="67"/>
      <c r="AT132" s="46"/>
      <c r="AY132" s="57"/>
      <c r="AZ132" s="64"/>
      <c r="BA132" s="46"/>
      <c r="BB132" s="46"/>
      <c r="BC132" s="48"/>
      <c r="BF132" s="46"/>
      <c r="BL132" s="121"/>
      <c r="BM132" s="122"/>
      <c r="BN132" s="123"/>
      <c r="BO132" s="123"/>
      <c r="BP132" s="123"/>
      <c r="BQ132" s="123"/>
      <c r="BR132" s="122"/>
      <c r="BS132" s="124"/>
      <c r="BT132" s="124"/>
      <c r="BU132" s="124"/>
      <c r="BV132" s="125"/>
      <c r="BW132" s="82"/>
      <c r="CD132" s="262"/>
      <c r="CH132" s="265"/>
    </row>
    <row r="133" spans="5:86" x14ac:dyDescent="0.8">
      <c r="F133" s="127"/>
      <c r="H133" s="114"/>
      <c r="J133" s="142"/>
      <c r="K133" s="62"/>
      <c r="N133" s="91"/>
      <c r="O133" s="58"/>
      <c r="P133" s="130"/>
      <c r="Q133" s="59"/>
      <c r="R133" s="57"/>
      <c r="S133" s="46"/>
      <c r="T133" s="151"/>
      <c r="U133" s="120"/>
      <c r="V133" s="151"/>
      <c r="W133" s="120"/>
      <c r="X133" s="135"/>
      <c r="Y133" s="136"/>
      <c r="AA133" s="136"/>
      <c r="AD133" s="151"/>
      <c r="AE133" s="120"/>
      <c r="AF133" s="71"/>
      <c r="AH133" s="71"/>
      <c r="AJ133" s="143"/>
      <c r="AN133" s="70"/>
      <c r="AP133" s="137"/>
      <c r="AQ133" s="67"/>
      <c r="AT133" s="46"/>
      <c r="BB133" s="46"/>
      <c r="BC133" s="48"/>
      <c r="BF133" s="46"/>
      <c r="BL133" s="121"/>
      <c r="BM133" s="122"/>
      <c r="BN133" s="123"/>
      <c r="BO133" s="123"/>
      <c r="BP133" s="123"/>
      <c r="BQ133" s="123"/>
      <c r="BR133" s="122"/>
      <c r="BS133" s="124"/>
      <c r="BT133" s="124"/>
      <c r="BU133" s="124"/>
      <c r="BV133" s="125"/>
      <c r="BW133" s="82"/>
      <c r="CD133" s="262"/>
      <c r="CH133" s="265"/>
    </row>
    <row r="134" spans="5:86" x14ac:dyDescent="0.8">
      <c r="F134" s="114"/>
      <c r="H134" s="127"/>
      <c r="J134" s="115"/>
      <c r="K134" s="62"/>
      <c r="N134" s="116"/>
      <c r="P134" s="130"/>
      <c r="R134" s="57"/>
      <c r="S134" s="46"/>
      <c r="T134" s="115"/>
      <c r="U134" s="120"/>
      <c r="V134" s="115"/>
      <c r="W134" s="120"/>
      <c r="X134" s="57"/>
      <c r="Y134" s="46"/>
      <c r="Z134" s="57"/>
      <c r="AA134" s="46"/>
      <c r="AD134" s="115"/>
      <c r="AE134" s="120"/>
      <c r="AG134" s="120"/>
      <c r="AJ134" s="115"/>
      <c r="AK134" s="120"/>
      <c r="AM134" s="64"/>
      <c r="AO134" s="46"/>
      <c r="AQ134" s="67"/>
      <c r="AT134" s="46"/>
      <c r="BC134" s="48"/>
      <c r="BF134" s="46"/>
      <c r="BL134" s="121"/>
      <c r="BM134" s="122"/>
      <c r="BN134" s="123"/>
      <c r="BO134" s="123"/>
      <c r="BP134" s="123"/>
      <c r="BQ134" s="123"/>
      <c r="BR134" s="122"/>
      <c r="BS134" s="124"/>
      <c r="BT134" s="124"/>
      <c r="BU134" s="124"/>
      <c r="BV134" s="125"/>
      <c r="BW134" s="82"/>
      <c r="CD134" s="262"/>
      <c r="CH134" s="265"/>
    </row>
    <row r="135" spans="5:86" x14ac:dyDescent="0.8">
      <c r="F135" s="127"/>
      <c r="H135" s="114"/>
      <c r="J135" s="115"/>
      <c r="K135" s="62"/>
      <c r="N135" s="116"/>
      <c r="P135" s="130"/>
      <c r="R135" s="57"/>
      <c r="S135" s="46"/>
      <c r="T135" s="115"/>
      <c r="U135" s="120"/>
      <c r="V135" s="128"/>
      <c r="W135" s="120"/>
      <c r="X135" s="57"/>
      <c r="Y135" s="46"/>
      <c r="Z135" s="57"/>
      <c r="AA135" s="46"/>
      <c r="AD135" s="128"/>
      <c r="AE135" s="120"/>
      <c r="AF135" s="115"/>
      <c r="AG135" s="120"/>
      <c r="AJ135" s="128"/>
      <c r="AK135" s="120"/>
      <c r="AL135" s="69"/>
      <c r="AN135" s="70"/>
      <c r="AQ135" s="67"/>
      <c r="AT135" s="46"/>
      <c r="BC135" s="48"/>
      <c r="BF135" s="46"/>
      <c r="BL135" s="121"/>
      <c r="BM135" s="122"/>
      <c r="BN135" s="123"/>
      <c r="BO135" s="123"/>
      <c r="BP135" s="123"/>
      <c r="BQ135" s="123"/>
      <c r="BR135" s="122"/>
      <c r="BS135" s="124"/>
      <c r="BT135" s="124"/>
      <c r="BU135" s="124"/>
      <c r="BV135" s="125"/>
      <c r="BW135" s="82"/>
      <c r="CD135" s="262"/>
      <c r="CH135" s="265"/>
    </row>
    <row r="136" spans="5:86" x14ac:dyDescent="0.8">
      <c r="F136" s="114"/>
      <c r="H136" s="114"/>
      <c r="J136" s="115"/>
      <c r="K136" s="62"/>
      <c r="N136" s="116"/>
      <c r="P136" s="130"/>
      <c r="R136" s="57"/>
      <c r="S136" s="46"/>
      <c r="T136" s="115"/>
      <c r="U136" s="120"/>
      <c r="V136" s="115"/>
      <c r="W136" s="120"/>
      <c r="X136" s="57"/>
      <c r="Y136" s="46"/>
      <c r="Z136" s="57"/>
      <c r="AA136" s="46"/>
      <c r="AD136" s="115"/>
      <c r="AE136" s="120"/>
      <c r="AF136" s="115"/>
      <c r="AG136" s="120"/>
      <c r="AM136" s="64"/>
      <c r="AO136" s="46"/>
      <c r="AQ136" s="67"/>
      <c r="AT136" s="46"/>
      <c r="BC136" s="48"/>
      <c r="BF136" s="46"/>
      <c r="BL136" s="121"/>
      <c r="BM136" s="122"/>
      <c r="BN136" s="123"/>
      <c r="BO136" s="123"/>
      <c r="BP136" s="123"/>
      <c r="BQ136" s="123"/>
      <c r="BR136" s="122"/>
      <c r="BS136" s="124"/>
      <c r="BT136" s="124"/>
      <c r="BU136" s="124"/>
      <c r="BV136" s="125"/>
      <c r="BW136" s="82"/>
      <c r="CD136" s="262"/>
      <c r="CH136" s="265"/>
    </row>
    <row r="137" spans="5:86" x14ac:dyDescent="0.8">
      <c r="F137" s="127"/>
      <c r="H137" s="127"/>
      <c r="J137" s="115"/>
      <c r="K137" s="62"/>
      <c r="L137" s="117"/>
      <c r="M137" s="118"/>
      <c r="N137" s="116"/>
      <c r="P137" s="130"/>
      <c r="R137" s="57"/>
      <c r="S137" s="46"/>
      <c r="T137" s="138"/>
      <c r="U137" s="120"/>
      <c r="V137" s="115"/>
      <c r="W137" s="120"/>
      <c r="X137" s="129"/>
      <c r="Y137" s="120"/>
      <c r="AF137" s="115"/>
      <c r="AG137" s="120"/>
      <c r="AL137" s="68"/>
      <c r="AQ137" s="67"/>
      <c r="AT137" s="46"/>
      <c r="AY137" s="57"/>
      <c r="AZ137" s="64"/>
      <c r="BA137" s="46"/>
      <c r="BB137" s="46"/>
      <c r="BC137" s="48"/>
      <c r="BF137" s="46"/>
      <c r="BL137" s="121"/>
      <c r="BM137" s="122"/>
      <c r="BN137" s="123"/>
      <c r="BO137" s="123"/>
      <c r="BP137" s="123"/>
      <c r="BQ137" s="123"/>
      <c r="BR137" s="122"/>
      <c r="BS137" s="124"/>
      <c r="BT137" s="124"/>
      <c r="BU137" s="124"/>
      <c r="BV137" s="125"/>
      <c r="BW137" s="82"/>
      <c r="CD137" s="262"/>
      <c r="CH137" s="265"/>
    </row>
    <row r="138" spans="5:86" x14ac:dyDescent="0.8">
      <c r="F138" s="127"/>
      <c r="H138" s="114"/>
      <c r="J138" s="128"/>
      <c r="K138" s="62"/>
      <c r="L138" s="117"/>
      <c r="M138" s="118"/>
      <c r="N138" s="130"/>
      <c r="P138" s="130"/>
      <c r="R138" s="57"/>
      <c r="S138" s="46"/>
      <c r="T138" s="119"/>
      <c r="U138" s="120"/>
      <c r="V138" s="128"/>
      <c r="W138" s="120"/>
      <c r="X138" s="129"/>
      <c r="Y138" s="120"/>
      <c r="AD138" s="128"/>
      <c r="AE138" s="120"/>
      <c r="AL138" s="68"/>
      <c r="AQ138" s="67"/>
      <c r="AT138" s="46"/>
      <c r="AY138" s="57"/>
      <c r="AZ138" s="64"/>
      <c r="BA138" s="46"/>
      <c r="BB138" s="46"/>
      <c r="BC138" s="48"/>
      <c r="BF138" s="46"/>
      <c r="BL138" s="121"/>
      <c r="BM138" s="122"/>
      <c r="BN138" s="123"/>
      <c r="BO138" s="123"/>
      <c r="BP138" s="123"/>
      <c r="BQ138" s="123"/>
      <c r="BR138" s="122"/>
      <c r="BS138" s="124"/>
      <c r="BT138" s="124"/>
      <c r="BU138" s="124"/>
      <c r="BV138" s="125"/>
      <c r="BW138" s="82"/>
      <c r="CD138" s="262"/>
      <c r="CH138" s="265"/>
    </row>
    <row r="139" spans="5:86" x14ac:dyDescent="0.8">
      <c r="F139" s="114"/>
      <c r="H139" s="114"/>
      <c r="J139" s="115"/>
      <c r="K139" s="62"/>
      <c r="N139" s="130"/>
      <c r="P139" s="130"/>
      <c r="R139" s="57"/>
      <c r="S139" s="46"/>
      <c r="T139" s="115"/>
      <c r="U139" s="120"/>
      <c r="V139" s="115"/>
      <c r="W139" s="120"/>
      <c r="X139" s="57"/>
      <c r="Y139" s="46"/>
      <c r="Z139" s="57"/>
      <c r="AA139" s="46"/>
      <c r="AD139" s="115"/>
      <c r="AE139" s="120"/>
      <c r="AH139" s="115"/>
      <c r="AJ139" s="128"/>
      <c r="AK139" s="120"/>
      <c r="AM139" s="64"/>
      <c r="AO139" s="46"/>
      <c r="AQ139" s="67"/>
      <c r="AT139" s="46"/>
      <c r="BC139" s="48"/>
      <c r="BF139" s="46"/>
      <c r="BL139" s="121"/>
      <c r="BM139" s="122"/>
      <c r="BN139" s="123"/>
      <c r="BO139" s="123"/>
      <c r="BP139" s="123"/>
      <c r="BQ139" s="123"/>
      <c r="BR139" s="122"/>
      <c r="BS139" s="124"/>
      <c r="BT139" s="124"/>
      <c r="BU139" s="124"/>
      <c r="BV139" s="125"/>
      <c r="BW139" s="82"/>
      <c r="CD139" s="262"/>
      <c r="CH139" s="265"/>
    </row>
    <row r="140" spans="5:86" x14ac:dyDescent="0.8">
      <c r="F140" s="114"/>
      <c r="H140" s="114"/>
      <c r="J140" s="115"/>
      <c r="K140" s="62"/>
      <c r="L140" s="117"/>
      <c r="M140" s="118"/>
      <c r="N140" s="116"/>
      <c r="P140" s="130"/>
      <c r="R140" s="57"/>
      <c r="S140" s="46"/>
      <c r="T140" s="138"/>
      <c r="U140" s="120"/>
      <c r="V140" s="128"/>
      <c r="W140" s="120"/>
      <c r="X140" s="129"/>
      <c r="Y140" s="120"/>
      <c r="AF140" s="115"/>
      <c r="AG140" s="120"/>
      <c r="AJ140" s="115"/>
      <c r="AK140" s="120"/>
      <c r="AL140" s="69"/>
      <c r="AN140" s="70"/>
      <c r="AQ140" s="67"/>
      <c r="AT140" s="46"/>
      <c r="AY140" s="57"/>
      <c r="AZ140" s="64"/>
      <c r="BA140" s="46"/>
      <c r="BB140" s="46"/>
      <c r="BC140" s="48"/>
      <c r="BF140" s="46"/>
      <c r="BL140" s="121"/>
      <c r="BM140" s="122"/>
      <c r="BN140" s="123"/>
      <c r="BO140" s="123"/>
      <c r="BP140" s="123"/>
      <c r="BQ140" s="123"/>
      <c r="BR140" s="122"/>
      <c r="BS140" s="124"/>
      <c r="BT140" s="124"/>
      <c r="BU140" s="124"/>
      <c r="BV140" s="125"/>
      <c r="BW140" s="82"/>
      <c r="CD140" s="262"/>
      <c r="CH140" s="265"/>
    </row>
    <row r="141" spans="5:86" x14ac:dyDescent="0.8">
      <c r="F141" s="114"/>
      <c r="H141" s="127"/>
      <c r="J141" s="115"/>
      <c r="K141" s="62"/>
      <c r="L141" s="117"/>
      <c r="M141" s="118"/>
      <c r="N141" s="116"/>
      <c r="P141" s="130"/>
      <c r="R141" s="57"/>
      <c r="S141" s="46"/>
      <c r="T141" s="119"/>
      <c r="U141" s="120"/>
      <c r="V141" s="128"/>
      <c r="W141" s="120"/>
      <c r="X141" s="129"/>
      <c r="Y141" s="120"/>
      <c r="AD141" s="115"/>
      <c r="AE141" s="120"/>
      <c r="AF141" s="115"/>
      <c r="AG141" s="120"/>
      <c r="AL141" s="69"/>
      <c r="AN141" s="70"/>
      <c r="AQ141" s="67"/>
      <c r="AT141" s="46"/>
      <c r="AY141" s="57"/>
      <c r="AZ141" s="64"/>
      <c r="BA141" s="46"/>
      <c r="BB141" s="46"/>
      <c r="BC141" s="48"/>
      <c r="BF141" s="46"/>
      <c r="BL141" s="121"/>
      <c r="BM141" s="122"/>
      <c r="BN141" s="123"/>
      <c r="BO141" s="123"/>
      <c r="BP141" s="123"/>
      <c r="BQ141" s="123"/>
      <c r="BR141" s="122"/>
      <c r="BS141" s="124"/>
      <c r="BT141" s="124"/>
      <c r="BU141" s="124"/>
      <c r="BV141" s="125"/>
      <c r="BW141" s="82"/>
      <c r="CD141" s="262"/>
      <c r="CH141" s="265"/>
    </row>
    <row r="142" spans="5:86" x14ac:dyDescent="0.8">
      <c r="F142" s="127"/>
      <c r="H142" s="127"/>
      <c r="J142" s="115"/>
      <c r="K142" s="62"/>
      <c r="L142" s="117"/>
      <c r="M142" s="118"/>
      <c r="N142" s="116"/>
      <c r="P142" s="130"/>
      <c r="R142" s="57"/>
      <c r="S142" s="46"/>
      <c r="T142" s="138"/>
      <c r="U142" s="120"/>
      <c r="V142" s="128"/>
      <c r="W142" s="120"/>
      <c r="X142" s="129"/>
      <c r="Y142" s="120"/>
      <c r="AF142" s="115"/>
      <c r="AG142" s="120"/>
      <c r="AH142" s="140"/>
      <c r="AJ142" s="140"/>
      <c r="AL142" s="68"/>
      <c r="AQ142" s="67"/>
      <c r="AT142" s="46"/>
      <c r="AY142" s="57"/>
      <c r="AZ142" s="64"/>
      <c r="BA142" s="46"/>
      <c r="BB142" s="46"/>
      <c r="BC142" s="48"/>
      <c r="BF142" s="46"/>
      <c r="BL142" s="121"/>
      <c r="BM142" s="122"/>
      <c r="BN142" s="123"/>
      <c r="BO142" s="123"/>
      <c r="BP142" s="123"/>
      <c r="BQ142" s="123"/>
      <c r="BR142" s="122"/>
      <c r="BS142" s="124"/>
      <c r="BT142" s="124"/>
      <c r="BU142" s="124"/>
      <c r="BV142" s="125"/>
      <c r="BW142" s="82"/>
      <c r="CD142" s="262"/>
      <c r="CH142" s="265"/>
    </row>
    <row r="143" spans="5:86" x14ac:dyDescent="0.8">
      <c r="F143" s="114"/>
      <c r="H143" s="114"/>
      <c r="J143" s="115"/>
      <c r="L143" s="117"/>
      <c r="M143" s="118"/>
      <c r="N143" s="116"/>
      <c r="P143" s="91"/>
      <c r="R143" s="57"/>
      <c r="S143" s="150"/>
      <c r="T143" s="140"/>
      <c r="U143" s="139"/>
      <c r="V143" s="128"/>
      <c r="W143" s="139"/>
      <c r="X143" s="129"/>
      <c r="Y143" s="120"/>
      <c r="AE143" s="144"/>
      <c r="AF143" s="115"/>
      <c r="AG143" s="120"/>
      <c r="AJ143" s="140"/>
      <c r="AN143" s="70"/>
      <c r="AQ143" s="67"/>
      <c r="AT143" s="46"/>
      <c r="AY143" s="57"/>
      <c r="AZ143" s="64"/>
      <c r="BA143" s="46"/>
      <c r="BB143" s="46"/>
      <c r="BC143" s="48"/>
      <c r="BF143" s="46"/>
      <c r="BL143" s="121"/>
      <c r="BM143" s="122"/>
      <c r="BN143" s="123"/>
      <c r="BO143" s="123"/>
      <c r="BP143" s="123"/>
      <c r="BQ143" s="123"/>
      <c r="BR143" s="122"/>
      <c r="BS143" s="124"/>
      <c r="BT143" s="124"/>
      <c r="BU143" s="124"/>
      <c r="BV143" s="125"/>
      <c r="BW143" s="82"/>
      <c r="CD143" s="262"/>
      <c r="CH143" s="265"/>
    </row>
    <row r="144" spans="5:86" x14ac:dyDescent="0.8">
      <c r="E144" s="86"/>
      <c r="F144" s="114"/>
      <c r="H144" s="130"/>
      <c r="I144" s="86"/>
      <c r="J144" s="115"/>
      <c r="L144" s="117"/>
      <c r="M144" s="118"/>
      <c r="P144" s="91"/>
      <c r="R144" s="57"/>
      <c r="S144" s="150"/>
      <c r="T144" s="140"/>
      <c r="U144" s="139"/>
      <c r="V144" s="128"/>
      <c r="W144" s="139"/>
      <c r="X144" s="129"/>
      <c r="Y144" s="120"/>
      <c r="AE144" s="144"/>
      <c r="AG144" s="120"/>
      <c r="AL144" s="69"/>
      <c r="AN144" s="70"/>
      <c r="AQ144" s="67"/>
      <c r="AT144" s="46"/>
      <c r="AY144" s="57"/>
      <c r="AZ144" s="64"/>
      <c r="BA144" s="46"/>
      <c r="BB144" s="46"/>
      <c r="BC144" s="48"/>
      <c r="BF144" s="46"/>
      <c r="BL144" s="121"/>
      <c r="BM144" s="122"/>
      <c r="BN144" s="123"/>
      <c r="BO144" s="123"/>
      <c r="BP144" s="123"/>
      <c r="BQ144" s="123"/>
      <c r="BR144" s="122"/>
      <c r="BS144" s="124"/>
      <c r="BT144" s="124"/>
      <c r="BU144" s="124"/>
      <c r="BV144" s="125"/>
      <c r="BW144" s="82"/>
      <c r="CD144" s="262"/>
    </row>
    <row r="145" spans="2:86" x14ac:dyDescent="0.8">
      <c r="E145" s="86"/>
      <c r="F145" s="114"/>
      <c r="H145" s="130"/>
      <c r="I145" s="86"/>
      <c r="J145" s="128"/>
      <c r="L145" s="117"/>
      <c r="M145" s="118"/>
      <c r="N145" s="130"/>
      <c r="P145" s="91"/>
      <c r="R145" s="57"/>
      <c r="S145" s="150"/>
      <c r="T145" s="140"/>
      <c r="U145" s="120"/>
      <c r="V145" s="138"/>
      <c r="W145" s="120"/>
      <c r="X145" s="135"/>
      <c r="Y145" s="139"/>
      <c r="AA145" s="136"/>
      <c r="AD145" s="140"/>
      <c r="AF145" s="115"/>
      <c r="AG145" s="120"/>
      <c r="AJ145" s="140"/>
      <c r="AL145" s="68"/>
      <c r="AQ145" s="67"/>
      <c r="AT145" s="46"/>
      <c r="AY145" s="57"/>
      <c r="AZ145" s="64"/>
      <c r="BA145" s="46"/>
      <c r="BB145" s="46"/>
      <c r="BC145" s="48"/>
      <c r="BF145" s="46"/>
      <c r="BL145" s="121"/>
      <c r="BM145" s="122"/>
      <c r="BN145" s="123"/>
      <c r="BO145" s="123"/>
      <c r="BP145" s="123"/>
      <c r="BQ145" s="123"/>
      <c r="BR145" s="122"/>
      <c r="BS145" s="124"/>
      <c r="BT145" s="124"/>
      <c r="BU145" s="124"/>
      <c r="BV145" s="125"/>
      <c r="BW145" s="82"/>
      <c r="CD145" s="262"/>
    </row>
    <row r="146" spans="2:86" x14ac:dyDescent="0.8">
      <c r="E146" s="86"/>
      <c r="F146" s="127"/>
      <c r="H146" s="91"/>
      <c r="I146" s="86"/>
      <c r="J146" s="115"/>
      <c r="N146" s="116"/>
      <c r="P146" s="91"/>
      <c r="R146" s="57"/>
      <c r="S146" s="150"/>
      <c r="T146" s="115"/>
      <c r="U146" s="120"/>
      <c r="V146" s="115"/>
      <c r="W146" s="120"/>
      <c r="X146" s="57"/>
      <c r="Y146" s="46"/>
      <c r="Z146" s="57"/>
      <c r="AA146" s="46"/>
      <c r="AF146" s="115"/>
      <c r="AG146" s="120"/>
      <c r="AN146" s="70"/>
      <c r="AQ146" s="67"/>
      <c r="AT146" s="46"/>
      <c r="BC146" s="48"/>
      <c r="BF146" s="46"/>
      <c r="BL146" s="121"/>
      <c r="BM146" s="122"/>
      <c r="BN146" s="123"/>
      <c r="BO146" s="123"/>
      <c r="BP146" s="123"/>
      <c r="BQ146" s="123"/>
      <c r="BR146" s="122"/>
      <c r="BS146" s="124"/>
      <c r="BT146" s="124"/>
      <c r="BU146" s="124"/>
      <c r="BV146" s="125"/>
      <c r="BW146" s="82"/>
      <c r="CD146" s="262"/>
    </row>
    <row r="147" spans="2:86" x14ac:dyDescent="0.8">
      <c r="B147" s="46"/>
      <c r="F147" s="70"/>
      <c r="G147" s="86"/>
      <c r="H147" s="91"/>
      <c r="I147" s="86"/>
      <c r="R147" s="57"/>
      <c r="S147" s="150"/>
      <c r="U147" s="139"/>
      <c r="W147" s="120"/>
      <c r="X147" s="140"/>
      <c r="Y147" s="46"/>
      <c r="Z147" s="57"/>
      <c r="AA147" s="144"/>
      <c r="AG147" s="144"/>
      <c r="AI147" s="144"/>
      <c r="AM147" s="64"/>
      <c r="AO147" s="46"/>
      <c r="AQ147" s="67"/>
      <c r="AT147" s="46"/>
      <c r="BC147" s="48"/>
      <c r="BF147" s="46"/>
      <c r="BL147" s="121"/>
      <c r="BM147" s="122"/>
      <c r="BN147" s="123"/>
      <c r="BO147" s="123"/>
      <c r="BP147" s="123"/>
      <c r="BQ147" s="123"/>
      <c r="BR147" s="122"/>
      <c r="BS147" s="124"/>
      <c r="BT147" s="124"/>
      <c r="BU147" s="124"/>
      <c r="BV147" s="125"/>
      <c r="BW147" s="82"/>
      <c r="CD147" s="262"/>
    </row>
    <row r="148" spans="2:86" x14ac:dyDescent="0.8">
      <c r="B148" s="46"/>
      <c r="F148" s="70"/>
      <c r="G148" s="86"/>
      <c r="H148" s="91"/>
      <c r="I148" s="86"/>
      <c r="L148" s="117"/>
      <c r="M148" s="118"/>
      <c r="R148" s="57"/>
      <c r="S148" s="150"/>
      <c r="T148" s="140"/>
      <c r="U148" s="120"/>
      <c r="W148" s="120"/>
      <c r="X148" s="129"/>
      <c r="Y148" s="120"/>
      <c r="AL148" s="69"/>
      <c r="AN148" s="70"/>
      <c r="AQ148" s="67"/>
      <c r="AT148" s="46"/>
      <c r="AY148" s="57"/>
      <c r="AZ148" s="64"/>
      <c r="BA148" s="46"/>
      <c r="BB148" s="46"/>
      <c r="BC148" s="48"/>
      <c r="BF148" s="46"/>
      <c r="BL148" s="121"/>
      <c r="BM148" s="122"/>
      <c r="BN148" s="123"/>
      <c r="BO148" s="123"/>
      <c r="BP148" s="123"/>
      <c r="BQ148" s="123"/>
      <c r="BR148" s="122"/>
      <c r="BS148" s="124"/>
      <c r="BT148" s="124"/>
      <c r="BU148" s="124"/>
      <c r="BV148" s="125"/>
      <c r="BW148" s="82"/>
      <c r="CD148" s="262"/>
    </row>
    <row r="149" spans="2:86" x14ac:dyDescent="0.8">
      <c r="F149" s="114"/>
      <c r="H149" s="127"/>
      <c r="J149" s="128"/>
      <c r="K149" s="62"/>
      <c r="L149" s="117"/>
      <c r="M149" s="118"/>
      <c r="N149" s="130"/>
      <c r="P149" s="130"/>
      <c r="R149" s="57"/>
      <c r="S149" s="46"/>
      <c r="T149" s="138"/>
      <c r="U149" s="120"/>
      <c r="V149" s="115"/>
      <c r="W149" s="120"/>
      <c r="X149" s="129"/>
      <c r="Y149" s="120"/>
      <c r="AA149" s="136"/>
      <c r="AG149" s="144"/>
      <c r="AL149" s="69"/>
      <c r="AN149" s="70"/>
      <c r="AQ149" s="67"/>
      <c r="AT149" s="46"/>
      <c r="AY149" s="57"/>
      <c r="AZ149" s="64"/>
      <c r="BA149" s="46"/>
      <c r="BB149" s="46"/>
      <c r="BC149" s="48"/>
      <c r="BF149" s="46"/>
      <c r="BL149" s="121"/>
      <c r="BM149" s="122"/>
      <c r="BN149" s="123"/>
      <c r="BO149" s="123"/>
      <c r="BP149" s="123"/>
      <c r="BQ149" s="123"/>
      <c r="BR149" s="122"/>
      <c r="BS149" s="124"/>
      <c r="BT149" s="124"/>
      <c r="BU149" s="124"/>
      <c r="BV149" s="125"/>
      <c r="BW149" s="82"/>
      <c r="CD149" s="262"/>
    </row>
    <row r="150" spans="2:86" x14ac:dyDescent="0.8">
      <c r="F150" s="114"/>
      <c r="H150" s="114"/>
      <c r="J150" s="115"/>
      <c r="K150" s="62"/>
      <c r="L150" s="117"/>
      <c r="M150" s="118"/>
      <c r="N150" s="130"/>
      <c r="P150" s="130"/>
      <c r="R150" s="57"/>
      <c r="S150" s="46"/>
      <c r="T150" s="138"/>
      <c r="U150" s="120"/>
      <c r="V150" s="115"/>
      <c r="W150" s="120"/>
      <c r="X150" s="143"/>
      <c r="AA150" s="136"/>
      <c r="AG150" s="144"/>
      <c r="AQ150" s="67"/>
      <c r="AT150" s="46"/>
      <c r="AY150" s="57"/>
      <c r="AZ150" s="64"/>
      <c r="BA150" s="46"/>
      <c r="BB150" s="46"/>
      <c r="BC150" s="48"/>
      <c r="BF150" s="46"/>
      <c r="BL150" s="121"/>
      <c r="BM150" s="122"/>
      <c r="BN150" s="123"/>
      <c r="BO150" s="123"/>
      <c r="BP150" s="123"/>
      <c r="BQ150" s="123"/>
      <c r="BR150" s="122"/>
      <c r="BS150" s="124"/>
      <c r="BT150" s="124"/>
      <c r="BU150" s="124"/>
      <c r="BV150" s="125"/>
      <c r="BW150" s="82"/>
      <c r="CD150" s="262"/>
      <c r="CH150" s="265"/>
    </row>
    <row r="151" spans="2:86" x14ac:dyDescent="0.8">
      <c r="F151" s="127"/>
      <c r="H151" s="114"/>
      <c r="J151" s="128"/>
      <c r="K151" s="62"/>
      <c r="L151" s="117"/>
      <c r="M151" s="118"/>
      <c r="N151" s="130"/>
      <c r="P151" s="130"/>
      <c r="R151" s="57"/>
      <c r="S151" s="46"/>
      <c r="T151" s="119"/>
      <c r="U151" s="120"/>
      <c r="V151" s="128"/>
      <c r="W151" s="120"/>
      <c r="X151" s="129"/>
      <c r="Y151" s="120"/>
      <c r="AL151" s="68"/>
      <c r="AQ151" s="67"/>
      <c r="AT151" s="46"/>
      <c r="AY151" s="57"/>
      <c r="AZ151" s="64"/>
      <c r="BA151" s="46"/>
      <c r="BB151" s="46"/>
      <c r="BC151" s="48"/>
      <c r="BF151" s="46"/>
      <c r="BL151" s="121"/>
      <c r="BM151" s="122"/>
      <c r="BN151" s="123"/>
      <c r="BO151" s="123"/>
      <c r="BP151" s="123"/>
      <c r="BQ151" s="123"/>
      <c r="BR151" s="122"/>
      <c r="BS151" s="124"/>
      <c r="BT151" s="124"/>
      <c r="BU151" s="124"/>
      <c r="BV151" s="125"/>
      <c r="BW151" s="82"/>
      <c r="CD151" s="262"/>
      <c r="CH151" s="265"/>
    </row>
    <row r="152" spans="2:86" x14ac:dyDescent="0.8">
      <c r="F152" s="127"/>
      <c r="H152" s="127"/>
      <c r="J152" s="128"/>
      <c r="K152" s="62"/>
      <c r="N152" s="130"/>
      <c r="P152" s="130"/>
      <c r="R152" s="57"/>
      <c r="S152" s="46"/>
      <c r="T152" s="128"/>
      <c r="U152" s="120"/>
      <c r="V152" s="128"/>
      <c r="W152" s="120"/>
      <c r="AN152" s="70"/>
      <c r="AQ152" s="67"/>
      <c r="AT152" s="46"/>
      <c r="AY152" s="57"/>
      <c r="AZ152" s="64"/>
      <c r="BA152" s="46"/>
      <c r="BB152" s="46"/>
      <c r="BC152" s="48"/>
      <c r="BF152" s="46"/>
      <c r="BL152" s="121"/>
      <c r="BM152" s="122"/>
      <c r="BN152" s="123"/>
      <c r="BO152" s="123"/>
      <c r="BP152" s="123"/>
      <c r="BQ152" s="123"/>
      <c r="BR152" s="122"/>
      <c r="BS152" s="124"/>
      <c r="BT152" s="124"/>
      <c r="BU152" s="124"/>
      <c r="BV152" s="125"/>
      <c r="BW152" s="82"/>
      <c r="CD152" s="262"/>
      <c r="CH152" s="265"/>
    </row>
    <row r="153" spans="2:86" x14ac:dyDescent="0.8">
      <c r="F153" s="114"/>
      <c r="H153" s="127"/>
      <c r="J153" s="115"/>
      <c r="K153" s="62"/>
      <c r="N153" s="130"/>
      <c r="P153" s="130"/>
      <c r="R153" s="57"/>
      <c r="S153" s="46"/>
      <c r="T153" s="128"/>
      <c r="U153" s="120"/>
      <c r="V153" s="128"/>
      <c r="W153" s="120"/>
      <c r="AQ153" s="67"/>
      <c r="AT153" s="46"/>
      <c r="AY153" s="57"/>
      <c r="AZ153" s="64"/>
      <c r="BA153" s="46"/>
      <c r="BB153" s="46"/>
      <c r="BC153" s="48"/>
      <c r="BF153" s="46"/>
      <c r="BL153" s="121"/>
      <c r="BM153" s="122"/>
      <c r="BN153" s="123"/>
      <c r="BO153" s="123"/>
      <c r="BP153" s="123"/>
      <c r="BQ153" s="123"/>
      <c r="BR153" s="122"/>
      <c r="BS153" s="124"/>
      <c r="BT153" s="124"/>
      <c r="BU153" s="124"/>
      <c r="BV153" s="125"/>
      <c r="BW153" s="82"/>
      <c r="CD153" s="262"/>
      <c r="CH153" s="265"/>
    </row>
    <row r="154" spans="2:86" x14ac:dyDescent="0.8">
      <c r="F154" s="127"/>
      <c r="H154" s="127"/>
      <c r="J154" s="142"/>
      <c r="K154" s="62"/>
      <c r="N154" s="91"/>
      <c r="O154" s="58"/>
      <c r="P154" s="130"/>
      <c r="Q154" s="59"/>
      <c r="R154" s="57"/>
      <c r="S154" s="46"/>
      <c r="T154" s="151"/>
      <c r="U154" s="120"/>
      <c r="V154" s="151"/>
      <c r="W154" s="120"/>
      <c r="X154" s="135"/>
      <c r="Y154" s="136"/>
      <c r="AA154" s="136"/>
      <c r="AD154" s="143"/>
      <c r="AF154" s="71"/>
      <c r="AH154" s="71"/>
      <c r="AJ154" s="143"/>
      <c r="AN154" s="70"/>
      <c r="AP154" s="137"/>
      <c r="AQ154" s="67"/>
      <c r="AT154" s="46"/>
      <c r="BB154" s="46"/>
      <c r="BC154" s="48"/>
      <c r="BF154" s="46"/>
      <c r="BL154" s="121"/>
      <c r="BM154" s="122"/>
      <c r="BN154" s="123"/>
      <c r="BO154" s="123"/>
      <c r="BP154" s="123"/>
      <c r="BQ154" s="123"/>
      <c r="BR154" s="122"/>
      <c r="BS154" s="124"/>
      <c r="BT154" s="124"/>
      <c r="BU154" s="124"/>
      <c r="BV154" s="125"/>
      <c r="BW154" s="82"/>
      <c r="CD154" s="262"/>
      <c r="CH154" s="265"/>
    </row>
    <row r="155" spans="2:86" x14ac:dyDescent="0.8">
      <c r="F155" s="127"/>
      <c r="H155" s="127"/>
      <c r="J155" s="115"/>
      <c r="K155" s="62"/>
      <c r="N155" s="116"/>
      <c r="P155" s="130"/>
      <c r="R155" s="57"/>
      <c r="S155" s="46"/>
      <c r="T155" s="115"/>
      <c r="U155" s="120"/>
      <c r="V155" s="115"/>
      <c r="W155" s="120"/>
      <c r="X155" s="57"/>
      <c r="Y155" s="46"/>
      <c r="Z155" s="57"/>
      <c r="AA155" s="46"/>
      <c r="AG155" s="120"/>
      <c r="AM155" s="64"/>
      <c r="AO155" s="46"/>
      <c r="AQ155" s="67"/>
      <c r="AT155" s="46"/>
      <c r="BC155" s="48"/>
      <c r="BF155" s="46"/>
      <c r="BL155" s="121"/>
      <c r="BM155" s="122"/>
      <c r="BN155" s="123"/>
      <c r="BO155" s="123"/>
      <c r="BP155" s="123"/>
      <c r="BQ155" s="123"/>
      <c r="BR155" s="122"/>
      <c r="BS155" s="124"/>
      <c r="BT155" s="124"/>
      <c r="BU155" s="124"/>
      <c r="BV155" s="125"/>
      <c r="BW155" s="82"/>
      <c r="CD155" s="262"/>
      <c r="CH155" s="265"/>
    </row>
    <row r="156" spans="2:86" x14ac:dyDescent="0.8">
      <c r="F156" s="127"/>
      <c r="H156" s="114"/>
      <c r="J156" s="115"/>
      <c r="K156" s="62"/>
      <c r="N156" s="116"/>
      <c r="P156" s="130"/>
      <c r="R156" s="57"/>
      <c r="S156" s="46"/>
      <c r="T156" s="115"/>
      <c r="U156" s="120"/>
      <c r="V156" s="128"/>
      <c r="W156" s="120"/>
      <c r="X156" s="57"/>
      <c r="Y156" s="46"/>
      <c r="Z156" s="57"/>
      <c r="AA156" s="46"/>
      <c r="AF156" s="115"/>
      <c r="AG156" s="120"/>
      <c r="AL156" s="69"/>
      <c r="AN156" s="70"/>
      <c r="AQ156" s="67"/>
      <c r="AT156" s="46"/>
      <c r="BC156" s="48"/>
      <c r="BF156" s="46"/>
      <c r="BL156" s="121"/>
      <c r="BM156" s="122"/>
      <c r="BN156" s="123"/>
      <c r="BO156" s="123"/>
      <c r="BP156" s="123"/>
      <c r="BQ156" s="123"/>
      <c r="BR156" s="122"/>
      <c r="BS156" s="124"/>
      <c r="BT156" s="124"/>
      <c r="BU156" s="124"/>
      <c r="BV156" s="125"/>
      <c r="BW156" s="82"/>
      <c r="CD156" s="262"/>
      <c r="CH156" s="265"/>
    </row>
    <row r="157" spans="2:86" x14ac:dyDescent="0.8">
      <c r="F157" s="114"/>
      <c r="H157" s="114"/>
      <c r="J157" s="115"/>
      <c r="K157" s="62"/>
      <c r="N157" s="116"/>
      <c r="P157" s="130"/>
      <c r="R157" s="57"/>
      <c r="S157" s="46"/>
      <c r="T157" s="115"/>
      <c r="U157" s="120"/>
      <c r="V157" s="115"/>
      <c r="W157" s="120"/>
      <c r="X157" s="57"/>
      <c r="Y157" s="46"/>
      <c r="Z157" s="57"/>
      <c r="AA157" s="46"/>
      <c r="AF157" s="115"/>
      <c r="AG157" s="120"/>
      <c r="AM157" s="64"/>
      <c r="AO157" s="46"/>
      <c r="AQ157" s="67"/>
      <c r="AT157" s="46"/>
      <c r="BC157" s="48"/>
      <c r="BF157" s="46"/>
      <c r="BL157" s="121"/>
      <c r="BM157" s="122"/>
      <c r="BN157" s="123"/>
      <c r="BO157" s="123"/>
      <c r="BP157" s="123"/>
      <c r="BQ157" s="123"/>
      <c r="BR157" s="122"/>
      <c r="BS157" s="124"/>
      <c r="BT157" s="124"/>
      <c r="BU157" s="124"/>
      <c r="BV157" s="125"/>
      <c r="BW157" s="82"/>
      <c r="CD157" s="262"/>
      <c r="CH157" s="265"/>
    </row>
    <row r="158" spans="2:86" x14ac:dyDescent="0.8">
      <c r="F158" s="114"/>
      <c r="H158" s="127"/>
      <c r="J158" s="115"/>
      <c r="K158" s="62"/>
      <c r="L158" s="117"/>
      <c r="M158" s="118"/>
      <c r="N158" s="116"/>
      <c r="P158" s="130"/>
      <c r="R158" s="57"/>
      <c r="S158" s="46"/>
      <c r="T158" s="138"/>
      <c r="U158" s="120"/>
      <c r="V158" s="115"/>
      <c r="W158" s="120"/>
      <c r="X158" s="129"/>
      <c r="Y158" s="120"/>
      <c r="AF158" s="115"/>
      <c r="AG158" s="120"/>
      <c r="AL158" s="68"/>
      <c r="AQ158" s="67"/>
      <c r="AT158" s="46"/>
      <c r="AY158" s="57"/>
      <c r="AZ158" s="64"/>
      <c r="BA158" s="46"/>
      <c r="BB158" s="46"/>
      <c r="BC158" s="48"/>
      <c r="BF158" s="46"/>
      <c r="BL158" s="121"/>
      <c r="BM158" s="122"/>
      <c r="BN158" s="123"/>
      <c r="BO158" s="123"/>
      <c r="BP158" s="123"/>
      <c r="BQ158" s="123"/>
      <c r="BR158" s="122"/>
      <c r="BS158" s="124"/>
      <c r="BT158" s="124"/>
      <c r="BU158" s="124"/>
      <c r="BV158" s="125"/>
      <c r="BW158" s="82"/>
      <c r="CD158" s="262"/>
      <c r="CH158" s="265"/>
    </row>
    <row r="159" spans="2:86" x14ac:dyDescent="0.8">
      <c r="F159" s="127"/>
      <c r="H159" s="114"/>
      <c r="J159" s="128"/>
      <c r="K159" s="62"/>
      <c r="L159" s="117"/>
      <c r="M159" s="118"/>
      <c r="N159" s="130"/>
      <c r="P159" s="130"/>
      <c r="R159" s="57"/>
      <c r="S159" s="46"/>
      <c r="T159" s="119"/>
      <c r="U159" s="120"/>
      <c r="V159" s="128"/>
      <c r="W159" s="120"/>
      <c r="X159" s="129"/>
      <c r="Y159" s="120"/>
      <c r="AL159" s="68"/>
      <c r="AQ159" s="67"/>
      <c r="AT159" s="46"/>
      <c r="AY159" s="57"/>
      <c r="AZ159" s="64"/>
      <c r="BA159" s="46"/>
      <c r="BB159" s="46"/>
      <c r="BC159" s="48"/>
      <c r="BF159" s="46"/>
      <c r="BL159" s="121"/>
      <c r="BM159" s="122"/>
      <c r="BN159" s="123"/>
      <c r="BO159" s="123"/>
      <c r="BP159" s="123"/>
      <c r="BQ159" s="123"/>
      <c r="BR159" s="122"/>
      <c r="BS159" s="124"/>
      <c r="BT159" s="124"/>
      <c r="BU159" s="124"/>
      <c r="BV159" s="125"/>
      <c r="BW159" s="82"/>
      <c r="CD159" s="262"/>
      <c r="CH159" s="265"/>
    </row>
    <row r="160" spans="2:86" x14ac:dyDescent="0.8">
      <c r="F160" s="114"/>
      <c r="H160" s="114"/>
      <c r="J160" s="115"/>
      <c r="K160" s="62"/>
      <c r="N160" s="116"/>
      <c r="P160" s="130"/>
      <c r="R160" s="57"/>
      <c r="S160" s="46"/>
      <c r="T160" s="115"/>
      <c r="U160" s="120"/>
      <c r="V160" s="115"/>
      <c r="W160" s="120"/>
      <c r="X160" s="57"/>
      <c r="Y160" s="46"/>
      <c r="Z160" s="57"/>
      <c r="AA160" s="46"/>
      <c r="AD160" s="153"/>
      <c r="AM160" s="64"/>
      <c r="AO160" s="46"/>
      <c r="AQ160" s="67"/>
      <c r="AT160" s="46"/>
      <c r="BC160" s="48"/>
      <c r="BF160" s="46"/>
      <c r="BL160" s="121"/>
      <c r="BM160" s="122"/>
      <c r="BN160" s="123"/>
      <c r="BO160" s="123"/>
      <c r="BP160" s="123"/>
      <c r="BQ160" s="123"/>
      <c r="BR160" s="122"/>
      <c r="BS160" s="124"/>
      <c r="BT160" s="124"/>
      <c r="BU160" s="124"/>
      <c r="BV160" s="125"/>
      <c r="BW160" s="82"/>
      <c r="CD160" s="262"/>
      <c r="CH160" s="265"/>
    </row>
    <row r="161" spans="2:86" x14ac:dyDescent="0.8">
      <c r="F161" s="127"/>
      <c r="H161" s="127"/>
      <c r="J161" s="115"/>
      <c r="K161" s="62"/>
      <c r="L161" s="117"/>
      <c r="M161" s="118"/>
      <c r="N161" s="116"/>
      <c r="P161" s="130"/>
      <c r="R161" s="57"/>
      <c r="S161" s="46"/>
      <c r="T161" s="119"/>
      <c r="U161" s="120"/>
      <c r="V161" s="128"/>
      <c r="W161" s="120"/>
      <c r="X161" s="129"/>
      <c r="Y161" s="120"/>
      <c r="AF161" s="115"/>
      <c r="AG161" s="120"/>
      <c r="AL161" s="69"/>
      <c r="AN161" s="70"/>
      <c r="AQ161" s="67"/>
      <c r="AT161" s="46"/>
      <c r="AY161" s="57"/>
      <c r="AZ161" s="64"/>
      <c r="BA161" s="46"/>
      <c r="BB161" s="46"/>
      <c r="BC161" s="48"/>
      <c r="BF161" s="46"/>
      <c r="BL161" s="121"/>
      <c r="BM161" s="122"/>
      <c r="BN161" s="123"/>
      <c r="BO161" s="123"/>
      <c r="BP161" s="123"/>
      <c r="BQ161" s="123"/>
      <c r="BR161" s="122"/>
      <c r="BS161" s="124"/>
      <c r="BT161" s="124"/>
      <c r="BU161" s="124"/>
      <c r="BV161" s="125"/>
      <c r="BW161" s="82"/>
      <c r="CD161" s="262"/>
      <c r="CH161" s="265"/>
    </row>
    <row r="162" spans="2:86" x14ac:dyDescent="0.8">
      <c r="F162" s="114"/>
      <c r="H162" s="114"/>
      <c r="J162" s="115"/>
      <c r="L162" s="117"/>
      <c r="M162" s="118"/>
      <c r="N162" s="116"/>
      <c r="P162" s="91"/>
      <c r="R162" s="57"/>
      <c r="S162" s="150"/>
      <c r="T162" s="140"/>
      <c r="U162" s="139"/>
      <c r="V162" s="128"/>
      <c r="W162" s="139"/>
      <c r="X162" s="129"/>
      <c r="Y162" s="120"/>
      <c r="AF162" s="115"/>
      <c r="AG162" s="120"/>
      <c r="AH162" s="140"/>
      <c r="AN162" s="70"/>
      <c r="AQ162" s="67"/>
      <c r="AT162" s="46"/>
      <c r="AY162" s="57"/>
      <c r="AZ162" s="64"/>
      <c r="BA162" s="46"/>
      <c r="BB162" s="46"/>
      <c r="BC162" s="48"/>
      <c r="BF162" s="46"/>
      <c r="BL162" s="121"/>
      <c r="BM162" s="122"/>
      <c r="BN162" s="123"/>
      <c r="BO162" s="123"/>
      <c r="BP162" s="123"/>
      <c r="BQ162" s="123"/>
      <c r="BR162" s="122"/>
      <c r="BS162" s="124"/>
      <c r="BT162" s="124"/>
      <c r="BU162" s="124"/>
      <c r="BV162" s="125"/>
      <c r="BW162" s="82"/>
      <c r="CD162" s="262"/>
    </row>
    <row r="163" spans="2:86" x14ac:dyDescent="0.8">
      <c r="E163" s="86"/>
      <c r="F163" s="127"/>
      <c r="H163" s="130"/>
      <c r="I163" s="86"/>
      <c r="J163" s="115"/>
      <c r="L163" s="117"/>
      <c r="M163" s="118"/>
      <c r="P163" s="91"/>
      <c r="R163" s="57"/>
      <c r="S163" s="150"/>
      <c r="T163" s="140"/>
      <c r="U163" s="139"/>
      <c r="V163" s="128"/>
      <c r="W163" s="139"/>
      <c r="X163" s="129"/>
      <c r="Y163" s="120"/>
      <c r="AG163" s="120"/>
      <c r="AL163" s="69"/>
      <c r="AN163" s="70"/>
      <c r="AQ163" s="67"/>
      <c r="AT163" s="46"/>
      <c r="AY163" s="57"/>
      <c r="AZ163" s="64"/>
      <c r="BA163" s="46"/>
      <c r="BB163" s="46"/>
      <c r="BC163" s="48"/>
      <c r="BF163" s="46"/>
      <c r="BL163" s="121"/>
      <c r="BM163" s="122"/>
      <c r="BN163" s="123"/>
      <c r="BO163" s="123"/>
      <c r="BP163" s="123"/>
      <c r="BQ163" s="123"/>
      <c r="BR163" s="122"/>
      <c r="BS163" s="124"/>
      <c r="BT163" s="124"/>
      <c r="BU163" s="124"/>
      <c r="BV163" s="125"/>
      <c r="BW163" s="82"/>
      <c r="CD163" s="262"/>
    </row>
    <row r="164" spans="2:86" x14ac:dyDescent="0.8">
      <c r="E164" s="86"/>
      <c r="F164" s="114"/>
      <c r="H164" s="130"/>
      <c r="I164" s="86"/>
      <c r="J164" s="128"/>
      <c r="L164" s="117"/>
      <c r="M164" s="118"/>
      <c r="N164" s="130"/>
      <c r="P164" s="91"/>
      <c r="R164" s="57"/>
      <c r="S164" s="150"/>
      <c r="T164" s="140"/>
      <c r="U164" s="120"/>
      <c r="V164" s="138"/>
      <c r="W164" s="120"/>
      <c r="X164" s="135"/>
      <c r="Y164" s="139"/>
      <c r="AA164" s="136"/>
      <c r="AD164" s="140"/>
      <c r="AF164" s="115"/>
      <c r="AG164" s="120"/>
      <c r="AJ164" s="140"/>
      <c r="AL164" s="68"/>
      <c r="AQ164" s="67"/>
      <c r="AT164" s="46"/>
      <c r="AY164" s="57"/>
      <c r="AZ164" s="64"/>
      <c r="BA164" s="46"/>
      <c r="BB164" s="46"/>
      <c r="BC164" s="48"/>
      <c r="BF164" s="46"/>
      <c r="BL164" s="121"/>
      <c r="BM164" s="122"/>
      <c r="BN164" s="123"/>
      <c r="BO164" s="123"/>
      <c r="BP164" s="123"/>
      <c r="BQ164" s="123"/>
      <c r="BR164" s="122"/>
      <c r="BS164" s="124"/>
      <c r="BT164" s="124"/>
      <c r="BU164" s="124"/>
      <c r="BV164" s="125"/>
      <c r="BW164" s="82"/>
      <c r="CD164" s="262"/>
    </row>
    <row r="165" spans="2:86" x14ac:dyDescent="0.8">
      <c r="E165" s="86"/>
      <c r="F165" s="114"/>
      <c r="H165" s="91"/>
      <c r="I165" s="86"/>
      <c r="J165" s="115"/>
      <c r="N165" s="116"/>
      <c r="P165" s="91"/>
      <c r="R165" s="57"/>
      <c r="S165" s="150"/>
      <c r="T165" s="115"/>
      <c r="U165" s="120"/>
      <c r="V165" s="115"/>
      <c r="W165" s="120"/>
      <c r="X165" s="57"/>
      <c r="Y165" s="46"/>
      <c r="Z165" s="57"/>
      <c r="AA165" s="46"/>
      <c r="AF165" s="115"/>
      <c r="AG165" s="120"/>
      <c r="AN165" s="70"/>
      <c r="AQ165" s="67"/>
      <c r="AT165" s="46"/>
      <c r="BC165" s="48"/>
      <c r="BF165" s="46"/>
      <c r="BL165" s="121"/>
      <c r="BM165" s="122"/>
      <c r="BN165" s="123"/>
      <c r="BO165" s="123"/>
      <c r="BP165" s="123"/>
      <c r="BQ165" s="123"/>
      <c r="BR165" s="122"/>
      <c r="BS165" s="124"/>
      <c r="BT165" s="124"/>
      <c r="BU165" s="124"/>
      <c r="BV165" s="125"/>
      <c r="BW165" s="82"/>
      <c r="CD165" s="262"/>
    </row>
    <row r="166" spans="2:86" x14ac:dyDescent="0.8">
      <c r="B166" s="46"/>
      <c r="F166" s="127"/>
      <c r="H166" s="91"/>
      <c r="I166" s="86"/>
      <c r="R166" s="57"/>
      <c r="S166" s="150"/>
      <c r="U166" s="139"/>
      <c r="W166" s="120"/>
      <c r="X166" s="140"/>
      <c r="Y166" s="46"/>
      <c r="Z166" s="57"/>
      <c r="AA166" s="144"/>
      <c r="AG166" s="144"/>
      <c r="AI166" s="144"/>
      <c r="AM166" s="64"/>
      <c r="AO166" s="46"/>
      <c r="AQ166" s="67"/>
      <c r="AT166" s="46"/>
      <c r="BC166" s="48"/>
      <c r="BF166" s="46"/>
      <c r="BL166" s="121"/>
      <c r="BM166" s="122"/>
      <c r="BN166" s="123"/>
      <c r="BO166" s="123"/>
      <c r="BP166" s="123"/>
      <c r="BQ166" s="123"/>
      <c r="BR166" s="122"/>
      <c r="BS166" s="124"/>
      <c r="BT166" s="124"/>
      <c r="BU166" s="124"/>
      <c r="BV166" s="125"/>
      <c r="BW166" s="82"/>
      <c r="CD166" s="262"/>
    </row>
    <row r="167" spans="2:86" x14ac:dyDescent="0.8">
      <c r="B167" s="46"/>
      <c r="F167" s="114"/>
      <c r="H167" s="91"/>
      <c r="I167" s="86"/>
      <c r="L167" s="117"/>
      <c r="M167" s="118"/>
      <c r="R167" s="57"/>
      <c r="S167" s="150"/>
      <c r="T167" s="140"/>
      <c r="U167" s="120"/>
      <c r="W167" s="120"/>
      <c r="X167" s="129"/>
      <c r="Y167" s="120"/>
      <c r="AL167" s="69"/>
      <c r="AN167" s="70"/>
      <c r="AQ167" s="67"/>
      <c r="AT167" s="46"/>
      <c r="AY167" s="57"/>
      <c r="AZ167" s="64"/>
      <c r="BA167" s="46"/>
      <c r="BB167" s="46"/>
      <c r="BC167" s="48"/>
      <c r="BF167" s="46"/>
      <c r="BL167" s="121"/>
      <c r="BM167" s="122"/>
      <c r="BN167" s="123"/>
      <c r="BO167" s="123"/>
      <c r="BP167" s="123"/>
      <c r="BQ167" s="123"/>
      <c r="BR167" s="122"/>
      <c r="BS167" s="124"/>
      <c r="BT167" s="124"/>
      <c r="BU167" s="124"/>
      <c r="BV167" s="125"/>
      <c r="BW167" s="82"/>
      <c r="CD167" s="262"/>
    </row>
    <row r="168" spans="2:86" x14ac:dyDescent="0.8">
      <c r="B168" s="46"/>
      <c r="F168" s="114"/>
      <c r="H168" s="91"/>
      <c r="I168" s="86"/>
      <c r="L168" s="117"/>
      <c r="M168" s="118"/>
      <c r="R168" s="57"/>
      <c r="S168" s="150"/>
      <c r="U168" s="120"/>
      <c r="W168" s="120"/>
      <c r="AQ168" s="67"/>
      <c r="AT168" s="46"/>
      <c r="AY168" s="57"/>
      <c r="AZ168" s="64"/>
      <c r="BA168" s="46"/>
      <c r="BB168" s="46"/>
      <c r="BC168" s="48"/>
      <c r="BF168" s="46"/>
      <c r="BL168" s="121"/>
      <c r="BM168" s="122"/>
      <c r="BN168" s="123"/>
      <c r="BO168" s="123"/>
      <c r="BP168" s="123"/>
      <c r="BQ168" s="123"/>
      <c r="BR168" s="122"/>
      <c r="BS168" s="124"/>
      <c r="BT168" s="124"/>
      <c r="BU168" s="124"/>
      <c r="BV168" s="125"/>
      <c r="BW168" s="82"/>
      <c r="CD168" s="262"/>
      <c r="CH168" s="265"/>
    </row>
    <row r="169" spans="2:86" x14ac:dyDescent="0.8">
      <c r="B169" s="46"/>
      <c r="F169" s="70"/>
      <c r="G169" s="86"/>
      <c r="H169" s="91"/>
      <c r="I169" s="86"/>
      <c r="L169" s="117"/>
      <c r="M169" s="118"/>
      <c r="R169" s="57"/>
      <c r="S169" s="150"/>
      <c r="U169" s="120"/>
      <c r="W169" s="120"/>
      <c r="AN169" s="70"/>
      <c r="AQ169" s="67"/>
      <c r="AT169" s="46"/>
      <c r="AY169" s="57"/>
      <c r="AZ169" s="64"/>
      <c r="BA169" s="46"/>
      <c r="BB169" s="46"/>
      <c r="BC169" s="48"/>
      <c r="BF169" s="46"/>
      <c r="BL169" s="121"/>
      <c r="BM169" s="122"/>
      <c r="BN169" s="123"/>
      <c r="BO169" s="123"/>
      <c r="BP169" s="123"/>
      <c r="BQ169" s="123"/>
      <c r="BR169" s="122"/>
      <c r="BS169" s="124"/>
      <c r="BT169" s="124"/>
      <c r="BU169" s="124"/>
      <c r="BV169" s="125"/>
      <c r="BW169" s="82"/>
      <c r="CD169" s="262"/>
      <c r="CH169" s="265"/>
    </row>
    <row r="170" spans="2:86" x14ac:dyDescent="0.8">
      <c r="E170" s="86"/>
      <c r="F170" s="130"/>
      <c r="G170" s="86"/>
      <c r="H170" s="91"/>
      <c r="I170" s="86"/>
      <c r="J170" s="115"/>
      <c r="L170" s="117"/>
      <c r="M170" s="118"/>
      <c r="N170" s="116"/>
      <c r="R170" s="57"/>
      <c r="S170" s="150"/>
      <c r="T170" s="115"/>
      <c r="U170" s="120"/>
      <c r="V170" s="115"/>
      <c r="W170" s="120"/>
      <c r="AN170" s="70"/>
      <c r="AQ170" s="67"/>
      <c r="AT170" s="46"/>
      <c r="AY170" s="57"/>
      <c r="AZ170" s="64"/>
      <c r="BA170" s="46"/>
      <c r="BB170" s="46"/>
      <c r="BC170" s="48"/>
      <c r="BF170" s="46"/>
      <c r="BL170" s="121"/>
      <c r="BM170" s="122"/>
      <c r="BN170" s="123"/>
      <c r="BO170" s="123"/>
      <c r="BP170" s="123"/>
      <c r="BQ170" s="123"/>
      <c r="BR170" s="122"/>
      <c r="BS170" s="124"/>
      <c r="BT170" s="124"/>
      <c r="BU170" s="124"/>
      <c r="BV170" s="125"/>
      <c r="BW170" s="82"/>
      <c r="CD170" s="262"/>
      <c r="CH170" s="265"/>
    </row>
    <row r="171" spans="2:86" x14ac:dyDescent="0.8">
      <c r="E171" s="86"/>
      <c r="F171" s="130"/>
      <c r="G171" s="86"/>
      <c r="H171" s="91"/>
      <c r="I171" s="86"/>
      <c r="J171" s="128"/>
      <c r="L171" s="117"/>
      <c r="M171" s="118"/>
      <c r="N171" s="116"/>
      <c r="P171" s="130"/>
      <c r="R171" s="57"/>
      <c r="S171" s="150"/>
      <c r="U171" s="120"/>
      <c r="W171" s="120"/>
      <c r="AL171" s="69"/>
      <c r="AN171" s="70"/>
      <c r="AQ171" s="67"/>
      <c r="AT171" s="46"/>
      <c r="AY171" s="57"/>
      <c r="AZ171" s="64"/>
      <c r="BA171" s="46"/>
      <c r="BB171" s="46"/>
      <c r="BC171" s="48"/>
      <c r="BF171" s="46"/>
      <c r="BL171" s="121"/>
      <c r="BM171" s="122"/>
      <c r="BN171" s="123"/>
      <c r="BO171" s="123"/>
      <c r="BP171" s="123"/>
      <c r="BQ171" s="123"/>
      <c r="BR171" s="122"/>
      <c r="BS171" s="124"/>
      <c r="BT171" s="124"/>
      <c r="BU171" s="124"/>
      <c r="BV171" s="125"/>
      <c r="BW171" s="82"/>
      <c r="CD171" s="262"/>
      <c r="CH171" s="265"/>
    </row>
    <row r="172" spans="2:86" x14ac:dyDescent="0.8">
      <c r="F172" s="114"/>
      <c r="H172" s="127"/>
      <c r="J172" s="115"/>
      <c r="K172" s="62"/>
      <c r="L172" s="117"/>
      <c r="M172" s="118"/>
      <c r="N172" s="116"/>
      <c r="P172" s="130"/>
      <c r="R172" s="57"/>
      <c r="S172" s="46"/>
      <c r="T172" s="138"/>
      <c r="U172" s="120"/>
      <c r="V172" s="115"/>
      <c r="W172" s="120"/>
      <c r="X172" s="129"/>
      <c r="Y172" s="120"/>
      <c r="AA172" s="136"/>
      <c r="AD172" s="115"/>
      <c r="AF172" s="115"/>
      <c r="AG172" s="144"/>
      <c r="AL172" s="69"/>
      <c r="AN172" s="70"/>
      <c r="AQ172" s="67"/>
      <c r="AT172" s="46"/>
      <c r="AY172" s="57"/>
      <c r="AZ172" s="64"/>
      <c r="BA172" s="46"/>
      <c r="BB172" s="46"/>
      <c r="BC172" s="48"/>
      <c r="BF172" s="46"/>
      <c r="BL172" s="121"/>
      <c r="BM172" s="122"/>
      <c r="BN172" s="123"/>
      <c r="BO172" s="123"/>
      <c r="BP172" s="123"/>
      <c r="BQ172" s="123"/>
      <c r="BR172" s="122"/>
      <c r="BS172" s="124"/>
      <c r="BT172" s="124"/>
      <c r="BU172" s="124"/>
      <c r="BV172" s="125"/>
      <c r="BW172" s="82"/>
      <c r="CD172" s="262"/>
      <c r="CH172" s="265"/>
    </row>
    <row r="173" spans="2:86" x14ac:dyDescent="0.8">
      <c r="F173" s="127"/>
      <c r="H173" s="127"/>
      <c r="J173" s="128"/>
      <c r="K173" s="62"/>
      <c r="L173" s="117"/>
      <c r="M173" s="118"/>
      <c r="N173" s="130"/>
      <c r="P173" s="130"/>
      <c r="R173" s="57"/>
      <c r="S173" s="46"/>
      <c r="T173" s="119"/>
      <c r="U173" s="120"/>
      <c r="V173" s="128"/>
      <c r="W173" s="120"/>
      <c r="X173" s="143"/>
      <c r="AA173" s="136"/>
      <c r="AD173" s="128"/>
      <c r="AG173" s="144"/>
      <c r="AJ173" s="128"/>
      <c r="AK173" s="120"/>
      <c r="AQ173" s="67"/>
      <c r="AT173" s="46"/>
      <c r="AY173" s="57"/>
      <c r="AZ173" s="64"/>
      <c r="BA173" s="46"/>
      <c r="BB173" s="46"/>
      <c r="BC173" s="48"/>
      <c r="BF173" s="46"/>
      <c r="BL173" s="121"/>
      <c r="BM173" s="122"/>
      <c r="BN173" s="123"/>
      <c r="BO173" s="123"/>
      <c r="BP173" s="123"/>
      <c r="BQ173" s="123"/>
      <c r="BR173" s="122"/>
      <c r="BS173" s="124"/>
      <c r="BT173" s="124"/>
      <c r="BU173" s="124"/>
      <c r="BV173" s="125"/>
      <c r="BW173" s="82"/>
      <c r="CD173" s="262"/>
      <c r="CH173" s="265"/>
    </row>
    <row r="174" spans="2:86" x14ac:dyDescent="0.8">
      <c r="F174" s="114"/>
      <c r="H174" s="127"/>
      <c r="J174" s="128"/>
      <c r="K174" s="62"/>
      <c r="L174" s="117"/>
      <c r="M174" s="118"/>
      <c r="N174" s="130"/>
      <c r="P174" s="130"/>
      <c r="R174" s="57"/>
      <c r="S174" s="46"/>
      <c r="T174" s="119"/>
      <c r="U174" s="120"/>
      <c r="V174" s="128"/>
      <c r="W174" s="120"/>
      <c r="X174" s="129"/>
      <c r="Y174" s="120"/>
      <c r="AD174" s="128"/>
      <c r="AJ174" s="128"/>
      <c r="AK174" s="120"/>
      <c r="AL174" s="68"/>
      <c r="AQ174" s="67"/>
      <c r="AT174" s="46"/>
      <c r="AY174" s="57"/>
      <c r="AZ174" s="64"/>
      <c r="BA174" s="46"/>
      <c r="BB174" s="46"/>
      <c r="BC174" s="48"/>
      <c r="BF174" s="46"/>
      <c r="BL174" s="121"/>
      <c r="BM174" s="122"/>
      <c r="BN174" s="123"/>
      <c r="BO174" s="123"/>
      <c r="BP174" s="123"/>
      <c r="BQ174" s="123"/>
      <c r="BR174" s="122"/>
      <c r="BS174" s="124"/>
      <c r="BT174" s="124"/>
      <c r="BU174" s="124"/>
      <c r="BV174" s="125"/>
      <c r="BW174" s="82"/>
      <c r="CD174" s="262"/>
      <c r="CH174" s="265"/>
    </row>
    <row r="175" spans="2:86" x14ac:dyDescent="0.8">
      <c r="F175" s="127"/>
      <c r="H175" s="114"/>
      <c r="J175" s="115"/>
      <c r="K175" s="62"/>
      <c r="N175" s="116"/>
      <c r="P175" s="130"/>
      <c r="R175" s="57"/>
      <c r="S175" s="46"/>
      <c r="T175" s="128"/>
      <c r="U175" s="120"/>
      <c r="V175" s="128"/>
      <c r="W175" s="120"/>
      <c r="AN175" s="70"/>
      <c r="AQ175" s="67"/>
      <c r="AT175" s="46"/>
      <c r="AY175" s="57"/>
      <c r="AZ175" s="64"/>
      <c r="BA175" s="46"/>
      <c r="BB175" s="46"/>
      <c r="BC175" s="48"/>
      <c r="BF175" s="46"/>
      <c r="BL175" s="121"/>
      <c r="BM175" s="122"/>
      <c r="BN175" s="123"/>
      <c r="BO175" s="123"/>
      <c r="BP175" s="123"/>
      <c r="BQ175" s="123"/>
      <c r="BR175" s="122"/>
      <c r="BS175" s="124"/>
      <c r="BT175" s="124"/>
      <c r="BU175" s="124"/>
      <c r="BV175" s="125"/>
      <c r="BW175" s="82"/>
      <c r="CD175" s="262"/>
      <c r="CH175" s="265"/>
    </row>
    <row r="176" spans="2:86" x14ac:dyDescent="0.8">
      <c r="F176" s="114"/>
      <c r="H176" s="127"/>
      <c r="J176" s="128"/>
      <c r="K176" s="62"/>
      <c r="N176" s="130"/>
      <c r="P176" s="130"/>
      <c r="R176" s="57"/>
      <c r="S176" s="46"/>
      <c r="T176" s="128"/>
      <c r="U176" s="120"/>
      <c r="V176" s="128"/>
      <c r="W176" s="120"/>
      <c r="AD176" s="128"/>
      <c r="AF176" s="128"/>
      <c r="AQ176" s="67"/>
      <c r="AT176" s="46"/>
      <c r="AY176" s="57"/>
      <c r="AZ176" s="64"/>
      <c r="BA176" s="46"/>
      <c r="BB176" s="46"/>
      <c r="BC176" s="48"/>
      <c r="BF176" s="46"/>
      <c r="BL176" s="121"/>
      <c r="BM176" s="122"/>
      <c r="BN176" s="123"/>
      <c r="BO176" s="123"/>
      <c r="BP176" s="123"/>
      <c r="BQ176" s="123"/>
      <c r="BR176" s="122"/>
      <c r="BS176" s="124"/>
      <c r="BT176" s="124"/>
      <c r="BU176" s="124"/>
      <c r="BV176" s="125"/>
      <c r="BW176" s="82"/>
      <c r="CD176" s="262"/>
      <c r="CH176" s="265"/>
    </row>
    <row r="177" spans="2:86" x14ac:dyDescent="0.8">
      <c r="F177" s="114"/>
      <c r="H177" s="127"/>
      <c r="J177" s="142"/>
      <c r="K177" s="62"/>
      <c r="N177" s="91"/>
      <c r="O177" s="58"/>
      <c r="P177" s="130"/>
      <c r="Q177" s="59"/>
      <c r="R177" s="57"/>
      <c r="S177" s="46"/>
      <c r="T177" s="151"/>
      <c r="U177" s="120"/>
      <c r="V177" s="151"/>
      <c r="W177" s="120"/>
      <c r="X177" s="135"/>
      <c r="Y177" s="136"/>
      <c r="AA177" s="136"/>
      <c r="AD177" s="143"/>
      <c r="AF177" s="71"/>
      <c r="AH177" s="71"/>
      <c r="AJ177" s="143"/>
      <c r="AN177" s="70"/>
      <c r="AP177" s="137"/>
      <c r="AQ177" s="67"/>
      <c r="AT177" s="46"/>
      <c r="BB177" s="46"/>
      <c r="BC177" s="48"/>
      <c r="BF177" s="46"/>
      <c r="BL177" s="121"/>
      <c r="BM177" s="122"/>
      <c r="BN177" s="123"/>
      <c r="BO177" s="123"/>
      <c r="BP177" s="123"/>
      <c r="BQ177" s="123"/>
      <c r="BR177" s="122"/>
      <c r="BS177" s="124"/>
      <c r="BT177" s="124"/>
      <c r="BU177" s="124"/>
      <c r="BV177" s="125"/>
      <c r="BW177" s="82"/>
      <c r="CD177" s="262"/>
      <c r="CH177" s="265"/>
    </row>
    <row r="178" spans="2:86" x14ac:dyDescent="0.8">
      <c r="F178" s="114"/>
      <c r="H178" s="127"/>
      <c r="J178" s="115"/>
      <c r="K178" s="62"/>
      <c r="N178" s="116"/>
      <c r="P178" s="130"/>
      <c r="R178" s="57"/>
      <c r="S178" s="46"/>
      <c r="T178" s="115"/>
      <c r="U178" s="120"/>
      <c r="V178" s="115"/>
      <c r="W178" s="120"/>
      <c r="X178" s="57"/>
      <c r="Y178" s="46"/>
      <c r="Z178" s="57"/>
      <c r="AA178" s="46"/>
      <c r="AG178" s="120"/>
      <c r="AM178" s="64"/>
      <c r="AO178" s="46"/>
      <c r="AQ178" s="67"/>
      <c r="AT178" s="46"/>
      <c r="BC178" s="48"/>
      <c r="BF178" s="46"/>
      <c r="BL178" s="121"/>
      <c r="BM178" s="122"/>
      <c r="BN178" s="123"/>
      <c r="BO178" s="123"/>
      <c r="BP178" s="123"/>
      <c r="BQ178" s="123"/>
      <c r="BR178" s="122"/>
      <c r="BS178" s="124"/>
      <c r="BT178" s="124"/>
      <c r="BU178" s="124"/>
      <c r="BV178" s="125"/>
      <c r="BW178" s="82"/>
      <c r="CD178" s="262"/>
      <c r="CH178" s="265"/>
    </row>
    <row r="179" spans="2:86" x14ac:dyDescent="0.8">
      <c r="F179" s="127"/>
      <c r="H179" s="114"/>
      <c r="J179" s="115"/>
      <c r="K179" s="62"/>
      <c r="N179" s="116"/>
      <c r="P179" s="130"/>
      <c r="R179" s="57"/>
      <c r="S179" s="46"/>
      <c r="T179" s="115"/>
      <c r="U179" s="120"/>
      <c r="V179" s="128"/>
      <c r="W179" s="120"/>
      <c r="X179" s="57"/>
      <c r="Y179" s="46"/>
      <c r="Z179" s="57"/>
      <c r="AA179" s="46"/>
      <c r="AF179" s="115"/>
      <c r="AG179" s="120"/>
      <c r="AJ179" s="128"/>
      <c r="AK179" s="120"/>
      <c r="AL179" s="69"/>
      <c r="AN179" s="70"/>
      <c r="AQ179" s="67"/>
      <c r="AT179" s="46"/>
      <c r="BC179" s="48"/>
      <c r="BF179" s="46"/>
      <c r="BL179" s="121"/>
      <c r="BM179" s="122"/>
      <c r="BN179" s="123"/>
      <c r="BO179" s="123"/>
      <c r="BP179" s="123"/>
      <c r="BQ179" s="123"/>
      <c r="BR179" s="122"/>
      <c r="BS179" s="124"/>
      <c r="BT179" s="124"/>
      <c r="BU179" s="124"/>
      <c r="BV179" s="125"/>
      <c r="BW179" s="82"/>
      <c r="CD179" s="262"/>
      <c r="CH179" s="265"/>
    </row>
    <row r="180" spans="2:86" x14ac:dyDescent="0.8">
      <c r="F180" s="114"/>
      <c r="H180" s="114"/>
      <c r="J180" s="115"/>
      <c r="K180" s="62"/>
      <c r="N180" s="116"/>
      <c r="P180" s="130"/>
      <c r="R180" s="57"/>
      <c r="S180" s="46"/>
      <c r="T180" s="115"/>
      <c r="U180" s="120"/>
      <c r="V180" s="115"/>
      <c r="W180" s="120"/>
      <c r="X180" s="57"/>
      <c r="Y180" s="46"/>
      <c r="Z180" s="57"/>
      <c r="AA180" s="46"/>
      <c r="AF180" s="115"/>
      <c r="AG180" s="120"/>
      <c r="AJ180" s="115"/>
      <c r="AK180" s="120"/>
      <c r="AM180" s="64"/>
      <c r="AO180" s="46"/>
      <c r="AQ180" s="67"/>
      <c r="AT180" s="46"/>
      <c r="BC180" s="48"/>
      <c r="BF180" s="46"/>
      <c r="BL180" s="121"/>
      <c r="BM180" s="122"/>
      <c r="BN180" s="123"/>
      <c r="BO180" s="123"/>
      <c r="BP180" s="123"/>
      <c r="BQ180" s="123"/>
      <c r="BR180" s="122"/>
      <c r="BS180" s="124"/>
      <c r="BT180" s="124"/>
      <c r="BU180" s="124"/>
      <c r="BV180" s="125"/>
      <c r="BW180" s="82"/>
      <c r="CD180" s="262"/>
      <c r="CH180" s="265"/>
    </row>
    <row r="181" spans="2:86" x14ac:dyDescent="0.8">
      <c r="F181" s="114"/>
      <c r="H181" s="127"/>
      <c r="J181" s="115"/>
      <c r="K181" s="62"/>
      <c r="L181" s="117"/>
      <c r="M181" s="118"/>
      <c r="N181" s="130"/>
      <c r="P181" s="130"/>
      <c r="R181" s="57"/>
      <c r="S181" s="46"/>
      <c r="T181" s="138"/>
      <c r="U181" s="120"/>
      <c r="V181" s="115"/>
      <c r="W181" s="120"/>
      <c r="X181" s="129"/>
      <c r="Y181" s="120"/>
      <c r="AD181" s="128"/>
      <c r="AF181" s="115"/>
      <c r="AG181" s="120"/>
      <c r="AL181" s="68"/>
      <c r="AQ181" s="67"/>
      <c r="AT181" s="46"/>
      <c r="AY181" s="57"/>
      <c r="AZ181" s="64"/>
      <c r="BA181" s="46"/>
      <c r="BB181" s="46"/>
      <c r="BC181" s="48"/>
      <c r="BF181" s="46"/>
      <c r="BL181" s="121"/>
      <c r="BM181" s="122"/>
      <c r="BN181" s="123"/>
      <c r="BO181" s="123"/>
      <c r="BP181" s="123"/>
      <c r="BQ181" s="123"/>
      <c r="BR181" s="122"/>
      <c r="BS181" s="124"/>
      <c r="BT181" s="124"/>
      <c r="BU181" s="124"/>
      <c r="BV181" s="125"/>
      <c r="BW181" s="82"/>
      <c r="CD181" s="262"/>
    </row>
    <row r="182" spans="2:86" x14ac:dyDescent="0.8">
      <c r="F182" s="127"/>
      <c r="H182" s="114"/>
      <c r="J182" s="128"/>
      <c r="K182" s="62"/>
      <c r="L182" s="117"/>
      <c r="M182" s="118"/>
      <c r="N182" s="130"/>
      <c r="P182" s="130"/>
      <c r="R182" s="57"/>
      <c r="S182" s="46"/>
      <c r="T182" s="119"/>
      <c r="U182" s="120"/>
      <c r="V182" s="128"/>
      <c r="W182" s="120"/>
      <c r="X182" s="129"/>
      <c r="Y182" s="120"/>
      <c r="AD182" s="128"/>
      <c r="AL182" s="68"/>
      <c r="AQ182" s="67"/>
      <c r="AT182" s="46"/>
      <c r="AY182" s="57"/>
      <c r="AZ182" s="64"/>
      <c r="BA182" s="46"/>
      <c r="BB182" s="46"/>
      <c r="BC182" s="48"/>
      <c r="BF182" s="46"/>
      <c r="BL182" s="121"/>
      <c r="BM182" s="122"/>
      <c r="BN182" s="123"/>
      <c r="BO182" s="123"/>
      <c r="BP182" s="123"/>
      <c r="BQ182" s="123"/>
      <c r="BR182" s="122"/>
      <c r="BS182" s="124"/>
      <c r="BT182" s="124"/>
      <c r="BU182" s="124"/>
      <c r="BV182" s="125"/>
      <c r="BW182" s="82"/>
      <c r="CD182" s="262"/>
    </row>
    <row r="183" spans="2:86" x14ac:dyDescent="0.8">
      <c r="F183" s="127"/>
      <c r="H183" s="127"/>
      <c r="J183" s="115"/>
      <c r="K183" s="62"/>
      <c r="N183" s="130"/>
      <c r="P183" s="130"/>
      <c r="R183" s="57"/>
      <c r="S183" s="46"/>
      <c r="T183" s="115"/>
      <c r="U183" s="120"/>
      <c r="V183" s="115"/>
      <c r="W183" s="120"/>
      <c r="X183" s="57"/>
      <c r="Y183" s="46"/>
      <c r="Z183" s="57"/>
      <c r="AA183" s="46"/>
      <c r="AD183" s="154"/>
      <c r="AM183" s="64"/>
      <c r="AO183" s="46"/>
      <c r="AQ183" s="67"/>
      <c r="AT183" s="46"/>
      <c r="BC183" s="48"/>
      <c r="BF183" s="46"/>
      <c r="BL183" s="121"/>
      <c r="BM183" s="122"/>
      <c r="BN183" s="123"/>
      <c r="BO183" s="123"/>
      <c r="BP183" s="123"/>
      <c r="BQ183" s="123"/>
      <c r="BR183" s="122"/>
      <c r="BS183" s="124"/>
      <c r="BT183" s="124"/>
      <c r="BU183" s="124"/>
      <c r="BV183" s="125"/>
      <c r="BW183" s="82"/>
      <c r="CD183" s="262"/>
    </row>
    <row r="184" spans="2:86" x14ac:dyDescent="0.8">
      <c r="F184" s="114"/>
      <c r="H184" s="114"/>
      <c r="J184" s="115"/>
      <c r="K184" s="62"/>
      <c r="L184" s="117"/>
      <c r="M184" s="118"/>
      <c r="N184" s="116"/>
      <c r="P184" s="130"/>
      <c r="R184" s="57"/>
      <c r="S184" s="46"/>
      <c r="T184" s="119"/>
      <c r="U184" s="120"/>
      <c r="V184" s="128"/>
      <c r="W184" s="120"/>
      <c r="X184" s="129"/>
      <c r="Y184" s="120"/>
      <c r="AD184" s="128"/>
      <c r="AF184" s="115"/>
      <c r="AG184" s="120"/>
      <c r="AL184" s="69"/>
      <c r="AN184" s="70"/>
      <c r="AQ184" s="67"/>
      <c r="AT184" s="46"/>
      <c r="AY184" s="57"/>
      <c r="AZ184" s="64"/>
      <c r="BA184" s="46"/>
      <c r="BB184" s="46"/>
      <c r="BC184" s="48"/>
      <c r="BF184" s="46"/>
      <c r="BL184" s="121"/>
      <c r="BM184" s="122"/>
      <c r="BN184" s="123"/>
      <c r="BO184" s="123"/>
      <c r="BP184" s="123"/>
      <c r="BQ184" s="123"/>
      <c r="BR184" s="122"/>
      <c r="BS184" s="124"/>
      <c r="BT184" s="124"/>
      <c r="BU184" s="124"/>
      <c r="BV184" s="125"/>
      <c r="BW184" s="82"/>
      <c r="CD184" s="262"/>
    </row>
    <row r="185" spans="2:86" x14ac:dyDescent="0.8">
      <c r="F185" s="114"/>
      <c r="H185" s="114"/>
      <c r="J185" s="115"/>
      <c r="L185" s="117"/>
      <c r="M185" s="118"/>
      <c r="N185" s="116"/>
      <c r="P185" s="91"/>
      <c r="R185" s="57"/>
      <c r="S185" s="150"/>
      <c r="T185" s="140"/>
      <c r="U185" s="139"/>
      <c r="V185" s="128"/>
      <c r="W185" s="139"/>
      <c r="X185" s="129"/>
      <c r="Y185" s="120"/>
      <c r="AF185" s="115"/>
      <c r="AG185" s="120"/>
      <c r="AN185" s="70"/>
      <c r="AQ185" s="67"/>
      <c r="AT185" s="46"/>
      <c r="AY185" s="57"/>
      <c r="AZ185" s="64"/>
      <c r="BA185" s="46"/>
      <c r="BB185" s="46"/>
      <c r="BC185" s="48"/>
      <c r="BF185" s="46"/>
      <c r="BL185" s="121"/>
      <c r="BM185" s="122"/>
      <c r="BN185" s="123"/>
      <c r="BO185" s="123"/>
      <c r="BP185" s="123"/>
      <c r="BQ185" s="123"/>
      <c r="BR185" s="122"/>
      <c r="BS185" s="124"/>
      <c r="BT185" s="124"/>
      <c r="BU185" s="124"/>
      <c r="BV185" s="125"/>
      <c r="BW185" s="82"/>
      <c r="CD185" s="262"/>
      <c r="CH185" s="265"/>
    </row>
    <row r="186" spans="2:86" x14ac:dyDescent="0.8">
      <c r="E186" s="86"/>
      <c r="F186" s="127"/>
      <c r="H186" s="130"/>
      <c r="I186" s="86"/>
      <c r="J186" s="115"/>
      <c r="L186" s="117"/>
      <c r="M186" s="118"/>
      <c r="P186" s="91"/>
      <c r="R186" s="57"/>
      <c r="S186" s="150"/>
      <c r="T186" s="140"/>
      <c r="U186" s="139"/>
      <c r="V186" s="128"/>
      <c r="W186" s="139"/>
      <c r="X186" s="129"/>
      <c r="Y186" s="120"/>
      <c r="AG186" s="120"/>
      <c r="AL186" s="69"/>
      <c r="AN186" s="70"/>
      <c r="AQ186" s="67"/>
      <c r="AT186" s="46"/>
      <c r="AY186" s="57"/>
      <c r="AZ186" s="64"/>
      <c r="BA186" s="46"/>
      <c r="BB186" s="46"/>
      <c r="BC186" s="48"/>
      <c r="BF186" s="46"/>
      <c r="BL186" s="121"/>
      <c r="BM186" s="122"/>
      <c r="BN186" s="123"/>
      <c r="BO186" s="123"/>
      <c r="BP186" s="123"/>
      <c r="BQ186" s="123"/>
      <c r="BR186" s="122"/>
      <c r="BS186" s="124"/>
      <c r="BT186" s="124"/>
      <c r="BU186" s="124"/>
      <c r="BV186" s="125"/>
      <c r="BW186" s="82"/>
      <c r="CD186" s="262"/>
      <c r="CH186" s="265"/>
    </row>
    <row r="187" spans="2:86" x14ac:dyDescent="0.8">
      <c r="E187" s="86"/>
      <c r="F187" s="127"/>
      <c r="H187" s="130"/>
      <c r="I187" s="86"/>
      <c r="J187" s="128"/>
      <c r="L187" s="117"/>
      <c r="M187" s="118"/>
      <c r="N187" s="130"/>
      <c r="P187" s="91"/>
      <c r="R187" s="57"/>
      <c r="S187" s="150"/>
      <c r="T187" s="140"/>
      <c r="U187" s="120"/>
      <c r="V187" s="138"/>
      <c r="W187" s="120"/>
      <c r="X187" s="135"/>
      <c r="Y187" s="139"/>
      <c r="AA187" s="136"/>
      <c r="AD187" s="140"/>
      <c r="AF187" s="115"/>
      <c r="AG187" s="120"/>
      <c r="AJ187" s="140"/>
      <c r="AL187" s="68"/>
      <c r="AQ187" s="67"/>
      <c r="AT187" s="46"/>
      <c r="AY187" s="57"/>
      <c r="AZ187" s="64"/>
      <c r="BA187" s="46"/>
      <c r="BB187" s="46"/>
      <c r="BC187" s="48"/>
      <c r="BF187" s="46"/>
      <c r="BL187" s="121"/>
      <c r="BM187" s="122"/>
      <c r="BN187" s="123"/>
      <c r="BO187" s="123"/>
      <c r="BP187" s="123"/>
      <c r="BQ187" s="123"/>
      <c r="BR187" s="122"/>
      <c r="BS187" s="124"/>
      <c r="BT187" s="124"/>
      <c r="BU187" s="124"/>
      <c r="BV187" s="125"/>
      <c r="BW187" s="82"/>
      <c r="CD187" s="262"/>
      <c r="CH187" s="265"/>
    </row>
    <row r="188" spans="2:86" x14ac:dyDescent="0.8">
      <c r="E188" s="86"/>
      <c r="F188" s="114"/>
      <c r="H188" s="91"/>
      <c r="I188" s="86"/>
      <c r="J188" s="115"/>
      <c r="N188" s="116"/>
      <c r="P188" s="91"/>
      <c r="R188" s="57"/>
      <c r="S188" s="150"/>
      <c r="T188" s="115"/>
      <c r="U188" s="120"/>
      <c r="V188" s="115"/>
      <c r="W188" s="120"/>
      <c r="X188" s="57"/>
      <c r="Y188" s="46"/>
      <c r="Z188" s="57"/>
      <c r="AA188" s="46"/>
      <c r="AF188" s="115"/>
      <c r="AG188" s="120"/>
      <c r="AN188" s="70"/>
      <c r="AQ188" s="67"/>
      <c r="AT188" s="46"/>
      <c r="BC188" s="48"/>
      <c r="BF188" s="46"/>
      <c r="BL188" s="121"/>
      <c r="BM188" s="122"/>
      <c r="BN188" s="123"/>
      <c r="BO188" s="123"/>
      <c r="BP188" s="123"/>
      <c r="BQ188" s="123"/>
      <c r="BR188" s="122"/>
      <c r="BS188" s="124"/>
      <c r="BT188" s="124"/>
      <c r="BU188" s="124"/>
      <c r="BV188" s="125"/>
      <c r="BW188" s="82"/>
      <c r="CD188" s="262"/>
      <c r="CH188" s="265"/>
    </row>
    <row r="189" spans="2:86" x14ac:dyDescent="0.8">
      <c r="B189" s="46"/>
      <c r="F189" s="127"/>
      <c r="H189" s="91"/>
      <c r="I189" s="86"/>
      <c r="R189" s="57"/>
      <c r="S189" s="150"/>
      <c r="U189" s="139"/>
      <c r="W189" s="120"/>
      <c r="X189" s="140"/>
      <c r="Y189" s="46"/>
      <c r="Z189" s="57"/>
      <c r="AA189" s="144"/>
      <c r="AG189" s="144"/>
      <c r="AI189" s="144"/>
      <c r="AM189" s="64"/>
      <c r="AO189" s="46"/>
      <c r="AQ189" s="67"/>
      <c r="AT189" s="46"/>
      <c r="BC189" s="48"/>
      <c r="BF189" s="46"/>
      <c r="BL189" s="121"/>
      <c r="BM189" s="122"/>
      <c r="BN189" s="123"/>
      <c r="BO189" s="123"/>
      <c r="BP189" s="123"/>
      <c r="BQ189" s="123"/>
      <c r="BR189" s="122"/>
      <c r="BS189" s="124"/>
      <c r="BT189" s="124"/>
      <c r="BU189" s="124"/>
      <c r="BV189" s="125"/>
      <c r="BW189" s="82"/>
      <c r="CD189" s="262"/>
      <c r="CH189" s="265"/>
    </row>
    <row r="190" spans="2:86" x14ac:dyDescent="0.8">
      <c r="B190" s="46"/>
      <c r="F190" s="114"/>
      <c r="H190" s="91"/>
      <c r="I190" s="86"/>
      <c r="L190" s="117"/>
      <c r="M190" s="118"/>
      <c r="R190" s="57"/>
      <c r="S190" s="150"/>
      <c r="T190" s="140"/>
      <c r="U190" s="120"/>
      <c r="W190" s="120"/>
      <c r="X190" s="129"/>
      <c r="Y190" s="120"/>
      <c r="AL190" s="69"/>
      <c r="AN190" s="70"/>
      <c r="AQ190" s="67"/>
      <c r="AT190" s="46"/>
      <c r="AY190" s="57"/>
      <c r="AZ190" s="64"/>
      <c r="BA190" s="46"/>
      <c r="BB190" s="46"/>
      <c r="BC190" s="48"/>
      <c r="BF190" s="46"/>
      <c r="BL190" s="121"/>
      <c r="BM190" s="122"/>
      <c r="BN190" s="123"/>
      <c r="BO190" s="123"/>
      <c r="BP190" s="123"/>
      <c r="BQ190" s="123"/>
      <c r="BR190" s="122"/>
      <c r="BS190" s="124"/>
      <c r="BT190" s="124"/>
      <c r="BU190" s="124"/>
      <c r="BV190" s="125"/>
      <c r="BW190" s="82"/>
      <c r="CD190" s="262"/>
      <c r="CH190" s="265"/>
    </row>
    <row r="191" spans="2:86" x14ac:dyDescent="0.8">
      <c r="B191" s="46"/>
      <c r="F191" s="114"/>
      <c r="H191" s="91"/>
      <c r="I191" s="86"/>
      <c r="L191" s="117"/>
      <c r="M191" s="118"/>
      <c r="R191" s="57"/>
      <c r="S191" s="150"/>
      <c r="U191" s="120"/>
      <c r="W191" s="120"/>
      <c r="AQ191" s="67"/>
      <c r="AT191" s="46"/>
      <c r="AY191" s="57"/>
      <c r="AZ191" s="64"/>
      <c r="BA191" s="46"/>
      <c r="BB191" s="46"/>
      <c r="BC191" s="48"/>
      <c r="BF191" s="46"/>
      <c r="BL191" s="121"/>
      <c r="BM191" s="122"/>
      <c r="BN191" s="123"/>
      <c r="BO191" s="123"/>
      <c r="BP191" s="123"/>
      <c r="BQ191" s="123"/>
      <c r="BR191" s="122"/>
      <c r="BS191" s="124"/>
      <c r="BT191" s="124"/>
      <c r="BU191" s="124"/>
      <c r="BV191" s="125"/>
      <c r="BW191" s="82"/>
      <c r="CD191" s="262"/>
      <c r="CH191" s="265"/>
    </row>
    <row r="192" spans="2:86" x14ac:dyDescent="0.8">
      <c r="B192" s="46"/>
      <c r="F192" s="70"/>
      <c r="G192" s="86"/>
      <c r="H192" s="91"/>
      <c r="I192" s="86"/>
      <c r="L192" s="117"/>
      <c r="M192" s="118"/>
      <c r="R192" s="57"/>
      <c r="S192" s="150"/>
      <c r="U192" s="120"/>
      <c r="W192" s="120"/>
      <c r="AN192" s="70"/>
      <c r="AQ192" s="67"/>
      <c r="AT192" s="46"/>
      <c r="AY192" s="57"/>
      <c r="AZ192" s="64"/>
      <c r="BA192" s="46"/>
      <c r="BB192" s="46"/>
      <c r="BC192" s="48"/>
      <c r="BF192" s="46"/>
      <c r="BL192" s="121"/>
      <c r="BM192" s="122"/>
      <c r="BN192" s="123"/>
      <c r="BO192" s="123"/>
      <c r="BP192" s="123"/>
      <c r="BQ192" s="123"/>
      <c r="BR192" s="122"/>
      <c r="BS192" s="124"/>
      <c r="BT192" s="124"/>
      <c r="BU192" s="124"/>
      <c r="BV192" s="125"/>
      <c r="BW192" s="82"/>
      <c r="CD192" s="262"/>
      <c r="CH192" s="265"/>
    </row>
    <row r="193" spans="5:86" x14ac:dyDescent="0.8">
      <c r="E193" s="86"/>
      <c r="F193" s="130"/>
      <c r="G193" s="86"/>
      <c r="H193" s="91"/>
      <c r="I193" s="86"/>
      <c r="J193" s="115"/>
      <c r="L193" s="117"/>
      <c r="M193" s="118"/>
      <c r="N193" s="116"/>
      <c r="R193" s="57"/>
      <c r="S193" s="150"/>
      <c r="T193" s="115"/>
      <c r="U193" s="120"/>
      <c r="V193" s="115"/>
      <c r="W193" s="120"/>
      <c r="AN193" s="70"/>
      <c r="AQ193" s="67"/>
      <c r="AT193" s="46"/>
      <c r="AY193" s="57"/>
      <c r="AZ193" s="64"/>
      <c r="BA193" s="46"/>
      <c r="BB193" s="46"/>
      <c r="BC193" s="48"/>
      <c r="BF193" s="46"/>
      <c r="BL193" s="121"/>
      <c r="BM193" s="122"/>
      <c r="BN193" s="123"/>
      <c r="BO193" s="123"/>
      <c r="BP193" s="123"/>
      <c r="BQ193" s="123"/>
      <c r="BR193" s="122"/>
      <c r="BS193" s="124"/>
      <c r="BT193" s="124"/>
      <c r="BU193" s="124"/>
      <c r="BV193" s="125"/>
      <c r="BW193" s="82"/>
      <c r="CD193" s="262"/>
      <c r="CH193" s="265"/>
    </row>
    <row r="194" spans="5:86" x14ac:dyDescent="0.8">
      <c r="E194" s="86"/>
      <c r="F194" s="130"/>
      <c r="G194" s="86"/>
      <c r="H194" s="91"/>
      <c r="I194" s="86"/>
      <c r="J194" s="128"/>
      <c r="L194" s="117"/>
      <c r="M194" s="118"/>
      <c r="N194" s="116"/>
      <c r="P194" s="130"/>
      <c r="R194" s="57"/>
      <c r="S194" s="150"/>
      <c r="U194" s="120"/>
      <c r="W194" s="120"/>
      <c r="AL194" s="69"/>
      <c r="AN194" s="70"/>
      <c r="AQ194" s="67"/>
      <c r="AT194" s="46"/>
      <c r="AY194" s="57"/>
      <c r="AZ194" s="64"/>
      <c r="BA194" s="46"/>
      <c r="BB194" s="46"/>
      <c r="BC194" s="48"/>
      <c r="BF194" s="46"/>
      <c r="BL194" s="121"/>
      <c r="BM194" s="122"/>
      <c r="BN194" s="123"/>
      <c r="BO194" s="123"/>
      <c r="BP194" s="123"/>
      <c r="BQ194" s="123"/>
      <c r="BR194" s="122"/>
      <c r="BS194" s="124"/>
      <c r="BT194" s="124"/>
      <c r="BU194" s="124"/>
      <c r="BV194" s="125"/>
      <c r="BW194" s="82"/>
      <c r="CD194" s="262"/>
      <c r="CH194" s="265"/>
    </row>
    <row r="195" spans="5:86" x14ac:dyDescent="0.8">
      <c r="F195" s="127"/>
      <c r="H195" s="127"/>
      <c r="J195" s="128"/>
      <c r="K195" s="62"/>
      <c r="L195" s="117"/>
      <c r="M195" s="118"/>
      <c r="N195" s="130"/>
      <c r="P195" s="130"/>
      <c r="R195" s="57"/>
      <c r="S195" s="46"/>
      <c r="T195" s="119"/>
      <c r="U195" s="120"/>
      <c r="V195" s="128"/>
      <c r="W195" s="120"/>
      <c r="X195" s="129"/>
      <c r="Y195" s="120"/>
      <c r="AA195" s="136"/>
      <c r="AG195" s="144"/>
      <c r="AL195" s="69"/>
      <c r="AN195" s="70"/>
      <c r="AQ195" s="67"/>
      <c r="AT195" s="46"/>
      <c r="AY195" s="57"/>
      <c r="AZ195" s="64"/>
      <c r="BA195" s="46"/>
      <c r="BB195" s="46"/>
      <c r="BC195" s="48"/>
      <c r="BF195" s="46"/>
      <c r="BL195" s="121"/>
      <c r="BM195" s="122"/>
      <c r="BN195" s="123"/>
      <c r="BO195" s="123"/>
      <c r="BP195" s="123"/>
      <c r="BQ195" s="123"/>
      <c r="BR195" s="122"/>
      <c r="BS195" s="124"/>
      <c r="BT195" s="124"/>
      <c r="BU195" s="124"/>
      <c r="BV195" s="125"/>
      <c r="BW195" s="82"/>
      <c r="CD195" s="262"/>
      <c r="CH195" s="265"/>
    </row>
    <row r="196" spans="5:86" x14ac:dyDescent="0.8">
      <c r="F196" s="127"/>
      <c r="H196" s="114"/>
      <c r="J196" s="115"/>
      <c r="K196" s="62"/>
      <c r="L196" s="117"/>
      <c r="M196" s="118"/>
      <c r="N196" s="116"/>
      <c r="P196" s="130"/>
      <c r="R196" s="57"/>
      <c r="S196" s="46"/>
      <c r="T196" s="119"/>
      <c r="U196" s="120"/>
      <c r="V196" s="128"/>
      <c r="W196" s="120"/>
      <c r="X196" s="143"/>
      <c r="AA196" s="136"/>
      <c r="AG196" s="144"/>
      <c r="AQ196" s="67"/>
      <c r="AT196" s="46"/>
      <c r="AY196" s="57"/>
      <c r="AZ196" s="64"/>
      <c r="BA196" s="46"/>
      <c r="BB196" s="46"/>
      <c r="BC196" s="48"/>
      <c r="BF196" s="46"/>
      <c r="BL196" s="121"/>
      <c r="BM196" s="122"/>
      <c r="BN196" s="123"/>
      <c r="BO196" s="123"/>
      <c r="BP196" s="123"/>
      <c r="BQ196" s="123"/>
      <c r="BR196" s="122"/>
      <c r="BS196" s="124"/>
      <c r="BT196" s="124"/>
      <c r="BU196" s="124"/>
      <c r="BV196" s="125"/>
      <c r="BW196" s="82"/>
      <c r="CD196" s="262"/>
      <c r="CH196" s="265"/>
    </row>
    <row r="197" spans="5:86" x14ac:dyDescent="0.8">
      <c r="F197" s="127"/>
      <c r="H197" s="127"/>
      <c r="J197" s="128"/>
      <c r="K197" s="62"/>
      <c r="L197" s="117"/>
      <c r="M197" s="118"/>
      <c r="N197" s="130"/>
      <c r="P197" s="130"/>
      <c r="R197" s="57"/>
      <c r="S197" s="46"/>
      <c r="T197" s="119"/>
      <c r="U197" s="120"/>
      <c r="V197" s="128"/>
      <c r="W197" s="120"/>
      <c r="X197" s="129"/>
      <c r="Y197" s="120"/>
      <c r="AL197" s="68"/>
      <c r="AQ197" s="67"/>
      <c r="AT197" s="46"/>
      <c r="AY197" s="57"/>
      <c r="AZ197" s="64"/>
      <c r="BA197" s="46"/>
      <c r="BB197" s="46"/>
      <c r="BC197" s="48"/>
      <c r="BF197" s="46"/>
      <c r="BL197" s="121"/>
      <c r="BM197" s="122"/>
      <c r="BN197" s="123"/>
      <c r="BO197" s="123"/>
      <c r="BP197" s="123"/>
      <c r="BQ197" s="123"/>
      <c r="BR197" s="122"/>
      <c r="BS197" s="124"/>
      <c r="BT197" s="124"/>
      <c r="BU197" s="124"/>
      <c r="BV197" s="125"/>
      <c r="BW197" s="82"/>
      <c r="CD197" s="262"/>
      <c r="CH197" s="265"/>
    </row>
    <row r="198" spans="5:86" x14ac:dyDescent="0.8">
      <c r="F198" s="114"/>
      <c r="H198" s="127"/>
      <c r="J198" s="128"/>
      <c r="K198" s="62"/>
      <c r="N198" s="130"/>
      <c r="P198" s="130"/>
      <c r="R198" s="57"/>
      <c r="S198" s="46"/>
      <c r="T198" s="115"/>
      <c r="U198" s="120"/>
      <c r="V198" s="115"/>
      <c r="W198" s="120"/>
      <c r="AN198" s="70"/>
      <c r="AQ198" s="67"/>
      <c r="AT198" s="46"/>
      <c r="AY198" s="57"/>
      <c r="AZ198" s="64"/>
      <c r="BA198" s="46"/>
      <c r="BB198" s="46"/>
      <c r="BC198" s="48"/>
      <c r="BF198" s="46"/>
      <c r="BL198" s="121"/>
      <c r="BM198" s="122"/>
      <c r="BN198" s="123"/>
      <c r="BO198" s="123"/>
      <c r="BP198" s="123"/>
      <c r="BQ198" s="123"/>
      <c r="BR198" s="122"/>
      <c r="BS198" s="124"/>
      <c r="BT198" s="124"/>
      <c r="BU198" s="124"/>
      <c r="BV198" s="125"/>
      <c r="BW198" s="82"/>
      <c r="CD198" s="262"/>
      <c r="CH198" s="265"/>
    </row>
    <row r="199" spans="5:86" x14ac:dyDescent="0.8">
      <c r="F199" s="114"/>
      <c r="H199" s="114"/>
      <c r="J199" s="115"/>
      <c r="K199" s="62"/>
      <c r="N199" s="130"/>
      <c r="P199" s="130"/>
      <c r="R199" s="57"/>
      <c r="S199" s="46"/>
      <c r="T199" s="115"/>
      <c r="U199" s="120"/>
      <c r="V199" s="128"/>
      <c r="W199" s="120"/>
      <c r="AQ199" s="67"/>
      <c r="AT199" s="46"/>
      <c r="AY199" s="57"/>
      <c r="AZ199" s="64"/>
      <c r="BA199" s="46"/>
      <c r="BB199" s="46"/>
      <c r="BC199" s="48"/>
      <c r="BF199" s="46"/>
      <c r="BL199" s="121"/>
      <c r="BM199" s="122"/>
      <c r="BN199" s="123"/>
      <c r="BO199" s="123"/>
      <c r="BP199" s="123"/>
      <c r="BQ199" s="123"/>
      <c r="BR199" s="122"/>
      <c r="BS199" s="124"/>
      <c r="BT199" s="124"/>
      <c r="BU199" s="124"/>
      <c r="BV199" s="125"/>
      <c r="BW199" s="82"/>
      <c r="CD199" s="262"/>
    </row>
    <row r="200" spans="5:86" x14ac:dyDescent="0.8">
      <c r="F200" s="127"/>
      <c r="H200" s="114"/>
      <c r="J200" s="142"/>
      <c r="K200" s="62"/>
      <c r="N200" s="91"/>
      <c r="O200" s="58"/>
      <c r="P200" s="130"/>
      <c r="Q200" s="59"/>
      <c r="R200" s="57"/>
      <c r="S200" s="46"/>
      <c r="T200" s="151"/>
      <c r="U200" s="120"/>
      <c r="V200" s="151"/>
      <c r="W200" s="120"/>
      <c r="X200" s="135"/>
      <c r="Y200" s="136"/>
      <c r="AA200" s="136"/>
      <c r="AD200" s="143"/>
      <c r="AF200" s="71"/>
      <c r="AH200" s="71"/>
      <c r="AJ200" s="143"/>
      <c r="AN200" s="70"/>
      <c r="AP200" s="137"/>
      <c r="AQ200" s="67"/>
      <c r="AT200" s="46"/>
      <c r="BB200" s="46"/>
      <c r="BC200" s="48"/>
      <c r="BF200" s="46"/>
      <c r="BL200" s="121"/>
      <c r="BM200" s="122"/>
      <c r="BN200" s="123"/>
      <c r="BO200" s="123"/>
      <c r="BP200" s="123"/>
      <c r="BQ200" s="123"/>
      <c r="BR200" s="122"/>
      <c r="BS200" s="124"/>
      <c r="BT200" s="124"/>
      <c r="BU200" s="124"/>
      <c r="BV200" s="125"/>
      <c r="BW200" s="82"/>
      <c r="CD200" s="262"/>
    </row>
    <row r="201" spans="5:86" x14ac:dyDescent="0.8">
      <c r="F201" s="127"/>
      <c r="H201" s="127"/>
      <c r="J201" s="115"/>
      <c r="K201" s="62"/>
      <c r="N201" s="130"/>
      <c r="P201" s="130"/>
      <c r="R201" s="57"/>
      <c r="S201" s="46"/>
      <c r="T201" s="115"/>
      <c r="U201" s="120"/>
      <c r="V201" s="115"/>
      <c r="W201" s="120"/>
      <c r="X201" s="57"/>
      <c r="Y201" s="46"/>
      <c r="Z201" s="57"/>
      <c r="AA201" s="46"/>
      <c r="AG201" s="120"/>
      <c r="AM201" s="64"/>
      <c r="AO201" s="46"/>
      <c r="AQ201" s="67"/>
      <c r="AT201" s="46"/>
      <c r="BC201" s="48"/>
      <c r="BF201" s="46"/>
      <c r="BL201" s="121"/>
      <c r="BM201" s="122"/>
      <c r="BN201" s="123"/>
      <c r="BO201" s="123"/>
      <c r="BP201" s="123"/>
      <c r="BQ201" s="123"/>
      <c r="BR201" s="122"/>
      <c r="BS201" s="124"/>
      <c r="BT201" s="124"/>
      <c r="BU201" s="124"/>
      <c r="BV201" s="125"/>
      <c r="BW201" s="82"/>
      <c r="CD201" s="262"/>
    </row>
    <row r="202" spans="5:86" x14ac:dyDescent="0.8">
      <c r="F202" s="127"/>
      <c r="H202" s="114"/>
      <c r="J202" s="115"/>
      <c r="K202" s="62"/>
      <c r="N202" s="116"/>
      <c r="P202" s="130"/>
      <c r="R202" s="57"/>
      <c r="S202" s="46"/>
      <c r="T202" s="115"/>
      <c r="U202" s="120"/>
      <c r="V202" s="128"/>
      <c r="W202" s="120"/>
      <c r="X202" s="57"/>
      <c r="Y202" s="46"/>
      <c r="Z202" s="57"/>
      <c r="AA202" s="46"/>
      <c r="AF202" s="115"/>
      <c r="AG202" s="120"/>
      <c r="AL202" s="69"/>
      <c r="AN202" s="70"/>
      <c r="AQ202" s="67"/>
      <c r="AT202" s="46"/>
      <c r="BC202" s="48"/>
      <c r="BF202" s="46"/>
      <c r="BL202" s="121"/>
      <c r="BM202" s="122"/>
      <c r="BN202" s="123"/>
      <c r="BO202" s="123"/>
      <c r="BP202" s="123"/>
      <c r="BQ202" s="123"/>
      <c r="BR202" s="122"/>
      <c r="BS202" s="124"/>
      <c r="BT202" s="124"/>
      <c r="BU202" s="124"/>
      <c r="BV202" s="125"/>
      <c r="BW202" s="82"/>
      <c r="CD202" s="262"/>
      <c r="CH202" s="265"/>
    </row>
    <row r="203" spans="5:86" x14ac:dyDescent="0.8">
      <c r="F203" s="127"/>
      <c r="H203" s="127"/>
      <c r="J203" s="115"/>
      <c r="K203" s="62"/>
      <c r="N203" s="116"/>
      <c r="P203" s="130"/>
      <c r="R203" s="57"/>
      <c r="S203" s="46"/>
      <c r="T203" s="115"/>
      <c r="U203" s="120"/>
      <c r="V203" s="115"/>
      <c r="W203" s="120"/>
      <c r="X203" s="57"/>
      <c r="Y203" s="46"/>
      <c r="Z203" s="57"/>
      <c r="AA203" s="46"/>
      <c r="AF203" s="115"/>
      <c r="AG203" s="120"/>
      <c r="AM203" s="64"/>
      <c r="AO203" s="46"/>
      <c r="AQ203" s="67"/>
      <c r="AT203" s="46"/>
      <c r="BC203" s="48"/>
      <c r="BF203" s="46"/>
      <c r="BL203" s="121"/>
      <c r="BM203" s="122"/>
      <c r="BN203" s="123"/>
      <c r="BO203" s="123"/>
      <c r="BP203" s="123"/>
      <c r="BQ203" s="123"/>
      <c r="BR203" s="122"/>
      <c r="BS203" s="124"/>
      <c r="BT203" s="124"/>
      <c r="BU203" s="124"/>
      <c r="BV203" s="125"/>
      <c r="BW203" s="82"/>
      <c r="CD203" s="262"/>
      <c r="CH203" s="265"/>
    </row>
    <row r="204" spans="5:86" x14ac:dyDescent="0.8">
      <c r="F204" s="114"/>
      <c r="H204" s="114"/>
      <c r="J204" s="115"/>
      <c r="K204" s="62"/>
      <c r="L204" s="117"/>
      <c r="M204" s="118"/>
      <c r="N204" s="130"/>
      <c r="P204" s="130"/>
      <c r="R204" s="57"/>
      <c r="S204" s="46"/>
      <c r="T204" s="138"/>
      <c r="U204" s="120"/>
      <c r="V204" s="115"/>
      <c r="W204" s="120"/>
      <c r="X204" s="129"/>
      <c r="Y204" s="120"/>
      <c r="AF204" s="115"/>
      <c r="AG204" s="120"/>
      <c r="AL204" s="68"/>
      <c r="AQ204" s="67"/>
      <c r="AT204" s="46"/>
      <c r="AY204" s="57"/>
      <c r="AZ204" s="64"/>
      <c r="BA204" s="46"/>
      <c r="BB204" s="46"/>
      <c r="BC204" s="48"/>
      <c r="BF204" s="46"/>
      <c r="BL204" s="121"/>
      <c r="BM204" s="122"/>
      <c r="BN204" s="123"/>
      <c r="BO204" s="123"/>
      <c r="BP204" s="123"/>
      <c r="BQ204" s="123"/>
      <c r="BR204" s="122"/>
      <c r="BS204" s="124"/>
      <c r="BT204" s="124"/>
      <c r="BU204" s="124"/>
      <c r="BV204" s="125"/>
      <c r="BW204" s="82"/>
      <c r="CD204" s="262"/>
      <c r="CH204" s="265"/>
    </row>
    <row r="205" spans="5:86" x14ac:dyDescent="0.8">
      <c r="F205" s="114"/>
      <c r="H205" s="127"/>
      <c r="J205" s="128"/>
      <c r="K205" s="62"/>
      <c r="L205" s="117"/>
      <c r="M205" s="118"/>
      <c r="N205" s="130"/>
      <c r="P205" s="130"/>
      <c r="R205" s="57"/>
      <c r="S205" s="46"/>
      <c r="T205" s="119"/>
      <c r="U205" s="120"/>
      <c r="V205" s="128"/>
      <c r="W205" s="120"/>
      <c r="X205" s="129"/>
      <c r="Y205" s="120"/>
      <c r="AL205" s="68"/>
      <c r="AQ205" s="67"/>
      <c r="AT205" s="46"/>
      <c r="AY205" s="57"/>
      <c r="AZ205" s="64"/>
      <c r="BA205" s="46"/>
      <c r="BB205" s="46"/>
      <c r="BC205" s="48"/>
      <c r="BF205" s="46"/>
      <c r="BL205" s="121"/>
      <c r="BM205" s="122"/>
      <c r="BN205" s="123"/>
      <c r="BO205" s="123"/>
      <c r="BP205" s="123"/>
      <c r="BQ205" s="123"/>
      <c r="BR205" s="122"/>
      <c r="BS205" s="124"/>
      <c r="BT205" s="124"/>
      <c r="BU205" s="124"/>
      <c r="BV205" s="125"/>
      <c r="BW205" s="82"/>
      <c r="CD205" s="262"/>
      <c r="CH205" s="265"/>
    </row>
    <row r="206" spans="5:86" x14ac:dyDescent="0.8">
      <c r="F206" s="114"/>
      <c r="H206" s="114"/>
      <c r="J206" s="115"/>
      <c r="K206" s="62"/>
      <c r="N206" s="130"/>
      <c r="P206" s="130"/>
      <c r="R206" s="57"/>
      <c r="S206" s="46"/>
      <c r="T206" s="115"/>
      <c r="U206" s="120"/>
      <c r="V206" s="115"/>
      <c r="W206" s="120"/>
      <c r="X206" s="57"/>
      <c r="Y206" s="46"/>
      <c r="Z206" s="57"/>
      <c r="AA206" s="46"/>
      <c r="AD206" s="153"/>
      <c r="AM206" s="64"/>
      <c r="AO206" s="46"/>
      <c r="AQ206" s="67"/>
      <c r="AT206" s="46"/>
      <c r="BC206" s="48"/>
      <c r="BF206" s="46"/>
      <c r="BL206" s="121"/>
      <c r="BM206" s="122"/>
      <c r="BN206" s="123"/>
      <c r="BO206" s="123"/>
      <c r="BP206" s="123"/>
      <c r="BQ206" s="123"/>
      <c r="BR206" s="122"/>
      <c r="BS206" s="124"/>
      <c r="BT206" s="124"/>
      <c r="BU206" s="124"/>
      <c r="BV206" s="125"/>
      <c r="BW206" s="82"/>
      <c r="CD206" s="262"/>
      <c r="CH206" s="265"/>
    </row>
    <row r="207" spans="5:86" x14ac:dyDescent="0.8">
      <c r="F207" s="114"/>
      <c r="H207" s="114"/>
      <c r="J207" s="115"/>
      <c r="K207" s="62"/>
      <c r="N207" s="130"/>
      <c r="P207" s="130"/>
      <c r="R207" s="57"/>
      <c r="S207" s="46"/>
      <c r="T207" s="115"/>
      <c r="U207" s="120"/>
      <c r="V207" s="115"/>
      <c r="W207" s="120"/>
      <c r="X207" s="57"/>
      <c r="Y207" s="46"/>
      <c r="Z207" s="57"/>
      <c r="AA207" s="46"/>
      <c r="AD207" s="153"/>
      <c r="AM207" s="64"/>
      <c r="AO207" s="46"/>
      <c r="AQ207" s="67"/>
      <c r="AT207" s="46"/>
      <c r="BC207" s="48"/>
      <c r="BF207" s="46"/>
      <c r="BL207" s="121"/>
      <c r="BM207" s="122"/>
      <c r="BN207" s="123"/>
      <c r="BO207" s="123"/>
      <c r="BP207" s="123"/>
      <c r="BQ207" s="123"/>
      <c r="BR207" s="122"/>
      <c r="BS207" s="124"/>
      <c r="BT207" s="124"/>
      <c r="BU207" s="124"/>
      <c r="BV207" s="125"/>
      <c r="BW207" s="82"/>
      <c r="CD207" s="262"/>
      <c r="CH207" s="265"/>
    </row>
    <row r="208" spans="5:86" x14ac:dyDescent="0.8">
      <c r="F208" s="114"/>
      <c r="H208" s="127"/>
      <c r="J208" s="115"/>
      <c r="K208" s="62"/>
      <c r="L208" s="117"/>
      <c r="M208" s="118"/>
      <c r="N208" s="116"/>
      <c r="P208" s="130"/>
      <c r="R208" s="57"/>
      <c r="S208" s="46"/>
      <c r="T208" s="138"/>
      <c r="U208" s="120"/>
      <c r="V208" s="128"/>
      <c r="W208" s="120"/>
      <c r="X208" s="129"/>
      <c r="Y208" s="120"/>
      <c r="AF208" s="115"/>
      <c r="AG208" s="120"/>
      <c r="AL208" s="69"/>
      <c r="AN208" s="70"/>
      <c r="AQ208" s="67"/>
      <c r="AT208" s="46"/>
      <c r="AY208" s="57"/>
      <c r="AZ208" s="64"/>
      <c r="BA208" s="46"/>
      <c r="BB208" s="46"/>
      <c r="BC208" s="48"/>
      <c r="BF208" s="46"/>
      <c r="BL208" s="121"/>
      <c r="BM208" s="122"/>
      <c r="BN208" s="123"/>
      <c r="BO208" s="123"/>
      <c r="BP208" s="123"/>
      <c r="BQ208" s="123"/>
      <c r="BR208" s="122"/>
      <c r="BS208" s="124"/>
      <c r="BT208" s="124"/>
      <c r="BU208" s="124"/>
      <c r="BV208" s="125"/>
      <c r="BW208" s="82"/>
      <c r="CD208" s="262"/>
      <c r="CH208" s="265"/>
    </row>
    <row r="209" spans="2:86" x14ac:dyDescent="0.8">
      <c r="F209" s="114"/>
      <c r="H209" s="114"/>
      <c r="J209" s="115"/>
      <c r="L209" s="117"/>
      <c r="M209" s="118"/>
      <c r="N209" s="116"/>
      <c r="P209" s="91"/>
      <c r="R209" s="57"/>
      <c r="S209" s="150"/>
      <c r="T209" s="140"/>
      <c r="U209" s="139"/>
      <c r="V209" s="128"/>
      <c r="W209" s="155"/>
      <c r="X209" s="129"/>
      <c r="Y209" s="120"/>
      <c r="AF209" s="115"/>
      <c r="AG209" s="120"/>
      <c r="AN209" s="70"/>
      <c r="AQ209" s="67"/>
      <c r="AT209" s="46"/>
      <c r="AY209" s="57"/>
      <c r="AZ209" s="64"/>
      <c r="BA209" s="46"/>
      <c r="BB209" s="46"/>
      <c r="BC209" s="48"/>
      <c r="BF209" s="46"/>
      <c r="BL209" s="121"/>
      <c r="BM209" s="122"/>
      <c r="BN209" s="123"/>
      <c r="BO209" s="123"/>
      <c r="BP209" s="123"/>
      <c r="BQ209" s="123"/>
      <c r="BR209" s="122"/>
      <c r="BS209" s="124"/>
      <c r="BT209" s="124"/>
      <c r="BU209" s="124"/>
      <c r="BV209" s="125"/>
      <c r="BW209" s="82"/>
      <c r="CD209" s="262"/>
      <c r="CH209" s="265"/>
    </row>
    <row r="210" spans="2:86" x14ac:dyDescent="0.8">
      <c r="E210" s="86"/>
      <c r="F210" s="114"/>
      <c r="H210" s="130"/>
      <c r="I210" s="86"/>
      <c r="J210" s="115"/>
      <c r="L210" s="117"/>
      <c r="M210" s="118"/>
      <c r="P210" s="91"/>
      <c r="R210" s="57"/>
      <c r="S210" s="150"/>
      <c r="T210" s="140"/>
      <c r="U210" s="139"/>
      <c r="V210" s="128"/>
      <c r="W210" s="139"/>
      <c r="X210" s="129"/>
      <c r="Y210" s="120"/>
      <c r="AG210" s="120"/>
      <c r="AL210" s="69"/>
      <c r="AN210" s="70"/>
      <c r="AQ210" s="67"/>
      <c r="AT210" s="46"/>
      <c r="AY210" s="57"/>
      <c r="AZ210" s="64"/>
      <c r="BA210" s="46"/>
      <c r="BB210" s="46"/>
      <c r="BC210" s="48"/>
      <c r="BF210" s="46"/>
      <c r="BL210" s="121"/>
      <c r="BM210" s="122"/>
      <c r="BN210" s="123"/>
      <c r="BO210" s="123"/>
      <c r="BP210" s="123"/>
      <c r="BQ210" s="123"/>
      <c r="BR210" s="122"/>
      <c r="BS210" s="124"/>
      <c r="BT210" s="124"/>
      <c r="BU210" s="124"/>
      <c r="BV210" s="125"/>
      <c r="BW210" s="82"/>
      <c r="CD210" s="262"/>
      <c r="CH210" s="265"/>
    </row>
    <row r="211" spans="2:86" x14ac:dyDescent="0.8">
      <c r="E211" s="86"/>
      <c r="F211" s="127"/>
      <c r="H211" s="130"/>
      <c r="I211" s="86"/>
      <c r="J211" s="128"/>
      <c r="L211" s="117"/>
      <c r="M211" s="118"/>
      <c r="N211" s="130"/>
      <c r="P211" s="91"/>
      <c r="R211" s="57"/>
      <c r="S211" s="150"/>
      <c r="T211" s="140"/>
      <c r="U211" s="120"/>
      <c r="V211" s="138"/>
      <c r="W211" s="120"/>
      <c r="X211" s="135"/>
      <c r="Y211" s="139"/>
      <c r="AA211" s="136"/>
      <c r="AD211" s="140"/>
      <c r="AF211" s="115"/>
      <c r="AG211" s="120"/>
      <c r="AJ211" s="140"/>
      <c r="AL211" s="68"/>
      <c r="AQ211" s="67"/>
      <c r="AT211" s="46"/>
      <c r="AY211" s="57"/>
      <c r="AZ211" s="64"/>
      <c r="BA211" s="46"/>
      <c r="BB211" s="46"/>
      <c r="BC211" s="48"/>
      <c r="BF211" s="46"/>
      <c r="BL211" s="121"/>
      <c r="BM211" s="122"/>
      <c r="BN211" s="123"/>
      <c r="BO211" s="123"/>
      <c r="BP211" s="123"/>
      <c r="BQ211" s="123"/>
      <c r="BR211" s="122"/>
      <c r="BS211" s="124"/>
      <c r="BT211" s="124"/>
      <c r="BU211" s="124"/>
      <c r="BV211" s="125"/>
      <c r="BW211" s="82"/>
      <c r="CD211" s="262"/>
      <c r="CH211" s="265"/>
    </row>
    <row r="212" spans="2:86" x14ac:dyDescent="0.8">
      <c r="E212" s="86"/>
      <c r="F212" s="114"/>
      <c r="H212" s="91"/>
      <c r="I212" s="86"/>
      <c r="J212" s="115"/>
      <c r="N212" s="116"/>
      <c r="P212" s="91"/>
      <c r="R212" s="57"/>
      <c r="S212" s="150"/>
      <c r="T212" s="115"/>
      <c r="U212" s="120"/>
      <c r="V212" s="115"/>
      <c r="W212" s="120"/>
      <c r="X212" s="57"/>
      <c r="Y212" s="46"/>
      <c r="Z212" s="57"/>
      <c r="AA212" s="46"/>
      <c r="AF212" s="115"/>
      <c r="AG212" s="120"/>
      <c r="AN212" s="70"/>
      <c r="AQ212" s="67"/>
      <c r="AT212" s="46"/>
      <c r="BC212" s="48"/>
      <c r="BF212" s="46"/>
      <c r="BL212" s="121"/>
      <c r="BM212" s="122"/>
      <c r="BN212" s="123"/>
      <c r="BO212" s="123"/>
      <c r="BP212" s="123"/>
      <c r="BQ212" s="123"/>
      <c r="BR212" s="122"/>
      <c r="BS212" s="124"/>
      <c r="BT212" s="124"/>
      <c r="BU212" s="124"/>
      <c r="BV212" s="125"/>
      <c r="BW212" s="82"/>
      <c r="CD212" s="262"/>
      <c r="CH212" s="265"/>
    </row>
    <row r="213" spans="2:86" x14ac:dyDescent="0.8">
      <c r="B213" s="46"/>
      <c r="F213" s="127"/>
      <c r="H213" s="91"/>
      <c r="I213" s="86"/>
      <c r="R213" s="57"/>
      <c r="S213" s="150"/>
      <c r="U213" s="139"/>
      <c r="W213" s="120"/>
      <c r="X213" s="140"/>
      <c r="Y213" s="46"/>
      <c r="Z213" s="57"/>
      <c r="AA213" s="144"/>
      <c r="AG213" s="144"/>
      <c r="AI213" s="144"/>
      <c r="AM213" s="64"/>
      <c r="AO213" s="46"/>
      <c r="AQ213" s="67"/>
      <c r="AT213" s="46"/>
      <c r="BC213" s="48"/>
      <c r="BF213" s="46"/>
      <c r="BL213" s="121"/>
      <c r="BM213" s="122"/>
      <c r="BN213" s="123"/>
      <c r="BO213" s="123"/>
      <c r="BP213" s="123"/>
      <c r="BQ213" s="123"/>
      <c r="BR213" s="122"/>
      <c r="BS213" s="124"/>
      <c r="BT213" s="124"/>
      <c r="BU213" s="124"/>
      <c r="BV213" s="125"/>
      <c r="BW213" s="82"/>
      <c r="CD213" s="262"/>
      <c r="CH213" s="265"/>
    </row>
    <row r="214" spans="2:86" x14ac:dyDescent="0.8">
      <c r="B214" s="46"/>
      <c r="F214" s="114"/>
      <c r="H214" s="91"/>
      <c r="I214" s="86"/>
      <c r="L214" s="117"/>
      <c r="M214" s="118"/>
      <c r="R214" s="57"/>
      <c r="S214" s="150"/>
      <c r="T214" s="140"/>
      <c r="U214" s="120"/>
      <c r="W214" s="120"/>
      <c r="X214" s="129"/>
      <c r="Y214" s="120"/>
      <c r="AL214" s="69"/>
      <c r="AN214" s="70"/>
      <c r="AQ214" s="67"/>
      <c r="AT214" s="46"/>
      <c r="AY214" s="57"/>
      <c r="AZ214" s="64"/>
      <c r="BA214" s="46"/>
      <c r="BB214" s="46"/>
      <c r="BC214" s="48"/>
      <c r="BF214" s="46"/>
      <c r="BL214" s="121"/>
      <c r="BM214" s="122"/>
      <c r="BN214" s="123"/>
      <c r="BO214" s="123"/>
      <c r="BP214" s="123"/>
      <c r="BQ214" s="123"/>
      <c r="BR214" s="122"/>
      <c r="BS214" s="124"/>
      <c r="BT214" s="124"/>
      <c r="BU214" s="124"/>
      <c r="BV214" s="125"/>
      <c r="BW214" s="82"/>
      <c r="CD214" s="262"/>
      <c r="CH214" s="265"/>
    </row>
    <row r="215" spans="2:86" x14ac:dyDescent="0.8">
      <c r="B215" s="46"/>
      <c r="F215" s="114"/>
      <c r="H215" s="91"/>
      <c r="I215" s="86"/>
      <c r="L215" s="117"/>
      <c r="M215" s="118"/>
      <c r="R215" s="57"/>
      <c r="S215" s="150"/>
      <c r="U215" s="120"/>
      <c r="W215" s="120"/>
      <c r="AQ215" s="67"/>
      <c r="AT215" s="46"/>
      <c r="AY215" s="57"/>
      <c r="AZ215" s="64"/>
      <c r="BA215" s="46"/>
      <c r="BB215" s="46"/>
      <c r="BC215" s="48"/>
      <c r="BF215" s="46"/>
      <c r="BL215" s="121"/>
      <c r="BM215" s="122"/>
      <c r="BN215" s="123"/>
      <c r="BO215" s="123"/>
      <c r="BP215" s="123"/>
      <c r="BQ215" s="123"/>
      <c r="BR215" s="122"/>
      <c r="BS215" s="124"/>
      <c r="BT215" s="124"/>
      <c r="BU215" s="124"/>
      <c r="BV215" s="125"/>
      <c r="BW215" s="82"/>
      <c r="CD215" s="262"/>
    </row>
    <row r="216" spans="2:86" x14ac:dyDescent="0.8">
      <c r="E216" s="86"/>
      <c r="F216" s="130"/>
      <c r="G216" s="86"/>
      <c r="H216" s="91"/>
      <c r="I216" s="86"/>
      <c r="J216" s="115"/>
      <c r="L216" s="117"/>
      <c r="M216" s="118"/>
      <c r="R216" s="57"/>
      <c r="S216" s="150"/>
      <c r="T216" s="140"/>
      <c r="U216" s="120"/>
      <c r="W216" s="120"/>
      <c r="AQ216" s="67"/>
      <c r="AT216" s="46"/>
      <c r="AY216" s="57"/>
      <c r="AZ216" s="64"/>
      <c r="BA216" s="46"/>
      <c r="BB216" s="46"/>
      <c r="BC216" s="48"/>
      <c r="BF216" s="46"/>
      <c r="BL216" s="121"/>
      <c r="BM216" s="122"/>
      <c r="BN216" s="123"/>
      <c r="BO216" s="123"/>
      <c r="BP216" s="123"/>
      <c r="BQ216" s="123"/>
      <c r="BR216" s="122"/>
      <c r="BS216" s="124"/>
      <c r="BT216" s="124"/>
      <c r="BU216" s="124"/>
      <c r="BV216" s="125"/>
      <c r="BW216" s="82"/>
      <c r="CD216" s="262"/>
    </row>
    <row r="217" spans="2:86" x14ac:dyDescent="0.8">
      <c r="F217" s="127"/>
      <c r="H217" s="114"/>
      <c r="J217" s="115"/>
      <c r="K217" s="62"/>
      <c r="L217" s="117"/>
      <c r="M217" s="118"/>
      <c r="N217" s="116"/>
      <c r="P217" s="130"/>
      <c r="R217" s="57"/>
      <c r="S217" s="46"/>
      <c r="T217" s="119"/>
      <c r="U217" s="120"/>
      <c r="V217" s="128"/>
      <c r="W217" s="120"/>
      <c r="X217" s="129"/>
      <c r="Y217" s="120"/>
      <c r="AA217" s="136"/>
      <c r="AG217" s="144"/>
      <c r="AL217" s="69"/>
      <c r="AN217" s="70"/>
      <c r="AQ217" s="67"/>
      <c r="AT217" s="46"/>
      <c r="AY217" s="57"/>
      <c r="AZ217" s="64"/>
      <c r="BA217" s="46"/>
      <c r="BB217" s="46"/>
      <c r="BC217" s="48"/>
      <c r="BF217" s="46"/>
      <c r="BL217" s="121"/>
      <c r="BM217" s="122"/>
      <c r="BN217" s="123"/>
      <c r="BO217" s="123"/>
      <c r="BP217" s="123"/>
      <c r="BQ217" s="123"/>
      <c r="BR217" s="122"/>
      <c r="BS217" s="124"/>
      <c r="BT217" s="124"/>
      <c r="BU217" s="124"/>
      <c r="BV217" s="125"/>
      <c r="BW217" s="82"/>
      <c r="CD217" s="262"/>
    </row>
    <row r="218" spans="2:86" x14ac:dyDescent="0.8">
      <c r="F218" s="114"/>
      <c r="H218" s="127"/>
      <c r="J218" s="115"/>
      <c r="K218" s="62"/>
      <c r="L218" s="117"/>
      <c r="M218" s="118"/>
      <c r="N218" s="116"/>
      <c r="P218" s="130"/>
      <c r="R218" s="57"/>
      <c r="S218" s="46"/>
      <c r="T218" s="138"/>
      <c r="U218" s="120"/>
      <c r="V218" s="115"/>
      <c r="W218" s="120"/>
      <c r="X218" s="143"/>
      <c r="AA218" s="136"/>
      <c r="AG218" s="144"/>
      <c r="AQ218" s="67"/>
      <c r="AT218" s="46"/>
      <c r="AY218" s="57"/>
      <c r="AZ218" s="64"/>
      <c r="BA218" s="46"/>
      <c r="BB218" s="46"/>
      <c r="BC218" s="48"/>
      <c r="BF218" s="46"/>
      <c r="BL218" s="121"/>
      <c r="BM218" s="122"/>
      <c r="BN218" s="123"/>
      <c r="BO218" s="123"/>
      <c r="BP218" s="123"/>
      <c r="BQ218" s="123"/>
      <c r="BR218" s="122"/>
      <c r="BS218" s="124"/>
      <c r="BT218" s="124"/>
      <c r="BU218" s="124"/>
      <c r="BV218" s="125"/>
      <c r="BW218" s="82"/>
      <c r="CD218" s="262"/>
    </row>
    <row r="219" spans="2:86" x14ac:dyDescent="0.8">
      <c r="F219" s="127"/>
      <c r="H219" s="114"/>
      <c r="J219" s="115"/>
      <c r="K219" s="62"/>
      <c r="L219" s="117"/>
      <c r="M219" s="118"/>
      <c r="N219" s="116"/>
      <c r="P219" s="130"/>
      <c r="R219" s="57"/>
      <c r="S219" s="46"/>
      <c r="T219" s="119"/>
      <c r="U219" s="120"/>
      <c r="V219" s="128"/>
      <c r="W219" s="120"/>
      <c r="X219" s="129"/>
      <c r="Y219" s="120"/>
      <c r="AL219" s="68"/>
      <c r="AQ219" s="67"/>
      <c r="AT219" s="46"/>
      <c r="AY219" s="57"/>
      <c r="AZ219" s="64"/>
      <c r="BA219" s="46"/>
      <c r="BB219" s="46"/>
      <c r="BC219" s="48"/>
      <c r="BF219" s="46"/>
      <c r="BL219" s="121"/>
      <c r="BM219" s="122"/>
      <c r="BN219" s="123"/>
      <c r="BO219" s="123"/>
      <c r="BP219" s="123"/>
      <c r="BQ219" s="123"/>
      <c r="BR219" s="122"/>
      <c r="BS219" s="124"/>
      <c r="BT219" s="124"/>
      <c r="BU219" s="124"/>
      <c r="BV219" s="125"/>
      <c r="BW219" s="82"/>
      <c r="CD219" s="262"/>
    </row>
    <row r="220" spans="2:86" x14ac:dyDescent="0.8">
      <c r="F220" s="114"/>
      <c r="H220" s="127"/>
      <c r="J220" s="128"/>
      <c r="K220" s="62"/>
      <c r="N220" s="130"/>
      <c r="P220" s="130"/>
      <c r="R220" s="57"/>
      <c r="S220" s="46"/>
      <c r="T220" s="128"/>
      <c r="U220" s="120"/>
      <c r="V220" s="115"/>
      <c r="W220" s="120"/>
      <c r="AN220" s="70"/>
      <c r="AQ220" s="67"/>
      <c r="AT220" s="46"/>
      <c r="AY220" s="57"/>
      <c r="AZ220" s="64"/>
      <c r="BA220" s="46"/>
      <c r="BB220" s="46"/>
      <c r="BC220" s="48"/>
      <c r="BF220" s="46"/>
      <c r="BL220" s="121"/>
      <c r="BM220" s="122"/>
      <c r="BN220" s="123"/>
      <c r="BO220" s="123"/>
      <c r="BP220" s="123"/>
      <c r="BQ220" s="123"/>
      <c r="BR220" s="122"/>
      <c r="BS220" s="124"/>
      <c r="BT220" s="124"/>
      <c r="BU220" s="124"/>
      <c r="BV220" s="125"/>
      <c r="BW220" s="82"/>
      <c r="CD220" s="262"/>
      <c r="CH220" s="265"/>
    </row>
    <row r="221" spans="2:86" x14ac:dyDescent="0.8">
      <c r="F221" s="127"/>
      <c r="H221" s="114"/>
      <c r="J221" s="115"/>
      <c r="K221" s="62"/>
      <c r="N221" s="116"/>
      <c r="P221" s="130"/>
      <c r="R221" s="57"/>
      <c r="S221" s="46"/>
      <c r="T221" s="128"/>
      <c r="U221" s="120"/>
      <c r="V221" s="128"/>
      <c r="W221" s="120"/>
      <c r="AN221" s="70"/>
      <c r="AQ221" s="67"/>
      <c r="AT221" s="46"/>
      <c r="AY221" s="57"/>
      <c r="AZ221" s="64"/>
      <c r="BA221" s="46"/>
      <c r="BB221" s="46"/>
      <c r="BC221" s="48"/>
      <c r="BF221" s="46"/>
      <c r="BL221" s="121"/>
      <c r="BM221" s="122"/>
      <c r="BN221" s="123"/>
      <c r="BO221" s="123"/>
      <c r="BP221" s="123"/>
      <c r="BQ221" s="123"/>
      <c r="BR221" s="122"/>
      <c r="BS221" s="124"/>
      <c r="BT221" s="124"/>
      <c r="BU221" s="124"/>
      <c r="BV221" s="125"/>
      <c r="BW221" s="82"/>
      <c r="CD221" s="262"/>
      <c r="CH221" s="265"/>
    </row>
    <row r="222" spans="2:86" x14ac:dyDescent="0.8">
      <c r="F222" s="114"/>
      <c r="H222" s="114"/>
      <c r="J222" s="115"/>
      <c r="K222" s="62"/>
      <c r="N222" s="130"/>
      <c r="P222" s="130"/>
      <c r="R222" s="57"/>
      <c r="S222" s="46"/>
      <c r="T222" s="115"/>
      <c r="U222" s="120"/>
      <c r="V222" s="115"/>
      <c r="W222" s="120"/>
      <c r="AQ222" s="67"/>
      <c r="AT222" s="46"/>
      <c r="AY222" s="57"/>
      <c r="AZ222" s="64"/>
      <c r="BA222" s="46"/>
      <c r="BB222" s="46"/>
      <c r="BC222" s="48"/>
      <c r="BF222" s="46"/>
      <c r="BL222" s="121"/>
      <c r="BM222" s="122"/>
      <c r="BN222" s="123"/>
      <c r="BO222" s="123"/>
      <c r="BP222" s="123"/>
      <c r="BQ222" s="123"/>
      <c r="BR222" s="122"/>
      <c r="BS222" s="124"/>
      <c r="BT222" s="124"/>
      <c r="BU222" s="124"/>
      <c r="BV222" s="125"/>
      <c r="BW222" s="82"/>
      <c r="CD222" s="262"/>
      <c r="CH222" s="265"/>
    </row>
    <row r="223" spans="2:86" x14ac:dyDescent="0.8">
      <c r="F223" s="127"/>
      <c r="H223" s="127"/>
      <c r="J223" s="142"/>
      <c r="K223" s="62"/>
      <c r="N223" s="91"/>
      <c r="O223" s="58"/>
      <c r="P223" s="130"/>
      <c r="Q223" s="59"/>
      <c r="R223" s="57"/>
      <c r="S223" s="46"/>
      <c r="T223" s="151"/>
      <c r="U223" s="120"/>
      <c r="V223" s="151"/>
      <c r="W223" s="120"/>
      <c r="X223" s="135"/>
      <c r="Y223" s="136"/>
      <c r="AA223" s="136"/>
      <c r="AD223" s="143"/>
      <c r="AF223" s="71"/>
      <c r="AH223" s="71"/>
      <c r="AJ223" s="143"/>
      <c r="AN223" s="70"/>
      <c r="AP223" s="137"/>
      <c r="AQ223" s="67"/>
      <c r="AT223" s="46"/>
      <c r="BB223" s="46"/>
      <c r="BC223" s="48"/>
      <c r="BF223" s="46"/>
      <c r="BL223" s="121"/>
      <c r="BM223" s="122"/>
      <c r="BN223" s="123"/>
      <c r="BO223" s="123"/>
      <c r="BP223" s="123"/>
      <c r="BQ223" s="123"/>
      <c r="BR223" s="122"/>
      <c r="BS223" s="124"/>
      <c r="BT223" s="124"/>
      <c r="BU223" s="124"/>
      <c r="BV223" s="125"/>
      <c r="BW223" s="82"/>
      <c r="CD223" s="262"/>
      <c r="CH223" s="265"/>
    </row>
    <row r="224" spans="2:86" x14ac:dyDescent="0.8">
      <c r="F224" s="127"/>
      <c r="H224" s="127"/>
      <c r="J224" s="115"/>
      <c r="K224" s="62"/>
      <c r="N224" s="116"/>
      <c r="P224" s="130"/>
      <c r="R224" s="57"/>
      <c r="S224" s="46"/>
      <c r="T224" s="115"/>
      <c r="U224" s="120"/>
      <c r="V224" s="115"/>
      <c r="W224" s="120"/>
      <c r="X224" s="57"/>
      <c r="Y224" s="46"/>
      <c r="Z224" s="57"/>
      <c r="AA224" s="46"/>
      <c r="AG224" s="120"/>
      <c r="AM224" s="64"/>
      <c r="AO224" s="46"/>
      <c r="AQ224" s="67"/>
      <c r="AT224" s="46"/>
      <c r="BC224" s="48"/>
      <c r="BF224" s="46"/>
      <c r="BL224" s="121"/>
      <c r="BM224" s="122"/>
      <c r="BN224" s="123"/>
      <c r="BO224" s="123"/>
      <c r="BP224" s="123"/>
      <c r="BQ224" s="123"/>
      <c r="BR224" s="122"/>
      <c r="BS224" s="124"/>
      <c r="BT224" s="124"/>
      <c r="BU224" s="124"/>
      <c r="BV224" s="125"/>
      <c r="BW224" s="82"/>
      <c r="CD224" s="262"/>
      <c r="CH224" s="265"/>
    </row>
    <row r="225" spans="2:86" x14ac:dyDescent="0.8">
      <c r="F225" s="127"/>
      <c r="H225" s="127"/>
      <c r="J225" s="115"/>
      <c r="K225" s="62"/>
      <c r="N225" s="116"/>
      <c r="P225" s="130"/>
      <c r="R225" s="57"/>
      <c r="S225" s="46"/>
      <c r="T225" s="115"/>
      <c r="U225" s="120"/>
      <c r="V225" s="128"/>
      <c r="W225" s="120"/>
      <c r="X225" s="57"/>
      <c r="Y225" s="46"/>
      <c r="Z225" s="57"/>
      <c r="AA225" s="46"/>
      <c r="AF225" s="115"/>
      <c r="AG225" s="120"/>
      <c r="AL225" s="69"/>
      <c r="AN225" s="70"/>
      <c r="AQ225" s="67"/>
      <c r="AT225" s="46"/>
      <c r="BC225" s="48"/>
      <c r="BF225" s="46"/>
      <c r="BL225" s="121"/>
      <c r="BM225" s="122"/>
      <c r="BN225" s="123"/>
      <c r="BO225" s="123"/>
      <c r="BP225" s="123"/>
      <c r="BQ225" s="123"/>
      <c r="BR225" s="122"/>
      <c r="BS225" s="124"/>
      <c r="BT225" s="124"/>
      <c r="BU225" s="124"/>
      <c r="BV225" s="125"/>
      <c r="BW225" s="82"/>
      <c r="CD225" s="262"/>
      <c r="CH225" s="265"/>
    </row>
    <row r="226" spans="2:86" x14ac:dyDescent="0.8">
      <c r="F226" s="114"/>
      <c r="H226" s="114"/>
      <c r="J226" s="115"/>
      <c r="K226" s="62"/>
      <c r="N226" s="116"/>
      <c r="P226" s="130"/>
      <c r="R226" s="57"/>
      <c r="S226" s="46"/>
      <c r="T226" s="115"/>
      <c r="U226" s="120"/>
      <c r="V226" s="115"/>
      <c r="W226" s="120"/>
      <c r="X226" s="57"/>
      <c r="Y226" s="46"/>
      <c r="Z226" s="57"/>
      <c r="AA226" s="46"/>
      <c r="AF226" s="115"/>
      <c r="AG226" s="120"/>
      <c r="AM226" s="64"/>
      <c r="AO226" s="46"/>
      <c r="AQ226" s="67"/>
      <c r="AT226" s="46"/>
      <c r="BC226" s="48"/>
      <c r="BF226" s="46"/>
      <c r="BL226" s="121"/>
      <c r="BM226" s="122"/>
      <c r="BN226" s="123"/>
      <c r="BO226" s="123"/>
      <c r="BP226" s="123"/>
      <c r="BQ226" s="123"/>
      <c r="BR226" s="122"/>
      <c r="BS226" s="124"/>
      <c r="BT226" s="124"/>
      <c r="BU226" s="124"/>
      <c r="BV226" s="125"/>
      <c r="BW226" s="82"/>
      <c r="CD226" s="262"/>
      <c r="CH226" s="265"/>
    </row>
    <row r="227" spans="2:86" x14ac:dyDescent="0.8">
      <c r="F227" s="114"/>
      <c r="H227" s="114"/>
      <c r="J227" s="115"/>
      <c r="K227" s="62"/>
      <c r="L227" s="117"/>
      <c r="M227" s="118"/>
      <c r="N227" s="116"/>
      <c r="P227" s="130"/>
      <c r="R227" s="57"/>
      <c r="S227" s="46"/>
      <c r="T227" s="138"/>
      <c r="U227" s="120"/>
      <c r="V227" s="115"/>
      <c r="W227" s="120"/>
      <c r="X227" s="129"/>
      <c r="Y227" s="120"/>
      <c r="AF227" s="115"/>
      <c r="AG227" s="120"/>
      <c r="AL227" s="68"/>
      <c r="AQ227" s="67"/>
      <c r="AT227" s="46"/>
      <c r="AY227" s="57"/>
      <c r="AZ227" s="64"/>
      <c r="BA227" s="46"/>
      <c r="BB227" s="46"/>
      <c r="BC227" s="48"/>
      <c r="BF227" s="46"/>
      <c r="BL227" s="121"/>
      <c r="BM227" s="122"/>
      <c r="BN227" s="123"/>
      <c r="BO227" s="123"/>
      <c r="BP227" s="123"/>
      <c r="BQ227" s="123"/>
      <c r="BR227" s="122"/>
      <c r="BS227" s="124"/>
      <c r="BT227" s="124"/>
      <c r="BU227" s="124"/>
      <c r="BV227" s="125"/>
      <c r="BW227" s="82"/>
      <c r="CD227" s="262"/>
      <c r="CH227" s="265"/>
    </row>
    <row r="228" spans="2:86" x14ac:dyDescent="0.8">
      <c r="F228" s="114"/>
      <c r="H228" s="114"/>
      <c r="J228" s="128"/>
      <c r="K228" s="62"/>
      <c r="L228" s="117"/>
      <c r="M228" s="118"/>
      <c r="N228" s="130"/>
      <c r="P228" s="130"/>
      <c r="R228" s="57"/>
      <c r="S228" s="46"/>
      <c r="T228" s="119"/>
      <c r="U228" s="120"/>
      <c r="V228" s="128"/>
      <c r="W228" s="120"/>
      <c r="X228" s="129"/>
      <c r="Y228" s="120"/>
      <c r="AL228" s="68"/>
      <c r="AQ228" s="67"/>
      <c r="AT228" s="46"/>
      <c r="AY228" s="57"/>
      <c r="AZ228" s="64"/>
      <c r="BA228" s="46"/>
      <c r="BB228" s="46"/>
      <c r="BC228" s="48"/>
      <c r="BF228" s="46"/>
      <c r="BL228" s="121"/>
      <c r="BM228" s="122"/>
      <c r="BN228" s="123"/>
      <c r="BO228" s="123"/>
      <c r="BP228" s="123"/>
      <c r="BQ228" s="123"/>
      <c r="BR228" s="122"/>
      <c r="BS228" s="124"/>
      <c r="BT228" s="124"/>
      <c r="BU228" s="124"/>
      <c r="BV228" s="125"/>
      <c r="BW228" s="82"/>
      <c r="CD228" s="262"/>
      <c r="CH228" s="265"/>
    </row>
    <row r="229" spans="2:86" x14ac:dyDescent="0.8">
      <c r="F229" s="127"/>
      <c r="H229" s="114"/>
      <c r="J229" s="115"/>
      <c r="K229" s="62"/>
      <c r="N229" s="116"/>
      <c r="P229" s="130"/>
      <c r="R229" s="57"/>
      <c r="S229" s="46"/>
      <c r="T229" s="115"/>
      <c r="U229" s="120"/>
      <c r="V229" s="115"/>
      <c r="W229" s="120"/>
      <c r="X229" s="57"/>
      <c r="Y229" s="46"/>
      <c r="Z229" s="57"/>
      <c r="AA229" s="46"/>
      <c r="AD229" s="153"/>
      <c r="AM229" s="64"/>
      <c r="AO229" s="46"/>
      <c r="AQ229" s="67"/>
      <c r="AT229" s="46"/>
      <c r="BC229" s="48"/>
      <c r="BF229" s="46"/>
      <c r="BL229" s="121"/>
      <c r="BM229" s="122"/>
      <c r="BN229" s="123"/>
      <c r="BO229" s="123"/>
      <c r="BP229" s="123"/>
      <c r="BQ229" s="123"/>
      <c r="BR229" s="122"/>
      <c r="BS229" s="124"/>
      <c r="BT229" s="124"/>
      <c r="BU229" s="124"/>
      <c r="BV229" s="125"/>
      <c r="BW229" s="82"/>
      <c r="CD229" s="262"/>
      <c r="CH229" s="265"/>
    </row>
    <row r="230" spans="2:86" x14ac:dyDescent="0.8">
      <c r="F230" s="127"/>
      <c r="H230" s="127"/>
      <c r="J230" s="115"/>
      <c r="K230" s="62"/>
      <c r="L230" s="117"/>
      <c r="M230" s="118"/>
      <c r="N230" s="116"/>
      <c r="P230" s="130"/>
      <c r="R230" s="57"/>
      <c r="S230" s="46"/>
      <c r="T230" s="119"/>
      <c r="U230" s="120"/>
      <c r="V230" s="128"/>
      <c r="W230" s="120"/>
      <c r="X230" s="129"/>
      <c r="Y230" s="120"/>
      <c r="AF230" s="115"/>
      <c r="AG230" s="120"/>
      <c r="AL230" s="69"/>
      <c r="AN230" s="70"/>
      <c r="AQ230" s="67"/>
      <c r="AT230" s="46"/>
      <c r="AY230" s="57"/>
      <c r="AZ230" s="64"/>
      <c r="BA230" s="46"/>
      <c r="BB230" s="46"/>
      <c r="BC230" s="48"/>
      <c r="BF230" s="46"/>
      <c r="BL230" s="121"/>
      <c r="BM230" s="122"/>
      <c r="BN230" s="123"/>
      <c r="BO230" s="123"/>
      <c r="BP230" s="123"/>
      <c r="BQ230" s="123"/>
      <c r="BR230" s="122"/>
      <c r="BS230" s="124"/>
      <c r="BT230" s="124"/>
      <c r="BU230" s="124"/>
      <c r="BV230" s="125"/>
      <c r="BW230" s="82"/>
      <c r="CD230" s="262"/>
      <c r="CH230" s="265"/>
    </row>
    <row r="231" spans="2:86" x14ac:dyDescent="0.8">
      <c r="F231" s="114"/>
      <c r="H231" s="114"/>
      <c r="J231" s="115"/>
      <c r="L231" s="117"/>
      <c r="M231" s="118"/>
      <c r="N231" s="116"/>
      <c r="P231" s="91"/>
      <c r="R231" s="57"/>
      <c r="S231" s="150"/>
      <c r="T231" s="140"/>
      <c r="U231" s="139"/>
      <c r="V231" s="128"/>
      <c r="W231" s="139"/>
      <c r="X231" s="129"/>
      <c r="Y231" s="120"/>
      <c r="AF231" s="115"/>
      <c r="AG231" s="120"/>
      <c r="AN231" s="70"/>
      <c r="AQ231" s="67"/>
      <c r="AT231" s="46"/>
      <c r="AY231" s="57"/>
      <c r="AZ231" s="64"/>
      <c r="BA231" s="46"/>
      <c r="BB231" s="46"/>
      <c r="BC231" s="48"/>
      <c r="BF231" s="46"/>
      <c r="BL231" s="121"/>
      <c r="BM231" s="122"/>
      <c r="BN231" s="123"/>
      <c r="BO231" s="123"/>
      <c r="BP231" s="123"/>
      <c r="BQ231" s="123"/>
      <c r="BR231" s="122"/>
      <c r="BS231" s="124"/>
      <c r="BT231" s="124"/>
      <c r="BU231" s="124"/>
      <c r="BV231" s="125"/>
      <c r="BW231" s="82"/>
      <c r="CD231" s="262"/>
      <c r="CH231" s="265"/>
    </row>
    <row r="232" spans="2:86" x14ac:dyDescent="0.8">
      <c r="E232" s="86"/>
      <c r="F232" s="114"/>
      <c r="H232" s="130"/>
      <c r="I232" s="86"/>
      <c r="J232" s="115"/>
      <c r="L232" s="117"/>
      <c r="M232" s="118"/>
      <c r="P232" s="91"/>
      <c r="R232" s="57"/>
      <c r="S232" s="150"/>
      <c r="T232" s="140"/>
      <c r="U232" s="139"/>
      <c r="V232" s="128"/>
      <c r="W232" s="139"/>
      <c r="X232" s="129"/>
      <c r="Y232" s="120"/>
      <c r="AG232" s="120"/>
      <c r="AL232" s="69"/>
      <c r="AN232" s="70"/>
      <c r="AQ232" s="67"/>
      <c r="AT232" s="46"/>
      <c r="AY232" s="57"/>
      <c r="AZ232" s="64"/>
      <c r="BA232" s="46"/>
      <c r="BB232" s="46"/>
      <c r="BC232" s="48"/>
      <c r="BF232" s="46"/>
      <c r="BL232" s="121"/>
      <c r="BM232" s="122"/>
      <c r="BN232" s="123"/>
      <c r="BO232" s="123"/>
      <c r="BP232" s="123"/>
      <c r="BQ232" s="123"/>
      <c r="BR232" s="122"/>
      <c r="BS232" s="124"/>
      <c r="BT232" s="124"/>
      <c r="BU232" s="124"/>
      <c r="BV232" s="125"/>
      <c r="BW232" s="82"/>
      <c r="CD232" s="262"/>
      <c r="CH232" s="265"/>
    </row>
    <row r="233" spans="2:86" x14ac:dyDescent="0.8">
      <c r="E233" s="86"/>
      <c r="F233" s="127"/>
      <c r="H233" s="130"/>
      <c r="I233" s="86"/>
      <c r="J233" s="128"/>
      <c r="L233" s="117"/>
      <c r="M233" s="118"/>
      <c r="N233" s="130"/>
      <c r="P233" s="91"/>
      <c r="R233" s="57"/>
      <c r="S233" s="150"/>
      <c r="T233" s="140"/>
      <c r="U233" s="120"/>
      <c r="V233" s="138"/>
      <c r="W233" s="120"/>
      <c r="X233" s="135"/>
      <c r="Y233" s="139"/>
      <c r="AA233" s="136"/>
      <c r="AD233" s="140"/>
      <c r="AF233" s="115"/>
      <c r="AG233" s="120"/>
      <c r="AJ233" s="140"/>
      <c r="AL233" s="68"/>
      <c r="AQ233" s="67"/>
      <c r="AT233" s="46"/>
      <c r="AY233" s="57"/>
      <c r="AZ233" s="64"/>
      <c r="BA233" s="46"/>
      <c r="BB233" s="46"/>
      <c r="BC233" s="48"/>
      <c r="BF233" s="46"/>
      <c r="BL233" s="121"/>
      <c r="BM233" s="122"/>
      <c r="BN233" s="123"/>
      <c r="BO233" s="123"/>
      <c r="BP233" s="123"/>
      <c r="BQ233" s="123"/>
      <c r="BR233" s="122"/>
      <c r="BS233" s="124"/>
      <c r="BT233" s="124"/>
      <c r="BU233" s="124"/>
      <c r="BV233" s="125"/>
      <c r="BW233" s="82"/>
      <c r="CD233" s="262"/>
      <c r="CH233" s="265"/>
    </row>
    <row r="234" spans="2:86" x14ac:dyDescent="0.8">
      <c r="E234" s="86"/>
      <c r="F234" s="127"/>
      <c r="H234" s="91"/>
      <c r="I234" s="86"/>
      <c r="J234" s="115"/>
      <c r="N234" s="116"/>
      <c r="P234" s="91"/>
      <c r="R234" s="57"/>
      <c r="S234" s="150"/>
      <c r="T234" s="115"/>
      <c r="U234" s="120"/>
      <c r="V234" s="115"/>
      <c r="W234" s="120"/>
      <c r="X234" s="57"/>
      <c r="Y234" s="46"/>
      <c r="Z234" s="57"/>
      <c r="AA234" s="46"/>
      <c r="AF234" s="115"/>
      <c r="AG234" s="120"/>
      <c r="AN234" s="70"/>
      <c r="AQ234" s="67"/>
      <c r="AT234" s="46"/>
      <c r="BC234" s="48"/>
      <c r="BF234" s="46"/>
      <c r="BL234" s="121"/>
      <c r="BM234" s="122"/>
      <c r="BN234" s="123"/>
      <c r="BO234" s="123"/>
      <c r="BP234" s="123"/>
      <c r="BQ234" s="123"/>
      <c r="BR234" s="122"/>
      <c r="BS234" s="124"/>
      <c r="BT234" s="124"/>
      <c r="BU234" s="124"/>
      <c r="BV234" s="125"/>
      <c r="BW234" s="82"/>
      <c r="CD234" s="262"/>
      <c r="CH234" s="265"/>
    </row>
    <row r="235" spans="2:86" x14ac:dyDescent="0.8">
      <c r="B235" s="46"/>
      <c r="F235" s="114"/>
      <c r="H235" s="91"/>
      <c r="I235" s="86"/>
      <c r="R235" s="57"/>
      <c r="S235" s="150"/>
      <c r="U235" s="139"/>
      <c r="W235" s="120"/>
      <c r="X235" s="140"/>
      <c r="Y235" s="46"/>
      <c r="Z235" s="57"/>
      <c r="AA235" s="144"/>
      <c r="AG235" s="144"/>
      <c r="AI235" s="144"/>
      <c r="AM235" s="64"/>
      <c r="AO235" s="46"/>
      <c r="AQ235" s="67"/>
      <c r="AT235" s="46"/>
      <c r="BC235" s="48"/>
      <c r="BF235" s="46"/>
      <c r="BL235" s="121"/>
      <c r="BM235" s="122"/>
      <c r="BN235" s="123"/>
      <c r="BO235" s="123"/>
      <c r="BP235" s="123"/>
      <c r="BQ235" s="123"/>
      <c r="BR235" s="122"/>
      <c r="BS235" s="124"/>
      <c r="BT235" s="124"/>
      <c r="BU235" s="124"/>
      <c r="BV235" s="125"/>
      <c r="BW235" s="82"/>
      <c r="CD235" s="262"/>
      <c r="CH235" s="265"/>
    </row>
    <row r="236" spans="2:86" x14ac:dyDescent="0.8">
      <c r="E236" s="86"/>
      <c r="F236" s="91"/>
      <c r="G236" s="86"/>
      <c r="H236" s="130"/>
      <c r="I236" s="86"/>
      <c r="J236" s="128"/>
      <c r="L236" s="117"/>
      <c r="M236" s="118"/>
      <c r="R236" s="57"/>
      <c r="S236" s="150"/>
      <c r="T236" s="119"/>
      <c r="U236" s="120"/>
      <c r="V236" s="128"/>
      <c r="W236" s="120"/>
      <c r="X236" s="129"/>
      <c r="Y236" s="120"/>
      <c r="AN236" s="70"/>
      <c r="AQ236" s="67"/>
      <c r="AT236" s="46"/>
      <c r="AY236" s="57"/>
      <c r="AZ236" s="64"/>
      <c r="BA236" s="46"/>
      <c r="BB236" s="46"/>
      <c r="BC236" s="48"/>
      <c r="BF236" s="46"/>
      <c r="BL236" s="121"/>
      <c r="BM236" s="122"/>
      <c r="BN236" s="123"/>
      <c r="BO236" s="123"/>
      <c r="BP236" s="123"/>
      <c r="BQ236" s="123"/>
      <c r="BR236" s="122"/>
      <c r="BS236" s="124"/>
      <c r="BT236" s="124"/>
      <c r="BU236" s="124"/>
      <c r="BV236" s="125"/>
      <c r="BW236" s="82"/>
      <c r="CD236" s="262"/>
      <c r="CH236" s="265"/>
    </row>
    <row r="237" spans="2:86" x14ac:dyDescent="0.8">
      <c r="E237" s="86"/>
      <c r="F237" s="91"/>
      <c r="G237" s="86"/>
      <c r="H237" s="130"/>
      <c r="I237" s="86"/>
      <c r="J237" s="128"/>
      <c r="L237" s="117"/>
      <c r="M237" s="118"/>
      <c r="R237" s="57"/>
      <c r="S237" s="150"/>
      <c r="U237" s="120"/>
      <c r="W237" s="120"/>
      <c r="AA237" s="46"/>
      <c r="AQ237" s="67"/>
      <c r="AT237" s="46"/>
      <c r="AY237" s="57"/>
      <c r="AZ237" s="64"/>
      <c r="BA237" s="46"/>
      <c r="BB237" s="46"/>
      <c r="BC237" s="48"/>
      <c r="BF237" s="46"/>
      <c r="BL237" s="121"/>
      <c r="BM237" s="122"/>
      <c r="BN237" s="123"/>
      <c r="BO237" s="123"/>
      <c r="BP237" s="123"/>
      <c r="BQ237" s="123"/>
      <c r="BR237" s="122"/>
      <c r="BS237" s="124"/>
      <c r="BT237" s="124"/>
      <c r="BU237" s="124"/>
      <c r="BV237" s="125"/>
      <c r="BW237" s="82"/>
      <c r="CD237" s="262"/>
      <c r="CH237" s="265"/>
    </row>
    <row r="238" spans="2:86" x14ac:dyDescent="0.8">
      <c r="E238" s="86"/>
      <c r="F238" s="130"/>
      <c r="G238" s="86"/>
      <c r="H238" s="91"/>
      <c r="I238" s="86"/>
      <c r="J238" s="128"/>
      <c r="L238" s="117"/>
      <c r="M238" s="118"/>
      <c r="N238" s="130"/>
      <c r="R238" s="57"/>
      <c r="S238" s="150"/>
      <c r="T238" s="128"/>
      <c r="U238" s="120"/>
      <c r="V238" s="128"/>
      <c r="W238" s="120"/>
      <c r="AA238" s="46"/>
      <c r="AQ238" s="67"/>
      <c r="AT238" s="46"/>
      <c r="AY238" s="57"/>
      <c r="AZ238" s="64"/>
      <c r="BA238" s="46"/>
      <c r="BB238" s="46"/>
      <c r="BC238" s="48"/>
      <c r="BF238" s="46"/>
      <c r="BL238" s="121"/>
      <c r="BM238" s="122"/>
      <c r="BN238" s="123"/>
      <c r="BO238" s="123"/>
      <c r="BP238" s="123"/>
      <c r="BQ238" s="123"/>
      <c r="BR238" s="122"/>
      <c r="BS238" s="124"/>
      <c r="BT238" s="124"/>
      <c r="BU238" s="124"/>
      <c r="BV238" s="125"/>
      <c r="BW238" s="82"/>
      <c r="CD238" s="262"/>
      <c r="CH238" s="265"/>
    </row>
    <row r="239" spans="2:86" x14ac:dyDescent="0.8">
      <c r="F239" s="127"/>
      <c r="H239" s="127"/>
      <c r="J239" s="128"/>
      <c r="K239" s="62"/>
      <c r="L239" s="117"/>
      <c r="M239" s="118"/>
      <c r="N239" s="130"/>
      <c r="P239" s="130"/>
      <c r="R239" s="57"/>
      <c r="S239" s="46"/>
      <c r="T239" s="119"/>
      <c r="U239" s="120"/>
      <c r="V239" s="128"/>
      <c r="W239" s="120"/>
      <c r="X239" s="129"/>
      <c r="Y239" s="120"/>
      <c r="AA239" s="136"/>
      <c r="AG239" s="144"/>
      <c r="AL239" s="69"/>
      <c r="AN239" s="70"/>
      <c r="AQ239" s="67"/>
      <c r="AT239" s="46"/>
      <c r="AY239" s="57"/>
      <c r="AZ239" s="64"/>
      <c r="BA239" s="46"/>
      <c r="BB239" s="46"/>
      <c r="BC239" s="48"/>
      <c r="BF239" s="46"/>
      <c r="BL239" s="121"/>
      <c r="BM239" s="122"/>
      <c r="BN239" s="123"/>
      <c r="BO239" s="123"/>
      <c r="BP239" s="123"/>
      <c r="BQ239" s="123"/>
      <c r="BR239" s="122"/>
      <c r="BS239" s="124"/>
      <c r="BT239" s="124"/>
      <c r="BU239" s="124"/>
      <c r="BV239" s="125"/>
      <c r="BW239" s="82"/>
      <c r="CD239" s="262"/>
      <c r="CH239" s="265"/>
    </row>
    <row r="240" spans="2:86" x14ac:dyDescent="0.8">
      <c r="F240" s="114"/>
      <c r="H240" s="114"/>
      <c r="J240" s="115"/>
      <c r="K240" s="62"/>
      <c r="L240" s="117"/>
      <c r="M240" s="118"/>
      <c r="N240" s="116"/>
      <c r="P240" s="130"/>
      <c r="R240" s="57"/>
      <c r="S240" s="46"/>
      <c r="T240" s="138"/>
      <c r="U240" s="120"/>
      <c r="V240" s="115"/>
      <c r="W240" s="120"/>
      <c r="X240" s="143"/>
      <c r="AA240" s="136"/>
      <c r="AG240" s="144"/>
      <c r="AQ240" s="67"/>
      <c r="AT240" s="46"/>
      <c r="AY240" s="57"/>
      <c r="AZ240" s="64"/>
      <c r="BA240" s="46"/>
      <c r="BB240" s="46"/>
      <c r="BC240" s="48"/>
      <c r="BF240" s="46"/>
      <c r="BL240" s="121"/>
      <c r="BM240" s="122"/>
      <c r="BN240" s="123"/>
      <c r="BO240" s="123"/>
      <c r="BP240" s="123"/>
      <c r="BQ240" s="123"/>
      <c r="BR240" s="122"/>
      <c r="BS240" s="124"/>
      <c r="BT240" s="124"/>
      <c r="BU240" s="124"/>
      <c r="BV240" s="125"/>
      <c r="BW240" s="82"/>
      <c r="CD240" s="262"/>
      <c r="CH240" s="265"/>
    </row>
    <row r="241" spans="5:86" x14ac:dyDescent="0.8">
      <c r="F241" s="114"/>
      <c r="H241" s="114"/>
      <c r="J241" s="115"/>
      <c r="K241" s="62"/>
      <c r="L241" s="117"/>
      <c r="M241" s="118"/>
      <c r="N241" s="116"/>
      <c r="P241" s="130"/>
      <c r="R241" s="57"/>
      <c r="S241" s="46"/>
      <c r="T241" s="138"/>
      <c r="U241" s="120"/>
      <c r="V241" s="115"/>
      <c r="W241" s="120"/>
      <c r="X241" s="129"/>
      <c r="Y241" s="120"/>
      <c r="AL241" s="68"/>
      <c r="AQ241" s="67"/>
      <c r="AT241" s="46"/>
      <c r="AY241" s="57"/>
      <c r="AZ241" s="64"/>
      <c r="BA241" s="46"/>
      <c r="BB241" s="46"/>
      <c r="BC241" s="48"/>
      <c r="BF241" s="46"/>
      <c r="BL241" s="121"/>
      <c r="BM241" s="122"/>
      <c r="BN241" s="123"/>
      <c r="BO241" s="123"/>
      <c r="BP241" s="123"/>
      <c r="BQ241" s="123"/>
      <c r="BR241" s="122"/>
      <c r="BS241" s="124"/>
      <c r="BT241" s="124"/>
      <c r="BU241" s="124"/>
      <c r="BV241" s="125"/>
      <c r="BW241" s="82"/>
      <c r="CD241" s="262"/>
      <c r="CH241" s="265"/>
    </row>
    <row r="242" spans="5:86" x14ac:dyDescent="0.8">
      <c r="F242" s="127"/>
      <c r="H242" s="127"/>
      <c r="J242" s="128"/>
      <c r="K242" s="62"/>
      <c r="N242" s="130"/>
      <c r="P242" s="130"/>
      <c r="R242" s="57"/>
      <c r="S242" s="46"/>
      <c r="T242" s="128"/>
      <c r="U242" s="120"/>
      <c r="V242" s="128"/>
      <c r="W242" s="120"/>
      <c r="AN242" s="70"/>
      <c r="AQ242" s="67"/>
      <c r="AT242" s="46"/>
      <c r="AY242" s="57"/>
      <c r="AZ242" s="64"/>
      <c r="BA242" s="46"/>
      <c r="BB242" s="46"/>
      <c r="BC242" s="48"/>
      <c r="BF242" s="46"/>
      <c r="BL242" s="121"/>
      <c r="BM242" s="122"/>
      <c r="BN242" s="123"/>
      <c r="BO242" s="123"/>
      <c r="BP242" s="123"/>
      <c r="BQ242" s="123"/>
      <c r="BR242" s="122"/>
      <c r="BS242" s="124"/>
      <c r="BT242" s="124"/>
      <c r="BU242" s="124"/>
      <c r="BV242" s="125"/>
      <c r="BW242" s="82"/>
      <c r="CD242" s="262"/>
      <c r="CH242" s="265"/>
    </row>
    <row r="243" spans="5:86" x14ac:dyDescent="0.8">
      <c r="F243" s="114"/>
      <c r="H243" s="114"/>
      <c r="J243" s="115"/>
      <c r="K243" s="62"/>
      <c r="N243" s="116"/>
      <c r="P243" s="130"/>
      <c r="R243" s="57"/>
      <c r="S243" s="46"/>
      <c r="T243" s="128"/>
      <c r="U243" s="120"/>
      <c r="V243" s="128"/>
      <c r="W243" s="120"/>
      <c r="AQ243" s="67"/>
      <c r="AT243" s="46"/>
      <c r="AY243" s="57"/>
      <c r="AZ243" s="64"/>
      <c r="BA243" s="46"/>
      <c r="BB243" s="46"/>
      <c r="BC243" s="48"/>
      <c r="BF243" s="46"/>
      <c r="BL243" s="121"/>
      <c r="BM243" s="122"/>
      <c r="BN243" s="123"/>
      <c r="BO243" s="123"/>
      <c r="BP243" s="123"/>
      <c r="BQ243" s="123"/>
      <c r="BR243" s="122"/>
      <c r="BS243" s="124"/>
      <c r="BT243" s="124"/>
      <c r="BU243" s="124"/>
      <c r="BV243" s="125"/>
      <c r="BW243" s="82"/>
      <c r="CD243" s="262"/>
      <c r="CH243" s="265"/>
    </row>
    <row r="244" spans="5:86" x14ac:dyDescent="0.8">
      <c r="F244" s="114"/>
      <c r="H244" s="127"/>
      <c r="J244" s="142"/>
      <c r="K244" s="62"/>
      <c r="N244" s="91"/>
      <c r="O244" s="58"/>
      <c r="P244" s="130"/>
      <c r="Q244" s="59"/>
      <c r="R244" s="57"/>
      <c r="S244" s="46"/>
      <c r="T244" s="151"/>
      <c r="U244" s="120"/>
      <c r="V244" s="151"/>
      <c r="W244" s="120"/>
      <c r="X244" s="135"/>
      <c r="Y244" s="136"/>
      <c r="AA244" s="136"/>
      <c r="AD244" s="143"/>
      <c r="AF244" s="71"/>
      <c r="AH244" s="71"/>
      <c r="AJ244" s="143"/>
      <c r="AN244" s="70"/>
      <c r="AP244" s="137"/>
      <c r="AQ244" s="67"/>
      <c r="AT244" s="46"/>
      <c r="BB244" s="46"/>
      <c r="BC244" s="48"/>
      <c r="BF244" s="46"/>
      <c r="BL244" s="121"/>
      <c r="BM244" s="122"/>
      <c r="BN244" s="123"/>
      <c r="BO244" s="123"/>
      <c r="BP244" s="123"/>
      <c r="BQ244" s="123"/>
      <c r="BR244" s="122"/>
      <c r="BS244" s="124"/>
      <c r="BT244" s="124"/>
      <c r="BU244" s="124"/>
      <c r="BV244" s="125"/>
      <c r="BW244" s="82"/>
      <c r="CD244" s="262"/>
      <c r="CH244" s="265"/>
    </row>
    <row r="245" spans="5:86" x14ac:dyDescent="0.8">
      <c r="F245" s="127"/>
      <c r="H245" s="114"/>
      <c r="J245" s="115"/>
      <c r="K245" s="62"/>
      <c r="N245" s="116"/>
      <c r="P245" s="130"/>
      <c r="R245" s="57"/>
      <c r="S245" s="46"/>
      <c r="T245" s="115"/>
      <c r="U245" s="120"/>
      <c r="V245" s="115"/>
      <c r="W245" s="120"/>
      <c r="X245" s="57"/>
      <c r="Y245" s="46"/>
      <c r="Z245" s="57"/>
      <c r="AA245" s="46"/>
      <c r="AG245" s="120"/>
      <c r="AM245" s="64"/>
      <c r="AO245" s="46"/>
      <c r="AQ245" s="67"/>
      <c r="AT245" s="46"/>
      <c r="BC245" s="48"/>
      <c r="BF245" s="46"/>
      <c r="BL245" s="121"/>
      <c r="BM245" s="122"/>
      <c r="BN245" s="123"/>
      <c r="BO245" s="123"/>
      <c r="BP245" s="123"/>
      <c r="BQ245" s="123"/>
      <c r="BR245" s="122"/>
      <c r="BS245" s="124"/>
      <c r="BT245" s="124"/>
      <c r="BU245" s="124"/>
      <c r="BV245" s="125"/>
      <c r="BW245" s="82"/>
      <c r="CD245" s="262"/>
      <c r="CH245" s="265"/>
    </row>
    <row r="246" spans="5:86" x14ac:dyDescent="0.8">
      <c r="F246" s="127"/>
      <c r="H246" s="127"/>
      <c r="J246" s="115"/>
      <c r="K246" s="62"/>
      <c r="N246" s="116"/>
      <c r="P246" s="130"/>
      <c r="R246" s="57"/>
      <c r="S246" s="46"/>
      <c r="T246" s="115"/>
      <c r="U246" s="120"/>
      <c r="V246" s="128"/>
      <c r="W246" s="120"/>
      <c r="X246" s="57"/>
      <c r="Y246" s="46"/>
      <c r="Z246" s="57"/>
      <c r="AA246" s="46"/>
      <c r="AF246" s="115"/>
      <c r="AG246" s="120"/>
      <c r="AL246" s="69"/>
      <c r="AN246" s="70"/>
      <c r="AQ246" s="67"/>
      <c r="AT246" s="46"/>
      <c r="BC246" s="48"/>
      <c r="BF246" s="46"/>
      <c r="BL246" s="121"/>
      <c r="BM246" s="122"/>
      <c r="BN246" s="123"/>
      <c r="BO246" s="123"/>
      <c r="BP246" s="123"/>
      <c r="BQ246" s="123"/>
      <c r="BR246" s="122"/>
      <c r="BS246" s="124"/>
      <c r="BT246" s="124"/>
      <c r="BU246" s="124"/>
      <c r="BV246" s="125"/>
      <c r="BW246" s="82"/>
      <c r="CD246" s="262"/>
      <c r="CH246" s="265"/>
    </row>
    <row r="247" spans="5:86" x14ac:dyDescent="0.8">
      <c r="F247" s="114"/>
      <c r="H247" s="127"/>
      <c r="J247" s="115"/>
      <c r="K247" s="62"/>
      <c r="N247" s="116"/>
      <c r="P247" s="130"/>
      <c r="R247" s="57"/>
      <c r="S247" s="46"/>
      <c r="T247" s="115"/>
      <c r="U247" s="120"/>
      <c r="V247" s="115"/>
      <c r="W247" s="120"/>
      <c r="X247" s="57"/>
      <c r="Y247" s="46"/>
      <c r="Z247" s="57"/>
      <c r="AA247" s="46"/>
      <c r="AF247" s="115"/>
      <c r="AG247" s="120"/>
      <c r="AM247" s="64"/>
      <c r="AO247" s="46"/>
      <c r="AQ247" s="67"/>
      <c r="AT247" s="46"/>
      <c r="BC247" s="48"/>
      <c r="BF247" s="46"/>
      <c r="BL247" s="121"/>
      <c r="BM247" s="122"/>
      <c r="BN247" s="123"/>
      <c r="BO247" s="123"/>
      <c r="BP247" s="123"/>
      <c r="BQ247" s="123"/>
      <c r="BR247" s="122"/>
      <c r="BS247" s="124"/>
      <c r="BT247" s="124"/>
      <c r="BU247" s="124"/>
      <c r="BV247" s="125"/>
      <c r="BW247" s="82"/>
      <c r="CD247" s="262"/>
      <c r="CH247" s="265"/>
    </row>
    <row r="248" spans="5:86" x14ac:dyDescent="0.8">
      <c r="F248" s="114"/>
      <c r="H248" s="114"/>
      <c r="J248" s="115"/>
      <c r="K248" s="62"/>
      <c r="L248" s="117"/>
      <c r="M248" s="118"/>
      <c r="N248" s="116"/>
      <c r="P248" s="130"/>
      <c r="R248" s="57"/>
      <c r="S248" s="46"/>
      <c r="T248" s="138"/>
      <c r="U248" s="120"/>
      <c r="V248" s="115"/>
      <c r="W248" s="120"/>
      <c r="X248" s="129"/>
      <c r="Y248" s="120"/>
      <c r="AF248" s="115"/>
      <c r="AG248" s="120"/>
      <c r="AL248" s="68"/>
      <c r="AQ248" s="67"/>
      <c r="AT248" s="46"/>
      <c r="AY248" s="57"/>
      <c r="AZ248" s="64"/>
      <c r="BA248" s="46"/>
      <c r="BB248" s="46"/>
      <c r="BC248" s="48"/>
      <c r="BF248" s="46"/>
      <c r="BL248" s="121"/>
      <c r="BM248" s="122"/>
      <c r="BN248" s="123"/>
      <c r="BO248" s="123"/>
      <c r="BP248" s="123"/>
      <c r="BQ248" s="123"/>
      <c r="BR248" s="122"/>
      <c r="BS248" s="124"/>
      <c r="BT248" s="124"/>
      <c r="BU248" s="124"/>
      <c r="BV248" s="125"/>
      <c r="BW248" s="82"/>
      <c r="CD248" s="262"/>
      <c r="CH248" s="265"/>
    </row>
    <row r="249" spans="5:86" x14ac:dyDescent="0.8">
      <c r="F249" s="114"/>
      <c r="H249" s="127"/>
      <c r="J249" s="128"/>
      <c r="K249" s="62"/>
      <c r="L249" s="117"/>
      <c r="M249" s="118"/>
      <c r="N249" s="130"/>
      <c r="P249" s="130"/>
      <c r="R249" s="57"/>
      <c r="S249" s="46"/>
      <c r="T249" s="119"/>
      <c r="U249" s="120"/>
      <c r="V249" s="128"/>
      <c r="W249" s="120"/>
      <c r="X249" s="129"/>
      <c r="Y249" s="120"/>
      <c r="AL249" s="68"/>
      <c r="AQ249" s="67"/>
      <c r="AT249" s="46"/>
      <c r="AY249" s="57"/>
      <c r="AZ249" s="64"/>
      <c r="BA249" s="46"/>
      <c r="BB249" s="46"/>
      <c r="BC249" s="48"/>
      <c r="BF249" s="46"/>
      <c r="BL249" s="121"/>
      <c r="BM249" s="122"/>
      <c r="BN249" s="123"/>
      <c r="BO249" s="123"/>
      <c r="BP249" s="123"/>
      <c r="BQ249" s="123"/>
      <c r="BR249" s="122"/>
      <c r="BS249" s="124"/>
      <c r="BT249" s="124"/>
      <c r="BU249" s="124"/>
      <c r="BV249" s="125"/>
      <c r="BW249" s="82"/>
      <c r="CD249" s="262"/>
      <c r="CH249" s="265"/>
    </row>
    <row r="250" spans="5:86" x14ac:dyDescent="0.8">
      <c r="F250" s="114"/>
      <c r="H250" s="127"/>
      <c r="J250" s="128"/>
      <c r="K250" s="62"/>
      <c r="L250" s="117"/>
      <c r="M250" s="118"/>
      <c r="N250" s="130"/>
      <c r="P250" s="130"/>
      <c r="R250" s="57"/>
      <c r="S250" s="46"/>
      <c r="T250" s="119"/>
      <c r="U250" s="120"/>
      <c r="V250" s="128"/>
      <c r="W250" s="120"/>
      <c r="X250" s="129"/>
      <c r="Y250" s="120"/>
      <c r="AL250" s="68"/>
      <c r="AQ250" s="67"/>
      <c r="AT250" s="46"/>
      <c r="AY250" s="57"/>
      <c r="AZ250" s="64"/>
      <c r="BA250" s="46"/>
      <c r="BB250" s="46"/>
      <c r="BC250" s="48"/>
      <c r="BF250" s="46"/>
      <c r="BL250" s="121"/>
      <c r="BM250" s="122"/>
      <c r="BN250" s="123"/>
      <c r="BO250" s="123"/>
      <c r="BP250" s="123"/>
      <c r="BQ250" s="123"/>
      <c r="BR250" s="122"/>
      <c r="BS250" s="124"/>
      <c r="BT250" s="124"/>
      <c r="BU250" s="124"/>
      <c r="BV250" s="125"/>
      <c r="BW250" s="82"/>
      <c r="CD250" s="262"/>
      <c r="CH250" s="265"/>
    </row>
    <row r="251" spans="5:86" x14ac:dyDescent="0.8">
      <c r="F251" s="114"/>
      <c r="H251" s="127"/>
      <c r="J251" s="128"/>
      <c r="K251" s="62"/>
      <c r="L251" s="117"/>
      <c r="M251" s="118"/>
      <c r="N251" s="130"/>
      <c r="P251" s="130"/>
      <c r="R251" s="57"/>
      <c r="S251" s="46"/>
      <c r="T251" s="119"/>
      <c r="U251" s="120"/>
      <c r="V251" s="128"/>
      <c r="W251" s="120"/>
      <c r="X251" s="129"/>
      <c r="Y251" s="120"/>
      <c r="AL251" s="68"/>
      <c r="AQ251" s="67"/>
      <c r="AT251" s="46"/>
      <c r="AY251" s="57"/>
      <c r="AZ251" s="64"/>
      <c r="BA251" s="46"/>
      <c r="BB251" s="46"/>
      <c r="BC251" s="48"/>
      <c r="BF251" s="46"/>
      <c r="BL251" s="121"/>
      <c r="BM251" s="122"/>
      <c r="BN251" s="123"/>
      <c r="BO251" s="123"/>
      <c r="BP251" s="123"/>
      <c r="BQ251" s="123"/>
      <c r="BR251" s="122"/>
      <c r="BS251" s="124"/>
      <c r="BT251" s="124"/>
      <c r="BU251" s="124"/>
      <c r="BV251" s="125"/>
      <c r="BW251" s="82"/>
      <c r="CD251" s="262"/>
      <c r="CH251" s="265"/>
    </row>
    <row r="252" spans="5:86" x14ac:dyDescent="0.8">
      <c r="F252" s="127"/>
      <c r="H252" s="127"/>
      <c r="J252" s="128"/>
      <c r="K252" s="62"/>
      <c r="L252" s="117"/>
      <c r="M252" s="118"/>
      <c r="N252" s="130"/>
      <c r="P252" s="130"/>
      <c r="R252" s="57"/>
      <c r="S252" s="46"/>
      <c r="T252" s="119"/>
      <c r="U252" s="120"/>
      <c r="V252" s="128"/>
      <c r="W252" s="120"/>
      <c r="X252" s="129"/>
      <c r="Y252" s="120"/>
      <c r="AL252" s="68"/>
      <c r="AQ252" s="67"/>
      <c r="AT252" s="46"/>
      <c r="AY252" s="57"/>
      <c r="AZ252" s="64"/>
      <c r="BA252" s="46"/>
      <c r="BB252" s="46"/>
      <c r="BC252" s="48"/>
      <c r="BF252" s="46"/>
      <c r="BL252" s="121"/>
      <c r="BM252" s="122"/>
      <c r="BN252" s="123"/>
      <c r="BO252" s="123"/>
      <c r="BP252" s="123"/>
      <c r="BQ252" s="123"/>
      <c r="BR252" s="122"/>
      <c r="BS252" s="124"/>
      <c r="BT252" s="124"/>
      <c r="BU252" s="124"/>
      <c r="BV252" s="125"/>
      <c r="BW252" s="82"/>
      <c r="CD252" s="262"/>
      <c r="CH252" s="265"/>
    </row>
    <row r="253" spans="5:86" x14ac:dyDescent="0.8">
      <c r="F253" s="114"/>
      <c r="H253" s="127"/>
      <c r="J253" s="115"/>
      <c r="K253" s="62"/>
      <c r="N253" s="116"/>
      <c r="P253" s="130"/>
      <c r="R253" s="57"/>
      <c r="S253" s="46"/>
      <c r="T253" s="115"/>
      <c r="U253" s="120"/>
      <c r="V253" s="115"/>
      <c r="W253" s="120"/>
      <c r="X253" s="57"/>
      <c r="Y253" s="46"/>
      <c r="Z253" s="57"/>
      <c r="AA253" s="46"/>
      <c r="AD253" s="153"/>
      <c r="AM253" s="64"/>
      <c r="AO253" s="46"/>
      <c r="AQ253" s="67"/>
      <c r="AT253" s="46"/>
      <c r="BC253" s="48"/>
      <c r="BF253" s="46"/>
      <c r="BL253" s="121"/>
      <c r="BM253" s="122"/>
      <c r="BN253" s="123"/>
      <c r="BO253" s="123"/>
      <c r="BP253" s="123"/>
      <c r="BQ253" s="123"/>
      <c r="BR253" s="122"/>
      <c r="BS253" s="124"/>
      <c r="BT253" s="124"/>
      <c r="BU253" s="124"/>
      <c r="BV253" s="125"/>
      <c r="BW253" s="82"/>
      <c r="CD253" s="262"/>
      <c r="CH253" s="265"/>
    </row>
    <row r="254" spans="5:86" x14ac:dyDescent="0.8">
      <c r="F254" s="127"/>
      <c r="H254" s="114"/>
      <c r="J254" s="115"/>
      <c r="K254" s="62"/>
      <c r="L254" s="117"/>
      <c r="M254" s="118"/>
      <c r="N254" s="116"/>
      <c r="P254" s="130"/>
      <c r="R254" s="57"/>
      <c r="S254" s="46"/>
      <c r="T254" s="119"/>
      <c r="U254" s="120"/>
      <c r="V254" s="128"/>
      <c r="W254" s="120"/>
      <c r="X254" s="129"/>
      <c r="Y254" s="120"/>
      <c r="AF254" s="115"/>
      <c r="AG254" s="120"/>
      <c r="AL254" s="69"/>
      <c r="AN254" s="70"/>
      <c r="AQ254" s="67"/>
      <c r="AT254" s="46"/>
      <c r="AY254" s="57"/>
      <c r="AZ254" s="64"/>
      <c r="BA254" s="46"/>
      <c r="BB254" s="46"/>
      <c r="BC254" s="48"/>
      <c r="BF254" s="46"/>
      <c r="BL254" s="121"/>
      <c r="BM254" s="122"/>
      <c r="BN254" s="123"/>
      <c r="BO254" s="123"/>
      <c r="BP254" s="123"/>
      <c r="BQ254" s="123"/>
      <c r="BR254" s="122"/>
      <c r="BS254" s="124"/>
      <c r="BT254" s="124"/>
      <c r="BU254" s="124"/>
      <c r="BV254" s="125"/>
      <c r="BW254" s="82"/>
      <c r="CD254" s="262"/>
      <c r="CH254" s="265"/>
    </row>
    <row r="255" spans="5:86" x14ac:dyDescent="0.8">
      <c r="F255" s="114"/>
      <c r="H255" s="114"/>
      <c r="J255" s="115"/>
      <c r="L255" s="117"/>
      <c r="M255" s="118"/>
      <c r="N255" s="116"/>
      <c r="P255" s="91"/>
      <c r="R255" s="57"/>
      <c r="S255" s="150"/>
      <c r="T255" s="140"/>
      <c r="U255" s="139"/>
      <c r="V255" s="128"/>
      <c r="W255" s="139"/>
      <c r="X255" s="129"/>
      <c r="Y255" s="120"/>
      <c r="AF255" s="115"/>
      <c r="AG255" s="120"/>
      <c r="AN255" s="70"/>
      <c r="AQ255" s="67"/>
      <c r="AT255" s="46"/>
      <c r="AY255" s="57"/>
      <c r="AZ255" s="64"/>
      <c r="BA255" s="46"/>
      <c r="BB255" s="46"/>
      <c r="BC255" s="48"/>
      <c r="BF255" s="46"/>
      <c r="BL255" s="121"/>
      <c r="BM255" s="122"/>
      <c r="BN255" s="123"/>
      <c r="BO255" s="123"/>
      <c r="BP255" s="123"/>
      <c r="BQ255" s="123"/>
      <c r="BR255" s="122"/>
      <c r="BS255" s="124"/>
      <c r="BT255" s="124"/>
      <c r="BU255" s="124"/>
      <c r="BV255" s="125"/>
      <c r="BW255" s="82"/>
      <c r="CD255" s="262"/>
      <c r="CH255" s="265"/>
    </row>
    <row r="256" spans="5:86" x14ac:dyDescent="0.8">
      <c r="E256" s="86"/>
      <c r="F256" s="114"/>
      <c r="H256" s="130"/>
      <c r="I256" s="86"/>
      <c r="J256" s="115"/>
      <c r="L256" s="117"/>
      <c r="M256" s="118"/>
      <c r="P256" s="91"/>
      <c r="R256" s="57"/>
      <c r="S256" s="150"/>
      <c r="T256" s="140"/>
      <c r="U256" s="139"/>
      <c r="V256" s="128"/>
      <c r="W256" s="139"/>
      <c r="X256" s="129"/>
      <c r="Y256" s="120"/>
      <c r="AG256" s="120"/>
      <c r="AL256" s="69"/>
      <c r="AN256" s="70"/>
      <c r="AQ256" s="67"/>
      <c r="AT256" s="46"/>
      <c r="AY256" s="57"/>
      <c r="AZ256" s="64"/>
      <c r="BA256" s="46"/>
      <c r="BB256" s="46"/>
      <c r="BC256" s="48"/>
      <c r="BF256" s="46"/>
      <c r="BL256" s="121"/>
      <c r="BM256" s="122"/>
      <c r="BN256" s="123"/>
      <c r="BO256" s="123"/>
      <c r="BP256" s="123"/>
      <c r="BQ256" s="123"/>
      <c r="BR256" s="122"/>
      <c r="BS256" s="124"/>
      <c r="BT256" s="124"/>
      <c r="BU256" s="124"/>
      <c r="BV256" s="125"/>
      <c r="BW256" s="82"/>
      <c r="CD256" s="262"/>
      <c r="CH256" s="265"/>
    </row>
    <row r="257" spans="5:86" x14ac:dyDescent="0.8">
      <c r="E257" s="86"/>
      <c r="F257" s="127"/>
      <c r="H257" s="130"/>
      <c r="I257" s="86"/>
      <c r="J257" s="128"/>
      <c r="L257" s="117"/>
      <c r="M257" s="118"/>
      <c r="N257" s="130"/>
      <c r="P257" s="91"/>
      <c r="R257" s="57"/>
      <c r="S257" s="150"/>
      <c r="T257" s="140"/>
      <c r="U257" s="120"/>
      <c r="V257" s="138"/>
      <c r="W257" s="120"/>
      <c r="X257" s="135"/>
      <c r="Y257" s="139"/>
      <c r="AA257" s="136"/>
      <c r="AD257" s="140"/>
      <c r="AF257" s="115"/>
      <c r="AG257" s="120"/>
      <c r="AJ257" s="140"/>
      <c r="AL257" s="68"/>
      <c r="AQ257" s="67"/>
      <c r="AT257" s="46"/>
      <c r="AY257" s="57"/>
      <c r="AZ257" s="64"/>
      <c r="BA257" s="46"/>
      <c r="BB257" s="46"/>
      <c r="BC257" s="48"/>
      <c r="BF257" s="46"/>
      <c r="BL257" s="121"/>
      <c r="BM257" s="122"/>
      <c r="BN257" s="123"/>
      <c r="BO257" s="123"/>
      <c r="BP257" s="123"/>
      <c r="BQ257" s="123"/>
      <c r="BR257" s="122"/>
      <c r="BS257" s="124"/>
      <c r="BT257" s="124"/>
      <c r="BU257" s="124"/>
      <c r="BV257" s="125"/>
      <c r="BW257" s="82"/>
      <c r="CD257" s="262"/>
      <c r="CH257" s="265"/>
    </row>
    <row r="258" spans="5:86" x14ac:dyDescent="0.8">
      <c r="F258" s="114"/>
      <c r="H258" s="127"/>
      <c r="J258" s="115"/>
      <c r="K258" s="62"/>
      <c r="L258" s="117"/>
      <c r="M258" s="118"/>
      <c r="N258" s="116"/>
      <c r="P258" s="130"/>
      <c r="R258" s="57"/>
      <c r="S258" s="46"/>
      <c r="T258" s="138"/>
      <c r="U258" s="120"/>
      <c r="V258" s="128"/>
      <c r="W258" s="120"/>
      <c r="X258" s="129"/>
      <c r="Y258" s="120"/>
      <c r="AA258" s="136"/>
      <c r="AG258" s="144"/>
      <c r="AL258" s="69"/>
      <c r="AN258" s="70"/>
      <c r="AQ258" s="67"/>
      <c r="AT258" s="46"/>
      <c r="AY258" s="57"/>
      <c r="AZ258" s="64"/>
      <c r="BA258" s="46"/>
      <c r="BB258" s="46"/>
      <c r="BC258" s="48"/>
      <c r="BF258" s="46"/>
      <c r="BL258" s="121"/>
      <c r="BM258" s="122"/>
      <c r="BN258" s="123"/>
      <c r="BO258" s="123"/>
      <c r="BP258" s="123"/>
      <c r="BQ258" s="123"/>
      <c r="BR258" s="122"/>
      <c r="BS258" s="124"/>
      <c r="BT258" s="124"/>
      <c r="BU258" s="124"/>
      <c r="BV258" s="125"/>
      <c r="BW258" s="82"/>
      <c r="CD258" s="262"/>
      <c r="CH258" s="265"/>
    </row>
    <row r="259" spans="5:86" x14ac:dyDescent="0.8">
      <c r="F259" s="127"/>
      <c r="H259" s="114"/>
      <c r="J259" s="115"/>
      <c r="K259" s="62"/>
      <c r="L259" s="117"/>
      <c r="M259" s="118"/>
      <c r="N259" s="130"/>
      <c r="P259" s="130"/>
      <c r="R259" s="57"/>
      <c r="S259" s="46"/>
      <c r="T259" s="119"/>
      <c r="U259" s="120"/>
      <c r="V259" s="128"/>
      <c r="W259" s="120"/>
      <c r="X259" s="143"/>
      <c r="AA259" s="136"/>
      <c r="AG259" s="144"/>
      <c r="AQ259" s="67"/>
      <c r="AT259" s="46"/>
      <c r="AY259" s="57"/>
      <c r="AZ259" s="64"/>
      <c r="BA259" s="46"/>
      <c r="BB259" s="46"/>
      <c r="BC259" s="48"/>
      <c r="BF259" s="46"/>
      <c r="BL259" s="121"/>
      <c r="BM259" s="122"/>
      <c r="BN259" s="123"/>
      <c r="BO259" s="123"/>
      <c r="BP259" s="123"/>
      <c r="BQ259" s="123"/>
      <c r="BR259" s="122"/>
      <c r="BS259" s="124"/>
      <c r="BT259" s="124"/>
      <c r="BU259" s="124"/>
      <c r="BV259" s="125"/>
      <c r="BW259" s="82"/>
      <c r="CD259" s="262"/>
      <c r="CH259" s="265"/>
    </row>
    <row r="260" spans="5:86" x14ac:dyDescent="0.8">
      <c r="F260" s="127"/>
      <c r="H260" s="127"/>
      <c r="J260" s="128"/>
      <c r="K260" s="62"/>
      <c r="L260" s="117"/>
      <c r="M260" s="118"/>
      <c r="N260" s="130"/>
      <c r="P260" s="130"/>
      <c r="R260" s="57"/>
      <c r="S260" s="46"/>
      <c r="T260" s="119"/>
      <c r="U260" s="120"/>
      <c r="V260" s="128"/>
      <c r="W260" s="120"/>
      <c r="X260" s="129"/>
      <c r="Y260" s="120"/>
      <c r="AL260" s="68"/>
      <c r="AQ260" s="67"/>
      <c r="AT260" s="46"/>
      <c r="AY260" s="57"/>
      <c r="AZ260" s="64"/>
      <c r="BA260" s="46"/>
      <c r="BB260" s="46"/>
      <c r="BC260" s="48"/>
      <c r="BF260" s="46"/>
      <c r="BL260" s="121"/>
      <c r="BM260" s="122"/>
      <c r="BN260" s="123"/>
      <c r="BO260" s="123"/>
      <c r="BP260" s="123"/>
      <c r="BQ260" s="123"/>
      <c r="BR260" s="122"/>
      <c r="BS260" s="124"/>
      <c r="BT260" s="124"/>
      <c r="BU260" s="124"/>
      <c r="BV260" s="125"/>
      <c r="BW260" s="82"/>
      <c r="CD260" s="262"/>
      <c r="CH260" s="265"/>
    </row>
    <row r="261" spans="5:86" x14ac:dyDescent="0.8">
      <c r="F261" s="114"/>
      <c r="H261" s="114"/>
      <c r="J261" s="115"/>
      <c r="K261" s="62"/>
      <c r="N261" s="116"/>
      <c r="P261" s="130"/>
      <c r="R261" s="57"/>
      <c r="S261" s="46"/>
      <c r="T261" s="128"/>
      <c r="U261" s="120"/>
      <c r="V261" s="128"/>
      <c r="W261" s="120"/>
      <c r="AN261" s="70"/>
      <c r="AQ261" s="67"/>
      <c r="AT261" s="46"/>
      <c r="AY261" s="57"/>
      <c r="AZ261" s="64"/>
      <c r="BA261" s="46"/>
      <c r="BB261" s="46"/>
      <c r="BC261" s="48"/>
      <c r="BF261" s="46"/>
      <c r="BL261" s="121"/>
      <c r="BM261" s="122"/>
      <c r="BN261" s="123"/>
      <c r="BO261" s="123"/>
      <c r="BP261" s="123"/>
      <c r="BQ261" s="123"/>
      <c r="BR261" s="122"/>
      <c r="BS261" s="124"/>
      <c r="BT261" s="124"/>
      <c r="BU261" s="124"/>
      <c r="BV261" s="125"/>
      <c r="BW261" s="82"/>
      <c r="CD261" s="262"/>
      <c r="CH261" s="265"/>
    </row>
    <row r="262" spans="5:86" x14ac:dyDescent="0.8">
      <c r="F262" s="127"/>
      <c r="H262" s="114"/>
      <c r="J262" s="128"/>
      <c r="K262" s="62"/>
      <c r="N262" s="130"/>
      <c r="P262" s="130"/>
      <c r="R262" s="57"/>
      <c r="S262" s="46"/>
      <c r="T262" s="128"/>
      <c r="U262" s="120"/>
      <c r="V262" s="128"/>
      <c r="W262" s="120"/>
      <c r="AQ262" s="67"/>
      <c r="AT262" s="46"/>
      <c r="AY262" s="57"/>
      <c r="AZ262" s="64"/>
      <c r="BA262" s="46"/>
      <c r="BB262" s="46"/>
      <c r="BC262" s="48"/>
      <c r="BF262" s="46"/>
      <c r="BL262" s="121"/>
      <c r="BM262" s="122"/>
      <c r="BN262" s="123"/>
      <c r="BO262" s="123"/>
      <c r="BP262" s="123"/>
      <c r="BQ262" s="123"/>
      <c r="BR262" s="122"/>
      <c r="BS262" s="124"/>
      <c r="BT262" s="124"/>
      <c r="BU262" s="124"/>
      <c r="BV262" s="125"/>
      <c r="BW262" s="82"/>
      <c r="CD262" s="262"/>
      <c r="CH262" s="265"/>
    </row>
    <row r="263" spans="5:86" x14ac:dyDescent="0.8">
      <c r="F263" s="127"/>
      <c r="H263" s="127"/>
      <c r="J263" s="142"/>
      <c r="K263" s="62"/>
      <c r="N263" s="91"/>
      <c r="O263" s="58"/>
      <c r="P263" s="130"/>
      <c r="Q263" s="59"/>
      <c r="R263" s="57"/>
      <c r="S263" s="46"/>
      <c r="T263" s="151"/>
      <c r="U263" s="120"/>
      <c r="V263" s="128"/>
      <c r="W263" s="120"/>
      <c r="X263" s="135"/>
      <c r="Y263" s="136"/>
      <c r="AA263" s="136"/>
      <c r="AD263" s="143"/>
      <c r="AF263" s="71"/>
      <c r="AH263" s="71"/>
      <c r="AJ263" s="143"/>
      <c r="AN263" s="70"/>
      <c r="AP263" s="137"/>
      <c r="AQ263" s="67"/>
      <c r="AT263" s="46"/>
      <c r="BB263" s="46"/>
      <c r="BC263" s="48"/>
      <c r="BF263" s="46"/>
      <c r="BL263" s="121"/>
      <c r="BM263" s="122"/>
      <c r="BN263" s="123"/>
      <c r="BO263" s="123"/>
      <c r="BP263" s="123"/>
      <c r="BQ263" s="123"/>
      <c r="BR263" s="122"/>
      <c r="BS263" s="124"/>
      <c r="BT263" s="124"/>
      <c r="BU263" s="124"/>
      <c r="BV263" s="125"/>
      <c r="BW263" s="82"/>
      <c r="CD263" s="262"/>
      <c r="CH263" s="265"/>
    </row>
    <row r="264" spans="5:86" x14ac:dyDescent="0.8">
      <c r="F264" s="114"/>
      <c r="H264" s="114"/>
      <c r="J264" s="115"/>
      <c r="K264" s="62"/>
      <c r="N264" s="130"/>
      <c r="P264" s="130"/>
      <c r="R264" s="57"/>
      <c r="S264" s="46"/>
      <c r="T264" s="115"/>
      <c r="U264" s="120"/>
      <c r="V264" s="128"/>
      <c r="W264" s="120"/>
      <c r="X264" s="57"/>
      <c r="Y264" s="46"/>
      <c r="Z264" s="57"/>
      <c r="AA264" s="46"/>
      <c r="AG264" s="120"/>
      <c r="AM264" s="64"/>
      <c r="AO264" s="46"/>
      <c r="AQ264" s="67"/>
      <c r="AT264" s="46"/>
      <c r="BC264" s="48"/>
      <c r="BF264" s="46"/>
      <c r="BL264" s="121"/>
      <c r="BM264" s="122"/>
      <c r="BN264" s="123"/>
      <c r="BO264" s="123"/>
      <c r="BP264" s="123"/>
      <c r="BQ264" s="123"/>
      <c r="BR264" s="122"/>
      <c r="BS264" s="124"/>
      <c r="BT264" s="124"/>
      <c r="BU264" s="124"/>
      <c r="BV264" s="125"/>
      <c r="BW264" s="82"/>
      <c r="CD264" s="262"/>
      <c r="CH264" s="265"/>
    </row>
    <row r="265" spans="5:86" x14ac:dyDescent="0.8">
      <c r="F265" s="114"/>
      <c r="H265" s="127"/>
      <c r="J265" s="115"/>
      <c r="K265" s="62"/>
      <c r="N265" s="116"/>
      <c r="P265" s="130"/>
      <c r="R265" s="57"/>
      <c r="S265" s="46"/>
      <c r="T265" s="115"/>
      <c r="U265" s="120"/>
      <c r="V265" s="128"/>
      <c r="W265" s="120"/>
      <c r="X265" s="57"/>
      <c r="Y265" s="46"/>
      <c r="Z265" s="57"/>
      <c r="AA265" s="46"/>
      <c r="AF265" s="115"/>
      <c r="AG265" s="120"/>
      <c r="AL265" s="69"/>
      <c r="AN265" s="70"/>
      <c r="AQ265" s="67"/>
      <c r="AT265" s="46"/>
      <c r="BC265" s="48"/>
      <c r="BF265" s="46"/>
      <c r="BL265" s="121"/>
      <c r="BM265" s="122"/>
      <c r="BN265" s="123"/>
      <c r="BO265" s="123"/>
      <c r="BP265" s="123"/>
      <c r="BQ265" s="123"/>
      <c r="BR265" s="122"/>
      <c r="BS265" s="124"/>
      <c r="BT265" s="124"/>
      <c r="BU265" s="124"/>
      <c r="BV265" s="125"/>
      <c r="BW265" s="82"/>
      <c r="CD265" s="262"/>
      <c r="CH265" s="265"/>
    </row>
    <row r="266" spans="5:86" x14ac:dyDescent="0.8">
      <c r="F266" s="114"/>
      <c r="H266" s="127"/>
      <c r="J266" s="115"/>
      <c r="K266" s="62"/>
      <c r="N266" s="116"/>
      <c r="P266" s="130"/>
      <c r="R266" s="57"/>
      <c r="S266" s="46"/>
      <c r="T266" s="115"/>
      <c r="U266" s="120"/>
      <c r="V266" s="128"/>
      <c r="W266" s="120"/>
      <c r="X266" s="57"/>
      <c r="Y266" s="46"/>
      <c r="Z266" s="57"/>
      <c r="AA266" s="46"/>
      <c r="AF266" s="115"/>
      <c r="AG266" s="120"/>
      <c r="AM266" s="64"/>
      <c r="AO266" s="46"/>
      <c r="AQ266" s="67"/>
      <c r="AT266" s="46"/>
      <c r="BC266" s="48"/>
      <c r="BF266" s="46"/>
      <c r="BL266" s="121"/>
      <c r="BM266" s="122"/>
      <c r="BN266" s="123"/>
      <c r="BO266" s="123"/>
      <c r="BP266" s="123"/>
      <c r="BQ266" s="123"/>
      <c r="BR266" s="122"/>
      <c r="BS266" s="124"/>
      <c r="BT266" s="124"/>
      <c r="BU266" s="124"/>
      <c r="BV266" s="125"/>
      <c r="BW266" s="82"/>
      <c r="CD266" s="262"/>
      <c r="CH266" s="265"/>
    </row>
    <row r="267" spans="5:86" x14ac:dyDescent="0.8">
      <c r="F267" s="114"/>
      <c r="H267" s="127"/>
      <c r="J267" s="115"/>
      <c r="K267" s="62"/>
      <c r="L267" s="117"/>
      <c r="M267" s="118"/>
      <c r="N267" s="116"/>
      <c r="P267" s="130"/>
      <c r="R267" s="57"/>
      <c r="S267" s="46"/>
      <c r="T267" s="138"/>
      <c r="U267" s="120"/>
      <c r="V267" s="128"/>
      <c r="W267" s="120"/>
      <c r="X267" s="129"/>
      <c r="Y267" s="120"/>
      <c r="AF267" s="115"/>
      <c r="AG267" s="120"/>
      <c r="AL267" s="68"/>
      <c r="AQ267" s="67"/>
      <c r="AT267" s="46"/>
      <c r="AY267" s="57"/>
      <c r="AZ267" s="64"/>
      <c r="BA267" s="46"/>
      <c r="BB267" s="46"/>
      <c r="BC267" s="48"/>
      <c r="BF267" s="46"/>
      <c r="BL267" s="121"/>
      <c r="BM267" s="122"/>
      <c r="BN267" s="123"/>
      <c r="BO267" s="123"/>
      <c r="BP267" s="123"/>
      <c r="BQ267" s="123"/>
      <c r="BR267" s="122"/>
      <c r="BS267" s="124"/>
      <c r="BT267" s="124"/>
      <c r="BU267" s="124"/>
      <c r="BV267" s="125"/>
      <c r="BW267" s="82"/>
      <c r="CD267" s="262"/>
      <c r="CH267" s="265"/>
    </row>
    <row r="268" spans="5:86" x14ac:dyDescent="0.8">
      <c r="F268" s="127"/>
      <c r="H268" s="114"/>
      <c r="J268" s="128"/>
      <c r="K268" s="62"/>
      <c r="L268" s="117"/>
      <c r="M268" s="118"/>
      <c r="N268" s="130"/>
      <c r="P268" s="130"/>
      <c r="R268" s="57"/>
      <c r="S268" s="46"/>
      <c r="T268" s="119"/>
      <c r="U268" s="120"/>
      <c r="V268" s="128"/>
      <c r="W268" s="120"/>
      <c r="X268" s="129"/>
      <c r="Y268" s="120"/>
      <c r="AL268" s="68"/>
      <c r="AQ268" s="67"/>
      <c r="AT268" s="46"/>
      <c r="AY268" s="57"/>
      <c r="AZ268" s="64"/>
      <c r="BA268" s="46"/>
      <c r="BB268" s="46"/>
      <c r="BC268" s="48"/>
      <c r="BF268" s="46"/>
      <c r="BL268" s="121"/>
      <c r="BM268" s="122"/>
      <c r="BN268" s="123"/>
      <c r="BO268" s="123"/>
      <c r="BP268" s="123"/>
      <c r="BQ268" s="123"/>
      <c r="BR268" s="122"/>
      <c r="BS268" s="124"/>
      <c r="BT268" s="124"/>
      <c r="BU268" s="124"/>
      <c r="BV268" s="125"/>
      <c r="BW268" s="82"/>
      <c r="CD268" s="262"/>
      <c r="CH268" s="265"/>
    </row>
    <row r="269" spans="5:86" x14ac:dyDescent="0.8">
      <c r="F269" s="114"/>
      <c r="H269" s="127"/>
      <c r="J269" s="128"/>
      <c r="K269" s="62"/>
      <c r="L269" s="117"/>
      <c r="M269" s="118"/>
      <c r="N269" s="130"/>
      <c r="P269" s="130"/>
      <c r="R269" s="57"/>
      <c r="S269" s="46"/>
      <c r="T269" s="119"/>
      <c r="U269" s="120"/>
      <c r="V269" s="128"/>
      <c r="W269" s="120"/>
      <c r="X269" s="129"/>
      <c r="Y269" s="120"/>
      <c r="AL269" s="68"/>
      <c r="AQ269" s="67"/>
      <c r="AT269" s="46"/>
      <c r="AY269" s="57"/>
      <c r="AZ269" s="64"/>
      <c r="BA269" s="46"/>
      <c r="BB269" s="46"/>
      <c r="BC269" s="48"/>
      <c r="BF269" s="46"/>
      <c r="BL269" s="121"/>
      <c r="BM269" s="122"/>
      <c r="BN269" s="123"/>
      <c r="BO269" s="123"/>
      <c r="BP269" s="123"/>
      <c r="BQ269" s="123"/>
      <c r="BR269" s="122"/>
      <c r="BS269" s="124"/>
      <c r="BT269" s="124"/>
      <c r="BU269" s="124"/>
      <c r="BV269" s="125"/>
      <c r="BW269" s="82"/>
      <c r="CD269" s="262"/>
      <c r="CH269" s="265"/>
    </row>
    <row r="270" spans="5:86" x14ac:dyDescent="0.8">
      <c r="F270" s="127"/>
      <c r="H270" s="114"/>
      <c r="J270" s="128"/>
      <c r="K270" s="62"/>
      <c r="L270" s="117"/>
      <c r="M270" s="118"/>
      <c r="N270" s="130"/>
      <c r="P270" s="130"/>
      <c r="R270" s="57"/>
      <c r="S270" s="46"/>
      <c r="T270" s="119"/>
      <c r="U270" s="120"/>
      <c r="V270" s="128"/>
      <c r="W270" s="120"/>
      <c r="X270" s="129"/>
      <c r="Y270" s="120"/>
      <c r="AL270" s="68"/>
      <c r="AQ270" s="67"/>
      <c r="AT270" s="46"/>
      <c r="AY270" s="57"/>
      <c r="AZ270" s="64"/>
      <c r="BA270" s="46"/>
      <c r="BB270" s="46"/>
      <c r="BC270" s="48"/>
      <c r="BF270" s="46"/>
      <c r="BL270" s="121"/>
      <c r="BM270" s="122"/>
      <c r="BN270" s="123"/>
      <c r="BO270" s="123"/>
      <c r="BP270" s="123"/>
      <c r="BQ270" s="123"/>
      <c r="BR270" s="122"/>
      <c r="BS270" s="124"/>
      <c r="BT270" s="124"/>
      <c r="BU270" s="124"/>
      <c r="BV270" s="125"/>
      <c r="BW270" s="82"/>
      <c r="CD270" s="262"/>
      <c r="CH270" s="265"/>
    </row>
    <row r="271" spans="5:86" x14ac:dyDescent="0.8">
      <c r="F271" s="114"/>
      <c r="H271" s="114"/>
      <c r="J271" s="128"/>
      <c r="K271" s="62"/>
      <c r="L271" s="117"/>
      <c r="M271" s="118"/>
      <c r="N271" s="130"/>
      <c r="P271" s="130"/>
      <c r="R271" s="57"/>
      <c r="S271" s="46"/>
      <c r="T271" s="119"/>
      <c r="U271" s="120"/>
      <c r="V271" s="128"/>
      <c r="W271" s="120"/>
      <c r="X271" s="129"/>
      <c r="Y271" s="120"/>
      <c r="AL271" s="68"/>
      <c r="AQ271" s="67"/>
      <c r="AT271" s="46"/>
      <c r="AY271" s="57"/>
      <c r="AZ271" s="64"/>
      <c r="BA271" s="46"/>
      <c r="BB271" s="46"/>
      <c r="BC271" s="48"/>
      <c r="BF271" s="46"/>
      <c r="BL271" s="121"/>
      <c r="BM271" s="122"/>
      <c r="BN271" s="123"/>
      <c r="BO271" s="123"/>
      <c r="BP271" s="123"/>
      <c r="BQ271" s="123"/>
      <c r="BR271" s="122"/>
      <c r="BS271" s="124"/>
      <c r="BT271" s="124"/>
      <c r="BU271" s="124"/>
      <c r="BV271" s="125"/>
      <c r="BW271" s="82"/>
      <c r="CD271" s="262"/>
      <c r="CH271" s="265"/>
    </row>
    <row r="272" spans="5:86" x14ac:dyDescent="0.8">
      <c r="F272" s="114"/>
      <c r="H272" s="127"/>
      <c r="J272" s="115"/>
      <c r="K272" s="62"/>
      <c r="L272" s="117"/>
      <c r="M272" s="118"/>
      <c r="N272" s="116"/>
      <c r="P272" s="130"/>
      <c r="R272" s="57"/>
      <c r="S272" s="46"/>
      <c r="T272" s="138"/>
      <c r="U272" s="120"/>
      <c r="V272" s="128"/>
      <c r="W272" s="120"/>
      <c r="X272" s="129"/>
      <c r="Y272" s="120"/>
      <c r="AF272" s="115"/>
      <c r="AG272" s="120"/>
      <c r="AL272" s="69"/>
      <c r="AN272" s="70"/>
      <c r="AQ272" s="67"/>
      <c r="AT272" s="46"/>
      <c r="AY272" s="57"/>
      <c r="AZ272" s="64"/>
      <c r="BA272" s="46"/>
      <c r="BB272" s="46"/>
      <c r="BC272" s="48"/>
      <c r="BF272" s="46"/>
      <c r="BL272" s="121"/>
      <c r="BM272" s="122"/>
      <c r="BN272" s="123"/>
      <c r="BO272" s="123"/>
      <c r="BP272" s="123"/>
      <c r="BQ272" s="123"/>
      <c r="BR272" s="122"/>
      <c r="BS272" s="124"/>
      <c r="BT272" s="124"/>
      <c r="BU272" s="124"/>
      <c r="BV272" s="125"/>
      <c r="BW272" s="82"/>
      <c r="CD272" s="262"/>
      <c r="CH272" s="265"/>
    </row>
    <row r="273" spans="5:86" x14ac:dyDescent="0.8">
      <c r="E273" s="86"/>
      <c r="F273" s="91"/>
      <c r="G273" s="86"/>
      <c r="H273" s="130"/>
      <c r="I273" s="86"/>
      <c r="J273" s="115"/>
      <c r="N273" s="116"/>
      <c r="R273" s="57"/>
      <c r="S273" s="150"/>
      <c r="T273" s="128"/>
      <c r="U273" s="139"/>
      <c r="W273" s="139"/>
      <c r="AN273" s="70"/>
      <c r="AQ273" s="67"/>
      <c r="AT273" s="46"/>
      <c r="AY273" s="57"/>
      <c r="AZ273" s="64"/>
      <c r="BA273" s="46"/>
      <c r="BB273" s="46"/>
      <c r="BC273" s="48"/>
      <c r="BF273" s="46"/>
      <c r="BL273" s="121"/>
      <c r="BM273" s="122"/>
      <c r="BN273" s="123"/>
      <c r="BO273" s="123"/>
      <c r="BP273" s="123"/>
      <c r="BQ273" s="123"/>
      <c r="BR273" s="122"/>
      <c r="BS273" s="124"/>
      <c r="BT273" s="124"/>
      <c r="BU273" s="124"/>
      <c r="BV273" s="125"/>
      <c r="BW273" s="82"/>
      <c r="CD273" s="262"/>
      <c r="CH273" s="265"/>
    </row>
    <row r="274" spans="5:86" x14ac:dyDescent="0.8">
      <c r="E274" s="86"/>
      <c r="F274" s="127"/>
      <c r="H274" s="91"/>
      <c r="I274" s="86"/>
      <c r="J274" s="142"/>
      <c r="N274" s="91"/>
      <c r="O274" s="58"/>
      <c r="Q274" s="59"/>
      <c r="R274" s="57"/>
      <c r="S274" s="150"/>
      <c r="T274" s="71"/>
      <c r="U274" s="139"/>
      <c r="V274" s="71"/>
      <c r="W274" s="139"/>
      <c r="AA274" s="46"/>
      <c r="AD274" s="71"/>
      <c r="AF274" s="71"/>
      <c r="AH274" s="71"/>
      <c r="AJ274" s="71"/>
      <c r="AL274" s="71"/>
      <c r="AN274" s="71"/>
      <c r="AP274" s="137"/>
      <c r="AQ274" s="67"/>
      <c r="AT274" s="46"/>
      <c r="AY274" s="57"/>
      <c r="AZ274" s="64"/>
      <c r="BA274" s="46"/>
      <c r="BB274" s="46"/>
      <c r="BC274" s="48"/>
      <c r="BF274" s="46"/>
      <c r="BL274" s="121"/>
      <c r="BM274" s="122"/>
      <c r="BN274" s="123"/>
      <c r="BO274" s="123"/>
      <c r="BP274" s="123"/>
      <c r="BQ274" s="123"/>
      <c r="BR274" s="122"/>
      <c r="BS274" s="124"/>
      <c r="BT274" s="124"/>
      <c r="BU274" s="124"/>
      <c r="BV274" s="125"/>
      <c r="BW274" s="82"/>
      <c r="CD274" s="262"/>
      <c r="CH274" s="265"/>
    </row>
    <row r="275" spans="5:86" x14ac:dyDescent="0.8">
      <c r="E275" s="86"/>
      <c r="F275" s="127"/>
      <c r="H275" s="91"/>
      <c r="I275" s="86"/>
      <c r="J275" s="115"/>
      <c r="R275" s="57"/>
      <c r="S275" s="150"/>
      <c r="U275" s="120"/>
      <c r="W275" s="120"/>
      <c r="X275" s="57"/>
      <c r="Y275" s="46"/>
      <c r="Z275" s="57"/>
      <c r="AA275" s="46"/>
      <c r="AM275" s="64"/>
      <c r="AO275" s="46"/>
      <c r="AQ275" s="67"/>
      <c r="AT275" s="46"/>
      <c r="AY275" s="57"/>
      <c r="AZ275" s="64"/>
      <c r="BA275" s="46"/>
      <c r="BB275" s="46"/>
      <c r="BC275" s="48"/>
      <c r="BF275" s="46"/>
      <c r="BL275" s="121"/>
      <c r="BM275" s="122"/>
      <c r="BN275" s="123"/>
      <c r="BO275" s="123"/>
      <c r="BP275" s="123"/>
      <c r="BQ275" s="123"/>
      <c r="BR275" s="122"/>
      <c r="BS275" s="124"/>
      <c r="BT275" s="124"/>
      <c r="BU275" s="124"/>
      <c r="BV275" s="125"/>
      <c r="BW275" s="82"/>
      <c r="CD275" s="262"/>
      <c r="CH275" s="265"/>
    </row>
    <row r="276" spans="5:86" x14ac:dyDescent="0.8">
      <c r="E276" s="86"/>
      <c r="F276" s="130"/>
      <c r="G276" s="86"/>
      <c r="H276" s="130"/>
      <c r="I276" s="86"/>
      <c r="J276" s="128"/>
      <c r="L276" s="117"/>
      <c r="M276" s="118"/>
      <c r="N276" s="130"/>
      <c r="R276" s="57"/>
      <c r="S276" s="150"/>
      <c r="T276" s="140"/>
      <c r="U276" s="120"/>
      <c r="W276" s="120"/>
      <c r="X276" s="129"/>
      <c r="Y276" s="120"/>
      <c r="AL276" s="68"/>
      <c r="AQ276" s="67"/>
      <c r="AT276" s="46"/>
      <c r="AY276" s="57"/>
      <c r="AZ276" s="64"/>
      <c r="BA276" s="46"/>
      <c r="BB276" s="46"/>
      <c r="BC276" s="48"/>
      <c r="BF276" s="46"/>
      <c r="BL276" s="121"/>
      <c r="BM276" s="122"/>
      <c r="BN276" s="123"/>
      <c r="BO276" s="123"/>
      <c r="BP276" s="123"/>
      <c r="BQ276" s="123"/>
      <c r="BR276" s="122"/>
      <c r="BS276" s="124"/>
      <c r="BT276" s="124"/>
      <c r="BU276" s="124"/>
      <c r="BV276" s="125"/>
      <c r="BW276" s="82"/>
      <c r="CD276" s="262"/>
      <c r="CH276" s="265"/>
    </row>
    <row r="277" spans="5:86" x14ac:dyDescent="0.8">
      <c r="E277" s="86"/>
      <c r="F277" s="130"/>
      <c r="G277" s="86"/>
      <c r="H277" s="91"/>
      <c r="I277" s="86"/>
      <c r="J277" s="115"/>
      <c r="L277" s="117"/>
      <c r="M277" s="118"/>
      <c r="N277" s="116"/>
      <c r="R277" s="57"/>
      <c r="S277" s="150"/>
      <c r="T277" s="140"/>
      <c r="U277" s="120"/>
      <c r="W277" s="120"/>
      <c r="X277" s="129"/>
      <c r="Y277" s="120"/>
      <c r="AN277" s="70"/>
      <c r="AQ277" s="67"/>
      <c r="AT277" s="46"/>
      <c r="AY277" s="57"/>
      <c r="AZ277" s="64"/>
      <c r="BA277" s="46"/>
      <c r="BB277" s="46"/>
      <c r="BC277" s="48"/>
      <c r="BF277" s="46"/>
      <c r="BL277" s="121"/>
      <c r="BM277" s="122"/>
      <c r="BN277" s="123"/>
      <c r="BO277" s="123"/>
      <c r="BP277" s="123"/>
      <c r="BQ277" s="123"/>
      <c r="BR277" s="122"/>
      <c r="BS277" s="124"/>
      <c r="BT277" s="124"/>
      <c r="BU277" s="124"/>
      <c r="BV277" s="125"/>
      <c r="BW277" s="82"/>
      <c r="CD277" s="262"/>
      <c r="CH277" s="265"/>
    </row>
    <row r="278" spans="5:86" x14ac:dyDescent="0.8">
      <c r="E278" s="86"/>
      <c r="F278" s="130"/>
      <c r="G278" s="86"/>
      <c r="H278" s="130"/>
      <c r="I278" s="86"/>
      <c r="J278" s="128"/>
      <c r="L278" s="117"/>
      <c r="M278" s="118"/>
      <c r="N278" s="130"/>
      <c r="R278" s="57"/>
      <c r="S278" s="150"/>
      <c r="T278" s="140"/>
      <c r="U278" s="120"/>
      <c r="W278" s="120"/>
      <c r="X278" s="129"/>
      <c r="Y278" s="120"/>
      <c r="AL278" s="69"/>
      <c r="AN278" s="70"/>
      <c r="AQ278" s="67"/>
      <c r="AT278" s="46"/>
      <c r="AY278" s="57"/>
      <c r="AZ278" s="64"/>
      <c r="BA278" s="46"/>
      <c r="BB278" s="46"/>
      <c r="BC278" s="48"/>
      <c r="BF278" s="46"/>
      <c r="BL278" s="121"/>
      <c r="BM278" s="122"/>
      <c r="BN278" s="123"/>
      <c r="BO278" s="123"/>
      <c r="BP278" s="123"/>
      <c r="BQ278" s="123"/>
      <c r="BR278" s="122"/>
      <c r="BS278" s="124"/>
      <c r="BT278" s="124"/>
      <c r="BU278" s="124"/>
      <c r="BV278" s="125"/>
      <c r="BW278" s="82"/>
      <c r="CD278" s="262"/>
      <c r="CH278" s="265"/>
    </row>
    <row r="279" spans="5:86" x14ac:dyDescent="0.8">
      <c r="F279" s="127"/>
      <c r="H279" s="127"/>
      <c r="J279" s="128"/>
      <c r="K279" s="62"/>
      <c r="L279" s="117"/>
      <c r="M279" s="118"/>
      <c r="N279" s="130"/>
      <c r="P279" s="130"/>
      <c r="R279" s="57"/>
      <c r="S279" s="46"/>
      <c r="T279" s="119"/>
      <c r="U279" s="120"/>
      <c r="V279" s="128"/>
      <c r="W279" s="120"/>
      <c r="X279" s="129"/>
      <c r="Y279" s="120"/>
      <c r="AA279" s="136"/>
      <c r="AG279" s="144"/>
      <c r="AL279" s="69"/>
      <c r="AN279" s="70"/>
      <c r="AQ279" s="67"/>
      <c r="AT279" s="46"/>
      <c r="AY279" s="57"/>
      <c r="AZ279" s="64"/>
      <c r="BA279" s="46"/>
      <c r="BB279" s="46"/>
      <c r="BC279" s="48"/>
      <c r="BF279" s="46"/>
      <c r="BL279" s="121"/>
      <c r="BM279" s="122"/>
      <c r="BN279" s="123"/>
      <c r="BO279" s="123"/>
      <c r="BP279" s="123"/>
      <c r="BQ279" s="123"/>
      <c r="BR279" s="122"/>
      <c r="BS279" s="124"/>
      <c r="BT279" s="124"/>
      <c r="BU279" s="124"/>
      <c r="BV279" s="125"/>
      <c r="BW279" s="82"/>
      <c r="CD279" s="262"/>
      <c r="CH279" s="265"/>
    </row>
    <row r="280" spans="5:86" x14ac:dyDescent="0.8">
      <c r="F280" s="114"/>
      <c r="H280" s="114"/>
      <c r="J280" s="115"/>
      <c r="K280" s="62"/>
      <c r="L280" s="117"/>
      <c r="M280" s="118"/>
      <c r="N280" s="116"/>
      <c r="P280" s="130"/>
      <c r="R280" s="57"/>
      <c r="S280" s="46"/>
      <c r="T280" s="138"/>
      <c r="U280" s="120"/>
      <c r="V280" s="128"/>
      <c r="W280" s="120"/>
      <c r="X280" s="143"/>
      <c r="AA280" s="136"/>
      <c r="AG280" s="144"/>
      <c r="AQ280" s="67"/>
      <c r="AT280" s="46"/>
      <c r="AY280" s="57"/>
      <c r="AZ280" s="64"/>
      <c r="BA280" s="46"/>
      <c r="BB280" s="46"/>
      <c r="BC280" s="48"/>
      <c r="BF280" s="46"/>
      <c r="BL280" s="121"/>
      <c r="BM280" s="122"/>
      <c r="BN280" s="123"/>
      <c r="BO280" s="123"/>
      <c r="BP280" s="123"/>
      <c r="BQ280" s="123"/>
      <c r="BR280" s="122"/>
      <c r="BS280" s="124"/>
      <c r="BT280" s="124"/>
      <c r="BU280" s="124"/>
      <c r="BV280" s="125"/>
      <c r="BW280" s="82"/>
      <c r="CD280" s="262"/>
      <c r="CH280" s="265"/>
    </row>
    <row r="281" spans="5:86" x14ac:dyDescent="0.8">
      <c r="F281" s="127"/>
      <c r="H281" s="127"/>
      <c r="J281" s="128"/>
      <c r="K281" s="62"/>
      <c r="L281" s="117"/>
      <c r="M281" s="118"/>
      <c r="N281" s="130"/>
      <c r="P281" s="130"/>
      <c r="R281" s="57"/>
      <c r="S281" s="46"/>
      <c r="T281" s="119"/>
      <c r="U281" s="120"/>
      <c r="V281" s="128"/>
      <c r="W281" s="120"/>
      <c r="X281" s="129"/>
      <c r="Y281" s="120"/>
      <c r="AL281" s="68"/>
      <c r="AQ281" s="67"/>
      <c r="AT281" s="46"/>
      <c r="AY281" s="57"/>
      <c r="AZ281" s="64"/>
      <c r="BA281" s="46"/>
      <c r="BB281" s="46"/>
      <c r="BC281" s="48"/>
      <c r="BF281" s="46"/>
      <c r="BL281" s="121"/>
      <c r="BM281" s="122"/>
      <c r="BN281" s="123"/>
      <c r="BO281" s="123"/>
      <c r="BP281" s="123"/>
      <c r="BQ281" s="123"/>
      <c r="BR281" s="122"/>
      <c r="BS281" s="124"/>
      <c r="BT281" s="124"/>
      <c r="BU281" s="124"/>
      <c r="BV281" s="125"/>
      <c r="BW281" s="82"/>
      <c r="CD281" s="262"/>
      <c r="CH281" s="265"/>
    </row>
    <row r="282" spans="5:86" x14ac:dyDescent="0.8">
      <c r="F282" s="127"/>
      <c r="H282" s="127"/>
      <c r="J282" s="128"/>
      <c r="K282" s="62"/>
      <c r="N282" s="130"/>
      <c r="P282" s="130"/>
      <c r="R282" s="57"/>
      <c r="S282" s="46"/>
      <c r="T282" s="128"/>
      <c r="U282" s="120"/>
      <c r="V282" s="128"/>
      <c r="W282" s="120"/>
      <c r="AN282" s="70"/>
      <c r="AQ282" s="67"/>
      <c r="AT282" s="46"/>
      <c r="AY282" s="57"/>
      <c r="AZ282" s="64"/>
      <c r="BA282" s="46"/>
      <c r="BB282" s="46"/>
      <c r="BC282" s="48"/>
      <c r="BF282" s="46"/>
      <c r="BL282" s="121"/>
      <c r="BM282" s="122"/>
      <c r="BN282" s="123"/>
      <c r="BO282" s="123"/>
      <c r="BP282" s="123"/>
      <c r="BQ282" s="123"/>
      <c r="BR282" s="122"/>
      <c r="BS282" s="124"/>
      <c r="BT282" s="124"/>
      <c r="BU282" s="124"/>
      <c r="BV282" s="125"/>
      <c r="BW282" s="82"/>
      <c r="CD282" s="262"/>
      <c r="CH282" s="265"/>
    </row>
    <row r="283" spans="5:86" x14ac:dyDescent="0.8">
      <c r="F283" s="114"/>
      <c r="H283" s="114"/>
      <c r="J283" s="115"/>
      <c r="K283" s="62"/>
      <c r="N283" s="116"/>
      <c r="P283" s="130"/>
      <c r="R283" s="57"/>
      <c r="S283" s="46"/>
      <c r="T283" s="115"/>
      <c r="U283" s="120"/>
      <c r="V283" s="128"/>
      <c r="W283" s="120"/>
      <c r="AQ283" s="67"/>
      <c r="AT283" s="46"/>
      <c r="AY283" s="57"/>
      <c r="AZ283" s="64"/>
      <c r="BA283" s="46"/>
      <c r="BB283" s="46"/>
      <c r="BC283" s="48"/>
      <c r="BF283" s="46"/>
      <c r="BL283" s="121"/>
      <c r="BM283" s="122"/>
      <c r="BN283" s="123"/>
      <c r="BO283" s="123"/>
      <c r="BP283" s="123"/>
      <c r="BQ283" s="123"/>
      <c r="BR283" s="122"/>
      <c r="BS283" s="124"/>
      <c r="BT283" s="124"/>
      <c r="BU283" s="124"/>
      <c r="BV283" s="125"/>
      <c r="BW283" s="82"/>
      <c r="CD283" s="262"/>
      <c r="CH283" s="265"/>
    </row>
    <row r="284" spans="5:86" x14ac:dyDescent="0.8">
      <c r="F284" s="127"/>
      <c r="H284" s="114"/>
      <c r="J284" s="142"/>
      <c r="K284" s="62"/>
      <c r="N284" s="91"/>
      <c r="O284" s="58"/>
      <c r="P284" s="130"/>
      <c r="Q284" s="59"/>
      <c r="R284" s="57"/>
      <c r="S284" s="46"/>
      <c r="T284" s="151"/>
      <c r="U284" s="120"/>
      <c r="V284" s="128"/>
      <c r="W284" s="120"/>
      <c r="X284" s="135"/>
      <c r="Y284" s="136"/>
      <c r="AA284" s="136"/>
      <c r="AD284" s="143"/>
      <c r="AF284" s="71"/>
      <c r="AH284" s="71"/>
      <c r="AJ284" s="143"/>
      <c r="AN284" s="70"/>
      <c r="AP284" s="137"/>
      <c r="AQ284" s="67"/>
      <c r="AT284" s="46"/>
      <c r="BB284" s="46"/>
      <c r="BC284" s="48"/>
      <c r="BF284" s="46"/>
      <c r="BL284" s="121"/>
      <c r="BM284" s="122"/>
      <c r="BN284" s="123"/>
      <c r="BO284" s="123"/>
      <c r="BP284" s="123"/>
      <c r="BQ284" s="123"/>
      <c r="BR284" s="122"/>
      <c r="BS284" s="124"/>
      <c r="BT284" s="124"/>
      <c r="BU284" s="124"/>
      <c r="BV284" s="125"/>
      <c r="BW284" s="82"/>
      <c r="CD284" s="262"/>
      <c r="CH284" s="265"/>
    </row>
    <row r="285" spans="5:86" x14ac:dyDescent="0.8">
      <c r="F285" s="114"/>
      <c r="H285" s="114"/>
      <c r="J285" s="115"/>
      <c r="K285" s="62"/>
      <c r="N285" s="116"/>
      <c r="P285" s="130"/>
      <c r="R285" s="57"/>
      <c r="S285" s="46"/>
      <c r="T285" s="115"/>
      <c r="U285" s="120"/>
      <c r="V285" s="128"/>
      <c r="W285" s="120"/>
      <c r="X285" s="57"/>
      <c r="Y285" s="46"/>
      <c r="Z285" s="57"/>
      <c r="AA285" s="46"/>
      <c r="AG285" s="120"/>
      <c r="AM285" s="64"/>
      <c r="AO285" s="46"/>
      <c r="AQ285" s="67"/>
      <c r="AT285" s="46"/>
      <c r="BC285" s="48"/>
      <c r="BF285" s="46"/>
      <c r="BL285" s="121"/>
      <c r="BM285" s="122"/>
      <c r="BN285" s="123"/>
      <c r="BO285" s="123"/>
      <c r="BP285" s="123"/>
      <c r="BQ285" s="123"/>
      <c r="BR285" s="122"/>
      <c r="BS285" s="124"/>
      <c r="BT285" s="124"/>
      <c r="BU285" s="124"/>
      <c r="BV285" s="125"/>
      <c r="BW285" s="82"/>
      <c r="CD285" s="262"/>
      <c r="CH285" s="265"/>
    </row>
    <row r="286" spans="5:86" x14ac:dyDescent="0.8">
      <c r="F286" s="114"/>
      <c r="H286" s="127"/>
      <c r="J286" s="115"/>
      <c r="K286" s="62"/>
      <c r="N286" s="116"/>
      <c r="P286" s="130"/>
      <c r="R286" s="57"/>
      <c r="S286" s="46"/>
      <c r="T286" s="115"/>
      <c r="U286" s="120"/>
      <c r="V286" s="128"/>
      <c r="W286" s="120"/>
      <c r="X286" s="57"/>
      <c r="Y286" s="46"/>
      <c r="Z286" s="57"/>
      <c r="AA286" s="46"/>
      <c r="AF286" s="115"/>
      <c r="AG286" s="120"/>
      <c r="AL286" s="69"/>
      <c r="AN286" s="70"/>
      <c r="AQ286" s="67"/>
      <c r="AT286" s="46"/>
      <c r="BC286" s="48"/>
      <c r="BF286" s="46"/>
      <c r="BL286" s="121"/>
      <c r="BM286" s="122"/>
      <c r="BN286" s="123"/>
      <c r="BO286" s="123"/>
      <c r="BP286" s="123"/>
      <c r="BQ286" s="123"/>
      <c r="BR286" s="122"/>
      <c r="BS286" s="124"/>
      <c r="BT286" s="124"/>
      <c r="BU286" s="124"/>
      <c r="BV286" s="125"/>
      <c r="BW286" s="82"/>
      <c r="CD286" s="262"/>
      <c r="CH286" s="265"/>
    </row>
    <row r="287" spans="5:86" x14ac:dyDescent="0.8">
      <c r="F287" s="127"/>
      <c r="H287" s="127"/>
      <c r="J287" s="115"/>
      <c r="K287" s="62"/>
      <c r="N287" s="116"/>
      <c r="P287" s="130"/>
      <c r="R287" s="57"/>
      <c r="S287" s="46"/>
      <c r="T287" s="115"/>
      <c r="U287" s="120"/>
      <c r="V287" s="128"/>
      <c r="W287" s="120"/>
      <c r="X287" s="57"/>
      <c r="Y287" s="46"/>
      <c r="Z287" s="57"/>
      <c r="AA287" s="46"/>
      <c r="AF287" s="115"/>
      <c r="AG287" s="120"/>
      <c r="AM287" s="64"/>
      <c r="AO287" s="46"/>
      <c r="AQ287" s="67"/>
      <c r="AT287" s="46"/>
      <c r="BC287" s="48"/>
      <c r="BF287" s="46"/>
      <c r="BL287" s="121"/>
      <c r="BM287" s="122"/>
      <c r="BN287" s="123"/>
      <c r="BO287" s="123"/>
      <c r="BP287" s="123"/>
      <c r="BQ287" s="123"/>
      <c r="BR287" s="122"/>
      <c r="BS287" s="124"/>
      <c r="BT287" s="124"/>
      <c r="BU287" s="124"/>
      <c r="BV287" s="125"/>
      <c r="BW287" s="82"/>
      <c r="CD287" s="262"/>
      <c r="CH287" s="265"/>
    </row>
    <row r="288" spans="5:86" x14ac:dyDescent="0.8">
      <c r="F288" s="127"/>
      <c r="H288" s="114"/>
      <c r="J288" s="115"/>
      <c r="K288" s="62"/>
      <c r="L288" s="117"/>
      <c r="M288" s="118"/>
      <c r="N288" s="130"/>
      <c r="P288" s="130"/>
      <c r="R288" s="57"/>
      <c r="S288" s="46"/>
      <c r="T288" s="138"/>
      <c r="U288" s="120"/>
      <c r="V288" s="128"/>
      <c r="W288" s="120"/>
      <c r="X288" s="129"/>
      <c r="Y288" s="120"/>
      <c r="AF288" s="115"/>
      <c r="AG288" s="120"/>
      <c r="AL288" s="68"/>
      <c r="AQ288" s="67"/>
      <c r="AT288" s="46"/>
      <c r="AY288" s="57"/>
      <c r="AZ288" s="64"/>
      <c r="BA288" s="46"/>
      <c r="BB288" s="46"/>
      <c r="BC288" s="48"/>
      <c r="BF288" s="46"/>
      <c r="BL288" s="121"/>
      <c r="BM288" s="122"/>
      <c r="BN288" s="123"/>
      <c r="BO288" s="123"/>
      <c r="BP288" s="123"/>
      <c r="BQ288" s="123"/>
      <c r="BR288" s="122"/>
      <c r="BS288" s="124"/>
      <c r="BT288" s="124"/>
      <c r="BU288" s="124"/>
      <c r="BV288" s="125"/>
      <c r="BW288" s="82"/>
      <c r="CD288" s="262"/>
      <c r="CH288" s="265"/>
    </row>
    <row r="289" spans="5:86" x14ac:dyDescent="0.8">
      <c r="F289" s="127"/>
      <c r="H289" s="114"/>
      <c r="J289" s="128"/>
      <c r="K289" s="62"/>
      <c r="L289" s="117"/>
      <c r="M289" s="118"/>
      <c r="N289" s="130"/>
      <c r="P289" s="130"/>
      <c r="R289" s="57"/>
      <c r="S289" s="46"/>
      <c r="T289" s="119"/>
      <c r="U289" s="120"/>
      <c r="V289" s="128"/>
      <c r="W289" s="120"/>
      <c r="X289" s="129"/>
      <c r="Y289" s="120"/>
      <c r="AL289" s="68"/>
      <c r="AQ289" s="67"/>
      <c r="AT289" s="46"/>
      <c r="AY289" s="57"/>
      <c r="AZ289" s="64"/>
      <c r="BA289" s="46"/>
      <c r="BB289" s="46"/>
      <c r="BC289" s="48"/>
      <c r="BF289" s="46"/>
      <c r="BL289" s="121"/>
      <c r="BM289" s="122"/>
      <c r="BN289" s="123"/>
      <c r="BO289" s="123"/>
      <c r="BP289" s="123"/>
      <c r="BQ289" s="123"/>
      <c r="BR289" s="122"/>
      <c r="BS289" s="124"/>
      <c r="BT289" s="124"/>
      <c r="BU289" s="124"/>
      <c r="BV289" s="125"/>
      <c r="BW289" s="82"/>
      <c r="CD289" s="262"/>
      <c r="CH289" s="265"/>
    </row>
    <row r="290" spans="5:86" x14ac:dyDescent="0.8">
      <c r="F290" s="127"/>
      <c r="H290" s="114"/>
      <c r="J290" s="128"/>
      <c r="K290" s="62"/>
      <c r="L290" s="117"/>
      <c r="M290" s="118"/>
      <c r="N290" s="130"/>
      <c r="P290" s="130"/>
      <c r="R290" s="57"/>
      <c r="S290" s="46"/>
      <c r="T290" s="119"/>
      <c r="U290" s="120"/>
      <c r="V290" s="128"/>
      <c r="W290" s="120"/>
      <c r="X290" s="129"/>
      <c r="Y290" s="120"/>
      <c r="AL290" s="68"/>
      <c r="AQ290" s="67"/>
      <c r="AT290" s="46"/>
      <c r="AY290" s="57"/>
      <c r="AZ290" s="64"/>
      <c r="BA290" s="46"/>
      <c r="BB290" s="46"/>
      <c r="BC290" s="48"/>
      <c r="BF290" s="46"/>
      <c r="BL290" s="121"/>
      <c r="BM290" s="122"/>
      <c r="BN290" s="123"/>
      <c r="BO290" s="123"/>
      <c r="BP290" s="123"/>
      <c r="BQ290" s="123"/>
      <c r="BR290" s="122"/>
      <c r="BS290" s="124"/>
      <c r="BT290" s="124"/>
      <c r="BU290" s="124"/>
      <c r="BV290" s="125"/>
      <c r="BW290" s="82"/>
      <c r="CD290" s="262"/>
      <c r="CH290" s="265"/>
    </row>
    <row r="291" spans="5:86" x14ac:dyDescent="0.8">
      <c r="F291" s="114"/>
      <c r="H291" s="114"/>
      <c r="J291" s="128"/>
      <c r="K291" s="62"/>
      <c r="L291" s="117"/>
      <c r="M291" s="118"/>
      <c r="N291" s="130"/>
      <c r="P291" s="130"/>
      <c r="R291" s="57"/>
      <c r="S291" s="46"/>
      <c r="T291" s="119"/>
      <c r="U291" s="120"/>
      <c r="V291" s="128"/>
      <c r="W291" s="120"/>
      <c r="X291" s="129"/>
      <c r="Y291" s="120"/>
      <c r="AL291" s="68"/>
      <c r="AQ291" s="67"/>
      <c r="AT291" s="46"/>
      <c r="AY291" s="57"/>
      <c r="AZ291" s="64"/>
      <c r="BA291" s="46"/>
      <c r="BB291" s="46"/>
      <c r="BC291" s="48"/>
      <c r="BF291" s="46"/>
      <c r="BL291" s="121"/>
      <c r="BM291" s="122"/>
      <c r="BN291" s="123"/>
      <c r="BO291" s="123"/>
      <c r="BP291" s="123"/>
      <c r="BQ291" s="123"/>
      <c r="BR291" s="122"/>
      <c r="BS291" s="124"/>
      <c r="BT291" s="124"/>
      <c r="BU291" s="124"/>
      <c r="BV291" s="125"/>
      <c r="BW291" s="82"/>
      <c r="CD291" s="262"/>
      <c r="CH291" s="265"/>
    </row>
    <row r="292" spans="5:86" x14ac:dyDescent="0.8">
      <c r="F292" s="114"/>
      <c r="H292" s="127"/>
      <c r="J292" s="128"/>
      <c r="K292" s="62"/>
      <c r="L292" s="117"/>
      <c r="M292" s="118"/>
      <c r="N292" s="130"/>
      <c r="P292" s="130"/>
      <c r="R292" s="57"/>
      <c r="S292" s="46"/>
      <c r="T292" s="119"/>
      <c r="U292" s="120"/>
      <c r="V292" s="128"/>
      <c r="W292" s="120"/>
      <c r="X292" s="129"/>
      <c r="Y292" s="120"/>
      <c r="AL292" s="68"/>
      <c r="AQ292" s="67"/>
      <c r="AT292" s="46"/>
      <c r="AY292" s="57"/>
      <c r="AZ292" s="64"/>
      <c r="BA292" s="46"/>
      <c r="BB292" s="46"/>
      <c r="BC292" s="48"/>
      <c r="BF292" s="46"/>
      <c r="BL292" s="121"/>
      <c r="BM292" s="122"/>
      <c r="BN292" s="123"/>
      <c r="BO292" s="123"/>
      <c r="BP292" s="123"/>
      <c r="BQ292" s="123"/>
      <c r="BR292" s="122"/>
      <c r="BS292" s="124"/>
      <c r="BT292" s="124"/>
      <c r="BU292" s="124"/>
      <c r="BV292" s="125"/>
      <c r="BW292" s="82"/>
      <c r="CD292" s="262"/>
      <c r="CH292" s="265"/>
    </row>
    <row r="293" spans="5:86" x14ac:dyDescent="0.8">
      <c r="F293" s="114"/>
      <c r="H293" s="127"/>
      <c r="J293" s="115"/>
      <c r="K293" s="62"/>
      <c r="N293" s="130"/>
      <c r="P293" s="130"/>
      <c r="R293" s="57"/>
      <c r="S293" s="46"/>
      <c r="T293" s="115"/>
      <c r="U293" s="120"/>
      <c r="V293" s="128"/>
      <c r="W293" s="120"/>
      <c r="X293" s="57"/>
      <c r="Y293" s="46"/>
      <c r="Z293" s="57"/>
      <c r="AA293" s="46"/>
      <c r="AD293" s="153"/>
      <c r="AM293" s="64"/>
      <c r="AO293" s="46"/>
      <c r="AQ293" s="67"/>
      <c r="AT293" s="46"/>
      <c r="BC293" s="48"/>
      <c r="BF293" s="46"/>
      <c r="BL293" s="121"/>
      <c r="BM293" s="122"/>
      <c r="BN293" s="123"/>
      <c r="BO293" s="123"/>
      <c r="BP293" s="123"/>
      <c r="BQ293" s="123"/>
      <c r="BR293" s="122"/>
      <c r="BS293" s="124"/>
      <c r="BT293" s="124"/>
      <c r="BU293" s="124"/>
      <c r="BV293" s="125"/>
      <c r="BW293" s="82"/>
      <c r="CD293" s="262"/>
      <c r="CH293" s="265"/>
    </row>
    <row r="294" spans="5:86" x14ac:dyDescent="0.8">
      <c r="F294" s="127"/>
      <c r="H294" s="114"/>
      <c r="J294" s="115"/>
      <c r="K294" s="62"/>
      <c r="L294" s="117"/>
      <c r="M294" s="118"/>
      <c r="N294" s="116"/>
      <c r="P294" s="130"/>
      <c r="R294" s="57"/>
      <c r="S294" s="46"/>
      <c r="T294" s="119"/>
      <c r="U294" s="120"/>
      <c r="V294" s="128"/>
      <c r="W294" s="120"/>
      <c r="X294" s="129"/>
      <c r="Y294" s="120"/>
      <c r="AF294" s="115"/>
      <c r="AG294" s="120"/>
      <c r="AL294" s="69"/>
      <c r="AN294" s="70"/>
      <c r="AQ294" s="67"/>
      <c r="AT294" s="46"/>
      <c r="AY294" s="57"/>
      <c r="AZ294" s="64"/>
      <c r="BA294" s="46"/>
      <c r="BB294" s="46"/>
      <c r="BC294" s="48"/>
      <c r="BF294" s="46"/>
      <c r="BL294" s="121"/>
      <c r="BM294" s="122"/>
      <c r="BN294" s="123"/>
      <c r="BO294" s="123"/>
      <c r="BP294" s="123"/>
      <c r="BQ294" s="123"/>
      <c r="BR294" s="122"/>
      <c r="BS294" s="124"/>
      <c r="BT294" s="124"/>
      <c r="BU294" s="124"/>
      <c r="BV294" s="125"/>
      <c r="BW294" s="82"/>
      <c r="CD294" s="262"/>
      <c r="CH294" s="265"/>
    </row>
    <row r="295" spans="5:86" x14ac:dyDescent="0.8">
      <c r="E295" s="86"/>
      <c r="F295" s="130"/>
      <c r="G295" s="86"/>
      <c r="H295" s="130"/>
      <c r="I295" s="86"/>
      <c r="J295" s="128"/>
      <c r="L295" s="117"/>
      <c r="M295" s="118"/>
      <c r="R295" s="57"/>
      <c r="S295" s="150"/>
      <c r="T295" s="119"/>
      <c r="U295" s="139"/>
      <c r="V295" s="128"/>
      <c r="W295" s="155"/>
      <c r="X295" s="129"/>
      <c r="Y295" s="120"/>
      <c r="AL295" s="68"/>
      <c r="AQ295" s="67"/>
      <c r="AT295" s="46"/>
      <c r="AY295" s="57"/>
      <c r="AZ295" s="64"/>
      <c r="BA295" s="46"/>
      <c r="BB295" s="46"/>
      <c r="BC295" s="48"/>
      <c r="BF295" s="46"/>
      <c r="BL295" s="121"/>
      <c r="BM295" s="122"/>
      <c r="BN295" s="123"/>
      <c r="BO295" s="123"/>
      <c r="BP295" s="123"/>
      <c r="BQ295" s="123"/>
      <c r="BR295" s="122"/>
      <c r="BS295" s="124"/>
      <c r="BT295" s="124"/>
      <c r="BU295" s="124"/>
      <c r="BV295" s="125"/>
      <c r="BW295" s="82"/>
      <c r="CD295" s="262"/>
      <c r="CH295" s="265"/>
    </row>
    <row r="296" spans="5:86" x14ac:dyDescent="0.8">
      <c r="E296" s="86"/>
      <c r="F296" s="91"/>
      <c r="G296" s="86"/>
      <c r="H296" s="91"/>
      <c r="I296" s="86"/>
      <c r="J296" s="142"/>
      <c r="N296" s="58"/>
      <c r="O296" s="58"/>
      <c r="Q296" s="59"/>
      <c r="R296" s="57"/>
      <c r="S296" s="150"/>
      <c r="T296" s="71"/>
      <c r="U296" s="139"/>
      <c r="V296" s="142"/>
      <c r="W296" s="139"/>
      <c r="AD296" s="71"/>
      <c r="AF296" s="71"/>
      <c r="AH296" s="71"/>
      <c r="AJ296" s="71"/>
      <c r="AL296" s="69"/>
      <c r="AN296" s="70"/>
      <c r="AP296" s="137"/>
      <c r="AQ296" s="67"/>
      <c r="AT296" s="46"/>
      <c r="AY296" s="57"/>
      <c r="AZ296" s="64"/>
      <c r="BA296" s="46"/>
      <c r="BB296" s="46"/>
      <c r="BC296" s="48"/>
      <c r="BF296" s="46"/>
      <c r="BL296" s="121"/>
      <c r="BM296" s="122"/>
      <c r="BN296" s="123"/>
      <c r="BO296" s="123"/>
      <c r="BP296" s="123"/>
      <c r="BQ296" s="123"/>
      <c r="BR296" s="122"/>
      <c r="BS296" s="124"/>
      <c r="BT296" s="124"/>
      <c r="BU296" s="124"/>
      <c r="BV296" s="125"/>
      <c r="BW296" s="82"/>
      <c r="CD296" s="262"/>
      <c r="CH296" s="265"/>
    </row>
    <row r="297" spans="5:86" x14ac:dyDescent="0.8">
      <c r="E297" s="86"/>
      <c r="F297" s="130"/>
      <c r="G297" s="86"/>
      <c r="H297" s="130"/>
      <c r="I297" s="86"/>
      <c r="J297" s="128"/>
      <c r="L297" s="117"/>
      <c r="M297" s="118"/>
      <c r="R297" s="57"/>
      <c r="S297" s="150"/>
      <c r="T297" s="128"/>
      <c r="U297" s="120"/>
      <c r="V297" s="128"/>
      <c r="W297" s="120"/>
      <c r="AL297" s="69"/>
      <c r="AN297" s="70"/>
      <c r="AQ297" s="67"/>
      <c r="AT297" s="46"/>
      <c r="AY297" s="57"/>
      <c r="AZ297" s="64"/>
      <c r="BA297" s="46"/>
      <c r="BB297" s="46"/>
      <c r="BC297" s="48"/>
      <c r="BF297" s="46"/>
      <c r="BL297" s="121"/>
      <c r="BM297" s="122"/>
      <c r="BN297" s="123"/>
      <c r="BO297" s="123"/>
      <c r="BP297" s="123"/>
      <c r="BQ297" s="123"/>
      <c r="BR297" s="122"/>
      <c r="BS297" s="124"/>
      <c r="BT297" s="124"/>
      <c r="BU297" s="124"/>
      <c r="BV297" s="125"/>
      <c r="BW297" s="82"/>
      <c r="CD297" s="262"/>
      <c r="CH297" s="265"/>
    </row>
    <row r="298" spans="5:86" x14ac:dyDescent="0.8">
      <c r="F298" s="114"/>
      <c r="H298" s="114"/>
      <c r="J298" s="115"/>
      <c r="K298" s="62"/>
      <c r="L298" s="117"/>
      <c r="M298" s="118"/>
      <c r="N298" s="116"/>
      <c r="P298" s="130"/>
      <c r="R298" s="57"/>
      <c r="S298" s="46"/>
      <c r="T298" s="119"/>
      <c r="U298" s="120"/>
      <c r="V298" s="128"/>
      <c r="W298" s="120"/>
      <c r="X298" s="129"/>
      <c r="Y298" s="120"/>
      <c r="AA298" s="136"/>
      <c r="AG298" s="144"/>
      <c r="AL298" s="69"/>
      <c r="AN298" s="70"/>
      <c r="AQ298" s="67"/>
      <c r="AT298" s="46"/>
      <c r="AY298" s="57"/>
      <c r="AZ298" s="64"/>
      <c r="BA298" s="46"/>
      <c r="BB298" s="46"/>
      <c r="BC298" s="48"/>
      <c r="BF298" s="46"/>
      <c r="BL298" s="121"/>
      <c r="BM298" s="122"/>
      <c r="BN298" s="123"/>
      <c r="BO298" s="123"/>
      <c r="BP298" s="123"/>
      <c r="BQ298" s="123"/>
      <c r="BR298" s="122"/>
      <c r="BS298" s="124"/>
      <c r="BT298" s="124"/>
      <c r="BU298" s="124"/>
      <c r="BV298" s="125"/>
      <c r="BW298" s="82"/>
      <c r="CD298" s="262"/>
      <c r="CH298" s="265"/>
    </row>
    <row r="299" spans="5:86" x14ac:dyDescent="0.8">
      <c r="F299" s="114"/>
      <c r="H299" s="127"/>
      <c r="J299" s="115"/>
      <c r="K299" s="62"/>
      <c r="L299" s="117"/>
      <c r="M299" s="118"/>
      <c r="N299" s="116"/>
      <c r="P299" s="130"/>
      <c r="R299" s="57"/>
      <c r="S299" s="46"/>
      <c r="T299" s="119"/>
      <c r="U299" s="120"/>
      <c r="V299" s="128"/>
      <c r="W299" s="120"/>
      <c r="X299" s="143"/>
      <c r="AA299" s="136"/>
      <c r="AG299" s="144"/>
      <c r="AQ299" s="67"/>
      <c r="AT299" s="46"/>
      <c r="AY299" s="57"/>
      <c r="AZ299" s="64"/>
      <c r="BA299" s="46"/>
      <c r="BB299" s="46"/>
      <c r="BC299" s="48"/>
      <c r="BF299" s="46"/>
      <c r="BL299" s="121"/>
      <c r="BM299" s="122"/>
      <c r="BN299" s="123"/>
      <c r="BO299" s="123"/>
      <c r="BP299" s="123"/>
      <c r="BQ299" s="123"/>
      <c r="BR299" s="122"/>
      <c r="BS299" s="124"/>
      <c r="BT299" s="124"/>
      <c r="BU299" s="124"/>
      <c r="BV299" s="125"/>
      <c r="BW299" s="82"/>
      <c r="CD299" s="262"/>
      <c r="CH299" s="265"/>
    </row>
    <row r="300" spans="5:86" x14ac:dyDescent="0.8">
      <c r="F300" s="127"/>
      <c r="H300" s="127"/>
      <c r="J300" s="128"/>
      <c r="K300" s="62"/>
      <c r="L300" s="117"/>
      <c r="M300" s="118"/>
      <c r="N300" s="130"/>
      <c r="P300" s="130"/>
      <c r="R300" s="57"/>
      <c r="S300" s="46"/>
      <c r="T300" s="119"/>
      <c r="U300" s="120"/>
      <c r="V300" s="128"/>
      <c r="W300" s="120"/>
      <c r="X300" s="129"/>
      <c r="Y300" s="120"/>
      <c r="AL300" s="68"/>
      <c r="AQ300" s="67"/>
      <c r="AT300" s="46"/>
      <c r="AY300" s="57"/>
      <c r="AZ300" s="64"/>
      <c r="BA300" s="46"/>
      <c r="BB300" s="46"/>
      <c r="BC300" s="48"/>
      <c r="BF300" s="46"/>
      <c r="BL300" s="121"/>
      <c r="BM300" s="122"/>
      <c r="BN300" s="123"/>
      <c r="BO300" s="123"/>
      <c r="BP300" s="123"/>
      <c r="BQ300" s="123"/>
      <c r="BR300" s="122"/>
      <c r="BS300" s="124"/>
      <c r="BT300" s="124"/>
      <c r="BU300" s="124"/>
      <c r="BV300" s="125"/>
      <c r="BW300" s="82"/>
      <c r="CD300" s="262"/>
      <c r="CH300" s="265"/>
    </row>
    <row r="301" spans="5:86" x14ac:dyDescent="0.8">
      <c r="F301" s="127"/>
      <c r="H301" s="114"/>
      <c r="J301" s="115"/>
      <c r="K301" s="62"/>
      <c r="N301" s="116"/>
      <c r="P301" s="130"/>
      <c r="R301" s="57"/>
      <c r="S301" s="46"/>
      <c r="T301" s="115"/>
      <c r="U301" s="120"/>
      <c r="V301" s="128"/>
      <c r="W301" s="120"/>
      <c r="AN301" s="70"/>
      <c r="AQ301" s="67"/>
      <c r="AT301" s="46"/>
      <c r="AY301" s="57"/>
      <c r="AZ301" s="64"/>
      <c r="BA301" s="46"/>
      <c r="BB301" s="46"/>
      <c r="BC301" s="48"/>
      <c r="BF301" s="46"/>
      <c r="BL301" s="121"/>
      <c r="BM301" s="122"/>
      <c r="BN301" s="123"/>
      <c r="BO301" s="123"/>
      <c r="BP301" s="123"/>
      <c r="BQ301" s="123"/>
      <c r="BR301" s="122"/>
      <c r="BS301" s="124"/>
      <c r="BT301" s="124"/>
      <c r="BU301" s="124"/>
      <c r="BV301" s="125"/>
      <c r="BW301" s="82"/>
      <c r="CD301" s="262"/>
      <c r="CH301" s="265"/>
    </row>
    <row r="302" spans="5:86" x14ac:dyDescent="0.8">
      <c r="F302" s="114"/>
      <c r="H302" s="127"/>
      <c r="J302" s="128"/>
      <c r="K302" s="62"/>
      <c r="N302" s="130"/>
      <c r="P302" s="130"/>
      <c r="R302" s="57"/>
      <c r="S302" s="46"/>
      <c r="T302" s="128"/>
      <c r="U302" s="120"/>
      <c r="V302" s="128"/>
      <c r="W302" s="120"/>
      <c r="AQ302" s="67"/>
      <c r="AT302" s="46"/>
      <c r="AY302" s="57"/>
      <c r="AZ302" s="64"/>
      <c r="BA302" s="46"/>
      <c r="BB302" s="46"/>
      <c r="BC302" s="48"/>
      <c r="BF302" s="46"/>
      <c r="BL302" s="121"/>
      <c r="BM302" s="122"/>
      <c r="BN302" s="123"/>
      <c r="BO302" s="123"/>
      <c r="BP302" s="123"/>
      <c r="BQ302" s="123"/>
      <c r="BR302" s="122"/>
      <c r="BS302" s="124"/>
      <c r="BT302" s="124"/>
      <c r="BU302" s="124"/>
      <c r="BV302" s="125"/>
      <c r="BW302" s="82"/>
      <c r="CD302" s="262"/>
      <c r="CH302" s="265"/>
    </row>
    <row r="303" spans="5:86" x14ac:dyDescent="0.8">
      <c r="F303" s="127"/>
      <c r="H303" s="114"/>
      <c r="J303" s="142"/>
      <c r="K303" s="62"/>
      <c r="N303" s="91"/>
      <c r="O303" s="58"/>
      <c r="P303" s="130"/>
      <c r="Q303" s="59"/>
      <c r="R303" s="57"/>
      <c r="S303" s="46"/>
      <c r="T303" s="151"/>
      <c r="U303" s="120"/>
      <c r="V303" s="128"/>
      <c r="W303" s="120"/>
      <c r="X303" s="135"/>
      <c r="Y303" s="136"/>
      <c r="AA303" s="136"/>
      <c r="AD303" s="143"/>
      <c r="AF303" s="71"/>
      <c r="AH303" s="71"/>
      <c r="AJ303" s="143"/>
      <c r="AN303" s="70"/>
      <c r="AP303" s="137"/>
      <c r="AQ303" s="67"/>
      <c r="AT303" s="46"/>
      <c r="BB303" s="46"/>
      <c r="BC303" s="48"/>
      <c r="BF303" s="46"/>
      <c r="BL303" s="121"/>
      <c r="BM303" s="122"/>
      <c r="BN303" s="123"/>
      <c r="BO303" s="123"/>
      <c r="BP303" s="123"/>
      <c r="BQ303" s="123"/>
      <c r="BR303" s="122"/>
      <c r="BS303" s="124"/>
      <c r="BT303" s="124"/>
      <c r="BU303" s="124"/>
      <c r="BV303" s="125"/>
      <c r="BW303" s="82"/>
      <c r="CD303" s="262"/>
      <c r="CH303" s="265"/>
    </row>
    <row r="304" spans="5:86" x14ac:dyDescent="0.8">
      <c r="F304" s="114"/>
      <c r="H304" s="127"/>
      <c r="J304" s="115"/>
      <c r="K304" s="62"/>
      <c r="N304" s="116"/>
      <c r="P304" s="130"/>
      <c r="R304" s="57"/>
      <c r="S304" s="46"/>
      <c r="T304" s="115"/>
      <c r="U304" s="120"/>
      <c r="V304" s="128"/>
      <c r="W304" s="120"/>
      <c r="X304" s="57"/>
      <c r="Y304" s="46"/>
      <c r="Z304" s="57"/>
      <c r="AA304" s="46"/>
      <c r="AG304" s="120"/>
      <c r="AM304" s="64"/>
      <c r="AO304" s="46"/>
      <c r="AQ304" s="67"/>
      <c r="AT304" s="46"/>
      <c r="BC304" s="48"/>
      <c r="BF304" s="46"/>
      <c r="BL304" s="121"/>
      <c r="BM304" s="122"/>
      <c r="BN304" s="123"/>
      <c r="BO304" s="123"/>
      <c r="BP304" s="123"/>
      <c r="BQ304" s="123"/>
      <c r="BR304" s="122"/>
      <c r="BS304" s="124"/>
      <c r="BT304" s="124"/>
      <c r="BU304" s="124"/>
      <c r="BV304" s="125"/>
      <c r="BW304" s="82"/>
      <c r="CD304" s="262"/>
      <c r="CH304" s="265"/>
    </row>
    <row r="305" spans="5:86" x14ac:dyDescent="0.8">
      <c r="F305" s="127"/>
      <c r="H305" s="127"/>
      <c r="J305" s="115"/>
      <c r="K305" s="62"/>
      <c r="N305" s="130"/>
      <c r="P305" s="130"/>
      <c r="R305" s="57"/>
      <c r="S305" s="46"/>
      <c r="T305" s="115"/>
      <c r="U305" s="120"/>
      <c r="V305" s="128"/>
      <c r="W305" s="120"/>
      <c r="X305" s="57"/>
      <c r="Y305" s="46"/>
      <c r="Z305" s="57"/>
      <c r="AA305" s="46"/>
      <c r="AG305" s="120"/>
      <c r="AM305" s="64"/>
      <c r="AO305" s="46"/>
      <c r="AQ305" s="67"/>
      <c r="AT305" s="46"/>
      <c r="BC305" s="48"/>
      <c r="BF305" s="46"/>
      <c r="BL305" s="121"/>
      <c r="BM305" s="122"/>
      <c r="BN305" s="123"/>
      <c r="BO305" s="123"/>
      <c r="BP305" s="123"/>
      <c r="BQ305" s="123"/>
      <c r="BR305" s="122"/>
      <c r="BS305" s="124"/>
      <c r="BT305" s="124"/>
      <c r="BU305" s="124"/>
      <c r="BV305" s="125"/>
      <c r="BW305" s="82"/>
      <c r="CD305" s="262"/>
      <c r="CH305" s="265"/>
    </row>
    <row r="306" spans="5:86" x14ac:dyDescent="0.8">
      <c r="F306" s="127"/>
      <c r="H306" s="127"/>
      <c r="J306" s="115"/>
      <c r="K306" s="62"/>
      <c r="N306" s="116"/>
      <c r="P306" s="130"/>
      <c r="R306" s="57"/>
      <c r="S306" s="46"/>
      <c r="T306" s="115"/>
      <c r="U306" s="120"/>
      <c r="V306" s="128"/>
      <c r="W306" s="120"/>
      <c r="X306" s="57"/>
      <c r="Y306" s="46"/>
      <c r="Z306" s="57"/>
      <c r="AA306" s="46"/>
      <c r="AG306" s="120"/>
      <c r="AM306" s="64"/>
      <c r="AO306" s="46"/>
      <c r="AQ306" s="67"/>
      <c r="AT306" s="46"/>
      <c r="BC306" s="48"/>
      <c r="BF306" s="46"/>
      <c r="BL306" s="121"/>
      <c r="BM306" s="122"/>
      <c r="BN306" s="123"/>
      <c r="BO306" s="123"/>
      <c r="BP306" s="123"/>
      <c r="BQ306" s="123"/>
      <c r="BR306" s="122"/>
      <c r="BS306" s="124"/>
      <c r="BT306" s="124"/>
      <c r="BU306" s="124"/>
      <c r="BV306" s="125"/>
      <c r="BW306" s="82"/>
      <c r="CD306" s="262"/>
      <c r="CH306" s="265"/>
    </row>
    <row r="307" spans="5:86" x14ac:dyDescent="0.8">
      <c r="F307" s="114"/>
      <c r="H307" s="127"/>
      <c r="J307" s="115"/>
      <c r="K307" s="62"/>
      <c r="N307" s="130"/>
      <c r="P307" s="130"/>
      <c r="R307" s="57"/>
      <c r="S307" s="46"/>
      <c r="T307" s="115"/>
      <c r="U307" s="120"/>
      <c r="V307" s="128"/>
      <c r="W307" s="120"/>
      <c r="X307" s="57"/>
      <c r="Y307" s="46"/>
      <c r="Z307" s="57"/>
      <c r="AA307" s="46"/>
      <c r="AG307" s="120"/>
      <c r="AM307" s="64"/>
      <c r="AO307" s="46"/>
      <c r="AQ307" s="67"/>
      <c r="AT307" s="46"/>
      <c r="BC307" s="48"/>
      <c r="BF307" s="46"/>
      <c r="BL307" s="121"/>
      <c r="BM307" s="122"/>
      <c r="BN307" s="123"/>
      <c r="BO307" s="123"/>
      <c r="BP307" s="123"/>
      <c r="BQ307" s="123"/>
      <c r="BR307" s="122"/>
      <c r="BS307" s="124"/>
      <c r="BT307" s="124"/>
      <c r="BU307" s="124"/>
      <c r="BV307" s="125"/>
      <c r="BW307" s="82"/>
      <c r="CD307" s="262"/>
      <c r="CH307" s="265"/>
    </row>
    <row r="308" spans="5:86" x14ac:dyDescent="0.8">
      <c r="F308" s="127"/>
      <c r="H308" s="127"/>
      <c r="J308" s="115"/>
      <c r="K308" s="62"/>
      <c r="N308" s="116"/>
      <c r="P308" s="130"/>
      <c r="R308" s="57"/>
      <c r="S308" s="46"/>
      <c r="T308" s="115"/>
      <c r="U308" s="120"/>
      <c r="V308" s="128"/>
      <c r="W308" s="120"/>
      <c r="X308" s="57"/>
      <c r="Y308" s="46"/>
      <c r="Z308" s="57"/>
      <c r="AA308" s="46"/>
      <c r="AF308" s="115"/>
      <c r="AG308" s="120"/>
      <c r="AL308" s="69"/>
      <c r="AN308" s="70"/>
      <c r="AQ308" s="67"/>
      <c r="AT308" s="46"/>
      <c r="BC308" s="48"/>
      <c r="BF308" s="46"/>
      <c r="BL308" s="121"/>
      <c r="BM308" s="122"/>
      <c r="BN308" s="123"/>
      <c r="BO308" s="123"/>
      <c r="BP308" s="123"/>
      <c r="BQ308" s="123"/>
      <c r="BR308" s="122"/>
      <c r="BS308" s="124"/>
      <c r="BT308" s="124"/>
      <c r="BU308" s="124"/>
      <c r="BV308" s="125"/>
      <c r="BW308" s="82"/>
      <c r="CD308" s="262"/>
      <c r="CH308" s="265"/>
    </row>
    <row r="309" spans="5:86" x14ac:dyDescent="0.8">
      <c r="F309" s="114"/>
      <c r="H309" s="114"/>
      <c r="J309" s="115"/>
      <c r="K309" s="62"/>
      <c r="N309" s="116"/>
      <c r="P309" s="130"/>
      <c r="R309" s="57"/>
      <c r="S309" s="46"/>
      <c r="T309" s="115"/>
      <c r="U309" s="120"/>
      <c r="V309" s="128"/>
      <c r="W309" s="120"/>
      <c r="X309" s="57"/>
      <c r="Y309" s="46"/>
      <c r="Z309" s="57"/>
      <c r="AA309" s="46"/>
      <c r="AF309" s="115"/>
      <c r="AG309" s="120"/>
      <c r="AM309" s="64"/>
      <c r="AO309" s="46"/>
      <c r="AQ309" s="67"/>
      <c r="AT309" s="46"/>
      <c r="BC309" s="48"/>
      <c r="BF309" s="46"/>
      <c r="BL309" s="121"/>
      <c r="BM309" s="122"/>
      <c r="BN309" s="123"/>
      <c r="BO309" s="123"/>
      <c r="BP309" s="123"/>
      <c r="BQ309" s="123"/>
      <c r="BR309" s="122"/>
      <c r="BS309" s="124"/>
      <c r="BT309" s="124"/>
      <c r="BU309" s="124"/>
      <c r="BV309" s="125"/>
      <c r="BW309" s="82"/>
      <c r="CD309" s="262"/>
      <c r="CH309" s="265"/>
    </row>
    <row r="310" spans="5:86" x14ac:dyDescent="0.8">
      <c r="F310" s="114"/>
      <c r="H310" s="127"/>
      <c r="J310" s="115"/>
      <c r="K310" s="62"/>
      <c r="L310" s="117"/>
      <c r="M310" s="118"/>
      <c r="N310" s="116"/>
      <c r="P310" s="130"/>
      <c r="R310" s="57"/>
      <c r="S310" s="46"/>
      <c r="T310" s="138"/>
      <c r="U310" s="120"/>
      <c r="V310" s="128"/>
      <c r="W310" s="120"/>
      <c r="X310" s="129"/>
      <c r="Y310" s="120"/>
      <c r="AF310" s="115"/>
      <c r="AG310" s="120"/>
      <c r="AL310" s="68"/>
      <c r="AQ310" s="67"/>
      <c r="AT310" s="46"/>
      <c r="AY310" s="57"/>
      <c r="AZ310" s="64"/>
      <c r="BA310" s="46"/>
      <c r="BB310" s="46"/>
      <c r="BC310" s="48"/>
      <c r="BF310" s="46"/>
      <c r="BL310" s="121"/>
      <c r="BM310" s="122"/>
      <c r="BN310" s="123"/>
      <c r="BO310" s="123"/>
      <c r="BP310" s="123"/>
      <c r="BQ310" s="123"/>
      <c r="BR310" s="122"/>
      <c r="BS310" s="124"/>
      <c r="BT310" s="124"/>
      <c r="BU310" s="124"/>
      <c r="BV310" s="125"/>
      <c r="BW310" s="82"/>
      <c r="CD310" s="262"/>
      <c r="CH310" s="265"/>
    </row>
    <row r="311" spans="5:86" x14ac:dyDescent="0.8">
      <c r="F311" s="127"/>
      <c r="H311" s="114"/>
      <c r="J311" s="128"/>
      <c r="K311" s="62"/>
      <c r="L311" s="117"/>
      <c r="M311" s="118"/>
      <c r="N311" s="130"/>
      <c r="P311" s="130"/>
      <c r="R311" s="57"/>
      <c r="S311" s="46"/>
      <c r="T311" s="119"/>
      <c r="U311" s="120"/>
      <c r="V311" s="128"/>
      <c r="W311" s="120"/>
      <c r="X311" s="129"/>
      <c r="Y311" s="120"/>
      <c r="AL311" s="68"/>
      <c r="AQ311" s="67"/>
      <c r="AT311" s="46"/>
      <c r="AY311" s="57"/>
      <c r="AZ311" s="64"/>
      <c r="BA311" s="46"/>
      <c r="BB311" s="46"/>
      <c r="BC311" s="48"/>
      <c r="BF311" s="46"/>
      <c r="BL311" s="121"/>
      <c r="BM311" s="122"/>
      <c r="BN311" s="123"/>
      <c r="BO311" s="123"/>
      <c r="BP311" s="123"/>
      <c r="BQ311" s="123"/>
      <c r="BR311" s="122"/>
      <c r="BS311" s="124"/>
      <c r="BT311" s="124"/>
      <c r="BU311" s="124"/>
      <c r="BV311" s="125"/>
      <c r="BW311" s="82"/>
      <c r="CD311" s="262"/>
    </row>
    <row r="312" spans="5:86" x14ac:dyDescent="0.8">
      <c r="F312" s="114"/>
      <c r="H312" s="114"/>
      <c r="J312" s="115"/>
      <c r="K312" s="62"/>
      <c r="N312" s="116"/>
      <c r="P312" s="130"/>
      <c r="R312" s="57"/>
      <c r="S312" s="46"/>
      <c r="T312" s="115"/>
      <c r="U312" s="120"/>
      <c r="V312" s="128"/>
      <c r="W312" s="120"/>
      <c r="X312" s="57"/>
      <c r="Y312" s="46"/>
      <c r="Z312" s="57"/>
      <c r="AA312" s="46"/>
      <c r="AD312" s="153"/>
      <c r="AM312" s="64"/>
      <c r="AO312" s="46"/>
      <c r="AQ312" s="67"/>
      <c r="AT312" s="46"/>
      <c r="BC312" s="48"/>
      <c r="BF312" s="46"/>
      <c r="BL312" s="121"/>
      <c r="BM312" s="122"/>
      <c r="BN312" s="123"/>
      <c r="BO312" s="123"/>
      <c r="BP312" s="123"/>
      <c r="BQ312" s="123"/>
      <c r="BR312" s="122"/>
      <c r="BS312" s="124"/>
      <c r="BT312" s="124"/>
      <c r="BU312" s="124"/>
      <c r="BV312" s="125"/>
      <c r="BW312" s="82"/>
      <c r="CD312" s="262"/>
      <c r="CH312" s="265"/>
    </row>
    <row r="313" spans="5:86" x14ac:dyDescent="0.8">
      <c r="F313" s="114"/>
      <c r="H313" s="114"/>
      <c r="J313" s="115"/>
      <c r="K313" s="62"/>
      <c r="L313" s="117"/>
      <c r="M313" s="118"/>
      <c r="N313" s="116"/>
      <c r="P313" s="130"/>
      <c r="R313" s="57"/>
      <c r="S313" s="46"/>
      <c r="T313" s="119"/>
      <c r="U313" s="120"/>
      <c r="V313" s="128"/>
      <c r="W313" s="120"/>
      <c r="X313" s="129"/>
      <c r="Y313" s="120"/>
      <c r="AF313" s="115"/>
      <c r="AG313" s="120"/>
      <c r="AL313" s="69"/>
      <c r="AN313" s="70"/>
      <c r="AQ313" s="67"/>
      <c r="AT313" s="46"/>
      <c r="AY313" s="57"/>
      <c r="AZ313" s="64"/>
      <c r="BA313" s="46"/>
      <c r="BB313" s="46"/>
      <c r="BC313" s="48"/>
      <c r="BF313" s="46"/>
      <c r="BL313" s="121"/>
      <c r="BM313" s="122"/>
      <c r="BN313" s="123"/>
      <c r="BO313" s="123"/>
      <c r="BP313" s="123"/>
      <c r="BQ313" s="123"/>
      <c r="BR313" s="122"/>
      <c r="BS313" s="124"/>
      <c r="BT313" s="124"/>
      <c r="BU313" s="124"/>
      <c r="BV313" s="125"/>
      <c r="BW313" s="82"/>
      <c r="CD313" s="262"/>
      <c r="CH313" s="265"/>
    </row>
    <row r="314" spans="5:86" x14ac:dyDescent="0.8">
      <c r="E314" s="86"/>
      <c r="F314" s="130"/>
      <c r="G314" s="86"/>
      <c r="H314" s="130"/>
      <c r="I314" s="86"/>
      <c r="J314" s="128"/>
      <c r="L314" s="117"/>
      <c r="M314" s="118"/>
      <c r="R314" s="57"/>
      <c r="S314" s="150"/>
      <c r="T314" s="119"/>
      <c r="U314" s="139"/>
      <c r="V314" s="128"/>
      <c r="W314" s="139"/>
      <c r="X314" s="129"/>
      <c r="Y314" s="120"/>
      <c r="AL314" s="68"/>
      <c r="AQ314" s="67"/>
      <c r="AT314" s="46"/>
      <c r="AY314" s="57"/>
      <c r="AZ314" s="64"/>
      <c r="BA314" s="46"/>
      <c r="BB314" s="46"/>
      <c r="BC314" s="48"/>
      <c r="BF314" s="46"/>
      <c r="BL314" s="121"/>
      <c r="BM314" s="122"/>
      <c r="BN314" s="123"/>
      <c r="BO314" s="123"/>
      <c r="BP314" s="123"/>
      <c r="BQ314" s="123"/>
      <c r="BR314" s="122"/>
      <c r="BS314" s="124"/>
      <c r="BT314" s="124"/>
      <c r="BU314" s="124"/>
      <c r="BV314" s="125"/>
      <c r="BW314" s="82"/>
      <c r="CD314" s="262"/>
      <c r="CH314" s="265"/>
    </row>
    <row r="315" spans="5:86" x14ac:dyDescent="0.8">
      <c r="E315" s="86"/>
      <c r="F315" s="91"/>
      <c r="G315" s="86"/>
      <c r="H315" s="91"/>
      <c r="I315" s="86"/>
      <c r="J315" s="142"/>
      <c r="N315" s="58"/>
      <c r="O315" s="58"/>
      <c r="Q315" s="59"/>
      <c r="R315" s="57"/>
      <c r="S315" s="150"/>
      <c r="T315" s="71"/>
      <c r="U315" s="139"/>
      <c r="V315" s="142"/>
      <c r="W315" s="139"/>
      <c r="AD315" s="71"/>
      <c r="AF315" s="71"/>
      <c r="AH315" s="71"/>
      <c r="AJ315" s="71"/>
      <c r="AL315" s="69"/>
      <c r="AN315" s="70"/>
      <c r="AP315" s="137"/>
      <c r="AQ315" s="67"/>
      <c r="AT315" s="46"/>
      <c r="AY315" s="57"/>
      <c r="AZ315" s="64"/>
      <c r="BA315" s="46"/>
      <c r="BB315" s="46"/>
      <c r="BC315" s="48"/>
      <c r="BF315" s="46"/>
      <c r="BL315" s="121"/>
      <c r="BM315" s="122"/>
      <c r="BN315" s="123"/>
      <c r="BO315" s="123"/>
      <c r="BP315" s="123"/>
      <c r="BQ315" s="123"/>
      <c r="BR315" s="122"/>
      <c r="BS315" s="124"/>
      <c r="BT315" s="124"/>
      <c r="BU315" s="124"/>
      <c r="BV315" s="125"/>
      <c r="BW315" s="82"/>
      <c r="CD315" s="262"/>
      <c r="CH315" s="265"/>
    </row>
    <row r="316" spans="5:86" x14ac:dyDescent="0.8">
      <c r="E316" s="86"/>
      <c r="F316" s="130"/>
      <c r="G316" s="86"/>
      <c r="H316" s="130"/>
      <c r="I316" s="86"/>
      <c r="J316" s="128"/>
      <c r="L316" s="117"/>
      <c r="M316" s="118"/>
      <c r="R316" s="57"/>
      <c r="S316" s="150"/>
      <c r="T316" s="128"/>
      <c r="U316" s="120"/>
      <c r="V316" s="128"/>
      <c r="W316" s="120"/>
      <c r="AL316" s="69"/>
      <c r="AN316" s="70"/>
      <c r="AQ316" s="67"/>
      <c r="AT316" s="46"/>
      <c r="AY316" s="57"/>
      <c r="AZ316" s="64"/>
      <c r="BA316" s="46"/>
      <c r="BB316" s="46"/>
      <c r="BC316" s="48"/>
      <c r="BF316" s="46"/>
      <c r="BL316" s="121"/>
      <c r="BM316" s="122"/>
      <c r="BN316" s="123"/>
      <c r="BO316" s="123"/>
      <c r="BP316" s="123"/>
      <c r="BQ316" s="123"/>
      <c r="BR316" s="122"/>
      <c r="BS316" s="124"/>
      <c r="BT316" s="124"/>
      <c r="BU316" s="124"/>
      <c r="BV316" s="125"/>
      <c r="BW316" s="82"/>
      <c r="CD316" s="262"/>
    </row>
    <row r="317" spans="5:86" x14ac:dyDescent="0.8">
      <c r="F317" s="127"/>
      <c r="H317" s="114"/>
      <c r="J317" s="128"/>
      <c r="K317" s="62"/>
      <c r="L317" s="117"/>
      <c r="M317" s="118"/>
      <c r="N317" s="130"/>
      <c r="P317" s="130"/>
      <c r="R317" s="57"/>
      <c r="S317" s="46"/>
      <c r="T317" s="119"/>
      <c r="U317" s="120"/>
      <c r="V317" s="128"/>
      <c r="W317" s="120"/>
      <c r="X317" s="129"/>
      <c r="Y317" s="120"/>
      <c r="AA317" s="136"/>
      <c r="AG317" s="144"/>
      <c r="AL317" s="69"/>
      <c r="AN317" s="70"/>
      <c r="AQ317" s="67"/>
      <c r="AT317" s="46"/>
      <c r="AY317" s="57"/>
      <c r="AZ317" s="64"/>
      <c r="BA317" s="46"/>
      <c r="BB317" s="46"/>
      <c r="BC317" s="48"/>
      <c r="BF317" s="46"/>
      <c r="BL317" s="121"/>
      <c r="BM317" s="122"/>
      <c r="BN317" s="123"/>
      <c r="BO317" s="123"/>
      <c r="BP317" s="123"/>
      <c r="BQ317" s="123"/>
      <c r="BR317" s="122"/>
      <c r="BS317" s="124"/>
      <c r="BT317" s="124"/>
      <c r="BU317" s="124"/>
      <c r="BV317" s="125"/>
      <c r="BW317" s="82"/>
      <c r="CD317" s="262"/>
      <c r="CH317" s="265"/>
    </row>
    <row r="318" spans="5:86" x14ac:dyDescent="0.8">
      <c r="F318" s="114"/>
      <c r="H318" s="114"/>
      <c r="J318" s="115"/>
      <c r="K318" s="62"/>
      <c r="L318" s="117"/>
      <c r="M318" s="118"/>
      <c r="N318" s="130"/>
      <c r="P318" s="130"/>
      <c r="R318" s="57"/>
      <c r="S318" s="46"/>
      <c r="T318" s="119"/>
      <c r="U318" s="120"/>
      <c r="V318" s="128"/>
      <c r="W318" s="120"/>
      <c r="X318" s="143"/>
      <c r="AA318" s="136"/>
      <c r="AG318" s="144"/>
      <c r="AQ318" s="67"/>
      <c r="AT318" s="46"/>
      <c r="AY318" s="57"/>
      <c r="AZ318" s="64"/>
      <c r="BA318" s="46"/>
      <c r="BB318" s="46"/>
      <c r="BC318" s="48"/>
      <c r="BF318" s="46"/>
      <c r="BL318" s="121"/>
      <c r="BM318" s="122"/>
      <c r="BN318" s="123"/>
      <c r="BO318" s="123"/>
      <c r="BP318" s="123"/>
      <c r="BQ318" s="123"/>
      <c r="BR318" s="122"/>
      <c r="BS318" s="124"/>
      <c r="BT318" s="124"/>
      <c r="BU318" s="124"/>
      <c r="BV318" s="125"/>
      <c r="BW318" s="82"/>
      <c r="CD318" s="262"/>
    </row>
    <row r="319" spans="5:86" x14ac:dyDescent="0.8">
      <c r="F319" s="127"/>
      <c r="H319" s="127"/>
      <c r="J319" s="128"/>
      <c r="K319" s="62"/>
      <c r="L319" s="117"/>
      <c r="M319" s="118"/>
      <c r="N319" s="130"/>
      <c r="P319" s="130"/>
      <c r="R319" s="57"/>
      <c r="S319" s="46"/>
      <c r="T319" s="119"/>
      <c r="U319" s="120"/>
      <c r="V319" s="128"/>
      <c r="W319" s="120"/>
      <c r="X319" s="129"/>
      <c r="Y319" s="120"/>
      <c r="AL319" s="68"/>
      <c r="AQ319" s="67"/>
      <c r="AT319" s="46"/>
      <c r="AY319" s="57"/>
      <c r="AZ319" s="64"/>
      <c r="BA319" s="46"/>
      <c r="BB319" s="46"/>
      <c r="BC319" s="48"/>
      <c r="BF319" s="46"/>
      <c r="BL319" s="121"/>
      <c r="BM319" s="122"/>
      <c r="BN319" s="123"/>
      <c r="BO319" s="123"/>
      <c r="BP319" s="123"/>
      <c r="BQ319" s="123"/>
      <c r="BR319" s="122"/>
      <c r="BS319" s="124"/>
      <c r="BT319" s="124"/>
      <c r="BU319" s="124"/>
      <c r="BV319" s="125"/>
      <c r="BW319" s="82"/>
      <c r="CD319" s="262"/>
    </row>
    <row r="320" spans="5:86" x14ac:dyDescent="0.8">
      <c r="F320" s="127"/>
      <c r="H320" s="114"/>
      <c r="J320" s="115"/>
      <c r="K320" s="62"/>
      <c r="N320" s="116"/>
      <c r="P320" s="130"/>
      <c r="R320" s="57"/>
      <c r="S320" s="46"/>
      <c r="T320" s="128"/>
      <c r="U320" s="120"/>
      <c r="V320" s="128"/>
      <c r="W320" s="120"/>
      <c r="AN320" s="70"/>
      <c r="AQ320" s="67"/>
      <c r="AT320" s="46"/>
      <c r="AY320" s="57"/>
      <c r="AZ320" s="64"/>
      <c r="BA320" s="46"/>
      <c r="BB320" s="46"/>
      <c r="BC320" s="48"/>
      <c r="BF320" s="46"/>
      <c r="BL320" s="121"/>
      <c r="BM320" s="122"/>
      <c r="BN320" s="123"/>
      <c r="BO320" s="123"/>
      <c r="BP320" s="123"/>
      <c r="BQ320" s="123"/>
      <c r="BR320" s="122"/>
      <c r="BS320" s="124"/>
      <c r="BT320" s="124"/>
      <c r="BU320" s="124"/>
      <c r="BV320" s="125"/>
      <c r="BW320" s="82"/>
      <c r="CD320" s="262"/>
      <c r="CH320" s="265"/>
    </row>
    <row r="321" spans="5:86" x14ac:dyDescent="0.8">
      <c r="F321" s="127"/>
      <c r="H321" s="114"/>
      <c r="J321" s="128"/>
      <c r="K321" s="62"/>
      <c r="N321" s="130"/>
      <c r="P321" s="130"/>
      <c r="R321" s="57"/>
      <c r="S321" s="46"/>
      <c r="T321" s="128"/>
      <c r="U321" s="120"/>
      <c r="V321" s="128"/>
      <c r="W321" s="120"/>
      <c r="AQ321" s="67"/>
      <c r="AT321" s="46"/>
      <c r="AY321" s="57"/>
      <c r="AZ321" s="64"/>
      <c r="BA321" s="46"/>
      <c r="BB321" s="46"/>
      <c r="BC321" s="48"/>
      <c r="BF321" s="46"/>
      <c r="BL321" s="121"/>
      <c r="BM321" s="122"/>
      <c r="BN321" s="123"/>
      <c r="BO321" s="123"/>
      <c r="BP321" s="123"/>
      <c r="BQ321" s="123"/>
      <c r="BR321" s="122"/>
      <c r="BS321" s="124"/>
      <c r="BT321" s="124"/>
      <c r="BU321" s="124"/>
      <c r="BV321" s="125"/>
      <c r="BW321" s="82"/>
      <c r="CD321" s="262"/>
    </row>
    <row r="322" spans="5:86" x14ac:dyDescent="0.8">
      <c r="F322" s="127"/>
      <c r="H322" s="127"/>
      <c r="J322" s="142"/>
      <c r="K322" s="62"/>
      <c r="N322" s="91"/>
      <c r="O322" s="58"/>
      <c r="P322" s="130"/>
      <c r="Q322" s="59"/>
      <c r="R322" s="57"/>
      <c r="S322" s="46"/>
      <c r="T322" s="151"/>
      <c r="U322" s="120"/>
      <c r="V322" s="128"/>
      <c r="W322" s="120"/>
      <c r="X322" s="135"/>
      <c r="Y322" s="136"/>
      <c r="AA322" s="136"/>
      <c r="AD322" s="143"/>
      <c r="AF322" s="71"/>
      <c r="AH322" s="71"/>
      <c r="AJ322" s="143"/>
      <c r="AN322" s="70"/>
      <c r="AP322" s="137"/>
      <c r="AQ322" s="67"/>
      <c r="AT322" s="46"/>
      <c r="BB322" s="46"/>
      <c r="BC322" s="48"/>
      <c r="BF322" s="46"/>
      <c r="BL322" s="121"/>
      <c r="BM322" s="122"/>
      <c r="BN322" s="123"/>
      <c r="BO322" s="123"/>
      <c r="BP322" s="123"/>
      <c r="BQ322" s="123"/>
      <c r="BR322" s="122"/>
      <c r="BS322" s="124"/>
      <c r="BT322" s="124"/>
      <c r="BU322" s="124"/>
      <c r="BV322" s="125"/>
      <c r="BW322" s="82"/>
      <c r="CD322" s="262"/>
      <c r="CH322" s="265"/>
    </row>
    <row r="323" spans="5:86" x14ac:dyDescent="0.8">
      <c r="F323" s="114"/>
      <c r="H323" s="127"/>
      <c r="J323" s="115"/>
      <c r="K323" s="62"/>
      <c r="N323" s="130"/>
      <c r="P323" s="130"/>
      <c r="R323" s="57"/>
      <c r="S323" s="46"/>
      <c r="T323" s="115"/>
      <c r="U323" s="120"/>
      <c r="V323" s="128"/>
      <c r="W323" s="120"/>
      <c r="X323" s="57"/>
      <c r="Y323" s="46"/>
      <c r="Z323" s="57"/>
      <c r="AA323" s="46"/>
      <c r="AG323" s="120"/>
      <c r="AM323" s="64"/>
      <c r="AO323" s="46"/>
      <c r="AQ323" s="67"/>
      <c r="AT323" s="46"/>
      <c r="BC323" s="48"/>
      <c r="BF323" s="46"/>
      <c r="BL323" s="121"/>
      <c r="BM323" s="122"/>
      <c r="BN323" s="123"/>
      <c r="BO323" s="123"/>
      <c r="BP323" s="123"/>
      <c r="BQ323" s="123"/>
      <c r="BR323" s="122"/>
      <c r="BS323" s="124"/>
      <c r="BT323" s="124"/>
      <c r="BU323" s="124"/>
      <c r="BV323" s="125"/>
      <c r="BW323" s="82"/>
      <c r="CD323" s="262"/>
    </row>
    <row r="324" spans="5:86" x14ac:dyDescent="0.8">
      <c r="F324" s="114"/>
      <c r="H324" s="127"/>
      <c r="J324" s="115"/>
      <c r="K324" s="62"/>
      <c r="N324" s="116"/>
      <c r="P324" s="130"/>
      <c r="R324" s="57"/>
      <c r="S324" s="46"/>
      <c r="T324" s="115"/>
      <c r="U324" s="120"/>
      <c r="V324" s="128"/>
      <c r="W324" s="120"/>
      <c r="X324" s="57"/>
      <c r="Y324" s="46"/>
      <c r="Z324" s="57"/>
      <c r="AA324" s="46"/>
      <c r="AG324" s="120"/>
      <c r="AM324" s="64"/>
      <c r="AO324" s="46"/>
      <c r="AQ324" s="67"/>
      <c r="AT324" s="46"/>
      <c r="BC324" s="48"/>
      <c r="BF324" s="46"/>
      <c r="BL324" s="121"/>
      <c r="BM324" s="122"/>
      <c r="BN324" s="123"/>
      <c r="BO324" s="123"/>
      <c r="BP324" s="123"/>
      <c r="BQ324" s="123"/>
      <c r="BR324" s="122"/>
      <c r="BS324" s="124"/>
      <c r="BT324" s="124"/>
      <c r="BU324" s="124"/>
      <c r="BV324" s="125"/>
      <c r="BW324" s="82"/>
      <c r="CD324" s="262"/>
      <c r="CH324" s="265"/>
    </row>
    <row r="325" spans="5:86" x14ac:dyDescent="0.8">
      <c r="F325" s="114"/>
      <c r="H325" s="114"/>
      <c r="J325" s="115"/>
      <c r="K325" s="62"/>
      <c r="N325" s="116"/>
      <c r="P325" s="130"/>
      <c r="R325" s="57"/>
      <c r="S325" s="46"/>
      <c r="T325" s="115"/>
      <c r="U325" s="120"/>
      <c r="V325" s="128"/>
      <c r="W325" s="120"/>
      <c r="X325" s="57"/>
      <c r="Y325" s="46"/>
      <c r="Z325" s="57"/>
      <c r="AA325" s="46"/>
      <c r="AG325" s="120"/>
      <c r="AM325" s="64"/>
      <c r="AO325" s="46"/>
      <c r="AQ325" s="67"/>
      <c r="AT325" s="46"/>
      <c r="BC325" s="48"/>
      <c r="BF325" s="46"/>
      <c r="BL325" s="121"/>
      <c r="BM325" s="122"/>
      <c r="BN325" s="123"/>
      <c r="BO325" s="123"/>
      <c r="BP325" s="123"/>
      <c r="BQ325" s="123"/>
      <c r="BR325" s="122"/>
      <c r="BS325" s="124"/>
      <c r="BT325" s="124"/>
      <c r="BU325" s="124"/>
      <c r="BV325" s="125"/>
      <c r="BW325" s="82"/>
      <c r="CD325" s="262"/>
    </row>
    <row r="326" spans="5:86" x14ac:dyDescent="0.8">
      <c r="F326" s="114"/>
      <c r="H326" s="127"/>
      <c r="J326" s="115"/>
      <c r="K326" s="62"/>
      <c r="N326" s="116"/>
      <c r="P326" s="130"/>
      <c r="R326" s="57"/>
      <c r="S326" s="46"/>
      <c r="T326" s="115"/>
      <c r="U326" s="120"/>
      <c r="V326" s="128"/>
      <c r="W326" s="120"/>
      <c r="X326" s="57"/>
      <c r="Y326" s="46"/>
      <c r="Z326" s="57"/>
      <c r="AA326" s="46"/>
      <c r="AG326" s="120"/>
      <c r="AM326" s="64"/>
      <c r="AO326" s="46"/>
      <c r="AQ326" s="67"/>
      <c r="AT326" s="46"/>
      <c r="BC326" s="48"/>
      <c r="BF326" s="46"/>
      <c r="BL326" s="121"/>
      <c r="BM326" s="122"/>
      <c r="BN326" s="123"/>
      <c r="BO326" s="123"/>
      <c r="BP326" s="123"/>
      <c r="BQ326" s="123"/>
      <c r="BR326" s="122"/>
      <c r="BS326" s="124"/>
      <c r="BT326" s="124"/>
      <c r="BU326" s="124"/>
      <c r="BV326" s="125"/>
      <c r="BW326" s="82"/>
      <c r="CD326" s="262"/>
      <c r="CH326" s="265"/>
    </row>
    <row r="327" spans="5:86" x14ac:dyDescent="0.8">
      <c r="F327" s="127"/>
      <c r="H327" s="114"/>
      <c r="J327" s="115"/>
      <c r="K327" s="62"/>
      <c r="N327" s="116"/>
      <c r="P327" s="130"/>
      <c r="R327" s="57"/>
      <c r="S327" s="46"/>
      <c r="T327" s="115"/>
      <c r="U327" s="120"/>
      <c r="V327" s="128"/>
      <c r="W327" s="120"/>
      <c r="X327" s="57"/>
      <c r="Y327" s="46"/>
      <c r="Z327" s="57"/>
      <c r="AA327" s="46"/>
      <c r="AF327" s="115"/>
      <c r="AG327" s="120"/>
      <c r="AL327" s="69"/>
      <c r="AN327" s="70"/>
      <c r="AQ327" s="67"/>
      <c r="AT327" s="46"/>
      <c r="BC327" s="48"/>
      <c r="BF327" s="46"/>
      <c r="BL327" s="121"/>
      <c r="BM327" s="122"/>
      <c r="BN327" s="123"/>
      <c r="BO327" s="123"/>
      <c r="BP327" s="123"/>
      <c r="BQ327" s="123"/>
      <c r="BR327" s="122"/>
      <c r="BS327" s="124"/>
      <c r="BT327" s="124"/>
      <c r="BU327" s="124"/>
      <c r="BV327" s="125"/>
      <c r="BW327" s="82"/>
      <c r="CD327" s="262"/>
    </row>
    <row r="328" spans="5:86" x14ac:dyDescent="0.8">
      <c r="F328" s="114"/>
      <c r="H328" s="114"/>
      <c r="J328" s="115"/>
      <c r="K328" s="62"/>
      <c r="N328" s="116"/>
      <c r="P328" s="130"/>
      <c r="R328" s="57"/>
      <c r="S328" s="46"/>
      <c r="T328" s="115"/>
      <c r="U328" s="120"/>
      <c r="V328" s="128"/>
      <c r="W328" s="120"/>
      <c r="X328" s="57"/>
      <c r="Y328" s="46"/>
      <c r="Z328" s="57"/>
      <c r="AA328" s="46"/>
      <c r="AF328" s="115"/>
      <c r="AG328" s="120"/>
      <c r="AM328" s="64"/>
      <c r="AO328" s="46"/>
      <c r="AQ328" s="67"/>
      <c r="AT328" s="46"/>
      <c r="BC328" s="48"/>
      <c r="BF328" s="46"/>
      <c r="BL328" s="121"/>
      <c r="BM328" s="122"/>
      <c r="BN328" s="123"/>
      <c r="BO328" s="123"/>
      <c r="BP328" s="123"/>
      <c r="BQ328" s="123"/>
      <c r="BR328" s="122"/>
      <c r="BS328" s="124"/>
      <c r="BT328" s="124"/>
      <c r="BU328" s="124"/>
      <c r="BV328" s="125"/>
      <c r="BW328" s="82"/>
      <c r="CD328" s="262"/>
      <c r="CH328" s="265"/>
    </row>
    <row r="329" spans="5:86" x14ac:dyDescent="0.8">
      <c r="F329" s="114"/>
      <c r="H329" s="127"/>
      <c r="J329" s="115"/>
      <c r="K329" s="62"/>
      <c r="L329" s="117"/>
      <c r="M329" s="118"/>
      <c r="N329" s="116"/>
      <c r="P329" s="130"/>
      <c r="R329" s="57"/>
      <c r="S329" s="46"/>
      <c r="T329" s="138"/>
      <c r="U329" s="120"/>
      <c r="V329" s="128"/>
      <c r="W329" s="120"/>
      <c r="X329" s="129"/>
      <c r="Y329" s="120"/>
      <c r="AF329" s="115"/>
      <c r="AG329" s="120"/>
      <c r="AL329" s="68"/>
      <c r="AQ329" s="67"/>
      <c r="AT329" s="46"/>
      <c r="AY329" s="57"/>
      <c r="AZ329" s="64"/>
      <c r="BA329" s="46"/>
      <c r="BB329" s="46"/>
      <c r="BC329" s="48"/>
      <c r="BF329" s="46"/>
      <c r="BL329" s="121"/>
      <c r="BM329" s="122"/>
      <c r="BN329" s="123"/>
      <c r="BO329" s="123"/>
      <c r="BP329" s="123"/>
      <c r="BQ329" s="123"/>
      <c r="BR329" s="122"/>
      <c r="BS329" s="124"/>
      <c r="BT329" s="124"/>
      <c r="BU329" s="124"/>
      <c r="BV329" s="125"/>
      <c r="BW329" s="82"/>
      <c r="CD329" s="262"/>
    </row>
    <row r="330" spans="5:86" x14ac:dyDescent="0.8">
      <c r="F330" s="127"/>
      <c r="H330" s="114"/>
      <c r="J330" s="128"/>
      <c r="K330" s="62"/>
      <c r="L330" s="117"/>
      <c r="M330" s="118"/>
      <c r="N330" s="130"/>
      <c r="P330" s="130"/>
      <c r="R330" s="57"/>
      <c r="S330" s="46"/>
      <c r="T330" s="119"/>
      <c r="U330" s="120"/>
      <c r="V330" s="128"/>
      <c r="W330" s="120"/>
      <c r="X330" s="129"/>
      <c r="Y330" s="120"/>
      <c r="AL330" s="68"/>
      <c r="AQ330" s="67"/>
      <c r="AT330" s="46"/>
      <c r="AY330" s="57"/>
      <c r="AZ330" s="64"/>
      <c r="BA330" s="46"/>
      <c r="BB330" s="46"/>
      <c r="BC330" s="48"/>
      <c r="BF330" s="46"/>
      <c r="BL330" s="121"/>
      <c r="BM330" s="122"/>
      <c r="BN330" s="123"/>
      <c r="BO330" s="123"/>
      <c r="BP330" s="123"/>
      <c r="BQ330" s="123"/>
      <c r="BR330" s="122"/>
      <c r="BS330" s="124"/>
      <c r="BT330" s="124"/>
      <c r="BU330" s="124"/>
      <c r="BV330" s="125"/>
      <c r="BW330" s="82"/>
      <c r="CD330" s="262"/>
      <c r="CH330" s="265"/>
    </row>
    <row r="331" spans="5:86" x14ac:dyDescent="0.8">
      <c r="F331" s="127"/>
      <c r="H331" s="127"/>
      <c r="J331" s="115"/>
      <c r="K331" s="62"/>
      <c r="N331" s="116"/>
      <c r="P331" s="130"/>
      <c r="R331" s="57"/>
      <c r="S331" s="46"/>
      <c r="T331" s="115"/>
      <c r="U331" s="120"/>
      <c r="V331" s="128"/>
      <c r="W331" s="120"/>
      <c r="X331" s="57"/>
      <c r="Y331" s="46"/>
      <c r="Z331" s="57"/>
      <c r="AA331" s="46"/>
      <c r="AD331" s="153"/>
      <c r="AM331" s="64"/>
      <c r="AO331" s="46"/>
      <c r="AQ331" s="67"/>
      <c r="AT331" s="46"/>
      <c r="BC331" s="48"/>
      <c r="BF331" s="46"/>
      <c r="BL331" s="121"/>
      <c r="BM331" s="122"/>
      <c r="BN331" s="123"/>
      <c r="BO331" s="123"/>
      <c r="BP331" s="123"/>
      <c r="BQ331" s="123"/>
      <c r="BR331" s="122"/>
      <c r="BS331" s="124"/>
      <c r="BT331" s="124"/>
      <c r="BU331" s="124"/>
      <c r="BV331" s="125"/>
      <c r="BW331" s="82"/>
      <c r="CD331" s="262"/>
    </row>
    <row r="332" spans="5:86" x14ac:dyDescent="0.8">
      <c r="F332" s="127"/>
      <c r="H332" s="114"/>
      <c r="J332" s="115"/>
      <c r="K332" s="62"/>
      <c r="L332" s="117"/>
      <c r="M332" s="118"/>
      <c r="N332" s="116"/>
      <c r="P332" s="130"/>
      <c r="R332" s="57"/>
      <c r="S332" s="46"/>
      <c r="T332" s="119"/>
      <c r="U332" s="120"/>
      <c r="V332" s="128"/>
      <c r="W332" s="120"/>
      <c r="X332" s="129"/>
      <c r="Y332" s="120"/>
      <c r="AF332" s="115"/>
      <c r="AG332" s="120"/>
      <c r="AL332" s="69"/>
      <c r="AN332" s="70"/>
      <c r="AQ332" s="67"/>
      <c r="AT332" s="46"/>
      <c r="AY332" s="57"/>
      <c r="AZ332" s="64"/>
      <c r="BA332" s="46"/>
      <c r="BB332" s="46"/>
      <c r="BC332" s="48"/>
      <c r="BF332" s="46"/>
      <c r="BL332" s="121"/>
      <c r="BM332" s="122"/>
      <c r="BN332" s="123"/>
      <c r="BO332" s="123"/>
      <c r="BP332" s="123"/>
      <c r="BQ332" s="123"/>
      <c r="BR332" s="122"/>
      <c r="BS332" s="124"/>
      <c r="BT332" s="124"/>
      <c r="BU332" s="124"/>
      <c r="BV332" s="125"/>
      <c r="BW332" s="82"/>
      <c r="CD332" s="262"/>
      <c r="CH332" s="265"/>
    </row>
    <row r="333" spans="5:86" x14ac:dyDescent="0.8">
      <c r="E333" s="86"/>
      <c r="F333" s="91"/>
      <c r="G333" s="86"/>
      <c r="H333" s="91"/>
      <c r="I333" s="86"/>
      <c r="J333" s="142"/>
      <c r="N333" s="58"/>
      <c r="O333" s="58"/>
      <c r="Q333" s="59"/>
      <c r="R333" s="57"/>
      <c r="S333" s="150"/>
      <c r="T333" s="142"/>
      <c r="U333" s="139"/>
      <c r="V333" s="142"/>
      <c r="W333" s="139"/>
      <c r="AD333" s="71"/>
      <c r="AF333" s="71"/>
      <c r="AH333" s="71"/>
      <c r="AJ333" s="71"/>
      <c r="AL333" s="71"/>
      <c r="AN333" s="71"/>
      <c r="AP333" s="137"/>
      <c r="AQ333" s="67"/>
      <c r="AT333" s="46"/>
      <c r="AY333" s="57"/>
      <c r="AZ333" s="64"/>
      <c r="BA333" s="46"/>
      <c r="BB333" s="46"/>
      <c r="BC333" s="48"/>
      <c r="BF333" s="46"/>
      <c r="BL333" s="121"/>
      <c r="BM333" s="122"/>
      <c r="BN333" s="123"/>
      <c r="BO333" s="123"/>
      <c r="BP333" s="123"/>
      <c r="BQ333" s="123"/>
      <c r="BR333" s="122"/>
      <c r="BS333" s="124"/>
      <c r="BT333" s="124"/>
      <c r="BU333" s="124"/>
      <c r="BV333" s="125"/>
      <c r="BW333" s="82"/>
      <c r="CD333" s="262"/>
      <c r="CH333" s="265"/>
    </row>
    <row r="334" spans="5:86" x14ac:dyDescent="0.8">
      <c r="E334" s="86"/>
      <c r="F334" s="91"/>
      <c r="G334" s="86"/>
      <c r="H334" s="130"/>
      <c r="I334" s="86"/>
      <c r="J334" s="133"/>
      <c r="N334" s="58"/>
      <c r="O334" s="58"/>
      <c r="Q334" s="59"/>
      <c r="R334" s="57"/>
      <c r="S334" s="150"/>
      <c r="T334" s="143"/>
      <c r="U334" s="139"/>
      <c r="V334" s="133"/>
      <c r="W334" s="139"/>
      <c r="X334" s="143"/>
      <c r="AA334" s="46"/>
      <c r="AD334" s="71"/>
      <c r="AF334" s="71"/>
      <c r="AH334" s="71"/>
      <c r="AJ334" s="71"/>
      <c r="AN334" s="70"/>
      <c r="AP334" s="137"/>
      <c r="AQ334" s="67"/>
      <c r="AT334" s="46"/>
      <c r="AY334" s="57"/>
      <c r="AZ334" s="64"/>
      <c r="BA334" s="46"/>
      <c r="BB334" s="46"/>
      <c r="BC334" s="48"/>
      <c r="BF334" s="46"/>
      <c r="BL334" s="121"/>
      <c r="BM334" s="122"/>
      <c r="BN334" s="123"/>
      <c r="BO334" s="123"/>
      <c r="BP334" s="123"/>
      <c r="BQ334" s="123"/>
      <c r="BR334" s="122"/>
      <c r="BS334" s="124"/>
      <c r="BT334" s="124"/>
      <c r="BU334" s="124"/>
      <c r="BV334" s="125"/>
      <c r="BW334" s="82"/>
      <c r="CD334" s="262"/>
      <c r="CH334" s="265"/>
    </row>
    <row r="335" spans="5:86" x14ac:dyDescent="0.8">
      <c r="E335" s="86"/>
      <c r="F335" s="130"/>
      <c r="G335" s="86"/>
      <c r="H335" s="130"/>
      <c r="I335" s="86"/>
      <c r="J335" s="128"/>
      <c r="L335" s="117"/>
      <c r="M335" s="118"/>
      <c r="N335" s="130"/>
      <c r="R335" s="57"/>
      <c r="S335" s="150"/>
      <c r="T335" s="128"/>
      <c r="U335" s="120"/>
      <c r="V335" s="128"/>
      <c r="W335" s="120"/>
      <c r="AL335" s="69"/>
      <c r="AN335" s="70"/>
      <c r="AQ335" s="67"/>
      <c r="AT335" s="46"/>
      <c r="AY335" s="57"/>
      <c r="AZ335" s="64"/>
      <c r="BA335" s="46"/>
      <c r="BB335" s="46"/>
      <c r="BC335" s="48"/>
      <c r="BF335" s="46"/>
      <c r="BL335" s="121"/>
      <c r="BM335" s="122"/>
      <c r="BN335" s="123"/>
      <c r="BO335" s="123"/>
      <c r="BP335" s="123"/>
      <c r="BQ335" s="123"/>
      <c r="BR335" s="122"/>
      <c r="BS335" s="124"/>
      <c r="BT335" s="124"/>
      <c r="BU335" s="124"/>
      <c r="BV335" s="125"/>
      <c r="BW335" s="82"/>
      <c r="CD335" s="262"/>
      <c r="CH335" s="265"/>
    </row>
    <row r="336" spans="5:86" x14ac:dyDescent="0.8">
      <c r="F336" s="127"/>
      <c r="H336" s="114"/>
      <c r="J336" s="115"/>
      <c r="K336" s="62"/>
      <c r="L336" s="117"/>
      <c r="M336" s="118"/>
      <c r="N336" s="116"/>
      <c r="P336" s="130"/>
      <c r="R336" s="57"/>
      <c r="S336" s="46"/>
      <c r="T336" s="119"/>
      <c r="U336" s="120"/>
      <c r="V336" s="128"/>
      <c r="W336" s="120"/>
      <c r="X336" s="129"/>
      <c r="Y336" s="120"/>
      <c r="AA336" s="136"/>
      <c r="AG336" s="144"/>
      <c r="AL336" s="69"/>
      <c r="AN336" s="70"/>
      <c r="AQ336" s="67"/>
      <c r="AT336" s="46"/>
      <c r="AY336" s="57"/>
      <c r="AZ336" s="64"/>
      <c r="BA336" s="46"/>
      <c r="BB336" s="46"/>
      <c r="BC336" s="48"/>
      <c r="BF336" s="46"/>
      <c r="BL336" s="121"/>
      <c r="BM336" s="122"/>
      <c r="BN336" s="123"/>
      <c r="BO336" s="123"/>
      <c r="BP336" s="123"/>
      <c r="BQ336" s="123"/>
      <c r="BR336" s="122"/>
      <c r="BS336" s="124"/>
      <c r="BT336" s="124"/>
      <c r="BU336" s="124"/>
      <c r="BV336" s="125"/>
      <c r="BW336" s="82"/>
      <c r="CD336" s="262"/>
      <c r="CH336" s="265"/>
    </row>
    <row r="337" spans="6:86" x14ac:dyDescent="0.8">
      <c r="F337" s="127"/>
      <c r="H337" s="114"/>
      <c r="J337" s="128"/>
      <c r="K337" s="62"/>
      <c r="L337" s="117"/>
      <c r="M337" s="118"/>
      <c r="N337" s="130"/>
      <c r="P337" s="130"/>
      <c r="R337" s="57"/>
      <c r="S337" s="46"/>
      <c r="T337" s="119"/>
      <c r="U337" s="120"/>
      <c r="V337" s="128"/>
      <c r="W337" s="120"/>
      <c r="X337" s="143"/>
      <c r="AA337" s="136"/>
      <c r="AG337" s="144"/>
      <c r="AQ337" s="67"/>
      <c r="AT337" s="46"/>
      <c r="AY337" s="57"/>
      <c r="AZ337" s="64"/>
      <c r="BA337" s="46"/>
      <c r="BB337" s="46"/>
      <c r="BC337" s="48"/>
      <c r="BF337" s="46"/>
      <c r="BL337" s="121"/>
      <c r="BM337" s="122"/>
      <c r="BN337" s="123"/>
      <c r="BO337" s="123"/>
      <c r="BP337" s="123"/>
      <c r="BQ337" s="123"/>
      <c r="BR337" s="122"/>
      <c r="BS337" s="124"/>
      <c r="BT337" s="124"/>
      <c r="BU337" s="124"/>
      <c r="BV337" s="125"/>
      <c r="BW337" s="82"/>
      <c r="CD337" s="262"/>
      <c r="CH337" s="265"/>
    </row>
    <row r="338" spans="6:86" x14ac:dyDescent="0.8">
      <c r="F338" s="127"/>
      <c r="H338" s="114"/>
      <c r="J338" s="115"/>
      <c r="K338" s="62"/>
      <c r="L338" s="117"/>
      <c r="M338" s="118"/>
      <c r="N338" s="130"/>
      <c r="P338" s="130"/>
      <c r="R338" s="57"/>
      <c r="S338" s="46"/>
      <c r="T338" s="119"/>
      <c r="U338" s="120"/>
      <c r="V338" s="128"/>
      <c r="W338" s="120"/>
      <c r="X338" s="129"/>
      <c r="Y338" s="120"/>
      <c r="AL338" s="68"/>
      <c r="AQ338" s="67"/>
      <c r="AT338" s="46"/>
      <c r="AY338" s="57"/>
      <c r="AZ338" s="64"/>
      <c r="BA338" s="46"/>
      <c r="BB338" s="46"/>
      <c r="BC338" s="48"/>
      <c r="BF338" s="46"/>
      <c r="BL338" s="121"/>
      <c r="BM338" s="122"/>
      <c r="BN338" s="123"/>
      <c r="BO338" s="123"/>
      <c r="BP338" s="123"/>
      <c r="BQ338" s="123"/>
      <c r="BR338" s="122"/>
      <c r="BS338" s="124"/>
      <c r="BT338" s="124"/>
      <c r="BU338" s="124"/>
      <c r="BV338" s="125"/>
      <c r="BW338" s="82"/>
      <c r="CD338" s="262"/>
      <c r="CH338" s="265"/>
    </row>
    <row r="339" spans="6:86" x14ac:dyDescent="0.8">
      <c r="F339" s="127"/>
      <c r="H339" s="127"/>
      <c r="J339" s="128"/>
      <c r="K339" s="62"/>
      <c r="N339" s="130"/>
      <c r="P339" s="130"/>
      <c r="R339" s="57"/>
      <c r="S339" s="46"/>
      <c r="T339" s="119"/>
      <c r="U339" s="120"/>
      <c r="V339" s="128"/>
      <c r="W339" s="120"/>
      <c r="AN339" s="70"/>
      <c r="AQ339" s="67"/>
      <c r="AT339" s="46"/>
      <c r="AY339" s="57"/>
      <c r="AZ339" s="64"/>
      <c r="BA339" s="46"/>
      <c r="BB339" s="46"/>
      <c r="BC339" s="48"/>
      <c r="BF339" s="46"/>
      <c r="BL339" s="121"/>
      <c r="BM339" s="122"/>
      <c r="BN339" s="123"/>
      <c r="BO339" s="123"/>
      <c r="BP339" s="123"/>
      <c r="BQ339" s="123"/>
      <c r="BR339" s="122"/>
      <c r="BS339" s="124"/>
      <c r="BT339" s="124"/>
      <c r="BU339" s="124"/>
      <c r="BV339" s="125"/>
      <c r="BW339" s="82"/>
      <c r="CD339" s="262"/>
      <c r="CH339" s="265"/>
    </row>
    <row r="340" spans="6:86" x14ac:dyDescent="0.8">
      <c r="F340" s="114"/>
      <c r="H340" s="127"/>
      <c r="J340" s="128"/>
      <c r="K340" s="62"/>
      <c r="N340" s="130"/>
      <c r="P340" s="130"/>
      <c r="R340" s="57"/>
      <c r="S340" s="46"/>
      <c r="T340" s="119"/>
      <c r="U340" s="120"/>
      <c r="V340" s="128"/>
      <c r="W340" s="120"/>
      <c r="AQ340" s="67"/>
      <c r="AT340" s="46"/>
      <c r="AY340" s="57"/>
      <c r="AZ340" s="64"/>
      <c r="BA340" s="46"/>
      <c r="BB340" s="46"/>
      <c r="BC340" s="48"/>
      <c r="BF340" s="46"/>
      <c r="BL340" s="121"/>
      <c r="BM340" s="122"/>
      <c r="BN340" s="123"/>
      <c r="BO340" s="123"/>
      <c r="BP340" s="123"/>
      <c r="BQ340" s="123"/>
      <c r="BR340" s="122"/>
      <c r="BS340" s="124"/>
      <c r="BT340" s="124"/>
      <c r="BU340" s="124"/>
      <c r="BV340" s="125"/>
      <c r="BW340" s="82"/>
      <c r="CD340" s="262"/>
      <c r="CH340" s="265"/>
    </row>
    <row r="341" spans="6:86" x14ac:dyDescent="0.8">
      <c r="F341" s="127"/>
      <c r="H341" s="127"/>
      <c r="J341" s="142"/>
      <c r="K341" s="62"/>
      <c r="N341" s="91"/>
      <c r="O341" s="58"/>
      <c r="P341" s="130"/>
      <c r="Q341" s="59"/>
      <c r="R341" s="57"/>
      <c r="S341" s="46"/>
      <c r="T341" s="119"/>
      <c r="U341" s="120"/>
      <c r="V341" s="128"/>
      <c r="W341" s="120"/>
      <c r="X341" s="135"/>
      <c r="Y341" s="136"/>
      <c r="AA341" s="136"/>
      <c r="AD341" s="143"/>
      <c r="AF341" s="71"/>
      <c r="AH341" s="71"/>
      <c r="AJ341" s="143"/>
      <c r="AN341" s="70"/>
      <c r="AP341" s="137"/>
      <c r="AQ341" s="67"/>
      <c r="AT341" s="46"/>
      <c r="BB341" s="46"/>
      <c r="BC341" s="48"/>
      <c r="BF341" s="46"/>
      <c r="BL341" s="121"/>
      <c r="BM341" s="122"/>
      <c r="BN341" s="123"/>
      <c r="BO341" s="123"/>
      <c r="BP341" s="123"/>
      <c r="BQ341" s="123"/>
      <c r="BR341" s="122"/>
      <c r="BS341" s="124"/>
      <c r="BT341" s="124"/>
      <c r="BU341" s="124"/>
      <c r="BV341" s="125"/>
      <c r="BW341" s="82"/>
      <c r="CD341" s="262"/>
      <c r="CH341" s="265"/>
    </row>
    <row r="342" spans="6:86" x14ac:dyDescent="0.8">
      <c r="F342" s="114"/>
      <c r="H342" s="114"/>
      <c r="J342" s="115"/>
      <c r="K342" s="62"/>
      <c r="N342" s="116"/>
      <c r="P342" s="130"/>
      <c r="R342" s="57"/>
      <c r="S342" s="46"/>
      <c r="T342" s="119"/>
      <c r="U342" s="120"/>
      <c r="V342" s="128"/>
      <c r="W342" s="120"/>
      <c r="X342" s="57"/>
      <c r="Y342" s="46"/>
      <c r="Z342" s="57"/>
      <c r="AA342" s="46"/>
      <c r="AG342" s="120"/>
      <c r="AM342" s="64"/>
      <c r="AO342" s="46"/>
      <c r="AQ342" s="67"/>
      <c r="AT342" s="46"/>
      <c r="BC342" s="48"/>
      <c r="BF342" s="46"/>
      <c r="BL342" s="121"/>
      <c r="BM342" s="122"/>
      <c r="BN342" s="123"/>
      <c r="BO342" s="123"/>
      <c r="BP342" s="123"/>
      <c r="BQ342" s="123"/>
      <c r="BR342" s="122"/>
      <c r="BS342" s="124"/>
      <c r="BT342" s="124"/>
      <c r="BU342" s="124"/>
      <c r="BV342" s="125"/>
      <c r="BW342" s="75"/>
      <c r="BZ342" s="267"/>
      <c r="CA342" s="267"/>
      <c r="CB342" s="268"/>
      <c r="CC342" s="268"/>
      <c r="CD342" s="268"/>
      <c r="CE342" s="268"/>
      <c r="CF342" s="269"/>
      <c r="CG342" s="269"/>
      <c r="CH342" s="269"/>
    </row>
    <row r="343" spans="6:86" x14ac:dyDescent="0.8">
      <c r="F343" s="114"/>
      <c r="H343" s="114"/>
      <c r="J343" s="115"/>
      <c r="K343" s="62"/>
      <c r="N343" s="116"/>
      <c r="P343" s="130"/>
      <c r="R343" s="57"/>
      <c r="S343" s="46"/>
      <c r="T343" s="119"/>
      <c r="U343" s="120"/>
      <c r="V343" s="128"/>
      <c r="W343" s="120"/>
      <c r="X343" s="57"/>
      <c r="Y343" s="46"/>
      <c r="Z343" s="57"/>
      <c r="AA343" s="46"/>
      <c r="AG343" s="120"/>
      <c r="AM343" s="64"/>
      <c r="AO343" s="46"/>
      <c r="AQ343" s="67"/>
      <c r="AT343" s="46"/>
      <c r="BC343" s="48"/>
      <c r="BF343" s="46"/>
      <c r="BL343" s="121"/>
      <c r="BM343" s="122"/>
      <c r="BN343" s="123"/>
      <c r="BO343" s="123"/>
      <c r="BP343" s="123"/>
      <c r="BQ343" s="123"/>
      <c r="BR343" s="122"/>
      <c r="BS343" s="124"/>
      <c r="BT343" s="124"/>
      <c r="BU343" s="124"/>
      <c r="BV343" s="125"/>
      <c r="BW343" s="75"/>
      <c r="BZ343" s="267"/>
      <c r="CA343" s="267"/>
      <c r="CB343" s="268"/>
      <c r="CC343" s="268"/>
      <c r="CD343" s="268"/>
      <c r="CE343" s="268"/>
      <c r="CF343" s="269"/>
      <c r="CG343" s="269"/>
      <c r="CH343" s="269"/>
    </row>
    <row r="344" spans="6:86" x14ac:dyDescent="0.8">
      <c r="F344" s="127"/>
      <c r="H344" s="127"/>
      <c r="J344" s="115"/>
      <c r="K344" s="62"/>
      <c r="N344" s="116"/>
      <c r="P344" s="130"/>
      <c r="R344" s="57"/>
      <c r="S344" s="46"/>
      <c r="T344" s="119"/>
      <c r="U344" s="120"/>
      <c r="V344" s="128"/>
      <c r="W344" s="120"/>
      <c r="X344" s="57"/>
      <c r="Y344" s="46"/>
      <c r="Z344" s="57"/>
      <c r="AA344" s="46"/>
      <c r="AG344" s="120"/>
      <c r="AM344" s="64"/>
      <c r="AO344" s="46"/>
      <c r="AQ344" s="67"/>
      <c r="AT344" s="46"/>
      <c r="BC344" s="48"/>
      <c r="BF344" s="46"/>
      <c r="BL344" s="121"/>
      <c r="BM344" s="122"/>
      <c r="BN344" s="123"/>
      <c r="BO344" s="123"/>
      <c r="BP344" s="123"/>
      <c r="BQ344" s="123"/>
      <c r="BR344" s="122"/>
      <c r="BS344" s="124"/>
      <c r="BT344" s="124"/>
      <c r="BU344" s="124"/>
      <c r="BV344" s="125"/>
      <c r="BW344" s="75"/>
      <c r="BZ344" s="267"/>
      <c r="CA344" s="267"/>
      <c r="CB344" s="268"/>
      <c r="CC344" s="268"/>
      <c r="CD344" s="268"/>
      <c r="CE344" s="268"/>
      <c r="CF344" s="269"/>
      <c r="CG344" s="269"/>
      <c r="CH344" s="269"/>
    </row>
    <row r="345" spans="6:86" x14ac:dyDescent="0.8">
      <c r="F345" s="114"/>
      <c r="H345" s="127"/>
      <c r="J345" s="115"/>
      <c r="K345" s="62"/>
      <c r="N345" s="130"/>
      <c r="P345" s="130"/>
      <c r="R345" s="57"/>
      <c r="S345" s="46"/>
      <c r="T345" s="119"/>
      <c r="U345" s="120"/>
      <c r="V345" s="128"/>
      <c r="W345" s="120"/>
      <c r="X345" s="57"/>
      <c r="Y345" s="46"/>
      <c r="Z345" s="57"/>
      <c r="AA345" s="46"/>
      <c r="AG345" s="120"/>
      <c r="AM345" s="64"/>
      <c r="AO345" s="46"/>
      <c r="AQ345" s="67"/>
      <c r="AT345" s="46"/>
      <c r="BC345" s="48"/>
      <c r="BF345" s="46"/>
      <c r="BL345" s="121"/>
      <c r="BM345" s="122"/>
      <c r="BN345" s="123"/>
      <c r="BO345" s="123"/>
      <c r="BP345" s="123"/>
      <c r="BQ345" s="123"/>
      <c r="BR345" s="122"/>
      <c r="BS345" s="124"/>
      <c r="BT345" s="124"/>
      <c r="BU345" s="124"/>
      <c r="BV345" s="125"/>
      <c r="BW345" s="75"/>
      <c r="BZ345" s="267"/>
      <c r="CA345" s="267"/>
      <c r="CB345" s="257"/>
      <c r="CC345" s="258"/>
      <c r="CD345" s="268"/>
      <c r="CE345" s="268"/>
      <c r="CF345" s="269"/>
      <c r="CG345" s="269"/>
      <c r="CH345" s="269"/>
    </row>
    <row r="346" spans="6:86" x14ac:dyDescent="0.8">
      <c r="F346" s="114"/>
      <c r="H346" s="114"/>
      <c r="J346" s="115"/>
      <c r="K346" s="62"/>
      <c r="N346" s="116"/>
      <c r="P346" s="130"/>
      <c r="R346" s="57"/>
      <c r="S346" s="46"/>
      <c r="T346" s="119"/>
      <c r="U346" s="120"/>
      <c r="V346" s="128"/>
      <c r="W346" s="120"/>
      <c r="X346" s="57"/>
      <c r="Y346" s="46"/>
      <c r="Z346" s="57"/>
      <c r="AA346" s="46"/>
      <c r="AF346" s="115"/>
      <c r="AG346" s="120"/>
      <c r="AL346" s="69"/>
      <c r="AN346" s="70"/>
      <c r="AQ346" s="67"/>
      <c r="AT346" s="46"/>
      <c r="BC346" s="48"/>
      <c r="BF346" s="46"/>
      <c r="BL346" s="121"/>
      <c r="BM346" s="122"/>
      <c r="BN346" s="123"/>
      <c r="BO346" s="123"/>
      <c r="BP346" s="123"/>
      <c r="BQ346" s="123"/>
      <c r="BR346" s="122"/>
      <c r="BS346" s="124"/>
      <c r="BT346" s="124"/>
      <c r="BU346" s="124"/>
      <c r="BV346" s="125"/>
      <c r="BW346" s="270"/>
      <c r="BX346" s="271"/>
      <c r="BY346" s="272"/>
      <c r="BZ346" s="273"/>
      <c r="CA346" s="273"/>
      <c r="CB346" s="271"/>
      <c r="CC346" s="272"/>
      <c r="CD346" s="245"/>
      <c r="CE346" s="245"/>
      <c r="CF346" s="274"/>
      <c r="CG346" s="274"/>
      <c r="CH346" s="274"/>
    </row>
    <row r="347" spans="6:86" x14ac:dyDescent="0.8">
      <c r="F347" s="127"/>
      <c r="H347" s="114"/>
      <c r="J347" s="115"/>
      <c r="K347" s="62"/>
      <c r="N347" s="116"/>
      <c r="P347" s="130"/>
      <c r="R347" s="57"/>
      <c r="S347" s="46"/>
      <c r="T347" s="119"/>
      <c r="U347" s="120"/>
      <c r="V347" s="128"/>
      <c r="W347" s="120"/>
      <c r="X347" s="57"/>
      <c r="Y347" s="46"/>
      <c r="Z347" s="57"/>
      <c r="AA347" s="46"/>
      <c r="AF347" s="115"/>
      <c r="AG347" s="120"/>
      <c r="AM347" s="64"/>
      <c r="AO347" s="46"/>
      <c r="AQ347" s="67"/>
      <c r="AT347" s="46"/>
      <c r="BC347" s="48"/>
      <c r="BF347" s="46"/>
      <c r="BL347" s="121"/>
      <c r="BM347" s="122"/>
      <c r="BN347" s="123"/>
      <c r="BO347" s="123"/>
      <c r="BP347" s="123"/>
      <c r="BQ347" s="123"/>
      <c r="BR347" s="122"/>
      <c r="BS347" s="124"/>
      <c r="BT347" s="124"/>
      <c r="BU347" s="124"/>
      <c r="BV347" s="125"/>
      <c r="BW347" s="89"/>
      <c r="BX347" s="275"/>
      <c r="BY347" s="276"/>
      <c r="BZ347" s="267"/>
      <c r="CA347" s="267"/>
      <c r="CB347" s="275"/>
      <c r="CC347" s="276"/>
      <c r="CD347" s="277"/>
      <c r="CE347" s="277"/>
      <c r="CF347" s="269"/>
      <c r="CG347" s="269"/>
      <c r="CH347" s="269"/>
    </row>
    <row r="348" spans="6:86" x14ac:dyDescent="0.8">
      <c r="F348" s="127"/>
      <c r="H348" s="114"/>
      <c r="J348" s="115"/>
      <c r="K348" s="62"/>
      <c r="L348" s="117"/>
      <c r="M348" s="118"/>
      <c r="N348" s="116"/>
      <c r="P348" s="130"/>
      <c r="R348" s="57"/>
      <c r="S348" s="46"/>
      <c r="T348" s="119"/>
      <c r="U348" s="120"/>
      <c r="V348" s="128"/>
      <c r="W348" s="120"/>
      <c r="X348" s="129"/>
      <c r="Y348" s="120"/>
      <c r="AF348" s="115"/>
      <c r="AG348" s="120"/>
      <c r="AL348" s="68"/>
      <c r="AQ348" s="67"/>
      <c r="AT348" s="46"/>
      <c r="AY348" s="57"/>
      <c r="AZ348" s="64"/>
      <c r="BA348" s="46"/>
      <c r="BB348" s="46"/>
      <c r="BC348" s="48"/>
      <c r="BF348" s="46"/>
      <c r="BL348" s="121"/>
      <c r="BM348" s="122"/>
      <c r="BN348" s="123"/>
      <c r="BO348" s="123"/>
      <c r="BP348" s="123"/>
      <c r="BQ348" s="123"/>
      <c r="BR348" s="122"/>
      <c r="BS348" s="124"/>
      <c r="BT348" s="124"/>
      <c r="BU348" s="124"/>
      <c r="BV348" s="125"/>
      <c r="BW348" s="89"/>
      <c r="BX348" s="275"/>
      <c r="BY348" s="276"/>
      <c r="BZ348" s="267"/>
      <c r="CA348" s="267"/>
      <c r="CB348" s="275"/>
      <c r="CC348" s="276"/>
      <c r="CD348" s="277"/>
      <c r="CE348" s="277"/>
      <c r="CF348" s="269"/>
      <c r="CG348" s="269"/>
      <c r="CH348" s="269"/>
    </row>
    <row r="349" spans="6:86" x14ac:dyDescent="0.8">
      <c r="F349" s="127"/>
      <c r="H349" s="127"/>
      <c r="J349" s="128"/>
      <c r="K349" s="62"/>
      <c r="L349" s="117"/>
      <c r="M349" s="118"/>
      <c r="N349" s="130"/>
      <c r="P349" s="130"/>
      <c r="R349" s="57"/>
      <c r="S349" s="46"/>
      <c r="T349" s="119"/>
      <c r="U349" s="120"/>
      <c r="V349" s="128"/>
      <c r="W349" s="120"/>
      <c r="X349" s="129"/>
      <c r="Y349" s="120"/>
      <c r="AL349" s="68"/>
      <c r="AQ349" s="67"/>
      <c r="AT349" s="46"/>
      <c r="AY349" s="57"/>
      <c r="AZ349" s="64"/>
      <c r="BA349" s="46"/>
      <c r="BB349" s="46"/>
      <c r="BC349" s="48"/>
      <c r="BF349" s="46"/>
      <c r="BL349" s="121"/>
      <c r="BM349" s="122"/>
      <c r="BN349" s="123"/>
      <c r="BO349" s="123"/>
      <c r="BP349" s="123"/>
      <c r="BQ349" s="123"/>
      <c r="BR349" s="122"/>
      <c r="BS349" s="124"/>
      <c r="BT349" s="124"/>
      <c r="BU349" s="124"/>
      <c r="BV349" s="125"/>
      <c r="BW349" s="89"/>
      <c r="BX349" s="275"/>
      <c r="BY349" s="276"/>
      <c r="BZ349" s="267"/>
      <c r="CA349" s="267"/>
      <c r="CB349" s="275"/>
      <c r="CC349" s="276"/>
      <c r="CD349" s="277"/>
      <c r="CE349" s="277"/>
      <c r="CF349" s="269"/>
      <c r="CG349" s="269"/>
      <c r="CH349" s="269"/>
    </row>
    <row r="350" spans="6:86" x14ac:dyDescent="0.8">
      <c r="F350" s="127"/>
      <c r="H350" s="114"/>
      <c r="J350" s="115"/>
      <c r="K350" s="62"/>
      <c r="N350" s="116"/>
      <c r="P350" s="130"/>
      <c r="R350" s="57"/>
      <c r="S350" s="46"/>
      <c r="T350" s="119"/>
      <c r="U350" s="120"/>
      <c r="V350" s="128"/>
      <c r="W350" s="120"/>
      <c r="X350" s="57"/>
      <c r="Y350" s="46"/>
      <c r="Z350" s="57"/>
      <c r="AA350" s="46"/>
      <c r="AD350" s="153"/>
      <c r="AM350" s="64"/>
      <c r="AO350" s="46"/>
      <c r="AQ350" s="67"/>
      <c r="AT350" s="46"/>
      <c r="BC350" s="48"/>
      <c r="BF350" s="46"/>
      <c r="BL350" s="121"/>
      <c r="BM350" s="122"/>
      <c r="BN350" s="123"/>
      <c r="BO350" s="123"/>
      <c r="BP350" s="123"/>
      <c r="BQ350" s="123"/>
      <c r="BR350" s="122"/>
      <c r="BS350" s="124"/>
      <c r="BT350" s="124"/>
      <c r="BU350" s="124"/>
      <c r="BV350" s="125"/>
      <c r="BW350" s="89"/>
      <c r="BX350" s="275"/>
      <c r="BY350" s="276"/>
      <c r="BZ350" s="267"/>
      <c r="CA350" s="267"/>
      <c r="CB350" s="275"/>
      <c r="CC350" s="276"/>
      <c r="CD350" s="277"/>
      <c r="CE350" s="277"/>
      <c r="CF350" s="269"/>
      <c r="CG350" s="269"/>
      <c r="CH350" s="269"/>
    </row>
    <row r="351" spans="6:86" x14ac:dyDescent="0.8">
      <c r="F351" s="114"/>
      <c r="H351" s="114"/>
      <c r="J351" s="115"/>
      <c r="K351" s="62"/>
      <c r="L351" s="117"/>
      <c r="M351" s="118"/>
      <c r="N351" s="116"/>
      <c r="P351" s="130"/>
      <c r="R351" s="57"/>
      <c r="S351" s="46"/>
      <c r="T351" s="119"/>
      <c r="U351" s="120"/>
      <c r="V351" s="128"/>
      <c r="W351" s="120"/>
      <c r="X351" s="129"/>
      <c r="Y351" s="120"/>
      <c r="AF351" s="115"/>
      <c r="AG351" s="120"/>
      <c r="AL351" s="69"/>
      <c r="AN351" s="70"/>
      <c r="AQ351" s="67"/>
      <c r="AT351" s="46"/>
      <c r="AY351" s="57"/>
      <c r="AZ351" s="64"/>
      <c r="BA351" s="46"/>
      <c r="BB351" s="46"/>
      <c r="BC351" s="48"/>
      <c r="BF351" s="46"/>
      <c r="BL351" s="121"/>
      <c r="BM351" s="122"/>
      <c r="BN351" s="123"/>
      <c r="BO351" s="123"/>
      <c r="BP351" s="123"/>
      <c r="BQ351" s="123"/>
      <c r="BR351" s="122"/>
      <c r="BS351" s="124"/>
      <c r="BT351" s="124"/>
      <c r="BU351" s="124"/>
      <c r="BV351" s="125"/>
      <c r="BW351" s="89"/>
      <c r="BX351" s="275"/>
      <c r="BY351" s="276"/>
      <c r="BZ351" s="267"/>
      <c r="CA351" s="267"/>
      <c r="CB351" s="275"/>
      <c r="CC351" s="276"/>
      <c r="CD351" s="277"/>
      <c r="CE351" s="277"/>
      <c r="CF351" s="269"/>
      <c r="CG351" s="269"/>
      <c r="CH351" s="269"/>
    </row>
    <row r="352" spans="6:86" x14ac:dyDescent="0.8">
      <c r="F352" s="114"/>
      <c r="H352" s="114"/>
      <c r="J352" s="115"/>
      <c r="L352" s="117"/>
      <c r="M352" s="118"/>
      <c r="N352" s="116"/>
      <c r="P352" s="91"/>
      <c r="R352" s="57"/>
      <c r="S352" s="150"/>
      <c r="T352" s="119"/>
      <c r="U352" s="139"/>
      <c r="V352" s="128"/>
      <c r="W352" s="139"/>
      <c r="X352" s="129"/>
      <c r="Y352" s="120"/>
      <c r="AF352" s="115"/>
      <c r="AG352" s="120"/>
      <c r="AL352" s="69"/>
      <c r="AN352" s="70"/>
      <c r="AQ352" s="67"/>
      <c r="AT352" s="46"/>
      <c r="AY352" s="57"/>
      <c r="AZ352" s="64"/>
      <c r="BA352" s="46"/>
      <c r="BB352" s="46"/>
      <c r="BC352" s="48"/>
      <c r="BF352" s="46"/>
      <c r="BL352" s="121"/>
      <c r="BM352" s="146"/>
      <c r="BN352" s="147"/>
      <c r="BO352" s="147"/>
      <c r="BP352" s="147"/>
      <c r="BQ352" s="147"/>
      <c r="BR352" s="146"/>
      <c r="BS352" s="148"/>
      <c r="BT352" s="148"/>
      <c r="BU352" s="148"/>
      <c r="BV352" s="149"/>
      <c r="BW352" s="89"/>
      <c r="BX352" s="275"/>
      <c r="BY352" s="276"/>
      <c r="BZ352" s="267"/>
      <c r="CA352" s="267"/>
      <c r="CB352" s="275"/>
      <c r="CC352" s="276"/>
      <c r="CD352" s="277"/>
      <c r="CE352" s="277"/>
      <c r="CF352" s="269"/>
      <c r="CG352" s="269"/>
      <c r="CH352" s="269"/>
    </row>
    <row r="353" spans="1:86" x14ac:dyDescent="0.8">
      <c r="B353" s="46"/>
      <c r="C353" s="62"/>
      <c r="E353" s="86"/>
      <c r="F353" s="91"/>
      <c r="G353" s="86"/>
      <c r="H353" s="91"/>
      <c r="I353" s="86"/>
      <c r="J353" s="142"/>
      <c r="N353" s="58"/>
      <c r="O353" s="58"/>
      <c r="Q353" s="59"/>
      <c r="S353" s="156"/>
      <c r="T353" s="142"/>
      <c r="U353" s="139"/>
      <c r="V353" s="142"/>
      <c r="W353" s="120"/>
      <c r="AD353" s="71"/>
      <c r="AF353" s="71"/>
      <c r="AH353" s="71"/>
      <c r="AJ353" s="71"/>
      <c r="AL353" s="71"/>
      <c r="AN353" s="71"/>
      <c r="AP353" s="137"/>
      <c r="AQ353" s="67"/>
      <c r="AT353" s="46"/>
      <c r="AY353" s="57"/>
      <c r="AZ353" s="64"/>
      <c r="BA353" s="46"/>
      <c r="BB353" s="46"/>
      <c r="BC353" s="48"/>
      <c r="BF353" s="46"/>
      <c r="BL353" s="121"/>
      <c r="BM353" s="146"/>
      <c r="BN353" s="147"/>
      <c r="BO353" s="147"/>
      <c r="BP353" s="147"/>
      <c r="BQ353" s="147"/>
      <c r="BR353" s="146"/>
      <c r="BS353" s="148"/>
      <c r="BT353" s="148"/>
      <c r="BU353" s="148"/>
      <c r="BV353" s="149"/>
      <c r="BW353" s="89"/>
      <c r="BX353" s="275"/>
      <c r="BY353" s="276"/>
      <c r="BZ353" s="267"/>
      <c r="CA353" s="267"/>
      <c r="CB353" s="275"/>
      <c r="CC353" s="276"/>
      <c r="CD353" s="277"/>
      <c r="CE353" s="277"/>
      <c r="CF353" s="269"/>
      <c r="CG353" s="269"/>
      <c r="CH353" s="269"/>
    </row>
    <row r="354" spans="1:86" x14ac:dyDescent="0.8">
      <c r="B354" s="46"/>
      <c r="C354" s="62"/>
      <c r="E354" s="86"/>
      <c r="F354" s="91"/>
      <c r="G354" s="86"/>
      <c r="H354" s="91"/>
      <c r="I354" s="86"/>
      <c r="J354" s="142"/>
      <c r="N354" s="58"/>
      <c r="O354" s="58"/>
      <c r="Q354" s="59"/>
      <c r="S354" s="156"/>
      <c r="T354" s="142"/>
      <c r="U354" s="120"/>
      <c r="V354" s="142"/>
      <c r="W354" s="120"/>
      <c r="AD354" s="71"/>
      <c r="AF354" s="71"/>
      <c r="AH354" s="71"/>
      <c r="AJ354" s="71"/>
      <c r="AL354" s="71"/>
      <c r="AN354" s="71"/>
      <c r="AP354" s="137"/>
      <c r="AQ354" s="67"/>
      <c r="AT354" s="46"/>
      <c r="AY354" s="57"/>
      <c r="AZ354" s="64"/>
      <c r="BA354" s="46"/>
      <c r="BB354" s="46"/>
      <c r="BC354" s="48"/>
      <c r="BF354" s="46"/>
      <c r="BL354" s="121"/>
      <c r="BM354" s="146"/>
      <c r="BN354" s="147"/>
      <c r="BO354" s="147"/>
      <c r="BP354" s="147"/>
      <c r="BQ354" s="147"/>
      <c r="BR354" s="146"/>
      <c r="BS354" s="148"/>
      <c r="BT354" s="148"/>
      <c r="BU354" s="148"/>
      <c r="BV354" s="149"/>
      <c r="BW354" s="89"/>
      <c r="BX354" s="275"/>
      <c r="BY354" s="276"/>
      <c r="BZ354" s="267"/>
      <c r="CA354" s="267"/>
      <c r="CB354" s="275"/>
      <c r="CC354" s="276"/>
      <c r="CD354" s="277"/>
      <c r="CE354" s="277"/>
      <c r="CF354" s="269"/>
      <c r="CG354" s="269"/>
      <c r="CH354" s="269"/>
    </row>
    <row r="355" spans="1:86" x14ac:dyDescent="0.8">
      <c r="B355" s="46"/>
      <c r="C355" s="62"/>
      <c r="E355" s="86"/>
      <c r="F355" s="91"/>
      <c r="G355" s="86"/>
      <c r="H355" s="91"/>
      <c r="I355" s="86"/>
      <c r="J355" s="142"/>
      <c r="N355" s="58"/>
      <c r="O355" s="58"/>
      <c r="Q355" s="59"/>
      <c r="S355" s="156"/>
      <c r="T355" s="142"/>
      <c r="U355" s="120"/>
      <c r="V355" s="142"/>
      <c r="W355" s="120"/>
      <c r="AD355" s="71"/>
      <c r="AF355" s="71"/>
      <c r="AH355" s="71"/>
      <c r="AJ355" s="71"/>
      <c r="AL355" s="71"/>
      <c r="AN355" s="71"/>
      <c r="AP355" s="137"/>
      <c r="AQ355" s="67"/>
      <c r="AT355" s="46"/>
      <c r="AY355" s="57"/>
      <c r="AZ355" s="64"/>
      <c r="BA355" s="46"/>
      <c r="BB355" s="46"/>
      <c r="BC355" s="48"/>
      <c r="BF355" s="46"/>
      <c r="BL355" s="121"/>
      <c r="BM355" s="146"/>
      <c r="BN355" s="147"/>
      <c r="BO355" s="147"/>
      <c r="BP355" s="147"/>
      <c r="BQ355" s="147"/>
      <c r="BR355" s="146"/>
      <c r="BS355" s="148"/>
      <c r="BT355" s="148"/>
      <c r="BU355" s="148"/>
      <c r="BV355" s="149"/>
      <c r="BW355" s="89"/>
      <c r="BX355" s="275"/>
      <c r="BY355" s="276"/>
      <c r="BZ355" s="267"/>
      <c r="CA355" s="267"/>
      <c r="CB355" s="275"/>
      <c r="CC355" s="276"/>
      <c r="CD355" s="277"/>
      <c r="CE355" s="277"/>
      <c r="CF355" s="269"/>
      <c r="CG355" s="269"/>
      <c r="CH355" s="269"/>
    </row>
    <row r="356" spans="1:86" x14ac:dyDescent="0.8">
      <c r="B356" s="46"/>
      <c r="C356" s="62"/>
      <c r="F356" s="70"/>
      <c r="G356" s="86"/>
      <c r="H356" s="157"/>
      <c r="I356" s="78"/>
      <c r="J356" s="157"/>
      <c r="K356" s="78"/>
      <c r="L356" s="158"/>
      <c r="M356" s="159"/>
      <c r="N356" s="79"/>
      <c r="O356" s="79"/>
      <c r="P356" s="79"/>
      <c r="Q356" s="78"/>
      <c r="R356" s="79"/>
      <c r="S356" s="79"/>
      <c r="T356" s="157"/>
      <c r="U356" s="78"/>
      <c r="V356" s="157"/>
      <c r="W356" s="78"/>
      <c r="X356" s="76"/>
      <c r="Y356" s="77"/>
      <c r="AL356" s="69"/>
      <c r="AN356" s="70"/>
      <c r="AQ356" s="67"/>
      <c r="AT356" s="46"/>
      <c r="BB356" s="46"/>
      <c r="BC356" s="48"/>
      <c r="BF356" s="46"/>
      <c r="BL356" s="121"/>
      <c r="BM356" s="57"/>
      <c r="BN356" s="64"/>
      <c r="BO356" s="64"/>
      <c r="BP356" s="64"/>
      <c r="BQ356" s="64"/>
      <c r="BR356" s="57"/>
      <c r="BS356" s="64"/>
      <c r="BT356" s="64"/>
      <c r="BU356" s="64"/>
      <c r="BV356" s="46"/>
      <c r="BW356" s="89"/>
      <c r="BX356" s="275"/>
      <c r="BY356" s="276"/>
      <c r="BZ356" s="267"/>
      <c r="CA356" s="267"/>
      <c r="CB356" s="275"/>
      <c r="CC356" s="276"/>
      <c r="CD356" s="277"/>
      <c r="CE356" s="277"/>
      <c r="CF356" s="269"/>
      <c r="CG356" s="269"/>
      <c r="CH356" s="269"/>
    </row>
    <row r="357" spans="1:86" x14ac:dyDescent="0.8">
      <c r="B357" s="46"/>
      <c r="C357" s="62"/>
      <c r="F357" s="70"/>
      <c r="G357" s="86"/>
      <c r="H357" s="157"/>
      <c r="I357" s="78"/>
      <c r="J357" s="76"/>
      <c r="K357" s="78"/>
      <c r="L357" s="76"/>
      <c r="M357" s="77"/>
      <c r="N357" s="160"/>
      <c r="O357" s="160"/>
      <c r="P357" s="160"/>
      <c r="Q357" s="77"/>
      <c r="R357" s="160"/>
      <c r="S357" s="160"/>
      <c r="T357" s="157"/>
      <c r="U357" s="78"/>
      <c r="V357" s="76"/>
      <c r="W357" s="78"/>
      <c r="X357" s="76"/>
      <c r="Y357" s="77"/>
      <c r="AD357" s="71"/>
      <c r="AF357" s="71"/>
      <c r="AH357" s="71"/>
      <c r="AJ357" s="71"/>
      <c r="AL357" s="69"/>
      <c r="AN357" s="70"/>
      <c r="AP357" s="137"/>
      <c r="AQ357" s="67"/>
      <c r="AT357" s="46"/>
      <c r="AY357" s="57"/>
      <c r="AZ357" s="64"/>
      <c r="BA357" s="46"/>
      <c r="BB357" s="46"/>
      <c r="BC357" s="48"/>
      <c r="BF357" s="46"/>
      <c r="BL357" s="121"/>
      <c r="BM357" s="57"/>
      <c r="BN357" s="64"/>
      <c r="BO357" s="64"/>
      <c r="BP357" s="64"/>
      <c r="BQ357" s="64"/>
      <c r="BR357" s="57"/>
      <c r="BS357" s="64"/>
      <c r="BT357" s="64"/>
      <c r="BU357" s="64"/>
      <c r="BV357" s="46"/>
      <c r="BW357" s="89"/>
      <c r="BX357" s="275"/>
      <c r="BY357" s="276"/>
      <c r="BZ357" s="267"/>
      <c r="CA357" s="267"/>
      <c r="CB357" s="275"/>
      <c r="CC357" s="276"/>
      <c r="CD357" s="277"/>
      <c r="CE357" s="277"/>
      <c r="CF357" s="269"/>
      <c r="CG357" s="269"/>
      <c r="CH357" s="269"/>
    </row>
    <row r="358" spans="1:86" x14ac:dyDescent="0.8">
      <c r="B358" s="46"/>
      <c r="C358" s="62"/>
      <c r="F358" s="70"/>
      <c r="G358" s="86"/>
      <c r="H358" s="157"/>
      <c r="I358" s="78"/>
      <c r="J358" s="157"/>
      <c r="K358" s="78"/>
      <c r="L358" s="158"/>
      <c r="M358" s="159"/>
      <c r="N358" s="79"/>
      <c r="O358" s="79"/>
      <c r="P358" s="79"/>
      <c r="Q358" s="78"/>
      <c r="R358" s="160"/>
      <c r="S358" s="160"/>
      <c r="T358" s="157"/>
      <c r="U358" s="78"/>
      <c r="V358" s="157"/>
      <c r="W358" s="78"/>
      <c r="X358" s="76"/>
      <c r="Y358" s="77"/>
      <c r="AA358" s="46"/>
      <c r="AQ358" s="67"/>
      <c r="AT358" s="46"/>
      <c r="AY358" s="57"/>
      <c r="AZ358" s="64"/>
      <c r="BA358" s="46"/>
      <c r="BB358" s="46"/>
      <c r="BC358" s="48"/>
      <c r="BF358" s="46"/>
      <c r="BL358" s="121"/>
      <c r="BM358" s="57"/>
      <c r="BN358" s="64"/>
      <c r="BO358" s="64"/>
      <c r="BP358" s="64"/>
      <c r="BQ358" s="64"/>
      <c r="BR358" s="57"/>
      <c r="BS358" s="64"/>
      <c r="BT358" s="64"/>
      <c r="BU358" s="64"/>
      <c r="BV358" s="46"/>
      <c r="BW358" s="89"/>
      <c r="BX358" s="275"/>
      <c r="BY358" s="276"/>
      <c r="BZ358" s="267"/>
      <c r="CA358" s="267"/>
      <c r="CB358" s="275"/>
      <c r="CC358" s="276"/>
      <c r="CD358" s="277"/>
      <c r="CE358" s="277"/>
      <c r="CF358" s="269"/>
      <c r="CG358" s="269"/>
      <c r="CH358" s="269"/>
    </row>
    <row r="359" spans="1:86" x14ac:dyDescent="0.8">
      <c r="B359" s="46"/>
      <c r="C359" s="62"/>
      <c r="F359" s="70"/>
      <c r="G359" s="86"/>
      <c r="H359" s="157"/>
      <c r="I359" s="78"/>
      <c r="J359" s="157"/>
      <c r="K359" s="78"/>
      <c r="L359" s="76"/>
      <c r="M359" s="77"/>
      <c r="N359" s="79"/>
      <c r="O359" s="79"/>
      <c r="P359" s="79"/>
      <c r="Q359" s="78"/>
      <c r="R359" s="160"/>
      <c r="S359" s="160"/>
      <c r="T359" s="157"/>
      <c r="U359" s="78"/>
      <c r="V359" s="157"/>
      <c r="W359" s="78"/>
      <c r="X359" s="157"/>
      <c r="Y359" s="78"/>
      <c r="Z359" s="57"/>
      <c r="AA359" s="46"/>
      <c r="AL359" s="69"/>
      <c r="AN359" s="70"/>
      <c r="AO359" s="46"/>
      <c r="AQ359" s="67"/>
      <c r="AT359" s="46"/>
      <c r="BC359" s="48"/>
      <c r="BF359" s="46"/>
      <c r="BL359" s="121"/>
      <c r="BM359" s="57"/>
      <c r="BN359" s="64"/>
      <c r="BO359" s="64"/>
      <c r="BP359" s="64"/>
      <c r="BQ359" s="64"/>
      <c r="BR359" s="57"/>
      <c r="BS359" s="64"/>
      <c r="BT359" s="64"/>
      <c r="BU359" s="64"/>
      <c r="BV359" s="46"/>
      <c r="BW359" s="89"/>
      <c r="BX359" s="275"/>
      <c r="BY359" s="276"/>
      <c r="BZ359" s="267"/>
      <c r="CA359" s="267"/>
      <c r="CB359" s="275"/>
      <c r="CC359" s="276"/>
      <c r="CD359" s="277"/>
      <c r="CE359" s="277"/>
      <c r="CF359" s="269"/>
      <c r="CG359" s="269"/>
      <c r="CH359" s="269"/>
    </row>
    <row r="360" spans="1:86" x14ac:dyDescent="0.8">
      <c r="A360" s="64"/>
      <c r="C360" s="62"/>
      <c r="F360" s="70"/>
      <c r="G360" s="86"/>
      <c r="H360" s="114"/>
      <c r="I360" s="86"/>
      <c r="R360" s="58"/>
      <c r="S360" s="58"/>
      <c r="AQ360" s="67"/>
      <c r="AT360" s="46"/>
      <c r="AY360" s="57"/>
      <c r="AZ360" s="64"/>
      <c r="BA360" s="46"/>
      <c r="BB360" s="46"/>
      <c r="BC360" s="48"/>
      <c r="BF360" s="46"/>
      <c r="BL360" s="121"/>
      <c r="BM360" s="57"/>
      <c r="BN360" s="64"/>
      <c r="BO360" s="64"/>
      <c r="BP360" s="64"/>
      <c r="BQ360" s="64"/>
      <c r="BR360" s="57"/>
      <c r="BS360" s="64"/>
      <c r="BT360" s="64"/>
      <c r="BU360" s="64"/>
      <c r="BV360" s="46"/>
      <c r="BW360" s="89"/>
      <c r="BX360" s="275"/>
      <c r="BY360" s="276"/>
      <c r="BZ360" s="267"/>
      <c r="CA360" s="267"/>
      <c r="CB360" s="275"/>
      <c r="CC360" s="276"/>
      <c r="CD360" s="277"/>
      <c r="CE360" s="277"/>
      <c r="CF360" s="269"/>
      <c r="CG360" s="269"/>
      <c r="CH360" s="269"/>
    </row>
    <row r="361" spans="1:86" x14ac:dyDescent="0.8">
      <c r="A361" s="64"/>
      <c r="C361" s="62"/>
      <c r="F361" s="70"/>
      <c r="G361" s="86"/>
      <c r="H361" s="114"/>
      <c r="I361" s="86"/>
      <c r="R361" s="58"/>
      <c r="S361" s="58"/>
      <c r="AQ361" s="67"/>
      <c r="AT361" s="46"/>
      <c r="AY361" s="57"/>
      <c r="AZ361" s="64"/>
      <c r="BA361" s="46"/>
      <c r="BB361" s="46"/>
      <c r="BC361" s="48"/>
      <c r="BF361" s="46"/>
      <c r="BL361" s="121"/>
      <c r="BM361" s="57"/>
      <c r="BN361" s="64"/>
      <c r="BO361" s="64"/>
      <c r="BP361" s="64"/>
      <c r="BQ361" s="64"/>
      <c r="BR361" s="57"/>
      <c r="BS361" s="64"/>
      <c r="BT361" s="64"/>
      <c r="BU361" s="64"/>
      <c r="BV361" s="46"/>
      <c r="BW361" s="89"/>
      <c r="BX361" s="275"/>
      <c r="BY361" s="276"/>
      <c r="BZ361" s="267"/>
      <c r="CA361" s="267"/>
      <c r="CB361" s="275"/>
      <c r="CC361" s="276"/>
      <c r="CD361" s="277"/>
      <c r="CE361" s="277"/>
      <c r="CF361" s="269"/>
      <c r="CG361" s="269"/>
      <c r="CH361" s="269"/>
    </row>
    <row r="362" spans="1:86" x14ac:dyDescent="0.8">
      <c r="A362" s="161"/>
      <c r="B362" s="162"/>
      <c r="C362" s="278"/>
      <c r="D362" s="163"/>
      <c r="E362" s="163"/>
      <c r="F362" s="163"/>
      <c r="G362" s="164"/>
      <c r="H362" s="165"/>
      <c r="I362" s="166"/>
      <c r="J362" s="166"/>
      <c r="K362" s="166"/>
      <c r="L362" s="166"/>
      <c r="M362" s="166"/>
      <c r="N362" s="166"/>
      <c r="O362" s="166"/>
      <c r="P362" s="166"/>
      <c r="Q362" s="166"/>
      <c r="R362" s="166"/>
      <c r="S362" s="166"/>
      <c r="T362" s="166"/>
      <c r="U362" s="166"/>
      <c r="V362" s="166"/>
      <c r="W362" s="166"/>
      <c r="X362" s="166"/>
      <c r="Y362" s="166"/>
      <c r="Z362" s="166"/>
      <c r="AA362" s="166"/>
      <c r="AB362" s="166"/>
      <c r="AC362" s="166"/>
      <c r="AD362" s="166"/>
      <c r="AE362" s="166"/>
      <c r="AF362" s="166"/>
      <c r="AG362" s="166"/>
      <c r="AH362" s="166"/>
      <c r="AI362" s="166"/>
      <c r="AJ362" s="166"/>
      <c r="AK362" s="166"/>
      <c r="AL362" s="166"/>
      <c r="AM362" s="167"/>
      <c r="AN362" s="168"/>
      <c r="AO362" s="169"/>
      <c r="AP362" s="162"/>
      <c r="AQ362" s="279"/>
      <c r="AR362" s="168"/>
      <c r="AS362" s="161"/>
      <c r="AT362" s="170"/>
      <c r="AU362" s="168"/>
      <c r="AV362" s="161"/>
      <c r="AW362" s="170"/>
      <c r="AX362" s="161"/>
      <c r="AY362" s="168"/>
      <c r="AZ362" s="161"/>
      <c r="BA362" s="170"/>
      <c r="BB362" s="170"/>
      <c r="BC362" s="280"/>
      <c r="BD362" s="168"/>
      <c r="BE362" s="161"/>
      <c r="BF362" s="170"/>
      <c r="BG362" s="168"/>
      <c r="BH362" s="161"/>
      <c r="BI362" s="170"/>
      <c r="BJ362" s="171"/>
      <c r="BK362" s="172"/>
      <c r="BL362" s="173"/>
      <c r="BM362" s="168"/>
      <c r="BN362" s="161"/>
      <c r="BO362" s="161"/>
      <c r="BP362" s="161"/>
      <c r="BQ362" s="161"/>
      <c r="BR362" s="168"/>
      <c r="BS362" s="161"/>
      <c r="BT362" s="161"/>
      <c r="BU362" s="161"/>
      <c r="BV362" s="170"/>
      <c r="BW362" s="89"/>
      <c r="BX362" s="275"/>
      <c r="BY362" s="276"/>
      <c r="BZ362" s="267"/>
      <c r="CA362" s="267"/>
      <c r="CB362" s="275"/>
      <c r="CC362" s="276"/>
      <c r="CD362" s="277"/>
      <c r="CE362" s="277"/>
      <c r="CF362" s="269"/>
      <c r="CG362" s="269"/>
      <c r="CH362" s="269"/>
    </row>
    <row r="363" spans="1:86" x14ac:dyDescent="0.8">
      <c r="B363" s="46"/>
      <c r="C363" s="62"/>
      <c r="F363" s="70"/>
      <c r="G363" s="86"/>
      <c r="H363" s="157"/>
      <c r="I363" s="78"/>
      <c r="J363" s="157"/>
      <c r="K363" s="78"/>
      <c r="L363" s="76"/>
      <c r="M363" s="77"/>
      <c r="N363" s="79"/>
      <c r="O363" s="79"/>
      <c r="P363" s="79"/>
      <c r="Q363" s="78"/>
      <c r="R363" s="160"/>
      <c r="S363" s="160"/>
      <c r="T363" s="157"/>
      <c r="U363" s="78"/>
      <c r="V363" s="157"/>
      <c r="W363" s="78"/>
      <c r="X363" s="157"/>
      <c r="Y363" s="78"/>
      <c r="Z363" s="57"/>
      <c r="AA363" s="46"/>
      <c r="AM363" s="64"/>
      <c r="AO363" s="46"/>
      <c r="AQ363" s="67"/>
      <c r="AT363" s="46"/>
      <c r="BC363" s="48"/>
      <c r="BF363" s="46"/>
      <c r="BL363" s="121"/>
      <c r="BM363" s="57"/>
      <c r="BN363" s="64"/>
      <c r="BO363" s="64"/>
      <c r="BP363" s="64"/>
      <c r="BQ363" s="64"/>
      <c r="BR363" s="57"/>
      <c r="BS363" s="64"/>
      <c r="BT363" s="64"/>
      <c r="BU363" s="64"/>
      <c r="BV363" s="46"/>
      <c r="BW363" s="89"/>
      <c r="BX363" s="275"/>
      <c r="BY363" s="276"/>
      <c r="BZ363" s="267"/>
      <c r="CA363" s="267"/>
      <c r="CB363" s="275"/>
      <c r="CC363" s="276"/>
      <c r="CD363" s="277"/>
      <c r="CE363" s="277"/>
      <c r="CF363" s="269"/>
      <c r="CG363" s="269"/>
      <c r="CH363" s="269"/>
    </row>
    <row r="364" spans="1:86" x14ac:dyDescent="0.8">
      <c r="A364" s="114"/>
      <c r="D364" s="70"/>
      <c r="E364" s="67"/>
      <c r="F364" s="70"/>
      <c r="H364" s="157"/>
      <c r="I364" s="78"/>
      <c r="J364" s="157"/>
      <c r="K364" s="157"/>
      <c r="L364" s="157"/>
      <c r="M364" s="281"/>
      <c r="N364" s="79"/>
      <c r="O364" s="157"/>
      <c r="P364" s="157"/>
      <c r="Q364" s="157"/>
      <c r="R364" s="157"/>
      <c r="S364" s="157"/>
      <c r="T364" s="157"/>
      <c r="U364" s="157"/>
      <c r="V364" s="157"/>
      <c r="W364" s="157"/>
      <c r="X364" s="157"/>
      <c r="Y364" s="157"/>
      <c r="Z364" s="57"/>
      <c r="AA364" s="46"/>
      <c r="AL364" s="69"/>
      <c r="AN364" s="70"/>
      <c r="AO364" s="46"/>
      <c r="AQ364" s="67"/>
      <c r="AT364" s="46"/>
      <c r="BC364" s="48"/>
      <c r="BF364" s="46"/>
      <c r="BL364" s="174"/>
      <c r="BM364" s="57"/>
      <c r="BN364" s="64"/>
      <c r="BO364" s="64"/>
      <c r="BP364" s="64"/>
      <c r="BQ364" s="64"/>
      <c r="BR364" s="57"/>
      <c r="BS364" s="64"/>
      <c r="BT364" s="64"/>
      <c r="BU364" s="64"/>
      <c r="BV364" s="46"/>
      <c r="BW364" s="89"/>
      <c r="BX364" s="275"/>
      <c r="BY364" s="276"/>
      <c r="BZ364" s="267"/>
      <c r="CA364" s="267"/>
      <c r="CB364" s="275"/>
      <c r="CC364" s="276"/>
      <c r="CD364" s="277"/>
      <c r="CE364" s="277"/>
      <c r="CF364" s="269"/>
      <c r="CG364" s="269"/>
      <c r="CH364" s="269"/>
    </row>
    <row r="365" spans="1:86" x14ac:dyDescent="0.8">
      <c r="A365" s="114"/>
      <c r="D365" s="70"/>
      <c r="E365" s="67"/>
      <c r="F365" s="70"/>
      <c r="H365" s="70"/>
      <c r="I365" s="86"/>
      <c r="J365" s="157"/>
      <c r="K365" s="157"/>
      <c r="L365" s="157"/>
      <c r="M365" s="281"/>
      <c r="N365" s="79"/>
      <c r="O365" s="157"/>
      <c r="P365" s="157"/>
      <c r="Q365" s="157"/>
      <c r="R365" s="157"/>
      <c r="S365" s="157"/>
      <c r="T365" s="157"/>
      <c r="U365" s="157"/>
      <c r="V365" s="157"/>
      <c r="W365" s="157"/>
      <c r="X365" s="157"/>
      <c r="Y365" s="157"/>
      <c r="AL365" s="69"/>
      <c r="AN365" s="70"/>
      <c r="AQ365" s="67"/>
      <c r="AT365" s="46"/>
      <c r="AY365" s="57"/>
      <c r="AZ365" s="64"/>
      <c r="BA365" s="46"/>
      <c r="BB365" s="46"/>
      <c r="BC365" s="48"/>
      <c r="BF365" s="46"/>
      <c r="BL365" s="174"/>
      <c r="BM365" s="57"/>
      <c r="BN365" s="64"/>
      <c r="BO365" s="64"/>
      <c r="BP365" s="64"/>
      <c r="BQ365" s="64"/>
      <c r="BR365" s="57"/>
      <c r="BS365" s="64"/>
      <c r="BT365" s="64"/>
      <c r="BU365" s="64"/>
      <c r="BV365" s="46"/>
      <c r="BW365" s="89"/>
      <c r="BX365" s="275"/>
      <c r="BY365" s="276"/>
      <c r="BZ365" s="267"/>
      <c r="CA365" s="267"/>
      <c r="CB365" s="275"/>
      <c r="CC365" s="276"/>
      <c r="CD365" s="277"/>
      <c r="CE365" s="277"/>
      <c r="CF365" s="269"/>
      <c r="CG365" s="269"/>
      <c r="CH365" s="269"/>
    </row>
    <row r="366" spans="1:86" x14ac:dyDescent="0.8">
      <c r="A366" s="114"/>
      <c r="D366" s="70"/>
      <c r="E366" s="67"/>
      <c r="F366" s="70"/>
      <c r="H366" s="70"/>
      <c r="I366" s="86"/>
      <c r="J366" s="76"/>
      <c r="K366" s="76"/>
      <c r="L366" s="76"/>
      <c r="M366" s="282"/>
      <c r="N366" s="160"/>
      <c r="O366" s="76"/>
      <c r="P366" s="76"/>
      <c r="Q366" s="76"/>
      <c r="R366" s="76"/>
      <c r="S366" s="76"/>
      <c r="T366" s="76"/>
      <c r="U366" s="76"/>
      <c r="V366" s="76"/>
      <c r="W366" s="76"/>
      <c r="X366" s="76"/>
      <c r="Y366" s="76"/>
      <c r="AA366" s="136"/>
      <c r="AD366" s="143"/>
      <c r="AF366" s="71"/>
      <c r="AH366" s="71"/>
      <c r="AJ366" s="143"/>
      <c r="AL366" s="69"/>
      <c r="AN366" s="70"/>
      <c r="AP366" s="137"/>
      <c r="AQ366" s="67"/>
      <c r="AT366" s="46"/>
      <c r="BB366" s="46"/>
      <c r="BC366" s="48"/>
      <c r="BF366" s="46"/>
      <c r="BL366" s="174"/>
      <c r="BM366" s="57"/>
      <c r="BN366" s="64"/>
      <c r="BO366" s="64"/>
      <c r="BP366" s="64"/>
      <c r="BQ366" s="64"/>
      <c r="BR366" s="57"/>
      <c r="BS366" s="64"/>
      <c r="BT366" s="64"/>
      <c r="BU366" s="64"/>
      <c r="BV366" s="46"/>
      <c r="BW366" s="89"/>
      <c r="BX366" s="275"/>
      <c r="BY366" s="276"/>
      <c r="BZ366" s="267"/>
      <c r="CA366" s="267"/>
      <c r="CB366" s="275"/>
      <c r="CC366" s="276"/>
      <c r="CD366" s="277"/>
      <c r="CE366" s="277"/>
      <c r="CF366" s="269"/>
      <c r="CG366" s="269"/>
      <c r="CH366" s="269"/>
    </row>
    <row r="367" spans="1:86" x14ac:dyDescent="0.8">
      <c r="A367" s="127"/>
      <c r="D367" s="70"/>
      <c r="E367" s="67"/>
      <c r="F367" s="70"/>
      <c r="H367" s="70"/>
      <c r="I367" s="86"/>
      <c r="J367" s="157"/>
      <c r="K367" s="157"/>
      <c r="L367" s="157"/>
      <c r="M367" s="281"/>
      <c r="N367" s="79"/>
      <c r="O367" s="157"/>
      <c r="P367" s="157"/>
      <c r="Q367" s="157"/>
      <c r="R367" s="157"/>
      <c r="S367" s="157"/>
      <c r="T367" s="157"/>
      <c r="U367" s="157"/>
      <c r="V367" s="157"/>
      <c r="W367" s="157"/>
      <c r="X367" s="157"/>
      <c r="Y367" s="157"/>
      <c r="AA367" s="46"/>
      <c r="AQ367" s="67"/>
      <c r="AT367" s="46"/>
      <c r="AY367" s="57"/>
      <c r="AZ367" s="64"/>
      <c r="BA367" s="46"/>
      <c r="BB367" s="46"/>
      <c r="BC367" s="48"/>
      <c r="BF367" s="46"/>
      <c r="BL367" s="174"/>
      <c r="BM367" s="57"/>
      <c r="BN367" s="64"/>
      <c r="BO367" s="64"/>
      <c r="BP367" s="64"/>
      <c r="BQ367" s="64"/>
      <c r="BR367" s="57"/>
      <c r="BS367" s="64"/>
      <c r="BT367" s="64"/>
      <c r="BU367" s="64"/>
      <c r="BV367" s="46"/>
      <c r="BW367" s="89"/>
      <c r="BX367" s="275"/>
      <c r="BY367" s="276"/>
      <c r="BZ367" s="267"/>
      <c r="CA367" s="267"/>
      <c r="CB367" s="275"/>
      <c r="CC367" s="276"/>
      <c r="CD367" s="277"/>
      <c r="CE367" s="277"/>
      <c r="CF367" s="269"/>
      <c r="CG367" s="269"/>
      <c r="CH367" s="269"/>
    </row>
    <row r="368" spans="1:86" x14ac:dyDescent="0.8">
      <c r="A368" s="127"/>
      <c r="D368" s="70"/>
      <c r="E368" s="67"/>
      <c r="F368" s="70"/>
      <c r="H368" s="157"/>
      <c r="I368" s="78"/>
      <c r="J368" s="157"/>
      <c r="K368" s="157"/>
      <c r="L368" s="157"/>
      <c r="M368" s="281"/>
      <c r="N368" s="79"/>
      <c r="O368" s="157"/>
      <c r="P368" s="157"/>
      <c r="Q368" s="157"/>
      <c r="R368" s="157"/>
      <c r="S368" s="157"/>
      <c r="T368" s="157"/>
      <c r="U368" s="157"/>
      <c r="V368" s="157"/>
      <c r="W368" s="157"/>
      <c r="X368" s="157"/>
      <c r="Y368" s="157"/>
      <c r="AL368" s="69"/>
      <c r="AN368" s="70"/>
      <c r="AQ368" s="67"/>
      <c r="AT368" s="46"/>
      <c r="AY368" s="57"/>
      <c r="AZ368" s="64"/>
      <c r="BA368" s="46"/>
      <c r="BB368" s="46"/>
      <c r="BC368" s="48"/>
      <c r="BF368" s="46"/>
      <c r="BL368" s="174"/>
      <c r="BM368" s="57"/>
      <c r="BN368" s="64"/>
      <c r="BO368" s="64"/>
      <c r="BP368" s="64"/>
      <c r="BQ368" s="64"/>
      <c r="BR368" s="57"/>
      <c r="BS368" s="64"/>
      <c r="BT368" s="64"/>
      <c r="BU368" s="64"/>
      <c r="BV368" s="46"/>
      <c r="BW368" s="89"/>
      <c r="BX368" s="275"/>
      <c r="BY368" s="276"/>
      <c r="BZ368" s="267"/>
      <c r="CA368" s="267"/>
      <c r="CB368" s="275"/>
      <c r="CC368" s="276"/>
      <c r="CD368" s="277"/>
      <c r="CE368" s="277"/>
      <c r="CF368" s="269"/>
      <c r="CG368" s="269"/>
      <c r="CH368" s="269"/>
    </row>
    <row r="369" spans="1:86" x14ac:dyDescent="0.8">
      <c r="A369" s="114"/>
      <c r="D369" s="70"/>
      <c r="E369" s="67"/>
      <c r="F369" s="70"/>
      <c r="H369" s="70"/>
      <c r="I369" s="86"/>
      <c r="J369" s="157"/>
      <c r="K369" s="157"/>
      <c r="L369" s="157"/>
      <c r="M369" s="281"/>
      <c r="N369" s="79"/>
      <c r="O369" s="157"/>
      <c r="P369" s="157"/>
      <c r="Q369" s="157"/>
      <c r="R369" s="157"/>
      <c r="S369" s="157"/>
      <c r="T369" s="157"/>
      <c r="U369" s="157"/>
      <c r="V369" s="157"/>
      <c r="W369" s="157"/>
      <c r="X369" s="157"/>
      <c r="Y369" s="157"/>
      <c r="Z369" s="57"/>
      <c r="AA369" s="46"/>
      <c r="AL369" s="69"/>
      <c r="AN369" s="70"/>
      <c r="AO369" s="46"/>
      <c r="AQ369" s="67"/>
      <c r="AT369" s="46"/>
      <c r="BC369" s="48"/>
      <c r="BF369" s="46"/>
      <c r="BL369" s="174"/>
      <c r="BM369" s="57"/>
      <c r="BN369" s="64"/>
      <c r="BO369" s="64"/>
      <c r="BP369" s="64"/>
      <c r="BQ369" s="64"/>
      <c r="BR369" s="57"/>
      <c r="BS369" s="64"/>
      <c r="BT369" s="64"/>
      <c r="BU369" s="64"/>
      <c r="BV369" s="46"/>
      <c r="BW369" s="89"/>
      <c r="BX369" s="275"/>
      <c r="BY369" s="276"/>
      <c r="BZ369" s="267"/>
      <c r="CA369" s="267"/>
      <c r="CB369" s="275"/>
      <c r="CC369" s="276"/>
      <c r="CD369" s="277"/>
      <c r="CE369" s="277"/>
      <c r="CF369" s="269"/>
      <c r="CG369" s="269"/>
      <c r="CH369" s="269"/>
    </row>
    <row r="370" spans="1:86" x14ac:dyDescent="0.8">
      <c r="A370" s="127"/>
      <c r="D370" s="70"/>
      <c r="E370" s="67"/>
      <c r="F370" s="70"/>
      <c r="H370" s="70"/>
      <c r="I370" s="86"/>
      <c r="J370" s="157"/>
      <c r="K370" s="157"/>
      <c r="L370" s="157"/>
      <c r="M370" s="281"/>
      <c r="N370" s="79"/>
      <c r="O370" s="157"/>
      <c r="P370" s="157"/>
      <c r="Q370" s="157"/>
      <c r="R370" s="157"/>
      <c r="S370" s="157"/>
      <c r="T370" s="157"/>
      <c r="U370" s="157"/>
      <c r="V370" s="157"/>
      <c r="W370" s="157"/>
      <c r="X370" s="157"/>
      <c r="Y370" s="157"/>
      <c r="AA370" s="46"/>
      <c r="AQ370" s="67"/>
      <c r="AT370" s="46"/>
      <c r="AY370" s="57"/>
      <c r="AZ370" s="64"/>
      <c r="BA370" s="46"/>
      <c r="BB370" s="46"/>
      <c r="BC370" s="48"/>
      <c r="BF370" s="46"/>
      <c r="BL370" s="174"/>
      <c r="BM370" s="57"/>
      <c r="BN370" s="64"/>
      <c r="BO370" s="64"/>
      <c r="BP370" s="64"/>
      <c r="BQ370" s="64"/>
      <c r="BR370" s="57"/>
      <c r="BS370" s="64"/>
      <c r="BT370" s="64"/>
      <c r="BU370" s="64"/>
      <c r="BV370" s="46"/>
      <c r="BW370" s="89"/>
      <c r="BX370" s="275"/>
      <c r="BY370" s="276"/>
      <c r="BZ370" s="267"/>
      <c r="CA370" s="267"/>
      <c r="CB370" s="275"/>
      <c r="CC370" s="276"/>
      <c r="CD370" s="277"/>
      <c r="CE370" s="277"/>
      <c r="CF370" s="269"/>
      <c r="CG370" s="269"/>
      <c r="CH370" s="269"/>
    </row>
    <row r="371" spans="1:86" x14ac:dyDescent="0.8">
      <c r="A371" s="114"/>
      <c r="D371" s="70"/>
      <c r="E371" s="67"/>
      <c r="F371" s="70"/>
      <c r="H371" s="70"/>
      <c r="I371" s="86"/>
      <c r="J371" s="157"/>
      <c r="K371" s="157"/>
      <c r="L371" s="157"/>
      <c r="M371" s="281"/>
      <c r="N371" s="79"/>
      <c r="O371" s="157"/>
      <c r="P371" s="157"/>
      <c r="Q371" s="157"/>
      <c r="R371" s="157"/>
      <c r="S371" s="157"/>
      <c r="T371" s="157"/>
      <c r="U371" s="157"/>
      <c r="V371" s="157"/>
      <c r="W371" s="157"/>
      <c r="X371" s="157"/>
      <c r="Y371" s="157"/>
      <c r="Z371" s="57"/>
      <c r="AA371" s="46"/>
      <c r="AL371" s="69"/>
      <c r="AN371" s="70"/>
      <c r="AO371" s="46"/>
      <c r="AQ371" s="67"/>
      <c r="AT371" s="46"/>
      <c r="BC371" s="48"/>
      <c r="BF371" s="46"/>
      <c r="BL371" s="174"/>
      <c r="BM371" s="57"/>
      <c r="BN371" s="64"/>
      <c r="BO371" s="64"/>
      <c r="BP371" s="64"/>
      <c r="BQ371" s="64"/>
      <c r="BR371" s="57"/>
      <c r="BS371" s="64"/>
      <c r="BT371" s="64"/>
      <c r="BU371" s="64"/>
      <c r="BV371" s="46"/>
      <c r="BW371" s="89"/>
      <c r="BX371" s="275"/>
      <c r="BY371" s="276"/>
      <c r="BZ371" s="267"/>
      <c r="CA371" s="267"/>
      <c r="CB371" s="275"/>
      <c r="CC371" s="276"/>
      <c r="CD371" s="277"/>
      <c r="CE371" s="277"/>
      <c r="CF371" s="269"/>
      <c r="CG371" s="269"/>
      <c r="CH371" s="269"/>
    </row>
    <row r="372" spans="1:86" x14ac:dyDescent="0.8">
      <c r="A372" s="127"/>
      <c r="D372" s="70"/>
      <c r="E372" s="67"/>
      <c r="F372" s="70"/>
      <c r="H372" s="70"/>
      <c r="I372" s="86"/>
      <c r="J372" s="157"/>
      <c r="K372" s="157"/>
      <c r="L372" s="157"/>
      <c r="M372" s="281"/>
      <c r="N372" s="79"/>
      <c r="O372" s="157"/>
      <c r="P372" s="157"/>
      <c r="Q372" s="157"/>
      <c r="R372" s="157"/>
      <c r="S372" s="157"/>
      <c r="T372" s="157"/>
      <c r="U372" s="157"/>
      <c r="V372" s="157"/>
      <c r="W372" s="157"/>
      <c r="X372" s="157"/>
      <c r="Y372" s="157"/>
      <c r="AL372" s="69"/>
      <c r="AN372" s="70"/>
      <c r="AQ372" s="67"/>
      <c r="AT372" s="46"/>
      <c r="AY372" s="57"/>
      <c r="AZ372" s="64"/>
      <c r="BA372" s="46"/>
      <c r="BB372" s="46"/>
      <c r="BC372" s="48"/>
      <c r="BF372" s="46"/>
      <c r="BL372" s="174"/>
      <c r="BM372" s="57"/>
      <c r="BN372" s="64"/>
      <c r="BO372" s="64"/>
      <c r="BP372" s="64"/>
      <c r="BQ372" s="64"/>
      <c r="BR372" s="57"/>
      <c r="BS372" s="64"/>
      <c r="BT372" s="64"/>
      <c r="BU372" s="64"/>
      <c r="BV372" s="46"/>
      <c r="BW372" s="89"/>
      <c r="BX372" s="275"/>
      <c r="BY372" s="276"/>
      <c r="BZ372" s="267"/>
      <c r="CA372" s="267"/>
      <c r="CB372" s="275"/>
      <c r="CC372" s="276"/>
      <c r="CD372" s="277"/>
      <c r="CE372" s="277"/>
      <c r="CF372" s="269"/>
      <c r="CG372" s="269"/>
      <c r="CH372" s="269"/>
    </row>
    <row r="373" spans="1:86" x14ac:dyDescent="0.8">
      <c r="A373" s="114"/>
      <c r="D373" s="70"/>
      <c r="E373" s="67"/>
      <c r="F373" s="70"/>
      <c r="H373" s="70"/>
      <c r="I373" s="86"/>
      <c r="J373" s="157"/>
      <c r="K373" s="157"/>
      <c r="L373" s="157"/>
      <c r="M373" s="281"/>
      <c r="N373" s="79"/>
      <c r="O373" s="157"/>
      <c r="P373" s="157"/>
      <c r="Q373" s="157"/>
      <c r="R373" s="157"/>
      <c r="S373" s="157"/>
      <c r="T373" s="157"/>
      <c r="U373" s="157"/>
      <c r="V373" s="157"/>
      <c r="W373" s="157"/>
      <c r="X373" s="157"/>
      <c r="Y373" s="157"/>
      <c r="AL373" s="69"/>
      <c r="AN373" s="70"/>
      <c r="AQ373" s="67"/>
      <c r="AT373" s="46"/>
      <c r="AY373" s="57"/>
      <c r="AZ373" s="64"/>
      <c r="BA373" s="46"/>
      <c r="BB373" s="46"/>
      <c r="BC373" s="48"/>
      <c r="BF373" s="46"/>
      <c r="BL373" s="174"/>
      <c r="BM373" s="57"/>
      <c r="BN373" s="64"/>
      <c r="BO373" s="64"/>
      <c r="BP373" s="64"/>
      <c r="BQ373" s="64"/>
      <c r="BR373" s="57"/>
      <c r="BS373" s="64"/>
      <c r="BT373" s="64"/>
      <c r="BU373" s="64"/>
      <c r="BV373" s="46"/>
      <c r="BW373" s="89"/>
      <c r="BX373" s="275"/>
      <c r="BY373" s="276"/>
      <c r="BZ373" s="267"/>
      <c r="CA373" s="267"/>
      <c r="CB373" s="275"/>
      <c r="CC373" s="276"/>
      <c r="CD373" s="277"/>
      <c r="CE373" s="277"/>
      <c r="CF373" s="269"/>
      <c r="CG373" s="269"/>
      <c r="CH373" s="269"/>
    </row>
    <row r="374" spans="1:86" x14ac:dyDescent="0.8">
      <c r="A374" s="114"/>
      <c r="D374" s="70"/>
      <c r="E374" s="67"/>
      <c r="F374" s="70"/>
      <c r="H374" s="70"/>
      <c r="I374" s="86"/>
      <c r="J374" s="157"/>
      <c r="K374" s="157"/>
      <c r="L374" s="157"/>
      <c r="M374" s="281"/>
      <c r="N374" s="79"/>
      <c r="O374" s="157"/>
      <c r="P374" s="157"/>
      <c r="Q374" s="157"/>
      <c r="R374" s="157"/>
      <c r="S374" s="157"/>
      <c r="T374" s="157"/>
      <c r="U374" s="157"/>
      <c r="V374" s="157"/>
      <c r="W374" s="157"/>
      <c r="X374" s="157"/>
      <c r="Y374" s="157"/>
      <c r="AA374" s="136"/>
      <c r="AD374" s="140"/>
      <c r="AJ374" s="140"/>
      <c r="AL374" s="68"/>
      <c r="AQ374" s="67"/>
      <c r="AT374" s="46"/>
      <c r="AY374" s="57"/>
      <c r="AZ374" s="64"/>
      <c r="BA374" s="46"/>
      <c r="BB374" s="46"/>
      <c r="BC374" s="48"/>
      <c r="BF374" s="46"/>
      <c r="BL374" s="174"/>
      <c r="BM374" s="57"/>
      <c r="BN374" s="64"/>
      <c r="BO374" s="64"/>
      <c r="BP374" s="64"/>
      <c r="BQ374" s="64"/>
      <c r="BR374" s="57"/>
      <c r="BS374" s="64"/>
      <c r="BT374" s="64"/>
      <c r="BU374" s="64"/>
      <c r="BV374" s="46"/>
      <c r="BW374" s="89"/>
      <c r="BX374" s="275"/>
      <c r="BY374" s="276"/>
      <c r="BZ374" s="267"/>
      <c r="CA374" s="267"/>
      <c r="CB374" s="275"/>
      <c r="CC374" s="276"/>
      <c r="CD374" s="277"/>
      <c r="CE374" s="277"/>
      <c r="CF374" s="269"/>
      <c r="CG374" s="269"/>
      <c r="CH374" s="269"/>
    </row>
    <row r="375" spans="1:86" x14ac:dyDescent="0.8">
      <c r="A375" s="127"/>
      <c r="D375" s="70"/>
      <c r="E375" s="67"/>
      <c r="F375" s="70"/>
      <c r="H375" s="70"/>
      <c r="I375" s="86"/>
      <c r="J375" s="157"/>
      <c r="K375" s="157"/>
      <c r="L375" s="157"/>
      <c r="M375" s="281"/>
      <c r="N375" s="79"/>
      <c r="O375" s="157"/>
      <c r="P375" s="157"/>
      <c r="Q375" s="157"/>
      <c r="R375" s="157"/>
      <c r="S375" s="157"/>
      <c r="T375" s="157"/>
      <c r="U375" s="157"/>
      <c r="V375" s="157"/>
      <c r="W375" s="157"/>
      <c r="X375" s="157"/>
      <c r="Y375" s="157"/>
      <c r="AB375" s="129"/>
      <c r="AL375" s="69"/>
      <c r="AN375" s="70"/>
      <c r="AQ375" s="67"/>
      <c r="AT375" s="46"/>
      <c r="AY375" s="57"/>
      <c r="AZ375" s="64"/>
      <c r="BA375" s="46"/>
      <c r="BB375" s="46"/>
      <c r="BC375" s="48"/>
      <c r="BF375" s="46"/>
      <c r="BL375" s="174"/>
      <c r="BM375" s="57"/>
      <c r="BN375" s="64"/>
      <c r="BO375" s="64"/>
      <c r="BP375" s="64"/>
      <c r="BQ375" s="64"/>
      <c r="BR375" s="57"/>
      <c r="BS375" s="64"/>
      <c r="BT375" s="64"/>
      <c r="BU375" s="64"/>
      <c r="BV375" s="46"/>
      <c r="BW375" s="89"/>
      <c r="BX375" s="275"/>
      <c r="BY375" s="276"/>
      <c r="BZ375" s="267"/>
      <c r="CA375" s="267"/>
      <c r="CB375" s="275"/>
      <c r="CC375" s="276"/>
      <c r="CD375" s="277"/>
      <c r="CE375" s="277"/>
      <c r="CF375" s="269"/>
      <c r="CG375" s="269"/>
      <c r="CH375" s="269"/>
    </row>
    <row r="376" spans="1:86" x14ac:dyDescent="0.8">
      <c r="A376" s="127"/>
      <c r="D376" s="70"/>
      <c r="E376" s="67"/>
      <c r="F376" s="70"/>
      <c r="H376" s="70"/>
      <c r="I376" s="86"/>
      <c r="J376" s="76"/>
      <c r="K376" s="76"/>
      <c r="L376" s="76"/>
      <c r="M376" s="282"/>
      <c r="N376" s="160"/>
      <c r="O376" s="76"/>
      <c r="P376" s="76"/>
      <c r="Q376" s="76"/>
      <c r="R376" s="76"/>
      <c r="S376" s="76"/>
      <c r="T376" s="76"/>
      <c r="U376" s="76"/>
      <c r="V376" s="76"/>
      <c r="W376" s="76"/>
      <c r="X376" s="76"/>
      <c r="Y376" s="76"/>
      <c r="AA376" s="136"/>
      <c r="AD376" s="143"/>
      <c r="AF376" s="71"/>
      <c r="AH376" s="71"/>
      <c r="AJ376" s="143"/>
      <c r="AL376" s="71"/>
      <c r="AN376" s="71"/>
      <c r="AP376" s="137"/>
      <c r="AQ376" s="67"/>
      <c r="AT376" s="46"/>
      <c r="BB376" s="46"/>
      <c r="BC376" s="48"/>
      <c r="BF376" s="46"/>
      <c r="BL376" s="174"/>
      <c r="BM376" s="57"/>
      <c r="BN376" s="64"/>
      <c r="BO376" s="64"/>
      <c r="BP376" s="64"/>
      <c r="BQ376" s="64"/>
      <c r="BR376" s="57"/>
      <c r="BS376" s="64"/>
      <c r="BT376" s="64"/>
      <c r="BU376" s="64"/>
      <c r="BV376" s="46"/>
      <c r="BW376" s="89"/>
      <c r="BX376" s="275"/>
      <c r="BY376" s="276"/>
      <c r="BZ376" s="267"/>
      <c r="CA376" s="267"/>
      <c r="CB376" s="275"/>
      <c r="CC376" s="276"/>
      <c r="CD376" s="277"/>
      <c r="CE376" s="277"/>
      <c r="CF376" s="269"/>
      <c r="CG376" s="269"/>
      <c r="CH376" s="269"/>
    </row>
    <row r="377" spans="1:86" x14ac:dyDescent="0.8">
      <c r="A377" s="127"/>
      <c r="D377" s="70"/>
      <c r="E377" s="67"/>
      <c r="F377" s="70"/>
      <c r="H377" s="70"/>
      <c r="I377" s="86"/>
      <c r="J377" s="157"/>
      <c r="K377" s="157"/>
      <c r="L377" s="157"/>
      <c r="M377" s="281"/>
      <c r="N377" s="79"/>
      <c r="O377" s="157"/>
      <c r="P377" s="157"/>
      <c r="Q377" s="157"/>
      <c r="R377" s="157"/>
      <c r="S377" s="157"/>
      <c r="T377" s="157"/>
      <c r="U377" s="157"/>
      <c r="V377" s="157"/>
      <c r="W377" s="157"/>
      <c r="X377" s="157"/>
      <c r="Y377" s="157"/>
      <c r="AL377" s="69"/>
      <c r="AN377" s="70"/>
      <c r="AQ377" s="67"/>
      <c r="AT377" s="46"/>
      <c r="AY377" s="57"/>
      <c r="AZ377" s="64"/>
      <c r="BA377" s="46"/>
      <c r="BB377" s="46"/>
      <c r="BC377" s="48"/>
      <c r="BF377" s="46"/>
      <c r="BL377" s="174"/>
      <c r="BM377" s="57"/>
      <c r="BN377" s="64"/>
      <c r="BO377" s="64"/>
      <c r="BP377" s="64"/>
      <c r="BQ377" s="64"/>
      <c r="BR377" s="57"/>
      <c r="BS377" s="64"/>
      <c r="BT377" s="64"/>
      <c r="BU377" s="64"/>
      <c r="BV377" s="46"/>
      <c r="BW377" s="89"/>
      <c r="BX377" s="275"/>
      <c r="BY377" s="276"/>
      <c r="BZ377" s="267"/>
      <c r="CA377" s="267"/>
      <c r="CB377" s="275"/>
      <c r="CC377" s="276"/>
      <c r="CD377" s="277"/>
      <c r="CE377" s="277"/>
      <c r="CF377" s="269"/>
      <c r="CG377" s="269"/>
      <c r="CH377" s="269"/>
    </row>
    <row r="378" spans="1:86" x14ac:dyDescent="0.8">
      <c r="A378" s="127"/>
      <c r="D378" s="70"/>
      <c r="E378" s="67"/>
      <c r="F378" s="70"/>
      <c r="H378" s="70"/>
      <c r="I378" s="86"/>
      <c r="J378" s="157"/>
      <c r="K378" s="157"/>
      <c r="L378" s="157"/>
      <c r="M378" s="281"/>
      <c r="N378" s="79"/>
      <c r="O378" s="157"/>
      <c r="P378" s="157"/>
      <c r="Q378" s="157"/>
      <c r="R378" s="157"/>
      <c r="S378" s="157"/>
      <c r="T378" s="157"/>
      <c r="U378" s="157"/>
      <c r="V378" s="157"/>
      <c r="W378" s="157"/>
      <c r="X378" s="157"/>
      <c r="Y378" s="157"/>
      <c r="AL378" s="68"/>
      <c r="AQ378" s="67"/>
      <c r="AT378" s="46"/>
      <c r="AY378" s="57"/>
      <c r="AZ378" s="64"/>
      <c r="BA378" s="46"/>
      <c r="BB378" s="46"/>
      <c r="BC378" s="48"/>
      <c r="BF378" s="46"/>
      <c r="BL378" s="174"/>
      <c r="BM378" s="57"/>
      <c r="BN378" s="64"/>
      <c r="BO378" s="64"/>
      <c r="BP378" s="64"/>
      <c r="BQ378" s="64"/>
      <c r="BR378" s="57"/>
      <c r="BS378" s="64"/>
      <c r="BT378" s="64"/>
      <c r="BU378" s="64"/>
      <c r="BV378" s="46"/>
      <c r="BW378" s="89"/>
      <c r="BX378" s="275"/>
      <c r="BY378" s="276"/>
      <c r="BZ378" s="267"/>
      <c r="CA378" s="267"/>
      <c r="CB378" s="275"/>
      <c r="CC378" s="276"/>
      <c r="CD378" s="277"/>
      <c r="CE378" s="277"/>
      <c r="CF378" s="269"/>
      <c r="CG378" s="269"/>
      <c r="CH378" s="269"/>
    </row>
    <row r="379" spans="1:86" x14ac:dyDescent="0.8">
      <c r="A379" s="114"/>
      <c r="D379" s="70"/>
      <c r="E379" s="67"/>
      <c r="F379" s="70"/>
      <c r="H379" s="70"/>
      <c r="I379" s="86"/>
      <c r="J379" s="157"/>
      <c r="K379" s="157"/>
      <c r="L379" s="157"/>
      <c r="M379" s="281"/>
      <c r="N379" s="79"/>
      <c r="O379" s="157"/>
      <c r="P379" s="157"/>
      <c r="Q379" s="157"/>
      <c r="R379" s="157"/>
      <c r="S379" s="157"/>
      <c r="T379" s="157"/>
      <c r="U379" s="157"/>
      <c r="V379" s="157"/>
      <c r="W379" s="157"/>
      <c r="X379" s="157"/>
      <c r="Y379" s="157"/>
      <c r="AL379" s="68"/>
      <c r="AQ379" s="67"/>
      <c r="AT379" s="46"/>
      <c r="AY379" s="57"/>
      <c r="AZ379" s="64"/>
      <c r="BA379" s="46"/>
      <c r="BB379" s="46"/>
      <c r="BC379" s="48"/>
      <c r="BF379" s="46"/>
      <c r="BL379" s="174"/>
      <c r="BM379" s="57"/>
      <c r="BN379" s="64"/>
      <c r="BO379" s="64"/>
      <c r="BP379" s="64"/>
      <c r="BQ379" s="64"/>
      <c r="BR379" s="57"/>
      <c r="BS379" s="64"/>
      <c r="BT379" s="64"/>
      <c r="BU379" s="64"/>
      <c r="BV379" s="46"/>
      <c r="BW379" s="75"/>
      <c r="BZ379" s="267"/>
      <c r="CA379" s="267"/>
      <c r="CB379" s="257"/>
      <c r="CC379" s="258"/>
      <c r="CD379" s="268"/>
      <c r="CE379" s="268"/>
      <c r="CF379" s="269"/>
      <c r="CG379" s="269"/>
      <c r="CH379" s="269"/>
    </row>
    <row r="380" spans="1:86" x14ac:dyDescent="0.8">
      <c r="A380" s="114"/>
      <c r="D380" s="70"/>
      <c r="E380" s="67"/>
      <c r="F380" s="70"/>
      <c r="H380" s="70"/>
      <c r="I380" s="86"/>
      <c r="J380" s="157"/>
      <c r="K380" s="157"/>
      <c r="L380" s="157"/>
      <c r="M380" s="281"/>
      <c r="N380" s="79"/>
      <c r="O380" s="157"/>
      <c r="P380" s="157"/>
      <c r="Q380" s="157"/>
      <c r="R380" s="157"/>
      <c r="S380" s="157"/>
      <c r="T380" s="157"/>
      <c r="U380" s="157"/>
      <c r="V380" s="157"/>
      <c r="W380" s="157"/>
      <c r="X380" s="157"/>
      <c r="Y380" s="157"/>
      <c r="AL380" s="69"/>
      <c r="AN380" s="70"/>
      <c r="AQ380" s="67"/>
      <c r="AT380" s="46"/>
      <c r="AY380" s="57"/>
      <c r="AZ380" s="64"/>
      <c r="BA380" s="46"/>
      <c r="BB380" s="46"/>
      <c r="BC380" s="48"/>
      <c r="BF380" s="46"/>
      <c r="BL380" s="174"/>
      <c r="BM380" s="57"/>
      <c r="BN380" s="64"/>
      <c r="BO380" s="64"/>
      <c r="BP380" s="64"/>
      <c r="BQ380" s="64"/>
      <c r="BR380" s="57"/>
      <c r="BS380" s="64"/>
      <c r="BT380" s="64"/>
      <c r="BU380" s="64"/>
      <c r="BV380" s="46"/>
      <c r="BW380" s="75"/>
      <c r="BZ380" s="267"/>
      <c r="CA380" s="267"/>
      <c r="CB380" s="257"/>
      <c r="CC380" s="258"/>
      <c r="CD380" s="268"/>
      <c r="CE380" s="268"/>
      <c r="CF380" s="269"/>
      <c r="CG380" s="269"/>
      <c r="CH380" s="269"/>
    </row>
    <row r="381" spans="1:86" x14ac:dyDescent="0.8">
      <c r="A381" s="127"/>
      <c r="D381" s="70"/>
      <c r="E381" s="67"/>
      <c r="F381" s="70"/>
      <c r="H381" s="70"/>
      <c r="I381" s="86"/>
      <c r="J381" s="79"/>
      <c r="K381" s="79"/>
      <c r="L381" s="79"/>
      <c r="M381" s="78"/>
      <c r="N381" s="79"/>
      <c r="O381" s="79"/>
      <c r="P381" s="79"/>
      <c r="Q381" s="79"/>
      <c r="R381" s="79"/>
      <c r="S381" s="79"/>
      <c r="T381" s="79"/>
      <c r="U381" s="79"/>
      <c r="V381" s="79"/>
      <c r="W381" s="79"/>
      <c r="X381" s="79"/>
      <c r="Y381" s="79"/>
      <c r="Z381" s="57"/>
      <c r="AA381" s="46"/>
      <c r="AM381" s="64"/>
      <c r="AO381" s="46"/>
      <c r="AQ381" s="67"/>
      <c r="AT381" s="46"/>
      <c r="BC381" s="48"/>
      <c r="BF381" s="46"/>
      <c r="BL381" s="174"/>
      <c r="BM381" s="57"/>
      <c r="BN381" s="64"/>
      <c r="BO381" s="64"/>
      <c r="BP381" s="64"/>
      <c r="BQ381" s="64"/>
      <c r="BR381" s="57"/>
      <c r="BS381" s="64"/>
      <c r="BT381" s="64"/>
      <c r="BU381" s="64"/>
      <c r="BV381" s="46"/>
      <c r="BW381" s="75"/>
      <c r="BZ381" s="267"/>
      <c r="CA381" s="267"/>
      <c r="CB381" s="257"/>
      <c r="CC381" s="258"/>
      <c r="CD381" s="268"/>
      <c r="CE381" s="268"/>
      <c r="CF381" s="269"/>
      <c r="CG381" s="269"/>
      <c r="CH381" s="269"/>
    </row>
    <row r="382" spans="1:86" x14ac:dyDescent="0.8">
      <c r="A382" s="114"/>
      <c r="D382" s="70"/>
      <c r="E382" s="67"/>
      <c r="F382" s="70"/>
      <c r="H382" s="70"/>
      <c r="I382" s="86"/>
      <c r="J382" s="157"/>
      <c r="K382" s="157"/>
      <c r="L382" s="157"/>
      <c r="M382" s="281"/>
      <c r="N382" s="79"/>
      <c r="O382" s="157"/>
      <c r="P382" s="157"/>
      <c r="Q382" s="157"/>
      <c r="R382" s="157"/>
      <c r="S382" s="157"/>
      <c r="T382" s="157"/>
      <c r="U382" s="157"/>
      <c r="V382" s="157"/>
      <c r="W382" s="157"/>
      <c r="X382" s="157"/>
      <c r="Y382" s="157"/>
      <c r="AA382" s="136"/>
      <c r="AD382" s="140"/>
      <c r="AJ382" s="140"/>
      <c r="AL382" s="68"/>
      <c r="AQ382" s="67"/>
      <c r="AT382" s="46"/>
      <c r="AY382" s="57"/>
      <c r="AZ382" s="64"/>
      <c r="BA382" s="46"/>
      <c r="BB382" s="46"/>
      <c r="BC382" s="48"/>
      <c r="BF382" s="46"/>
      <c r="BL382" s="174"/>
      <c r="BM382" s="57"/>
      <c r="BN382" s="64"/>
      <c r="BO382" s="64"/>
      <c r="BP382" s="64"/>
      <c r="BQ382" s="64"/>
      <c r="BR382" s="57"/>
      <c r="BS382" s="64"/>
      <c r="BT382" s="64"/>
      <c r="BU382" s="64"/>
      <c r="BV382" s="46"/>
      <c r="BW382" s="75"/>
      <c r="BZ382" s="267"/>
      <c r="CA382" s="267"/>
      <c r="CB382" s="257"/>
      <c r="CC382" s="258"/>
      <c r="CD382" s="268"/>
      <c r="CE382" s="268"/>
      <c r="CF382" s="269"/>
      <c r="CG382" s="269"/>
      <c r="CH382" s="269"/>
    </row>
    <row r="383" spans="1:86" x14ac:dyDescent="0.8">
      <c r="A383" s="114"/>
      <c r="D383" s="70"/>
      <c r="E383" s="67"/>
      <c r="F383" s="70"/>
      <c r="H383" s="70"/>
      <c r="I383" s="86"/>
      <c r="J383" s="157"/>
      <c r="K383" s="157"/>
      <c r="L383" s="157"/>
      <c r="M383" s="281"/>
      <c r="N383" s="79"/>
      <c r="O383" s="157"/>
      <c r="P383" s="157"/>
      <c r="Q383" s="157"/>
      <c r="R383" s="157"/>
      <c r="S383" s="157"/>
      <c r="T383" s="157"/>
      <c r="U383" s="157"/>
      <c r="V383" s="157"/>
      <c r="W383" s="157"/>
      <c r="X383" s="157"/>
      <c r="Y383" s="157"/>
      <c r="AA383" s="136"/>
      <c r="AD383" s="140"/>
      <c r="AJ383" s="140"/>
      <c r="AL383" s="68"/>
      <c r="AQ383" s="67"/>
      <c r="AT383" s="46"/>
      <c r="AY383" s="57"/>
      <c r="AZ383" s="64"/>
      <c r="BA383" s="46"/>
      <c r="BB383" s="46"/>
      <c r="BC383" s="48"/>
      <c r="BF383" s="46"/>
      <c r="BL383" s="174"/>
      <c r="BM383" s="57"/>
      <c r="BN383" s="64"/>
      <c r="BO383" s="64"/>
      <c r="BP383" s="64"/>
      <c r="BQ383" s="64"/>
      <c r="BR383" s="57"/>
      <c r="BS383" s="64"/>
      <c r="BT383" s="64"/>
      <c r="BU383" s="64"/>
      <c r="BV383" s="46"/>
      <c r="BW383" s="75"/>
      <c r="BZ383" s="267"/>
      <c r="CA383" s="267"/>
      <c r="CB383" s="257"/>
      <c r="CC383" s="258"/>
      <c r="CD383" s="268"/>
      <c r="CE383" s="268"/>
      <c r="CF383" s="269"/>
      <c r="CG383" s="269"/>
      <c r="CH383" s="269"/>
    </row>
    <row r="384" spans="1:86" x14ac:dyDescent="0.8">
      <c r="A384" s="127"/>
      <c r="D384" s="70"/>
      <c r="E384" s="67"/>
      <c r="F384" s="70"/>
      <c r="H384" s="157"/>
      <c r="I384" s="78"/>
      <c r="J384" s="157"/>
      <c r="K384" s="157"/>
      <c r="L384" s="157"/>
      <c r="M384" s="281"/>
      <c r="N384" s="79"/>
      <c r="O384" s="157"/>
      <c r="P384" s="157"/>
      <c r="Q384" s="157"/>
      <c r="R384" s="157"/>
      <c r="S384" s="157"/>
      <c r="T384" s="157"/>
      <c r="U384" s="157"/>
      <c r="V384" s="157"/>
      <c r="W384" s="157"/>
      <c r="X384" s="157"/>
      <c r="Y384" s="157"/>
      <c r="Z384" s="57"/>
      <c r="AA384" s="46"/>
      <c r="AL384" s="69"/>
      <c r="AN384" s="70"/>
      <c r="AO384" s="46"/>
      <c r="AQ384" s="67"/>
      <c r="AT384" s="46"/>
      <c r="BC384" s="48"/>
      <c r="BF384" s="46"/>
      <c r="BL384" s="174"/>
      <c r="BM384" s="57"/>
      <c r="BN384" s="64"/>
      <c r="BO384" s="64"/>
      <c r="BP384" s="64"/>
      <c r="BQ384" s="64"/>
      <c r="BR384" s="57"/>
      <c r="BS384" s="64"/>
      <c r="BT384" s="64"/>
      <c r="BU384" s="64"/>
      <c r="BV384" s="46"/>
      <c r="BW384" s="75"/>
      <c r="BZ384" s="267"/>
      <c r="CA384" s="267"/>
      <c r="CB384" s="257"/>
      <c r="CC384" s="258"/>
      <c r="CD384" s="268"/>
      <c r="CE384" s="268"/>
      <c r="CF384" s="269"/>
      <c r="CG384" s="269"/>
      <c r="CH384" s="269"/>
    </row>
    <row r="385" spans="1:86" x14ac:dyDescent="0.8">
      <c r="A385" s="127"/>
      <c r="D385" s="70"/>
      <c r="E385" s="67"/>
      <c r="F385" s="70"/>
      <c r="H385" s="70"/>
      <c r="I385" s="86"/>
      <c r="J385" s="157"/>
      <c r="K385" s="157"/>
      <c r="L385" s="157"/>
      <c r="M385" s="281"/>
      <c r="N385" s="79"/>
      <c r="O385" s="157"/>
      <c r="P385" s="157"/>
      <c r="Q385" s="157"/>
      <c r="R385" s="157"/>
      <c r="S385" s="157"/>
      <c r="T385" s="157"/>
      <c r="U385" s="157"/>
      <c r="V385" s="157"/>
      <c r="W385" s="157"/>
      <c r="X385" s="157"/>
      <c r="Y385" s="157"/>
      <c r="AL385" s="69"/>
      <c r="AN385" s="70"/>
      <c r="AQ385" s="67"/>
      <c r="AT385" s="46"/>
      <c r="AY385" s="57"/>
      <c r="AZ385" s="64"/>
      <c r="BA385" s="46"/>
      <c r="BB385" s="46"/>
      <c r="BC385" s="48"/>
      <c r="BF385" s="46"/>
      <c r="BL385" s="174"/>
      <c r="BM385" s="57"/>
      <c r="BN385" s="64"/>
      <c r="BO385" s="64"/>
      <c r="BP385" s="64"/>
      <c r="BQ385" s="64"/>
      <c r="BR385" s="57"/>
      <c r="BS385" s="64"/>
      <c r="BT385" s="64"/>
      <c r="BU385" s="64"/>
      <c r="BV385" s="46"/>
      <c r="BW385" s="75"/>
      <c r="BZ385" s="267"/>
      <c r="CA385" s="267"/>
      <c r="CB385" s="257"/>
      <c r="CC385" s="258"/>
      <c r="CD385" s="268"/>
      <c r="CE385" s="268"/>
      <c r="CF385" s="269"/>
      <c r="CG385" s="269"/>
      <c r="CH385" s="269"/>
    </row>
    <row r="386" spans="1:86" x14ac:dyDescent="0.8">
      <c r="A386" s="127"/>
      <c r="D386" s="70"/>
      <c r="E386" s="67"/>
      <c r="F386" s="70"/>
      <c r="H386" s="70"/>
      <c r="I386" s="86"/>
      <c r="J386" s="157"/>
      <c r="K386" s="157"/>
      <c r="L386" s="157"/>
      <c r="M386" s="281"/>
      <c r="N386" s="79"/>
      <c r="O386" s="157"/>
      <c r="P386" s="157"/>
      <c r="Q386" s="157"/>
      <c r="R386" s="157"/>
      <c r="S386" s="157"/>
      <c r="T386" s="157"/>
      <c r="U386" s="157"/>
      <c r="V386" s="157"/>
      <c r="W386" s="157"/>
      <c r="X386" s="157"/>
      <c r="Y386" s="157"/>
      <c r="Z386" s="57"/>
      <c r="AA386" s="46"/>
      <c r="AM386" s="64"/>
      <c r="AO386" s="46"/>
      <c r="AQ386" s="67"/>
      <c r="AT386" s="46"/>
      <c r="BC386" s="48"/>
      <c r="BF386" s="46"/>
      <c r="BL386" s="174"/>
      <c r="BM386" s="57"/>
      <c r="BN386" s="64"/>
      <c r="BO386" s="64"/>
      <c r="BP386" s="64"/>
      <c r="BQ386" s="64"/>
      <c r="BR386" s="57"/>
      <c r="BS386" s="64"/>
      <c r="BT386" s="64"/>
      <c r="BU386" s="64"/>
      <c r="BV386" s="46"/>
      <c r="BW386" s="283"/>
      <c r="BX386" s="284"/>
      <c r="BY386" s="285"/>
      <c r="BZ386" s="273"/>
      <c r="CA386" s="273"/>
      <c r="CB386" s="284"/>
      <c r="CC386" s="285"/>
      <c r="CD386" s="286"/>
      <c r="CE386" s="286"/>
      <c r="CF386" s="274"/>
      <c r="CG386" s="274"/>
      <c r="CH386" s="274"/>
    </row>
    <row r="387" spans="1:86" x14ac:dyDescent="0.8">
      <c r="A387" s="127"/>
      <c r="D387" s="70"/>
      <c r="E387" s="67"/>
      <c r="F387" s="70"/>
      <c r="H387" s="83"/>
      <c r="I387" s="83"/>
      <c r="J387" s="157"/>
      <c r="K387" s="157"/>
      <c r="L387" s="157"/>
      <c r="M387" s="281"/>
      <c r="N387" s="79"/>
      <c r="O387" s="157"/>
      <c r="P387" s="157"/>
      <c r="Q387" s="157"/>
      <c r="R387" s="157"/>
      <c r="S387" s="157"/>
      <c r="T387" s="157"/>
      <c r="U387" s="157"/>
      <c r="V387" s="157"/>
      <c r="W387" s="157"/>
      <c r="X387" s="157"/>
      <c r="Y387" s="157"/>
      <c r="Z387" s="57"/>
      <c r="AA387" s="46"/>
      <c r="AM387" s="64"/>
      <c r="AO387" s="46"/>
      <c r="AQ387" s="67"/>
      <c r="AT387" s="46"/>
      <c r="BC387" s="48"/>
      <c r="BF387" s="46"/>
      <c r="BL387" s="174"/>
      <c r="BM387" s="57"/>
      <c r="BN387" s="64"/>
      <c r="BO387" s="64"/>
      <c r="BP387" s="64"/>
      <c r="BQ387" s="64"/>
      <c r="BR387" s="57"/>
      <c r="BS387" s="64"/>
      <c r="BT387" s="64"/>
      <c r="BU387" s="64"/>
      <c r="BV387" s="46"/>
      <c r="BW387" s="283"/>
      <c r="BX387" s="284"/>
      <c r="BY387" s="285"/>
      <c r="BZ387" s="273"/>
      <c r="CA387" s="273"/>
      <c r="CB387" s="284"/>
      <c r="CC387" s="285"/>
      <c r="CD387" s="286"/>
      <c r="CE387" s="286"/>
      <c r="CF387" s="274"/>
      <c r="CG387" s="274"/>
      <c r="CH387" s="274"/>
    </row>
    <row r="388" spans="1:86" x14ac:dyDescent="0.8">
      <c r="A388" s="114"/>
      <c r="D388" s="70"/>
      <c r="E388" s="67"/>
      <c r="F388" s="70"/>
      <c r="H388" s="157"/>
      <c r="I388" s="78"/>
      <c r="J388" s="157"/>
      <c r="K388" s="157"/>
      <c r="L388" s="157"/>
      <c r="M388" s="281"/>
      <c r="N388" s="79"/>
      <c r="O388" s="157"/>
      <c r="P388" s="157"/>
      <c r="Q388" s="157"/>
      <c r="R388" s="157"/>
      <c r="S388" s="157"/>
      <c r="T388" s="157"/>
      <c r="U388" s="157"/>
      <c r="V388" s="157"/>
      <c r="W388" s="157"/>
      <c r="X388" s="157"/>
      <c r="Y388" s="157"/>
      <c r="Z388" s="57"/>
      <c r="AA388" s="46"/>
      <c r="AM388" s="64"/>
      <c r="AO388" s="46"/>
      <c r="AQ388" s="67"/>
      <c r="AT388" s="46"/>
      <c r="AY388" s="57"/>
      <c r="AZ388" s="64"/>
      <c r="BA388" s="46"/>
      <c r="BC388" s="48"/>
      <c r="BF388" s="46"/>
      <c r="BL388" s="174"/>
      <c r="BM388" s="57"/>
      <c r="BN388" s="64"/>
      <c r="BO388" s="64"/>
      <c r="BP388" s="64"/>
      <c r="BQ388" s="64"/>
      <c r="BR388" s="57"/>
      <c r="BS388" s="64"/>
      <c r="BT388" s="64"/>
      <c r="BU388" s="64"/>
      <c r="BV388" s="46"/>
      <c r="BW388" s="287"/>
      <c r="BX388" s="288"/>
      <c r="BY388" s="289"/>
      <c r="BZ388" s="290"/>
      <c r="CA388" s="290"/>
      <c r="CB388" s="288"/>
      <c r="CC388" s="289"/>
      <c r="CD388" s="291"/>
      <c r="CE388" s="291"/>
      <c r="CF388" s="292"/>
      <c r="CG388" s="292"/>
      <c r="CH388" s="292"/>
    </row>
    <row r="389" spans="1:86" x14ac:dyDescent="0.8">
      <c r="A389" s="114"/>
      <c r="D389" s="70"/>
      <c r="E389" s="67"/>
      <c r="F389" s="70"/>
      <c r="H389" s="157"/>
      <c r="I389" s="78"/>
      <c r="J389" s="157"/>
      <c r="K389" s="157"/>
      <c r="L389" s="157"/>
      <c r="M389" s="281"/>
      <c r="N389" s="79"/>
      <c r="O389" s="157"/>
      <c r="P389" s="157"/>
      <c r="Q389" s="157"/>
      <c r="R389" s="157"/>
      <c r="S389" s="157"/>
      <c r="T389" s="157"/>
      <c r="U389" s="157"/>
      <c r="V389" s="157"/>
      <c r="W389" s="157"/>
      <c r="X389" s="157"/>
      <c r="Y389" s="157"/>
      <c r="AQ389" s="67"/>
      <c r="AT389" s="46"/>
      <c r="AY389" s="57"/>
      <c r="AZ389" s="64"/>
      <c r="BA389" s="46"/>
      <c r="BB389" s="46"/>
      <c r="BC389" s="48"/>
      <c r="BF389" s="46"/>
      <c r="BL389" s="174"/>
      <c r="BM389" s="57"/>
      <c r="BN389" s="64"/>
      <c r="BO389" s="64"/>
      <c r="BP389" s="64"/>
      <c r="BQ389" s="64"/>
      <c r="BR389" s="57"/>
      <c r="BS389" s="64"/>
      <c r="BT389" s="64"/>
      <c r="BU389" s="64"/>
      <c r="BV389" s="46"/>
      <c r="BW389" s="293"/>
      <c r="BX389" s="294"/>
      <c r="BY389" s="295"/>
      <c r="BZ389" s="267"/>
      <c r="CA389" s="267"/>
      <c r="CB389" s="294"/>
      <c r="CC389" s="295"/>
      <c r="CD389" s="296"/>
      <c r="CE389" s="296"/>
      <c r="CF389" s="269"/>
      <c r="CG389" s="269"/>
      <c r="CH389" s="269"/>
    </row>
    <row r="390" spans="1:86" x14ac:dyDescent="0.8">
      <c r="A390" s="127"/>
      <c r="D390" s="70"/>
      <c r="E390" s="67"/>
      <c r="F390" s="70"/>
      <c r="H390" s="70"/>
      <c r="I390" s="86"/>
      <c r="J390" s="157"/>
      <c r="K390" s="157"/>
      <c r="L390" s="157"/>
      <c r="M390" s="281"/>
      <c r="N390" s="79"/>
      <c r="O390" s="157"/>
      <c r="P390" s="157"/>
      <c r="Q390" s="157"/>
      <c r="R390" s="157"/>
      <c r="S390" s="157"/>
      <c r="T390" s="157"/>
      <c r="U390" s="157"/>
      <c r="V390" s="157"/>
      <c r="W390" s="157"/>
      <c r="X390" s="157"/>
      <c r="Y390" s="157"/>
      <c r="Z390" s="57"/>
      <c r="AA390" s="46"/>
      <c r="AL390" s="69"/>
      <c r="AN390" s="70"/>
      <c r="AO390" s="46"/>
      <c r="AQ390" s="67"/>
      <c r="AT390" s="46"/>
      <c r="BC390" s="48"/>
      <c r="BF390" s="46"/>
      <c r="BL390" s="174"/>
      <c r="BM390" s="57"/>
      <c r="BN390" s="64"/>
      <c r="BO390" s="64"/>
      <c r="BP390" s="64"/>
      <c r="BQ390" s="64"/>
      <c r="BR390" s="57"/>
      <c r="BS390" s="64"/>
      <c r="BT390" s="64"/>
      <c r="BU390" s="64"/>
      <c r="BV390" s="46"/>
      <c r="BW390" s="293"/>
      <c r="BX390" s="294"/>
      <c r="BY390" s="295"/>
      <c r="BZ390" s="267"/>
      <c r="CA390" s="267"/>
      <c r="CB390" s="294"/>
      <c r="CC390" s="295"/>
      <c r="CD390" s="296"/>
      <c r="CE390" s="296"/>
      <c r="CF390" s="269"/>
      <c r="CG390" s="269"/>
      <c r="CH390" s="269"/>
    </row>
    <row r="391" spans="1:86" x14ac:dyDescent="0.8">
      <c r="A391" s="127"/>
      <c r="D391" s="70"/>
      <c r="E391" s="67"/>
      <c r="F391" s="70"/>
      <c r="H391" s="70"/>
      <c r="I391" s="86"/>
      <c r="J391" s="157"/>
      <c r="K391" s="157"/>
      <c r="L391" s="157"/>
      <c r="M391" s="281"/>
      <c r="N391" s="79"/>
      <c r="O391" s="157"/>
      <c r="P391" s="157"/>
      <c r="Q391" s="157"/>
      <c r="R391" s="157"/>
      <c r="S391" s="157"/>
      <c r="T391" s="157"/>
      <c r="U391" s="157"/>
      <c r="V391" s="157"/>
      <c r="W391" s="157"/>
      <c r="X391" s="157"/>
      <c r="Y391" s="157"/>
      <c r="Z391" s="57"/>
      <c r="AA391" s="46"/>
      <c r="AL391" s="69"/>
      <c r="AN391" s="70"/>
      <c r="AO391" s="46"/>
      <c r="AQ391" s="67"/>
      <c r="AT391" s="46"/>
      <c r="BC391" s="48"/>
      <c r="BF391" s="46"/>
      <c r="BL391" s="174"/>
      <c r="BM391" s="57"/>
      <c r="BN391" s="64"/>
      <c r="BO391" s="64"/>
      <c r="BP391" s="64"/>
      <c r="BQ391" s="64"/>
      <c r="BR391" s="57"/>
      <c r="BS391" s="64"/>
      <c r="BT391" s="64"/>
      <c r="BU391" s="64"/>
      <c r="BV391" s="46"/>
      <c r="BW391" s="293"/>
      <c r="BX391" s="294"/>
      <c r="BY391" s="295"/>
      <c r="BZ391" s="267"/>
      <c r="CA391" s="267"/>
      <c r="CB391" s="294"/>
      <c r="CC391" s="295"/>
      <c r="CD391" s="296"/>
      <c r="CE391" s="296"/>
      <c r="CF391" s="269"/>
      <c r="CG391" s="269"/>
      <c r="CH391" s="269"/>
    </row>
    <row r="392" spans="1:86" x14ac:dyDescent="0.8">
      <c r="A392" s="127"/>
      <c r="D392" s="70"/>
      <c r="E392" s="67"/>
      <c r="F392" s="70"/>
      <c r="H392" s="157"/>
      <c r="I392" s="78"/>
      <c r="J392" s="157"/>
      <c r="K392" s="157"/>
      <c r="L392" s="157"/>
      <c r="M392" s="281"/>
      <c r="N392" s="79"/>
      <c r="O392" s="157"/>
      <c r="P392" s="157"/>
      <c r="Q392" s="157"/>
      <c r="R392" s="157"/>
      <c r="S392" s="157"/>
      <c r="T392" s="157"/>
      <c r="U392" s="157"/>
      <c r="V392" s="157"/>
      <c r="W392" s="157"/>
      <c r="X392" s="157"/>
      <c r="Y392" s="157"/>
      <c r="AL392" s="69"/>
      <c r="AN392" s="70"/>
      <c r="AQ392" s="67"/>
      <c r="AT392" s="46"/>
      <c r="AY392" s="57"/>
      <c r="AZ392" s="64"/>
      <c r="BA392" s="46"/>
      <c r="BB392" s="46"/>
      <c r="BC392" s="48"/>
      <c r="BF392" s="46"/>
      <c r="BL392" s="174"/>
      <c r="BM392" s="57"/>
      <c r="BN392" s="64"/>
      <c r="BO392" s="64"/>
      <c r="BP392" s="64"/>
      <c r="BQ392" s="64"/>
      <c r="BR392" s="57"/>
      <c r="BS392" s="64"/>
      <c r="BT392" s="64"/>
      <c r="BU392" s="64"/>
      <c r="BV392" s="46"/>
      <c r="BW392" s="293"/>
      <c r="BX392" s="294"/>
      <c r="BY392" s="295"/>
      <c r="BZ392" s="267"/>
      <c r="CA392" s="267"/>
      <c r="CB392" s="294"/>
      <c r="CC392" s="295"/>
      <c r="CD392" s="296"/>
      <c r="CE392" s="296"/>
      <c r="CF392" s="269"/>
      <c r="CG392" s="269"/>
      <c r="CH392" s="269"/>
    </row>
    <row r="393" spans="1:86" x14ac:dyDescent="0.8">
      <c r="A393" s="114"/>
      <c r="D393" s="70"/>
      <c r="E393" s="67"/>
      <c r="F393" s="70"/>
      <c r="H393" s="70"/>
      <c r="I393" s="86"/>
      <c r="J393" s="157"/>
      <c r="K393" s="157"/>
      <c r="L393" s="157"/>
      <c r="M393" s="281"/>
      <c r="N393" s="79"/>
      <c r="O393" s="157"/>
      <c r="P393" s="157"/>
      <c r="Q393" s="157"/>
      <c r="R393" s="157"/>
      <c r="S393" s="157"/>
      <c r="T393" s="157"/>
      <c r="U393" s="157"/>
      <c r="V393" s="157"/>
      <c r="W393" s="157"/>
      <c r="X393" s="157"/>
      <c r="Y393" s="157"/>
      <c r="AA393" s="46"/>
      <c r="AQ393" s="67"/>
      <c r="AT393" s="46"/>
      <c r="AY393" s="57"/>
      <c r="AZ393" s="64"/>
      <c r="BA393" s="46"/>
      <c r="BB393" s="46"/>
      <c r="BC393" s="48"/>
      <c r="BF393" s="46"/>
      <c r="BL393" s="174"/>
      <c r="BM393" s="57"/>
      <c r="BN393" s="64"/>
      <c r="BO393" s="64"/>
      <c r="BP393" s="64"/>
      <c r="BQ393" s="64"/>
      <c r="BR393" s="57"/>
      <c r="BS393" s="64"/>
      <c r="BT393" s="64"/>
      <c r="BU393" s="64"/>
      <c r="BV393" s="46"/>
      <c r="BW393" s="293"/>
      <c r="BX393" s="294"/>
      <c r="BY393" s="295"/>
      <c r="BZ393" s="267"/>
      <c r="CA393" s="267"/>
      <c r="CB393" s="294"/>
      <c r="CC393" s="295"/>
      <c r="CD393" s="296"/>
      <c r="CE393" s="296"/>
      <c r="CF393" s="269"/>
      <c r="CG393" s="269"/>
      <c r="CH393" s="269"/>
    </row>
    <row r="394" spans="1:86" x14ac:dyDescent="0.8">
      <c r="A394" s="114"/>
      <c r="D394" s="70"/>
      <c r="E394" s="67"/>
      <c r="F394" s="70"/>
      <c r="H394" s="70"/>
      <c r="I394" s="86"/>
      <c r="J394" s="157"/>
      <c r="K394" s="157"/>
      <c r="L394" s="157"/>
      <c r="M394" s="281"/>
      <c r="N394" s="79"/>
      <c r="O394" s="157"/>
      <c r="P394" s="157"/>
      <c r="Q394" s="157"/>
      <c r="R394" s="157"/>
      <c r="S394" s="157"/>
      <c r="T394" s="157"/>
      <c r="U394" s="157"/>
      <c r="V394" s="157"/>
      <c r="W394" s="157"/>
      <c r="X394" s="157"/>
      <c r="Y394" s="157"/>
      <c r="Z394" s="57"/>
      <c r="AA394" s="46"/>
      <c r="AL394" s="69"/>
      <c r="AN394" s="70"/>
      <c r="AO394" s="46"/>
      <c r="AQ394" s="67"/>
      <c r="AT394" s="46"/>
      <c r="BC394" s="48"/>
      <c r="BF394" s="46"/>
      <c r="BL394" s="174"/>
      <c r="BM394" s="57"/>
      <c r="BN394" s="64"/>
      <c r="BO394" s="64"/>
      <c r="BP394" s="64"/>
      <c r="BQ394" s="64"/>
      <c r="BR394" s="57"/>
      <c r="BS394" s="64"/>
      <c r="BT394" s="64"/>
      <c r="BU394" s="64"/>
      <c r="BV394" s="46"/>
      <c r="BW394" s="293"/>
      <c r="BX394" s="294"/>
      <c r="BY394" s="295"/>
      <c r="BZ394" s="267"/>
      <c r="CA394" s="267"/>
      <c r="CB394" s="294"/>
      <c r="CC394" s="295"/>
      <c r="CD394" s="296"/>
      <c r="CE394" s="296"/>
      <c r="CF394" s="269"/>
      <c r="CG394" s="269"/>
      <c r="CH394" s="269"/>
    </row>
    <row r="395" spans="1:86" x14ac:dyDescent="0.8">
      <c r="A395" s="114"/>
      <c r="D395" s="70"/>
      <c r="E395" s="67"/>
      <c r="F395" s="70"/>
      <c r="H395" s="70"/>
      <c r="I395" s="86"/>
      <c r="J395" s="157"/>
      <c r="K395" s="157"/>
      <c r="L395" s="157"/>
      <c r="M395" s="281"/>
      <c r="N395" s="79"/>
      <c r="O395" s="157"/>
      <c r="P395" s="157"/>
      <c r="Q395" s="157"/>
      <c r="R395" s="157"/>
      <c r="S395" s="157"/>
      <c r="T395" s="157"/>
      <c r="U395" s="157"/>
      <c r="V395" s="157"/>
      <c r="W395" s="157"/>
      <c r="X395" s="157"/>
      <c r="Y395" s="157"/>
      <c r="AL395" s="69"/>
      <c r="AN395" s="70"/>
      <c r="AQ395" s="67"/>
      <c r="AT395" s="46"/>
      <c r="AY395" s="57"/>
      <c r="AZ395" s="64"/>
      <c r="BA395" s="46"/>
      <c r="BB395" s="46"/>
      <c r="BC395" s="48"/>
      <c r="BF395" s="46"/>
      <c r="BL395" s="174"/>
      <c r="BM395" s="57"/>
      <c r="BN395" s="64"/>
      <c r="BO395" s="64"/>
      <c r="BP395" s="64"/>
      <c r="BQ395" s="64"/>
      <c r="BR395" s="57"/>
      <c r="BS395" s="64"/>
      <c r="BT395" s="64"/>
      <c r="BU395" s="64"/>
      <c r="BV395" s="46"/>
      <c r="BW395" s="293"/>
      <c r="BX395" s="294"/>
      <c r="BY395" s="295"/>
      <c r="BZ395" s="267"/>
      <c r="CA395" s="267"/>
      <c r="CB395" s="294"/>
      <c r="CC395" s="295"/>
      <c r="CD395" s="296"/>
      <c r="CE395" s="296"/>
      <c r="CF395" s="269"/>
      <c r="CG395" s="269"/>
      <c r="CH395" s="269"/>
    </row>
    <row r="396" spans="1:86" x14ac:dyDescent="0.8">
      <c r="B396" s="46"/>
      <c r="D396" s="297"/>
      <c r="E396" s="67"/>
      <c r="H396" s="70"/>
      <c r="I396" s="86"/>
      <c r="J396" s="157"/>
      <c r="K396" s="157"/>
      <c r="L396" s="157"/>
      <c r="M396" s="281"/>
      <c r="N396" s="79"/>
      <c r="O396" s="157"/>
      <c r="P396" s="157"/>
      <c r="Q396" s="157"/>
      <c r="R396" s="157"/>
      <c r="S396" s="157"/>
      <c r="T396" s="157"/>
      <c r="U396" s="157"/>
      <c r="V396" s="157"/>
      <c r="W396" s="157"/>
      <c r="X396" s="157"/>
      <c r="Y396" s="157"/>
      <c r="AL396" s="68"/>
      <c r="AQ396" s="67"/>
      <c r="AT396" s="46"/>
      <c r="AY396" s="57"/>
      <c r="AZ396" s="64"/>
      <c r="BA396" s="46"/>
      <c r="BB396" s="46"/>
      <c r="BC396" s="48"/>
      <c r="BF396" s="46"/>
      <c r="BL396" s="174"/>
      <c r="BM396" s="57"/>
      <c r="BN396" s="64"/>
      <c r="BO396" s="64"/>
      <c r="BP396" s="64"/>
      <c r="BQ396" s="64"/>
      <c r="BR396" s="57"/>
      <c r="BS396" s="64"/>
      <c r="BT396" s="64"/>
      <c r="BU396" s="64"/>
      <c r="BV396" s="46"/>
      <c r="BW396" s="293"/>
      <c r="BX396" s="294"/>
      <c r="BY396" s="295"/>
      <c r="BZ396" s="267"/>
      <c r="CA396" s="267"/>
      <c r="CB396" s="294"/>
      <c r="CC396" s="295"/>
      <c r="CD396" s="296"/>
      <c r="CE396" s="296"/>
      <c r="CF396" s="269"/>
      <c r="CG396" s="269"/>
      <c r="CH396" s="269"/>
    </row>
    <row r="397" spans="1:86" x14ac:dyDescent="0.8">
      <c r="B397" s="46"/>
      <c r="C397" s="297"/>
      <c r="D397" s="67"/>
      <c r="E397" s="67"/>
      <c r="F397" s="70"/>
      <c r="H397" s="70"/>
      <c r="I397" s="86"/>
      <c r="J397" s="64"/>
      <c r="K397" s="157"/>
      <c r="L397" s="157"/>
      <c r="M397" s="281"/>
      <c r="N397" s="79"/>
      <c r="O397" s="157"/>
      <c r="P397" s="157"/>
      <c r="Q397" s="157"/>
      <c r="R397" s="157"/>
      <c r="S397" s="157"/>
      <c r="T397" s="157"/>
      <c r="U397" s="157"/>
      <c r="V397" s="157"/>
      <c r="W397" s="157"/>
      <c r="X397" s="157"/>
      <c r="Y397" s="157"/>
      <c r="AL397" s="68"/>
      <c r="AQ397" s="67"/>
      <c r="AT397" s="46"/>
      <c r="AY397" s="57"/>
      <c r="AZ397" s="64"/>
      <c r="BA397" s="46"/>
      <c r="BB397" s="46"/>
      <c r="BC397" s="48"/>
      <c r="BF397" s="46"/>
      <c r="BL397" s="174"/>
      <c r="BM397" s="57"/>
      <c r="BN397" s="64"/>
      <c r="BO397" s="64"/>
      <c r="BP397" s="64"/>
      <c r="BQ397" s="64"/>
      <c r="BR397" s="57"/>
      <c r="BS397" s="64"/>
      <c r="BT397" s="64"/>
      <c r="BU397" s="64"/>
      <c r="BV397" s="46"/>
      <c r="BW397" s="293"/>
      <c r="BX397" s="294"/>
      <c r="BY397" s="295"/>
      <c r="BZ397" s="267"/>
      <c r="CA397" s="267"/>
      <c r="CB397" s="294"/>
      <c r="CC397" s="295"/>
      <c r="CD397" s="296"/>
      <c r="CE397" s="296"/>
      <c r="CF397" s="269"/>
      <c r="CG397" s="269"/>
      <c r="CH397" s="269"/>
    </row>
    <row r="398" spans="1:86" x14ac:dyDescent="0.8">
      <c r="B398" s="46"/>
      <c r="D398" s="297"/>
      <c r="E398" s="47"/>
      <c r="F398" s="70"/>
      <c r="G398" s="86"/>
      <c r="H398" s="70"/>
      <c r="I398" s="86"/>
      <c r="K398" s="157"/>
      <c r="L398" s="157"/>
      <c r="M398" s="281"/>
      <c r="N398" s="79"/>
      <c r="O398" s="157"/>
      <c r="P398" s="157"/>
      <c r="Q398" s="157"/>
      <c r="R398" s="157"/>
      <c r="S398" s="157"/>
      <c r="T398" s="157"/>
      <c r="U398" s="157"/>
      <c r="V398" s="157"/>
      <c r="W398" s="157"/>
      <c r="X398" s="157"/>
      <c r="Y398" s="157"/>
      <c r="AQ398" s="67"/>
      <c r="AT398" s="46"/>
      <c r="AY398" s="57"/>
      <c r="AZ398" s="64"/>
      <c r="BA398" s="46"/>
      <c r="BB398" s="46"/>
      <c r="BC398" s="48"/>
      <c r="BF398" s="46"/>
      <c r="BL398" s="174"/>
      <c r="BM398" s="57"/>
      <c r="BN398" s="64"/>
      <c r="BO398" s="64"/>
      <c r="BP398" s="64"/>
      <c r="BQ398" s="64"/>
      <c r="BR398" s="57"/>
      <c r="BS398" s="64"/>
      <c r="BT398" s="64"/>
      <c r="BU398" s="64"/>
      <c r="BV398" s="46"/>
      <c r="BW398" s="293"/>
      <c r="BX398" s="294"/>
      <c r="BY398" s="295"/>
      <c r="BZ398" s="267"/>
      <c r="CA398" s="267"/>
      <c r="CB398" s="294"/>
      <c r="CC398" s="295"/>
      <c r="CD398" s="296"/>
      <c r="CE398" s="296"/>
      <c r="CF398" s="269"/>
      <c r="CG398" s="269"/>
      <c r="CH398" s="269"/>
    </row>
    <row r="399" spans="1:86" x14ac:dyDescent="0.8">
      <c r="B399" s="46"/>
      <c r="C399" s="62"/>
      <c r="F399" s="70"/>
      <c r="G399" s="86"/>
      <c r="H399" s="70"/>
      <c r="I399" s="86"/>
      <c r="K399" s="76"/>
      <c r="L399" s="76"/>
      <c r="M399" s="282"/>
      <c r="N399" s="160"/>
      <c r="O399" s="76"/>
      <c r="P399" s="76"/>
      <c r="Q399" s="76"/>
      <c r="R399" s="76"/>
      <c r="S399" s="76"/>
      <c r="T399" s="76"/>
      <c r="U399" s="76"/>
      <c r="V399" s="76"/>
      <c r="W399" s="76"/>
      <c r="X399" s="76"/>
      <c r="Y399" s="76"/>
      <c r="Z399" s="57"/>
      <c r="AA399" s="46"/>
      <c r="AM399" s="64"/>
      <c r="AO399" s="46"/>
      <c r="AQ399" s="67"/>
      <c r="AT399" s="46"/>
      <c r="BC399" s="48"/>
      <c r="BF399" s="46"/>
      <c r="BL399" s="174"/>
      <c r="BM399" s="57"/>
      <c r="BN399" s="64"/>
      <c r="BO399" s="64"/>
      <c r="BP399" s="64"/>
      <c r="BQ399" s="64"/>
      <c r="BR399" s="57"/>
      <c r="BS399" s="64"/>
      <c r="BT399" s="64"/>
      <c r="BU399" s="64"/>
      <c r="BV399" s="46"/>
      <c r="BW399" s="293"/>
      <c r="BX399" s="294"/>
      <c r="BY399" s="295"/>
      <c r="BZ399" s="267"/>
      <c r="CA399" s="267"/>
      <c r="CB399" s="294"/>
      <c r="CC399" s="295"/>
      <c r="CD399" s="296"/>
      <c r="CE399" s="296"/>
      <c r="CF399" s="269"/>
      <c r="CG399" s="269"/>
      <c r="CH399" s="269"/>
    </row>
    <row r="400" spans="1:86" x14ac:dyDescent="0.8">
      <c r="B400" s="46"/>
      <c r="C400" s="62"/>
      <c r="F400" s="70"/>
      <c r="G400" s="86"/>
      <c r="H400" s="70"/>
      <c r="I400" s="86"/>
      <c r="K400" s="157"/>
      <c r="L400" s="157"/>
      <c r="M400" s="281"/>
      <c r="N400" s="79"/>
      <c r="O400" s="157"/>
      <c r="P400" s="157"/>
      <c r="Q400" s="157"/>
      <c r="R400" s="157"/>
      <c r="S400" s="157"/>
      <c r="T400" s="157"/>
      <c r="U400" s="157"/>
      <c r="V400" s="157"/>
      <c r="W400" s="157"/>
      <c r="X400" s="157"/>
      <c r="Y400" s="157"/>
      <c r="AL400" s="69"/>
      <c r="AN400" s="70"/>
      <c r="AQ400" s="67"/>
      <c r="AT400" s="46"/>
      <c r="AY400" s="57"/>
      <c r="AZ400" s="64"/>
      <c r="BA400" s="46"/>
      <c r="BB400" s="46"/>
      <c r="BC400" s="48"/>
      <c r="BF400" s="46"/>
      <c r="BL400" s="174"/>
      <c r="BM400" s="57"/>
      <c r="BN400" s="64"/>
      <c r="BO400" s="64"/>
      <c r="BP400" s="64"/>
      <c r="BQ400" s="64"/>
      <c r="BR400" s="57"/>
      <c r="BS400" s="64"/>
      <c r="BT400" s="64"/>
      <c r="BU400" s="64"/>
      <c r="BV400" s="46"/>
      <c r="BW400" s="293"/>
      <c r="BX400" s="294"/>
      <c r="BY400" s="295"/>
      <c r="BZ400" s="267"/>
      <c r="CA400" s="267"/>
      <c r="CB400" s="294"/>
      <c r="CC400" s="295"/>
      <c r="CD400" s="296"/>
      <c r="CE400" s="296"/>
      <c r="CF400" s="269"/>
      <c r="CG400" s="269"/>
      <c r="CH400" s="269"/>
    </row>
    <row r="401" spans="2:86" x14ac:dyDescent="0.8">
      <c r="B401" s="46"/>
      <c r="C401" s="62"/>
      <c r="F401" s="70"/>
      <c r="G401" s="86"/>
      <c r="H401" s="70"/>
      <c r="I401" s="86"/>
      <c r="K401" s="157"/>
      <c r="L401" s="157"/>
      <c r="M401" s="281"/>
      <c r="N401" s="79"/>
      <c r="O401" s="157"/>
      <c r="P401" s="157"/>
      <c r="Q401" s="157"/>
      <c r="R401" s="157"/>
      <c r="S401" s="157"/>
      <c r="T401" s="157"/>
      <c r="U401" s="157"/>
      <c r="V401" s="157"/>
      <c r="W401" s="157"/>
      <c r="X401" s="157"/>
      <c r="Y401" s="157"/>
      <c r="Z401" s="57"/>
      <c r="AA401" s="46"/>
      <c r="AL401" s="70"/>
      <c r="AM401" s="64"/>
      <c r="AN401" s="70"/>
      <c r="AO401" s="46"/>
      <c r="AQ401" s="67"/>
      <c r="AT401" s="46"/>
      <c r="AY401" s="57"/>
      <c r="AZ401" s="64"/>
      <c r="BA401" s="46"/>
      <c r="BB401" s="46"/>
      <c r="BC401" s="48"/>
      <c r="BF401" s="46"/>
      <c r="BL401" s="174"/>
      <c r="BM401" s="57"/>
      <c r="BN401" s="64"/>
      <c r="BO401" s="64"/>
      <c r="BP401" s="64"/>
      <c r="BQ401" s="64"/>
      <c r="BR401" s="57"/>
      <c r="BS401" s="64"/>
      <c r="BT401" s="64"/>
      <c r="BU401" s="64"/>
      <c r="BV401" s="46"/>
      <c r="BW401" s="293"/>
      <c r="BX401" s="294"/>
      <c r="BY401" s="295"/>
      <c r="BZ401" s="267"/>
      <c r="CA401" s="267"/>
      <c r="CB401" s="294"/>
      <c r="CC401" s="295"/>
      <c r="CD401" s="296"/>
      <c r="CE401" s="296"/>
      <c r="CF401" s="269"/>
      <c r="CG401" s="269"/>
      <c r="CH401" s="269"/>
    </row>
    <row r="402" spans="2:86" x14ac:dyDescent="0.8">
      <c r="B402" s="46"/>
      <c r="C402" s="62"/>
      <c r="F402" s="70"/>
      <c r="G402" s="86"/>
      <c r="H402" s="70"/>
      <c r="I402" s="86"/>
      <c r="K402" s="157"/>
      <c r="L402" s="157"/>
      <c r="M402" s="281"/>
      <c r="N402" s="79"/>
      <c r="O402" s="157"/>
      <c r="P402" s="157"/>
      <c r="Q402" s="157"/>
      <c r="R402" s="157"/>
      <c r="S402" s="157"/>
      <c r="T402" s="157"/>
      <c r="U402" s="157"/>
      <c r="V402" s="157"/>
      <c r="W402" s="157"/>
      <c r="X402" s="157"/>
      <c r="Y402" s="157"/>
      <c r="AL402" s="69"/>
      <c r="AN402" s="70"/>
      <c r="AQ402" s="67"/>
      <c r="AT402" s="46"/>
      <c r="AY402" s="57"/>
      <c r="AZ402" s="64"/>
      <c r="BA402" s="46"/>
      <c r="BB402" s="46"/>
      <c r="BC402" s="48"/>
      <c r="BF402" s="46"/>
      <c r="BL402" s="174"/>
      <c r="BM402" s="57"/>
      <c r="BN402" s="64"/>
      <c r="BO402" s="64"/>
      <c r="BP402" s="64"/>
      <c r="BQ402" s="64"/>
      <c r="BR402" s="57"/>
      <c r="BS402" s="64"/>
      <c r="BT402" s="64"/>
      <c r="BU402" s="64"/>
      <c r="BV402" s="46"/>
      <c r="BW402" s="293"/>
      <c r="BX402" s="294"/>
      <c r="BY402" s="295"/>
      <c r="BZ402" s="267"/>
      <c r="CA402" s="267"/>
      <c r="CB402" s="294"/>
      <c r="CC402" s="295"/>
      <c r="CD402" s="296"/>
      <c r="CE402" s="296"/>
      <c r="CF402" s="269"/>
      <c r="CG402" s="269"/>
      <c r="CH402" s="269"/>
    </row>
    <row r="403" spans="2:86" x14ac:dyDescent="0.8">
      <c r="B403" s="46"/>
      <c r="C403" s="62"/>
      <c r="F403" s="70"/>
      <c r="G403" s="86"/>
      <c r="H403" s="70"/>
      <c r="I403" s="86"/>
      <c r="K403" s="157"/>
      <c r="L403" s="157"/>
      <c r="M403" s="281"/>
      <c r="N403" s="79"/>
      <c r="O403" s="157"/>
      <c r="P403" s="157"/>
      <c r="Q403" s="157"/>
      <c r="R403" s="157"/>
      <c r="S403" s="157"/>
      <c r="T403" s="157"/>
      <c r="U403" s="157"/>
      <c r="V403" s="157"/>
      <c r="W403" s="157"/>
      <c r="X403" s="157"/>
      <c r="Y403" s="157"/>
      <c r="Z403" s="57"/>
      <c r="AA403" s="46"/>
      <c r="AM403" s="64"/>
      <c r="AO403" s="46"/>
      <c r="AQ403" s="67"/>
      <c r="AT403" s="46"/>
      <c r="AY403" s="57"/>
      <c r="AZ403" s="64"/>
      <c r="BA403" s="46"/>
      <c r="BC403" s="48"/>
      <c r="BF403" s="46"/>
      <c r="BL403" s="174"/>
      <c r="BM403" s="57"/>
      <c r="BN403" s="64"/>
      <c r="BO403" s="64"/>
      <c r="BP403" s="64"/>
      <c r="BQ403" s="64"/>
      <c r="BR403" s="57"/>
      <c r="BS403" s="64"/>
      <c r="BT403" s="64"/>
      <c r="BU403" s="64"/>
      <c r="BV403" s="46"/>
      <c r="BW403" s="293"/>
      <c r="BX403" s="294"/>
      <c r="BY403" s="295"/>
      <c r="BZ403" s="267"/>
      <c r="CA403" s="267"/>
      <c r="CB403" s="294"/>
      <c r="CC403" s="295"/>
      <c r="CD403" s="296"/>
      <c r="CE403" s="296"/>
      <c r="CF403" s="269"/>
      <c r="CG403" s="269"/>
      <c r="CH403" s="269"/>
    </row>
    <row r="404" spans="2:86" x14ac:dyDescent="0.8">
      <c r="B404" s="46"/>
      <c r="C404" s="62"/>
      <c r="F404" s="70"/>
      <c r="G404" s="86"/>
      <c r="H404" s="70"/>
      <c r="I404" s="86"/>
      <c r="K404" s="157"/>
      <c r="L404" s="157"/>
      <c r="M404" s="281"/>
      <c r="N404" s="79"/>
      <c r="O404" s="157"/>
      <c r="P404" s="157"/>
      <c r="Q404" s="157"/>
      <c r="R404" s="157"/>
      <c r="S404" s="157"/>
      <c r="T404" s="157"/>
      <c r="U404" s="157"/>
      <c r="V404" s="157"/>
      <c r="W404" s="157"/>
      <c r="X404" s="157"/>
      <c r="Y404" s="157"/>
      <c r="AQ404" s="67"/>
      <c r="AT404" s="46"/>
      <c r="AY404" s="57"/>
      <c r="AZ404" s="64"/>
      <c r="BA404" s="46"/>
      <c r="BB404" s="46"/>
      <c r="BC404" s="48"/>
      <c r="BF404" s="46"/>
      <c r="BL404" s="174"/>
      <c r="BM404" s="57"/>
      <c r="BN404" s="64"/>
      <c r="BO404" s="64"/>
      <c r="BP404" s="64"/>
      <c r="BQ404" s="64"/>
      <c r="BR404" s="57"/>
      <c r="BS404" s="64"/>
      <c r="BT404" s="64"/>
      <c r="BU404" s="64"/>
      <c r="BV404" s="46"/>
      <c r="BW404" s="293"/>
      <c r="BX404" s="294"/>
      <c r="BY404" s="295"/>
      <c r="BZ404" s="267"/>
      <c r="CA404" s="267"/>
      <c r="CB404" s="294"/>
      <c r="CC404" s="295"/>
      <c r="CD404" s="296"/>
      <c r="CE404" s="296"/>
      <c r="CF404" s="269"/>
      <c r="CG404" s="269"/>
      <c r="CH404" s="269"/>
    </row>
    <row r="405" spans="2:86" x14ac:dyDescent="0.8">
      <c r="B405" s="46"/>
      <c r="C405" s="62"/>
      <c r="F405" s="70"/>
      <c r="G405" s="86"/>
      <c r="H405" s="70"/>
      <c r="I405" s="86"/>
      <c r="K405" s="157"/>
      <c r="L405" s="157"/>
      <c r="M405" s="281"/>
      <c r="N405" s="79"/>
      <c r="O405" s="157"/>
      <c r="P405" s="157"/>
      <c r="Q405" s="157"/>
      <c r="R405" s="157"/>
      <c r="S405" s="157"/>
      <c r="T405" s="157"/>
      <c r="U405" s="157"/>
      <c r="V405" s="157"/>
      <c r="W405" s="157"/>
      <c r="X405" s="157"/>
      <c r="Y405" s="157"/>
      <c r="Z405" s="57"/>
      <c r="AA405" s="46"/>
      <c r="AL405" s="70"/>
      <c r="AM405" s="64"/>
      <c r="AN405" s="70"/>
      <c r="AO405" s="46"/>
      <c r="AQ405" s="67"/>
      <c r="AT405" s="46"/>
      <c r="BC405" s="48"/>
      <c r="BF405" s="46"/>
      <c r="BL405" s="174"/>
      <c r="BM405" s="57"/>
      <c r="BN405" s="64"/>
      <c r="BO405" s="64"/>
      <c r="BP405" s="64"/>
      <c r="BQ405" s="64"/>
      <c r="BR405" s="57"/>
      <c r="BS405" s="64"/>
      <c r="BT405" s="64"/>
      <c r="BU405" s="64"/>
      <c r="BV405" s="46"/>
      <c r="BW405" s="293"/>
      <c r="BX405" s="294"/>
      <c r="BY405" s="295"/>
      <c r="BZ405" s="267"/>
      <c r="CA405" s="267"/>
      <c r="CB405" s="294"/>
      <c r="CC405" s="295"/>
      <c r="CD405" s="296"/>
      <c r="CE405" s="296"/>
      <c r="CF405" s="269"/>
      <c r="CG405" s="269"/>
      <c r="CH405" s="269"/>
    </row>
    <row r="406" spans="2:86" x14ac:dyDescent="0.8">
      <c r="B406" s="46"/>
      <c r="C406" s="62"/>
      <c r="F406" s="70"/>
      <c r="G406" s="86"/>
      <c r="H406" s="70"/>
      <c r="I406" s="86"/>
      <c r="K406" s="157"/>
      <c r="L406" s="157"/>
      <c r="M406" s="281"/>
      <c r="N406" s="79"/>
      <c r="O406" s="157"/>
      <c r="P406" s="157"/>
      <c r="Q406" s="157"/>
      <c r="R406" s="157"/>
      <c r="S406" s="157"/>
      <c r="T406" s="157"/>
      <c r="U406" s="157"/>
      <c r="V406" s="157"/>
      <c r="W406" s="157"/>
      <c r="X406" s="157"/>
      <c r="Y406" s="157"/>
      <c r="AA406" s="46"/>
      <c r="AQ406" s="67"/>
      <c r="AT406" s="46"/>
      <c r="AY406" s="57"/>
      <c r="AZ406" s="64"/>
      <c r="BA406" s="46"/>
      <c r="BB406" s="46"/>
      <c r="BC406" s="48"/>
      <c r="BF406" s="46"/>
      <c r="BL406" s="174"/>
      <c r="BM406" s="57"/>
      <c r="BN406" s="64"/>
      <c r="BO406" s="64"/>
      <c r="BP406" s="64"/>
      <c r="BQ406" s="64"/>
      <c r="BR406" s="57"/>
      <c r="BS406" s="64"/>
      <c r="BT406" s="64"/>
      <c r="BU406" s="64"/>
      <c r="BV406" s="46"/>
      <c r="BW406" s="293"/>
      <c r="BX406" s="294"/>
      <c r="BY406" s="295"/>
      <c r="BZ406" s="267"/>
      <c r="CA406" s="267"/>
      <c r="CB406" s="294"/>
      <c r="CC406" s="295"/>
      <c r="CD406" s="296"/>
      <c r="CE406" s="296"/>
      <c r="CF406" s="269"/>
      <c r="CG406" s="269"/>
      <c r="CH406" s="269"/>
    </row>
    <row r="407" spans="2:86" x14ac:dyDescent="0.8">
      <c r="B407" s="46"/>
      <c r="C407" s="62"/>
      <c r="F407" s="70"/>
      <c r="G407" s="86"/>
      <c r="H407" s="70"/>
      <c r="I407" s="86"/>
      <c r="K407" s="157"/>
      <c r="L407" s="157"/>
      <c r="M407" s="281"/>
      <c r="N407" s="79"/>
      <c r="O407" s="157"/>
      <c r="P407" s="157"/>
      <c r="Q407" s="157"/>
      <c r="R407" s="157"/>
      <c r="S407" s="157"/>
      <c r="T407" s="157"/>
      <c r="U407" s="157"/>
      <c r="V407" s="157"/>
      <c r="W407" s="157"/>
      <c r="X407" s="157"/>
      <c r="Y407" s="157"/>
      <c r="AA407" s="46"/>
      <c r="AL407" s="70"/>
      <c r="AM407" s="64"/>
      <c r="AN407" s="70"/>
      <c r="AQ407" s="67"/>
      <c r="AT407" s="46"/>
      <c r="AY407" s="57"/>
      <c r="AZ407" s="64"/>
      <c r="BA407" s="46"/>
      <c r="BB407" s="46"/>
      <c r="BC407" s="48"/>
      <c r="BF407" s="46"/>
      <c r="BL407" s="174"/>
      <c r="BM407" s="57"/>
      <c r="BN407" s="64"/>
      <c r="BO407" s="64"/>
      <c r="BP407" s="64"/>
      <c r="BQ407" s="64"/>
      <c r="BR407" s="57"/>
      <c r="BS407" s="64"/>
      <c r="BT407" s="64"/>
      <c r="BU407" s="64"/>
      <c r="BV407" s="46"/>
      <c r="BW407" s="293"/>
      <c r="BX407" s="294"/>
      <c r="BY407" s="295"/>
      <c r="BZ407" s="267"/>
      <c r="CA407" s="267"/>
      <c r="CB407" s="294"/>
      <c r="CC407" s="295"/>
      <c r="CD407" s="296"/>
      <c r="CE407" s="296"/>
      <c r="CF407" s="269"/>
      <c r="CG407" s="269"/>
      <c r="CH407" s="269"/>
    </row>
    <row r="408" spans="2:86" x14ac:dyDescent="0.8">
      <c r="B408" s="46"/>
      <c r="C408" s="62"/>
      <c r="F408" s="70"/>
      <c r="G408" s="86"/>
      <c r="H408" s="70"/>
      <c r="I408" s="86"/>
      <c r="K408" s="157"/>
      <c r="L408" s="157"/>
      <c r="M408" s="281"/>
      <c r="N408" s="79"/>
      <c r="O408" s="157"/>
      <c r="P408" s="157"/>
      <c r="Q408" s="157"/>
      <c r="R408" s="157"/>
      <c r="S408" s="157"/>
      <c r="T408" s="157"/>
      <c r="U408" s="157"/>
      <c r="V408" s="157"/>
      <c r="W408" s="157"/>
      <c r="X408" s="157"/>
      <c r="Y408" s="157"/>
      <c r="AL408" s="69"/>
      <c r="AN408" s="70"/>
      <c r="AQ408" s="67"/>
      <c r="AT408" s="46"/>
      <c r="AY408" s="57"/>
      <c r="AZ408" s="64"/>
      <c r="BA408" s="46"/>
      <c r="BB408" s="46"/>
      <c r="BC408" s="48"/>
      <c r="BF408" s="46"/>
      <c r="BL408" s="174"/>
      <c r="BM408" s="57"/>
      <c r="BN408" s="64"/>
      <c r="BO408" s="64"/>
      <c r="BP408" s="64"/>
      <c r="BQ408" s="64"/>
      <c r="BR408" s="57"/>
      <c r="BS408" s="64"/>
      <c r="BT408" s="64"/>
      <c r="BU408" s="64"/>
      <c r="BV408" s="46"/>
      <c r="BW408" s="293"/>
      <c r="BX408" s="294"/>
      <c r="BY408" s="295"/>
      <c r="BZ408" s="267"/>
      <c r="CA408" s="267"/>
      <c r="CB408" s="294"/>
      <c r="CC408" s="295"/>
      <c r="CD408" s="296"/>
      <c r="CE408" s="296"/>
      <c r="CF408" s="269"/>
      <c r="CG408" s="269"/>
      <c r="CH408" s="269"/>
    </row>
    <row r="409" spans="2:86" x14ac:dyDescent="0.8">
      <c r="B409" s="46"/>
      <c r="C409" s="62"/>
      <c r="F409" s="70"/>
      <c r="G409" s="86"/>
      <c r="H409" s="70"/>
      <c r="I409" s="86"/>
      <c r="K409" s="76"/>
      <c r="L409" s="76"/>
      <c r="M409" s="282"/>
      <c r="N409" s="160"/>
      <c r="O409" s="76"/>
      <c r="P409" s="76"/>
      <c r="Q409" s="76"/>
      <c r="R409" s="76"/>
      <c r="S409" s="76"/>
      <c r="T409" s="76"/>
      <c r="U409" s="76"/>
      <c r="V409" s="76"/>
      <c r="W409" s="76"/>
      <c r="X409" s="76"/>
      <c r="Y409" s="76"/>
      <c r="Z409" s="57"/>
      <c r="AA409" s="46"/>
      <c r="AM409" s="64"/>
      <c r="AO409" s="46"/>
      <c r="AQ409" s="67"/>
      <c r="AT409" s="46"/>
      <c r="BC409" s="48"/>
      <c r="BF409" s="46"/>
      <c r="BL409" s="174"/>
      <c r="BM409" s="57"/>
      <c r="BN409" s="64"/>
      <c r="BO409" s="64"/>
      <c r="BP409" s="64"/>
      <c r="BQ409" s="64"/>
      <c r="BR409" s="57"/>
      <c r="BS409" s="64"/>
      <c r="BT409" s="64"/>
      <c r="BU409" s="64"/>
      <c r="BV409" s="46"/>
      <c r="BW409" s="298"/>
      <c r="BX409" s="294"/>
      <c r="BY409" s="295"/>
      <c r="CB409" s="294"/>
      <c r="CC409" s="295"/>
      <c r="CD409" s="299"/>
      <c r="CE409" s="299"/>
    </row>
    <row r="410" spans="2:86" x14ac:dyDescent="0.8">
      <c r="B410" s="46"/>
      <c r="C410" s="62"/>
      <c r="F410" s="70"/>
      <c r="G410" s="86"/>
      <c r="H410" s="70"/>
      <c r="I410" s="86"/>
      <c r="K410" s="157"/>
      <c r="L410" s="157"/>
      <c r="M410" s="281"/>
      <c r="N410" s="79"/>
      <c r="O410" s="157"/>
      <c r="P410" s="157"/>
      <c r="Q410" s="157"/>
      <c r="R410" s="157"/>
      <c r="S410" s="157"/>
      <c r="T410" s="157"/>
      <c r="U410" s="157"/>
      <c r="V410" s="157"/>
      <c r="W410" s="157"/>
      <c r="X410" s="157"/>
      <c r="Y410" s="157"/>
      <c r="AL410" s="69"/>
      <c r="AN410" s="70"/>
      <c r="AQ410" s="67"/>
      <c r="AT410" s="46"/>
      <c r="AY410" s="57"/>
      <c r="AZ410" s="64"/>
      <c r="BA410" s="46"/>
      <c r="BB410" s="46"/>
      <c r="BC410" s="48"/>
      <c r="BF410" s="46"/>
      <c r="BL410" s="174"/>
      <c r="BM410" s="57"/>
      <c r="BN410" s="64"/>
      <c r="BO410" s="64"/>
      <c r="BP410" s="64"/>
      <c r="BQ410" s="64"/>
      <c r="BR410" s="57"/>
      <c r="BS410" s="64"/>
      <c r="BT410" s="64"/>
      <c r="BU410" s="64"/>
      <c r="BV410" s="46"/>
      <c r="BW410" s="298"/>
      <c r="BX410" s="294"/>
      <c r="BY410" s="295"/>
      <c r="CB410" s="294"/>
      <c r="CC410" s="295"/>
      <c r="CD410" s="299"/>
      <c r="CE410" s="299"/>
    </row>
    <row r="411" spans="2:86" x14ac:dyDescent="0.8">
      <c r="B411" s="46"/>
      <c r="C411" s="62"/>
      <c r="F411" s="70"/>
      <c r="G411" s="86"/>
      <c r="H411" s="70"/>
      <c r="I411" s="86"/>
      <c r="K411" s="157"/>
      <c r="L411" s="157"/>
      <c r="M411" s="281"/>
      <c r="N411" s="79"/>
      <c r="O411" s="157"/>
      <c r="P411" s="157"/>
      <c r="Q411" s="157"/>
      <c r="R411" s="157"/>
      <c r="S411" s="157"/>
      <c r="T411" s="157"/>
      <c r="U411" s="157"/>
      <c r="V411" s="157"/>
      <c r="W411" s="157"/>
      <c r="X411" s="157"/>
      <c r="Y411" s="157"/>
      <c r="Z411" s="57"/>
      <c r="AA411" s="46"/>
      <c r="AL411" s="69"/>
      <c r="AN411" s="70"/>
      <c r="AO411" s="46"/>
      <c r="AQ411" s="67"/>
      <c r="AT411" s="46"/>
      <c r="BC411" s="48"/>
      <c r="BF411" s="46"/>
      <c r="BL411" s="174"/>
      <c r="BM411" s="57"/>
      <c r="BN411" s="64"/>
      <c r="BO411" s="64"/>
      <c r="BP411" s="64"/>
      <c r="BQ411" s="64"/>
      <c r="BR411" s="57"/>
      <c r="BS411" s="64"/>
      <c r="BT411" s="64"/>
      <c r="BU411" s="64"/>
      <c r="BV411" s="46"/>
      <c r="BW411" s="298"/>
      <c r="BX411" s="294"/>
      <c r="BY411" s="295"/>
      <c r="CB411" s="294"/>
      <c r="CC411" s="295"/>
      <c r="CD411" s="299"/>
      <c r="CE411" s="299"/>
    </row>
    <row r="412" spans="2:86" x14ac:dyDescent="0.8">
      <c r="B412" s="46"/>
      <c r="C412" s="62"/>
      <c r="F412" s="70"/>
      <c r="G412" s="86"/>
      <c r="H412" s="70"/>
      <c r="I412" s="86"/>
      <c r="K412" s="157"/>
      <c r="L412" s="157"/>
      <c r="M412" s="281"/>
      <c r="N412" s="79"/>
      <c r="O412" s="157"/>
      <c r="P412" s="157"/>
      <c r="Q412" s="157"/>
      <c r="R412" s="157"/>
      <c r="S412" s="157"/>
      <c r="T412" s="157"/>
      <c r="U412" s="157"/>
      <c r="V412" s="157"/>
      <c r="W412" s="157"/>
      <c r="X412" s="157"/>
      <c r="Y412" s="157"/>
      <c r="AL412" s="68"/>
      <c r="AQ412" s="67"/>
      <c r="AT412" s="46"/>
      <c r="AY412" s="57"/>
      <c r="AZ412" s="64"/>
      <c r="BA412" s="46"/>
      <c r="BB412" s="46"/>
      <c r="BC412" s="48"/>
      <c r="BF412" s="46"/>
      <c r="BL412" s="174"/>
      <c r="BM412" s="57"/>
      <c r="BN412" s="64"/>
      <c r="BO412" s="64"/>
      <c r="BP412" s="64"/>
      <c r="BQ412" s="64"/>
      <c r="BR412" s="57"/>
      <c r="BS412" s="64"/>
      <c r="BT412" s="64"/>
      <c r="BU412" s="64"/>
      <c r="BV412" s="46"/>
      <c r="BW412" s="298"/>
      <c r="BX412" s="294"/>
      <c r="BY412" s="295"/>
      <c r="CB412" s="294"/>
      <c r="CC412" s="295"/>
      <c r="CD412" s="299"/>
      <c r="CE412" s="299"/>
    </row>
    <row r="413" spans="2:86" x14ac:dyDescent="0.8">
      <c r="B413" s="46"/>
      <c r="C413" s="62"/>
      <c r="F413" s="70"/>
      <c r="G413" s="86"/>
      <c r="H413" s="70"/>
      <c r="I413" s="86"/>
      <c r="K413" s="157"/>
      <c r="L413" s="157"/>
      <c r="M413" s="281"/>
      <c r="N413" s="79"/>
      <c r="O413" s="157"/>
      <c r="P413" s="157"/>
      <c r="Q413" s="157"/>
      <c r="R413" s="157"/>
      <c r="S413" s="157"/>
      <c r="T413" s="157"/>
      <c r="U413" s="157"/>
      <c r="V413" s="157"/>
      <c r="W413" s="157"/>
      <c r="X413" s="157"/>
      <c r="Y413" s="157"/>
      <c r="AA413" s="46"/>
      <c r="AQ413" s="67"/>
      <c r="AT413" s="46"/>
      <c r="AY413" s="57"/>
      <c r="AZ413" s="64"/>
      <c r="BA413" s="46"/>
      <c r="BB413" s="46"/>
      <c r="BC413" s="48"/>
      <c r="BF413" s="46"/>
      <c r="BL413" s="174"/>
      <c r="BM413" s="57"/>
      <c r="BN413" s="64"/>
      <c r="BO413" s="64"/>
      <c r="BP413" s="64"/>
      <c r="BQ413" s="64"/>
      <c r="BR413" s="57"/>
      <c r="BS413" s="64"/>
      <c r="BT413" s="64"/>
      <c r="BU413" s="64"/>
      <c r="BV413" s="46"/>
      <c r="BW413" s="298"/>
      <c r="BX413" s="294"/>
      <c r="BY413" s="295"/>
      <c r="CB413" s="294"/>
      <c r="CC413" s="295"/>
      <c r="CD413" s="299"/>
      <c r="CE413" s="299"/>
    </row>
    <row r="414" spans="2:86" x14ac:dyDescent="0.8">
      <c r="B414" s="46"/>
      <c r="C414" s="62"/>
      <c r="F414" s="70"/>
      <c r="G414" s="86"/>
      <c r="H414" s="70"/>
      <c r="I414" s="86"/>
      <c r="J414" s="141"/>
      <c r="K414" s="79"/>
      <c r="L414" s="79"/>
      <c r="M414" s="78"/>
      <c r="N414" s="79"/>
      <c r="O414" s="79"/>
      <c r="P414" s="79"/>
      <c r="Q414" s="79"/>
      <c r="R414" s="79"/>
      <c r="S414" s="79"/>
      <c r="T414" s="79"/>
      <c r="U414" s="79"/>
      <c r="V414" s="79"/>
      <c r="W414" s="79"/>
      <c r="X414" s="79"/>
      <c r="Y414" s="79"/>
      <c r="Z414" s="57"/>
      <c r="AA414" s="46"/>
      <c r="AL414" s="70"/>
      <c r="AM414" s="64"/>
      <c r="AN414" s="70"/>
      <c r="AO414" s="46"/>
      <c r="AQ414" s="67"/>
      <c r="AT414" s="46"/>
      <c r="BC414" s="48"/>
      <c r="BF414" s="46"/>
      <c r="BL414" s="174"/>
      <c r="BM414" s="57"/>
      <c r="BN414" s="64"/>
      <c r="BO414" s="64"/>
      <c r="BP414" s="64"/>
      <c r="BQ414" s="64"/>
      <c r="BR414" s="57"/>
      <c r="BS414" s="64"/>
      <c r="BT414" s="64"/>
      <c r="BU414" s="64"/>
      <c r="BV414" s="46"/>
      <c r="BW414" s="298"/>
      <c r="BX414" s="294"/>
      <c r="BY414" s="295"/>
      <c r="CB414" s="294"/>
      <c r="CC414" s="295"/>
      <c r="CD414" s="299"/>
      <c r="CE414" s="299"/>
    </row>
    <row r="415" spans="2:86" x14ac:dyDescent="0.8">
      <c r="B415" s="46"/>
      <c r="C415" s="62"/>
      <c r="F415" s="70"/>
      <c r="G415" s="86"/>
      <c r="H415" s="70"/>
      <c r="I415" s="86"/>
      <c r="K415" s="157"/>
      <c r="L415" s="157"/>
      <c r="M415" s="281"/>
      <c r="N415" s="79"/>
      <c r="O415" s="157"/>
      <c r="P415" s="157"/>
      <c r="Q415" s="157"/>
      <c r="R415" s="157"/>
      <c r="S415" s="157"/>
      <c r="T415" s="157"/>
      <c r="U415" s="157"/>
      <c r="V415" s="157"/>
      <c r="W415" s="157"/>
      <c r="X415" s="157"/>
      <c r="Y415" s="157"/>
      <c r="AL415" s="70"/>
      <c r="AM415" s="64"/>
      <c r="AN415" s="70"/>
      <c r="AQ415" s="67"/>
      <c r="AT415" s="46"/>
      <c r="AY415" s="57"/>
      <c r="AZ415" s="64"/>
      <c r="BA415" s="46"/>
      <c r="BB415" s="46"/>
      <c r="BC415" s="48"/>
      <c r="BF415" s="46"/>
      <c r="BL415" s="174"/>
      <c r="BM415" s="57"/>
      <c r="BN415" s="64"/>
      <c r="BO415" s="64"/>
      <c r="BP415" s="64"/>
      <c r="BQ415" s="64"/>
      <c r="BR415" s="57"/>
      <c r="BS415" s="64"/>
      <c r="BT415" s="64"/>
      <c r="BU415" s="64"/>
      <c r="BV415" s="46"/>
      <c r="BW415" s="298"/>
      <c r="BX415" s="294"/>
      <c r="BY415" s="295"/>
      <c r="CB415" s="294"/>
      <c r="CC415" s="295"/>
      <c r="CD415" s="299"/>
      <c r="CE415" s="299"/>
    </row>
    <row r="416" spans="2:86" x14ac:dyDescent="0.8">
      <c r="B416" s="46"/>
      <c r="C416" s="62"/>
      <c r="F416" s="70"/>
      <c r="G416" s="86"/>
      <c r="H416" s="70"/>
      <c r="I416" s="86"/>
      <c r="K416" s="157"/>
      <c r="L416" s="157"/>
      <c r="M416" s="281"/>
      <c r="N416" s="79"/>
      <c r="O416" s="157"/>
      <c r="P416" s="157"/>
      <c r="Q416" s="157"/>
      <c r="R416" s="157"/>
      <c r="S416" s="157"/>
      <c r="T416" s="157"/>
      <c r="U416" s="157"/>
      <c r="V416" s="157"/>
      <c r="W416" s="157"/>
      <c r="X416" s="157"/>
      <c r="Y416" s="157"/>
      <c r="Z416" s="57"/>
      <c r="AA416" s="46"/>
      <c r="AM416" s="64"/>
      <c r="AO416" s="46"/>
      <c r="AQ416" s="67"/>
      <c r="AT416" s="46"/>
      <c r="BC416" s="48"/>
      <c r="BF416" s="46"/>
      <c r="BL416" s="174"/>
      <c r="BM416" s="57"/>
      <c r="BN416" s="64"/>
      <c r="BO416" s="64"/>
      <c r="BP416" s="64"/>
      <c r="BQ416" s="64"/>
      <c r="BR416" s="57"/>
      <c r="BS416" s="64"/>
      <c r="BT416" s="64"/>
      <c r="BU416" s="64"/>
      <c r="BV416" s="46"/>
      <c r="BW416" s="298"/>
      <c r="BX416" s="294"/>
      <c r="BY416" s="295"/>
      <c r="CB416" s="294"/>
      <c r="CC416" s="295"/>
      <c r="CD416" s="299"/>
      <c r="CE416" s="299"/>
    </row>
    <row r="417" spans="2:83" x14ac:dyDescent="0.8">
      <c r="B417" s="46"/>
      <c r="C417" s="62"/>
      <c r="F417" s="70"/>
      <c r="G417" s="86"/>
      <c r="H417" s="70"/>
      <c r="I417" s="86"/>
      <c r="K417" s="157"/>
      <c r="L417" s="157"/>
      <c r="M417" s="281"/>
      <c r="N417" s="79"/>
      <c r="O417" s="157"/>
      <c r="P417" s="157"/>
      <c r="Q417" s="157"/>
      <c r="R417" s="157"/>
      <c r="S417" s="157"/>
      <c r="T417" s="157"/>
      <c r="U417" s="157"/>
      <c r="V417" s="157"/>
      <c r="W417" s="157"/>
      <c r="X417" s="157"/>
      <c r="Y417" s="157"/>
      <c r="Z417" s="57"/>
      <c r="AA417" s="46"/>
      <c r="AL417" s="69"/>
      <c r="AN417" s="70"/>
      <c r="AO417" s="46"/>
      <c r="AQ417" s="67"/>
      <c r="AT417" s="46"/>
      <c r="BC417" s="48"/>
      <c r="BF417" s="46"/>
      <c r="BL417" s="174"/>
      <c r="BM417" s="57"/>
      <c r="BN417" s="64"/>
      <c r="BO417" s="64"/>
      <c r="BP417" s="64"/>
      <c r="BQ417" s="64"/>
      <c r="BR417" s="57"/>
      <c r="BS417" s="64"/>
      <c r="BT417" s="64"/>
      <c r="BU417" s="64"/>
      <c r="BV417" s="46"/>
      <c r="BW417" s="298"/>
      <c r="BX417" s="294"/>
      <c r="BY417" s="295"/>
      <c r="CB417" s="294"/>
      <c r="CC417" s="295"/>
      <c r="CD417" s="299"/>
      <c r="CE417" s="299"/>
    </row>
    <row r="418" spans="2:83" x14ac:dyDescent="0.8">
      <c r="B418" s="46"/>
      <c r="C418" s="62"/>
      <c r="F418" s="70"/>
      <c r="G418" s="86"/>
      <c r="H418" s="70"/>
      <c r="I418" s="86"/>
      <c r="J418" s="71"/>
      <c r="K418" s="157"/>
      <c r="L418" s="157"/>
      <c r="M418" s="281"/>
      <c r="N418" s="79"/>
      <c r="O418" s="157"/>
      <c r="P418" s="157"/>
      <c r="Q418" s="157"/>
      <c r="R418" s="157"/>
      <c r="S418" s="157"/>
      <c r="T418" s="157"/>
      <c r="U418" s="157"/>
      <c r="V418" s="157"/>
      <c r="W418" s="157"/>
      <c r="X418" s="157"/>
      <c r="Y418" s="157"/>
      <c r="AA418" s="136"/>
      <c r="AD418" s="143"/>
      <c r="AF418" s="71"/>
      <c r="AH418" s="71"/>
      <c r="AJ418" s="143"/>
      <c r="AL418" s="71"/>
      <c r="AN418" s="71"/>
      <c r="AP418" s="137"/>
      <c r="AQ418" s="67"/>
      <c r="AT418" s="46"/>
      <c r="BB418" s="46"/>
      <c r="BC418" s="48"/>
      <c r="BF418" s="46"/>
      <c r="BL418" s="174"/>
      <c r="BM418" s="57"/>
      <c r="BN418" s="64"/>
      <c r="BO418" s="64"/>
      <c r="BP418" s="64"/>
      <c r="BQ418" s="64"/>
      <c r="BR418" s="57"/>
      <c r="BS418" s="64"/>
      <c r="BT418" s="64"/>
      <c r="BU418" s="64"/>
      <c r="BV418" s="46"/>
      <c r="BW418" s="298"/>
      <c r="BX418" s="294"/>
      <c r="BY418" s="295"/>
      <c r="CB418" s="294"/>
      <c r="CC418" s="295"/>
      <c r="CD418" s="299"/>
      <c r="CE418" s="299"/>
    </row>
    <row r="419" spans="2:83" x14ac:dyDescent="0.8">
      <c r="B419" s="46"/>
      <c r="C419" s="62"/>
      <c r="F419" s="70"/>
      <c r="G419" s="86"/>
      <c r="H419" s="70"/>
      <c r="I419" s="86"/>
      <c r="K419" s="157"/>
      <c r="L419" s="157"/>
      <c r="M419" s="281"/>
      <c r="N419" s="79"/>
      <c r="O419" s="157"/>
      <c r="P419" s="157"/>
      <c r="Q419" s="157"/>
      <c r="R419" s="157"/>
      <c r="S419" s="157"/>
      <c r="T419" s="157"/>
      <c r="U419" s="157"/>
      <c r="V419" s="157"/>
      <c r="W419" s="157"/>
      <c r="X419" s="157"/>
      <c r="Y419" s="157"/>
      <c r="AL419" s="70"/>
      <c r="AM419" s="64"/>
      <c r="AN419" s="70"/>
      <c r="AQ419" s="67"/>
      <c r="AT419" s="46"/>
      <c r="AY419" s="57"/>
      <c r="AZ419" s="64"/>
      <c r="BA419" s="46"/>
      <c r="BB419" s="46"/>
      <c r="BC419" s="48"/>
      <c r="BF419" s="46"/>
      <c r="BL419" s="174"/>
      <c r="BM419" s="57"/>
      <c r="BN419" s="64"/>
      <c r="BO419" s="64"/>
      <c r="BP419" s="64"/>
      <c r="BQ419" s="64"/>
      <c r="BR419" s="57"/>
      <c r="BS419" s="64"/>
      <c r="BT419" s="64"/>
      <c r="BU419" s="64"/>
      <c r="BV419" s="46"/>
      <c r="BW419" s="298"/>
      <c r="BX419" s="294"/>
      <c r="BY419" s="295"/>
      <c r="CB419" s="294"/>
      <c r="CC419" s="295"/>
      <c r="CD419" s="299"/>
      <c r="CE419" s="299"/>
    </row>
    <row r="420" spans="2:83" x14ac:dyDescent="0.8">
      <c r="B420" s="46"/>
      <c r="C420" s="62"/>
      <c r="F420" s="70"/>
      <c r="G420" s="86"/>
      <c r="H420" s="70"/>
      <c r="I420" s="86"/>
      <c r="J420" s="141"/>
      <c r="K420" s="157"/>
      <c r="L420" s="157"/>
      <c r="M420" s="281"/>
      <c r="N420" s="79"/>
      <c r="O420" s="157"/>
      <c r="P420" s="157"/>
      <c r="Q420" s="157"/>
      <c r="R420" s="157"/>
      <c r="S420" s="157"/>
      <c r="T420" s="157"/>
      <c r="U420" s="157"/>
      <c r="V420" s="157"/>
      <c r="W420" s="157"/>
      <c r="X420" s="157"/>
      <c r="Y420" s="157"/>
      <c r="Z420" s="57"/>
      <c r="AA420" s="46"/>
      <c r="AL420" s="70"/>
      <c r="AM420" s="64"/>
      <c r="AN420" s="70"/>
      <c r="AO420" s="46"/>
      <c r="AQ420" s="67"/>
      <c r="AT420" s="46"/>
      <c r="BC420" s="48"/>
      <c r="BF420" s="46"/>
      <c r="BL420" s="174"/>
      <c r="BM420" s="57"/>
      <c r="BN420" s="64"/>
      <c r="BO420" s="64"/>
      <c r="BP420" s="64"/>
      <c r="BQ420" s="64"/>
      <c r="BR420" s="57"/>
      <c r="BS420" s="64"/>
      <c r="BT420" s="64"/>
      <c r="BU420" s="64"/>
      <c r="BV420" s="46"/>
      <c r="BW420" s="298"/>
      <c r="BX420" s="294"/>
      <c r="BY420" s="295"/>
      <c r="CB420" s="294"/>
      <c r="CC420" s="295"/>
      <c r="CD420" s="299"/>
      <c r="CE420" s="299"/>
    </row>
    <row r="421" spans="2:83" x14ac:dyDescent="0.8">
      <c r="B421" s="46"/>
      <c r="C421" s="62"/>
      <c r="F421" s="70"/>
      <c r="G421" s="86"/>
      <c r="H421" s="70"/>
      <c r="I421" s="86"/>
      <c r="J421" s="71"/>
      <c r="K421" s="157"/>
      <c r="L421" s="157"/>
      <c r="M421" s="281"/>
      <c r="N421" s="79"/>
      <c r="O421" s="157"/>
      <c r="P421" s="157"/>
      <c r="Q421" s="157"/>
      <c r="R421" s="157"/>
      <c r="S421" s="157"/>
      <c r="T421" s="157"/>
      <c r="U421" s="157"/>
      <c r="V421" s="157"/>
      <c r="W421" s="157"/>
      <c r="X421" s="157"/>
      <c r="Y421" s="157"/>
      <c r="AA421" s="136"/>
      <c r="AD421" s="143"/>
      <c r="AF421" s="71"/>
      <c r="AH421" s="71"/>
      <c r="AJ421" s="143"/>
      <c r="AL421" s="69"/>
      <c r="AN421" s="70"/>
      <c r="AP421" s="137"/>
      <c r="AQ421" s="67"/>
      <c r="AT421" s="46"/>
      <c r="BB421" s="46"/>
      <c r="BC421" s="48"/>
      <c r="BF421" s="46"/>
      <c r="BL421" s="174"/>
      <c r="BM421" s="57"/>
      <c r="BN421" s="64"/>
      <c r="BO421" s="64"/>
      <c r="BP421" s="64"/>
      <c r="BQ421" s="64"/>
      <c r="BR421" s="57"/>
      <c r="BS421" s="64"/>
      <c r="BT421" s="64"/>
      <c r="BU421" s="64"/>
      <c r="BV421" s="46"/>
      <c r="BW421" s="298"/>
      <c r="BX421" s="294"/>
      <c r="BY421" s="295"/>
      <c r="CB421" s="294"/>
      <c r="CC421" s="295"/>
      <c r="CD421" s="299"/>
      <c r="CE421" s="299"/>
    </row>
    <row r="422" spans="2:83" x14ac:dyDescent="0.8">
      <c r="B422" s="46"/>
      <c r="C422" s="62"/>
      <c r="F422" s="70"/>
      <c r="G422" s="86"/>
      <c r="H422" s="70"/>
      <c r="I422" s="86"/>
      <c r="J422" s="64"/>
      <c r="K422" s="157"/>
      <c r="L422" s="157"/>
      <c r="M422" s="281"/>
      <c r="N422" s="79"/>
      <c r="O422" s="157"/>
      <c r="P422" s="157"/>
      <c r="Q422" s="157"/>
      <c r="R422" s="157"/>
      <c r="S422" s="157"/>
      <c r="T422" s="157"/>
      <c r="U422" s="157"/>
      <c r="V422" s="157"/>
      <c r="W422" s="157"/>
      <c r="X422" s="157"/>
      <c r="Y422" s="157"/>
      <c r="AL422" s="70"/>
      <c r="AM422" s="64"/>
      <c r="AN422" s="70"/>
      <c r="AQ422" s="67"/>
      <c r="AT422" s="46"/>
      <c r="AY422" s="57"/>
      <c r="AZ422" s="64"/>
      <c r="BA422" s="46"/>
      <c r="BB422" s="46"/>
      <c r="BC422" s="48"/>
      <c r="BF422" s="46"/>
      <c r="BL422" s="174"/>
      <c r="BM422" s="57"/>
      <c r="BN422" s="64"/>
      <c r="BO422" s="64"/>
      <c r="BP422" s="64"/>
      <c r="BQ422" s="64"/>
      <c r="BR422" s="57"/>
      <c r="BS422" s="64"/>
      <c r="BT422" s="64"/>
      <c r="BU422" s="64"/>
      <c r="BV422" s="46"/>
      <c r="BW422" s="298"/>
      <c r="BX422" s="294"/>
      <c r="BY422" s="295"/>
      <c r="CB422" s="294"/>
      <c r="CC422" s="295"/>
      <c r="CD422" s="299"/>
      <c r="CE422" s="299"/>
    </row>
    <row r="423" spans="2:83" x14ac:dyDescent="0.8">
      <c r="B423" s="46"/>
      <c r="C423" s="62"/>
      <c r="F423" s="70"/>
      <c r="G423" s="86"/>
      <c r="H423" s="70"/>
      <c r="I423" s="86"/>
      <c r="K423" s="157"/>
      <c r="L423" s="157"/>
      <c r="M423" s="281"/>
      <c r="N423" s="79"/>
      <c r="O423" s="157"/>
      <c r="P423" s="157"/>
      <c r="Q423" s="157"/>
      <c r="R423" s="157"/>
      <c r="S423" s="157"/>
      <c r="T423" s="157"/>
      <c r="U423" s="157"/>
      <c r="V423" s="157"/>
      <c r="W423" s="157"/>
      <c r="X423" s="157"/>
      <c r="Y423" s="157"/>
      <c r="AL423" s="70"/>
      <c r="AM423" s="64"/>
      <c r="AN423" s="70"/>
      <c r="AQ423" s="67"/>
      <c r="AT423" s="46"/>
      <c r="AY423" s="57"/>
      <c r="AZ423" s="64"/>
      <c r="BA423" s="46"/>
      <c r="BB423" s="46"/>
      <c r="BC423" s="48"/>
      <c r="BF423" s="46"/>
      <c r="BL423" s="174"/>
      <c r="BM423" s="57"/>
      <c r="BN423" s="64"/>
      <c r="BO423" s="64"/>
      <c r="BP423" s="64"/>
      <c r="BQ423" s="64"/>
      <c r="BR423" s="57"/>
      <c r="BS423" s="64"/>
      <c r="BT423" s="64"/>
      <c r="BU423" s="64"/>
      <c r="BV423" s="46"/>
      <c r="BW423" s="298"/>
      <c r="BX423" s="294"/>
      <c r="BY423" s="295"/>
      <c r="CB423" s="294"/>
      <c r="CC423" s="295"/>
      <c r="CD423" s="299"/>
      <c r="CE423" s="299"/>
    </row>
    <row r="424" spans="2:83" x14ac:dyDescent="0.8">
      <c r="B424" s="46"/>
      <c r="C424" s="62"/>
      <c r="F424" s="70"/>
      <c r="G424" s="86"/>
      <c r="H424" s="70"/>
      <c r="I424" s="86"/>
      <c r="K424" s="157"/>
      <c r="L424" s="157"/>
      <c r="M424" s="281"/>
      <c r="N424" s="79"/>
      <c r="O424" s="157"/>
      <c r="P424" s="157"/>
      <c r="Q424" s="157"/>
      <c r="R424" s="157"/>
      <c r="S424" s="157"/>
      <c r="T424" s="157"/>
      <c r="U424" s="157"/>
      <c r="V424" s="157"/>
      <c r="W424" s="157"/>
      <c r="X424" s="157"/>
      <c r="Y424" s="157"/>
      <c r="AA424" s="136"/>
      <c r="AD424" s="140"/>
      <c r="AJ424" s="140"/>
      <c r="AL424" s="70"/>
      <c r="AM424" s="64"/>
      <c r="AN424" s="70"/>
      <c r="AQ424" s="67"/>
      <c r="AT424" s="46"/>
      <c r="AY424" s="57"/>
      <c r="AZ424" s="64"/>
      <c r="BA424" s="46"/>
      <c r="BB424" s="46"/>
      <c r="BC424" s="48"/>
      <c r="BF424" s="46"/>
      <c r="BL424" s="174"/>
      <c r="BM424" s="57"/>
      <c r="BN424" s="64"/>
      <c r="BO424" s="64"/>
      <c r="BP424" s="64"/>
      <c r="BQ424" s="64"/>
      <c r="BR424" s="57"/>
      <c r="BS424" s="64"/>
      <c r="BT424" s="64"/>
      <c r="BU424" s="64"/>
      <c r="BV424" s="46"/>
      <c r="BW424" s="298"/>
      <c r="BX424" s="294"/>
      <c r="BY424" s="295"/>
      <c r="CB424" s="294"/>
      <c r="CC424" s="295"/>
      <c r="CD424" s="299"/>
      <c r="CE424" s="299"/>
    </row>
    <row r="425" spans="2:83" x14ac:dyDescent="0.8">
      <c r="B425" s="46"/>
      <c r="C425" s="62"/>
      <c r="F425" s="70"/>
      <c r="G425" s="86"/>
      <c r="H425" s="70"/>
      <c r="I425" s="86"/>
      <c r="K425" s="157"/>
      <c r="L425" s="157"/>
      <c r="M425" s="281"/>
      <c r="N425" s="79"/>
      <c r="O425" s="157"/>
      <c r="P425" s="157"/>
      <c r="Q425" s="157"/>
      <c r="R425" s="157"/>
      <c r="S425" s="157"/>
      <c r="T425" s="157"/>
      <c r="U425" s="157"/>
      <c r="V425" s="157"/>
      <c r="W425" s="157"/>
      <c r="X425" s="157"/>
      <c r="Y425" s="157"/>
      <c r="AQ425" s="67"/>
      <c r="AT425" s="46"/>
      <c r="AY425" s="57"/>
      <c r="AZ425" s="64"/>
      <c r="BA425" s="46"/>
      <c r="BB425" s="46"/>
      <c r="BC425" s="48"/>
      <c r="BF425" s="46"/>
      <c r="BL425" s="174"/>
      <c r="BM425" s="57"/>
      <c r="BN425" s="64"/>
      <c r="BO425" s="64"/>
      <c r="BP425" s="64"/>
      <c r="BQ425" s="64"/>
      <c r="BR425" s="57"/>
      <c r="BS425" s="64"/>
      <c r="BT425" s="64"/>
      <c r="BU425" s="64"/>
      <c r="BV425" s="46"/>
      <c r="BW425" s="298"/>
      <c r="BX425" s="294"/>
      <c r="BY425" s="295"/>
      <c r="CB425" s="294"/>
      <c r="CC425" s="295"/>
      <c r="CD425" s="299"/>
      <c r="CE425" s="299"/>
    </row>
    <row r="426" spans="2:83" x14ac:dyDescent="0.8">
      <c r="B426" s="46"/>
      <c r="C426" s="62"/>
      <c r="F426" s="70"/>
      <c r="G426" s="86"/>
      <c r="H426" s="70"/>
      <c r="I426" s="86"/>
      <c r="J426" s="71"/>
      <c r="K426" s="157"/>
      <c r="L426" s="157"/>
      <c r="M426" s="281"/>
      <c r="N426" s="79"/>
      <c r="O426" s="157"/>
      <c r="P426" s="157"/>
      <c r="Q426" s="157"/>
      <c r="R426" s="157"/>
      <c r="S426" s="157"/>
      <c r="T426" s="157"/>
      <c r="U426" s="157"/>
      <c r="V426" s="157"/>
      <c r="W426" s="157"/>
      <c r="X426" s="157"/>
      <c r="Y426" s="157"/>
      <c r="AA426" s="136"/>
      <c r="AD426" s="143"/>
      <c r="AF426" s="71"/>
      <c r="AH426" s="71"/>
      <c r="AJ426" s="143"/>
      <c r="AL426" s="71"/>
      <c r="AN426" s="71"/>
      <c r="AP426" s="137"/>
      <c r="AQ426" s="67"/>
      <c r="AT426" s="46"/>
      <c r="AY426" s="57"/>
      <c r="AZ426" s="64"/>
      <c r="BA426" s="46"/>
      <c r="BB426" s="46"/>
      <c r="BC426" s="48"/>
      <c r="BF426" s="46"/>
      <c r="BL426" s="174"/>
      <c r="BM426" s="57"/>
      <c r="BN426" s="64"/>
      <c r="BO426" s="64"/>
      <c r="BP426" s="64"/>
      <c r="BQ426" s="64"/>
      <c r="BR426" s="57"/>
      <c r="BS426" s="64"/>
      <c r="BT426" s="64"/>
      <c r="BU426" s="64"/>
      <c r="BV426" s="46"/>
      <c r="BW426" s="298"/>
      <c r="BX426" s="294"/>
      <c r="BY426" s="295"/>
      <c r="CB426" s="294"/>
      <c r="CC426" s="295"/>
      <c r="CD426" s="299"/>
      <c r="CE426" s="299"/>
    </row>
    <row r="427" spans="2:83" x14ac:dyDescent="0.8">
      <c r="B427" s="46"/>
      <c r="C427" s="62"/>
      <c r="F427" s="70"/>
      <c r="G427" s="86"/>
      <c r="H427" s="70"/>
      <c r="I427" s="86"/>
      <c r="K427" s="157"/>
      <c r="L427" s="157"/>
      <c r="M427" s="281"/>
      <c r="N427" s="79"/>
      <c r="O427" s="157"/>
      <c r="P427" s="157"/>
      <c r="Q427" s="157"/>
      <c r="R427" s="157"/>
      <c r="S427" s="157"/>
      <c r="T427" s="157"/>
      <c r="U427" s="157"/>
      <c r="V427" s="157"/>
      <c r="W427" s="157"/>
      <c r="X427" s="157"/>
      <c r="Y427" s="157"/>
      <c r="AL427" s="69"/>
      <c r="AN427" s="70"/>
      <c r="AQ427" s="67"/>
      <c r="AT427" s="46"/>
      <c r="AY427" s="57"/>
      <c r="AZ427" s="64"/>
      <c r="BA427" s="46"/>
      <c r="BB427" s="46"/>
      <c r="BC427" s="48"/>
      <c r="BF427" s="46"/>
      <c r="BL427" s="174"/>
      <c r="BM427" s="57"/>
      <c r="BN427" s="64"/>
      <c r="BO427" s="64"/>
      <c r="BP427" s="64"/>
      <c r="BQ427" s="64"/>
      <c r="BR427" s="57"/>
      <c r="BS427" s="64"/>
      <c r="BT427" s="64"/>
      <c r="BU427" s="64"/>
      <c r="BV427" s="46"/>
      <c r="BW427" s="298"/>
      <c r="BX427" s="294"/>
      <c r="BY427" s="295"/>
      <c r="CB427" s="294"/>
      <c r="CC427" s="295"/>
      <c r="CD427" s="299"/>
      <c r="CE427" s="299"/>
    </row>
    <row r="428" spans="2:83" x14ac:dyDescent="0.8">
      <c r="B428" s="46"/>
      <c r="C428" s="62"/>
      <c r="F428" s="70"/>
      <c r="G428" s="86"/>
      <c r="H428" s="70"/>
      <c r="I428" s="86"/>
      <c r="K428" s="157"/>
      <c r="L428" s="157"/>
      <c r="M428" s="281"/>
      <c r="N428" s="79"/>
      <c r="O428" s="157"/>
      <c r="P428" s="157"/>
      <c r="Q428" s="157"/>
      <c r="R428" s="157"/>
      <c r="S428" s="157"/>
      <c r="T428" s="157"/>
      <c r="U428" s="157"/>
      <c r="V428" s="157"/>
      <c r="W428" s="157"/>
      <c r="X428" s="157"/>
      <c r="Y428" s="157"/>
      <c r="Z428" s="57"/>
      <c r="AA428" s="46"/>
      <c r="AM428" s="64"/>
      <c r="AO428" s="46"/>
      <c r="AQ428" s="67"/>
      <c r="AT428" s="46"/>
      <c r="AY428" s="57"/>
      <c r="AZ428" s="64"/>
      <c r="BA428" s="46"/>
      <c r="BB428" s="46"/>
      <c r="BC428" s="48"/>
      <c r="BF428" s="46"/>
      <c r="BL428" s="174"/>
      <c r="BM428" s="57"/>
      <c r="BN428" s="64"/>
      <c r="BO428" s="64"/>
      <c r="BP428" s="64"/>
      <c r="BQ428" s="64"/>
      <c r="BR428" s="57"/>
      <c r="BS428" s="64"/>
      <c r="BT428" s="64"/>
      <c r="BU428" s="64"/>
      <c r="BV428" s="46"/>
      <c r="BW428" s="298"/>
      <c r="BX428" s="294"/>
      <c r="BY428" s="295"/>
      <c r="CB428" s="294"/>
      <c r="CC428" s="295"/>
      <c r="CD428" s="299"/>
      <c r="CE428" s="299"/>
    </row>
    <row r="429" spans="2:83" x14ac:dyDescent="0.8">
      <c r="B429" s="46"/>
      <c r="C429" s="62"/>
      <c r="F429" s="70"/>
      <c r="G429" s="86"/>
      <c r="H429" s="70"/>
      <c r="I429" s="86"/>
      <c r="K429" s="157"/>
      <c r="L429" s="157"/>
      <c r="M429" s="281"/>
      <c r="N429" s="79"/>
      <c r="O429" s="157"/>
      <c r="P429" s="157"/>
      <c r="Q429" s="157"/>
      <c r="R429" s="157"/>
      <c r="S429" s="157"/>
      <c r="T429" s="157"/>
      <c r="U429" s="157"/>
      <c r="V429" s="157"/>
      <c r="W429" s="157"/>
      <c r="X429" s="157"/>
      <c r="Y429" s="157"/>
      <c r="AL429" s="70"/>
      <c r="AM429" s="64"/>
      <c r="AN429" s="70"/>
      <c r="AQ429" s="67"/>
      <c r="AT429" s="46"/>
      <c r="AY429" s="57"/>
      <c r="AZ429" s="64"/>
      <c r="BA429" s="46"/>
      <c r="BB429" s="46"/>
      <c r="BC429" s="48"/>
      <c r="BF429" s="46"/>
      <c r="BL429" s="174"/>
      <c r="BM429" s="57"/>
      <c r="BN429" s="64"/>
      <c r="BO429" s="64"/>
      <c r="BP429" s="64"/>
      <c r="BQ429" s="64"/>
      <c r="BR429" s="57"/>
      <c r="BS429" s="64"/>
      <c r="BT429" s="64"/>
      <c r="BU429" s="64"/>
      <c r="BV429" s="46"/>
    </row>
    <row r="430" spans="2:83" x14ac:dyDescent="0.8">
      <c r="B430" s="46"/>
      <c r="C430" s="62"/>
      <c r="F430" s="70"/>
      <c r="G430" s="86"/>
      <c r="H430" s="70"/>
      <c r="I430" s="86"/>
      <c r="K430" s="157"/>
      <c r="L430" s="157"/>
      <c r="M430" s="281"/>
      <c r="N430" s="79"/>
      <c r="O430" s="157"/>
      <c r="P430" s="157"/>
      <c r="Q430" s="157"/>
      <c r="R430" s="157"/>
      <c r="S430" s="157"/>
      <c r="T430" s="157"/>
      <c r="U430" s="157"/>
      <c r="V430" s="157"/>
      <c r="W430" s="157"/>
      <c r="X430" s="157"/>
      <c r="Y430" s="157"/>
      <c r="AA430" s="46"/>
      <c r="AQ430" s="67"/>
      <c r="AT430" s="46"/>
      <c r="AY430" s="57"/>
      <c r="AZ430" s="64"/>
      <c r="BA430" s="46"/>
      <c r="BB430" s="46"/>
      <c r="BC430" s="48"/>
      <c r="BF430" s="46"/>
      <c r="BL430" s="174"/>
      <c r="BM430" s="57"/>
      <c r="BN430" s="64"/>
      <c r="BO430" s="64"/>
      <c r="BP430" s="64"/>
      <c r="BQ430" s="64"/>
      <c r="BR430" s="57"/>
      <c r="BS430" s="64"/>
      <c r="BT430" s="64"/>
      <c r="BU430" s="64"/>
      <c r="BV430" s="46"/>
    </row>
    <row r="431" spans="2:83" x14ac:dyDescent="0.8">
      <c r="B431" s="46"/>
      <c r="C431" s="62"/>
      <c r="F431" s="70"/>
      <c r="G431" s="86"/>
      <c r="H431" s="70"/>
      <c r="I431" s="86"/>
      <c r="K431" s="157"/>
      <c r="L431" s="157"/>
      <c r="M431" s="281"/>
      <c r="N431" s="79"/>
      <c r="O431" s="157"/>
      <c r="P431" s="157"/>
      <c r="Q431" s="157"/>
      <c r="R431" s="157"/>
      <c r="S431" s="157"/>
      <c r="T431" s="157"/>
      <c r="U431" s="157"/>
      <c r="V431" s="157"/>
      <c r="W431" s="157"/>
      <c r="X431" s="157"/>
      <c r="Y431" s="157"/>
      <c r="AL431" s="69"/>
      <c r="AN431" s="70"/>
      <c r="AQ431" s="67"/>
      <c r="AT431" s="46"/>
      <c r="AY431" s="57"/>
      <c r="AZ431" s="64"/>
      <c r="BA431" s="46"/>
      <c r="BB431" s="46"/>
      <c r="BC431" s="48"/>
      <c r="BF431" s="46"/>
      <c r="BL431" s="174"/>
      <c r="BM431" s="57"/>
      <c r="BN431" s="64"/>
      <c r="BO431" s="64"/>
      <c r="BP431" s="64"/>
      <c r="BQ431" s="64"/>
      <c r="BR431" s="57"/>
      <c r="BS431" s="64"/>
      <c r="BT431" s="64"/>
      <c r="BU431" s="64"/>
      <c r="BV431" s="46"/>
    </row>
    <row r="432" spans="2:83" x14ac:dyDescent="0.8">
      <c r="B432" s="46"/>
      <c r="C432" s="62"/>
      <c r="F432" s="70"/>
      <c r="G432" s="86"/>
      <c r="H432" s="70"/>
      <c r="I432" s="86"/>
      <c r="K432" s="76"/>
      <c r="L432" s="76"/>
      <c r="M432" s="282"/>
      <c r="N432" s="160"/>
      <c r="O432" s="76"/>
      <c r="P432" s="76"/>
      <c r="Q432" s="76"/>
      <c r="R432" s="76"/>
      <c r="S432" s="76"/>
      <c r="T432" s="76"/>
      <c r="U432" s="76"/>
      <c r="V432" s="76"/>
      <c r="W432" s="76"/>
      <c r="X432" s="76"/>
      <c r="Y432" s="76"/>
      <c r="Z432" s="57"/>
      <c r="AA432" s="46"/>
      <c r="AM432" s="64"/>
      <c r="AO432" s="46"/>
      <c r="AQ432" s="67"/>
      <c r="AT432" s="46"/>
      <c r="BC432" s="48"/>
      <c r="BF432" s="46"/>
      <c r="BL432" s="174"/>
      <c r="BM432" s="57"/>
      <c r="BN432" s="64"/>
      <c r="BO432" s="64"/>
      <c r="BP432" s="64"/>
      <c r="BQ432" s="64"/>
      <c r="BR432" s="57"/>
      <c r="BS432" s="64"/>
      <c r="BT432" s="64"/>
      <c r="BU432" s="64"/>
      <c r="BV432" s="46"/>
    </row>
    <row r="433" spans="2:74" x14ac:dyDescent="0.8">
      <c r="B433" s="46"/>
      <c r="C433" s="62"/>
      <c r="F433" s="70"/>
      <c r="G433" s="86"/>
      <c r="H433" s="70"/>
      <c r="I433" s="86"/>
      <c r="J433" s="71"/>
      <c r="K433" s="157"/>
      <c r="L433" s="157"/>
      <c r="M433" s="281"/>
      <c r="N433" s="79"/>
      <c r="O433" s="157"/>
      <c r="P433" s="157"/>
      <c r="Q433" s="157"/>
      <c r="R433" s="157"/>
      <c r="S433" s="157"/>
      <c r="T433" s="157"/>
      <c r="U433" s="157"/>
      <c r="V433" s="157"/>
      <c r="W433" s="157"/>
      <c r="X433" s="157"/>
      <c r="Y433" s="157"/>
      <c r="AA433" s="136"/>
      <c r="AD433" s="143"/>
      <c r="AF433" s="71"/>
      <c r="AH433" s="71"/>
      <c r="AJ433" s="143"/>
      <c r="AL433" s="71"/>
      <c r="AN433" s="71"/>
      <c r="AP433" s="137"/>
      <c r="AQ433" s="67"/>
      <c r="AT433" s="46"/>
      <c r="AY433" s="57"/>
      <c r="AZ433" s="64"/>
      <c r="BA433" s="46"/>
      <c r="BB433" s="46"/>
      <c r="BC433" s="48"/>
      <c r="BF433" s="46"/>
      <c r="BL433" s="174"/>
      <c r="BM433" s="57"/>
      <c r="BN433" s="64"/>
      <c r="BO433" s="64"/>
      <c r="BP433" s="64"/>
      <c r="BQ433" s="64"/>
      <c r="BR433" s="57"/>
      <c r="BS433" s="64"/>
      <c r="BT433" s="64"/>
      <c r="BU433" s="64"/>
      <c r="BV433" s="46"/>
    </row>
    <row r="434" spans="2:74" x14ac:dyDescent="0.8">
      <c r="B434" s="46"/>
      <c r="C434" s="62"/>
      <c r="F434" s="70"/>
      <c r="G434" s="86"/>
      <c r="H434" s="70"/>
      <c r="I434" s="86"/>
      <c r="K434" s="157"/>
      <c r="L434" s="157"/>
      <c r="M434" s="281"/>
      <c r="N434" s="79"/>
      <c r="O434" s="157"/>
      <c r="P434" s="157"/>
      <c r="Q434" s="157"/>
      <c r="R434" s="157"/>
      <c r="S434" s="157"/>
      <c r="T434" s="157"/>
      <c r="U434" s="157"/>
      <c r="V434" s="157"/>
      <c r="W434" s="157"/>
      <c r="X434" s="157"/>
      <c r="Y434" s="157"/>
      <c r="AL434" s="70"/>
      <c r="AM434" s="64"/>
      <c r="AN434" s="70"/>
      <c r="AQ434" s="67"/>
      <c r="AT434" s="46"/>
      <c r="AY434" s="57"/>
      <c r="AZ434" s="64"/>
      <c r="BA434" s="46"/>
      <c r="BB434" s="46"/>
      <c r="BC434" s="48"/>
      <c r="BF434" s="46"/>
      <c r="BL434" s="174"/>
      <c r="BM434" s="57"/>
      <c r="BN434" s="64"/>
      <c r="BO434" s="64"/>
      <c r="BP434" s="64"/>
      <c r="BQ434" s="64"/>
      <c r="BR434" s="57"/>
      <c r="BS434" s="64"/>
      <c r="BT434" s="64"/>
      <c r="BU434" s="64"/>
      <c r="BV434" s="46"/>
    </row>
    <row r="435" spans="2:74" x14ac:dyDescent="0.8">
      <c r="B435" s="46"/>
      <c r="C435" s="62"/>
      <c r="F435" s="70"/>
      <c r="G435" s="86"/>
      <c r="H435" s="70"/>
      <c r="I435" s="86"/>
      <c r="K435" s="157"/>
      <c r="L435" s="157"/>
      <c r="M435" s="281"/>
      <c r="N435" s="79"/>
      <c r="O435" s="157"/>
      <c r="P435" s="157"/>
      <c r="Q435" s="157"/>
      <c r="R435" s="157"/>
      <c r="S435" s="157"/>
      <c r="T435" s="157"/>
      <c r="U435" s="157"/>
      <c r="V435" s="157"/>
      <c r="W435" s="157"/>
      <c r="X435" s="157"/>
      <c r="Y435" s="157"/>
      <c r="Z435" s="57"/>
      <c r="AA435" s="46"/>
      <c r="AL435" s="70"/>
      <c r="AM435" s="64"/>
      <c r="AN435" s="70"/>
      <c r="AO435" s="46"/>
      <c r="AQ435" s="67"/>
      <c r="AT435" s="46"/>
      <c r="BC435" s="48"/>
      <c r="BF435" s="46"/>
      <c r="BL435" s="174"/>
      <c r="BM435" s="57"/>
      <c r="BN435" s="64"/>
      <c r="BO435" s="64"/>
      <c r="BP435" s="64"/>
      <c r="BQ435" s="64"/>
      <c r="BR435" s="57"/>
      <c r="BS435" s="64"/>
      <c r="BT435" s="64"/>
      <c r="BU435" s="64"/>
      <c r="BV435" s="46"/>
    </row>
    <row r="436" spans="2:74" x14ac:dyDescent="0.8">
      <c r="B436" s="46"/>
      <c r="C436" s="62"/>
      <c r="F436" s="70"/>
      <c r="G436" s="86"/>
      <c r="H436" s="70"/>
      <c r="I436" s="86"/>
      <c r="J436" s="141"/>
      <c r="K436" s="157"/>
      <c r="L436" s="157"/>
      <c r="M436" s="281"/>
      <c r="N436" s="79"/>
      <c r="O436" s="157"/>
      <c r="P436" s="157"/>
      <c r="Q436" s="157"/>
      <c r="R436" s="157"/>
      <c r="S436" s="157"/>
      <c r="T436" s="157"/>
      <c r="U436" s="157"/>
      <c r="V436" s="157"/>
      <c r="W436" s="157"/>
      <c r="X436" s="157"/>
      <c r="Y436" s="157"/>
      <c r="Z436" s="57"/>
      <c r="AA436" s="46"/>
      <c r="AL436" s="69"/>
      <c r="AN436" s="70"/>
      <c r="AO436" s="46"/>
      <c r="AQ436" s="67"/>
      <c r="AT436" s="46"/>
      <c r="BC436" s="48"/>
      <c r="BF436" s="46"/>
      <c r="BL436" s="121"/>
      <c r="BM436" s="57"/>
      <c r="BN436" s="64"/>
      <c r="BO436" s="64"/>
      <c r="BP436" s="64"/>
      <c r="BQ436" s="64"/>
      <c r="BR436" s="57"/>
      <c r="BS436" s="64"/>
      <c r="BT436" s="64"/>
      <c r="BU436" s="64"/>
      <c r="BV436" s="46"/>
    </row>
    <row r="437" spans="2:74" x14ac:dyDescent="0.8">
      <c r="B437" s="46"/>
      <c r="C437" s="62"/>
      <c r="F437" s="70"/>
      <c r="G437" s="86"/>
      <c r="H437" s="70"/>
      <c r="I437" s="86"/>
      <c r="K437" s="157"/>
      <c r="L437" s="157"/>
      <c r="M437" s="281"/>
      <c r="N437" s="79"/>
      <c r="O437" s="157"/>
      <c r="P437" s="157"/>
      <c r="Q437" s="157"/>
      <c r="R437" s="157"/>
      <c r="S437" s="157"/>
      <c r="T437" s="157"/>
      <c r="U437" s="157"/>
      <c r="V437" s="157"/>
      <c r="W437" s="157"/>
      <c r="X437" s="157"/>
      <c r="Y437" s="157"/>
      <c r="AL437" s="69"/>
      <c r="AN437" s="70"/>
      <c r="AQ437" s="67"/>
      <c r="AT437" s="46"/>
      <c r="AY437" s="57"/>
      <c r="AZ437" s="64"/>
      <c r="BA437" s="46"/>
      <c r="BB437" s="46"/>
      <c r="BC437" s="48"/>
      <c r="BF437" s="46"/>
      <c r="BL437" s="121"/>
      <c r="BM437" s="57"/>
      <c r="BN437" s="64"/>
      <c r="BO437" s="64"/>
      <c r="BP437" s="64"/>
      <c r="BQ437" s="64"/>
      <c r="BR437" s="57"/>
      <c r="BS437" s="64"/>
      <c r="BT437" s="64"/>
      <c r="BU437" s="64"/>
      <c r="BV437" s="46"/>
    </row>
    <row r="438" spans="2:74" x14ac:dyDescent="0.8">
      <c r="B438" s="46"/>
      <c r="C438" s="62"/>
      <c r="F438" s="70"/>
      <c r="G438" s="86"/>
      <c r="H438" s="70"/>
      <c r="I438" s="86"/>
      <c r="J438" s="64"/>
      <c r="K438" s="157"/>
      <c r="L438" s="157"/>
      <c r="M438" s="281"/>
      <c r="N438" s="79"/>
      <c r="O438" s="157"/>
      <c r="P438" s="157"/>
      <c r="Q438" s="157"/>
      <c r="R438" s="157"/>
      <c r="S438" s="157"/>
      <c r="T438" s="157"/>
      <c r="U438" s="157"/>
      <c r="V438" s="157"/>
      <c r="W438" s="157"/>
      <c r="X438" s="157"/>
      <c r="Y438" s="157"/>
      <c r="AA438" s="46"/>
      <c r="AQ438" s="67"/>
      <c r="AT438" s="46"/>
      <c r="AY438" s="57"/>
      <c r="AZ438" s="64"/>
      <c r="BA438" s="46"/>
      <c r="BB438" s="46"/>
      <c r="BC438" s="48"/>
      <c r="BF438" s="46"/>
      <c r="BL438" s="121"/>
      <c r="BM438" s="57"/>
      <c r="BN438" s="64"/>
      <c r="BO438" s="64"/>
      <c r="BP438" s="64"/>
      <c r="BQ438" s="64"/>
      <c r="BR438" s="57"/>
      <c r="BS438" s="64"/>
      <c r="BT438" s="64"/>
      <c r="BU438" s="64"/>
      <c r="BV438" s="46"/>
    </row>
    <row r="439" spans="2:74" x14ac:dyDescent="0.8">
      <c r="B439" s="46"/>
      <c r="C439" s="62"/>
      <c r="F439" s="70"/>
      <c r="G439" s="86"/>
      <c r="H439" s="70"/>
      <c r="I439" s="86"/>
      <c r="K439" s="157"/>
      <c r="L439" s="157"/>
      <c r="M439" s="281"/>
      <c r="N439" s="79"/>
      <c r="O439" s="157"/>
      <c r="P439" s="157"/>
      <c r="Q439" s="157"/>
      <c r="R439" s="157"/>
      <c r="S439" s="157"/>
      <c r="T439" s="157"/>
      <c r="U439" s="157"/>
      <c r="V439" s="157"/>
      <c r="W439" s="157"/>
      <c r="X439" s="157"/>
      <c r="Y439" s="157"/>
      <c r="Z439" s="57"/>
      <c r="AA439" s="46"/>
      <c r="AM439" s="64"/>
      <c r="AO439" s="46"/>
      <c r="AQ439" s="67"/>
      <c r="AT439" s="46"/>
      <c r="AY439" s="57"/>
      <c r="AZ439" s="64"/>
      <c r="BA439" s="46"/>
      <c r="BC439" s="48"/>
      <c r="BF439" s="46"/>
      <c r="BL439" s="121"/>
      <c r="BM439" s="57"/>
      <c r="BN439" s="64"/>
      <c r="BO439" s="64"/>
      <c r="BP439" s="64"/>
      <c r="BQ439" s="64"/>
      <c r="BR439" s="57"/>
      <c r="BS439" s="64"/>
      <c r="BT439" s="64"/>
      <c r="BU439" s="64"/>
      <c r="BV439" s="46"/>
    </row>
    <row r="440" spans="2:74" x14ac:dyDescent="0.8">
      <c r="B440" s="46"/>
      <c r="C440" s="62"/>
      <c r="F440" s="70"/>
      <c r="G440" s="86"/>
      <c r="H440" s="70"/>
      <c r="I440" s="86"/>
      <c r="K440" s="157"/>
      <c r="L440" s="157"/>
      <c r="M440" s="281"/>
      <c r="N440" s="79"/>
      <c r="O440" s="157"/>
      <c r="P440" s="157"/>
      <c r="Q440" s="157"/>
      <c r="R440" s="157"/>
      <c r="S440" s="157"/>
      <c r="T440" s="157"/>
      <c r="U440" s="157"/>
      <c r="V440" s="157"/>
      <c r="W440" s="157"/>
      <c r="X440" s="157"/>
      <c r="Y440" s="157"/>
      <c r="AA440" s="136"/>
      <c r="AD440" s="140"/>
      <c r="AJ440" s="140"/>
      <c r="AL440" s="70"/>
      <c r="AM440" s="64"/>
      <c r="AN440" s="70"/>
      <c r="AQ440" s="67"/>
      <c r="AT440" s="46"/>
      <c r="AY440" s="57"/>
      <c r="AZ440" s="64"/>
      <c r="BA440" s="46"/>
      <c r="BB440" s="46"/>
      <c r="BC440" s="48"/>
      <c r="BF440" s="46"/>
      <c r="BL440" s="121"/>
      <c r="BM440" s="57"/>
      <c r="BN440" s="64"/>
      <c r="BO440" s="64"/>
      <c r="BP440" s="64"/>
      <c r="BQ440" s="64"/>
      <c r="BR440" s="57"/>
      <c r="BS440" s="64"/>
      <c r="BT440" s="64"/>
      <c r="BU440" s="64"/>
      <c r="BV440" s="46"/>
    </row>
    <row r="441" spans="2:74" x14ac:dyDescent="0.8">
      <c r="B441" s="46"/>
      <c r="C441" s="62"/>
      <c r="F441" s="70"/>
      <c r="G441" s="86"/>
      <c r="H441" s="70"/>
      <c r="I441" s="86"/>
      <c r="K441" s="157"/>
      <c r="L441" s="157"/>
      <c r="M441" s="281"/>
      <c r="N441" s="79"/>
      <c r="O441" s="157"/>
      <c r="P441" s="157"/>
      <c r="Q441" s="157"/>
      <c r="R441" s="157"/>
      <c r="S441" s="157"/>
      <c r="T441" s="157"/>
      <c r="U441" s="157"/>
      <c r="V441" s="157"/>
      <c r="W441" s="157"/>
      <c r="X441" s="157"/>
      <c r="Y441" s="157"/>
      <c r="AL441" s="70"/>
      <c r="AM441" s="64"/>
      <c r="AN441" s="70"/>
      <c r="AQ441" s="67"/>
      <c r="AT441" s="46"/>
      <c r="AY441" s="57"/>
      <c r="AZ441" s="64"/>
      <c r="BA441" s="46"/>
      <c r="BB441" s="46"/>
      <c r="BC441" s="48"/>
      <c r="BF441" s="46"/>
      <c r="BL441" s="121"/>
      <c r="BM441" s="57"/>
      <c r="BN441" s="64"/>
      <c r="BO441" s="64"/>
      <c r="BP441" s="64"/>
      <c r="BQ441" s="64"/>
      <c r="BR441" s="57"/>
      <c r="BS441" s="64"/>
      <c r="BT441" s="64"/>
      <c r="BU441" s="64"/>
      <c r="BV441" s="46"/>
    </row>
    <row r="442" spans="2:74" x14ac:dyDescent="0.8">
      <c r="B442" s="46"/>
      <c r="C442" s="62"/>
      <c r="F442" s="70"/>
      <c r="G442" s="86"/>
      <c r="H442" s="70"/>
      <c r="I442" s="86"/>
      <c r="J442" s="141"/>
      <c r="K442" s="76"/>
      <c r="L442" s="76"/>
      <c r="M442" s="282"/>
      <c r="N442" s="160"/>
      <c r="O442" s="76"/>
      <c r="P442" s="76"/>
      <c r="Q442" s="76"/>
      <c r="R442" s="76"/>
      <c r="S442" s="76"/>
      <c r="T442" s="76"/>
      <c r="U442" s="76"/>
      <c r="V442" s="76"/>
      <c r="W442" s="76"/>
      <c r="X442" s="76"/>
      <c r="Y442" s="76"/>
      <c r="Z442" s="57"/>
      <c r="AA442" s="46"/>
      <c r="AL442" s="70"/>
      <c r="AM442" s="64"/>
      <c r="AN442" s="70"/>
      <c r="AO442" s="46"/>
      <c r="AQ442" s="67"/>
      <c r="AT442" s="46"/>
      <c r="BC442" s="48"/>
      <c r="BF442" s="46"/>
      <c r="BL442" s="121"/>
      <c r="BM442" s="57"/>
      <c r="BN442" s="64"/>
      <c r="BO442" s="64"/>
      <c r="BP442" s="64"/>
      <c r="BQ442" s="64"/>
      <c r="BR442" s="57"/>
      <c r="BS442" s="64"/>
      <c r="BT442" s="64"/>
      <c r="BU442" s="64"/>
      <c r="BV442" s="46"/>
    </row>
    <row r="443" spans="2:74" x14ac:dyDescent="0.8">
      <c r="B443" s="46"/>
      <c r="C443" s="62"/>
      <c r="F443" s="70"/>
      <c r="G443" s="86"/>
      <c r="H443" s="70"/>
      <c r="I443" s="86"/>
      <c r="K443" s="157"/>
      <c r="L443" s="157"/>
      <c r="M443" s="281"/>
      <c r="N443" s="79"/>
      <c r="O443" s="157"/>
      <c r="P443" s="157"/>
      <c r="Q443" s="157"/>
      <c r="R443" s="157"/>
      <c r="S443" s="157"/>
      <c r="T443" s="157"/>
      <c r="U443" s="157"/>
      <c r="V443" s="157"/>
      <c r="W443" s="157"/>
      <c r="X443" s="157"/>
      <c r="Y443" s="157"/>
      <c r="Z443" s="57"/>
      <c r="AA443" s="46"/>
      <c r="AM443" s="64"/>
      <c r="AO443" s="46"/>
      <c r="AQ443" s="67"/>
      <c r="AT443" s="46"/>
      <c r="BC443" s="48"/>
      <c r="BF443" s="46"/>
      <c r="BL443" s="121"/>
      <c r="BM443" s="57"/>
      <c r="BN443" s="64"/>
      <c r="BO443" s="64"/>
      <c r="BP443" s="64"/>
      <c r="BQ443" s="64"/>
      <c r="BR443" s="57"/>
      <c r="BS443" s="64"/>
      <c r="BT443" s="64"/>
      <c r="BU443" s="64"/>
      <c r="BV443" s="46"/>
    </row>
    <row r="444" spans="2:74" x14ac:dyDescent="0.8">
      <c r="B444" s="46"/>
      <c r="C444" s="62"/>
      <c r="F444" s="70"/>
      <c r="G444" s="86"/>
      <c r="H444" s="70"/>
      <c r="I444" s="86"/>
      <c r="J444" s="71"/>
      <c r="K444" s="157"/>
      <c r="L444" s="157"/>
      <c r="M444" s="281"/>
      <c r="N444" s="79"/>
      <c r="O444" s="157"/>
      <c r="P444" s="157"/>
      <c r="Q444" s="157"/>
      <c r="R444" s="157"/>
      <c r="S444" s="157"/>
      <c r="T444" s="157"/>
      <c r="U444" s="157"/>
      <c r="V444" s="157"/>
      <c r="W444" s="157"/>
      <c r="X444" s="157"/>
      <c r="Y444" s="157"/>
      <c r="AA444" s="136"/>
      <c r="AD444" s="143"/>
      <c r="AF444" s="71"/>
      <c r="AH444" s="71"/>
      <c r="AJ444" s="143"/>
      <c r="AL444" s="71"/>
      <c r="AN444" s="71"/>
      <c r="AP444" s="137"/>
      <c r="AQ444" s="67"/>
      <c r="AT444" s="46"/>
      <c r="AY444" s="57"/>
      <c r="AZ444" s="64"/>
      <c r="BA444" s="46"/>
      <c r="BB444" s="46"/>
      <c r="BC444" s="48"/>
      <c r="BF444" s="46"/>
      <c r="BL444" s="121"/>
      <c r="BM444" s="57"/>
      <c r="BN444" s="64"/>
      <c r="BO444" s="64"/>
      <c r="BP444" s="64"/>
      <c r="BQ444" s="64"/>
      <c r="BR444" s="57"/>
      <c r="BS444" s="64"/>
      <c r="BT444" s="64"/>
      <c r="BU444" s="64"/>
      <c r="BV444" s="46"/>
    </row>
    <row r="445" spans="2:74" x14ac:dyDescent="0.8">
      <c r="B445" s="46"/>
      <c r="C445" s="62"/>
      <c r="F445" s="70"/>
      <c r="G445" s="86"/>
      <c r="H445" s="70"/>
      <c r="I445" s="86"/>
      <c r="R445" s="58"/>
      <c r="S445" s="58"/>
      <c r="X445" s="57"/>
      <c r="Y445" s="46"/>
      <c r="Z445" s="57"/>
      <c r="AA445" s="46"/>
      <c r="AL445" s="69"/>
      <c r="AN445" s="70"/>
      <c r="AO445" s="46"/>
      <c r="AQ445" s="67"/>
      <c r="AT445" s="46"/>
      <c r="BC445" s="48"/>
      <c r="BF445" s="46"/>
      <c r="BL445" s="121"/>
      <c r="BM445" s="57"/>
      <c r="BN445" s="64"/>
      <c r="BO445" s="64"/>
      <c r="BP445" s="64"/>
      <c r="BQ445" s="64"/>
      <c r="BR445" s="57"/>
      <c r="BS445" s="64"/>
      <c r="BT445" s="64"/>
      <c r="BU445" s="64"/>
      <c r="BV445" s="46"/>
    </row>
    <row r="446" spans="2:74" x14ac:dyDescent="0.8">
      <c r="B446" s="46"/>
      <c r="C446" s="62"/>
      <c r="F446" s="70"/>
      <c r="G446" s="86"/>
      <c r="H446" s="70"/>
      <c r="I446" s="86"/>
      <c r="R446" s="58"/>
      <c r="S446" s="58"/>
      <c r="AL446" s="69"/>
      <c r="AN446" s="70"/>
      <c r="AQ446" s="67"/>
      <c r="AT446" s="46"/>
      <c r="AY446" s="57"/>
      <c r="AZ446" s="64"/>
      <c r="BA446" s="46"/>
      <c r="BB446" s="46"/>
      <c r="BC446" s="48"/>
      <c r="BF446" s="46"/>
      <c r="BL446" s="121"/>
      <c r="BM446" s="57"/>
      <c r="BN446" s="64"/>
      <c r="BO446" s="64"/>
      <c r="BP446" s="64"/>
      <c r="BQ446" s="64"/>
      <c r="BR446" s="57"/>
      <c r="BS446" s="64"/>
      <c r="BT446" s="64"/>
      <c r="BU446" s="64"/>
      <c r="BV446" s="46"/>
    </row>
    <row r="447" spans="2:74" x14ac:dyDescent="0.8">
      <c r="B447" s="46"/>
      <c r="C447" s="62"/>
      <c r="F447" s="70"/>
      <c r="G447" s="86"/>
      <c r="H447" s="70"/>
      <c r="I447" s="86"/>
      <c r="J447" s="141"/>
      <c r="K447" s="263"/>
      <c r="R447" s="58"/>
      <c r="S447" s="58"/>
      <c r="X447" s="57"/>
      <c r="Y447" s="46"/>
      <c r="Z447" s="57"/>
      <c r="AA447" s="46"/>
      <c r="AL447" s="69"/>
      <c r="AN447" s="70"/>
      <c r="AO447" s="46"/>
      <c r="AQ447" s="67"/>
      <c r="AT447" s="46"/>
      <c r="BC447" s="48"/>
      <c r="BF447" s="46"/>
      <c r="BL447" s="121"/>
      <c r="BM447" s="57"/>
      <c r="BN447" s="64"/>
      <c r="BO447" s="64"/>
      <c r="BP447" s="64"/>
      <c r="BQ447" s="64"/>
      <c r="BR447" s="57"/>
      <c r="BS447" s="64"/>
      <c r="BT447" s="64"/>
      <c r="BU447" s="64"/>
      <c r="BV447" s="46"/>
    </row>
    <row r="448" spans="2:74" x14ac:dyDescent="0.8">
      <c r="B448" s="46"/>
      <c r="C448" s="62"/>
      <c r="F448" s="70"/>
      <c r="G448" s="86"/>
      <c r="H448" s="70"/>
      <c r="I448" s="86"/>
      <c r="L448" s="117"/>
      <c r="M448" s="118"/>
      <c r="R448" s="58"/>
      <c r="S448" s="58"/>
      <c r="AA448" s="46"/>
      <c r="AL448" s="69"/>
      <c r="AN448" s="70"/>
      <c r="AQ448" s="67"/>
      <c r="AT448" s="46"/>
      <c r="AY448" s="57"/>
      <c r="AZ448" s="64"/>
      <c r="BA448" s="46"/>
      <c r="BB448" s="46"/>
      <c r="BC448" s="48"/>
      <c r="BF448" s="46"/>
      <c r="BL448" s="121"/>
      <c r="BM448" s="57"/>
      <c r="BN448" s="64"/>
      <c r="BO448" s="64"/>
      <c r="BP448" s="64"/>
      <c r="BQ448" s="64"/>
      <c r="BR448" s="57"/>
      <c r="BS448" s="64"/>
      <c r="BT448" s="64"/>
      <c r="BU448" s="64"/>
      <c r="BV448" s="46"/>
    </row>
    <row r="449" spans="2:83" x14ac:dyDescent="0.8">
      <c r="B449" s="46"/>
      <c r="C449" s="62"/>
      <c r="F449" s="70"/>
      <c r="G449" s="86"/>
      <c r="H449" s="70"/>
      <c r="I449" s="86"/>
      <c r="L449" s="117"/>
      <c r="M449" s="118"/>
      <c r="R449" s="58"/>
      <c r="S449" s="58"/>
      <c r="T449" s="140"/>
      <c r="X449" s="129"/>
      <c r="Y449" s="120"/>
      <c r="AL449" s="69"/>
      <c r="AN449" s="70"/>
      <c r="AQ449" s="67"/>
      <c r="AT449" s="46"/>
      <c r="AY449" s="57"/>
      <c r="AZ449" s="64"/>
      <c r="BA449" s="46"/>
      <c r="BB449" s="46"/>
      <c r="BC449" s="48"/>
      <c r="BF449" s="46"/>
      <c r="BL449" s="121"/>
      <c r="BM449" s="57"/>
      <c r="BN449" s="64"/>
      <c r="BO449" s="64"/>
      <c r="BP449" s="64"/>
      <c r="BQ449" s="64"/>
      <c r="BR449" s="57"/>
      <c r="BS449" s="64"/>
      <c r="BT449" s="64"/>
      <c r="BU449" s="64"/>
      <c r="BV449" s="46"/>
    </row>
    <row r="450" spans="2:83" x14ac:dyDescent="0.8">
      <c r="B450" s="46"/>
      <c r="C450" s="62"/>
      <c r="F450" s="70"/>
      <c r="G450" s="86"/>
      <c r="H450" s="70"/>
      <c r="I450" s="86"/>
      <c r="L450" s="117"/>
      <c r="M450" s="118"/>
      <c r="R450" s="58"/>
      <c r="S450" s="58"/>
      <c r="T450" s="140"/>
      <c r="V450" s="140"/>
      <c r="X450" s="143"/>
      <c r="Y450" s="136"/>
      <c r="Z450" s="143"/>
      <c r="AD450" s="140"/>
      <c r="AF450" s="140"/>
      <c r="AH450" s="140"/>
      <c r="AQ450" s="67"/>
      <c r="AT450" s="46"/>
      <c r="AY450" s="57"/>
      <c r="AZ450" s="64"/>
      <c r="BA450" s="46"/>
      <c r="BC450" s="48"/>
      <c r="BF450" s="46"/>
      <c r="BL450" s="121"/>
      <c r="BM450" s="57"/>
      <c r="BN450" s="64"/>
      <c r="BO450" s="64"/>
      <c r="BP450" s="64"/>
      <c r="BQ450" s="64"/>
      <c r="BR450" s="57"/>
      <c r="BS450" s="64"/>
      <c r="BT450" s="64"/>
      <c r="BU450" s="64"/>
      <c r="BV450" s="46"/>
    </row>
    <row r="451" spans="2:83" x14ac:dyDescent="0.8">
      <c r="B451" s="46"/>
      <c r="C451" s="62"/>
      <c r="F451" s="70"/>
      <c r="G451" s="86"/>
      <c r="H451" s="70"/>
      <c r="I451" s="86"/>
      <c r="L451" s="117"/>
      <c r="M451" s="118"/>
      <c r="R451" s="58"/>
      <c r="S451" s="58"/>
      <c r="T451" s="140"/>
      <c r="X451" s="129"/>
      <c r="Y451" s="120"/>
      <c r="AL451" s="68"/>
      <c r="AQ451" s="67"/>
      <c r="AT451" s="46"/>
      <c r="AY451" s="57"/>
      <c r="AZ451" s="64"/>
      <c r="BA451" s="46"/>
      <c r="BB451" s="46"/>
      <c r="BC451" s="48"/>
      <c r="BF451" s="46"/>
      <c r="BL451" s="121"/>
      <c r="BM451" s="57"/>
      <c r="BN451" s="64"/>
      <c r="BO451" s="64"/>
      <c r="BP451" s="64"/>
      <c r="BQ451" s="64"/>
      <c r="BR451" s="57"/>
      <c r="BS451" s="64"/>
      <c r="BT451" s="64"/>
      <c r="BU451" s="64"/>
      <c r="BV451" s="46"/>
    </row>
    <row r="452" spans="2:83" x14ac:dyDescent="0.8">
      <c r="B452" s="46"/>
      <c r="C452" s="62"/>
      <c r="F452" s="70"/>
      <c r="G452" s="86"/>
      <c r="H452" s="70"/>
      <c r="I452" s="86"/>
      <c r="L452" s="117"/>
      <c r="M452" s="118"/>
      <c r="R452" s="58"/>
      <c r="S452" s="58"/>
      <c r="T452" s="140"/>
      <c r="X452" s="129"/>
      <c r="Y452" s="120"/>
      <c r="AL452" s="70"/>
      <c r="AM452" s="64"/>
      <c r="AN452" s="70"/>
      <c r="AQ452" s="67"/>
      <c r="AT452" s="46"/>
      <c r="AY452" s="57"/>
      <c r="AZ452" s="64"/>
      <c r="BA452" s="46"/>
      <c r="BB452" s="46"/>
      <c r="BC452" s="48"/>
      <c r="BF452" s="46"/>
      <c r="BL452" s="121"/>
      <c r="BM452" s="57"/>
      <c r="BN452" s="64"/>
      <c r="BO452" s="64"/>
      <c r="BP452" s="64"/>
      <c r="BQ452" s="64"/>
      <c r="BR452" s="57"/>
      <c r="BS452" s="64"/>
      <c r="BT452" s="64"/>
      <c r="BU452" s="64"/>
      <c r="BV452" s="46"/>
    </row>
    <row r="453" spans="2:83" x14ac:dyDescent="0.8">
      <c r="B453" s="46"/>
      <c r="C453" s="62"/>
      <c r="F453" s="70"/>
      <c r="G453" s="86"/>
      <c r="H453" s="70"/>
      <c r="I453" s="86"/>
      <c r="R453" s="58"/>
      <c r="S453" s="58"/>
      <c r="T453" s="71"/>
      <c r="V453" s="71"/>
      <c r="X453" s="57"/>
      <c r="Y453" s="46"/>
      <c r="Z453" s="57"/>
      <c r="AA453" s="46"/>
      <c r="AL453" s="70"/>
      <c r="AM453" s="64"/>
      <c r="AN453" s="70"/>
      <c r="AO453" s="46"/>
      <c r="AQ453" s="67"/>
      <c r="AT453" s="46"/>
      <c r="BC453" s="48"/>
      <c r="BF453" s="46"/>
      <c r="BL453" s="121"/>
      <c r="BM453" s="57"/>
      <c r="BN453" s="64"/>
      <c r="BO453" s="64"/>
      <c r="BP453" s="64"/>
      <c r="BQ453" s="64"/>
      <c r="BR453" s="57"/>
      <c r="BS453" s="64"/>
      <c r="BT453" s="64"/>
      <c r="BU453" s="64"/>
      <c r="BV453" s="46"/>
      <c r="BW453" s="298"/>
      <c r="BX453" s="294"/>
      <c r="BY453" s="295"/>
      <c r="CB453" s="299"/>
      <c r="CC453" s="299"/>
      <c r="CD453" s="299"/>
      <c r="CE453" s="299"/>
    </row>
    <row r="454" spans="2:83" x14ac:dyDescent="0.8">
      <c r="B454" s="46"/>
      <c r="C454" s="62"/>
      <c r="F454" s="70"/>
      <c r="G454" s="86"/>
      <c r="H454" s="70"/>
      <c r="I454" s="86"/>
      <c r="J454" s="71"/>
      <c r="N454" s="58"/>
      <c r="O454" s="58"/>
      <c r="P454" s="58"/>
      <c r="Q454" s="59"/>
      <c r="R454" s="58"/>
      <c r="S454" s="58"/>
      <c r="T454" s="71"/>
      <c r="V454" s="71"/>
      <c r="AD454" s="71"/>
      <c r="AF454" s="71"/>
      <c r="AH454" s="71"/>
      <c r="AJ454" s="71"/>
      <c r="AL454" s="69"/>
      <c r="AN454" s="70"/>
      <c r="AP454" s="137"/>
      <c r="AQ454" s="67"/>
      <c r="AT454" s="46"/>
      <c r="AY454" s="57"/>
      <c r="AZ454" s="64"/>
      <c r="BA454" s="46"/>
      <c r="BB454" s="46"/>
      <c r="BC454" s="48"/>
      <c r="BF454" s="46"/>
      <c r="BL454" s="121"/>
      <c r="BM454" s="57"/>
      <c r="BN454" s="64"/>
      <c r="BO454" s="64"/>
      <c r="BP454" s="64"/>
      <c r="BQ454" s="64"/>
      <c r="BR454" s="57"/>
      <c r="BS454" s="64"/>
      <c r="BT454" s="64"/>
      <c r="BU454" s="64"/>
      <c r="BV454" s="46"/>
      <c r="BW454" s="298"/>
      <c r="BX454" s="294"/>
      <c r="BY454" s="295"/>
      <c r="CB454" s="299"/>
      <c r="CC454" s="299"/>
      <c r="CD454" s="299"/>
      <c r="CE454" s="299"/>
    </row>
    <row r="455" spans="2:83" x14ac:dyDescent="0.8">
      <c r="B455" s="46"/>
      <c r="C455" s="62"/>
      <c r="F455" s="70"/>
      <c r="G455" s="86"/>
      <c r="H455" s="70"/>
      <c r="I455" s="86"/>
      <c r="L455" s="117"/>
      <c r="M455" s="118"/>
      <c r="R455" s="58"/>
      <c r="S455" s="58"/>
      <c r="AD455" s="153"/>
      <c r="AL455" s="69"/>
      <c r="AN455" s="70"/>
      <c r="AQ455" s="67"/>
      <c r="AT455" s="46"/>
      <c r="AY455" s="57"/>
      <c r="AZ455" s="64"/>
      <c r="BA455" s="46"/>
      <c r="BB455" s="46"/>
      <c r="BC455" s="48"/>
      <c r="BF455" s="46"/>
      <c r="BL455" s="121"/>
      <c r="BM455" s="57"/>
      <c r="BN455" s="64"/>
      <c r="BO455" s="64"/>
      <c r="BP455" s="64"/>
      <c r="BQ455" s="64"/>
      <c r="BR455" s="57"/>
      <c r="BS455" s="64"/>
      <c r="BT455" s="64"/>
      <c r="BU455" s="64"/>
      <c r="BV455" s="46"/>
      <c r="BW455" s="298"/>
      <c r="BX455" s="294"/>
      <c r="BY455" s="295"/>
      <c r="CB455" s="299"/>
      <c r="CC455" s="299"/>
      <c r="CD455" s="299"/>
      <c r="CE455" s="299"/>
    </row>
    <row r="456" spans="2:83" x14ac:dyDescent="0.8">
      <c r="B456" s="46"/>
      <c r="C456" s="62"/>
      <c r="F456" s="70"/>
      <c r="G456" s="86"/>
      <c r="H456" s="70"/>
      <c r="I456" s="86"/>
      <c r="J456" s="64"/>
      <c r="K456" s="64"/>
      <c r="L456" s="117"/>
      <c r="M456" s="118"/>
      <c r="T456" s="140"/>
      <c r="X456" s="129"/>
      <c r="Y456" s="120"/>
      <c r="AL456" s="68"/>
      <c r="AQ456" s="67"/>
      <c r="AT456" s="46"/>
      <c r="AY456" s="57"/>
      <c r="AZ456" s="64"/>
      <c r="BA456" s="46"/>
      <c r="BB456" s="46"/>
      <c r="BC456" s="48"/>
      <c r="BF456" s="46"/>
      <c r="BL456" s="121"/>
      <c r="BM456" s="57"/>
      <c r="BN456" s="64"/>
      <c r="BO456" s="64"/>
      <c r="BP456" s="64"/>
      <c r="BQ456" s="64"/>
      <c r="BR456" s="57"/>
      <c r="BS456" s="64"/>
      <c r="BT456" s="64"/>
      <c r="BU456" s="64"/>
      <c r="BV456" s="46"/>
      <c r="BW456" s="298"/>
      <c r="BX456" s="294"/>
      <c r="BY456" s="295"/>
      <c r="CB456" s="299"/>
      <c r="CC456" s="299"/>
      <c r="CD456" s="299"/>
      <c r="CE456" s="299"/>
    </row>
    <row r="457" spans="2:83" x14ac:dyDescent="0.8">
      <c r="B457" s="46"/>
      <c r="C457" s="62"/>
      <c r="F457" s="70"/>
      <c r="G457" s="86"/>
      <c r="L457" s="117"/>
      <c r="M457" s="118"/>
      <c r="R457" s="58"/>
      <c r="S457" s="58"/>
      <c r="T457" s="140"/>
      <c r="X457" s="175"/>
      <c r="Y457" s="120"/>
      <c r="AL457" s="68"/>
      <c r="AQ457" s="67"/>
      <c r="AT457" s="46"/>
      <c r="AY457" s="57"/>
      <c r="AZ457" s="64"/>
      <c r="BA457" s="46"/>
      <c r="BB457" s="46"/>
      <c r="BC457" s="48"/>
      <c r="BF457" s="46"/>
      <c r="BL457" s="121"/>
      <c r="BM457" s="57"/>
      <c r="BN457" s="64"/>
      <c r="BO457" s="64"/>
      <c r="BP457" s="64"/>
      <c r="BQ457" s="64"/>
      <c r="BR457" s="57"/>
      <c r="BS457" s="64"/>
      <c r="BT457" s="64"/>
      <c r="BU457" s="64"/>
      <c r="BV457" s="46"/>
      <c r="BW457" s="298"/>
      <c r="BX457" s="294"/>
      <c r="BY457" s="295"/>
      <c r="CB457" s="299"/>
      <c r="CC457" s="299"/>
      <c r="CD457" s="299"/>
      <c r="CE457" s="299"/>
    </row>
    <row r="458" spans="2:83" x14ac:dyDescent="0.8">
      <c r="B458" s="46"/>
      <c r="C458" s="62"/>
      <c r="F458" s="70"/>
      <c r="G458" s="86"/>
      <c r="H458" s="70"/>
      <c r="I458" s="86"/>
      <c r="L458" s="117"/>
      <c r="M458" s="118"/>
      <c r="R458" s="58"/>
      <c r="S458" s="58"/>
      <c r="T458" s="140"/>
      <c r="V458" s="140"/>
      <c r="X458" s="176"/>
      <c r="Y458" s="139"/>
      <c r="AA458" s="136"/>
      <c r="AD458" s="140"/>
      <c r="AJ458" s="140"/>
      <c r="AL458" s="68"/>
      <c r="AQ458" s="67"/>
      <c r="AT458" s="46"/>
      <c r="AY458" s="57"/>
      <c r="AZ458" s="64"/>
      <c r="BA458" s="46"/>
      <c r="BB458" s="46"/>
      <c r="BC458" s="48"/>
      <c r="BF458" s="46"/>
      <c r="BL458" s="121"/>
      <c r="BM458" s="57"/>
      <c r="BN458" s="64"/>
      <c r="BO458" s="64"/>
      <c r="BP458" s="64"/>
      <c r="BQ458" s="64"/>
      <c r="BR458" s="57"/>
      <c r="BS458" s="64"/>
      <c r="BT458" s="64"/>
      <c r="BU458" s="64"/>
      <c r="BV458" s="46"/>
      <c r="BW458" s="298"/>
      <c r="BX458" s="294"/>
      <c r="BY458" s="295"/>
      <c r="CB458" s="299"/>
      <c r="CC458" s="299"/>
      <c r="CD458" s="299"/>
      <c r="CE458" s="299"/>
    </row>
    <row r="459" spans="2:83" x14ac:dyDescent="0.8">
      <c r="B459" s="46"/>
      <c r="C459" s="62"/>
      <c r="F459" s="70"/>
      <c r="G459" s="86"/>
      <c r="H459" s="70"/>
      <c r="I459" s="86"/>
      <c r="L459" s="117"/>
      <c r="M459" s="118"/>
      <c r="R459" s="58"/>
      <c r="S459" s="58"/>
      <c r="T459" s="140"/>
      <c r="AQ459" s="67"/>
      <c r="AT459" s="46"/>
      <c r="AY459" s="57"/>
      <c r="AZ459" s="64"/>
      <c r="BA459" s="46"/>
      <c r="BB459" s="46"/>
      <c r="BC459" s="48"/>
      <c r="BF459" s="46"/>
      <c r="BL459" s="121"/>
      <c r="BM459" s="57"/>
      <c r="BN459" s="64"/>
      <c r="BO459" s="64"/>
      <c r="BP459" s="64"/>
      <c r="BQ459" s="64"/>
      <c r="BR459" s="57"/>
      <c r="BS459" s="64"/>
      <c r="BT459" s="64"/>
      <c r="BU459" s="64"/>
      <c r="BV459" s="46"/>
      <c r="BW459" s="298"/>
      <c r="BX459" s="294"/>
      <c r="BY459" s="295"/>
      <c r="CB459" s="299"/>
      <c r="CC459" s="299"/>
      <c r="CD459" s="299"/>
      <c r="CE459" s="299"/>
    </row>
    <row r="460" spans="2:83" x14ac:dyDescent="0.8">
      <c r="B460" s="46"/>
      <c r="C460" s="62"/>
      <c r="F460" s="70"/>
      <c r="G460" s="86"/>
      <c r="R460" s="58"/>
      <c r="S460" s="58"/>
      <c r="X460" s="57"/>
      <c r="Y460" s="46"/>
      <c r="Z460" s="57"/>
      <c r="AA460" s="46"/>
      <c r="AL460" s="69"/>
      <c r="AN460" s="70"/>
      <c r="AO460" s="46"/>
      <c r="AQ460" s="67"/>
      <c r="AT460" s="46"/>
      <c r="BC460" s="48"/>
      <c r="BF460" s="46"/>
      <c r="BL460" s="121"/>
      <c r="BM460" s="57"/>
      <c r="BN460" s="64"/>
      <c r="BO460" s="64"/>
      <c r="BP460" s="64"/>
      <c r="BQ460" s="64"/>
      <c r="BR460" s="57"/>
      <c r="BS460" s="64"/>
      <c r="BT460" s="64"/>
      <c r="BU460" s="64"/>
      <c r="BV460" s="46"/>
      <c r="BW460" s="298"/>
      <c r="BX460" s="294"/>
      <c r="BY460" s="295"/>
      <c r="CB460" s="299"/>
      <c r="CC460" s="299"/>
      <c r="CD460" s="299"/>
      <c r="CE460" s="299"/>
    </row>
    <row r="461" spans="2:83" x14ac:dyDescent="0.8">
      <c r="B461" s="46"/>
      <c r="C461" s="62"/>
      <c r="F461" s="83"/>
      <c r="G461" s="83"/>
      <c r="H461" s="70"/>
      <c r="I461" s="86"/>
      <c r="R461" s="58"/>
      <c r="S461" s="58"/>
      <c r="X461" s="57"/>
      <c r="Y461" s="46"/>
      <c r="Z461" s="57"/>
      <c r="AA461" s="46"/>
      <c r="AL461" s="70"/>
      <c r="AM461" s="64"/>
      <c r="AN461" s="70"/>
      <c r="AO461" s="46"/>
      <c r="AQ461" s="67"/>
      <c r="AT461" s="46"/>
      <c r="BC461" s="48"/>
      <c r="BF461" s="46"/>
      <c r="BL461" s="121"/>
      <c r="BM461" s="57"/>
      <c r="BN461" s="64"/>
      <c r="BO461" s="64"/>
      <c r="BP461" s="64"/>
      <c r="BQ461" s="64"/>
      <c r="BR461" s="57"/>
      <c r="BS461" s="64"/>
      <c r="BT461" s="64"/>
      <c r="BU461" s="64"/>
      <c r="BV461" s="46"/>
      <c r="BW461" s="298"/>
      <c r="BX461" s="294"/>
      <c r="BY461" s="295"/>
      <c r="CB461" s="299"/>
      <c r="CC461" s="299"/>
      <c r="CD461" s="299"/>
      <c r="CE461" s="299"/>
    </row>
    <row r="462" spans="2:83" x14ac:dyDescent="0.8">
      <c r="B462" s="46"/>
      <c r="C462" s="62"/>
      <c r="H462" s="70"/>
      <c r="I462" s="86"/>
      <c r="R462" s="58"/>
      <c r="S462" s="58"/>
      <c r="X462" s="57"/>
      <c r="Y462" s="46"/>
      <c r="Z462" s="57"/>
      <c r="AA462" s="46"/>
      <c r="AM462" s="64"/>
      <c r="AO462" s="46"/>
      <c r="AQ462" s="67"/>
      <c r="AT462" s="46"/>
      <c r="AY462" s="57"/>
      <c r="AZ462" s="64"/>
      <c r="BA462" s="46"/>
      <c r="BB462" s="46"/>
      <c r="BC462" s="48"/>
      <c r="BF462" s="46"/>
      <c r="BL462" s="121"/>
      <c r="BM462" s="57"/>
      <c r="BN462" s="64"/>
      <c r="BO462" s="64"/>
      <c r="BP462" s="64"/>
      <c r="BQ462" s="64"/>
      <c r="BR462" s="57"/>
      <c r="BS462" s="64"/>
      <c r="BT462" s="64"/>
      <c r="BU462" s="64"/>
      <c r="BV462" s="46"/>
      <c r="BW462" s="298"/>
      <c r="BX462" s="294"/>
      <c r="BY462" s="295"/>
      <c r="CB462" s="299"/>
      <c r="CC462" s="299"/>
      <c r="CD462" s="299"/>
      <c r="CE462" s="299"/>
    </row>
    <row r="463" spans="2:83" x14ac:dyDescent="0.8">
      <c r="B463" s="46"/>
      <c r="C463" s="62"/>
      <c r="F463" s="70"/>
      <c r="G463" s="86"/>
      <c r="H463" s="70"/>
      <c r="I463" s="86"/>
      <c r="R463" s="58"/>
      <c r="S463" s="58"/>
      <c r="X463" s="57"/>
      <c r="Y463" s="46"/>
      <c r="Z463" s="57"/>
      <c r="AA463" s="46"/>
      <c r="AM463" s="64"/>
      <c r="AO463" s="46"/>
      <c r="AQ463" s="67"/>
      <c r="AT463" s="46"/>
      <c r="BC463" s="48"/>
      <c r="BF463" s="46"/>
      <c r="BL463" s="121"/>
      <c r="BM463" s="57"/>
      <c r="BN463" s="64"/>
      <c r="BO463" s="64"/>
      <c r="BP463" s="64"/>
      <c r="BQ463" s="64"/>
      <c r="BR463" s="57"/>
      <c r="BS463" s="64"/>
      <c r="BT463" s="64"/>
      <c r="BU463" s="64"/>
      <c r="BV463" s="46"/>
      <c r="BW463" s="298"/>
      <c r="BX463" s="294"/>
      <c r="BY463" s="295"/>
      <c r="CB463" s="299"/>
      <c r="CC463" s="299"/>
      <c r="CD463" s="299"/>
      <c r="CE463" s="299"/>
    </row>
    <row r="464" spans="2:83" x14ac:dyDescent="0.8">
      <c r="B464" s="46"/>
      <c r="C464" s="62"/>
      <c r="F464" s="70"/>
      <c r="G464" s="86"/>
      <c r="H464" s="70"/>
      <c r="I464" s="86"/>
      <c r="L464" s="117"/>
      <c r="M464" s="118"/>
      <c r="R464" s="58"/>
      <c r="S464" s="58"/>
      <c r="T464" s="140"/>
      <c r="V464" s="140"/>
      <c r="X464" s="135"/>
      <c r="Y464" s="139"/>
      <c r="AA464" s="136"/>
      <c r="AD464" s="140"/>
      <c r="AJ464" s="140"/>
      <c r="AL464" s="68"/>
      <c r="AQ464" s="67"/>
      <c r="AT464" s="46"/>
      <c r="AY464" s="57"/>
      <c r="AZ464" s="64"/>
      <c r="BA464" s="46"/>
      <c r="BB464" s="46"/>
      <c r="BC464" s="48"/>
      <c r="BF464" s="46"/>
      <c r="BL464" s="121"/>
      <c r="BM464" s="57"/>
      <c r="BN464" s="64"/>
      <c r="BO464" s="64"/>
      <c r="BP464" s="64"/>
      <c r="BQ464" s="64"/>
      <c r="BR464" s="57"/>
      <c r="BS464" s="64"/>
      <c r="BT464" s="64"/>
      <c r="BU464" s="64"/>
      <c r="BV464" s="46"/>
      <c r="BW464" s="298"/>
      <c r="BX464" s="294"/>
      <c r="BY464" s="295"/>
      <c r="CB464" s="299"/>
      <c r="CC464" s="299"/>
      <c r="CD464" s="299"/>
      <c r="CE464" s="299"/>
    </row>
    <row r="465" spans="2:83" x14ac:dyDescent="0.8">
      <c r="B465" s="46"/>
      <c r="C465" s="62"/>
      <c r="F465" s="70"/>
      <c r="G465" s="86"/>
      <c r="H465" s="70"/>
      <c r="I465" s="86"/>
      <c r="L465" s="117"/>
      <c r="M465" s="118"/>
      <c r="R465" s="58"/>
      <c r="S465" s="58"/>
      <c r="T465" s="140"/>
      <c r="X465" s="129"/>
      <c r="Y465" s="120"/>
      <c r="AL465" s="68"/>
      <c r="AQ465" s="67"/>
      <c r="AT465" s="46"/>
      <c r="AY465" s="57"/>
      <c r="AZ465" s="64"/>
      <c r="BA465" s="46"/>
      <c r="BB465" s="46"/>
      <c r="BC465" s="48"/>
      <c r="BF465" s="46"/>
      <c r="BL465" s="121"/>
      <c r="BM465" s="57"/>
      <c r="BN465" s="64"/>
      <c r="BO465" s="64"/>
      <c r="BP465" s="64"/>
      <c r="BQ465" s="64"/>
      <c r="BR465" s="57"/>
      <c r="BS465" s="64"/>
      <c r="BT465" s="64"/>
      <c r="BU465" s="64"/>
      <c r="BV465" s="46"/>
      <c r="BW465" s="298"/>
      <c r="BX465" s="294"/>
      <c r="BY465" s="295"/>
      <c r="CB465" s="299"/>
      <c r="CC465" s="299"/>
      <c r="CD465" s="299"/>
      <c r="CE465" s="299"/>
    </row>
    <row r="466" spans="2:83" x14ac:dyDescent="0.8">
      <c r="B466" s="46"/>
      <c r="C466" s="62"/>
      <c r="F466" s="70"/>
      <c r="G466" s="86"/>
      <c r="H466" s="70"/>
      <c r="I466" s="86"/>
      <c r="L466" s="117"/>
      <c r="M466" s="118"/>
      <c r="R466" s="58"/>
      <c r="S466" s="58"/>
      <c r="T466" s="140"/>
      <c r="X466" s="129"/>
      <c r="Y466" s="120"/>
      <c r="AL466" s="69"/>
      <c r="AN466" s="70"/>
      <c r="AQ466" s="67"/>
      <c r="AT466" s="46"/>
      <c r="AY466" s="57"/>
      <c r="AZ466" s="64"/>
      <c r="BA466" s="46"/>
      <c r="BB466" s="46"/>
      <c r="BC466" s="48"/>
      <c r="BF466" s="46"/>
      <c r="BL466" s="121"/>
      <c r="BM466" s="57"/>
      <c r="BN466" s="64"/>
      <c r="BO466" s="64"/>
      <c r="BP466" s="64"/>
      <c r="BQ466" s="64"/>
      <c r="BR466" s="57"/>
      <c r="BS466" s="64"/>
      <c r="BT466" s="64"/>
      <c r="BU466" s="64"/>
      <c r="BV466" s="46"/>
      <c r="BW466" s="298"/>
      <c r="BX466" s="294"/>
      <c r="BY466" s="295"/>
      <c r="CB466" s="299"/>
      <c r="CC466" s="299"/>
      <c r="CD466" s="299"/>
      <c r="CE466" s="299"/>
    </row>
    <row r="467" spans="2:83" x14ac:dyDescent="0.8">
      <c r="B467" s="46"/>
      <c r="C467" s="62"/>
      <c r="F467" s="70"/>
      <c r="G467" s="86"/>
      <c r="H467" s="70"/>
      <c r="I467" s="86"/>
      <c r="J467" s="71"/>
      <c r="K467" s="59"/>
      <c r="N467" s="58"/>
      <c r="O467" s="58"/>
      <c r="P467" s="58"/>
      <c r="Q467" s="59"/>
      <c r="R467" s="58"/>
      <c r="S467" s="58"/>
      <c r="T467" s="143"/>
      <c r="U467" s="144"/>
      <c r="V467" s="143"/>
      <c r="X467" s="135"/>
      <c r="Y467" s="136"/>
      <c r="AA467" s="136"/>
      <c r="AD467" s="143"/>
      <c r="AF467" s="71"/>
      <c r="AH467" s="71"/>
      <c r="AJ467" s="143"/>
      <c r="AL467" s="70"/>
      <c r="AM467" s="64"/>
      <c r="AN467" s="70"/>
      <c r="AP467" s="137"/>
      <c r="AQ467" s="67"/>
      <c r="AT467" s="46"/>
      <c r="BB467" s="46"/>
      <c r="BC467" s="48"/>
      <c r="BF467" s="46"/>
      <c r="BL467" s="121"/>
      <c r="BM467" s="57"/>
      <c r="BN467" s="64"/>
      <c r="BO467" s="64"/>
      <c r="BP467" s="64"/>
      <c r="BQ467" s="64"/>
      <c r="BR467" s="57"/>
      <c r="BS467" s="64"/>
      <c r="BT467" s="64"/>
      <c r="BU467" s="64"/>
      <c r="BV467" s="46"/>
      <c r="BW467" s="298"/>
      <c r="BX467" s="294"/>
      <c r="BY467" s="295"/>
      <c r="CB467" s="299"/>
      <c r="CC467" s="299"/>
      <c r="CD467" s="299"/>
      <c r="CE467" s="299"/>
    </row>
    <row r="468" spans="2:83" x14ac:dyDescent="0.8">
      <c r="B468" s="46"/>
      <c r="C468" s="62"/>
      <c r="F468" s="70"/>
      <c r="G468" s="86"/>
      <c r="H468" s="70"/>
      <c r="I468" s="86"/>
      <c r="R468" s="58"/>
      <c r="S468" s="58"/>
      <c r="X468" s="57"/>
      <c r="Y468" s="46"/>
      <c r="Z468" s="57"/>
      <c r="AA468" s="46"/>
      <c r="AL468" s="70"/>
      <c r="AM468" s="64"/>
      <c r="AN468" s="70"/>
      <c r="AO468" s="46"/>
      <c r="AQ468" s="67"/>
      <c r="AT468" s="46"/>
      <c r="BC468" s="48"/>
      <c r="BF468" s="46"/>
      <c r="BL468" s="121"/>
      <c r="BM468" s="57"/>
      <c r="BN468" s="64"/>
      <c r="BO468" s="64"/>
      <c r="BP468" s="64"/>
      <c r="BQ468" s="64"/>
      <c r="BR468" s="57"/>
      <c r="BS468" s="64"/>
      <c r="BT468" s="64"/>
      <c r="BU468" s="64"/>
      <c r="BV468" s="46"/>
      <c r="BW468" s="298"/>
      <c r="BX468" s="294"/>
      <c r="BY468" s="295"/>
      <c r="CB468" s="299"/>
      <c r="CC468" s="299"/>
      <c r="CD468" s="299"/>
      <c r="CE468" s="299"/>
    </row>
    <row r="469" spans="2:83" x14ac:dyDescent="0.8">
      <c r="B469" s="46"/>
      <c r="C469" s="62"/>
      <c r="F469" s="70"/>
      <c r="G469" s="86"/>
      <c r="H469" s="70"/>
      <c r="I469" s="86"/>
      <c r="L469" s="117"/>
      <c r="M469" s="118"/>
      <c r="R469" s="58"/>
      <c r="S469" s="58"/>
      <c r="T469" s="140"/>
      <c r="Y469" s="46"/>
      <c r="AQ469" s="67"/>
      <c r="AT469" s="46"/>
      <c r="AY469" s="57"/>
      <c r="AZ469" s="64"/>
      <c r="BA469" s="46"/>
      <c r="BB469" s="46"/>
      <c r="BC469" s="48"/>
      <c r="BF469" s="46"/>
      <c r="BL469" s="121"/>
      <c r="BM469" s="57"/>
      <c r="BN469" s="64"/>
      <c r="BO469" s="64"/>
      <c r="BP469" s="64"/>
      <c r="BQ469" s="64"/>
      <c r="BR469" s="57"/>
      <c r="BS469" s="64"/>
      <c r="BT469" s="64"/>
      <c r="BU469" s="64"/>
      <c r="BV469" s="46"/>
      <c r="BW469" s="298"/>
      <c r="BX469" s="294"/>
      <c r="BY469" s="295"/>
      <c r="CB469" s="299"/>
      <c r="CC469" s="299"/>
      <c r="CD469" s="299"/>
      <c r="CE469" s="299"/>
    </row>
    <row r="470" spans="2:83" x14ac:dyDescent="0.8">
      <c r="B470" s="46"/>
      <c r="C470" s="62"/>
      <c r="F470" s="70"/>
      <c r="G470" s="86"/>
      <c r="H470" s="70"/>
      <c r="I470" s="86"/>
      <c r="L470" s="117"/>
      <c r="M470" s="118"/>
      <c r="R470" s="58"/>
      <c r="S470" s="58"/>
      <c r="X470" s="87"/>
      <c r="Y470" s="120"/>
      <c r="AL470" s="69"/>
      <c r="AN470" s="70"/>
      <c r="AO470" s="46"/>
      <c r="AQ470" s="67"/>
      <c r="AT470" s="46"/>
      <c r="AY470" s="57"/>
      <c r="AZ470" s="64"/>
      <c r="BA470" s="46"/>
      <c r="BB470" s="46"/>
      <c r="BC470" s="48"/>
      <c r="BF470" s="46"/>
      <c r="BL470" s="121"/>
      <c r="BM470" s="57"/>
      <c r="BN470" s="64"/>
      <c r="BO470" s="64"/>
      <c r="BP470" s="64"/>
      <c r="BQ470" s="64"/>
      <c r="BR470" s="57"/>
      <c r="BS470" s="64"/>
      <c r="BT470" s="64"/>
      <c r="BU470" s="64"/>
      <c r="BV470" s="46"/>
      <c r="BW470" s="298"/>
      <c r="BX470" s="294"/>
      <c r="BY470" s="295"/>
      <c r="CB470" s="299"/>
      <c r="CC470" s="299"/>
      <c r="CD470" s="299"/>
      <c r="CE470" s="299"/>
    </row>
    <row r="471" spans="2:83" x14ac:dyDescent="0.8">
      <c r="B471" s="46"/>
      <c r="C471" s="62"/>
      <c r="F471" s="70"/>
      <c r="G471" s="86"/>
      <c r="H471" s="70"/>
      <c r="I471" s="86"/>
      <c r="J471" s="71"/>
      <c r="K471" s="59"/>
      <c r="N471" s="58"/>
      <c r="O471" s="58"/>
      <c r="P471" s="58"/>
      <c r="Q471" s="59"/>
      <c r="R471" s="58"/>
      <c r="S471" s="58"/>
      <c r="T471" s="71"/>
      <c r="V471" s="71"/>
      <c r="AD471" s="71"/>
      <c r="AF471" s="71"/>
      <c r="AH471" s="71"/>
      <c r="AJ471" s="71"/>
      <c r="AL471" s="69"/>
      <c r="AN471" s="70"/>
      <c r="AP471" s="137"/>
      <c r="AQ471" s="67"/>
      <c r="AT471" s="46"/>
      <c r="BB471" s="46"/>
      <c r="BC471" s="48"/>
      <c r="BF471" s="46"/>
      <c r="BL471" s="121"/>
      <c r="BM471" s="57"/>
      <c r="BN471" s="64"/>
      <c r="BO471" s="64"/>
      <c r="BP471" s="64"/>
      <c r="BQ471" s="64"/>
      <c r="BR471" s="57"/>
      <c r="BS471" s="64"/>
      <c r="BT471" s="64"/>
      <c r="BU471" s="64"/>
      <c r="BV471" s="46"/>
      <c r="BW471" s="298"/>
      <c r="BX471" s="294"/>
      <c r="BY471" s="295"/>
      <c r="CB471" s="299"/>
      <c r="CC471" s="299"/>
      <c r="CD471" s="299"/>
      <c r="CE471" s="299"/>
    </row>
    <row r="472" spans="2:83" x14ac:dyDescent="0.8">
      <c r="B472" s="46"/>
      <c r="C472" s="62"/>
      <c r="F472" s="70"/>
      <c r="G472" s="86"/>
      <c r="H472" s="70"/>
      <c r="I472" s="86"/>
      <c r="J472" s="64"/>
      <c r="K472" s="64"/>
      <c r="R472" s="58"/>
      <c r="S472" s="58"/>
      <c r="X472" s="57"/>
      <c r="Y472" s="46"/>
      <c r="Z472" s="57"/>
      <c r="AA472" s="46"/>
      <c r="AL472" s="69"/>
      <c r="AN472" s="70"/>
      <c r="AO472" s="46"/>
      <c r="AQ472" s="67"/>
      <c r="AT472" s="46"/>
      <c r="BC472" s="48"/>
      <c r="BF472" s="46"/>
      <c r="BL472" s="121"/>
      <c r="BM472" s="57"/>
      <c r="BN472" s="64"/>
      <c r="BO472" s="64"/>
      <c r="BP472" s="64"/>
      <c r="BQ472" s="64"/>
      <c r="BR472" s="57"/>
      <c r="BS472" s="64"/>
      <c r="BT472" s="64"/>
      <c r="BU472" s="64"/>
      <c r="BV472" s="46"/>
      <c r="BW472" s="298"/>
      <c r="BX472" s="294"/>
      <c r="BY472" s="295"/>
      <c r="CB472" s="299"/>
      <c r="CC472" s="299"/>
      <c r="CD472" s="299"/>
      <c r="CE472" s="299"/>
    </row>
    <row r="473" spans="2:83" x14ac:dyDescent="0.8">
      <c r="B473" s="46"/>
      <c r="C473" s="62"/>
      <c r="F473" s="70"/>
      <c r="G473" s="86"/>
      <c r="H473" s="70"/>
      <c r="I473" s="86"/>
      <c r="X473" s="64"/>
      <c r="Y473" s="46"/>
      <c r="Z473" s="57"/>
      <c r="AA473" s="46"/>
      <c r="AB473" s="177"/>
      <c r="AC473" s="178"/>
      <c r="AM473" s="64"/>
      <c r="AO473" s="46"/>
      <c r="AQ473" s="67"/>
      <c r="AT473" s="46"/>
      <c r="AY473" s="57"/>
      <c r="AZ473" s="64"/>
      <c r="BA473" s="46"/>
      <c r="BB473" s="46"/>
      <c r="BC473" s="48"/>
      <c r="BF473" s="46"/>
      <c r="BL473" s="121"/>
      <c r="BM473" s="57"/>
      <c r="BN473" s="64"/>
      <c r="BO473" s="64"/>
      <c r="BP473" s="64"/>
      <c r="BQ473" s="64"/>
      <c r="BR473" s="57"/>
      <c r="BS473" s="64"/>
      <c r="BT473" s="64"/>
      <c r="BU473" s="64"/>
      <c r="BV473" s="46"/>
      <c r="BW473" s="298"/>
      <c r="BX473" s="294"/>
      <c r="BY473" s="295"/>
      <c r="CB473" s="299"/>
      <c r="CC473" s="299"/>
      <c r="CD473" s="299"/>
      <c r="CE473" s="299"/>
    </row>
    <row r="474" spans="2:83" x14ac:dyDescent="0.8">
      <c r="B474" s="46"/>
      <c r="C474" s="62"/>
      <c r="F474" s="70"/>
      <c r="G474" s="86"/>
      <c r="H474" s="70"/>
      <c r="I474" s="86"/>
      <c r="K474" s="59"/>
      <c r="N474" s="58"/>
      <c r="O474" s="58"/>
      <c r="P474" s="58"/>
      <c r="Q474" s="59"/>
      <c r="R474" s="58"/>
      <c r="S474" s="58"/>
      <c r="T474" s="143"/>
      <c r="V474" s="71"/>
      <c r="X474" s="179"/>
      <c r="Y474" s="136"/>
      <c r="AD474" s="71"/>
      <c r="AF474" s="71"/>
      <c r="AH474" s="71"/>
      <c r="AJ474" s="71"/>
      <c r="AL474" s="69"/>
      <c r="AN474" s="70"/>
      <c r="AP474" s="137"/>
      <c r="AQ474" s="67"/>
      <c r="AT474" s="46"/>
      <c r="AY474" s="57"/>
      <c r="AZ474" s="64"/>
      <c r="BA474" s="46"/>
      <c r="BB474" s="46"/>
      <c r="BC474" s="48"/>
      <c r="BF474" s="46"/>
      <c r="BL474" s="121"/>
      <c r="BM474" s="57"/>
      <c r="BN474" s="64"/>
      <c r="BO474" s="64"/>
      <c r="BP474" s="64"/>
      <c r="BQ474" s="64"/>
      <c r="BR474" s="57"/>
      <c r="BS474" s="64"/>
      <c r="BT474" s="64"/>
      <c r="BU474" s="64"/>
      <c r="BV474" s="46"/>
      <c r="BW474" s="298"/>
      <c r="BX474" s="294"/>
      <c r="BY474" s="295"/>
      <c r="CB474" s="299"/>
      <c r="CC474" s="299"/>
      <c r="CD474" s="299"/>
      <c r="CE474" s="299"/>
    </row>
    <row r="475" spans="2:83" x14ac:dyDescent="0.8">
      <c r="B475" s="46"/>
      <c r="C475" s="62"/>
      <c r="F475" s="70"/>
      <c r="G475" s="86"/>
      <c r="H475" s="70"/>
      <c r="I475" s="86"/>
      <c r="U475" s="144"/>
      <c r="V475" s="140"/>
      <c r="X475" s="140"/>
      <c r="Y475" s="144"/>
      <c r="Z475" s="140"/>
      <c r="AA475" s="144"/>
      <c r="AD475" s="140"/>
      <c r="AM475" s="64"/>
      <c r="AO475" s="46"/>
      <c r="AQ475" s="67"/>
      <c r="AT475" s="46"/>
      <c r="BC475" s="48"/>
      <c r="BF475" s="46"/>
      <c r="BL475" s="121"/>
      <c r="BM475" s="57"/>
      <c r="BN475" s="64"/>
      <c r="BO475" s="64"/>
      <c r="BP475" s="64"/>
      <c r="BQ475" s="64"/>
      <c r="BR475" s="57"/>
      <c r="BS475" s="64"/>
      <c r="BT475" s="64"/>
      <c r="BU475" s="64"/>
      <c r="BV475" s="46"/>
      <c r="BW475" s="298"/>
      <c r="BX475" s="294"/>
      <c r="BY475" s="295"/>
      <c r="CB475" s="299"/>
      <c r="CC475" s="299"/>
      <c r="CD475" s="299"/>
      <c r="CE475" s="299"/>
    </row>
    <row r="476" spans="2:83" x14ac:dyDescent="0.8">
      <c r="B476" s="46"/>
      <c r="C476" s="62"/>
      <c r="F476" s="70"/>
      <c r="G476" s="86"/>
      <c r="R476" s="58"/>
      <c r="S476" s="58"/>
      <c r="X476" s="57"/>
      <c r="Y476" s="46"/>
      <c r="Z476" s="57"/>
      <c r="AA476" s="46"/>
      <c r="AM476" s="64"/>
      <c r="AO476" s="46"/>
      <c r="AQ476" s="67"/>
      <c r="AT476" s="46"/>
      <c r="AY476" s="57"/>
      <c r="AZ476" s="64"/>
      <c r="BA476" s="46"/>
      <c r="BB476" s="46"/>
      <c r="BC476" s="48"/>
      <c r="BF476" s="46"/>
      <c r="BL476" s="121"/>
      <c r="BM476" s="57"/>
      <c r="BN476" s="64"/>
      <c r="BO476" s="64"/>
      <c r="BP476" s="64"/>
      <c r="BQ476" s="64"/>
      <c r="BR476" s="57"/>
      <c r="BS476" s="64"/>
      <c r="BT476" s="64"/>
      <c r="BU476" s="64"/>
      <c r="BV476" s="46"/>
      <c r="BW476" s="298"/>
      <c r="BX476" s="294"/>
      <c r="BY476" s="295"/>
      <c r="CB476" s="299"/>
      <c r="CC476" s="299"/>
      <c r="CD476" s="299"/>
      <c r="CE476" s="299"/>
    </row>
    <row r="477" spans="2:83" x14ac:dyDescent="0.8">
      <c r="B477" s="46"/>
      <c r="C477" s="62"/>
      <c r="L477" s="117"/>
      <c r="M477" s="118"/>
      <c r="AQ477" s="67"/>
      <c r="AT477" s="46"/>
      <c r="AY477" s="57"/>
      <c r="AZ477" s="64"/>
      <c r="BA477" s="46"/>
      <c r="BB477" s="46"/>
      <c r="BC477" s="48"/>
      <c r="BF477" s="46"/>
      <c r="BL477" s="121"/>
      <c r="BM477" s="57"/>
      <c r="BN477" s="64"/>
      <c r="BO477" s="64"/>
      <c r="BP477" s="64"/>
      <c r="BQ477" s="64"/>
      <c r="BR477" s="57"/>
      <c r="BS477" s="64"/>
      <c r="BT477" s="64"/>
      <c r="BU477" s="64"/>
      <c r="BV477" s="46"/>
      <c r="BW477" s="298"/>
      <c r="BX477" s="294"/>
      <c r="BY477" s="295"/>
      <c r="CB477" s="299"/>
      <c r="CC477" s="299"/>
      <c r="CD477" s="299"/>
      <c r="CE477" s="299"/>
    </row>
    <row r="478" spans="2:83" x14ac:dyDescent="0.8">
      <c r="B478" s="46"/>
      <c r="C478" s="62"/>
      <c r="L478" s="117"/>
      <c r="M478" s="118"/>
      <c r="T478" s="140"/>
      <c r="X478" s="129"/>
      <c r="Y478" s="120"/>
      <c r="AL478" s="70"/>
      <c r="AM478" s="64"/>
      <c r="AN478" s="70"/>
      <c r="AQ478" s="67"/>
      <c r="AT478" s="46"/>
      <c r="AY478" s="57"/>
      <c r="AZ478" s="64"/>
      <c r="BA478" s="46"/>
      <c r="BB478" s="46"/>
      <c r="BC478" s="48"/>
      <c r="BF478" s="46"/>
      <c r="BL478" s="121"/>
      <c r="BM478" s="57"/>
      <c r="BN478" s="64"/>
      <c r="BO478" s="64"/>
      <c r="BP478" s="64"/>
      <c r="BQ478" s="64"/>
      <c r="BR478" s="57"/>
      <c r="BS478" s="64"/>
      <c r="BT478" s="64"/>
      <c r="BU478" s="64"/>
      <c r="BV478" s="46"/>
      <c r="BW478" s="298"/>
      <c r="BX478" s="294"/>
      <c r="BY478" s="295"/>
      <c r="CB478" s="299"/>
      <c r="CC478" s="299"/>
      <c r="CD478" s="299"/>
      <c r="CE478" s="299"/>
    </row>
    <row r="479" spans="2:83" x14ac:dyDescent="0.8">
      <c r="B479" s="46"/>
      <c r="C479" s="62"/>
      <c r="L479" s="117"/>
      <c r="M479" s="118"/>
      <c r="X479" s="87"/>
      <c r="Y479" s="120"/>
      <c r="AQ479" s="67"/>
      <c r="AT479" s="46"/>
      <c r="AY479" s="57"/>
      <c r="AZ479" s="64"/>
      <c r="BA479" s="46"/>
      <c r="BB479" s="46"/>
      <c r="BC479" s="48"/>
      <c r="BF479" s="46"/>
      <c r="BL479" s="121"/>
      <c r="BM479" s="57"/>
      <c r="BN479" s="64"/>
      <c r="BO479" s="64"/>
      <c r="BP479" s="64"/>
      <c r="BQ479" s="64"/>
      <c r="BR479" s="57"/>
      <c r="BS479" s="64"/>
      <c r="BT479" s="64"/>
      <c r="BU479" s="64"/>
      <c r="BV479" s="46"/>
      <c r="BW479" s="298"/>
      <c r="BX479" s="294"/>
      <c r="BY479" s="295"/>
      <c r="CB479" s="299"/>
      <c r="CC479" s="299"/>
      <c r="CD479" s="299"/>
      <c r="CE479" s="299"/>
    </row>
    <row r="480" spans="2:83" x14ac:dyDescent="0.8">
      <c r="B480" s="46"/>
      <c r="C480" s="62"/>
      <c r="R480" s="58"/>
      <c r="S480" s="58"/>
      <c r="AQ480" s="67"/>
      <c r="AT480" s="46"/>
      <c r="AY480" s="57"/>
      <c r="AZ480" s="64"/>
      <c r="BA480" s="46"/>
      <c r="BB480" s="46"/>
      <c r="BC480" s="48"/>
      <c r="BF480" s="46"/>
      <c r="BL480" s="121"/>
      <c r="BM480" s="57"/>
      <c r="BN480" s="64"/>
      <c r="BO480" s="64"/>
      <c r="BP480" s="64"/>
      <c r="BQ480" s="64"/>
      <c r="BR480" s="57"/>
      <c r="BS480" s="64"/>
      <c r="BT480" s="64"/>
      <c r="BU480" s="64"/>
      <c r="BV480" s="46"/>
      <c r="BW480" s="298"/>
      <c r="BX480" s="294"/>
      <c r="BY480" s="295"/>
      <c r="CB480" s="299"/>
      <c r="CC480" s="299"/>
      <c r="CD480" s="299"/>
      <c r="CE480" s="299"/>
    </row>
    <row r="481" spans="2:83" x14ac:dyDescent="0.8">
      <c r="B481" s="46"/>
      <c r="C481" s="62"/>
      <c r="F481" s="70"/>
      <c r="G481" s="86"/>
      <c r="L481" s="117"/>
      <c r="M481" s="118"/>
      <c r="R481" s="58"/>
      <c r="S481" s="58"/>
      <c r="AD481" s="153"/>
      <c r="AQ481" s="67"/>
      <c r="AT481" s="46"/>
      <c r="AY481" s="57"/>
      <c r="AZ481" s="64"/>
      <c r="BA481" s="46"/>
      <c r="BB481" s="46"/>
      <c r="BC481" s="48"/>
      <c r="BF481" s="46"/>
      <c r="BL481" s="121"/>
      <c r="BM481" s="57"/>
      <c r="BN481" s="64"/>
      <c r="BO481" s="64"/>
      <c r="BP481" s="64"/>
      <c r="BQ481" s="64"/>
      <c r="BR481" s="57"/>
      <c r="BS481" s="64"/>
      <c r="BT481" s="64"/>
      <c r="BU481" s="64"/>
      <c r="BV481" s="46"/>
      <c r="BW481" s="298"/>
      <c r="BX481" s="294"/>
      <c r="BY481" s="295"/>
      <c r="CB481" s="299"/>
      <c r="CC481" s="299"/>
      <c r="CD481" s="299"/>
      <c r="CE481" s="299"/>
    </row>
    <row r="482" spans="2:83" x14ac:dyDescent="0.8">
      <c r="B482" s="46"/>
      <c r="C482" s="62"/>
      <c r="L482" s="117"/>
      <c r="M482" s="118"/>
      <c r="T482" s="140"/>
      <c r="X482" s="129"/>
      <c r="Y482" s="120"/>
      <c r="AQ482" s="67"/>
      <c r="AT482" s="46"/>
      <c r="AY482" s="57"/>
      <c r="AZ482" s="64"/>
      <c r="BA482" s="46"/>
      <c r="BB482" s="46"/>
      <c r="BC482" s="48"/>
      <c r="BF482" s="46"/>
      <c r="BL482" s="121"/>
      <c r="BM482" s="57"/>
      <c r="BN482" s="64"/>
      <c r="BO482" s="64"/>
      <c r="BP482" s="64"/>
      <c r="BQ482" s="64"/>
      <c r="BR482" s="57"/>
      <c r="BS482" s="64"/>
      <c r="BT482" s="64"/>
      <c r="BU482" s="64"/>
      <c r="BV482" s="46"/>
      <c r="BW482" s="298"/>
      <c r="BX482" s="294"/>
      <c r="BY482" s="295"/>
      <c r="CB482" s="299"/>
      <c r="CC482" s="299"/>
      <c r="CD482" s="299"/>
      <c r="CE482" s="299"/>
    </row>
    <row r="483" spans="2:83" x14ac:dyDescent="0.8">
      <c r="B483" s="46"/>
      <c r="C483" s="62"/>
      <c r="F483" s="70"/>
      <c r="G483" s="86"/>
      <c r="X483" s="57"/>
      <c r="Y483" s="46"/>
      <c r="Z483" s="57"/>
      <c r="AA483" s="46"/>
      <c r="AM483" s="64"/>
      <c r="AO483" s="46"/>
      <c r="AQ483" s="67"/>
      <c r="AT483" s="46"/>
      <c r="AY483" s="57"/>
      <c r="AZ483" s="64"/>
      <c r="BA483" s="46"/>
      <c r="BB483" s="46"/>
      <c r="BC483" s="48"/>
      <c r="BF483" s="46"/>
      <c r="BL483" s="121"/>
      <c r="BM483" s="57"/>
      <c r="BN483" s="64"/>
      <c r="BO483" s="64"/>
      <c r="BP483" s="64"/>
      <c r="BQ483" s="64"/>
      <c r="BR483" s="57"/>
      <c r="BS483" s="64"/>
      <c r="BT483" s="64"/>
      <c r="BU483" s="64"/>
      <c r="BV483" s="46"/>
      <c r="BW483" s="298"/>
      <c r="BX483" s="294"/>
      <c r="BY483" s="295"/>
      <c r="CB483" s="299"/>
      <c r="CC483" s="299"/>
      <c r="CD483" s="299"/>
      <c r="CE483" s="299"/>
    </row>
    <row r="484" spans="2:83" x14ac:dyDescent="0.8">
      <c r="B484" s="46"/>
      <c r="C484" s="62"/>
      <c r="L484" s="117"/>
      <c r="M484" s="118"/>
      <c r="R484" s="58"/>
      <c r="S484" s="58"/>
      <c r="AA484" s="46"/>
      <c r="AL484" s="68"/>
      <c r="AM484" s="64"/>
      <c r="AQ484" s="67"/>
      <c r="AT484" s="46"/>
      <c r="AY484" s="57"/>
      <c r="AZ484" s="64"/>
      <c r="BA484" s="46"/>
      <c r="BB484" s="46"/>
      <c r="BC484" s="48"/>
      <c r="BF484" s="46"/>
      <c r="BL484" s="121"/>
      <c r="BM484" s="57"/>
      <c r="BN484" s="64"/>
      <c r="BO484" s="64"/>
      <c r="BP484" s="64"/>
      <c r="BQ484" s="64"/>
      <c r="BR484" s="57"/>
      <c r="BS484" s="64"/>
      <c r="BT484" s="64"/>
      <c r="BU484" s="64"/>
      <c r="BV484" s="46"/>
      <c r="BW484" s="298"/>
      <c r="BX484" s="294"/>
      <c r="BY484" s="295"/>
      <c r="CB484" s="299"/>
      <c r="CC484" s="299"/>
      <c r="CD484" s="299"/>
      <c r="CE484" s="299"/>
    </row>
    <row r="485" spans="2:83" x14ac:dyDescent="0.8">
      <c r="B485" s="46"/>
      <c r="C485" s="62"/>
      <c r="J485" s="71"/>
      <c r="K485" s="59"/>
      <c r="N485" s="58"/>
      <c r="O485" s="58"/>
      <c r="P485" s="58"/>
      <c r="Q485" s="59"/>
      <c r="R485" s="58"/>
      <c r="S485" s="58"/>
      <c r="T485" s="71"/>
      <c r="V485" s="71"/>
      <c r="AD485" s="71"/>
      <c r="AF485" s="71"/>
      <c r="AH485" s="71"/>
      <c r="AJ485" s="71"/>
      <c r="AP485" s="137"/>
      <c r="AQ485" s="67"/>
      <c r="AT485" s="46"/>
      <c r="AY485" s="57"/>
      <c r="AZ485" s="64"/>
      <c r="BA485" s="46"/>
      <c r="BB485" s="46"/>
      <c r="BC485" s="48"/>
      <c r="BF485" s="46"/>
      <c r="BL485" s="121"/>
      <c r="BM485" s="57"/>
      <c r="BN485" s="64"/>
      <c r="BO485" s="64"/>
      <c r="BP485" s="64"/>
      <c r="BQ485" s="64"/>
      <c r="BR485" s="57"/>
      <c r="BS485" s="64"/>
      <c r="BT485" s="64"/>
      <c r="BU485" s="64"/>
      <c r="BV485" s="46"/>
      <c r="BW485" s="298"/>
      <c r="BX485" s="294"/>
      <c r="BY485" s="295"/>
      <c r="CB485" s="299"/>
      <c r="CC485" s="299"/>
      <c r="CD485" s="299"/>
      <c r="CE485" s="299"/>
    </row>
    <row r="486" spans="2:83" x14ac:dyDescent="0.8">
      <c r="B486" s="46"/>
      <c r="C486" s="62"/>
      <c r="L486" s="117"/>
      <c r="M486" s="118"/>
      <c r="T486" s="140"/>
      <c r="X486" s="129"/>
      <c r="Y486" s="120"/>
      <c r="AL486" s="68"/>
      <c r="AM486" s="64"/>
      <c r="AQ486" s="67"/>
      <c r="AT486" s="46"/>
      <c r="AY486" s="57"/>
      <c r="AZ486" s="64"/>
      <c r="BA486" s="46"/>
      <c r="BB486" s="46"/>
      <c r="BC486" s="48"/>
      <c r="BF486" s="46"/>
      <c r="BL486" s="121"/>
      <c r="BM486" s="57"/>
      <c r="BN486" s="64"/>
      <c r="BO486" s="64"/>
      <c r="BP486" s="64"/>
      <c r="BQ486" s="64"/>
      <c r="BR486" s="57"/>
      <c r="BS486" s="64"/>
      <c r="BT486" s="64"/>
      <c r="BU486" s="64"/>
      <c r="BV486" s="46"/>
      <c r="BW486" s="298"/>
      <c r="BX486" s="294"/>
      <c r="BY486" s="295"/>
      <c r="CB486" s="299"/>
      <c r="CC486" s="299"/>
      <c r="CD486" s="299"/>
      <c r="CE486" s="299"/>
    </row>
    <row r="487" spans="2:83" x14ac:dyDescent="0.8">
      <c r="B487" s="46"/>
      <c r="C487" s="62"/>
      <c r="R487" s="58"/>
      <c r="S487" s="58"/>
      <c r="X487" s="57"/>
      <c r="Y487" s="46"/>
      <c r="Z487" s="57"/>
      <c r="AA487" s="46"/>
      <c r="AO487" s="46"/>
      <c r="AQ487" s="67"/>
      <c r="AT487" s="46"/>
      <c r="AY487" s="57"/>
      <c r="AZ487" s="64"/>
      <c r="BA487" s="46"/>
      <c r="BB487" s="46"/>
      <c r="BC487" s="48"/>
      <c r="BF487" s="46"/>
      <c r="BL487" s="121"/>
      <c r="BM487" s="57"/>
      <c r="BN487" s="64"/>
      <c r="BO487" s="64"/>
      <c r="BP487" s="64"/>
      <c r="BQ487" s="64"/>
      <c r="BR487" s="57"/>
      <c r="BS487" s="64"/>
      <c r="BT487" s="64"/>
      <c r="BU487" s="64"/>
      <c r="BV487" s="46"/>
      <c r="BW487" s="298"/>
      <c r="BX487" s="294"/>
      <c r="BY487" s="295"/>
      <c r="CB487" s="299"/>
      <c r="CC487" s="299"/>
      <c r="CD487" s="299"/>
      <c r="CE487" s="299"/>
    </row>
    <row r="488" spans="2:83" x14ac:dyDescent="0.8">
      <c r="B488" s="46"/>
      <c r="C488" s="62"/>
      <c r="J488" s="64"/>
      <c r="K488" s="64"/>
      <c r="L488" s="117"/>
      <c r="M488" s="118"/>
      <c r="R488" s="58"/>
      <c r="S488" s="58"/>
      <c r="X488" s="87"/>
      <c r="Y488" s="120"/>
      <c r="AL488" s="68"/>
      <c r="AM488" s="64"/>
      <c r="AO488" s="46"/>
      <c r="AQ488" s="67"/>
      <c r="AT488" s="46"/>
      <c r="AY488" s="57"/>
      <c r="AZ488" s="64"/>
      <c r="BA488" s="46"/>
      <c r="BB488" s="46"/>
      <c r="BC488" s="48"/>
      <c r="BF488" s="46"/>
      <c r="BL488" s="121"/>
      <c r="BM488" s="57"/>
      <c r="BN488" s="64"/>
      <c r="BO488" s="64"/>
      <c r="BP488" s="64"/>
      <c r="BQ488" s="64"/>
      <c r="BR488" s="57"/>
      <c r="BS488" s="64"/>
      <c r="BT488" s="64"/>
      <c r="BU488" s="64"/>
      <c r="BV488" s="46"/>
      <c r="BW488" s="298"/>
      <c r="BX488" s="294"/>
      <c r="BY488" s="295"/>
      <c r="CB488" s="299"/>
      <c r="CC488" s="299"/>
      <c r="CD488" s="299"/>
      <c r="CE488" s="299"/>
    </row>
    <row r="489" spans="2:83" x14ac:dyDescent="0.8">
      <c r="B489" s="46"/>
      <c r="C489" s="62"/>
      <c r="F489" s="70"/>
      <c r="G489" s="86"/>
      <c r="R489" s="58"/>
      <c r="S489" s="58"/>
      <c r="X489" s="64"/>
      <c r="Y489" s="46"/>
      <c r="Z489" s="57"/>
      <c r="AA489" s="46"/>
      <c r="AO489" s="46"/>
      <c r="AQ489" s="67"/>
      <c r="AT489" s="46"/>
      <c r="AY489" s="57"/>
      <c r="AZ489" s="64"/>
      <c r="BA489" s="46"/>
      <c r="BB489" s="46"/>
      <c r="BC489" s="48"/>
      <c r="BF489" s="46"/>
      <c r="BL489" s="121"/>
      <c r="BM489" s="57"/>
      <c r="BN489" s="64"/>
      <c r="BO489" s="64"/>
      <c r="BP489" s="64"/>
      <c r="BQ489" s="64"/>
      <c r="BR489" s="57"/>
      <c r="BS489" s="64"/>
      <c r="BT489" s="64"/>
      <c r="BU489" s="64"/>
      <c r="BV489" s="46"/>
      <c r="BW489" s="298"/>
      <c r="BX489" s="294"/>
      <c r="BY489" s="295"/>
      <c r="CB489" s="299"/>
      <c r="CC489" s="299"/>
      <c r="CD489" s="299"/>
      <c r="CE489" s="299"/>
    </row>
    <row r="490" spans="2:83" x14ac:dyDescent="0.8">
      <c r="B490" s="46"/>
      <c r="C490" s="62"/>
      <c r="F490" s="70"/>
      <c r="G490" s="86"/>
      <c r="H490" s="70"/>
      <c r="I490" s="86"/>
      <c r="J490" s="71"/>
      <c r="K490" s="59"/>
      <c r="N490" s="58"/>
      <c r="O490" s="58"/>
      <c r="P490" s="58"/>
      <c r="Q490" s="59"/>
      <c r="R490" s="58"/>
      <c r="S490" s="58"/>
      <c r="T490" s="143"/>
      <c r="U490" s="144"/>
      <c r="V490" s="143"/>
      <c r="X490" s="176"/>
      <c r="Y490" s="136"/>
      <c r="AA490" s="136"/>
      <c r="AD490" s="143"/>
      <c r="AF490" s="71"/>
      <c r="AH490" s="71"/>
      <c r="AJ490" s="143"/>
      <c r="AL490" s="71"/>
      <c r="AN490" s="71"/>
      <c r="AP490" s="137"/>
      <c r="AQ490" s="67"/>
      <c r="AT490" s="46"/>
      <c r="AY490" s="57"/>
      <c r="AZ490" s="64"/>
      <c r="BA490" s="46"/>
      <c r="BB490" s="46"/>
      <c r="BC490" s="48"/>
      <c r="BF490" s="46"/>
      <c r="BL490" s="121"/>
      <c r="BM490" s="57"/>
      <c r="BN490" s="64"/>
      <c r="BO490" s="64"/>
      <c r="BP490" s="64"/>
      <c r="BQ490" s="64"/>
      <c r="BR490" s="57"/>
      <c r="BS490" s="64"/>
      <c r="BT490" s="64"/>
      <c r="BU490" s="64"/>
      <c r="BV490" s="46"/>
      <c r="BW490" s="298"/>
      <c r="BX490" s="294"/>
      <c r="BY490" s="295"/>
      <c r="CB490" s="299"/>
      <c r="CC490" s="299"/>
      <c r="CD490" s="299"/>
      <c r="CE490" s="299"/>
    </row>
    <row r="491" spans="2:83" x14ac:dyDescent="0.8">
      <c r="B491" s="46"/>
      <c r="C491" s="62"/>
      <c r="F491" s="70"/>
      <c r="G491" s="86"/>
      <c r="H491" s="70"/>
      <c r="I491" s="86"/>
      <c r="L491" s="117"/>
      <c r="M491" s="118"/>
      <c r="R491" s="58"/>
      <c r="S491" s="58"/>
      <c r="T491" s="140"/>
      <c r="X491" s="58"/>
      <c r="AQ491" s="67"/>
      <c r="AT491" s="46"/>
      <c r="AY491" s="57"/>
      <c r="AZ491" s="64"/>
      <c r="BA491" s="46"/>
      <c r="BB491" s="46"/>
      <c r="BC491" s="48"/>
      <c r="BF491" s="46"/>
      <c r="BL491" s="121"/>
      <c r="BM491" s="57"/>
      <c r="BN491" s="64"/>
      <c r="BO491" s="64"/>
      <c r="BP491" s="64"/>
      <c r="BQ491" s="64"/>
      <c r="BR491" s="57"/>
      <c r="BS491" s="64"/>
      <c r="BT491" s="64"/>
      <c r="BU491" s="64"/>
      <c r="BV491" s="46"/>
      <c r="BW491" s="298"/>
      <c r="BX491" s="294"/>
      <c r="BY491" s="295"/>
      <c r="CB491" s="299"/>
      <c r="CC491" s="299"/>
      <c r="CD491" s="299"/>
      <c r="CE491" s="299"/>
    </row>
    <row r="492" spans="2:83" x14ac:dyDescent="0.8">
      <c r="B492" s="46"/>
      <c r="C492" s="62"/>
      <c r="F492" s="70"/>
      <c r="G492" s="86"/>
      <c r="H492" s="70"/>
      <c r="I492" s="86"/>
      <c r="J492" s="141"/>
      <c r="K492" s="263"/>
      <c r="R492" s="58"/>
      <c r="S492" s="58"/>
      <c r="X492" s="57"/>
      <c r="Y492" s="46"/>
      <c r="Z492" s="57"/>
      <c r="AA492" s="46"/>
      <c r="AO492" s="46"/>
      <c r="AQ492" s="67"/>
      <c r="AT492" s="46"/>
      <c r="BC492" s="48"/>
      <c r="BF492" s="46"/>
      <c r="BL492" s="121"/>
      <c r="BM492" s="57"/>
      <c r="BN492" s="64"/>
      <c r="BO492" s="64"/>
      <c r="BP492" s="64"/>
      <c r="BQ492" s="64"/>
      <c r="BR492" s="57"/>
      <c r="BS492" s="64"/>
      <c r="BT492" s="64"/>
      <c r="BU492" s="64"/>
      <c r="BV492" s="46"/>
      <c r="BW492" s="298"/>
      <c r="BX492" s="294"/>
      <c r="BY492" s="295"/>
      <c r="CB492" s="299"/>
      <c r="CC492" s="299"/>
      <c r="CD492" s="299"/>
      <c r="CE492" s="299"/>
    </row>
    <row r="493" spans="2:83" x14ac:dyDescent="0.8">
      <c r="B493" s="46"/>
      <c r="C493" s="62"/>
      <c r="F493" s="70"/>
      <c r="G493" s="86"/>
      <c r="H493" s="70"/>
      <c r="I493" s="86"/>
      <c r="L493" s="117"/>
      <c r="M493" s="118"/>
      <c r="R493" s="58"/>
      <c r="S493" s="58"/>
      <c r="T493" s="140"/>
      <c r="V493" s="140"/>
      <c r="X493" s="135"/>
      <c r="Y493" s="139"/>
      <c r="AA493" s="136"/>
      <c r="AD493" s="140"/>
      <c r="AJ493" s="140"/>
      <c r="AL493" s="68"/>
      <c r="AM493" s="64"/>
      <c r="AQ493" s="67"/>
      <c r="AT493" s="46"/>
      <c r="AY493" s="57"/>
      <c r="AZ493" s="64"/>
      <c r="BA493" s="46"/>
      <c r="BB493" s="46"/>
      <c r="BC493" s="48"/>
      <c r="BF493" s="46"/>
      <c r="BL493" s="121"/>
      <c r="BM493" s="57"/>
      <c r="BN493" s="64"/>
      <c r="BO493" s="64"/>
      <c r="BP493" s="64"/>
      <c r="BQ493" s="64"/>
      <c r="BR493" s="57"/>
      <c r="BS493" s="64"/>
      <c r="BT493" s="64"/>
      <c r="BU493" s="64"/>
      <c r="BV493" s="46"/>
      <c r="BW493" s="298"/>
      <c r="BX493" s="294"/>
      <c r="BY493" s="295"/>
      <c r="CB493" s="299"/>
      <c r="CC493" s="299"/>
      <c r="CD493" s="299"/>
      <c r="CE493" s="299"/>
    </row>
    <row r="494" spans="2:83" x14ac:dyDescent="0.8">
      <c r="B494" s="46"/>
      <c r="C494" s="62"/>
      <c r="F494" s="70"/>
      <c r="G494" s="86"/>
      <c r="H494" s="70"/>
      <c r="I494" s="86"/>
      <c r="R494" s="58"/>
      <c r="S494" s="58"/>
      <c r="X494" s="57"/>
      <c r="Y494" s="46"/>
      <c r="Z494" s="57"/>
      <c r="AA494" s="46"/>
      <c r="AM494" s="64"/>
      <c r="AO494" s="46"/>
      <c r="AQ494" s="67"/>
      <c r="AT494" s="46"/>
      <c r="AY494" s="57"/>
      <c r="AZ494" s="64"/>
      <c r="BA494" s="46"/>
      <c r="BC494" s="48"/>
      <c r="BF494" s="46"/>
      <c r="BL494" s="121"/>
      <c r="BM494" s="57"/>
      <c r="BN494" s="64"/>
      <c r="BO494" s="64"/>
      <c r="BP494" s="64"/>
      <c r="BQ494" s="64"/>
      <c r="BR494" s="57"/>
      <c r="BS494" s="64"/>
      <c r="BT494" s="64"/>
      <c r="BU494" s="64"/>
      <c r="BV494" s="46"/>
      <c r="BW494" s="298"/>
      <c r="BX494" s="294"/>
      <c r="BY494" s="295"/>
      <c r="CB494" s="299"/>
      <c r="CC494" s="299"/>
      <c r="CD494" s="299"/>
      <c r="CE494" s="299"/>
    </row>
    <row r="495" spans="2:83" x14ac:dyDescent="0.8">
      <c r="B495" s="46"/>
      <c r="C495" s="62"/>
      <c r="F495" s="70"/>
      <c r="G495" s="86"/>
      <c r="H495" s="70"/>
      <c r="I495" s="86"/>
      <c r="L495" s="117"/>
      <c r="M495" s="118"/>
      <c r="R495" s="58"/>
      <c r="S495" s="58"/>
      <c r="T495" s="140"/>
      <c r="X495" s="129"/>
      <c r="Y495" s="120"/>
      <c r="AL495" s="69"/>
      <c r="AN495" s="70"/>
      <c r="AQ495" s="67"/>
      <c r="AT495" s="46"/>
      <c r="AY495" s="57"/>
      <c r="AZ495" s="64"/>
      <c r="BA495" s="46"/>
      <c r="BB495" s="46"/>
      <c r="BC495" s="48"/>
      <c r="BF495" s="46"/>
      <c r="BL495" s="121"/>
      <c r="BM495" s="57"/>
      <c r="BN495" s="64"/>
      <c r="BO495" s="64"/>
      <c r="BP495" s="64"/>
      <c r="BQ495" s="64"/>
      <c r="BR495" s="57"/>
      <c r="BS495" s="64"/>
      <c r="BT495" s="64"/>
      <c r="BU495" s="64"/>
      <c r="BV495" s="46"/>
      <c r="BW495" s="298"/>
      <c r="BX495" s="294"/>
      <c r="BY495" s="295"/>
      <c r="CB495" s="299"/>
      <c r="CC495" s="299"/>
      <c r="CD495" s="299"/>
      <c r="CE495" s="299"/>
    </row>
    <row r="496" spans="2:83" x14ac:dyDescent="0.8">
      <c r="B496" s="46"/>
      <c r="C496" s="62"/>
      <c r="F496" s="70"/>
      <c r="G496" s="86"/>
      <c r="H496" s="70"/>
      <c r="I496" s="86"/>
      <c r="L496" s="117"/>
      <c r="M496" s="118"/>
      <c r="R496" s="58"/>
      <c r="S496" s="58"/>
      <c r="T496" s="140"/>
      <c r="X496" s="129"/>
      <c r="Y496" s="120"/>
      <c r="AL496" s="68"/>
      <c r="AM496" s="64"/>
      <c r="AQ496" s="67"/>
      <c r="AT496" s="46"/>
      <c r="AY496" s="57"/>
      <c r="AZ496" s="64"/>
      <c r="BA496" s="46"/>
      <c r="BB496" s="46"/>
      <c r="BC496" s="48"/>
      <c r="BF496" s="46"/>
      <c r="BL496" s="121"/>
      <c r="BM496" s="57"/>
      <c r="BN496" s="64"/>
      <c r="BO496" s="64"/>
      <c r="BP496" s="64"/>
      <c r="BQ496" s="64"/>
      <c r="BR496" s="57"/>
      <c r="BS496" s="64"/>
      <c r="BT496" s="64"/>
      <c r="BU496" s="64"/>
      <c r="BV496" s="46"/>
      <c r="BW496" s="298"/>
      <c r="BX496" s="294"/>
      <c r="BY496" s="295"/>
      <c r="CB496" s="299"/>
      <c r="CC496" s="299"/>
      <c r="CD496" s="299"/>
      <c r="CE496" s="299"/>
    </row>
    <row r="497" spans="2:83" x14ac:dyDescent="0.8">
      <c r="B497" s="46"/>
      <c r="C497" s="62"/>
      <c r="F497" s="70"/>
      <c r="G497" s="86"/>
      <c r="L497" s="117"/>
      <c r="M497" s="118"/>
      <c r="R497" s="58"/>
      <c r="S497" s="58"/>
      <c r="T497" s="140"/>
      <c r="AQ497" s="67"/>
      <c r="AT497" s="46"/>
      <c r="AY497" s="57"/>
      <c r="AZ497" s="64"/>
      <c r="BA497" s="46"/>
      <c r="BB497" s="46"/>
      <c r="BC497" s="48"/>
      <c r="BF497" s="46"/>
      <c r="BL497" s="121"/>
      <c r="BM497" s="57"/>
      <c r="BN497" s="64"/>
      <c r="BO497" s="64"/>
      <c r="BP497" s="64"/>
      <c r="BQ497" s="64"/>
      <c r="BR497" s="57"/>
      <c r="BS497" s="64"/>
      <c r="BT497" s="64"/>
      <c r="BU497" s="64"/>
      <c r="BV497" s="46"/>
      <c r="BW497" s="298"/>
      <c r="BX497" s="294"/>
      <c r="BY497" s="295"/>
      <c r="CB497" s="299"/>
      <c r="CC497" s="299"/>
      <c r="CD497" s="299"/>
      <c r="CE497" s="299"/>
    </row>
    <row r="498" spans="2:83" x14ac:dyDescent="0.8">
      <c r="B498" s="46"/>
      <c r="C498" s="62"/>
      <c r="F498" s="70"/>
      <c r="G498" s="86"/>
      <c r="R498" s="58"/>
      <c r="S498" s="58"/>
      <c r="AQ498" s="67"/>
      <c r="AT498" s="46"/>
      <c r="AY498" s="57"/>
      <c r="AZ498" s="64"/>
      <c r="BA498" s="46"/>
      <c r="BB498" s="46"/>
      <c r="BC498" s="48"/>
      <c r="BF498" s="46"/>
      <c r="BL498" s="121"/>
      <c r="BM498" s="57"/>
      <c r="BN498" s="64"/>
      <c r="BO498" s="64"/>
      <c r="BP498" s="64"/>
      <c r="BQ498" s="64"/>
      <c r="BR498" s="57"/>
      <c r="BS498" s="64"/>
      <c r="BT498" s="64"/>
      <c r="BU498" s="64"/>
      <c r="BV498" s="46"/>
      <c r="BW498" s="298"/>
      <c r="BX498" s="294"/>
      <c r="BY498" s="295"/>
      <c r="CB498" s="299"/>
      <c r="CC498" s="299"/>
      <c r="CD498" s="299"/>
      <c r="CE498" s="299"/>
    </row>
    <row r="499" spans="2:83" x14ac:dyDescent="0.8">
      <c r="B499" s="46"/>
      <c r="C499" s="62"/>
      <c r="F499" s="70"/>
      <c r="G499" s="86"/>
      <c r="H499" s="70"/>
      <c r="I499" s="86"/>
      <c r="L499" s="117"/>
      <c r="M499" s="118"/>
      <c r="R499" s="58"/>
      <c r="S499" s="58"/>
      <c r="AA499" s="46"/>
      <c r="AQ499" s="67"/>
      <c r="AT499" s="46"/>
      <c r="AY499" s="57"/>
      <c r="AZ499" s="64"/>
      <c r="BA499" s="46"/>
      <c r="BB499" s="46"/>
      <c r="BC499" s="48"/>
      <c r="BF499" s="46"/>
      <c r="BL499" s="121"/>
      <c r="BM499" s="57"/>
      <c r="BN499" s="64"/>
      <c r="BO499" s="64"/>
      <c r="BP499" s="64"/>
      <c r="BQ499" s="64"/>
      <c r="BR499" s="57"/>
      <c r="BS499" s="64"/>
      <c r="BT499" s="64"/>
      <c r="BU499" s="64"/>
      <c r="BV499" s="46"/>
      <c r="BW499" s="298"/>
      <c r="BX499" s="294"/>
      <c r="BY499" s="295"/>
      <c r="CB499" s="299"/>
      <c r="CC499" s="299"/>
      <c r="CD499" s="299"/>
      <c r="CE499" s="299"/>
    </row>
    <row r="500" spans="2:83" x14ac:dyDescent="0.8">
      <c r="B500" s="46"/>
      <c r="C500" s="62"/>
      <c r="F500" s="70"/>
      <c r="G500" s="86"/>
      <c r="H500" s="70"/>
      <c r="I500" s="86"/>
      <c r="L500" s="117"/>
      <c r="M500" s="118"/>
      <c r="R500" s="58"/>
      <c r="S500" s="58"/>
      <c r="T500" s="140"/>
      <c r="X500" s="129"/>
      <c r="Y500" s="120"/>
      <c r="AQ500" s="67"/>
      <c r="AT500" s="46"/>
      <c r="AY500" s="57"/>
      <c r="AZ500" s="64"/>
      <c r="BA500" s="46"/>
      <c r="BB500" s="46"/>
      <c r="BC500" s="48"/>
      <c r="BF500" s="46"/>
      <c r="BL500" s="121"/>
      <c r="BM500" s="57"/>
      <c r="BN500" s="64"/>
      <c r="BO500" s="64"/>
      <c r="BP500" s="64"/>
      <c r="BQ500" s="64"/>
      <c r="BR500" s="57"/>
      <c r="BS500" s="64"/>
      <c r="BT500" s="64"/>
      <c r="BU500" s="64"/>
      <c r="BV500" s="46"/>
      <c r="BW500" s="298"/>
      <c r="BX500" s="294"/>
      <c r="BY500" s="295"/>
      <c r="CB500" s="299"/>
      <c r="CC500" s="299"/>
      <c r="CD500" s="299"/>
      <c r="CE500" s="299"/>
    </row>
    <row r="501" spans="2:83" x14ac:dyDescent="0.8">
      <c r="B501" s="46"/>
      <c r="C501" s="62"/>
      <c r="F501" s="70"/>
      <c r="G501" s="86"/>
      <c r="H501" s="70"/>
      <c r="I501" s="86"/>
      <c r="L501" s="117"/>
      <c r="M501" s="118"/>
      <c r="R501" s="58"/>
      <c r="S501" s="58"/>
      <c r="T501" s="140"/>
      <c r="V501" s="140"/>
      <c r="X501" s="135"/>
      <c r="Y501" s="139"/>
      <c r="AA501" s="136"/>
      <c r="AD501" s="140"/>
      <c r="AJ501" s="140"/>
      <c r="AL501" s="68"/>
      <c r="AQ501" s="67"/>
      <c r="AT501" s="46"/>
      <c r="AY501" s="57"/>
      <c r="AZ501" s="64"/>
      <c r="BA501" s="46"/>
      <c r="BB501" s="46"/>
      <c r="BC501" s="48"/>
      <c r="BF501" s="46"/>
      <c r="BL501" s="121"/>
      <c r="BM501" s="57"/>
      <c r="BN501" s="64"/>
      <c r="BO501" s="64"/>
      <c r="BP501" s="64"/>
      <c r="BQ501" s="64"/>
      <c r="BR501" s="57"/>
      <c r="BS501" s="64"/>
      <c r="BT501" s="64"/>
      <c r="BU501" s="64"/>
      <c r="BV501" s="46"/>
      <c r="BW501" s="298"/>
      <c r="BX501" s="294"/>
      <c r="BY501" s="295"/>
      <c r="CB501" s="299"/>
      <c r="CC501" s="299"/>
      <c r="CD501" s="299"/>
      <c r="CE501" s="299"/>
    </row>
    <row r="502" spans="2:83" x14ac:dyDescent="0.8">
      <c r="B502" s="46"/>
      <c r="C502" s="62"/>
      <c r="F502" s="70"/>
      <c r="G502" s="86"/>
      <c r="H502" s="70"/>
      <c r="I502" s="86"/>
      <c r="J502" s="141"/>
      <c r="K502" s="263"/>
      <c r="R502" s="58"/>
      <c r="S502" s="58"/>
      <c r="X502" s="57"/>
      <c r="Y502" s="46"/>
      <c r="Z502" s="57"/>
      <c r="AA502" s="46"/>
      <c r="AO502" s="46"/>
      <c r="AQ502" s="67"/>
      <c r="AT502" s="46"/>
      <c r="BC502" s="48"/>
      <c r="BF502" s="46"/>
      <c r="BL502" s="121"/>
      <c r="BM502" s="57"/>
      <c r="BN502" s="64"/>
      <c r="BO502" s="64"/>
      <c r="BP502" s="64"/>
      <c r="BQ502" s="64"/>
      <c r="BR502" s="57"/>
      <c r="BS502" s="64"/>
      <c r="BT502" s="64"/>
      <c r="BU502" s="64"/>
      <c r="BV502" s="46"/>
      <c r="BW502" s="298"/>
      <c r="BX502" s="294"/>
      <c r="BY502" s="295"/>
      <c r="CB502" s="299"/>
      <c r="CC502" s="299"/>
      <c r="CD502" s="299"/>
      <c r="CE502" s="299"/>
    </row>
    <row r="503" spans="2:83" x14ac:dyDescent="0.8">
      <c r="B503" s="46"/>
      <c r="C503" s="62"/>
      <c r="F503" s="70"/>
      <c r="G503" s="86"/>
      <c r="H503" s="70"/>
      <c r="I503" s="86"/>
      <c r="L503" s="117"/>
      <c r="M503" s="118"/>
      <c r="R503" s="58"/>
      <c r="S503" s="58"/>
      <c r="T503" s="140"/>
      <c r="X503" s="129"/>
      <c r="Y503" s="120"/>
      <c r="AL503" s="68"/>
      <c r="AQ503" s="67"/>
      <c r="AT503" s="46"/>
      <c r="AY503" s="57"/>
      <c r="AZ503" s="64"/>
      <c r="BA503" s="46"/>
      <c r="BB503" s="46"/>
      <c r="BC503" s="48"/>
      <c r="BF503" s="46"/>
      <c r="BL503" s="121"/>
      <c r="BM503" s="57"/>
      <c r="BN503" s="64"/>
      <c r="BO503" s="64"/>
      <c r="BP503" s="64"/>
      <c r="BQ503" s="64"/>
      <c r="BR503" s="57"/>
      <c r="BS503" s="64"/>
      <c r="BT503" s="64"/>
      <c r="BU503" s="64"/>
      <c r="BV503" s="46"/>
      <c r="BW503" s="298"/>
      <c r="BX503" s="294"/>
      <c r="BY503" s="295"/>
      <c r="CB503" s="299"/>
      <c r="CC503" s="299"/>
      <c r="CD503" s="299"/>
      <c r="CE503" s="299"/>
    </row>
    <row r="504" spans="2:83" x14ac:dyDescent="0.8">
      <c r="B504" s="46"/>
      <c r="C504" s="62"/>
      <c r="F504" s="70"/>
      <c r="G504" s="86"/>
      <c r="H504" s="70"/>
      <c r="I504" s="86"/>
      <c r="L504" s="117"/>
      <c r="M504" s="118"/>
      <c r="R504" s="58"/>
      <c r="S504" s="58"/>
      <c r="T504" s="140"/>
      <c r="AQ504" s="67"/>
      <c r="AT504" s="46"/>
      <c r="AY504" s="57"/>
      <c r="AZ504" s="64"/>
      <c r="BA504" s="46"/>
      <c r="BB504" s="46"/>
      <c r="BC504" s="48"/>
      <c r="BF504" s="46"/>
      <c r="BL504" s="121"/>
      <c r="BM504" s="57"/>
      <c r="BN504" s="64"/>
      <c r="BO504" s="64"/>
      <c r="BP504" s="64"/>
      <c r="BQ504" s="64"/>
      <c r="BR504" s="57"/>
      <c r="BS504" s="64"/>
      <c r="BT504" s="64"/>
      <c r="BU504" s="64"/>
      <c r="BV504" s="46"/>
      <c r="BW504" s="298"/>
      <c r="BX504" s="294"/>
      <c r="BY504" s="295"/>
      <c r="CB504" s="299"/>
      <c r="CC504" s="299"/>
      <c r="CD504" s="299"/>
      <c r="CE504" s="299"/>
    </row>
    <row r="505" spans="2:83" x14ac:dyDescent="0.8">
      <c r="B505" s="46"/>
      <c r="C505" s="62"/>
      <c r="F505" s="70"/>
      <c r="G505" s="86"/>
      <c r="H505" s="70"/>
      <c r="I505" s="86"/>
      <c r="R505" s="58"/>
      <c r="S505" s="58"/>
      <c r="X505" s="57"/>
      <c r="Y505" s="46"/>
      <c r="Z505" s="57"/>
      <c r="AA505" s="46"/>
      <c r="AO505" s="46"/>
      <c r="AQ505" s="67"/>
      <c r="AT505" s="46"/>
      <c r="BC505" s="48"/>
      <c r="BF505" s="46"/>
      <c r="BL505" s="121"/>
      <c r="BM505" s="57"/>
      <c r="BN505" s="64"/>
      <c r="BO505" s="64"/>
      <c r="BP505" s="64"/>
      <c r="BQ505" s="64"/>
      <c r="BR505" s="57"/>
      <c r="BS505" s="64"/>
      <c r="BT505" s="64"/>
      <c r="BU505" s="64"/>
      <c r="BV505" s="46"/>
      <c r="BW505" s="298"/>
      <c r="BX505" s="294"/>
      <c r="BY505" s="295"/>
      <c r="CB505" s="299"/>
      <c r="CC505" s="299"/>
      <c r="CD505" s="299"/>
      <c r="CE505" s="299"/>
    </row>
    <row r="506" spans="2:83" x14ac:dyDescent="0.8">
      <c r="B506" s="46"/>
      <c r="C506" s="62"/>
      <c r="F506" s="70"/>
      <c r="G506" s="86"/>
      <c r="H506" s="70"/>
      <c r="I506" s="86"/>
      <c r="L506" s="117"/>
      <c r="M506" s="118"/>
      <c r="R506" s="58"/>
      <c r="S506" s="58"/>
      <c r="AA506" s="46"/>
      <c r="AQ506" s="67"/>
      <c r="AT506" s="46"/>
      <c r="AY506" s="57"/>
      <c r="AZ506" s="64"/>
      <c r="BA506" s="46"/>
      <c r="BB506" s="46"/>
      <c r="BC506" s="48"/>
      <c r="BF506" s="46"/>
      <c r="BL506" s="121"/>
      <c r="BM506" s="57"/>
      <c r="BN506" s="64"/>
      <c r="BO506" s="64"/>
      <c r="BP506" s="64"/>
      <c r="BQ506" s="64"/>
      <c r="BR506" s="57"/>
      <c r="BS506" s="64"/>
      <c r="BT506" s="64"/>
      <c r="BU506" s="64"/>
      <c r="BV506" s="46"/>
      <c r="BW506" s="298"/>
      <c r="BX506" s="294"/>
      <c r="BY506" s="295"/>
      <c r="CB506" s="299"/>
      <c r="CC506" s="299"/>
      <c r="CD506" s="299"/>
      <c r="CE506" s="299"/>
    </row>
    <row r="507" spans="2:83" x14ac:dyDescent="0.8">
      <c r="B507" s="46"/>
      <c r="C507" s="62"/>
      <c r="F507" s="70"/>
      <c r="G507" s="86"/>
      <c r="H507" s="70"/>
      <c r="I507" s="86"/>
      <c r="L507" s="117"/>
      <c r="M507" s="118"/>
      <c r="R507" s="58"/>
      <c r="S507" s="58"/>
      <c r="T507" s="140"/>
      <c r="X507" s="129"/>
      <c r="Y507" s="120"/>
      <c r="AQ507" s="67"/>
      <c r="AT507" s="46"/>
      <c r="AY507" s="57"/>
      <c r="AZ507" s="64"/>
      <c r="BA507" s="46"/>
      <c r="BB507" s="46"/>
      <c r="BC507" s="48"/>
      <c r="BF507" s="46"/>
      <c r="BL507" s="121"/>
      <c r="BM507" s="57"/>
      <c r="BN507" s="64"/>
      <c r="BO507" s="64"/>
      <c r="BP507" s="64"/>
      <c r="BQ507" s="64"/>
      <c r="BR507" s="57"/>
      <c r="BS507" s="64"/>
      <c r="BT507" s="64"/>
      <c r="BU507" s="64"/>
      <c r="BV507" s="46"/>
      <c r="BW507" s="298"/>
      <c r="BX507" s="294"/>
      <c r="BY507" s="295"/>
      <c r="CB507" s="299"/>
      <c r="CC507" s="299"/>
      <c r="CD507" s="299"/>
      <c r="CE507" s="299"/>
    </row>
    <row r="508" spans="2:83" x14ac:dyDescent="0.8">
      <c r="B508" s="46"/>
      <c r="C508" s="62"/>
      <c r="F508" s="70"/>
      <c r="G508" s="86"/>
      <c r="H508" s="70"/>
      <c r="I508" s="86"/>
      <c r="L508" s="117"/>
      <c r="M508" s="118"/>
      <c r="R508" s="58"/>
      <c r="S508" s="58"/>
      <c r="T508" s="140"/>
      <c r="V508" s="140"/>
      <c r="X508" s="135"/>
      <c r="Y508" s="139"/>
      <c r="AA508" s="136"/>
      <c r="AD508" s="140"/>
      <c r="AJ508" s="140"/>
      <c r="AL508" s="68"/>
      <c r="AQ508" s="67"/>
      <c r="AT508" s="46"/>
      <c r="AY508" s="57"/>
      <c r="AZ508" s="64"/>
      <c r="BA508" s="46"/>
      <c r="BB508" s="46"/>
      <c r="BC508" s="48"/>
      <c r="BF508" s="46"/>
      <c r="BL508" s="121"/>
      <c r="BM508" s="57"/>
      <c r="BN508" s="64"/>
      <c r="BO508" s="64"/>
      <c r="BP508" s="64"/>
      <c r="BQ508" s="64"/>
      <c r="BR508" s="57"/>
      <c r="BS508" s="64"/>
      <c r="BT508" s="64"/>
      <c r="BU508" s="64"/>
      <c r="BV508" s="46"/>
      <c r="BW508" s="298"/>
      <c r="BX508" s="294"/>
      <c r="BY508" s="295"/>
      <c r="CB508" s="299"/>
      <c r="CC508" s="299"/>
      <c r="CD508" s="299"/>
      <c r="CE508" s="299"/>
    </row>
    <row r="509" spans="2:83" x14ac:dyDescent="0.8">
      <c r="B509" s="46"/>
      <c r="C509" s="62"/>
      <c r="F509" s="70"/>
      <c r="G509" s="86"/>
      <c r="H509" s="70"/>
      <c r="I509" s="86"/>
      <c r="L509" s="117"/>
      <c r="M509" s="118"/>
      <c r="R509" s="58"/>
      <c r="S509" s="58"/>
      <c r="T509" s="140"/>
      <c r="AL509" s="68"/>
      <c r="AM509" s="64"/>
      <c r="AQ509" s="67"/>
      <c r="AT509" s="46"/>
      <c r="AY509" s="57"/>
      <c r="AZ509" s="64"/>
      <c r="BA509" s="46"/>
      <c r="BB509" s="46"/>
      <c r="BC509" s="48"/>
      <c r="BF509" s="46"/>
      <c r="BL509" s="121"/>
      <c r="BM509" s="57"/>
      <c r="BN509" s="64"/>
      <c r="BO509" s="64"/>
      <c r="BP509" s="64"/>
      <c r="BQ509" s="64"/>
      <c r="BR509" s="57"/>
      <c r="BS509" s="64"/>
      <c r="BT509" s="64"/>
      <c r="BU509" s="64"/>
      <c r="BV509" s="46"/>
      <c r="BW509" s="298"/>
      <c r="BX509" s="294"/>
      <c r="BY509" s="295"/>
      <c r="CB509" s="299"/>
      <c r="CC509" s="299"/>
      <c r="CD509" s="299"/>
      <c r="CE509" s="299"/>
    </row>
    <row r="510" spans="2:83" x14ac:dyDescent="0.8">
      <c r="B510" s="46"/>
      <c r="C510" s="62"/>
      <c r="F510" s="70"/>
      <c r="G510" s="86"/>
      <c r="H510" s="70"/>
      <c r="I510" s="86"/>
      <c r="L510" s="117"/>
      <c r="M510" s="118"/>
      <c r="R510" s="58"/>
      <c r="S510" s="58"/>
      <c r="T510" s="140"/>
      <c r="X510" s="129"/>
      <c r="Y510" s="120"/>
      <c r="AL510" s="68"/>
      <c r="AQ510" s="67"/>
      <c r="AT510" s="46"/>
      <c r="AY510" s="57"/>
      <c r="AZ510" s="64"/>
      <c r="BA510" s="46"/>
      <c r="BB510" s="46"/>
      <c r="BC510" s="48"/>
      <c r="BF510" s="46"/>
      <c r="BL510" s="121"/>
      <c r="BM510" s="57"/>
      <c r="BN510" s="64"/>
      <c r="BO510" s="64"/>
      <c r="BP510" s="64"/>
      <c r="BQ510" s="64"/>
      <c r="BR510" s="57"/>
      <c r="BS510" s="64"/>
      <c r="BT510" s="64"/>
      <c r="BU510" s="64"/>
      <c r="BV510" s="46"/>
      <c r="BW510" s="298"/>
      <c r="BX510" s="294"/>
      <c r="BY510" s="295"/>
      <c r="CB510" s="299"/>
      <c r="CC510" s="299"/>
      <c r="CD510" s="299"/>
      <c r="CE510" s="299"/>
    </row>
    <row r="511" spans="2:83" x14ac:dyDescent="0.8">
      <c r="B511" s="46"/>
      <c r="C511" s="62"/>
      <c r="F511" s="70"/>
      <c r="G511" s="86"/>
      <c r="H511" s="70"/>
      <c r="I511" s="86"/>
      <c r="L511" s="117"/>
      <c r="M511" s="118"/>
      <c r="R511" s="58"/>
      <c r="S511" s="58"/>
      <c r="T511" s="140"/>
      <c r="X511" s="129"/>
      <c r="Y511" s="120"/>
      <c r="AL511" s="68"/>
      <c r="AM511" s="64"/>
      <c r="AQ511" s="67"/>
      <c r="AT511" s="46"/>
      <c r="AY511" s="57"/>
      <c r="AZ511" s="64"/>
      <c r="BA511" s="46"/>
      <c r="BB511" s="46"/>
      <c r="BC511" s="48"/>
      <c r="BF511" s="46"/>
      <c r="BL511" s="121"/>
      <c r="BM511" s="57"/>
      <c r="BN511" s="64"/>
      <c r="BO511" s="64"/>
      <c r="BP511" s="64"/>
      <c r="BQ511" s="64"/>
      <c r="BR511" s="57"/>
      <c r="BS511" s="64"/>
      <c r="BT511" s="64"/>
      <c r="BU511" s="64"/>
      <c r="BV511" s="46"/>
      <c r="BW511" s="298"/>
      <c r="BX511" s="294"/>
      <c r="BY511" s="295"/>
      <c r="CB511" s="299"/>
      <c r="CC511" s="299"/>
      <c r="CD511" s="299"/>
      <c r="CE511" s="299"/>
    </row>
    <row r="512" spans="2:83" x14ac:dyDescent="0.8">
      <c r="B512" s="46"/>
      <c r="C512" s="62"/>
      <c r="F512" s="70"/>
      <c r="G512" s="86"/>
      <c r="H512" s="70"/>
      <c r="I512" s="86"/>
      <c r="L512" s="117"/>
      <c r="M512" s="118"/>
      <c r="T512" s="140"/>
      <c r="X512" s="129"/>
      <c r="Y512" s="120"/>
      <c r="AL512" s="68"/>
      <c r="AQ512" s="67"/>
      <c r="AT512" s="46"/>
      <c r="AY512" s="57"/>
      <c r="AZ512" s="64"/>
      <c r="BA512" s="46"/>
      <c r="BB512" s="46"/>
      <c r="BC512" s="48"/>
      <c r="BF512" s="46"/>
      <c r="BL512" s="121"/>
      <c r="BM512" s="57"/>
      <c r="BN512" s="64"/>
      <c r="BO512" s="64"/>
      <c r="BP512" s="64"/>
      <c r="BQ512" s="64"/>
      <c r="BR512" s="57"/>
      <c r="BS512" s="64"/>
      <c r="BT512" s="64"/>
      <c r="BU512" s="64"/>
      <c r="BV512" s="46"/>
      <c r="BW512" s="298"/>
      <c r="BX512" s="294"/>
      <c r="BY512" s="295"/>
      <c r="CB512" s="299"/>
      <c r="CC512" s="299"/>
      <c r="CD512" s="299"/>
      <c r="CE512" s="299"/>
    </row>
    <row r="513" spans="2:83" x14ac:dyDescent="0.8">
      <c r="B513" s="46"/>
      <c r="C513" s="62"/>
      <c r="F513" s="70"/>
      <c r="G513" s="86"/>
      <c r="H513" s="70"/>
      <c r="I513" s="86"/>
      <c r="X513" s="57"/>
      <c r="Y513" s="46"/>
      <c r="Z513" s="57"/>
      <c r="AA513" s="46"/>
      <c r="AM513" s="64"/>
      <c r="AO513" s="46"/>
      <c r="AQ513" s="67"/>
      <c r="AT513" s="46"/>
      <c r="BC513" s="48"/>
      <c r="BF513" s="46"/>
      <c r="BL513" s="121"/>
      <c r="BM513" s="57"/>
      <c r="BN513" s="64"/>
      <c r="BO513" s="64"/>
      <c r="BP513" s="64"/>
      <c r="BQ513" s="64"/>
      <c r="BR513" s="57"/>
      <c r="BS513" s="64"/>
      <c r="BT513" s="64"/>
      <c r="BU513" s="64"/>
      <c r="BV513" s="46"/>
      <c r="BW513" s="298"/>
      <c r="BX513" s="294"/>
      <c r="BY513" s="295"/>
      <c r="CB513" s="299"/>
      <c r="CC513" s="299"/>
      <c r="CD513" s="299"/>
      <c r="CE513" s="299"/>
    </row>
    <row r="514" spans="2:83" x14ac:dyDescent="0.8">
      <c r="B514" s="46"/>
      <c r="C514" s="62"/>
      <c r="F514" s="70"/>
      <c r="G514" s="86"/>
      <c r="H514" s="70"/>
      <c r="I514" s="86"/>
      <c r="L514" s="117"/>
      <c r="M514" s="118"/>
      <c r="AA514" s="46"/>
      <c r="AL514" s="68"/>
      <c r="AM514" s="64"/>
      <c r="AQ514" s="67"/>
      <c r="AT514" s="46"/>
      <c r="AY514" s="57"/>
      <c r="AZ514" s="64"/>
      <c r="BA514" s="46"/>
      <c r="BB514" s="46"/>
      <c r="BC514" s="48"/>
      <c r="BF514" s="46"/>
      <c r="BL514" s="121"/>
      <c r="BM514" s="57"/>
      <c r="BN514" s="64"/>
      <c r="BO514" s="64"/>
      <c r="BP514" s="64"/>
      <c r="BQ514" s="64"/>
      <c r="BR514" s="57"/>
      <c r="BS514" s="64"/>
      <c r="BT514" s="64"/>
      <c r="BU514" s="64"/>
      <c r="BV514" s="46"/>
      <c r="BW514" s="298"/>
      <c r="BX514" s="294"/>
      <c r="BY514" s="295"/>
      <c r="CB514" s="299"/>
      <c r="CC514" s="299"/>
      <c r="CD514" s="299"/>
      <c r="CE514" s="299"/>
    </row>
    <row r="515" spans="2:83" x14ac:dyDescent="0.8">
      <c r="B515" s="46"/>
      <c r="C515" s="62"/>
      <c r="F515" s="70"/>
      <c r="G515" s="86"/>
      <c r="H515" s="70"/>
      <c r="I515" s="86"/>
      <c r="J515" s="71"/>
      <c r="K515" s="59"/>
      <c r="N515" s="58"/>
      <c r="O515" s="58"/>
      <c r="P515" s="58"/>
      <c r="Q515" s="59"/>
      <c r="R515" s="58"/>
      <c r="S515" s="58"/>
      <c r="T515" s="71"/>
      <c r="V515" s="71"/>
      <c r="AD515" s="71"/>
      <c r="AF515" s="71"/>
      <c r="AH515" s="71"/>
      <c r="AJ515" s="71"/>
      <c r="AP515" s="137"/>
      <c r="AQ515" s="67"/>
      <c r="AT515" s="46"/>
      <c r="AY515" s="57"/>
      <c r="AZ515" s="64"/>
      <c r="BA515" s="46"/>
      <c r="BB515" s="46"/>
      <c r="BC515" s="48"/>
      <c r="BF515" s="46"/>
      <c r="BL515" s="121"/>
      <c r="BM515" s="57"/>
      <c r="BN515" s="64"/>
      <c r="BO515" s="64"/>
      <c r="BP515" s="64"/>
      <c r="BQ515" s="64"/>
      <c r="BR515" s="57"/>
      <c r="BS515" s="64"/>
      <c r="BT515" s="64"/>
      <c r="BU515" s="64"/>
      <c r="BV515" s="46"/>
      <c r="BW515" s="298"/>
      <c r="BX515" s="294"/>
      <c r="BY515" s="295"/>
      <c r="CB515" s="299"/>
      <c r="CC515" s="299"/>
      <c r="CD515" s="299"/>
      <c r="CE515" s="299"/>
    </row>
    <row r="516" spans="2:83" x14ac:dyDescent="0.8">
      <c r="B516" s="46"/>
      <c r="C516" s="62"/>
      <c r="F516" s="70"/>
      <c r="G516" s="86"/>
      <c r="H516" s="70"/>
      <c r="I516" s="86"/>
      <c r="T516" s="140"/>
      <c r="X516" s="129"/>
      <c r="Y516" s="120"/>
      <c r="AL516" s="68"/>
      <c r="AM516" s="64"/>
      <c r="AQ516" s="67"/>
      <c r="AT516" s="46"/>
      <c r="AY516" s="57"/>
      <c r="AZ516" s="64"/>
      <c r="BA516" s="46"/>
      <c r="BB516" s="46"/>
      <c r="BC516" s="48"/>
      <c r="BF516" s="46"/>
      <c r="BL516" s="121"/>
      <c r="BM516" s="57"/>
      <c r="BN516" s="64"/>
      <c r="BO516" s="64"/>
      <c r="BP516" s="64"/>
      <c r="BQ516" s="64"/>
      <c r="BR516" s="57"/>
      <c r="BS516" s="64"/>
      <c r="BT516" s="64"/>
      <c r="BU516" s="64"/>
      <c r="BV516" s="46"/>
      <c r="BW516" s="298"/>
      <c r="BX516" s="294"/>
      <c r="BY516" s="295"/>
      <c r="CB516" s="299"/>
      <c r="CC516" s="299"/>
      <c r="CD516" s="299"/>
      <c r="CE516" s="299"/>
    </row>
    <row r="517" spans="2:83" x14ac:dyDescent="0.8">
      <c r="B517" s="46"/>
      <c r="C517" s="62"/>
      <c r="F517" s="70"/>
      <c r="G517" s="86"/>
      <c r="H517" s="70"/>
      <c r="I517" s="86"/>
      <c r="L517" s="117"/>
      <c r="M517" s="118"/>
      <c r="AQ517" s="67"/>
      <c r="AT517" s="46"/>
      <c r="AY517" s="57"/>
      <c r="AZ517" s="64"/>
      <c r="BA517" s="46"/>
      <c r="BB517" s="46"/>
      <c r="BC517" s="48"/>
      <c r="BF517" s="46"/>
      <c r="BL517" s="121"/>
      <c r="BM517" s="57"/>
      <c r="BN517" s="64"/>
      <c r="BO517" s="64"/>
      <c r="BP517" s="64"/>
      <c r="BQ517" s="64"/>
      <c r="BR517" s="57"/>
      <c r="BS517" s="64"/>
      <c r="BT517" s="64"/>
      <c r="BU517" s="64"/>
      <c r="BV517" s="46"/>
      <c r="BW517" s="298"/>
      <c r="BX517" s="294"/>
      <c r="BY517" s="295"/>
      <c r="CB517" s="299"/>
      <c r="CC517" s="299"/>
      <c r="CD517" s="299"/>
      <c r="CE517" s="299"/>
    </row>
    <row r="518" spans="2:83" x14ac:dyDescent="0.8">
      <c r="B518" s="46"/>
      <c r="C518" s="62"/>
      <c r="F518" s="70"/>
      <c r="G518" s="86"/>
      <c r="H518" s="70"/>
      <c r="I518" s="86"/>
      <c r="K518" s="59"/>
      <c r="N518" s="58"/>
      <c r="O518" s="58"/>
      <c r="P518" s="58"/>
      <c r="Q518" s="59"/>
      <c r="T518" s="71"/>
      <c r="V518" s="71"/>
      <c r="AD518" s="71"/>
      <c r="AF518" s="71"/>
      <c r="AH518" s="71"/>
      <c r="AJ518" s="71"/>
      <c r="AL518" s="71"/>
      <c r="AN518" s="71"/>
      <c r="AP518" s="137"/>
      <c r="AQ518" s="67"/>
      <c r="AT518" s="46"/>
      <c r="AY518" s="57"/>
      <c r="AZ518" s="64"/>
      <c r="BA518" s="46"/>
      <c r="BB518" s="46"/>
      <c r="BC518" s="48"/>
      <c r="BF518" s="46"/>
      <c r="BL518" s="121"/>
      <c r="BM518" s="57"/>
      <c r="BN518" s="64"/>
      <c r="BO518" s="64"/>
      <c r="BP518" s="64"/>
      <c r="BQ518" s="64"/>
      <c r="BR518" s="57"/>
      <c r="BS518" s="64"/>
      <c r="BT518" s="64"/>
      <c r="BU518" s="64"/>
      <c r="BV518" s="46"/>
      <c r="BW518" s="298"/>
      <c r="BX518" s="294"/>
      <c r="BY518" s="295"/>
      <c r="CB518" s="299"/>
      <c r="CC518" s="299"/>
      <c r="CD518" s="299"/>
      <c r="CE518" s="299"/>
    </row>
    <row r="519" spans="2:83" x14ac:dyDescent="0.8">
      <c r="B519" s="46"/>
      <c r="C519" s="62"/>
      <c r="F519" s="70"/>
      <c r="G519" s="86"/>
      <c r="H519" s="70"/>
      <c r="I519" s="86"/>
      <c r="J519" s="64"/>
      <c r="K519" s="64"/>
      <c r="L519" s="117"/>
      <c r="M519" s="118"/>
      <c r="R519" s="58"/>
      <c r="S519" s="58"/>
      <c r="AA519" s="46"/>
      <c r="AQ519" s="67"/>
      <c r="AT519" s="46"/>
      <c r="AY519" s="57"/>
      <c r="AZ519" s="64"/>
      <c r="BA519" s="46"/>
      <c r="BB519" s="46"/>
      <c r="BC519" s="48"/>
      <c r="BF519" s="46"/>
      <c r="BL519" s="121"/>
      <c r="BM519" s="57"/>
      <c r="BN519" s="64"/>
      <c r="BO519" s="64"/>
      <c r="BP519" s="64"/>
      <c r="BQ519" s="64"/>
      <c r="BR519" s="57"/>
      <c r="BS519" s="64"/>
      <c r="BT519" s="64"/>
      <c r="BU519" s="64"/>
      <c r="BV519" s="46"/>
      <c r="BW519" s="298"/>
      <c r="BX519" s="294"/>
      <c r="BY519" s="295"/>
      <c r="CB519" s="299"/>
      <c r="CC519" s="299"/>
      <c r="CD519" s="299"/>
      <c r="CE519" s="299"/>
    </row>
    <row r="520" spans="2:83" x14ac:dyDescent="0.8">
      <c r="B520" s="46"/>
      <c r="C520" s="62"/>
      <c r="F520" s="70"/>
      <c r="G520" s="86"/>
      <c r="H520" s="70"/>
      <c r="I520" s="86"/>
      <c r="L520" s="117"/>
      <c r="M520" s="118"/>
      <c r="R520" s="58"/>
      <c r="S520" s="58"/>
      <c r="T520" s="140"/>
      <c r="X520" s="175"/>
      <c r="Y520" s="120"/>
      <c r="AL520" s="68"/>
      <c r="AQ520" s="67"/>
      <c r="AT520" s="46"/>
      <c r="AY520" s="57"/>
      <c r="AZ520" s="64"/>
      <c r="BA520" s="46"/>
      <c r="BB520" s="46"/>
      <c r="BC520" s="48"/>
      <c r="BF520" s="46"/>
      <c r="BL520" s="121"/>
      <c r="BM520" s="57"/>
      <c r="BN520" s="64"/>
      <c r="BO520" s="64"/>
      <c r="BP520" s="64"/>
      <c r="BQ520" s="64"/>
      <c r="BR520" s="57"/>
      <c r="BS520" s="64"/>
      <c r="BT520" s="64"/>
      <c r="BU520" s="64"/>
      <c r="BV520" s="46"/>
      <c r="BW520" s="298"/>
      <c r="BX520" s="294"/>
      <c r="BY520" s="295"/>
      <c r="CB520" s="299"/>
      <c r="CC520" s="299"/>
      <c r="CD520" s="299"/>
      <c r="CE520" s="299"/>
    </row>
    <row r="521" spans="2:83" x14ac:dyDescent="0.8">
      <c r="B521" s="46"/>
      <c r="C521" s="62"/>
      <c r="F521" s="70"/>
      <c r="G521" s="86"/>
      <c r="H521" s="70"/>
      <c r="I521" s="86"/>
      <c r="J521" s="141"/>
      <c r="K521" s="263"/>
      <c r="R521" s="58"/>
      <c r="S521" s="58"/>
      <c r="X521" s="64"/>
      <c r="Y521" s="46"/>
      <c r="Z521" s="57"/>
      <c r="AA521" s="46"/>
      <c r="AO521" s="46"/>
      <c r="AQ521" s="67"/>
      <c r="AT521" s="46"/>
      <c r="BC521" s="48"/>
      <c r="BF521" s="46"/>
      <c r="BL521" s="121"/>
      <c r="BM521" s="57"/>
      <c r="BN521" s="64"/>
      <c r="BO521" s="64"/>
      <c r="BP521" s="64"/>
      <c r="BQ521" s="64"/>
      <c r="BR521" s="57"/>
      <c r="BS521" s="64"/>
      <c r="BT521" s="64"/>
      <c r="BU521" s="64"/>
      <c r="BV521" s="46"/>
      <c r="BW521" s="298"/>
      <c r="BX521" s="294"/>
      <c r="BY521" s="295"/>
      <c r="CB521" s="299"/>
      <c r="CC521" s="299"/>
      <c r="CD521" s="299"/>
      <c r="CE521" s="299"/>
    </row>
    <row r="522" spans="2:83" x14ac:dyDescent="0.8">
      <c r="B522" s="46"/>
      <c r="C522" s="62"/>
      <c r="F522" s="70"/>
      <c r="G522" s="86"/>
      <c r="H522" s="70"/>
      <c r="I522" s="86"/>
      <c r="L522" s="117"/>
      <c r="M522" s="118"/>
      <c r="R522" s="58"/>
      <c r="S522" s="58"/>
      <c r="T522" s="140"/>
      <c r="X522" s="175"/>
      <c r="Y522" s="120"/>
      <c r="AL522" s="68"/>
      <c r="AM522" s="64"/>
      <c r="AQ522" s="67"/>
      <c r="AT522" s="46"/>
      <c r="AY522" s="57"/>
      <c r="AZ522" s="64"/>
      <c r="BA522" s="46"/>
      <c r="BB522" s="46"/>
      <c r="BC522" s="48"/>
      <c r="BF522" s="46"/>
      <c r="BL522" s="121"/>
      <c r="BM522" s="57"/>
      <c r="BN522" s="64"/>
      <c r="BO522" s="64"/>
      <c r="BP522" s="64"/>
      <c r="BQ522" s="64"/>
      <c r="BR522" s="57"/>
      <c r="BS522" s="64"/>
      <c r="BT522" s="64"/>
      <c r="BU522" s="64"/>
      <c r="BV522" s="46"/>
      <c r="BW522" s="298"/>
      <c r="BX522" s="294"/>
      <c r="BY522" s="295"/>
      <c r="CB522" s="299"/>
      <c r="CC522" s="299"/>
      <c r="CD522" s="299"/>
      <c r="CE522" s="299"/>
    </row>
    <row r="523" spans="2:83" x14ac:dyDescent="0.8">
      <c r="B523" s="46"/>
      <c r="C523" s="62"/>
      <c r="F523" s="70"/>
      <c r="G523" s="86"/>
      <c r="H523" s="70"/>
      <c r="I523" s="86"/>
      <c r="L523" s="117"/>
      <c r="M523" s="118"/>
      <c r="R523" s="58"/>
      <c r="S523" s="58"/>
      <c r="T523" s="140"/>
      <c r="X523" s="129"/>
      <c r="Y523" s="120"/>
      <c r="AL523" s="68"/>
      <c r="AQ523" s="67"/>
      <c r="AT523" s="46"/>
      <c r="AY523" s="57"/>
      <c r="AZ523" s="64"/>
      <c r="BA523" s="46"/>
      <c r="BB523" s="46"/>
      <c r="BC523" s="48"/>
      <c r="BF523" s="46"/>
      <c r="BL523" s="121"/>
      <c r="BM523" s="57"/>
      <c r="BN523" s="64"/>
      <c r="BO523" s="64"/>
      <c r="BP523" s="64"/>
      <c r="BQ523" s="64"/>
      <c r="BR523" s="57"/>
      <c r="BS523" s="64"/>
      <c r="BT523" s="64"/>
      <c r="BU523" s="64"/>
      <c r="BV523" s="46"/>
      <c r="BW523" s="298"/>
      <c r="BX523" s="294"/>
      <c r="BY523" s="295"/>
      <c r="CB523" s="299"/>
      <c r="CC523" s="299"/>
      <c r="CD523" s="299"/>
      <c r="CE523" s="299"/>
    </row>
    <row r="524" spans="2:83" x14ac:dyDescent="0.8">
      <c r="B524" s="46"/>
      <c r="C524" s="62"/>
      <c r="F524" s="70"/>
      <c r="G524" s="86"/>
      <c r="H524" s="70"/>
      <c r="I524" s="86"/>
      <c r="R524" s="58"/>
      <c r="S524" s="58"/>
      <c r="X524" s="57"/>
      <c r="Y524" s="46"/>
      <c r="Z524" s="57"/>
      <c r="AA524" s="46"/>
      <c r="AL524" s="68"/>
      <c r="AM524" s="64"/>
      <c r="AO524" s="46"/>
      <c r="AQ524" s="67"/>
      <c r="AT524" s="46"/>
      <c r="BC524" s="48"/>
      <c r="BF524" s="46"/>
      <c r="BL524" s="121"/>
      <c r="BM524" s="57"/>
      <c r="BN524" s="64"/>
      <c r="BO524" s="64"/>
      <c r="BP524" s="64"/>
      <c r="BQ524" s="64"/>
      <c r="BR524" s="57"/>
      <c r="BS524" s="64"/>
      <c r="BT524" s="64"/>
      <c r="BU524" s="64"/>
      <c r="BV524" s="46"/>
      <c r="BW524" s="298"/>
      <c r="BX524" s="294"/>
      <c r="BY524" s="295"/>
      <c r="CB524" s="299"/>
      <c r="CC524" s="299"/>
      <c r="CD524" s="299"/>
      <c r="CE524" s="299"/>
    </row>
    <row r="525" spans="2:83" x14ac:dyDescent="0.8">
      <c r="B525" s="46"/>
      <c r="C525" s="62"/>
      <c r="F525" s="70"/>
      <c r="G525" s="86"/>
      <c r="H525" s="70"/>
      <c r="I525" s="86"/>
      <c r="L525" s="117"/>
      <c r="M525" s="118"/>
      <c r="R525" s="58"/>
      <c r="S525" s="58"/>
      <c r="T525" s="140"/>
      <c r="X525" s="129"/>
      <c r="Y525" s="120"/>
      <c r="AA525" s="46"/>
      <c r="AL525" s="68"/>
      <c r="AQ525" s="67"/>
      <c r="AT525" s="46"/>
      <c r="AY525" s="57"/>
      <c r="AZ525" s="64"/>
      <c r="BA525" s="46"/>
      <c r="BB525" s="46"/>
      <c r="BC525" s="48"/>
      <c r="BF525" s="46"/>
      <c r="BL525" s="121"/>
      <c r="BM525" s="57"/>
      <c r="BN525" s="64"/>
      <c r="BO525" s="64"/>
      <c r="BP525" s="64"/>
      <c r="BQ525" s="64"/>
      <c r="BR525" s="57"/>
      <c r="BS525" s="64"/>
      <c r="BT525" s="64"/>
      <c r="BU525" s="64"/>
      <c r="BV525" s="46"/>
      <c r="BW525" s="298"/>
      <c r="BX525" s="294"/>
      <c r="BY525" s="295"/>
      <c r="CB525" s="299"/>
      <c r="CC525" s="299"/>
      <c r="CD525" s="299"/>
      <c r="CE525" s="299"/>
    </row>
    <row r="526" spans="2:83" x14ac:dyDescent="0.8">
      <c r="B526" s="46"/>
      <c r="C526" s="62"/>
      <c r="F526" s="70"/>
      <c r="G526" s="86"/>
      <c r="H526" s="70"/>
      <c r="I526" s="86"/>
      <c r="J526" s="71"/>
      <c r="K526" s="59"/>
      <c r="R526" s="58"/>
      <c r="S526" s="58"/>
      <c r="T526" s="140"/>
      <c r="V526" s="140"/>
      <c r="X526" s="140"/>
      <c r="Y526" s="144"/>
      <c r="Z526" s="57"/>
      <c r="AA526" s="144"/>
      <c r="AM526" s="64"/>
      <c r="AO526" s="46"/>
      <c r="AQ526" s="67"/>
      <c r="AT526" s="46"/>
      <c r="BC526" s="48"/>
      <c r="BF526" s="46"/>
      <c r="BL526" s="121"/>
      <c r="BM526" s="57"/>
      <c r="BN526" s="64"/>
      <c r="BO526" s="64"/>
      <c r="BP526" s="64"/>
      <c r="BQ526" s="64"/>
      <c r="BR526" s="57"/>
      <c r="BS526" s="64"/>
      <c r="BT526" s="64"/>
      <c r="BU526" s="64"/>
      <c r="BV526" s="46"/>
      <c r="BW526" s="298"/>
      <c r="BX526" s="294"/>
      <c r="BY526" s="295"/>
      <c r="CB526" s="299"/>
      <c r="CC526" s="299"/>
      <c r="CD526" s="299"/>
      <c r="CE526" s="299"/>
    </row>
    <row r="527" spans="2:83" x14ac:dyDescent="0.8">
      <c r="B527" s="46"/>
      <c r="C527" s="62"/>
      <c r="F527" s="70"/>
      <c r="G527" s="86"/>
      <c r="H527" s="70"/>
      <c r="I527" s="86"/>
      <c r="L527" s="117"/>
      <c r="M527" s="118"/>
      <c r="AA527" s="46"/>
      <c r="AL527" s="70"/>
      <c r="AN527" s="70"/>
      <c r="AQ527" s="67"/>
      <c r="AT527" s="46"/>
      <c r="AY527" s="57"/>
      <c r="AZ527" s="64"/>
      <c r="BA527" s="46"/>
      <c r="BB527" s="46"/>
      <c r="BC527" s="48"/>
      <c r="BF527" s="46"/>
      <c r="BL527" s="121"/>
      <c r="BM527" s="57"/>
      <c r="BN527" s="64"/>
      <c r="BO527" s="64"/>
      <c r="BP527" s="64"/>
      <c r="BQ527" s="64"/>
      <c r="BR527" s="57"/>
      <c r="BS527" s="64"/>
      <c r="BT527" s="64"/>
      <c r="BU527" s="64"/>
      <c r="BV527" s="46"/>
      <c r="BW527" s="298"/>
      <c r="BX527" s="294"/>
      <c r="BY527" s="295"/>
      <c r="CB527" s="299"/>
      <c r="CC527" s="299"/>
      <c r="CD527" s="299"/>
      <c r="CE527" s="299"/>
    </row>
    <row r="528" spans="2:83" x14ac:dyDescent="0.8">
      <c r="B528" s="46"/>
      <c r="C528" s="62"/>
      <c r="F528" s="70"/>
      <c r="G528" s="86"/>
      <c r="H528" s="70"/>
      <c r="I528" s="86"/>
      <c r="R528" s="58"/>
      <c r="S528" s="58"/>
      <c r="AL528" s="68"/>
      <c r="AM528" s="64"/>
      <c r="AO528" s="46"/>
      <c r="AQ528" s="67"/>
      <c r="AT528" s="46"/>
      <c r="AY528" s="57"/>
      <c r="AZ528" s="64"/>
      <c r="BA528" s="46"/>
      <c r="BB528" s="46"/>
      <c r="BC528" s="48"/>
      <c r="BF528" s="46"/>
      <c r="BL528" s="121"/>
      <c r="BM528" s="57"/>
      <c r="BN528" s="64"/>
      <c r="BO528" s="64"/>
      <c r="BP528" s="64"/>
      <c r="BQ528" s="64"/>
      <c r="BR528" s="57"/>
      <c r="BS528" s="64"/>
      <c r="BT528" s="64"/>
      <c r="BU528" s="64"/>
      <c r="BV528" s="46"/>
      <c r="BW528" s="298"/>
      <c r="BX528" s="294"/>
      <c r="BY528" s="295"/>
      <c r="CB528" s="299"/>
      <c r="CC528" s="299"/>
      <c r="CD528" s="299"/>
      <c r="CE528" s="299"/>
    </row>
    <row r="529" spans="2:83" x14ac:dyDescent="0.8">
      <c r="B529" s="46"/>
      <c r="C529" s="62"/>
      <c r="F529" s="70"/>
      <c r="G529" s="86"/>
      <c r="H529" s="70"/>
      <c r="I529" s="86"/>
      <c r="L529" s="117"/>
      <c r="M529" s="118"/>
      <c r="AL529" s="68"/>
      <c r="AM529" s="64"/>
      <c r="AQ529" s="67"/>
      <c r="AT529" s="46"/>
      <c r="AY529" s="57"/>
      <c r="AZ529" s="64"/>
      <c r="BA529" s="46"/>
      <c r="BB529" s="46"/>
      <c r="BC529" s="48"/>
      <c r="BF529" s="46"/>
      <c r="BL529" s="121"/>
      <c r="BM529" s="57"/>
      <c r="BN529" s="64"/>
      <c r="BO529" s="64"/>
      <c r="BP529" s="64"/>
      <c r="BQ529" s="64"/>
      <c r="BR529" s="57"/>
      <c r="BS529" s="64"/>
      <c r="BT529" s="64"/>
      <c r="BU529" s="64"/>
      <c r="BV529" s="46"/>
      <c r="BW529" s="298"/>
      <c r="BX529" s="294"/>
      <c r="BY529" s="295"/>
      <c r="CB529" s="299"/>
      <c r="CC529" s="299"/>
      <c r="CD529" s="299"/>
      <c r="CE529" s="299"/>
    </row>
    <row r="530" spans="2:83" x14ac:dyDescent="0.8">
      <c r="B530" s="46"/>
      <c r="C530" s="62"/>
      <c r="F530" s="70"/>
      <c r="G530" s="86"/>
      <c r="H530" s="70"/>
      <c r="I530" s="86"/>
      <c r="L530" s="117"/>
      <c r="M530" s="118"/>
      <c r="R530" s="58"/>
      <c r="S530" s="58"/>
      <c r="T530" s="140"/>
      <c r="X530" s="129"/>
      <c r="Y530" s="120"/>
      <c r="AL530" s="68"/>
      <c r="AM530" s="64"/>
      <c r="AQ530" s="67"/>
      <c r="AT530" s="46"/>
      <c r="AY530" s="57"/>
      <c r="AZ530" s="64"/>
      <c r="BA530" s="46"/>
      <c r="BB530" s="46"/>
      <c r="BC530" s="48"/>
      <c r="BF530" s="46"/>
      <c r="BL530" s="121"/>
      <c r="BM530" s="57"/>
      <c r="BN530" s="64"/>
      <c r="BO530" s="64"/>
      <c r="BP530" s="64"/>
      <c r="BQ530" s="64"/>
      <c r="BR530" s="57"/>
      <c r="BS530" s="64"/>
      <c r="BT530" s="64"/>
      <c r="BU530" s="64"/>
      <c r="BV530" s="46"/>
      <c r="BW530" s="298"/>
      <c r="BX530" s="294"/>
      <c r="BY530" s="295"/>
      <c r="CB530" s="299"/>
      <c r="CC530" s="299"/>
      <c r="CD530" s="299"/>
      <c r="CE530" s="299"/>
    </row>
    <row r="531" spans="2:83" x14ac:dyDescent="0.8">
      <c r="B531" s="46"/>
      <c r="C531" s="62"/>
      <c r="F531" s="70"/>
      <c r="G531" s="86"/>
      <c r="H531" s="70"/>
      <c r="I531" s="86"/>
      <c r="R531" s="58"/>
      <c r="S531" s="58"/>
      <c r="T531" s="140"/>
      <c r="V531" s="140"/>
      <c r="X531" s="140"/>
      <c r="Y531" s="144"/>
      <c r="Z531" s="57"/>
      <c r="AA531" s="144"/>
      <c r="AM531" s="64"/>
      <c r="AO531" s="46"/>
      <c r="AQ531" s="67"/>
      <c r="AT531" s="46"/>
      <c r="BC531" s="48"/>
      <c r="BF531" s="46"/>
      <c r="BL531" s="121"/>
      <c r="BM531" s="57"/>
      <c r="BN531" s="64"/>
      <c r="BO531" s="64"/>
      <c r="BP531" s="64"/>
      <c r="BQ531" s="64"/>
      <c r="BR531" s="57"/>
      <c r="BS531" s="64"/>
      <c r="BT531" s="64"/>
      <c r="BU531" s="64"/>
      <c r="BV531" s="46"/>
      <c r="BW531" s="298"/>
      <c r="BX531" s="294"/>
      <c r="BY531" s="295"/>
      <c r="CB531" s="299"/>
      <c r="CC531" s="299"/>
      <c r="CD531" s="299"/>
      <c r="CE531" s="299"/>
    </row>
    <row r="532" spans="2:83" x14ac:dyDescent="0.8">
      <c r="B532" s="46"/>
      <c r="C532" s="62"/>
      <c r="F532" s="70"/>
      <c r="G532" s="86"/>
      <c r="H532" s="70"/>
      <c r="I532" s="86"/>
      <c r="L532" s="117"/>
      <c r="M532" s="118"/>
      <c r="R532" s="58"/>
      <c r="S532" s="58"/>
      <c r="AA532" s="46"/>
      <c r="AQ532" s="67"/>
      <c r="AT532" s="46"/>
      <c r="AY532" s="57"/>
      <c r="AZ532" s="64"/>
      <c r="BA532" s="46"/>
      <c r="BB532" s="46"/>
      <c r="BC532" s="48"/>
      <c r="BF532" s="46"/>
      <c r="BL532" s="121"/>
      <c r="BM532" s="57"/>
      <c r="BN532" s="64"/>
      <c r="BO532" s="64"/>
      <c r="BP532" s="64"/>
      <c r="BQ532" s="64"/>
      <c r="BR532" s="57"/>
      <c r="BS532" s="64"/>
      <c r="BT532" s="64"/>
      <c r="BU532" s="64"/>
      <c r="BV532" s="46"/>
      <c r="BW532" s="298"/>
      <c r="BX532" s="294"/>
      <c r="BY532" s="295"/>
      <c r="CB532" s="299"/>
      <c r="CC532" s="299"/>
      <c r="CD532" s="299"/>
      <c r="CE532" s="299"/>
    </row>
    <row r="533" spans="2:83" x14ac:dyDescent="0.8">
      <c r="B533" s="46"/>
      <c r="C533" s="62"/>
      <c r="F533" s="70"/>
      <c r="G533" s="86"/>
      <c r="H533" s="70"/>
      <c r="I533" s="86"/>
      <c r="R533" s="58"/>
      <c r="S533" s="58"/>
      <c r="AQ533" s="67"/>
      <c r="AT533" s="46"/>
      <c r="AY533" s="57"/>
      <c r="AZ533" s="64"/>
      <c r="BA533" s="46"/>
      <c r="BB533" s="46"/>
      <c r="BC533" s="48"/>
      <c r="BF533" s="46"/>
      <c r="BL533" s="121"/>
      <c r="BM533" s="57"/>
      <c r="BN533" s="64"/>
      <c r="BO533" s="64"/>
      <c r="BP533" s="64"/>
      <c r="BQ533" s="64"/>
      <c r="BR533" s="57"/>
      <c r="BS533" s="64"/>
      <c r="BT533" s="64"/>
      <c r="BU533" s="64"/>
      <c r="BV533" s="46"/>
      <c r="BW533" s="298"/>
      <c r="BX533" s="294"/>
      <c r="BY533" s="295"/>
      <c r="CB533" s="299"/>
      <c r="CC533" s="299"/>
      <c r="CD533" s="299"/>
      <c r="CE533" s="299"/>
    </row>
    <row r="534" spans="2:83" x14ac:dyDescent="0.8">
      <c r="B534" s="46"/>
      <c r="C534" s="62"/>
      <c r="F534" s="70"/>
      <c r="G534" s="86"/>
      <c r="H534" s="70"/>
      <c r="I534" s="86"/>
      <c r="L534" s="117"/>
      <c r="M534" s="118"/>
      <c r="R534" s="58"/>
      <c r="S534" s="58"/>
      <c r="T534" s="140"/>
      <c r="X534" s="129"/>
      <c r="Y534" s="120"/>
      <c r="AL534" s="68"/>
      <c r="AM534" s="64"/>
      <c r="AQ534" s="67"/>
      <c r="AT534" s="46"/>
      <c r="AY534" s="57"/>
      <c r="AZ534" s="64"/>
      <c r="BA534" s="46"/>
      <c r="BB534" s="46"/>
      <c r="BC534" s="48"/>
      <c r="BF534" s="46"/>
      <c r="BL534" s="121"/>
      <c r="BM534" s="57"/>
      <c r="BN534" s="64"/>
      <c r="BO534" s="64"/>
      <c r="BP534" s="64"/>
      <c r="BQ534" s="64"/>
      <c r="BR534" s="57"/>
      <c r="BS534" s="64"/>
      <c r="BT534" s="64"/>
      <c r="BU534" s="64"/>
      <c r="BV534" s="46"/>
      <c r="BW534" s="298"/>
      <c r="BX534" s="294"/>
      <c r="BY534" s="295"/>
      <c r="CB534" s="299"/>
      <c r="CC534" s="299"/>
      <c r="CD534" s="299"/>
      <c r="CE534" s="299"/>
    </row>
    <row r="535" spans="2:83" x14ac:dyDescent="0.8">
      <c r="B535" s="46"/>
      <c r="C535" s="62"/>
      <c r="F535" s="70"/>
      <c r="G535" s="86"/>
      <c r="H535" s="70"/>
      <c r="I535" s="86"/>
      <c r="J535" s="64"/>
      <c r="K535" s="64"/>
      <c r="L535" s="117"/>
      <c r="M535" s="118"/>
      <c r="R535" s="58"/>
      <c r="S535" s="58"/>
      <c r="T535" s="140"/>
      <c r="X535" s="129"/>
      <c r="Y535" s="120"/>
      <c r="AQ535" s="67"/>
      <c r="AT535" s="46"/>
      <c r="AY535" s="57"/>
      <c r="AZ535" s="64"/>
      <c r="BA535" s="46"/>
      <c r="BB535" s="46"/>
      <c r="BC535" s="48"/>
      <c r="BF535" s="46"/>
      <c r="BL535" s="121"/>
      <c r="BM535" s="57"/>
      <c r="BN535" s="64"/>
      <c r="BO535" s="64"/>
      <c r="BP535" s="64"/>
      <c r="BQ535" s="64"/>
      <c r="BR535" s="57"/>
      <c r="BS535" s="64"/>
      <c r="BT535" s="64"/>
      <c r="BU535" s="64"/>
      <c r="BV535" s="46"/>
      <c r="BW535" s="298"/>
      <c r="BX535" s="294"/>
      <c r="BY535" s="295"/>
      <c r="CB535" s="299"/>
      <c r="CC535" s="299"/>
      <c r="CD535" s="299"/>
      <c r="CE535" s="299"/>
    </row>
    <row r="536" spans="2:83" x14ac:dyDescent="0.8">
      <c r="B536" s="46"/>
      <c r="C536" s="62"/>
      <c r="F536" s="70"/>
      <c r="G536" s="86"/>
      <c r="H536" s="70"/>
      <c r="I536" s="86"/>
      <c r="J536" s="182"/>
      <c r="K536" s="300"/>
      <c r="R536" s="58"/>
      <c r="S536" s="58"/>
      <c r="X536" s="64"/>
      <c r="Y536" s="46"/>
      <c r="Z536" s="57"/>
      <c r="AA536" s="46"/>
      <c r="AM536" s="64"/>
      <c r="AO536" s="46"/>
      <c r="AQ536" s="67"/>
      <c r="AT536" s="46"/>
      <c r="AY536" s="57"/>
      <c r="AZ536" s="64"/>
      <c r="BA536" s="46"/>
      <c r="BC536" s="48"/>
      <c r="BF536" s="46"/>
      <c r="BL536" s="121"/>
      <c r="BM536" s="57"/>
      <c r="BN536" s="64"/>
      <c r="BO536" s="64"/>
      <c r="BP536" s="64"/>
      <c r="BQ536" s="64"/>
      <c r="BR536" s="57"/>
      <c r="BS536" s="64"/>
      <c r="BT536" s="64"/>
      <c r="BU536" s="64"/>
      <c r="BV536" s="46"/>
      <c r="BW536" s="298"/>
      <c r="BX536" s="294"/>
      <c r="BY536" s="295"/>
      <c r="CB536" s="299"/>
      <c r="CC536" s="299"/>
      <c r="CD536" s="299"/>
      <c r="CE536" s="299"/>
    </row>
    <row r="537" spans="2:83" x14ac:dyDescent="0.8">
      <c r="B537" s="46"/>
      <c r="C537" s="62"/>
      <c r="F537" s="70"/>
      <c r="G537" s="86"/>
      <c r="H537" s="70"/>
      <c r="I537" s="86"/>
      <c r="R537" s="58"/>
      <c r="S537" s="58"/>
      <c r="X537" s="64"/>
      <c r="Y537" s="46"/>
      <c r="Z537" s="57"/>
      <c r="AA537" s="46"/>
      <c r="AM537" s="64"/>
      <c r="AO537" s="46"/>
      <c r="AQ537" s="67"/>
      <c r="AT537" s="46"/>
      <c r="BC537" s="48"/>
      <c r="BF537" s="46"/>
      <c r="BL537" s="121"/>
      <c r="BM537" s="57"/>
      <c r="BN537" s="64"/>
      <c r="BO537" s="64"/>
      <c r="BP537" s="64"/>
      <c r="BQ537" s="64"/>
      <c r="BR537" s="57"/>
      <c r="BS537" s="64"/>
      <c r="BT537" s="64"/>
      <c r="BU537" s="64"/>
      <c r="BV537" s="46"/>
      <c r="BW537" s="298"/>
      <c r="BX537" s="294"/>
      <c r="BY537" s="295"/>
      <c r="CB537" s="299"/>
      <c r="CC537" s="299"/>
      <c r="CD537" s="299"/>
      <c r="CE537" s="299"/>
    </row>
    <row r="538" spans="2:83" x14ac:dyDescent="0.8">
      <c r="B538" s="46"/>
      <c r="C538" s="62"/>
      <c r="F538" s="70"/>
      <c r="G538" s="86"/>
      <c r="H538" s="70"/>
      <c r="I538" s="86"/>
      <c r="J538" s="71"/>
      <c r="K538" s="59"/>
      <c r="N538" s="58"/>
      <c r="O538" s="58"/>
      <c r="P538" s="58"/>
      <c r="Q538" s="59"/>
      <c r="R538" s="58"/>
      <c r="S538" s="58"/>
      <c r="T538" s="71"/>
      <c r="V538" s="71"/>
      <c r="AD538" s="71"/>
      <c r="AF538" s="71"/>
      <c r="AH538" s="71"/>
      <c r="AJ538" s="71"/>
      <c r="AL538" s="71"/>
      <c r="AN538" s="71"/>
      <c r="AP538" s="137"/>
      <c r="AQ538" s="67"/>
      <c r="AT538" s="46"/>
      <c r="AY538" s="57"/>
      <c r="AZ538" s="64"/>
      <c r="BA538" s="46"/>
      <c r="BB538" s="46"/>
      <c r="BC538" s="48"/>
      <c r="BF538" s="46"/>
      <c r="BL538" s="121"/>
      <c r="BM538" s="57"/>
      <c r="BN538" s="64"/>
      <c r="BO538" s="64"/>
      <c r="BP538" s="64"/>
      <c r="BQ538" s="64"/>
      <c r="BR538" s="57"/>
      <c r="BS538" s="64"/>
      <c r="BT538" s="64"/>
      <c r="BU538" s="64"/>
      <c r="BV538" s="46"/>
      <c r="BW538" s="298"/>
      <c r="BX538" s="294"/>
      <c r="BY538" s="295"/>
      <c r="CB538" s="299"/>
      <c r="CC538" s="299"/>
      <c r="CD538" s="299"/>
      <c r="CE538" s="299"/>
    </row>
    <row r="539" spans="2:83" x14ac:dyDescent="0.8">
      <c r="B539" s="46"/>
      <c r="C539" s="62"/>
      <c r="J539" s="71"/>
      <c r="K539" s="59"/>
      <c r="N539" s="58"/>
      <c r="O539" s="58"/>
      <c r="P539" s="58"/>
      <c r="Q539" s="59"/>
      <c r="R539" s="58"/>
      <c r="S539" s="58"/>
      <c r="T539" s="71"/>
      <c r="V539" s="71"/>
      <c r="AD539" s="71"/>
      <c r="AF539" s="71"/>
      <c r="AH539" s="71"/>
      <c r="AJ539" s="71"/>
      <c r="AL539" s="71"/>
      <c r="AN539" s="71"/>
      <c r="AP539" s="137"/>
      <c r="AQ539" s="67"/>
      <c r="AT539" s="46"/>
      <c r="AY539" s="57"/>
      <c r="AZ539" s="64"/>
      <c r="BA539" s="46"/>
      <c r="BB539" s="46"/>
      <c r="BC539" s="48"/>
      <c r="BF539" s="46"/>
      <c r="BL539" s="121"/>
      <c r="BM539" s="57"/>
      <c r="BN539" s="64"/>
      <c r="BO539" s="64"/>
      <c r="BP539" s="64"/>
      <c r="BQ539" s="64"/>
      <c r="BR539" s="57"/>
      <c r="BS539" s="64"/>
      <c r="BT539" s="64"/>
      <c r="BU539" s="64"/>
      <c r="BV539" s="46"/>
      <c r="BW539" s="298"/>
      <c r="BX539" s="294"/>
      <c r="BY539" s="295"/>
      <c r="CB539" s="299"/>
      <c r="CC539" s="299"/>
      <c r="CD539" s="299"/>
      <c r="CE539" s="299"/>
    </row>
    <row r="540" spans="2:83" x14ac:dyDescent="0.8">
      <c r="B540" s="46"/>
      <c r="C540" s="62"/>
      <c r="F540" s="70"/>
      <c r="G540" s="86"/>
      <c r="H540" s="70"/>
      <c r="I540" s="86"/>
      <c r="L540" s="117"/>
      <c r="M540" s="118"/>
      <c r="R540" s="58"/>
      <c r="S540" s="58"/>
      <c r="T540" s="140"/>
      <c r="X540" s="129"/>
      <c r="Y540" s="120"/>
      <c r="AQ540" s="67"/>
      <c r="AT540" s="46"/>
      <c r="AY540" s="57"/>
      <c r="AZ540" s="64"/>
      <c r="BA540" s="46"/>
      <c r="BB540" s="46"/>
      <c r="BC540" s="48"/>
      <c r="BF540" s="46"/>
      <c r="BL540" s="121"/>
      <c r="BM540" s="57"/>
      <c r="BN540" s="64"/>
      <c r="BO540" s="64"/>
      <c r="BP540" s="64"/>
      <c r="BQ540" s="64"/>
      <c r="BR540" s="57"/>
      <c r="BS540" s="64"/>
      <c r="BT540" s="64"/>
      <c r="BU540" s="64"/>
      <c r="BV540" s="46"/>
      <c r="BW540" s="298"/>
      <c r="BX540" s="294"/>
      <c r="BY540" s="295"/>
      <c r="CB540" s="299"/>
      <c r="CC540" s="299"/>
      <c r="CD540" s="299"/>
      <c r="CE540" s="299"/>
    </row>
    <row r="541" spans="2:83" x14ac:dyDescent="0.8">
      <c r="B541" s="46"/>
      <c r="C541" s="62"/>
      <c r="F541" s="70"/>
      <c r="G541" s="86"/>
      <c r="H541" s="70"/>
      <c r="I541" s="86"/>
      <c r="R541" s="58"/>
      <c r="S541" s="58"/>
      <c r="X541" s="57"/>
      <c r="Y541" s="46"/>
      <c r="Z541" s="57"/>
      <c r="AA541" s="46"/>
      <c r="AL541" s="68"/>
      <c r="AM541" s="64"/>
      <c r="AO541" s="46"/>
      <c r="AQ541" s="67"/>
      <c r="AT541" s="46"/>
      <c r="BC541" s="48"/>
      <c r="BF541" s="46"/>
      <c r="BL541" s="121"/>
      <c r="BM541" s="57"/>
      <c r="BN541" s="64"/>
      <c r="BO541" s="64"/>
      <c r="BP541" s="64"/>
      <c r="BQ541" s="64"/>
      <c r="BR541" s="57"/>
      <c r="BS541" s="64"/>
      <c r="BT541" s="64"/>
      <c r="BU541" s="64"/>
      <c r="BV541" s="46"/>
      <c r="BW541" s="298"/>
      <c r="BX541" s="294"/>
      <c r="BY541" s="295"/>
      <c r="CB541" s="299"/>
      <c r="CC541" s="299"/>
      <c r="CD541" s="299"/>
      <c r="CE541" s="299"/>
    </row>
    <row r="542" spans="2:83" x14ac:dyDescent="0.8">
      <c r="B542" s="46"/>
      <c r="C542" s="62"/>
      <c r="F542" s="70"/>
      <c r="G542" s="86"/>
      <c r="H542" s="70"/>
      <c r="I542" s="86"/>
      <c r="L542" s="117"/>
      <c r="M542" s="118"/>
      <c r="R542" s="58"/>
      <c r="S542" s="58"/>
      <c r="AL542" s="68"/>
      <c r="AM542" s="64"/>
      <c r="AQ542" s="67"/>
      <c r="AT542" s="46"/>
      <c r="BB542" s="46"/>
      <c r="BC542" s="48"/>
      <c r="BF542" s="46"/>
      <c r="BL542" s="121"/>
      <c r="BM542" s="57"/>
      <c r="BN542" s="64"/>
      <c r="BO542" s="64"/>
      <c r="BP542" s="64"/>
      <c r="BQ542" s="64"/>
      <c r="BR542" s="57"/>
      <c r="BS542" s="64"/>
      <c r="BT542" s="64"/>
      <c r="BU542" s="64"/>
      <c r="BV542" s="46"/>
      <c r="BW542" s="298"/>
      <c r="BX542" s="294"/>
      <c r="BY542" s="295"/>
      <c r="CB542" s="299"/>
      <c r="CC542" s="299"/>
      <c r="CD542" s="299"/>
      <c r="CE542" s="299"/>
    </row>
    <row r="543" spans="2:83" x14ac:dyDescent="0.8">
      <c r="B543" s="46"/>
      <c r="C543" s="62"/>
      <c r="F543" s="70"/>
      <c r="G543" s="86"/>
      <c r="H543" s="70"/>
      <c r="I543" s="86"/>
      <c r="L543" s="117"/>
      <c r="M543" s="118"/>
      <c r="T543" s="140"/>
      <c r="X543" s="129"/>
      <c r="Y543" s="120"/>
      <c r="AL543" s="68"/>
      <c r="AM543" s="64"/>
      <c r="AQ543" s="67"/>
      <c r="AT543" s="46"/>
      <c r="AY543" s="57"/>
      <c r="AZ543" s="64"/>
      <c r="BA543" s="46"/>
      <c r="BB543" s="46"/>
      <c r="BC543" s="48"/>
      <c r="BF543" s="46"/>
      <c r="BL543" s="121"/>
      <c r="BM543" s="57"/>
      <c r="BN543" s="64"/>
      <c r="BO543" s="64"/>
      <c r="BP543" s="64"/>
      <c r="BQ543" s="64"/>
      <c r="BR543" s="57"/>
      <c r="BS543" s="64"/>
      <c r="BT543" s="64"/>
      <c r="BU543" s="64"/>
      <c r="BV543" s="46"/>
      <c r="BW543" s="298"/>
      <c r="BX543" s="294"/>
      <c r="BY543" s="295"/>
      <c r="CB543" s="299"/>
      <c r="CC543" s="299"/>
      <c r="CD543" s="299"/>
      <c r="CE543" s="299"/>
    </row>
    <row r="544" spans="2:83" x14ac:dyDescent="0.8">
      <c r="B544" s="46"/>
      <c r="C544" s="62"/>
      <c r="F544" s="70"/>
      <c r="G544" s="86"/>
      <c r="H544" s="70"/>
      <c r="I544" s="86"/>
      <c r="R544" s="58"/>
      <c r="S544" s="58"/>
      <c r="X544" s="57"/>
      <c r="Y544" s="46"/>
      <c r="Z544" s="57"/>
      <c r="AA544" s="46"/>
      <c r="AO544" s="46"/>
      <c r="AQ544" s="67"/>
      <c r="AT544" s="46"/>
      <c r="BC544" s="48"/>
      <c r="BF544" s="46"/>
      <c r="BL544" s="121"/>
      <c r="BM544" s="57"/>
      <c r="BN544" s="64"/>
      <c r="BO544" s="64"/>
      <c r="BP544" s="64"/>
      <c r="BQ544" s="64"/>
      <c r="BR544" s="57"/>
      <c r="BS544" s="64"/>
      <c r="BT544" s="64"/>
      <c r="BU544" s="64"/>
      <c r="BV544" s="46"/>
      <c r="BW544" s="298"/>
      <c r="BX544" s="294"/>
      <c r="BY544" s="295"/>
      <c r="CB544" s="299"/>
      <c r="CC544" s="299"/>
      <c r="CD544" s="299"/>
      <c r="CE544" s="299"/>
    </row>
    <row r="545" spans="2:83" x14ac:dyDescent="0.8">
      <c r="B545" s="46"/>
      <c r="C545" s="62"/>
      <c r="F545" s="70"/>
      <c r="G545" s="86"/>
      <c r="H545" s="70"/>
      <c r="I545" s="86"/>
      <c r="R545" s="58"/>
      <c r="S545" s="58"/>
      <c r="X545" s="57"/>
      <c r="Y545" s="46"/>
      <c r="Z545" s="57"/>
      <c r="AA545" s="46"/>
      <c r="AL545" s="68"/>
      <c r="AM545" s="64"/>
      <c r="AO545" s="46"/>
      <c r="AQ545" s="67"/>
      <c r="AT545" s="46"/>
      <c r="BC545" s="48"/>
      <c r="BF545" s="46"/>
      <c r="BL545" s="121"/>
      <c r="BM545" s="57"/>
      <c r="BN545" s="64"/>
      <c r="BO545" s="64"/>
      <c r="BP545" s="64"/>
      <c r="BQ545" s="64"/>
      <c r="BR545" s="57"/>
      <c r="BS545" s="64"/>
      <c r="BT545" s="64"/>
      <c r="BU545" s="64"/>
      <c r="BV545" s="46"/>
      <c r="BW545" s="298"/>
      <c r="BX545" s="294"/>
      <c r="BY545" s="295"/>
      <c r="CB545" s="299"/>
      <c r="CC545" s="299"/>
      <c r="CD545" s="299"/>
      <c r="CE545" s="299"/>
    </row>
    <row r="546" spans="2:83" x14ac:dyDescent="0.8">
      <c r="B546" s="46"/>
      <c r="C546" s="62"/>
      <c r="F546" s="70"/>
      <c r="G546" s="86"/>
      <c r="H546" s="70"/>
      <c r="I546" s="86"/>
      <c r="J546" s="182"/>
      <c r="K546" s="300"/>
      <c r="R546" s="58"/>
      <c r="S546" s="58"/>
      <c r="X546" s="57"/>
      <c r="Y546" s="46"/>
      <c r="Z546" s="57"/>
      <c r="AA546" s="46"/>
      <c r="AL546" s="68"/>
      <c r="AM546" s="64"/>
      <c r="AO546" s="46"/>
      <c r="AQ546" s="67"/>
      <c r="AT546" s="46"/>
      <c r="BC546" s="48"/>
      <c r="BF546" s="46"/>
      <c r="BL546" s="121"/>
      <c r="BM546" s="57"/>
      <c r="BN546" s="64"/>
      <c r="BO546" s="64"/>
      <c r="BP546" s="64"/>
      <c r="BQ546" s="64"/>
      <c r="BR546" s="57"/>
      <c r="BS546" s="64"/>
      <c r="BT546" s="64"/>
      <c r="BU546" s="64"/>
      <c r="BV546" s="46"/>
      <c r="BW546" s="298"/>
      <c r="BX546" s="294"/>
      <c r="BY546" s="295"/>
      <c r="CB546" s="299"/>
      <c r="CC546" s="299"/>
      <c r="CD546" s="299"/>
      <c r="CE546" s="299"/>
    </row>
    <row r="547" spans="2:83" x14ac:dyDescent="0.8">
      <c r="B547" s="46"/>
      <c r="C547" s="62"/>
      <c r="F547" s="70"/>
      <c r="G547" s="86"/>
      <c r="H547" s="70"/>
      <c r="I547" s="86"/>
      <c r="L547" s="117"/>
      <c r="M547" s="118"/>
      <c r="R547" s="58"/>
      <c r="S547" s="58"/>
      <c r="T547" s="140"/>
      <c r="V547" s="140"/>
      <c r="X547" s="135"/>
      <c r="Y547" s="139"/>
      <c r="AA547" s="136"/>
      <c r="AD547" s="140"/>
      <c r="AJ547" s="140"/>
      <c r="AL547" s="68"/>
      <c r="AQ547" s="67"/>
      <c r="AT547" s="46"/>
      <c r="AY547" s="57"/>
      <c r="AZ547" s="64"/>
      <c r="BA547" s="46"/>
      <c r="BB547" s="46"/>
      <c r="BC547" s="48"/>
      <c r="BF547" s="46"/>
      <c r="BL547" s="121"/>
      <c r="BM547" s="57"/>
      <c r="BN547" s="64"/>
      <c r="BO547" s="64"/>
      <c r="BP547" s="64"/>
      <c r="BQ547" s="64"/>
      <c r="BR547" s="57"/>
      <c r="BS547" s="64"/>
      <c r="BT547" s="64"/>
      <c r="BU547" s="64"/>
      <c r="BV547" s="46"/>
      <c r="BW547" s="298"/>
      <c r="BX547" s="294"/>
      <c r="BY547" s="295"/>
      <c r="CB547" s="299"/>
      <c r="CC547" s="299"/>
      <c r="CD547" s="299"/>
      <c r="CE547" s="299"/>
    </row>
    <row r="548" spans="2:83" x14ac:dyDescent="0.8">
      <c r="B548" s="46"/>
      <c r="C548" s="62"/>
      <c r="F548" s="70"/>
      <c r="G548" s="86"/>
      <c r="H548" s="70"/>
      <c r="I548" s="86"/>
      <c r="R548" s="58"/>
      <c r="S548" s="58"/>
      <c r="AQ548" s="67"/>
      <c r="AT548" s="46"/>
      <c r="AY548" s="57"/>
      <c r="AZ548" s="64"/>
      <c r="BA548" s="46"/>
      <c r="BB548" s="46"/>
      <c r="BC548" s="48"/>
      <c r="BF548" s="46"/>
      <c r="BL548" s="121"/>
      <c r="BM548" s="57"/>
      <c r="BN548" s="64"/>
      <c r="BO548" s="64"/>
      <c r="BP548" s="64"/>
      <c r="BQ548" s="64"/>
      <c r="BR548" s="57"/>
      <c r="BS548" s="64"/>
      <c r="BT548" s="64"/>
      <c r="BU548" s="64"/>
      <c r="BV548" s="46"/>
      <c r="BW548" s="298"/>
      <c r="BX548" s="294"/>
      <c r="BY548" s="295"/>
      <c r="CB548" s="299"/>
      <c r="CC548" s="299"/>
      <c r="CD548" s="299"/>
      <c r="CE548" s="299"/>
    </row>
    <row r="549" spans="2:83" x14ac:dyDescent="0.8">
      <c r="B549" s="46"/>
      <c r="C549" s="62"/>
      <c r="F549" s="70"/>
      <c r="G549" s="86"/>
      <c r="H549" s="70"/>
      <c r="I549" s="86"/>
      <c r="L549" s="117"/>
      <c r="M549" s="118"/>
      <c r="R549" s="58"/>
      <c r="S549" s="58"/>
      <c r="T549" s="140"/>
      <c r="X549" s="129"/>
      <c r="Y549" s="120"/>
      <c r="AL549" s="68"/>
      <c r="AQ549" s="67"/>
      <c r="AT549" s="46"/>
      <c r="AY549" s="57"/>
      <c r="AZ549" s="64"/>
      <c r="BA549" s="46"/>
      <c r="BB549" s="46"/>
      <c r="BC549" s="48"/>
      <c r="BF549" s="46"/>
      <c r="BL549" s="121"/>
      <c r="BM549" s="57"/>
      <c r="BN549" s="64"/>
      <c r="BO549" s="64"/>
      <c r="BP549" s="64"/>
      <c r="BQ549" s="64"/>
      <c r="BR549" s="57"/>
      <c r="BS549" s="64"/>
      <c r="BT549" s="64"/>
      <c r="BU549" s="64"/>
      <c r="BV549" s="46"/>
      <c r="BW549" s="298"/>
      <c r="BX549" s="294"/>
      <c r="BY549" s="295"/>
      <c r="CB549" s="299"/>
      <c r="CC549" s="299"/>
      <c r="CD549" s="299"/>
      <c r="CE549" s="299"/>
    </row>
    <row r="550" spans="2:83" x14ac:dyDescent="0.8">
      <c r="B550" s="46"/>
      <c r="C550" s="62"/>
      <c r="F550" s="70"/>
      <c r="G550" s="86"/>
      <c r="H550" s="70"/>
      <c r="I550" s="86"/>
      <c r="L550" s="117"/>
      <c r="M550" s="118"/>
      <c r="R550" s="58"/>
      <c r="S550" s="58"/>
      <c r="AA550" s="46"/>
      <c r="AQ550" s="67"/>
      <c r="AT550" s="46"/>
      <c r="AY550" s="57"/>
      <c r="AZ550" s="64"/>
      <c r="BA550" s="46"/>
      <c r="BB550" s="46"/>
      <c r="BC550" s="48"/>
      <c r="BF550" s="46"/>
      <c r="BL550" s="121"/>
      <c r="BM550" s="57"/>
      <c r="BN550" s="64"/>
      <c r="BO550" s="64"/>
      <c r="BP550" s="64"/>
      <c r="BQ550" s="64"/>
      <c r="BR550" s="57"/>
      <c r="BS550" s="64"/>
      <c r="BT550" s="64"/>
      <c r="BU550" s="64"/>
      <c r="BV550" s="46"/>
      <c r="BW550" s="298"/>
      <c r="BX550" s="294"/>
      <c r="BY550" s="295"/>
      <c r="CB550" s="299"/>
      <c r="CC550" s="299"/>
      <c r="CD550" s="299"/>
      <c r="CE550" s="299"/>
    </row>
    <row r="551" spans="2:83" x14ac:dyDescent="0.8">
      <c r="B551" s="46"/>
      <c r="C551" s="62"/>
      <c r="F551" s="70"/>
      <c r="G551" s="86"/>
      <c r="H551" s="70"/>
      <c r="I551" s="86"/>
      <c r="J551" s="64"/>
      <c r="K551" s="64"/>
      <c r="L551" s="117"/>
      <c r="M551" s="118"/>
      <c r="R551" s="58"/>
      <c r="S551" s="58"/>
      <c r="T551" s="140"/>
      <c r="X551" s="129"/>
      <c r="Y551" s="120"/>
      <c r="AQ551" s="67"/>
      <c r="AT551" s="46"/>
      <c r="AY551" s="57"/>
      <c r="AZ551" s="64"/>
      <c r="BA551" s="46"/>
      <c r="BB551" s="46"/>
      <c r="BC551" s="48"/>
      <c r="BF551" s="46"/>
      <c r="BL551" s="121"/>
      <c r="BM551" s="57"/>
      <c r="BN551" s="64"/>
      <c r="BO551" s="64"/>
      <c r="BP551" s="64"/>
      <c r="BQ551" s="64"/>
      <c r="BR551" s="57"/>
      <c r="BS551" s="64"/>
      <c r="BT551" s="64"/>
      <c r="BU551" s="64"/>
      <c r="BV551" s="46"/>
      <c r="BW551" s="298"/>
      <c r="BX551" s="294"/>
      <c r="BY551" s="295"/>
      <c r="CB551" s="299"/>
      <c r="CC551" s="299"/>
      <c r="CD551" s="299"/>
      <c r="CE551" s="299"/>
    </row>
    <row r="552" spans="2:83" x14ac:dyDescent="0.8">
      <c r="B552" s="46"/>
      <c r="C552" s="62"/>
      <c r="F552" s="70"/>
      <c r="G552" s="86"/>
      <c r="H552" s="70"/>
      <c r="I552" s="86"/>
      <c r="L552" s="117"/>
      <c r="M552" s="118"/>
      <c r="R552" s="58"/>
      <c r="S552" s="58"/>
      <c r="T552" s="140"/>
      <c r="X552" s="58"/>
      <c r="AL552" s="68"/>
      <c r="AM552" s="64"/>
      <c r="AQ552" s="67"/>
      <c r="AT552" s="46"/>
      <c r="AY552" s="57"/>
      <c r="AZ552" s="64"/>
      <c r="BA552" s="46"/>
      <c r="BB552" s="46"/>
      <c r="BC552" s="48"/>
      <c r="BF552" s="46"/>
      <c r="BL552" s="121"/>
      <c r="BM552" s="57"/>
      <c r="BN552" s="64"/>
      <c r="BO552" s="64"/>
      <c r="BP552" s="64"/>
      <c r="BQ552" s="64"/>
      <c r="BR552" s="57"/>
      <c r="BS552" s="64"/>
      <c r="BT552" s="64"/>
      <c r="BU552" s="64"/>
      <c r="BV552" s="46"/>
      <c r="BW552" s="299"/>
      <c r="BX552" s="294"/>
      <c r="BY552" s="295"/>
      <c r="CB552" s="299"/>
      <c r="CC552" s="299"/>
      <c r="CD552" s="299"/>
      <c r="CE552" s="299"/>
    </row>
    <row r="553" spans="2:83" x14ac:dyDescent="0.8">
      <c r="B553" s="46"/>
      <c r="C553" s="62"/>
      <c r="F553" s="70"/>
      <c r="G553" s="86"/>
      <c r="H553" s="70"/>
      <c r="I553" s="86"/>
      <c r="R553" s="58"/>
      <c r="S553" s="58"/>
      <c r="X553" s="58"/>
      <c r="AQ553" s="67"/>
      <c r="AT553" s="46"/>
      <c r="AY553" s="57"/>
      <c r="AZ553" s="64"/>
      <c r="BA553" s="46"/>
      <c r="BB553" s="46"/>
      <c r="BC553" s="48"/>
      <c r="BF553" s="46"/>
      <c r="BL553" s="121"/>
      <c r="BM553" s="57"/>
      <c r="BN553" s="64"/>
      <c r="BO553" s="64"/>
      <c r="BP553" s="64"/>
      <c r="BQ553" s="64"/>
      <c r="BR553" s="57"/>
      <c r="BS553" s="64"/>
      <c r="BT553" s="64"/>
      <c r="BU553" s="64"/>
      <c r="BV553" s="46"/>
      <c r="BW553" s="299"/>
      <c r="BX553" s="294"/>
      <c r="BY553" s="295"/>
      <c r="CB553" s="299"/>
      <c r="CC553" s="299"/>
      <c r="CD553" s="299"/>
      <c r="CE553" s="299"/>
    </row>
    <row r="554" spans="2:83" x14ac:dyDescent="0.8">
      <c r="B554" s="46"/>
      <c r="C554" s="62"/>
      <c r="F554" s="70"/>
      <c r="G554" s="86"/>
      <c r="H554" s="70"/>
      <c r="I554" s="86"/>
      <c r="R554" s="58"/>
      <c r="S554" s="58"/>
      <c r="T554" s="184"/>
      <c r="X554" s="64"/>
      <c r="Y554" s="46"/>
      <c r="Z554" s="57"/>
      <c r="AA554" s="46"/>
      <c r="AL554" s="68"/>
      <c r="AM554" s="64"/>
      <c r="AO554" s="46"/>
      <c r="AQ554" s="67"/>
      <c r="AT554" s="46"/>
      <c r="BC554" s="48"/>
      <c r="BF554" s="46"/>
      <c r="BL554" s="121"/>
      <c r="BM554" s="57"/>
      <c r="BN554" s="64"/>
      <c r="BO554" s="64"/>
      <c r="BP554" s="64"/>
      <c r="BQ554" s="64"/>
      <c r="BR554" s="57"/>
      <c r="BS554" s="64"/>
      <c r="BT554" s="64"/>
      <c r="BU554" s="64"/>
      <c r="BV554" s="46"/>
      <c r="BW554" s="299"/>
      <c r="BX554" s="294"/>
      <c r="BY554" s="295"/>
      <c r="CB554" s="299"/>
      <c r="CC554" s="299"/>
      <c r="CD554" s="299"/>
      <c r="CE554" s="299"/>
    </row>
    <row r="555" spans="2:83" x14ac:dyDescent="0.8">
      <c r="B555" s="46"/>
      <c r="C555" s="62"/>
      <c r="F555" s="70"/>
      <c r="G555" s="86"/>
      <c r="H555" s="70"/>
      <c r="I555" s="86"/>
      <c r="L555" s="117"/>
      <c r="M555" s="118"/>
      <c r="R555" s="58"/>
      <c r="S555" s="58"/>
      <c r="T555" s="140"/>
      <c r="AQ555" s="67"/>
      <c r="AT555" s="46"/>
      <c r="AY555" s="57"/>
      <c r="AZ555" s="64"/>
      <c r="BA555" s="46"/>
      <c r="BB555" s="46"/>
      <c r="BC555" s="48"/>
      <c r="BF555" s="46"/>
      <c r="BL555" s="121"/>
      <c r="BM555" s="57"/>
      <c r="BN555" s="64"/>
      <c r="BO555" s="64"/>
      <c r="BP555" s="64"/>
      <c r="BQ555" s="64"/>
      <c r="BR555" s="57"/>
      <c r="BS555" s="64"/>
      <c r="BT555" s="64"/>
      <c r="BU555" s="64"/>
      <c r="BV555" s="46"/>
      <c r="BW555" s="299"/>
      <c r="BX555" s="294"/>
      <c r="BY555" s="295"/>
      <c r="CB555" s="299"/>
      <c r="CC555" s="299"/>
      <c r="CD555" s="299"/>
      <c r="CE555" s="299"/>
    </row>
    <row r="556" spans="2:83" x14ac:dyDescent="0.8">
      <c r="B556" s="46"/>
      <c r="C556" s="62"/>
      <c r="L556" s="117"/>
      <c r="M556" s="118"/>
      <c r="T556" s="140"/>
      <c r="X556" s="129"/>
      <c r="Y556" s="120"/>
      <c r="AL556" s="68"/>
      <c r="AM556" s="64"/>
      <c r="AQ556" s="67"/>
      <c r="AT556" s="46"/>
      <c r="AY556" s="57"/>
      <c r="AZ556" s="64"/>
      <c r="BA556" s="46"/>
      <c r="BB556" s="46"/>
      <c r="BC556" s="48"/>
      <c r="BF556" s="46"/>
      <c r="BL556" s="121"/>
      <c r="BM556" s="57"/>
      <c r="BN556" s="64"/>
      <c r="BO556" s="64"/>
      <c r="BP556" s="64"/>
      <c r="BQ556" s="64"/>
      <c r="BR556" s="57"/>
      <c r="BS556" s="64"/>
      <c r="BT556" s="64"/>
      <c r="BU556" s="64"/>
      <c r="BV556" s="46"/>
      <c r="BW556" s="299"/>
      <c r="BX556" s="294"/>
      <c r="BY556" s="295"/>
      <c r="CB556" s="299"/>
      <c r="CC556" s="299"/>
      <c r="CD556" s="299"/>
      <c r="CE556" s="299"/>
    </row>
    <row r="557" spans="2:83" x14ac:dyDescent="0.8">
      <c r="B557" s="46"/>
      <c r="C557" s="62"/>
      <c r="F557" s="70"/>
      <c r="G557" s="86"/>
      <c r="H557" s="70"/>
      <c r="I557" s="86"/>
      <c r="R557" s="58"/>
      <c r="S557" s="58"/>
      <c r="X557" s="57"/>
      <c r="Y557" s="46"/>
      <c r="Z557" s="57"/>
      <c r="AA557" s="46"/>
      <c r="AL557" s="68"/>
      <c r="AM557" s="64"/>
      <c r="AO557" s="46"/>
      <c r="AQ557" s="67"/>
      <c r="AT557" s="46"/>
      <c r="BC557" s="48"/>
      <c r="BF557" s="46"/>
      <c r="BL557" s="121"/>
      <c r="BM557" s="57"/>
      <c r="BN557" s="64"/>
      <c r="BO557" s="64"/>
      <c r="BP557" s="64"/>
      <c r="BQ557" s="64"/>
      <c r="BR557" s="57"/>
      <c r="BS557" s="64"/>
      <c r="BT557" s="64"/>
      <c r="BU557" s="64"/>
      <c r="BV557" s="46"/>
      <c r="BW557" s="299"/>
      <c r="BX557" s="294"/>
      <c r="BY557" s="295"/>
      <c r="CB557" s="299"/>
      <c r="CC557" s="299"/>
      <c r="CD557" s="299"/>
      <c r="CE557" s="299"/>
    </row>
    <row r="558" spans="2:83" x14ac:dyDescent="0.8">
      <c r="B558" s="46"/>
      <c r="C558" s="62"/>
      <c r="F558" s="70"/>
      <c r="G558" s="86"/>
      <c r="H558" s="70"/>
      <c r="I558" s="86"/>
      <c r="J558" s="71"/>
      <c r="K558" s="59"/>
      <c r="N558" s="58"/>
      <c r="O558" s="58"/>
      <c r="P558" s="58"/>
      <c r="Q558" s="59"/>
      <c r="R558" s="58"/>
      <c r="S558" s="58"/>
      <c r="T558" s="143"/>
      <c r="U558" s="144"/>
      <c r="V558" s="143"/>
      <c r="X558" s="135"/>
      <c r="Y558" s="136"/>
      <c r="AA558" s="136"/>
      <c r="AD558" s="143"/>
      <c r="AF558" s="71"/>
      <c r="AH558" s="71"/>
      <c r="AJ558" s="143"/>
      <c r="AL558" s="68"/>
      <c r="AM558" s="64"/>
      <c r="AP558" s="137"/>
      <c r="AQ558" s="67"/>
      <c r="AT558" s="46"/>
      <c r="BB558" s="46"/>
      <c r="BC558" s="48"/>
      <c r="BF558" s="46"/>
      <c r="BL558" s="121"/>
      <c r="BM558" s="57"/>
      <c r="BN558" s="64"/>
      <c r="BO558" s="64"/>
      <c r="BP558" s="64"/>
      <c r="BQ558" s="64"/>
      <c r="BR558" s="57"/>
      <c r="BS558" s="64"/>
      <c r="BT558" s="64"/>
      <c r="BU558" s="64"/>
      <c r="BV558" s="46"/>
      <c r="BW558" s="299"/>
      <c r="BX558" s="294"/>
      <c r="BY558" s="295"/>
      <c r="CB558" s="299"/>
      <c r="CC558" s="299"/>
      <c r="CD558" s="299"/>
      <c r="CE558" s="299"/>
    </row>
    <row r="559" spans="2:83" x14ac:dyDescent="0.8">
      <c r="B559" s="46"/>
      <c r="C559" s="62"/>
      <c r="F559" s="70"/>
      <c r="G559" s="86"/>
      <c r="H559" s="70"/>
      <c r="I559" s="86"/>
      <c r="L559" s="117"/>
      <c r="M559" s="118"/>
      <c r="R559" s="58"/>
      <c r="S559" s="58"/>
      <c r="T559" s="140"/>
      <c r="X559" s="129"/>
      <c r="Y559" s="120"/>
      <c r="AL559" s="68"/>
      <c r="AQ559" s="67"/>
      <c r="AT559" s="46"/>
      <c r="AY559" s="57"/>
      <c r="AZ559" s="64"/>
      <c r="BA559" s="46"/>
      <c r="BB559" s="46"/>
      <c r="BC559" s="48"/>
      <c r="BF559" s="46"/>
      <c r="BL559" s="121"/>
      <c r="BM559" s="57"/>
      <c r="BN559" s="64"/>
      <c r="BO559" s="64"/>
      <c r="BP559" s="64"/>
      <c r="BQ559" s="64"/>
      <c r="BR559" s="57"/>
      <c r="BS559" s="64"/>
      <c r="BT559" s="64"/>
      <c r="BU559" s="64"/>
      <c r="BV559" s="46"/>
      <c r="BW559" s="299"/>
      <c r="BX559" s="294"/>
      <c r="BY559" s="295"/>
      <c r="CB559" s="299"/>
      <c r="CC559" s="299"/>
      <c r="CD559" s="299"/>
      <c r="CE559" s="299"/>
    </row>
    <row r="560" spans="2:83" x14ac:dyDescent="0.8">
      <c r="B560" s="46"/>
      <c r="C560" s="62"/>
      <c r="F560" s="70"/>
      <c r="G560" s="86"/>
      <c r="H560" s="70"/>
      <c r="I560" s="86"/>
      <c r="L560" s="117"/>
      <c r="M560" s="118"/>
      <c r="R560" s="58"/>
      <c r="S560" s="58"/>
      <c r="T560" s="140"/>
      <c r="X560" s="129"/>
      <c r="Y560" s="120"/>
      <c r="AL560" s="68"/>
      <c r="AQ560" s="67"/>
      <c r="AT560" s="46"/>
      <c r="AY560" s="57"/>
      <c r="AZ560" s="64"/>
      <c r="BA560" s="46"/>
      <c r="BB560" s="46"/>
      <c r="BC560" s="48"/>
      <c r="BF560" s="46"/>
      <c r="BL560" s="121"/>
      <c r="BM560" s="57"/>
      <c r="BN560" s="64"/>
      <c r="BO560" s="64"/>
      <c r="BP560" s="64"/>
      <c r="BQ560" s="64"/>
      <c r="BR560" s="57"/>
      <c r="BS560" s="64"/>
      <c r="BT560" s="64"/>
      <c r="BU560" s="64"/>
      <c r="BV560" s="46"/>
      <c r="BW560" s="299"/>
      <c r="BX560" s="294"/>
      <c r="BY560" s="295"/>
      <c r="CB560" s="299"/>
      <c r="CC560" s="299"/>
      <c r="CD560" s="299"/>
      <c r="CE560" s="299"/>
    </row>
    <row r="561" spans="2:83" x14ac:dyDescent="0.8">
      <c r="B561" s="46"/>
      <c r="C561" s="62"/>
      <c r="F561" s="70"/>
      <c r="G561" s="86"/>
      <c r="H561" s="70"/>
      <c r="I561" s="86"/>
      <c r="L561" s="117"/>
      <c r="M561" s="118"/>
      <c r="R561" s="58"/>
      <c r="S561" s="58"/>
      <c r="T561" s="140"/>
      <c r="X561" s="129"/>
      <c r="Y561" s="120"/>
      <c r="AL561" s="68"/>
      <c r="AM561" s="64"/>
      <c r="AQ561" s="67"/>
      <c r="AT561" s="46"/>
      <c r="AY561" s="57"/>
      <c r="AZ561" s="64"/>
      <c r="BA561" s="46"/>
      <c r="BB561" s="46"/>
      <c r="BC561" s="48"/>
      <c r="BF561" s="46"/>
      <c r="BL561" s="121"/>
      <c r="BM561" s="57"/>
      <c r="BN561" s="64"/>
      <c r="BO561" s="64"/>
      <c r="BP561" s="64"/>
      <c r="BQ561" s="64"/>
      <c r="BR561" s="57"/>
      <c r="BS561" s="64"/>
      <c r="BT561" s="64"/>
      <c r="BU561" s="64"/>
      <c r="BV561" s="46"/>
      <c r="BW561" s="299"/>
      <c r="BX561" s="294"/>
      <c r="BY561" s="295"/>
      <c r="CB561" s="299"/>
      <c r="CC561" s="299"/>
      <c r="CD561" s="299"/>
      <c r="CE561" s="299"/>
    </row>
    <row r="562" spans="2:83" x14ac:dyDescent="0.8">
      <c r="B562" s="46"/>
      <c r="C562" s="62"/>
      <c r="F562" s="70"/>
      <c r="G562" s="86"/>
      <c r="H562" s="70"/>
      <c r="I562" s="86"/>
      <c r="L562" s="117"/>
      <c r="M562" s="118"/>
      <c r="R562" s="58"/>
      <c r="S562" s="58"/>
      <c r="AA562" s="46"/>
      <c r="AQ562" s="67"/>
      <c r="AT562" s="46"/>
      <c r="AY562" s="57"/>
      <c r="AZ562" s="64"/>
      <c r="BA562" s="46"/>
      <c r="BB562" s="46"/>
      <c r="BC562" s="48"/>
      <c r="BF562" s="46"/>
      <c r="BL562" s="121"/>
      <c r="BM562" s="57"/>
      <c r="BN562" s="64"/>
      <c r="BO562" s="64"/>
      <c r="BP562" s="64"/>
      <c r="BQ562" s="64"/>
      <c r="BR562" s="57"/>
      <c r="BS562" s="64"/>
      <c r="BT562" s="64"/>
      <c r="BU562" s="64"/>
      <c r="BV562" s="46"/>
      <c r="BW562" s="299"/>
      <c r="BX562" s="294"/>
      <c r="BY562" s="295"/>
      <c r="CB562" s="299"/>
      <c r="CC562" s="299"/>
      <c r="CD562" s="299"/>
      <c r="CE562" s="299"/>
    </row>
    <row r="563" spans="2:83" x14ac:dyDescent="0.8">
      <c r="B563" s="46"/>
      <c r="C563" s="62"/>
      <c r="F563" s="70"/>
      <c r="G563" s="86"/>
      <c r="H563" s="70"/>
      <c r="I563" s="86"/>
      <c r="L563" s="117"/>
      <c r="M563" s="118"/>
      <c r="R563" s="58"/>
      <c r="S563" s="58"/>
      <c r="T563" s="140"/>
      <c r="X563" s="182"/>
      <c r="Y563" s="120"/>
      <c r="AB563" s="129"/>
      <c r="AQ563" s="67"/>
      <c r="AT563" s="46"/>
      <c r="AY563" s="57"/>
      <c r="AZ563" s="64"/>
      <c r="BA563" s="46"/>
      <c r="BB563" s="46"/>
      <c r="BC563" s="48"/>
      <c r="BF563" s="46"/>
      <c r="BL563" s="121"/>
      <c r="BM563" s="57"/>
      <c r="BN563" s="64"/>
      <c r="BO563" s="64"/>
      <c r="BP563" s="64"/>
      <c r="BQ563" s="64"/>
      <c r="BR563" s="57"/>
      <c r="BS563" s="64"/>
      <c r="BT563" s="64"/>
      <c r="BU563" s="64"/>
      <c r="BV563" s="46"/>
      <c r="BW563" s="299"/>
      <c r="BX563" s="294"/>
      <c r="BY563" s="295"/>
      <c r="CB563" s="299"/>
      <c r="CC563" s="299"/>
      <c r="CD563" s="299"/>
      <c r="CE563" s="299"/>
    </row>
    <row r="564" spans="2:83" x14ac:dyDescent="0.8">
      <c r="B564" s="46"/>
      <c r="C564" s="62"/>
      <c r="F564" s="70"/>
      <c r="G564" s="86"/>
      <c r="H564" s="70"/>
      <c r="I564" s="86"/>
      <c r="R564" s="58"/>
      <c r="S564" s="58"/>
      <c r="T564" s="184"/>
      <c r="X564" s="57"/>
      <c r="Y564" s="46"/>
      <c r="Z564" s="57"/>
      <c r="AA564" s="46"/>
      <c r="AL564" s="68"/>
      <c r="AM564" s="64"/>
      <c r="AO564" s="46"/>
      <c r="AQ564" s="67"/>
      <c r="AT564" s="46"/>
      <c r="BC564" s="48"/>
      <c r="BF564" s="46"/>
      <c r="BL564" s="121"/>
      <c r="BM564" s="57"/>
      <c r="BN564" s="64"/>
      <c r="BO564" s="64"/>
      <c r="BP564" s="64"/>
      <c r="BQ564" s="64"/>
      <c r="BR564" s="57"/>
      <c r="BS564" s="64"/>
      <c r="BT564" s="64"/>
      <c r="BU564" s="64"/>
      <c r="BV564" s="46"/>
      <c r="BW564" s="299"/>
      <c r="BX564" s="294"/>
      <c r="BY564" s="295"/>
      <c r="CB564" s="299"/>
      <c r="CC564" s="299"/>
      <c r="CD564" s="299"/>
      <c r="CE564" s="299"/>
    </row>
    <row r="565" spans="2:83" x14ac:dyDescent="0.8">
      <c r="B565" s="46"/>
      <c r="C565" s="62"/>
      <c r="F565" s="70"/>
      <c r="G565" s="86"/>
      <c r="H565" s="70"/>
      <c r="I565" s="86"/>
      <c r="L565" s="117"/>
      <c r="M565" s="118"/>
      <c r="R565" s="58"/>
      <c r="S565" s="58"/>
      <c r="T565" s="140"/>
      <c r="X565" s="129"/>
      <c r="Y565" s="120"/>
      <c r="AL565" s="69"/>
      <c r="AN565" s="70"/>
      <c r="AQ565" s="67"/>
      <c r="AT565" s="46"/>
      <c r="AY565" s="57"/>
      <c r="AZ565" s="64"/>
      <c r="BA565" s="46"/>
      <c r="BB565" s="46"/>
      <c r="BC565" s="48"/>
      <c r="BF565" s="46"/>
      <c r="BL565" s="121"/>
      <c r="BM565" s="57"/>
      <c r="BN565" s="64"/>
      <c r="BO565" s="64"/>
      <c r="BP565" s="64"/>
      <c r="BQ565" s="64"/>
      <c r="BR565" s="57"/>
      <c r="BS565" s="64"/>
      <c r="BT565" s="64"/>
      <c r="BU565" s="64"/>
      <c r="BV565" s="46"/>
      <c r="BW565" s="299"/>
      <c r="BX565" s="294"/>
      <c r="BY565" s="295"/>
      <c r="CB565" s="299"/>
      <c r="CC565" s="299"/>
      <c r="CD565" s="299"/>
      <c r="CE565" s="299"/>
    </row>
    <row r="566" spans="2:83" x14ac:dyDescent="0.8">
      <c r="B566" s="46"/>
      <c r="C566" s="62"/>
      <c r="F566" s="70"/>
      <c r="G566" s="86"/>
      <c r="H566" s="70"/>
      <c r="I566" s="86"/>
      <c r="L566" s="117"/>
      <c r="M566" s="118"/>
      <c r="R566" s="58"/>
      <c r="S566" s="58"/>
      <c r="T566" s="140"/>
      <c r="AQ566" s="67"/>
      <c r="AT566" s="46"/>
      <c r="AY566" s="57"/>
      <c r="AZ566" s="64"/>
      <c r="BA566" s="46"/>
      <c r="BB566" s="46"/>
      <c r="BC566" s="48"/>
      <c r="BF566" s="46"/>
      <c r="BL566" s="121"/>
      <c r="BM566" s="57"/>
      <c r="BN566" s="64"/>
      <c r="BO566" s="64"/>
      <c r="BP566" s="64"/>
      <c r="BQ566" s="64"/>
      <c r="BR566" s="57"/>
      <c r="BS566" s="64"/>
      <c r="BT566" s="64"/>
      <c r="BU566" s="64"/>
      <c r="BV566" s="46"/>
      <c r="BW566" s="299"/>
      <c r="BX566" s="294"/>
      <c r="BY566" s="295"/>
      <c r="CB566" s="299"/>
      <c r="CC566" s="299"/>
      <c r="CD566" s="299"/>
      <c r="CE566" s="299"/>
    </row>
    <row r="567" spans="2:83" x14ac:dyDescent="0.8">
      <c r="B567" s="46"/>
      <c r="C567" s="62"/>
      <c r="F567" s="70"/>
      <c r="G567" s="86"/>
      <c r="H567" s="70"/>
      <c r="I567" s="86"/>
      <c r="J567" s="64"/>
      <c r="K567" s="64"/>
      <c r="L567" s="117"/>
      <c r="M567" s="118"/>
      <c r="R567" s="58"/>
      <c r="S567" s="58"/>
      <c r="T567" s="140"/>
      <c r="X567" s="129"/>
      <c r="Y567" s="120"/>
      <c r="AL567" s="68"/>
      <c r="AM567" s="64"/>
      <c r="AQ567" s="67"/>
      <c r="AT567" s="46"/>
      <c r="AY567" s="57"/>
      <c r="AZ567" s="64"/>
      <c r="BA567" s="46"/>
      <c r="BB567" s="46"/>
      <c r="BC567" s="48"/>
      <c r="BF567" s="46"/>
      <c r="BL567" s="121"/>
      <c r="BM567" s="57"/>
      <c r="BN567" s="64"/>
      <c r="BO567" s="64"/>
      <c r="BP567" s="64"/>
      <c r="BQ567" s="64"/>
      <c r="BR567" s="57"/>
      <c r="BS567" s="64"/>
      <c r="BT567" s="64"/>
      <c r="BU567" s="64"/>
      <c r="BV567" s="46"/>
      <c r="BW567" s="299"/>
      <c r="BX567" s="294"/>
      <c r="BY567" s="295"/>
      <c r="CB567" s="299"/>
      <c r="CC567" s="299"/>
      <c r="CD567" s="299"/>
      <c r="CE567" s="299"/>
    </row>
    <row r="568" spans="2:83" x14ac:dyDescent="0.8">
      <c r="B568" s="46"/>
      <c r="C568" s="62"/>
      <c r="F568" s="70"/>
      <c r="G568" s="86"/>
      <c r="H568" s="70"/>
      <c r="I568" s="86"/>
      <c r="L568" s="117"/>
      <c r="M568" s="118"/>
      <c r="R568" s="58"/>
      <c r="S568" s="58"/>
      <c r="T568" s="140"/>
      <c r="X568" s="175"/>
      <c r="Y568" s="120"/>
      <c r="AL568" s="68"/>
      <c r="AQ568" s="67"/>
      <c r="AT568" s="46"/>
      <c r="AY568" s="57"/>
      <c r="AZ568" s="64"/>
      <c r="BA568" s="46"/>
      <c r="BB568" s="46"/>
      <c r="BC568" s="48"/>
      <c r="BF568" s="46"/>
      <c r="BL568" s="121"/>
      <c r="BM568" s="57"/>
      <c r="BN568" s="64"/>
      <c r="BO568" s="64"/>
      <c r="BP568" s="64"/>
      <c r="BQ568" s="64"/>
      <c r="BR568" s="57"/>
      <c r="BS568" s="64"/>
      <c r="BT568" s="64"/>
      <c r="BU568" s="64"/>
      <c r="BV568" s="46"/>
      <c r="BW568" s="299"/>
      <c r="BX568" s="294"/>
      <c r="BY568" s="295"/>
      <c r="CB568" s="299"/>
      <c r="CC568" s="299"/>
      <c r="CD568" s="299"/>
      <c r="CE568" s="299"/>
    </row>
    <row r="569" spans="2:83" x14ac:dyDescent="0.8">
      <c r="B569" s="46"/>
      <c r="C569" s="62"/>
      <c r="F569" s="70"/>
      <c r="G569" s="86"/>
      <c r="H569" s="70"/>
      <c r="I569" s="86"/>
      <c r="L569" s="117"/>
      <c r="M569" s="118"/>
      <c r="R569" s="58"/>
      <c r="S569" s="58"/>
      <c r="T569" s="140"/>
      <c r="X569" s="58"/>
      <c r="AQ569" s="67"/>
      <c r="AT569" s="46"/>
      <c r="AY569" s="57"/>
      <c r="AZ569" s="64"/>
      <c r="BA569" s="46"/>
      <c r="BB569" s="46"/>
      <c r="BC569" s="48"/>
      <c r="BF569" s="46"/>
      <c r="BL569" s="121"/>
      <c r="BM569" s="57"/>
      <c r="BN569" s="64"/>
      <c r="BO569" s="64"/>
      <c r="BP569" s="64"/>
      <c r="BQ569" s="64"/>
      <c r="BR569" s="57"/>
      <c r="BS569" s="64"/>
      <c r="BT569" s="64"/>
      <c r="BU569" s="64"/>
      <c r="BV569" s="46"/>
      <c r="BW569" s="299"/>
      <c r="BX569" s="294"/>
      <c r="BY569" s="295"/>
      <c r="CB569" s="299"/>
      <c r="CC569" s="299"/>
      <c r="CD569" s="299"/>
      <c r="CE569" s="299"/>
    </row>
    <row r="570" spans="2:83" x14ac:dyDescent="0.8">
      <c r="B570" s="46"/>
      <c r="C570" s="62"/>
      <c r="F570" s="70"/>
      <c r="G570" s="86"/>
      <c r="H570" s="70"/>
      <c r="I570" s="86"/>
      <c r="J570" s="182"/>
      <c r="K570" s="300"/>
      <c r="R570" s="58"/>
      <c r="S570" s="58"/>
      <c r="X570" s="64"/>
      <c r="Y570" s="46"/>
      <c r="Z570" s="57"/>
      <c r="AA570" s="46"/>
      <c r="AL570" s="68"/>
      <c r="AM570" s="64"/>
      <c r="AO570" s="46"/>
      <c r="AQ570" s="67"/>
      <c r="AT570" s="46"/>
      <c r="BC570" s="48"/>
      <c r="BF570" s="46"/>
      <c r="BL570" s="121"/>
      <c r="BM570" s="57"/>
      <c r="BN570" s="64"/>
      <c r="BO570" s="64"/>
      <c r="BP570" s="64"/>
      <c r="BQ570" s="64"/>
      <c r="BR570" s="57"/>
      <c r="BS570" s="64"/>
      <c r="BT570" s="64"/>
      <c r="BU570" s="64"/>
      <c r="BV570" s="46"/>
      <c r="BW570" s="299"/>
      <c r="BX570" s="294"/>
      <c r="BY570" s="295"/>
      <c r="CB570" s="299"/>
      <c r="CC570" s="299"/>
      <c r="CD570" s="299"/>
      <c r="CE570" s="299"/>
    </row>
    <row r="571" spans="2:83" x14ac:dyDescent="0.8">
      <c r="B571" s="46"/>
      <c r="C571" s="62"/>
      <c r="F571" s="70"/>
      <c r="G571" s="86"/>
      <c r="H571" s="70"/>
      <c r="I571" s="86"/>
      <c r="L571" s="117"/>
      <c r="M571" s="118"/>
      <c r="R571" s="58"/>
      <c r="S571" s="58"/>
      <c r="T571" s="140"/>
      <c r="X571" s="129"/>
      <c r="Y571" s="120"/>
      <c r="AQ571" s="67"/>
      <c r="AT571" s="46"/>
      <c r="AY571" s="57"/>
      <c r="AZ571" s="64"/>
      <c r="BA571" s="46"/>
      <c r="BB571" s="46"/>
      <c r="BC571" s="48"/>
      <c r="BF571" s="46"/>
      <c r="BL571" s="121"/>
      <c r="BM571" s="57"/>
      <c r="BN571" s="64"/>
      <c r="BO571" s="64"/>
      <c r="BP571" s="64"/>
      <c r="BQ571" s="64"/>
      <c r="BR571" s="57"/>
      <c r="BS571" s="64"/>
      <c r="BT571" s="64"/>
      <c r="BU571" s="64"/>
      <c r="BV571" s="46"/>
      <c r="BW571" s="299"/>
      <c r="BX571" s="294"/>
      <c r="BY571" s="295"/>
      <c r="CB571" s="299"/>
      <c r="CC571" s="299"/>
      <c r="CD571" s="299"/>
      <c r="CE571" s="299"/>
    </row>
    <row r="572" spans="2:83" x14ac:dyDescent="0.8">
      <c r="B572" s="46"/>
      <c r="C572" s="62"/>
      <c r="F572" s="70"/>
      <c r="G572" s="86"/>
      <c r="H572" s="70"/>
      <c r="I572" s="86"/>
      <c r="J572" s="71"/>
      <c r="K572" s="59"/>
      <c r="N572" s="58"/>
      <c r="O572" s="58"/>
      <c r="P572" s="58"/>
      <c r="Q572" s="59"/>
      <c r="R572" s="58"/>
      <c r="S572" s="58"/>
      <c r="T572" s="143"/>
      <c r="U572" s="144"/>
      <c r="V572" s="143"/>
      <c r="X572" s="135"/>
      <c r="Y572" s="136"/>
      <c r="AA572" s="136"/>
      <c r="AD572" s="143"/>
      <c r="AF572" s="71"/>
      <c r="AH572" s="71"/>
      <c r="AJ572" s="143"/>
      <c r="AL572" s="68"/>
      <c r="AM572" s="64"/>
      <c r="AP572" s="137"/>
      <c r="AQ572" s="67"/>
      <c r="AT572" s="46"/>
      <c r="BB572" s="46"/>
      <c r="BC572" s="48"/>
      <c r="BF572" s="46"/>
      <c r="BL572" s="121"/>
      <c r="BM572" s="57"/>
      <c r="BN572" s="64"/>
      <c r="BO572" s="64"/>
      <c r="BP572" s="64"/>
      <c r="BQ572" s="64"/>
      <c r="BR572" s="57"/>
      <c r="BS572" s="64"/>
      <c r="BT572" s="64"/>
      <c r="BU572" s="64"/>
      <c r="BV572" s="46"/>
      <c r="BW572" s="299"/>
      <c r="BX572" s="294"/>
      <c r="BY572" s="295"/>
      <c r="CB572" s="299"/>
      <c r="CC572" s="299"/>
      <c r="CD572" s="299"/>
      <c r="CE572" s="299"/>
    </row>
    <row r="573" spans="2:83" x14ac:dyDescent="0.8">
      <c r="B573" s="46"/>
      <c r="C573" s="62"/>
      <c r="H573" s="70"/>
      <c r="I573" s="86"/>
      <c r="R573" s="58"/>
      <c r="S573" s="58"/>
      <c r="X573" s="57"/>
      <c r="Y573" s="46"/>
      <c r="Z573" s="57"/>
      <c r="AA573" s="46"/>
      <c r="AM573" s="64"/>
      <c r="AO573" s="46"/>
      <c r="AQ573" s="67"/>
      <c r="AT573" s="46"/>
      <c r="BC573" s="48"/>
      <c r="BF573" s="46"/>
      <c r="BL573" s="121"/>
      <c r="BM573" s="57"/>
      <c r="BN573" s="64"/>
      <c r="BO573" s="64"/>
      <c r="BP573" s="64"/>
      <c r="BQ573" s="64"/>
      <c r="BR573" s="57"/>
      <c r="BS573" s="64"/>
      <c r="BT573" s="64"/>
      <c r="BU573" s="64"/>
      <c r="BV573" s="46"/>
      <c r="BW573" s="299"/>
      <c r="BX573" s="294"/>
      <c r="BY573" s="295"/>
      <c r="CB573" s="299"/>
      <c r="CC573" s="299"/>
      <c r="CD573" s="299"/>
      <c r="CE573" s="299"/>
    </row>
    <row r="574" spans="2:83" x14ac:dyDescent="0.8">
      <c r="B574" s="46"/>
      <c r="C574" s="62"/>
      <c r="F574" s="70"/>
      <c r="G574" s="86"/>
      <c r="H574" s="70"/>
      <c r="I574" s="86"/>
      <c r="R574" s="58"/>
      <c r="S574" s="58"/>
      <c r="T574" s="184"/>
      <c r="X574" s="57"/>
      <c r="Y574" s="46"/>
      <c r="Z574" s="57"/>
      <c r="AA574" s="46"/>
      <c r="AO574" s="46"/>
      <c r="AQ574" s="67"/>
      <c r="AT574" s="46"/>
      <c r="BC574" s="48"/>
      <c r="BF574" s="46"/>
      <c r="BL574" s="121"/>
      <c r="BM574" s="57"/>
      <c r="BN574" s="64"/>
      <c r="BO574" s="64"/>
      <c r="BP574" s="64"/>
      <c r="BQ574" s="64"/>
      <c r="BR574" s="57"/>
      <c r="BS574" s="64"/>
      <c r="BT574" s="64"/>
      <c r="BU574" s="64"/>
      <c r="BV574" s="46"/>
      <c r="BW574" s="299"/>
      <c r="BX574" s="294"/>
      <c r="BY574" s="295"/>
      <c r="CB574" s="299"/>
      <c r="CC574" s="299"/>
      <c r="CD574" s="299"/>
      <c r="CE574" s="299"/>
    </row>
    <row r="575" spans="2:83" x14ac:dyDescent="0.8">
      <c r="B575" s="46"/>
      <c r="C575" s="62"/>
      <c r="F575" s="70"/>
      <c r="G575" s="86"/>
      <c r="H575" s="70"/>
      <c r="I575" s="86"/>
      <c r="L575" s="117"/>
      <c r="M575" s="118"/>
      <c r="R575" s="58"/>
      <c r="S575" s="58"/>
      <c r="AA575" s="46"/>
      <c r="AQ575" s="67"/>
      <c r="AT575" s="46"/>
      <c r="AY575" s="57"/>
      <c r="AZ575" s="64"/>
      <c r="BA575" s="46"/>
      <c r="BB575" s="46"/>
      <c r="BC575" s="48"/>
      <c r="BF575" s="46"/>
      <c r="BL575" s="121"/>
      <c r="BM575" s="57"/>
      <c r="BN575" s="64"/>
      <c r="BO575" s="64"/>
      <c r="BP575" s="64"/>
      <c r="BQ575" s="64"/>
      <c r="BR575" s="57"/>
      <c r="BS575" s="64"/>
      <c r="BT575" s="64"/>
      <c r="BU575" s="64"/>
      <c r="BV575" s="46"/>
      <c r="BW575" s="299"/>
      <c r="BX575" s="294"/>
      <c r="BY575" s="295"/>
      <c r="CB575" s="299"/>
      <c r="CC575" s="299"/>
      <c r="CD575" s="299"/>
      <c r="CE575" s="299"/>
    </row>
    <row r="576" spans="2:83" x14ac:dyDescent="0.8">
      <c r="B576" s="46"/>
      <c r="C576" s="62"/>
      <c r="F576" s="70"/>
      <c r="G576" s="86"/>
      <c r="H576" s="70"/>
      <c r="I576" s="86"/>
      <c r="L576" s="117"/>
      <c r="M576" s="118"/>
      <c r="R576" s="58"/>
      <c r="S576" s="58"/>
      <c r="T576" s="140"/>
      <c r="X576" s="129"/>
      <c r="Y576" s="120"/>
      <c r="AL576" s="68"/>
      <c r="AM576" s="64"/>
      <c r="AQ576" s="67"/>
      <c r="AT576" s="46"/>
      <c r="AY576" s="57"/>
      <c r="AZ576" s="64"/>
      <c r="BA576" s="46"/>
      <c r="BB576" s="46"/>
      <c r="BC576" s="48"/>
      <c r="BF576" s="46"/>
      <c r="BL576" s="121"/>
      <c r="BM576" s="57"/>
      <c r="BN576" s="64"/>
      <c r="BO576" s="64"/>
      <c r="BP576" s="64"/>
      <c r="BQ576" s="64"/>
      <c r="BR576" s="57"/>
      <c r="BS576" s="64"/>
      <c r="BT576" s="64"/>
      <c r="BU576" s="64"/>
      <c r="BV576" s="46"/>
      <c r="BW576" s="299"/>
      <c r="BX576" s="294"/>
      <c r="BY576" s="295"/>
      <c r="CB576" s="299"/>
      <c r="CC576" s="299"/>
      <c r="CD576" s="299"/>
      <c r="CE576" s="299"/>
    </row>
    <row r="577" spans="2:83" x14ac:dyDescent="0.8">
      <c r="B577" s="46"/>
      <c r="C577" s="62"/>
      <c r="F577" s="70"/>
      <c r="G577" s="86"/>
      <c r="H577" s="70"/>
      <c r="I577" s="86"/>
      <c r="R577" s="58"/>
      <c r="S577" s="58"/>
      <c r="X577" s="57"/>
      <c r="Y577" s="46"/>
      <c r="Z577" s="57"/>
      <c r="AA577" s="46"/>
      <c r="AL577" s="68"/>
      <c r="AM577" s="64"/>
      <c r="AO577" s="46"/>
      <c r="AQ577" s="67"/>
      <c r="AT577" s="46"/>
      <c r="BC577" s="48"/>
      <c r="BF577" s="46"/>
      <c r="BL577" s="121"/>
      <c r="BM577" s="57"/>
      <c r="BN577" s="64"/>
      <c r="BO577" s="64"/>
      <c r="BP577" s="64"/>
      <c r="BQ577" s="64"/>
      <c r="BR577" s="57"/>
      <c r="BS577" s="64"/>
      <c r="BT577" s="64"/>
      <c r="BU577" s="64"/>
      <c r="BV577" s="46"/>
      <c r="BW577" s="299"/>
      <c r="BX577" s="294"/>
      <c r="BY577" s="295"/>
      <c r="CB577" s="299"/>
      <c r="CC577" s="299"/>
      <c r="CD577" s="299"/>
      <c r="CE577" s="299"/>
    </row>
    <row r="578" spans="2:83" x14ac:dyDescent="0.8">
      <c r="B578" s="46"/>
      <c r="C578" s="62"/>
      <c r="F578" s="70"/>
      <c r="G578" s="86"/>
      <c r="H578" s="70"/>
      <c r="I578" s="86"/>
      <c r="R578" s="58"/>
      <c r="S578" s="58"/>
      <c r="AQ578" s="67"/>
      <c r="AT578" s="46"/>
      <c r="AY578" s="57"/>
      <c r="AZ578" s="64"/>
      <c r="BA578" s="46"/>
      <c r="BB578" s="46"/>
      <c r="BC578" s="48"/>
      <c r="BF578" s="46"/>
      <c r="BL578" s="121"/>
      <c r="BM578" s="57"/>
      <c r="BN578" s="64"/>
      <c r="BO578" s="64"/>
      <c r="BP578" s="64"/>
      <c r="BQ578" s="64"/>
      <c r="BR578" s="57"/>
      <c r="BS578" s="64"/>
      <c r="BT578" s="64"/>
      <c r="BU578" s="64"/>
      <c r="BV578" s="46"/>
      <c r="BW578" s="299"/>
      <c r="BX578" s="294"/>
      <c r="BY578" s="295"/>
      <c r="CB578" s="299"/>
      <c r="CC578" s="299"/>
      <c r="CD578" s="299"/>
      <c r="CE578" s="299"/>
    </row>
    <row r="579" spans="2:83" x14ac:dyDescent="0.8">
      <c r="B579" s="46"/>
      <c r="C579" s="62"/>
      <c r="F579" s="70"/>
      <c r="G579" s="86"/>
      <c r="H579" s="70"/>
      <c r="I579" s="86"/>
      <c r="R579" s="58"/>
      <c r="S579" s="58"/>
      <c r="X579" s="57"/>
      <c r="Y579" s="46"/>
      <c r="Z579" s="57"/>
      <c r="AA579" s="46"/>
      <c r="AM579" s="64"/>
      <c r="AO579" s="46"/>
      <c r="AQ579" s="67"/>
      <c r="AT579" s="46"/>
      <c r="BC579" s="48"/>
      <c r="BF579" s="46"/>
      <c r="BL579" s="121"/>
      <c r="BM579" s="57"/>
      <c r="BN579" s="64"/>
      <c r="BO579" s="64"/>
      <c r="BP579" s="64"/>
      <c r="BQ579" s="64"/>
      <c r="BR579" s="57"/>
      <c r="BS579" s="64"/>
      <c r="BT579" s="64"/>
      <c r="BU579" s="64"/>
      <c r="BV579" s="46"/>
      <c r="BW579" s="299"/>
      <c r="BX579" s="294"/>
      <c r="BY579" s="295"/>
      <c r="CB579" s="299"/>
      <c r="CC579" s="299"/>
      <c r="CD579" s="299"/>
      <c r="CE579" s="299"/>
    </row>
    <row r="580" spans="2:83" x14ac:dyDescent="0.8">
      <c r="B580" s="46"/>
      <c r="C580" s="62"/>
      <c r="F580" s="70"/>
      <c r="G580" s="86"/>
      <c r="H580" s="70"/>
      <c r="I580" s="86"/>
      <c r="L580" s="117"/>
      <c r="M580" s="118"/>
      <c r="R580" s="58"/>
      <c r="S580" s="58"/>
      <c r="T580" s="140"/>
      <c r="X580" s="129"/>
      <c r="Y580" s="120"/>
      <c r="AL580" s="68"/>
      <c r="AQ580" s="67"/>
      <c r="AT580" s="46"/>
      <c r="AY580" s="57"/>
      <c r="AZ580" s="64"/>
      <c r="BA580" s="46"/>
      <c r="BB580" s="46"/>
      <c r="BC580" s="48"/>
      <c r="BF580" s="46"/>
      <c r="BL580" s="121"/>
      <c r="BM580" s="57"/>
      <c r="BN580" s="64"/>
      <c r="BO580" s="64"/>
      <c r="BP580" s="64"/>
      <c r="BQ580" s="64"/>
      <c r="BR580" s="57"/>
      <c r="BS580" s="64"/>
      <c r="BT580" s="64"/>
      <c r="BU580" s="64"/>
      <c r="BV580" s="46"/>
      <c r="BW580" s="299"/>
      <c r="BX580" s="294"/>
      <c r="BY580" s="295"/>
      <c r="CB580" s="299"/>
      <c r="CC580" s="299"/>
      <c r="CD580" s="299"/>
      <c r="CE580" s="299"/>
    </row>
    <row r="581" spans="2:83" x14ac:dyDescent="0.8">
      <c r="B581" s="46"/>
      <c r="C581" s="62"/>
      <c r="F581" s="70"/>
      <c r="G581" s="86"/>
      <c r="H581" s="70"/>
      <c r="I581" s="86"/>
      <c r="J581" s="71"/>
      <c r="K581" s="59"/>
      <c r="N581" s="58"/>
      <c r="O581" s="58"/>
      <c r="P581" s="58"/>
      <c r="Q581" s="59"/>
      <c r="R581" s="58"/>
      <c r="S581" s="58"/>
      <c r="T581" s="71"/>
      <c r="V581" s="71"/>
      <c r="AD581" s="71"/>
      <c r="AF581" s="71"/>
      <c r="AH581" s="71"/>
      <c r="AJ581" s="71"/>
      <c r="AL581" s="126"/>
      <c r="AN581" s="126"/>
      <c r="AP581" s="137"/>
      <c r="AQ581" s="67"/>
      <c r="AT581" s="46"/>
      <c r="AY581" s="57"/>
      <c r="AZ581" s="64"/>
      <c r="BA581" s="46"/>
      <c r="BB581" s="46"/>
      <c r="BC581" s="48"/>
      <c r="BF581" s="46"/>
      <c r="BL581" s="121"/>
      <c r="BM581" s="57"/>
      <c r="BN581" s="64"/>
      <c r="BO581" s="64"/>
      <c r="BP581" s="64"/>
      <c r="BQ581" s="64"/>
      <c r="BR581" s="57"/>
      <c r="BS581" s="64"/>
      <c r="BT581" s="64"/>
      <c r="BU581" s="64"/>
      <c r="BV581" s="46"/>
      <c r="BW581" s="299"/>
      <c r="BX581" s="294"/>
      <c r="BY581" s="295"/>
      <c r="CB581" s="299"/>
      <c r="CC581" s="299"/>
      <c r="CD581" s="299"/>
      <c r="CE581" s="299"/>
    </row>
    <row r="582" spans="2:83" x14ac:dyDescent="0.8">
      <c r="B582" s="46"/>
      <c r="C582" s="62"/>
      <c r="F582" s="70"/>
      <c r="G582" s="86"/>
      <c r="H582" s="70"/>
      <c r="I582" s="86"/>
      <c r="L582" s="117"/>
      <c r="M582" s="118"/>
      <c r="R582" s="58"/>
      <c r="S582" s="58"/>
      <c r="AA582" s="46"/>
      <c r="AQ582" s="67"/>
      <c r="AT582" s="46"/>
      <c r="AY582" s="57"/>
      <c r="AZ582" s="64"/>
      <c r="BA582" s="46"/>
      <c r="BB582" s="46"/>
      <c r="BC582" s="48"/>
      <c r="BF582" s="46"/>
      <c r="BL582" s="121"/>
      <c r="BM582" s="57"/>
      <c r="BN582" s="64"/>
      <c r="BO582" s="64"/>
      <c r="BP582" s="64"/>
      <c r="BQ582" s="64"/>
      <c r="BR582" s="57"/>
      <c r="BS582" s="64"/>
      <c r="BT582" s="64"/>
      <c r="BU582" s="64"/>
      <c r="BV582" s="46"/>
      <c r="BW582" s="299"/>
      <c r="BX582" s="294"/>
      <c r="BY582" s="295"/>
      <c r="CB582" s="299"/>
      <c r="CC582" s="299"/>
      <c r="CD582" s="299"/>
      <c r="CE582" s="299"/>
    </row>
    <row r="583" spans="2:83" x14ac:dyDescent="0.8">
      <c r="B583" s="46"/>
      <c r="C583" s="62"/>
      <c r="F583" s="70"/>
      <c r="G583" s="86"/>
      <c r="H583" s="70"/>
      <c r="I583" s="86"/>
      <c r="J583" s="58"/>
      <c r="K583" s="58"/>
      <c r="N583" s="58"/>
      <c r="O583" s="58"/>
      <c r="P583" s="58"/>
      <c r="Q583" s="59"/>
      <c r="R583" s="58"/>
      <c r="S583" s="58"/>
      <c r="T583" s="143"/>
      <c r="U583" s="144"/>
      <c r="V583" s="143"/>
      <c r="X583" s="135"/>
      <c r="Y583" s="136"/>
      <c r="AA583" s="136"/>
      <c r="AD583" s="143"/>
      <c r="AF583" s="71"/>
      <c r="AH583" s="71"/>
      <c r="AJ583" s="143"/>
      <c r="AL583" s="71"/>
      <c r="AN583" s="71"/>
      <c r="AP583" s="137"/>
      <c r="AQ583" s="67"/>
      <c r="AT583" s="46"/>
      <c r="BB583" s="46"/>
      <c r="BC583" s="48"/>
      <c r="BF583" s="46"/>
      <c r="BL583" s="121"/>
      <c r="BM583" s="57"/>
      <c r="BN583" s="64"/>
      <c r="BO583" s="64"/>
      <c r="BP583" s="64"/>
      <c r="BQ583" s="64"/>
      <c r="BR583" s="57"/>
      <c r="BS583" s="64"/>
      <c r="BT583" s="64"/>
      <c r="BU583" s="64"/>
      <c r="BV583" s="46"/>
    </row>
    <row r="584" spans="2:83" x14ac:dyDescent="0.8">
      <c r="B584" s="46"/>
      <c r="C584" s="62"/>
      <c r="F584" s="70"/>
      <c r="G584" s="86"/>
      <c r="H584" s="70"/>
      <c r="I584" s="86"/>
      <c r="L584" s="117"/>
      <c r="M584" s="118"/>
      <c r="R584" s="58"/>
      <c r="S584" s="58"/>
      <c r="T584" s="140"/>
      <c r="V584" s="140"/>
      <c r="X584" s="176"/>
      <c r="Y584" s="139"/>
      <c r="AA584" s="136"/>
      <c r="AD584" s="140"/>
      <c r="AJ584" s="140"/>
      <c r="AL584" s="126"/>
      <c r="AN584" s="126"/>
      <c r="AQ584" s="67"/>
      <c r="AT584" s="46"/>
      <c r="AY584" s="57"/>
      <c r="AZ584" s="64"/>
      <c r="BA584" s="46"/>
      <c r="BB584" s="46"/>
      <c r="BC584" s="48"/>
      <c r="BF584" s="46"/>
      <c r="BL584" s="121"/>
      <c r="BM584" s="57"/>
      <c r="BN584" s="64"/>
      <c r="BO584" s="64"/>
      <c r="BP584" s="64"/>
      <c r="BQ584" s="64"/>
      <c r="BR584" s="57"/>
      <c r="BS584" s="64"/>
      <c r="BT584" s="64"/>
      <c r="BU584" s="64"/>
      <c r="BV584" s="46"/>
    </row>
    <row r="585" spans="2:83" x14ac:dyDescent="0.8">
      <c r="B585" s="46"/>
      <c r="C585" s="62"/>
      <c r="F585" s="70"/>
      <c r="G585" s="86"/>
      <c r="H585" s="70"/>
      <c r="I585" s="86"/>
      <c r="J585" s="182"/>
      <c r="K585" s="300"/>
      <c r="R585" s="58"/>
      <c r="S585" s="58"/>
      <c r="X585" s="64"/>
      <c r="Y585" s="46"/>
      <c r="Z585" s="57"/>
      <c r="AA585" s="46"/>
      <c r="AL585" s="68"/>
      <c r="AM585" s="64"/>
      <c r="AO585" s="46"/>
      <c r="AQ585" s="67"/>
      <c r="AT585" s="46"/>
      <c r="BC585" s="48"/>
      <c r="BF585" s="46"/>
      <c r="BL585" s="121"/>
      <c r="BM585" s="57"/>
      <c r="BN585" s="64"/>
      <c r="BO585" s="64"/>
      <c r="BP585" s="64"/>
      <c r="BQ585" s="64"/>
      <c r="BR585" s="57"/>
      <c r="BS585" s="64"/>
      <c r="BT585" s="64"/>
      <c r="BU585" s="64"/>
      <c r="BV585" s="46"/>
    </row>
    <row r="586" spans="2:83" x14ac:dyDescent="0.8">
      <c r="B586" s="46"/>
      <c r="C586" s="62"/>
      <c r="F586" s="70"/>
      <c r="G586" s="86"/>
      <c r="H586" s="70"/>
      <c r="I586" s="86"/>
      <c r="R586" s="58"/>
      <c r="S586" s="58"/>
      <c r="X586" s="58"/>
      <c r="AL586" s="68"/>
      <c r="AM586" s="64"/>
      <c r="AQ586" s="67"/>
      <c r="AT586" s="46"/>
      <c r="AY586" s="57"/>
      <c r="AZ586" s="64"/>
      <c r="BA586" s="46"/>
      <c r="BB586" s="46"/>
      <c r="BC586" s="48"/>
      <c r="BF586" s="46"/>
      <c r="BL586" s="121"/>
      <c r="BM586" s="57"/>
      <c r="BN586" s="64"/>
      <c r="BO586" s="64"/>
      <c r="BP586" s="64"/>
      <c r="BQ586" s="64"/>
      <c r="BR586" s="57"/>
      <c r="BS586" s="64"/>
      <c r="BT586" s="64"/>
      <c r="BU586" s="64"/>
      <c r="BV586" s="46"/>
    </row>
    <row r="587" spans="2:83" x14ac:dyDescent="0.8">
      <c r="B587" s="46"/>
      <c r="C587" s="62"/>
      <c r="F587" s="70"/>
      <c r="G587" s="86"/>
      <c r="H587" s="70"/>
      <c r="I587" s="86"/>
      <c r="R587" s="58"/>
      <c r="S587" s="58"/>
      <c r="X587" s="57"/>
      <c r="Y587" s="46"/>
      <c r="Z587" s="57"/>
      <c r="AA587" s="46"/>
      <c r="AM587" s="64"/>
      <c r="AO587" s="46"/>
      <c r="AQ587" s="67"/>
      <c r="AT587" s="46"/>
      <c r="BC587" s="48"/>
      <c r="BF587" s="46"/>
      <c r="BL587" s="121"/>
      <c r="BM587" s="57"/>
      <c r="BN587" s="64"/>
      <c r="BO587" s="64"/>
      <c r="BP587" s="64"/>
      <c r="BQ587" s="64"/>
      <c r="BR587" s="57"/>
      <c r="BS587" s="64"/>
      <c r="BT587" s="64"/>
      <c r="BU587" s="64"/>
      <c r="BV587" s="46"/>
    </row>
    <row r="588" spans="2:83" x14ac:dyDescent="0.8">
      <c r="B588" s="46"/>
      <c r="C588" s="62"/>
      <c r="F588" s="70"/>
      <c r="G588" s="86"/>
      <c r="H588" s="70"/>
      <c r="I588" s="86"/>
      <c r="J588" s="71"/>
      <c r="K588" s="59"/>
      <c r="N588" s="58"/>
      <c r="O588" s="58"/>
      <c r="P588" s="58"/>
      <c r="Q588" s="59"/>
      <c r="R588" s="58"/>
      <c r="S588" s="58"/>
      <c r="T588" s="143"/>
      <c r="U588" s="144"/>
      <c r="V588" s="143"/>
      <c r="X588" s="135"/>
      <c r="Y588" s="136"/>
      <c r="AA588" s="136"/>
      <c r="AD588" s="143"/>
      <c r="AF588" s="71"/>
      <c r="AH588" s="71"/>
      <c r="AJ588" s="143"/>
      <c r="AL588" s="71"/>
      <c r="AN588" s="71"/>
      <c r="AP588" s="137"/>
      <c r="AQ588" s="67"/>
      <c r="AT588" s="46"/>
      <c r="AY588" s="57"/>
      <c r="AZ588" s="64"/>
      <c r="BA588" s="46"/>
      <c r="BB588" s="46"/>
      <c r="BC588" s="48"/>
      <c r="BF588" s="46"/>
      <c r="BL588" s="121"/>
      <c r="BM588" s="57"/>
      <c r="BN588" s="64"/>
      <c r="BO588" s="64"/>
      <c r="BP588" s="64"/>
      <c r="BQ588" s="64"/>
      <c r="BR588" s="57"/>
      <c r="BS588" s="64"/>
      <c r="BT588" s="64"/>
      <c r="BU588" s="64"/>
      <c r="BV588" s="46"/>
    </row>
    <row r="589" spans="2:83" x14ac:dyDescent="0.8">
      <c r="B589" s="46"/>
      <c r="C589" s="62"/>
      <c r="F589" s="70"/>
      <c r="G589" s="86"/>
      <c r="H589" s="70"/>
      <c r="I589" s="86"/>
      <c r="L589" s="117"/>
      <c r="M589" s="118"/>
      <c r="R589" s="58"/>
      <c r="S589" s="58"/>
      <c r="AA589" s="46"/>
      <c r="AL589" s="68"/>
      <c r="AM589" s="64"/>
      <c r="AQ589" s="67"/>
      <c r="AT589" s="46"/>
      <c r="AY589" s="57"/>
      <c r="AZ589" s="64"/>
      <c r="BA589" s="46"/>
      <c r="BB589" s="46"/>
      <c r="BC589" s="48"/>
      <c r="BF589" s="46"/>
      <c r="BL589" s="121"/>
      <c r="BM589" s="57"/>
      <c r="BN589" s="64"/>
      <c r="BO589" s="64"/>
      <c r="BP589" s="64"/>
      <c r="BQ589" s="64"/>
      <c r="BR589" s="57"/>
      <c r="BS589" s="64"/>
      <c r="BT589" s="64"/>
      <c r="BU589" s="64"/>
      <c r="BV589" s="46"/>
    </row>
    <row r="590" spans="2:83" x14ac:dyDescent="0.8">
      <c r="B590" s="46"/>
      <c r="C590" s="62"/>
      <c r="F590" s="70"/>
      <c r="G590" s="86"/>
      <c r="H590" s="70"/>
      <c r="I590" s="86"/>
      <c r="R590" s="58"/>
      <c r="S590" s="58"/>
      <c r="X590" s="57"/>
      <c r="Y590" s="46"/>
      <c r="Z590" s="57"/>
      <c r="AA590" s="46"/>
      <c r="AO590" s="46"/>
      <c r="AQ590" s="67"/>
      <c r="AT590" s="46"/>
      <c r="BC590" s="48"/>
      <c r="BF590" s="46"/>
      <c r="BL590" s="121"/>
      <c r="BM590" s="57"/>
      <c r="BN590" s="64"/>
      <c r="BO590" s="64"/>
      <c r="BP590" s="64"/>
      <c r="BQ590" s="64"/>
      <c r="BR590" s="57"/>
      <c r="BS590" s="64"/>
      <c r="BT590" s="64"/>
      <c r="BU590" s="64"/>
      <c r="BV590" s="46"/>
    </row>
    <row r="591" spans="2:83" x14ac:dyDescent="0.8">
      <c r="B591" s="46"/>
      <c r="C591" s="62"/>
      <c r="F591" s="70"/>
      <c r="G591" s="86"/>
      <c r="H591" s="70"/>
      <c r="I591" s="86"/>
      <c r="L591" s="117"/>
      <c r="M591" s="118"/>
      <c r="R591" s="58"/>
      <c r="S591" s="58"/>
      <c r="T591" s="140"/>
      <c r="X591" s="129"/>
      <c r="Y591" s="120"/>
      <c r="AL591" s="68"/>
      <c r="AQ591" s="67"/>
      <c r="AT591" s="46"/>
      <c r="AY591" s="57"/>
      <c r="AZ591" s="64"/>
      <c r="BA591" s="46"/>
      <c r="BB591" s="46"/>
      <c r="BC591" s="48"/>
      <c r="BF591" s="46"/>
      <c r="BL591" s="121"/>
      <c r="BM591" s="57"/>
      <c r="BN591" s="64"/>
      <c r="BO591" s="64"/>
      <c r="BP591" s="64"/>
      <c r="BQ591" s="64"/>
      <c r="BR591" s="57"/>
      <c r="BS591" s="64"/>
      <c r="BT591" s="64"/>
      <c r="BU591" s="64"/>
      <c r="BV591" s="46"/>
    </row>
    <row r="592" spans="2:83" x14ac:dyDescent="0.8">
      <c r="B592" s="46"/>
      <c r="C592" s="62"/>
      <c r="F592" s="70"/>
      <c r="G592" s="86"/>
      <c r="H592" s="70"/>
      <c r="I592" s="86"/>
      <c r="R592" s="58"/>
      <c r="S592" s="58"/>
      <c r="T592" s="184"/>
      <c r="X592" s="57"/>
      <c r="Y592" s="46"/>
      <c r="Z592" s="57"/>
      <c r="AA592" s="46"/>
      <c r="AL592" s="68"/>
      <c r="AM592" s="64"/>
      <c r="AO592" s="46"/>
      <c r="AQ592" s="67"/>
      <c r="AT592" s="46"/>
      <c r="BC592" s="48"/>
      <c r="BF592" s="46"/>
      <c r="BL592" s="121"/>
      <c r="BM592" s="57"/>
      <c r="BN592" s="64"/>
      <c r="BO592" s="64"/>
      <c r="BP592" s="64"/>
      <c r="BQ592" s="64"/>
      <c r="BR592" s="57"/>
      <c r="BS592" s="64"/>
      <c r="BT592" s="64"/>
      <c r="BU592" s="64"/>
      <c r="BV592" s="46"/>
    </row>
    <row r="593" spans="2:74" x14ac:dyDescent="0.8">
      <c r="B593" s="46"/>
      <c r="C593" s="62"/>
      <c r="F593" s="70"/>
      <c r="G593" s="86"/>
      <c r="H593" s="70"/>
      <c r="I593" s="86"/>
      <c r="L593" s="117"/>
      <c r="M593" s="118"/>
      <c r="R593" s="58"/>
      <c r="S593" s="58"/>
      <c r="T593" s="140"/>
      <c r="X593" s="129"/>
      <c r="Y593" s="120"/>
      <c r="AL593" s="68"/>
      <c r="AM593" s="64"/>
      <c r="AQ593" s="67"/>
      <c r="AT593" s="46"/>
      <c r="AY593" s="57"/>
      <c r="AZ593" s="64"/>
      <c r="BA593" s="46"/>
      <c r="BB593" s="46"/>
      <c r="BC593" s="48"/>
      <c r="BF593" s="46"/>
      <c r="BL593" s="121"/>
      <c r="BM593" s="57"/>
      <c r="BN593" s="64"/>
      <c r="BO593" s="64"/>
      <c r="BP593" s="64"/>
      <c r="BQ593" s="64"/>
      <c r="BR593" s="57"/>
      <c r="BS593" s="64"/>
      <c r="BT593" s="64"/>
      <c r="BU593" s="64"/>
      <c r="BV593" s="46"/>
    </row>
    <row r="594" spans="2:74" x14ac:dyDescent="0.8">
      <c r="B594" s="46"/>
      <c r="C594" s="62"/>
      <c r="F594" s="70"/>
      <c r="G594" s="86"/>
      <c r="H594" s="70"/>
      <c r="I594" s="86"/>
      <c r="L594" s="117"/>
      <c r="M594" s="118"/>
      <c r="R594" s="58"/>
      <c r="S594" s="58"/>
      <c r="X594" s="87"/>
      <c r="Y594" s="120"/>
      <c r="AA594" s="46"/>
      <c r="AQ594" s="67"/>
      <c r="AT594" s="46"/>
      <c r="AY594" s="57"/>
      <c r="AZ594" s="64"/>
      <c r="BA594" s="46"/>
      <c r="BB594" s="46"/>
      <c r="BC594" s="48"/>
      <c r="BF594" s="46"/>
      <c r="BL594" s="121"/>
      <c r="BM594" s="57"/>
      <c r="BN594" s="64"/>
      <c r="BO594" s="64"/>
      <c r="BP594" s="64"/>
      <c r="BQ594" s="64"/>
      <c r="BR594" s="57"/>
      <c r="BS594" s="64"/>
      <c r="BT594" s="64"/>
      <c r="BU594" s="64"/>
      <c r="BV594" s="46"/>
    </row>
    <row r="595" spans="2:74" x14ac:dyDescent="0.8">
      <c r="B595" s="46"/>
      <c r="C595" s="62"/>
      <c r="F595" s="70"/>
      <c r="G595" s="86"/>
      <c r="H595" s="70"/>
      <c r="I595" s="86"/>
      <c r="L595" s="117"/>
      <c r="M595" s="118"/>
      <c r="R595" s="58"/>
      <c r="S595" s="58"/>
      <c r="T595" s="140"/>
      <c r="X595" s="129"/>
      <c r="Y595" s="120"/>
      <c r="AQ595" s="67"/>
      <c r="AT595" s="46"/>
      <c r="AY595" s="57"/>
      <c r="AZ595" s="64"/>
      <c r="BA595" s="46"/>
      <c r="BB595" s="46"/>
      <c r="BC595" s="48"/>
      <c r="BF595" s="46"/>
      <c r="BL595" s="121"/>
      <c r="BM595" s="57"/>
      <c r="BN595" s="64"/>
      <c r="BO595" s="64"/>
      <c r="BP595" s="64"/>
      <c r="BQ595" s="64"/>
      <c r="BR595" s="57"/>
      <c r="BS595" s="64"/>
      <c r="BT595" s="64"/>
      <c r="BU595" s="64"/>
      <c r="BV595" s="46"/>
    </row>
    <row r="596" spans="2:74" x14ac:dyDescent="0.8">
      <c r="B596" s="46"/>
      <c r="C596" s="62"/>
      <c r="F596" s="70"/>
      <c r="G596" s="86"/>
      <c r="H596" s="70"/>
      <c r="I596" s="86"/>
      <c r="J596" s="71"/>
      <c r="K596" s="59"/>
      <c r="N596" s="58"/>
      <c r="O596" s="58"/>
      <c r="P596" s="58"/>
      <c r="Q596" s="59"/>
      <c r="R596" s="58"/>
      <c r="S596" s="58"/>
      <c r="T596" s="143"/>
      <c r="U596" s="144"/>
      <c r="V596" s="143"/>
      <c r="X596" s="135"/>
      <c r="Y596" s="136"/>
      <c r="AA596" s="136"/>
      <c r="AD596" s="143"/>
      <c r="AF596" s="71"/>
      <c r="AH596" s="71"/>
      <c r="AJ596" s="143"/>
      <c r="AL596" s="71"/>
      <c r="AN596" s="71"/>
      <c r="AP596" s="137"/>
      <c r="AQ596" s="67"/>
      <c r="AT596" s="46"/>
      <c r="BB596" s="46"/>
      <c r="BC596" s="48"/>
      <c r="BF596" s="46"/>
      <c r="BL596" s="121"/>
      <c r="BM596" s="57"/>
      <c r="BN596" s="64"/>
      <c r="BO596" s="64"/>
      <c r="BP596" s="64"/>
      <c r="BQ596" s="64"/>
      <c r="BR596" s="57"/>
      <c r="BS596" s="64"/>
      <c r="BT596" s="64"/>
      <c r="BU596" s="64"/>
      <c r="BV596" s="46"/>
    </row>
    <row r="597" spans="2:74" x14ac:dyDescent="0.8">
      <c r="B597" s="46"/>
      <c r="C597" s="62"/>
      <c r="F597" s="70"/>
      <c r="G597" s="86"/>
      <c r="H597" s="70"/>
      <c r="I597" s="86"/>
      <c r="J597" s="182"/>
      <c r="K597" s="300"/>
      <c r="R597" s="58"/>
      <c r="S597" s="58"/>
      <c r="X597" s="57"/>
      <c r="Y597" s="46"/>
      <c r="Z597" s="57"/>
      <c r="AA597" s="46"/>
      <c r="AL597" s="68"/>
      <c r="AM597" s="64"/>
      <c r="AO597" s="46"/>
      <c r="AQ597" s="67"/>
      <c r="AT597" s="46"/>
      <c r="BC597" s="48"/>
      <c r="BF597" s="46"/>
      <c r="BL597" s="121"/>
      <c r="BM597" s="57"/>
      <c r="BN597" s="64"/>
      <c r="BO597" s="64"/>
      <c r="BP597" s="64"/>
      <c r="BQ597" s="64"/>
      <c r="BR597" s="57"/>
      <c r="BS597" s="64"/>
      <c r="BT597" s="64"/>
      <c r="BU597" s="64"/>
      <c r="BV597" s="46"/>
    </row>
    <row r="598" spans="2:74" x14ac:dyDescent="0.8">
      <c r="B598" s="46"/>
      <c r="C598" s="62"/>
      <c r="F598" s="70"/>
      <c r="G598" s="86"/>
      <c r="H598" s="70"/>
      <c r="I598" s="86"/>
      <c r="L598" s="117"/>
      <c r="M598" s="118"/>
      <c r="R598" s="58"/>
      <c r="S598" s="58"/>
      <c r="T598" s="140"/>
      <c r="X598" s="129"/>
      <c r="Y598" s="120"/>
      <c r="AL598" s="68"/>
      <c r="AM598" s="64"/>
      <c r="AQ598" s="67"/>
      <c r="AT598" s="46"/>
      <c r="AY598" s="57"/>
      <c r="AZ598" s="64"/>
      <c r="BA598" s="46"/>
      <c r="BB598" s="46"/>
      <c r="BC598" s="48"/>
      <c r="BF598" s="46"/>
      <c r="BL598" s="121"/>
      <c r="BM598" s="57"/>
      <c r="BN598" s="64"/>
      <c r="BO598" s="64"/>
      <c r="BP598" s="64"/>
      <c r="BQ598" s="64"/>
      <c r="BR598" s="57"/>
      <c r="BS598" s="64"/>
      <c r="BT598" s="64"/>
      <c r="BU598" s="64"/>
      <c r="BV598" s="46"/>
    </row>
    <row r="599" spans="2:74" x14ac:dyDescent="0.8">
      <c r="B599" s="46"/>
      <c r="C599" s="62"/>
      <c r="F599" s="70"/>
      <c r="G599" s="86"/>
      <c r="H599" s="70"/>
      <c r="I599" s="86"/>
      <c r="J599" s="64"/>
      <c r="K599" s="64"/>
      <c r="R599" s="58"/>
      <c r="S599" s="58"/>
      <c r="T599" s="184"/>
      <c r="X599" s="57"/>
      <c r="Y599" s="46"/>
      <c r="Z599" s="57"/>
      <c r="AA599" s="46"/>
      <c r="AO599" s="46"/>
      <c r="AQ599" s="67"/>
      <c r="AT599" s="46"/>
      <c r="BC599" s="48"/>
      <c r="BF599" s="46"/>
      <c r="BL599" s="121"/>
      <c r="BM599" s="57"/>
      <c r="BN599" s="64"/>
      <c r="BO599" s="64"/>
      <c r="BP599" s="64"/>
      <c r="BQ599" s="64"/>
      <c r="BR599" s="57"/>
      <c r="BS599" s="64"/>
      <c r="BT599" s="64"/>
      <c r="BU599" s="64"/>
      <c r="BV599" s="46"/>
    </row>
    <row r="600" spans="2:74" x14ac:dyDescent="0.8">
      <c r="B600" s="46"/>
      <c r="C600" s="62"/>
      <c r="F600" s="70"/>
      <c r="G600" s="86"/>
      <c r="H600" s="70"/>
      <c r="I600" s="86"/>
      <c r="R600" s="58"/>
      <c r="S600" s="58"/>
      <c r="X600" s="58"/>
      <c r="AQ600" s="67"/>
      <c r="AT600" s="46"/>
      <c r="AY600" s="57"/>
      <c r="AZ600" s="64"/>
      <c r="BA600" s="46"/>
      <c r="BB600" s="46"/>
      <c r="BC600" s="48"/>
      <c r="BF600" s="46"/>
      <c r="BL600" s="121"/>
      <c r="BM600" s="57"/>
      <c r="BN600" s="64"/>
      <c r="BO600" s="64"/>
      <c r="BP600" s="64"/>
      <c r="BQ600" s="64"/>
      <c r="BR600" s="57"/>
      <c r="BS600" s="64"/>
      <c r="BT600" s="64"/>
      <c r="BU600" s="64"/>
      <c r="BV600" s="46"/>
    </row>
    <row r="601" spans="2:74" x14ac:dyDescent="0.8">
      <c r="B601" s="46"/>
      <c r="C601" s="62"/>
      <c r="F601" s="70"/>
      <c r="G601" s="86"/>
      <c r="H601" s="70"/>
      <c r="I601" s="86"/>
      <c r="L601" s="117"/>
      <c r="M601" s="118"/>
      <c r="R601" s="58"/>
      <c r="S601" s="58"/>
      <c r="X601" s="58"/>
      <c r="AA601" s="46"/>
      <c r="AQ601" s="67"/>
      <c r="AT601" s="46"/>
      <c r="AY601" s="57"/>
      <c r="AZ601" s="64"/>
      <c r="BA601" s="46"/>
      <c r="BB601" s="46"/>
      <c r="BC601" s="48"/>
      <c r="BF601" s="46"/>
      <c r="BL601" s="121"/>
      <c r="BM601" s="57"/>
      <c r="BN601" s="64"/>
      <c r="BO601" s="64"/>
      <c r="BP601" s="64"/>
      <c r="BQ601" s="64"/>
      <c r="BR601" s="57"/>
      <c r="BS601" s="64"/>
      <c r="BT601" s="64"/>
      <c r="BU601" s="64"/>
      <c r="BV601" s="46"/>
    </row>
    <row r="602" spans="2:74" x14ac:dyDescent="0.8">
      <c r="B602" s="46"/>
      <c r="C602" s="62"/>
      <c r="F602" s="70"/>
      <c r="G602" s="86"/>
      <c r="H602" s="70"/>
      <c r="I602" s="86"/>
      <c r="L602" s="117"/>
      <c r="M602" s="118"/>
      <c r="R602" s="58"/>
      <c r="S602" s="58"/>
      <c r="T602" s="140"/>
      <c r="X602" s="183"/>
      <c r="Y602" s="120"/>
      <c r="AB602" s="129"/>
      <c r="AL602" s="68"/>
      <c r="AM602" s="64"/>
      <c r="AQ602" s="67"/>
      <c r="AT602" s="46"/>
      <c r="AY602" s="57"/>
      <c r="AZ602" s="64"/>
      <c r="BA602" s="46"/>
      <c r="BB602" s="46"/>
      <c r="BC602" s="48"/>
      <c r="BF602" s="46"/>
      <c r="BL602" s="121"/>
      <c r="BM602" s="57"/>
      <c r="BN602" s="64"/>
      <c r="BO602" s="64"/>
      <c r="BP602" s="64"/>
      <c r="BQ602" s="64"/>
      <c r="BR602" s="57"/>
      <c r="BS602" s="64"/>
      <c r="BT602" s="64"/>
      <c r="BU602" s="64"/>
      <c r="BV602" s="46"/>
    </row>
    <row r="603" spans="2:74" x14ac:dyDescent="0.8">
      <c r="B603" s="46"/>
      <c r="C603" s="62"/>
      <c r="F603" s="70"/>
      <c r="G603" s="86"/>
      <c r="H603" s="70"/>
      <c r="I603" s="86"/>
      <c r="L603" s="117"/>
      <c r="M603" s="118"/>
      <c r="R603" s="58"/>
      <c r="S603" s="58"/>
      <c r="T603" s="140"/>
      <c r="V603" s="140"/>
      <c r="X603" s="135"/>
      <c r="Y603" s="139"/>
      <c r="AA603" s="136"/>
      <c r="AD603" s="140"/>
      <c r="AJ603" s="140"/>
      <c r="AQ603" s="67"/>
      <c r="AT603" s="46"/>
      <c r="AY603" s="57"/>
      <c r="AZ603" s="64"/>
      <c r="BA603" s="46"/>
      <c r="BB603" s="46"/>
      <c r="BC603" s="48"/>
      <c r="BF603" s="46"/>
      <c r="BL603" s="121"/>
      <c r="BM603" s="57"/>
      <c r="BN603" s="64"/>
      <c r="BO603" s="64"/>
      <c r="BP603" s="64"/>
      <c r="BQ603" s="64"/>
      <c r="BR603" s="57"/>
      <c r="BS603" s="64"/>
      <c r="BT603" s="64"/>
      <c r="BU603" s="64"/>
      <c r="BV603" s="46"/>
    </row>
    <row r="604" spans="2:74" x14ac:dyDescent="0.8">
      <c r="B604" s="46"/>
      <c r="C604" s="62"/>
      <c r="F604" s="70"/>
      <c r="G604" s="86"/>
      <c r="H604" s="70"/>
      <c r="I604" s="86"/>
      <c r="L604" s="117"/>
      <c r="M604" s="118"/>
      <c r="R604" s="58"/>
      <c r="S604" s="58"/>
      <c r="T604" s="140"/>
      <c r="X604" s="175"/>
      <c r="Y604" s="120"/>
      <c r="AL604" s="68"/>
      <c r="AM604" s="64"/>
      <c r="AQ604" s="67"/>
      <c r="AT604" s="46"/>
      <c r="AY604" s="57"/>
      <c r="AZ604" s="64"/>
      <c r="BA604" s="46"/>
      <c r="BB604" s="46"/>
      <c r="BC604" s="48"/>
      <c r="BF604" s="46"/>
      <c r="BL604" s="121"/>
      <c r="BM604" s="57"/>
      <c r="BN604" s="64"/>
      <c r="BO604" s="64"/>
      <c r="BP604" s="64"/>
      <c r="BQ604" s="64"/>
      <c r="BR604" s="57"/>
      <c r="BS604" s="64"/>
      <c r="BT604" s="64"/>
      <c r="BU604" s="64"/>
      <c r="BV604" s="46"/>
    </row>
    <row r="605" spans="2:74" x14ac:dyDescent="0.8">
      <c r="B605" s="46"/>
      <c r="C605" s="62"/>
      <c r="F605" s="70"/>
      <c r="G605" s="86"/>
      <c r="H605" s="70"/>
      <c r="I605" s="86"/>
      <c r="L605" s="117"/>
      <c r="M605" s="118"/>
      <c r="R605" s="58"/>
      <c r="S605" s="58"/>
      <c r="T605" s="140"/>
      <c r="AQ605" s="67"/>
      <c r="AT605" s="46"/>
      <c r="AY605" s="57"/>
      <c r="AZ605" s="64"/>
      <c r="BA605" s="46"/>
      <c r="BB605" s="46"/>
      <c r="BC605" s="48"/>
      <c r="BF605" s="46"/>
      <c r="BL605" s="121"/>
      <c r="BM605" s="57"/>
      <c r="BN605" s="64"/>
      <c r="BO605" s="64"/>
      <c r="BP605" s="64"/>
      <c r="BQ605" s="64"/>
      <c r="BR605" s="57"/>
      <c r="BS605" s="64"/>
      <c r="BT605" s="64"/>
      <c r="BU605" s="64"/>
      <c r="BV605" s="46"/>
    </row>
    <row r="606" spans="2:74" x14ac:dyDescent="0.8">
      <c r="B606" s="46"/>
      <c r="C606" s="62"/>
      <c r="F606" s="70"/>
      <c r="G606" s="86"/>
      <c r="H606" s="70"/>
      <c r="I606" s="86"/>
      <c r="R606" s="58"/>
      <c r="S606" s="58"/>
      <c r="AL606" s="68"/>
      <c r="AM606" s="64"/>
      <c r="AQ606" s="67"/>
      <c r="AT606" s="46"/>
      <c r="AY606" s="57"/>
      <c r="AZ606" s="64"/>
      <c r="BA606" s="46"/>
      <c r="BB606" s="46"/>
      <c r="BC606" s="48"/>
      <c r="BF606" s="46"/>
      <c r="BL606" s="121"/>
      <c r="BM606" s="57"/>
      <c r="BN606" s="64"/>
      <c r="BO606" s="64"/>
      <c r="BP606" s="64"/>
      <c r="BQ606" s="64"/>
      <c r="BR606" s="57"/>
      <c r="BS606" s="64"/>
      <c r="BT606" s="64"/>
      <c r="BU606" s="64"/>
      <c r="BV606" s="46"/>
    </row>
    <row r="607" spans="2:74" x14ac:dyDescent="0.8">
      <c r="B607" s="46"/>
      <c r="C607" s="62"/>
      <c r="F607" s="70"/>
      <c r="G607" s="86"/>
      <c r="H607" s="70"/>
      <c r="I607" s="86"/>
      <c r="J607" s="71"/>
      <c r="K607" s="59"/>
      <c r="N607" s="58"/>
      <c r="O607" s="58"/>
      <c r="P607" s="58"/>
      <c r="Q607" s="59"/>
      <c r="R607" s="58"/>
      <c r="S607" s="58"/>
      <c r="T607" s="143"/>
      <c r="U607" s="144"/>
      <c r="V607" s="143"/>
      <c r="X607" s="135"/>
      <c r="Y607" s="136"/>
      <c r="AA607" s="136"/>
      <c r="AD607" s="143"/>
      <c r="AF607" s="71"/>
      <c r="AH607" s="71"/>
      <c r="AJ607" s="143"/>
      <c r="AP607" s="137"/>
      <c r="AQ607" s="67"/>
      <c r="AT607" s="46"/>
      <c r="BB607" s="46"/>
      <c r="BC607" s="48"/>
      <c r="BF607" s="46"/>
      <c r="BL607" s="121"/>
      <c r="BM607" s="57"/>
      <c r="BN607" s="64"/>
      <c r="BO607" s="64"/>
      <c r="BP607" s="64"/>
      <c r="BQ607" s="64"/>
      <c r="BR607" s="57"/>
      <c r="BS607" s="64"/>
      <c r="BT607" s="64"/>
      <c r="BU607" s="64"/>
      <c r="BV607" s="46"/>
    </row>
    <row r="608" spans="2:74" x14ac:dyDescent="0.8">
      <c r="B608" s="46"/>
      <c r="C608" s="62"/>
      <c r="F608" s="70"/>
      <c r="G608" s="86"/>
      <c r="J608" s="71"/>
      <c r="K608" s="59"/>
      <c r="N608" s="58"/>
      <c r="O608" s="58"/>
      <c r="P608" s="58"/>
      <c r="Q608" s="59"/>
      <c r="R608" s="58"/>
      <c r="S608" s="58"/>
      <c r="T608" s="71"/>
      <c r="V608" s="71"/>
      <c r="AD608" s="71"/>
      <c r="AF608" s="71"/>
      <c r="AH608" s="71"/>
      <c r="AJ608" s="71"/>
      <c r="AL608" s="71"/>
      <c r="AN608" s="71"/>
      <c r="AP608" s="137"/>
      <c r="AQ608" s="67"/>
      <c r="AT608" s="46"/>
      <c r="AY608" s="57"/>
      <c r="AZ608" s="64"/>
      <c r="BA608" s="46"/>
      <c r="BB608" s="46"/>
      <c r="BC608" s="48"/>
      <c r="BF608" s="46"/>
      <c r="BL608" s="121"/>
      <c r="BM608" s="57"/>
      <c r="BN608" s="64"/>
      <c r="BO608" s="64"/>
      <c r="BP608" s="64"/>
      <c r="BQ608" s="64"/>
      <c r="BR608" s="57"/>
      <c r="BS608" s="64"/>
      <c r="BT608" s="64"/>
      <c r="BU608" s="64"/>
      <c r="BV608" s="46"/>
    </row>
    <row r="609" spans="2:74" x14ac:dyDescent="0.8">
      <c r="B609" s="46"/>
      <c r="C609" s="62"/>
      <c r="R609" s="58"/>
      <c r="S609" s="58"/>
      <c r="T609" s="184"/>
      <c r="X609" s="57"/>
      <c r="Y609" s="46"/>
      <c r="Z609" s="57"/>
      <c r="AA609" s="46"/>
      <c r="AL609" s="68"/>
      <c r="AM609" s="64"/>
      <c r="AO609" s="46"/>
      <c r="AQ609" s="67"/>
      <c r="AT609" s="46"/>
      <c r="AY609" s="57"/>
      <c r="AZ609" s="64"/>
      <c r="BA609" s="46"/>
      <c r="BB609" s="46"/>
      <c r="BC609" s="48"/>
      <c r="BF609" s="46"/>
      <c r="BL609" s="121"/>
      <c r="BM609" s="57"/>
      <c r="BN609" s="64"/>
      <c r="BO609" s="64"/>
      <c r="BP609" s="64"/>
      <c r="BQ609" s="64"/>
      <c r="BR609" s="57"/>
      <c r="BS609" s="64"/>
      <c r="BT609" s="64"/>
      <c r="BU609" s="64"/>
      <c r="BV609" s="46"/>
    </row>
    <row r="610" spans="2:74" x14ac:dyDescent="0.8">
      <c r="B610" s="46"/>
      <c r="C610" s="62"/>
      <c r="L610" s="117"/>
      <c r="M610" s="118"/>
      <c r="R610" s="58"/>
      <c r="S610" s="58"/>
      <c r="AQ610" s="67"/>
      <c r="AT610" s="46"/>
      <c r="BC610" s="48"/>
      <c r="BF610" s="46"/>
      <c r="BL610" s="121"/>
      <c r="BM610" s="57"/>
      <c r="BN610" s="64"/>
      <c r="BO610" s="64"/>
      <c r="BP610" s="64"/>
      <c r="BQ610" s="64"/>
      <c r="BR610" s="57"/>
      <c r="BS610" s="64"/>
      <c r="BT610" s="64"/>
      <c r="BU610" s="64"/>
      <c r="BV610" s="46"/>
    </row>
    <row r="611" spans="2:74" x14ac:dyDescent="0.8">
      <c r="B611" s="46"/>
      <c r="C611" s="62"/>
      <c r="F611" s="70"/>
      <c r="G611" s="86"/>
      <c r="J611" s="71"/>
      <c r="K611" s="59"/>
      <c r="N611" s="58"/>
      <c r="O611" s="58"/>
      <c r="P611" s="58"/>
      <c r="Q611" s="59"/>
      <c r="T611" s="71"/>
      <c r="V611" s="71"/>
      <c r="AD611" s="71"/>
      <c r="AF611" s="71"/>
      <c r="AH611" s="71"/>
      <c r="AJ611" s="71"/>
      <c r="AP611" s="137"/>
      <c r="AQ611" s="67"/>
      <c r="AT611" s="46"/>
      <c r="AY611" s="57"/>
      <c r="AZ611" s="64"/>
      <c r="BA611" s="46"/>
      <c r="BB611" s="46"/>
      <c r="BC611" s="48"/>
      <c r="BF611" s="46"/>
      <c r="BL611" s="121"/>
      <c r="BM611" s="57"/>
      <c r="BN611" s="64"/>
      <c r="BO611" s="64"/>
      <c r="BP611" s="64"/>
      <c r="BQ611" s="64"/>
      <c r="BR611" s="57"/>
      <c r="BS611" s="64"/>
      <c r="BT611" s="64"/>
      <c r="BU611" s="64"/>
      <c r="BV611" s="46"/>
    </row>
    <row r="612" spans="2:74" x14ac:dyDescent="0.8">
      <c r="B612" s="46"/>
      <c r="C612" s="62"/>
      <c r="J612" s="71"/>
      <c r="K612" s="59"/>
      <c r="N612" s="58"/>
      <c r="O612" s="58"/>
      <c r="P612" s="58"/>
      <c r="Q612" s="59"/>
      <c r="T612" s="71"/>
      <c r="V612" s="71"/>
      <c r="AA612" s="46"/>
      <c r="AD612" s="71"/>
      <c r="AF612" s="71"/>
      <c r="AH612" s="71"/>
      <c r="AJ612" s="71"/>
      <c r="AP612" s="137"/>
      <c r="AQ612" s="67"/>
      <c r="AT612" s="46"/>
      <c r="AY612" s="57"/>
      <c r="AZ612" s="64"/>
      <c r="BA612" s="46"/>
      <c r="BB612" s="46"/>
      <c r="BC612" s="48"/>
      <c r="BF612" s="46"/>
      <c r="BL612" s="121"/>
      <c r="BM612" s="57"/>
      <c r="BN612" s="64"/>
      <c r="BO612" s="64"/>
      <c r="BP612" s="64"/>
      <c r="BQ612" s="64"/>
      <c r="BR612" s="57"/>
      <c r="BS612" s="64"/>
      <c r="BT612" s="64"/>
      <c r="BU612" s="64"/>
      <c r="BV612" s="46"/>
    </row>
    <row r="613" spans="2:74" x14ac:dyDescent="0.8">
      <c r="B613" s="46"/>
      <c r="C613" s="62"/>
      <c r="L613" s="117"/>
      <c r="M613" s="118"/>
      <c r="AQ613" s="67"/>
      <c r="AT613" s="46"/>
      <c r="AY613" s="57"/>
      <c r="AZ613" s="64"/>
      <c r="BA613" s="46"/>
      <c r="BB613" s="46"/>
      <c r="BC613" s="48"/>
      <c r="BF613" s="46"/>
      <c r="BL613" s="121"/>
      <c r="BM613" s="57"/>
      <c r="BN613" s="64"/>
      <c r="BO613" s="64"/>
      <c r="BP613" s="64"/>
      <c r="BQ613" s="64"/>
      <c r="BR613" s="57"/>
      <c r="BS613" s="64"/>
      <c r="BT613" s="64"/>
      <c r="BU613" s="64"/>
      <c r="BV613" s="46"/>
    </row>
    <row r="614" spans="2:74" x14ac:dyDescent="0.8">
      <c r="B614" s="46"/>
      <c r="C614" s="62"/>
      <c r="F614" s="70"/>
      <c r="G614" s="86"/>
      <c r="H614" s="70"/>
      <c r="I614" s="86"/>
      <c r="R614" s="58"/>
      <c r="S614" s="58"/>
      <c r="T614" s="184"/>
      <c r="X614" s="57"/>
      <c r="Y614" s="46"/>
      <c r="Z614" s="57"/>
      <c r="AA614" s="46"/>
      <c r="AL614" s="68"/>
      <c r="AM614" s="64"/>
      <c r="AO614" s="46"/>
      <c r="AQ614" s="67"/>
      <c r="AT614" s="46"/>
      <c r="BC614" s="48"/>
      <c r="BF614" s="46"/>
      <c r="BL614" s="121"/>
      <c r="BM614" s="57"/>
      <c r="BN614" s="64"/>
      <c r="BO614" s="64"/>
      <c r="BP614" s="64"/>
      <c r="BQ614" s="64"/>
      <c r="BR614" s="57"/>
      <c r="BS614" s="64"/>
      <c r="BT614" s="64"/>
      <c r="BU614" s="64"/>
      <c r="BV614" s="46"/>
    </row>
    <row r="615" spans="2:74" x14ac:dyDescent="0.8">
      <c r="B615" s="46"/>
      <c r="C615" s="62"/>
      <c r="F615" s="70"/>
      <c r="G615" s="86"/>
      <c r="H615" s="70"/>
      <c r="I615" s="86"/>
      <c r="J615" s="182"/>
      <c r="K615" s="300"/>
      <c r="R615" s="58"/>
      <c r="S615" s="58"/>
      <c r="X615" s="57"/>
      <c r="Y615" s="46"/>
      <c r="Z615" s="57"/>
      <c r="AA615" s="46"/>
      <c r="AO615" s="46"/>
      <c r="AQ615" s="67"/>
      <c r="AT615" s="46"/>
      <c r="BC615" s="48"/>
      <c r="BF615" s="46"/>
      <c r="BL615" s="121"/>
      <c r="BM615" s="57"/>
      <c r="BN615" s="64"/>
      <c r="BO615" s="64"/>
      <c r="BP615" s="64"/>
      <c r="BQ615" s="64"/>
      <c r="BR615" s="57"/>
      <c r="BS615" s="64"/>
      <c r="BT615" s="64"/>
      <c r="BU615" s="64"/>
      <c r="BV615" s="46"/>
    </row>
    <row r="616" spans="2:74" x14ac:dyDescent="0.8">
      <c r="B616" s="46"/>
      <c r="C616" s="62"/>
      <c r="F616" s="70"/>
      <c r="G616" s="86"/>
      <c r="H616" s="70"/>
      <c r="I616" s="86"/>
      <c r="L616" s="117"/>
      <c r="M616" s="118"/>
      <c r="R616" s="58"/>
      <c r="S616" s="58"/>
      <c r="T616" s="140"/>
      <c r="X616" s="129"/>
      <c r="Y616" s="120"/>
      <c r="AL616" s="68"/>
      <c r="AM616" s="64"/>
      <c r="AQ616" s="67"/>
      <c r="AT616" s="46"/>
      <c r="AY616" s="57"/>
      <c r="AZ616" s="64"/>
      <c r="BA616" s="46"/>
      <c r="BB616" s="46"/>
      <c r="BC616" s="48"/>
      <c r="BF616" s="46"/>
      <c r="BL616" s="121"/>
      <c r="BM616" s="57"/>
      <c r="BN616" s="64"/>
      <c r="BO616" s="64"/>
      <c r="BP616" s="64"/>
      <c r="BQ616" s="64"/>
      <c r="BR616" s="57"/>
      <c r="BS616" s="64"/>
      <c r="BT616" s="64"/>
      <c r="BU616" s="64"/>
      <c r="BV616" s="46"/>
    </row>
    <row r="617" spans="2:74" x14ac:dyDescent="0.8">
      <c r="B617" s="46"/>
      <c r="C617" s="62"/>
      <c r="F617" s="70"/>
      <c r="G617" s="86"/>
      <c r="H617" s="70"/>
      <c r="I617" s="86"/>
      <c r="J617" s="64"/>
      <c r="K617" s="64"/>
      <c r="L617" s="117"/>
      <c r="M617" s="118"/>
      <c r="R617" s="58"/>
      <c r="S617" s="58"/>
      <c r="T617" s="140"/>
      <c r="X617" s="129"/>
      <c r="Y617" s="120"/>
      <c r="AL617" s="68"/>
      <c r="AQ617" s="67"/>
      <c r="AT617" s="46"/>
      <c r="AY617" s="57"/>
      <c r="AZ617" s="64"/>
      <c r="BA617" s="46"/>
      <c r="BB617" s="46"/>
      <c r="BC617" s="48"/>
      <c r="BF617" s="46"/>
      <c r="BL617" s="121"/>
      <c r="BM617" s="57"/>
      <c r="BN617" s="64"/>
      <c r="BO617" s="64"/>
      <c r="BP617" s="64"/>
      <c r="BQ617" s="64"/>
      <c r="BR617" s="57"/>
      <c r="BS617" s="64"/>
      <c r="BT617" s="64"/>
      <c r="BU617" s="64"/>
      <c r="BV617" s="46"/>
    </row>
    <row r="618" spans="2:74" x14ac:dyDescent="0.8">
      <c r="B618" s="46"/>
      <c r="C618" s="62"/>
      <c r="F618" s="70"/>
      <c r="G618" s="86"/>
      <c r="H618" s="70"/>
      <c r="I618" s="86"/>
      <c r="X618" s="64"/>
      <c r="Y618" s="46"/>
      <c r="Z618" s="57"/>
      <c r="AA618" s="46"/>
      <c r="AL618" s="68"/>
      <c r="AM618" s="64"/>
      <c r="AO618" s="46"/>
      <c r="AQ618" s="67"/>
      <c r="AT618" s="46"/>
      <c r="AY618" s="57"/>
      <c r="AZ618" s="64"/>
      <c r="BA618" s="46"/>
      <c r="BB618" s="46"/>
      <c r="BC618" s="48"/>
      <c r="BF618" s="46"/>
      <c r="BL618" s="121"/>
      <c r="BM618" s="57"/>
      <c r="BN618" s="64"/>
      <c r="BO618" s="64"/>
      <c r="BP618" s="64"/>
      <c r="BQ618" s="64"/>
      <c r="BR618" s="57"/>
      <c r="BS618" s="64"/>
      <c r="BT618" s="64"/>
      <c r="BU618" s="64"/>
      <c r="BV618" s="46"/>
    </row>
    <row r="619" spans="2:74" x14ac:dyDescent="0.8">
      <c r="B619" s="46"/>
      <c r="C619" s="62"/>
      <c r="F619" s="70"/>
      <c r="G619" s="86"/>
      <c r="H619" s="70"/>
      <c r="I619" s="86"/>
      <c r="R619" s="58"/>
      <c r="S619" s="58"/>
      <c r="X619" s="64"/>
      <c r="Y619" s="46"/>
      <c r="Z619" s="57"/>
      <c r="AA619" s="46"/>
      <c r="AO619" s="46"/>
      <c r="AQ619" s="67"/>
      <c r="AT619" s="46"/>
      <c r="BC619" s="48"/>
      <c r="BF619" s="46"/>
      <c r="BL619" s="121"/>
      <c r="BM619" s="57"/>
      <c r="BN619" s="64"/>
      <c r="BO619" s="64"/>
      <c r="BP619" s="64"/>
      <c r="BQ619" s="64"/>
      <c r="BR619" s="57"/>
      <c r="BS619" s="64"/>
      <c r="BT619" s="64"/>
      <c r="BU619" s="64"/>
      <c r="BV619" s="46"/>
    </row>
    <row r="620" spans="2:74" x14ac:dyDescent="0.8">
      <c r="B620" s="46"/>
      <c r="C620" s="62"/>
      <c r="F620" s="70"/>
      <c r="G620" s="86"/>
      <c r="H620" s="70"/>
      <c r="I620" s="86"/>
      <c r="L620" s="117"/>
      <c r="M620" s="118"/>
      <c r="R620" s="58"/>
      <c r="S620" s="58"/>
      <c r="T620" s="140"/>
      <c r="V620" s="140"/>
      <c r="X620" s="135"/>
      <c r="Y620" s="139"/>
      <c r="AA620" s="136"/>
      <c r="AD620" s="140"/>
      <c r="AJ620" s="140"/>
      <c r="AL620" s="68"/>
      <c r="AQ620" s="67"/>
      <c r="AT620" s="46"/>
      <c r="AY620" s="57"/>
      <c r="AZ620" s="64"/>
      <c r="BA620" s="46"/>
      <c r="BB620" s="46"/>
      <c r="BC620" s="48"/>
      <c r="BF620" s="46"/>
      <c r="BL620" s="121"/>
      <c r="BM620" s="57"/>
      <c r="BN620" s="64"/>
      <c r="BO620" s="64"/>
      <c r="BP620" s="64"/>
      <c r="BQ620" s="64"/>
      <c r="BR620" s="57"/>
      <c r="BS620" s="64"/>
      <c r="BT620" s="64"/>
      <c r="BU620" s="64"/>
      <c r="BV620" s="46"/>
    </row>
    <row r="621" spans="2:74" x14ac:dyDescent="0.8">
      <c r="B621" s="46"/>
      <c r="C621" s="62"/>
      <c r="F621" s="70"/>
      <c r="G621" s="86"/>
      <c r="H621" s="70"/>
      <c r="I621" s="86"/>
      <c r="R621" s="58"/>
      <c r="S621" s="58"/>
      <c r="X621" s="57"/>
      <c r="Y621" s="46"/>
      <c r="Z621" s="57"/>
      <c r="AA621" s="46"/>
      <c r="AM621" s="64"/>
      <c r="AO621" s="46"/>
      <c r="AQ621" s="67"/>
      <c r="AT621" s="46"/>
      <c r="BC621" s="48"/>
      <c r="BF621" s="46"/>
      <c r="BL621" s="121"/>
      <c r="BM621" s="57"/>
      <c r="BN621" s="64"/>
      <c r="BO621" s="64"/>
      <c r="BP621" s="64"/>
      <c r="BQ621" s="64"/>
      <c r="BR621" s="57"/>
      <c r="BS621" s="64"/>
      <c r="BT621" s="64"/>
      <c r="BU621" s="64"/>
      <c r="BV621" s="46"/>
    </row>
    <row r="622" spans="2:74" x14ac:dyDescent="0.8">
      <c r="B622" s="46"/>
      <c r="C622" s="62"/>
      <c r="F622" s="70"/>
      <c r="G622" s="86"/>
      <c r="H622" s="70"/>
      <c r="I622" s="86"/>
      <c r="L622" s="117"/>
      <c r="M622" s="118"/>
      <c r="R622" s="58"/>
      <c r="S622" s="58"/>
      <c r="AA622" s="46"/>
      <c r="AQ622" s="67"/>
      <c r="AT622" s="46"/>
      <c r="AY622" s="57"/>
      <c r="AZ622" s="64"/>
      <c r="BA622" s="46"/>
      <c r="BB622" s="46"/>
      <c r="BC622" s="48"/>
      <c r="BF622" s="46"/>
      <c r="BL622" s="121"/>
      <c r="BM622" s="57"/>
      <c r="BN622" s="64"/>
      <c r="BO622" s="64"/>
      <c r="BP622" s="64"/>
      <c r="BQ622" s="64"/>
      <c r="BR622" s="57"/>
      <c r="BS622" s="64"/>
      <c r="BT622" s="64"/>
      <c r="BU622" s="64"/>
      <c r="BV622" s="46"/>
    </row>
    <row r="623" spans="2:74" x14ac:dyDescent="0.8">
      <c r="B623" s="46"/>
      <c r="C623" s="62"/>
      <c r="F623" s="70"/>
      <c r="G623" s="86"/>
      <c r="H623" s="70"/>
      <c r="I623" s="86"/>
      <c r="R623" s="58"/>
      <c r="S623" s="58"/>
      <c r="X623" s="57"/>
      <c r="Y623" s="46"/>
      <c r="Z623" s="57"/>
      <c r="AA623" s="46"/>
      <c r="AL623" s="68"/>
      <c r="AM623" s="64"/>
      <c r="AO623" s="46"/>
      <c r="AQ623" s="67"/>
      <c r="AT623" s="46"/>
      <c r="BC623" s="48"/>
      <c r="BF623" s="46"/>
      <c r="BL623" s="121"/>
      <c r="BM623" s="57"/>
      <c r="BN623" s="64"/>
      <c r="BO623" s="64"/>
      <c r="BP623" s="64"/>
      <c r="BQ623" s="64"/>
      <c r="BR623" s="57"/>
      <c r="BS623" s="64"/>
      <c r="BT623" s="64"/>
      <c r="BU623" s="64"/>
      <c r="BV623" s="46"/>
    </row>
    <row r="624" spans="2:74" x14ac:dyDescent="0.8">
      <c r="B624" s="46"/>
      <c r="C624" s="62"/>
      <c r="F624" s="70"/>
      <c r="G624" s="86"/>
      <c r="H624" s="70"/>
      <c r="I624" s="86"/>
      <c r="L624" s="117"/>
      <c r="M624" s="118"/>
      <c r="R624" s="58"/>
      <c r="S624" s="58"/>
      <c r="T624" s="140"/>
      <c r="X624" s="129"/>
      <c r="Y624" s="120"/>
      <c r="AL624" s="68"/>
      <c r="AQ624" s="67"/>
      <c r="AT624" s="46"/>
      <c r="AY624" s="57"/>
      <c r="AZ624" s="64"/>
      <c r="BA624" s="46"/>
      <c r="BB624" s="46"/>
      <c r="BC624" s="48"/>
      <c r="BF624" s="46"/>
      <c r="BL624" s="121"/>
      <c r="BM624" s="57"/>
      <c r="BN624" s="64"/>
      <c r="BO624" s="64"/>
      <c r="BP624" s="64"/>
      <c r="BQ624" s="64"/>
      <c r="BR624" s="57"/>
      <c r="BS624" s="64"/>
      <c r="BT624" s="64"/>
      <c r="BU624" s="64"/>
      <c r="BV624" s="46"/>
    </row>
    <row r="625" spans="2:74" x14ac:dyDescent="0.8">
      <c r="B625" s="46"/>
      <c r="C625" s="62"/>
      <c r="H625" s="70"/>
      <c r="I625" s="86"/>
      <c r="X625" s="57"/>
      <c r="Y625" s="46"/>
      <c r="Z625" s="57"/>
      <c r="AA625" s="46"/>
      <c r="AD625" s="153"/>
      <c r="AL625" s="68"/>
      <c r="AM625" s="64"/>
      <c r="AO625" s="46"/>
      <c r="AQ625" s="67"/>
      <c r="AT625" s="46"/>
      <c r="AY625" s="57"/>
      <c r="AZ625" s="64"/>
      <c r="BA625" s="46"/>
      <c r="BC625" s="48"/>
      <c r="BF625" s="46"/>
      <c r="BL625" s="121"/>
      <c r="BM625" s="57"/>
      <c r="BN625" s="64"/>
      <c r="BO625" s="64"/>
      <c r="BP625" s="64"/>
      <c r="BQ625" s="64"/>
      <c r="BR625" s="57"/>
      <c r="BS625" s="64"/>
      <c r="BT625" s="64"/>
      <c r="BU625" s="64"/>
      <c r="BV625" s="46"/>
    </row>
    <row r="626" spans="2:74" x14ac:dyDescent="0.8">
      <c r="B626" s="46"/>
      <c r="C626" s="62"/>
      <c r="F626" s="70"/>
      <c r="G626" s="86"/>
      <c r="H626" s="70"/>
      <c r="I626" s="86"/>
      <c r="L626" s="117"/>
      <c r="M626" s="118"/>
      <c r="R626" s="58"/>
      <c r="S626" s="58"/>
      <c r="T626" s="140"/>
      <c r="X626" s="129"/>
      <c r="Y626" s="120"/>
      <c r="AL626" s="69"/>
      <c r="AN626" s="70"/>
      <c r="AQ626" s="67"/>
      <c r="AT626" s="46"/>
      <c r="AY626" s="57"/>
      <c r="AZ626" s="64"/>
      <c r="BA626" s="46"/>
      <c r="BB626" s="46"/>
      <c r="BC626" s="48"/>
      <c r="BF626" s="46"/>
      <c r="BL626" s="121"/>
      <c r="BM626" s="57"/>
      <c r="BN626" s="64"/>
      <c r="BO626" s="64"/>
      <c r="BP626" s="64"/>
      <c r="BQ626" s="64"/>
      <c r="BR626" s="57"/>
      <c r="BS626" s="64"/>
      <c r="BT626" s="64"/>
      <c r="BU626" s="64"/>
      <c r="BV626" s="46"/>
    </row>
    <row r="627" spans="2:74" x14ac:dyDescent="0.8">
      <c r="B627" s="46"/>
      <c r="C627" s="62"/>
      <c r="F627" s="70"/>
      <c r="G627" s="86"/>
      <c r="H627" s="70"/>
      <c r="I627" s="86"/>
      <c r="J627" s="182"/>
      <c r="K627" s="300"/>
      <c r="R627" s="58"/>
      <c r="S627" s="58"/>
      <c r="X627" s="57"/>
      <c r="Y627" s="46"/>
      <c r="Z627" s="57"/>
      <c r="AA627" s="46"/>
      <c r="AL627" s="69"/>
      <c r="AN627" s="70"/>
      <c r="AO627" s="46"/>
      <c r="AQ627" s="67"/>
      <c r="AT627" s="46"/>
      <c r="BC627" s="48"/>
      <c r="BF627" s="46"/>
      <c r="BL627" s="121"/>
      <c r="BM627" s="57"/>
      <c r="BN627" s="64"/>
      <c r="BO627" s="64"/>
      <c r="BP627" s="64"/>
      <c r="BQ627" s="64"/>
      <c r="BR627" s="57"/>
      <c r="BS627" s="64"/>
      <c r="BT627" s="64"/>
      <c r="BU627" s="64"/>
      <c r="BV627" s="46"/>
    </row>
    <row r="628" spans="2:74" x14ac:dyDescent="0.8">
      <c r="B628" s="46"/>
      <c r="C628" s="62"/>
      <c r="F628" s="70"/>
      <c r="G628" s="86"/>
      <c r="J628" s="71"/>
      <c r="K628" s="59"/>
      <c r="N628" s="58"/>
      <c r="O628" s="58"/>
      <c r="P628" s="58"/>
      <c r="Q628" s="59"/>
      <c r="R628" s="58"/>
      <c r="S628" s="58"/>
      <c r="T628" s="143"/>
      <c r="V628" s="71"/>
      <c r="X628" s="143"/>
      <c r="AD628" s="71"/>
      <c r="AF628" s="71"/>
      <c r="AH628" s="71"/>
      <c r="AJ628" s="71"/>
      <c r="AL628" s="71"/>
      <c r="AN628" s="71"/>
      <c r="AP628" s="137"/>
      <c r="AQ628" s="67"/>
      <c r="AT628" s="46"/>
      <c r="AY628" s="57"/>
      <c r="AZ628" s="64"/>
      <c r="BA628" s="46"/>
      <c r="BB628" s="46"/>
      <c r="BC628" s="48"/>
      <c r="BF628" s="46"/>
      <c r="BL628" s="121"/>
      <c r="BM628" s="57"/>
      <c r="BN628" s="64"/>
      <c r="BO628" s="64"/>
      <c r="BP628" s="64"/>
      <c r="BQ628" s="64"/>
      <c r="BR628" s="57"/>
      <c r="BS628" s="64"/>
      <c r="BT628" s="64"/>
      <c r="BU628" s="64"/>
      <c r="BV628" s="46"/>
    </row>
    <row r="629" spans="2:74" x14ac:dyDescent="0.8">
      <c r="B629" s="46"/>
      <c r="C629" s="62"/>
      <c r="L629" s="117"/>
      <c r="M629" s="118"/>
      <c r="R629" s="58"/>
      <c r="S629" s="58"/>
      <c r="AQ629" s="67"/>
      <c r="AT629" s="46"/>
      <c r="AY629" s="57"/>
      <c r="AZ629" s="64"/>
      <c r="BA629" s="46"/>
      <c r="BB629" s="46"/>
      <c r="BC629" s="48"/>
      <c r="BF629" s="46"/>
      <c r="BL629" s="121"/>
      <c r="BM629" s="57"/>
      <c r="BN629" s="64"/>
      <c r="BO629" s="64"/>
      <c r="BP629" s="64"/>
      <c r="BQ629" s="64"/>
      <c r="BR629" s="57"/>
      <c r="BS629" s="64"/>
      <c r="BT629" s="64"/>
      <c r="BU629" s="64"/>
      <c r="BV629" s="46"/>
    </row>
    <row r="630" spans="2:74" x14ac:dyDescent="0.8">
      <c r="B630" s="46"/>
      <c r="C630" s="62"/>
      <c r="L630" s="117"/>
      <c r="M630" s="118"/>
      <c r="R630" s="58"/>
      <c r="S630" s="58"/>
      <c r="T630" s="140"/>
      <c r="X630" s="129"/>
      <c r="Y630" s="120"/>
      <c r="AL630" s="68"/>
      <c r="AM630" s="64"/>
      <c r="AQ630" s="67"/>
      <c r="AT630" s="46"/>
      <c r="AY630" s="57"/>
      <c r="AZ630" s="64"/>
      <c r="BA630" s="46"/>
      <c r="BB630" s="46"/>
      <c r="BC630" s="48"/>
      <c r="BF630" s="46"/>
      <c r="BL630" s="121"/>
      <c r="BM630" s="57"/>
      <c r="BN630" s="64"/>
      <c r="BO630" s="64"/>
      <c r="BP630" s="64"/>
      <c r="BQ630" s="64"/>
      <c r="BR630" s="57"/>
      <c r="BS630" s="64"/>
      <c r="BT630" s="64"/>
      <c r="BU630" s="64"/>
      <c r="BV630" s="46"/>
    </row>
    <row r="631" spans="2:74" x14ac:dyDescent="0.8">
      <c r="B631" s="46"/>
      <c r="C631" s="62"/>
      <c r="L631" s="117"/>
      <c r="M631" s="118"/>
      <c r="R631" s="58"/>
      <c r="S631" s="58"/>
      <c r="X631" s="87"/>
      <c r="Y631" s="120"/>
      <c r="AL631" s="69"/>
      <c r="AN631" s="70"/>
      <c r="AQ631" s="67"/>
      <c r="AT631" s="46"/>
      <c r="AY631" s="57"/>
      <c r="AZ631" s="64"/>
      <c r="BA631" s="46"/>
      <c r="BB631" s="46"/>
      <c r="BC631" s="48"/>
      <c r="BF631" s="46"/>
      <c r="BL631" s="121"/>
      <c r="BM631" s="57"/>
      <c r="BN631" s="64"/>
      <c r="BO631" s="64"/>
      <c r="BP631" s="64"/>
      <c r="BQ631" s="64"/>
      <c r="BR631" s="57"/>
      <c r="BS631" s="64"/>
      <c r="BT631" s="64"/>
      <c r="BU631" s="64"/>
      <c r="BV631" s="46"/>
    </row>
    <row r="632" spans="2:74" x14ac:dyDescent="0.8">
      <c r="B632" s="46"/>
      <c r="C632" s="62"/>
      <c r="F632" s="70"/>
      <c r="G632" s="86"/>
      <c r="L632" s="117"/>
      <c r="M632" s="118"/>
      <c r="R632" s="58"/>
      <c r="S632" s="58"/>
      <c r="AQ632" s="67"/>
      <c r="AT632" s="46"/>
      <c r="AY632" s="57"/>
      <c r="AZ632" s="64"/>
      <c r="BA632" s="46"/>
      <c r="BB632" s="46"/>
      <c r="BC632" s="48"/>
      <c r="BF632" s="46"/>
      <c r="BL632" s="121"/>
      <c r="BM632" s="57"/>
      <c r="BN632" s="64"/>
      <c r="BO632" s="64"/>
      <c r="BP632" s="64"/>
      <c r="BQ632" s="64"/>
      <c r="BR632" s="57"/>
      <c r="BS632" s="64"/>
      <c r="BT632" s="64"/>
      <c r="BU632" s="64"/>
      <c r="BV632" s="46"/>
    </row>
    <row r="633" spans="2:74" x14ac:dyDescent="0.8">
      <c r="B633" s="46"/>
      <c r="C633" s="62"/>
      <c r="J633" s="64"/>
      <c r="K633" s="64"/>
      <c r="L633" s="117"/>
      <c r="M633" s="118"/>
      <c r="R633" s="58"/>
      <c r="S633" s="58"/>
      <c r="T633" s="140"/>
      <c r="X633" s="129"/>
      <c r="Y633" s="120"/>
      <c r="AL633" s="69"/>
      <c r="AN633" s="70"/>
      <c r="AQ633" s="67"/>
      <c r="AT633" s="46"/>
      <c r="AY633" s="57"/>
      <c r="AZ633" s="64"/>
      <c r="BA633" s="46"/>
      <c r="BB633" s="46"/>
      <c r="BC633" s="48"/>
      <c r="BF633" s="46"/>
      <c r="BL633" s="121"/>
      <c r="BM633" s="57"/>
      <c r="BN633" s="64"/>
      <c r="BO633" s="64"/>
      <c r="BP633" s="64"/>
      <c r="BQ633" s="64"/>
      <c r="BR633" s="57"/>
      <c r="BS633" s="64"/>
      <c r="BT633" s="64"/>
      <c r="BU633" s="64"/>
      <c r="BV633" s="46"/>
    </row>
    <row r="634" spans="2:74" x14ac:dyDescent="0.8">
      <c r="B634" s="46"/>
      <c r="C634" s="62"/>
      <c r="F634" s="70"/>
      <c r="G634" s="86"/>
      <c r="H634" s="70"/>
      <c r="I634" s="86"/>
      <c r="L634" s="117"/>
      <c r="M634" s="118"/>
      <c r="R634" s="58"/>
      <c r="S634" s="58"/>
      <c r="T634" s="140"/>
      <c r="X634" s="175"/>
      <c r="Y634" s="120"/>
      <c r="AL634" s="68"/>
      <c r="AQ634" s="67"/>
      <c r="AT634" s="46"/>
      <c r="AY634" s="57"/>
      <c r="AZ634" s="64"/>
      <c r="BA634" s="46"/>
      <c r="BB634" s="46"/>
      <c r="BC634" s="48"/>
      <c r="BF634" s="46"/>
      <c r="BL634" s="121"/>
      <c r="BM634" s="57"/>
      <c r="BN634" s="64"/>
      <c r="BO634" s="64"/>
      <c r="BP634" s="64"/>
      <c r="BQ634" s="64"/>
      <c r="BR634" s="57"/>
      <c r="BS634" s="64"/>
      <c r="BT634" s="64"/>
      <c r="BU634" s="64"/>
      <c r="BV634" s="46"/>
    </row>
    <row r="635" spans="2:74" x14ac:dyDescent="0.8">
      <c r="B635" s="46"/>
      <c r="C635" s="62"/>
      <c r="F635" s="70"/>
      <c r="G635" s="86"/>
      <c r="H635" s="70"/>
      <c r="I635" s="86"/>
      <c r="R635" s="58"/>
      <c r="S635" s="58"/>
      <c r="T635" s="184"/>
      <c r="X635" s="64"/>
      <c r="Y635" s="46"/>
      <c r="Z635" s="57"/>
      <c r="AA635" s="46"/>
      <c r="AL635" s="68"/>
      <c r="AM635" s="64"/>
      <c r="AO635" s="46"/>
      <c r="AQ635" s="67"/>
      <c r="AT635" s="46"/>
      <c r="BC635" s="48"/>
      <c r="BF635" s="46"/>
      <c r="BL635" s="121"/>
      <c r="BM635" s="57"/>
      <c r="BN635" s="64"/>
      <c r="BO635" s="64"/>
      <c r="BP635" s="64"/>
      <c r="BQ635" s="64"/>
      <c r="BR635" s="57"/>
      <c r="BS635" s="64"/>
      <c r="BT635" s="64"/>
      <c r="BU635" s="64"/>
      <c r="BV635" s="46"/>
    </row>
    <row r="636" spans="2:74" x14ac:dyDescent="0.8">
      <c r="B636" s="46"/>
      <c r="C636" s="62"/>
      <c r="F636" s="70"/>
      <c r="G636" s="86"/>
      <c r="H636" s="70"/>
      <c r="I636" s="86"/>
      <c r="L636" s="117"/>
      <c r="M636" s="118"/>
      <c r="R636" s="58"/>
      <c r="S636" s="58"/>
      <c r="T636" s="140"/>
      <c r="X636" s="129"/>
      <c r="Y636" s="120"/>
      <c r="AL636" s="69"/>
      <c r="AN636" s="70"/>
      <c r="AQ636" s="67"/>
      <c r="AT636" s="46"/>
      <c r="AY636" s="57"/>
      <c r="AZ636" s="64"/>
      <c r="BA636" s="46"/>
      <c r="BB636" s="46"/>
      <c r="BC636" s="48"/>
      <c r="BF636" s="46"/>
      <c r="BL636" s="121"/>
      <c r="BM636" s="57"/>
      <c r="BN636" s="64"/>
      <c r="BO636" s="64"/>
      <c r="BP636" s="64"/>
      <c r="BQ636" s="64"/>
      <c r="BR636" s="57"/>
      <c r="BS636" s="64"/>
      <c r="BT636" s="64"/>
      <c r="BU636" s="64"/>
      <c r="BV636" s="46"/>
    </row>
    <row r="637" spans="2:74" x14ac:dyDescent="0.8">
      <c r="B637" s="46"/>
      <c r="C637" s="62"/>
      <c r="F637" s="70"/>
      <c r="G637" s="86"/>
      <c r="H637" s="70"/>
      <c r="I637" s="86"/>
      <c r="J637" s="71"/>
      <c r="K637" s="59"/>
      <c r="N637" s="58"/>
      <c r="O637" s="58"/>
      <c r="P637" s="58"/>
      <c r="Q637" s="59"/>
      <c r="R637" s="58"/>
      <c r="S637" s="58"/>
      <c r="T637" s="143"/>
      <c r="U637" s="144"/>
      <c r="V637" s="143"/>
      <c r="X637" s="135"/>
      <c r="Y637" s="136"/>
      <c r="AA637" s="136"/>
      <c r="AD637" s="143"/>
      <c r="AF637" s="71"/>
      <c r="AH637" s="71"/>
      <c r="AJ637" s="143"/>
      <c r="AL637" s="71"/>
      <c r="AN637" s="71"/>
      <c r="AP637" s="137"/>
      <c r="AQ637" s="67"/>
      <c r="AT637" s="46"/>
      <c r="BB637" s="46"/>
      <c r="BC637" s="48"/>
      <c r="BF637" s="46"/>
      <c r="BL637" s="121"/>
      <c r="BM637" s="57"/>
      <c r="BN637" s="64"/>
      <c r="BO637" s="64"/>
      <c r="BP637" s="64"/>
      <c r="BQ637" s="64"/>
      <c r="BR637" s="57"/>
      <c r="BS637" s="64"/>
      <c r="BT637" s="64"/>
      <c r="BU637" s="64"/>
      <c r="BV637" s="46"/>
    </row>
    <row r="638" spans="2:74" x14ac:dyDescent="0.8">
      <c r="B638" s="46"/>
      <c r="C638" s="62"/>
      <c r="F638" s="70"/>
      <c r="G638" s="86"/>
      <c r="H638" s="70"/>
      <c r="I638" s="86"/>
      <c r="R638" s="58"/>
      <c r="S638" s="58"/>
      <c r="X638" s="57"/>
      <c r="Y638" s="46"/>
      <c r="Z638" s="57"/>
      <c r="AA638" s="46"/>
      <c r="AL638" s="68"/>
      <c r="AM638" s="64"/>
      <c r="AO638" s="46"/>
      <c r="AQ638" s="67"/>
      <c r="AT638" s="46"/>
      <c r="BC638" s="48"/>
      <c r="BF638" s="46"/>
      <c r="BL638" s="121"/>
      <c r="BM638" s="57"/>
      <c r="BN638" s="64"/>
      <c r="BO638" s="64"/>
      <c r="BP638" s="64"/>
      <c r="BQ638" s="64"/>
      <c r="BR638" s="57"/>
      <c r="BS638" s="64"/>
      <c r="BT638" s="64"/>
      <c r="BU638" s="64"/>
      <c r="BV638" s="46"/>
    </row>
    <row r="639" spans="2:74" x14ac:dyDescent="0.8">
      <c r="B639" s="46"/>
      <c r="C639" s="62"/>
      <c r="F639" s="70"/>
      <c r="G639" s="86"/>
      <c r="H639" s="70"/>
      <c r="I639" s="86"/>
      <c r="L639" s="117"/>
      <c r="M639" s="118"/>
      <c r="R639" s="58"/>
      <c r="S639" s="58"/>
      <c r="T639" s="140"/>
      <c r="V639" s="140"/>
      <c r="X639" s="135"/>
      <c r="Y639" s="139"/>
      <c r="AA639" s="136"/>
      <c r="AD639" s="140"/>
      <c r="AJ639" s="140"/>
      <c r="AL639" s="68"/>
      <c r="AQ639" s="67"/>
      <c r="AT639" s="46"/>
      <c r="AY639" s="57"/>
      <c r="AZ639" s="64"/>
      <c r="BA639" s="46"/>
      <c r="BB639" s="46"/>
      <c r="BC639" s="48"/>
      <c r="BF639" s="46"/>
      <c r="BL639" s="121"/>
      <c r="BM639" s="57"/>
      <c r="BN639" s="64"/>
      <c r="BO639" s="64"/>
      <c r="BP639" s="64"/>
      <c r="BQ639" s="64"/>
      <c r="BR639" s="57"/>
      <c r="BS639" s="64"/>
      <c r="BT639" s="64"/>
      <c r="BU639" s="64"/>
      <c r="BV639" s="46"/>
    </row>
    <row r="640" spans="2:74" x14ac:dyDescent="0.8">
      <c r="B640" s="46"/>
      <c r="C640" s="62"/>
      <c r="F640" s="70"/>
      <c r="G640" s="86"/>
      <c r="H640" s="70"/>
      <c r="I640" s="86"/>
      <c r="L640" s="117"/>
      <c r="M640" s="118"/>
      <c r="R640" s="58"/>
      <c r="S640" s="58"/>
      <c r="T640" s="140"/>
      <c r="X640" s="129"/>
      <c r="Y640" s="120"/>
      <c r="AL640" s="69"/>
      <c r="AN640" s="70"/>
      <c r="AQ640" s="67"/>
      <c r="AT640" s="46"/>
      <c r="AY640" s="57"/>
      <c r="AZ640" s="64"/>
      <c r="BA640" s="46"/>
      <c r="BB640" s="46"/>
      <c r="BC640" s="48"/>
      <c r="BF640" s="46"/>
      <c r="BL640" s="121"/>
      <c r="BM640" s="57"/>
      <c r="BN640" s="64"/>
      <c r="BO640" s="64"/>
      <c r="BP640" s="64"/>
      <c r="BQ640" s="64"/>
      <c r="BR640" s="57"/>
      <c r="BS640" s="64"/>
      <c r="BT640" s="64"/>
      <c r="BU640" s="64"/>
      <c r="BV640" s="46"/>
    </row>
    <row r="641" spans="2:74" x14ac:dyDescent="0.8">
      <c r="B641" s="46"/>
      <c r="C641" s="62"/>
      <c r="F641" s="70"/>
      <c r="G641" s="86"/>
      <c r="H641" s="70"/>
      <c r="I641" s="86"/>
      <c r="J641" s="71"/>
      <c r="K641" s="59"/>
      <c r="N641" s="58"/>
      <c r="O641" s="58"/>
      <c r="P641" s="58"/>
      <c r="Q641" s="59"/>
      <c r="R641" s="58"/>
      <c r="S641" s="58"/>
      <c r="T641" s="143"/>
      <c r="U641" s="144"/>
      <c r="V641" s="143"/>
      <c r="X641" s="135"/>
      <c r="Y641" s="136"/>
      <c r="AA641" s="136"/>
      <c r="AD641" s="143"/>
      <c r="AF641" s="71"/>
      <c r="AH641" s="71"/>
      <c r="AJ641" s="143"/>
      <c r="AL641" s="71"/>
      <c r="AN641" s="71"/>
      <c r="AP641" s="137"/>
      <c r="AQ641" s="67"/>
      <c r="AT641" s="46"/>
      <c r="AY641" s="57"/>
      <c r="AZ641" s="64"/>
      <c r="BA641" s="46"/>
      <c r="BB641" s="46"/>
      <c r="BC641" s="48"/>
      <c r="BF641" s="46"/>
      <c r="BL641" s="121"/>
      <c r="BM641" s="57"/>
      <c r="BN641" s="64"/>
      <c r="BO641" s="64"/>
      <c r="BP641" s="64"/>
      <c r="BQ641" s="64"/>
      <c r="BR641" s="57"/>
      <c r="BS641" s="64"/>
      <c r="BT641" s="64"/>
      <c r="BU641" s="64"/>
      <c r="BV641" s="46"/>
    </row>
    <row r="642" spans="2:74" x14ac:dyDescent="0.8">
      <c r="B642" s="46"/>
      <c r="C642" s="62"/>
      <c r="F642" s="70"/>
      <c r="G642" s="86"/>
      <c r="H642" s="70"/>
      <c r="I642" s="86"/>
      <c r="L642" s="117"/>
      <c r="M642" s="118"/>
      <c r="R642" s="58"/>
      <c r="S642" s="58"/>
      <c r="T642" s="140"/>
      <c r="X642" s="129"/>
      <c r="Y642" s="120"/>
      <c r="AL642" s="69"/>
      <c r="AN642" s="70"/>
      <c r="AQ642" s="67"/>
      <c r="AT642" s="46"/>
      <c r="AY642" s="57"/>
      <c r="AZ642" s="64"/>
      <c r="BA642" s="46"/>
      <c r="BB642" s="46"/>
      <c r="BC642" s="48"/>
      <c r="BF642" s="46"/>
      <c r="BL642" s="121"/>
      <c r="BM642" s="57"/>
      <c r="BN642" s="64"/>
      <c r="BO642" s="64"/>
      <c r="BP642" s="64"/>
      <c r="BQ642" s="64"/>
      <c r="BR642" s="57"/>
      <c r="BS642" s="64"/>
      <c r="BT642" s="64"/>
      <c r="BU642" s="64"/>
      <c r="BV642" s="46"/>
    </row>
    <row r="643" spans="2:74" x14ac:dyDescent="0.8">
      <c r="B643" s="46"/>
      <c r="C643" s="62"/>
      <c r="F643" s="70"/>
      <c r="G643" s="86"/>
      <c r="H643" s="70"/>
      <c r="I643" s="86"/>
      <c r="L643" s="117"/>
      <c r="M643" s="118"/>
      <c r="R643" s="58"/>
      <c r="S643" s="58"/>
      <c r="T643" s="140"/>
      <c r="X643" s="129"/>
      <c r="Y643" s="120"/>
      <c r="AL643" s="69"/>
      <c r="AN643" s="70"/>
      <c r="AQ643" s="67"/>
      <c r="AT643" s="46"/>
      <c r="AY643" s="57"/>
      <c r="AZ643" s="64"/>
      <c r="BA643" s="46"/>
      <c r="BB643" s="46"/>
      <c r="BC643" s="48"/>
      <c r="BF643" s="46"/>
      <c r="BL643" s="121"/>
      <c r="BM643" s="57"/>
      <c r="BN643" s="64"/>
      <c r="BO643" s="64"/>
      <c r="BP643" s="64"/>
      <c r="BQ643" s="64"/>
      <c r="BR643" s="57"/>
      <c r="BS643" s="64"/>
      <c r="BT643" s="64"/>
      <c r="BU643" s="64"/>
      <c r="BV643" s="46"/>
    </row>
    <row r="644" spans="2:74" x14ac:dyDescent="0.8">
      <c r="B644" s="46"/>
      <c r="C644" s="62"/>
      <c r="F644" s="70"/>
      <c r="G644" s="86"/>
      <c r="H644" s="70"/>
      <c r="I644" s="86"/>
      <c r="R644" s="58"/>
      <c r="S644" s="58"/>
      <c r="AL644" s="68"/>
      <c r="AM644" s="64"/>
      <c r="AQ644" s="67"/>
      <c r="AT644" s="46"/>
      <c r="AY644" s="57"/>
      <c r="AZ644" s="64"/>
      <c r="BA644" s="46"/>
      <c r="BB644" s="46"/>
      <c r="BC644" s="48"/>
      <c r="BF644" s="46"/>
      <c r="BL644" s="121"/>
      <c r="BM644" s="57"/>
      <c r="BN644" s="64"/>
      <c r="BO644" s="64"/>
      <c r="BP644" s="64"/>
      <c r="BQ644" s="64"/>
      <c r="BR644" s="57"/>
      <c r="BS644" s="64"/>
      <c r="BT644" s="64"/>
      <c r="BU644" s="64"/>
      <c r="BV644" s="46"/>
    </row>
    <row r="645" spans="2:74" x14ac:dyDescent="0.8">
      <c r="B645" s="46"/>
      <c r="C645" s="62"/>
      <c r="F645" s="70"/>
      <c r="G645" s="86"/>
      <c r="H645" s="70"/>
      <c r="I645" s="86"/>
      <c r="L645" s="117"/>
      <c r="M645" s="118"/>
      <c r="R645" s="58"/>
      <c r="S645" s="58"/>
      <c r="T645" s="140"/>
      <c r="V645" s="140"/>
      <c r="X645" s="135"/>
      <c r="Y645" s="139"/>
      <c r="AA645" s="136"/>
      <c r="AD645" s="140"/>
      <c r="AJ645" s="140"/>
      <c r="AL645" s="68"/>
      <c r="AQ645" s="67"/>
      <c r="AT645" s="46"/>
      <c r="AY645" s="57"/>
      <c r="AZ645" s="64"/>
      <c r="BA645" s="46"/>
      <c r="BB645" s="46"/>
      <c r="BC645" s="48"/>
      <c r="BF645" s="46"/>
      <c r="BL645" s="121"/>
      <c r="BM645" s="57"/>
      <c r="BN645" s="64"/>
      <c r="BO645" s="64"/>
      <c r="BP645" s="64"/>
      <c r="BQ645" s="64"/>
      <c r="BR645" s="57"/>
      <c r="BS645" s="64"/>
      <c r="BT645" s="64"/>
      <c r="BU645" s="64"/>
      <c r="BV645" s="46"/>
    </row>
    <row r="646" spans="2:74" x14ac:dyDescent="0.8">
      <c r="B646" s="46"/>
      <c r="C646" s="62"/>
      <c r="F646" s="70"/>
      <c r="G646" s="86"/>
      <c r="H646" s="70"/>
      <c r="I646" s="86"/>
      <c r="L646" s="117"/>
      <c r="M646" s="118"/>
      <c r="R646" s="58"/>
      <c r="S646" s="58"/>
      <c r="T646" s="140"/>
      <c r="X646" s="129"/>
      <c r="Y646" s="120"/>
      <c r="AL646" s="69"/>
      <c r="AN646" s="70"/>
      <c r="AQ646" s="67"/>
      <c r="AT646" s="46"/>
      <c r="AY646" s="57"/>
      <c r="AZ646" s="64"/>
      <c r="BA646" s="46"/>
      <c r="BB646" s="46"/>
      <c r="BC646" s="48"/>
      <c r="BF646" s="46"/>
      <c r="BL646" s="121"/>
      <c r="BM646" s="57"/>
      <c r="BN646" s="64"/>
      <c r="BO646" s="64"/>
      <c r="BP646" s="64"/>
      <c r="BQ646" s="64"/>
      <c r="BR646" s="57"/>
      <c r="BS646" s="64"/>
      <c r="BT646" s="64"/>
      <c r="BU646" s="64"/>
      <c r="BV646" s="46"/>
    </row>
    <row r="647" spans="2:74" x14ac:dyDescent="0.8">
      <c r="B647" s="46"/>
      <c r="C647" s="62"/>
      <c r="F647" s="70"/>
      <c r="G647" s="86"/>
      <c r="R647" s="58"/>
      <c r="S647" s="58"/>
      <c r="X647" s="57"/>
      <c r="Y647" s="46"/>
      <c r="Z647" s="57"/>
      <c r="AA647" s="46"/>
      <c r="AM647" s="64"/>
      <c r="AO647" s="46"/>
      <c r="AQ647" s="67"/>
      <c r="AT647" s="46"/>
      <c r="AY647" s="57"/>
      <c r="AZ647" s="64"/>
      <c r="BA647" s="46"/>
      <c r="BC647" s="48"/>
      <c r="BF647" s="46"/>
      <c r="BL647" s="121"/>
      <c r="BM647" s="57"/>
      <c r="BN647" s="64"/>
      <c r="BO647" s="64"/>
      <c r="BP647" s="64"/>
      <c r="BQ647" s="64"/>
      <c r="BR647" s="57"/>
      <c r="BS647" s="64"/>
      <c r="BT647" s="64"/>
      <c r="BU647" s="64"/>
      <c r="BV647" s="46"/>
    </row>
    <row r="648" spans="2:74" x14ac:dyDescent="0.8">
      <c r="B648" s="46"/>
      <c r="C648" s="62"/>
      <c r="R648" s="58"/>
      <c r="S648" s="58"/>
      <c r="X648" s="57"/>
      <c r="Y648" s="46"/>
      <c r="Z648" s="57"/>
      <c r="AA648" s="46"/>
      <c r="AL648" s="69"/>
      <c r="AN648" s="70"/>
      <c r="AO648" s="46"/>
      <c r="AQ648" s="67"/>
      <c r="AT648" s="46"/>
      <c r="BC648" s="48"/>
      <c r="BF648" s="46"/>
      <c r="BL648" s="121"/>
      <c r="BM648" s="57"/>
      <c r="BN648" s="64"/>
      <c r="BO648" s="64"/>
      <c r="BP648" s="64"/>
      <c r="BQ648" s="64"/>
      <c r="BR648" s="57"/>
      <c r="BS648" s="64"/>
      <c r="BT648" s="64"/>
      <c r="BU648" s="64"/>
      <c r="BV648" s="46"/>
    </row>
    <row r="649" spans="2:74" x14ac:dyDescent="0.8">
      <c r="B649" s="46"/>
      <c r="C649" s="62"/>
      <c r="J649" s="64"/>
      <c r="K649" s="64"/>
      <c r="L649" s="117"/>
      <c r="M649" s="118"/>
      <c r="T649" s="140"/>
      <c r="X649" s="129"/>
      <c r="Y649" s="120"/>
      <c r="AL649" s="68"/>
      <c r="AM649" s="64"/>
      <c r="AQ649" s="67"/>
      <c r="AT649" s="46"/>
      <c r="AY649" s="57"/>
      <c r="AZ649" s="64"/>
      <c r="BA649" s="46"/>
      <c r="BB649" s="46"/>
      <c r="BC649" s="48"/>
      <c r="BF649" s="46"/>
      <c r="BL649" s="121"/>
      <c r="BM649" s="57"/>
      <c r="BN649" s="64"/>
      <c r="BO649" s="64"/>
      <c r="BP649" s="64"/>
      <c r="BQ649" s="64"/>
      <c r="BR649" s="57"/>
      <c r="BS649" s="64"/>
      <c r="BT649" s="64"/>
      <c r="BU649" s="64"/>
      <c r="BV649" s="46"/>
    </row>
    <row r="650" spans="2:74" x14ac:dyDescent="0.8">
      <c r="B650" s="46"/>
      <c r="C650" s="62"/>
      <c r="L650" s="117"/>
      <c r="M650" s="118"/>
      <c r="T650" s="140"/>
      <c r="X650" s="175"/>
      <c r="Y650" s="120"/>
      <c r="AB650" s="185"/>
      <c r="AC650" s="186"/>
      <c r="AL650" s="68"/>
      <c r="AM650" s="64"/>
      <c r="AQ650" s="67"/>
      <c r="AT650" s="46"/>
      <c r="AY650" s="57"/>
      <c r="AZ650" s="64"/>
      <c r="BA650" s="46"/>
      <c r="BB650" s="46"/>
      <c r="BC650" s="48"/>
      <c r="BF650" s="46"/>
      <c r="BL650" s="121"/>
      <c r="BM650" s="57"/>
      <c r="BN650" s="64"/>
      <c r="BO650" s="64"/>
      <c r="BP650" s="64"/>
      <c r="BQ650" s="64"/>
      <c r="BR650" s="57"/>
      <c r="BS650" s="64"/>
      <c r="BT650" s="64"/>
      <c r="BU650" s="64"/>
      <c r="BV650" s="46"/>
    </row>
    <row r="651" spans="2:74" x14ac:dyDescent="0.8">
      <c r="B651" s="46"/>
      <c r="C651" s="62"/>
      <c r="R651" s="58"/>
      <c r="S651" s="58"/>
      <c r="T651" s="71"/>
      <c r="V651" s="71"/>
      <c r="X651" s="64"/>
      <c r="Y651" s="46"/>
      <c r="Z651" s="57"/>
      <c r="AA651" s="46"/>
      <c r="AL651" s="68"/>
      <c r="AM651" s="64"/>
      <c r="AO651" s="46"/>
      <c r="AQ651" s="67"/>
      <c r="AT651" s="46"/>
      <c r="AY651" s="57"/>
      <c r="AZ651" s="64"/>
      <c r="BA651" s="46"/>
      <c r="BC651" s="48"/>
      <c r="BF651" s="46"/>
      <c r="BL651" s="121"/>
      <c r="BM651" s="57"/>
      <c r="BN651" s="64"/>
      <c r="BO651" s="64"/>
      <c r="BP651" s="64"/>
      <c r="BQ651" s="64"/>
      <c r="BR651" s="57"/>
      <c r="BS651" s="64"/>
      <c r="BT651" s="64"/>
      <c r="BU651" s="64"/>
      <c r="BV651" s="46"/>
    </row>
    <row r="652" spans="2:74" x14ac:dyDescent="0.8">
      <c r="B652" s="46"/>
      <c r="C652" s="62"/>
      <c r="F652" s="70"/>
      <c r="G652" s="86"/>
      <c r="L652" s="117"/>
      <c r="M652" s="118"/>
      <c r="T652" s="140"/>
      <c r="X652" s="129"/>
      <c r="Y652" s="120"/>
      <c r="AL652" s="69"/>
      <c r="AN652" s="70"/>
      <c r="AQ652" s="67"/>
      <c r="AT652" s="46"/>
      <c r="AY652" s="57"/>
      <c r="AZ652" s="64"/>
      <c r="BA652" s="46"/>
      <c r="BB652" s="46"/>
      <c r="BC652" s="48"/>
      <c r="BF652" s="46"/>
      <c r="BL652" s="121"/>
      <c r="BM652" s="57"/>
      <c r="BN652" s="64"/>
      <c r="BO652" s="64"/>
      <c r="BP652" s="64"/>
      <c r="BQ652" s="64"/>
      <c r="BR652" s="57"/>
      <c r="BS652" s="64"/>
      <c r="BT652" s="64"/>
      <c r="BU652" s="64"/>
      <c r="BV652" s="46"/>
    </row>
    <row r="653" spans="2:74" x14ac:dyDescent="0.8">
      <c r="B653" s="46"/>
      <c r="C653" s="62"/>
      <c r="F653" s="70"/>
      <c r="G653" s="86"/>
      <c r="H653" s="70"/>
      <c r="I653" s="86"/>
      <c r="L653" s="117"/>
      <c r="M653" s="118"/>
      <c r="R653" s="58"/>
      <c r="S653" s="58"/>
      <c r="AA653" s="46"/>
      <c r="AQ653" s="67"/>
      <c r="AT653" s="46"/>
      <c r="AY653" s="57"/>
      <c r="AZ653" s="64"/>
      <c r="BA653" s="46"/>
      <c r="BB653" s="46"/>
      <c r="BC653" s="48"/>
      <c r="BF653" s="46"/>
      <c r="BL653" s="121"/>
      <c r="BM653" s="57"/>
      <c r="BN653" s="64"/>
      <c r="BO653" s="64"/>
      <c r="BP653" s="64"/>
      <c r="BQ653" s="64"/>
      <c r="BR653" s="57"/>
      <c r="BS653" s="64"/>
      <c r="BT653" s="64"/>
      <c r="BU653" s="64"/>
      <c r="BV653" s="46"/>
    </row>
    <row r="654" spans="2:74" x14ac:dyDescent="0.8">
      <c r="B654" s="46"/>
      <c r="C654" s="62"/>
      <c r="F654" s="70"/>
      <c r="G654" s="86"/>
      <c r="H654" s="70"/>
      <c r="I654" s="86"/>
      <c r="L654" s="117"/>
      <c r="M654" s="118"/>
      <c r="R654" s="58"/>
      <c r="S654" s="58"/>
      <c r="T654" s="140"/>
      <c r="AL654" s="69"/>
      <c r="AN654" s="70"/>
      <c r="AQ654" s="67"/>
      <c r="AT654" s="46"/>
      <c r="AY654" s="57"/>
      <c r="AZ654" s="64"/>
      <c r="BA654" s="46"/>
      <c r="BB654" s="46"/>
      <c r="BC654" s="48"/>
      <c r="BF654" s="46"/>
      <c r="BL654" s="121"/>
      <c r="BM654" s="57"/>
      <c r="BN654" s="64"/>
      <c r="BO654" s="64"/>
      <c r="BP654" s="64"/>
      <c r="BQ654" s="64"/>
      <c r="BR654" s="57"/>
      <c r="BS654" s="64"/>
      <c r="BT654" s="64"/>
      <c r="BU654" s="64"/>
      <c r="BV654" s="46"/>
    </row>
    <row r="655" spans="2:74" x14ac:dyDescent="0.8">
      <c r="B655" s="46"/>
      <c r="C655" s="62"/>
      <c r="F655" s="70"/>
      <c r="G655" s="86"/>
      <c r="H655" s="70"/>
      <c r="I655" s="86"/>
      <c r="R655" s="58"/>
      <c r="S655" s="58"/>
      <c r="T655" s="184"/>
      <c r="X655" s="57"/>
      <c r="Y655" s="46"/>
      <c r="Z655" s="57"/>
      <c r="AA655" s="46"/>
      <c r="AL655" s="69"/>
      <c r="AN655" s="70"/>
      <c r="AO655" s="46"/>
      <c r="AQ655" s="67"/>
      <c r="AT655" s="46"/>
      <c r="BC655" s="48"/>
      <c r="BF655" s="46"/>
      <c r="BL655" s="121"/>
      <c r="BM655" s="57"/>
      <c r="BN655" s="64"/>
      <c r="BO655" s="64"/>
      <c r="BP655" s="64"/>
      <c r="BQ655" s="64"/>
      <c r="BR655" s="57"/>
      <c r="BS655" s="64"/>
      <c r="BT655" s="64"/>
      <c r="BU655" s="64"/>
      <c r="BV655" s="46"/>
    </row>
    <row r="656" spans="2:74" x14ac:dyDescent="0.8">
      <c r="B656" s="46"/>
      <c r="C656" s="62"/>
      <c r="L656" s="117"/>
      <c r="M656" s="118"/>
      <c r="R656" s="58"/>
      <c r="S656" s="58"/>
      <c r="T656" s="140"/>
      <c r="X656" s="129"/>
      <c r="Y656" s="120"/>
      <c r="AL656" s="68"/>
      <c r="AM656" s="64"/>
      <c r="AQ656" s="67"/>
      <c r="AT656" s="46"/>
      <c r="AY656" s="57"/>
      <c r="AZ656" s="64"/>
      <c r="BA656" s="46"/>
      <c r="BB656" s="46"/>
      <c r="BC656" s="48"/>
      <c r="BF656" s="46"/>
      <c r="BL656" s="121"/>
      <c r="BM656" s="57"/>
      <c r="BN656" s="64"/>
      <c r="BO656" s="64"/>
      <c r="BP656" s="64"/>
      <c r="BQ656" s="64"/>
      <c r="BR656" s="57"/>
      <c r="BS656" s="64"/>
      <c r="BT656" s="64"/>
      <c r="BU656" s="64"/>
      <c r="BV656" s="46"/>
    </row>
    <row r="657" spans="2:74" x14ac:dyDescent="0.8">
      <c r="B657" s="46"/>
      <c r="C657" s="62"/>
      <c r="F657" s="70"/>
      <c r="G657" s="86"/>
      <c r="H657" s="70"/>
      <c r="I657" s="86"/>
      <c r="R657" s="58"/>
      <c r="S657" s="58"/>
      <c r="X657" s="57"/>
      <c r="Y657" s="46"/>
      <c r="Z657" s="57"/>
      <c r="AA657" s="46"/>
      <c r="AL657" s="69"/>
      <c r="AN657" s="70"/>
      <c r="AO657" s="46"/>
      <c r="AQ657" s="67"/>
      <c r="AT657" s="46"/>
      <c r="BC657" s="48"/>
      <c r="BF657" s="46"/>
      <c r="BL657" s="121"/>
      <c r="BM657" s="57"/>
      <c r="BN657" s="64"/>
      <c r="BO657" s="64"/>
      <c r="BP657" s="64"/>
      <c r="BQ657" s="64"/>
      <c r="BR657" s="57"/>
      <c r="BS657" s="64"/>
      <c r="BT657" s="64"/>
      <c r="BU657" s="64"/>
      <c r="BV657" s="46"/>
    </row>
    <row r="658" spans="2:74" x14ac:dyDescent="0.8">
      <c r="B658" s="46"/>
      <c r="C658" s="62"/>
      <c r="F658" s="70"/>
      <c r="G658" s="86"/>
      <c r="H658" s="70"/>
      <c r="I658" s="86"/>
      <c r="L658" s="117"/>
      <c r="M658" s="118"/>
      <c r="R658" s="58"/>
      <c r="S658" s="58"/>
      <c r="T658" s="140"/>
      <c r="X658" s="129"/>
      <c r="Y658" s="120"/>
      <c r="AL658" s="68"/>
      <c r="AN658" s="70"/>
      <c r="AQ658" s="67"/>
      <c r="AT658" s="46"/>
      <c r="AY658" s="57"/>
      <c r="AZ658" s="64"/>
      <c r="BA658" s="46"/>
      <c r="BB658" s="46"/>
      <c r="BC658" s="48"/>
      <c r="BF658" s="46"/>
      <c r="BL658" s="121"/>
      <c r="BM658" s="57"/>
      <c r="BN658" s="64"/>
      <c r="BO658" s="64"/>
      <c r="BP658" s="64"/>
      <c r="BQ658" s="64"/>
      <c r="BR658" s="57"/>
      <c r="BS658" s="64"/>
      <c r="BT658" s="64"/>
      <c r="BU658" s="64"/>
      <c r="BV658" s="46"/>
    </row>
    <row r="659" spans="2:74" x14ac:dyDescent="0.8">
      <c r="B659" s="46"/>
      <c r="C659" s="62"/>
      <c r="F659" s="70"/>
      <c r="G659" s="86"/>
      <c r="H659" s="70"/>
      <c r="I659" s="86"/>
      <c r="J659" s="182"/>
      <c r="K659" s="300"/>
      <c r="R659" s="58"/>
      <c r="S659" s="58"/>
      <c r="X659" s="57"/>
      <c r="Y659" s="46"/>
      <c r="Z659" s="57"/>
      <c r="AA659" s="46"/>
      <c r="AL659" s="69"/>
      <c r="AN659" s="70"/>
      <c r="AO659" s="46"/>
      <c r="AQ659" s="67"/>
      <c r="AT659" s="46"/>
      <c r="BC659" s="48"/>
      <c r="BF659" s="46"/>
      <c r="BL659" s="121"/>
      <c r="BM659" s="57"/>
      <c r="BN659" s="64"/>
      <c r="BO659" s="64"/>
      <c r="BP659" s="64"/>
      <c r="BQ659" s="64"/>
      <c r="BR659" s="57"/>
      <c r="BS659" s="64"/>
      <c r="BT659" s="64"/>
      <c r="BU659" s="64"/>
      <c r="BV659" s="46"/>
    </row>
    <row r="660" spans="2:74" x14ac:dyDescent="0.8">
      <c r="B660" s="46"/>
      <c r="C660" s="62"/>
      <c r="F660" s="70"/>
      <c r="G660" s="86"/>
      <c r="H660" s="70"/>
      <c r="I660" s="86"/>
      <c r="J660" s="71"/>
      <c r="K660" s="59"/>
      <c r="N660" s="58"/>
      <c r="O660" s="58"/>
      <c r="P660" s="58"/>
      <c r="Q660" s="59"/>
      <c r="R660" s="58"/>
      <c r="S660" s="58"/>
      <c r="T660" s="143"/>
      <c r="U660" s="144"/>
      <c r="V660" s="143"/>
      <c r="X660" s="135"/>
      <c r="Y660" s="136"/>
      <c r="AA660" s="136"/>
      <c r="AD660" s="143"/>
      <c r="AF660" s="71"/>
      <c r="AH660" s="71"/>
      <c r="AJ660" s="143"/>
      <c r="AL660" s="71"/>
      <c r="AN660" s="71"/>
      <c r="AP660" s="137"/>
      <c r="AQ660" s="67"/>
      <c r="AT660" s="46"/>
      <c r="AY660" s="57"/>
      <c r="AZ660" s="64"/>
      <c r="BA660" s="46"/>
      <c r="BB660" s="46"/>
      <c r="BC660" s="48"/>
      <c r="BF660" s="46"/>
      <c r="BL660" s="121"/>
      <c r="BM660" s="57"/>
      <c r="BN660" s="64"/>
      <c r="BO660" s="64"/>
      <c r="BP660" s="64"/>
      <c r="BQ660" s="64"/>
      <c r="BR660" s="57"/>
      <c r="BS660" s="64"/>
      <c r="BT660" s="64"/>
      <c r="BU660" s="64"/>
      <c r="BV660" s="46"/>
    </row>
    <row r="661" spans="2:74" x14ac:dyDescent="0.8">
      <c r="B661" s="46"/>
      <c r="C661" s="62"/>
      <c r="F661" s="70"/>
      <c r="G661" s="86"/>
      <c r="H661" s="70"/>
      <c r="I661" s="86"/>
      <c r="L661" s="117"/>
      <c r="M661" s="118"/>
      <c r="R661" s="58"/>
      <c r="S661" s="58"/>
      <c r="T661" s="140"/>
      <c r="X661" s="129"/>
      <c r="Y661" s="120"/>
      <c r="AL661" s="68"/>
      <c r="AN661" s="70"/>
      <c r="AQ661" s="67"/>
      <c r="AT661" s="46"/>
      <c r="AY661" s="57"/>
      <c r="AZ661" s="64"/>
      <c r="BA661" s="46"/>
      <c r="BB661" s="46"/>
      <c r="BC661" s="48"/>
      <c r="BF661" s="46"/>
      <c r="BL661" s="121"/>
      <c r="BM661" s="57"/>
      <c r="BN661" s="64"/>
      <c r="BO661" s="64"/>
      <c r="BP661" s="64"/>
      <c r="BQ661" s="64"/>
      <c r="BR661" s="57"/>
      <c r="BS661" s="64"/>
      <c r="BT661" s="64"/>
      <c r="BU661" s="64"/>
      <c r="BV661" s="46"/>
    </row>
    <row r="662" spans="2:74" x14ac:dyDescent="0.8">
      <c r="B662" s="46"/>
      <c r="C662" s="62"/>
      <c r="F662" s="70"/>
      <c r="G662" s="86"/>
      <c r="H662" s="70"/>
      <c r="I662" s="86"/>
      <c r="R662" s="58"/>
      <c r="S662" s="58"/>
      <c r="T662" s="184"/>
      <c r="X662" s="57"/>
      <c r="Y662" s="46"/>
      <c r="Z662" s="57"/>
      <c r="AA662" s="46"/>
      <c r="AL662" s="69"/>
      <c r="AN662" s="70"/>
      <c r="AO662" s="46"/>
      <c r="AQ662" s="67"/>
      <c r="AT662" s="46"/>
      <c r="BC662" s="48"/>
      <c r="BF662" s="46"/>
      <c r="BL662" s="121"/>
      <c r="BM662" s="57"/>
      <c r="BN662" s="64"/>
      <c r="BO662" s="64"/>
      <c r="BP662" s="64"/>
      <c r="BQ662" s="64"/>
      <c r="BR662" s="57"/>
      <c r="BS662" s="64"/>
      <c r="BT662" s="64"/>
      <c r="BU662" s="64"/>
      <c r="BV662" s="46"/>
    </row>
    <row r="663" spans="2:74" x14ac:dyDescent="0.8">
      <c r="B663" s="46"/>
      <c r="C663" s="62"/>
      <c r="F663" s="70"/>
      <c r="G663" s="86"/>
      <c r="H663" s="70"/>
      <c r="I663" s="86"/>
      <c r="R663" s="58"/>
      <c r="S663" s="58"/>
      <c r="X663" s="57"/>
      <c r="Y663" s="46"/>
      <c r="Z663" s="57"/>
      <c r="AA663" s="46"/>
      <c r="AL663" s="68"/>
      <c r="AN663" s="70"/>
      <c r="AO663" s="46"/>
      <c r="AQ663" s="67"/>
      <c r="AT663" s="46"/>
      <c r="BC663" s="48"/>
      <c r="BF663" s="46"/>
      <c r="BL663" s="121"/>
      <c r="BM663" s="57"/>
      <c r="BN663" s="64"/>
      <c r="BO663" s="64"/>
      <c r="BP663" s="64"/>
      <c r="BQ663" s="64"/>
      <c r="BR663" s="57"/>
      <c r="BS663" s="64"/>
      <c r="BT663" s="64"/>
      <c r="BU663" s="64"/>
      <c r="BV663" s="46"/>
    </row>
    <row r="664" spans="2:74" x14ac:dyDescent="0.8">
      <c r="B664" s="46"/>
      <c r="C664" s="62"/>
      <c r="F664" s="70"/>
      <c r="G664" s="86"/>
      <c r="H664" s="70"/>
      <c r="I664" s="86"/>
      <c r="L664" s="117"/>
      <c r="M664" s="118"/>
      <c r="R664" s="58"/>
      <c r="S664" s="58"/>
      <c r="T664" s="140"/>
      <c r="X664" s="129"/>
      <c r="Y664" s="120"/>
      <c r="AL664" s="68"/>
      <c r="AN664" s="70"/>
      <c r="AQ664" s="67"/>
      <c r="AT664" s="46"/>
      <c r="AY664" s="57"/>
      <c r="AZ664" s="64"/>
      <c r="BA664" s="46"/>
      <c r="BB664" s="46"/>
      <c r="BC664" s="48"/>
      <c r="BF664" s="46"/>
      <c r="BL664" s="121"/>
      <c r="BM664" s="57"/>
      <c r="BN664" s="64"/>
      <c r="BO664" s="64"/>
      <c r="BP664" s="64"/>
      <c r="BQ664" s="64"/>
      <c r="BR664" s="57"/>
      <c r="BS664" s="64"/>
      <c r="BT664" s="64"/>
      <c r="BU664" s="64"/>
      <c r="BV664" s="46"/>
    </row>
    <row r="665" spans="2:74" x14ac:dyDescent="0.8">
      <c r="B665" s="46"/>
      <c r="C665" s="62"/>
      <c r="F665" s="70"/>
      <c r="G665" s="86"/>
      <c r="H665" s="70"/>
      <c r="I665" s="86"/>
      <c r="L665" s="117"/>
      <c r="M665" s="118"/>
      <c r="R665" s="58"/>
      <c r="S665" s="58"/>
      <c r="T665" s="140"/>
      <c r="V665" s="140"/>
      <c r="X665" s="135"/>
      <c r="Y665" s="139"/>
      <c r="AA665" s="136"/>
      <c r="AD665" s="140"/>
      <c r="AJ665" s="140"/>
      <c r="AL665" s="68"/>
      <c r="AQ665" s="67"/>
      <c r="AT665" s="46"/>
      <c r="AY665" s="57"/>
      <c r="AZ665" s="64"/>
      <c r="BA665" s="46"/>
      <c r="BB665" s="46"/>
      <c r="BC665" s="48"/>
      <c r="BF665" s="46"/>
      <c r="BL665" s="121"/>
      <c r="BM665" s="57"/>
      <c r="BN665" s="64"/>
      <c r="BO665" s="64"/>
      <c r="BP665" s="64"/>
      <c r="BQ665" s="64"/>
      <c r="BR665" s="57"/>
      <c r="BS665" s="64"/>
      <c r="BT665" s="64"/>
      <c r="BU665" s="64"/>
      <c r="BV665" s="46"/>
    </row>
    <row r="666" spans="2:74" x14ac:dyDescent="0.8">
      <c r="B666" s="46"/>
      <c r="C666" s="62"/>
      <c r="F666" s="70"/>
      <c r="G666" s="86"/>
      <c r="H666" s="70"/>
      <c r="I666" s="86"/>
      <c r="J666" s="64"/>
      <c r="K666" s="64"/>
      <c r="R666" s="58"/>
      <c r="S666" s="58"/>
      <c r="X666" s="57"/>
      <c r="Y666" s="46"/>
      <c r="Z666" s="57"/>
      <c r="AA666" s="46"/>
      <c r="AL666" s="68"/>
      <c r="AN666" s="70"/>
      <c r="AO666" s="46"/>
      <c r="AQ666" s="67"/>
      <c r="AT666" s="46"/>
      <c r="BC666" s="48"/>
      <c r="BF666" s="46"/>
      <c r="BL666" s="121"/>
      <c r="BM666" s="57"/>
      <c r="BN666" s="64"/>
      <c r="BO666" s="64"/>
      <c r="BP666" s="64"/>
      <c r="BQ666" s="64"/>
      <c r="BR666" s="57"/>
      <c r="BS666" s="64"/>
      <c r="BT666" s="64"/>
      <c r="BU666" s="64"/>
      <c r="BV666" s="46"/>
    </row>
    <row r="667" spans="2:74" x14ac:dyDescent="0.8">
      <c r="B667" s="46"/>
      <c r="C667" s="62"/>
      <c r="F667" s="70"/>
      <c r="G667" s="86"/>
      <c r="H667" s="70"/>
      <c r="I667" s="86"/>
      <c r="L667" s="117"/>
      <c r="M667" s="118"/>
      <c r="R667" s="58"/>
      <c r="S667" s="58"/>
      <c r="T667" s="140"/>
      <c r="X667" s="175"/>
      <c r="Y667" s="120"/>
      <c r="AL667" s="69"/>
      <c r="AN667" s="70"/>
      <c r="AQ667" s="67"/>
      <c r="AT667" s="46"/>
      <c r="AY667" s="57"/>
      <c r="AZ667" s="64"/>
      <c r="BA667" s="46"/>
      <c r="BB667" s="46"/>
      <c r="BC667" s="48"/>
      <c r="BF667" s="46"/>
      <c r="BL667" s="121"/>
      <c r="BM667" s="57"/>
      <c r="BN667" s="64"/>
      <c r="BO667" s="64"/>
      <c r="BP667" s="64"/>
      <c r="BQ667" s="64"/>
      <c r="BR667" s="57"/>
      <c r="BS667" s="64"/>
      <c r="BT667" s="64"/>
      <c r="BU667" s="64"/>
      <c r="BV667" s="46"/>
    </row>
    <row r="668" spans="2:74" x14ac:dyDescent="0.8">
      <c r="B668" s="46"/>
      <c r="C668" s="62"/>
      <c r="F668" s="70"/>
      <c r="G668" s="86"/>
      <c r="H668" s="70"/>
      <c r="I668" s="86"/>
      <c r="L668" s="117"/>
      <c r="M668" s="118"/>
      <c r="R668" s="58"/>
      <c r="S668" s="58"/>
      <c r="X668" s="58"/>
      <c r="AA668" s="46"/>
      <c r="AL668" s="68"/>
      <c r="AN668" s="70"/>
      <c r="AQ668" s="67"/>
      <c r="AT668" s="46"/>
      <c r="AY668" s="57"/>
      <c r="AZ668" s="64"/>
      <c r="BA668" s="46"/>
      <c r="BB668" s="46"/>
      <c r="BC668" s="48"/>
      <c r="BF668" s="46"/>
      <c r="BL668" s="121"/>
      <c r="BM668" s="57"/>
      <c r="BN668" s="64"/>
      <c r="BO668" s="64"/>
      <c r="BP668" s="64"/>
      <c r="BQ668" s="64"/>
      <c r="BR668" s="57"/>
      <c r="BS668" s="64"/>
      <c r="BT668" s="64"/>
      <c r="BU668" s="64"/>
      <c r="BV668" s="46"/>
    </row>
    <row r="669" spans="2:74" x14ac:dyDescent="0.8">
      <c r="B669" s="46"/>
      <c r="C669" s="62"/>
      <c r="F669" s="70"/>
      <c r="G669" s="86"/>
      <c r="H669" s="70"/>
      <c r="I669" s="86"/>
      <c r="R669" s="58"/>
      <c r="S669" s="58"/>
      <c r="T669" s="184"/>
      <c r="X669" s="57"/>
      <c r="Y669" s="46"/>
      <c r="Z669" s="57"/>
      <c r="AA669" s="46"/>
      <c r="AL669" s="69"/>
      <c r="AN669" s="70"/>
      <c r="AO669" s="46"/>
      <c r="AQ669" s="67"/>
      <c r="AT669" s="46"/>
      <c r="BC669" s="48"/>
      <c r="BF669" s="46"/>
      <c r="BL669" s="121"/>
      <c r="BM669" s="57"/>
      <c r="BN669" s="64"/>
      <c r="BO669" s="64"/>
      <c r="BP669" s="64"/>
      <c r="BQ669" s="64"/>
      <c r="BR669" s="57"/>
      <c r="BS669" s="64"/>
      <c r="BT669" s="64"/>
      <c r="BU669" s="64"/>
      <c r="BV669" s="46"/>
    </row>
    <row r="670" spans="2:74" x14ac:dyDescent="0.8">
      <c r="B670" s="46"/>
      <c r="C670" s="62"/>
      <c r="F670" s="70"/>
      <c r="G670" s="86"/>
      <c r="H670" s="70"/>
      <c r="I670" s="86"/>
      <c r="J670" s="182"/>
      <c r="K670" s="300"/>
      <c r="R670" s="58"/>
      <c r="S670" s="58"/>
      <c r="X670" s="57"/>
      <c r="Y670" s="46"/>
      <c r="Z670" s="57"/>
      <c r="AA670" s="46"/>
      <c r="AL670" s="68"/>
      <c r="AN670" s="70"/>
      <c r="AO670" s="46"/>
      <c r="AQ670" s="67"/>
      <c r="AT670" s="46"/>
      <c r="BC670" s="48"/>
      <c r="BF670" s="46"/>
      <c r="BL670" s="121"/>
      <c r="BM670" s="57"/>
      <c r="BN670" s="64"/>
      <c r="BO670" s="64"/>
      <c r="BP670" s="64"/>
      <c r="BQ670" s="64"/>
      <c r="BR670" s="57"/>
      <c r="BS670" s="64"/>
      <c r="BT670" s="64"/>
      <c r="BU670" s="64"/>
      <c r="BV670" s="46"/>
    </row>
    <row r="671" spans="2:74" x14ac:dyDescent="0.8">
      <c r="B671" s="46"/>
      <c r="C671" s="62"/>
      <c r="F671" s="70"/>
      <c r="G671" s="86"/>
      <c r="H671" s="70"/>
      <c r="I671" s="86"/>
      <c r="L671" s="117"/>
      <c r="M671" s="118"/>
      <c r="R671" s="58"/>
      <c r="S671" s="58"/>
      <c r="T671" s="140"/>
      <c r="X671" s="129"/>
      <c r="Y671" s="120"/>
      <c r="AL671" s="68"/>
      <c r="AN671" s="70"/>
      <c r="AQ671" s="67"/>
      <c r="AT671" s="46"/>
      <c r="AY671" s="57"/>
      <c r="AZ671" s="64"/>
      <c r="BA671" s="46"/>
      <c r="BB671" s="46"/>
      <c r="BC671" s="48"/>
      <c r="BF671" s="46"/>
      <c r="BL671" s="121"/>
      <c r="BM671" s="57"/>
      <c r="BN671" s="64"/>
      <c r="BO671" s="64"/>
      <c r="BP671" s="64"/>
      <c r="BQ671" s="64"/>
      <c r="BR671" s="57"/>
      <c r="BS671" s="64"/>
      <c r="BT671" s="64"/>
      <c r="BU671" s="64"/>
      <c r="BV671" s="46"/>
    </row>
    <row r="672" spans="2:74" x14ac:dyDescent="0.8">
      <c r="B672" s="46"/>
      <c r="C672" s="62"/>
      <c r="F672" s="70"/>
      <c r="G672" s="86"/>
      <c r="H672" s="70"/>
      <c r="I672" s="86"/>
      <c r="L672" s="117"/>
      <c r="M672" s="118"/>
      <c r="R672" s="58"/>
      <c r="S672" s="58"/>
      <c r="AA672" s="46"/>
      <c r="AL672" s="68"/>
      <c r="AN672" s="70"/>
      <c r="AQ672" s="67"/>
      <c r="AT672" s="46"/>
      <c r="AY672" s="57"/>
      <c r="AZ672" s="64"/>
      <c r="BA672" s="46"/>
      <c r="BB672" s="46"/>
      <c r="BC672" s="48"/>
      <c r="BF672" s="46"/>
      <c r="BL672" s="121"/>
      <c r="BM672" s="57"/>
      <c r="BN672" s="64"/>
      <c r="BO672" s="64"/>
      <c r="BP672" s="64"/>
      <c r="BQ672" s="64"/>
      <c r="BR672" s="57"/>
      <c r="BS672" s="64"/>
      <c r="BT672" s="64"/>
      <c r="BU672" s="64"/>
      <c r="BV672" s="46"/>
    </row>
    <row r="673" spans="2:74" x14ac:dyDescent="0.8">
      <c r="B673" s="46"/>
      <c r="C673" s="62"/>
      <c r="F673" s="70"/>
      <c r="G673" s="86"/>
      <c r="H673" s="70"/>
      <c r="I673" s="86"/>
      <c r="R673" s="58"/>
      <c r="S673" s="58"/>
      <c r="X673" s="57"/>
      <c r="Y673" s="46"/>
      <c r="Z673" s="57"/>
      <c r="AA673" s="46"/>
      <c r="AL673" s="68"/>
      <c r="AN673" s="70"/>
      <c r="AO673" s="46"/>
      <c r="AQ673" s="67"/>
      <c r="AT673" s="46"/>
      <c r="BC673" s="48"/>
      <c r="BF673" s="46"/>
      <c r="BL673" s="121"/>
      <c r="BM673" s="57"/>
      <c r="BN673" s="64"/>
      <c r="BO673" s="64"/>
      <c r="BP673" s="64"/>
      <c r="BQ673" s="64"/>
      <c r="BR673" s="57"/>
      <c r="BS673" s="64"/>
      <c r="BT673" s="64"/>
      <c r="BU673" s="64"/>
      <c r="BV673" s="46"/>
    </row>
    <row r="674" spans="2:74" x14ac:dyDescent="0.8">
      <c r="B674" s="46"/>
      <c r="C674" s="62"/>
      <c r="F674" s="70"/>
      <c r="G674" s="86"/>
      <c r="H674" s="70"/>
      <c r="I674" s="86"/>
      <c r="R674" s="58"/>
      <c r="S674" s="58"/>
      <c r="AL674" s="68"/>
      <c r="AN674" s="70"/>
      <c r="AQ674" s="67"/>
      <c r="AT674" s="46"/>
      <c r="AY674" s="57"/>
      <c r="AZ674" s="64"/>
      <c r="BA674" s="46"/>
      <c r="BB674" s="46"/>
      <c r="BC674" s="48"/>
      <c r="BF674" s="46"/>
      <c r="BL674" s="121"/>
      <c r="BM674" s="57"/>
      <c r="BN674" s="64"/>
      <c r="BO674" s="64"/>
      <c r="BP674" s="64"/>
      <c r="BQ674" s="64"/>
      <c r="BR674" s="57"/>
      <c r="BS674" s="64"/>
      <c r="BT674" s="64"/>
      <c r="BU674" s="64"/>
      <c r="BV674" s="46"/>
    </row>
    <row r="675" spans="2:74" x14ac:dyDescent="0.8">
      <c r="B675" s="46"/>
      <c r="C675" s="62"/>
      <c r="F675" s="70"/>
      <c r="G675" s="86"/>
      <c r="H675" s="70"/>
      <c r="I675" s="86"/>
      <c r="L675" s="117"/>
      <c r="M675" s="118"/>
      <c r="R675" s="58"/>
      <c r="S675" s="58"/>
      <c r="T675" s="140"/>
      <c r="X675" s="129"/>
      <c r="Y675" s="120"/>
      <c r="AL675" s="68"/>
      <c r="AQ675" s="67"/>
      <c r="AT675" s="46"/>
      <c r="AY675" s="57"/>
      <c r="AZ675" s="64"/>
      <c r="BA675" s="46"/>
      <c r="BB675" s="46"/>
      <c r="BC675" s="48"/>
      <c r="BF675" s="46"/>
      <c r="BL675" s="121"/>
      <c r="BM675" s="57"/>
      <c r="BN675" s="64"/>
      <c r="BO675" s="64"/>
      <c r="BP675" s="64"/>
      <c r="BQ675" s="64"/>
      <c r="BR675" s="57"/>
      <c r="BS675" s="64"/>
      <c r="BT675" s="64"/>
      <c r="BU675" s="64"/>
      <c r="BV675" s="46"/>
    </row>
    <row r="676" spans="2:74" x14ac:dyDescent="0.8">
      <c r="B676" s="46"/>
      <c r="C676" s="62"/>
      <c r="F676" s="70"/>
      <c r="G676" s="86"/>
      <c r="H676" s="70"/>
      <c r="I676" s="86"/>
      <c r="R676" s="58"/>
      <c r="S676" s="58"/>
      <c r="X676" s="57"/>
      <c r="Y676" s="46"/>
      <c r="Z676" s="57"/>
      <c r="AA676" s="46"/>
      <c r="AM676" s="64"/>
      <c r="AO676" s="46"/>
      <c r="AQ676" s="67"/>
      <c r="AT676" s="46"/>
      <c r="BC676" s="48"/>
      <c r="BF676" s="46"/>
      <c r="BL676" s="121"/>
      <c r="BM676" s="57"/>
      <c r="BN676" s="64"/>
      <c r="BO676" s="64"/>
      <c r="BP676" s="64"/>
      <c r="BQ676" s="64"/>
      <c r="BR676" s="57"/>
      <c r="BS676" s="64"/>
      <c r="BT676" s="64"/>
      <c r="BU676" s="64"/>
      <c r="BV676" s="46"/>
    </row>
    <row r="677" spans="2:74" x14ac:dyDescent="0.8">
      <c r="B677" s="46"/>
      <c r="C677" s="62"/>
      <c r="F677" s="70"/>
      <c r="G677" s="86"/>
      <c r="H677" s="70"/>
      <c r="I677" s="86"/>
      <c r="L677" s="117"/>
      <c r="M677" s="118"/>
      <c r="T677" s="140"/>
      <c r="X677" s="129"/>
      <c r="Y677" s="120"/>
      <c r="AL677" s="69"/>
      <c r="AN677" s="70"/>
      <c r="AQ677" s="67"/>
      <c r="AT677" s="46"/>
      <c r="AY677" s="57"/>
      <c r="AZ677" s="64"/>
      <c r="BA677" s="46"/>
      <c r="BB677" s="46"/>
      <c r="BC677" s="48"/>
      <c r="BF677" s="46"/>
      <c r="BL677" s="121"/>
      <c r="BM677" s="57"/>
      <c r="BN677" s="64"/>
      <c r="BO677" s="64"/>
      <c r="BP677" s="64"/>
      <c r="BQ677" s="64"/>
      <c r="BR677" s="57"/>
      <c r="BS677" s="64"/>
      <c r="BT677" s="64"/>
      <c r="BU677" s="64"/>
      <c r="BV677" s="46"/>
    </row>
    <row r="678" spans="2:74" x14ac:dyDescent="0.8">
      <c r="B678" s="46"/>
      <c r="C678" s="62"/>
      <c r="F678" s="70"/>
      <c r="G678" s="86"/>
      <c r="H678" s="70"/>
      <c r="I678" s="86"/>
      <c r="L678" s="117"/>
      <c r="M678" s="118"/>
      <c r="R678" s="58"/>
      <c r="S678" s="58"/>
      <c r="T678" s="140"/>
      <c r="V678" s="140"/>
      <c r="X678" s="135"/>
      <c r="Y678" s="139"/>
      <c r="AA678" s="136"/>
      <c r="AD678" s="140"/>
      <c r="AJ678" s="140"/>
      <c r="AL678" s="69"/>
      <c r="AN678" s="70"/>
      <c r="AQ678" s="67"/>
      <c r="AT678" s="46"/>
      <c r="AY678" s="57"/>
      <c r="AZ678" s="64"/>
      <c r="BA678" s="46"/>
      <c r="BB678" s="46"/>
      <c r="BC678" s="48"/>
      <c r="BF678" s="46"/>
      <c r="BL678" s="121"/>
      <c r="BM678" s="57"/>
      <c r="BN678" s="64"/>
      <c r="BO678" s="64"/>
      <c r="BP678" s="64"/>
      <c r="BQ678" s="64"/>
      <c r="BR678" s="57"/>
      <c r="BS678" s="64"/>
      <c r="BT678" s="64"/>
      <c r="BU678" s="64"/>
      <c r="BV678" s="46"/>
    </row>
    <row r="679" spans="2:74" x14ac:dyDescent="0.8">
      <c r="B679" s="46"/>
      <c r="C679" s="62"/>
      <c r="F679" s="70"/>
      <c r="G679" s="86"/>
      <c r="H679" s="70"/>
      <c r="I679" s="86"/>
      <c r="L679" s="117"/>
      <c r="M679" s="118"/>
      <c r="R679" s="58"/>
      <c r="S679" s="58"/>
      <c r="T679" s="140"/>
      <c r="X679" s="129"/>
      <c r="Y679" s="120"/>
      <c r="AL679" s="69"/>
      <c r="AN679" s="70"/>
      <c r="AQ679" s="67"/>
      <c r="AT679" s="46"/>
      <c r="AY679" s="57"/>
      <c r="AZ679" s="64"/>
      <c r="BA679" s="46"/>
      <c r="BB679" s="46"/>
      <c r="BC679" s="48"/>
      <c r="BF679" s="46"/>
      <c r="BL679" s="121"/>
      <c r="BM679" s="57"/>
      <c r="BN679" s="64"/>
      <c r="BO679" s="64"/>
      <c r="BP679" s="64"/>
      <c r="BQ679" s="64"/>
      <c r="BR679" s="57"/>
      <c r="BS679" s="64"/>
      <c r="BT679" s="64"/>
      <c r="BU679" s="64"/>
      <c r="BV679" s="46"/>
    </row>
    <row r="680" spans="2:74" x14ac:dyDescent="0.8">
      <c r="B680" s="46"/>
      <c r="C680" s="62"/>
      <c r="F680" s="70"/>
      <c r="G680" s="86"/>
      <c r="H680" s="70"/>
      <c r="I680" s="86"/>
      <c r="L680" s="117"/>
      <c r="M680" s="118"/>
      <c r="R680" s="58"/>
      <c r="S680" s="58"/>
      <c r="T680" s="140"/>
      <c r="X680" s="129"/>
      <c r="Y680" s="120"/>
      <c r="AL680" s="69"/>
      <c r="AN680" s="70"/>
      <c r="AQ680" s="67"/>
      <c r="AT680" s="46"/>
      <c r="AY680" s="57"/>
      <c r="AZ680" s="64"/>
      <c r="BA680" s="46"/>
      <c r="BB680" s="46"/>
      <c r="BC680" s="48"/>
      <c r="BF680" s="46"/>
      <c r="BL680" s="121"/>
      <c r="BM680" s="57"/>
      <c r="BN680" s="64"/>
      <c r="BO680" s="64"/>
      <c r="BP680" s="64"/>
      <c r="BQ680" s="64"/>
      <c r="BR680" s="57"/>
      <c r="BS680" s="64"/>
      <c r="BT680" s="64"/>
      <c r="BU680" s="64"/>
      <c r="BV680" s="46"/>
    </row>
    <row r="681" spans="2:74" x14ac:dyDescent="0.8">
      <c r="B681" s="46"/>
      <c r="C681" s="62"/>
      <c r="F681" s="70"/>
      <c r="G681" s="86"/>
      <c r="H681" s="70"/>
      <c r="I681" s="86"/>
      <c r="L681" s="117"/>
      <c r="M681" s="118"/>
      <c r="R681" s="58"/>
      <c r="S681" s="58"/>
      <c r="AA681" s="46"/>
      <c r="AL681" s="69"/>
      <c r="AN681" s="70"/>
      <c r="AQ681" s="67"/>
      <c r="AT681" s="46"/>
      <c r="AY681" s="57"/>
      <c r="AZ681" s="64"/>
      <c r="BA681" s="46"/>
      <c r="BB681" s="46"/>
      <c r="BC681" s="48"/>
      <c r="BF681" s="46"/>
      <c r="BL681" s="121"/>
      <c r="BM681" s="57"/>
      <c r="BN681" s="64"/>
      <c r="BO681" s="64"/>
      <c r="BP681" s="64"/>
      <c r="BQ681" s="64"/>
      <c r="BR681" s="57"/>
      <c r="BS681" s="64"/>
      <c r="BT681" s="64"/>
      <c r="BU681" s="64"/>
      <c r="BV681" s="46"/>
    </row>
    <row r="682" spans="2:74" x14ac:dyDescent="0.8">
      <c r="B682" s="46"/>
      <c r="C682" s="62"/>
      <c r="F682" s="70"/>
      <c r="G682" s="86"/>
      <c r="H682" s="70"/>
      <c r="I682" s="86"/>
      <c r="L682" s="117"/>
      <c r="M682" s="118"/>
      <c r="R682" s="58"/>
      <c r="S682" s="58"/>
      <c r="T682" s="140"/>
      <c r="X682" s="129"/>
      <c r="Y682" s="120"/>
      <c r="AL682" s="69"/>
      <c r="AN682" s="70"/>
      <c r="AQ682" s="67"/>
      <c r="AT682" s="46"/>
      <c r="AY682" s="57"/>
      <c r="AZ682" s="64"/>
      <c r="BA682" s="46"/>
      <c r="BB682" s="46"/>
      <c r="BC682" s="48"/>
      <c r="BF682" s="46"/>
      <c r="BL682" s="121"/>
      <c r="BM682" s="57"/>
      <c r="BN682" s="64"/>
      <c r="BO682" s="64"/>
      <c r="BP682" s="64"/>
      <c r="BQ682" s="64"/>
      <c r="BR682" s="57"/>
      <c r="BS682" s="64"/>
      <c r="BT682" s="64"/>
      <c r="BU682" s="64"/>
      <c r="BV682" s="46"/>
    </row>
    <row r="683" spans="2:74" x14ac:dyDescent="0.8">
      <c r="B683" s="46"/>
      <c r="C683" s="62"/>
      <c r="F683" s="70"/>
      <c r="G683" s="86"/>
      <c r="H683" s="70"/>
      <c r="I683" s="86"/>
      <c r="J683" s="58"/>
      <c r="K683" s="58"/>
      <c r="N683" s="58"/>
      <c r="O683" s="58"/>
      <c r="P683" s="58"/>
      <c r="Q683" s="59"/>
      <c r="R683" s="58"/>
      <c r="S683" s="58"/>
      <c r="T683" s="143"/>
      <c r="U683" s="144"/>
      <c r="V683" s="143"/>
      <c r="X683" s="135"/>
      <c r="Y683" s="136"/>
      <c r="AA683" s="136"/>
      <c r="AD683" s="143"/>
      <c r="AF683" s="71"/>
      <c r="AH683" s="71"/>
      <c r="AJ683" s="143"/>
      <c r="AL683" s="71"/>
      <c r="AN683" s="71"/>
      <c r="AP683" s="137"/>
      <c r="AQ683" s="67"/>
      <c r="AT683" s="46"/>
      <c r="AY683" s="57"/>
      <c r="AZ683" s="64"/>
      <c r="BA683" s="46"/>
      <c r="BB683" s="46"/>
      <c r="BC683" s="48"/>
      <c r="BF683" s="46"/>
      <c r="BL683" s="121"/>
      <c r="BM683" s="57"/>
      <c r="BN683" s="64"/>
      <c r="BO683" s="64"/>
      <c r="BP683" s="64"/>
      <c r="BQ683" s="64"/>
      <c r="BR683" s="57"/>
      <c r="BS683" s="64"/>
      <c r="BT683" s="64"/>
      <c r="BU683" s="64"/>
      <c r="BV683" s="46"/>
    </row>
    <row r="684" spans="2:74" x14ac:dyDescent="0.8">
      <c r="B684" s="46"/>
      <c r="C684" s="62"/>
      <c r="F684" s="70"/>
      <c r="G684" s="86"/>
      <c r="H684" s="70"/>
      <c r="I684" s="86"/>
      <c r="L684" s="117"/>
      <c r="M684" s="118"/>
      <c r="R684" s="58"/>
      <c r="S684" s="58"/>
      <c r="T684" s="140"/>
      <c r="X684" s="58"/>
      <c r="AQ684" s="67"/>
      <c r="AT684" s="46"/>
      <c r="AY684" s="57"/>
      <c r="AZ684" s="64"/>
      <c r="BA684" s="46"/>
      <c r="BB684" s="46"/>
      <c r="BC684" s="48"/>
      <c r="BF684" s="46"/>
      <c r="BL684" s="121"/>
      <c r="BM684" s="57"/>
      <c r="BN684" s="64"/>
      <c r="BO684" s="64"/>
      <c r="BP684" s="64"/>
      <c r="BQ684" s="64"/>
      <c r="BR684" s="57"/>
      <c r="BS684" s="64"/>
      <c r="BT684" s="64"/>
      <c r="BU684" s="64"/>
      <c r="BV684" s="46"/>
    </row>
    <row r="685" spans="2:74" x14ac:dyDescent="0.8">
      <c r="B685" s="46"/>
      <c r="C685" s="62"/>
      <c r="F685" s="70"/>
      <c r="G685" s="86"/>
      <c r="H685" s="70"/>
      <c r="I685" s="86"/>
      <c r="L685" s="117"/>
      <c r="M685" s="118"/>
      <c r="R685" s="58"/>
      <c r="S685" s="58"/>
      <c r="T685" s="140"/>
      <c r="X685" s="175"/>
      <c r="Y685" s="120"/>
      <c r="AL685" s="69"/>
      <c r="AN685" s="70"/>
      <c r="AQ685" s="67"/>
      <c r="AT685" s="46"/>
      <c r="AY685" s="57"/>
      <c r="AZ685" s="64"/>
      <c r="BA685" s="46"/>
      <c r="BB685" s="46"/>
      <c r="BC685" s="48"/>
      <c r="BF685" s="46"/>
      <c r="BL685" s="121"/>
      <c r="BM685" s="57"/>
      <c r="BN685" s="64"/>
      <c r="BO685" s="64"/>
      <c r="BP685" s="64"/>
      <c r="BQ685" s="64"/>
      <c r="BR685" s="57"/>
      <c r="BS685" s="64"/>
      <c r="BT685" s="64"/>
      <c r="BU685" s="64"/>
      <c r="BV685" s="46"/>
    </row>
    <row r="686" spans="2:74" x14ac:dyDescent="0.8">
      <c r="B686" s="46"/>
      <c r="C686" s="62"/>
      <c r="F686" s="70"/>
      <c r="G686" s="86"/>
      <c r="H686" s="70"/>
      <c r="I686" s="86"/>
      <c r="R686" s="58"/>
      <c r="S686" s="58"/>
      <c r="X686" s="64"/>
      <c r="Y686" s="46"/>
      <c r="Z686" s="57"/>
      <c r="AA686" s="46"/>
      <c r="AL686" s="69"/>
      <c r="AN686" s="70"/>
      <c r="AQ686" s="67"/>
      <c r="AT686" s="46"/>
      <c r="BC686" s="48"/>
      <c r="BF686" s="46"/>
      <c r="BL686" s="121"/>
      <c r="BM686" s="57"/>
      <c r="BN686" s="64"/>
      <c r="BO686" s="64"/>
      <c r="BP686" s="64"/>
      <c r="BQ686" s="64"/>
      <c r="BR686" s="57"/>
      <c r="BS686" s="64"/>
      <c r="BT686" s="64"/>
      <c r="BU686" s="64"/>
      <c r="BV686" s="46"/>
    </row>
    <row r="687" spans="2:74" x14ac:dyDescent="0.8">
      <c r="B687" s="46"/>
      <c r="C687" s="62"/>
      <c r="F687" s="70"/>
      <c r="G687" s="86"/>
      <c r="H687" s="70"/>
      <c r="I687" s="86"/>
      <c r="L687" s="117"/>
      <c r="M687" s="118"/>
      <c r="R687" s="58"/>
      <c r="S687" s="58"/>
      <c r="T687" s="140"/>
      <c r="X687" s="183"/>
      <c r="Y687" s="120"/>
      <c r="AB687" s="129"/>
      <c r="AL687" s="69"/>
      <c r="AN687" s="70"/>
      <c r="AQ687" s="67"/>
      <c r="AT687" s="46"/>
      <c r="AY687" s="57"/>
      <c r="AZ687" s="64"/>
      <c r="BA687" s="46"/>
      <c r="BB687" s="46"/>
      <c r="BC687" s="48"/>
      <c r="BF687" s="46"/>
      <c r="BL687" s="121"/>
      <c r="BM687" s="57"/>
      <c r="BN687" s="64"/>
      <c r="BO687" s="64"/>
      <c r="BP687" s="64"/>
      <c r="BQ687" s="64"/>
      <c r="BR687" s="57"/>
      <c r="BS687" s="64"/>
      <c r="BT687" s="64"/>
      <c r="BU687" s="64"/>
      <c r="BV687" s="46"/>
    </row>
    <row r="688" spans="2:74" x14ac:dyDescent="0.8">
      <c r="B688" s="46"/>
      <c r="C688" s="62"/>
      <c r="F688" s="70"/>
      <c r="G688" s="86"/>
      <c r="H688" s="70"/>
      <c r="I688" s="86"/>
      <c r="L688" s="117"/>
      <c r="M688" s="118"/>
      <c r="R688" s="58"/>
      <c r="S688" s="58"/>
      <c r="T688" s="140"/>
      <c r="X688" s="129"/>
      <c r="Y688" s="120"/>
      <c r="AL688" s="69"/>
      <c r="AN688" s="70"/>
      <c r="AQ688" s="67"/>
      <c r="AT688" s="46"/>
      <c r="AY688" s="57"/>
      <c r="AZ688" s="64"/>
      <c r="BA688" s="46"/>
      <c r="BB688" s="46"/>
      <c r="BC688" s="48"/>
      <c r="BF688" s="46"/>
      <c r="BL688" s="121"/>
      <c r="BM688" s="57"/>
      <c r="BN688" s="64"/>
      <c r="BO688" s="64"/>
      <c r="BP688" s="64"/>
      <c r="BQ688" s="64"/>
      <c r="BR688" s="57"/>
      <c r="BS688" s="64"/>
      <c r="BT688" s="64"/>
      <c r="BU688" s="64"/>
      <c r="BV688" s="46"/>
    </row>
    <row r="689" spans="2:74" x14ac:dyDescent="0.8">
      <c r="B689" s="46"/>
      <c r="C689" s="62"/>
      <c r="F689" s="70"/>
      <c r="G689" s="86"/>
      <c r="H689" s="70"/>
      <c r="I689" s="86"/>
      <c r="J689" s="71"/>
      <c r="K689" s="59"/>
      <c r="N689" s="58"/>
      <c r="O689" s="58"/>
      <c r="P689" s="58"/>
      <c r="Q689" s="59"/>
      <c r="R689" s="58"/>
      <c r="S689" s="58"/>
      <c r="T689" s="143"/>
      <c r="U689" s="144"/>
      <c r="V689" s="143"/>
      <c r="X689" s="135"/>
      <c r="Y689" s="136"/>
      <c r="AA689" s="136"/>
      <c r="AD689" s="143"/>
      <c r="AF689" s="71"/>
      <c r="AH689" s="71"/>
      <c r="AJ689" s="143"/>
      <c r="AL689" s="71"/>
      <c r="AN689" s="71"/>
      <c r="AP689" s="137"/>
      <c r="AQ689" s="67"/>
      <c r="AT689" s="46"/>
      <c r="AY689" s="57"/>
      <c r="AZ689" s="64"/>
      <c r="BA689" s="46"/>
      <c r="BB689" s="46"/>
      <c r="BC689" s="48"/>
      <c r="BF689" s="46"/>
      <c r="BL689" s="121"/>
      <c r="BM689" s="57"/>
      <c r="BN689" s="64"/>
      <c r="BO689" s="64"/>
      <c r="BP689" s="64"/>
      <c r="BQ689" s="64"/>
      <c r="BR689" s="57"/>
      <c r="BS689" s="64"/>
      <c r="BT689" s="64"/>
      <c r="BU689" s="64"/>
      <c r="BV689" s="46"/>
    </row>
    <row r="690" spans="2:74" x14ac:dyDescent="0.8">
      <c r="B690" s="46"/>
      <c r="C690" s="62"/>
      <c r="F690" s="70"/>
      <c r="G690" s="86"/>
      <c r="H690" s="70"/>
      <c r="I690" s="86"/>
      <c r="R690" s="58"/>
      <c r="S690" s="58"/>
      <c r="T690" s="184"/>
      <c r="X690" s="57"/>
      <c r="Y690" s="46"/>
      <c r="Z690" s="57"/>
      <c r="AA690" s="46"/>
      <c r="AL690" s="70"/>
      <c r="AM690" s="64"/>
      <c r="AO690" s="46"/>
      <c r="AQ690" s="67"/>
      <c r="AT690" s="46"/>
      <c r="BC690" s="48"/>
      <c r="BF690" s="46"/>
      <c r="BL690" s="121"/>
      <c r="BM690" s="57"/>
      <c r="BN690" s="64"/>
      <c r="BO690" s="64"/>
      <c r="BP690" s="64"/>
      <c r="BQ690" s="64"/>
      <c r="BR690" s="57"/>
      <c r="BS690" s="64"/>
      <c r="BT690" s="64"/>
      <c r="BU690" s="64"/>
      <c r="BV690" s="46"/>
    </row>
    <row r="691" spans="2:74" x14ac:dyDescent="0.8">
      <c r="B691" s="46"/>
      <c r="C691" s="62"/>
      <c r="F691" s="70"/>
      <c r="G691" s="86"/>
      <c r="H691" s="70"/>
      <c r="I691" s="86"/>
      <c r="L691" s="117"/>
      <c r="M691" s="118"/>
      <c r="R691" s="58"/>
      <c r="S691" s="58"/>
      <c r="T691" s="140"/>
      <c r="X691" s="129"/>
      <c r="Y691" s="120"/>
      <c r="AL691" s="70"/>
      <c r="AM691" s="64"/>
      <c r="AQ691" s="67"/>
      <c r="AT691" s="46"/>
      <c r="AY691" s="57"/>
      <c r="AZ691" s="64"/>
      <c r="BA691" s="46"/>
      <c r="BB691" s="46"/>
      <c r="BC691" s="48"/>
      <c r="BF691" s="46"/>
      <c r="BL691" s="121"/>
      <c r="BM691" s="57"/>
      <c r="BN691" s="64"/>
      <c r="BO691" s="64"/>
      <c r="BP691" s="64"/>
      <c r="BQ691" s="64"/>
      <c r="BR691" s="57"/>
      <c r="BS691" s="64"/>
      <c r="BT691" s="64"/>
      <c r="BU691" s="64"/>
      <c r="BV691" s="46"/>
    </row>
    <row r="692" spans="2:74" x14ac:dyDescent="0.8">
      <c r="B692" s="46"/>
      <c r="C692" s="62"/>
      <c r="F692" s="70"/>
      <c r="G692" s="86"/>
      <c r="H692" s="70"/>
      <c r="I692" s="86"/>
      <c r="R692" s="58"/>
      <c r="S692" s="58"/>
      <c r="X692" s="57"/>
      <c r="Y692" s="46"/>
      <c r="Z692" s="57"/>
      <c r="AA692" s="46"/>
      <c r="AL692" s="70"/>
      <c r="AM692" s="64"/>
      <c r="AO692" s="46"/>
      <c r="AQ692" s="67"/>
      <c r="AT692" s="46"/>
      <c r="BC692" s="48"/>
      <c r="BF692" s="46"/>
      <c r="BL692" s="121"/>
      <c r="BM692" s="57"/>
      <c r="BN692" s="64"/>
      <c r="BO692" s="64"/>
      <c r="BP692" s="64"/>
      <c r="BQ692" s="64"/>
      <c r="BR692" s="57"/>
      <c r="BS692" s="64"/>
      <c r="BT692" s="64"/>
      <c r="BU692" s="64"/>
      <c r="BV692" s="46"/>
    </row>
    <row r="693" spans="2:74" x14ac:dyDescent="0.8">
      <c r="B693" s="46"/>
      <c r="C693" s="62"/>
      <c r="F693" s="70"/>
      <c r="G693" s="86"/>
      <c r="H693" s="70"/>
      <c r="I693" s="86"/>
      <c r="J693" s="71"/>
      <c r="K693" s="59"/>
      <c r="N693" s="58"/>
      <c r="O693" s="58"/>
      <c r="P693" s="58"/>
      <c r="Q693" s="59"/>
      <c r="R693" s="58"/>
      <c r="S693" s="58"/>
      <c r="T693" s="143"/>
      <c r="U693" s="144"/>
      <c r="V693" s="143"/>
      <c r="X693" s="135"/>
      <c r="Y693" s="136"/>
      <c r="AA693" s="136"/>
      <c r="AD693" s="143"/>
      <c r="AF693" s="71"/>
      <c r="AH693" s="71"/>
      <c r="AJ693" s="143"/>
      <c r="AN693" s="71"/>
      <c r="AP693" s="137"/>
      <c r="AQ693" s="67"/>
      <c r="AT693" s="46"/>
      <c r="AY693" s="57"/>
      <c r="AZ693" s="64"/>
      <c r="BA693" s="46"/>
      <c r="BB693" s="46"/>
      <c r="BC693" s="48"/>
      <c r="BF693" s="46"/>
      <c r="BL693" s="121"/>
      <c r="BM693" s="57"/>
      <c r="BN693" s="64"/>
      <c r="BO693" s="64"/>
      <c r="BP693" s="64"/>
      <c r="BQ693" s="64"/>
      <c r="BR693" s="57"/>
      <c r="BS693" s="64"/>
      <c r="BT693" s="64"/>
      <c r="BU693" s="64"/>
      <c r="BV693" s="46"/>
    </row>
    <row r="694" spans="2:74" x14ac:dyDescent="0.8">
      <c r="B694" s="46"/>
      <c r="C694" s="62"/>
      <c r="F694" s="70"/>
      <c r="G694" s="86"/>
      <c r="H694" s="70"/>
      <c r="I694" s="86"/>
      <c r="L694" s="117"/>
      <c r="M694" s="118"/>
      <c r="R694" s="58"/>
      <c r="S694" s="58"/>
      <c r="T694" s="140"/>
      <c r="AQ694" s="67"/>
      <c r="AT694" s="46"/>
      <c r="AY694" s="57"/>
      <c r="AZ694" s="64"/>
      <c r="BA694" s="46"/>
      <c r="BB694" s="46"/>
      <c r="BC694" s="48"/>
      <c r="BF694" s="46"/>
      <c r="BL694" s="121"/>
      <c r="BM694" s="57"/>
      <c r="BN694" s="64"/>
      <c r="BO694" s="64"/>
      <c r="BP694" s="64"/>
      <c r="BQ694" s="64"/>
      <c r="BR694" s="57"/>
      <c r="BS694" s="64"/>
      <c r="BT694" s="64"/>
      <c r="BU694" s="64"/>
      <c r="BV694" s="46"/>
    </row>
    <row r="695" spans="2:74" x14ac:dyDescent="0.8">
      <c r="B695" s="46"/>
      <c r="C695" s="62"/>
      <c r="F695" s="70"/>
      <c r="G695" s="86"/>
      <c r="H695" s="70"/>
      <c r="I695" s="86"/>
      <c r="L695" s="117"/>
      <c r="M695" s="118"/>
      <c r="R695" s="58"/>
      <c r="S695" s="58"/>
      <c r="T695" s="140"/>
      <c r="X695" s="129"/>
      <c r="Y695" s="120"/>
      <c r="AQ695" s="67"/>
      <c r="AT695" s="46"/>
      <c r="AY695" s="57"/>
      <c r="AZ695" s="64"/>
      <c r="BA695" s="46"/>
      <c r="BB695" s="46"/>
      <c r="BC695" s="48"/>
      <c r="BF695" s="46"/>
      <c r="BL695" s="121"/>
      <c r="BM695" s="57"/>
      <c r="BN695" s="64"/>
      <c r="BO695" s="64"/>
      <c r="BP695" s="64"/>
      <c r="BQ695" s="64"/>
      <c r="BR695" s="57"/>
      <c r="BS695" s="64"/>
      <c r="BT695" s="64"/>
      <c r="BU695" s="64"/>
      <c r="BV695" s="46"/>
    </row>
    <row r="696" spans="2:74" x14ac:dyDescent="0.8">
      <c r="B696" s="46"/>
      <c r="C696" s="62"/>
      <c r="F696" s="70"/>
      <c r="G696" s="86"/>
      <c r="H696" s="70"/>
      <c r="I696" s="86"/>
      <c r="R696" s="58"/>
      <c r="S696" s="58"/>
      <c r="AQ696" s="67"/>
      <c r="AT696" s="46"/>
      <c r="AY696" s="57"/>
      <c r="AZ696" s="64"/>
      <c r="BA696" s="46"/>
      <c r="BB696" s="46"/>
      <c r="BC696" s="48"/>
      <c r="BF696" s="46"/>
      <c r="BL696" s="121"/>
      <c r="BM696" s="57"/>
      <c r="BN696" s="64"/>
      <c r="BO696" s="64"/>
      <c r="BP696" s="64"/>
      <c r="BQ696" s="64"/>
      <c r="BR696" s="57"/>
      <c r="BS696" s="64"/>
      <c r="BT696" s="64"/>
      <c r="BU696" s="64"/>
      <c r="BV696" s="46"/>
    </row>
    <row r="697" spans="2:74" x14ac:dyDescent="0.8">
      <c r="B697" s="46"/>
      <c r="C697" s="62"/>
      <c r="F697" s="70"/>
      <c r="G697" s="86"/>
      <c r="H697" s="70"/>
      <c r="I697" s="86"/>
      <c r="R697" s="58"/>
      <c r="S697" s="58"/>
      <c r="X697" s="57"/>
      <c r="Y697" s="46"/>
      <c r="Z697" s="57"/>
      <c r="AA697" s="46"/>
      <c r="AM697" s="64"/>
      <c r="AO697" s="46"/>
      <c r="AQ697" s="67"/>
      <c r="AT697" s="46"/>
      <c r="BC697" s="48"/>
      <c r="BF697" s="46"/>
      <c r="BL697" s="121"/>
      <c r="BM697" s="57"/>
      <c r="BN697" s="64"/>
      <c r="BO697" s="64"/>
      <c r="BP697" s="64"/>
      <c r="BQ697" s="64"/>
      <c r="BR697" s="57"/>
      <c r="BS697" s="64"/>
      <c r="BT697" s="64"/>
      <c r="BU697" s="64"/>
      <c r="BV697" s="46"/>
    </row>
    <row r="698" spans="2:74" x14ac:dyDescent="0.8">
      <c r="B698" s="46"/>
      <c r="C698" s="62"/>
      <c r="F698" s="70"/>
      <c r="G698" s="86"/>
      <c r="H698" s="70"/>
      <c r="I698" s="86"/>
      <c r="L698" s="117"/>
      <c r="M698" s="118"/>
      <c r="R698" s="58"/>
      <c r="S698" s="58"/>
      <c r="T698" s="140"/>
      <c r="X698" s="129"/>
      <c r="Y698" s="120"/>
      <c r="AQ698" s="67"/>
      <c r="AT698" s="46"/>
      <c r="AY698" s="57"/>
      <c r="AZ698" s="64"/>
      <c r="BA698" s="46"/>
      <c r="BB698" s="46"/>
      <c r="BC698" s="48"/>
      <c r="BF698" s="46"/>
      <c r="BL698" s="121"/>
      <c r="BM698" s="57"/>
      <c r="BN698" s="64"/>
      <c r="BO698" s="64"/>
      <c r="BP698" s="64"/>
      <c r="BQ698" s="64"/>
      <c r="BR698" s="57"/>
      <c r="BS698" s="64"/>
      <c r="BT698" s="64"/>
      <c r="BU698" s="64"/>
      <c r="BV698" s="46"/>
    </row>
    <row r="699" spans="2:74" x14ac:dyDescent="0.8">
      <c r="B699" s="46"/>
      <c r="C699" s="62"/>
      <c r="F699" s="70"/>
      <c r="G699" s="86"/>
      <c r="H699" s="70"/>
      <c r="I699" s="86"/>
      <c r="L699" s="117"/>
      <c r="M699" s="118"/>
      <c r="R699" s="58"/>
      <c r="S699" s="58"/>
      <c r="T699" s="140"/>
      <c r="AQ699" s="67"/>
      <c r="AT699" s="46"/>
      <c r="AY699" s="57"/>
      <c r="AZ699" s="64"/>
      <c r="BA699" s="46"/>
      <c r="BB699" s="46"/>
      <c r="BC699" s="48"/>
      <c r="BF699" s="46"/>
      <c r="BL699" s="121"/>
      <c r="BM699" s="57"/>
      <c r="BN699" s="64"/>
      <c r="BO699" s="64"/>
      <c r="BP699" s="64"/>
      <c r="BQ699" s="64"/>
      <c r="BR699" s="57"/>
      <c r="BS699" s="64"/>
      <c r="BT699" s="64"/>
      <c r="BU699" s="64"/>
      <c r="BV699" s="46"/>
    </row>
    <row r="700" spans="2:74" x14ac:dyDescent="0.8">
      <c r="B700" s="46"/>
      <c r="C700" s="62"/>
      <c r="F700" s="70"/>
      <c r="G700" s="86"/>
      <c r="H700" s="70"/>
      <c r="I700" s="86"/>
      <c r="L700" s="117"/>
      <c r="M700" s="118"/>
      <c r="R700" s="58"/>
      <c r="S700" s="58"/>
      <c r="T700" s="140"/>
      <c r="X700" s="129"/>
      <c r="Y700" s="120"/>
      <c r="AL700" s="68"/>
      <c r="AQ700" s="67"/>
      <c r="AT700" s="46"/>
      <c r="AY700" s="57"/>
      <c r="AZ700" s="64"/>
      <c r="BA700" s="46"/>
      <c r="BB700" s="46"/>
      <c r="BC700" s="48"/>
      <c r="BF700" s="46"/>
      <c r="BL700" s="121"/>
      <c r="BM700" s="57"/>
      <c r="BN700" s="64"/>
      <c r="BO700" s="64"/>
      <c r="BP700" s="64"/>
      <c r="BQ700" s="64"/>
      <c r="BR700" s="57"/>
      <c r="BS700" s="64"/>
      <c r="BT700" s="64"/>
      <c r="BU700" s="64"/>
      <c r="BV700" s="46"/>
    </row>
    <row r="701" spans="2:74" x14ac:dyDescent="0.8">
      <c r="B701" s="46"/>
      <c r="C701" s="62"/>
      <c r="F701" s="70"/>
      <c r="G701" s="86"/>
      <c r="H701" s="70"/>
      <c r="I701" s="86"/>
      <c r="L701" s="117"/>
      <c r="M701" s="118"/>
      <c r="R701" s="58"/>
      <c r="S701" s="58"/>
      <c r="T701" s="140"/>
      <c r="X701" s="129"/>
      <c r="Y701" s="120"/>
      <c r="AL701" s="69"/>
      <c r="AN701" s="70"/>
      <c r="AQ701" s="67"/>
      <c r="AT701" s="46"/>
      <c r="AY701" s="57"/>
      <c r="AZ701" s="64"/>
      <c r="BA701" s="46"/>
      <c r="BB701" s="46"/>
      <c r="BC701" s="48"/>
      <c r="BF701" s="46"/>
      <c r="BL701" s="121"/>
      <c r="BM701" s="57"/>
      <c r="BN701" s="64"/>
      <c r="BO701" s="64"/>
      <c r="BP701" s="64"/>
      <c r="BQ701" s="64"/>
      <c r="BR701" s="57"/>
      <c r="BS701" s="64"/>
      <c r="BT701" s="64"/>
      <c r="BU701" s="64"/>
      <c r="BV701" s="46"/>
    </row>
    <row r="702" spans="2:74" x14ac:dyDescent="0.8">
      <c r="B702" s="46"/>
      <c r="C702" s="62"/>
      <c r="F702" s="70"/>
      <c r="G702" s="86"/>
      <c r="H702" s="70"/>
      <c r="I702" s="86"/>
      <c r="L702" s="117"/>
      <c r="M702" s="118"/>
      <c r="R702" s="58"/>
      <c r="S702" s="58"/>
      <c r="T702" s="140"/>
      <c r="X702" s="129"/>
      <c r="Y702" s="120"/>
      <c r="AL702" s="69"/>
      <c r="AN702" s="70"/>
      <c r="AQ702" s="67"/>
      <c r="AT702" s="46"/>
      <c r="AY702" s="57"/>
      <c r="AZ702" s="64"/>
      <c r="BA702" s="46"/>
      <c r="BB702" s="46"/>
      <c r="BC702" s="48"/>
      <c r="BF702" s="46"/>
      <c r="BL702" s="121"/>
      <c r="BM702" s="57"/>
      <c r="BN702" s="64"/>
      <c r="BO702" s="64"/>
      <c r="BP702" s="64"/>
      <c r="BQ702" s="64"/>
      <c r="BR702" s="57"/>
      <c r="BS702" s="64"/>
      <c r="BT702" s="64"/>
      <c r="BU702" s="64"/>
      <c r="BV702" s="46"/>
    </row>
    <row r="703" spans="2:74" x14ac:dyDescent="0.8">
      <c r="B703" s="46"/>
      <c r="C703" s="62"/>
      <c r="F703" s="70"/>
      <c r="G703" s="86"/>
      <c r="H703" s="70"/>
      <c r="I703" s="86"/>
      <c r="R703" s="58"/>
      <c r="S703" s="58"/>
      <c r="X703" s="57"/>
      <c r="Y703" s="46"/>
      <c r="Z703" s="57"/>
      <c r="AA703" s="46"/>
      <c r="AL703" s="69"/>
      <c r="AN703" s="70"/>
      <c r="AO703" s="46"/>
      <c r="AQ703" s="67"/>
      <c r="AT703" s="46"/>
      <c r="BC703" s="48"/>
      <c r="BF703" s="46"/>
      <c r="BL703" s="121"/>
      <c r="BM703" s="57"/>
      <c r="BN703" s="64"/>
      <c r="BO703" s="64"/>
      <c r="BP703" s="64"/>
      <c r="BQ703" s="64"/>
      <c r="BR703" s="57"/>
      <c r="BS703" s="64"/>
      <c r="BT703" s="64"/>
      <c r="BU703" s="64"/>
      <c r="BV703" s="46"/>
    </row>
    <row r="704" spans="2:74" x14ac:dyDescent="0.8">
      <c r="B704" s="46"/>
      <c r="C704" s="62"/>
      <c r="F704" s="70"/>
      <c r="G704" s="86"/>
      <c r="H704" s="70"/>
      <c r="I704" s="86"/>
      <c r="J704" s="71"/>
      <c r="K704" s="59"/>
      <c r="N704" s="58"/>
      <c r="O704" s="58"/>
      <c r="P704" s="58"/>
      <c r="Q704" s="59"/>
      <c r="R704" s="58"/>
      <c r="S704" s="58"/>
      <c r="T704" s="143"/>
      <c r="U704" s="144"/>
      <c r="V704" s="143"/>
      <c r="X704" s="135"/>
      <c r="Y704" s="136"/>
      <c r="AA704" s="136"/>
      <c r="AD704" s="143"/>
      <c r="AF704" s="71"/>
      <c r="AH704" s="71"/>
      <c r="AJ704" s="143"/>
      <c r="AL704" s="71"/>
      <c r="AN704" s="71"/>
      <c r="AP704" s="137"/>
      <c r="AQ704" s="67"/>
      <c r="AT704" s="46"/>
      <c r="BB704" s="46"/>
      <c r="BC704" s="48"/>
      <c r="BF704" s="46"/>
      <c r="BL704" s="121"/>
      <c r="BM704" s="57"/>
      <c r="BN704" s="64"/>
      <c r="BO704" s="64"/>
      <c r="BP704" s="64"/>
      <c r="BQ704" s="64"/>
      <c r="BR704" s="57"/>
      <c r="BS704" s="64"/>
      <c r="BT704" s="64"/>
      <c r="BU704" s="64"/>
      <c r="BV704" s="46"/>
    </row>
    <row r="705" spans="2:74" x14ac:dyDescent="0.8">
      <c r="B705" s="46"/>
      <c r="C705" s="62"/>
      <c r="F705" s="70"/>
      <c r="G705" s="86"/>
      <c r="H705" s="70"/>
      <c r="I705" s="86"/>
      <c r="J705" s="182"/>
      <c r="K705" s="300"/>
      <c r="R705" s="58"/>
      <c r="S705" s="58"/>
      <c r="X705" s="57"/>
      <c r="Y705" s="46"/>
      <c r="Z705" s="57"/>
      <c r="AA705" s="46"/>
      <c r="AM705" s="64"/>
      <c r="AO705" s="46"/>
      <c r="AQ705" s="67"/>
      <c r="AT705" s="46"/>
      <c r="BC705" s="48"/>
      <c r="BF705" s="46"/>
      <c r="BL705" s="121"/>
      <c r="BM705" s="57"/>
      <c r="BN705" s="64"/>
      <c r="BO705" s="64"/>
      <c r="BP705" s="64"/>
      <c r="BQ705" s="64"/>
      <c r="BR705" s="57"/>
      <c r="BS705" s="64"/>
      <c r="BT705" s="64"/>
      <c r="BU705" s="64"/>
      <c r="BV705" s="46"/>
    </row>
    <row r="706" spans="2:74" x14ac:dyDescent="0.8">
      <c r="B706" s="46"/>
      <c r="C706" s="62"/>
      <c r="F706" s="70"/>
      <c r="G706" s="86"/>
      <c r="H706" s="70"/>
      <c r="I706" s="86"/>
      <c r="J706" s="64"/>
      <c r="K706" s="64"/>
      <c r="L706" s="117"/>
      <c r="M706" s="118"/>
      <c r="R706" s="58"/>
      <c r="S706" s="58"/>
      <c r="T706" s="140"/>
      <c r="AQ706" s="67"/>
      <c r="AT706" s="46"/>
      <c r="AY706" s="57"/>
      <c r="AZ706" s="64"/>
      <c r="BA706" s="46"/>
      <c r="BB706" s="46"/>
      <c r="BC706" s="48"/>
      <c r="BF706" s="46"/>
      <c r="BL706" s="121"/>
      <c r="BM706" s="57"/>
      <c r="BN706" s="64"/>
      <c r="BO706" s="64"/>
      <c r="BP706" s="64"/>
      <c r="BQ706" s="64"/>
      <c r="BR706" s="57"/>
      <c r="BS706" s="64"/>
      <c r="BT706" s="64"/>
      <c r="BU706" s="64"/>
      <c r="BV706" s="46"/>
    </row>
    <row r="707" spans="2:74" x14ac:dyDescent="0.8">
      <c r="B707" s="46"/>
      <c r="C707" s="62"/>
      <c r="H707" s="70"/>
      <c r="I707" s="86"/>
      <c r="L707" s="117"/>
      <c r="M707" s="118"/>
      <c r="R707" s="58"/>
      <c r="S707" s="58"/>
      <c r="X707" s="58"/>
      <c r="AJ707" s="187"/>
      <c r="AQ707" s="67"/>
      <c r="AT707" s="46"/>
      <c r="AY707" s="57"/>
      <c r="AZ707" s="64"/>
      <c r="BA707" s="46"/>
      <c r="BB707" s="46"/>
      <c r="BC707" s="48"/>
      <c r="BF707" s="46"/>
      <c r="BL707" s="121"/>
      <c r="BM707" s="57"/>
      <c r="BN707" s="64"/>
      <c r="BO707" s="64"/>
      <c r="BP707" s="64"/>
      <c r="BQ707" s="64"/>
      <c r="BR707" s="57"/>
      <c r="BS707" s="64"/>
      <c r="BT707" s="64"/>
      <c r="BU707" s="64"/>
      <c r="BV707" s="46"/>
    </row>
    <row r="708" spans="2:74" x14ac:dyDescent="0.8">
      <c r="B708" s="46"/>
      <c r="C708" s="62"/>
      <c r="F708" s="70"/>
      <c r="G708" s="86"/>
      <c r="H708" s="70"/>
      <c r="I708" s="86"/>
      <c r="R708" s="58"/>
      <c r="S708" s="58"/>
      <c r="X708" s="64"/>
      <c r="Y708" s="46"/>
      <c r="Z708" s="57"/>
      <c r="AA708" s="46"/>
      <c r="AL708" s="69"/>
      <c r="AN708" s="70"/>
      <c r="AO708" s="46"/>
      <c r="AQ708" s="67"/>
      <c r="AT708" s="46"/>
      <c r="BC708" s="48"/>
      <c r="BF708" s="46"/>
      <c r="BL708" s="121"/>
      <c r="BM708" s="57"/>
      <c r="BN708" s="64"/>
      <c r="BO708" s="64"/>
      <c r="BP708" s="64"/>
      <c r="BQ708" s="64"/>
      <c r="BR708" s="57"/>
      <c r="BS708" s="64"/>
      <c r="BT708" s="64"/>
      <c r="BU708" s="64"/>
      <c r="BV708" s="46"/>
    </row>
    <row r="709" spans="2:74" x14ac:dyDescent="0.8">
      <c r="B709" s="46"/>
      <c r="C709" s="62"/>
      <c r="F709" s="70"/>
      <c r="G709" s="86"/>
      <c r="H709" s="70"/>
      <c r="I709" s="86"/>
      <c r="J709" s="182"/>
      <c r="K709" s="300"/>
      <c r="R709" s="58"/>
      <c r="S709" s="58"/>
      <c r="X709" s="57"/>
      <c r="Y709" s="46"/>
      <c r="Z709" s="57"/>
      <c r="AA709" s="46"/>
      <c r="AL709" s="68"/>
      <c r="AN709" s="70"/>
      <c r="AO709" s="46"/>
      <c r="AQ709" s="67"/>
      <c r="AT709" s="46"/>
      <c r="BC709" s="48"/>
      <c r="BF709" s="46"/>
      <c r="BL709" s="121"/>
      <c r="BM709" s="57"/>
      <c r="BN709" s="64"/>
      <c r="BO709" s="64"/>
      <c r="BP709" s="64"/>
      <c r="BQ709" s="64"/>
      <c r="BR709" s="57"/>
      <c r="BS709" s="64"/>
      <c r="BT709" s="64"/>
      <c r="BU709" s="64"/>
      <c r="BV709" s="46"/>
    </row>
    <row r="710" spans="2:74" x14ac:dyDescent="0.8">
      <c r="B710" s="46"/>
      <c r="C710" s="62"/>
      <c r="F710" s="70"/>
      <c r="G710" s="86"/>
      <c r="H710" s="70"/>
      <c r="I710" s="86"/>
      <c r="L710" s="117"/>
      <c r="M710" s="118"/>
      <c r="R710" s="58"/>
      <c r="S710" s="58"/>
      <c r="T710" s="140"/>
      <c r="X710" s="129"/>
      <c r="Y710" s="120"/>
      <c r="AL710" s="68"/>
      <c r="AQ710" s="67"/>
      <c r="AT710" s="46"/>
      <c r="AY710" s="57"/>
      <c r="AZ710" s="64"/>
      <c r="BA710" s="46"/>
      <c r="BB710" s="46"/>
      <c r="BC710" s="48"/>
      <c r="BF710" s="46"/>
      <c r="BL710" s="121"/>
      <c r="BM710" s="57"/>
      <c r="BN710" s="64"/>
      <c r="BO710" s="64"/>
      <c r="BP710" s="64"/>
      <c r="BQ710" s="64"/>
      <c r="BR710" s="57"/>
      <c r="BS710" s="64"/>
      <c r="BT710" s="64"/>
      <c r="BU710" s="64"/>
      <c r="BV710" s="46"/>
    </row>
    <row r="711" spans="2:74" x14ac:dyDescent="0.8">
      <c r="B711" s="46"/>
      <c r="C711" s="62"/>
      <c r="F711" s="70"/>
      <c r="G711" s="86"/>
      <c r="H711" s="70"/>
      <c r="I711" s="86"/>
      <c r="L711" s="117"/>
      <c r="M711" s="118"/>
      <c r="R711" s="58"/>
      <c r="S711" s="58"/>
      <c r="T711" s="140"/>
      <c r="X711" s="129"/>
      <c r="Y711" s="120"/>
      <c r="AL711" s="69"/>
      <c r="AN711" s="70"/>
      <c r="AQ711" s="67"/>
      <c r="AT711" s="46"/>
      <c r="AY711" s="57"/>
      <c r="AZ711" s="64"/>
      <c r="BA711" s="46"/>
      <c r="BB711" s="46"/>
      <c r="BC711" s="48"/>
      <c r="BF711" s="46"/>
      <c r="BL711" s="121"/>
      <c r="BM711" s="57"/>
      <c r="BN711" s="64"/>
      <c r="BO711" s="64"/>
      <c r="BP711" s="64"/>
      <c r="BQ711" s="64"/>
      <c r="BR711" s="57"/>
      <c r="BS711" s="64"/>
      <c r="BT711" s="64"/>
      <c r="BU711" s="64"/>
      <c r="BV711" s="46"/>
    </row>
    <row r="712" spans="2:74" x14ac:dyDescent="0.8">
      <c r="B712" s="46"/>
      <c r="C712" s="62"/>
      <c r="F712" s="70"/>
      <c r="G712" s="86"/>
      <c r="H712" s="70"/>
      <c r="I712" s="86"/>
      <c r="X712" s="57"/>
      <c r="Y712" s="46"/>
      <c r="Z712" s="57"/>
      <c r="AA712" s="46"/>
      <c r="AL712" s="69"/>
      <c r="AN712" s="70"/>
      <c r="AO712" s="46"/>
      <c r="AQ712" s="67"/>
      <c r="AT712" s="46"/>
      <c r="BC712" s="48"/>
      <c r="BF712" s="46"/>
      <c r="BL712" s="121"/>
      <c r="BM712" s="57"/>
      <c r="BN712" s="64"/>
      <c r="BO712" s="64"/>
      <c r="BP712" s="64"/>
      <c r="BQ712" s="64"/>
      <c r="BR712" s="57"/>
      <c r="BS712" s="64"/>
      <c r="BT712" s="64"/>
      <c r="BU712" s="64"/>
      <c r="BV712" s="46"/>
    </row>
    <row r="713" spans="2:74" x14ac:dyDescent="0.8">
      <c r="B713" s="46"/>
      <c r="C713" s="62"/>
      <c r="F713" s="70"/>
      <c r="G713" s="86"/>
      <c r="H713" s="70"/>
      <c r="I713" s="86"/>
      <c r="L713" s="117"/>
      <c r="M713" s="118"/>
      <c r="R713" s="58"/>
      <c r="S713" s="58"/>
      <c r="T713" s="140"/>
      <c r="X713" s="129"/>
      <c r="Y713" s="120"/>
      <c r="AL713" s="68"/>
      <c r="AQ713" s="67"/>
      <c r="AT713" s="46"/>
      <c r="AY713" s="57"/>
      <c r="AZ713" s="64"/>
      <c r="BA713" s="46"/>
      <c r="BB713" s="46"/>
      <c r="BC713" s="48"/>
      <c r="BF713" s="46"/>
      <c r="BL713" s="121"/>
      <c r="BM713" s="57"/>
      <c r="BN713" s="64"/>
      <c r="BO713" s="64"/>
      <c r="BP713" s="64"/>
      <c r="BQ713" s="64"/>
      <c r="BR713" s="57"/>
      <c r="BS713" s="64"/>
      <c r="BT713" s="64"/>
      <c r="BU713" s="64"/>
      <c r="BV713" s="46"/>
    </row>
    <row r="714" spans="2:74" x14ac:dyDescent="0.8">
      <c r="B714" s="46"/>
      <c r="C714" s="62"/>
      <c r="F714" s="70"/>
      <c r="G714" s="86"/>
      <c r="H714" s="70"/>
      <c r="I714" s="86"/>
      <c r="L714" s="117"/>
      <c r="M714" s="118"/>
      <c r="R714" s="58"/>
      <c r="S714" s="58"/>
      <c r="T714" s="140"/>
      <c r="X714" s="188"/>
      <c r="AL714" s="69"/>
      <c r="AN714" s="70"/>
      <c r="AQ714" s="67"/>
      <c r="AT714" s="46"/>
      <c r="AY714" s="57"/>
      <c r="AZ714" s="64"/>
      <c r="BA714" s="46"/>
      <c r="BB714" s="46"/>
      <c r="BC714" s="48"/>
      <c r="BF714" s="46"/>
      <c r="BL714" s="121"/>
      <c r="BM714" s="57"/>
      <c r="BN714" s="64"/>
      <c r="BO714" s="64"/>
      <c r="BP714" s="64"/>
      <c r="BQ714" s="64"/>
      <c r="BR714" s="57"/>
      <c r="BS714" s="64"/>
      <c r="BT714" s="64"/>
      <c r="BU714" s="64"/>
      <c r="BV714" s="46"/>
    </row>
    <row r="715" spans="2:74" x14ac:dyDescent="0.8">
      <c r="B715" s="46"/>
      <c r="C715" s="62"/>
      <c r="F715" s="70"/>
      <c r="G715" s="86"/>
      <c r="H715" s="70"/>
      <c r="I715" s="86"/>
      <c r="X715" s="57"/>
      <c r="Y715" s="46"/>
      <c r="Z715" s="57"/>
      <c r="AA715" s="46"/>
      <c r="AL715" s="69"/>
      <c r="AN715" s="70"/>
      <c r="AO715" s="46"/>
      <c r="AQ715" s="67"/>
      <c r="AT715" s="46"/>
      <c r="BB715" s="46"/>
      <c r="BC715" s="48"/>
      <c r="BF715" s="46"/>
      <c r="BL715" s="121"/>
      <c r="BM715" s="57"/>
      <c r="BN715" s="64"/>
      <c r="BO715" s="64"/>
      <c r="BP715" s="64"/>
      <c r="BQ715" s="64"/>
      <c r="BR715" s="57"/>
      <c r="BS715" s="64"/>
      <c r="BT715" s="64"/>
      <c r="BU715" s="64"/>
      <c r="BV715" s="46"/>
    </row>
    <row r="716" spans="2:74" x14ac:dyDescent="0.8">
      <c r="B716" s="46"/>
      <c r="C716" s="62"/>
      <c r="F716" s="70"/>
      <c r="G716" s="86"/>
      <c r="H716" s="70"/>
      <c r="I716" s="86"/>
      <c r="L716" s="117"/>
      <c r="M716" s="118"/>
      <c r="R716" s="58"/>
      <c r="S716" s="58"/>
      <c r="T716" s="140"/>
      <c r="X716" s="129"/>
      <c r="Y716" s="120"/>
      <c r="AL716" s="69"/>
      <c r="AN716" s="70"/>
      <c r="AQ716" s="67"/>
      <c r="AT716" s="46"/>
      <c r="AY716" s="57"/>
      <c r="AZ716" s="64"/>
      <c r="BA716" s="46"/>
      <c r="BB716" s="46"/>
      <c r="BC716" s="48"/>
      <c r="BF716" s="46"/>
      <c r="BL716" s="121"/>
      <c r="BM716" s="57"/>
      <c r="BN716" s="64"/>
      <c r="BO716" s="64"/>
      <c r="BP716" s="64"/>
      <c r="BQ716" s="64"/>
      <c r="BR716" s="57"/>
      <c r="BS716" s="64"/>
      <c r="BT716" s="64"/>
      <c r="BU716" s="64"/>
      <c r="BV716" s="46"/>
    </row>
    <row r="717" spans="2:74" x14ac:dyDescent="0.8">
      <c r="B717" s="46"/>
      <c r="C717" s="62"/>
      <c r="F717" s="70"/>
      <c r="G717" s="86"/>
      <c r="H717" s="70"/>
      <c r="I717" s="86"/>
      <c r="L717" s="117"/>
      <c r="M717" s="118"/>
      <c r="R717" s="58"/>
      <c r="S717" s="58"/>
      <c r="T717" s="140"/>
      <c r="X717" s="129"/>
      <c r="Y717" s="120"/>
      <c r="AL717" s="69"/>
      <c r="AN717" s="70"/>
      <c r="AQ717" s="67"/>
      <c r="AT717" s="46"/>
      <c r="AY717" s="57"/>
      <c r="AZ717" s="64"/>
      <c r="BA717" s="46"/>
      <c r="BB717" s="46"/>
      <c r="BC717" s="48"/>
      <c r="BF717" s="46"/>
      <c r="BL717" s="121"/>
      <c r="BM717" s="57"/>
      <c r="BN717" s="64"/>
      <c r="BO717" s="64"/>
      <c r="BP717" s="64"/>
      <c r="BQ717" s="64"/>
      <c r="BR717" s="57"/>
      <c r="BS717" s="64"/>
      <c r="BT717" s="64"/>
      <c r="BU717" s="64"/>
      <c r="BV717" s="46"/>
    </row>
    <row r="718" spans="2:74" x14ac:dyDescent="0.8">
      <c r="B718" s="46"/>
      <c r="C718" s="62"/>
      <c r="F718" s="70"/>
      <c r="G718" s="86"/>
      <c r="H718" s="70"/>
      <c r="I718" s="86"/>
      <c r="J718" s="71"/>
      <c r="K718" s="59"/>
      <c r="N718" s="58"/>
      <c r="O718" s="58"/>
      <c r="P718" s="58"/>
      <c r="Q718" s="59"/>
      <c r="R718" s="58"/>
      <c r="S718" s="58"/>
      <c r="T718" s="143"/>
      <c r="U718" s="144"/>
      <c r="V718" s="143"/>
      <c r="X718" s="135"/>
      <c r="Y718" s="136"/>
      <c r="AA718" s="136"/>
      <c r="AD718" s="143"/>
      <c r="AF718" s="71"/>
      <c r="AH718" s="71"/>
      <c r="AJ718" s="143"/>
      <c r="AL718" s="71"/>
      <c r="AN718" s="71"/>
      <c r="AP718" s="137"/>
      <c r="AQ718" s="67"/>
      <c r="AT718" s="46"/>
      <c r="BB718" s="46"/>
      <c r="BC718" s="48"/>
      <c r="BF718" s="46"/>
      <c r="BL718" s="121"/>
      <c r="BM718" s="57"/>
      <c r="BN718" s="64"/>
      <c r="BO718" s="64"/>
      <c r="BP718" s="64"/>
      <c r="BQ718" s="64"/>
      <c r="BR718" s="57"/>
      <c r="BS718" s="64"/>
      <c r="BT718" s="64"/>
      <c r="BU718" s="64"/>
      <c r="BV718" s="46"/>
    </row>
    <row r="719" spans="2:74" x14ac:dyDescent="0.8">
      <c r="B719" s="46"/>
      <c r="C719" s="62"/>
      <c r="F719" s="70"/>
      <c r="G719" s="86"/>
      <c r="H719" s="70"/>
      <c r="I719" s="86"/>
      <c r="L719" s="117"/>
      <c r="M719" s="118"/>
      <c r="R719" s="58"/>
      <c r="S719" s="58"/>
      <c r="AA719" s="46"/>
      <c r="AL719" s="71"/>
      <c r="AQ719" s="67"/>
      <c r="AT719" s="46"/>
      <c r="AY719" s="57"/>
      <c r="AZ719" s="64"/>
      <c r="BA719" s="46"/>
      <c r="BB719" s="46"/>
      <c r="BC719" s="48"/>
      <c r="BF719" s="46"/>
      <c r="BL719" s="121"/>
      <c r="BM719" s="57"/>
      <c r="BN719" s="64"/>
      <c r="BO719" s="64"/>
      <c r="BP719" s="64"/>
      <c r="BQ719" s="64"/>
      <c r="BR719" s="57"/>
      <c r="BS719" s="64"/>
      <c r="BT719" s="64"/>
      <c r="BU719" s="64"/>
      <c r="BV719" s="46"/>
    </row>
    <row r="720" spans="2:74" x14ac:dyDescent="0.8">
      <c r="B720" s="46"/>
      <c r="C720" s="62"/>
      <c r="F720" s="70"/>
      <c r="G720" s="86"/>
      <c r="H720" s="70"/>
      <c r="I720" s="86"/>
      <c r="R720" s="58"/>
      <c r="S720" s="58"/>
      <c r="T720" s="184"/>
      <c r="X720" s="57"/>
      <c r="Y720" s="46"/>
      <c r="Z720" s="57"/>
      <c r="AA720" s="46"/>
      <c r="AL720" s="68"/>
      <c r="AN720" s="70"/>
      <c r="AO720" s="46"/>
      <c r="AQ720" s="67"/>
      <c r="AT720" s="46"/>
      <c r="BC720" s="48"/>
      <c r="BF720" s="46"/>
      <c r="BL720" s="121"/>
      <c r="BM720" s="57"/>
      <c r="BN720" s="64"/>
      <c r="BO720" s="64"/>
      <c r="BP720" s="64"/>
      <c r="BQ720" s="64"/>
      <c r="BR720" s="57"/>
      <c r="BS720" s="64"/>
      <c r="BT720" s="64"/>
      <c r="BU720" s="64"/>
      <c r="BV720" s="46"/>
    </row>
    <row r="721" spans="2:74" x14ac:dyDescent="0.8">
      <c r="B721" s="46"/>
      <c r="C721" s="62"/>
      <c r="F721" s="70"/>
      <c r="G721" s="86"/>
      <c r="H721" s="70"/>
      <c r="I721" s="86"/>
      <c r="L721" s="117"/>
      <c r="M721" s="118"/>
      <c r="R721" s="58"/>
      <c r="S721" s="58"/>
      <c r="T721" s="140"/>
      <c r="X721" s="129"/>
      <c r="Y721" s="120"/>
      <c r="AL721" s="71"/>
      <c r="AQ721" s="67"/>
      <c r="AT721" s="46"/>
      <c r="AY721" s="57"/>
      <c r="AZ721" s="64"/>
      <c r="BA721" s="46"/>
      <c r="BB721" s="46"/>
      <c r="BC721" s="48"/>
      <c r="BF721" s="46"/>
      <c r="BL721" s="121"/>
      <c r="BM721" s="57"/>
      <c r="BN721" s="64"/>
      <c r="BO721" s="64"/>
      <c r="BP721" s="64"/>
      <c r="BQ721" s="64"/>
      <c r="BR721" s="57"/>
      <c r="BS721" s="64"/>
      <c r="BT721" s="64"/>
      <c r="BU721" s="64"/>
      <c r="BV721" s="46"/>
    </row>
    <row r="722" spans="2:74" x14ac:dyDescent="0.8">
      <c r="B722" s="46"/>
      <c r="C722" s="62"/>
      <c r="F722" s="70"/>
      <c r="G722" s="86"/>
      <c r="H722" s="70"/>
      <c r="I722" s="86"/>
      <c r="J722" s="64"/>
      <c r="K722" s="64"/>
      <c r="R722" s="58"/>
      <c r="S722" s="58"/>
      <c r="X722" s="57"/>
      <c r="Y722" s="46"/>
      <c r="Z722" s="57"/>
      <c r="AA722" s="46"/>
      <c r="AL722" s="68"/>
      <c r="AN722" s="70"/>
      <c r="AO722" s="46"/>
      <c r="AQ722" s="67"/>
      <c r="AT722" s="46"/>
      <c r="BC722" s="48"/>
      <c r="BF722" s="46"/>
      <c r="BL722" s="121"/>
      <c r="BM722" s="57"/>
      <c r="BN722" s="64"/>
      <c r="BO722" s="64"/>
      <c r="BP722" s="64"/>
      <c r="BQ722" s="64"/>
      <c r="BR722" s="57"/>
      <c r="BS722" s="64"/>
      <c r="BT722" s="64"/>
      <c r="BU722" s="64"/>
      <c r="BV722" s="46"/>
    </row>
    <row r="723" spans="2:74" x14ac:dyDescent="0.8">
      <c r="B723" s="46"/>
      <c r="C723" s="62"/>
      <c r="F723" s="70"/>
      <c r="G723" s="86"/>
      <c r="H723" s="70"/>
      <c r="I723" s="86"/>
      <c r="L723" s="117"/>
      <c r="M723" s="118"/>
      <c r="R723" s="58"/>
      <c r="S723" s="58"/>
      <c r="T723" s="140"/>
      <c r="X723" s="175"/>
      <c r="Y723" s="120"/>
      <c r="AL723" s="69"/>
      <c r="AN723" s="70"/>
      <c r="AQ723" s="67"/>
      <c r="AT723" s="46"/>
      <c r="AY723" s="57"/>
      <c r="AZ723" s="64"/>
      <c r="BA723" s="46"/>
      <c r="BB723" s="46"/>
      <c r="BC723" s="48"/>
      <c r="BF723" s="46"/>
      <c r="BL723" s="121"/>
      <c r="BM723" s="57"/>
      <c r="BN723" s="64"/>
      <c r="BO723" s="64"/>
      <c r="BP723" s="64"/>
      <c r="BQ723" s="64"/>
      <c r="BR723" s="57"/>
      <c r="BS723" s="64"/>
      <c r="BT723" s="64"/>
      <c r="BU723" s="64"/>
      <c r="BV723" s="46"/>
    </row>
    <row r="724" spans="2:74" x14ac:dyDescent="0.8">
      <c r="B724" s="46"/>
      <c r="C724" s="62"/>
      <c r="F724" s="70"/>
      <c r="G724" s="86"/>
      <c r="H724" s="70"/>
      <c r="I724" s="86"/>
      <c r="L724" s="117"/>
      <c r="M724" s="118"/>
      <c r="R724" s="58"/>
      <c r="S724" s="58"/>
      <c r="T724" s="140"/>
      <c r="X724" s="58"/>
      <c r="AQ724" s="67"/>
      <c r="AT724" s="46"/>
      <c r="AY724" s="57"/>
      <c r="AZ724" s="64"/>
      <c r="BA724" s="46"/>
      <c r="BB724" s="46"/>
      <c r="BC724" s="48"/>
      <c r="BF724" s="46"/>
      <c r="BL724" s="121"/>
      <c r="BM724" s="57"/>
      <c r="BN724" s="64"/>
      <c r="BO724" s="64"/>
      <c r="BP724" s="64"/>
      <c r="BQ724" s="64"/>
      <c r="BR724" s="57"/>
      <c r="BS724" s="64"/>
      <c r="BT724" s="64"/>
      <c r="BU724" s="64"/>
      <c r="BV724" s="46"/>
    </row>
    <row r="725" spans="2:74" x14ac:dyDescent="0.8">
      <c r="B725" s="46"/>
      <c r="C725" s="62"/>
      <c r="F725" s="70"/>
      <c r="G725" s="86"/>
      <c r="H725" s="70"/>
      <c r="I725" s="86"/>
      <c r="R725" s="58"/>
      <c r="S725" s="58"/>
      <c r="AQ725" s="67"/>
      <c r="AT725" s="46"/>
      <c r="AY725" s="57"/>
      <c r="AZ725" s="64"/>
      <c r="BA725" s="46"/>
      <c r="BB725" s="46"/>
      <c r="BC725" s="48"/>
      <c r="BF725" s="46"/>
      <c r="BL725" s="121"/>
      <c r="BM725" s="57"/>
      <c r="BN725" s="64"/>
      <c r="BO725" s="64"/>
      <c r="BP725" s="64"/>
      <c r="BQ725" s="64"/>
      <c r="BR725" s="57"/>
      <c r="BS725" s="64"/>
      <c r="BT725" s="64"/>
      <c r="BU725" s="64"/>
      <c r="BV725" s="46"/>
    </row>
    <row r="726" spans="2:74" x14ac:dyDescent="0.8">
      <c r="B726" s="46"/>
      <c r="C726" s="62"/>
      <c r="F726" s="83"/>
      <c r="G726" s="83"/>
      <c r="H726" s="83"/>
      <c r="I726" s="83"/>
      <c r="L726" s="117"/>
      <c r="M726" s="118"/>
      <c r="R726" s="58"/>
      <c r="S726" s="58"/>
      <c r="T726" s="140"/>
      <c r="X726" s="129"/>
      <c r="Y726" s="120"/>
      <c r="AL726" s="68"/>
      <c r="AQ726" s="67"/>
      <c r="AT726" s="46"/>
      <c r="AY726" s="57"/>
      <c r="AZ726" s="64"/>
      <c r="BA726" s="46"/>
      <c r="BB726" s="46"/>
      <c r="BC726" s="48"/>
      <c r="BF726" s="46"/>
      <c r="BL726" s="121"/>
      <c r="BM726" s="57"/>
      <c r="BN726" s="64"/>
      <c r="BO726" s="64"/>
      <c r="BP726" s="64"/>
      <c r="BQ726" s="64"/>
      <c r="BR726" s="57"/>
      <c r="BS726" s="64"/>
      <c r="BT726" s="64"/>
      <c r="BU726" s="64"/>
      <c r="BV726" s="46"/>
    </row>
    <row r="727" spans="2:74" x14ac:dyDescent="0.8">
      <c r="B727" s="46"/>
      <c r="C727" s="62"/>
      <c r="F727" s="70"/>
      <c r="G727" s="86"/>
      <c r="H727" s="70"/>
      <c r="I727" s="86"/>
      <c r="L727" s="117"/>
      <c r="M727" s="118"/>
      <c r="R727" s="58"/>
      <c r="S727" s="58"/>
      <c r="T727" s="140"/>
      <c r="X727" s="129"/>
      <c r="Y727" s="120"/>
      <c r="AL727" s="68"/>
      <c r="AQ727" s="67"/>
      <c r="AT727" s="46"/>
      <c r="AY727" s="57"/>
      <c r="AZ727" s="64"/>
      <c r="BA727" s="46"/>
      <c r="BB727" s="46"/>
      <c r="BC727" s="48"/>
      <c r="BF727" s="46"/>
      <c r="BL727" s="121"/>
      <c r="BM727" s="57"/>
      <c r="BN727" s="64"/>
      <c r="BO727" s="64"/>
      <c r="BP727" s="64"/>
      <c r="BQ727" s="64"/>
      <c r="BR727" s="57"/>
      <c r="BS727" s="64"/>
      <c r="BT727" s="64"/>
      <c r="BU727" s="64"/>
      <c r="BV727" s="46"/>
    </row>
    <row r="728" spans="2:74" x14ac:dyDescent="0.8">
      <c r="B728" s="46"/>
      <c r="C728" s="62"/>
      <c r="F728" s="70"/>
      <c r="G728" s="86"/>
      <c r="H728" s="70"/>
      <c r="I728" s="86"/>
      <c r="R728" s="58"/>
      <c r="S728" s="58"/>
      <c r="X728" s="57"/>
      <c r="Y728" s="46"/>
      <c r="Z728" s="57"/>
      <c r="AA728" s="46"/>
      <c r="AM728" s="64"/>
      <c r="AO728" s="46"/>
      <c r="AQ728" s="67"/>
      <c r="AT728" s="46"/>
      <c r="BC728" s="48"/>
      <c r="BF728" s="46"/>
      <c r="BL728" s="121"/>
      <c r="BM728" s="57"/>
      <c r="BN728" s="64"/>
      <c r="BO728" s="64"/>
      <c r="BP728" s="64"/>
      <c r="BQ728" s="64"/>
      <c r="BR728" s="57"/>
      <c r="BS728" s="64"/>
      <c r="BT728" s="64"/>
      <c r="BU728" s="64"/>
      <c r="BV728" s="46"/>
    </row>
    <row r="729" spans="2:74" x14ac:dyDescent="0.8">
      <c r="B729" s="46"/>
      <c r="C729" s="62"/>
      <c r="F729" s="70"/>
      <c r="G729" s="86"/>
      <c r="H729" s="70"/>
      <c r="I729" s="86"/>
      <c r="L729" s="117"/>
      <c r="M729" s="118"/>
      <c r="R729" s="58"/>
      <c r="S729" s="58"/>
      <c r="T729" s="140"/>
      <c r="V729" s="140"/>
      <c r="X729" s="135"/>
      <c r="Y729" s="139"/>
      <c r="AA729" s="136"/>
      <c r="AD729" s="140"/>
      <c r="AJ729" s="140"/>
      <c r="AL729" s="68"/>
      <c r="AQ729" s="67"/>
      <c r="AT729" s="46"/>
      <c r="AY729" s="57"/>
      <c r="AZ729" s="64"/>
      <c r="BA729" s="46"/>
      <c r="BB729" s="46"/>
      <c r="BC729" s="48"/>
      <c r="BF729" s="46"/>
      <c r="BL729" s="121"/>
      <c r="BM729" s="57"/>
      <c r="BN729" s="64"/>
      <c r="BO729" s="64"/>
      <c r="BP729" s="64"/>
      <c r="BQ729" s="64"/>
      <c r="BR729" s="57"/>
      <c r="BS729" s="64"/>
      <c r="BT729" s="64"/>
      <c r="BU729" s="64"/>
      <c r="BV729" s="46"/>
    </row>
    <row r="730" spans="2:74" x14ac:dyDescent="0.8">
      <c r="B730" s="46"/>
      <c r="C730" s="62"/>
      <c r="F730" s="70"/>
      <c r="G730" s="86"/>
      <c r="H730" s="70"/>
      <c r="I730" s="86"/>
      <c r="J730" s="71"/>
      <c r="K730" s="59"/>
      <c r="N730" s="58"/>
      <c r="O730" s="58"/>
      <c r="P730" s="58"/>
      <c r="Q730" s="59"/>
      <c r="R730" s="58"/>
      <c r="S730" s="58"/>
      <c r="T730" s="143"/>
      <c r="U730" s="144"/>
      <c r="V730" s="143"/>
      <c r="X730" s="135"/>
      <c r="Y730" s="136"/>
      <c r="AA730" s="136"/>
      <c r="AD730" s="143"/>
      <c r="AF730" s="71"/>
      <c r="AH730" s="71"/>
      <c r="AJ730" s="143"/>
      <c r="AL730" s="68"/>
      <c r="AN730" s="70"/>
      <c r="AP730" s="137"/>
      <c r="AQ730" s="67"/>
      <c r="AT730" s="46"/>
      <c r="BB730" s="46"/>
      <c r="BC730" s="48"/>
      <c r="BF730" s="46"/>
      <c r="BL730" s="121"/>
      <c r="BM730" s="57"/>
      <c r="BN730" s="64"/>
      <c r="BO730" s="64"/>
      <c r="BP730" s="64"/>
      <c r="BQ730" s="64"/>
      <c r="BR730" s="57"/>
      <c r="BS730" s="64"/>
      <c r="BT730" s="64"/>
      <c r="BU730" s="64"/>
      <c r="BV730" s="46"/>
    </row>
    <row r="731" spans="2:74" x14ac:dyDescent="0.8">
      <c r="B731" s="46"/>
      <c r="C731" s="62"/>
      <c r="F731" s="70"/>
      <c r="G731" s="86"/>
      <c r="H731" s="70"/>
      <c r="I731" s="86"/>
      <c r="L731" s="117"/>
      <c r="M731" s="118"/>
      <c r="R731" s="58"/>
      <c r="S731" s="58"/>
      <c r="T731" s="140"/>
      <c r="X731" s="129"/>
      <c r="Y731" s="120"/>
      <c r="AL731" s="68"/>
      <c r="AN731" s="70"/>
      <c r="AQ731" s="67"/>
      <c r="AT731" s="46"/>
      <c r="AY731" s="57"/>
      <c r="AZ731" s="64"/>
      <c r="BA731" s="46"/>
      <c r="BB731" s="46"/>
      <c r="BC731" s="48"/>
      <c r="BF731" s="46"/>
      <c r="BL731" s="121"/>
      <c r="BM731" s="57"/>
      <c r="BN731" s="64"/>
      <c r="BO731" s="64"/>
      <c r="BP731" s="64"/>
      <c r="BQ731" s="64"/>
      <c r="BR731" s="57"/>
      <c r="BS731" s="64"/>
      <c r="BT731" s="64"/>
      <c r="BU731" s="64"/>
      <c r="BV731" s="46"/>
    </row>
    <row r="732" spans="2:74" x14ac:dyDescent="0.8">
      <c r="B732" s="46"/>
      <c r="C732" s="62"/>
      <c r="F732" s="70"/>
      <c r="G732" s="86"/>
      <c r="H732" s="70"/>
      <c r="I732" s="86"/>
      <c r="R732" s="58"/>
      <c r="S732" s="58"/>
      <c r="AL732" s="68"/>
      <c r="AN732" s="70"/>
      <c r="AQ732" s="67"/>
      <c r="AT732" s="46"/>
      <c r="AY732" s="57"/>
      <c r="AZ732" s="64"/>
      <c r="BA732" s="46"/>
      <c r="BB732" s="46"/>
      <c r="BC732" s="48"/>
      <c r="BF732" s="46"/>
      <c r="BL732" s="121"/>
      <c r="BM732" s="57"/>
      <c r="BN732" s="64"/>
      <c r="BO732" s="64"/>
      <c r="BP732" s="64"/>
      <c r="BQ732" s="64"/>
      <c r="BR732" s="57"/>
      <c r="BS732" s="64"/>
      <c r="BT732" s="64"/>
      <c r="BU732" s="64"/>
      <c r="BV732" s="46"/>
    </row>
    <row r="733" spans="2:74" x14ac:dyDescent="0.8">
      <c r="B733" s="46"/>
      <c r="C733" s="62"/>
      <c r="F733" s="70"/>
      <c r="G733" s="86"/>
      <c r="H733" s="70"/>
      <c r="I733" s="86"/>
      <c r="L733" s="117"/>
      <c r="M733" s="118"/>
      <c r="R733" s="58"/>
      <c r="S733" s="58"/>
      <c r="T733" s="140"/>
      <c r="X733" s="129"/>
      <c r="Y733" s="120"/>
      <c r="AL733" s="68"/>
      <c r="AQ733" s="67"/>
      <c r="AT733" s="46"/>
      <c r="AY733" s="57"/>
      <c r="AZ733" s="64"/>
      <c r="BA733" s="46"/>
      <c r="BB733" s="46"/>
      <c r="BC733" s="48"/>
      <c r="BF733" s="46"/>
      <c r="BL733" s="121"/>
      <c r="BM733" s="57"/>
      <c r="BN733" s="64"/>
      <c r="BO733" s="64"/>
      <c r="BP733" s="64"/>
      <c r="BQ733" s="64"/>
      <c r="BR733" s="57"/>
      <c r="BS733" s="64"/>
      <c r="BT733" s="64"/>
      <c r="BU733" s="64"/>
      <c r="BV733" s="46"/>
    </row>
    <row r="734" spans="2:74" x14ac:dyDescent="0.8">
      <c r="B734" s="46"/>
      <c r="C734" s="62"/>
      <c r="F734" s="70"/>
      <c r="G734" s="86"/>
      <c r="H734" s="70"/>
      <c r="I734" s="86"/>
      <c r="L734" s="117"/>
      <c r="M734" s="118"/>
      <c r="R734" s="58"/>
      <c r="S734" s="58"/>
      <c r="AA734" s="46"/>
      <c r="AL734" s="68"/>
      <c r="AQ734" s="67"/>
      <c r="AT734" s="46"/>
      <c r="AY734" s="57"/>
      <c r="AZ734" s="64"/>
      <c r="BA734" s="46"/>
      <c r="BB734" s="46"/>
      <c r="BC734" s="48"/>
      <c r="BF734" s="46"/>
      <c r="BL734" s="121"/>
      <c r="BM734" s="57"/>
      <c r="BN734" s="64"/>
      <c r="BO734" s="64"/>
      <c r="BP734" s="64"/>
      <c r="BQ734" s="64"/>
      <c r="BR734" s="57"/>
      <c r="BS734" s="64"/>
      <c r="BT734" s="64"/>
      <c r="BU734" s="64"/>
      <c r="BV734" s="46"/>
    </row>
    <row r="735" spans="2:74" x14ac:dyDescent="0.8">
      <c r="B735" s="46"/>
      <c r="C735" s="62"/>
      <c r="F735" s="70"/>
      <c r="G735" s="86"/>
      <c r="H735" s="70"/>
      <c r="I735" s="86"/>
      <c r="L735" s="117"/>
      <c r="M735" s="118"/>
      <c r="R735" s="58"/>
      <c r="S735" s="58"/>
      <c r="T735" s="140"/>
      <c r="V735" s="140"/>
      <c r="X735" s="135"/>
      <c r="Y735" s="139"/>
      <c r="AA735" s="136"/>
      <c r="AD735" s="140"/>
      <c r="AJ735" s="140"/>
      <c r="AL735" s="68"/>
      <c r="AQ735" s="67"/>
      <c r="AT735" s="46"/>
      <c r="AY735" s="57"/>
      <c r="AZ735" s="64"/>
      <c r="BA735" s="46"/>
      <c r="BB735" s="46"/>
      <c r="BC735" s="48"/>
      <c r="BF735" s="46"/>
      <c r="BL735" s="121"/>
      <c r="BM735" s="57"/>
      <c r="BN735" s="64"/>
      <c r="BO735" s="64"/>
      <c r="BP735" s="64"/>
      <c r="BQ735" s="64"/>
      <c r="BR735" s="57"/>
      <c r="BS735" s="64"/>
      <c r="BT735" s="64"/>
      <c r="BU735" s="64"/>
      <c r="BV735" s="46"/>
    </row>
    <row r="736" spans="2:74" x14ac:dyDescent="0.8">
      <c r="B736" s="46"/>
      <c r="C736" s="62"/>
      <c r="F736" s="70"/>
      <c r="G736" s="86"/>
      <c r="H736" s="70"/>
      <c r="I736" s="86"/>
      <c r="L736" s="117"/>
      <c r="M736" s="118"/>
      <c r="R736" s="58"/>
      <c r="S736" s="58"/>
      <c r="T736" s="140"/>
      <c r="AQ736" s="67"/>
      <c r="AT736" s="46"/>
      <c r="AY736" s="57"/>
      <c r="AZ736" s="64"/>
      <c r="BA736" s="46"/>
      <c r="BB736" s="46"/>
      <c r="BC736" s="48"/>
      <c r="BF736" s="46"/>
      <c r="BL736" s="121"/>
      <c r="BM736" s="57"/>
      <c r="BN736" s="64"/>
      <c r="BO736" s="64"/>
      <c r="BP736" s="64"/>
      <c r="BQ736" s="64"/>
      <c r="BR736" s="57"/>
      <c r="BS736" s="64"/>
      <c r="BT736" s="64"/>
      <c r="BU736" s="64"/>
      <c r="BV736" s="46"/>
    </row>
    <row r="737" spans="2:74" x14ac:dyDescent="0.8">
      <c r="B737" s="46"/>
      <c r="C737" s="62"/>
      <c r="F737" s="70"/>
      <c r="G737" s="86"/>
      <c r="H737" s="70"/>
      <c r="I737" s="86"/>
      <c r="L737" s="117"/>
      <c r="M737" s="118"/>
      <c r="R737" s="58"/>
      <c r="S737" s="58"/>
      <c r="T737" s="140"/>
      <c r="X737" s="129"/>
      <c r="Y737" s="120"/>
      <c r="AL737" s="68"/>
      <c r="AN737" s="70"/>
      <c r="AQ737" s="67"/>
      <c r="AT737" s="46"/>
      <c r="AY737" s="57"/>
      <c r="AZ737" s="64"/>
      <c r="BA737" s="46"/>
      <c r="BB737" s="46"/>
      <c r="BC737" s="48"/>
      <c r="BF737" s="46"/>
      <c r="BL737" s="121"/>
      <c r="BM737" s="57"/>
      <c r="BN737" s="64"/>
      <c r="BO737" s="64"/>
      <c r="BP737" s="64"/>
      <c r="BQ737" s="64"/>
      <c r="BR737" s="57"/>
      <c r="BS737" s="64"/>
      <c r="BT737" s="64"/>
      <c r="BU737" s="64"/>
      <c r="BV737" s="46"/>
    </row>
    <row r="738" spans="2:74" x14ac:dyDescent="0.8">
      <c r="B738" s="46"/>
      <c r="C738" s="62"/>
      <c r="F738" s="70"/>
      <c r="G738" s="86"/>
      <c r="H738" s="70"/>
      <c r="I738" s="86"/>
      <c r="J738" s="58"/>
      <c r="K738" s="58"/>
      <c r="N738" s="58"/>
      <c r="O738" s="58"/>
      <c r="P738" s="58"/>
      <c r="Q738" s="59"/>
      <c r="R738" s="58"/>
      <c r="S738" s="58"/>
      <c r="T738" s="143"/>
      <c r="U738" s="144"/>
      <c r="V738" s="143"/>
      <c r="X738" s="135"/>
      <c r="Y738" s="136"/>
      <c r="AA738" s="136"/>
      <c r="AD738" s="143"/>
      <c r="AF738" s="71"/>
      <c r="AH738" s="71"/>
      <c r="AJ738" s="143"/>
      <c r="AL738" s="71"/>
      <c r="AN738" s="71"/>
      <c r="AP738" s="137"/>
      <c r="AQ738" s="67"/>
      <c r="AT738" s="46"/>
      <c r="BB738" s="46"/>
      <c r="BC738" s="48"/>
      <c r="BF738" s="46"/>
      <c r="BL738" s="121"/>
      <c r="BM738" s="57"/>
      <c r="BN738" s="64"/>
      <c r="BO738" s="64"/>
      <c r="BP738" s="64"/>
      <c r="BQ738" s="64"/>
      <c r="BR738" s="57"/>
      <c r="BS738" s="64"/>
      <c r="BT738" s="64"/>
      <c r="BU738" s="64"/>
      <c r="BV738" s="46"/>
    </row>
    <row r="739" spans="2:74" x14ac:dyDescent="0.8">
      <c r="B739" s="46"/>
      <c r="C739" s="62"/>
      <c r="F739" s="70"/>
      <c r="G739" s="86"/>
      <c r="H739" s="70"/>
      <c r="I739" s="86"/>
      <c r="R739" s="58"/>
      <c r="S739" s="58"/>
      <c r="T739" s="184"/>
      <c r="X739" s="64"/>
      <c r="Y739" s="46"/>
      <c r="Z739" s="57"/>
      <c r="AA739" s="46"/>
      <c r="AM739" s="64"/>
      <c r="AO739" s="46"/>
      <c r="AQ739" s="67"/>
      <c r="AT739" s="46"/>
      <c r="BC739" s="48"/>
      <c r="BF739" s="46"/>
      <c r="BL739" s="121"/>
      <c r="BM739" s="57"/>
      <c r="BN739" s="64"/>
      <c r="BO739" s="64"/>
      <c r="BP739" s="64"/>
      <c r="BQ739" s="64"/>
      <c r="BR739" s="57"/>
      <c r="BS739" s="64"/>
      <c r="BT739" s="64"/>
      <c r="BU739" s="64"/>
      <c r="BV739" s="46"/>
    </row>
    <row r="740" spans="2:74" x14ac:dyDescent="0.8">
      <c r="B740" s="46"/>
      <c r="C740" s="62"/>
      <c r="F740" s="70"/>
      <c r="G740" s="86"/>
      <c r="H740" s="70"/>
      <c r="I740" s="86"/>
      <c r="J740" s="182"/>
      <c r="K740" s="300"/>
      <c r="R740" s="58"/>
      <c r="S740" s="58"/>
      <c r="X740" s="64"/>
      <c r="Y740" s="46"/>
      <c r="Z740" s="57"/>
      <c r="AA740" s="46"/>
      <c r="AL740" s="68"/>
      <c r="AN740" s="70"/>
      <c r="AO740" s="46"/>
      <c r="AQ740" s="67"/>
      <c r="AT740" s="46"/>
      <c r="BC740" s="48"/>
      <c r="BF740" s="46"/>
      <c r="BL740" s="121"/>
      <c r="BM740" s="57"/>
      <c r="BN740" s="64"/>
      <c r="BO740" s="64"/>
      <c r="BP740" s="64"/>
      <c r="BQ740" s="64"/>
      <c r="BR740" s="57"/>
      <c r="BS740" s="64"/>
      <c r="BT740" s="64"/>
      <c r="BU740" s="64"/>
      <c r="BV740" s="46"/>
    </row>
    <row r="741" spans="2:74" x14ac:dyDescent="0.8">
      <c r="B741" s="46"/>
      <c r="C741" s="62"/>
      <c r="F741" s="70"/>
      <c r="G741" s="86"/>
      <c r="H741" s="70"/>
      <c r="I741" s="86"/>
      <c r="J741" s="71"/>
      <c r="K741" s="59"/>
      <c r="N741" s="58"/>
      <c r="O741" s="58"/>
      <c r="P741" s="58"/>
      <c r="Q741" s="59"/>
      <c r="R741" s="58"/>
      <c r="S741" s="58"/>
      <c r="T741" s="143"/>
      <c r="U741" s="144"/>
      <c r="V741" s="143"/>
      <c r="X741" s="176"/>
      <c r="Y741" s="136"/>
      <c r="AA741" s="136"/>
      <c r="AD741" s="143"/>
      <c r="AF741" s="71"/>
      <c r="AH741" s="71"/>
      <c r="AJ741" s="143"/>
      <c r="AL741" s="71"/>
      <c r="AN741" s="71"/>
      <c r="AP741" s="137"/>
      <c r="AQ741" s="67"/>
      <c r="AT741" s="46"/>
      <c r="AY741" s="57"/>
      <c r="AZ741" s="64"/>
      <c r="BA741" s="46"/>
      <c r="BB741" s="46"/>
      <c r="BC741" s="48"/>
      <c r="BF741" s="46"/>
      <c r="BL741" s="121"/>
      <c r="BM741" s="57"/>
      <c r="BN741" s="64"/>
      <c r="BO741" s="64"/>
      <c r="BP741" s="64"/>
      <c r="BQ741" s="64"/>
      <c r="BR741" s="57"/>
      <c r="BS741" s="64"/>
      <c r="BT741" s="64"/>
      <c r="BU741" s="64"/>
      <c r="BV741" s="46"/>
    </row>
    <row r="742" spans="2:74" x14ac:dyDescent="0.8">
      <c r="B742" s="46"/>
      <c r="C742" s="62"/>
      <c r="F742" s="70"/>
      <c r="G742" s="86"/>
      <c r="H742" s="70"/>
      <c r="I742" s="86"/>
      <c r="R742" s="58"/>
      <c r="S742" s="58"/>
      <c r="AL742" s="69"/>
      <c r="AN742" s="70"/>
      <c r="AQ742" s="67"/>
      <c r="AT742" s="46"/>
      <c r="AY742" s="57"/>
      <c r="AZ742" s="64"/>
      <c r="BA742" s="46"/>
      <c r="BB742" s="46"/>
      <c r="BC742" s="48"/>
      <c r="BF742" s="46"/>
      <c r="BL742" s="121"/>
      <c r="BM742" s="57"/>
      <c r="BN742" s="64"/>
      <c r="BO742" s="64"/>
      <c r="BP742" s="64"/>
      <c r="BQ742" s="64"/>
      <c r="BR742" s="57"/>
      <c r="BS742" s="64"/>
      <c r="BT742" s="64"/>
      <c r="BU742" s="64"/>
      <c r="BV742" s="46"/>
    </row>
    <row r="743" spans="2:74" x14ac:dyDescent="0.8">
      <c r="B743" s="46"/>
      <c r="C743" s="62"/>
      <c r="F743" s="70"/>
      <c r="G743" s="86"/>
      <c r="H743" s="70"/>
      <c r="I743" s="86"/>
      <c r="L743" s="117"/>
      <c r="M743" s="118"/>
      <c r="R743" s="58"/>
      <c r="S743" s="58"/>
      <c r="T743" s="140"/>
      <c r="X743" s="129"/>
      <c r="Y743" s="120"/>
      <c r="AL743" s="69"/>
      <c r="AN743" s="70"/>
      <c r="AQ743" s="67"/>
      <c r="AT743" s="46"/>
      <c r="AY743" s="57"/>
      <c r="AZ743" s="64"/>
      <c r="BA743" s="46"/>
      <c r="BB743" s="46"/>
      <c r="BC743" s="48"/>
      <c r="BF743" s="46"/>
      <c r="BL743" s="121"/>
      <c r="BM743" s="57"/>
      <c r="BN743" s="64"/>
      <c r="BO743" s="64"/>
      <c r="BP743" s="64"/>
      <c r="BQ743" s="64"/>
      <c r="BR743" s="57"/>
      <c r="BS743" s="64"/>
      <c r="BT743" s="64"/>
      <c r="BU743" s="64"/>
      <c r="BV743" s="46"/>
    </row>
    <row r="744" spans="2:74" x14ac:dyDescent="0.8">
      <c r="B744" s="46"/>
      <c r="C744" s="62"/>
      <c r="F744" s="70"/>
      <c r="G744" s="86"/>
      <c r="H744" s="70"/>
      <c r="I744" s="86"/>
      <c r="R744" s="58"/>
      <c r="S744" s="58"/>
      <c r="X744" s="57"/>
      <c r="Y744" s="46"/>
      <c r="Z744" s="57"/>
      <c r="AA744" s="46"/>
      <c r="AM744" s="64"/>
      <c r="AO744" s="46"/>
      <c r="AQ744" s="67"/>
      <c r="AT744" s="46"/>
      <c r="BC744" s="48"/>
      <c r="BF744" s="46"/>
      <c r="BL744" s="121"/>
      <c r="BM744" s="57"/>
      <c r="BN744" s="64"/>
      <c r="BO744" s="64"/>
      <c r="BP744" s="64"/>
      <c r="BQ744" s="64"/>
      <c r="BR744" s="57"/>
      <c r="BS744" s="64"/>
      <c r="BT744" s="64"/>
      <c r="BU744" s="64"/>
      <c r="BV744" s="46"/>
    </row>
    <row r="745" spans="2:74" x14ac:dyDescent="0.8">
      <c r="B745" s="46"/>
      <c r="C745" s="62"/>
      <c r="F745" s="70"/>
      <c r="G745" s="86"/>
      <c r="H745" s="70"/>
      <c r="I745" s="86"/>
      <c r="L745" s="117"/>
      <c r="M745" s="118"/>
      <c r="R745" s="58"/>
      <c r="S745" s="58"/>
      <c r="Y745" s="46"/>
      <c r="AL745" s="69"/>
      <c r="AN745" s="70"/>
      <c r="AQ745" s="67"/>
      <c r="AT745" s="46"/>
      <c r="AY745" s="57"/>
      <c r="AZ745" s="64"/>
      <c r="BA745" s="46"/>
      <c r="BB745" s="46"/>
      <c r="BC745" s="48"/>
      <c r="BF745" s="46"/>
      <c r="BL745" s="121"/>
      <c r="BM745" s="57"/>
      <c r="BN745" s="64"/>
      <c r="BO745" s="64"/>
      <c r="BP745" s="64"/>
      <c r="BQ745" s="64"/>
      <c r="BR745" s="57"/>
      <c r="BS745" s="64"/>
      <c r="BT745" s="64"/>
      <c r="BU745" s="64"/>
      <c r="BV745" s="46"/>
    </row>
    <row r="746" spans="2:74" x14ac:dyDescent="0.8">
      <c r="B746" s="46"/>
      <c r="C746" s="62"/>
      <c r="F746" s="70"/>
      <c r="G746" s="86"/>
      <c r="H746" s="70"/>
      <c r="I746" s="86"/>
      <c r="R746" s="58"/>
      <c r="S746" s="58"/>
      <c r="X746" s="57"/>
      <c r="Y746" s="46"/>
      <c r="Z746" s="57"/>
      <c r="AA746" s="46"/>
      <c r="AL746" s="68"/>
      <c r="AN746" s="70"/>
      <c r="AO746" s="46"/>
      <c r="AQ746" s="67"/>
      <c r="AT746" s="46"/>
      <c r="BC746" s="48"/>
      <c r="BF746" s="46"/>
      <c r="BL746" s="121"/>
      <c r="BM746" s="57"/>
      <c r="BN746" s="64"/>
      <c r="BO746" s="64"/>
      <c r="BP746" s="64"/>
      <c r="BQ746" s="64"/>
      <c r="BR746" s="57"/>
      <c r="BS746" s="64"/>
      <c r="BT746" s="64"/>
      <c r="BU746" s="64"/>
      <c r="BV746" s="46"/>
    </row>
    <row r="747" spans="2:74" x14ac:dyDescent="0.8">
      <c r="B747" s="46"/>
      <c r="C747" s="62"/>
      <c r="F747" s="70"/>
      <c r="G747" s="86"/>
      <c r="H747" s="70"/>
      <c r="I747" s="86"/>
      <c r="L747" s="117"/>
      <c r="M747" s="118"/>
      <c r="R747" s="58"/>
      <c r="S747" s="58"/>
      <c r="AA747" s="46"/>
      <c r="AQ747" s="67"/>
      <c r="AT747" s="46"/>
      <c r="AY747" s="57"/>
      <c r="AZ747" s="64"/>
      <c r="BA747" s="46"/>
      <c r="BB747" s="46"/>
      <c r="BC747" s="48"/>
      <c r="BF747" s="46"/>
      <c r="BL747" s="121"/>
      <c r="BM747" s="57"/>
      <c r="BN747" s="64"/>
      <c r="BO747" s="64"/>
      <c r="BP747" s="64"/>
      <c r="BQ747" s="64"/>
      <c r="BR747" s="57"/>
      <c r="BS747" s="64"/>
      <c r="BT747" s="64"/>
      <c r="BU747" s="64"/>
      <c r="BV747" s="46"/>
    </row>
    <row r="748" spans="2:74" x14ac:dyDescent="0.8">
      <c r="B748" s="46"/>
      <c r="C748" s="62"/>
      <c r="F748" s="70"/>
      <c r="G748" s="86"/>
      <c r="H748" s="70"/>
      <c r="I748" s="86"/>
      <c r="J748" s="182"/>
      <c r="K748" s="300"/>
      <c r="R748" s="58"/>
      <c r="S748" s="58"/>
      <c r="X748" s="57"/>
      <c r="Y748" s="46"/>
      <c r="Z748" s="57"/>
      <c r="AA748" s="46"/>
      <c r="AL748" s="68"/>
      <c r="AN748" s="70"/>
      <c r="AO748" s="46"/>
      <c r="AQ748" s="67"/>
      <c r="AT748" s="46"/>
      <c r="BC748" s="48"/>
      <c r="BF748" s="46"/>
      <c r="BL748" s="121"/>
      <c r="BM748" s="57"/>
      <c r="BN748" s="64"/>
      <c r="BO748" s="64"/>
      <c r="BP748" s="64"/>
      <c r="BQ748" s="64"/>
      <c r="BR748" s="57"/>
      <c r="BS748" s="64"/>
      <c r="BT748" s="64"/>
      <c r="BU748" s="64"/>
      <c r="BV748" s="46"/>
    </row>
    <row r="749" spans="2:74" x14ac:dyDescent="0.8">
      <c r="B749" s="46"/>
      <c r="C749" s="62"/>
      <c r="F749" s="70"/>
      <c r="G749" s="86"/>
      <c r="H749" s="70"/>
      <c r="I749" s="86"/>
      <c r="R749" s="58"/>
      <c r="S749" s="58"/>
      <c r="X749" s="57"/>
      <c r="Y749" s="46"/>
      <c r="Z749" s="57"/>
      <c r="AA749" s="46"/>
      <c r="AL749" s="68"/>
      <c r="AN749" s="70"/>
      <c r="AO749" s="46"/>
      <c r="AQ749" s="67"/>
      <c r="AT749" s="46"/>
      <c r="BC749" s="48"/>
      <c r="BF749" s="46"/>
      <c r="BL749" s="121"/>
      <c r="BM749" s="57"/>
      <c r="BN749" s="64"/>
      <c r="BO749" s="64"/>
      <c r="BP749" s="64"/>
      <c r="BQ749" s="64"/>
      <c r="BR749" s="57"/>
      <c r="BS749" s="64"/>
      <c r="BT749" s="64"/>
      <c r="BU749" s="64"/>
      <c r="BV749" s="46"/>
    </row>
    <row r="750" spans="2:74" x14ac:dyDescent="0.8">
      <c r="B750" s="46"/>
      <c r="C750" s="62"/>
      <c r="F750" s="70"/>
      <c r="G750" s="86"/>
      <c r="H750" s="70"/>
      <c r="I750" s="86"/>
      <c r="R750" s="58"/>
      <c r="S750" s="58"/>
      <c r="X750" s="57"/>
      <c r="Y750" s="46"/>
      <c r="Z750" s="57"/>
      <c r="AA750" s="46"/>
      <c r="AM750" s="64"/>
      <c r="AO750" s="46"/>
      <c r="AQ750" s="67"/>
      <c r="AT750" s="46"/>
      <c r="BC750" s="48"/>
      <c r="BF750" s="46"/>
      <c r="BL750" s="121"/>
      <c r="BM750" s="57"/>
      <c r="BN750" s="64"/>
      <c r="BO750" s="64"/>
      <c r="BP750" s="64"/>
      <c r="BQ750" s="64"/>
      <c r="BR750" s="57"/>
      <c r="BS750" s="64"/>
      <c r="BT750" s="64"/>
      <c r="BU750" s="64"/>
      <c r="BV750" s="46"/>
    </row>
    <row r="751" spans="2:74" x14ac:dyDescent="0.8">
      <c r="B751" s="46"/>
      <c r="C751" s="62"/>
      <c r="F751" s="70"/>
      <c r="G751" s="86"/>
      <c r="H751" s="70"/>
      <c r="I751" s="86"/>
      <c r="L751" s="117"/>
      <c r="M751" s="118"/>
      <c r="R751" s="58"/>
      <c r="S751" s="58"/>
      <c r="T751" s="140"/>
      <c r="X751" s="129"/>
      <c r="Y751" s="120"/>
      <c r="AL751" s="68"/>
      <c r="AN751" s="70"/>
      <c r="AQ751" s="67"/>
      <c r="AT751" s="46"/>
      <c r="AY751" s="57"/>
      <c r="AZ751" s="64"/>
      <c r="BA751" s="46"/>
      <c r="BB751" s="46"/>
      <c r="BC751" s="48"/>
      <c r="BF751" s="46"/>
      <c r="BL751" s="121"/>
      <c r="BM751" s="57"/>
      <c r="BN751" s="64"/>
      <c r="BO751" s="64"/>
      <c r="BP751" s="64"/>
      <c r="BQ751" s="64"/>
      <c r="BR751" s="57"/>
      <c r="BS751" s="64"/>
      <c r="BT751" s="64"/>
      <c r="BU751" s="64"/>
      <c r="BV751" s="46"/>
    </row>
    <row r="752" spans="2:74" x14ac:dyDescent="0.8">
      <c r="B752" s="46"/>
      <c r="C752" s="62"/>
      <c r="F752" s="70"/>
      <c r="G752" s="86"/>
      <c r="H752" s="70"/>
      <c r="I752" s="86"/>
      <c r="R752" s="58"/>
      <c r="S752" s="58"/>
      <c r="AL752" s="68"/>
      <c r="AN752" s="70"/>
      <c r="AQ752" s="67"/>
      <c r="AT752" s="46"/>
      <c r="AY752" s="57"/>
      <c r="AZ752" s="64"/>
      <c r="BA752" s="46"/>
      <c r="BB752" s="46"/>
      <c r="BC752" s="48"/>
      <c r="BF752" s="46"/>
      <c r="BL752" s="121"/>
      <c r="BM752" s="57"/>
      <c r="BN752" s="64"/>
      <c r="BO752" s="64"/>
      <c r="BP752" s="64"/>
      <c r="BQ752" s="64"/>
      <c r="BR752" s="57"/>
      <c r="BS752" s="64"/>
      <c r="BT752" s="64"/>
      <c r="BU752" s="64"/>
      <c r="BV752" s="46"/>
    </row>
    <row r="753" spans="2:74" x14ac:dyDescent="0.8">
      <c r="B753" s="46"/>
      <c r="C753" s="62"/>
      <c r="F753" s="70"/>
      <c r="G753" s="86"/>
      <c r="H753" s="70"/>
      <c r="I753" s="86"/>
      <c r="J753" s="71"/>
      <c r="K753" s="59"/>
      <c r="N753" s="58"/>
      <c r="O753" s="58"/>
      <c r="P753" s="58"/>
      <c r="Q753" s="59"/>
      <c r="R753" s="58"/>
      <c r="S753" s="58"/>
      <c r="T753" s="143"/>
      <c r="U753" s="144"/>
      <c r="V753" s="143"/>
      <c r="X753" s="135"/>
      <c r="Y753" s="136"/>
      <c r="AA753" s="136"/>
      <c r="AD753" s="143"/>
      <c r="AF753" s="71"/>
      <c r="AH753" s="71"/>
      <c r="AJ753" s="143"/>
      <c r="AL753" s="71"/>
      <c r="AN753" s="71"/>
      <c r="AP753" s="137"/>
      <c r="AQ753" s="67"/>
      <c r="AT753" s="46"/>
      <c r="AY753" s="57"/>
      <c r="AZ753" s="64"/>
      <c r="BA753" s="46"/>
      <c r="BB753" s="46"/>
      <c r="BC753" s="48"/>
      <c r="BF753" s="46"/>
      <c r="BL753" s="121"/>
      <c r="BM753" s="57"/>
      <c r="BN753" s="64"/>
      <c r="BO753" s="64"/>
      <c r="BP753" s="64"/>
      <c r="BQ753" s="64"/>
      <c r="BR753" s="57"/>
      <c r="BS753" s="64"/>
      <c r="BT753" s="64"/>
      <c r="BU753" s="64"/>
      <c r="BV753" s="46"/>
    </row>
    <row r="754" spans="2:74" x14ac:dyDescent="0.8">
      <c r="B754" s="46"/>
      <c r="C754" s="62"/>
      <c r="F754" s="70"/>
      <c r="G754" s="86"/>
      <c r="H754" s="70"/>
      <c r="I754" s="86"/>
      <c r="J754" s="64"/>
      <c r="K754" s="64"/>
      <c r="R754" s="58"/>
      <c r="S754" s="58"/>
      <c r="X754" s="57"/>
      <c r="Y754" s="46"/>
      <c r="Z754" s="57"/>
      <c r="AA754" s="46"/>
      <c r="AL754" s="68"/>
      <c r="AN754" s="70"/>
      <c r="AO754" s="46"/>
      <c r="AQ754" s="67"/>
      <c r="AT754" s="46"/>
      <c r="BC754" s="48"/>
      <c r="BF754" s="46"/>
      <c r="BL754" s="121"/>
      <c r="BM754" s="57"/>
      <c r="BN754" s="64"/>
      <c r="BO754" s="64"/>
      <c r="BP754" s="64"/>
      <c r="BQ754" s="64"/>
      <c r="BR754" s="57"/>
      <c r="BS754" s="64"/>
      <c r="BT754" s="64"/>
      <c r="BU754" s="64"/>
      <c r="BV754" s="46"/>
    </row>
    <row r="755" spans="2:74" x14ac:dyDescent="0.8">
      <c r="B755" s="46"/>
      <c r="C755" s="62"/>
      <c r="F755" s="70"/>
      <c r="G755" s="86"/>
      <c r="H755" s="70"/>
      <c r="I755" s="86"/>
      <c r="L755" s="117"/>
      <c r="M755" s="118"/>
      <c r="R755" s="58"/>
      <c r="S755" s="58"/>
      <c r="X755" s="189"/>
      <c r="Y755" s="120"/>
      <c r="AL755" s="69"/>
      <c r="AN755" s="70"/>
      <c r="AQ755" s="67"/>
      <c r="AT755" s="46"/>
      <c r="AY755" s="57"/>
      <c r="AZ755" s="64"/>
      <c r="BA755" s="46"/>
      <c r="BB755" s="46"/>
      <c r="BC755" s="48"/>
      <c r="BF755" s="46"/>
      <c r="BL755" s="121"/>
      <c r="BM755" s="57"/>
      <c r="BN755" s="64"/>
      <c r="BO755" s="64"/>
      <c r="BP755" s="64"/>
      <c r="BQ755" s="64"/>
      <c r="BR755" s="57"/>
      <c r="BS755" s="64"/>
      <c r="BT755" s="64"/>
      <c r="BU755" s="64"/>
      <c r="BV755" s="46"/>
    </row>
    <row r="756" spans="2:74" x14ac:dyDescent="0.8">
      <c r="B756" s="46"/>
      <c r="C756" s="62"/>
      <c r="F756" s="70"/>
      <c r="G756" s="86"/>
      <c r="H756" s="70"/>
      <c r="I756" s="86"/>
      <c r="R756" s="58"/>
      <c r="S756" s="58"/>
      <c r="T756" s="184"/>
      <c r="X756" s="64"/>
      <c r="Y756" s="46"/>
      <c r="Z756" s="57"/>
      <c r="AA756" s="46"/>
      <c r="AL756" s="68"/>
      <c r="AN756" s="70"/>
      <c r="AO756" s="46"/>
      <c r="AQ756" s="67"/>
      <c r="AT756" s="46"/>
      <c r="BC756" s="48"/>
      <c r="BF756" s="46"/>
      <c r="BL756" s="121"/>
      <c r="BM756" s="57"/>
      <c r="BN756" s="64"/>
      <c r="BO756" s="64"/>
      <c r="BP756" s="64"/>
      <c r="BQ756" s="64"/>
      <c r="BR756" s="57"/>
      <c r="BS756" s="64"/>
      <c r="BT756" s="64"/>
      <c r="BU756" s="64"/>
      <c r="BV756" s="46"/>
    </row>
    <row r="757" spans="2:74" x14ac:dyDescent="0.8">
      <c r="B757" s="46"/>
      <c r="C757" s="62"/>
      <c r="F757" s="70"/>
      <c r="G757" s="86"/>
      <c r="H757" s="70"/>
      <c r="I757" s="86"/>
      <c r="L757" s="117"/>
      <c r="M757" s="118"/>
      <c r="R757" s="58"/>
      <c r="S757" s="58"/>
      <c r="T757" s="140"/>
      <c r="X757" s="129"/>
      <c r="Y757" s="120"/>
      <c r="AL757" s="68"/>
      <c r="AQ757" s="67"/>
      <c r="AT757" s="46"/>
      <c r="AY757" s="57"/>
      <c r="AZ757" s="64"/>
      <c r="BA757" s="46"/>
      <c r="BB757" s="46"/>
      <c r="BC757" s="48"/>
      <c r="BF757" s="46"/>
      <c r="BL757" s="121"/>
      <c r="BM757" s="57"/>
      <c r="BN757" s="64"/>
      <c r="BO757" s="64"/>
      <c r="BP757" s="64"/>
      <c r="BQ757" s="64"/>
      <c r="BR757" s="57"/>
      <c r="BS757" s="64"/>
      <c r="BT757" s="64"/>
      <c r="BU757" s="64"/>
      <c r="BV757" s="46"/>
    </row>
    <row r="758" spans="2:74" x14ac:dyDescent="0.8">
      <c r="B758" s="46"/>
      <c r="C758" s="62"/>
      <c r="F758" s="70"/>
      <c r="G758" s="86"/>
      <c r="H758" s="70"/>
      <c r="I758" s="86"/>
      <c r="L758" s="117"/>
      <c r="M758" s="118"/>
      <c r="R758" s="58"/>
      <c r="S758" s="58"/>
      <c r="T758" s="140"/>
      <c r="V758" s="140"/>
      <c r="X758" s="135"/>
      <c r="Y758" s="139"/>
      <c r="AA758" s="136"/>
      <c r="AD758" s="140"/>
      <c r="AJ758" s="140"/>
      <c r="AL758" s="68"/>
      <c r="AQ758" s="67"/>
      <c r="AT758" s="46"/>
      <c r="AY758" s="57"/>
      <c r="AZ758" s="64"/>
      <c r="BA758" s="46"/>
      <c r="BB758" s="46"/>
      <c r="BC758" s="48"/>
      <c r="BF758" s="46"/>
      <c r="BL758" s="121"/>
      <c r="BM758" s="57"/>
      <c r="BN758" s="64"/>
      <c r="BO758" s="64"/>
      <c r="BP758" s="64"/>
      <c r="BQ758" s="64"/>
      <c r="BR758" s="57"/>
      <c r="BS758" s="64"/>
      <c r="BT758" s="64"/>
      <c r="BU758" s="64"/>
      <c r="BV758" s="46"/>
    </row>
    <row r="759" spans="2:74" x14ac:dyDescent="0.8">
      <c r="B759" s="46"/>
      <c r="C759" s="62"/>
      <c r="F759" s="70"/>
      <c r="G759" s="86"/>
      <c r="H759" s="70"/>
      <c r="I759" s="86"/>
      <c r="J759" s="182"/>
      <c r="K759" s="300"/>
      <c r="R759" s="58"/>
      <c r="S759" s="58"/>
      <c r="X759" s="57"/>
      <c r="Y759" s="46"/>
      <c r="Z759" s="57"/>
      <c r="AA759" s="46"/>
      <c r="AL759" s="69"/>
      <c r="AN759" s="70"/>
      <c r="AO759" s="46"/>
      <c r="AQ759" s="67"/>
      <c r="AT759" s="46"/>
      <c r="BC759" s="48"/>
      <c r="BF759" s="46"/>
      <c r="BL759" s="121"/>
      <c r="BM759" s="57"/>
      <c r="BN759" s="64"/>
      <c r="BO759" s="64"/>
      <c r="BP759" s="64"/>
      <c r="BQ759" s="64"/>
      <c r="BR759" s="57"/>
      <c r="BS759" s="64"/>
      <c r="BT759" s="64"/>
      <c r="BU759" s="64"/>
      <c r="BV759" s="46"/>
    </row>
    <row r="760" spans="2:74" x14ac:dyDescent="0.8">
      <c r="B760" s="46"/>
      <c r="C760" s="62"/>
      <c r="F760" s="70"/>
      <c r="G760" s="86"/>
      <c r="H760" s="70"/>
      <c r="I760" s="86"/>
      <c r="L760" s="117"/>
      <c r="M760" s="118"/>
      <c r="R760" s="58"/>
      <c r="S760" s="58"/>
      <c r="AA760" s="46"/>
      <c r="AN760" s="70"/>
      <c r="AQ760" s="67"/>
      <c r="AT760" s="46"/>
      <c r="AY760" s="57"/>
      <c r="AZ760" s="64"/>
      <c r="BA760" s="46"/>
      <c r="BB760" s="46"/>
      <c r="BC760" s="48"/>
      <c r="BF760" s="46"/>
      <c r="BL760" s="121"/>
      <c r="BM760" s="57"/>
      <c r="BN760" s="64"/>
      <c r="BO760" s="64"/>
      <c r="BP760" s="64"/>
      <c r="BQ760" s="64"/>
      <c r="BR760" s="57"/>
      <c r="BS760" s="64"/>
      <c r="BT760" s="64"/>
      <c r="BU760" s="64"/>
      <c r="BV760" s="46"/>
    </row>
    <row r="761" spans="2:74" x14ac:dyDescent="0.8">
      <c r="B761" s="46"/>
      <c r="C761" s="62"/>
      <c r="F761" s="70"/>
      <c r="G761" s="86"/>
      <c r="H761" s="70"/>
      <c r="I761" s="86"/>
      <c r="R761" s="58"/>
      <c r="S761" s="58"/>
      <c r="X761" s="57"/>
      <c r="Y761" s="46"/>
      <c r="Z761" s="57"/>
      <c r="AA761" s="46"/>
      <c r="AL761" s="68"/>
      <c r="AM761" s="64"/>
      <c r="AN761" s="70"/>
      <c r="AO761" s="46"/>
      <c r="AQ761" s="67"/>
      <c r="AT761" s="46"/>
      <c r="BC761" s="48"/>
      <c r="BF761" s="46"/>
      <c r="BL761" s="121"/>
      <c r="BM761" s="57"/>
      <c r="BN761" s="64"/>
      <c r="BO761" s="64"/>
      <c r="BP761" s="64"/>
      <c r="BQ761" s="64"/>
      <c r="BR761" s="57"/>
      <c r="BS761" s="64"/>
      <c r="BT761" s="64"/>
      <c r="BU761" s="64"/>
      <c r="BV761" s="46"/>
    </row>
    <row r="762" spans="2:74" x14ac:dyDescent="0.8">
      <c r="B762" s="46"/>
      <c r="C762" s="62"/>
      <c r="F762" s="70"/>
      <c r="G762" s="86"/>
      <c r="H762" s="70"/>
      <c r="I762" s="86"/>
      <c r="R762" s="58"/>
      <c r="S762" s="58"/>
      <c r="X762" s="57"/>
      <c r="Y762" s="46"/>
      <c r="Z762" s="57"/>
      <c r="AA762" s="46"/>
      <c r="AL762" s="68"/>
      <c r="AM762" s="64"/>
      <c r="AN762" s="70"/>
      <c r="AO762" s="46"/>
      <c r="AQ762" s="67"/>
      <c r="AT762" s="46"/>
      <c r="BC762" s="48"/>
      <c r="BF762" s="46"/>
      <c r="BL762" s="121"/>
      <c r="BM762" s="57"/>
      <c r="BN762" s="64"/>
      <c r="BO762" s="64"/>
      <c r="BP762" s="64"/>
      <c r="BQ762" s="64"/>
      <c r="BR762" s="57"/>
      <c r="BS762" s="64"/>
      <c r="BT762" s="64"/>
      <c r="BU762" s="64"/>
      <c r="BV762" s="46"/>
    </row>
    <row r="763" spans="2:74" x14ac:dyDescent="0.8">
      <c r="B763" s="46"/>
      <c r="C763" s="62"/>
      <c r="F763" s="70"/>
      <c r="G763" s="86"/>
      <c r="H763" s="70"/>
      <c r="I763" s="86"/>
      <c r="R763" s="58"/>
      <c r="S763" s="58"/>
      <c r="T763" s="184"/>
      <c r="X763" s="57"/>
      <c r="Y763" s="46"/>
      <c r="Z763" s="57"/>
      <c r="AA763" s="46"/>
      <c r="AL763" s="69"/>
      <c r="AN763" s="70"/>
      <c r="AO763" s="46"/>
      <c r="AQ763" s="67"/>
      <c r="AT763" s="46"/>
      <c r="BC763" s="48"/>
      <c r="BF763" s="46"/>
      <c r="BL763" s="121"/>
      <c r="BM763" s="57"/>
      <c r="BN763" s="64"/>
      <c r="BO763" s="64"/>
      <c r="BP763" s="64"/>
      <c r="BQ763" s="64"/>
      <c r="BR763" s="57"/>
      <c r="BS763" s="64"/>
      <c r="BT763" s="64"/>
      <c r="BU763" s="64"/>
      <c r="BV763" s="46"/>
    </row>
    <row r="764" spans="2:74" x14ac:dyDescent="0.8">
      <c r="B764" s="46"/>
      <c r="C764" s="62"/>
      <c r="F764" s="70"/>
      <c r="G764" s="86"/>
      <c r="H764" s="70"/>
      <c r="I764" s="86"/>
      <c r="L764" s="117"/>
      <c r="M764" s="118"/>
      <c r="R764" s="58"/>
      <c r="S764" s="58"/>
      <c r="T764" s="140"/>
      <c r="X764" s="129"/>
      <c r="Y764" s="120"/>
      <c r="AL764" s="68"/>
      <c r="AM764" s="64"/>
      <c r="AN764" s="70"/>
      <c r="AQ764" s="67"/>
      <c r="AT764" s="46"/>
      <c r="AY764" s="57"/>
      <c r="AZ764" s="64"/>
      <c r="BA764" s="46"/>
      <c r="BB764" s="46"/>
      <c r="BC764" s="48"/>
      <c r="BF764" s="46"/>
      <c r="BL764" s="121"/>
      <c r="BM764" s="57"/>
      <c r="BN764" s="64"/>
      <c r="BO764" s="64"/>
      <c r="BP764" s="64"/>
      <c r="BQ764" s="64"/>
      <c r="BR764" s="57"/>
      <c r="BS764" s="64"/>
      <c r="BT764" s="64"/>
      <c r="BU764" s="64"/>
      <c r="BV764" s="46"/>
    </row>
    <row r="765" spans="2:74" x14ac:dyDescent="0.8">
      <c r="B765" s="46"/>
      <c r="C765" s="62"/>
      <c r="F765" s="70"/>
      <c r="G765" s="86"/>
      <c r="H765" s="70"/>
      <c r="I765" s="86"/>
      <c r="L765" s="117"/>
      <c r="M765" s="118"/>
      <c r="R765" s="58"/>
      <c r="S765" s="58"/>
      <c r="T765" s="140"/>
      <c r="V765" s="140"/>
      <c r="X765" s="135"/>
      <c r="Y765" s="139"/>
      <c r="AA765" s="136"/>
      <c r="AD765" s="140"/>
      <c r="AJ765" s="140"/>
      <c r="AL765" s="68"/>
      <c r="AQ765" s="67"/>
      <c r="AT765" s="46"/>
      <c r="AY765" s="57"/>
      <c r="AZ765" s="64"/>
      <c r="BA765" s="46"/>
      <c r="BB765" s="46"/>
      <c r="BC765" s="48"/>
      <c r="BF765" s="46"/>
      <c r="BL765" s="121"/>
      <c r="BM765" s="57"/>
      <c r="BN765" s="64"/>
      <c r="BO765" s="64"/>
      <c r="BP765" s="64"/>
      <c r="BQ765" s="64"/>
      <c r="BR765" s="57"/>
      <c r="BS765" s="64"/>
      <c r="BT765" s="64"/>
      <c r="BU765" s="64"/>
      <c r="BV765" s="46"/>
    </row>
    <row r="766" spans="2:74" x14ac:dyDescent="0.8">
      <c r="B766" s="46"/>
      <c r="C766" s="62"/>
      <c r="F766" s="70"/>
      <c r="G766" s="86"/>
      <c r="X766" s="57"/>
      <c r="Y766" s="46"/>
      <c r="Z766" s="57"/>
      <c r="AA766" s="46"/>
      <c r="AM766" s="64"/>
      <c r="AO766" s="46"/>
      <c r="AQ766" s="67"/>
      <c r="AT766" s="46"/>
      <c r="AY766" s="57"/>
      <c r="AZ766" s="64"/>
      <c r="BA766" s="46"/>
      <c r="BB766" s="46"/>
      <c r="BC766" s="48"/>
      <c r="BF766" s="46"/>
      <c r="BL766" s="121"/>
      <c r="BM766" s="57"/>
      <c r="BN766" s="64"/>
      <c r="BO766" s="64"/>
      <c r="BP766" s="64"/>
      <c r="BQ766" s="64"/>
      <c r="BR766" s="57"/>
      <c r="BS766" s="64"/>
      <c r="BT766" s="64"/>
      <c r="BU766" s="64"/>
      <c r="BV766" s="46"/>
    </row>
    <row r="767" spans="2:74" x14ac:dyDescent="0.8">
      <c r="B767" s="46"/>
      <c r="C767" s="62"/>
      <c r="F767" s="70"/>
      <c r="G767" s="86"/>
      <c r="R767" s="58"/>
      <c r="S767" s="58"/>
      <c r="X767" s="57"/>
      <c r="Y767" s="46"/>
      <c r="Z767" s="57"/>
      <c r="AA767" s="46"/>
      <c r="AM767" s="64"/>
      <c r="AO767" s="46"/>
      <c r="AQ767" s="67"/>
      <c r="AT767" s="46"/>
      <c r="AY767" s="57"/>
      <c r="AZ767" s="64"/>
      <c r="BA767" s="46"/>
      <c r="BB767" s="46"/>
      <c r="BC767" s="48"/>
      <c r="BF767" s="46"/>
      <c r="BL767" s="121"/>
      <c r="BM767" s="57"/>
      <c r="BN767" s="64"/>
      <c r="BO767" s="64"/>
      <c r="BP767" s="64"/>
      <c r="BQ767" s="64"/>
      <c r="BR767" s="57"/>
      <c r="BS767" s="64"/>
      <c r="BT767" s="64"/>
      <c r="BU767" s="64"/>
      <c r="BV767" s="46"/>
    </row>
    <row r="768" spans="2:74" x14ac:dyDescent="0.8">
      <c r="B768" s="46"/>
      <c r="C768" s="62"/>
      <c r="X768" s="57"/>
      <c r="Y768" s="46"/>
      <c r="Z768" s="57"/>
      <c r="AA768" s="46"/>
      <c r="AL768" s="68"/>
      <c r="AO768" s="46"/>
      <c r="AQ768" s="67"/>
      <c r="AT768" s="46"/>
      <c r="AY768" s="57"/>
      <c r="AZ768" s="64"/>
      <c r="BA768" s="46"/>
      <c r="BC768" s="48"/>
      <c r="BF768" s="46"/>
      <c r="BL768" s="121"/>
      <c r="BM768" s="57"/>
      <c r="BN768" s="64"/>
      <c r="BO768" s="64"/>
      <c r="BP768" s="64"/>
      <c r="BQ768" s="64"/>
      <c r="BR768" s="57"/>
      <c r="BS768" s="64"/>
      <c r="BT768" s="64"/>
      <c r="BU768" s="64"/>
      <c r="BV768" s="46"/>
    </row>
    <row r="769" spans="2:74" x14ac:dyDescent="0.8">
      <c r="B769" s="46"/>
      <c r="C769" s="62"/>
      <c r="F769" s="70"/>
      <c r="G769" s="86"/>
      <c r="L769" s="117"/>
      <c r="M769" s="118"/>
      <c r="T769" s="140"/>
      <c r="X769" s="129"/>
      <c r="Y769" s="120"/>
      <c r="AL769" s="68"/>
      <c r="AQ769" s="67"/>
      <c r="AT769" s="46"/>
      <c r="AY769" s="57"/>
      <c r="AZ769" s="64"/>
      <c r="BA769" s="46"/>
      <c r="BB769" s="46"/>
      <c r="BC769" s="48"/>
      <c r="BF769" s="46"/>
      <c r="BL769" s="121"/>
      <c r="BM769" s="57"/>
      <c r="BN769" s="64"/>
      <c r="BO769" s="64"/>
      <c r="BP769" s="64"/>
      <c r="BQ769" s="64"/>
      <c r="BR769" s="57"/>
      <c r="BS769" s="64"/>
      <c r="BT769" s="64"/>
      <c r="BU769" s="64"/>
      <c r="BV769" s="46"/>
    </row>
    <row r="770" spans="2:74" x14ac:dyDescent="0.8">
      <c r="B770" s="46"/>
      <c r="C770" s="62"/>
      <c r="J770" s="64"/>
      <c r="K770" s="64"/>
      <c r="L770" s="117"/>
      <c r="M770" s="118"/>
      <c r="T770" s="140"/>
      <c r="X770" s="129"/>
      <c r="Y770" s="120"/>
      <c r="AL770" s="68"/>
      <c r="AQ770" s="67"/>
      <c r="AT770" s="46"/>
      <c r="AY770" s="57"/>
      <c r="AZ770" s="64"/>
      <c r="BA770" s="46"/>
      <c r="BB770" s="46"/>
      <c r="BC770" s="48"/>
      <c r="BF770" s="46"/>
      <c r="BL770" s="121"/>
      <c r="BM770" s="57"/>
      <c r="BN770" s="64"/>
      <c r="BO770" s="64"/>
      <c r="BP770" s="64"/>
      <c r="BQ770" s="64"/>
      <c r="BR770" s="57"/>
      <c r="BS770" s="64"/>
      <c r="BT770" s="64"/>
      <c r="BU770" s="64"/>
      <c r="BV770" s="46"/>
    </row>
    <row r="771" spans="2:74" x14ac:dyDescent="0.8">
      <c r="B771" s="46"/>
      <c r="C771" s="62"/>
      <c r="L771" s="117"/>
      <c r="M771" s="118"/>
      <c r="T771" s="140"/>
      <c r="X771" s="175"/>
      <c r="Y771" s="120"/>
      <c r="AL771" s="69"/>
      <c r="AN771" s="70"/>
      <c r="AQ771" s="67"/>
      <c r="AT771" s="46"/>
      <c r="AY771" s="57"/>
      <c r="AZ771" s="64"/>
      <c r="BA771" s="46"/>
      <c r="BB771" s="46"/>
      <c r="BC771" s="48"/>
      <c r="BF771" s="46"/>
      <c r="BL771" s="121"/>
      <c r="BM771" s="57"/>
      <c r="BN771" s="64"/>
      <c r="BO771" s="64"/>
      <c r="BP771" s="64"/>
      <c r="BQ771" s="64"/>
      <c r="BR771" s="57"/>
      <c r="BS771" s="64"/>
      <c r="BT771" s="64"/>
      <c r="BU771" s="64"/>
      <c r="BV771" s="46"/>
    </row>
    <row r="772" spans="2:74" x14ac:dyDescent="0.8">
      <c r="B772" s="46"/>
      <c r="C772" s="62"/>
      <c r="L772" s="117"/>
      <c r="M772" s="118"/>
      <c r="T772" s="140"/>
      <c r="X772" s="175"/>
      <c r="Y772" s="120"/>
      <c r="AL772" s="68"/>
      <c r="AQ772" s="67"/>
      <c r="AT772" s="46"/>
      <c r="AY772" s="57"/>
      <c r="AZ772" s="64"/>
      <c r="BA772" s="46"/>
      <c r="BB772" s="46"/>
      <c r="BC772" s="48"/>
      <c r="BF772" s="46"/>
      <c r="BL772" s="121"/>
      <c r="BM772" s="57"/>
      <c r="BN772" s="64"/>
      <c r="BO772" s="64"/>
      <c r="BP772" s="64"/>
      <c r="BQ772" s="64"/>
      <c r="BR772" s="57"/>
      <c r="BS772" s="64"/>
      <c r="BT772" s="64"/>
      <c r="BU772" s="64"/>
      <c r="BV772" s="46"/>
    </row>
    <row r="773" spans="2:74" x14ac:dyDescent="0.8">
      <c r="B773" s="46"/>
      <c r="C773" s="62"/>
      <c r="F773" s="70"/>
      <c r="G773" s="86"/>
      <c r="H773" s="70"/>
      <c r="I773" s="86"/>
      <c r="L773" s="117"/>
      <c r="M773" s="118"/>
      <c r="R773" s="58"/>
      <c r="S773" s="58"/>
      <c r="T773" s="140"/>
      <c r="X773" s="129"/>
      <c r="Y773" s="120"/>
      <c r="AL773" s="69"/>
      <c r="AN773" s="70"/>
      <c r="AQ773" s="67"/>
      <c r="AT773" s="46"/>
      <c r="AY773" s="57"/>
      <c r="AZ773" s="64"/>
      <c r="BA773" s="46"/>
      <c r="BB773" s="46"/>
      <c r="BC773" s="48"/>
      <c r="BF773" s="46"/>
      <c r="BL773" s="121"/>
      <c r="BM773" s="57"/>
      <c r="BN773" s="64"/>
      <c r="BO773" s="64"/>
      <c r="BP773" s="64"/>
      <c r="BQ773" s="64"/>
      <c r="BR773" s="57"/>
      <c r="BS773" s="64"/>
      <c r="BT773" s="64"/>
      <c r="BU773" s="64"/>
      <c r="BV773" s="46"/>
    </row>
    <row r="774" spans="2:74" x14ac:dyDescent="0.8">
      <c r="B774" s="46"/>
      <c r="C774" s="62"/>
      <c r="F774" s="70"/>
      <c r="G774" s="86"/>
      <c r="H774" s="70"/>
      <c r="I774" s="86"/>
      <c r="J774" s="71"/>
      <c r="K774" s="59"/>
      <c r="N774" s="58"/>
      <c r="O774" s="58"/>
      <c r="P774" s="58"/>
      <c r="Q774" s="59"/>
      <c r="R774" s="58"/>
      <c r="S774" s="58"/>
      <c r="T774" s="143"/>
      <c r="U774" s="144"/>
      <c r="V774" s="143"/>
      <c r="X774" s="176"/>
      <c r="Y774" s="136"/>
      <c r="AA774" s="136"/>
      <c r="AD774" s="143"/>
      <c r="AF774" s="71"/>
      <c r="AH774" s="71"/>
      <c r="AJ774" s="143"/>
      <c r="AL774" s="69"/>
      <c r="AN774" s="70"/>
      <c r="AP774" s="137"/>
      <c r="AQ774" s="67"/>
      <c r="AT774" s="46"/>
      <c r="BB774" s="46"/>
      <c r="BC774" s="48"/>
      <c r="BF774" s="46"/>
      <c r="BL774" s="121"/>
      <c r="BM774" s="57"/>
      <c r="BN774" s="64"/>
      <c r="BO774" s="64"/>
      <c r="BP774" s="64"/>
      <c r="BQ774" s="64"/>
      <c r="BR774" s="57"/>
      <c r="BS774" s="64"/>
      <c r="BT774" s="64"/>
      <c r="BU774" s="64"/>
      <c r="BV774" s="46"/>
    </row>
    <row r="775" spans="2:74" x14ac:dyDescent="0.8">
      <c r="B775" s="46"/>
      <c r="C775" s="62"/>
      <c r="F775" s="70"/>
      <c r="G775" s="86"/>
      <c r="H775" s="70"/>
      <c r="I775" s="86"/>
      <c r="J775" s="182"/>
      <c r="K775" s="300"/>
      <c r="R775" s="58"/>
      <c r="S775" s="58"/>
      <c r="X775" s="57"/>
      <c r="Y775" s="46"/>
      <c r="Z775" s="57"/>
      <c r="AA775" s="46"/>
      <c r="AL775" s="68"/>
      <c r="AO775" s="46"/>
      <c r="AQ775" s="67"/>
      <c r="AT775" s="46"/>
      <c r="BC775" s="48"/>
      <c r="BF775" s="46"/>
      <c r="BL775" s="121"/>
      <c r="BM775" s="57"/>
      <c r="BN775" s="64"/>
      <c r="BO775" s="64"/>
      <c r="BP775" s="64"/>
      <c r="BQ775" s="64"/>
      <c r="BR775" s="57"/>
      <c r="BS775" s="64"/>
      <c r="BT775" s="64"/>
      <c r="BU775" s="64"/>
      <c r="BV775" s="46"/>
    </row>
    <row r="776" spans="2:74" x14ac:dyDescent="0.8">
      <c r="B776" s="46"/>
      <c r="C776" s="62"/>
      <c r="F776" s="70"/>
      <c r="G776" s="86"/>
      <c r="H776" s="70"/>
      <c r="I776" s="86"/>
      <c r="L776" s="117"/>
      <c r="M776" s="118"/>
      <c r="R776" s="58"/>
      <c r="S776" s="58"/>
      <c r="T776" s="140"/>
      <c r="AQ776" s="67"/>
      <c r="AT776" s="46"/>
      <c r="AY776" s="57"/>
      <c r="AZ776" s="64"/>
      <c r="BA776" s="46"/>
      <c r="BB776" s="46"/>
      <c r="BC776" s="48"/>
      <c r="BF776" s="46"/>
      <c r="BL776" s="121"/>
      <c r="BM776" s="57"/>
      <c r="BN776" s="64"/>
      <c r="BO776" s="64"/>
      <c r="BP776" s="64"/>
      <c r="BQ776" s="64"/>
      <c r="BR776" s="57"/>
      <c r="BS776" s="64"/>
      <c r="BT776" s="64"/>
      <c r="BU776" s="64"/>
      <c r="BV776" s="46"/>
    </row>
    <row r="777" spans="2:74" x14ac:dyDescent="0.8">
      <c r="B777" s="46"/>
      <c r="C777" s="62"/>
      <c r="F777" s="70"/>
      <c r="G777" s="86"/>
      <c r="H777" s="70"/>
      <c r="I777" s="86"/>
      <c r="R777" s="58"/>
      <c r="S777" s="58"/>
      <c r="X777" s="57"/>
      <c r="Y777" s="46"/>
      <c r="Z777" s="57"/>
      <c r="AA777" s="46"/>
      <c r="AL777" s="69"/>
      <c r="AN777" s="70"/>
      <c r="AO777" s="46"/>
      <c r="AQ777" s="67"/>
      <c r="AT777" s="46"/>
      <c r="BC777" s="48"/>
      <c r="BF777" s="46"/>
      <c r="BL777" s="121"/>
      <c r="BM777" s="57"/>
      <c r="BN777" s="64"/>
      <c r="BO777" s="64"/>
      <c r="BP777" s="64"/>
      <c r="BQ777" s="64"/>
      <c r="BR777" s="57"/>
      <c r="BS777" s="64"/>
      <c r="BT777" s="64"/>
      <c r="BU777" s="64"/>
      <c r="BV777" s="46"/>
    </row>
    <row r="778" spans="2:74" x14ac:dyDescent="0.8">
      <c r="B778" s="46"/>
      <c r="C778" s="62"/>
      <c r="F778" s="70"/>
      <c r="G778" s="86"/>
      <c r="H778" s="70"/>
      <c r="I778" s="86"/>
      <c r="L778" s="117"/>
      <c r="M778" s="118"/>
      <c r="R778" s="58"/>
      <c r="S778" s="58"/>
      <c r="T778" s="140"/>
      <c r="V778" s="140"/>
      <c r="X778" s="135"/>
      <c r="Y778" s="139"/>
      <c r="AA778" s="136"/>
      <c r="AD778" s="140"/>
      <c r="AJ778" s="140"/>
      <c r="AL778" s="68"/>
      <c r="AN778" s="70"/>
      <c r="AQ778" s="67"/>
      <c r="AT778" s="46"/>
      <c r="AY778" s="57"/>
      <c r="AZ778" s="64"/>
      <c r="BA778" s="46"/>
      <c r="BB778" s="46"/>
      <c r="BC778" s="48"/>
      <c r="BF778" s="46"/>
      <c r="BL778" s="121"/>
      <c r="BM778" s="57"/>
      <c r="BN778" s="64"/>
      <c r="BO778" s="64"/>
      <c r="BP778" s="64"/>
      <c r="BQ778" s="64"/>
      <c r="BR778" s="57"/>
      <c r="BS778" s="64"/>
      <c r="BT778" s="64"/>
      <c r="BU778" s="64"/>
      <c r="BV778" s="46"/>
    </row>
    <row r="779" spans="2:74" x14ac:dyDescent="0.8">
      <c r="B779" s="46"/>
      <c r="C779" s="62"/>
      <c r="F779" s="70"/>
      <c r="G779" s="86"/>
      <c r="H779" s="70"/>
      <c r="I779" s="86"/>
      <c r="L779" s="117"/>
      <c r="M779" s="118"/>
      <c r="R779" s="58"/>
      <c r="S779" s="58"/>
      <c r="T779" s="140"/>
      <c r="X779" s="129"/>
      <c r="Y779" s="120"/>
      <c r="AL779" s="69"/>
      <c r="AQ779" s="67"/>
      <c r="AT779" s="46"/>
      <c r="AY779" s="57"/>
      <c r="AZ779" s="64"/>
      <c r="BA779" s="46"/>
      <c r="BB779" s="46"/>
      <c r="BC779" s="48"/>
      <c r="BF779" s="46"/>
      <c r="BL779" s="121"/>
      <c r="BM779" s="57"/>
      <c r="BN779" s="64"/>
      <c r="BO779" s="64"/>
      <c r="BP779" s="64"/>
      <c r="BQ779" s="64"/>
      <c r="BR779" s="57"/>
      <c r="BS779" s="64"/>
      <c r="BT779" s="64"/>
      <c r="BU779" s="64"/>
      <c r="BV779" s="46"/>
    </row>
    <row r="780" spans="2:74" x14ac:dyDescent="0.8">
      <c r="B780" s="46"/>
      <c r="C780" s="62"/>
      <c r="F780" s="70"/>
      <c r="G780" s="86"/>
      <c r="H780" s="70"/>
      <c r="I780" s="86"/>
      <c r="L780" s="117"/>
      <c r="M780" s="118"/>
      <c r="R780" s="58"/>
      <c r="S780" s="58"/>
      <c r="T780" s="140"/>
      <c r="X780" s="129"/>
      <c r="Y780" s="120"/>
      <c r="AL780" s="69"/>
      <c r="AQ780" s="67"/>
      <c r="AT780" s="46"/>
      <c r="AY780" s="57"/>
      <c r="AZ780" s="64"/>
      <c r="BA780" s="46"/>
      <c r="BB780" s="46"/>
      <c r="BC780" s="48"/>
      <c r="BF780" s="46"/>
      <c r="BL780" s="121"/>
      <c r="BM780" s="57"/>
      <c r="BN780" s="64"/>
      <c r="BO780" s="64"/>
      <c r="BP780" s="64"/>
      <c r="BQ780" s="64"/>
      <c r="BR780" s="57"/>
      <c r="BS780" s="64"/>
      <c r="BT780" s="64"/>
      <c r="BU780" s="64"/>
      <c r="BV780" s="46"/>
    </row>
    <row r="781" spans="2:74" x14ac:dyDescent="0.8">
      <c r="B781" s="46"/>
      <c r="C781" s="62"/>
      <c r="F781" s="70"/>
      <c r="G781" s="86"/>
      <c r="H781" s="70"/>
      <c r="I781" s="86"/>
      <c r="R781" s="58"/>
      <c r="S781" s="58"/>
      <c r="X781" s="57"/>
      <c r="Y781" s="46"/>
      <c r="Z781" s="57"/>
      <c r="AA781" s="46"/>
      <c r="AL781" s="69"/>
      <c r="AO781" s="46"/>
      <c r="AQ781" s="67"/>
      <c r="AT781" s="46"/>
      <c r="BC781" s="48"/>
      <c r="BF781" s="46"/>
      <c r="BL781" s="121"/>
      <c r="BM781" s="57"/>
      <c r="BN781" s="64"/>
      <c r="BO781" s="64"/>
      <c r="BP781" s="64"/>
      <c r="BQ781" s="64"/>
      <c r="BR781" s="57"/>
      <c r="BS781" s="64"/>
      <c r="BT781" s="64"/>
      <c r="BU781" s="64"/>
      <c r="BV781" s="46"/>
    </row>
    <row r="782" spans="2:74" x14ac:dyDescent="0.8">
      <c r="B782" s="46"/>
      <c r="C782" s="62"/>
      <c r="F782" s="70"/>
      <c r="G782" s="86"/>
      <c r="H782" s="70"/>
      <c r="I782" s="86"/>
      <c r="R782" s="58"/>
      <c r="S782" s="58"/>
      <c r="AL782" s="69"/>
      <c r="AQ782" s="67"/>
      <c r="AT782" s="46"/>
      <c r="AY782" s="57"/>
      <c r="AZ782" s="64"/>
      <c r="BA782" s="46"/>
      <c r="BB782" s="46"/>
      <c r="BC782" s="48"/>
      <c r="BF782" s="46"/>
      <c r="BL782" s="121"/>
      <c r="BM782" s="57"/>
      <c r="BN782" s="64"/>
      <c r="BO782" s="64"/>
      <c r="BP782" s="64"/>
      <c r="BQ782" s="64"/>
      <c r="BR782" s="57"/>
      <c r="BS782" s="64"/>
      <c r="BT782" s="64"/>
      <c r="BU782" s="64"/>
      <c r="BV782" s="46"/>
    </row>
    <row r="783" spans="2:74" x14ac:dyDescent="0.8">
      <c r="B783" s="46"/>
      <c r="C783" s="62"/>
      <c r="F783" s="70"/>
      <c r="G783" s="86"/>
      <c r="H783" s="70"/>
      <c r="I783" s="86"/>
      <c r="R783" s="58"/>
      <c r="S783" s="58"/>
      <c r="X783" s="57"/>
      <c r="Y783" s="46"/>
      <c r="Z783" s="57"/>
      <c r="AA783" s="46"/>
      <c r="AF783" s="190"/>
      <c r="AM783" s="64"/>
      <c r="AO783" s="46"/>
      <c r="AQ783" s="67"/>
      <c r="AT783" s="46"/>
      <c r="AY783" s="57"/>
      <c r="AZ783" s="64"/>
      <c r="BA783" s="46"/>
      <c r="BB783" s="46"/>
      <c r="BC783" s="48"/>
      <c r="BF783" s="46"/>
      <c r="BL783" s="121"/>
      <c r="BM783" s="57"/>
      <c r="BN783" s="64"/>
      <c r="BO783" s="64"/>
      <c r="BP783" s="64"/>
      <c r="BQ783" s="64"/>
      <c r="BR783" s="57"/>
      <c r="BS783" s="64"/>
      <c r="BT783" s="64"/>
      <c r="BU783" s="64"/>
      <c r="BV783" s="46"/>
    </row>
    <row r="784" spans="2:74" x14ac:dyDescent="0.8">
      <c r="B784" s="46"/>
      <c r="C784" s="62"/>
      <c r="F784" s="70"/>
      <c r="G784" s="86"/>
      <c r="H784" s="70"/>
      <c r="I784" s="86"/>
      <c r="L784" s="117"/>
      <c r="M784" s="118"/>
      <c r="R784" s="58"/>
      <c r="S784" s="58"/>
      <c r="T784" s="140"/>
      <c r="X784" s="129"/>
      <c r="Y784" s="120"/>
      <c r="AL784" s="68"/>
      <c r="AQ784" s="67"/>
      <c r="AT784" s="46"/>
      <c r="AY784" s="57"/>
      <c r="AZ784" s="64"/>
      <c r="BA784" s="46"/>
      <c r="BB784" s="46"/>
      <c r="BC784" s="48"/>
      <c r="BF784" s="46"/>
      <c r="BL784" s="121"/>
      <c r="BM784" s="57"/>
      <c r="BN784" s="64"/>
      <c r="BO784" s="64"/>
      <c r="BP784" s="64"/>
      <c r="BQ784" s="64"/>
      <c r="BR784" s="57"/>
      <c r="BS784" s="64"/>
      <c r="BT784" s="64"/>
      <c r="BU784" s="64"/>
      <c r="BV784" s="46"/>
    </row>
    <row r="785" spans="2:74" x14ac:dyDescent="0.8">
      <c r="B785" s="46"/>
      <c r="C785" s="62"/>
      <c r="F785" s="70"/>
      <c r="G785" s="86"/>
      <c r="H785" s="70"/>
      <c r="I785" s="86"/>
      <c r="R785" s="58"/>
      <c r="S785" s="58"/>
      <c r="X785" s="57"/>
      <c r="Y785" s="46"/>
      <c r="Z785" s="57"/>
      <c r="AA785" s="46"/>
      <c r="AD785" s="153"/>
      <c r="AM785" s="64"/>
      <c r="AO785" s="46"/>
      <c r="AQ785" s="67"/>
      <c r="AT785" s="46"/>
      <c r="BC785" s="48"/>
      <c r="BF785" s="46"/>
      <c r="BL785" s="121"/>
      <c r="BM785" s="57"/>
      <c r="BN785" s="64"/>
      <c r="BO785" s="64"/>
      <c r="BP785" s="64"/>
      <c r="BQ785" s="64"/>
      <c r="BR785" s="57"/>
      <c r="BS785" s="64"/>
      <c r="BT785" s="64"/>
      <c r="BU785" s="64"/>
      <c r="BV785" s="46"/>
    </row>
    <row r="786" spans="2:74" x14ac:dyDescent="0.8">
      <c r="B786" s="46"/>
      <c r="C786" s="62"/>
      <c r="F786" s="70"/>
      <c r="G786" s="86"/>
      <c r="H786" s="70"/>
      <c r="I786" s="86"/>
      <c r="L786" s="117"/>
      <c r="M786" s="118"/>
      <c r="R786" s="58"/>
      <c r="S786" s="58"/>
      <c r="AL786" s="69"/>
      <c r="AO786" s="46"/>
      <c r="AQ786" s="67"/>
      <c r="AT786" s="46"/>
      <c r="AY786" s="57"/>
      <c r="AZ786" s="64"/>
      <c r="BA786" s="46"/>
      <c r="BB786" s="46"/>
      <c r="BC786" s="48"/>
      <c r="BF786" s="46"/>
      <c r="BL786" s="121"/>
      <c r="BM786" s="57"/>
      <c r="BN786" s="64"/>
      <c r="BO786" s="64"/>
      <c r="BP786" s="64"/>
      <c r="BQ786" s="64"/>
      <c r="BR786" s="57"/>
      <c r="BS786" s="64"/>
      <c r="BT786" s="64"/>
      <c r="BU786" s="64"/>
      <c r="BV786" s="46"/>
    </row>
    <row r="787" spans="2:74" x14ac:dyDescent="0.8">
      <c r="B787" s="46"/>
      <c r="C787" s="62"/>
      <c r="F787" s="70"/>
      <c r="G787" s="86"/>
      <c r="H787" s="70"/>
      <c r="I787" s="86"/>
      <c r="J787" s="64"/>
      <c r="K787" s="64"/>
      <c r="R787" s="58"/>
      <c r="S787" s="58"/>
      <c r="T787" s="184"/>
      <c r="X787" s="57"/>
      <c r="Y787" s="46"/>
      <c r="Z787" s="57"/>
      <c r="AA787" s="46"/>
      <c r="AM787" s="64"/>
      <c r="AO787" s="46"/>
      <c r="AQ787" s="67"/>
      <c r="AT787" s="46"/>
      <c r="AY787" s="57"/>
      <c r="AZ787" s="64"/>
      <c r="BA787" s="46"/>
      <c r="BB787" s="46"/>
      <c r="BC787" s="48"/>
      <c r="BF787" s="46"/>
      <c r="BL787" s="121"/>
      <c r="BM787" s="57"/>
      <c r="BN787" s="64"/>
      <c r="BO787" s="64"/>
      <c r="BP787" s="64"/>
      <c r="BQ787" s="64"/>
      <c r="BR787" s="57"/>
      <c r="BS787" s="64"/>
      <c r="BT787" s="64"/>
      <c r="BU787" s="64"/>
      <c r="BV787" s="46"/>
    </row>
    <row r="788" spans="2:74" x14ac:dyDescent="0.8">
      <c r="B788" s="46"/>
      <c r="C788" s="62"/>
      <c r="F788" s="70"/>
      <c r="G788" s="86"/>
      <c r="H788" s="70"/>
      <c r="I788" s="86"/>
      <c r="L788" s="117"/>
      <c r="M788" s="118"/>
      <c r="R788" s="58"/>
      <c r="S788" s="58"/>
      <c r="T788" s="140"/>
      <c r="X788" s="175"/>
      <c r="Y788" s="120"/>
      <c r="AL788" s="69"/>
      <c r="AN788" s="70"/>
      <c r="AQ788" s="67"/>
      <c r="AT788" s="46"/>
      <c r="AY788" s="57"/>
      <c r="AZ788" s="64"/>
      <c r="BA788" s="46"/>
      <c r="BB788" s="46"/>
      <c r="BC788" s="48"/>
      <c r="BF788" s="46"/>
      <c r="BL788" s="121"/>
      <c r="BM788" s="57"/>
      <c r="BN788" s="64"/>
      <c r="BO788" s="64"/>
      <c r="BP788" s="64"/>
      <c r="BQ788" s="64"/>
      <c r="BR788" s="57"/>
      <c r="BS788" s="64"/>
      <c r="BT788" s="64"/>
      <c r="BU788" s="64"/>
      <c r="BV788" s="46"/>
    </row>
    <row r="789" spans="2:74" x14ac:dyDescent="0.8">
      <c r="B789" s="46"/>
      <c r="C789" s="62"/>
      <c r="F789" s="70"/>
      <c r="G789" s="86"/>
      <c r="H789" s="70"/>
      <c r="I789" s="86"/>
      <c r="R789" s="58"/>
      <c r="S789" s="58"/>
      <c r="X789" s="64"/>
      <c r="Y789" s="46"/>
      <c r="Z789" s="57"/>
      <c r="AA789" s="46"/>
      <c r="AL789" s="69"/>
      <c r="AO789" s="46"/>
      <c r="AQ789" s="67"/>
      <c r="AT789" s="46"/>
      <c r="BC789" s="48"/>
      <c r="BF789" s="46"/>
      <c r="BL789" s="121"/>
      <c r="BM789" s="57"/>
      <c r="BN789" s="64"/>
      <c r="BO789" s="64"/>
      <c r="BP789" s="64"/>
      <c r="BQ789" s="64"/>
      <c r="BR789" s="57"/>
      <c r="BS789" s="64"/>
      <c r="BT789" s="64"/>
      <c r="BU789" s="64"/>
      <c r="BV789" s="46"/>
    </row>
    <row r="790" spans="2:74" x14ac:dyDescent="0.8">
      <c r="B790" s="46"/>
      <c r="C790" s="62"/>
      <c r="F790" s="70"/>
      <c r="G790" s="86"/>
      <c r="H790" s="70"/>
      <c r="I790" s="86"/>
      <c r="L790" s="117"/>
      <c r="M790" s="118"/>
      <c r="R790" s="58"/>
      <c r="S790" s="58"/>
      <c r="X790" s="58"/>
      <c r="AL790" s="69"/>
      <c r="AQ790" s="67"/>
      <c r="AT790" s="46"/>
      <c r="BB790" s="46"/>
      <c r="BC790" s="48"/>
      <c r="BF790" s="46"/>
      <c r="BL790" s="121"/>
      <c r="BM790" s="57"/>
      <c r="BN790" s="64"/>
      <c r="BO790" s="64"/>
      <c r="BP790" s="64"/>
      <c r="BQ790" s="64"/>
      <c r="BR790" s="57"/>
      <c r="BS790" s="64"/>
      <c r="BT790" s="64"/>
      <c r="BU790" s="64"/>
      <c r="BV790" s="46"/>
    </row>
    <row r="791" spans="2:74" x14ac:dyDescent="0.8">
      <c r="B791" s="46"/>
      <c r="C791" s="62"/>
      <c r="F791" s="70"/>
      <c r="G791" s="86"/>
      <c r="H791" s="70"/>
      <c r="I791" s="86"/>
      <c r="R791" s="58"/>
      <c r="S791" s="58"/>
      <c r="X791" s="57"/>
      <c r="Y791" s="46"/>
      <c r="Z791" s="57"/>
      <c r="AA791" s="46"/>
      <c r="AM791" s="64"/>
      <c r="AO791" s="46"/>
      <c r="AQ791" s="67"/>
      <c r="AT791" s="46"/>
      <c r="BC791" s="48"/>
      <c r="BF791" s="46"/>
      <c r="BL791" s="121"/>
      <c r="BM791" s="57"/>
      <c r="BN791" s="64"/>
      <c r="BO791" s="64"/>
      <c r="BP791" s="64"/>
      <c r="BQ791" s="64"/>
      <c r="BR791" s="57"/>
      <c r="BS791" s="64"/>
      <c r="BT791" s="64"/>
      <c r="BU791" s="64"/>
      <c r="BV791" s="46"/>
    </row>
    <row r="792" spans="2:74" x14ac:dyDescent="0.8">
      <c r="B792" s="46"/>
      <c r="C792" s="62"/>
      <c r="F792" s="70"/>
      <c r="G792" s="86"/>
      <c r="H792" s="70"/>
      <c r="I792" s="86"/>
      <c r="L792" s="117"/>
      <c r="M792" s="118"/>
      <c r="R792" s="58"/>
      <c r="S792" s="58"/>
      <c r="AA792" s="46"/>
      <c r="AQ792" s="67"/>
      <c r="AT792" s="46"/>
      <c r="AY792" s="57"/>
      <c r="AZ792" s="64"/>
      <c r="BA792" s="46"/>
      <c r="BB792" s="46"/>
      <c r="BC792" s="48"/>
      <c r="BF792" s="46"/>
      <c r="BL792" s="121"/>
      <c r="BM792" s="57"/>
      <c r="BN792" s="64"/>
      <c r="BO792" s="64"/>
      <c r="BP792" s="64"/>
      <c r="BQ792" s="64"/>
      <c r="BR792" s="57"/>
      <c r="BS792" s="64"/>
      <c r="BT792" s="64"/>
      <c r="BU792" s="64"/>
      <c r="BV792" s="46"/>
    </row>
    <row r="793" spans="2:74" x14ac:dyDescent="0.8">
      <c r="B793" s="46"/>
      <c r="C793" s="62"/>
      <c r="F793" s="70"/>
      <c r="G793" s="86"/>
      <c r="H793" s="70"/>
      <c r="I793" s="86"/>
      <c r="L793" s="117"/>
      <c r="M793" s="118"/>
      <c r="R793" s="58"/>
      <c r="S793" s="58"/>
      <c r="T793" s="140"/>
      <c r="X793" s="129"/>
      <c r="Y793" s="120"/>
      <c r="AL793" s="69"/>
      <c r="AN793" s="70"/>
      <c r="AQ793" s="67"/>
      <c r="AT793" s="46"/>
      <c r="AY793" s="57"/>
      <c r="AZ793" s="64"/>
      <c r="BA793" s="46"/>
      <c r="BB793" s="46"/>
      <c r="BC793" s="48"/>
      <c r="BF793" s="46"/>
      <c r="BL793" s="121"/>
      <c r="BM793" s="57"/>
      <c r="BN793" s="64"/>
      <c r="BO793" s="64"/>
      <c r="BP793" s="64"/>
      <c r="BQ793" s="64"/>
      <c r="BR793" s="57"/>
      <c r="BS793" s="64"/>
      <c r="BT793" s="64"/>
      <c r="BU793" s="64"/>
      <c r="BV793" s="46"/>
    </row>
    <row r="794" spans="2:74" x14ac:dyDescent="0.8">
      <c r="B794" s="46"/>
      <c r="C794" s="62"/>
      <c r="F794" s="70"/>
      <c r="G794" s="86"/>
      <c r="H794" s="70"/>
      <c r="I794" s="86"/>
      <c r="J794" s="71"/>
      <c r="K794" s="59"/>
      <c r="N794" s="58"/>
      <c r="O794" s="58"/>
      <c r="P794" s="58"/>
      <c r="Q794" s="59"/>
      <c r="R794" s="58"/>
      <c r="S794" s="58"/>
      <c r="T794" s="143"/>
      <c r="U794" s="144"/>
      <c r="V794" s="143"/>
      <c r="X794" s="135"/>
      <c r="Y794" s="136"/>
      <c r="AA794" s="136"/>
      <c r="AD794" s="143"/>
      <c r="AF794" s="71"/>
      <c r="AH794" s="71"/>
      <c r="AJ794" s="143"/>
      <c r="AN794" s="71"/>
      <c r="AP794" s="137"/>
      <c r="AQ794" s="67"/>
      <c r="AT794" s="46"/>
      <c r="BB794" s="46"/>
      <c r="BC794" s="48"/>
      <c r="BF794" s="46"/>
      <c r="BL794" s="121"/>
      <c r="BM794" s="57"/>
      <c r="BN794" s="64"/>
      <c r="BO794" s="64"/>
      <c r="BP794" s="64"/>
      <c r="BQ794" s="64"/>
      <c r="BR794" s="57"/>
      <c r="BS794" s="64"/>
      <c r="BT794" s="64"/>
      <c r="BU794" s="64"/>
      <c r="BV794" s="46"/>
    </row>
    <row r="795" spans="2:74" x14ac:dyDescent="0.8">
      <c r="B795" s="46"/>
      <c r="C795" s="62"/>
      <c r="F795" s="70"/>
      <c r="G795" s="86"/>
      <c r="H795" s="70"/>
      <c r="I795" s="86"/>
      <c r="R795" s="58"/>
      <c r="S795" s="58"/>
      <c r="T795" s="184"/>
      <c r="X795" s="57"/>
      <c r="Y795" s="46"/>
      <c r="Z795" s="57"/>
      <c r="AA795" s="46"/>
      <c r="AM795" s="64"/>
      <c r="AO795" s="46"/>
      <c r="AQ795" s="67"/>
      <c r="AT795" s="46"/>
      <c r="BC795" s="48"/>
      <c r="BF795" s="46"/>
      <c r="BL795" s="121"/>
      <c r="BM795" s="57"/>
      <c r="BN795" s="64"/>
      <c r="BO795" s="64"/>
      <c r="BP795" s="64"/>
      <c r="BQ795" s="64"/>
      <c r="BR795" s="57"/>
      <c r="BS795" s="64"/>
      <c r="BT795" s="64"/>
      <c r="BU795" s="64"/>
      <c r="BV795" s="46"/>
    </row>
    <row r="796" spans="2:74" x14ac:dyDescent="0.8">
      <c r="B796" s="46"/>
      <c r="C796" s="62"/>
      <c r="F796" s="70"/>
      <c r="G796" s="86"/>
      <c r="H796" s="70"/>
      <c r="I796" s="86"/>
      <c r="L796" s="117"/>
      <c r="M796" s="118"/>
      <c r="R796" s="58"/>
      <c r="S796" s="58"/>
      <c r="T796" s="140"/>
      <c r="AL796" s="69"/>
      <c r="AN796" s="70"/>
      <c r="AQ796" s="67"/>
      <c r="AT796" s="46"/>
      <c r="AY796" s="57"/>
      <c r="AZ796" s="64"/>
      <c r="BA796" s="46"/>
      <c r="BB796" s="46"/>
      <c r="BC796" s="48"/>
      <c r="BF796" s="46"/>
      <c r="BL796" s="121"/>
      <c r="BM796" s="57"/>
      <c r="BN796" s="64"/>
      <c r="BO796" s="64"/>
      <c r="BP796" s="64"/>
      <c r="BQ796" s="64"/>
      <c r="BR796" s="57"/>
      <c r="BS796" s="64"/>
      <c r="BT796" s="64"/>
      <c r="BU796" s="64"/>
      <c r="BV796" s="46"/>
    </row>
    <row r="797" spans="2:74" x14ac:dyDescent="0.8">
      <c r="B797" s="46"/>
      <c r="C797" s="62"/>
      <c r="F797" s="70"/>
      <c r="G797" s="86"/>
      <c r="H797" s="70"/>
      <c r="I797" s="86"/>
      <c r="J797" s="182"/>
      <c r="K797" s="300"/>
      <c r="R797" s="58"/>
      <c r="S797" s="58"/>
      <c r="X797" s="57"/>
      <c r="Y797" s="46"/>
      <c r="Z797" s="57"/>
      <c r="AA797" s="46"/>
      <c r="AM797" s="64"/>
      <c r="AO797" s="46"/>
      <c r="AQ797" s="67"/>
      <c r="AT797" s="46"/>
      <c r="BC797" s="48"/>
      <c r="BF797" s="46"/>
      <c r="BL797" s="121"/>
      <c r="BM797" s="57"/>
      <c r="BN797" s="64"/>
      <c r="BO797" s="64"/>
      <c r="BP797" s="64"/>
      <c r="BQ797" s="64"/>
      <c r="BR797" s="57"/>
      <c r="BS797" s="64"/>
      <c r="BT797" s="64"/>
      <c r="BU797" s="64"/>
      <c r="BV797" s="46"/>
    </row>
    <row r="798" spans="2:74" x14ac:dyDescent="0.8">
      <c r="B798" s="46"/>
      <c r="C798" s="62"/>
      <c r="F798" s="70"/>
      <c r="G798" s="86"/>
      <c r="L798" s="117"/>
      <c r="M798" s="118"/>
      <c r="R798" s="58"/>
      <c r="S798" s="58"/>
      <c r="AA798" s="46"/>
      <c r="AQ798" s="67"/>
      <c r="AT798" s="46"/>
      <c r="AY798" s="57"/>
      <c r="AZ798" s="64"/>
      <c r="BA798" s="46"/>
      <c r="BB798" s="46"/>
      <c r="BC798" s="48"/>
      <c r="BF798" s="46"/>
      <c r="BL798" s="121"/>
      <c r="BM798" s="57"/>
      <c r="BN798" s="64"/>
      <c r="BO798" s="64"/>
      <c r="BP798" s="64"/>
      <c r="BQ798" s="64"/>
      <c r="BR798" s="57"/>
      <c r="BS798" s="64"/>
      <c r="BT798" s="64"/>
      <c r="BU798" s="64"/>
      <c r="BV798" s="46"/>
    </row>
    <row r="799" spans="2:74" x14ac:dyDescent="0.8">
      <c r="B799" s="46"/>
      <c r="C799" s="62"/>
      <c r="F799" s="70"/>
      <c r="G799" s="86"/>
      <c r="L799" s="117"/>
      <c r="M799" s="118"/>
      <c r="R799" s="58"/>
      <c r="S799" s="58"/>
      <c r="AA799" s="46"/>
      <c r="AQ799" s="67"/>
      <c r="AT799" s="46"/>
      <c r="AY799" s="57"/>
      <c r="AZ799" s="64"/>
      <c r="BA799" s="46"/>
      <c r="BB799" s="46"/>
      <c r="BC799" s="48"/>
      <c r="BF799" s="46"/>
      <c r="BL799" s="121"/>
      <c r="BM799" s="57"/>
      <c r="BN799" s="64"/>
      <c r="BO799" s="64"/>
      <c r="BP799" s="64"/>
      <c r="BQ799" s="64"/>
      <c r="BR799" s="57"/>
      <c r="BS799" s="64"/>
      <c r="BT799" s="64"/>
      <c r="BU799" s="64"/>
      <c r="BV799" s="46"/>
    </row>
    <row r="800" spans="2:74" x14ac:dyDescent="0.8">
      <c r="B800" s="46"/>
      <c r="C800" s="62"/>
      <c r="F800" s="70"/>
      <c r="G800" s="86"/>
      <c r="L800" s="117"/>
      <c r="M800" s="118"/>
      <c r="R800" s="58"/>
      <c r="S800" s="58"/>
      <c r="AA800" s="46"/>
      <c r="AQ800" s="67"/>
      <c r="AT800" s="46"/>
      <c r="AY800" s="57"/>
      <c r="AZ800" s="64"/>
      <c r="BA800" s="46"/>
      <c r="BB800" s="46"/>
      <c r="BC800" s="48"/>
      <c r="BF800" s="46"/>
      <c r="BL800" s="121"/>
      <c r="BM800" s="57"/>
      <c r="BN800" s="64"/>
      <c r="BO800" s="64"/>
      <c r="BP800" s="64"/>
      <c r="BQ800" s="64"/>
      <c r="BR800" s="57"/>
      <c r="BS800" s="64"/>
      <c r="BT800" s="64"/>
      <c r="BU800" s="64"/>
      <c r="BV800" s="46"/>
    </row>
    <row r="801" spans="2:74" x14ac:dyDescent="0.8">
      <c r="B801" s="46"/>
      <c r="C801" s="62"/>
      <c r="F801" s="70"/>
      <c r="G801" s="86"/>
      <c r="H801" s="70"/>
      <c r="I801" s="86"/>
      <c r="J801" s="71"/>
      <c r="K801" s="59"/>
      <c r="N801" s="58"/>
      <c r="O801" s="58"/>
      <c r="P801" s="58"/>
      <c r="Q801" s="59"/>
      <c r="R801" s="58"/>
      <c r="S801" s="58"/>
      <c r="T801" s="143"/>
      <c r="U801" s="144"/>
      <c r="V801" s="143"/>
      <c r="X801" s="135"/>
      <c r="Y801" s="136"/>
      <c r="AA801" s="136"/>
      <c r="AD801" s="143"/>
      <c r="AF801" s="71"/>
      <c r="AH801" s="71"/>
      <c r="AJ801" s="143"/>
      <c r="AL801" s="71"/>
      <c r="AN801" s="71"/>
      <c r="AP801" s="137"/>
      <c r="AQ801" s="67"/>
      <c r="AT801" s="46"/>
      <c r="BB801" s="46"/>
      <c r="BC801" s="48"/>
      <c r="BF801" s="46"/>
      <c r="BL801" s="121"/>
      <c r="BM801" s="57"/>
      <c r="BN801" s="64"/>
      <c r="BO801" s="64"/>
      <c r="BP801" s="64"/>
      <c r="BQ801" s="64"/>
      <c r="BR801" s="57"/>
      <c r="BS801" s="64"/>
      <c r="BT801" s="64"/>
      <c r="BU801" s="64"/>
      <c r="BV801" s="46"/>
    </row>
    <row r="802" spans="2:74" x14ac:dyDescent="0.8">
      <c r="B802" s="46"/>
      <c r="C802" s="62"/>
      <c r="F802" s="70"/>
      <c r="G802" s="86"/>
      <c r="H802" s="70"/>
      <c r="I802" s="86"/>
      <c r="L802" s="117"/>
      <c r="M802" s="118"/>
      <c r="R802" s="58"/>
      <c r="S802" s="58"/>
      <c r="T802" s="140"/>
      <c r="V802" s="140"/>
      <c r="X802" s="135"/>
      <c r="Y802" s="139"/>
      <c r="AA802" s="136"/>
      <c r="AD802" s="140"/>
      <c r="AJ802" s="140"/>
      <c r="AL802" s="68"/>
      <c r="AQ802" s="67"/>
      <c r="AT802" s="46"/>
      <c r="AY802" s="57"/>
      <c r="AZ802" s="64"/>
      <c r="BA802" s="46"/>
      <c r="BB802" s="46"/>
      <c r="BC802" s="48"/>
      <c r="BF802" s="46"/>
      <c r="BL802" s="121"/>
      <c r="BM802" s="57"/>
      <c r="BN802" s="64"/>
      <c r="BO802" s="64"/>
      <c r="BP802" s="64"/>
      <c r="BQ802" s="64"/>
      <c r="BR802" s="57"/>
      <c r="BS802" s="64"/>
      <c r="BT802" s="64"/>
      <c r="BU802" s="64"/>
      <c r="BV802" s="46"/>
    </row>
    <row r="803" spans="2:74" x14ac:dyDescent="0.8">
      <c r="B803" s="46"/>
      <c r="C803" s="62"/>
      <c r="L803" s="117"/>
      <c r="M803" s="118"/>
      <c r="X803" s="87"/>
      <c r="Y803" s="120"/>
      <c r="AL803" s="68"/>
      <c r="AM803" s="64"/>
      <c r="AO803" s="46"/>
      <c r="AQ803" s="67"/>
      <c r="AT803" s="46"/>
      <c r="AY803" s="57"/>
      <c r="AZ803" s="64"/>
      <c r="BA803" s="46"/>
      <c r="BB803" s="46"/>
      <c r="BC803" s="48"/>
      <c r="BF803" s="46"/>
      <c r="BL803" s="121"/>
      <c r="BM803" s="57"/>
      <c r="BN803" s="64"/>
      <c r="BO803" s="64"/>
      <c r="BP803" s="64"/>
      <c r="BQ803" s="64"/>
      <c r="BR803" s="57"/>
      <c r="BS803" s="64"/>
      <c r="BT803" s="64"/>
      <c r="BU803" s="64"/>
      <c r="BV803" s="46"/>
    </row>
    <row r="804" spans="2:74" x14ac:dyDescent="0.8">
      <c r="B804" s="46"/>
      <c r="C804" s="62"/>
      <c r="F804" s="70"/>
      <c r="G804" s="86"/>
      <c r="H804" s="70"/>
      <c r="I804" s="86"/>
      <c r="J804" s="64"/>
      <c r="K804" s="64"/>
      <c r="L804" s="117"/>
      <c r="M804" s="118"/>
      <c r="R804" s="58"/>
      <c r="S804" s="58"/>
      <c r="T804" s="140"/>
      <c r="V804" s="140"/>
      <c r="X804" s="135"/>
      <c r="Y804" s="139"/>
      <c r="AA804" s="136"/>
      <c r="AD804" s="140"/>
      <c r="AJ804" s="140"/>
      <c r="AL804" s="68"/>
      <c r="AQ804" s="67"/>
      <c r="AT804" s="46"/>
      <c r="AY804" s="57"/>
      <c r="AZ804" s="64"/>
      <c r="BA804" s="46"/>
      <c r="BB804" s="46"/>
      <c r="BC804" s="48"/>
      <c r="BF804" s="46"/>
      <c r="BL804" s="121"/>
      <c r="BM804" s="57"/>
      <c r="BN804" s="64"/>
      <c r="BO804" s="64"/>
      <c r="BP804" s="64"/>
      <c r="BQ804" s="64"/>
      <c r="BR804" s="57"/>
      <c r="BS804" s="64"/>
      <c r="BT804" s="64"/>
      <c r="BU804" s="64"/>
      <c r="BV804" s="46"/>
    </row>
    <row r="805" spans="2:74" x14ac:dyDescent="0.8">
      <c r="B805" s="46"/>
      <c r="C805" s="62"/>
      <c r="L805" s="117"/>
      <c r="M805" s="118"/>
      <c r="T805" s="140"/>
      <c r="V805" s="140"/>
      <c r="X805" s="179"/>
      <c r="AJ805" s="140"/>
      <c r="AQ805" s="67"/>
      <c r="AT805" s="46"/>
      <c r="AY805" s="57"/>
      <c r="AZ805" s="64"/>
      <c r="BA805" s="46"/>
      <c r="BB805" s="46"/>
      <c r="BC805" s="48"/>
      <c r="BF805" s="46"/>
      <c r="BL805" s="121"/>
      <c r="BM805" s="57"/>
      <c r="BN805" s="64"/>
      <c r="BO805" s="64"/>
      <c r="BP805" s="64"/>
      <c r="BQ805" s="64"/>
      <c r="BR805" s="57"/>
      <c r="BS805" s="64"/>
      <c r="BT805" s="64"/>
      <c r="BU805" s="64"/>
      <c r="BV805" s="46"/>
    </row>
    <row r="806" spans="2:74" x14ac:dyDescent="0.8">
      <c r="B806" s="46"/>
      <c r="C806" s="62"/>
      <c r="F806" s="70"/>
      <c r="G806" s="86"/>
      <c r="L806" s="117"/>
      <c r="M806" s="118"/>
      <c r="R806" s="58"/>
      <c r="S806" s="58"/>
      <c r="T806" s="140"/>
      <c r="V806" s="140"/>
      <c r="X806" s="176"/>
      <c r="Y806" s="139"/>
      <c r="AA806" s="136"/>
      <c r="AD806" s="140"/>
      <c r="AJ806" s="140"/>
      <c r="AL806" s="68"/>
      <c r="AQ806" s="67"/>
      <c r="AT806" s="46"/>
      <c r="AY806" s="57"/>
      <c r="AZ806" s="64"/>
      <c r="BA806" s="46"/>
      <c r="BB806" s="46"/>
      <c r="BC806" s="48"/>
      <c r="BF806" s="46"/>
      <c r="BL806" s="121"/>
      <c r="BM806" s="57"/>
      <c r="BN806" s="64"/>
      <c r="BO806" s="64"/>
      <c r="BP806" s="64"/>
      <c r="BQ806" s="64"/>
      <c r="BR806" s="57"/>
      <c r="BS806" s="64"/>
      <c r="BT806" s="64"/>
      <c r="BU806" s="64"/>
      <c r="BV806" s="46"/>
    </row>
    <row r="807" spans="2:74" x14ac:dyDescent="0.8">
      <c r="B807" s="46"/>
      <c r="C807" s="62"/>
      <c r="F807" s="70"/>
      <c r="G807" s="86"/>
      <c r="L807" s="117"/>
      <c r="M807" s="118"/>
      <c r="R807" s="58"/>
      <c r="S807" s="58"/>
      <c r="T807" s="140"/>
      <c r="V807" s="140"/>
      <c r="X807" s="176"/>
      <c r="Y807" s="139"/>
      <c r="AA807" s="136"/>
      <c r="AD807" s="140"/>
      <c r="AJ807" s="140"/>
      <c r="AL807" s="68"/>
      <c r="AQ807" s="67"/>
      <c r="AT807" s="46"/>
      <c r="AY807" s="57"/>
      <c r="AZ807" s="64"/>
      <c r="BA807" s="46"/>
      <c r="BB807" s="46"/>
      <c r="BC807" s="48"/>
      <c r="BF807" s="46"/>
      <c r="BL807" s="121"/>
      <c r="BM807" s="57"/>
      <c r="BN807" s="64"/>
      <c r="BO807" s="64"/>
      <c r="BP807" s="64"/>
      <c r="BQ807" s="64"/>
      <c r="BR807" s="57"/>
      <c r="BS807" s="64"/>
      <c r="BT807" s="64"/>
      <c r="BU807" s="64"/>
      <c r="BV807" s="46"/>
    </row>
    <row r="808" spans="2:74" x14ac:dyDescent="0.8">
      <c r="B808" s="46"/>
      <c r="C808" s="62"/>
      <c r="L808" s="117"/>
      <c r="M808" s="118"/>
      <c r="T808" s="140"/>
      <c r="X808" s="129"/>
      <c r="Y808" s="120"/>
      <c r="AL808" s="68"/>
      <c r="AQ808" s="67"/>
      <c r="AT808" s="46"/>
      <c r="AY808" s="57"/>
      <c r="AZ808" s="64"/>
      <c r="BA808" s="46"/>
      <c r="BB808" s="46"/>
      <c r="BC808" s="48"/>
      <c r="BF808" s="46"/>
      <c r="BL808" s="121"/>
      <c r="BM808" s="57"/>
      <c r="BN808" s="64"/>
      <c r="BO808" s="64"/>
      <c r="BP808" s="64"/>
      <c r="BQ808" s="64"/>
      <c r="BR808" s="57"/>
      <c r="BS808" s="64"/>
      <c r="BT808" s="64"/>
      <c r="BU808" s="64"/>
      <c r="BV808" s="46"/>
    </row>
    <row r="809" spans="2:74" x14ac:dyDescent="0.8">
      <c r="B809" s="46"/>
      <c r="C809" s="62"/>
      <c r="F809" s="70"/>
      <c r="G809" s="86"/>
      <c r="L809" s="117"/>
      <c r="M809" s="118"/>
      <c r="R809" s="58"/>
      <c r="S809" s="58"/>
      <c r="T809" s="140"/>
      <c r="AQ809" s="67"/>
      <c r="AT809" s="46"/>
      <c r="AY809" s="57"/>
      <c r="AZ809" s="64"/>
      <c r="BA809" s="46"/>
      <c r="BB809" s="46"/>
      <c r="BC809" s="48"/>
      <c r="BF809" s="46"/>
      <c r="BL809" s="121"/>
      <c r="BM809" s="57"/>
      <c r="BN809" s="64"/>
      <c r="BO809" s="64"/>
      <c r="BP809" s="64"/>
      <c r="BQ809" s="64"/>
      <c r="BR809" s="57"/>
      <c r="BS809" s="64"/>
      <c r="BT809" s="64"/>
      <c r="BU809" s="64"/>
      <c r="BV809" s="46"/>
    </row>
    <row r="810" spans="2:74" x14ac:dyDescent="0.8">
      <c r="B810" s="46"/>
      <c r="C810" s="62"/>
      <c r="F810" s="70"/>
      <c r="G810" s="86"/>
      <c r="L810" s="117"/>
      <c r="M810" s="118"/>
      <c r="R810" s="58"/>
      <c r="S810" s="58"/>
      <c r="T810" s="140"/>
      <c r="AQ810" s="67"/>
      <c r="AT810" s="46"/>
      <c r="AY810" s="57"/>
      <c r="AZ810" s="64"/>
      <c r="BA810" s="46"/>
      <c r="BB810" s="46"/>
      <c r="BC810" s="48"/>
      <c r="BF810" s="46"/>
      <c r="BL810" s="121"/>
      <c r="BM810" s="57"/>
      <c r="BN810" s="64"/>
      <c r="BO810" s="64"/>
      <c r="BP810" s="64"/>
      <c r="BQ810" s="64"/>
      <c r="BR810" s="57"/>
      <c r="BS810" s="64"/>
      <c r="BT810" s="64"/>
      <c r="BU810" s="64"/>
      <c r="BV810" s="46"/>
    </row>
    <row r="811" spans="2:74" x14ac:dyDescent="0.8">
      <c r="B811" s="46"/>
      <c r="C811" s="62"/>
      <c r="F811" s="70"/>
      <c r="G811" s="86"/>
      <c r="L811" s="117"/>
      <c r="M811" s="118"/>
      <c r="R811" s="58"/>
      <c r="S811" s="58"/>
      <c r="T811" s="140"/>
      <c r="AQ811" s="67"/>
      <c r="AT811" s="46"/>
      <c r="AY811" s="57"/>
      <c r="AZ811" s="64"/>
      <c r="BA811" s="46"/>
      <c r="BB811" s="46"/>
      <c r="BC811" s="48"/>
      <c r="BF811" s="46"/>
      <c r="BL811" s="121"/>
      <c r="BM811" s="57"/>
      <c r="BN811" s="64"/>
      <c r="BO811" s="64"/>
      <c r="BP811" s="64"/>
      <c r="BQ811" s="64"/>
      <c r="BR811" s="57"/>
      <c r="BS811" s="64"/>
      <c r="BT811" s="64"/>
      <c r="BU811" s="64"/>
      <c r="BV811" s="46"/>
    </row>
    <row r="812" spans="2:74" x14ac:dyDescent="0.8">
      <c r="B812" s="46"/>
      <c r="C812" s="62"/>
      <c r="L812" s="117"/>
      <c r="M812" s="118"/>
      <c r="R812" s="58"/>
      <c r="S812" s="58"/>
      <c r="T812" s="140"/>
      <c r="X812" s="129"/>
      <c r="Y812" s="120"/>
      <c r="AL812" s="68"/>
      <c r="AQ812" s="67"/>
      <c r="AT812" s="46"/>
      <c r="AY812" s="57"/>
      <c r="AZ812" s="64"/>
      <c r="BA812" s="46"/>
      <c r="BB812" s="46"/>
      <c r="BC812" s="48"/>
      <c r="BF812" s="46"/>
      <c r="BL812" s="121"/>
      <c r="BM812" s="57"/>
      <c r="BN812" s="64"/>
      <c r="BO812" s="64"/>
      <c r="BP812" s="64"/>
      <c r="BQ812" s="64"/>
      <c r="BR812" s="57"/>
      <c r="BS812" s="64"/>
      <c r="BT812" s="64"/>
      <c r="BU812" s="64"/>
      <c r="BV812" s="46"/>
    </row>
    <row r="813" spans="2:74" x14ac:dyDescent="0.8">
      <c r="B813" s="46"/>
      <c r="C813" s="62"/>
      <c r="L813" s="117"/>
      <c r="M813" s="118"/>
      <c r="T813" s="140"/>
      <c r="X813" s="129"/>
      <c r="Y813" s="120"/>
      <c r="AL813" s="68"/>
      <c r="AQ813" s="67"/>
      <c r="AT813" s="46"/>
      <c r="AY813" s="57"/>
      <c r="AZ813" s="64"/>
      <c r="BA813" s="46"/>
      <c r="BB813" s="46"/>
      <c r="BC813" s="48"/>
      <c r="BF813" s="46"/>
      <c r="BL813" s="121"/>
      <c r="BM813" s="57"/>
      <c r="BN813" s="64"/>
      <c r="BO813" s="64"/>
      <c r="BP813" s="64"/>
      <c r="BQ813" s="64"/>
      <c r="BR813" s="57"/>
      <c r="BS813" s="64"/>
      <c r="BT813" s="64"/>
      <c r="BU813" s="64"/>
      <c r="BV813" s="46"/>
    </row>
    <row r="814" spans="2:74" x14ac:dyDescent="0.8">
      <c r="B814" s="46"/>
      <c r="C814" s="62"/>
      <c r="F814" s="70"/>
      <c r="G814" s="86"/>
      <c r="L814" s="117"/>
      <c r="M814" s="118"/>
      <c r="R814" s="58"/>
      <c r="S814" s="58"/>
      <c r="T814" s="140"/>
      <c r="AQ814" s="67"/>
      <c r="AT814" s="46"/>
      <c r="AY814" s="57"/>
      <c r="AZ814" s="64"/>
      <c r="BA814" s="46"/>
      <c r="BB814" s="46"/>
      <c r="BC814" s="48"/>
      <c r="BF814" s="46"/>
      <c r="BL814" s="121"/>
      <c r="BM814" s="57"/>
      <c r="BN814" s="64"/>
      <c r="BO814" s="64"/>
      <c r="BP814" s="64"/>
      <c r="BQ814" s="64"/>
      <c r="BR814" s="57"/>
      <c r="BS814" s="64"/>
      <c r="BT814" s="64"/>
      <c r="BU814" s="64"/>
      <c r="BV814" s="46"/>
    </row>
    <row r="815" spans="2:74" x14ac:dyDescent="0.8">
      <c r="B815" s="46"/>
      <c r="C815" s="62"/>
      <c r="F815" s="70"/>
      <c r="G815" s="86"/>
      <c r="L815" s="117"/>
      <c r="M815" s="118"/>
      <c r="R815" s="58"/>
      <c r="S815" s="58"/>
      <c r="T815" s="140"/>
      <c r="AQ815" s="67"/>
      <c r="AT815" s="46"/>
      <c r="AY815" s="57"/>
      <c r="AZ815" s="64"/>
      <c r="BA815" s="46"/>
      <c r="BB815" s="46"/>
      <c r="BC815" s="48"/>
      <c r="BF815" s="46"/>
      <c r="BL815" s="121"/>
      <c r="BM815" s="57"/>
      <c r="BN815" s="64"/>
      <c r="BO815" s="64"/>
      <c r="BP815" s="64"/>
      <c r="BQ815" s="64"/>
      <c r="BR815" s="57"/>
      <c r="BS815" s="64"/>
      <c r="BT815" s="64"/>
      <c r="BU815" s="64"/>
      <c r="BV815" s="46"/>
    </row>
    <row r="816" spans="2:74" x14ac:dyDescent="0.8">
      <c r="B816" s="46"/>
      <c r="C816" s="62"/>
      <c r="X816" s="57"/>
      <c r="Y816" s="46"/>
      <c r="Z816" s="57"/>
      <c r="AA816" s="46"/>
      <c r="AM816" s="64"/>
      <c r="AO816" s="46"/>
      <c r="AQ816" s="67"/>
      <c r="AT816" s="46"/>
      <c r="AY816" s="57"/>
      <c r="AZ816" s="64"/>
      <c r="BA816" s="46"/>
      <c r="BC816" s="48"/>
      <c r="BF816" s="46"/>
      <c r="BL816" s="121"/>
      <c r="BM816" s="57"/>
      <c r="BN816" s="64"/>
      <c r="BO816" s="64"/>
      <c r="BP816" s="64"/>
      <c r="BQ816" s="64"/>
      <c r="BR816" s="57"/>
      <c r="BS816" s="64"/>
      <c r="BT816" s="64"/>
      <c r="BU816" s="64"/>
      <c r="BV816" s="46"/>
    </row>
    <row r="817" spans="2:74" x14ac:dyDescent="0.8">
      <c r="B817" s="46"/>
      <c r="C817" s="62"/>
      <c r="F817" s="70"/>
      <c r="G817" s="86"/>
      <c r="L817" s="117"/>
      <c r="M817" s="118"/>
      <c r="R817" s="58"/>
      <c r="S817" s="58"/>
      <c r="T817" s="140"/>
      <c r="AQ817" s="67"/>
      <c r="AT817" s="46"/>
      <c r="AY817" s="57"/>
      <c r="AZ817" s="64"/>
      <c r="BA817" s="46"/>
      <c r="BB817" s="46"/>
      <c r="BC817" s="48"/>
      <c r="BF817" s="46"/>
      <c r="BL817" s="121"/>
      <c r="BM817" s="57"/>
      <c r="BN817" s="64"/>
      <c r="BO817" s="64"/>
      <c r="BP817" s="64"/>
      <c r="BQ817" s="64"/>
      <c r="BR817" s="57"/>
      <c r="BS817" s="64"/>
      <c r="BT817" s="64"/>
      <c r="BU817" s="64"/>
      <c r="BV817" s="46"/>
    </row>
    <row r="818" spans="2:74" x14ac:dyDescent="0.8">
      <c r="B818" s="46"/>
      <c r="C818" s="62"/>
      <c r="F818" s="70"/>
      <c r="G818" s="86"/>
      <c r="H818" s="70"/>
      <c r="I818" s="86"/>
      <c r="L818" s="117"/>
      <c r="M818" s="118"/>
      <c r="R818" s="58"/>
      <c r="S818" s="58"/>
      <c r="T818" s="140"/>
      <c r="AQ818" s="67"/>
      <c r="AT818" s="46"/>
      <c r="AY818" s="57"/>
      <c r="AZ818" s="64"/>
      <c r="BA818" s="46"/>
      <c r="BB818" s="46"/>
      <c r="BC818" s="48"/>
      <c r="BF818" s="46"/>
      <c r="BL818" s="121"/>
      <c r="BM818" s="57"/>
      <c r="BN818" s="64"/>
      <c r="BO818" s="64"/>
      <c r="BP818" s="64"/>
      <c r="BQ818" s="64"/>
      <c r="BR818" s="57"/>
      <c r="BS818" s="64"/>
      <c r="BT818" s="64"/>
      <c r="BU818" s="64"/>
      <c r="BV818" s="46"/>
    </row>
    <row r="819" spans="2:74" x14ac:dyDescent="0.8">
      <c r="B819" s="46"/>
      <c r="C819" s="62"/>
      <c r="F819" s="70"/>
      <c r="G819" s="86"/>
      <c r="H819" s="70"/>
      <c r="I819" s="86"/>
      <c r="L819" s="117"/>
      <c r="M819" s="118"/>
      <c r="R819" s="58"/>
      <c r="S819" s="58"/>
      <c r="T819" s="140"/>
      <c r="AQ819" s="67"/>
      <c r="AT819" s="46"/>
      <c r="AY819" s="57"/>
      <c r="AZ819" s="64"/>
      <c r="BA819" s="46"/>
      <c r="BB819" s="46"/>
      <c r="BC819" s="48"/>
      <c r="BF819" s="46"/>
      <c r="BL819" s="121"/>
      <c r="BM819" s="57"/>
      <c r="BN819" s="64"/>
      <c r="BO819" s="64"/>
      <c r="BP819" s="64"/>
      <c r="BQ819" s="64"/>
      <c r="BR819" s="57"/>
      <c r="BS819" s="64"/>
      <c r="BT819" s="64"/>
      <c r="BU819" s="64"/>
      <c r="BV819" s="46"/>
    </row>
    <row r="820" spans="2:74" x14ac:dyDescent="0.8">
      <c r="B820" s="46"/>
      <c r="C820" s="62"/>
      <c r="F820" s="70"/>
      <c r="G820" s="86"/>
      <c r="J820" s="64"/>
      <c r="K820" s="64"/>
      <c r="L820" s="117"/>
      <c r="M820" s="118"/>
      <c r="R820" s="58"/>
      <c r="S820" s="58"/>
      <c r="T820" s="140"/>
      <c r="AQ820" s="67"/>
      <c r="AT820" s="46"/>
      <c r="AY820" s="57"/>
      <c r="AZ820" s="64"/>
      <c r="BA820" s="46"/>
      <c r="BB820" s="46"/>
      <c r="BC820" s="48"/>
      <c r="BF820" s="46"/>
      <c r="BL820" s="121"/>
      <c r="BM820" s="57"/>
      <c r="BN820" s="64"/>
      <c r="BO820" s="64"/>
      <c r="BP820" s="64"/>
      <c r="BQ820" s="64"/>
      <c r="BR820" s="57"/>
      <c r="BS820" s="64"/>
      <c r="BT820" s="64"/>
      <c r="BU820" s="64"/>
      <c r="BV820" s="46"/>
    </row>
    <row r="821" spans="2:74" x14ac:dyDescent="0.8">
      <c r="B821" s="46"/>
      <c r="C821" s="62"/>
      <c r="F821" s="70"/>
      <c r="G821" s="86"/>
      <c r="H821" s="70"/>
      <c r="I821" s="86"/>
      <c r="L821" s="117"/>
      <c r="M821" s="118"/>
      <c r="R821" s="58"/>
      <c r="S821" s="58"/>
      <c r="T821" s="140"/>
      <c r="X821" s="58"/>
      <c r="AQ821" s="67"/>
      <c r="AT821" s="46"/>
      <c r="AY821" s="57"/>
      <c r="AZ821" s="64"/>
      <c r="BA821" s="46"/>
      <c r="BB821" s="46"/>
      <c r="BC821" s="48"/>
      <c r="BF821" s="46"/>
      <c r="BL821" s="121"/>
      <c r="BM821" s="57"/>
      <c r="BN821" s="64"/>
      <c r="BO821" s="64"/>
      <c r="BP821" s="64"/>
      <c r="BQ821" s="64"/>
      <c r="BR821" s="57"/>
      <c r="BS821" s="64"/>
      <c r="BT821" s="64"/>
      <c r="BU821" s="64"/>
      <c r="BV821" s="46"/>
    </row>
    <row r="822" spans="2:74" x14ac:dyDescent="0.8">
      <c r="B822" s="46"/>
      <c r="C822" s="62"/>
      <c r="F822" s="70"/>
      <c r="G822" s="86"/>
      <c r="H822" s="70"/>
      <c r="I822" s="86"/>
      <c r="L822" s="117"/>
      <c r="M822" s="118"/>
      <c r="R822" s="58"/>
      <c r="S822" s="58"/>
      <c r="T822" s="140"/>
      <c r="X822" s="58"/>
      <c r="AQ822" s="67"/>
      <c r="AT822" s="46"/>
      <c r="AY822" s="57"/>
      <c r="AZ822" s="64"/>
      <c r="BA822" s="46"/>
      <c r="BB822" s="46"/>
      <c r="BC822" s="48"/>
      <c r="BF822" s="46"/>
      <c r="BL822" s="121"/>
      <c r="BM822" s="57"/>
      <c r="BN822" s="64"/>
      <c r="BO822" s="64"/>
      <c r="BP822" s="64"/>
      <c r="BQ822" s="64"/>
      <c r="BR822" s="57"/>
      <c r="BS822" s="64"/>
      <c r="BT822" s="64"/>
      <c r="BU822" s="64"/>
      <c r="BV822" s="46"/>
    </row>
    <row r="823" spans="2:74" x14ac:dyDescent="0.8">
      <c r="B823" s="46"/>
      <c r="C823" s="62"/>
      <c r="F823" s="70"/>
      <c r="G823" s="86"/>
      <c r="L823" s="117"/>
      <c r="M823" s="118"/>
      <c r="R823" s="58"/>
      <c r="S823" s="58"/>
      <c r="T823" s="140"/>
      <c r="X823" s="58"/>
      <c r="AQ823" s="67"/>
      <c r="AT823" s="46"/>
      <c r="AY823" s="57"/>
      <c r="AZ823" s="64"/>
      <c r="BA823" s="46"/>
      <c r="BB823" s="46"/>
      <c r="BC823" s="48"/>
      <c r="BF823" s="46"/>
      <c r="BL823" s="121"/>
      <c r="BM823" s="57"/>
      <c r="BN823" s="64"/>
      <c r="BO823" s="64"/>
      <c r="BP823" s="64"/>
      <c r="BQ823" s="64"/>
      <c r="BR823" s="57"/>
      <c r="BS823" s="64"/>
      <c r="BT823" s="64"/>
      <c r="BU823" s="64"/>
      <c r="BV823" s="46"/>
    </row>
    <row r="824" spans="2:74" x14ac:dyDescent="0.8">
      <c r="B824" s="46"/>
      <c r="C824" s="62"/>
      <c r="F824" s="70"/>
      <c r="G824" s="86"/>
      <c r="L824" s="117"/>
      <c r="M824" s="118"/>
      <c r="R824" s="58"/>
      <c r="S824" s="58"/>
      <c r="T824" s="140"/>
      <c r="AQ824" s="67"/>
      <c r="AT824" s="46"/>
      <c r="AY824" s="57"/>
      <c r="AZ824" s="64"/>
      <c r="BA824" s="46"/>
      <c r="BB824" s="46"/>
      <c r="BC824" s="48"/>
      <c r="BF824" s="46"/>
      <c r="BL824" s="121"/>
      <c r="BM824" s="57"/>
      <c r="BN824" s="64"/>
      <c r="BO824" s="64"/>
      <c r="BP824" s="64"/>
      <c r="BQ824" s="64"/>
      <c r="BR824" s="57"/>
      <c r="BS824" s="64"/>
      <c r="BT824" s="64"/>
      <c r="BU824" s="64"/>
      <c r="BV824" s="46"/>
    </row>
    <row r="825" spans="2:74" x14ac:dyDescent="0.8">
      <c r="B825" s="46"/>
      <c r="C825" s="62"/>
      <c r="F825" s="70"/>
      <c r="G825" s="86"/>
      <c r="R825" s="58"/>
      <c r="S825" s="58"/>
      <c r="X825" s="57"/>
      <c r="Y825" s="46"/>
      <c r="Z825" s="57"/>
      <c r="AA825" s="46"/>
      <c r="AM825" s="64"/>
      <c r="AO825" s="46"/>
      <c r="AQ825" s="67"/>
      <c r="AT825" s="46"/>
      <c r="BC825" s="48"/>
      <c r="BF825" s="46"/>
      <c r="BL825" s="121"/>
      <c r="BM825" s="57"/>
      <c r="BN825" s="64"/>
      <c r="BO825" s="64"/>
      <c r="BP825" s="64"/>
      <c r="BQ825" s="64"/>
      <c r="BR825" s="57"/>
      <c r="BS825" s="64"/>
      <c r="BT825" s="64"/>
      <c r="BU825" s="64"/>
      <c r="BV825" s="46"/>
    </row>
    <row r="826" spans="2:74" x14ac:dyDescent="0.8">
      <c r="B826" s="46"/>
      <c r="C826" s="62"/>
      <c r="F826" s="70"/>
      <c r="G826" s="86"/>
      <c r="R826" s="58"/>
      <c r="S826" s="58"/>
      <c r="X826" s="57"/>
      <c r="Y826" s="46"/>
      <c r="Z826" s="57"/>
      <c r="AA826" s="46"/>
      <c r="AM826" s="64"/>
      <c r="AO826" s="46"/>
      <c r="AQ826" s="67"/>
      <c r="AT826" s="46"/>
      <c r="BC826" s="48"/>
      <c r="BF826" s="46"/>
      <c r="BL826" s="121"/>
      <c r="BM826" s="57"/>
      <c r="BN826" s="64"/>
      <c r="BO826" s="64"/>
      <c r="BP826" s="64"/>
      <c r="BQ826" s="64"/>
      <c r="BR826" s="57"/>
      <c r="BS826" s="64"/>
      <c r="BT826" s="64"/>
      <c r="BU826" s="64"/>
      <c r="BV826" s="46"/>
    </row>
    <row r="827" spans="2:74" x14ac:dyDescent="0.8">
      <c r="B827" s="46"/>
      <c r="C827" s="62"/>
      <c r="F827" s="70"/>
      <c r="G827" s="86"/>
      <c r="H827" s="70"/>
      <c r="I827" s="86"/>
      <c r="L827" s="117"/>
      <c r="M827" s="118"/>
      <c r="R827" s="58"/>
      <c r="S827" s="58"/>
      <c r="AQ827" s="67"/>
      <c r="AT827" s="46"/>
      <c r="AY827" s="57"/>
      <c r="AZ827" s="64"/>
      <c r="BA827" s="46"/>
      <c r="BB827" s="46"/>
      <c r="BC827" s="48"/>
      <c r="BF827" s="46"/>
      <c r="BL827" s="121"/>
      <c r="BM827" s="57"/>
      <c r="BN827" s="64"/>
      <c r="BO827" s="64"/>
      <c r="BP827" s="64"/>
      <c r="BQ827" s="64"/>
      <c r="BR827" s="57"/>
      <c r="BS827" s="64"/>
      <c r="BT827" s="64"/>
      <c r="BU827" s="64"/>
      <c r="BV827" s="46"/>
    </row>
    <row r="828" spans="2:74" x14ac:dyDescent="0.8">
      <c r="B828" s="46"/>
      <c r="C828" s="62"/>
      <c r="F828" s="70"/>
      <c r="G828" s="86"/>
      <c r="R828" s="58"/>
      <c r="S828" s="58"/>
      <c r="X828" s="57"/>
      <c r="Y828" s="46"/>
      <c r="Z828" s="57"/>
      <c r="AA828" s="46"/>
      <c r="AM828" s="64"/>
      <c r="AO828" s="46"/>
      <c r="AQ828" s="67"/>
      <c r="AT828" s="46"/>
      <c r="BC828" s="48"/>
      <c r="BF828" s="46"/>
      <c r="BL828" s="121"/>
      <c r="BM828" s="57"/>
      <c r="BN828" s="64"/>
      <c r="BO828" s="64"/>
      <c r="BP828" s="64"/>
      <c r="BQ828" s="64"/>
      <c r="BR828" s="57"/>
      <c r="BS828" s="64"/>
      <c r="BT828" s="64"/>
      <c r="BU828" s="64"/>
      <c r="BV828" s="46"/>
    </row>
    <row r="829" spans="2:74" x14ac:dyDescent="0.8">
      <c r="B829" s="46"/>
      <c r="C829" s="62"/>
      <c r="F829" s="70"/>
      <c r="G829" s="86"/>
      <c r="R829" s="58"/>
      <c r="S829" s="58"/>
      <c r="X829" s="57"/>
      <c r="Y829" s="46"/>
      <c r="Z829" s="57"/>
      <c r="AA829" s="46"/>
      <c r="AM829" s="64"/>
      <c r="AO829" s="46"/>
      <c r="AQ829" s="67"/>
      <c r="AT829" s="46"/>
      <c r="BC829" s="48"/>
      <c r="BF829" s="46"/>
      <c r="BL829" s="121"/>
      <c r="BM829" s="57"/>
      <c r="BN829" s="64"/>
      <c r="BO829" s="64"/>
      <c r="BP829" s="64"/>
      <c r="BQ829" s="64"/>
      <c r="BR829" s="57"/>
      <c r="BS829" s="64"/>
      <c r="BT829" s="64"/>
      <c r="BU829" s="64"/>
      <c r="BV829" s="46"/>
    </row>
    <row r="830" spans="2:74" x14ac:dyDescent="0.8">
      <c r="B830" s="46"/>
      <c r="C830" s="62"/>
      <c r="F830" s="70"/>
      <c r="G830" s="86"/>
      <c r="R830" s="58"/>
      <c r="S830" s="58"/>
      <c r="X830" s="57"/>
      <c r="Y830" s="46"/>
      <c r="Z830" s="57"/>
      <c r="AA830" s="46"/>
      <c r="AM830" s="64"/>
      <c r="AO830" s="46"/>
      <c r="AQ830" s="67"/>
      <c r="AT830" s="46"/>
      <c r="BC830" s="48"/>
      <c r="BF830" s="46"/>
      <c r="BL830" s="121"/>
      <c r="BM830" s="57"/>
      <c r="BN830" s="64"/>
      <c r="BO830" s="64"/>
      <c r="BP830" s="64"/>
      <c r="BQ830" s="64"/>
      <c r="BR830" s="57"/>
      <c r="BS830" s="64"/>
      <c r="BT830" s="64"/>
      <c r="BU830" s="64"/>
      <c r="BV830" s="46"/>
    </row>
    <row r="831" spans="2:74" x14ac:dyDescent="0.8">
      <c r="B831" s="46"/>
      <c r="C831" s="62"/>
      <c r="F831" s="70"/>
      <c r="G831" s="86"/>
      <c r="R831" s="58"/>
      <c r="S831" s="58"/>
      <c r="X831" s="57"/>
      <c r="Y831" s="46"/>
      <c r="Z831" s="57"/>
      <c r="AA831" s="46"/>
      <c r="AM831" s="64"/>
      <c r="AO831" s="46"/>
      <c r="AQ831" s="67"/>
      <c r="AT831" s="46"/>
      <c r="BC831" s="48"/>
      <c r="BF831" s="46"/>
      <c r="BL831" s="121"/>
      <c r="BM831" s="57"/>
      <c r="BN831" s="64"/>
      <c r="BO831" s="64"/>
      <c r="BP831" s="64"/>
      <c r="BQ831" s="64"/>
      <c r="BR831" s="57"/>
      <c r="BS831" s="64"/>
      <c r="BT831" s="64"/>
      <c r="BU831" s="64"/>
      <c r="BV831" s="46"/>
    </row>
    <row r="832" spans="2:74" x14ac:dyDescent="0.8">
      <c r="B832" s="46"/>
      <c r="C832" s="62"/>
      <c r="F832" s="70"/>
      <c r="G832" s="86"/>
      <c r="R832" s="58"/>
      <c r="S832" s="58"/>
      <c r="X832" s="57"/>
      <c r="Y832" s="46"/>
      <c r="Z832" s="57"/>
      <c r="AA832" s="46"/>
      <c r="AM832" s="64"/>
      <c r="AO832" s="46"/>
      <c r="AQ832" s="67"/>
      <c r="AT832" s="46"/>
      <c r="BC832" s="48"/>
      <c r="BF832" s="46"/>
      <c r="BL832" s="121"/>
      <c r="BM832" s="57"/>
      <c r="BN832" s="64"/>
      <c r="BO832" s="64"/>
      <c r="BP832" s="64"/>
      <c r="BQ832" s="64"/>
      <c r="BR832" s="57"/>
      <c r="BS832" s="64"/>
      <c r="BT832" s="64"/>
      <c r="BU832" s="64"/>
      <c r="BV832" s="46"/>
    </row>
    <row r="833" spans="2:74" x14ac:dyDescent="0.8">
      <c r="B833" s="46"/>
      <c r="C833" s="62"/>
      <c r="F833" s="70"/>
      <c r="G833" s="86"/>
      <c r="R833" s="58"/>
      <c r="S833" s="58"/>
      <c r="X833" s="57"/>
      <c r="Y833" s="46"/>
      <c r="Z833" s="57"/>
      <c r="AA833" s="46"/>
      <c r="AM833" s="64"/>
      <c r="AO833" s="46"/>
      <c r="AQ833" s="67"/>
      <c r="AT833" s="46"/>
      <c r="BC833" s="48"/>
      <c r="BF833" s="46"/>
      <c r="BL833" s="121"/>
      <c r="BM833" s="57"/>
      <c r="BN833" s="64"/>
      <c r="BO833" s="64"/>
      <c r="BP833" s="64"/>
      <c r="BQ833" s="64"/>
      <c r="BR833" s="57"/>
      <c r="BS833" s="64"/>
      <c r="BT833" s="64"/>
      <c r="BU833" s="64"/>
      <c r="BV833" s="46"/>
    </row>
    <row r="834" spans="2:74" x14ac:dyDescent="0.8">
      <c r="B834" s="46"/>
      <c r="C834" s="62"/>
      <c r="F834" s="70"/>
      <c r="G834" s="86"/>
      <c r="R834" s="58"/>
      <c r="S834" s="58"/>
      <c r="X834" s="57"/>
      <c r="Y834" s="46"/>
      <c r="Z834" s="57"/>
      <c r="AA834" s="46"/>
      <c r="AM834" s="64"/>
      <c r="AO834" s="46"/>
      <c r="AQ834" s="67"/>
      <c r="AT834" s="46"/>
      <c r="BC834" s="48"/>
      <c r="BF834" s="46"/>
      <c r="BL834" s="121"/>
      <c r="BM834" s="57"/>
      <c r="BN834" s="64"/>
      <c r="BO834" s="64"/>
      <c r="BP834" s="64"/>
      <c r="BQ834" s="64"/>
      <c r="BR834" s="57"/>
      <c r="BS834" s="64"/>
      <c r="BT834" s="64"/>
      <c r="BU834" s="64"/>
      <c r="BV834" s="46"/>
    </row>
    <row r="835" spans="2:74" x14ac:dyDescent="0.8">
      <c r="B835" s="46"/>
      <c r="C835" s="62"/>
      <c r="F835" s="70"/>
      <c r="G835" s="86"/>
      <c r="R835" s="58"/>
      <c r="S835" s="58"/>
      <c r="X835" s="57"/>
      <c r="Y835" s="46"/>
      <c r="Z835" s="57"/>
      <c r="AA835" s="46"/>
      <c r="AM835" s="64"/>
      <c r="AO835" s="46"/>
      <c r="AQ835" s="67"/>
      <c r="AT835" s="46"/>
      <c r="BC835" s="48"/>
      <c r="BF835" s="46"/>
      <c r="BL835" s="121"/>
      <c r="BM835" s="57"/>
      <c r="BN835" s="64"/>
      <c r="BO835" s="64"/>
      <c r="BP835" s="64"/>
      <c r="BQ835" s="64"/>
      <c r="BR835" s="57"/>
      <c r="BS835" s="64"/>
      <c r="BT835" s="64"/>
      <c r="BU835" s="64"/>
      <c r="BV835" s="46"/>
    </row>
    <row r="836" spans="2:74" x14ac:dyDescent="0.8">
      <c r="B836" s="46"/>
      <c r="C836" s="62"/>
      <c r="F836" s="70"/>
      <c r="G836" s="86"/>
      <c r="J836" s="64"/>
      <c r="K836" s="64"/>
      <c r="R836" s="58"/>
      <c r="S836" s="58"/>
      <c r="X836" s="57"/>
      <c r="Y836" s="46"/>
      <c r="Z836" s="57"/>
      <c r="AA836" s="46"/>
      <c r="AM836" s="64"/>
      <c r="AO836" s="46"/>
      <c r="AQ836" s="67"/>
      <c r="AT836" s="46"/>
      <c r="BC836" s="48"/>
      <c r="BF836" s="46"/>
      <c r="BL836" s="121"/>
      <c r="BM836" s="57"/>
      <c r="BN836" s="64"/>
      <c r="BO836" s="64"/>
      <c r="BP836" s="64"/>
      <c r="BQ836" s="64"/>
      <c r="BR836" s="57"/>
      <c r="BS836" s="64"/>
      <c r="BT836" s="64"/>
      <c r="BU836" s="64"/>
      <c r="BV836" s="46"/>
    </row>
    <row r="837" spans="2:74" x14ac:dyDescent="0.8">
      <c r="B837" s="46"/>
      <c r="C837" s="62"/>
      <c r="F837" s="70"/>
      <c r="G837" s="86"/>
      <c r="R837" s="58"/>
      <c r="S837" s="58"/>
      <c r="X837" s="64"/>
      <c r="Y837" s="46"/>
      <c r="Z837" s="57"/>
      <c r="AA837" s="46"/>
      <c r="AM837" s="64"/>
      <c r="AO837" s="46"/>
      <c r="AQ837" s="67"/>
      <c r="AT837" s="46"/>
      <c r="BC837" s="48"/>
      <c r="BF837" s="46"/>
      <c r="BL837" s="121"/>
      <c r="BM837" s="57"/>
      <c r="BN837" s="64"/>
      <c r="BO837" s="64"/>
      <c r="BP837" s="64"/>
      <c r="BQ837" s="64"/>
      <c r="BR837" s="57"/>
      <c r="BS837" s="64"/>
      <c r="BT837" s="64"/>
      <c r="BU837" s="64"/>
      <c r="BV837" s="46"/>
    </row>
    <row r="838" spans="2:74" x14ac:dyDescent="0.8">
      <c r="B838" s="46"/>
      <c r="C838" s="62"/>
      <c r="F838" s="70"/>
      <c r="G838" s="86"/>
      <c r="H838" s="70"/>
      <c r="I838" s="86"/>
      <c r="R838" s="58"/>
      <c r="S838" s="58"/>
      <c r="X838" s="64"/>
      <c r="Y838" s="46"/>
      <c r="Z838" s="57"/>
      <c r="AA838" s="46"/>
      <c r="AM838" s="64"/>
      <c r="AO838" s="46"/>
      <c r="AQ838" s="67"/>
      <c r="AT838" s="46"/>
      <c r="BC838" s="48"/>
      <c r="BF838" s="46"/>
      <c r="BL838" s="121"/>
      <c r="BM838" s="57"/>
      <c r="BN838" s="64"/>
      <c r="BO838" s="64"/>
      <c r="BP838" s="64"/>
      <c r="BQ838" s="64"/>
      <c r="BR838" s="57"/>
      <c r="BS838" s="64"/>
      <c r="BT838" s="64"/>
      <c r="BU838" s="64"/>
      <c r="BV838" s="46"/>
    </row>
    <row r="839" spans="2:74" x14ac:dyDescent="0.8">
      <c r="B839" s="46"/>
      <c r="C839" s="62"/>
      <c r="F839" s="70"/>
      <c r="G839" s="86"/>
      <c r="R839" s="58"/>
      <c r="S839" s="58"/>
      <c r="X839" s="64"/>
      <c r="Y839" s="46"/>
      <c r="Z839" s="57"/>
      <c r="AA839" s="46"/>
      <c r="AM839" s="64"/>
      <c r="AO839" s="46"/>
      <c r="AQ839" s="67"/>
      <c r="AT839" s="46"/>
      <c r="BC839" s="48"/>
      <c r="BF839" s="46"/>
      <c r="BL839" s="121"/>
      <c r="BM839" s="57"/>
      <c r="BN839" s="64"/>
      <c r="BO839" s="64"/>
      <c r="BP839" s="64"/>
      <c r="BQ839" s="64"/>
      <c r="BR839" s="57"/>
      <c r="BS839" s="64"/>
      <c r="BT839" s="64"/>
      <c r="BU839" s="64"/>
      <c r="BV839" s="46"/>
    </row>
    <row r="840" spans="2:74" x14ac:dyDescent="0.8">
      <c r="B840" s="46"/>
      <c r="C840" s="62"/>
      <c r="F840" s="70"/>
      <c r="G840" s="86"/>
      <c r="R840" s="58"/>
      <c r="S840" s="58"/>
      <c r="X840" s="57"/>
      <c r="Y840" s="46"/>
      <c r="Z840" s="57"/>
      <c r="AA840" s="46"/>
      <c r="AM840" s="64"/>
      <c r="AO840" s="46"/>
      <c r="AQ840" s="67"/>
      <c r="AT840" s="46"/>
      <c r="BC840" s="48"/>
      <c r="BF840" s="46"/>
      <c r="BL840" s="121"/>
      <c r="BM840" s="57"/>
      <c r="BN840" s="64"/>
      <c r="BO840" s="64"/>
      <c r="BP840" s="64"/>
      <c r="BQ840" s="64"/>
      <c r="BR840" s="57"/>
      <c r="BS840" s="64"/>
      <c r="BT840" s="64"/>
      <c r="BU840" s="64"/>
      <c r="BV840" s="46"/>
    </row>
    <row r="841" spans="2:74" x14ac:dyDescent="0.8">
      <c r="B841" s="46"/>
      <c r="C841" s="62"/>
      <c r="F841" s="70"/>
      <c r="G841" s="86"/>
      <c r="R841" s="58"/>
      <c r="S841" s="58"/>
      <c r="X841" s="57"/>
      <c r="Y841" s="46"/>
      <c r="Z841" s="57"/>
      <c r="AA841" s="46"/>
      <c r="AM841" s="64"/>
      <c r="AO841" s="46"/>
      <c r="AQ841" s="67"/>
      <c r="AT841" s="46"/>
      <c r="BC841" s="48"/>
      <c r="BF841" s="46"/>
      <c r="BL841" s="121"/>
      <c r="BM841" s="57"/>
      <c r="BN841" s="64"/>
      <c r="BO841" s="64"/>
      <c r="BP841" s="64"/>
      <c r="BQ841" s="64"/>
      <c r="BR841" s="57"/>
      <c r="BS841" s="64"/>
      <c r="BT841" s="64"/>
      <c r="BU841" s="64"/>
      <c r="BV841" s="46"/>
    </row>
    <row r="842" spans="2:74" x14ac:dyDescent="0.8">
      <c r="B842" s="46"/>
      <c r="C842" s="62"/>
      <c r="F842" s="70"/>
      <c r="G842" s="86"/>
      <c r="R842" s="58"/>
      <c r="S842" s="58"/>
      <c r="X842" s="57"/>
      <c r="Y842" s="46"/>
      <c r="Z842" s="57"/>
      <c r="AA842" s="46"/>
      <c r="AM842" s="64"/>
      <c r="AO842" s="46"/>
      <c r="AQ842" s="67"/>
      <c r="AT842" s="46"/>
      <c r="BC842" s="48"/>
      <c r="BF842" s="46"/>
      <c r="BL842" s="121"/>
      <c r="BM842" s="57"/>
      <c r="BN842" s="64"/>
      <c r="BO842" s="64"/>
      <c r="BP842" s="64"/>
      <c r="BQ842" s="64"/>
      <c r="BR842" s="57"/>
      <c r="BS842" s="64"/>
      <c r="BT842" s="64"/>
      <c r="BU842" s="64"/>
      <c r="BV842" s="46"/>
    </row>
    <row r="843" spans="2:74" x14ac:dyDescent="0.8">
      <c r="B843" s="46"/>
      <c r="C843" s="62"/>
      <c r="F843" s="70"/>
      <c r="G843" s="86"/>
      <c r="H843" s="70"/>
      <c r="I843" s="86"/>
      <c r="R843" s="58"/>
      <c r="S843" s="58"/>
      <c r="X843" s="57"/>
      <c r="Y843" s="46"/>
      <c r="Z843" s="57"/>
      <c r="AA843" s="46"/>
      <c r="AM843" s="64"/>
      <c r="AO843" s="46"/>
      <c r="AQ843" s="67"/>
      <c r="AT843" s="46"/>
      <c r="BC843" s="48"/>
      <c r="BF843" s="46"/>
      <c r="BL843" s="121"/>
      <c r="BM843" s="57"/>
      <c r="BN843" s="64"/>
      <c r="BO843" s="64"/>
      <c r="BP843" s="64"/>
      <c r="BQ843" s="64"/>
      <c r="BR843" s="57"/>
      <c r="BS843" s="64"/>
      <c r="BT843" s="64"/>
      <c r="BU843" s="64"/>
      <c r="BV843" s="46"/>
    </row>
    <row r="844" spans="2:74" x14ac:dyDescent="0.8">
      <c r="B844" s="46"/>
      <c r="C844" s="62"/>
      <c r="F844" s="70"/>
      <c r="G844" s="86"/>
      <c r="R844" s="58"/>
      <c r="S844" s="58"/>
      <c r="X844" s="57"/>
      <c r="Y844" s="46"/>
      <c r="Z844" s="57"/>
      <c r="AA844" s="46"/>
      <c r="AM844" s="64"/>
      <c r="AO844" s="46"/>
      <c r="AQ844" s="67"/>
      <c r="AT844" s="46"/>
      <c r="BC844" s="48"/>
      <c r="BF844" s="46"/>
      <c r="BL844" s="121"/>
      <c r="BM844" s="57"/>
      <c r="BN844" s="64"/>
      <c r="BO844" s="64"/>
      <c r="BP844" s="64"/>
      <c r="BQ844" s="64"/>
      <c r="BR844" s="57"/>
      <c r="BS844" s="64"/>
      <c r="BT844" s="64"/>
      <c r="BU844" s="64"/>
      <c r="BV844" s="46"/>
    </row>
    <row r="845" spans="2:74" x14ac:dyDescent="0.8">
      <c r="B845" s="46"/>
      <c r="C845" s="62"/>
      <c r="F845" s="70"/>
      <c r="G845" s="86"/>
      <c r="R845" s="58"/>
      <c r="S845" s="58"/>
      <c r="X845" s="57"/>
      <c r="Y845" s="46"/>
      <c r="Z845" s="57"/>
      <c r="AA845" s="46"/>
      <c r="AM845" s="64"/>
      <c r="AO845" s="46"/>
      <c r="AQ845" s="67"/>
      <c r="AT845" s="46"/>
      <c r="BC845" s="48"/>
      <c r="BF845" s="46"/>
      <c r="BL845" s="121"/>
      <c r="BM845" s="57"/>
      <c r="BN845" s="64"/>
      <c r="BO845" s="64"/>
      <c r="BP845" s="64"/>
      <c r="BQ845" s="64"/>
      <c r="BR845" s="57"/>
      <c r="BS845" s="64"/>
      <c r="BT845" s="64"/>
      <c r="BU845" s="64"/>
      <c r="BV845" s="46"/>
    </row>
    <row r="846" spans="2:74" x14ac:dyDescent="0.8">
      <c r="B846" s="46"/>
      <c r="C846" s="62"/>
      <c r="F846" s="70"/>
      <c r="G846" s="86"/>
      <c r="R846" s="58"/>
      <c r="S846" s="58"/>
      <c r="X846" s="57"/>
      <c r="Y846" s="46"/>
      <c r="Z846" s="57"/>
      <c r="AA846" s="46"/>
      <c r="AM846" s="64"/>
      <c r="AO846" s="46"/>
      <c r="AQ846" s="67"/>
      <c r="AT846" s="46"/>
      <c r="BC846" s="48"/>
      <c r="BF846" s="46"/>
      <c r="BL846" s="121"/>
      <c r="BM846" s="57"/>
      <c r="BN846" s="64"/>
      <c r="BO846" s="64"/>
      <c r="BP846" s="64"/>
      <c r="BQ846" s="64"/>
      <c r="BR846" s="57"/>
      <c r="BS846" s="64"/>
      <c r="BT846" s="64"/>
      <c r="BU846" s="64"/>
      <c r="BV846" s="46"/>
    </row>
    <row r="847" spans="2:74" x14ac:dyDescent="0.8">
      <c r="B847" s="46"/>
      <c r="C847" s="62"/>
      <c r="F847" s="70"/>
      <c r="G847" s="86"/>
      <c r="R847" s="58"/>
      <c r="S847" s="58"/>
      <c r="X847" s="57"/>
      <c r="Y847" s="46"/>
      <c r="Z847" s="57"/>
      <c r="AA847" s="46"/>
      <c r="AM847" s="64"/>
      <c r="AO847" s="46"/>
      <c r="AQ847" s="67"/>
      <c r="AT847" s="46"/>
      <c r="BC847" s="48"/>
      <c r="BF847" s="46"/>
      <c r="BL847" s="121"/>
      <c r="BM847" s="57"/>
      <c r="BN847" s="64"/>
      <c r="BO847" s="64"/>
      <c r="BP847" s="64"/>
      <c r="BQ847" s="64"/>
      <c r="BR847" s="57"/>
      <c r="BS847" s="64"/>
      <c r="BT847" s="64"/>
      <c r="BU847" s="64"/>
      <c r="BV847" s="46"/>
    </row>
    <row r="848" spans="2:74" x14ac:dyDescent="0.8">
      <c r="B848" s="46"/>
      <c r="C848" s="62"/>
      <c r="F848" s="70"/>
      <c r="G848" s="86"/>
      <c r="R848" s="58"/>
      <c r="S848" s="58"/>
      <c r="X848" s="57"/>
      <c r="Y848" s="46"/>
      <c r="Z848" s="57"/>
      <c r="AA848" s="46"/>
      <c r="AM848" s="64"/>
      <c r="AO848" s="46"/>
      <c r="AQ848" s="67"/>
      <c r="AT848" s="46"/>
      <c r="BC848" s="48"/>
      <c r="BF848" s="46"/>
      <c r="BL848" s="121"/>
      <c r="BM848" s="57"/>
      <c r="BN848" s="64"/>
      <c r="BO848" s="64"/>
      <c r="BP848" s="64"/>
      <c r="BQ848" s="64"/>
      <c r="BR848" s="57"/>
      <c r="BS848" s="64"/>
      <c r="BT848" s="64"/>
      <c r="BU848" s="64"/>
      <c r="BV848" s="46"/>
    </row>
    <row r="849" spans="2:74" x14ac:dyDescent="0.8">
      <c r="B849" s="46"/>
      <c r="C849" s="62"/>
      <c r="F849" s="70"/>
      <c r="G849" s="86"/>
      <c r="R849" s="58"/>
      <c r="S849" s="58"/>
      <c r="X849" s="57"/>
      <c r="Y849" s="46"/>
      <c r="Z849" s="57"/>
      <c r="AA849" s="46"/>
      <c r="AM849" s="64"/>
      <c r="AO849" s="46"/>
      <c r="AQ849" s="67"/>
      <c r="AT849" s="46"/>
      <c r="BC849" s="48"/>
      <c r="BF849" s="46"/>
      <c r="BL849" s="121"/>
      <c r="BM849" s="57"/>
      <c r="BN849" s="64"/>
      <c r="BO849" s="64"/>
      <c r="BP849" s="64"/>
      <c r="BQ849" s="64"/>
      <c r="BR849" s="57"/>
      <c r="BS849" s="64"/>
      <c r="BT849" s="64"/>
      <c r="BU849" s="64"/>
      <c r="BV849" s="46"/>
    </row>
    <row r="850" spans="2:74" x14ac:dyDescent="0.8">
      <c r="B850" s="46"/>
      <c r="C850" s="62"/>
      <c r="F850" s="70"/>
      <c r="G850" s="86"/>
      <c r="R850" s="58"/>
      <c r="S850" s="58"/>
      <c r="X850" s="57"/>
      <c r="Y850" s="46"/>
      <c r="Z850" s="57"/>
      <c r="AA850" s="46"/>
      <c r="AM850" s="64"/>
      <c r="AO850" s="46"/>
      <c r="AQ850" s="67"/>
      <c r="AT850" s="46"/>
      <c r="BC850" s="48"/>
      <c r="BF850" s="46"/>
      <c r="BL850" s="121"/>
      <c r="BM850" s="57"/>
      <c r="BN850" s="64"/>
      <c r="BO850" s="64"/>
      <c r="BP850" s="64"/>
      <c r="BQ850" s="64"/>
      <c r="BR850" s="57"/>
      <c r="BS850" s="64"/>
      <c r="BT850" s="64"/>
      <c r="BU850" s="64"/>
      <c r="BV850" s="46"/>
    </row>
    <row r="851" spans="2:74" x14ac:dyDescent="0.8">
      <c r="B851" s="46"/>
      <c r="C851" s="62"/>
      <c r="F851" s="70"/>
      <c r="G851" s="86"/>
      <c r="R851" s="58"/>
      <c r="S851" s="58"/>
      <c r="X851" s="57"/>
      <c r="Y851" s="46"/>
      <c r="Z851" s="57"/>
      <c r="AA851" s="46"/>
      <c r="AM851" s="64"/>
      <c r="AO851" s="46"/>
      <c r="AQ851" s="67"/>
      <c r="AT851" s="46"/>
      <c r="BC851" s="48"/>
      <c r="BF851" s="46"/>
      <c r="BL851" s="121"/>
      <c r="BM851" s="57"/>
      <c r="BN851" s="64"/>
      <c r="BO851" s="64"/>
      <c r="BP851" s="64"/>
      <c r="BQ851" s="64"/>
      <c r="BR851" s="57"/>
      <c r="BS851" s="64"/>
      <c r="BT851" s="64"/>
      <c r="BU851" s="64"/>
      <c r="BV851" s="46"/>
    </row>
    <row r="852" spans="2:74" x14ac:dyDescent="0.8">
      <c r="B852" s="46"/>
      <c r="C852" s="62"/>
      <c r="F852" s="70"/>
      <c r="G852" s="86"/>
      <c r="J852" s="64"/>
      <c r="K852" s="64"/>
      <c r="R852" s="58"/>
      <c r="S852" s="58"/>
      <c r="T852" s="184"/>
      <c r="X852" s="57"/>
      <c r="Y852" s="46"/>
      <c r="Z852" s="57"/>
      <c r="AA852" s="46"/>
      <c r="AM852" s="64"/>
      <c r="AO852" s="46"/>
      <c r="AQ852" s="67"/>
      <c r="AT852" s="46"/>
      <c r="BC852" s="48"/>
      <c r="BF852" s="46"/>
      <c r="BL852" s="121"/>
      <c r="BM852" s="57"/>
      <c r="BN852" s="64"/>
      <c r="BO852" s="64"/>
      <c r="BP852" s="64"/>
      <c r="BQ852" s="64"/>
      <c r="BR852" s="57"/>
      <c r="BS852" s="64"/>
      <c r="BT852" s="64"/>
      <c r="BU852" s="64"/>
      <c r="BV852" s="46"/>
    </row>
    <row r="853" spans="2:74" x14ac:dyDescent="0.8">
      <c r="B853" s="46"/>
      <c r="C853" s="62"/>
      <c r="F853" s="70"/>
      <c r="G853" s="86"/>
      <c r="R853" s="58"/>
      <c r="S853" s="58"/>
      <c r="X853" s="64"/>
      <c r="Y853" s="46"/>
      <c r="Z853" s="57"/>
      <c r="AA853" s="46"/>
      <c r="AM853" s="64"/>
      <c r="AO853" s="46"/>
      <c r="AQ853" s="67"/>
      <c r="AT853" s="46"/>
      <c r="AY853" s="57"/>
      <c r="AZ853" s="64"/>
      <c r="BA853" s="46"/>
      <c r="BB853" s="46"/>
      <c r="BC853" s="48"/>
      <c r="BF853" s="46"/>
      <c r="BL853" s="121"/>
      <c r="BM853" s="57"/>
      <c r="BN853" s="64"/>
      <c r="BO853" s="64"/>
      <c r="BP853" s="64"/>
      <c r="BQ853" s="64"/>
      <c r="BR853" s="57"/>
      <c r="BS853" s="64"/>
      <c r="BT853" s="64"/>
      <c r="BU853" s="64"/>
      <c r="BV853" s="46"/>
    </row>
    <row r="854" spans="2:74" x14ac:dyDescent="0.8">
      <c r="B854" s="46"/>
      <c r="C854" s="62"/>
      <c r="F854" s="70"/>
      <c r="G854" s="86"/>
      <c r="R854" s="58"/>
      <c r="S854" s="58"/>
      <c r="T854" s="184"/>
      <c r="X854" s="64"/>
      <c r="Y854" s="46"/>
      <c r="Z854" s="57"/>
      <c r="AA854" s="46"/>
      <c r="AM854" s="64"/>
      <c r="AO854" s="46"/>
      <c r="AQ854" s="67"/>
      <c r="AT854" s="46"/>
      <c r="BC854" s="48"/>
      <c r="BF854" s="46"/>
      <c r="BL854" s="121"/>
      <c r="BM854" s="57"/>
      <c r="BN854" s="64"/>
      <c r="BO854" s="64"/>
      <c r="BP854" s="64"/>
      <c r="BQ854" s="64"/>
      <c r="BR854" s="57"/>
      <c r="BS854" s="64"/>
      <c r="BT854" s="64"/>
      <c r="BU854" s="64"/>
      <c r="BV854" s="46"/>
    </row>
    <row r="855" spans="2:74" x14ac:dyDescent="0.8">
      <c r="B855" s="46"/>
      <c r="C855" s="62"/>
      <c r="F855" s="70"/>
      <c r="G855" s="86"/>
      <c r="H855" s="70"/>
      <c r="I855" s="86"/>
      <c r="L855" s="117"/>
      <c r="M855" s="118"/>
      <c r="T855" s="140"/>
      <c r="U855" s="144"/>
      <c r="V855" s="140"/>
      <c r="X855" s="179"/>
      <c r="Y855" s="136"/>
      <c r="Z855" s="143"/>
      <c r="AA855" s="46"/>
      <c r="AD855" s="140"/>
      <c r="AH855" s="140"/>
      <c r="AQ855" s="67"/>
      <c r="AT855" s="46"/>
      <c r="AY855" s="57"/>
      <c r="AZ855" s="64"/>
      <c r="BA855" s="46"/>
      <c r="BB855" s="46"/>
      <c r="BC855" s="48"/>
      <c r="BF855" s="46"/>
      <c r="BL855" s="121"/>
      <c r="BM855" s="57"/>
      <c r="BN855" s="64"/>
      <c r="BO855" s="64"/>
      <c r="BP855" s="64"/>
      <c r="BQ855" s="64"/>
      <c r="BR855" s="57"/>
      <c r="BS855" s="64"/>
      <c r="BT855" s="64"/>
      <c r="BU855" s="64"/>
      <c r="BV855" s="46"/>
    </row>
    <row r="856" spans="2:74" x14ac:dyDescent="0.8">
      <c r="B856" s="46"/>
      <c r="C856" s="62"/>
      <c r="F856" s="70"/>
      <c r="G856" s="86"/>
      <c r="H856" s="70"/>
      <c r="I856" s="86"/>
      <c r="L856" s="117"/>
      <c r="M856" s="118"/>
      <c r="R856" s="58"/>
      <c r="S856" s="58"/>
      <c r="AA856" s="46"/>
      <c r="AQ856" s="67"/>
      <c r="AT856" s="46"/>
      <c r="AY856" s="57"/>
      <c r="AZ856" s="64"/>
      <c r="BA856" s="46"/>
      <c r="BB856" s="46"/>
      <c r="BC856" s="48"/>
      <c r="BF856" s="46"/>
      <c r="BL856" s="121"/>
      <c r="BM856" s="57"/>
      <c r="BN856" s="64"/>
      <c r="BO856" s="64"/>
      <c r="BP856" s="64"/>
      <c r="BQ856" s="64"/>
      <c r="BR856" s="57"/>
      <c r="BS856" s="64"/>
      <c r="BT856" s="64"/>
      <c r="BU856" s="64"/>
      <c r="BV856" s="46"/>
    </row>
    <row r="857" spans="2:74" x14ac:dyDescent="0.8">
      <c r="B857" s="46"/>
      <c r="C857" s="62"/>
      <c r="F857" s="70"/>
      <c r="G857" s="86"/>
      <c r="H857" s="70"/>
      <c r="I857" s="86"/>
      <c r="R857" s="58"/>
      <c r="S857" s="58"/>
      <c r="T857" s="184"/>
      <c r="X857" s="57"/>
      <c r="Y857" s="46"/>
      <c r="Z857" s="57"/>
      <c r="AA857" s="46"/>
      <c r="AM857" s="64"/>
      <c r="AO857" s="46"/>
      <c r="AQ857" s="67"/>
      <c r="AT857" s="46"/>
      <c r="BC857" s="48"/>
      <c r="BF857" s="46"/>
      <c r="BL857" s="121"/>
      <c r="BM857" s="57"/>
      <c r="BN857" s="64"/>
      <c r="BO857" s="64"/>
      <c r="BP857" s="64"/>
      <c r="BQ857" s="64"/>
      <c r="BR857" s="57"/>
      <c r="BS857" s="64"/>
      <c r="BT857" s="64"/>
      <c r="BU857" s="64"/>
      <c r="BV857" s="46"/>
    </row>
    <row r="858" spans="2:74" x14ac:dyDescent="0.8">
      <c r="B858" s="46"/>
      <c r="C858" s="62"/>
      <c r="F858" s="70"/>
      <c r="G858" s="86"/>
      <c r="R858" s="58"/>
      <c r="S858" s="58"/>
      <c r="T858" s="184"/>
      <c r="X858" s="57"/>
      <c r="Y858" s="46"/>
      <c r="Z858" s="57"/>
      <c r="AA858" s="46"/>
      <c r="AM858" s="64"/>
      <c r="AO858" s="46"/>
      <c r="AQ858" s="67"/>
      <c r="AT858" s="46"/>
      <c r="BC858" s="48"/>
      <c r="BF858" s="46"/>
      <c r="BL858" s="121"/>
      <c r="BM858" s="57"/>
      <c r="BN858" s="64"/>
      <c r="BO858" s="64"/>
      <c r="BP858" s="64"/>
      <c r="BQ858" s="64"/>
      <c r="BR858" s="57"/>
      <c r="BS858" s="64"/>
      <c r="BT858" s="64"/>
      <c r="BU858" s="64"/>
      <c r="BV858" s="46"/>
    </row>
    <row r="859" spans="2:74" x14ac:dyDescent="0.8">
      <c r="B859" s="46"/>
      <c r="C859" s="62"/>
      <c r="L859" s="117"/>
      <c r="M859" s="118"/>
      <c r="T859" s="140"/>
      <c r="U859" s="144"/>
      <c r="V859" s="140"/>
      <c r="X859" s="129"/>
      <c r="Y859" s="155"/>
      <c r="Z859" s="143"/>
      <c r="AL859" s="68"/>
      <c r="AQ859" s="67"/>
      <c r="AT859" s="46"/>
      <c r="AY859" s="57"/>
      <c r="AZ859" s="64"/>
      <c r="BA859" s="46"/>
      <c r="BB859" s="46"/>
      <c r="BC859" s="48"/>
      <c r="BF859" s="46"/>
      <c r="BL859" s="121"/>
      <c r="BM859" s="57"/>
      <c r="BN859" s="64"/>
      <c r="BO859" s="64"/>
      <c r="BP859" s="64"/>
      <c r="BQ859" s="64"/>
      <c r="BR859" s="57"/>
      <c r="BS859" s="64"/>
      <c r="BT859" s="64"/>
      <c r="BU859" s="64"/>
      <c r="BV859" s="46"/>
    </row>
    <row r="860" spans="2:74" x14ac:dyDescent="0.8">
      <c r="B860" s="46"/>
      <c r="C860" s="62"/>
      <c r="F860" s="70"/>
      <c r="G860" s="86"/>
      <c r="R860" s="58"/>
      <c r="S860" s="58"/>
      <c r="T860" s="184"/>
      <c r="X860" s="57"/>
      <c r="Y860" s="46"/>
      <c r="Z860" s="57"/>
      <c r="AA860" s="46"/>
      <c r="AM860" s="64"/>
      <c r="AO860" s="46"/>
      <c r="AQ860" s="67"/>
      <c r="AT860" s="46"/>
      <c r="BC860" s="48"/>
      <c r="BF860" s="46"/>
      <c r="BL860" s="121"/>
      <c r="BM860" s="57"/>
      <c r="BN860" s="64"/>
      <c r="BO860" s="64"/>
      <c r="BP860" s="64"/>
      <c r="BQ860" s="64"/>
      <c r="BR860" s="57"/>
      <c r="BS860" s="64"/>
      <c r="BT860" s="64"/>
      <c r="BU860" s="64"/>
      <c r="BV860" s="46"/>
    </row>
    <row r="861" spans="2:74" x14ac:dyDescent="0.8">
      <c r="B861" s="46"/>
      <c r="C861" s="62"/>
      <c r="F861" s="70"/>
      <c r="G861" s="86"/>
      <c r="H861" s="70"/>
      <c r="I861" s="86"/>
      <c r="R861" s="58"/>
      <c r="S861" s="58"/>
      <c r="T861" s="184"/>
      <c r="X861" s="57"/>
      <c r="Y861" s="46"/>
      <c r="Z861" s="57"/>
      <c r="AA861" s="46"/>
      <c r="AM861" s="64"/>
      <c r="AO861" s="46"/>
      <c r="AQ861" s="67"/>
      <c r="AT861" s="46"/>
      <c r="BC861" s="48"/>
      <c r="BF861" s="46"/>
      <c r="BL861" s="121"/>
      <c r="BM861" s="57"/>
      <c r="BN861" s="64"/>
      <c r="BO861" s="64"/>
      <c r="BP861" s="64"/>
      <c r="BQ861" s="64"/>
      <c r="BR861" s="57"/>
      <c r="BS861" s="64"/>
      <c r="BT861" s="64"/>
      <c r="BU861" s="64"/>
      <c r="BV861" s="46"/>
    </row>
    <row r="862" spans="2:74" x14ac:dyDescent="0.8">
      <c r="B862" s="46"/>
      <c r="C862" s="62"/>
      <c r="F862" s="70"/>
      <c r="G862" s="86"/>
      <c r="R862" s="58"/>
      <c r="S862" s="58"/>
      <c r="T862" s="184"/>
      <c r="X862" s="57"/>
      <c r="Y862" s="46"/>
      <c r="Z862" s="57"/>
      <c r="AA862" s="46"/>
      <c r="AM862" s="64"/>
      <c r="AO862" s="46"/>
      <c r="AQ862" s="67"/>
      <c r="AT862" s="46"/>
      <c r="BC862" s="48"/>
      <c r="BF862" s="46"/>
      <c r="BL862" s="121"/>
      <c r="BM862" s="57"/>
      <c r="BN862" s="64"/>
      <c r="BO862" s="64"/>
      <c r="BP862" s="64"/>
      <c r="BQ862" s="64"/>
      <c r="BR862" s="57"/>
      <c r="BS862" s="64"/>
      <c r="BT862" s="64"/>
      <c r="BU862" s="64"/>
      <c r="BV862" s="46"/>
    </row>
    <row r="863" spans="2:74" x14ac:dyDescent="0.8">
      <c r="B863" s="46"/>
      <c r="C863" s="62"/>
      <c r="L863" s="117"/>
      <c r="M863" s="118"/>
      <c r="V863" s="71"/>
      <c r="AQ863" s="67"/>
      <c r="AT863" s="46"/>
      <c r="AY863" s="57"/>
      <c r="AZ863" s="64"/>
      <c r="BA863" s="46"/>
      <c r="BB863" s="46"/>
      <c r="BC863" s="48"/>
      <c r="BF863" s="46"/>
      <c r="BL863" s="121"/>
      <c r="BM863" s="57"/>
      <c r="BN863" s="64"/>
      <c r="BO863" s="64"/>
      <c r="BP863" s="64"/>
      <c r="BQ863" s="64"/>
      <c r="BR863" s="57"/>
      <c r="BS863" s="64"/>
      <c r="BT863" s="64"/>
      <c r="BU863" s="64"/>
      <c r="BV863" s="46"/>
    </row>
    <row r="864" spans="2:74" x14ac:dyDescent="0.8">
      <c r="B864" s="46"/>
      <c r="C864" s="62"/>
      <c r="F864" s="70"/>
      <c r="G864" s="86"/>
      <c r="R864" s="58"/>
      <c r="S864" s="58"/>
      <c r="T864" s="184"/>
      <c r="X864" s="57"/>
      <c r="Y864" s="46"/>
      <c r="Z864" s="57"/>
      <c r="AA864" s="46"/>
      <c r="AM864" s="64"/>
      <c r="AO864" s="46"/>
      <c r="AQ864" s="67"/>
      <c r="AT864" s="46"/>
      <c r="BC864" s="48"/>
      <c r="BF864" s="46"/>
      <c r="BL864" s="121"/>
      <c r="BM864" s="57"/>
      <c r="BN864" s="64"/>
      <c r="BO864" s="64"/>
      <c r="BP864" s="64"/>
      <c r="BQ864" s="64"/>
      <c r="BR864" s="57"/>
      <c r="BS864" s="64"/>
      <c r="BT864" s="64"/>
      <c r="BU864" s="64"/>
      <c r="BV864" s="46"/>
    </row>
    <row r="865" spans="2:74" x14ac:dyDescent="0.8">
      <c r="B865" s="46"/>
      <c r="C865" s="62"/>
      <c r="F865" s="70"/>
      <c r="G865" s="86"/>
      <c r="R865" s="58"/>
      <c r="S865" s="58"/>
      <c r="T865" s="184"/>
      <c r="X865" s="57"/>
      <c r="Y865" s="46"/>
      <c r="Z865" s="57"/>
      <c r="AA865" s="46"/>
      <c r="AM865" s="64"/>
      <c r="AO865" s="46"/>
      <c r="AQ865" s="67"/>
      <c r="AT865" s="46"/>
      <c r="BC865" s="48"/>
      <c r="BF865" s="46"/>
      <c r="BL865" s="121"/>
      <c r="BM865" s="57"/>
      <c r="BN865" s="64"/>
      <c r="BO865" s="64"/>
      <c r="BP865" s="64"/>
      <c r="BQ865" s="64"/>
      <c r="BR865" s="57"/>
      <c r="BS865" s="64"/>
      <c r="BT865" s="64"/>
      <c r="BU865" s="64"/>
      <c r="BV865" s="46"/>
    </row>
    <row r="866" spans="2:74" x14ac:dyDescent="0.8">
      <c r="B866" s="46"/>
      <c r="C866" s="62"/>
      <c r="F866" s="70"/>
      <c r="G866" s="86"/>
      <c r="R866" s="58"/>
      <c r="S866" s="58"/>
      <c r="T866" s="184"/>
      <c r="X866" s="64"/>
      <c r="Y866" s="46"/>
      <c r="Z866" s="57"/>
      <c r="AA866" s="46"/>
      <c r="AM866" s="64"/>
      <c r="AO866" s="46"/>
      <c r="AQ866" s="67"/>
      <c r="AT866" s="46"/>
      <c r="BC866" s="48"/>
      <c r="BF866" s="46"/>
      <c r="BL866" s="121"/>
      <c r="BM866" s="57"/>
      <c r="BN866" s="64"/>
      <c r="BO866" s="64"/>
      <c r="BP866" s="64"/>
      <c r="BQ866" s="64"/>
      <c r="BR866" s="57"/>
      <c r="BS866" s="64"/>
      <c r="BT866" s="64"/>
      <c r="BU866" s="64"/>
      <c r="BV866" s="46"/>
    </row>
    <row r="867" spans="2:74" x14ac:dyDescent="0.8">
      <c r="B867" s="46"/>
      <c r="C867" s="62"/>
      <c r="F867" s="70"/>
      <c r="G867" s="86"/>
      <c r="L867" s="117"/>
      <c r="M867" s="118"/>
      <c r="R867" s="58"/>
      <c r="S867" s="58"/>
      <c r="T867" s="140"/>
      <c r="X867" s="129"/>
      <c r="Y867" s="120"/>
      <c r="AL867" s="68"/>
      <c r="AQ867" s="67"/>
      <c r="AT867" s="46"/>
      <c r="AY867" s="57"/>
      <c r="AZ867" s="64"/>
      <c r="BA867" s="46"/>
      <c r="BB867" s="46"/>
      <c r="BC867" s="48"/>
      <c r="BF867" s="46"/>
      <c r="BL867" s="121"/>
      <c r="BM867" s="57"/>
      <c r="BN867" s="64"/>
      <c r="BO867" s="64"/>
      <c r="BP867" s="64"/>
      <c r="BQ867" s="64"/>
      <c r="BR867" s="57"/>
      <c r="BS867" s="64"/>
      <c r="BT867" s="64"/>
      <c r="BU867" s="64"/>
      <c r="BV867" s="46"/>
    </row>
    <row r="868" spans="2:74" x14ac:dyDescent="0.8">
      <c r="B868" s="46"/>
      <c r="C868" s="62"/>
      <c r="F868" s="70"/>
      <c r="G868" s="86"/>
      <c r="R868" s="58"/>
      <c r="S868" s="58"/>
      <c r="AQ868" s="67"/>
      <c r="AT868" s="46"/>
      <c r="AY868" s="57"/>
      <c r="AZ868" s="64"/>
      <c r="BA868" s="46"/>
      <c r="BB868" s="46"/>
      <c r="BC868" s="48"/>
      <c r="BF868" s="46"/>
      <c r="BL868" s="121"/>
      <c r="BM868" s="57"/>
      <c r="BN868" s="64"/>
      <c r="BO868" s="64"/>
      <c r="BP868" s="64"/>
      <c r="BQ868" s="64"/>
      <c r="BR868" s="57"/>
      <c r="BS868" s="64"/>
      <c r="BT868" s="64"/>
      <c r="BU868" s="64"/>
      <c r="BV868" s="46"/>
    </row>
    <row r="869" spans="2:74" x14ac:dyDescent="0.8">
      <c r="B869" s="46"/>
      <c r="C869" s="62"/>
      <c r="F869" s="70"/>
      <c r="G869" s="86"/>
      <c r="R869" s="58"/>
      <c r="S869" s="58"/>
      <c r="AQ869" s="67"/>
      <c r="AT869" s="46"/>
      <c r="AY869" s="57"/>
      <c r="AZ869" s="64"/>
      <c r="BA869" s="46"/>
      <c r="BB869" s="46"/>
      <c r="BC869" s="48"/>
      <c r="BF869" s="46"/>
      <c r="BL869" s="121"/>
      <c r="BM869" s="57"/>
      <c r="BN869" s="64"/>
      <c r="BO869" s="64"/>
      <c r="BP869" s="64"/>
      <c r="BQ869" s="64"/>
      <c r="BR869" s="57"/>
      <c r="BS869" s="64"/>
      <c r="BT869" s="64"/>
      <c r="BU869" s="64"/>
      <c r="BV869" s="46"/>
    </row>
    <row r="870" spans="2:74" x14ac:dyDescent="0.8">
      <c r="B870" s="46"/>
      <c r="C870" s="62"/>
      <c r="F870" s="70"/>
      <c r="G870" s="86"/>
      <c r="R870" s="58"/>
      <c r="S870" s="58"/>
      <c r="AQ870" s="67"/>
      <c r="AT870" s="46"/>
      <c r="AY870" s="57"/>
      <c r="AZ870" s="64"/>
      <c r="BA870" s="46"/>
      <c r="BB870" s="46"/>
      <c r="BC870" s="48"/>
      <c r="BF870" s="46"/>
      <c r="BL870" s="121"/>
      <c r="BM870" s="57"/>
      <c r="BN870" s="64"/>
      <c r="BO870" s="64"/>
      <c r="BP870" s="64"/>
      <c r="BQ870" s="64"/>
      <c r="BR870" s="57"/>
      <c r="BS870" s="64"/>
      <c r="BT870" s="64"/>
      <c r="BU870" s="64"/>
      <c r="BV870" s="46"/>
    </row>
    <row r="871" spans="2:74" x14ac:dyDescent="0.8">
      <c r="B871" s="46"/>
      <c r="C871" s="62"/>
      <c r="F871" s="70"/>
      <c r="G871" s="86"/>
      <c r="R871" s="58"/>
      <c r="S871" s="58"/>
      <c r="AQ871" s="67"/>
      <c r="AT871" s="46"/>
      <c r="AY871" s="57"/>
      <c r="AZ871" s="64"/>
      <c r="BA871" s="46"/>
      <c r="BB871" s="46"/>
      <c r="BC871" s="48"/>
      <c r="BF871" s="46"/>
      <c r="BL871" s="121"/>
      <c r="BM871" s="57"/>
      <c r="BN871" s="64"/>
      <c r="BO871" s="64"/>
      <c r="BP871" s="64"/>
      <c r="BQ871" s="64"/>
      <c r="BR871" s="57"/>
      <c r="BS871" s="64"/>
      <c r="BT871" s="64"/>
      <c r="BU871" s="64"/>
      <c r="BV871" s="46"/>
    </row>
    <row r="872" spans="2:74" x14ac:dyDescent="0.8">
      <c r="B872" s="46"/>
      <c r="C872" s="62"/>
      <c r="F872" s="70"/>
      <c r="G872" s="86"/>
      <c r="H872" s="70"/>
      <c r="I872" s="86"/>
      <c r="L872" s="117"/>
      <c r="M872" s="118"/>
      <c r="R872" s="58"/>
      <c r="S872" s="58"/>
      <c r="T872" s="140"/>
      <c r="X872" s="129"/>
      <c r="Y872" s="120"/>
      <c r="AL872" s="68"/>
      <c r="AQ872" s="67"/>
      <c r="AT872" s="46"/>
      <c r="AY872" s="57"/>
      <c r="AZ872" s="64"/>
      <c r="BA872" s="46"/>
      <c r="BB872" s="46"/>
      <c r="BC872" s="48"/>
      <c r="BF872" s="46"/>
      <c r="BL872" s="121"/>
      <c r="BM872" s="57"/>
      <c r="BN872" s="64"/>
      <c r="BO872" s="64"/>
      <c r="BP872" s="64"/>
      <c r="BQ872" s="64"/>
      <c r="BR872" s="57"/>
      <c r="BS872" s="64"/>
      <c r="BT872" s="64"/>
      <c r="BU872" s="64"/>
      <c r="BV872" s="46"/>
    </row>
    <row r="873" spans="2:74" x14ac:dyDescent="0.8">
      <c r="B873" s="46"/>
      <c r="C873" s="62"/>
      <c r="F873" s="70"/>
      <c r="G873" s="86"/>
      <c r="H873" s="70"/>
      <c r="I873" s="86"/>
      <c r="X873" s="57"/>
      <c r="Y873" s="46"/>
      <c r="Z873" s="57"/>
      <c r="AA873" s="46"/>
      <c r="AM873" s="64"/>
      <c r="AO873" s="46"/>
      <c r="AQ873" s="67"/>
      <c r="AT873" s="46"/>
      <c r="AY873" s="57"/>
      <c r="AZ873" s="64"/>
      <c r="BA873" s="46"/>
      <c r="BB873" s="46"/>
      <c r="BC873" s="48"/>
      <c r="BF873" s="46"/>
      <c r="BL873" s="121"/>
      <c r="BM873" s="57"/>
      <c r="BN873" s="64"/>
      <c r="BO873" s="64"/>
      <c r="BP873" s="64"/>
      <c r="BQ873" s="64"/>
      <c r="BR873" s="57"/>
      <c r="BS873" s="64"/>
      <c r="BT873" s="64"/>
      <c r="BU873" s="64"/>
      <c r="BV873" s="46"/>
    </row>
    <row r="874" spans="2:74" x14ac:dyDescent="0.8">
      <c r="B874" s="46"/>
      <c r="C874" s="62"/>
      <c r="F874" s="70"/>
      <c r="G874" s="86"/>
      <c r="H874" s="70"/>
      <c r="I874" s="86"/>
      <c r="J874" s="71"/>
      <c r="N874" s="58"/>
      <c r="O874" s="58"/>
      <c r="P874" s="58"/>
      <c r="Q874" s="59"/>
      <c r="R874" s="58"/>
      <c r="S874" s="58"/>
      <c r="T874" s="71"/>
      <c r="V874" s="71"/>
      <c r="AD874" s="71"/>
      <c r="AF874" s="71"/>
      <c r="AH874" s="71"/>
      <c r="AJ874" s="71"/>
      <c r="AL874" s="71"/>
      <c r="AN874" s="71"/>
      <c r="AP874" s="137"/>
      <c r="AQ874" s="67"/>
      <c r="AT874" s="46"/>
      <c r="AY874" s="57"/>
      <c r="AZ874" s="64"/>
      <c r="BA874" s="46"/>
      <c r="BB874" s="46"/>
      <c r="BC874" s="48"/>
      <c r="BF874" s="46"/>
      <c r="BL874" s="121"/>
      <c r="BM874" s="57"/>
      <c r="BN874" s="64"/>
      <c r="BO874" s="64"/>
      <c r="BP874" s="64"/>
      <c r="BQ874" s="64"/>
      <c r="BR874" s="57"/>
      <c r="BS874" s="64"/>
      <c r="BT874" s="64"/>
      <c r="BU874" s="64"/>
      <c r="BV874" s="46"/>
    </row>
    <row r="875" spans="2:74" x14ac:dyDescent="0.8">
      <c r="B875" s="46"/>
      <c r="C875" s="62"/>
      <c r="F875" s="70"/>
      <c r="G875" s="86"/>
      <c r="R875" s="58"/>
      <c r="S875" s="58"/>
      <c r="AQ875" s="67"/>
      <c r="AT875" s="46"/>
      <c r="AY875" s="57"/>
      <c r="AZ875" s="64"/>
      <c r="BA875" s="46"/>
      <c r="BB875" s="46"/>
      <c r="BC875" s="48"/>
      <c r="BF875" s="46"/>
      <c r="BL875" s="121"/>
      <c r="BM875" s="57"/>
      <c r="BN875" s="64"/>
      <c r="BO875" s="64"/>
      <c r="BP875" s="64"/>
      <c r="BQ875" s="64"/>
      <c r="BR875" s="57"/>
      <c r="BS875" s="64"/>
      <c r="BT875" s="64"/>
      <c r="BU875" s="64"/>
      <c r="BV875" s="46"/>
    </row>
    <row r="876" spans="2:74" x14ac:dyDescent="0.8">
      <c r="B876" s="46"/>
      <c r="C876" s="62"/>
      <c r="F876" s="70"/>
      <c r="G876" s="86"/>
      <c r="R876" s="58"/>
      <c r="S876" s="58"/>
      <c r="AQ876" s="67"/>
      <c r="AT876" s="46"/>
      <c r="AY876" s="57"/>
      <c r="AZ876" s="64"/>
      <c r="BA876" s="46"/>
      <c r="BB876" s="46"/>
      <c r="BC876" s="48"/>
      <c r="BF876" s="46"/>
      <c r="BL876" s="121"/>
      <c r="BM876" s="57"/>
      <c r="BN876" s="64"/>
      <c r="BO876" s="64"/>
      <c r="BP876" s="64"/>
      <c r="BQ876" s="64"/>
      <c r="BR876" s="57"/>
      <c r="BS876" s="64"/>
      <c r="BT876" s="64"/>
      <c r="BU876" s="64"/>
      <c r="BV876" s="46"/>
    </row>
    <row r="877" spans="2:74" x14ac:dyDescent="0.8">
      <c r="B877" s="46"/>
      <c r="C877" s="62"/>
      <c r="F877" s="70"/>
      <c r="G877" s="86"/>
      <c r="H877" s="70"/>
      <c r="I877" s="86"/>
      <c r="L877" s="117"/>
      <c r="M877" s="118"/>
      <c r="R877" s="58"/>
      <c r="S877" s="58"/>
      <c r="AQ877" s="67"/>
      <c r="AT877" s="46"/>
      <c r="AY877" s="57"/>
      <c r="AZ877" s="64"/>
      <c r="BA877" s="46"/>
      <c r="BB877" s="46"/>
      <c r="BC877" s="48"/>
      <c r="BF877" s="46"/>
      <c r="BL877" s="121"/>
      <c r="BM877" s="57"/>
      <c r="BN877" s="64"/>
      <c r="BO877" s="64"/>
      <c r="BP877" s="64"/>
      <c r="BQ877" s="64"/>
      <c r="BR877" s="57"/>
      <c r="BS877" s="64"/>
      <c r="BT877" s="64"/>
      <c r="BU877" s="64"/>
      <c r="BV877" s="46"/>
    </row>
    <row r="878" spans="2:74" x14ac:dyDescent="0.8">
      <c r="B878" s="46"/>
      <c r="C878" s="62"/>
      <c r="F878" s="70"/>
      <c r="G878" s="86"/>
      <c r="R878" s="58"/>
      <c r="S878" s="58"/>
      <c r="AQ878" s="67"/>
      <c r="AT878" s="46"/>
      <c r="AY878" s="57"/>
      <c r="AZ878" s="64"/>
      <c r="BA878" s="46"/>
      <c r="BB878" s="46"/>
      <c r="BC878" s="48"/>
      <c r="BF878" s="46"/>
      <c r="BL878" s="121"/>
      <c r="BM878" s="57"/>
      <c r="BN878" s="64"/>
      <c r="BO878" s="64"/>
      <c r="BP878" s="64"/>
      <c r="BQ878" s="64"/>
      <c r="BR878" s="57"/>
      <c r="BS878" s="64"/>
      <c r="BT878" s="64"/>
      <c r="BU878" s="64"/>
      <c r="BV878" s="46"/>
    </row>
    <row r="879" spans="2:74" x14ac:dyDescent="0.8">
      <c r="B879" s="46"/>
      <c r="C879" s="62"/>
      <c r="J879" s="64"/>
      <c r="K879" s="64"/>
      <c r="R879" s="58"/>
      <c r="S879" s="58"/>
      <c r="X879" s="57"/>
      <c r="Y879" s="46"/>
      <c r="Z879" s="57"/>
      <c r="AA879" s="46"/>
      <c r="AM879" s="64"/>
      <c r="AO879" s="46"/>
      <c r="AQ879" s="67"/>
      <c r="AT879" s="46"/>
      <c r="AY879" s="57"/>
      <c r="AZ879" s="64"/>
      <c r="BA879" s="46"/>
      <c r="BB879" s="46"/>
      <c r="BC879" s="48"/>
      <c r="BF879" s="46"/>
      <c r="BL879" s="121"/>
      <c r="BM879" s="57"/>
      <c r="BN879" s="64"/>
      <c r="BO879" s="64"/>
      <c r="BP879" s="64"/>
      <c r="BQ879" s="64"/>
      <c r="BR879" s="57"/>
      <c r="BS879" s="64"/>
      <c r="BT879" s="64"/>
      <c r="BU879" s="64"/>
      <c r="BV879" s="46"/>
    </row>
    <row r="880" spans="2:74" x14ac:dyDescent="0.8">
      <c r="B880" s="46"/>
      <c r="C880" s="62"/>
      <c r="F880" s="70"/>
      <c r="G880" s="86"/>
      <c r="R880" s="58"/>
      <c r="S880" s="58"/>
      <c r="X880" s="58"/>
      <c r="AQ880" s="67"/>
      <c r="AT880" s="46"/>
      <c r="AY880" s="57"/>
      <c r="AZ880" s="64"/>
      <c r="BA880" s="46"/>
      <c r="BB880" s="46"/>
      <c r="BC880" s="48"/>
      <c r="BF880" s="46"/>
      <c r="BL880" s="121"/>
      <c r="BM880" s="57"/>
      <c r="BN880" s="64"/>
      <c r="BO880" s="64"/>
      <c r="BP880" s="64"/>
      <c r="BQ880" s="64"/>
      <c r="BR880" s="57"/>
      <c r="BS880" s="64"/>
      <c r="BT880" s="64"/>
      <c r="BU880" s="64"/>
      <c r="BV880" s="46"/>
    </row>
    <row r="881" spans="2:74" x14ac:dyDescent="0.8">
      <c r="B881" s="46"/>
      <c r="C881" s="62"/>
      <c r="F881" s="70"/>
      <c r="G881" s="86"/>
      <c r="R881" s="58"/>
      <c r="S881" s="58"/>
      <c r="X881" s="58"/>
      <c r="AQ881" s="67"/>
      <c r="AT881" s="46"/>
      <c r="AY881" s="57"/>
      <c r="AZ881" s="64"/>
      <c r="BA881" s="46"/>
      <c r="BB881" s="46"/>
      <c r="BC881" s="48"/>
      <c r="BF881" s="46"/>
      <c r="BL881" s="121"/>
      <c r="BM881" s="57"/>
      <c r="BN881" s="64"/>
      <c r="BO881" s="64"/>
      <c r="BP881" s="64"/>
      <c r="BQ881" s="64"/>
      <c r="BR881" s="57"/>
      <c r="BS881" s="64"/>
      <c r="BT881" s="64"/>
      <c r="BU881" s="64"/>
      <c r="BV881" s="46"/>
    </row>
    <row r="882" spans="2:74" x14ac:dyDescent="0.8">
      <c r="B882" s="46"/>
      <c r="C882" s="62"/>
      <c r="L882" s="117"/>
      <c r="M882" s="118"/>
      <c r="R882" s="58"/>
      <c r="S882" s="58"/>
      <c r="T882" s="140"/>
      <c r="X882" s="175"/>
      <c r="Y882" s="120"/>
      <c r="AL882" s="68"/>
      <c r="AQ882" s="67"/>
      <c r="AT882" s="46"/>
      <c r="AY882" s="57"/>
      <c r="AZ882" s="64"/>
      <c r="BA882" s="46"/>
      <c r="BB882" s="46"/>
      <c r="BC882" s="48"/>
      <c r="BF882" s="46"/>
      <c r="BL882" s="121"/>
      <c r="BM882" s="57"/>
      <c r="BN882" s="64"/>
      <c r="BO882" s="64"/>
      <c r="BP882" s="64"/>
      <c r="BQ882" s="64"/>
      <c r="BR882" s="57"/>
      <c r="BS882" s="64"/>
      <c r="BT882" s="64"/>
      <c r="BU882" s="64"/>
      <c r="BV882" s="46"/>
    </row>
    <row r="883" spans="2:74" x14ac:dyDescent="0.8">
      <c r="B883" s="46"/>
      <c r="C883" s="62"/>
      <c r="F883" s="70"/>
      <c r="G883" s="86"/>
      <c r="L883" s="117"/>
      <c r="M883" s="118"/>
      <c r="R883" s="58"/>
      <c r="S883" s="58"/>
      <c r="T883" s="140"/>
      <c r="X883" s="129"/>
      <c r="Y883" s="120"/>
      <c r="AL883" s="68"/>
      <c r="AQ883" s="67"/>
      <c r="AT883" s="46"/>
      <c r="AY883" s="57"/>
      <c r="AZ883" s="64"/>
      <c r="BA883" s="46"/>
      <c r="BB883" s="46"/>
      <c r="BC883" s="48"/>
      <c r="BF883" s="46"/>
      <c r="BL883" s="121"/>
      <c r="BM883" s="57"/>
      <c r="BN883" s="64"/>
      <c r="BO883" s="64"/>
      <c r="BP883" s="64"/>
      <c r="BQ883" s="64"/>
      <c r="BR883" s="57"/>
      <c r="BS883" s="64"/>
      <c r="BT883" s="64"/>
      <c r="BU883" s="64"/>
      <c r="BV883" s="46"/>
    </row>
    <row r="884" spans="2:74" x14ac:dyDescent="0.8">
      <c r="B884" s="46"/>
      <c r="C884" s="62"/>
      <c r="F884" s="70"/>
      <c r="G884" s="86"/>
      <c r="L884" s="117"/>
      <c r="M884" s="118"/>
      <c r="R884" s="58"/>
      <c r="S884" s="58"/>
      <c r="T884" s="140"/>
      <c r="X884" s="129"/>
      <c r="Y884" s="120"/>
      <c r="AL884" s="68"/>
      <c r="AQ884" s="67"/>
      <c r="AT884" s="46"/>
      <c r="AY884" s="57"/>
      <c r="AZ884" s="64"/>
      <c r="BA884" s="46"/>
      <c r="BB884" s="46"/>
      <c r="BC884" s="48"/>
      <c r="BF884" s="46"/>
      <c r="BL884" s="121"/>
      <c r="BM884" s="57"/>
      <c r="BN884" s="64"/>
      <c r="BO884" s="64"/>
      <c r="BP884" s="64"/>
      <c r="BQ884" s="64"/>
      <c r="BR884" s="57"/>
      <c r="BS884" s="64"/>
      <c r="BT884" s="64"/>
      <c r="BU884" s="64"/>
      <c r="BV884" s="46"/>
    </row>
    <row r="885" spans="2:74" x14ac:dyDescent="0.8">
      <c r="B885" s="46"/>
      <c r="C885" s="62"/>
      <c r="X885" s="57"/>
      <c r="Y885" s="46"/>
      <c r="Z885" s="57"/>
      <c r="AA885" s="46"/>
      <c r="AM885" s="64"/>
      <c r="AO885" s="46"/>
      <c r="AQ885" s="67"/>
      <c r="AT885" s="46"/>
      <c r="AY885" s="57"/>
      <c r="AZ885" s="64"/>
      <c r="BA885" s="46"/>
      <c r="BC885" s="48"/>
      <c r="BF885" s="46"/>
      <c r="BL885" s="121"/>
      <c r="BM885" s="57"/>
      <c r="BN885" s="64"/>
      <c r="BO885" s="64"/>
      <c r="BP885" s="64"/>
      <c r="BQ885" s="64"/>
      <c r="BR885" s="57"/>
      <c r="BS885" s="64"/>
      <c r="BT885" s="64"/>
      <c r="BU885" s="64"/>
      <c r="BV885" s="46"/>
    </row>
    <row r="886" spans="2:74" x14ac:dyDescent="0.8">
      <c r="B886" s="46"/>
      <c r="C886" s="62"/>
      <c r="F886" s="70"/>
      <c r="G886" s="86"/>
      <c r="L886" s="117"/>
      <c r="M886" s="118"/>
      <c r="R886" s="58"/>
      <c r="S886" s="58"/>
      <c r="T886" s="140"/>
      <c r="X886" s="129"/>
      <c r="Y886" s="120"/>
      <c r="AL886" s="68"/>
      <c r="AQ886" s="67"/>
      <c r="AT886" s="46"/>
      <c r="AY886" s="57"/>
      <c r="AZ886" s="64"/>
      <c r="BA886" s="46"/>
      <c r="BB886" s="46"/>
      <c r="BC886" s="48"/>
      <c r="BF886" s="46"/>
      <c r="BL886" s="121"/>
      <c r="BM886" s="57"/>
      <c r="BN886" s="64"/>
      <c r="BO886" s="64"/>
      <c r="BP886" s="64"/>
      <c r="BQ886" s="64"/>
      <c r="BR886" s="57"/>
      <c r="BS886" s="64"/>
      <c r="BT886" s="64"/>
      <c r="BU886" s="64"/>
      <c r="BV886" s="46"/>
    </row>
    <row r="887" spans="2:74" x14ac:dyDescent="0.8">
      <c r="B887" s="46"/>
      <c r="C887" s="62"/>
      <c r="F887" s="70"/>
      <c r="G887" s="86"/>
      <c r="L887" s="117"/>
      <c r="M887" s="118"/>
      <c r="R887" s="58"/>
      <c r="S887" s="58"/>
      <c r="T887" s="140"/>
      <c r="X887" s="129"/>
      <c r="Y887" s="120"/>
      <c r="AL887" s="68"/>
      <c r="AQ887" s="67"/>
      <c r="AT887" s="46"/>
      <c r="AY887" s="57"/>
      <c r="AZ887" s="64"/>
      <c r="BA887" s="46"/>
      <c r="BB887" s="46"/>
      <c r="BC887" s="48"/>
      <c r="BF887" s="46"/>
      <c r="BL887" s="121"/>
      <c r="BM887" s="57"/>
      <c r="BN887" s="64"/>
      <c r="BO887" s="64"/>
      <c r="BP887" s="64"/>
      <c r="BQ887" s="64"/>
      <c r="BR887" s="57"/>
      <c r="BS887" s="64"/>
      <c r="BT887" s="64"/>
      <c r="BU887" s="64"/>
      <c r="BV887" s="46"/>
    </row>
    <row r="888" spans="2:74" x14ac:dyDescent="0.8">
      <c r="B888" s="46"/>
      <c r="C888" s="62"/>
      <c r="F888" s="70"/>
      <c r="G888" s="86"/>
      <c r="L888" s="117"/>
      <c r="M888" s="118"/>
      <c r="R888" s="58"/>
      <c r="S888" s="58"/>
      <c r="T888" s="140"/>
      <c r="X888" s="129"/>
      <c r="Y888" s="120"/>
      <c r="AL888" s="68"/>
      <c r="AQ888" s="67"/>
      <c r="AT888" s="46"/>
      <c r="AY888" s="57"/>
      <c r="AZ888" s="64"/>
      <c r="BA888" s="46"/>
      <c r="BB888" s="46"/>
      <c r="BC888" s="48"/>
      <c r="BF888" s="46"/>
      <c r="BL888" s="121"/>
      <c r="BM888" s="57"/>
      <c r="BN888" s="64"/>
      <c r="BO888" s="64"/>
      <c r="BP888" s="64"/>
      <c r="BQ888" s="64"/>
      <c r="BR888" s="57"/>
      <c r="BS888" s="64"/>
      <c r="BT888" s="64"/>
      <c r="BU888" s="64"/>
      <c r="BV888" s="46"/>
    </row>
    <row r="889" spans="2:74" x14ac:dyDescent="0.8">
      <c r="B889" s="46"/>
      <c r="C889" s="62"/>
      <c r="F889" s="70"/>
      <c r="G889" s="86"/>
      <c r="H889" s="70"/>
      <c r="I889" s="86"/>
      <c r="R889" s="58"/>
      <c r="S889" s="58"/>
      <c r="X889" s="57"/>
      <c r="Y889" s="46"/>
      <c r="Z889" s="57"/>
      <c r="AA889" s="46"/>
      <c r="AM889" s="64"/>
      <c r="AO889" s="46"/>
      <c r="AQ889" s="67"/>
      <c r="AT889" s="46"/>
      <c r="BC889" s="48"/>
      <c r="BF889" s="46"/>
      <c r="BL889" s="121"/>
      <c r="BM889" s="57"/>
      <c r="BN889" s="64"/>
      <c r="BO889" s="64"/>
      <c r="BP889" s="64"/>
      <c r="BQ889" s="64"/>
      <c r="BR889" s="57"/>
      <c r="BS889" s="64"/>
      <c r="BT889" s="64"/>
      <c r="BU889" s="64"/>
      <c r="BV889" s="46"/>
    </row>
    <row r="890" spans="2:74" x14ac:dyDescent="0.8">
      <c r="B890" s="46"/>
      <c r="C890" s="62"/>
      <c r="L890" s="117"/>
      <c r="M890" s="118"/>
      <c r="T890" s="140"/>
      <c r="X890" s="129"/>
      <c r="Y890" s="120"/>
      <c r="AL890" s="68"/>
      <c r="AQ890" s="67"/>
      <c r="AT890" s="46"/>
      <c r="AY890" s="57"/>
      <c r="AZ890" s="64"/>
      <c r="BA890" s="46"/>
      <c r="BB890" s="46"/>
      <c r="BC890" s="48"/>
      <c r="BF890" s="46"/>
      <c r="BL890" s="121"/>
      <c r="BM890" s="57"/>
      <c r="BN890" s="64"/>
      <c r="BO890" s="64"/>
      <c r="BP890" s="64"/>
      <c r="BQ890" s="64"/>
      <c r="BR890" s="57"/>
      <c r="BS890" s="64"/>
      <c r="BT890" s="64"/>
      <c r="BU890" s="64"/>
      <c r="BV890" s="46"/>
    </row>
    <row r="891" spans="2:74" x14ac:dyDescent="0.8">
      <c r="B891" s="46"/>
      <c r="C891" s="62"/>
      <c r="F891" s="70"/>
      <c r="G891" s="86"/>
      <c r="R891" s="58"/>
      <c r="S891" s="58"/>
      <c r="AQ891" s="67"/>
      <c r="AT891" s="46"/>
      <c r="AY891" s="57"/>
      <c r="AZ891" s="64"/>
      <c r="BA891" s="46"/>
      <c r="BB891" s="46"/>
      <c r="BC891" s="48"/>
      <c r="BF891" s="46"/>
      <c r="BL891" s="121"/>
      <c r="BM891" s="57"/>
      <c r="BN891" s="64"/>
      <c r="BO891" s="64"/>
      <c r="BP891" s="64"/>
      <c r="BQ891" s="64"/>
      <c r="BR891" s="57"/>
      <c r="BS891" s="64"/>
      <c r="BT891" s="64"/>
      <c r="BU891" s="64"/>
      <c r="BV891" s="46"/>
    </row>
    <row r="892" spans="2:74" x14ac:dyDescent="0.8">
      <c r="B892" s="46"/>
      <c r="C892" s="62"/>
      <c r="L892" s="117"/>
      <c r="M892" s="118"/>
      <c r="R892" s="58"/>
      <c r="S892" s="58"/>
      <c r="T892" s="140"/>
      <c r="X892" s="129"/>
      <c r="Y892" s="120"/>
      <c r="AL892" s="68"/>
      <c r="AQ892" s="67"/>
      <c r="AT892" s="46"/>
      <c r="AY892" s="57"/>
      <c r="AZ892" s="64"/>
      <c r="BA892" s="46"/>
      <c r="BB892" s="46"/>
      <c r="BC892" s="48"/>
      <c r="BF892" s="46"/>
      <c r="BL892" s="121"/>
      <c r="BM892" s="57"/>
      <c r="BN892" s="64"/>
      <c r="BO892" s="64"/>
      <c r="BP892" s="64"/>
      <c r="BQ892" s="64"/>
      <c r="BR892" s="57"/>
      <c r="BS892" s="64"/>
      <c r="BT892" s="64"/>
      <c r="BU892" s="64"/>
      <c r="BV892" s="46"/>
    </row>
    <row r="893" spans="2:74" x14ac:dyDescent="0.8">
      <c r="B893" s="46"/>
      <c r="C893" s="62"/>
      <c r="F893" s="70"/>
      <c r="G893" s="86"/>
      <c r="H893" s="70"/>
      <c r="I893" s="86"/>
      <c r="J893" s="71"/>
      <c r="N893" s="58"/>
      <c r="O893" s="58"/>
      <c r="P893" s="58"/>
      <c r="Q893" s="59"/>
      <c r="T893" s="71"/>
      <c r="V893" s="71"/>
      <c r="Y893" s="136"/>
      <c r="Z893" s="143"/>
      <c r="AD893" s="71"/>
      <c r="AF893" s="143"/>
      <c r="AH893" s="71"/>
      <c r="AJ893" s="71"/>
      <c r="AL893" s="71"/>
      <c r="AN893" s="71"/>
      <c r="AP893" s="137"/>
      <c r="AQ893" s="67"/>
      <c r="AT893" s="46"/>
      <c r="AY893" s="57"/>
      <c r="AZ893" s="64"/>
      <c r="BA893" s="46"/>
      <c r="BB893" s="46"/>
      <c r="BC893" s="48"/>
      <c r="BF893" s="46"/>
      <c r="BL893" s="121"/>
      <c r="BM893" s="57"/>
      <c r="BN893" s="64"/>
      <c r="BO893" s="64"/>
      <c r="BP893" s="64"/>
      <c r="BQ893" s="64"/>
      <c r="BR893" s="57"/>
      <c r="BS893" s="64"/>
      <c r="BT893" s="64"/>
      <c r="BU893" s="64"/>
      <c r="BV893" s="46"/>
    </row>
    <row r="894" spans="2:74" x14ac:dyDescent="0.8">
      <c r="B894" s="46"/>
      <c r="C894" s="62"/>
      <c r="F894" s="70"/>
      <c r="G894" s="86"/>
      <c r="L894" s="117"/>
      <c r="M894" s="118"/>
      <c r="R894" s="58"/>
      <c r="S894" s="58"/>
      <c r="T894" s="140"/>
      <c r="X894" s="129"/>
      <c r="Y894" s="120"/>
      <c r="AL894" s="68"/>
      <c r="AQ894" s="67"/>
      <c r="AT894" s="46"/>
      <c r="AY894" s="57"/>
      <c r="AZ894" s="64"/>
      <c r="BA894" s="46"/>
      <c r="BB894" s="46"/>
      <c r="BC894" s="48"/>
      <c r="BF894" s="46"/>
      <c r="BL894" s="121"/>
      <c r="BM894" s="57"/>
      <c r="BN894" s="64"/>
      <c r="BO894" s="64"/>
      <c r="BP894" s="64"/>
      <c r="BQ894" s="64"/>
      <c r="BR894" s="57"/>
      <c r="BS894" s="64"/>
      <c r="BT894" s="64"/>
      <c r="BU894" s="64"/>
      <c r="BV894" s="46"/>
    </row>
    <row r="895" spans="2:74" x14ac:dyDescent="0.8">
      <c r="B895" s="46"/>
      <c r="C895" s="62"/>
      <c r="F895" s="70"/>
      <c r="G895" s="86"/>
      <c r="L895" s="117"/>
      <c r="M895" s="118"/>
      <c r="R895" s="58"/>
      <c r="S895" s="58"/>
      <c r="T895" s="140"/>
      <c r="X895" s="129"/>
      <c r="Y895" s="120"/>
      <c r="AL895" s="68"/>
      <c r="AQ895" s="67"/>
      <c r="AT895" s="46"/>
      <c r="AY895" s="57"/>
      <c r="AZ895" s="64"/>
      <c r="BA895" s="46"/>
      <c r="BB895" s="46"/>
      <c r="BC895" s="48"/>
      <c r="BF895" s="46"/>
      <c r="BL895" s="121"/>
      <c r="BM895" s="57"/>
      <c r="BN895" s="64"/>
      <c r="BO895" s="64"/>
      <c r="BP895" s="64"/>
      <c r="BQ895" s="64"/>
      <c r="BR895" s="57"/>
      <c r="BS895" s="64"/>
      <c r="BT895" s="64"/>
      <c r="BU895" s="64"/>
      <c r="BV895" s="46"/>
    </row>
    <row r="896" spans="2:74" x14ac:dyDescent="0.8">
      <c r="B896" s="46"/>
      <c r="C896" s="62"/>
      <c r="F896" s="70"/>
      <c r="G896" s="86"/>
      <c r="L896" s="117"/>
      <c r="M896" s="118"/>
      <c r="R896" s="58"/>
      <c r="S896" s="58"/>
      <c r="T896" s="140"/>
      <c r="X896" s="129"/>
      <c r="Y896" s="120"/>
      <c r="AL896" s="68"/>
      <c r="AQ896" s="67"/>
      <c r="AT896" s="46"/>
      <c r="AY896" s="57"/>
      <c r="AZ896" s="64"/>
      <c r="BA896" s="46"/>
      <c r="BB896" s="46"/>
      <c r="BC896" s="48"/>
      <c r="BF896" s="46"/>
      <c r="BL896" s="121"/>
      <c r="BM896" s="57"/>
      <c r="BN896" s="64"/>
      <c r="BO896" s="64"/>
      <c r="BP896" s="64"/>
      <c r="BQ896" s="64"/>
      <c r="BR896" s="57"/>
      <c r="BS896" s="64"/>
      <c r="BT896" s="64"/>
      <c r="BU896" s="64"/>
      <c r="BV896" s="46"/>
    </row>
    <row r="897" spans="2:74" x14ac:dyDescent="0.8">
      <c r="B897" s="46"/>
      <c r="C897" s="62"/>
      <c r="F897" s="70"/>
      <c r="G897" s="86"/>
      <c r="J897" s="64"/>
      <c r="K897" s="64"/>
      <c r="L897" s="117"/>
      <c r="M897" s="118"/>
      <c r="R897" s="58"/>
      <c r="S897" s="58"/>
      <c r="T897" s="140"/>
      <c r="X897" s="129"/>
      <c r="Y897" s="120"/>
      <c r="AL897" s="68"/>
      <c r="AQ897" s="67"/>
      <c r="AT897" s="46"/>
      <c r="AY897" s="57"/>
      <c r="AZ897" s="64"/>
      <c r="BA897" s="46"/>
      <c r="BB897" s="46"/>
      <c r="BC897" s="48"/>
      <c r="BF897" s="46"/>
      <c r="BL897" s="121"/>
      <c r="BM897" s="57"/>
      <c r="BN897" s="64"/>
      <c r="BO897" s="64"/>
      <c r="BP897" s="64"/>
      <c r="BQ897" s="64"/>
      <c r="BR897" s="57"/>
      <c r="BS897" s="64"/>
      <c r="BT897" s="64"/>
      <c r="BU897" s="64"/>
      <c r="BV897" s="46"/>
    </row>
    <row r="898" spans="2:74" x14ac:dyDescent="0.8">
      <c r="B898" s="46"/>
      <c r="C898" s="62"/>
      <c r="F898" s="70"/>
      <c r="G898" s="86"/>
      <c r="L898" s="117"/>
      <c r="M898" s="118"/>
      <c r="R898" s="58"/>
      <c r="S898" s="58"/>
      <c r="T898" s="140"/>
      <c r="X898" s="175"/>
      <c r="Y898" s="120"/>
      <c r="AL898" s="68"/>
      <c r="AQ898" s="67"/>
      <c r="AT898" s="46"/>
      <c r="AY898" s="57"/>
      <c r="AZ898" s="64"/>
      <c r="BA898" s="46"/>
      <c r="BB898" s="46"/>
      <c r="BC898" s="48"/>
      <c r="BF898" s="46"/>
      <c r="BL898" s="121"/>
      <c r="BM898" s="57"/>
      <c r="BN898" s="64"/>
      <c r="BO898" s="64"/>
      <c r="BP898" s="64"/>
      <c r="BQ898" s="64"/>
      <c r="BR898" s="57"/>
      <c r="BS898" s="64"/>
      <c r="BT898" s="64"/>
      <c r="BU898" s="64"/>
      <c r="BV898" s="46"/>
    </row>
    <row r="899" spans="2:74" x14ac:dyDescent="0.8">
      <c r="B899" s="46"/>
      <c r="C899" s="62"/>
      <c r="F899" s="70"/>
      <c r="G899" s="86"/>
      <c r="L899" s="117"/>
      <c r="M899" s="118"/>
      <c r="R899" s="58"/>
      <c r="S899" s="58"/>
      <c r="T899" s="140"/>
      <c r="X899" s="175"/>
      <c r="Y899" s="120"/>
      <c r="AL899" s="68"/>
      <c r="AQ899" s="67"/>
      <c r="AT899" s="46"/>
      <c r="AY899" s="57"/>
      <c r="AZ899" s="64"/>
      <c r="BA899" s="46"/>
      <c r="BB899" s="46"/>
      <c r="BC899" s="48"/>
      <c r="BF899" s="46"/>
      <c r="BL899" s="121"/>
      <c r="BM899" s="57"/>
      <c r="BN899" s="64"/>
      <c r="BO899" s="64"/>
      <c r="BP899" s="64"/>
      <c r="BQ899" s="64"/>
      <c r="BR899" s="57"/>
      <c r="BS899" s="64"/>
      <c r="BT899" s="64"/>
      <c r="BU899" s="64"/>
      <c r="BV899" s="46"/>
    </row>
    <row r="900" spans="2:74" x14ac:dyDescent="0.8">
      <c r="B900" s="46"/>
      <c r="C900" s="62"/>
      <c r="F900" s="70"/>
      <c r="G900" s="86"/>
      <c r="H900" s="70"/>
      <c r="I900" s="86"/>
      <c r="J900" s="71"/>
      <c r="N900" s="58"/>
      <c r="O900" s="58"/>
      <c r="P900" s="58"/>
      <c r="Q900" s="59"/>
      <c r="R900" s="58"/>
      <c r="S900" s="58"/>
      <c r="T900" s="71"/>
      <c r="V900" s="71"/>
      <c r="AD900" s="71"/>
      <c r="AF900" s="71"/>
      <c r="AH900" s="71"/>
      <c r="AJ900" s="71"/>
      <c r="AL900" s="71"/>
      <c r="AN900" s="71"/>
      <c r="AP900" s="137"/>
      <c r="AQ900" s="67"/>
      <c r="AT900" s="46"/>
      <c r="AY900" s="57"/>
      <c r="AZ900" s="64"/>
      <c r="BA900" s="46"/>
      <c r="BB900" s="46"/>
      <c r="BC900" s="48"/>
      <c r="BF900" s="46"/>
      <c r="BL900" s="121"/>
      <c r="BM900" s="57"/>
      <c r="BN900" s="64"/>
      <c r="BO900" s="64"/>
      <c r="BP900" s="64"/>
      <c r="BQ900" s="64"/>
      <c r="BR900" s="57"/>
      <c r="BS900" s="64"/>
      <c r="BT900" s="64"/>
      <c r="BU900" s="64"/>
      <c r="BV900" s="46"/>
    </row>
    <row r="901" spans="2:74" x14ac:dyDescent="0.8">
      <c r="B901" s="46"/>
      <c r="C901" s="62"/>
      <c r="F901" s="70"/>
      <c r="G901" s="86"/>
      <c r="L901" s="117"/>
      <c r="M901" s="118"/>
      <c r="R901" s="58"/>
      <c r="S901" s="58"/>
      <c r="T901" s="140"/>
      <c r="X901" s="129"/>
      <c r="Y901" s="120"/>
      <c r="AL901" s="68"/>
      <c r="AQ901" s="67"/>
      <c r="AT901" s="46"/>
      <c r="AY901" s="57"/>
      <c r="AZ901" s="64"/>
      <c r="BA901" s="46"/>
      <c r="BB901" s="46"/>
      <c r="BC901" s="48"/>
      <c r="BF901" s="46"/>
      <c r="BL901" s="121"/>
      <c r="BM901" s="57"/>
      <c r="BN901" s="64"/>
      <c r="BO901" s="64"/>
      <c r="BP901" s="64"/>
      <c r="BQ901" s="64"/>
      <c r="BR901" s="57"/>
      <c r="BS901" s="64"/>
      <c r="BT901" s="64"/>
      <c r="BU901" s="64"/>
      <c r="BV901" s="46"/>
    </row>
    <row r="902" spans="2:74" x14ac:dyDescent="0.8">
      <c r="B902" s="46"/>
      <c r="C902" s="62"/>
      <c r="F902" s="70"/>
      <c r="G902" s="86"/>
      <c r="H902" s="70"/>
      <c r="I902" s="86"/>
      <c r="J902" s="71"/>
      <c r="K902" s="59"/>
      <c r="N902" s="58"/>
      <c r="O902" s="58"/>
      <c r="P902" s="58"/>
      <c r="Q902" s="59"/>
      <c r="R902" s="58"/>
      <c r="S902" s="58"/>
      <c r="T902" s="143"/>
      <c r="V902" s="143"/>
      <c r="X902" s="143"/>
      <c r="Y902" s="136"/>
      <c r="Z902" s="143"/>
      <c r="AD902" s="143"/>
      <c r="AF902" s="143"/>
      <c r="AH902" s="143"/>
      <c r="AJ902" s="71"/>
      <c r="AL902" s="71"/>
      <c r="AN902" s="71"/>
      <c r="AP902" s="137"/>
      <c r="AQ902" s="67"/>
      <c r="AT902" s="46"/>
      <c r="AX902" s="58"/>
      <c r="BC902" s="48"/>
      <c r="BF902" s="46"/>
      <c r="BL902" s="121"/>
      <c r="BM902" s="57"/>
      <c r="BN902" s="64"/>
      <c r="BO902" s="64"/>
      <c r="BP902" s="64"/>
      <c r="BQ902" s="64"/>
      <c r="BR902" s="57"/>
      <c r="BS902" s="64"/>
      <c r="BT902" s="64"/>
      <c r="BU902" s="64"/>
      <c r="BV902" s="46"/>
    </row>
    <row r="903" spans="2:74" x14ac:dyDescent="0.8">
      <c r="B903" s="46"/>
      <c r="C903" s="62"/>
      <c r="F903" s="70"/>
      <c r="G903" s="86"/>
      <c r="L903" s="117"/>
      <c r="M903" s="118"/>
      <c r="R903" s="58"/>
      <c r="S903" s="58"/>
      <c r="T903" s="140"/>
      <c r="X903" s="129"/>
      <c r="Y903" s="120"/>
      <c r="AL903" s="68"/>
      <c r="AQ903" s="67"/>
      <c r="AT903" s="46"/>
      <c r="AY903" s="57"/>
      <c r="AZ903" s="64"/>
      <c r="BA903" s="46"/>
      <c r="BB903" s="46"/>
      <c r="BC903" s="48"/>
      <c r="BF903" s="46"/>
      <c r="BL903" s="121"/>
      <c r="BM903" s="57"/>
      <c r="BN903" s="64"/>
      <c r="BO903" s="64"/>
      <c r="BP903" s="64"/>
      <c r="BQ903" s="64"/>
      <c r="BR903" s="57"/>
      <c r="BS903" s="64"/>
      <c r="BT903" s="64"/>
      <c r="BU903" s="64"/>
      <c r="BV903" s="46"/>
    </row>
    <row r="904" spans="2:74" x14ac:dyDescent="0.8">
      <c r="B904" s="46"/>
      <c r="C904" s="62"/>
      <c r="F904" s="70"/>
      <c r="G904" s="86"/>
      <c r="L904" s="117"/>
      <c r="M904" s="118"/>
      <c r="R904" s="58"/>
      <c r="S904" s="58"/>
      <c r="T904" s="140"/>
      <c r="X904" s="129"/>
      <c r="Y904" s="120"/>
      <c r="AL904" s="68"/>
      <c r="AQ904" s="67"/>
      <c r="AT904" s="46"/>
      <c r="AY904" s="57"/>
      <c r="AZ904" s="64"/>
      <c r="BA904" s="46"/>
      <c r="BB904" s="46"/>
      <c r="BC904" s="48"/>
      <c r="BF904" s="46"/>
      <c r="BL904" s="121"/>
      <c r="BM904" s="57"/>
      <c r="BN904" s="64"/>
      <c r="BO904" s="64"/>
      <c r="BP904" s="64"/>
      <c r="BQ904" s="64"/>
      <c r="BR904" s="57"/>
      <c r="BS904" s="64"/>
      <c r="BT904" s="64"/>
      <c r="BU904" s="64"/>
      <c r="BV904" s="46"/>
    </row>
    <row r="905" spans="2:74" x14ac:dyDescent="0.8">
      <c r="B905" s="46"/>
      <c r="C905" s="62"/>
      <c r="F905" s="70"/>
      <c r="G905" s="86"/>
      <c r="L905" s="117"/>
      <c r="M905" s="118"/>
      <c r="R905" s="58"/>
      <c r="S905" s="58"/>
      <c r="T905" s="140"/>
      <c r="X905" s="129"/>
      <c r="Y905" s="120"/>
      <c r="AL905" s="68"/>
      <c r="AQ905" s="67"/>
      <c r="AT905" s="46"/>
      <c r="AY905" s="57"/>
      <c r="AZ905" s="64"/>
      <c r="BA905" s="46"/>
      <c r="BB905" s="46"/>
      <c r="BC905" s="48"/>
      <c r="BF905" s="46"/>
      <c r="BL905" s="121"/>
      <c r="BM905" s="57"/>
      <c r="BN905" s="64"/>
      <c r="BO905" s="64"/>
      <c r="BP905" s="64"/>
      <c r="BQ905" s="64"/>
      <c r="BR905" s="57"/>
      <c r="BS905" s="64"/>
      <c r="BT905" s="64"/>
      <c r="BU905" s="64"/>
      <c r="BV905" s="46"/>
    </row>
    <row r="906" spans="2:74" x14ac:dyDescent="0.8">
      <c r="B906" s="46"/>
      <c r="C906" s="62"/>
      <c r="F906" s="70"/>
      <c r="G906" s="86"/>
      <c r="L906" s="117"/>
      <c r="M906" s="118"/>
      <c r="R906" s="58"/>
      <c r="S906" s="58"/>
      <c r="T906" s="140"/>
      <c r="X906" s="129"/>
      <c r="Y906" s="120"/>
      <c r="AL906" s="68"/>
      <c r="AQ906" s="67"/>
      <c r="AT906" s="46"/>
      <c r="AY906" s="57"/>
      <c r="AZ906" s="64"/>
      <c r="BA906" s="46"/>
      <c r="BB906" s="46"/>
      <c r="BC906" s="48"/>
      <c r="BF906" s="46"/>
      <c r="BL906" s="121"/>
      <c r="BM906" s="57"/>
      <c r="BN906" s="64"/>
      <c r="BO906" s="64"/>
      <c r="BP906" s="64"/>
      <c r="BQ906" s="64"/>
      <c r="BR906" s="57"/>
      <c r="BS906" s="64"/>
      <c r="BT906" s="64"/>
      <c r="BU906" s="64"/>
      <c r="BV906" s="46"/>
    </row>
    <row r="907" spans="2:74" x14ac:dyDescent="0.8">
      <c r="B907" s="46"/>
      <c r="C907" s="62"/>
      <c r="F907" s="70"/>
      <c r="G907" s="86"/>
      <c r="L907" s="117"/>
      <c r="M907" s="118"/>
      <c r="R907" s="58"/>
      <c r="S907" s="58"/>
      <c r="T907" s="140"/>
      <c r="X907" s="129"/>
      <c r="Y907" s="120"/>
      <c r="AL907" s="68"/>
      <c r="AQ907" s="67"/>
      <c r="AT907" s="46"/>
      <c r="AY907" s="57"/>
      <c r="AZ907" s="64"/>
      <c r="BA907" s="46"/>
      <c r="BB907" s="46"/>
      <c r="BC907" s="48"/>
      <c r="BF907" s="46"/>
      <c r="BL907" s="121"/>
      <c r="BM907" s="57"/>
      <c r="BN907" s="64"/>
      <c r="BO907" s="64"/>
      <c r="BP907" s="64"/>
      <c r="BQ907" s="64"/>
      <c r="BR907" s="57"/>
      <c r="BS907" s="64"/>
      <c r="BT907" s="64"/>
      <c r="BU907" s="64"/>
      <c r="BV907" s="46"/>
    </row>
    <row r="908" spans="2:74" x14ac:dyDescent="0.8">
      <c r="B908" s="46"/>
      <c r="C908" s="62"/>
      <c r="F908" s="70"/>
      <c r="G908" s="86"/>
      <c r="L908" s="117"/>
      <c r="M908" s="118"/>
      <c r="R908" s="58"/>
      <c r="S908" s="58"/>
      <c r="T908" s="140"/>
      <c r="X908" s="129"/>
      <c r="Y908" s="120"/>
      <c r="AL908" s="68"/>
      <c r="AQ908" s="67"/>
      <c r="AT908" s="46"/>
      <c r="AY908" s="57"/>
      <c r="AZ908" s="64"/>
      <c r="BA908" s="46"/>
      <c r="BB908" s="46"/>
      <c r="BC908" s="48"/>
      <c r="BF908" s="46"/>
      <c r="BL908" s="121"/>
      <c r="BM908" s="57"/>
      <c r="BN908" s="64"/>
      <c r="BO908" s="64"/>
      <c r="BP908" s="64"/>
      <c r="BQ908" s="64"/>
      <c r="BR908" s="57"/>
      <c r="BS908" s="64"/>
      <c r="BT908" s="64"/>
      <c r="BU908" s="64"/>
      <c r="BV908" s="46"/>
    </row>
    <row r="909" spans="2:74" x14ac:dyDescent="0.8">
      <c r="B909" s="46"/>
      <c r="C909" s="62"/>
      <c r="F909" s="70"/>
      <c r="G909" s="86"/>
      <c r="H909" s="70"/>
      <c r="I909" s="86"/>
      <c r="L909" s="117"/>
      <c r="M909" s="118"/>
      <c r="R909" s="58"/>
      <c r="S909" s="58"/>
      <c r="T909" s="140"/>
      <c r="X909" s="129"/>
      <c r="Y909" s="120"/>
      <c r="AL909" s="68"/>
      <c r="AQ909" s="67"/>
      <c r="AT909" s="46"/>
      <c r="AY909" s="57"/>
      <c r="AZ909" s="64"/>
      <c r="BA909" s="46"/>
      <c r="BB909" s="46"/>
      <c r="BC909" s="48"/>
      <c r="BF909" s="46"/>
      <c r="BL909" s="121"/>
      <c r="BM909" s="57"/>
      <c r="BN909" s="64"/>
      <c r="BO909" s="64"/>
      <c r="BP909" s="64"/>
      <c r="BQ909" s="64"/>
      <c r="BR909" s="57"/>
      <c r="BS909" s="64"/>
      <c r="BT909" s="64"/>
      <c r="BU909" s="64"/>
      <c r="BV909" s="46"/>
    </row>
    <row r="910" spans="2:74" x14ac:dyDescent="0.8">
      <c r="B910" s="46"/>
      <c r="C910" s="62"/>
      <c r="F910" s="70"/>
      <c r="G910" s="86"/>
      <c r="L910" s="117"/>
      <c r="M910" s="118"/>
      <c r="R910" s="58"/>
      <c r="S910" s="58"/>
      <c r="T910" s="140"/>
      <c r="X910" s="129"/>
      <c r="Y910" s="120"/>
      <c r="AL910" s="68"/>
      <c r="AQ910" s="67"/>
      <c r="AT910" s="46"/>
      <c r="AY910" s="57"/>
      <c r="AZ910" s="64"/>
      <c r="BA910" s="46"/>
      <c r="BB910" s="46"/>
      <c r="BC910" s="48"/>
      <c r="BF910" s="46"/>
      <c r="BL910" s="121"/>
      <c r="BM910" s="57"/>
      <c r="BN910" s="64"/>
      <c r="BO910" s="64"/>
      <c r="BP910" s="64"/>
      <c r="BQ910" s="64"/>
      <c r="BR910" s="57"/>
      <c r="BS910" s="64"/>
      <c r="BT910" s="64"/>
      <c r="BU910" s="64"/>
      <c r="BV910" s="46"/>
    </row>
    <row r="911" spans="2:74" x14ac:dyDescent="0.8">
      <c r="B911" s="46"/>
      <c r="C911" s="62"/>
      <c r="F911" s="70"/>
      <c r="G911" s="86"/>
      <c r="L911" s="117"/>
      <c r="M911" s="118"/>
      <c r="R911" s="58"/>
      <c r="S911" s="58"/>
      <c r="T911" s="140"/>
      <c r="X911" s="129"/>
      <c r="Y911" s="120"/>
      <c r="AL911" s="68"/>
      <c r="AQ911" s="67"/>
      <c r="AT911" s="46"/>
      <c r="AY911" s="57"/>
      <c r="AZ911" s="64"/>
      <c r="BA911" s="46"/>
      <c r="BB911" s="46"/>
      <c r="BC911" s="48"/>
      <c r="BF911" s="46"/>
      <c r="BL911" s="121"/>
      <c r="BM911" s="57"/>
      <c r="BN911" s="64"/>
      <c r="BO911" s="64"/>
      <c r="BP911" s="64"/>
      <c r="BQ911" s="64"/>
      <c r="BR911" s="57"/>
      <c r="BS911" s="64"/>
      <c r="BT911" s="64"/>
      <c r="BU911" s="64"/>
      <c r="BV911" s="46"/>
    </row>
    <row r="912" spans="2:74" x14ac:dyDescent="0.8">
      <c r="B912" s="46"/>
      <c r="C912" s="62"/>
      <c r="F912" s="70"/>
      <c r="G912" s="86"/>
      <c r="L912" s="117"/>
      <c r="M912" s="118"/>
      <c r="R912" s="58"/>
      <c r="S912" s="58"/>
      <c r="T912" s="140"/>
      <c r="X912" s="129"/>
      <c r="Y912" s="120"/>
      <c r="AL912" s="68"/>
      <c r="AQ912" s="67"/>
      <c r="AT912" s="46"/>
      <c r="AY912" s="57"/>
      <c r="AZ912" s="64"/>
      <c r="BA912" s="46"/>
      <c r="BB912" s="46"/>
      <c r="BC912" s="48"/>
      <c r="BF912" s="46"/>
      <c r="BL912" s="121"/>
      <c r="BM912" s="57"/>
      <c r="BN912" s="64"/>
      <c r="BO912" s="64"/>
      <c r="BP912" s="64"/>
      <c r="BQ912" s="64"/>
      <c r="BR912" s="57"/>
      <c r="BS912" s="64"/>
      <c r="BT912" s="64"/>
      <c r="BU912" s="64"/>
      <c r="BV912" s="46"/>
    </row>
    <row r="913" spans="2:74" x14ac:dyDescent="0.8">
      <c r="B913" s="46"/>
      <c r="C913" s="62"/>
      <c r="F913" s="70"/>
      <c r="G913" s="86"/>
      <c r="J913" s="64"/>
      <c r="K913" s="64"/>
      <c r="L913" s="117"/>
      <c r="M913" s="118"/>
      <c r="R913" s="58"/>
      <c r="S913" s="58"/>
      <c r="T913" s="140"/>
      <c r="X913" s="129"/>
      <c r="Y913" s="120"/>
      <c r="AL913" s="68"/>
      <c r="AQ913" s="67"/>
      <c r="AT913" s="46"/>
      <c r="AY913" s="57"/>
      <c r="AZ913" s="64"/>
      <c r="BA913" s="46"/>
      <c r="BB913" s="46"/>
      <c r="BC913" s="48"/>
      <c r="BF913" s="46"/>
      <c r="BL913" s="121"/>
      <c r="BM913" s="57"/>
      <c r="BN913" s="64"/>
      <c r="BO913" s="64"/>
      <c r="BP913" s="64"/>
      <c r="BQ913" s="64"/>
      <c r="BR913" s="57"/>
      <c r="BS913" s="64"/>
      <c r="BT913" s="64"/>
      <c r="BU913" s="64"/>
      <c r="BV913" s="46"/>
    </row>
    <row r="914" spans="2:74" x14ac:dyDescent="0.8">
      <c r="B914" s="46"/>
      <c r="C914" s="62"/>
      <c r="F914" s="70"/>
      <c r="G914" s="86"/>
      <c r="L914" s="117"/>
      <c r="M914" s="118"/>
      <c r="R914" s="58"/>
      <c r="S914" s="58"/>
      <c r="T914" s="140"/>
      <c r="X914" s="175"/>
      <c r="Y914" s="120"/>
      <c r="AL914" s="68"/>
      <c r="AQ914" s="67"/>
      <c r="AT914" s="46"/>
      <c r="AY914" s="57"/>
      <c r="AZ914" s="64"/>
      <c r="BA914" s="46"/>
      <c r="BB914" s="46"/>
      <c r="BC914" s="48"/>
      <c r="BF914" s="46"/>
      <c r="BL914" s="121"/>
      <c r="BM914" s="57"/>
      <c r="BN914" s="64"/>
      <c r="BO914" s="64"/>
      <c r="BP914" s="64"/>
      <c r="BQ914" s="64"/>
      <c r="BR914" s="57"/>
      <c r="BS914" s="64"/>
      <c r="BT914" s="64"/>
      <c r="BU914" s="64"/>
      <c r="BV914" s="46"/>
    </row>
    <row r="915" spans="2:74" x14ac:dyDescent="0.8">
      <c r="B915" s="46"/>
      <c r="C915" s="62"/>
      <c r="F915" s="70"/>
      <c r="G915" s="86"/>
      <c r="H915" s="70"/>
      <c r="I915" s="86"/>
      <c r="L915" s="117"/>
      <c r="M915" s="118"/>
      <c r="R915" s="58"/>
      <c r="S915" s="58"/>
      <c r="T915" s="140"/>
      <c r="X915" s="175"/>
      <c r="Y915" s="120"/>
      <c r="AL915" s="68"/>
      <c r="AQ915" s="67"/>
      <c r="AT915" s="46"/>
      <c r="AY915" s="57"/>
      <c r="AZ915" s="64"/>
      <c r="BA915" s="46"/>
      <c r="BB915" s="46"/>
      <c r="BC915" s="48"/>
      <c r="BF915" s="46"/>
      <c r="BL915" s="121"/>
      <c r="BM915" s="57"/>
      <c r="BN915" s="64"/>
      <c r="BO915" s="64"/>
      <c r="BP915" s="64"/>
      <c r="BQ915" s="64"/>
      <c r="BR915" s="57"/>
      <c r="BS915" s="64"/>
      <c r="BT915" s="64"/>
      <c r="BU915" s="64"/>
      <c r="BV915" s="46"/>
    </row>
    <row r="916" spans="2:74" x14ac:dyDescent="0.8">
      <c r="B916" s="46"/>
      <c r="C916" s="62"/>
      <c r="F916" s="70"/>
      <c r="G916" s="86"/>
      <c r="H916" s="70"/>
      <c r="I916" s="86"/>
      <c r="L916" s="117"/>
      <c r="M916" s="118"/>
      <c r="R916" s="58"/>
      <c r="S916" s="58"/>
      <c r="T916" s="140"/>
      <c r="X916" s="129"/>
      <c r="Y916" s="120"/>
      <c r="AL916" s="68"/>
      <c r="AQ916" s="67"/>
      <c r="AT916" s="46"/>
      <c r="AY916" s="57"/>
      <c r="AZ916" s="64"/>
      <c r="BA916" s="46"/>
      <c r="BB916" s="46"/>
      <c r="BC916" s="48"/>
      <c r="BF916" s="46"/>
      <c r="BL916" s="121"/>
      <c r="BM916" s="57"/>
      <c r="BN916" s="64"/>
      <c r="BO916" s="64"/>
      <c r="BP916" s="64"/>
      <c r="BQ916" s="64"/>
      <c r="BR916" s="57"/>
      <c r="BS916" s="64"/>
      <c r="BT916" s="64"/>
      <c r="BU916" s="64"/>
      <c r="BV916" s="46"/>
    </row>
    <row r="917" spans="2:74" x14ac:dyDescent="0.8">
      <c r="B917" s="46"/>
      <c r="C917" s="62"/>
      <c r="F917" s="70"/>
      <c r="G917" s="86"/>
      <c r="H917" s="70"/>
      <c r="I917" s="86"/>
      <c r="L917" s="117"/>
      <c r="M917" s="118"/>
      <c r="R917" s="58"/>
      <c r="S917" s="58"/>
      <c r="T917" s="140"/>
      <c r="X917" s="129"/>
      <c r="Y917" s="120"/>
      <c r="AL917" s="68"/>
      <c r="AQ917" s="67"/>
      <c r="AT917" s="46"/>
      <c r="AY917" s="57"/>
      <c r="AZ917" s="64"/>
      <c r="BA917" s="46"/>
      <c r="BB917" s="46"/>
      <c r="BC917" s="48"/>
      <c r="BF917" s="46"/>
      <c r="BL917" s="121"/>
      <c r="BM917" s="57"/>
      <c r="BN917" s="64"/>
      <c r="BO917" s="64"/>
      <c r="BP917" s="64"/>
      <c r="BQ917" s="64"/>
      <c r="BR917" s="57"/>
      <c r="BS917" s="64"/>
      <c r="BT917" s="64"/>
      <c r="BU917" s="64"/>
      <c r="BV917" s="46"/>
    </row>
    <row r="918" spans="2:74" x14ac:dyDescent="0.8">
      <c r="B918" s="46"/>
      <c r="C918" s="62"/>
      <c r="F918" s="70"/>
      <c r="G918" s="86"/>
      <c r="H918" s="70"/>
      <c r="I918" s="86"/>
      <c r="L918" s="117"/>
      <c r="M918" s="118"/>
      <c r="R918" s="58"/>
      <c r="S918" s="58"/>
      <c r="T918" s="140"/>
      <c r="X918" s="129"/>
      <c r="Y918" s="120"/>
      <c r="AL918" s="68"/>
      <c r="AQ918" s="67"/>
      <c r="AT918" s="46"/>
      <c r="AY918" s="57"/>
      <c r="AZ918" s="64"/>
      <c r="BA918" s="46"/>
      <c r="BB918" s="46"/>
      <c r="BC918" s="48"/>
      <c r="BF918" s="46"/>
      <c r="BL918" s="121"/>
      <c r="BM918" s="57"/>
      <c r="BN918" s="64"/>
      <c r="BO918" s="64"/>
      <c r="BP918" s="64"/>
      <c r="BQ918" s="64"/>
      <c r="BR918" s="57"/>
      <c r="BS918" s="64"/>
      <c r="BT918" s="64"/>
      <c r="BU918" s="64"/>
      <c r="BV918" s="46"/>
    </row>
    <row r="919" spans="2:74" x14ac:dyDescent="0.8">
      <c r="B919" s="46"/>
      <c r="C919" s="62"/>
      <c r="F919" s="70"/>
      <c r="G919" s="86"/>
      <c r="L919" s="117"/>
      <c r="M919" s="118"/>
      <c r="R919" s="58"/>
      <c r="S919" s="58"/>
      <c r="T919" s="140"/>
      <c r="X919" s="129"/>
      <c r="Y919" s="120"/>
      <c r="AL919" s="68"/>
      <c r="AQ919" s="67"/>
      <c r="AT919" s="46"/>
      <c r="AY919" s="57"/>
      <c r="AZ919" s="64"/>
      <c r="BA919" s="46"/>
      <c r="BB919" s="46"/>
      <c r="BC919" s="48"/>
      <c r="BF919" s="46"/>
      <c r="BL919" s="121"/>
      <c r="BM919" s="57"/>
      <c r="BN919" s="64"/>
      <c r="BO919" s="64"/>
      <c r="BP919" s="64"/>
      <c r="BQ919" s="64"/>
      <c r="BR919" s="57"/>
      <c r="BS919" s="64"/>
      <c r="BT919" s="64"/>
      <c r="BU919" s="64"/>
      <c r="BV919" s="46"/>
    </row>
    <row r="920" spans="2:74" x14ac:dyDescent="0.8">
      <c r="B920" s="46"/>
      <c r="C920" s="62"/>
      <c r="F920" s="70"/>
      <c r="G920" s="86"/>
      <c r="L920" s="117"/>
      <c r="M920" s="118"/>
      <c r="R920" s="58"/>
      <c r="S920" s="58"/>
      <c r="T920" s="140"/>
      <c r="X920" s="129"/>
      <c r="Y920" s="120"/>
      <c r="AL920" s="68"/>
      <c r="AQ920" s="67"/>
      <c r="AT920" s="46"/>
      <c r="AY920" s="57"/>
      <c r="AZ920" s="64"/>
      <c r="BA920" s="46"/>
      <c r="BB920" s="46"/>
      <c r="BC920" s="48"/>
      <c r="BF920" s="46"/>
      <c r="BL920" s="121"/>
      <c r="BM920" s="57"/>
      <c r="BN920" s="64"/>
      <c r="BO920" s="64"/>
      <c r="BP920" s="64"/>
      <c r="BQ920" s="64"/>
      <c r="BR920" s="57"/>
      <c r="BS920" s="64"/>
      <c r="BT920" s="64"/>
      <c r="BU920" s="64"/>
      <c r="BV920" s="46"/>
    </row>
    <row r="921" spans="2:74" x14ac:dyDescent="0.8">
      <c r="B921" s="46"/>
      <c r="C921" s="62"/>
      <c r="F921" s="70"/>
      <c r="G921" s="86"/>
      <c r="L921" s="117"/>
      <c r="M921" s="118"/>
      <c r="R921" s="58"/>
      <c r="S921" s="58"/>
      <c r="T921" s="140"/>
      <c r="X921" s="129"/>
      <c r="Y921" s="120"/>
      <c r="AL921" s="68"/>
      <c r="AQ921" s="67"/>
      <c r="AT921" s="46"/>
      <c r="AY921" s="57"/>
      <c r="AZ921" s="64"/>
      <c r="BA921" s="46"/>
      <c r="BB921" s="46"/>
      <c r="BC921" s="48"/>
      <c r="BF921" s="46"/>
      <c r="BL921" s="121"/>
      <c r="BM921" s="57"/>
      <c r="BN921" s="64"/>
      <c r="BO921" s="64"/>
      <c r="BP921" s="64"/>
      <c r="BQ921" s="64"/>
      <c r="BR921" s="57"/>
      <c r="BS921" s="64"/>
      <c r="BT921" s="64"/>
      <c r="BU921" s="64"/>
      <c r="BV921" s="46"/>
    </row>
    <row r="922" spans="2:74" x14ac:dyDescent="0.8">
      <c r="B922" s="46"/>
      <c r="C922" s="62"/>
      <c r="F922" s="70"/>
      <c r="G922" s="86"/>
      <c r="H922" s="70"/>
      <c r="I922" s="86"/>
      <c r="L922" s="117"/>
      <c r="M922" s="118"/>
      <c r="T922" s="140"/>
      <c r="X922" s="129"/>
      <c r="Y922" s="120"/>
      <c r="AL922" s="68"/>
      <c r="AQ922" s="67"/>
      <c r="AT922" s="46"/>
      <c r="AY922" s="57"/>
      <c r="AZ922" s="64"/>
      <c r="BA922" s="46"/>
      <c r="BB922" s="46"/>
      <c r="BC922" s="48"/>
      <c r="BF922" s="46"/>
      <c r="BL922" s="121"/>
      <c r="BM922" s="57"/>
      <c r="BN922" s="64"/>
      <c r="BO922" s="64"/>
      <c r="BP922" s="64"/>
      <c r="BQ922" s="64"/>
      <c r="BR922" s="57"/>
      <c r="BS922" s="64"/>
      <c r="BT922" s="64"/>
      <c r="BU922" s="64"/>
      <c r="BV922" s="46"/>
    </row>
    <row r="923" spans="2:74" x14ac:dyDescent="0.8">
      <c r="B923" s="46"/>
      <c r="C923" s="62"/>
      <c r="F923" s="70"/>
      <c r="G923" s="86"/>
      <c r="L923" s="117"/>
      <c r="M923" s="118"/>
      <c r="R923" s="58"/>
      <c r="S923" s="58"/>
      <c r="T923" s="140"/>
      <c r="X923" s="129"/>
      <c r="Y923" s="120"/>
      <c r="AL923" s="68"/>
      <c r="AQ923" s="67"/>
      <c r="AT923" s="46"/>
      <c r="AY923" s="57"/>
      <c r="AZ923" s="64"/>
      <c r="BA923" s="46"/>
      <c r="BB923" s="46"/>
      <c r="BC923" s="48"/>
      <c r="BF923" s="46"/>
      <c r="BL923" s="121"/>
      <c r="BM923" s="57"/>
      <c r="BN923" s="64"/>
      <c r="BO923" s="64"/>
      <c r="BP923" s="64"/>
      <c r="BQ923" s="64"/>
      <c r="BR923" s="57"/>
      <c r="BS923" s="64"/>
      <c r="BT923" s="64"/>
      <c r="BU923" s="64"/>
      <c r="BV923" s="46"/>
    </row>
    <row r="924" spans="2:74" x14ac:dyDescent="0.8">
      <c r="B924" s="46"/>
      <c r="C924" s="62"/>
      <c r="F924" s="70"/>
      <c r="G924" s="86"/>
      <c r="H924" s="70"/>
      <c r="I924" s="86"/>
      <c r="L924" s="117"/>
      <c r="M924" s="118"/>
      <c r="R924" s="58"/>
      <c r="S924" s="58"/>
      <c r="AA924" s="46"/>
      <c r="AQ924" s="67"/>
      <c r="AT924" s="46"/>
      <c r="AY924" s="57"/>
      <c r="AZ924" s="64"/>
      <c r="BA924" s="46"/>
      <c r="BB924" s="46"/>
      <c r="BC924" s="48"/>
      <c r="BF924" s="46"/>
      <c r="BL924" s="121"/>
      <c r="BM924" s="57"/>
      <c r="BN924" s="64"/>
      <c r="BO924" s="64"/>
      <c r="BP924" s="64"/>
      <c r="BQ924" s="64"/>
      <c r="BR924" s="57"/>
      <c r="BS924" s="64"/>
      <c r="BT924" s="64"/>
      <c r="BU924" s="64"/>
      <c r="BV924" s="46"/>
    </row>
    <row r="925" spans="2:74" x14ac:dyDescent="0.8">
      <c r="B925" s="46"/>
      <c r="C925" s="62"/>
      <c r="F925" s="70"/>
      <c r="G925" s="86"/>
      <c r="L925" s="117"/>
      <c r="M925" s="118"/>
      <c r="R925" s="58"/>
      <c r="S925" s="58"/>
      <c r="T925" s="140"/>
      <c r="X925" s="129"/>
      <c r="Y925" s="120"/>
      <c r="AL925" s="68"/>
      <c r="AQ925" s="67"/>
      <c r="AT925" s="46"/>
      <c r="AY925" s="57"/>
      <c r="AZ925" s="64"/>
      <c r="BA925" s="46"/>
      <c r="BB925" s="46"/>
      <c r="BC925" s="48"/>
      <c r="BF925" s="46"/>
      <c r="BL925" s="121"/>
      <c r="BM925" s="57"/>
      <c r="BN925" s="64"/>
      <c r="BO925" s="64"/>
      <c r="BP925" s="64"/>
      <c r="BQ925" s="64"/>
      <c r="BR925" s="57"/>
      <c r="BS925" s="64"/>
      <c r="BT925" s="64"/>
      <c r="BU925" s="64"/>
      <c r="BV925" s="46"/>
    </row>
    <row r="926" spans="2:74" x14ac:dyDescent="0.8">
      <c r="B926" s="46"/>
      <c r="C926" s="62"/>
      <c r="F926" s="70"/>
      <c r="G926" s="86"/>
      <c r="L926" s="117"/>
      <c r="M926" s="118"/>
      <c r="R926" s="58"/>
      <c r="S926" s="58"/>
      <c r="T926" s="140"/>
      <c r="X926" s="129"/>
      <c r="Y926" s="120"/>
      <c r="AL926" s="68"/>
      <c r="AQ926" s="67"/>
      <c r="AT926" s="46"/>
      <c r="AY926" s="57"/>
      <c r="AZ926" s="64"/>
      <c r="BA926" s="46"/>
      <c r="BB926" s="46"/>
      <c r="BC926" s="48"/>
      <c r="BF926" s="46"/>
      <c r="BL926" s="121"/>
      <c r="BM926" s="57"/>
      <c r="BN926" s="64"/>
      <c r="BO926" s="64"/>
      <c r="BP926" s="64"/>
      <c r="BQ926" s="64"/>
      <c r="BR926" s="57"/>
      <c r="BS926" s="64"/>
      <c r="BT926" s="64"/>
      <c r="BU926" s="64"/>
      <c r="BV926" s="46"/>
    </row>
    <row r="927" spans="2:74" x14ac:dyDescent="0.8">
      <c r="B927" s="46"/>
      <c r="C927" s="62"/>
      <c r="F927" s="70"/>
      <c r="G927" s="86"/>
      <c r="L927" s="117"/>
      <c r="M927" s="118"/>
      <c r="R927" s="58"/>
      <c r="S927" s="58"/>
      <c r="T927" s="140"/>
      <c r="X927" s="129"/>
      <c r="Y927" s="120"/>
      <c r="AL927" s="68"/>
      <c r="AQ927" s="67"/>
      <c r="AT927" s="46"/>
      <c r="AY927" s="57"/>
      <c r="AZ927" s="64"/>
      <c r="BA927" s="46"/>
      <c r="BB927" s="46"/>
      <c r="BC927" s="48"/>
      <c r="BF927" s="46"/>
      <c r="BL927" s="121"/>
      <c r="BM927" s="57"/>
      <c r="BN927" s="64"/>
      <c r="BO927" s="64"/>
      <c r="BP927" s="64"/>
      <c r="BQ927" s="64"/>
      <c r="BR927" s="57"/>
      <c r="BS927" s="64"/>
      <c r="BT927" s="64"/>
      <c r="BU927" s="64"/>
      <c r="BV927" s="46"/>
    </row>
    <row r="928" spans="2:74" x14ac:dyDescent="0.8">
      <c r="B928" s="46"/>
      <c r="C928" s="62"/>
      <c r="F928" s="70"/>
      <c r="G928" s="86"/>
      <c r="L928" s="117"/>
      <c r="M928" s="118"/>
      <c r="R928" s="58"/>
      <c r="S928" s="58"/>
      <c r="T928" s="140"/>
      <c r="X928" s="129"/>
      <c r="Y928" s="120"/>
      <c r="AL928" s="68"/>
      <c r="AQ928" s="67"/>
      <c r="AT928" s="46"/>
      <c r="AY928" s="57"/>
      <c r="AZ928" s="64"/>
      <c r="BA928" s="46"/>
      <c r="BB928" s="46"/>
      <c r="BC928" s="48"/>
      <c r="BF928" s="46"/>
      <c r="BL928" s="121"/>
      <c r="BM928" s="57"/>
      <c r="BN928" s="64"/>
      <c r="BO928" s="64"/>
      <c r="BP928" s="64"/>
      <c r="BQ928" s="64"/>
      <c r="BR928" s="57"/>
      <c r="BS928" s="64"/>
      <c r="BT928" s="64"/>
      <c r="BU928" s="64"/>
      <c r="BV928" s="46"/>
    </row>
    <row r="929" spans="1:74" x14ac:dyDescent="0.8">
      <c r="B929" s="46"/>
      <c r="C929" s="62"/>
      <c r="F929" s="70"/>
      <c r="G929" s="86"/>
      <c r="H929" s="70"/>
      <c r="I929" s="86"/>
      <c r="J929" s="64"/>
      <c r="K929" s="64"/>
      <c r="L929" s="117"/>
      <c r="M929" s="118"/>
      <c r="R929" s="58"/>
      <c r="S929" s="58"/>
      <c r="AQ929" s="67"/>
      <c r="AT929" s="46"/>
      <c r="AY929" s="57"/>
      <c r="AZ929" s="64"/>
      <c r="BA929" s="46"/>
      <c r="BB929" s="46"/>
      <c r="BC929" s="48"/>
      <c r="BF929" s="46"/>
      <c r="BL929" s="121"/>
      <c r="BM929" s="57"/>
      <c r="BN929" s="64"/>
      <c r="BO929" s="64"/>
      <c r="BP929" s="64"/>
      <c r="BQ929" s="64"/>
      <c r="BR929" s="57"/>
      <c r="BS929" s="64"/>
      <c r="BT929" s="64"/>
      <c r="BU929" s="64"/>
      <c r="BV929" s="46"/>
    </row>
    <row r="930" spans="1:74" x14ac:dyDescent="0.8">
      <c r="B930" s="46"/>
      <c r="C930" s="62"/>
      <c r="L930" s="117"/>
      <c r="M930" s="118"/>
      <c r="T930" s="140"/>
      <c r="X930" s="175"/>
      <c r="Y930" s="120"/>
      <c r="AL930" s="68"/>
      <c r="AQ930" s="67"/>
      <c r="AT930" s="46"/>
      <c r="AY930" s="57"/>
      <c r="AZ930" s="64"/>
      <c r="BA930" s="46"/>
      <c r="BB930" s="46"/>
      <c r="BC930" s="48"/>
      <c r="BF930" s="46"/>
      <c r="BL930" s="121"/>
      <c r="BM930" s="57"/>
      <c r="BN930" s="64"/>
      <c r="BO930" s="64"/>
      <c r="BP930" s="64"/>
      <c r="BQ930" s="64"/>
      <c r="BR930" s="57"/>
      <c r="BS930" s="64"/>
      <c r="BT930" s="64"/>
      <c r="BU930" s="64"/>
      <c r="BV930" s="46"/>
    </row>
    <row r="931" spans="1:74" x14ac:dyDescent="0.8">
      <c r="B931" s="46"/>
      <c r="C931" s="62"/>
      <c r="R931" s="58"/>
      <c r="S931" s="58"/>
      <c r="T931" s="184"/>
      <c r="X931" s="64"/>
      <c r="Y931" s="46"/>
      <c r="Z931" s="57"/>
      <c r="AA931" s="46"/>
      <c r="AM931" s="64"/>
      <c r="AO931" s="46"/>
      <c r="AQ931" s="67"/>
      <c r="AT931" s="46"/>
      <c r="BC931" s="48"/>
      <c r="BF931" s="46"/>
      <c r="BL931" s="121"/>
      <c r="BM931" s="57"/>
      <c r="BN931" s="64"/>
      <c r="BO931" s="64"/>
      <c r="BP931" s="64"/>
      <c r="BQ931" s="64"/>
      <c r="BR931" s="57"/>
      <c r="BS931" s="64"/>
      <c r="BT931" s="64"/>
      <c r="BU931" s="64"/>
      <c r="BV931" s="46"/>
    </row>
    <row r="932" spans="1:74" x14ac:dyDescent="0.8">
      <c r="B932" s="46"/>
      <c r="C932" s="62"/>
      <c r="F932" s="70"/>
      <c r="G932" s="86"/>
      <c r="L932" s="117"/>
      <c r="M932" s="118"/>
      <c r="R932" s="58"/>
      <c r="S932" s="58"/>
      <c r="T932" s="140"/>
      <c r="X932" s="175"/>
      <c r="Y932" s="120"/>
      <c r="AL932" s="68"/>
      <c r="AQ932" s="67"/>
      <c r="AT932" s="46"/>
      <c r="AY932" s="57"/>
      <c r="AZ932" s="64"/>
      <c r="BA932" s="46"/>
      <c r="BB932" s="46"/>
      <c r="BC932" s="48"/>
      <c r="BF932" s="46"/>
      <c r="BL932" s="121"/>
      <c r="BM932" s="57"/>
      <c r="BN932" s="64"/>
      <c r="BO932" s="64"/>
      <c r="BP932" s="64"/>
      <c r="BQ932" s="64"/>
      <c r="BR932" s="57"/>
      <c r="BS932" s="64"/>
      <c r="BT932" s="64"/>
      <c r="BU932" s="64"/>
      <c r="BV932" s="46"/>
    </row>
    <row r="933" spans="1:74" x14ac:dyDescent="0.8">
      <c r="B933" s="46"/>
      <c r="C933" s="62"/>
      <c r="F933" s="70"/>
      <c r="G933" s="86"/>
      <c r="L933" s="117"/>
      <c r="M933" s="118"/>
      <c r="R933" s="58"/>
      <c r="S933" s="58"/>
      <c r="T933" s="140"/>
      <c r="X933" s="129"/>
      <c r="Y933" s="120"/>
      <c r="AL933" s="68"/>
      <c r="AQ933" s="67"/>
      <c r="AT933" s="46"/>
      <c r="AY933" s="57"/>
      <c r="AZ933" s="64"/>
      <c r="BA933" s="46"/>
      <c r="BB933" s="46"/>
      <c r="BC933" s="48"/>
      <c r="BF933" s="46"/>
      <c r="BL933" s="121"/>
      <c r="BM933" s="57"/>
      <c r="BN933" s="64"/>
      <c r="BO933" s="64"/>
      <c r="BP933" s="64"/>
      <c r="BQ933" s="64"/>
      <c r="BR933" s="57"/>
      <c r="BS933" s="64"/>
      <c r="BT933" s="64"/>
      <c r="BU933" s="64"/>
      <c r="BV933" s="46"/>
    </row>
    <row r="934" spans="1:74" x14ac:dyDescent="0.8">
      <c r="B934" s="46"/>
      <c r="C934" s="62"/>
      <c r="F934" s="70"/>
      <c r="G934" s="86"/>
      <c r="L934" s="117"/>
      <c r="M934" s="118"/>
      <c r="R934" s="58"/>
      <c r="S934" s="58"/>
      <c r="AQ934" s="67"/>
      <c r="AT934" s="46"/>
      <c r="AY934" s="57"/>
      <c r="AZ934" s="64"/>
      <c r="BA934" s="46"/>
      <c r="BB934" s="46"/>
      <c r="BC934" s="48"/>
      <c r="BF934" s="46"/>
      <c r="BL934" s="121"/>
      <c r="BM934" s="57"/>
      <c r="BN934" s="64"/>
      <c r="BO934" s="64"/>
      <c r="BP934" s="64"/>
      <c r="BQ934" s="64"/>
      <c r="BR934" s="57"/>
      <c r="BS934" s="64"/>
      <c r="BT934" s="64"/>
      <c r="BU934" s="64"/>
      <c r="BV934" s="46"/>
    </row>
    <row r="935" spans="1:74" x14ac:dyDescent="0.8">
      <c r="B935" s="46"/>
      <c r="C935" s="62"/>
      <c r="F935" s="70"/>
      <c r="G935" s="86"/>
      <c r="J935" s="182"/>
      <c r="K935" s="300"/>
      <c r="R935" s="58"/>
      <c r="S935" s="58"/>
      <c r="X935" s="57"/>
      <c r="Y935" s="46"/>
      <c r="Z935" s="57"/>
      <c r="AA935" s="46"/>
      <c r="AM935" s="64"/>
      <c r="AO935" s="46"/>
      <c r="AQ935" s="67"/>
      <c r="AT935" s="46"/>
      <c r="BC935" s="48"/>
      <c r="BF935" s="46"/>
      <c r="BL935" s="121"/>
      <c r="BM935" s="57"/>
      <c r="BN935" s="64"/>
      <c r="BO935" s="64"/>
      <c r="BP935" s="64"/>
      <c r="BQ935" s="64"/>
      <c r="BR935" s="57"/>
      <c r="BS935" s="64"/>
      <c r="BT935" s="64"/>
      <c r="BU935" s="64"/>
      <c r="BV935" s="46"/>
    </row>
    <row r="936" spans="1:74" x14ac:dyDescent="0.8">
      <c r="B936" s="46"/>
      <c r="C936" s="62"/>
      <c r="F936" s="70"/>
      <c r="G936" s="86"/>
      <c r="J936" s="182"/>
      <c r="K936" s="300"/>
      <c r="R936" s="58"/>
      <c r="S936" s="58"/>
      <c r="X936" s="57"/>
      <c r="Y936" s="46"/>
      <c r="Z936" s="57"/>
      <c r="AA936" s="46"/>
      <c r="AM936" s="64"/>
      <c r="AO936" s="46"/>
      <c r="AQ936" s="67"/>
      <c r="AT936" s="46"/>
      <c r="BC936" s="48"/>
      <c r="BF936" s="46"/>
      <c r="BL936" s="121"/>
      <c r="BM936" s="57"/>
      <c r="BN936" s="64"/>
      <c r="BO936" s="64"/>
      <c r="BP936" s="64"/>
      <c r="BQ936" s="64"/>
      <c r="BR936" s="57"/>
      <c r="BS936" s="64"/>
      <c r="BT936" s="64"/>
      <c r="BU936" s="64"/>
      <c r="BV936" s="46"/>
    </row>
    <row r="937" spans="1:74" x14ac:dyDescent="0.8">
      <c r="B937" s="46"/>
      <c r="C937" s="62"/>
      <c r="J937" s="71"/>
      <c r="K937" s="59"/>
      <c r="N937" s="58"/>
      <c r="O937" s="58"/>
      <c r="P937" s="58"/>
      <c r="Q937" s="59"/>
      <c r="R937" s="58"/>
      <c r="S937" s="58"/>
      <c r="T937" s="71"/>
      <c r="AD937" s="71"/>
      <c r="AF937" s="71"/>
      <c r="AH937" s="71"/>
      <c r="AJ937" s="71"/>
      <c r="AL937" s="71"/>
      <c r="AN937" s="71"/>
      <c r="AP937" s="137"/>
      <c r="AQ937" s="67"/>
      <c r="AT937" s="46"/>
      <c r="AY937" s="57"/>
      <c r="AZ937" s="64"/>
      <c r="BA937" s="46"/>
      <c r="BB937" s="46"/>
      <c r="BC937" s="48"/>
      <c r="BF937" s="46"/>
      <c r="BL937" s="121"/>
      <c r="BM937" s="57"/>
      <c r="BN937" s="64"/>
      <c r="BO937" s="64"/>
      <c r="BP937" s="64"/>
      <c r="BQ937" s="64"/>
      <c r="BR937" s="57"/>
      <c r="BS937" s="64"/>
      <c r="BT937" s="64"/>
      <c r="BU937" s="64"/>
      <c r="BV937" s="46"/>
    </row>
    <row r="938" spans="1:74" x14ac:dyDescent="0.8">
      <c r="B938" s="46"/>
      <c r="C938" s="62"/>
      <c r="J938" s="71"/>
      <c r="K938" s="59"/>
      <c r="N938" s="58"/>
      <c r="O938" s="58"/>
      <c r="P938" s="58"/>
      <c r="Q938" s="59"/>
      <c r="R938" s="58"/>
      <c r="S938" s="58"/>
      <c r="T938" s="71"/>
      <c r="V938" s="71"/>
      <c r="AD938" s="71"/>
      <c r="AF938" s="71"/>
      <c r="AH938" s="71"/>
      <c r="AJ938" s="71"/>
      <c r="AL938" s="71"/>
      <c r="AN938" s="71"/>
      <c r="AP938" s="137"/>
      <c r="AQ938" s="67"/>
      <c r="AT938" s="46"/>
      <c r="AY938" s="57"/>
      <c r="AZ938" s="64"/>
      <c r="BA938" s="46"/>
      <c r="BB938" s="46"/>
      <c r="BC938" s="48"/>
      <c r="BF938" s="46"/>
      <c r="BL938" s="121"/>
      <c r="BM938" s="57"/>
      <c r="BN938" s="64"/>
      <c r="BO938" s="64"/>
      <c r="BP938" s="64"/>
      <c r="BQ938" s="64"/>
      <c r="BR938" s="57"/>
      <c r="BS938" s="64"/>
      <c r="BT938" s="64"/>
      <c r="BU938" s="64"/>
      <c r="BV938" s="46"/>
    </row>
    <row r="939" spans="1:74" x14ac:dyDescent="0.8">
      <c r="A939" s="64"/>
      <c r="B939" s="64"/>
      <c r="C939" s="130"/>
      <c r="D939" s="191"/>
      <c r="R939" s="58"/>
      <c r="S939" s="58"/>
      <c r="X939" s="64"/>
      <c r="Y939" s="46"/>
      <c r="Z939" s="57"/>
      <c r="AA939" s="46"/>
      <c r="AM939" s="64"/>
      <c r="AO939" s="46"/>
      <c r="AQ939" s="67"/>
      <c r="BC939" s="48"/>
      <c r="BL939" s="121"/>
      <c r="BM939" s="57"/>
      <c r="BN939" s="64"/>
      <c r="BO939" s="64"/>
      <c r="BP939" s="64"/>
      <c r="BQ939" s="64"/>
      <c r="BR939" s="57"/>
      <c r="BS939" s="64"/>
      <c r="BT939" s="64"/>
      <c r="BU939" s="64"/>
      <c r="BV939" s="46"/>
    </row>
    <row r="940" spans="1:74" x14ac:dyDescent="0.8">
      <c r="B940" s="46"/>
      <c r="C940" s="62"/>
      <c r="L940" s="117"/>
      <c r="M940" s="118"/>
      <c r="T940" s="140"/>
      <c r="X940" s="129"/>
      <c r="Y940" s="120"/>
      <c r="AL940" s="68"/>
      <c r="AQ940" s="67"/>
      <c r="AT940" s="46"/>
      <c r="AY940" s="57"/>
      <c r="AZ940" s="64"/>
      <c r="BA940" s="46"/>
      <c r="BB940" s="46"/>
      <c r="BC940" s="48"/>
      <c r="BF940" s="46"/>
      <c r="BL940" s="121"/>
      <c r="BM940" s="57"/>
      <c r="BN940" s="64"/>
      <c r="BO940" s="64"/>
      <c r="BP940" s="64"/>
      <c r="BQ940" s="64"/>
      <c r="BR940" s="57"/>
      <c r="BS940" s="64"/>
      <c r="BT940" s="64"/>
      <c r="BU940" s="64"/>
      <c r="BV940" s="46"/>
    </row>
    <row r="941" spans="1:74" x14ac:dyDescent="0.8">
      <c r="B941" s="46"/>
      <c r="C941" s="62"/>
      <c r="X941" s="57"/>
      <c r="Y941" s="46"/>
      <c r="Z941" s="57"/>
      <c r="AA941" s="46"/>
      <c r="AM941" s="64"/>
      <c r="AO941" s="46"/>
      <c r="AQ941" s="67"/>
      <c r="AT941" s="46"/>
      <c r="AY941" s="57"/>
      <c r="AZ941" s="64"/>
      <c r="BA941" s="46"/>
      <c r="BB941" s="46"/>
      <c r="BC941" s="48"/>
      <c r="BF941" s="46"/>
      <c r="BL941" s="121"/>
      <c r="BM941" s="57"/>
      <c r="BN941" s="64"/>
      <c r="BO941" s="64"/>
      <c r="BP941" s="64"/>
      <c r="BQ941" s="64"/>
      <c r="BR941" s="57"/>
      <c r="BS941" s="64"/>
      <c r="BT941" s="64"/>
      <c r="BU941" s="64"/>
      <c r="BV941" s="46"/>
    </row>
    <row r="942" spans="1:74" x14ac:dyDescent="0.8">
      <c r="B942" s="46"/>
      <c r="C942" s="62"/>
      <c r="R942" s="58"/>
      <c r="S942" s="58"/>
      <c r="X942" s="57"/>
      <c r="Y942" s="46"/>
      <c r="Z942" s="57"/>
      <c r="AA942" s="46"/>
      <c r="AM942" s="64"/>
      <c r="AO942" s="46"/>
      <c r="AQ942" s="67"/>
      <c r="AT942" s="46"/>
      <c r="BC942" s="48"/>
      <c r="BF942" s="46"/>
      <c r="BL942" s="121"/>
      <c r="BM942" s="57"/>
      <c r="BN942" s="64"/>
      <c r="BO942" s="64"/>
      <c r="BP942" s="64"/>
      <c r="BQ942" s="64"/>
      <c r="BR942" s="57"/>
      <c r="BS942" s="64"/>
      <c r="BT942" s="64"/>
      <c r="BU942" s="64"/>
      <c r="BV942" s="46"/>
    </row>
    <row r="943" spans="1:74" x14ac:dyDescent="0.8">
      <c r="A943" s="64"/>
      <c r="B943" s="64"/>
      <c r="C943" s="130"/>
      <c r="D943" s="191"/>
      <c r="L943" s="117"/>
      <c r="M943" s="118"/>
      <c r="R943" s="58"/>
      <c r="S943" s="58"/>
      <c r="T943" s="140"/>
      <c r="X943" s="183"/>
      <c r="Y943" s="120"/>
      <c r="AB943" s="129"/>
      <c r="AL943" s="68"/>
      <c r="AY943" s="57"/>
      <c r="AZ943" s="64"/>
      <c r="BA943" s="46"/>
      <c r="BB943" s="46"/>
      <c r="BC943" s="48"/>
      <c r="BL943" s="121"/>
      <c r="BM943" s="57"/>
      <c r="BN943" s="64"/>
      <c r="BO943" s="64"/>
      <c r="BP943" s="64"/>
      <c r="BQ943" s="64"/>
      <c r="BR943" s="57"/>
      <c r="BS943" s="64"/>
      <c r="BT943" s="64"/>
      <c r="BU943" s="64"/>
      <c r="BV943" s="46"/>
    </row>
    <row r="944" spans="1:74" x14ac:dyDescent="0.8">
      <c r="B944" s="46"/>
      <c r="C944" s="62"/>
      <c r="L944" s="117"/>
      <c r="M944" s="118"/>
      <c r="R944" s="58"/>
      <c r="S944" s="58"/>
      <c r="AA944" s="46"/>
      <c r="AT944" s="46"/>
      <c r="AY944" s="57"/>
      <c r="AZ944" s="64"/>
      <c r="BA944" s="46"/>
      <c r="BB944" s="46"/>
      <c r="BC944" s="48"/>
      <c r="BF944" s="46"/>
      <c r="BL944" s="121"/>
      <c r="BM944" s="57"/>
      <c r="BN944" s="64"/>
      <c r="BO944" s="64"/>
      <c r="BP944" s="64"/>
      <c r="BQ944" s="64"/>
      <c r="BR944" s="57"/>
      <c r="BS944" s="64"/>
      <c r="BT944" s="64"/>
      <c r="BU944" s="64"/>
      <c r="BV944" s="46"/>
    </row>
    <row r="945" spans="1:74" x14ac:dyDescent="0.8">
      <c r="B945" s="46"/>
      <c r="C945" s="62"/>
      <c r="F945" s="71"/>
      <c r="G945" s="59"/>
      <c r="J945" s="71"/>
      <c r="K945" s="59"/>
      <c r="N945" s="58"/>
      <c r="O945" s="58"/>
      <c r="P945" s="58"/>
      <c r="Q945" s="59"/>
      <c r="R945" s="58"/>
      <c r="S945" s="58"/>
      <c r="T945" s="143"/>
      <c r="U945" s="144"/>
      <c r="V945" s="143"/>
      <c r="X945" s="135"/>
      <c r="Y945" s="136"/>
      <c r="AA945" s="136"/>
      <c r="AD945" s="143"/>
      <c r="AF945" s="71"/>
      <c r="AH945" s="71"/>
      <c r="AJ945" s="143"/>
      <c r="AL945" s="71"/>
      <c r="AN945" s="71"/>
      <c r="AP945" s="137"/>
      <c r="AT945" s="46"/>
      <c r="BB945" s="46"/>
      <c r="BC945" s="48"/>
      <c r="BF945" s="46"/>
      <c r="BL945" s="121"/>
      <c r="BM945" s="57"/>
      <c r="BN945" s="64"/>
      <c r="BO945" s="64"/>
      <c r="BP945" s="64"/>
      <c r="BQ945" s="64"/>
      <c r="BR945" s="57"/>
      <c r="BS945" s="64"/>
      <c r="BT945" s="64"/>
      <c r="BU945" s="64"/>
      <c r="BV945" s="46"/>
    </row>
    <row r="946" spans="1:74" x14ac:dyDescent="0.8">
      <c r="B946" s="46"/>
      <c r="C946" s="62"/>
      <c r="L946" s="117"/>
      <c r="M946" s="118"/>
      <c r="R946" s="58"/>
      <c r="S946" s="58"/>
      <c r="T946" s="140"/>
      <c r="V946" s="140"/>
      <c r="X946" s="135"/>
      <c r="Y946" s="139"/>
      <c r="AA946" s="136"/>
      <c r="AD946" s="140"/>
      <c r="AJ946" s="140"/>
      <c r="AL946" s="68"/>
      <c r="AT946" s="46"/>
      <c r="AY946" s="57"/>
      <c r="AZ946" s="64"/>
      <c r="BA946" s="46"/>
      <c r="BB946" s="46"/>
      <c r="BC946" s="48"/>
      <c r="BF946" s="46"/>
      <c r="BL946" s="121"/>
      <c r="BM946" s="57"/>
      <c r="BN946" s="64"/>
      <c r="BO946" s="64"/>
      <c r="BP946" s="64"/>
      <c r="BQ946" s="64"/>
      <c r="BR946" s="57"/>
      <c r="BS946" s="64"/>
      <c r="BT946" s="64"/>
      <c r="BU946" s="64"/>
      <c r="BV946" s="46"/>
    </row>
    <row r="947" spans="1:74" x14ac:dyDescent="0.8">
      <c r="B947" s="46"/>
      <c r="C947" s="62"/>
      <c r="L947" s="117"/>
      <c r="M947" s="118"/>
      <c r="R947" s="58"/>
      <c r="S947" s="58"/>
      <c r="T947" s="140"/>
      <c r="AT947" s="46"/>
      <c r="AY947" s="57"/>
      <c r="AZ947" s="64"/>
      <c r="BA947" s="46"/>
      <c r="BB947" s="46"/>
      <c r="BC947" s="48"/>
      <c r="BF947" s="46"/>
      <c r="BL947" s="121"/>
      <c r="BM947" s="57"/>
      <c r="BN947" s="64"/>
      <c r="BO947" s="64"/>
      <c r="BP947" s="64"/>
      <c r="BQ947" s="64"/>
      <c r="BR947" s="57"/>
      <c r="BS947" s="64"/>
      <c r="BT947" s="64"/>
      <c r="BU947" s="64"/>
      <c r="BV947" s="46"/>
    </row>
    <row r="948" spans="1:74" x14ac:dyDescent="0.8">
      <c r="B948" s="46"/>
      <c r="C948" s="62"/>
      <c r="R948" s="58"/>
      <c r="S948" s="58"/>
      <c r="X948" s="57"/>
      <c r="Y948" s="46"/>
      <c r="Z948" s="57"/>
      <c r="AA948" s="46"/>
      <c r="AM948" s="64"/>
      <c r="AO948" s="46"/>
      <c r="AT948" s="46"/>
      <c r="BC948" s="48"/>
      <c r="BF948" s="46"/>
      <c r="BL948" s="121"/>
      <c r="BM948" s="57"/>
      <c r="BN948" s="64"/>
      <c r="BO948" s="64"/>
      <c r="BP948" s="64"/>
      <c r="BQ948" s="64"/>
      <c r="BR948" s="57"/>
      <c r="BS948" s="64"/>
      <c r="BT948" s="64"/>
      <c r="BU948" s="64"/>
      <c r="BV948" s="46"/>
    </row>
    <row r="949" spans="1:74" x14ac:dyDescent="0.8">
      <c r="B949" s="46"/>
      <c r="C949" s="62"/>
      <c r="R949" s="58"/>
      <c r="S949" s="58"/>
      <c r="X949" s="57"/>
      <c r="Y949" s="46"/>
      <c r="Z949" s="57"/>
      <c r="AA949" s="46"/>
      <c r="AM949" s="64"/>
      <c r="AO949" s="46"/>
      <c r="AT949" s="46"/>
      <c r="BC949" s="48"/>
      <c r="BF949" s="46"/>
      <c r="BL949" s="121"/>
      <c r="BM949" s="57"/>
      <c r="BN949" s="64"/>
      <c r="BO949" s="64"/>
      <c r="BP949" s="64"/>
      <c r="BQ949" s="64"/>
      <c r="BR949" s="57"/>
      <c r="BS949" s="64"/>
      <c r="BT949" s="64"/>
      <c r="BU949" s="64"/>
      <c r="BV949" s="46"/>
    </row>
    <row r="950" spans="1:74" x14ac:dyDescent="0.8">
      <c r="B950" s="46"/>
      <c r="C950" s="62"/>
      <c r="R950" s="58"/>
      <c r="S950" s="58"/>
      <c r="T950" s="184"/>
      <c r="X950" s="57"/>
      <c r="Y950" s="46"/>
      <c r="Z950" s="57"/>
      <c r="AA950" s="46"/>
      <c r="AM950" s="64"/>
      <c r="AO950" s="46"/>
      <c r="AT950" s="46"/>
      <c r="BC950" s="48"/>
      <c r="BF950" s="46"/>
      <c r="BL950" s="121"/>
      <c r="BM950" s="57"/>
      <c r="BN950" s="64"/>
      <c r="BO950" s="64"/>
      <c r="BP950" s="64"/>
      <c r="BQ950" s="64"/>
      <c r="BR950" s="57"/>
      <c r="BS950" s="64"/>
      <c r="BT950" s="64"/>
      <c r="BU950" s="64"/>
      <c r="BV950" s="46"/>
    </row>
    <row r="951" spans="1:74" x14ac:dyDescent="0.8">
      <c r="B951" s="46"/>
      <c r="C951" s="62"/>
      <c r="R951" s="58"/>
      <c r="S951" s="58"/>
      <c r="AT951" s="46"/>
      <c r="AY951" s="57"/>
      <c r="AZ951" s="64"/>
      <c r="BA951" s="46"/>
      <c r="BB951" s="46"/>
      <c r="BC951" s="48"/>
      <c r="BF951" s="46"/>
      <c r="BL951" s="121"/>
      <c r="BM951" s="57"/>
      <c r="BN951" s="64"/>
      <c r="BO951" s="64"/>
      <c r="BP951" s="64"/>
      <c r="BQ951" s="64"/>
      <c r="BR951" s="57"/>
      <c r="BS951" s="64"/>
      <c r="BT951" s="64"/>
      <c r="BU951" s="64"/>
      <c r="BV951" s="46"/>
    </row>
    <row r="952" spans="1:74" x14ac:dyDescent="0.8">
      <c r="B952" s="46"/>
      <c r="C952" s="62"/>
      <c r="L952" s="117"/>
      <c r="M952" s="118"/>
      <c r="R952" s="58"/>
      <c r="S952" s="58"/>
      <c r="T952" s="140"/>
      <c r="X952" s="129"/>
      <c r="Y952" s="120"/>
      <c r="AL952" s="68"/>
      <c r="AT952" s="46"/>
      <c r="AY952" s="57"/>
      <c r="AZ952" s="64"/>
      <c r="BA952" s="46"/>
      <c r="BB952" s="46"/>
      <c r="BC952" s="48"/>
      <c r="BF952" s="46"/>
      <c r="BL952" s="121"/>
      <c r="BM952" s="57"/>
      <c r="BN952" s="64"/>
      <c r="BO952" s="64"/>
      <c r="BP952" s="64"/>
      <c r="BQ952" s="64"/>
      <c r="BR952" s="57"/>
      <c r="BS952" s="64"/>
      <c r="BT952" s="64"/>
      <c r="BU952" s="64"/>
      <c r="BV952" s="46"/>
    </row>
    <row r="953" spans="1:74" x14ac:dyDescent="0.8">
      <c r="B953" s="46"/>
      <c r="C953" s="62"/>
      <c r="L953" s="117"/>
      <c r="M953" s="118"/>
      <c r="R953" s="58"/>
      <c r="S953" s="58"/>
      <c r="T953" s="140"/>
      <c r="X953" s="129"/>
      <c r="Y953" s="120"/>
      <c r="AL953" s="68"/>
      <c r="AT953" s="46"/>
      <c r="AY953" s="57"/>
      <c r="AZ953" s="64"/>
      <c r="BA953" s="46"/>
      <c r="BB953" s="46"/>
      <c r="BC953" s="48"/>
      <c r="BF953" s="46"/>
      <c r="BL953" s="121"/>
      <c r="BM953" s="57"/>
      <c r="BN953" s="64"/>
      <c r="BO953" s="64"/>
      <c r="BP953" s="64"/>
      <c r="BQ953" s="64"/>
      <c r="BR953" s="57"/>
      <c r="BS953" s="64"/>
      <c r="BT953" s="64"/>
      <c r="BU953" s="64"/>
      <c r="BV953" s="46"/>
    </row>
    <row r="954" spans="1:74" x14ac:dyDescent="0.8">
      <c r="B954" s="46"/>
      <c r="C954" s="62"/>
      <c r="L954" s="117"/>
      <c r="M954" s="118"/>
      <c r="R954" s="58"/>
      <c r="S954" s="58"/>
      <c r="T954" s="140"/>
      <c r="X954" s="129"/>
      <c r="Y954" s="120"/>
      <c r="AL954" s="68"/>
      <c r="AT954" s="46"/>
      <c r="AY954" s="57"/>
      <c r="AZ954" s="64"/>
      <c r="BA954" s="46"/>
      <c r="BB954" s="46"/>
      <c r="BC954" s="48"/>
      <c r="BF954" s="46"/>
      <c r="BL954" s="121"/>
      <c r="BM954" s="57"/>
      <c r="BN954" s="64"/>
      <c r="BO954" s="64"/>
      <c r="BP954" s="64"/>
      <c r="BQ954" s="64"/>
      <c r="BR954" s="57"/>
      <c r="BS954" s="64"/>
      <c r="BT954" s="64"/>
      <c r="BU954" s="64"/>
      <c r="BV954" s="46"/>
    </row>
    <row r="955" spans="1:74" x14ac:dyDescent="0.8">
      <c r="B955" s="46"/>
      <c r="C955" s="62"/>
      <c r="L955" s="117"/>
      <c r="M955" s="118"/>
      <c r="R955" s="58"/>
      <c r="S955" s="58"/>
      <c r="T955" s="140"/>
      <c r="X955" s="129"/>
      <c r="Y955" s="120"/>
      <c r="AL955" s="68"/>
      <c r="AT955" s="46"/>
      <c r="AY955" s="57"/>
      <c r="AZ955" s="64"/>
      <c r="BA955" s="46"/>
      <c r="BB955" s="46"/>
      <c r="BC955" s="48"/>
      <c r="BF955" s="46"/>
      <c r="BL955" s="121"/>
      <c r="BM955" s="57"/>
      <c r="BN955" s="64"/>
      <c r="BO955" s="64"/>
      <c r="BP955" s="64"/>
      <c r="BQ955" s="64"/>
      <c r="BR955" s="57"/>
      <c r="BS955" s="64"/>
      <c r="BT955" s="64"/>
      <c r="BU955" s="64"/>
      <c r="BV955" s="46"/>
    </row>
    <row r="956" spans="1:74" x14ac:dyDescent="0.8">
      <c r="B956" s="46"/>
      <c r="C956" s="62"/>
      <c r="J956" s="183"/>
      <c r="K956" s="183"/>
      <c r="R956" s="58"/>
      <c r="S956" s="58"/>
      <c r="X956" s="57"/>
      <c r="Y956" s="46"/>
      <c r="Z956" s="57"/>
      <c r="AA956" s="46"/>
      <c r="AM956" s="64"/>
      <c r="AO956" s="46"/>
      <c r="AT956" s="46"/>
      <c r="BC956" s="48"/>
      <c r="BF956" s="46"/>
      <c r="BL956" s="121"/>
      <c r="BM956" s="57"/>
      <c r="BN956" s="64"/>
      <c r="BO956" s="64"/>
      <c r="BP956" s="64"/>
      <c r="BQ956" s="64"/>
      <c r="BR956" s="57"/>
      <c r="BS956" s="64"/>
      <c r="BT956" s="64"/>
      <c r="BU956" s="64"/>
      <c r="BV956" s="46"/>
    </row>
    <row r="957" spans="1:74" x14ac:dyDescent="0.8">
      <c r="B957" s="46"/>
      <c r="C957" s="62"/>
      <c r="L957" s="117"/>
      <c r="M957" s="118"/>
      <c r="R957" s="58"/>
      <c r="S957" s="58"/>
      <c r="T957" s="140"/>
      <c r="X957" s="183"/>
      <c r="Y957" s="120"/>
      <c r="AB957" s="129"/>
      <c r="AL957" s="68"/>
      <c r="AT957" s="46"/>
      <c r="AY957" s="57"/>
      <c r="AZ957" s="64"/>
      <c r="BA957" s="46"/>
      <c r="BB957" s="46"/>
      <c r="BC957" s="48"/>
      <c r="BF957" s="46"/>
      <c r="BL957" s="121"/>
      <c r="BM957" s="57"/>
      <c r="BN957" s="64"/>
      <c r="BO957" s="64"/>
      <c r="BP957" s="64"/>
      <c r="BQ957" s="64"/>
      <c r="BR957" s="57"/>
      <c r="BS957" s="64"/>
      <c r="BT957" s="64"/>
      <c r="BU957" s="64"/>
      <c r="BV957" s="46"/>
    </row>
    <row r="958" spans="1:74" x14ac:dyDescent="0.8">
      <c r="B958" s="46"/>
      <c r="C958" s="62"/>
      <c r="L958" s="117"/>
      <c r="M958" s="118"/>
      <c r="R958" s="58"/>
      <c r="S958" s="58"/>
      <c r="T958" s="140"/>
      <c r="X958" s="183"/>
      <c r="Y958" s="120"/>
      <c r="AB958" s="129"/>
      <c r="AL958" s="68"/>
      <c r="AT958" s="46"/>
      <c r="AY958" s="57"/>
      <c r="AZ958" s="64"/>
      <c r="BA958" s="46"/>
      <c r="BB958" s="46"/>
      <c r="BC958" s="48"/>
      <c r="BF958" s="46"/>
      <c r="BL958" s="121"/>
      <c r="BM958" s="57"/>
      <c r="BN958" s="64"/>
      <c r="BO958" s="64"/>
      <c r="BP958" s="64"/>
      <c r="BQ958" s="64"/>
      <c r="BR958" s="57"/>
      <c r="BS958" s="64"/>
      <c r="BT958" s="64"/>
      <c r="BU958" s="64"/>
      <c r="BV958" s="46"/>
    </row>
    <row r="959" spans="1:74" x14ac:dyDescent="0.8">
      <c r="A959" s="64"/>
      <c r="B959" s="64"/>
      <c r="C959" s="130"/>
      <c r="D959" s="191"/>
      <c r="L959" s="117"/>
      <c r="M959" s="118"/>
      <c r="R959" s="58"/>
      <c r="S959" s="58"/>
      <c r="T959" s="140"/>
      <c r="X959" s="183"/>
      <c r="Y959" s="120"/>
      <c r="AB959" s="129"/>
      <c r="AL959" s="68"/>
      <c r="AY959" s="57"/>
      <c r="AZ959" s="64"/>
      <c r="BA959" s="46"/>
      <c r="BB959" s="46"/>
      <c r="BC959" s="48"/>
      <c r="BL959" s="121"/>
      <c r="BM959" s="57"/>
      <c r="BN959" s="64"/>
      <c r="BO959" s="64"/>
      <c r="BP959" s="64"/>
      <c r="BQ959" s="64"/>
      <c r="BR959" s="57"/>
      <c r="BS959" s="64"/>
      <c r="BT959" s="64"/>
      <c r="BU959" s="64"/>
      <c r="BV959" s="46"/>
    </row>
    <row r="960" spans="1:74" x14ac:dyDescent="0.8">
      <c r="B960" s="46"/>
      <c r="C960" s="62"/>
      <c r="L960" s="117"/>
      <c r="M960" s="118"/>
      <c r="R960" s="58"/>
      <c r="S960" s="58"/>
      <c r="AA960" s="46"/>
      <c r="AT960" s="46"/>
      <c r="AY960" s="57"/>
      <c r="AZ960" s="64"/>
      <c r="BA960" s="46"/>
      <c r="BB960" s="46"/>
      <c r="BC960" s="48"/>
      <c r="BF960" s="46"/>
      <c r="BL960" s="121"/>
      <c r="BM960" s="57"/>
      <c r="BN960" s="64"/>
      <c r="BO960" s="64"/>
      <c r="BP960" s="64"/>
      <c r="BQ960" s="64"/>
      <c r="BR960" s="57"/>
      <c r="BS960" s="64"/>
      <c r="BT960" s="64"/>
      <c r="BU960" s="64"/>
      <c r="BV960" s="46"/>
    </row>
    <row r="961" spans="1:74" x14ac:dyDescent="0.8">
      <c r="B961" s="46"/>
      <c r="C961" s="62"/>
      <c r="F961" s="71"/>
      <c r="G961" s="59"/>
      <c r="J961" s="71"/>
      <c r="K961" s="59"/>
      <c r="N961" s="58"/>
      <c r="O961" s="58"/>
      <c r="P961" s="58"/>
      <c r="Q961" s="59"/>
      <c r="R961" s="58"/>
      <c r="S961" s="58"/>
      <c r="T961" s="143"/>
      <c r="U961" s="144"/>
      <c r="V961" s="143"/>
      <c r="X961" s="135"/>
      <c r="Y961" s="136"/>
      <c r="AA961" s="136"/>
      <c r="AD961" s="143"/>
      <c r="AF961" s="71"/>
      <c r="AH961" s="71"/>
      <c r="AJ961" s="143"/>
      <c r="AL961" s="71"/>
      <c r="AN961" s="71"/>
      <c r="AP961" s="137"/>
      <c r="AT961" s="46"/>
      <c r="BB961" s="46"/>
      <c r="BC961" s="48"/>
      <c r="BF961" s="46"/>
      <c r="BL961" s="121"/>
      <c r="BM961" s="57"/>
      <c r="BN961" s="64"/>
      <c r="BO961" s="64"/>
      <c r="BP961" s="64"/>
      <c r="BQ961" s="64"/>
      <c r="BR961" s="57"/>
      <c r="BS961" s="64"/>
      <c r="BT961" s="64"/>
      <c r="BU961" s="64"/>
      <c r="BV961" s="46"/>
    </row>
    <row r="962" spans="1:74" x14ac:dyDescent="0.8">
      <c r="B962" s="46"/>
      <c r="C962" s="62"/>
      <c r="L962" s="117"/>
      <c r="M962" s="118"/>
      <c r="R962" s="58"/>
      <c r="S962" s="58"/>
      <c r="T962" s="140"/>
      <c r="V962" s="140"/>
      <c r="X962" s="135"/>
      <c r="Y962" s="139"/>
      <c r="AA962" s="136"/>
      <c r="AD962" s="140"/>
      <c r="AJ962" s="140"/>
      <c r="AL962" s="68"/>
      <c r="AT962" s="46"/>
      <c r="AY962" s="57"/>
      <c r="AZ962" s="64"/>
      <c r="BA962" s="46"/>
      <c r="BB962" s="46"/>
      <c r="BC962" s="48"/>
      <c r="BF962" s="46"/>
      <c r="BL962" s="121"/>
      <c r="BM962" s="57"/>
      <c r="BN962" s="64"/>
      <c r="BO962" s="64"/>
      <c r="BP962" s="64"/>
      <c r="BQ962" s="64"/>
      <c r="BR962" s="57"/>
      <c r="BS962" s="64"/>
      <c r="BT962" s="64"/>
      <c r="BU962" s="64"/>
      <c r="BV962" s="46"/>
    </row>
    <row r="963" spans="1:74" x14ac:dyDescent="0.8">
      <c r="B963" s="46"/>
      <c r="C963" s="62"/>
      <c r="L963" s="117"/>
      <c r="M963" s="118"/>
      <c r="R963" s="58"/>
      <c r="S963" s="58"/>
      <c r="T963" s="140"/>
      <c r="AT963" s="46"/>
      <c r="AY963" s="57"/>
      <c r="AZ963" s="64"/>
      <c r="BA963" s="46"/>
      <c r="BB963" s="46"/>
      <c r="BC963" s="48"/>
      <c r="BF963" s="46"/>
      <c r="BL963" s="121"/>
      <c r="BM963" s="57"/>
      <c r="BN963" s="64"/>
      <c r="BO963" s="64"/>
      <c r="BP963" s="64"/>
      <c r="BQ963" s="64"/>
      <c r="BR963" s="57"/>
      <c r="BS963" s="64"/>
      <c r="BT963" s="64"/>
      <c r="BU963" s="64"/>
      <c r="BV963" s="46"/>
    </row>
    <row r="964" spans="1:74" x14ac:dyDescent="0.8">
      <c r="B964" s="46"/>
      <c r="C964" s="62"/>
      <c r="R964" s="58"/>
      <c r="S964" s="58"/>
      <c r="X964" s="57"/>
      <c r="Y964" s="46"/>
      <c r="Z964" s="57"/>
      <c r="AA964" s="46"/>
      <c r="AM964" s="64"/>
      <c r="AO964" s="46"/>
      <c r="AT964" s="46"/>
      <c r="BC964" s="48"/>
      <c r="BF964" s="46"/>
      <c r="BL964" s="121"/>
      <c r="BM964" s="57"/>
      <c r="BN964" s="64"/>
      <c r="BO964" s="64"/>
      <c r="BP964" s="64"/>
      <c r="BQ964" s="64"/>
      <c r="BR964" s="57"/>
      <c r="BS964" s="64"/>
      <c r="BT964" s="64"/>
      <c r="BU964" s="64"/>
      <c r="BV964" s="46"/>
    </row>
    <row r="965" spans="1:74" x14ac:dyDescent="0.8">
      <c r="B965" s="46"/>
      <c r="C965" s="62"/>
      <c r="R965" s="58"/>
      <c r="S965" s="58"/>
      <c r="X965" s="57"/>
      <c r="Y965" s="46"/>
      <c r="Z965" s="57"/>
      <c r="AA965" s="46"/>
      <c r="AM965" s="64"/>
      <c r="AO965" s="46"/>
      <c r="AT965" s="46"/>
      <c r="BC965" s="48"/>
      <c r="BF965" s="46"/>
      <c r="BL965" s="121"/>
      <c r="BM965" s="57"/>
      <c r="BN965" s="64"/>
      <c r="BO965" s="64"/>
      <c r="BP965" s="64"/>
      <c r="BQ965" s="64"/>
      <c r="BR965" s="57"/>
      <c r="BS965" s="64"/>
      <c r="BT965" s="64"/>
      <c r="BU965" s="64"/>
      <c r="BV965" s="46"/>
    </row>
    <row r="966" spans="1:74" x14ac:dyDescent="0.8">
      <c r="B966" s="46"/>
      <c r="C966" s="62"/>
      <c r="R966" s="58"/>
      <c r="S966" s="58"/>
      <c r="T966" s="184"/>
      <c r="X966" s="57"/>
      <c r="Y966" s="46"/>
      <c r="Z966" s="57"/>
      <c r="AA966" s="46"/>
      <c r="AM966" s="64"/>
      <c r="AO966" s="46"/>
      <c r="AT966" s="46"/>
      <c r="BC966" s="48"/>
      <c r="BF966" s="46"/>
      <c r="BL966" s="121"/>
      <c r="BM966" s="57"/>
      <c r="BN966" s="64"/>
      <c r="BO966" s="64"/>
      <c r="BP966" s="64"/>
      <c r="BQ966" s="64"/>
      <c r="BR966" s="57"/>
      <c r="BS966" s="64"/>
      <c r="BT966" s="64"/>
      <c r="BU966" s="64"/>
      <c r="BV966" s="46"/>
    </row>
    <row r="967" spans="1:74" x14ac:dyDescent="0.8">
      <c r="B967" s="46"/>
      <c r="C967" s="62"/>
      <c r="R967" s="58"/>
      <c r="S967" s="58"/>
      <c r="AT967" s="46"/>
      <c r="AY967" s="57"/>
      <c r="AZ967" s="64"/>
      <c r="BA967" s="46"/>
      <c r="BB967" s="46"/>
      <c r="BC967" s="48"/>
      <c r="BF967" s="46"/>
      <c r="BL967" s="121"/>
      <c r="BM967" s="57"/>
      <c r="BN967" s="64"/>
      <c r="BO967" s="64"/>
      <c r="BP967" s="64"/>
      <c r="BQ967" s="64"/>
      <c r="BR967" s="57"/>
      <c r="BS967" s="64"/>
      <c r="BT967" s="64"/>
      <c r="BU967" s="64"/>
      <c r="BV967" s="46"/>
    </row>
    <row r="968" spans="1:74" x14ac:dyDescent="0.8">
      <c r="B968" s="46"/>
      <c r="C968" s="62"/>
      <c r="L968" s="117"/>
      <c r="M968" s="118"/>
      <c r="R968" s="58"/>
      <c r="S968" s="58"/>
      <c r="T968" s="140"/>
      <c r="X968" s="129"/>
      <c r="Y968" s="120"/>
      <c r="AL968" s="68"/>
      <c r="AT968" s="46"/>
      <c r="AY968" s="57"/>
      <c r="AZ968" s="64"/>
      <c r="BA968" s="46"/>
      <c r="BB968" s="46"/>
      <c r="BC968" s="48"/>
      <c r="BF968" s="46"/>
      <c r="BL968" s="121"/>
      <c r="BM968" s="57"/>
      <c r="BN968" s="64"/>
      <c r="BO968" s="64"/>
      <c r="BP968" s="64"/>
      <c r="BQ968" s="64"/>
      <c r="BR968" s="57"/>
      <c r="BS968" s="64"/>
      <c r="BT968" s="64"/>
      <c r="BU968" s="64"/>
      <c r="BV968" s="46"/>
    </row>
    <row r="969" spans="1:74" x14ac:dyDescent="0.8">
      <c r="B969" s="46"/>
      <c r="C969" s="62"/>
      <c r="L969" s="117"/>
      <c r="M969" s="118"/>
      <c r="R969" s="58"/>
      <c r="S969" s="58"/>
      <c r="T969" s="140"/>
      <c r="X969" s="129"/>
      <c r="Y969" s="120"/>
      <c r="AL969" s="68"/>
      <c r="AT969" s="46"/>
      <c r="AY969" s="57"/>
      <c r="AZ969" s="64"/>
      <c r="BA969" s="46"/>
      <c r="BB969" s="46"/>
      <c r="BC969" s="48"/>
      <c r="BF969" s="46"/>
      <c r="BL969" s="121"/>
      <c r="BM969" s="57"/>
      <c r="BN969" s="64"/>
      <c r="BO969" s="64"/>
      <c r="BP969" s="64"/>
      <c r="BQ969" s="64"/>
      <c r="BR969" s="57"/>
      <c r="BS969" s="64"/>
      <c r="BT969" s="64"/>
      <c r="BU969" s="64"/>
      <c r="BV969" s="46"/>
    </row>
    <row r="970" spans="1:74" x14ac:dyDescent="0.8">
      <c r="B970" s="46"/>
      <c r="C970" s="62"/>
      <c r="L970" s="117"/>
      <c r="M970" s="118"/>
      <c r="R970" s="58"/>
      <c r="S970" s="58"/>
      <c r="T970" s="140"/>
      <c r="X970" s="129"/>
      <c r="Y970" s="120"/>
      <c r="AL970" s="68"/>
      <c r="AT970" s="46"/>
      <c r="AY970" s="57"/>
      <c r="AZ970" s="64"/>
      <c r="BA970" s="46"/>
      <c r="BB970" s="46"/>
      <c r="BC970" s="48"/>
      <c r="BF970" s="46"/>
      <c r="BL970" s="121"/>
      <c r="BM970" s="57"/>
      <c r="BN970" s="64"/>
      <c r="BO970" s="64"/>
      <c r="BP970" s="64"/>
      <c r="BQ970" s="64"/>
      <c r="BR970" s="57"/>
      <c r="BS970" s="64"/>
      <c r="BT970" s="64"/>
      <c r="BU970" s="64"/>
      <c r="BV970" s="46"/>
    </row>
    <row r="971" spans="1:74" x14ac:dyDescent="0.8">
      <c r="B971" s="46"/>
      <c r="C971" s="62"/>
      <c r="L971" s="117"/>
      <c r="M971" s="118"/>
      <c r="R971" s="58"/>
      <c r="S971" s="58"/>
      <c r="T971" s="140"/>
      <c r="X971" s="129"/>
      <c r="Y971" s="120"/>
      <c r="AL971" s="68"/>
      <c r="AT971" s="46"/>
      <c r="AY971" s="57"/>
      <c r="AZ971" s="64"/>
      <c r="BA971" s="46"/>
      <c r="BB971" s="46"/>
      <c r="BC971" s="48"/>
      <c r="BF971" s="46"/>
      <c r="BL971" s="121"/>
      <c r="BM971" s="57"/>
      <c r="BN971" s="64"/>
      <c r="BO971" s="64"/>
      <c r="BP971" s="64"/>
      <c r="BQ971" s="64"/>
      <c r="BR971" s="57"/>
      <c r="BS971" s="64"/>
      <c r="BT971" s="64"/>
      <c r="BU971" s="64"/>
      <c r="BV971" s="46"/>
    </row>
    <row r="972" spans="1:74" x14ac:dyDescent="0.8">
      <c r="B972" s="46"/>
      <c r="C972" s="62"/>
      <c r="J972" s="183"/>
      <c r="K972" s="183"/>
      <c r="R972" s="58"/>
      <c r="S972" s="58"/>
      <c r="X972" s="57"/>
      <c r="Y972" s="46"/>
      <c r="Z972" s="57"/>
      <c r="AA972" s="46"/>
      <c r="AM972" s="64"/>
      <c r="AO972" s="46"/>
      <c r="AT972" s="46"/>
      <c r="BC972" s="48"/>
      <c r="BF972" s="46"/>
      <c r="BL972" s="121"/>
      <c r="BM972" s="57"/>
      <c r="BN972" s="64"/>
      <c r="BO972" s="64"/>
      <c r="BP972" s="64"/>
      <c r="BQ972" s="64"/>
      <c r="BR972" s="57"/>
      <c r="BS972" s="64"/>
      <c r="BT972" s="64"/>
      <c r="BU972" s="64"/>
      <c r="BV972" s="46"/>
    </row>
    <row r="973" spans="1:74" x14ac:dyDescent="0.8">
      <c r="B973" s="46"/>
      <c r="C973" s="62"/>
      <c r="L973" s="117"/>
      <c r="M973" s="118"/>
      <c r="R973" s="58"/>
      <c r="S973" s="58"/>
      <c r="T973" s="140"/>
      <c r="X973" s="183"/>
      <c r="Y973" s="120"/>
      <c r="AB973" s="129"/>
      <c r="AL973" s="68"/>
      <c r="AT973" s="46"/>
      <c r="AY973" s="57"/>
      <c r="AZ973" s="64"/>
      <c r="BA973" s="46"/>
      <c r="BB973" s="46"/>
      <c r="BC973" s="48"/>
      <c r="BF973" s="46"/>
      <c r="BL973" s="121"/>
      <c r="BM973" s="57"/>
      <c r="BN973" s="64"/>
      <c r="BO973" s="64"/>
      <c r="BP973" s="64"/>
      <c r="BQ973" s="64"/>
      <c r="BR973" s="57"/>
      <c r="BS973" s="64"/>
      <c r="BT973" s="64"/>
      <c r="BU973" s="64"/>
      <c r="BV973" s="46"/>
    </row>
    <row r="974" spans="1:74" x14ac:dyDescent="0.8">
      <c r="B974" s="46"/>
      <c r="C974" s="62"/>
      <c r="L974" s="117"/>
      <c r="M974" s="118"/>
      <c r="R974" s="58"/>
      <c r="S974" s="58"/>
      <c r="T974" s="140"/>
      <c r="X974" s="183"/>
      <c r="Y974" s="120"/>
      <c r="AB974" s="129"/>
      <c r="AL974" s="68"/>
      <c r="AT974" s="46"/>
      <c r="AY974" s="57"/>
      <c r="AZ974" s="64"/>
      <c r="BA974" s="46"/>
      <c r="BB974" s="46"/>
      <c r="BC974" s="48"/>
      <c r="BF974" s="46"/>
      <c r="BL974" s="121"/>
      <c r="BM974" s="57"/>
      <c r="BN974" s="64"/>
      <c r="BO974" s="64"/>
      <c r="BP974" s="64"/>
      <c r="BQ974" s="64"/>
      <c r="BR974" s="57"/>
      <c r="BS974" s="64"/>
      <c r="BT974" s="64"/>
      <c r="BU974" s="64"/>
      <c r="BV974" s="46"/>
    </row>
    <row r="975" spans="1:74" x14ac:dyDescent="0.8">
      <c r="A975" s="64"/>
      <c r="B975" s="64"/>
      <c r="C975" s="130"/>
      <c r="D975" s="191"/>
      <c r="L975" s="117"/>
      <c r="M975" s="118"/>
      <c r="R975" s="58"/>
      <c r="S975" s="58"/>
      <c r="T975" s="140"/>
      <c r="X975" s="183"/>
      <c r="Y975" s="120"/>
      <c r="AB975" s="129"/>
      <c r="AL975" s="68"/>
      <c r="AY975" s="57"/>
      <c r="AZ975" s="64"/>
      <c r="BA975" s="46"/>
      <c r="BB975" s="46"/>
      <c r="BC975" s="48"/>
      <c r="BL975" s="121"/>
      <c r="BM975" s="57"/>
      <c r="BN975" s="64"/>
      <c r="BO975" s="64"/>
      <c r="BP975" s="64"/>
      <c r="BQ975" s="64"/>
      <c r="BR975" s="57"/>
      <c r="BS975" s="64"/>
      <c r="BT975" s="64"/>
      <c r="BU975" s="64"/>
      <c r="BV975" s="46"/>
    </row>
    <row r="976" spans="1:74" x14ac:dyDescent="0.8">
      <c r="B976" s="46"/>
      <c r="C976" s="62"/>
      <c r="L976" s="117"/>
      <c r="M976" s="118"/>
      <c r="R976" s="58"/>
      <c r="S976" s="58"/>
      <c r="AA976" s="46"/>
      <c r="AT976" s="46"/>
      <c r="AY976" s="57"/>
      <c r="AZ976" s="64"/>
      <c r="BA976" s="46"/>
      <c r="BB976" s="46"/>
      <c r="BC976" s="48"/>
      <c r="BF976" s="46"/>
      <c r="BL976" s="121"/>
      <c r="BM976" s="57"/>
      <c r="BN976" s="64"/>
      <c r="BO976" s="64"/>
      <c r="BP976" s="64"/>
      <c r="BQ976" s="64"/>
      <c r="BR976" s="57"/>
      <c r="BS976" s="64"/>
      <c r="BT976" s="64"/>
      <c r="BU976" s="64"/>
      <c r="BV976" s="46"/>
    </row>
    <row r="977" spans="1:74" x14ac:dyDescent="0.8">
      <c r="B977" s="46"/>
      <c r="C977" s="62"/>
      <c r="F977" s="71"/>
      <c r="G977" s="59"/>
      <c r="J977" s="71"/>
      <c r="K977" s="59"/>
      <c r="N977" s="58"/>
      <c r="O977" s="58"/>
      <c r="P977" s="58"/>
      <c r="Q977" s="59"/>
      <c r="R977" s="58"/>
      <c r="S977" s="58"/>
      <c r="T977" s="143"/>
      <c r="U977" s="144"/>
      <c r="V977" s="143"/>
      <c r="X977" s="135"/>
      <c r="Y977" s="136"/>
      <c r="AA977" s="136"/>
      <c r="AD977" s="143"/>
      <c r="AF977" s="71"/>
      <c r="AH977" s="71"/>
      <c r="AJ977" s="143"/>
      <c r="AL977" s="71"/>
      <c r="AN977" s="71"/>
      <c r="AP977" s="137"/>
      <c r="AT977" s="46"/>
      <c r="BB977" s="46"/>
      <c r="BC977" s="48"/>
      <c r="BF977" s="46"/>
      <c r="BL977" s="121"/>
      <c r="BM977" s="57"/>
      <c r="BN977" s="64"/>
      <c r="BO977" s="64"/>
      <c r="BP977" s="64"/>
      <c r="BQ977" s="64"/>
      <c r="BR977" s="57"/>
      <c r="BS977" s="64"/>
      <c r="BT977" s="64"/>
      <c r="BU977" s="64"/>
      <c r="BV977" s="46"/>
    </row>
    <row r="978" spans="1:74" x14ac:dyDescent="0.8">
      <c r="B978" s="46"/>
      <c r="C978" s="62"/>
      <c r="L978" s="117"/>
      <c r="M978" s="118"/>
      <c r="R978" s="58"/>
      <c r="S978" s="58"/>
      <c r="T978" s="140"/>
      <c r="V978" s="140"/>
      <c r="X978" s="135"/>
      <c r="Y978" s="139"/>
      <c r="AA978" s="136"/>
      <c r="AD978" s="140"/>
      <c r="AJ978" s="140"/>
      <c r="AL978" s="68"/>
      <c r="AT978" s="46"/>
      <c r="AY978" s="57"/>
      <c r="AZ978" s="64"/>
      <c r="BA978" s="46"/>
      <c r="BB978" s="46"/>
      <c r="BC978" s="48"/>
      <c r="BF978" s="46"/>
      <c r="BL978" s="121"/>
      <c r="BM978" s="57"/>
      <c r="BN978" s="64"/>
      <c r="BO978" s="64"/>
      <c r="BP978" s="64"/>
      <c r="BQ978" s="64"/>
      <c r="BR978" s="57"/>
      <c r="BS978" s="64"/>
      <c r="BT978" s="64"/>
      <c r="BU978" s="64"/>
      <c r="BV978" s="46"/>
    </row>
    <row r="979" spans="1:74" x14ac:dyDescent="0.8">
      <c r="B979" s="46"/>
      <c r="C979" s="62"/>
      <c r="L979" s="117"/>
      <c r="M979" s="118"/>
      <c r="R979" s="58"/>
      <c r="S979" s="58"/>
      <c r="T979" s="140"/>
      <c r="AT979" s="46"/>
      <c r="AY979" s="57"/>
      <c r="AZ979" s="64"/>
      <c r="BA979" s="46"/>
      <c r="BB979" s="46"/>
      <c r="BC979" s="48"/>
      <c r="BF979" s="46"/>
      <c r="BL979" s="121"/>
      <c r="BM979" s="57"/>
      <c r="BN979" s="64"/>
      <c r="BO979" s="64"/>
      <c r="BP979" s="64"/>
      <c r="BQ979" s="64"/>
      <c r="BR979" s="57"/>
      <c r="BS979" s="64"/>
      <c r="BT979" s="64"/>
      <c r="BU979" s="64"/>
      <c r="BV979" s="46"/>
    </row>
    <row r="980" spans="1:74" x14ac:dyDescent="0.8">
      <c r="B980" s="46"/>
      <c r="C980" s="62"/>
      <c r="R980" s="58"/>
      <c r="S980" s="58"/>
      <c r="X980" s="57"/>
      <c r="Y980" s="46"/>
      <c r="Z980" s="57"/>
      <c r="AA980" s="46"/>
      <c r="AM980" s="64"/>
      <c r="AO980" s="46"/>
      <c r="AT980" s="46"/>
      <c r="BC980" s="48"/>
      <c r="BF980" s="46"/>
      <c r="BL980" s="121"/>
      <c r="BM980" s="57"/>
      <c r="BN980" s="64"/>
      <c r="BO980" s="64"/>
      <c r="BP980" s="64"/>
      <c r="BQ980" s="64"/>
      <c r="BR980" s="57"/>
      <c r="BS980" s="64"/>
      <c r="BT980" s="64"/>
      <c r="BU980" s="64"/>
      <c r="BV980" s="46"/>
    </row>
    <row r="981" spans="1:74" x14ac:dyDescent="0.8">
      <c r="B981" s="46"/>
      <c r="C981" s="62"/>
      <c r="R981" s="58"/>
      <c r="S981" s="58"/>
      <c r="X981" s="57"/>
      <c r="Y981" s="46"/>
      <c r="Z981" s="57"/>
      <c r="AA981" s="46"/>
      <c r="AM981" s="64"/>
      <c r="AO981" s="46"/>
      <c r="AT981" s="46"/>
      <c r="BC981" s="48"/>
      <c r="BF981" s="46"/>
      <c r="BL981" s="121"/>
      <c r="BM981" s="57"/>
      <c r="BN981" s="64"/>
      <c r="BO981" s="64"/>
      <c r="BP981" s="64"/>
      <c r="BQ981" s="64"/>
      <c r="BR981" s="57"/>
      <c r="BS981" s="64"/>
      <c r="BT981" s="64"/>
      <c r="BU981" s="64"/>
      <c r="BV981" s="46"/>
    </row>
    <row r="982" spans="1:74" x14ac:dyDescent="0.8">
      <c r="B982" s="46"/>
      <c r="C982" s="62"/>
      <c r="R982" s="58"/>
      <c r="S982" s="58"/>
      <c r="T982" s="184"/>
      <c r="X982" s="57"/>
      <c r="Y982" s="46"/>
      <c r="Z982" s="57"/>
      <c r="AA982" s="46"/>
      <c r="AM982" s="64"/>
      <c r="AO982" s="46"/>
      <c r="AT982" s="46"/>
      <c r="BC982" s="48"/>
      <c r="BF982" s="46"/>
      <c r="BL982" s="121"/>
      <c r="BM982" s="57"/>
      <c r="BN982" s="64"/>
      <c r="BO982" s="64"/>
      <c r="BP982" s="64"/>
      <c r="BQ982" s="64"/>
      <c r="BR982" s="57"/>
      <c r="BS982" s="64"/>
      <c r="BT982" s="64"/>
      <c r="BU982" s="64"/>
      <c r="BV982" s="46"/>
    </row>
    <row r="983" spans="1:74" x14ac:dyDescent="0.8">
      <c r="B983" s="46"/>
      <c r="C983" s="62"/>
      <c r="R983" s="58"/>
      <c r="S983" s="58"/>
      <c r="AT983" s="46"/>
      <c r="AY983" s="57"/>
      <c r="AZ983" s="64"/>
      <c r="BA983" s="46"/>
      <c r="BB983" s="46"/>
      <c r="BC983" s="48"/>
      <c r="BF983" s="46"/>
      <c r="BL983" s="121"/>
      <c r="BM983" s="57"/>
      <c r="BN983" s="64"/>
      <c r="BO983" s="64"/>
      <c r="BP983" s="64"/>
      <c r="BQ983" s="64"/>
      <c r="BR983" s="57"/>
      <c r="BS983" s="64"/>
      <c r="BT983" s="64"/>
      <c r="BU983" s="64"/>
      <c r="BV983" s="46"/>
    </row>
    <row r="984" spans="1:74" x14ac:dyDescent="0.8">
      <c r="B984" s="46"/>
      <c r="C984" s="62"/>
      <c r="L984" s="117"/>
      <c r="M984" s="118"/>
      <c r="R984" s="58"/>
      <c r="S984" s="58"/>
      <c r="T984" s="140"/>
      <c r="X984" s="129"/>
      <c r="Y984" s="120"/>
      <c r="AL984" s="68"/>
      <c r="AT984" s="46"/>
      <c r="AY984" s="57"/>
      <c r="AZ984" s="64"/>
      <c r="BA984" s="46"/>
      <c r="BB984" s="46"/>
      <c r="BC984" s="48"/>
      <c r="BF984" s="46"/>
      <c r="BL984" s="121"/>
      <c r="BM984" s="57"/>
      <c r="BN984" s="64"/>
      <c r="BO984" s="64"/>
      <c r="BP984" s="64"/>
      <c r="BQ984" s="64"/>
      <c r="BR984" s="57"/>
      <c r="BS984" s="64"/>
      <c r="BT984" s="64"/>
      <c r="BU984" s="64"/>
      <c r="BV984" s="46"/>
    </row>
    <row r="985" spans="1:74" x14ac:dyDescent="0.8">
      <c r="B985" s="46"/>
      <c r="C985" s="62"/>
      <c r="L985" s="117"/>
      <c r="M985" s="118"/>
      <c r="R985" s="58"/>
      <c r="S985" s="58"/>
      <c r="T985" s="140"/>
      <c r="X985" s="129"/>
      <c r="Y985" s="120"/>
      <c r="AL985" s="68"/>
      <c r="AT985" s="46"/>
      <c r="AY985" s="57"/>
      <c r="AZ985" s="64"/>
      <c r="BA985" s="46"/>
      <c r="BB985" s="46"/>
      <c r="BC985" s="48"/>
      <c r="BF985" s="46"/>
      <c r="BL985" s="121"/>
      <c r="BM985" s="57"/>
      <c r="BN985" s="64"/>
      <c r="BO985" s="64"/>
      <c r="BP985" s="64"/>
      <c r="BQ985" s="64"/>
      <c r="BR985" s="57"/>
      <c r="BS985" s="64"/>
      <c r="BT985" s="64"/>
      <c r="BU985" s="64"/>
      <c r="BV985" s="46"/>
    </row>
    <row r="986" spans="1:74" x14ac:dyDescent="0.8">
      <c r="B986" s="46"/>
      <c r="C986" s="62"/>
      <c r="L986" s="117"/>
      <c r="M986" s="118"/>
      <c r="R986" s="58"/>
      <c r="S986" s="58"/>
      <c r="T986" s="140"/>
      <c r="X986" s="129"/>
      <c r="Y986" s="120"/>
      <c r="AL986" s="68"/>
      <c r="AT986" s="46"/>
      <c r="AY986" s="57"/>
      <c r="AZ986" s="64"/>
      <c r="BA986" s="46"/>
      <c r="BB986" s="46"/>
      <c r="BC986" s="48"/>
      <c r="BF986" s="46"/>
      <c r="BL986" s="121"/>
      <c r="BM986" s="57"/>
      <c r="BN986" s="64"/>
      <c r="BO986" s="64"/>
      <c r="BP986" s="64"/>
      <c r="BQ986" s="64"/>
      <c r="BR986" s="57"/>
      <c r="BS986" s="64"/>
      <c r="BT986" s="64"/>
      <c r="BU986" s="64"/>
      <c r="BV986" s="46"/>
    </row>
    <row r="987" spans="1:74" x14ac:dyDescent="0.8">
      <c r="B987" s="46"/>
      <c r="C987" s="62"/>
      <c r="L987" s="117"/>
      <c r="M987" s="118"/>
      <c r="R987" s="58"/>
      <c r="S987" s="58"/>
      <c r="T987" s="140"/>
      <c r="X987" s="129"/>
      <c r="Y987" s="120"/>
      <c r="AL987" s="68"/>
      <c r="AT987" s="46"/>
      <c r="AY987" s="57"/>
      <c r="AZ987" s="64"/>
      <c r="BA987" s="46"/>
      <c r="BB987" s="46"/>
      <c r="BC987" s="48"/>
      <c r="BF987" s="46"/>
      <c r="BL987" s="121"/>
      <c r="BM987" s="57"/>
      <c r="BN987" s="64"/>
      <c r="BO987" s="64"/>
      <c r="BP987" s="64"/>
      <c r="BQ987" s="64"/>
      <c r="BR987" s="57"/>
      <c r="BS987" s="64"/>
      <c r="BT987" s="64"/>
      <c r="BU987" s="64"/>
      <c r="BV987" s="46"/>
    </row>
    <row r="988" spans="1:74" x14ac:dyDescent="0.8">
      <c r="B988" s="46"/>
      <c r="C988" s="62"/>
      <c r="J988" s="183"/>
      <c r="K988" s="183"/>
      <c r="R988" s="58"/>
      <c r="S988" s="58"/>
      <c r="X988" s="57"/>
      <c r="Y988" s="46"/>
      <c r="Z988" s="57"/>
      <c r="AA988" s="46"/>
      <c r="AM988" s="64"/>
      <c r="AO988" s="46"/>
      <c r="AT988" s="46"/>
      <c r="BC988" s="48"/>
      <c r="BF988" s="46"/>
      <c r="BL988" s="121"/>
      <c r="BM988" s="57"/>
      <c r="BN988" s="64"/>
      <c r="BO988" s="64"/>
      <c r="BP988" s="64"/>
      <c r="BQ988" s="64"/>
      <c r="BR988" s="57"/>
      <c r="BS988" s="64"/>
      <c r="BT988" s="64"/>
      <c r="BU988" s="64"/>
      <c r="BV988" s="46"/>
    </row>
    <row r="989" spans="1:74" x14ac:dyDescent="0.8">
      <c r="B989" s="46"/>
      <c r="C989" s="62"/>
      <c r="L989" s="117"/>
      <c r="M989" s="118"/>
      <c r="R989" s="58"/>
      <c r="S989" s="58"/>
      <c r="T989" s="140"/>
      <c r="X989" s="183"/>
      <c r="Y989" s="120"/>
      <c r="AB989" s="129"/>
      <c r="AL989" s="68"/>
      <c r="AT989" s="46"/>
      <c r="AY989" s="57"/>
      <c r="AZ989" s="64"/>
      <c r="BA989" s="46"/>
      <c r="BB989" s="46"/>
      <c r="BC989" s="48"/>
      <c r="BF989" s="46"/>
      <c r="BL989" s="121"/>
      <c r="BM989" s="57"/>
      <c r="BN989" s="64"/>
      <c r="BO989" s="64"/>
      <c r="BP989" s="64"/>
      <c r="BQ989" s="64"/>
      <c r="BR989" s="57"/>
      <c r="BS989" s="64"/>
      <c r="BT989" s="64"/>
      <c r="BU989" s="64"/>
      <c r="BV989" s="46"/>
    </row>
    <row r="990" spans="1:74" x14ac:dyDescent="0.8">
      <c r="B990" s="46"/>
      <c r="C990" s="62"/>
      <c r="L990" s="117"/>
      <c r="M990" s="118"/>
      <c r="R990" s="58"/>
      <c r="S990" s="58"/>
      <c r="T990" s="140"/>
      <c r="X990" s="183"/>
      <c r="Y990" s="120"/>
      <c r="AB990" s="129"/>
      <c r="AL990" s="68"/>
      <c r="AT990" s="46"/>
      <c r="AY990" s="57"/>
      <c r="AZ990" s="64"/>
      <c r="BA990" s="46"/>
      <c r="BB990" s="46"/>
      <c r="BC990" s="48"/>
      <c r="BF990" s="46"/>
      <c r="BL990" s="121"/>
      <c r="BM990" s="57"/>
      <c r="BN990" s="64"/>
      <c r="BO990" s="64"/>
      <c r="BP990" s="64"/>
      <c r="BQ990" s="64"/>
      <c r="BR990" s="57"/>
      <c r="BS990" s="64"/>
      <c r="BT990" s="64"/>
      <c r="BU990" s="64"/>
      <c r="BV990" s="46"/>
    </row>
    <row r="991" spans="1:74" x14ac:dyDescent="0.8">
      <c r="A991" s="64"/>
      <c r="B991" s="64"/>
      <c r="C991" s="130"/>
      <c r="D991" s="191"/>
      <c r="L991" s="117"/>
      <c r="M991" s="118"/>
      <c r="R991" s="58"/>
      <c r="S991" s="58"/>
      <c r="T991" s="140"/>
      <c r="X991" s="183"/>
      <c r="Y991" s="120"/>
      <c r="AB991" s="129"/>
      <c r="AL991" s="68"/>
      <c r="AY991" s="57"/>
      <c r="AZ991" s="64"/>
      <c r="BA991" s="46"/>
      <c r="BB991" s="46"/>
      <c r="BC991" s="48"/>
      <c r="BL991" s="121"/>
      <c r="BM991" s="57"/>
      <c r="BN991" s="64"/>
      <c r="BO991" s="64"/>
      <c r="BP991" s="64"/>
      <c r="BQ991" s="64"/>
      <c r="BR991" s="57"/>
      <c r="BS991" s="64"/>
      <c r="BT991" s="64"/>
      <c r="BU991" s="64"/>
      <c r="BV991" s="46"/>
    </row>
    <row r="992" spans="1:74" x14ac:dyDescent="0.8">
      <c r="B992" s="46"/>
      <c r="C992" s="62"/>
      <c r="L992" s="117"/>
      <c r="M992" s="118"/>
      <c r="R992" s="58"/>
      <c r="S992" s="58"/>
      <c r="AA992" s="46"/>
      <c r="AT992" s="46"/>
      <c r="AY992" s="57"/>
      <c r="AZ992" s="64"/>
      <c r="BA992" s="46"/>
      <c r="BB992" s="46"/>
      <c r="BC992" s="48"/>
      <c r="BF992" s="46"/>
      <c r="BL992" s="121"/>
      <c r="BM992" s="57"/>
      <c r="BN992" s="64"/>
      <c r="BO992" s="64"/>
      <c r="BP992" s="64"/>
      <c r="BQ992" s="64"/>
      <c r="BR992" s="57"/>
      <c r="BS992" s="64"/>
      <c r="BT992" s="64"/>
      <c r="BU992" s="64"/>
      <c r="BV992" s="46"/>
    </row>
    <row r="993" spans="1:74" x14ac:dyDescent="0.8">
      <c r="B993" s="46"/>
      <c r="C993" s="62"/>
      <c r="F993" s="71"/>
      <c r="G993" s="59"/>
      <c r="J993" s="71"/>
      <c r="K993" s="59"/>
      <c r="N993" s="58"/>
      <c r="O993" s="58"/>
      <c r="P993" s="58"/>
      <c r="Q993" s="59"/>
      <c r="R993" s="58"/>
      <c r="S993" s="58"/>
      <c r="T993" s="143"/>
      <c r="U993" s="144"/>
      <c r="V993" s="143"/>
      <c r="X993" s="135"/>
      <c r="Y993" s="136"/>
      <c r="AA993" s="136"/>
      <c r="AD993" s="143"/>
      <c r="AF993" s="71"/>
      <c r="AH993" s="71"/>
      <c r="AJ993" s="143"/>
      <c r="AL993" s="71"/>
      <c r="AN993" s="71"/>
      <c r="AP993" s="137"/>
      <c r="AT993" s="46"/>
      <c r="BB993" s="46"/>
      <c r="BC993" s="48"/>
      <c r="BF993" s="46"/>
      <c r="BL993" s="121"/>
      <c r="BM993" s="57"/>
      <c r="BN993" s="64"/>
      <c r="BO993" s="64"/>
      <c r="BP993" s="64"/>
      <c r="BQ993" s="64"/>
      <c r="BR993" s="57"/>
      <c r="BS993" s="64"/>
      <c r="BT993" s="64"/>
      <c r="BU993" s="64"/>
      <c r="BV993" s="46"/>
    </row>
    <row r="994" spans="1:74" x14ac:dyDescent="0.8">
      <c r="B994" s="46"/>
      <c r="C994" s="62"/>
      <c r="L994" s="117"/>
      <c r="M994" s="118"/>
      <c r="R994" s="58"/>
      <c r="S994" s="58"/>
      <c r="T994" s="140"/>
      <c r="V994" s="140"/>
      <c r="X994" s="135"/>
      <c r="Y994" s="139"/>
      <c r="AA994" s="136"/>
      <c r="AD994" s="140"/>
      <c r="AJ994" s="140"/>
      <c r="AL994" s="68"/>
      <c r="AT994" s="46"/>
      <c r="AY994" s="57"/>
      <c r="AZ994" s="64"/>
      <c r="BA994" s="46"/>
      <c r="BB994" s="46"/>
      <c r="BC994" s="48"/>
      <c r="BF994" s="46"/>
      <c r="BL994" s="121"/>
      <c r="BM994" s="57"/>
      <c r="BN994" s="64"/>
      <c r="BO994" s="64"/>
      <c r="BP994" s="64"/>
      <c r="BQ994" s="64"/>
      <c r="BR994" s="57"/>
      <c r="BS994" s="64"/>
      <c r="BT994" s="64"/>
      <c r="BU994" s="64"/>
      <c r="BV994" s="46"/>
    </row>
    <row r="995" spans="1:74" x14ac:dyDescent="0.8">
      <c r="B995" s="46"/>
      <c r="C995" s="62"/>
      <c r="L995" s="117"/>
      <c r="M995" s="118"/>
      <c r="R995" s="58"/>
      <c r="S995" s="58"/>
      <c r="T995" s="140"/>
      <c r="AT995" s="46"/>
      <c r="AY995" s="57"/>
      <c r="AZ995" s="64"/>
      <c r="BA995" s="46"/>
      <c r="BB995" s="46"/>
      <c r="BC995" s="48"/>
      <c r="BF995" s="46"/>
      <c r="BL995" s="121"/>
      <c r="BM995" s="57"/>
      <c r="BN995" s="64"/>
      <c r="BO995" s="64"/>
      <c r="BP995" s="64"/>
      <c r="BQ995" s="64"/>
      <c r="BR995" s="57"/>
      <c r="BS995" s="64"/>
      <c r="BT995" s="64"/>
      <c r="BU995" s="64"/>
      <c r="BV995" s="46"/>
    </row>
    <row r="996" spans="1:74" x14ac:dyDescent="0.8">
      <c r="B996" s="46"/>
      <c r="C996" s="62"/>
      <c r="R996" s="58"/>
      <c r="S996" s="58"/>
      <c r="X996" s="57"/>
      <c r="Y996" s="46"/>
      <c r="Z996" s="57"/>
      <c r="AA996" s="46"/>
      <c r="AM996" s="64"/>
      <c r="AO996" s="46"/>
      <c r="AT996" s="46"/>
      <c r="BC996" s="48"/>
      <c r="BF996" s="46"/>
      <c r="BL996" s="121"/>
      <c r="BM996" s="57"/>
      <c r="BN996" s="64"/>
      <c r="BO996" s="64"/>
      <c r="BP996" s="64"/>
      <c r="BQ996" s="64"/>
      <c r="BR996" s="57"/>
      <c r="BS996" s="64"/>
      <c r="BT996" s="64"/>
      <c r="BU996" s="64"/>
      <c r="BV996" s="46"/>
    </row>
    <row r="997" spans="1:74" x14ac:dyDescent="0.8">
      <c r="B997" s="46"/>
      <c r="C997" s="62"/>
      <c r="R997" s="58"/>
      <c r="S997" s="58"/>
      <c r="X997" s="57"/>
      <c r="Y997" s="46"/>
      <c r="Z997" s="57"/>
      <c r="AA997" s="46"/>
      <c r="AM997" s="64"/>
      <c r="AO997" s="46"/>
      <c r="AT997" s="46"/>
      <c r="BC997" s="48"/>
      <c r="BF997" s="46"/>
      <c r="BL997" s="121"/>
      <c r="BM997" s="57"/>
      <c r="BN997" s="64"/>
      <c r="BO997" s="64"/>
      <c r="BP997" s="64"/>
      <c r="BQ997" s="64"/>
      <c r="BR997" s="57"/>
      <c r="BS997" s="64"/>
      <c r="BT997" s="64"/>
      <c r="BU997" s="64"/>
      <c r="BV997" s="46"/>
    </row>
    <row r="998" spans="1:74" x14ac:dyDescent="0.8">
      <c r="B998" s="46"/>
      <c r="C998" s="62"/>
      <c r="R998" s="58"/>
      <c r="S998" s="58"/>
      <c r="T998" s="184"/>
      <c r="X998" s="57"/>
      <c r="Y998" s="46"/>
      <c r="Z998" s="57"/>
      <c r="AA998" s="46"/>
      <c r="AM998" s="64"/>
      <c r="AO998" s="46"/>
      <c r="AT998" s="46"/>
      <c r="BC998" s="48"/>
      <c r="BF998" s="46"/>
      <c r="BL998" s="121"/>
      <c r="BM998" s="57"/>
      <c r="BN998" s="64"/>
      <c r="BO998" s="64"/>
      <c r="BP998" s="64"/>
      <c r="BQ998" s="64"/>
      <c r="BR998" s="57"/>
      <c r="BS998" s="64"/>
      <c r="BT998" s="64"/>
      <c r="BU998" s="64"/>
      <c r="BV998" s="46"/>
    </row>
    <row r="999" spans="1:74" x14ac:dyDescent="0.8">
      <c r="B999" s="46"/>
      <c r="C999" s="62"/>
      <c r="R999" s="58"/>
      <c r="S999" s="58"/>
      <c r="AT999" s="46"/>
      <c r="AY999" s="57"/>
      <c r="AZ999" s="64"/>
      <c r="BA999" s="46"/>
      <c r="BB999" s="46"/>
      <c r="BC999" s="48"/>
      <c r="BF999" s="46"/>
      <c r="BL999" s="121"/>
      <c r="BM999" s="57"/>
      <c r="BN999" s="64"/>
      <c r="BO999" s="64"/>
      <c r="BP999" s="64"/>
      <c r="BQ999" s="64"/>
      <c r="BR999" s="57"/>
      <c r="BS999" s="64"/>
      <c r="BT999" s="64"/>
      <c r="BU999" s="64"/>
      <c r="BV999" s="46"/>
    </row>
    <row r="1000" spans="1:74" x14ac:dyDescent="0.8">
      <c r="B1000" s="46"/>
      <c r="C1000" s="62"/>
      <c r="L1000" s="117"/>
      <c r="M1000" s="118"/>
      <c r="R1000" s="58"/>
      <c r="S1000" s="58"/>
      <c r="T1000" s="140"/>
      <c r="X1000" s="129"/>
      <c r="Y1000" s="120"/>
      <c r="AL1000" s="68"/>
      <c r="AT1000" s="46"/>
      <c r="AY1000" s="57"/>
      <c r="AZ1000" s="64"/>
      <c r="BA1000" s="46"/>
      <c r="BB1000" s="46"/>
      <c r="BC1000" s="48"/>
      <c r="BF1000" s="46"/>
      <c r="BL1000" s="121"/>
      <c r="BM1000" s="57"/>
      <c r="BN1000" s="64"/>
      <c r="BO1000" s="64"/>
      <c r="BP1000" s="64"/>
      <c r="BQ1000" s="64"/>
      <c r="BR1000" s="57"/>
      <c r="BS1000" s="64"/>
      <c r="BT1000" s="64"/>
      <c r="BU1000" s="64"/>
      <c r="BV1000" s="46"/>
    </row>
    <row r="1001" spans="1:74" x14ac:dyDescent="0.8">
      <c r="B1001" s="46"/>
      <c r="C1001" s="62"/>
      <c r="L1001" s="117"/>
      <c r="M1001" s="118"/>
      <c r="R1001" s="58"/>
      <c r="S1001" s="58"/>
      <c r="T1001" s="140"/>
      <c r="X1001" s="129"/>
      <c r="Y1001" s="120"/>
      <c r="AL1001" s="68"/>
      <c r="AT1001" s="46"/>
      <c r="AY1001" s="57"/>
      <c r="AZ1001" s="64"/>
      <c r="BA1001" s="46"/>
      <c r="BB1001" s="46"/>
      <c r="BC1001" s="48"/>
      <c r="BF1001" s="46"/>
      <c r="BL1001" s="121"/>
      <c r="BM1001" s="57"/>
      <c r="BN1001" s="64"/>
      <c r="BO1001" s="64"/>
      <c r="BP1001" s="64"/>
      <c r="BQ1001" s="64"/>
      <c r="BR1001" s="57"/>
      <c r="BS1001" s="64"/>
      <c r="BT1001" s="64"/>
      <c r="BU1001" s="64"/>
      <c r="BV1001" s="46"/>
    </row>
    <row r="1002" spans="1:74" x14ac:dyDescent="0.8">
      <c r="B1002" s="46"/>
      <c r="C1002" s="62"/>
      <c r="L1002" s="117"/>
      <c r="M1002" s="118"/>
      <c r="R1002" s="58"/>
      <c r="S1002" s="58"/>
      <c r="T1002" s="140"/>
      <c r="X1002" s="129"/>
      <c r="Y1002" s="120"/>
      <c r="AL1002" s="68"/>
      <c r="AT1002" s="46"/>
      <c r="AY1002" s="57"/>
      <c r="AZ1002" s="64"/>
      <c r="BA1002" s="46"/>
      <c r="BB1002" s="46"/>
      <c r="BC1002" s="48"/>
      <c r="BF1002" s="46"/>
      <c r="BL1002" s="121"/>
      <c r="BM1002" s="57"/>
      <c r="BN1002" s="64"/>
      <c r="BO1002" s="64"/>
      <c r="BP1002" s="64"/>
      <c r="BQ1002" s="64"/>
      <c r="BR1002" s="57"/>
      <c r="BS1002" s="64"/>
      <c r="BT1002" s="64"/>
      <c r="BU1002" s="64"/>
      <c r="BV1002" s="46"/>
    </row>
    <row r="1003" spans="1:74" x14ac:dyDescent="0.8">
      <c r="B1003" s="46"/>
      <c r="C1003" s="62"/>
      <c r="L1003" s="117"/>
      <c r="M1003" s="118"/>
      <c r="R1003" s="58"/>
      <c r="S1003" s="58"/>
      <c r="T1003" s="140"/>
      <c r="X1003" s="129"/>
      <c r="Y1003" s="120"/>
      <c r="AL1003" s="68"/>
      <c r="AT1003" s="46"/>
      <c r="AY1003" s="57"/>
      <c r="AZ1003" s="64"/>
      <c r="BA1003" s="46"/>
      <c r="BB1003" s="46"/>
      <c r="BC1003" s="48"/>
      <c r="BF1003" s="46"/>
      <c r="BL1003" s="121"/>
      <c r="BM1003" s="57"/>
      <c r="BN1003" s="64"/>
      <c r="BO1003" s="64"/>
      <c r="BP1003" s="64"/>
      <c r="BQ1003" s="64"/>
      <c r="BR1003" s="57"/>
      <c r="BS1003" s="64"/>
      <c r="BT1003" s="64"/>
      <c r="BU1003" s="64"/>
      <c r="BV1003" s="46"/>
    </row>
    <row r="1004" spans="1:74" x14ac:dyDescent="0.8">
      <c r="B1004" s="46"/>
      <c r="C1004" s="62"/>
      <c r="J1004" s="183"/>
      <c r="K1004" s="183"/>
      <c r="R1004" s="58"/>
      <c r="S1004" s="58"/>
      <c r="X1004" s="57"/>
      <c r="Y1004" s="46"/>
      <c r="Z1004" s="57"/>
      <c r="AA1004" s="46"/>
      <c r="AM1004" s="64"/>
      <c r="AO1004" s="46"/>
      <c r="AT1004" s="46"/>
      <c r="BC1004" s="48"/>
      <c r="BF1004" s="46"/>
      <c r="BL1004" s="121"/>
      <c r="BM1004" s="57"/>
      <c r="BN1004" s="64"/>
      <c r="BO1004" s="64"/>
      <c r="BP1004" s="64"/>
      <c r="BQ1004" s="64"/>
      <c r="BR1004" s="57"/>
      <c r="BS1004" s="64"/>
      <c r="BT1004" s="64"/>
      <c r="BU1004" s="64"/>
      <c r="BV1004" s="46"/>
    </row>
    <row r="1005" spans="1:74" x14ac:dyDescent="0.8">
      <c r="B1005" s="46"/>
      <c r="C1005" s="62"/>
      <c r="L1005" s="117"/>
      <c r="M1005" s="118"/>
      <c r="R1005" s="58"/>
      <c r="S1005" s="58"/>
      <c r="T1005" s="140"/>
      <c r="X1005" s="183"/>
      <c r="Y1005" s="120"/>
      <c r="AB1005" s="129"/>
      <c r="AL1005" s="68"/>
      <c r="AT1005" s="46"/>
      <c r="AY1005" s="57"/>
      <c r="AZ1005" s="64"/>
      <c r="BA1005" s="46"/>
      <c r="BB1005" s="46"/>
      <c r="BC1005" s="48"/>
      <c r="BF1005" s="46"/>
      <c r="BL1005" s="121"/>
      <c r="BM1005" s="57"/>
      <c r="BN1005" s="64"/>
      <c r="BO1005" s="64"/>
      <c r="BP1005" s="64"/>
      <c r="BQ1005" s="64"/>
      <c r="BR1005" s="57"/>
      <c r="BS1005" s="64"/>
      <c r="BT1005" s="64"/>
      <c r="BU1005" s="64"/>
      <c r="BV1005" s="46"/>
    </row>
    <row r="1006" spans="1:74" x14ac:dyDescent="0.8">
      <c r="B1006" s="46"/>
      <c r="C1006" s="62"/>
      <c r="L1006" s="117"/>
      <c r="M1006" s="118"/>
      <c r="R1006" s="58"/>
      <c r="S1006" s="58"/>
      <c r="T1006" s="140"/>
      <c r="X1006" s="183"/>
      <c r="Y1006" s="120"/>
      <c r="AB1006" s="129"/>
      <c r="AL1006" s="68"/>
      <c r="AT1006" s="46"/>
      <c r="AY1006" s="57"/>
      <c r="AZ1006" s="64"/>
      <c r="BA1006" s="46"/>
      <c r="BB1006" s="46"/>
      <c r="BC1006" s="48"/>
      <c r="BF1006" s="46"/>
      <c r="BL1006" s="121"/>
      <c r="BM1006" s="57"/>
      <c r="BN1006" s="64"/>
      <c r="BO1006" s="64"/>
      <c r="BP1006" s="64"/>
      <c r="BQ1006" s="64"/>
      <c r="BR1006" s="57"/>
      <c r="BS1006" s="64"/>
      <c r="BT1006" s="64"/>
      <c r="BU1006" s="64"/>
      <c r="BV1006" s="46"/>
    </row>
    <row r="1007" spans="1:74" x14ac:dyDescent="0.8">
      <c r="A1007" s="64"/>
      <c r="B1007" s="64"/>
      <c r="C1007" s="130"/>
      <c r="D1007" s="191"/>
      <c r="L1007" s="117"/>
      <c r="M1007" s="118"/>
      <c r="T1007" s="140"/>
      <c r="W1007" s="192"/>
      <c r="X1007" s="188"/>
      <c r="Y1007" s="120"/>
      <c r="AL1007" s="68"/>
      <c r="AY1007" s="57"/>
      <c r="AZ1007" s="64"/>
      <c r="BA1007" s="46"/>
      <c r="BB1007" s="46"/>
      <c r="BC1007" s="48"/>
      <c r="BL1007" s="121"/>
      <c r="BM1007" s="57"/>
      <c r="BN1007" s="64"/>
      <c r="BO1007" s="64"/>
      <c r="BP1007" s="64"/>
      <c r="BQ1007" s="64"/>
      <c r="BR1007" s="57"/>
      <c r="BS1007" s="64"/>
      <c r="BT1007" s="64"/>
      <c r="BU1007" s="64"/>
      <c r="BV1007" s="46"/>
    </row>
    <row r="1008" spans="1:74" x14ac:dyDescent="0.8">
      <c r="A1008" s="1001"/>
      <c r="B1008" s="1002"/>
      <c r="C1008" s="1002"/>
      <c r="D1008" s="1002"/>
      <c r="E1008" s="1003"/>
      <c r="F1008" s="71"/>
      <c r="G1008" s="59"/>
      <c r="H1008" s="71"/>
      <c r="I1008" s="59"/>
      <c r="J1008" s="131"/>
      <c r="K1008" s="132"/>
      <c r="N1008" s="58"/>
      <c r="O1008" s="58"/>
      <c r="P1008" s="58"/>
      <c r="Q1008" s="59"/>
      <c r="R1008" s="58"/>
      <c r="S1008" s="58"/>
      <c r="T1008" s="71"/>
      <c r="U1008" s="59"/>
      <c r="V1008" s="71"/>
      <c r="W1008" s="59"/>
      <c r="AD1008" s="71"/>
      <c r="AE1008" s="59"/>
      <c r="AF1008" s="71"/>
      <c r="AG1008" s="59"/>
      <c r="AH1008" s="71"/>
      <c r="AI1008" s="59"/>
      <c r="AJ1008" s="71"/>
      <c r="AK1008" s="59"/>
      <c r="AL1008" s="71"/>
      <c r="AN1008" s="71"/>
      <c r="AP1008" s="137"/>
      <c r="AQ1008" s="137"/>
      <c r="AR1008" s="71"/>
      <c r="AS1008" s="58"/>
      <c r="AT1008" s="58"/>
      <c r="AU1008" s="71"/>
      <c r="AV1008" s="58"/>
      <c r="AW1008" s="59"/>
      <c r="AX1008" s="58"/>
      <c r="BC1008" s="137"/>
      <c r="BD1008" s="71"/>
      <c r="BE1008" s="58"/>
      <c r="BF1008" s="58"/>
      <c r="BG1008" s="71"/>
      <c r="BH1008" s="58"/>
      <c r="BI1008" s="59"/>
      <c r="BL1008" s="121"/>
      <c r="BN1008" s="121"/>
      <c r="BO1008" s="121"/>
      <c r="BP1008" s="193"/>
      <c r="BQ1008" s="180"/>
      <c r="BR1008" s="185"/>
      <c r="BS1008" s="180"/>
      <c r="BT1008" s="180"/>
      <c r="BU1008" s="180"/>
      <c r="BV1008" s="186"/>
    </row>
    <row r="1009" spans="1:74" x14ac:dyDescent="0.8">
      <c r="A1009" s="194"/>
      <c r="B1009" s="194"/>
      <c r="C1009" s="194"/>
      <c r="D1009" s="195"/>
      <c r="E1009" s="194"/>
      <c r="F1009" s="195"/>
      <c r="G1009" s="194"/>
      <c r="H1009" s="195"/>
      <c r="I1009" s="194"/>
      <c r="J1009" s="196"/>
      <c r="K1009" s="201"/>
      <c r="L1009" s="198"/>
      <c r="M1009" s="199"/>
      <c r="N1009" s="200"/>
      <c r="O1009" s="200"/>
      <c r="P1009" s="200"/>
      <c r="Q1009" s="194"/>
      <c r="R1009" s="200"/>
      <c r="S1009" s="200"/>
      <c r="T1009" s="195"/>
      <c r="U1009" s="194"/>
      <c r="V1009" s="195"/>
      <c r="W1009" s="194"/>
      <c r="X1009" s="196"/>
      <c r="Y1009" s="201"/>
      <c r="Z1009" s="196"/>
      <c r="AA1009" s="201"/>
      <c r="AB1009" s="196"/>
      <c r="AC1009" s="201"/>
      <c r="AD1009" s="195"/>
      <c r="AE1009" s="194"/>
      <c r="AF1009" s="195"/>
      <c r="AG1009" s="194"/>
      <c r="AH1009" s="195"/>
      <c r="AI1009" s="194"/>
      <c r="AJ1009" s="195"/>
      <c r="AK1009" s="194"/>
      <c r="AL1009" s="195"/>
      <c r="AM1009" s="197"/>
      <c r="AN1009" s="195"/>
      <c r="AO1009" s="201"/>
      <c r="AP1009" s="202"/>
      <c r="AQ1009" s="202"/>
      <c r="AR1009" s="195"/>
      <c r="AS1009" s="200"/>
      <c r="AT1009" s="194"/>
      <c r="AU1009" s="195"/>
      <c r="AV1009" s="200"/>
      <c r="AW1009" s="194"/>
      <c r="AX1009" s="200"/>
      <c r="AY1009" s="196"/>
      <c r="AZ1009" s="197"/>
      <c r="BA1009" s="201"/>
      <c r="BB1009" s="201"/>
      <c r="BC1009" s="202"/>
      <c r="BD1009" s="195"/>
      <c r="BE1009" s="200"/>
      <c r="BF1009" s="194"/>
      <c r="BG1009" s="195"/>
      <c r="BH1009" s="200"/>
      <c r="BI1009" s="194"/>
      <c r="BJ1009" s="196"/>
      <c r="BK1009" s="201"/>
      <c r="BL1009" s="203"/>
      <c r="BM1009" s="195"/>
      <c r="BN1009" s="203"/>
      <c r="BO1009" s="203"/>
      <c r="BP1009" s="204"/>
      <c r="BQ1009" s="205"/>
      <c r="BR1009" s="206"/>
      <c r="BS1009" s="205"/>
      <c r="BT1009" s="205"/>
      <c r="BU1009" s="205"/>
      <c r="BV1009" s="207"/>
    </row>
    <row r="1010" spans="1:74" x14ac:dyDescent="0.8">
      <c r="A1010" s="64"/>
      <c r="B1010" s="57"/>
      <c r="C1010" s="62"/>
      <c r="F1010" s="70"/>
      <c r="G1010" s="86"/>
      <c r="H1010" s="70"/>
      <c r="I1010" s="86"/>
      <c r="J1010" s="70"/>
      <c r="K1010" s="86"/>
      <c r="N1010" s="83"/>
      <c r="O1010" s="83"/>
      <c r="P1010" s="83"/>
      <c r="Q1010" s="86"/>
      <c r="R1010" s="83"/>
      <c r="S1010" s="83"/>
      <c r="T1010" s="70"/>
      <c r="U1010" s="86"/>
      <c r="V1010" s="70"/>
      <c r="W1010" s="86"/>
      <c r="X1010" s="126"/>
      <c r="Y1010" s="208"/>
      <c r="Z1010" s="126"/>
      <c r="AA1010" s="208"/>
      <c r="AB1010" s="126"/>
      <c r="AC1010" s="208"/>
      <c r="AD1010" s="209"/>
      <c r="AE1010" s="210"/>
      <c r="AF1010" s="209"/>
      <c r="AG1010" s="210"/>
      <c r="AH1010" s="209"/>
      <c r="AI1010" s="210"/>
      <c r="AJ1010" s="209"/>
      <c r="AK1010" s="210"/>
      <c r="AL1010" s="209"/>
      <c r="AM1010" s="211"/>
      <c r="AN1010" s="209"/>
      <c r="AO1010" s="212"/>
      <c r="AP1010" s="213"/>
      <c r="AQ1010" s="213"/>
      <c r="AR1010" s="209"/>
      <c r="AS1010" s="301"/>
      <c r="AT1010" s="301"/>
      <c r="AU1010" s="209"/>
      <c r="AV1010" s="301"/>
      <c r="AW1010" s="210"/>
      <c r="AX1010" s="301"/>
      <c r="AY1010" s="214"/>
      <c r="AZ1010" s="211"/>
      <c r="BA1010" s="212"/>
      <c r="BB1010" s="212"/>
      <c r="BC1010" s="213"/>
      <c r="BD1010" s="209"/>
      <c r="BE1010" s="301"/>
      <c r="BF1010" s="301"/>
      <c r="BG1010" s="209"/>
      <c r="BH1010" s="301"/>
      <c r="BI1010" s="210"/>
      <c r="BJ1010" s="214"/>
      <c r="BK1010" s="212"/>
      <c r="BL1010" s="215"/>
      <c r="BM1010" s="216"/>
      <c r="BN1010" s="215"/>
      <c r="BO1010" s="215"/>
      <c r="BP1010" s="217"/>
      <c r="BQ1010" s="218"/>
      <c r="BR1010" s="219"/>
      <c r="BS1010" s="218"/>
      <c r="BT1010" s="218"/>
      <c r="BU1010" s="218"/>
      <c r="BV1010" s="220"/>
    </row>
    <row r="1011" spans="1:74" x14ac:dyDescent="0.8">
      <c r="A1011" s="64"/>
      <c r="B1011" s="57"/>
      <c r="C1011" s="62"/>
      <c r="F1011" s="70"/>
      <c r="G1011" s="86"/>
      <c r="H1011" s="70"/>
      <c r="I1011" s="86"/>
      <c r="J1011" s="70"/>
      <c r="K1011" s="86"/>
      <c r="N1011" s="83"/>
      <c r="O1011" s="83"/>
      <c r="P1011" s="83"/>
      <c r="Q1011" s="86"/>
      <c r="R1011" s="83"/>
      <c r="S1011" s="83"/>
      <c r="T1011" s="70"/>
      <c r="U1011" s="86"/>
      <c r="V1011" s="70"/>
      <c r="W1011" s="86"/>
      <c r="X1011" s="126"/>
      <c r="Y1011" s="208"/>
      <c r="Z1011" s="126"/>
      <c r="AA1011" s="208"/>
      <c r="AB1011" s="126"/>
      <c r="AC1011" s="208"/>
      <c r="AD1011" s="209"/>
      <c r="AE1011" s="210"/>
      <c r="AF1011" s="209"/>
      <c r="AG1011" s="210"/>
      <c r="AH1011" s="209"/>
      <c r="AI1011" s="210"/>
      <c r="AJ1011" s="209"/>
      <c r="AK1011" s="210"/>
      <c r="AL1011" s="209"/>
      <c r="AM1011" s="211"/>
      <c r="AN1011" s="209"/>
      <c r="AO1011" s="212"/>
      <c r="AP1011" s="213"/>
      <c r="AQ1011" s="213"/>
      <c r="AR1011" s="209"/>
      <c r="AS1011" s="301"/>
      <c r="AT1011" s="301"/>
      <c r="AU1011" s="209"/>
      <c r="AV1011" s="301"/>
      <c r="AW1011" s="210"/>
      <c r="AX1011" s="301"/>
      <c r="AY1011" s="214"/>
      <c r="AZ1011" s="211"/>
      <c r="BA1011" s="212"/>
      <c r="BB1011" s="212"/>
      <c r="BC1011" s="213"/>
      <c r="BD1011" s="209"/>
      <c r="BE1011" s="301"/>
      <c r="BF1011" s="301"/>
      <c r="BG1011" s="209"/>
      <c r="BH1011" s="301"/>
      <c r="BI1011" s="210"/>
      <c r="BJ1011" s="214"/>
      <c r="BK1011" s="212"/>
      <c r="BL1011" s="221"/>
      <c r="BM1011" s="216"/>
      <c r="BN1011" s="221"/>
      <c r="BO1011" s="221"/>
      <c r="BP1011" s="222"/>
      <c r="BQ1011" s="218"/>
      <c r="BR1011" s="219"/>
      <c r="BS1011" s="218"/>
      <c r="BT1011" s="218"/>
      <c r="BU1011" s="218"/>
      <c r="BV1011" s="220"/>
    </row>
    <row r="1012" spans="1:74" x14ac:dyDescent="0.8">
      <c r="A1012" s="64"/>
      <c r="B1012" s="57"/>
      <c r="C1012" s="62"/>
      <c r="F1012" s="70"/>
      <c r="G1012" s="86"/>
      <c r="H1012" s="70"/>
      <c r="I1012" s="86"/>
      <c r="J1012" s="70"/>
      <c r="K1012" s="86"/>
      <c r="N1012" s="83"/>
      <c r="O1012" s="83"/>
      <c r="P1012" s="83"/>
      <c r="Q1012" s="86"/>
      <c r="R1012" s="83"/>
      <c r="S1012" s="83"/>
      <c r="T1012" s="70"/>
      <c r="U1012" s="86"/>
      <c r="V1012" s="70"/>
      <c r="W1012" s="86"/>
      <c r="X1012" s="126"/>
      <c r="Y1012" s="208"/>
      <c r="Z1012" s="126"/>
      <c r="AA1012" s="208"/>
      <c r="AB1012" s="126"/>
      <c r="AC1012" s="208"/>
      <c r="AD1012" s="209"/>
      <c r="AE1012" s="210"/>
      <c r="AF1012" s="209"/>
      <c r="AG1012" s="210"/>
      <c r="AH1012" s="209"/>
      <c r="AI1012" s="210"/>
      <c r="AJ1012" s="209"/>
      <c r="AK1012" s="210"/>
      <c r="AL1012" s="209"/>
      <c r="AM1012" s="211"/>
      <c r="AN1012" s="209"/>
      <c r="AO1012" s="212"/>
      <c r="AP1012" s="213"/>
      <c r="AQ1012" s="213"/>
      <c r="AR1012" s="209"/>
      <c r="AS1012" s="301"/>
      <c r="AT1012" s="301"/>
      <c r="AU1012" s="209"/>
      <c r="AV1012" s="301"/>
      <c r="AW1012" s="210"/>
      <c r="AX1012" s="301"/>
      <c r="AY1012" s="214"/>
      <c r="AZ1012" s="211"/>
      <c r="BA1012" s="212"/>
      <c r="BB1012" s="212"/>
      <c r="BC1012" s="213"/>
      <c r="BD1012" s="209"/>
      <c r="BE1012" s="301"/>
      <c r="BF1012" s="301"/>
      <c r="BG1012" s="209"/>
      <c r="BH1012" s="301"/>
      <c r="BI1012" s="210"/>
      <c r="BJ1012" s="214"/>
      <c r="BK1012" s="212"/>
      <c r="BL1012" s="215"/>
      <c r="BM1012" s="216"/>
      <c r="BN1012" s="215"/>
      <c r="BO1012" s="215"/>
      <c r="BP1012" s="217"/>
      <c r="BQ1012" s="218"/>
      <c r="BR1012" s="219"/>
      <c r="BS1012" s="218"/>
      <c r="BT1012" s="218"/>
      <c r="BU1012" s="218"/>
      <c r="BV1012" s="220"/>
    </row>
    <row r="1013" spans="1:74" x14ac:dyDescent="0.8">
      <c r="A1013" s="64"/>
      <c r="B1013" s="57"/>
      <c r="C1013" s="62"/>
      <c r="F1013" s="70"/>
      <c r="G1013" s="86"/>
      <c r="H1013" s="70"/>
      <c r="I1013" s="86"/>
      <c r="J1013" s="70"/>
      <c r="K1013" s="86"/>
      <c r="N1013" s="83"/>
      <c r="O1013" s="83"/>
      <c r="P1013" s="83"/>
      <c r="Q1013" s="86"/>
      <c r="R1013" s="83"/>
      <c r="S1013" s="83"/>
      <c r="T1013" s="70"/>
      <c r="U1013" s="86"/>
      <c r="V1013" s="70"/>
      <c r="W1013" s="86"/>
      <c r="X1013" s="126"/>
      <c r="Y1013" s="208"/>
      <c r="Z1013" s="126"/>
      <c r="AA1013" s="208"/>
      <c r="AB1013" s="126"/>
      <c r="AC1013" s="208"/>
      <c r="AD1013" s="209"/>
      <c r="AE1013" s="210"/>
      <c r="AF1013" s="209"/>
      <c r="AG1013" s="210"/>
      <c r="AH1013" s="209"/>
      <c r="AI1013" s="210"/>
      <c r="AJ1013" s="209"/>
      <c r="AK1013" s="210"/>
      <c r="AL1013" s="209"/>
      <c r="AM1013" s="211"/>
      <c r="AN1013" s="209"/>
      <c r="AO1013" s="212"/>
      <c r="AP1013" s="213"/>
      <c r="AQ1013" s="213"/>
      <c r="AR1013" s="209"/>
      <c r="AS1013" s="301"/>
      <c r="AT1013" s="301"/>
      <c r="AU1013" s="209"/>
      <c r="AV1013" s="301"/>
      <c r="AW1013" s="210"/>
      <c r="AX1013" s="301"/>
      <c r="AY1013" s="214"/>
      <c r="AZ1013" s="211"/>
      <c r="BA1013" s="212"/>
      <c r="BB1013" s="212"/>
      <c r="BC1013" s="213"/>
      <c r="BD1013" s="209"/>
      <c r="BE1013" s="301"/>
      <c r="BF1013" s="301"/>
      <c r="BG1013" s="209"/>
      <c r="BH1013" s="301"/>
      <c r="BI1013" s="210"/>
      <c r="BJ1013" s="214"/>
      <c r="BK1013" s="212"/>
      <c r="BL1013" s="215"/>
      <c r="BM1013" s="216"/>
      <c r="BN1013" s="215"/>
      <c r="BO1013" s="215"/>
      <c r="BP1013" s="217"/>
      <c r="BQ1013" s="218"/>
      <c r="BR1013" s="219"/>
      <c r="BS1013" s="218"/>
      <c r="BT1013" s="218"/>
      <c r="BU1013" s="218"/>
      <c r="BV1013" s="220"/>
    </row>
    <row r="1014" spans="1:74" x14ac:dyDescent="0.8">
      <c r="A1014" s="64"/>
      <c r="B1014" s="57"/>
      <c r="C1014" s="62"/>
      <c r="F1014" s="70"/>
      <c r="G1014" s="86"/>
      <c r="H1014" s="70"/>
      <c r="I1014" s="86"/>
      <c r="J1014" s="70"/>
      <c r="K1014" s="86"/>
      <c r="N1014" s="83"/>
      <c r="O1014" s="83"/>
      <c r="P1014" s="83"/>
      <c r="Q1014" s="86"/>
      <c r="R1014" s="83"/>
      <c r="S1014" s="83"/>
      <c r="T1014" s="70"/>
      <c r="U1014" s="86"/>
      <c r="V1014" s="70"/>
      <c r="W1014" s="86"/>
      <c r="X1014" s="126"/>
      <c r="Y1014" s="208"/>
      <c r="Z1014" s="126"/>
      <c r="AA1014" s="208"/>
      <c r="AB1014" s="126"/>
      <c r="AC1014" s="208"/>
      <c r="AD1014" s="209"/>
      <c r="AE1014" s="210"/>
      <c r="AF1014" s="209"/>
      <c r="AG1014" s="210"/>
      <c r="AH1014" s="209"/>
      <c r="AI1014" s="210"/>
      <c r="AJ1014" s="209"/>
      <c r="AK1014" s="210"/>
      <c r="AL1014" s="209"/>
      <c r="AM1014" s="211"/>
      <c r="AN1014" s="209"/>
      <c r="AO1014" s="212"/>
      <c r="AP1014" s="213"/>
      <c r="AQ1014" s="213"/>
      <c r="AR1014" s="209"/>
      <c r="AS1014" s="301"/>
      <c r="AT1014" s="301"/>
      <c r="AU1014" s="209"/>
      <c r="AV1014" s="301"/>
      <c r="AW1014" s="210"/>
      <c r="AX1014" s="301"/>
      <c r="AY1014" s="214"/>
      <c r="AZ1014" s="211"/>
      <c r="BA1014" s="212"/>
      <c r="BB1014" s="212"/>
      <c r="BC1014" s="213"/>
      <c r="BD1014" s="209"/>
      <c r="BE1014" s="301"/>
      <c r="BF1014" s="301"/>
      <c r="BG1014" s="209"/>
      <c r="BH1014" s="301"/>
      <c r="BI1014" s="210"/>
      <c r="BJ1014" s="214"/>
      <c r="BK1014" s="212"/>
      <c r="BL1014" s="215"/>
      <c r="BM1014" s="216"/>
      <c r="BN1014" s="215"/>
      <c r="BO1014" s="215"/>
      <c r="BP1014" s="217"/>
      <c r="BQ1014" s="218"/>
      <c r="BR1014" s="219"/>
      <c r="BS1014" s="218"/>
      <c r="BT1014" s="218"/>
      <c r="BU1014" s="218"/>
      <c r="BV1014" s="220"/>
    </row>
    <row r="1015" spans="1:74" x14ac:dyDescent="0.8">
      <c r="A1015" s="64"/>
      <c r="B1015" s="57"/>
      <c r="C1015" s="62"/>
      <c r="F1015" s="70"/>
      <c r="G1015" s="86"/>
      <c r="H1015" s="70"/>
      <c r="I1015" s="86"/>
      <c r="J1015" s="70"/>
      <c r="K1015" s="86"/>
      <c r="N1015" s="83"/>
      <c r="O1015" s="83"/>
      <c r="P1015" s="83"/>
      <c r="Q1015" s="86"/>
      <c r="R1015" s="83"/>
      <c r="S1015" s="83"/>
      <c r="T1015" s="70"/>
      <c r="U1015" s="86"/>
      <c r="V1015" s="70"/>
      <c r="W1015" s="86"/>
      <c r="X1015" s="126"/>
      <c r="Y1015" s="208"/>
      <c r="Z1015" s="126"/>
      <c r="AA1015" s="208"/>
      <c r="AB1015" s="126"/>
      <c r="AC1015" s="208"/>
      <c r="AD1015" s="209"/>
      <c r="AE1015" s="210"/>
      <c r="AF1015" s="209"/>
      <c r="AG1015" s="210"/>
      <c r="AH1015" s="209"/>
      <c r="AI1015" s="210"/>
      <c r="AJ1015" s="209"/>
      <c r="AK1015" s="210"/>
      <c r="AL1015" s="209"/>
      <c r="AM1015" s="211"/>
      <c r="AN1015" s="209"/>
      <c r="AO1015" s="212"/>
      <c r="AP1015" s="213"/>
      <c r="AQ1015" s="213"/>
      <c r="AR1015" s="209"/>
      <c r="AS1015" s="301"/>
      <c r="AT1015" s="301"/>
      <c r="AU1015" s="209"/>
      <c r="AV1015" s="301"/>
      <c r="AW1015" s="210"/>
      <c r="AX1015" s="301"/>
      <c r="AY1015" s="214"/>
      <c r="AZ1015" s="211"/>
      <c r="BA1015" s="212"/>
      <c r="BB1015" s="212"/>
      <c r="BC1015" s="213"/>
      <c r="BD1015" s="209"/>
      <c r="BE1015" s="301"/>
      <c r="BF1015" s="301"/>
      <c r="BG1015" s="209"/>
      <c r="BH1015" s="301"/>
      <c r="BI1015" s="210"/>
      <c r="BJ1015" s="214"/>
      <c r="BK1015" s="212"/>
      <c r="BL1015" s="215"/>
      <c r="BM1015" s="216"/>
      <c r="BN1015" s="215"/>
      <c r="BO1015" s="215"/>
      <c r="BP1015" s="217"/>
      <c r="BQ1015" s="218"/>
      <c r="BR1015" s="219"/>
      <c r="BS1015" s="218"/>
      <c r="BT1015" s="218"/>
      <c r="BU1015" s="218"/>
      <c r="BV1015" s="220"/>
    </row>
    <row r="1016" spans="1:74" x14ac:dyDescent="0.8">
      <c r="A1016" s="64"/>
      <c r="B1016" s="57"/>
      <c r="C1016" s="62"/>
      <c r="F1016" s="70"/>
      <c r="G1016" s="86"/>
      <c r="H1016" s="70"/>
      <c r="I1016" s="86"/>
      <c r="J1016" s="70"/>
      <c r="K1016" s="86"/>
      <c r="N1016" s="83"/>
      <c r="O1016" s="83"/>
      <c r="P1016" s="83"/>
      <c r="Q1016" s="86"/>
      <c r="R1016" s="83"/>
      <c r="S1016" s="83"/>
      <c r="T1016" s="70"/>
      <c r="U1016" s="86"/>
      <c r="V1016" s="70"/>
      <c r="W1016" s="86"/>
      <c r="X1016" s="126"/>
      <c r="Y1016" s="208"/>
      <c r="Z1016" s="126"/>
      <c r="AA1016" s="208"/>
      <c r="AB1016" s="126"/>
      <c r="AC1016" s="208"/>
      <c r="AD1016" s="209"/>
      <c r="AE1016" s="210"/>
      <c r="AF1016" s="209"/>
      <c r="AG1016" s="210"/>
      <c r="AH1016" s="209"/>
      <c r="AI1016" s="210"/>
      <c r="AJ1016" s="209"/>
      <c r="AK1016" s="210"/>
      <c r="AL1016" s="209"/>
      <c r="AM1016" s="211"/>
      <c r="AN1016" s="209"/>
      <c r="AO1016" s="212"/>
      <c r="AP1016" s="213"/>
      <c r="AQ1016" s="213"/>
      <c r="AR1016" s="209"/>
      <c r="AS1016" s="301"/>
      <c r="AT1016" s="301"/>
      <c r="AU1016" s="209"/>
      <c r="AV1016" s="301"/>
      <c r="AW1016" s="210"/>
      <c r="AX1016" s="301"/>
      <c r="AY1016" s="214"/>
      <c r="AZ1016" s="211"/>
      <c r="BA1016" s="212"/>
      <c r="BB1016" s="212"/>
      <c r="BC1016" s="213"/>
      <c r="BD1016" s="209"/>
      <c r="BE1016" s="301"/>
      <c r="BF1016" s="301"/>
      <c r="BG1016" s="209"/>
      <c r="BH1016" s="301"/>
      <c r="BI1016" s="210"/>
      <c r="BJ1016" s="214"/>
      <c r="BK1016" s="212"/>
      <c r="BL1016" s="215"/>
      <c r="BM1016" s="216"/>
      <c r="BN1016" s="215"/>
      <c r="BO1016" s="215"/>
      <c r="BP1016" s="217"/>
      <c r="BQ1016" s="218"/>
      <c r="BR1016" s="219"/>
      <c r="BS1016" s="218"/>
      <c r="BT1016" s="218"/>
      <c r="BU1016" s="218"/>
      <c r="BV1016" s="220"/>
    </row>
    <row r="1017" spans="1:74" x14ac:dyDescent="0.8">
      <c r="A1017" s="64"/>
      <c r="B1017" s="57"/>
      <c r="C1017" s="62"/>
      <c r="F1017" s="70"/>
      <c r="G1017" s="86"/>
      <c r="H1017" s="70"/>
      <c r="I1017" s="86"/>
      <c r="J1017" s="70"/>
      <c r="K1017" s="86"/>
      <c r="N1017" s="83"/>
      <c r="O1017" s="83"/>
      <c r="P1017" s="83"/>
      <c r="Q1017" s="86"/>
      <c r="R1017" s="83"/>
      <c r="S1017" s="83"/>
      <c r="T1017" s="70"/>
      <c r="U1017" s="86"/>
      <c r="V1017" s="70"/>
      <c r="W1017" s="86"/>
      <c r="X1017" s="126"/>
      <c r="Y1017" s="208"/>
      <c r="Z1017" s="126"/>
      <c r="AA1017" s="208"/>
      <c r="AB1017" s="126"/>
      <c r="AC1017" s="208"/>
      <c r="AD1017" s="209"/>
      <c r="AE1017" s="210"/>
      <c r="AF1017" s="209"/>
      <c r="AG1017" s="210"/>
      <c r="AH1017" s="209"/>
      <c r="AI1017" s="210"/>
      <c r="AJ1017" s="209"/>
      <c r="AK1017" s="210"/>
      <c r="AL1017" s="209"/>
      <c r="AM1017" s="211"/>
      <c r="AN1017" s="209"/>
      <c r="AO1017" s="212"/>
      <c r="AP1017" s="213"/>
      <c r="AQ1017" s="213"/>
      <c r="AR1017" s="209"/>
      <c r="AS1017" s="301"/>
      <c r="AT1017" s="301"/>
      <c r="AU1017" s="209"/>
      <c r="AV1017" s="301"/>
      <c r="AW1017" s="210"/>
      <c r="AX1017" s="301"/>
      <c r="AY1017" s="214"/>
      <c r="AZ1017" s="211"/>
      <c r="BA1017" s="212"/>
      <c r="BB1017" s="212"/>
      <c r="BC1017" s="213"/>
      <c r="BD1017" s="209"/>
      <c r="BE1017" s="301"/>
      <c r="BF1017" s="301"/>
      <c r="BG1017" s="209"/>
      <c r="BH1017" s="301"/>
      <c r="BI1017" s="210"/>
      <c r="BJ1017" s="214"/>
      <c r="BK1017" s="212"/>
      <c r="BL1017" s="215"/>
      <c r="BM1017" s="216"/>
      <c r="BN1017" s="215"/>
      <c r="BO1017" s="215"/>
      <c r="BP1017" s="217"/>
      <c r="BQ1017" s="218"/>
      <c r="BR1017" s="219"/>
      <c r="BS1017" s="218"/>
      <c r="BT1017" s="218"/>
      <c r="BU1017" s="218"/>
      <c r="BV1017" s="220"/>
    </row>
    <row r="1018" spans="1:74" x14ac:dyDescent="0.8">
      <c r="A1018" s="64"/>
      <c r="B1018" s="57"/>
      <c r="C1018" s="62"/>
      <c r="F1018" s="70"/>
      <c r="G1018" s="86"/>
      <c r="H1018" s="70"/>
      <c r="I1018" s="86"/>
      <c r="J1018" s="70"/>
      <c r="K1018" s="86"/>
      <c r="N1018" s="83"/>
      <c r="O1018" s="83"/>
      <c r="P1018" s="83"/>
      <c r="Q1018" s="86"/>
      <c r="R1018" s="83"/>
      <c r="S1018" s="83"/>
      <c r="T1018" s="70"/>
      <c r="U1018" s="86"/>
      <c r="V1018" s="70"/>
      <c r="W1018" s="86"/>
      <c r="X1018" s="126"/>
      <c r="Y1018" s="208"/>
      <c r="Z1018" s="126"/>
      <c r="AA1018" s="208"/>
      <c r="AB1018" s="126"/>
      <c r="AC1018" s="208"/>
      <c r="AD1018" s="209"/>
      <c r="AE1018" s="210"/>
      <c r="AF1018" s="209"/>
      <c r="AG1018" s="210"/>
      <c r="AH1018" s="209"/>
      <c r="AI1018" s="210"/>
      <c r="AJ1018" s="209"/>
      <c r="AK1018" s="210"/>
      <c r="AL1018" s="209"/>
      <c r="AM1018" s="211"/>
      <c r="AN1018" s="209"/>
      <c r="AO1018" s="212"/>
      <c r="AP1018" s="213"/>
      <c r="AQ1018" s="213"/>
      <c r="AR1018" s="209"/>
      <c r="AS1018" s="301"/>
      <c r="AT1018" s="301"/>
      <c r="AU1018" s="209"/>
      <c r="AV1018" s="301"/>
      <c r="AW1018" s="210"/>
      <c r="AX1018" s="301"/>
      <c r="AY1018" s="214"/>
      <c r="AZ1018" s="211"/>
      <c r="BA1018" s="212"/>
      <c r="BB1018" s="212"/>
      <c r="BC1018" s="213"/>
      <c r="BD1018" s="209"/>
      <c r="BE1018" s="301"/>
      <c r="BF1018" s="301"/>
      <c r="BG1018" s="209"/>
      <c r="BH1018" s="301"/>
      <c r="BI1018" s="210"/>
      <c r="BJ1018" s="214"/>
      <c r="BK1018" s="212"/>
      <c r="BL1018" s="215"/>
      <c r="BM1018" s="216"/>
      <c r="BN1018" s="215"/>
      <c r="BO1018" s="215"/>
      <c r="BP1018" s="217"/>
      <c r="BQ1018" s="218"/>
      <c r="BR1018" s="219"/>
      <c r="BS1018" s="218"/>
      <c r="BT1018" s="218"/>
      <c r="BU1018" s="218"/>
      <c r="BV1018" s="220"/>
    </row>
    <row r="1019" spans="1:74" x14ac:dyDescent="0.8">
      <c r="A1019" s="64"/>
      <c r="B1019" s="57"/>
      <c r="C1019" s="62"/>
      <c r="F1019" s="70"/>
      <c r="G1019" s="86"/>
      <c r="H1019" s="70"/>
      <c r="I1019" s="86"/>
      <c r="J1019" s="70"/>
      <c r="K1019" s="86"/>
      <c r="N1019" s="83"/>
      <c r="O1019" s="83"/>
      <c r="P1019" s="83"/>
      <c r="Q1019" s="86"/>
      <c r="R1019" s="83"/>
      <c r="S1019" s="83"/>
      <c r="T1019" s="70"/>
      <c r="U1019" s="86"/>
      <c r="V1019" s="70"/>
      <c r="W1019" s="86"/>
      <c r="X1019" s="126"/>
      <c r="Y1019" s="208"/>
      <c r="Z1019" s="126"/>
      <c r="AA1019" s="208"/>
      <c r="AB1019" s="126"/>
      <c r="AC1019" s="208"/>
      <c r="AD1019" s="209"/>
      <c r="AE1019" s="210"/>
      <c r="AF1019" s="209"/>
      <c r="AG1019" s="210"/>
      <c r="AH1019" s="209"/>
      <c r="AI1019" s="210"/>
      <c r="AJ1019" s="209"/>
      <c r="AK1019" s="210"/>
      <c r="AL1019" s="209"/>
      <c r="AM1019" s="211"/>
      <c r="AN1019" s="209"/>
      <c r="AO1019" s="212"/>
      <c r="AP1019" s="213"/>
      <c r="AQ1019" s="213"/>
      <c r="AR1019" s="209"/>
      <c r="AS1019" s="301"/>
      <c r="AT1019" s="301"/>
      <c r="AU1019" s="209"/>
      <c r="AV1019" s="301"/>
      <c r="AW1019" s="210"/>
      <c r="AX1019" s="301"/>
      <c r="AY1019" s="214"/>
      <c r="AZ1019" s="211"/>
      <c r="BA1019" s="212"/>
      <c r="BB1019" s="212"/>
      <c r="BC1019" s="213"/>
      <c r="BD1019" s="209"/>
      <c r="BE1019" s="301"/>
      <c r="BF1019" s="301"/>
      <c r="BG1019" s="209"/>
      <c r="BH1019" s="301"/>
      <c r="BI1019" s="210"/>
      <c r="BJ1019" s="214"/>
      <c r="BK1019" s="212"/>
      <c r="BL1019" s="215"/>
      <c r="BM1019" s="216"/>
      <c r="BN1019" s="215"/>
      <c r="BO1019" s="215"/>
      <c r="BP1019" s="217"/>
      <c r="BQ1019" s="218"/>
      <c r="BR1019" s="219"/>
      <c r="BS1019" s="218"/>
      <c r="BT1019" s="218"/>
      <c r="BU1019" s="218"/>
      <c r="BV1019" s="220"/>
    </row>
    <row r="1020" spans="1:74" x14ac:dyDescent="0.8">
      <c r="A1020" s="64"/>
      <c r="B1020" s="57"/>
      <c r="C1020" s="62"/>
      <c r="F1020" s="70"/>
      <c r="G1020" s="86"/>
      <c r="H1020" s="70"/>
      <c r="I1020" s="86"/>
      <c r="J1020" s="70"/>
      <c r="K1020" s="86"/>
      <c r="N1020" s="83"/>
      <c r="O1020" s="83"/>
      <c r="P1020" s="83"/>
      <c r="Q1020" s="86"/>
      <c r="R1020" s="83"/>
      <c r="S1020" s="83"/>
      <c r="T1020" s="70"/>
      <c r="U1020" s="86"/>
      <c r="V1020" s="70"/>
      <c r="W1020" s="86"/>
      <c r="X1020" s="126"/>
      <c r="Y1020" s="208"/>
      <c r="Z1020" s="126"/>
      <c r="AA1020" s="208"/>
      <c r="AB1020" s="126"/>
      <c r="AC1020" s="208"/>
      <c r="AD1020" s="209"/>
      <c r="AE1020" s="210"/>
      <c r="AF1020" s="209"/>
      <c r="AG1020" s="210"/>
      <c r="AH1020" s="209"/>
      <c r="AI1020" s="210"/>
      <c r="AJ1020" s="209"/>
      <c r="AK1020" s="210"/>
      <c r="AL1020" s="209"/>
      <c r="AM1020" s="211"/>
      <c r="AN1020" s="209"/>
      <c r="AO1020" s="212"/>
      <c r="AP1020" s="213"/>
      <c r="AQ1020" s="213"/>
      <c r="AR1020" s="209"/>
      <c r="AS1020" s="301"/>
      <c r="AT1020" s="301"/>
      <c r="AU1020" s="209"/>
      <c r="AV1020" s="301"/>
      <c r="AW1020" s="210"/>
      <c r="AX1020" s="301"/>
      <c r="AY1020" s="214"/>
      <c r="AZ1020" s="211"/>
      <c r="BA1020" s="212"/>
      <c r="BB1020" s="212"/>
      <c r="BC1020" s="213"/>
      <c r="BD1020" s="209"/>
      <c r="BE1020" s="301"/>
      <c r="BF1020" s="301"/>
      <c r="BG1020" s="209"/>
      <c r="BH1020" s="301"/>
      <c r="BI1020" s="210"/>
      <c r="BJ1020" s="214"/>
      <c r="BK1020" s="212"/>
      <c r="BL1020" s="215"/>
      <c r="BM1020" s="216"/>
      <c r="BN1020" s="215"/>
      <c r="BO1020" s="215"/>
      <c r="BP1020" s="217"/>
      <c r="BQ1020" s="218"/>
      <c r="BR1020" s="219"/>
      <c r="BS1020" s="218"/>
      <c r="BT1020" s="218"/>
      <c r="BU1020" s="218"/>
      <c r="BV1020" s="220"/>
    </row>
    <row r="1021" spans="1:74" x14ac:dyDescent="0.8">
      <c r="A1021" s="64"/>
      <c r="B1021" s="57"/>
      <c r="C1021" s="62"/>
      <c r="F1021" s="70"/>
      <c r="G1021" s="86"/>
      <c r="H1021" s="70"/>
      <c r="I1021" s="86"/>
      <c r="J1021" s="70"/>
      <c r="K1021" s="86"/>
      <c r="N1021" s="83"/>
      <c r="O1021" s="83"/>
      <c r="P1021" s="83"/>
      <c r="Q1021" s="86"/>
      <c r="R1021" s="83"/>
      <c r="S1021" s="83"/>
      <c r="T1021" s="70"/>
      <c r="U1021" s="86"/>
      <c r="V1021" s="70"/>
      <c r="W1021" s="86"/>
      <c r="X1021" s="126"/>
      <c r="Y1021" s="208"/>
      <c r="Z1021" s="126"/>
      <c r="AA1021" s="208"/>
      <c r="AB1021" s="126"/>
      <c r="AC1021" s="208"/>
      <c r="AD1021" s="209"/>
      <c r="AE1021" s="210"/>
      <c r="AF1021" s="209"/>
      <c r="AG1021" s="210"/>
      <c r="AH1021" s="209"/>
      <c r="AI1021" s="210"/>
      <c r="AJ1021" s="209"/>
      <c r="AK1021" s="210"/>
      <c r="AL1021" s="209"/>
      <c r="AM1021" s="211"/>
      <c r="AN1021" s="209"/>
      <c r="AO1021" s="212"/>
      <c r="AP1021" s="213"/>
      <c r="AQ1021" s="213"/>
      <c r="AR1021" s="209"/>
      <c r="AS1021" s="301"/>
      <c r="AT1021" s="301"/>
      <c r="AU1021" s="209"/>
      <c r="AV1021" s="301"/>
      <c r="AW1021" s="210"/>
      <c r="AX1021" s="301"/>
      <c r="AY1021" s="214"/>
      <c r="AZ1021" s="211"/>
      <c r="BA1021" s="212"/>
      <c r="BB1021" s="212"/>
      <c r="BC1021" s="213"/>
      <c r="BD1021" s="209"/>
      <c r="BE1021" s="301"/>
      <c r="BF1021" s="301"/>
      <c r="BG1021" s="209"/>
      <c r="BH1021" s="301"/>
      <c r="BI1021" s="210"/>
      <c r="BJ1021" s="214"/>
      <c r="BK1021" s="212"/>
      <c r="BL1021" s="215"/>
      <c r="BM1021" s="216"/>
      <c r="BN1021" s="215"/>
      <c r="BO1021" s="215"/>
      <c r="BP1021" s="217"/>
      <c r="BQ1021" s="218"/>
      <c r="BR1021" s="219"/>
      <c r="BS1021" s="218"/>
      <c r="BT1021" s="218"/>
      <c r="BU1021" s="218"/>
      <c r="BV1021" s="220"/>
    </row>
    <row r="1022" spans="1:74" x14ac:dyDescent="0.8">
      <c r="A1022" s="64"/>
      <c r="B1022" s="57"/>
      <c r="C1022" s="62"/>
      <c r="F1022" s="70"/>
      <c r="G1022" s="86"/>
      <c r="H1022" s="70"/>
      <c r="I1022" s="86"/>
      <c r="J1022" s="70"/>
      <c r="K1022" s="86"/>
      <c r="N1022" s="83"/>
      <c r="O1022" s="83"/>
      <c r="P1022" s="83"/>
      <c r="Q1022" s="86"/>
      <c r="R1022" s="83"/>
      <c r="S1022" s="83"/>
      <c r="T1022" s="70"/>
      <c r="U1022" s="86"/>
      <c r="V1022" s="70"/>
      <c r="W1022" s="86"/>
      <c r="X1022" s="126"/>
      <c r="Y1022" s="208"/>
      <c r="Z1022" s="126"/>
      <c r="AA1022" s="208"/>
      <c r="AB1022" s="126"/>
      <c r="AC1022" s="208"/>
      <c r="AD1022" s="209"/>
      <c r="AE1022" s="210"/>
      <c r="AF1022" s="209"/>
      <c r="AG1022" s="210"/>
      <c r="AH1022" s="209"/>
      <c r="AI1022" s="210"/>
      <c r="AJ1022" s="209"/>
      <c r="AK1022" s="210"/>
      <c r="AL1022" s="209"/>
      <c r="AM1022" s="211"/>
      <c r="AN1022" s="209"/>
      <c r="AO1022" s="212"/>
      <c r="AP1022" s="213"/>
      <c r="AQ1022" s="213"/>
      <c r="AR1022" s="209"/>
      <c r="AS1022" s="301"/>
      <c r="AT1022" s="301"/>
      <c r="AU1022" s="209"/>
      <c r="AV1022" s="301"/>
      <c r="AW1022" s="210"/>
      <c r="AX1022" s="301"/>
      <c r="AY1022" s="214"/>
      <c r="AZ1022" s="211"/>
      <c r="BA1022" s="212"/>
      <c r="BB1022" s="212"/>
      <c r="BC1022" s="213"/>
      <c r="BD1022" s="209"/>
      <c r="BE1022" s="301"/>
      <c r="BF1022" s="301"/>
      <c r="BG1022" s="209"/>
      <c r="BH1022" s="301"/>
      <c r="BI1022" s="210"/>
      <c r="BJ1022" s="214"/>
      <c r="BK1022" s="212"/>
      <c r="BL1022" s="215"/>
      <c r="BM1022" s="216"/>
      <c r="BN1022" s="215"/>
      <c r="BO1022" s="215"/>
      <c r="BP1022" s="217"/>
      <c r="BQ1022" s="218"/>
      <c r="BR1022" s="219"/>
      <c r="BS1022" s="218"/>
      <c r="BT1022" s="218"/>
      <c r="BU1022" s="218"/>
      <c r="BV1022" s="220"/>
    </row>
    <row r="1023" spans="1:74" x14ac:dyDescent="0.8">
      <c r="A1023" s="64"/>
      <c r="B1023" s="57"/>
      <c r="C1023" s="62"/>
      <c r="F1023" s="70"/>
      <c r="G1023" s="86"/>
      <c r="H1023" s="70"/>
      <c r="I1023" s="86"/>
      <c r="J1023" s="70"/>
      <c r="K1023" s="86"/>
      <c r="N1023" s="83"/>
      <c r="O1023" s="83"/>
      <c r="P1023" s="83"/>
      <c r="Q1023" s="86"/>
      <c r="R1023" s="83"/>
      <c r="S1023" s="83"/>
      <c r="T1023" s="70"/>
      <c r="U1023" s="86"/>
      <c r="V1023" s="70"/>
      <c r="W1023" s="86"/>
      <c r="X1023" s="126"/>
      <c r="Y1023" s="208"/>
      <c r="Z1023" s="126"/>
      <c r="AA1023" s="208"/>
      <c r="AB1023" s="126"/>
      <c r="AC1023" s="208"/>
      <c r="AD1023" s="209"/>
      <c r="AE1023" s="210"/>
      <c r="AF1023" s="209"/>
      <c r="AG1023" s="210"/>
      <c r="AH1023" s="209"/>
      <c r="AI1023" s="210"/>
      <c r="AJ1023" s="209"/>
      <c r="AK1023" s="210"/>
      <c r="AL1023" s="209"/>
      <c r="AM1023" s="211"/>
      <c r="AN1023" s="209"/>
      <c r="AO1023" s="212"/>
      <c r="AP1023" s="213"/>
      <c r="AQ1023" s="213"/>
      <c r="AR1023" s="209"/>
      <c r="AS1023" s="301"/>
      <c r="AT1023" s="301"/>
      <c r="AU1023" s="209"/>
      <c r="AV1023" s="301"/>
      <c r="AW1023" s="210"/>
      <c r="AX1023" s="301"/>
      <c r="AY1023" s="214"/>
      <c r="AZ1023" s="211"/>
      <c r="BA1023" s="212"/>
      <c r="BB1023" s="212"/>
      <c r="BC1023" s="213"/>
      <c r="BD1023" s="209"/>
      <c r="BE1023" s="301"/>
      <c r="BF1023" s="301"/>
      <c r="BG1023" s="209"/>
      <c r="BH1023" s="301"/>
      <c r="BI1023" s="210"/>
      <c r="BJ1023" s="214"/>
      <c r="BK1023" s="212"/>
      <c r="BL1023" s="215"/>
      <c r="BM1023" s="216"/>
      <c r="BN1023" s="215"/>
      <c r="BO1023" s="215"/>
      <c r="BP1023" s="217"/>
      <c r="BQ1023" s="218"/>
      <c r="BR1023" s="219"/>
      <c r="BS1023" s="218"/>
      <c r="BT1023" s="218"/>
      <c r="BU1023" s="218"/>
      <c r="BV1023" s="220"/>
    </row>
    <row r="1024" spans="1:74" x14ac:dyDescent="0.8">
      <c r="A1024" s="64"/>
      <c r="B1024" s="57"/>
      <c r="C1024" s="62"/>
      <c r="F1024" s="70"/>
      <c r="G1024" s="86"/>
      <c r="H1024" s="70"/>
      <c r="I1024" s="86"/>
      <c r="J1024" s="70"/>
      <c r="K1024" s="86"/>
      <c r="N1024" s="83"/>
      <c r="O1024" s="83"/>
      <c r="P1024" s="83"/>
      <c r="Q1024" s="86"/>
      <c r="R1024" s="83"/>
      <c r="S1024" s="83"/>
      <c r="T1024" s="70"/>
      <c r="U1024" s="86"/>
      <c r="V1024" s="70"/>
      <c r="W1024" s="86"/>
      <c r="X1024" s="126"/>
      <c r="Y1024" s="208"/>
      <c r="Z1024" s="126"/>
      <c r="AA1024" s="208"/>
      <c r="AB1024" s="126"/>
      <c r="AC1024" s="208"/>
      <c r="AD1024" s="209"/>
      <c r="AE1024" s="210"/>
      <c r="AF1024" s="209"/>
      <c r="AG1024" s="210"/>
      <c r="AH1024" s="209"/>
      <c r="AI1024" s="210"/>
      <c r="AJ1024" s="209"/>
      <c r="AK1024" s="210"/>
      <c r="AL1024" s="209"/>
      <c r="AM1024" s="211"/>
      <c r="AN1024" s="209"/>
      <c r="AO1024" s="212"/>
      <c r="AP1024" s="213"/>
      <c r="AQ1024" s="213"/>
      <c r="AR1024" s="209"/>
      <c r="AS1024" s="301"/>
      <c r="AT1024" s="301"/>
      <c r="AU1024" s="209"/>
      <c r="AV1024" s="301"/>
      <c r="AW1024" s="210"/>
      <c r="AX1024" s="301"/>
      <c r="AY1024" s="214"/>
      <c r="AZ1024" s="211"/>
      <c r="BA1024" s="212"/>
      <c r="BB1024" s="212"/>
      <c r="BC1024" s="213"/>
      <c r="BD1024" s="209"/>
      <c r="BE1024" s="301"/>
      <c r="BF1024" s="301"/>
      <c r="BG1024" s="209"/>
      <c r="BH1024" s="301"/>
      <c r="BI1024" s="210"/>
      <c r="BJ1024" s="214"/>
      <c r="BK1024" s="212"/>
      <c r="BL1024" s="215"/>
      <c r="BM1024" s="216"/>
      <c r="BN1024" s="215"/>
      <c r="BO1024" s="215"/>
      <c r="BP1024" s="217"/>
      <c r="BQ1024" s="218"/>
      <c r="BR1024" s="219"/>
      <c r="BS1024" s="218"/>
      <c r="BT1024" s="218"/>
      <c r="BU1024" s="218"/>
      <c r="BV1024" s="220"/>
    </row>
    <row r="1025" spans="1:74" x14ac:dyDescent="0.8">
      <c r="A1025" s="64"/>
      <c r="B1025" s="57"/>
      <c r="C1025" s="62"/>
      <c r="F1025" s="70"/>
      <c r="G1025" s="86"/>
      <c r="H1025" s="70"/>
      <c r="I1025" s="86"/>
      <c r="J1025" s="70"/>
      <c r="K1025" s="86"/>
      <c r="N1025" s="83"/>
      <c r="O1025" s="83"/>
      <c r="P1025" s="83"/>
      <c r="Q1025" s="86"/>
      <c r="R1025" s="83"/>
      <c r="S1025" s="83"/>
      <c r="T1025" s="70"/>
      <c r="U1025" s="86"/>
      <c r="V1025" s="70"/>
      <c r="W1025" s="86"/>
      <c r="X1025" s="126"/>
      <c r="Y1025" s="208"/>
      <c r="Z1025" s="126"/>
      <c r="AA1025" s="208"/>
      <c r="AB1025" s="126"/>
      <c r="AC1025" s="208"/>
      <c r="AD1025" s="209"/>
      <c r="AE1025" s="210"/>
      <c r="AF1025" s="209"/>
      <c r="AG1025" s="210"/>
      <c r="AH1025" s="209"/>
      <c r="AI1025" s="210"/>
      <c r="AJ1025" s="209"/>
      <c r="AK1025" s="210"/>
      <c r="AL1025" s="209"/>
      <c r="AM1025" s="211"/>
      <c r="AN1025" s="209"/>
      <c r="AO1025" s="212"/>
      <c r="AP1025" s="213"/>
      <c r="AQ1025" s="213"/>
      <c r="AR1025" s="209"/>
      <c r="AS1025" s="301"/>
      <c r="AT1025" s="301"/>
      <c r="AU1025" s="209"/>
      <c r="AV1025" s="301"/>
      <c r="AW1025" s="210"/>
      <c r="AX1025" s="301"/>
      <c r="AY1025" s="214"/>
      <c r="AZ1025" s="211"/>
      <c r="BA1025" s="212"/>
      <c r="BB1025" s="212"/>
      <c r="BC1025" s="213"/>
      <c r="BD1025" s="209"/>
      <c r="BE1025" s="301"/>
      <c r="BF1025" s="301"/>
      <c r="BG1025" s="209"/>
      <c r="BH1025" s="301"/>
      <c r="BI1025" s="210"/>
      <c r="BJ1025" s="214"/>
      <c r="BK1025" s="212"/>
      <c r="BL1025" s="215"/>
      <c r="BM1025" s="216"/>
      <c r="BN1025" s="215"/>
      <c r="BO1025" s="215"/>
      <c r="BP1025" s="217"/>
      <c r="BQ1025" s="218"/>
      <c r="BR1025" s="219"/>
      <c r="BS1025" s="218"/>
      <c r="BT1025" s="218"/>
      <c r="BU1025" s="218"/>
      <c r="BV1025" s="220"/>
    </row>
    <row r="1026" spans="1:74" x14ac:dyDescent="0.8">
      <c r="A1026" s="64"/>
      <c r="B1026" s="57"/>
      <c r="C1026" s="62"/>
      <c r="F1026" s="70"/>
      <c r="G1026" s="86"/>
      <c r="H1026" s="70"/>
      <c r="I1026" s="86"/>
      <c r="J1026" s="70"/>
      <c r="K1026" s="86"/>
      <c r="N1026" s="83"/>
      <c r="O1026" s="83"/>
      <c r="P1026" s="83"/>
      <c r="Q1026" s="86"/>
      <c r="R1026" s="83"/>
      <c r="S1026" s="83"/>
      <c r="T1026" s="70"/>
      <c r="U1026" s="86"/>
      <c r="V1026" s="70"/>
      <c r="W1026" s="86"/>
      <c r="X1026" s="126"/>
      <c r="Y1026" s="208"/>
      <c r="Z1026" s="126"/>
      <c r="AA1026" s="208"/>
      <c r="AB1026" s="126"/>
      <c r="AC1026" s="208"/>
      <c r="AD1026" s="209"/>
      <c r="AE1026" s="210"/>
      <c r="AF1026" s="209"/>
      <c r="AG1026" s="210"/>
      <c r="AH1026" s="209"/>
      <c r="AI1026" s="210"/>
      <c r="AJ1026" s="209"/>
      <c r="AK1026" s="210"/>
      <c r="AL1026" s="209"/>
      <c r="AM1026" s="211"/>
      <c r="AN1026" s="209"/>
      <c r="AO1026" s="212"/>
      <c r="AP1026" s="213"/>
      <c r="AQ1026" s="213"/>
      <c r="AR1026" s="209"/>
      <c r="AS1026" s="301"/>
      <c r="AT1026" s="301"/>
      <c r="AU1026" s="209"/>
      <c r="AV1026" s="301"/>
      <c r="AW1026" s="210"/>
      <c r="AX1026" s="301"/>
      <c r="AY1026" s="214"/>
      <c r="AZ1026" s="211"/>
      <c r="BA1026" s="212"/>
      <c r="BB1026" s="212"/>
      <c r="BC1026" s="213"/>
      <c r="BD1026" s="209"/>
      <c r="BE1026" s="301"/>
      <c r="BF1026" s="301"/>
      <c r="BG1026" s="209"/>
      <c r="BH1026" s="301"/>
      <c r="BI1026" s="210"/>
      <c r="BJ1026" s="214"/>
      <c r="BK1026" s="212"/>
      <c r="BL1026" s="215"/>
      <c r="BM1026" s="216"/>
      <c r="BN1026" s="215"/>
      <c r="BO1026" s="215"/>
      <c r="BP1026" s="217"/>
      <c r="BQ1026" s="218"/>
      <c r="BR1026" s="219"/>
      <c r="BS1026" s="218"/>
      <c r="BT1026" s="218"/>
      <c r="BU1026" s="218"/>
      <c r="BV1026" s="220"/>
    </row>
    <row r="1027" spans="1:74" x14ac:dyDescent="0.8">
      <c r="A1027" s="64"/>
      <c r="B1027" s="57"/>
      <c r="C1027" s="62"/>
      <c r="F1027" s="70"/>
      <c r="G1027" s="86"/>
      <c r="H1027" s="70"/>
      <c r="I1027" s="86"/>
      <c r="J1027" s="70"/>
      <c r="K1027" s="86"/>
      <c r="N1027" s="83"/>
      <c r="O1027" s="83"/>
      <c r="P1027" s="83"/>
      <c r="Q1027" s="86"/>
      <c r="R1027" s="83"/>
      <c r="S1027" s="83"/>
      <c r="T1027" s="70"/>
      <c r="U1027" s="86"/>
      <c r="V1027" s="70"/>
      <c r="W1027" s="86"/>
      <c r="X1027" s="126"/>
      <c r="Y1027" s="208"/>
      <c r="Z1027" s="126"/>
      <c r="AA1027" s="208"/>
      <c r="AB1027" s="126"/>
      <c r="AC1027" s="208"/>
      <c r="AD1027" s="209"/>
      <c r="AE1027" s="210"/>
      <c r="AF1027" s="209"/>
      <c r="AG1027" s="210"/>
      <c r="AH1027" s="209"/>
      <c r="AI1027" s="210"/>
      <c r="AJ1027" s="209"/>
      <c r="AK1027" s="210"/>
      <c r="AL1027" s="209"/>
      <c r="AM1027" s="211"/>
      <c r="AN1027" s="209"/>
      <c r="AO1027" s="212"/>
      <c r="AP1027" s="213"/>
      <c r="AQ1027" s="213"/>
      <c r="AR1027" s="209"/>
      <c r="AS1027" s="301"/>
      <c r="AT1027" s="301"/>
      <c r="AU1027" s="209"/>
      <c r="AV1027" s="301"/>
      <c r="AW1027" s="210"/>
      <c r="AX1027" s="301"/>
      <c r="AY1027" s="214"/>
      <c r="AZ1027" s="211"/>
      <c r="BA1027" s="212"/>
      <c r="BB1027" s="212"/>
      <c r="BC1027" s="213"/>
      <c r="BD1027" s="209"/>
      <c r="BE1027" s="301"/>
      <c r="BF1027" s="301"/>
      <c r="BG1027" s="209"/>
      <c r="BH1027" s="301"/>
      <c r="BI1027" s="210"/>
      <c r="BJ1027" s="214"/>
      <c r="BK1027" s="212"/>
      <c r="BL1027" s="215"/>
      <c r="BM1027" s="216"/>
      <c r="BN1027" s="215"/>
      <c r="BO1027" s="215"/>
      <c r="BP1027" s="217"/>
      <c r="BQ1027" s="218"/>
      <c r="BR1027" s="219"/>
      <c r="BS1027" s="218"/>
      <c r="BT1027" s="218"/>
      <c r="BU1027" s="218"/>
      <c r="BV1027" s="220"/>
    </row>
    <row r="1028" spans="1:74" x14ac:dyDescent="0.8">
      <c r="A1028" s="64"/>
      <c r="B1028" s="57"/>
      <c r="C1028" s="62"/>
      <c r="F1028" s="70"/>
      <c r="G1028" s="86"/>
      <c r="H1028" s="70"/>
      <c r="I1028" s="86"/>
      <c r="J1028" s="70"/>
      <c r="K1028" s="86"/>
      <c r="N1028" s="83"/>
      <c r="O1028" s="83"/>
      <c r="P1028" s="83"/>
      <c r="Q1028" s="86"/>
      <c r="R1028" s="83"/>
      <c r="S1028" s="83"/>
      <c r="T1028" s="70"/>
      <c r="U1028" s="86"/>
      <c r="V1028" s="70"/>
      <c r="W1028" s="86"/>
      <c r="X1028" s="126"/>
      <c r="Y1028" s="208"/>
      <c r="Z1028" s="126"/>
      <c r="AA1028" s="208"/>
      <c r="AB1028" s="126"/>
      <c r="AC1028" s="208"/>
      <c r="AD1028" s="209"/>
      <c r="AE1028" s="210"/>
      <c r="AF1028" s="209"/>
      <c r="AG1028" s="210"/>
      <c r="AH1028" s="209"/>
      <c r="AI1028" s="210"/>
      <c r="AJ1028" s="209"/>
      <c r="AK1028" s="210"/>
      <c r="AL1028" s="209"/>
      <c r="AM1028" s="211"/>
      <c r="AN1028" s="209"/>
      <c r="AO1028" s="212"/>
      <c r="AP1028" s="213"/>
      <c r="AQ1028" s="213"/>
      <c r="AR1028" s="209"/>
      <c r="AS1028" s="301"/>
      <c r="AT1028" s="301"/>
      <c r="AU1028" s="209"/>
      <c r="AV1028" s="301"/>
      <c r="AW1028" s="210"/>
      <c r="AX1028" s="301"/>
      <c r="AY1028" s="214"/>
      <c r="AZ1028" s="211"/>
      <c r="BA1028" s="212"/>
      <c r="BB1028" s="212"/>
      <c r="BC1028" s="213"/>
      <c r="BD1028" s="209"/>
      <c r="BE1028" s="301"/>
      <c r="BF1028" s="301"/>
      <c r="BG1028" s="209"/>
      <c r="BH1028" s="301"/>
      <c r="BI1028" s="210"/>
      <c r="BJ1028" s="214"/>
      <c r="BK1028" s="212"/>
      <c r="BL1028" s="215"/>
      <c r="BM1028" s="216"/>
      <c r="BN1028" s="215"/>
      <c r="BO1028" s="215"/>
      <c r="BP1028" s="217"/>
      <c r="BQ1028" s="218"/>
      <c r="BR1028" s="219"/>
      <c r="BS1028" s="218"/>
      <c r="BT1028" s="218"/>
      <c r="BU1028" s="218"/>
      <c r="BV1028" s="220"/>
    </row>
    <row r="1029" spans="1:74" x14ac:dyDescent="0.8">
      <c r="A1029" s="64"/>
      <c r="B1029" s="57"/>
      <c r="C1029" s="62"/>
      <c r="F1029" s="70"/>
      <c r="G1029" s="86"/>
      <c r="H1029" s="70"/>
      <c r="I1029" s="86"/>
      <c r="J1029" s="70"/>
      <c r="K1029" s="86"/>
      <c r="N1029" s="83"/>
      <c r="O1029" s="83"/>
      <c r="P1029" s="83"/>
      <c r="Q1029" s="86"/>
      <c r="R1029" s="83"/>
      <c r="S1029" s="83"/>
      <c r="T1029" s="70"/>
      <c r="U1029" s="86"/>
      <c r="V1029" s="70"/>
      <c r="W1029" s="86"/>
      <c r="X1029" s="126"/>
      <c r="Y1029" s="208"/>
      <c r="Z1029" s="126"/>
      <c r="AA1029" s="208"/>
      <c r="AB1029" s="126"/>
      <c r="AC1029" s="208"/>
      <c r="AD1029" s="209"/>
      <c r="AE1029" s="210"/>
      <c r="AF1029" s="209"/>
      <c r="AG1029" s="210"/>
      <c r="AH1029" s="209"/>
      <c r="AI1029" s="210"/>
      <c r="AJ1029" s="209"/>
      <c r="AK1029" s="210"/>
      <c r="AL1029" s="209"/>
      <c r="AM1029" s="211"/>
      <c r="AN1029" s="209"/>
      <c r="AO1029" s="212"/>
      <c r="AP1029" s="213"/>
      <c r="AQ1029" s="213"/>
      <c r="AR1029" s="209"/>
      <c r="AS1029" s="301"/>
      <c r="AT1029" s="301"/>
      <c r="AU1029" s="209"/>
      <c r="AV1029" s="301"/>
      <c r="AW1029" s="210"/>
      <c r="AX1029" s="301"/>
      <c r="AY1029" s="214"/>
      <c r="AZ1029" s="211"/>
      <c r="BA1029" s="212"/>
      <c r="BB1029" s="212"/>
      <c r="BC1029" s="213"/>
      <c r="BD1029" s="209"/>
      <c r="BE1029" s="301"/>
      <c r="BF1029" s="301"/>
      <c r="BG1029" s="209"/>
      <c r="BH1029" s="301"/>
      <c r="BI1029" s="210"/>
      <c r="BJ1029" s="214"/>
      <c r="BK1029" s="212"/>
      <c r="BL1029" s="215"/>
      <c r="BM1029" s="216"/>
      <c r="BN1029" s="215"/>
      <c r="BO1029" s="215"/>
      <c r="BP1029" s="217"/>
      <c r="BQ1029" s="218"/>
      <c r="BR1029" s="219"/>
      <c r="BS1029" s="218"/>
      <c r="BT1029" s="218"/>
      <c r="BU1029" s="218"/>
      <c r="BV1029" s="220"/>
    </row>
    <row r="1030" spans="1:74" x14ac:dyDescent="0.8">
      <c r="A1030" s="64"/>
      <c r="B1030" s="57"/>
      <c r="C1030" s="62"/>
      <c r="F1030" s="70"/>
      <c r="G1030" s="86"/>
      <c r="H1030" s="70"/>
      <c r="I1030" s="86"/>
      <c r="J1030" s="70"/>
      <c r="K1030" s="86"/>
      <c r="N1030" s="83"/>
      <c r="O1030" s="83"/>
      <c r="P1030" s="83"/>
      <c r="Q1030" s="86"/>
      <c r="R1030" s="83"/>
      <c r="S1030" s="83"/>
      <c r="T1030" s="70"/>
      <c r="U1030" s="86"/>
      <c r="V1030" s="70"/>
      <c r="W1030" s="86"/>
      <c r="X1030" s="126"/>
      <c r="Y1030" s="208"/>
      <c r="Z1030" s="126"/>
      <c r="AA1030" s="208"/>
      <c r="AB1030" s="126"/>
      <c r="AC1030" s="208"/>
      <c r="AD1030" s="209"/>
      <c r="AE1030" s="210"/>
      <c r="AF1030" s="209"/>
      <c r="AG1030" s="210"/>
      <c r="AH1030" s="209"/>
      <c r="AI1030" s="210"/>
      <c r="AJ1030" s="209"/>
      <c r="AK1030" s="210"/>
      <c r="AL1030" s="209"/>
      <c r="AM1030" s="211"/>
      <c r="AN1030" s="209"/>
      <c r="AO1030" s="212"/>
      <c r="AP1030" s="213"/>
      <c r="AQ1030" s="213"/>
      <c r="AR1030" s="209"/>
      <c r="AS1030" s="301"/>
      <c r="AT1030" s="301"/>
      <c r="AU1030" s="209"/>
      <c r="AV1030" s="301"/>
      <c r="AW1030" s="210"/>
      <c r="AX1030" s="301"/>
      <c r="AY1030" s="214"/>
      <c r="AZ1030" s="211"/>
      <c r="BA1030" s="212"/>
      <c r="BB1030" s="212"/>
      <c r="BC1030" s="213"/>
      <c r="BD1030" s="209"/>
      <c r="BE1030" s="301"/>
      <c r="BF1030" s="301"/>
      <c r="BG1030" s="209"/>
      <c r="BH1030" s="301"/>
      <c r="BI1030" s="210"/>
      <c r="BJ1030" s="214"/>
      <c r="BK1030" s="212"/>
      <c r="BL1030" s="215"/>
      <c r="BM1030" s="216"/>
      <c r="BN1030" s="215"/>
      <c r="BO1030" s="215"/>
      <c r="BP1030" s="217"/>
      <c r="BQ1030" s="218"/>
      <c r="BR1030" s="219"/>
      <c r="BS1030" s="218"/>
      <c r="BT1030" s="218"/>
      <c r="BU1030" s="218"/>
      <c r="BV1030" s="220"/>
    </row>
    <row r="1031" spans="1:74" x14ac:dyDescent="0.8">
      <c r="A1031" s="64"/>
      <c r="B1031" s="57"/>
      <c r="C1031" s="62"/>
      <c r="F1031" s="70"/>
      <c r="G1031" s="86"/>
      <c r="H1031" s="70"/>
      <c r="I1031" s="86"/>
      <c r="J1031" s="70"/>
      <c r="K1031" s="86"/>
      <c r="N1031" s="83"/>
      <c r="O1031" s="83"/>
      <c r="P1031" s="83"/>
      <c r="Q1031" s="86"/>
      <c r="R1031" s="83"/>
      <c r="S1031" s="83"/>
      <c r="T1031" s="70"/>
      <c r="U1031" s="86"/>
      <c r="V1031" s="70"/>
      <c r="W1031" s="86"/>
      <c r="X1031" s="126"/>
      <c r="Y1031" s="208"/>
      <c r="Z1031" s="126"/>
      <c r="AA1031" s="208"/>
      <c r="AB1031" s="126"/>
      <c r="AC1031" s="208"/>
      <c r="AD1031" s="209"/>
      <c r="AE1031" s="210"/>
      <c r="AF1031" s="209"/>
      <c r="AG1031" s="210"/>
      <c r="AH1031" s="209"/>
      <c r="AI1031" s="210"/>
      <c r="AJ1031" s="209"/>
      <c r="AK1031" s="210"/>
      <c r="AL1031" s="209"/>
      <c r="AM1031" s="211"/>
      <c r="AN1031" s="209"/>
      <c r="AO1031" s="212"/>
      <c r="AP1031" s="213"/>
      <c r="AQ1031" s="213"/>
      <c r="AR1031" s="209"/>
      <c r="AS1031" s="301"/>
      <c r="AT1031" s="301"/>
      <c r="AU1031" s="209"/>
      <c r="AV1031" s="301"/>
      <c r="AW1031" s="210"/>
      <c r="AX1031" s="301"/>
      <c r="AY1031" s="214"/>
      <c r="AZ1031" s="211"/>
      <c r="BA1031" s="212"/>
      <c r="BB1031" s="212"/>
      <c r="BC1031" s="213"/>
      <c r="BD1031" s="209"/>
      <c r="BE1031" s="301"/>
      <c r="BF1031" s="301"/>
      <c r="BG1031" s="209"/>
      <c r="BH1031" s="301"/>
      <c r="BI1031" s="210"/>
      <c r="BJ1031" s="214"/>
      <c r="BK1031" s="212"/>
      <c r="BL1031" s="215"/>
      <c r="BM1031" s="216"/>
      <c r="BN1031" s="215"/>
      <c r="BO1031" s="215"/>
      <c r="BP1031" s="217"/>
      <c r="BQ1031" s="218"/>
      <c r="BR1031" s="219"/>
      <c r="BS1031" s="218"/>
      <c r="BT1031" s="218"/>
      <c r="BU1031" s="218"/>
      <c r="BV1031" s="220"/>
    </row>
    <row r="1032" spans="1:74" x14ac:dyDescent="0.8">
      <c r="A1032" s="64"/>
      <c r="B1032" s="57"/>
      <c r="C1032" s="62"/>
      <c r="F1032" s="70"/>
      <c r="G1032" s="86"/>
      <c r="H1032" s="70"/>
      <c r="I1032" s="86"/>
      <c r="J1032" s="70"/>
      <c r="K1032" s="86"/>
      <c r="N1032" s="83"/>
      <c r="O1032" s="83"/>
      <c r="P1032" s="83"/>
      <c r="Q1032" s="86"/>
      <c r="R1032" s="83"/>
      <c r="S1032" s="83"/>
      <c r="T1032" s="70"/>
      <c r="U1032" s="86"/>
      <c r="V1032" s="70"/>
      <c r="W1032" s="86"/>
      <c r="X1032" s="126"/>
      <c r="Y1032" s="208"/>
      <c r="Z1032" s="126"/>
      <c r="AA1032" s="208"/>
      <c r="AB1032" s="126"/>
      <c r="AC1032" s="208"/>
      <c r="AD1032" s="209"/>
      <c r="AE1032" s="210"/>
      <c r="AF1032" s="209"/>
      <c r="AG1032" s="210"/>
      <c r="AH1032" s="209"/>
      <c r="AI1032" s="210"/>
      <c r="AJ1032" s="209"/>
      <c r="AK1032" s="210"/>
      <c r="AL1032" s="209"/>
      <c r="AM1032" s="211"/>
      <c r="AN1032" s="209"/>
      <c r="AO1032" s="212"/>
      <c r="AP1032" s="213"/>
      <c r="AQ1032" s="213"/>
      <c r="AR1032" s="209"/>
      <c r="AS1032" s="301"/>
      <c r="AT1032" s="301"/>
      <c r="AU1032" s="209"/>
      <c r="AV1032" s="301"/>
      <c r="AW1032" s="210"/>
      <c r="AX1032" s="301"/>
      <c r="AY1032" s="214"/>
      <c r="AZ1032" s="211"/>
      <c r="BA1032" s="212"/>
      <c r="BB1032" s="212"/>
      <c r="BC1032" s="213"/>
      <c r="BD1032" s="209"/>
      <c r="BE1032" s="301"/>
      <c r="BF1032" s="301"/>
      <c r="BG1032" s="209"/>
      <c r="BH1032" s="301"/>
      <c r="BI1032" s="210"/>
      <c r="BJ1032" s="214"/>
      <c r="BK1032" s="212"/>
      <c r="BL1032" s="215"/>
      <c r="BM1032" s="216"/>
      <c r="BN1032" s="215"/>
      <c r="BO1032" s="215"/>
      <c r="BP1032" s="217"/>
      <c r="BQ1032" s="218"/>
      <c r="BR1032" s="219"/>
      <c r="BS1032" s="218"/>
      <c r="BT1032" s="218"/>
      <c r="BU1032" s="218"/>
      <c r="BV1032" s="220"/>
    </row>
    <row r="1033" spans="1:74" x14ac:dyDescent="0.8">
      <c r="A1033" s="64"/>
      <c r="B1033" s="57"/>
      <c r="C1033" s="62"/>
      <c r="F1033" s="70"/>
      <c r="G1033" s="86"/>
      <c r="H1033" s="70"/>
      <c r="I1033" s="86"/>
      <c r="J1033" s="70"/>
      <c r="K1033" s="86"/>
      <c r="N1033" s="83"/>
      <c r="O1033" s="83"/>
      <c r="P1033" s="83"/>
      <c r="Q1033" s="86"/>
      <c r="R1033" s="83"/>
      <c r="S1033" s="83"/>
      <c r="T1033" s="70"/>
      <c r="U1033" s="86"/>
      <c r="V1033" s="70"/>
      <c r="W1033" s="86"/>
      <c r="X1033" s="126"/>
      <c r="Y1033" s="208"/>
      <c r="Z1033" s="126"/>
      <c r="AA1033" s="208"/>
      <c r="AB1033" s="126"/>
      <c r="AC1033" s="208"/>
      <c r="AD1033" s="209"/>
      <c r="AE1033" s="210"/>
      <c r="AF1033" s="209"/>
      <c r="AG1033" s="210"/>
      <c r="AH1033" s="209"/>
      <c r="AI1033" s="210"/>
      <c r="AJ1033" s="209"/>
      <c r="AK1033" s="210"/>
      <c r="AL1033" s="209"/>
      <c r="AM1033" s="211"/>
      <c r="AN1033" s="209"/>
      <c r="AO1033" s="212"/>
      <c r="AP1033" s="213"/>
      <c r="AQ1033" s="213"/>
      <c r="AR1033" s="209"/>
      <c r="AS1033" s="301"/>
      <c r="AT1033" s="301"/>
      <c r="AU1033" s="209"/>
      <c r="AV1033" s="301"/>
      <c r="AW1033" s="210"/>
      <c r="AX1033" s="301"/>
      <c r="AY1033" s="214"/>
      <c r="AZ1033" s="211"/>
      <c r="BA1033" s="212"/>
      <c r="BB1033" s="212"/>
      <c r="BC1033" s="213"/>
      <c r="BD1033" s="209"/>
      <c r="BE1033" s="301"/>
      <c r="BF1033" s="301"/>
      <c r="BG1033" s="209"/>
      <c r="BH1033" s="301"/>
      <c r="BI1033" s="210"/>
      <c r="BJ1033" s="214"/>
      <c r="BK1033" s="212"/>
      <c r="BL1033" s="215"/>
      <c r="BM1033" s="216"/>
      <c r="BN1033" s="215"/>
      <c r="BO1033" s="215"/>
      <c r="BP1033" s="217"/>
      <c r="BQ1033" s="218"/>
      <c r="BR1033" s="219"/>
      <c r="BS1033" s="218"/>
      <c r="BT1033" s="218"/>
      <c r="BU1033" s="218"/>
      <c r="BV1033" s="220"/>
    </row>
    <row r="1034" spans="1:74" x14ac:dyDescent="0.8">
      <c r="A1034" s="64"/>
      <c r="B1034" s="57"/>
      <c r="C1034" s="62"/>
      <c r="F1034" s="70"/>
      <c r="G1034" s="86"/>
      <c r="H1034" s="70"/>
      <c r="I1034" s="86"/>
      <c r="J1034" s="70"/>
      <c r="K1034" s="86"/>
      <c r="N1034" s="83"/>
      <c r="O1034" s="83"/>
      <c r="P1034" s="83"/>
      <c r="Q1034" s="86"/>
      <c r="R1034" s="83"/>
      <c r="S1034" s="83"/>
      <c r="T1034" s="70"/>
      <c r="U1034" s="86"/>
      <c r="V1034" s="70"/>
      <c r="W1034" s="86"/>
      <c r="X1034" s="126"/>
      <c r="Y1034" s="208"/>
      <c r="Z1034" s="126"/>
      <c r="AA1034" s="208"/>
      <c r="AB1034" s="126"/>
      <c r="AC1034" s="208"/>
      <c r="AD1034" s="209"/>
      <c r="AE1034" s="210"/>
      <c r="AF1034" s="209"/>
      <c r="AG1034" s="210"/>
      <c r="AH1034" s="209"/>
      <c r="AI1034" s="210"/>
      <c r="AJ1034" s="209"/>
      <c r="AK1034" s="210"/>
      <c r="AL1034" s="209"/>
      <c r="AM1034" s="211"/>
      <c r="AN1034" s="209"/>
      <c r="AO1034" s="212"/>
      <c r="AP1034" s="213"/>
      <c r="AQ1034" s="213"/>
      <c r="AR1034" s="209"/>
      <c r="AS1034" s="301"/>
      <c r="AT1034" s="301"/>
      <c r="AU1034" s="209"/>
      <c r="AV1034" s="301"/>
      <c r="AW1034" s="210"/>
      <c r="AX1034" s="301"/>
      <c r="AY1034" s="214"/>
      <c r="AZ1034" s="211"/>
      <c r="BA1034" s="212"/>
      <c r="BB1034" s="212"/>
      <c r="BC1034" s="213"/>
      <c r="BD1034" s="209"/>
      <c r="BE1034" s="301"/>
      <c r="BF1034" s="301"/>
      <c r="BG1034" s="209"/>
      <c r="BH1034" s="301"/>
      <c r="BI1034" s="210"/>
      <c r="BJ1034" s="214"/>
      <c r="BK1034" s="212"/>
      <c r="BL1034" s="215"/>
      <c r="BM1034" s="216"/>
      <c r="BN1034" s="215"/>
      <c r="BO1034" s="215"/>
      <c r="BP1034" s="217"/>
      <c r="BQ1034" s="218"/>
      <c r="BR1034" s="219"/>
      <c r="BS1034" s="218"/>
      <c r="BT1034" s="218"/>
      <c r="BU1034" s="218"/>
      <c r="BV1034" s="220"/>
    </row>
    <row r="1035" spans="1:74" x14ac:dyDescent="0.8">
      <c r="A1035" s="64"/>
      <c r="B1035" s="57"/>
      <c r="C1035" s="62"/>
      <c r="F1035" s="70"/>
      <c r="G1035" s="86"/>
      <c r="H1035" s="70"/>
      <c r="I1035" s="86"/>
      <c r="J1035" s="70"/>
      <c r="K1035" s="86"/>
      <c r="N1035" s="83"/>
      <c r="O1035" s="83"/>
      <c r="P1035" s="83"/>
      <c r="Q1035" s="86"/>
      <c r="R1035" s="83"/>
      <c r="S1035" s="83"/>
      <c r="T1035" s="70"/>
      <c r="U1035" s="86"/>
      <c r="V1035" s="70"/>
      <c r="W1035" s="86"/>
      <c r="X1035" s="126"/>
      <c r="Y1035" s="208"/>
      <c r="Z1035" s="126"/>
      <c r="AA1035" s="208"/>
      <c r="AB1035" s="126"/>
      <c r="AC1035" s="208"/>
      <c r="AD1035" s="209"/>
      <c r="AE1035" s="210"/>
      <c r="AF1035" s="209"/>
      <c r="AG1035" s="210"/>
      <c r="AH1035" s="209"/>
      <c r="AI1035" s="210"/>
      <c r="AJ1035" s="209"/>
      <c r="AK1035" s="210"/>
      <c r="AL1035" s="209"/>
      <c r="AM1035" s="211"/>
      <c r="AN1035" s="209"/>
      <c r="AO1035" s="212"/>
      <c r="AP1035" s="213"/>
      <c r="AQ1035" s="213"/>
      <c r="AR1035" s="209"/>
      <c r="AS1035" s="301"/>
      <c r="AT1035" s="301"/>
      <c r="AU1035" s="209"/>
      <c r="AV1035" s="301"/>
      <c r="AW1035" s="210"/>
      <c r="AX1035" s="301"/>
      <c r="AY1035" s="214"/>
      <c r="AZ1035" s="211"/>
      <c r="BA1035" s="212"/>
      <c r="BB1035" s="212"/>
      <c r="BC1035" s="213"/>
      <c r="BD1035" s="209"/>
      <c r="BE1035" s="301"/>
      <c r="BF1035" s="301"/>
      <c r="BG1035" s="209"/>
      <c r="BH1035" s="301"/>
      <c r="BI1035" s="210"/>
      <c r="BJ1035" s="214"/>
      <c r="BK1035" s="212"/>
      <c r="BL1035" s="215"/>
      <c r="BM1035" s="216"/>
      <c r="BN1035" s="215"/>
      <c r="BO1035" s="215"/>
      <c r="BP1035" s="217"/>
      <c r="BQ1035" s="218"/>
      <c r="BR1035" s="219"/>
      <c r="BS1035" s="218"/>
      <c r="BT1035" s="218"/>
      <c r="BU1035" s="218"/>
      <c r="BV1035" s="220"/>
    </row>
    <row r="1036" spans="1:74" x14ac:dyDescent="0.8">
      <c r="A1036" s="64"/>
      <c r="B1036" s="57"/>
      <c r="C1036" s="62"/>
      <c r="F1036" s="70"/>
      <c r="G1036" s="86"/>
      <c r="H1036" s="70"/>
      <c r="I1036" s="86"/>
      <c r="J1036" s="70"/>
      <c r="K1036" s="86"/>
      <c r="N1036" s="83"/>
      <c r="O1036" s="83"/>
      <c r="P1036" s="83"/>
      <c r="Q1036" s="86"/>
      <c r="R1036" s="83"/>
      <c r="S1036" s="83"/>
      <c r="T1036" s="70"/>
      <c r="U1036" s="86"/>
      <c r="V1036" s="70"/>
      <c r="W1036" s="86"/>
      <c r="X1036" s="126"/>
      <c r="Y1036" s="208"/>
      <c r="Z1036" s="126"/>
      <c r="AA1036" s="208"/>
      <c r="AB1036" s="126"/>
      <c r="AC1036" s="208"/>
      <c r="AD1036" s="209"/>
      <c r="AE1036" s="210"/>
      <c r="AF1036" s="209"/>
      <c r="AG1036" s="210"/>
      <c r="AH1036" s="209"/>
      <c r="AI1036" s="210"/>
      <c r="AJ1036" s="209"/>
      <c r="AK1036" s="210"/>
      <c r="AL1036" s="209"/>
      <c r="AM1036" s="211"/>
      <c r="AN1036" s="209"/>
      <c r="AO1036" s="212"/>
      <c r="AP1036" s="213"/>
      <c r="AQ1036" s="213"/>
      <c r="AR1036" s="209"/>
      <c r="AS1036" s="301"/>
      <c r="AT1036" s="301"/>
      <c r="AU1036" s="209"/>
      <c r="AV1036" s="301"/>
      <c r="AW1036" s="210"/>
      <c r="AX1036" s="301"/>
      <c r="AY1036" s="214"/>
      <c r="AZ1036" s="211"/>
      <c r="BA1036" s="212"/>
      <c r="BB1036" s="212"/>
      <c r="BC1036" s="213"/>
      <c r="BD1036" s="209"/>
      <c r="BE1036" s="301"/>
      <c r="BF1036" s="301"/>
      <c r="BG1036" s="209"/>
      <c r="BH1036" s="301"/>
      <c r="BI1036" s="210"/>
      <c r="BJ1036" s="214"/>
      <c r="BK1036" s="212"/>
      <c r="BL1036" s="215"/>
      <c r="BM1036" s="216"/>
      <c r="BN1036" s="215"/>
      <c r="BO1036" s="215"/>
      <c r="BP1036" s="217"/>
      <c r="BQ1036" s="218"/>
      <c r="BR1036" s="219"/>
      <c r="BS1036" s="218"/>
      <c r="BT1036" s="218"/>
      <c r="BU1036" s="218"/>
      <c r="BV1036" s="220"/>
    </row>
    <row r="1037" spans="1:74" x14ac:dyDescent="0.8">
      <c r="A1037" s="64"/>
      <c r="B1037" s="57"/>
      <c r="C1037" s="62"/>
      <c r="F1037" s="70"/>
      <c r="G1037" s="86"/>
      <c r="H1037" s="70"/>
      <c r="I1037" s="86"/>
      <c r="J1037" s="70"/>
      <c r="K1037" s="86"/>
      <c r="N1037" s="83"/>
      <c r="O1037" s="83"/>
      <c r="P1037" s="83"/>
      <c r="Q1037" s="86"/>
      <c r="R1037" s="83"/>
      <c r="S1037" s="83"/>
      <c r="T1037" s="70"/>
      <c r="U1037" s="86"/>
      <c r="V1037" s="70"/>
      <c r="W1037" s="86"/>
      <c r="X1037" s="126"/>
      <c r="Y1037" s="208"/>
      <c r="Z1037" s="126"/>
      <c r="AA1037" s="208"/>
      <c r="AB1037" s="126"/>
      <c r="AC1037" s="208"/>
      <c r="AD1037" s="209"/>
      <c r="AE1037" s="210"/>
      <c r="AF1037" s="209"/>
      <c r="AG1037" s="210"/>
      <c r="AH1037" s="209"/>
      <c r="AI1037" s="210"/>
      <c r="AJ1037" s="209"/>
      <c r="AK1037" s="210"/>
      <c r="AL1037" s="209"/>
      <c r="AM1037" s="211"/>
      <c r="AN1037" s="209"/>
      <c r="AO1037" s="212"/>
      <c r="AP1037" s="213"/>
      <c r="AQ1037" s="213"/>
      <c r="AR1037" s="209"/>
      <c r="AS1037" s="301"/>
      <c r="AT1037" s="301"/>
      <c r="AU1037" s="209"/>
      <c r="AV1037" s="301"/>
      <c r="AW1037" s="210"/>
      <c r="AX1037" s="301"/>
      <c r="AY1037" s="214"/>
      <c r="AZ1037" s="211"/>
      <c r="BA1037" s="212"/>
      <c r="BB1037" s="212"/>
      <c r="BC1037" s="213"/>
      <c r="BD1037" s="209"/>
      <c r="BE1037" s="301"/>
      <c r="BF1037" s="301"/>
      <c r="BG1037" s="209"/>
      <c r="BH1037" s="301"/>
      <c r="BI1037" s="210"/>
      <c r="BJ1037" s="214"/>
      <c r="BK1037" s="212"/>
      <c r="BL1037" s="215"/>
      <c r="BM1037" s="216"/>
      <c r="BN1037" s="215"/>
      <c r="BO1037" s="215"/>
      <c r="BP1037" s="217"/>
      <c r="BQ1037" s="218"/>
      <c r="BR1037" s="219"/>
      <c r="BS1037" s="218"/>
      <c r="BT1037" s="218"/>
      <c r="BU1037" s="218"/>
      <c r="BV1037" s="220"/>
    </row>
    <row r="1038" spans="1:74" x14ac:dyDescent="0.8">
      <c r="A1038" s="64"/>
      <c r="B1038" s="57"/>
      <c r="C1038" s="62"/>
      <c r="F1038" s="70"/>
      <c r="G1038" s="86"/>
      <c r="H1038" s="70"/>
      <c r="I1038" s="86"/>
      <c r="J1038" s="70"/>
      <c r="K1038" s="86"/>
      <c r="N1038" s="83"/>
      <c r="O1038" s="83"/>
      <c r="P1038" s="83"/>
      <c r="Q1038" s="86"/>
      <c r="R1038" s="83"/>
      <c r="S1038" s="83"/>
      <c r="T1038" s="70"/>
      <c r="U1038" s="86"/>
      <c r="V1038" s="70"/>
      <c r="W1038" s="86"/>
      <c r="X1038" s="126"/>
      <c r="Y1038" s="208"/>
      <c r="Z1038" s="126"/>
      <c r="AA1038" s="208"/>
      <c r="AB1038" s="126"/>
      <c r="AC1038" s="208"/>
      <c r="AD1038" s="209"/>
      <c r="AE1038" s="210"/>
      <c r="AF1038" s="209"/>
      <c r="AG1038" s="210"/>
      <c r="AH1038" s="209"/>
      <c r="AI1038" s="210"/>
      <c r="AJ1038" s="209"/>
      <c r="AK1038" s="210"/>
      <c r="AL1038" s="209"/>
      <c r="AM1038" s="211"/>
      <c r="AN1038" s="209"/>
      <c r="AO1038" s="212"/>
      <c r="AP1038" s="213"/>
      <c r="AQ1038" s="213"/>
      <c r="AR1038" s="209"/>
      <c r="AS1038" s="301"/>
      <c r="AT1038" s="301"/>
      <c r="AU1038" s="209"/>
      <c r="AV1038" s="301"/>
      <c r="AW1038" s="210"/>
      <c r="AX1038" s="301"/>
      <c r="AY1038" s="214"/>
      <c r="AZ1038" s="211"/>
      <c r="BA1038" s="212"/>
      <c r="BB1038" s="212"/>
      <c r="BC1038" s="213"/>
      <c r="BD1038" s="209"/>
      <c r="BE1038" s="301"/>
      <c r="BF1038" s="301"/>
      <c r="BG1038" s="209"/>
      <c r="BH1038" s="301"/>
      <c r="BI1038" s="210"/>
      <c r="BJ1038" s="214"/>
      <c r="BK1038" s="212"/>
      <c r="BL1038" s="215"/>
      <c r="BM1038" s="216"/>
      <c r="BN1038" s="215"/>
      <c r="BO1038" s="215"/>
      <c r="BP1038" s="217"/>
      <c r="BQ1038" s="218"/>
      <c r="BR1038" s="219"/>
      <c r="BS1038" s="218"/>
      <c r="BT1038" s="218"/>
      <c r="BU1038" s="218"/>
      <c r="BV1038" s="220"/>
    </row>
    <row r="1039" spans="1:74" x14ac:dyDescent="0.8">
      <c r="A1039" s="64"/>
      <c r="B1039" s="57"/>
      <c r="C1039" s="62"/>
      <c r="F1039" s="70"/>
      <c r="G1039" s="86"/>
      <c r="H1039" s="70"/>
      <c r="I1039" s="86"/>
      <c r="J1039" s="70"/>
      <c r="K1039" s="86"/>
      <c r="N1039" s="83"/>
      <c r="O1039" s="83"/>
      <c r="P1039" s="83"/>
      <c r="Q1039" s="86"/>
      <c r="R1039" s="83"/>
      <c r="S1039" s="83"/>
      <c r="T1039" s="70"/>
      <c r="U1039" s="86"/>
      <c r="V1039" s="70"/>
      <c r="W1039" s="86"/>
      <c r="X1039" s="126"/>
      <c r="Y1039" s="208"/>
      <c r="Z1039" s="126"/>
      <c r="AA1039" s="208"/>
      <c r="AB1039" s="126"/>
      <c r="AC1039" s="208"/>
      <c r="AD1039" s="209"/>
      <c r="AE1039" s="210"/>
      <c r="AF1039" s="209"/>
      <c r="AG1039" s="210"/>
      <c r="AH1039" s="209"/>
      <c r="AI1039" s="210"/>
      <c r="AJ1039" s="209"/>
      <c r="AK1039" s="210"/>
      <c r="AL1039" s="209"/>
      <c r="AM1039" s="211"/>
      <c r="AN1039" s="209"/>
      <c r="AO1039" s="212"/>
      <c r="AP1039" s="213"/>
      <c r="AQ1039" s="213"/>
      <c r="AR1039" s="209"/>
      <c r="AS1039" s="301"/>
      <c r="AT1039" s="301"/>
      <c r="AU1039" s="209"/>
      <c r="AV1039" s="301"/>
      <c r="AW1039" s="210"/>
      <c r="AX1039" s="301"/>
      <c r="AY1039" s="214"/>
      <c r="AZ1039" s="211"/>
      <c r="BA1039" s="212"/>
      <c r="BB1039" s="212"/>
      <c r="BC1039" s="213"/>
      <c r="BD1039" s="209"/>
      <c r="BE1039" s="301"/>
      <c r="BF1039" s="301"/>
      <c r="BG1039" s="209"/>
      <c r="BH1039" s="301"/>
      <c r="BI1039" s="210"/>
      <c r="BJ1039" s="214"/>
      <c r="BK1039" s="212"/>
      <c r="BL1039" s="215"/>
      <c r="BM1039" s="216"/>
      <c r="BN1039" s="215"/>
      <c r="BO1039" s="215"/>
      <c r="BP1039" s="217"/>
      <c r="BQ1039" s="218"/>
      <c r="BR1039" s="219"/>
      <c r="BS1039" s="218"/>
      <c r="BT1039" s="218"/>
      <c r="BU1039" s="218"/>
      <c r="BV1039" s="220"/>
    </row>
    <row r="1040" spans="1:74" x14ac:dyDescent="0.8">
      <c r="A1040" s="64"/>
      <c r="B1040" s="57"/>
      <c r="C1040" s="62"/>
      <c r="F1040" s="70"/>
      <c r="G1040" s="86"/>
      <c r="H1040" s="70"/>
      <c r="I1040" s="86"/>
      <c r="J1040" s="70"/>
      <c r="K1040" s="86"/>
      <c r="N1040" s="83"/>
      <c r="O1040" s="83"/>
      <c r="P1040" s="83"/>
      <c r="Q1040" s="86"/>
      <c r="R1040" s="83"/>
      <c r="S1040" s="83"/>
      <c r="T1040" s="70"/>
      <c r="U1040" s="86"/>
      <c r="V1040" s="70"/>
      <c r="W1040" s="86"/>
      <c r="X1040" s="126"/>
      <c r="Y1040" s="208"/>
      <c r="Z1040" s="126"/>
      <c r="AA1040" s="208"/>
      <c r="AB1040" s="126"/>
      <c r="AC1040" s="208"/>
      <c r="AD1040" s="209"/>
      <c r="AE1040" s="210"/>
      <c r="AF1040" s="209"/>
      <c r="AG1040" s="210"/>
      <c r="AH1040" s="209"/>
      <c r="AI1040" s="210"/>
      <c r="AJ1040" s="209"/>
      <c r="AK1040" s="210"/>
      <c r="AL1040" s="209"/>
      <c r="AM1040" s="211"/>
      <c r="AN1040" s="209"/>
      <c r="AO1040" s="212"/>
      <c r="AP1040" s="213"/>
      <c r="AQ1040" s="213"/>
      <c r="AR1040" s="209"/>
      <c r="AS1040" s="301"/>
      <c r="AT1040" s="301"/>
      <c r="AU1040" s="209"/>
      <c r="AV1040" s="301"/>
      <c r="AW1040" s="210"/>
      <c r="AX1040" s="301"/>
      <c r="AY1040" s="214"/>
      <c r="AZ1040" s="211"/>
      <c r="BA1040" s="212"/>
      <c r="BB1040" s="212"/>
      <c r="BC1040" s="213"/>
      <c r="BD1040" s="209"/>
      <c r="BE1040" s="301"/>
      <c r="BF1040" s="301"/>
      <c r="BG1040" s="209"/>
      <c r="BH1040" s="301"/>
      <c r="BI1040" s="210"/>
      <c r="BJ1040" s="214"/>
      <c r="BK1040" s="212"/>
      <c r="BL1040" s="215"/>
      <c r="BM1040" s="216"/>
      <c r="BN1040" s="215"/>
      <c r="BO1040" s="215"/>
      <c r="BP1040" s="217"/>
      <c r="BQ1040" s="218"/>
      <c r="BR1040" s="219"/>
      <c r="BS1040" s="218"/>
      <c r="BT1040" s="218"/>
      <c r="BU1040" s="218"/>
      <c r="BV1040" s="220"/>
    </row>
    <row r="1041" spans="1:74" x14ac:dyDescent="0.8">
      <c r="A1041" s="64"/>
      <c r="B1041" s="57"/>
      <c r="C1041" s="62"/>
      <c r="F1041" s="70"/>
      <c r="G1041" s="86"/>
      <c r="H1041" s="70"/>
      <c r="I1041" s="86"/>
      <c r="J1041" s="70"/>
      <c r="K1041" s="86"/>
      <c r="N1041" s="83"/>
      <c r="O1041" s="83"/>
      <c r="P1041" s="83"/>
      <c r="Q1041" s="86"/>
      <c r="R1041" s="83"/>
      <c r="S1041" s="83"/>
      <c r="T1041" s="70"/>
      <c r="U1041" s="86"/>
      <c r="V1041" s="70"/>
      <c r="W1041" s="86"/>
      <c r="X1041" s="126"/>
      <c r="Y1041" s="208"/>
      <c r="Z1041" s="126"/>
      <c r="AA1041" s="208"/>
      <c r="AB1041" s="126"/>
      <c r="AC1041" s="208"/>
      <c r="AD1041" s="209"/>
      <c r="AE1041" s="210"/>
      <c r="AF1041" s="209"/>
      <c r="AG1041" s="210"/>
      <c r="AH1041" s="209"/>
      <c r="AI1041" s="210"/>
      <c r="AJ1041" s="209"/>
      <c r="AK1041" s="210"/>
      <c r="AL1041" s="209"/>
      <c r="AM1041" s="211"/>
      <c r="AN1041" s="209"/>
      <c r="AO1041" s="212"/>
      <c r="AP1041" s="213"/>
      <c r="AQ1041" s="213"/>
      <c r="AR1041" s="209"/>
      <c r="AS1041" s="301"/>
      <c r="AT1041" s="301"/>
      <c r="AU1041" s="209"/>
      <c r="AV1041" s="301"/>
      <c r="AW1041" s="210"/>
      <c r="AX1041" s="301"/>
      <c r="AY1041" s="214"/>
      <c r="AZ1041" s="211"/>
      <c r="BA1041" s="212"/>
      <c r="BB1041" s="212"/>
      <c r="BC1041" s="213"/>
      <c r="BD1041" s="209"/>
      <c r="BE1041" s="301"/>
      <c r="BF1041" s="301"/>
      <c r="BG1041" s="209"/>
      <c r="BH1041" s="301"/>
      <c r="BI1041" s="210"/>
      <c r="BJ1041" s="214"/>
      <c r="BK1041" s="212"/>
      <c r="BL1041" s="215"/>
      <c r="BM1041" s="216"/>
      <c r="BN1041" s="215"/>
      <c r="BO1041" s="215"/>
      <c r="BP1041" s="217"/>
      <c r="BQ1041" s="218"/>
      <c r="BR1041" s="219"/>
      <c r="BS1041" s="218"/>
      <c r="BT1041" s="218"/>
      <c r="BU1041" s="218"/>
      <c r="BV1041" s="220"/>
    </row>
    <row r="1042" spans="1:74" x14ac:dyDescent="0.8">
      <c r="A1042" s="64"/>
      <c r="B1042" s="57"/>
      <c r="C1042" s="62"/>
      <c r="F1042" s="70"/>
      <c r="G1042" s="86"/>
      <c r="H1042" s="70"/>
      <c r="I1042" s="86"/>
      <c r="J1042" s="70"/>
      <c r="K1042" s="86"/>
      <c r="N1042" s="83"/>
      <c r="O1042" s="83"/>
      <c r="P1042" s="83"/>
      <c r="Q1042" s="86"/>
      <c r="R1042" s="83"/>
      <c r="S1042" s="83"/>
      <c r="T1042" s="70"/>
      <c r="U1042" s="86"/>
      <c r="V1042" s="70"/>
      <c r="W1042" s="86"/>
      <c r="X1042" s="126"/>
      <c r="Y1042" s="208"/>
      <c r="Z1042" s="126"/>
      <c r="AA1042" s="208"/>
      <c r="AB1042" s="126"/>
      <c r="AC1042" s="208"/>
      <c r="AD1042" s="209"/>
      <c r="AE1042" s="210"/>
      <c r="AF1042" s="209"/>
      <c r="AG1042" s="210"/>
      <c r="AH1042" s="209"/>
      <c r="AI1042" s="210"/>
      <c r="AJ1042" s="209"/>
      <c r="AK1042" s="210"/>
      <c r="AL1042" s="209"/>
      <c r="AM1042" s="211"/>
      <c r="AN1042" s="209"/>
      <c r="AO1042" s="212"/>
      <c r="AP1042" s="213"/>
      <c r="AQ1042" s="213"/>
      <c r="AR1042" s="209"/>
      <c r="AS1042" s="301"/>
      <c r="AT1042" s="301"/>
      <c r="AU1042" s="209"/>
      <c r="AV1042" s="301"/>
      <c r="AW1042" s="210"/>
      <c r="AX1042" s="301"/>
      <c r="AY1042" s="214"/>
      <c r="AZ1042" s="211"/>
      <c r="BA1042" s="212"/>
      <c r="BB1042" s="212"/>
      <c r="BC1042" s="213"/>
      <c r="BD1042" s="209"/>
      <c r="BE1042" s="301"/>
      <c r="BF1042" s="301"/>
      <c r="BG1042" s="209"/>
      <c r="BH1042" s="301"/>
      <c r="BI1042" s="210"/>
      <c r="BJ1042" s="214"/>
      <c r="BK1042" s="212"/>
      <c r="BL1042" s="215"/>
      <c r="BM1042" s="216"/>
      <c r="BN1042" s="215"/>
      <c r="BO1042" s="215"/>
      <c r="BP1042" s="217"/>
      <c r="BQ1042" s="218"/>
      <c r="BR1042" s="219"/>
      <c r="BS1042" s="218"/>
      <c r="BT1042" s="218"/>
      <c r="BU1042" s="218"/>
      <c r="BV1042" s="220"/>
    </row>
    <row r="1043" spans="1:74" x14ac:dyDescent="0.8">
      <c r="A1043" s="64"/>
      <c r="B1043" s="57"/>
      <c r="C1043" s="62"/>
      <c r="F1043" s="70"/>
      <c r="G1043" s="86"/>
      <c r="H1043" s="70"/>
      <c r="I1043" s="86"/>
      <c r="J1043" s="70"/>
      <c r="K1043" s="86"/>
      <c r="N1043" s="83"/>
      <c r="O1043" s="83"/>
      <c r="P1043" s="83"/>
      <c r="Q1043" s="86"/>
      <c r="R1043" s="83"/>
      <c r="S1043" s="83"/>
      <c r="T1043" s="70"/>
      <c r="U1043" s="86"/>
      <c r="V1043" s="70"/>
      <c r="W1043" s="86"/>
      <c r="X1043" s="126"/>
      <c r="Y1043" s="208"/>
      <c r="Z1043" s="126"/>
      <c r="AA1043" s="208"/>
      <c r="AB1043" s="126"/>
      <c r="AC1043" s="208"/>
      <c r="AD1043" s="209"/>
      <c r="AE1043" s="210"/>
      <c r="AF1043" s="209"/>
      <c r="AG1043" s="210"/>
      <c r="AH1043" s="209"/>
      <c r="AI1043" s="210"/>
      <c r="AJ1043" s="209"/>
      <c r="AK1043" s="210"/>
      <c r="AL1043" s="209"/>
      <c r="AM1043" s="211"/>
      <c r="AN1043" s="209"/>
      <c r="AO1043" s="212"/>
      <c r="AP1043" s="213"/>
      <c r="AQ1043" s="213"/>
      <c r="AR1043" s="209"/>
      <c r="AS1043" s="301"/>
      <c r="AT1043" s="301"/>
      <c r="AU1043" s="209"/>
      <c r="AV1043" s="301"/>
      <c r="AW1043" s="210"/>
      <c r="AX1043" s="301"/>
      <c r="AY1043" s="214"/>
      <c r="AZ1043" s="211"/>
      <c r="BA1043" s="212"/>
      <c r="BB1043" s="212"/>
      <c r="BC1043" s="213"/>
      <c r="BD1043" s="209"/>
      <c r="BE1043" s="301"/>
      <c r="BF1043" s="301"/>
      <c r="BG1043" s="209"/>
      <c r="BH1043" s="301"/>
      <c r="BI1043" s="210"/>
      <c r="BJ1043" s="214"/>
      <c r="BK1043" s="212"/>
      <c r="BL1043" s="215"/>
      <c r="BM1043" s="216"/>
      <c r="BN1043" s="215"/>
      <c r="BO1043" s="215"/>
      <c r="BP1043" s="217"/>
      <c r="BQ1043" s="218"/>
      <c r="BR1043" s="219"/>
      <c r="BS1043" s="218"/>
      <c r="BT1043" s="218"/>
      <c r="BU1043" s="218"/>
      <c r="BV1043" s="220"/>
    </row>
    <row r="1044" spans="1:74" x14ac:dyDescent="0.8">
      <c r="A1044" s="64"/>
      <c r="B1044" s="57"/>
      <c r="C1044" s="62"/>
      <c r="F1044" s="70"/>
      <c r="G1044" s="86"/>
      <c r="H1044" s="70"/>
      <c r="I1044" s="86"/>
      <c r="J1044" s="70"/>
      <c r="K1044" s="86"/>
      <c r="N1044" s="83"/>
      <c r="O1044" s="83"/>
      <c r="P1044" s="83"/>
      <c r="Q1044" s="86"/>
      <c r="R1044" s="83"/>
      <c r="S1044" s="83"/>
      <c r="T1044" s="70"/>
      <c r="U1044" s="86"/>
      <c r="V1044" s="70"/>
      <c r="W1044" s="86"/>
      <c r="X1044" s="126"/>
      <c r="Y1044" s="208"/>
      <c r="Z1044" s="126"/>
      <c r="AA1044" s="208"/>
      <c r="AB1044" s="126"/>
      <c r="AC1044" s="208"/>
      <c r="AD1044" s="209"/>
      <c r="AE1044" s="210"/>
      <c r="AF1044" s="209"/>
      <c r="AG1044" s="210"/>
      <c r="AH1044" s="209"/>
      <c r="AI1044" s="210"/>
      <c r="AJ1044" s="209"/>
      <c r="AK1044" s="210"/>
      <c r="AL1044" s="209"/>
      <c r="AM1044" s="211"/>
      <c r="AN1044" s="209"/>
      <c r="AO1044" s="212"/>
      <c r="AP1044" s="213"/>
      <c r="AQ1044" s="213"/>
      <c r="AR1044" s="209"/>
      <c r="AS1044" s="301"/>
      <c r="AT1044" s="301"/>
      <c r="AU1044" s="209"/>
      <c r="AV1044" s="301"/>
      <c r="AW1044" s="210"/>
      <c r="AX1044" s="301"/>
      <c r="AY1044" s="214"/>
      <c r="AZ1044" s="211"/>
      <c r="BA1044" s="212"/>
      <c r="BB1044" s="212"/>
      <c r="BC1044" s="213"/>
      <c r="BD1044" s="209"/>
      <c r="BE1044" s="301"/>
      <c r="BF1044" s="301"/>
      <c r="BG1044" s="209"/>
      <c r="BH1044" s="301"/>
      <c r="BI1044" s="210"/>
      <c r="BJ1044" s="214"/>
      <c r="BK1044" s="212"/>
      <c r="BL1044" s="215"/>
      <c r="BM1044" s="216"/>
      <c r="BN1044" s="215"/>
      <c r="BO1044" s="215"/>
      <c r="BP1044" s="217"/>
      <c r="BQ1044" s="218"/>
      <c r="BR1044" s="219"/>
      <c r="BS1044" s="218"/>
      <c r="BT1044" s="218"/>
      <c r="BU1044" s="218"/>
      <c r="BV1044" s="220"/>
    </row>
    <row r="1045" spans="1:74" x14ac:dyDescent="0.8">
      <c r="A1045" s="64"/>
      <c r="B1045" s="57"/>
      <c r="C1045" s="62"/>
      <c r="F1045" s="70"/>
      <c r="G1045" s="86"/>
      <c r="H1045" s="70"/>
      <c r="I1045" s="86"/>
      <c r="J1045" s="70"/>
      <c r="K1045" s="86"/>
      <c r="N1045" s="83"/>
      <c r="O1045" s="83"/>
      <c r="P1045" s="83"/>
      <c r="Q1045" s="86"/>
      <c r="R1045" s="83"/>
      <c r="S1045" s="83"/>
      <c r="T1045" s="70"/>
      <c r="U1045" s="86"/>
      <c r="V1045" s="70"/>
      <c r="W1045" s="86"/>
      <c r="X1045" s="126"/>
      <c r="Y1045" s="208"/>
      <c r="Z1045" s="126"/>
      <c r="AA1045" s="208"/>
      <c r="AB1045" s="126"/>
      <c r="AC1045" s="208"/>
      <c r="AD1045" s="209"/>
      <c r="AE1045" s="210"/>
      <c r="AF1045" s="209"/>
      <c r="AG1045" s="210"/>
      <c r="AH1045" s="209"/>
      <c r="AI1045" s="210"/>
      <c r="AJ1045" s="209"/>
      <c r="AK1045" s="210"/>
      <c r="AL1045" s="209"/>
      <c r="AM1045" s="211"/>
      <c r="AN1045" s="209"/>
      <c r="AO1045" s="212"/>
      <c r="AP1045" s="213"/>
      <c r="AQ1045" s="213"/>
      <c r="AR1045" s="209"/>
      <c r="AS1045" s="301"/>
      <c r="AT1045" s="301"/>
      <c r="AU1045" s="209"/>
      <c r="AV1045" s="301"/>
      <c r="AW1045" s="210"/>
      <c r="AX1045" s="301"/>
      <c r="AY1045" s="214"/>
      <c r="AZ1045" s="211"/>
      <c r="BA1045" s="212"/>
      <c r="BB1045" s="212"/>
      <c r="BC1045" s="213"/>
      <c r="BD1045" s="209"/>
      <c r="BE1045" s="301"/>
      <c r="BF1045" s="301"/>
      <c r="BG1045" s="209"/>
      <c r="BH1045" s="301"/>
      <c r="BI1045" s="210"/>
      <c r="BJ1045" s="214"/>
      <c r="BK1045" s="212"/>
      <c r="BL1045" s="215"/>
      <c r="BM1045" s="216"/>
      <c r="BN1045" s="215"/>
      <c r="BO1045" s="215"/>
      <c r="BP1045" s="217"/>
      <c r="BQ1045" s="218"/>
      <c r="BR1045" s="219"/>
      <c r="BS1045" s="218"/>
      <c r="BT1045" s="218"/>
      <c r="BU1045" s="218"/>
      <c r="BV1045" s="220"/>
    </row>
    <row r="1046" spans="1:74" x14ac:dyDescent="0.8">
      <c r="A1046" s="64"/>
      <c r="B1046" s="57"/>
      <c r="C1046" s="62"/>
      <c r="F1046" s="70"/>
      <c r="G1046" s="86"/>
      <c r="H1046" s="70"/>
      <c r="I1046" s="86"/>
      <c r="J1046" s="70"/>
      <c r="K1046" s="86"/>
      <c r="N1046" s="83"/>
      <c r="O1046" s="83"/>
      <c r="P1046" s="83"/>
      <c r="Q1046" s="86"/>
      <c r="R1046" s="83"/>
      <c r="S1046" s="83"/>
      <c r="T1046" s="70"/>
      <c r="U1046" s="86"/>
      <c r="V1046" s="70"/>
      <c r="W1046" s="86"/>
      <c r="X1046" s="126"/>
      <c r="Y1046" s="208"/>
      <c r="Z1046" s="126"/>
      <c r="AA1046" s="208"/>
      <c r="AB1046" s="126"/>
      <c r="AC1046" s="208"/>
      <c r="AD1046" s="209"/>
      <c r="AE1046" s="210"/>
      <c r="AF1046" s="209"/>
      <c r="AG1046" s="210"/>
      <c r="AH1046" s="209"/>
      <c r="AI1046" s="210"/>
      <c r="AJ1046" s="209"/>
      <c r="AK1046" s="210"/>
      <c r="AL1046" s="209"/>
      <c r="AM1046" s="211"/>
      <c r="AN1046" s="209"/>
      <c r="AO1046" s="212"/>
      <c r="AP1046" s="213"/>
      <c r="AQ1046" s="213"/>
      <c r="AR1046" s="209"/>
      <c r="AS1046" s="301"/>
      <c r="AT1046" s="301"/>
      <c r="AU1046" s="209"/>
      <c r="AV1046" s="301"/>
      <c r="AW1046" s="210"/>
      <c r="AX1046" s="301"/>
      <c r="AY1046" s="214"/>
      <c r="AZ1046" s="211"/>
      <c r="BA1046" s="212"/>
      <c r="BB1046" s="212"/>
      <c r="BC1046" s="213"/>
      <c r="BD1046" s="209"/>
      <c r="BE1046" s="301"/>
      <c r="BF1046" s="301"/>
      <c r="BG1046" s="209"/>
      <c r="BH1046" s="301"/>
      <c r="BI1046" s="210"/>
      <c r="BJ1046" s="214"/>
      <c r="BK1046" s="212"/>
      <c r="BL1046" s="215"/>
      <c r="BM1046" s="216"/>
      <c r="BN1046" s="215"/>
      <c r="BO1046" s="215"/>
      <c r="BP1046" s="217"/>
      <c r="BQ1046" s="218"/>
      <c r="BR1046" s="219"/>
      <c r="BS1046" s="218"/>
      <c r="BT1046" s="218"/>
      <c r="BU1046" s="218"/>
      <c r="BV1046" s="220"/>
    </row>
    <row r="1047" spans="1:74" x14ac:dyDescent="0.8">
      <c r="A1047" s="64"/>
      <c r="B1047" s="57"/>
      <c r="C1047" s="62"/>
      <c r="F1047" s="70"/>
      <c r="G1047" s="86"/>
      <c r="H1047" s="70"/>
      <c r="I1047" s="86"/>
      <c r="J1047" s="70"/>
      <c r="K1047" s="86"/>
      <c r="N1047" s="83"/>
      <c r="O1047" s="83"/>
      <c r="P1047" s="83"/>
      <c r="Q1047" s="86"/>
      <c r="R1047" s="83"/>
      <c r="S1047" s="83"/>
      <c r="T1047" s="70"/>
      <c r="U1047" s="86"/>
      <c r="V1047" s="70"/>
      <c r="W1047" s="86"/>
      <c r="X1047" s="126"/>
      <c r="Y1047" s="208"/>
      <c r="Z1047" s="126"/>
      <c r="AA1047" s="208"/>
      <c r="AB1047" s="126"/>
      <c r="AC1047" s="208"/>
      <c r="AD1047" s="209"/>
      <c r="AE1047" s="210"/>
      <c r="AF1047" s="209"/>
      <c r="AG1047" s="210"/>
      <c r="AH1047" s="209"/>
      <c r="AI1047" s="210"/>
      <c r="AJ1047" s="209"/>
      <c r="AK1047" s="210"/>
      <c r="AL1047" s="209"/>
      <c r="AM1047" s="211"/>
      <c r="AN1047" s="209"/>
      <c r="AO1047" s="212"/>
      <c r="AP1047" s="213"/>
      <c r="AQ1047" s="213"/>
      <c r="AR1047" s="209"/>
      <c r="AS1047" s="301"/>
      <c r="AT1047" s="301"/>
      <c r="AU1047" s="209"/>
      <c r="AV1047" s="301"/>
      <c r="AW1047" s="210"/>
      <c r="AX1047" s="301"/>
      <c r="AY1047" s="214"/>
      <c r="AZ1047" s="211"/>
      <c r="BA1047" s="212"/>
      <c r="BB1047" s="212"/>
      <c r="BC1047" s="213"/>
      <c r="BD1047" s="209"/>
      <c r="BE1047" s="301"/>
      <c r="BF1047" s="301"/>
      <c r="BG1047" s="209"/>
      <c r="BH1047" s="301"/>
      <c r="BI1047" s="210"/>
      <c r="BJ1047" s="214"/>
      <c r="BK1047" s="212"/>
      <c r="BL1047" s="215"/>
      <c r="BM1047" s="216"/>
      <c r="BN1047" s="215"/>
      <c r="BO1047" s="215"/>
      <c r="BP1047" s="217"/>
      <c r="BQ1047" s="218"/>
      <c r="BR1047" s="219"/>
      <c r="BS1047" s="218"/>
      <c r="BT1047" s="218"/>
      <c r="BU1047" s="218"/>
      <c r="BV1047" s="220"/>
    </row>
    <row r="1048" spans="1:74" x14ac:dyDescent="0.8">
      <c r="A1048" s="64"/>
      <c r="B1048" s="57"/>
      <c r="C1048" s="62"/>
      <c r="F1048" s="70"/>
      <c r="G1048" s="86"/>
      <c r="H1048" s="70"/>
      <c r="I1048" s="86"/>
      <c r="J1048" s="70"/>
      <c r="K1048" s="86"/>
      <c r="N1048" s="83"/>
      <c r="O1048" s="83"/>
      <c r="P1048" s="83"/>
      <c r="Q1048" s="86"/>
      <c r="R1048" s="83"/>
      <c r="S1048" s="83"/>
      <c r="T1048" s="70"/>
      <c r="U1048" s="86"/>
      <c r="V1048" s="70"/>
      <c r="W1048" s="86"/>
      <c r="X1048" s="126"/>
      <c r="Y1048" s="208"/>
      <c r="Z1048" s="126"/>
      <c r="AA1048" s="208"/>
      <c r="AB1048" s="126"/>
      <c r="AC1048" s="208"/>
      <c r="AD1048" s="209"/>
      <c r="AE1048" s="210"/>
      <c r="AF1048" s="209"/>
      <c r="AG1048" s="210"/>
      <c r="AH1048" s="209"/>
      <c r="AI1048" s="210"/>
      <c r="AJ1048" s="209"/>
      <c r="AK1048" s="210"/>
      <c r="AL1048" s="209"/>
      <c r="AM1048" s="211"/>
      <c r="AN1048" s="209"/>
      <c r="AO1048" s="212"/>
      <c r="AP1048" s="213"/>
      <c r="AQ1048" s="213"/>
      <c r="AR1048" s="209"/>
      <c r="AS1048" s="301"/>
      <c r="AT1048" s="301"/>
      <c r="AU1048" s="209"/>
      <c r="AV1048" s="301"/>
      <c r="AW1048" s="210"/>
      <c r="AX1048" s="301"/>
      <c r="AY1048" s="214"/>
      <c r="AZ1048" s="211"/>
      <c r="BA1048" s="212"/>
      <c r="BB1048" s="212"/>
      <c r="BC1048" s="213"/>
      <c r="BD1048" s="209"/>
      <c r="BE1048" s="301"/>
      <c r="BF1048" s="301"/>
      <c r="BG1048" s="209"/>
      <c r="BH1048" s="301"/>
      <c r="BI1048" s="210"/>
      <c r="BJ1048" s="214"/>
      <c r="BK1048" s="212"/>
      <c r="BL1048" s="215"/>
      <c r="BM1048" s="216"/>
      <c r="BN1048" s="215"/>
      <c r="BO1048" s="215"/>
      <c r="BP1048" s="217"/>
      <c r="BQ1048" s="218"/>
      <c r="BR1048" s="219"/>
      <c r="BS1048" s="218"/>
      <c r="BT1048" s="218"/>
      <c r="BU1048" s="218"/>
      <c r="BV1048" s="220"/>
    </row>
    <row r="1049" spans="1:74" x14ac:dyDescent="0.8">
      <c r="A1049" s="64"/>
      <c r="B1049" s="57"/>
      <c r="C1049" s="62"/>
      <c r="F1049" s="70"/>
      <c r="G1049" s="86"/>
      <c r="H1049" s="70"/>
      <c r="I1049" s="86"/>
      <c r="J1049" s="70"/>
      <c r="K1049" s="86"/>
      <c r="N1049" s="83"/>
      <c r="O1049" s="83"/>
      <c r="P1049" s="83"/>
      <c r="Q1049" s="86"/>
      <c r="R1049" s="83"/>
      <c r="S1049" s="83"/>
      <c r="T1049" s="70"/>
      <c r="U1049" s="86"/>
      <c r="V1049" s="70"/>
      <c r="W1049" s="86"/>
      <c r="X1049" s="126"/>
      <c r="Y1049" s="208"/>
      <c r="Z1049" s="126"/>
      <c r="AA1049" s="208"/>
      <c r="AB1049" s="126"/>
      <c r="AC1049" s="208"/>
      <c r="AD1049" s="209"/>
      <c r="AE1049" s="210"/>
      <c r="AF1049" s="209"/>
      <c r="AG1049" s="210"/>
      <c r="AH1049" s="209"/>
      <c r="AI1049" s="210"/>
      <c r="AJ1049" s="209"/>
      <c r="AK1049" s="210"/>
      <c r="AL1049" s="209"/>
      <c r="AM1049" s="211"/>
      <c r="AN1049" s="209"/>
      <c r="AO1049" s="212"/>
      <c r="AP1049" s="213"/>
      <c r="AQ1049" s="213"/>
      <c r="AR1049" s="209"/>
      <c r="AS1049" s="301"/>
      <c r="AT1049" s="301"/>
      <c r="AU1049" s="209"/>
      <c r="AV1049" s="301"/>
      <c r="AW1049" s="210"/>
      <c r="AX1049" s="301"/>
      <c r="AY1049" s="214"/>
      <c r="AZ1049" s="211"/>
      <c r="BA1049" s="212"/>
      <c r="BB1049" s="212"/>
      <c r="BC1049" s="213"/>
      <c r="BD1049" s="209"/>
      <c r="BE1049" s="301"/>
      <c r="BF1049" s="301"/>
      <c r="BG1049" s="209"/>
      <c r="BH1049" s="301"/>
      <c r="BI1049" s="210"/>
      <c r="BJ1049" s="214"/>
      <c r="BK1049" s="212"/>
      <c r="BL1049" s="215"/>
      <c r="BM1049" s="216"/>
      <c r="BN1049" s="215"/>
      <c r="BO1049" s="215"/>
      <c r="BP1049" s="217"/>
      <c r="BQ1049" s="218"/>
      <c r="BR1049" s="219"/>
      <c r="BS1049" s="218"/>
      <c r="BT1049" s="218"/>
      <c r="BU1049" s="218"/>
      <c r="BV1049" s="220"/>
    </row>
    <row r="1050" spans="1:74" x14ac:dyDescent="0.8">
      <c r="A1050" s="64"/>
      <c r="B1050" s="57"/>
      <c r="C1050" s="62"/>
      <c r="F1050" s="70"/>
      <c r="G1050" s="86"/>
      <c r="H1050" s="70"/>
      <c r="I1050" s="86"/>
      <c r="J1050" s="70"/>
      <c r="K1050" s="86"/>
      <c r="N1050" s="83"/>
      <c r="O1050" s="83"/>
      <c r="P1050" s="83"/>
      <c r="Q1050" s="86"/>
      <c r="R1050" s="83"/>
      <c r="S1050" s="83"/>
      <c r="T1050" s="70"/>
      <c r="U1050" s="86"/>
      <c r="V1050" s="70"/>
      <c r="W1050" s="86"/>
      <c r="X1050" s="126"/>
      <c r="Y1050" s="208"/>
      <c r="Z1050" s="126"/>
      <c r="AA1050" s="208"/>
      <c r="AB1050" s="126"/>
      <c r="AC1050" s="208"/>
      <c r="AD1050" s="209"/>
      <c r="AE1050" s="210"/>
      <c r="AF1050" s="209"/>
      <c r="AG1050" s="210"/>
      <c r="AH1050" s="209"/>
      <c r="AI1050" s="210"/>
      <c r="AJ1050" s="209"/>
      <c r="AK1050" s="210"/>
      <c r="AL1050" s="209"/>
      <c r="AM1050" s="211"/>
      <c r="AN1050" s="209"/>
      <c r="AO1050" s="212"/>
      <c r="AP1050" s="213"/>
      <c r="AQ1050" s="213"/>
      <c r="AR1050" s="209"/>
      <c r="AS1050" s="301"/>
      <c r="AT1050" s="301"/>
      <c r="AU1050" s="209"/>
      <c r="AV1050" s="301"/>
      <c r="AW1050" s="210"/>
      <c r="AX1050" s="301"/>
      <c r="AY1050" s="214"/>
      <c r="AZ1050" s="211"/>
      <c r="BA1050" s="212"/>
      <c r="BB1050" s="212"/>
      <c r="BC1050" s="213"/>
      <c r="BD1050" s="209"/>
      <c r="BE1050" s="301"/>
      <c r="BF1050" s="301"/>
      <c r="BG1050" s="209"/>
      <c r="BH1050" s="301"/>
      <c r="BI1050" s="210"/>
      <c r="BJ1050" s="214"/>
      <c r="BK1050" s="212"/>
      <c r="BL1050" s="215"/>
      <c r="BM1050" s="216"/>
      <c r="BN1050" s="215"/>
      <c r="BO1050" s="215"/>
      <c r="BP1050" s="217"/>
      <c r="BQ1050" s="218"/>
      <c r="BR1050" s="219"/>
      <c r="BS1050" s="218"/>
      <c r="BT1050" s="218"/>
      <c r="BU1050" s="218"/>
      <c r="BV1050" s="220"/>
    </row>
    <row r="1051" spans="1:74" x14ac:dyDescent="0.8">
      <c r="A1051" s="64"/>
      <c r="B1051" s="57"/>
      <c r="C1051" s="62"/>
      <c r="F1051" s="70"/>
      <c r="G1051" s="86"/>
      <c r="H1051" s="70"/>
      <c r="I1051" s="86"/>
      <c r="J1051" s="70"/>
      <c r="K1051" s="86"/>
      <c r="N1051" s="83"/>
      <c r="O1051" s="83"/>
      <c r="P1051" s="83"/>
      <c r="Q1051" s="86"/>
      <c r="R1051" s="83"/>
      <c r="S1051" s="83"/>
      <c r="T1051" s="70"/>
      <c r="U1051" s="86"/>
      <c r="V1051" s="70"/>
      <c r="W1051" s="86"/>
      <c r="X1051" s="126"/>
      <c r="Y1051" s="208"/>
      <c r="Z1051" s="126"/>
      <c r="AA1051" s="208"/>
      <c r="AB1051" s="126"/>
      <c r="AC1051" s="208"/>
      <c r="AD1051" s="209"/>
      <c r="AE1051" s="210"/>
      <c r="AF1051" s="209"/>
      <c r="AG1051" s="210"/>
      <c r="AH1051" s="209"/>
      <c r="AI1051" s="210"/>
      <c r="AJ1051" s="209"/>
      <c r="AK1051" s="210"/>
      <c r="AL1051" s="209"/>
      <c r="AM1051" s="211"/>
      <c r="AN1051" s="209"/>
      <c r="AO1051" s="212"/>
      <c r="AP1051" s="213"/>
      <c r="AQ1051" s="213"/>
      <c r="AR1051" s="209"/>
      <c r="AS1051" s="301"/>
      <c r="AT1051" s="301"/>
      <c r="AU1051" s="209"/>
      <c r="AV1051" s="301"/>
      <c r="AW1051" s="210"/>
      <c r="AX1051" s="301"/>
      <c r="AY1051" s="214"/>
      <c r="AZ1051" s="211"/>
      <c r="BA1051" s="212"/>
      <c r="BB1051" s="212"/>
      <c r="BC1051" s="213"/>
      <c r="BD1051" s="209"/>
      <c r="BE1051" s="301"/>
      <c r="BF1051" s="301"/>
      <c r="BG1051" s="209"/>
      <c r="BH1051" s="301"/>
      <c r="BI1051" s="210"/>
      <c r="BJ1051" s="214"/>
      <c r="BK1051" s="212"/>
      <c r="BL1051" s="215"/>
      <c r="BM1051" s="216"/>
      <c r="BN1051" s="215"/>
      <c r="BO1051" s="215"/>
      <c r="BP1051" s="217"/>
      <c r="BQ1051" s="218"/>
      <c r="BR1051" s="219"/>
      <c r="BS1051" s="218"/>
      <c r="BT1051" s="218"/>
      <c r="BU1051" s="218"/>
      <c r="BV1051" s="220"/>
    </row>
    <row r="1052" spans="1:74" x14ac:dyDescent="0.8">
      <c r="A1052" s="64"/>
      <c r="B1052" s="57"/>
      <c r="C1052" s="62"/>
      <c r="F1052" s="70"/>
      <c r="G1052" s="86"/>
      <c r="H1052" s="70"/>
      <c r="I1052" s="86"/>
      <c r="J1052" s="70"/>
      <c r="K1052" s="86"/>
      <c r="N1052" s="83"/>
      <c r="O1052" s="83"/>
      <c r="P1052" s="83"/>
      <c r="Q1052" s="86"/>
      <c r="R1052" s="83"/>
      <c r="S1052" s="83"/>
      <c r="T1052" s="70"/>
      <c r="U1052" s="86"/>
      <c r="V1052" s="70"/>
      <c r="W1052" s="86"/>
      <c r="X1052" s="126"/>
      <c r="Y1052" s="208"/>
      <c r="Z1052" s="126"/>
      <c r="AA1052" s="208"/>
      <c r="AB1052" s="126"/>
      <c r="AC1052" s="208"/>
      <c r="AD1052" s="209"/>
      <c r="AE1052" s="210"/>
      <c r="AF1052" s="209"/>
      <c r="AG1052" s="210"/>
      <c r="AH1052" s="209"/>
      <c r="AI1052" s="210"/>
      <c r="AJ1052" s="209"/>
      <c r="AK1052" s="210"/>
      <c r="AL1052" s="209"/>
      <c r="AM1052" s="211"/>
      <c r="AN1052" s="209"/>
      <c r="AO1052" s="212"/>
      <c r="AP1052" s="213"/>
      <c r="AQ1052" s="213"/>
      <c r="AR1052" s="209"/>
      <c r="AS1052" s="301"/>
      <c r="AT1052" s="301"/>
      <c r="AU1052" s="209"/>
      <c r="AV1052" s="301"/>
      <c r="AW1052" s="210"/>
      <c r="AX1052" s="301"/>
      <c r="AY1052" s="214"/>
      <c r="AZ1052" s="211"/>
      <c r="BA1052" s="212"/>
      <c r="BB1052" s="212"/>
      <c r="BC1052" s="213"/>
      <c r="BD1052" s="209"/>
      <c r="BE1052" s="301"/>
      <c r="BF1052" s="301"/>
      <c r="BG1052" s="209"/>
      <c r="BH1052" s="301"/>
      <c r="BI1052" s="210"/>
      <c r="BJ1052" s="214"/>
      <c r="BK1052" s="212"/>
      <c r="BL1052" s="215"/>
      <c r="BM1052" s="216"/>
      <c r="BN1052" s="215"/>
      <c r="BO1052" s="215"/>
      <c r="BP1052" s="217"/>
      <c r="BQ1052" s="218"/>
      <c r="BR1052" s="219"/>
      <c r="BS1052" s="218"/>
      <c r="BT1052" s="218"/>
      <c r="BU1052" s="218"/>
      <c r="BV1052" s="220"/>
    </row>
    <row r="1053" spans="1:74" x14ac:dyDescent="0.8">
      <c r="A1053" s="64"/>
      <c r="B1053" s="57"/>
      <c r="C1053" s="62"/>
      <c r="F1053" s="70"/>
      <c r="G1053" s="86"/>
      <c r="H1053" s="70"/>
      <c r="I1053" s="86"/>
      <c r="J1053" s="70"/>
      <c r="K1053" s="86"/>
      <c r="N1053" s="83"/>
      <c r="O1053" s="83"/>
      <c r="P1053" s="83"/>
      <c r="Q1053" s="86"/>
      <c r="R1053" s="83"/>
      <c r="S1053" s="83"/>
      <c r="T1053" s="70"/>
      <c r="U1053" s="86"/>
      <c r="V1053" s="70"/>
      <c r="W1053" s="86"/>
      <c r="X1053" s="126"/>
      <c r="Y1053" s="208"/>
      <c r="Z1053" s="126"/>
      <c r="AA1053" s="208"/>
      <c r="AB1053" s="126"/>
      <c r="AC1053" s="208"/>
      <c r="AD1053" s="209"/>
      <c r="AE1053" s="210"/>
      <c r="AF1053" s="209"/>
      <c r="AG1053" s="210"/>
      <c r="AH1053" s="209"/>
      <c r="AI1053" s="210"/>
      <c r="AJ1053" s="209"/>
      <c r="AK1053" s="210"/>
      <c r="AL1053" s="209"/>
      <c r="AM1053" s="211"/>
      <c r="AN1053" s="209"/>
      <c r="AO1053" s="212"/>
      <c r="AP1053" s="213"/>
      <c r="AQ1053" s="213"/>
      <c r="AR1053" s="209"/>
      <c r="AS1053" s="301"/>
      <c r="AT1053" s="301"/>
      <c r="AU1053" s="209"/>
      <c r="AV1053" s="301"/>
      <c r="AW1053" s="210"/>
      <c r="AX1053" s="301"/>
      <c r="AY1053" s="214"/>
      <c r="AZ1053" s="211"/>
      <c r="BA1053" s="212"/>
      <c r="BB1053" s="212"/>
      <c r="BC1053" s="213"/>
      <c r="BD1053" s="209"/>
      <c r="BE1053" s="301"/>
      <c r="BF1053" s="301"/>
      <c r="BG1053" s="209"/>
      <c r="BH1053" s="301"/>
      <c r="BI1053" s="210"/>
      <c r="BJ1053" s="214"/>
      <c r="BK1053" s="212"/>
      <c r="BL1053" s="215"/>
      <c r="BM1053" s="216"/>
      <c r="BN1053" s="215"/>
      <c r="BO1053" s="215"/>
      <c r="BP1053" s="217"/>
      <c r="BQ1053" s="218"/>
      <c r="BR1053" s="219"/>
      <c r="BS1053" s="218"/>
      <c r="BT1053" s="218"/>
      <c r="BU1053" s="218"/>
      <c r="BV1053" s="220"/>
    </row>
    <row r="1054" spans="1:74" x14ac:dyDescent="0.8">
      <c r="A1054" s="64"/>
      <c r="B1054" s="57"/>
      <c r="C1054" s="62"/>
      <c r="F1054" s="70"/>
      <c r="G1054" s="86"/>
      <c r="H1054" s="70"/>
      <c r="I1054" s="86"/>
      <c r="J1054" s="70"/>
      <c r="K1054" s="86"/>
      <c r="N1054" s="83"/>
      <c r="O1054" s="83"/>
      <c r="P1054" s="83"/>
      <c r="Q1054" s="86"/>
      <c r="R1054" s="83"/>
      <c r="S1054" s="83"/>
      <c r="T1054" s="70"/>
      <c r="U1054" s="86"/>
      <c r="V1054" s="70"/>
      <c r="W1054" s="86"/>
      <c r="X1054" s="126"/>
      <c r="Y1054" s="208"/>
      <c r="Z1054" s="126"/>
      <c r="AA1054" s="208"/>
      <c r="AB1054" s="126"/>
      <c r="AC1054" s="208"/>
      <c r="AD1054" s="209"/>
      <c r="AE1054" s="210"/>
      <c r="AF1054" s="209"/>
      <c r="AG1054" s="210"/>
      <c r="AH1054" s="209"/>
      <c r="AI1054" s="210"/>
      <c r="AJ1054" s="209"/>
      <c r="AK1054" s="210"/>
      <c r="AL1054" s="209"/>
      <c r="AM1054" s="211"/>
      <c r="AN1054" s="209"/>
      <c r="AO1054" s="212"/>
      <c r="AP1054" s="213"/>
      <c r="AQ1054" s="213"/>
      <c r="AR1054" s="209"/>
      <c r="AS1054" s="301"/>
      <c r="AT1054" s="301"/>
      <c r="AU1054" s="209"/>
      <c r="AV1054" s="301"/>
      <c r="AW1054" s="210"/>
      <c r="AX1054" s="301"/>
      <c r="AY1054" s="214"/>
      <c r="AZ1054" s="211"/>
      <c r="BA1054" s="212"/>
      <c r="BB1054" s="212"/>
      <c r="BC1054" s="213"/>
      <c r="BD1054" s="209"/>
      <c r="BE1054" s="301"/>
      <c r="BF1054" s="301"/>
      <c r="BG1054" s="209"/>
      <c r="BH1054" s="301"/>
      <c r="BI1054" s="210"/>
      <c r="BJ1054" s="214"/>
      <c r="BK1054" s="212"/>
      <c r="BL1054" s="215"/>
      <c r="BM1054" s="216"/>
      <c r="BN1054" s="215"/>
      <c r="BO1054" s="215"/>
      <c r="BP1054" s="217"/>
      <c r="BQ1054" s="218"/>
      <c r="BR1054" s="219"/>
      <c r="BS1054" s="218"/>
      <c r="BT1054" s="218"/>
      <c r="BU1054" s="218"/>
      <c r="BV1054" s="220"/>
    </row>
    <row r="1055" spans="1:74" x14ac:dyDescent="0.8">
      <c r="A1055" s="64"/>
      <c r="B1055" s="57"/>
      <c r="C1055" s="62"/>
      <c r="F1055" s="70"/>
      <c r="G1055" s="86"/>
      <c r="H1055" s="70"/>
      <c r="I1055" s="86"/>
      <c r="J1055" s="70"/>
      <c r="K1055" s="86"/>
      <c r="N1055" s="83"/>
      <c r="O1055" s="83"/>
      <c r="P1055" s="83"/>
      <c r="Q1055" s="86"/>
      <c r="R1055" s="83"/>
      <c r="S1055" s="83"/>
      <c r="T1055" s="70"/>
      <c r="U1055" s="86"/>
      <c r="V1055" s="70"/>
      <c r="W1055" s="86"/>
      <c r="X1055" s="126"/>
      <c r="Y1055" s="208"/>
      <c r="Z1055" s="126"/>
      <c r="AA1055" s="208"/>
      <c r="AB1055" s="126"/>
      <c r="AC1055" s="208"/>
      <c r="AD1055" s="209"/>
      <c r="AE1055" s="210"/>
      <c r="AF1055" s="209"/>
      <c r="AG1055" s="210"/>
      <c r="AH1055" s="209"/>
      <c r="AI1055" s="210"/>
      <c r="AJ1055" s="209"/>
      <c r="AK1055" s="210"/>
      <c r="AL1055" s="209"/>
      <c r="AM1055" s="211"/>
      <c r="AN1055" s="209"/>
      <c r="AO1055" s="212"/>
      <c r="AP1055" s="213"/>
      <c r="AQ1055" s="213"/>
      <c r="AR1055" s="209"/>
      <c r="AS1055" s="301"/>
      <c r="AT1055" s="301"/>
      <c r="AU1055" s="209"/>
      <c r="AV1055" s="301"/>
      <c r="AW1055" s="210"/>
      <c r="AX1055" s="301"/>
      <c r="AY1055" s="214"/>
      <c r="AZ1055" s="211"/>
      <c r="BA1055" s="212"/>
      <c r="BB1055" s="212"/>
      <c r="BC1055" s="213"/>
      <c r="BD1055" s="209"/>
      <c r="BE1055" s="301"/>
      <c r="BF1055" s="301"/>
      <c r="BG1055" s="209"/>
      <c r="BH1055" s="301"/>
      <c r="BI1055" s="210"/>
      <c r="BJ1055" s="214"/>
      <c r="BK1055" s="212"/>
      <c r="BL1055" s="215"/>
      <c r="BM1055" s="216"/>
      <c r="BN1055" s="215"/>
      <c r="BO1055" s="215"/>
      <c r="BP1055" s="217"/>
      <c r="BQ1055" s="218"/>
      <c r="BR1055" s="219"/>
      <c r="BS1055" s="218"/>
      <c r="BT1055" s="218"/>
      <c r="BU1055" s="218"/>
      <c r="BV1055" s="220"/>
    </row>
    <row r="1056" spans="1:74" x14ac:dyDescent="0.8">
      <c r="A1056" s="64"/>
      <c r="B1056" s="57"/>
      <c r="C1056" s="62"/>
      <c r="F1056" s="70"/>
      <c r="G1056" s="86"/>
      <c r="H1056" s="70"/>
      <c r="I1056" s="86"/>
      <c r="J1056" s="70"/>
      <c r="K1056" s="86"/>
      <c r="N1056" s="83"/>
      <c r="O1056" s="83"/>
      <c r="P1056" s="83"/>
      <c r="Q1056" s="86"/>
      <c r="R1056" s="83"/>
      <c r="S1056" s="83"/>
      <c r="T1056" s="70"/>
      <c r="U1056" s="86"/>
      <c r="V1056" s="70"/>
      <c r="W1056" s="86"/>
      <c r="X1056" s="126"/>
      <c r="Y1056" s="208"/>
      <c r="Z1056" s="126"/>
      <c r="AA1056" s="208"/>
      <c r="AB1056" s="126"/>
      <c r="AC1056" s="208"/>
      <c r="AD1056" s="209"/>
      <c r="AE1056" s="210"/>
      <c r="AF1056" s="209"/>
      <c r="AG1056" s="210"/>
      <c r="AH1056" s="209"/>
      <c r="AI1056" s="210"/>
      <c r="AJ1056" s="209"/>
      <c r="AK1056" s="210"/>
      <c r="AL1056" s="209"/>
      <c r="AM1056" s="211"/>
      <c r="AN1056" s="209"/>
      <c r="AO1056" s="212"/>
      <c r="AP1056" s="213"/>
      <c r="AQ1056" s="213"/>
      <c r="AR1056" s="209"/>
      <c r="AS1056" s="301"/>
      <c r="AT1056" s="301"/>
      <c r="AU1056" s="209"/>
      <c r="AV1056" s="301"/>
      <c r="AW1056" s="210"/>
      <c r="AX1056" s="301"/>
      <c r="AY1056" s="214"/>
      <c r="AZ1056" s="211"/>
      <c r="BA1056" s="212"/>
      <c r="BB1056" s="212"/>
      <c r="BC1056" s="213"/>
      <c r="BD1056" s="209"/>
      <c r="BE1056" s="301"/>
      <c r="BF1056" s="301"/>
      <c r="BG1056" s="209"/>
      <c r="BH1056" s="301"/>
      <c r="BI1056" s="210"/>
      <c r="BJ1056" s="214"/>
      <c r="BK1056" s="212"/>
      <c r="BL1056" s="215"/>
      <c r="BM1056" s="216"/>
      <c r="BN1056" s="215"/>
      <c r="BO1056" s="215"/>
      <c r="BP1056" s="217"/>
      <c r="BQ1056" s="218"/>
      <c r="BR1056" s="219"/>
      <c r="BS1056" s="218"/>
      <c r="BT1056" s="218"/>
      <c r="BU1056" s="218"/>
      <c r="BV1056" s="220"/>
    </row>
    <row r="1057" spans="1:74" x14ac:dyDescent="0.8">
      <c r="A1057" s="64"/>
      <c r="B1057" s="57"/>
      <c r="C1057" s="62"/>
      <c r="F1057" s="70"/>
      <c r="G1057" s="86"/>
      <c r="H1057" s="70"/>
      <c r="I1057" s="86"/>
      <c r="J1057" s="70"/>
      <c r="K1057" s="86"/>
      <c r="N1057" s="83"/>
      <c r="O1057" s="83"/>
      <c r="P1057" s="83"/>
      <c r="Q1057" s="86"/>
      <c r="R1057" s="83"/>
      <c r="S1057" s="83"/>
      <c r="T1057" s="70"/>
      <c r="U1057" s="86"/>
      <c r="V1057" s="70"/>
      <c r="W1057" s="86"/>
      <c r="X1057" s="126"/>
      <c r="Y1057" s="208"/>
      <c r="Z1057" s="126"/>
      <c r="AA1057" s="208"/>
      <c r="AB1057" s="126"/>
      <c r="AC1057" s="208"/>
      <c r="AD1057" s="209"/>
      <c r="AE1057" s="210"/>
      <c r="AF1057" s="209"/>
      <c r="AG1057" s="210"/>
      <c r="AH1057" s="209"/>
      <c r="AI1057" s="210"/>
      <c r="AJ1057" s="209"/>
      <c r="AK1057" s="210"/>
      <c r="AL1057" s="209"/>
      <c r="AM1057" s="211"/>
      <c r="AN1057" s="209"/>
      <c r="AO1057" s="212"/>
      <c r="AP1057" s="213"/>
      <c r="AQ1057" s="213"/>
      <c r="AR1057" s="209"/>
      <c r="AS1057" s="301"/>
      <c r="AT1057" s="301"/>
      <c r="AU1057" s="209"/>
      <c r="AV1057" s="301"/>
      <c r="AW1057" s="210"/>
      <c r="AX1057" s="301"/>
      <c r="AY1057" s="214"/>
      <c r="AZ1057" s="211"/>
      <c r="BA1057" s="212"/>
      <c r="BB1057" s="212"/>
      <c r="BC1057" s="213"/>
      <c r="BD1057" s="209"/>
      <c r="BE1057" s="301"/>
      <c r="BF1057" s="301"/>
      <c r="BG1057" s="209"/>
      <c r="BH1057" s="301"/>
      <c r="BI1057" s="210"/>
      <c r="BJ1057" s="214"/>
      <c r="BK1057" s="212"/>
      <c r="BL1057" s="215"/>
      <c r="BM1057" s="216"/>
      <c r="BN1057" s="215"/>
      <c r="BO1057" s="215"/>
      <c r="BP1057" s="217"/>
      <c r="BQ1057" s="218"/>
      <c r="BR1057" s="219"/>
      <c r="BS1057" s="218"/>
      <c r="BT1057" s="218"/>
      <c r="BU1057" s="218"/>
      <c r="BV1057" s="220"/>
    </row>
    <row r="1058" spans="1:74" x14ac:dyDescent="0.8">
      <c r="A1058" s="64"/>
      <c r="B1058" s="57"/>
      <c r="C1058" s="62"/>
      <c r="F1058" s="70"/>
      <c r="G1058" s="86"/>
      <c r="H1058" s="70"/>
      <c r="I1058" s="86"/>
      <c r="J1058" s="70"/>
      <c r="K1058" s="86"/>
      <c r="N1058" s="83"/>
      <c r="O1058" s="83"/>
      <c r="P1058" s="83"/>
      <c r="Q1058" s="86"/>
      <c r="R1058" s="83"/>
      <c r="S1058" s="83"/>
      <c r="T1058" s="70"/>
      <c r="U1058" s="86"/>
      <c r="V1058" s="70"/>
      <c r="W1058" s="86"/>
      <c r="X1058" s="126"/>
      <c r="Y1058" s="208"/>
      <c r="Z1058" s="126"/>
      <c r="AA1058" s="208"/>
      <c r="AB1058" s="126"/>
      <c r="AC1058" s="208"/>
      <c r="AD1058" s="209"/>
      <c r="AE1058" s="210"/>
      <c r="AF1058" s="209"/>
      <c r="AG1058" s="210"/>
      <c r="AH1058" s="209"/>
      <c r="AI1058" s="210"/>
      <c r="AJ1058" s="209"/>
      <c r="AK1058" s="210"/>
      <c r="AL1058" s="209"/>
      <c r="AM1058" s="211"/>
      <c r="AN1058" s="209"/>
      <c r="AO1058" s="212"/>
      <c r="AP1058" s="213"/>
      <c r="AQ1058" s="213"/>
      <c r="AR1058" s="209"/>
      <c r="AS1058" s="301"/>
      <c r="AT1058" s="301"/>
      <c r="AU1058" s="209"/>
      <c r="AV1058" s="301"/>
      <c r="AW1058" s="210"/>
      <c r="AX1058" s="301"/>
      <c r="AY1058" s="214"/>
      <c r="AZ1058" s="211"/>
      <c r="BA1058" s="212"/>
      <c r="BB1058" s="212"/>
      <c r="BC1058" s="213"/>
      <c r="BD1058" s="209"/>
      <c r="BE1058" s="301"/>
      <c r="BF1058" s="301"/>
      <c r="BG1058" s="209"/>
      <c r="BH1058" s="301"/>
      <c r="BI1058" s="210"/>
      <c r="BJ1058" s="214"/>
      <c r="BK1058" s="212"/>
      <c r="BL1058" s="215"/>
      <c r="BM1058" s="216"/>
      <c r="BN1058" s="215"/>
      <c r="BO1058" s="215"/>
      <c r="BP1058" s="217"/>
      <c r="BQ1058" s="218"/>
      <c r="BR1058" s="219"/>
      <c r="BS1058" s="218"/>
      <c r="BT1058" s="218"/>
      <c r="BU1058" s="218"/>
      <c r="BV1058" s="220"/>
    </row>
    <row r="1059" spans="1:74" x14ac:dyDescent="0.8">
      <c r="A1059" s="64"/>
      <c r="B1059" s="57"/>
      <c r="C1059" s="62"/>
      <c r="F1059" s="70"/>
      <c r="G1059" s="86"/>
      <c r="H1059" s="70"/>
      <c r="I1059" s="86"/>
      <c r="J1059" s="70"/>
      <c r="K1059" s="86"/>
      <c r="N1059" s="83"/>
      <c r="O1059" s="83"/>
      <c r="P1059" s="83"/>
      <c r="Q1059" s="86"/>
      <c r="R1059" s="83"/>
      <c r="S1059" s="83"/>
      <c r="T1059" s="70"/>
      <c r="U1059" s="86"/>
      <c r="V1059" s="70"/>
      <c r="W1059" s="86"/>
      <c r="X1059" s="126"/>
      <c r="Y1059" s="208"/>
      <c r="Z1059" s="126"/>
      <c r="AA1059" s="208"/>
      <c r="AB1059" s="126"/>
      <c r="AC1059" s="208"/>
      <c r="AD1059" s="209"/>
      <c r="AE1059" s="210"/>
      <c r="AF1059" s="209"/>
      <c r="AG1059" s="210"/>
      <c r="AH1059" s="209"/>
      <c r="AI1059" s="210"/>
      <c r="AJ1059" s="209"/>
      <c r="AK1059" s="210"/>
      <c r="AL1059" s="209"/>
      <c r="AM1059" s="211"/>
      <c r="AN1059" s="209"/>
      <c r="AO1059" s="212"/>
      <c r="AP1059" s="213"/>
      <c r="AQ1059" s="213"/>
      <c r="AR1059" s="209"/>
      <c r="AS1059" s="301"/>
      <c r="AT1059" s="301"/>
      <c r="AU1059" s="209"/>
      <c r="AV1059" s="301"/>
      <c r="AW1059" s="210"/>
      <c r="AX1059" s="301"/>
      <c r="AY1059" s="214"/>
      <c r="AZ1059" s="211"/>
      <c r="BA1059" s="212"/>
      <c r="BB1059" s="212"/>
      <c r="BC1059" s="213"/>
      <c r="BD1059" s="209"/>
      <c r="BE1059" s="301"/>
      <c r="BF1059" s="301"/>
      <c r="BG1059" s="209"/>
      <c r="BH1059" s="301"/>
      <c r="BI1059" s="210"/>
      <c r="BJ1059" s="214"/>
      <c r="BK1059" s="212"/>
      <c r="BL1059" s="215"/>
      <c r="BM1059" s="216"/>
      <c r="BN1059" s="215"/>
      <c r="BO1059" s="215"/>
      <c r="BP1059" s="217"/>
      <c r="BQ1059" s="218"/>
      <c r="BR1059" s="219"/>
      <c r="BS1059" s="218"/>
      <c r="BT1059" s="218"/>
      <c r="BU1059" s="218"/>
      <c r="BV1059" s="220"/>
    </row>
    <row r="1060" spans="1:74" x14ac:dyDescent="0.8">
      <c r="A1060" s="64"/>
      <c r="B1060" s="57"/>
      <c r="C1060" s="62"/>
      <c r="F1060" s="70"/>
      <c r="G1060" s="86"/>
      <c r="H1060" s="70"/>
      <c r="I1060" s="86"/>
      <c r="J1060" s="70"/>
      <c r="K1060" s="86"/>
      <c r="N1060" s="83"/>
      <c r="O1060" s="83"/>
      <c r="P1060" s="83"/>
      <c r="Q1060" s="86"/>
      <c r="R1060" s="83"/>
      <c r="S1060" s="83"/>
      <c r="T1060" s="70"/>
      <c r="U1060" s="86"/>
      <c r="V1060" s="70"/>
      <c r="W1060" s="86"/>
      <c r="X1060" s="126"/>
      <c r="Y1060" s="208"/>
      <c r="Z1060" s="126"/>
      <c r="AA1060" s="208"/>
      <c r="AB1060" s="126"/>
      <c r="AC1060" s="208"/>
      <c r="AD1060" s="209"/>
      <c r="AE1060" s="210"/>
      <c r="AF1060" s="209"/>
      <c r="AG1060" s="210"/>
      <c r="AH1060" s="209"/>
      <c r="AI1060" s="210"/>
      <c r="AJ1060" s="209"/>
      <c r="AK1060" s="210"/>
      <c r="AL1060" s="209"/>
      <c r="AM1060" s="211"/>
      <c r="AN1060" s="209"/>
      <c r="AO1060" s="212"/>
      <c r="AP1060" s="213"/>
      <c r="AQ1060" s="213"/>
      <c r="AR1060" s="209"/>
      <c r="AS1060" s="301"/>
      <c r="AT1060" s="301"/>
      <c r="AU1060" s="209"/>
      <c r="AV1060" s="301"/>
      <c r="AW1060" s="210"/>
      <c r="AX1060" s="301"/>
      <c r="AY1060" s="214"/>
      <c r="AZ1060" s="211"/>
      <c r="BA1060" s="212"/>
      <c r="BB1060" s="212"/>
      <c r="BC1060" s="213"/>
      <c r="BD1060" s="209"/>
      <c r="BE1060" s="301"/>
      <c r="BF1060" s="301"/>
      <c r="BG1060" s="209"/>
      <c r="BH1060" s="301"/>
      <c r="BI1060" s="210"/>
      <c r="BJ1060" s="214"/>
      <c r="BK1060" s="212"/>
      <c r="BL1060" s="215"/>
      <c r="BM1060" s="216"/>
      <c r="BN1060" s="215"/>
      <c r="BO1060" s="215"/>
      <c r="BP1060" s="217"/>
      <c r="BQ1060" s="218"/>
      <c r="BR1060" s="219"/>
      <c r="BS1060" s="218"/>
      <c r="BT1060" s="218"/>
      <c r="BU1060" s="218"/>
      <c r="BV1060" s="220"/>
    </row>
    <row r="1061" spans="1:74" x14ac:dyDescent="0.8">
      <c r="A1061" s="64"/>
      <c r="B1061" s="57"/>
      <c r="C1061" s="62"/>
      <c r="F1061" s="70"/>
      <c r="G1061" s="86"/>
      <c r="H1061" s="70"/>
      <c r="I1061" s="86"/>
      <c r="J1061" s="70"/>
      <c r="K1061" s="86"/>
      <c r="N1061" s="83"/>
      <c r="O1061" s="83"/>
      <c r="P1061" s="83"/>
      <c r="Q1061" s="86"/>
      <c r="R1061" s="83"/>
      <c r="S1061" s="83"/>
      <c r="T1061" s="70"/>
      <c r="U1061" s="86"/>
      <c r="V1061" s="70"/>
      <c r="W1061" s="86"/>
      <c r="X1061" s="126"/>
      <c r="Y1061" s="208"/>
      <c r="Z1061" s="126"/>
      <c r="AA1061" s="208"/>
      <c r="AB1061" s="126"/>
      <c r="AC1061" s="208"/>
      <c r="AD1061" s="209"/>
      <c r="AE1061" s="210"/>
      <c r="AF1061" s="209"/>
      <c r="AG1061" s="210"/>
      <c r="AH1061" s="209"/>
      <c r="AI1061" s="210"/>
      <c r="AJ1061" s="209"/>
      <c r="AK1061" s="210"/>
      <c r="AL1061" s="209"/>
      <c r="AM1061" s="211"/>
      <c r="AN1061" s="209"/>
      <c r="AO1061" s="212"/>
      <c r="AP1061" s="213"/>
      <c r="AQ1061" s="213"/>
      <c r="AR1061" s="209"/>
      <c r="AS1061" s="301"/>
      <c r="AT1061" s="301"/>
      <c r="AU1061" s="209"/>
      <c r="AV1061" s="301"/>
      <c r="AW1061" s="210"/>
      <c r="AX1061" s="301"/>
      <c r="AY1061" s="214"/>
      <c r="AZ1061" s="211"/>
      <c r="BA1061" s="212"/>
      <c r="BB1061" s="212"/>
      <c r="BC1061" s="213"/>
      <c r="BD1061" s="209"/>
      <c r="BE1061" s="301"/>
      <c r="BF1061" s="301"/>
      <c r="BG1061" s="209"/>
      <c r="BH1061" s="301"/>
      <c r="BI1061" s="210"/>
      <c r="BJ1061" s="214"/>
      <c r="BK1061" s="212"/>
      <c r="BL1061" s="215"/>
      <c r="BM1061" s="216"/>
      <c r="BN1061" s="215"/>
      <c r="BO1061" s="215"/>
      <c r="BP1061" s="217"/>
      <c r="BQ1061" s="218"/>
      <c r="BR1061" s="219"/>
      <c r="BS1061" s="218"/>
      <c r="BT1061" s="218"/>
      <c r="BU1061" s="218"/>
      <c r="BV1061" s="220"/>
    </row>
    <row r="1062" spans="1:74" x14ac:dyDescent="0.8">
      <c r="A1062" s="64"/>
      <c r="B1062" s="57"/>
      <c r="C1062" s="62"/>
      <c r="F1062" s="70"/>
      <c r="G1062" s="86"/>
      <c r="H1062" s="70"/>
      <c r="I1062" s="86"/>
      <c r="J1062" s="70"/>
      <c r="K1062" s="86"/>
      <c r="N1062" s="83"/>
      <c r="O1062" s="83"/>
      <c r="P1062" s="83"/>
      <c r="Q1062" s="86"/>
      <c r="R1062" s="83"/>
      <c r="S1062" s="83"/>
      <c r="T1062" s="70"/>
      <c r="U1062" s="86"/>
      <c r="V1062" s="70"/>
      <c r="W1062" s="86"/>
      <c r="X1062" s="126"/>
      <c r="Y1062" s="208"/>
      <c r="Z1062" s="126"/>
      <c r="AA1062" s="208"/>
      <c r="AB1062" s="126"/>
      <c r="AC1062" s="208"/>
      <c r="AD1062" s="209"/>
      <c r="AE1062" s="210"/>
      <c r="AF1062" s="209"/>
      <c r="AG1062" s="210"/>
      <c r="AH1062" s="209"/>
      <c r="AI1062" s="210"/>
      <c r="AJ1062" s="209"/>
      <c r="AK1062" s="210"/>
      <c r="AL1062" s="209"/>
      <c r="AM1062" s="211"/>
      <c r="AN1062" s="209"/>
      <c r="AO1062" s="212"/>
      <c r="AP1062" s="213"/>
      <c r="AQ1062" s="213"/>
      <c r="AR1062" s="209"/>
      <c r="AS1062" s="301"/>
      <c r="AT1062" s="301"/>
      <c r="AU1062" s="209"/>
      <c r="AV1062" s="301"/>
      <c r="AW1062" s="210"/>
      <c r="AX1062" s="301"/>
      <c r="AY1062" s="214"/>
      <c r="AZ1062" s="211"/>
      <c r="BA1062" s="212"/>
      <c r="BB1062" s="212"/>
      <c r="BC1062" s="213"/>
      <c r="BD1062" s="209"/>
      <c r="BE1062" s="301"/>
      <c r="BF1062" s="301"/>
      <c r="BG1062" s="209"/>
      <c r="BH1062" s="301"/>
      <c r="BI1062" s="210"/>
      <c r="BJ1062" s="214"/>
      <c r="BK1062" s="212"/>
      <c r="BL1062" s="215"/>
      <c r="BM1062" s="216"/>
      <c r="BN1062" s="215"/>
      <c r="BO1062" s="215"/>
      <c r="BP1062" s="217"/>
      <c r="BQ1062" s="218"/>
      <c r="BR1062" s="219"/>
      <c r="BS1062" s="218"/>
      <c r="BT1062" s="218"/>
      <c r="BU1062" s="218"/>
      <c r="BV1062" s="220"/>
    </row>
    <row r="1063" spans="1:74" x14ac:dyDescent="0.8">
      <c r="A1063" s="64"/>
      <c r="B1063" s="57"/>
      <c r="C1063" s="62"/>
      <c r="F1063" s="70"/>
      <c r="G1063" s="86"/>
      <c r="H1063" s="70"/>
      <c r="I1063" s="86"/>
      <c r="J1063" s="70"/>
      <c r="K1063" s="86"/>
      <c r="N1063" s="83"/>
      <c r="O1063" s="83"/>
      <c r="P1063" s="83"/>
      <c r="Q1063" s="86"/>
      <c r="R1063" s="83"/>
      <c r="S1063" s="83"/>
      <c r="T1063" s="70"/>
      <c r="U1063" s="86"/>
      <c r="V1063" s="70"/>
      <c r="W1063" s="86"/>
      <c r="X1063" s="126"/>
      <c r="Y1063" s="208"/>
      <c r="Z1063" s="126"/>
      <c r="AA1063" s="208"/>
      <c r="AB1063" s="126"/>
      <c r="AC1063" s="208"/>
      <c r="AD1063" s="209"/>
      <c r="AE1063" s="210"/>
      <c r="AF1063" s="209"/>
      <c r="AG1063" s="210"/>
      <c r="AH1063" s="209"/>
      <c r="AI1063" s="210"/>
      <c r="AJ1063" s="209"/>
      <c r="AK1063" s="210"/>
      <c r="AL1063" s="209"/>
      <c r="AM1063" s="211"/>
      <c r="AN1063" s="209"/>
      <c r="AO1063" s="212"/>
      <c r="AP1063" s="213"/>
      <c r="AQ1063" s="213"/>
      <c r="AR1063" s="209"/>
      <c r="AS1063" s="301"/>
      <c r="AT1063" s="301"/>
      <c r="AU1063" s="209"/>
      <c r="AV1063" s="301"/>
      <c r="AW1063" s="210"/>
      <c r="AX1063" s="301"/>
      <c r="AY1063" s="214"/>
      <c r="AZ1063" s="211"/>
      <c r="BA1063" s="212"/>
      <c r="BB1063" s="212"/>
      <c r="BC1063" s="213"/>
      <c r="BD1063" s="209"/>
      <c r="BE1063" s="301"/>
      <c r="BF1063" s="301"/>
      <c r="BG1063" s="209"/>
      <c r="BH1063" s="301"/>
      <c r="BI1063" s="210"/>
      <c r="BJ1063" s="214"/>
      <c r="BK1063" s="212"/>
      <c r="BL1063" s="215"/>
      <c r="BM1063" s="216"/>
      <c r="BN1063" s="215"/>
      <c r="BO1063" s="215"/>
      <c r="BP1063" s="217"/>
      <c r="BQ1063" s="218"/>
      <c r="BR1063" s="219"/>
      <c r="BS1063" s="218"/>
      <c r="BT1063" s="218"/>
      <c r="BU1063" s="218"/>
      <c r="BV1063" s="220"/>
    </row>
    <row r="1064" spans="1:74" x14ac:dyDescent="0.8">
      <c r="A1064" s="64"/>
      <c r="B1064" s="57"/>
      <c r="C1064" s="62"/>
      <c r="F1064" s="70"/>
      <c r="G1064" s="86"/>
      <c r="H1064" s="70"/>
      <c r="I1064" s="86"/>
      <c r="J1064" s="70"/>
      <c r="K1064" s="86"/>
      <c r="N1064" s="83"/>
      <c r="O1064" s="83"/>
      <c r="P1064" s="83"/>
      <c r="Q1064" s="86"/>
      <c r="R1064" s="83"/>
      <c r="S1064" s="83"/>
      <c r="T1064" s="70"/>
      <c r="U1064" s="86"/>
      <c r="V1064" s="70"/>
      <c r="W1064" s="86"/>
      <c r="X1064" s="126"/>
      <c r="Y1064" s="208"/>
      <c r="Z1064" s="126"/>
      <c r="AA1064" s="208"/>
      <c r="AB1064" s="126"/>
      <c r="AC1064" s="208"/>
      <c r="AD1064" s="209"/>
      <c r="AE1064" s="210"/>
      <c r="AF1064" s="209"/>
      <c r="AG1064" s="210"/>
      <c r="AH1064" s="209"/>
      <c r="AI1064" s="210"/>
      <c r="AJ1064" s="209"/>
      <c r="AK1064" s="210"/>
      <c r="AL1064" s="209"/>
      <c r="AM1064" s="211"/>
      <c r="AN1064" s="209"/>
      <c r="AO1064" s="212"/>
      <c r="AP1064" s="213"/>
      <c r="AQ1064" s="213"/>
      <c r="AR1064" s="209"/>
      <c r="AS1064" s="301"/>
      <c r="AT1064" s="301"/>
      <c r="AU1064" s="209"/>
      <c r="AV1064" s="301"/>
      <c r="AW1064" s="210"/>
      <c r="AX1064" s="301"/>
      <c r="AY1064" s="214"/>
      <c r="AZ1064" s="211"/>
      <c r="BA1064" s="212"/>
      <c r="BB1064" s="212"/>
      <c r="BC1064" s="213"/>
      <c r="BD1064" s="209"/>
      <c r="BE1064" s="301"/>
      <c r="BF1064" s="301"/>
      <c r="BG1064" s="209"/>
      <c r="BH1064" s="301"/>
      <c r="BI1064" s="210"/>
      <c r="BJ1064" s="214"/>
      <c r="BK1064" s="212"/>
      <c r="BL1064" s="215"/>
      <c r="BM1064" s="216"/>
      <c r="BN1064" s="215"/>
      <c r="BO1064" s="215"/>
      <c r="BP1064" s="217"/>
      <c r="BQ1064" s="218"/>
      <c r="BR1064" s="219"/>
      <c r="BS1064" s="218"/>
      <c r="BT1064" s="218"/>
      <c r="BU1064" s="218"/>
      <c r="BV1064" s="220"/>
    </row>
    <row r="1065" spans="1:74" x14ac:dyDescent="0.8">
      <c r="A1065" s="64"/>
      <c r="B1065" s="57"/>
      <c r="C1065" s="62"/>
      <c r="F1065" s="70"/>
      <c r="G1065" s="86"/>
      <c r="H1065" s="70"/>
      <c r="I1065" s="86"/>
      <c r="J1065" s="70"/>
      <c r="K1065" s="86"/>
      <c r="N1065" s="83"/>
      <c r="O1065" s="83"/>
      <c r="P1065" s="83"/>
      <c r="Q1065" s="86"/>
      <c r="R1065" s="83"/>
      <c r="S1065" s="83"/>
      <c r="T1065" s="70"/>
      <c r="U1065" s="86"/>
      <c r="V1065" s="70"/>
      <c r="W1065" s="86"/>
      <c r="X1065" s="126"/>
      <c r="Y1065" s="208"/>
      <c r="Z1065" s="126"/>
      <c r="AA1065" s="208"/>
      <c r="AB1065" s="126"/>
      <c r="AC1065" s="208"/>
      <c r="AD1065" s="209"/>
      <c r="AE1065" s="210"/>
      <c r="AF1065" s="209"/>
      <c r="AG1065" s="210"/>
      <c r="AH1065" s="209"/>
      <c r="AI1065" s="210"/>
      <c r="AJ1065" s="209"/>
      <c r="AK1065" s="210"/>
      <c r="AL1065" s="209"/>
      <c r="AM1065" s="211"/>
      <c r="AN1065" s="209"/>
      <c r="AO1065" s="212"/>
      <c r="AP1065" s="213"/>
      <c r="AQ1065" s="213"/>
      <c r="AR1065" s="209"/>
      <c r="AS1065" s="301"/>
      <c r="AT1065" s="301"/>
      <c r="AU1065" s="209"/>
      <c r="AV1065" s="301"/>
      <c r="AW1065" s="210"/>
      <c r="AX1065" s="301"/>
      <c r="AY1065" s="214"/>
      <c r="AZ1065" s="211"/>
      <c r="BA1065" s="212"/>
      <c r="BB1065" s="212"/>
      <c r="BC1065" s="213"/>
      <c r="BD1065" s="209"/>
      <c r="BE1065" s="301"/>
      <c r="BF1065" s="301"/>
      <c r="BG1065" s="209"/>
      <c r="BH1065" s="301"/>
      <c r="BI1065" s="210"/>
      <c r="BJ1065" s="214"/>
      <c r="BK1065" s="212"/>
      <c r="BL1065" s="215"/>
      <c r="BM1065" s="216"/>
      <c r="BN1065" s="215"/>
      <c r="BO1065" s="215"/>
      <c r="BP1065" s="217"/>
      <c r="BQ1065" s="218"/>
      <c r="BR1065" s="219"/>
      <c r="BS1065" s="218"/>
      <c r="BT1065" s="218"/>
      <c r="BU1065" s="218"/>
      <c r="BV1065" s="220"/>
    </row>
    <row r="1066" spans="1:74" x14ac:dyDescent="0.8">
      <c r="A1066" s="64"/>
      <c r="B1066" s="57"/>
      <c r="C1066" s="62"/>
      <c r="F1066" s="70"/>
      <c r="G1066" s="86"/>
      <c r="H1066" s="70"/>
      <c r="I1066" s="86"/>
      <c r="J1066" s="70"/>
      <c r="K1066" s="86"/>
      <c r="N1066" s="83"/>
      <c r="O1066" s="83"/>
      <c r="P1066" s="83"/>
      <c r="Q1066" s="86"/>
      <c r="R1066" s="83"/>
      <c r="S1066" s="83"/>
      <c r="T1066" s="70"/>
      <c r="U1066" s="86"/>
      <c r="V1066" s="70"/>
      <c r="W1066" s="86"/>
      <c r="X1066" s="126"/>
      <c r="Y1066" s="208"/>
      <c r="Z1066" s="126"/>
      <c r="AA1066" s="208"/>
      <c r="AB1066" s="126"/>
      <c r="AC1066" s="208"/>
      <c r="AD1066" s="209"/>
      <c r="AE1066" s="210"/>
      <c r="AF1066" s="209"/>
      <c r="AG1066" s="210"/>
      <c r="AH1066" s="209"/>
      <c r="AI1066" s="210"/>
      <c r="AJ1066" s="209"/>
      <c r="AK1066" s="210"/>
      <c r="AL1066" s="209"/>
      <c r="AM1066" s="211"/>
      <c r="AN1066" s="209"/>
      <c r="AO1066" s="212"/>
      <c r="AP1066" s="213"/>
      <c r="AQ1066" s="213"/>
      <c r="AR1066" s="209"/>
      <c r="AS1066" s="301"/>
      <c r="AT1066" s="301"/>
      <c r="AU1066" s="209"/>
      <c r="AV1066" s="301"/>
      <c r="AW1066" s="210"/>
      <c r="AX1066" s="301"/>
      <c r="AY1066" s="214"/>
      <c r="AZ1066" s="211"/>
      <c r="BA1066" s="212"/>
      <c r="BB1066" s="212"/>
      <c r="BC1066" s="213"/>
      <c r="BD1066" s="209"/>
      <c r="BE1066" s="301"/>
      <c r="BF1066" s="301"/>
      <c r="BG1066" s="209"/>
      <c r="BH1066" s="301"/>
      <c r="BI1066" s="210"/>
      <c r="BJ1066" s="214"/>
      <c r="BK1066" s="212"/>
      <c r="BL1066" s="215"/>
      <c r="BM1066" s="216"/>
      <c r="BN1066" s="215"/>
      <c r="BO1066" s="215"/>
      <c r="BP1066" s="217"/>
      <c r="BQ1066" s="218"/>
      <c r="BR1066" s="219"/>
      <c r="BS1066" s="218"/>
      <c r="BT1066" s="218"/>
      <c r="BU1066" s="218"/>
      <c r="BV1066" s="220"/>
    </row>
    <row r="1067" spans="1:74" x14ac:dyDescent="0.8">
      <c r="A1067" s="64"/>
      <c r="B1067" s="57"/>
      <c r="C1067" s="62"/>
      <c r="F1067" s="70"/>
      <c r="G1067" s="86"/>
      <c r="H1067" s="70"/>
      <c r="I1067" s="86"/>
      <c r="J1067" s="70"/>
      <c r="K1067" s="86"/>
      <c r="N1067" s="83"/>
      <c r="O1067" s="83"/>
      <c r="P1067" s="83"/>
      <c r="Q1067" s="86"/>
      <c r="R1067" s="83"/>
      <c r="S1067" s="83"/>
      <c r="T1067" s="70"/>
      <c r="U1067" s="86"/>
      <c r="V1067" s="70"/>
      <c r="W1067" s="86"/>
      <c r="X1067" s="126"/>
      <c r="Y1067" s="208"/>
      <c r="Z1067" s="126"/>
      <c r="AA1067" s="208"/>
      <c r="AB1067" s="126"/>
      <c r="AC1067" s="208"/>
      <c r="AD1067" s="209"/>
      <c r="AE1067" s="210"/>
      <c r="AF1067" s="209"/>
      <c r="AG1067" s="210"/>
      <c r="AH1067" s="209"/>
      <c r="AI1067" s="210"/>
      <c r="AJ1067" s="209"/>
      <c r="AK1067" s="210"/>
      <c r="AL1067" s="209"/>
      <c r="AM1067" s="211"/>
      <c r="AN1067" s="209"/>
      <c r="AO1067" s="212"/>
      <c r="AP1067" s="213"/>
      <c r="AQ1067" s="213"/>
      <c r="AR1067" s="209"/>
      <c r="AS1067" s="301"/>
      <c r="AT1067" s="301"/>
      <c r="AU1067" s="209"/>
      <c r="AV1067" s="301"/>
      <c r="AW1067" s="210"/>
      <c r="AX1067" s="301"/>
      <c r="AY1067" s="214"/>
      <c r="AZ1067" s="211"/>
      <c r="BA1067" s="212"/>
      <c r="BB1067" s="212"/>
      <c r="BC1067" s="213"/>
      <c r="BD1067" s="209"/>
      <c r="BE1067" s="301"/>
      <c r="BF1067" s="301"/>
      <c r="BG1067" s="209"/>
      <c r="BH1067" s="301"/>
      <c r="BI1067" s="210"/>
      <c r="BJ1067" s="214"/>
      <c r="BK1067" s="212"/>
      <c r="BL1067" s="215"/>
      <c r="BM1067" s="216"/>
      <c r="BN1067" s="215"/>
      <c r="BO1067" s="215"/>
      <c r="BP1067" s="217"/>
      <c r="BQ1067" s="218"/>
      <c r="BR1067" s="219"/>
      <c r="BS1067" s="218"/>
      <c r="BT1067" s="218"/>
      <c r="BU1067" s="218"/>
      <c r="BV1067" s="220"/>
    </row>
    <row r="1068" spans="1:74" x14ac:dyDescent="0.8">
      <c r="A1068" s="64"/>
      <c r="B1068" s="57"/>
      <c r="C1068" s="62"/>
      <c r="F1068" s="70"/>
      <c r="G1068" s="86"/>
      <c r="H1068" s="70"/>
      <c r="I1068" s="86"/>
      <c r="J1068" s="70"/>
      <c r="K1068" s="86"/>
      <c r="N1068" s="83"/>
      <c r="O1068" s="83"/>
      <c r="P1068" s="83"/>
      <c r="Q1068" s="86"/>
      <c r="R1068" s="83"/>
      <c r="S1068" s="83"/>
      <c r="T1068" s="70"/>
      <c r="U1068" s="86"/>
      <c r="V1068" s="70"/>
      <c r="W1068" s="86"/>
      <c r="X1068" s="126"/>
      <c r="Y1068" s="208"/>
      <c r="Z1068" s="126"/>
      <c r="AA1068" s="208"/>
      <c r="AB1068" s="126"/>
      <c r="AC1068" s="208"/>
      <c r="AD1068" s="209"/>
      <c r="AE1068" s="210"/>
      <c r="AF1068" s="209"/>
      <c r="AG1068" s="210"/>
      <c r="AH1068" s="209"/>
      <c r="AI1068" s="210"/>
      <c r="AJ1068" s="209"/>
      <c r="AK1068" s="210"/>
      <c r="AL1068" s="209"/>
      <c r="AM1068" s="211"/>
      <c r="AN1068" s="209"/>
      <c r="AO1068" s="212"/>
      <c r="AP1068" s="213"/>
      <c r="AQ1068" s="213"/>
      <c r="AR1068" s="209"/>
      <c r="AS1068" s="301"/>
      <c r="AT1068" s="301"/>
      <c r="AU1068" s="209"/>
      <c r="AV1068" s="301"/>
      <c r="AW1068" s="210"/>
      <c r="AX1068" s="301"/>
      <c r="AY1068" s="214"/>
      <c r="AZ1068" s="211"/>
      <c r="BA1068" s="212"/>
      <c r="BB1068" s="212"/>
      <c r="BC1068" s="213"/>
      <c r="BD1068" s="209"/>
      <c r="BE1068" s="301"/>
      <c r="BF1068" s="301"/>
      <c r="BG1068" s="209"/>
      <c r="BH1068" s="301"/>
      <c r="BI1068" s="210"/>
      <c r="BJ1068" s="214"/>
      <c r="BK1068" s="212"/>
      <c r="BL1068" s="215"/>
      <c r="BM1068" s="216"/>
      <c r="BN1068" s="215"/>
      <c r="BO1068" s="215"/>
      <c r="BP1068" s="217"/>
      <c r="BQ1068" s="218"/>
      <c r="BR1068" s="219"/>
      <c r="BS1068" s="218"/>
      <c r="BT1068" s="218"/>
      <c r="BU1068" s="218"/>
      <c r="BV1068" s="220"/>
    </row>
    <row r="1069" spans="1:74" x14ac:dyDescent="0.8">
      <c r="A1069" s="64"/>
      <c r="B1069" s="57"/>
      <c r="C1069" s="62"/>
      <c r="F1069" s="70"/>
      <c r="G1069" s="86"/>
      <c r="H1069" s="70"/>
      <c r="I1069" s="86"/>
      <c r="J1069" s="70"/>
      <c r="K1069" s="86"/>
      <c r="N1069" s="83"/>
      <c r="O1069" s="83"/>
      <c r="P1069" s="83"/>
      <c r="Q1069" s="86"/>
      <c r="R1069" s="83"/>
      <c r="S1069" s="83"/>
      <c r="T1069" s="70"/>
      <c r="U1069" s="86"/>
      <c r="V1069" s="70"/>
      <c r="W1069" s="86"/>
      <c r="X1069" s="126"/>
      <c r="Y1069" s="208"/>
      <c r="Z1069" s="126"/>
      <c r="AA1069" s="208"/>
      <c r="AB1069" s="126"/>
      <c r="AC1069" s="208"/>
      <c r="AD1069" s="209"/>
      <c r="AE1069" s="210"/>
      <c r="AF1069" s="209"/>
      <c r="AG1069" s="210"/>
      <c r="AH1069" s="209"/>
      <c r="AI1069" s="210"/>
      <c r="AJ1069" s="209"/>
      <c r="AK1069" s="210"/>
      <c r="AL1069" s="209"/>
      <c r="AM1069" s="211"/>
      <c r="AN1069" s="209"/>
      <c r="AO1069" s="212"/>
      <c r="AP1069" s="213"/>
      <c r="AQ1069" s="213"/>
      <c r="AR1069" s="209"/>
      <c r="AS1069" s="301"/>
      <c r="AT1069" s="301"/>
      <c r="AU1069" s="209"/>
      <c r="AV1069" s="301"/>
      <c r="AW1069" s="210"/>
      <c r="AX1069" s="301"/>
      <c r="AY1069" s="214"/>
      <c r="AZ1069" s="211"/>
      <c r="BA1069" s="212"/>
      <c r="BB1069" s="212"/>
      <c r="BC1069" s="213"/>
      <c r="BD1069" s="209"/>
      <c r="BE1069" s="301"/>
      <c r="BF1069" s="301"/>
      <c r="BG1069" s="209"/>
      <c r="BH1069" s="301"/>
      <c r="BI1069" s="210"/>
      <c r="BJ1069" s="214"/>
      <c r="BK1069" s="212"/>
      <c r="BL1069" s="215"/>
      <c r="BM1069" s="216"/>
      <c r="BN1069" s="215"/>
      <c r="BO1069" s="215"/>
      <c r="BP1069" s="217"/>
      <c r="BQ1069" s="218"/>
      <c r="BR1069" s="219"/>
      <c r="BS1069" s="218"/>
      <c r="BT1069" s="218"/>
      <c r="BU1069" s="218"/>
      <c r="BV1069" s="220"/>
    </row>
    <row r="1070" spans="1:74" x14ac:dyDescent="0.8">
      <c r="A1070" s="64"/>
      <c r="B1070" s="57"/>
      <c r="C1070" s="62"/>
      <c r="F1070" s="70"/>
      <c r="G1070" s="86"/>
      <c r="H1070" s="70"/>
      <c r="I1070" s="86"/>
      <c r="J1070" s="70"/>
      <c r="K1070" s="86"/>
      <c r="N1070" s="83"/>
      <c r="O1070" s="83"/>
      <c r="P1070" s="83"/>
      <c r="Q1070" s="86"/>
      <c r="R1070" s="83"/>
      <c r="S1070" s="83"/>
      <c r="T1070" s="70"/>
      <c r="U1070" s="86"/>
      <c r="V1070" s="70"/>
      <c r="W1070" s="86"/>
      <c r="X1070" s="126"/>
      <c r="Y1070" s="208"/>
      <c r="Z1070" s="126"/>
      <c r="AA1070" s="208"/>
      <c r="AB1070" s="126"/>
      <c r="AC1070" s="208"/>
      <c r="AD1070" s="209"/>
      <c r="AE1070" s="210"/>
      <c r="AF1070" s="209"/>
      <c r="AG1070" s="210"/>
      <c r="AH1070" s="209"/>
      <c r="AI1070" s="210"/>
      <c r="AJ1070" s="209"/>
      <c r="AK1070" s="210"/>
      <c r="AL1070" s="209"/>
      <c r="AM1070" s="211"/>
      <c r="AN1070" s="209"/>
      <c r="AO1070" s="212"/>
      <c r="AP1070" s="213"/>
      <c r="AQ1070" s="213"/>
      <c r="AR1070" s="209"/>
      <c r="AS1070" s="301"/>
      <c r="AT1070" s="301"/>
      <c r="AU1070" s="209"/>
      <c r="AV1070" s="301"/>
      <c r="AW1070" s="210"/>
      <c r="AX1070" s="301"/>
      <c r="AY1070" s="214"/>
      <c r="AZ1070" s="211"/>
      <c r="BA1070" s="212"/>
      <c r="BB1070" s="212"/>
      <c r="BC1070" s="213"/>
      <c r="BD1070" s="209"/>
      <c r="BE1070" s="301"/>
      <c r="BF1070" s="301"/>
      <c r="BG1070" s="209"/>
      <c r="BH1070" s="301"/>
      <c r="BI1070" s="210"/>
      <c r="BJ1070" s="214"/>
      <c r="BK1070" s="212"/>
      <c r="BL1070" s="215"/>
      <c r="BM1070" s="216"/>
      <c r="BN1070" s="215"/>
      <c r="BO1070" s="215"/>
      <c r="BP1070" s="217"/>
      <c r="BQ1070" s="218"/>
      <c r="BR1070" s="219"/>
      <c r="BS1070" s="218"/>
      <c r="BT1070" s="218"/>
      <c r="BU1070" s="218"/>
      <c r="BV1070" s="220"/>
    </row>
    <row r="1071" spans="1:74" x14ac:dyDescent="0.8">
      <c r="A1071" s="64"/>
      <c r="B1071" s="57"/>
      <c r="C1071" s="62"/>
      <c r="F1071" s="70"/>
      <c r="G1071" s="86"/>
      <c r="H1071" s="70"/>
      <c r="I1071" s="86"/>
      <c r="J1071" s="70"/>
      <c r="K1071" s="86"/>
      <c r="N1071" s="83"/>
      <c r="O1071" s="83"/>
      <c r="P1071" s="83"/>
      <c r="Q1071" s="86"/>
      <c r="R1071" s="83"/>
      <c r="S1071" s="83"/>
      <c r="T1071" s="70"/>
      <c r="U1071" s="86"/>
      <c r="V1071" s="70"/>
      <c r="W1071" s="86"/>
      <c r="X1071" s="126"/>
      <c r="Y1071" s="208"/>
      <c r="Z1071" s="126"/>
      <c r="AA1071" s="208"/>
      <c r="AB1071" s="126"/>
      <c r="AC1071" s="208"/>
      <c r="AD1071" s="209"/>
      <c r="AE1071" s="210"/>
      <c r="AF1071" s="209"/>
      <c r="AG1071" s="210"/>
      <c r="AH1071" s="209"/>
      <c r="AI1071" s="210"/>
      <c r="AJ1071" s="209"/>
      <c r="AK1071" s="210"/>
      <c r="AL1071" s="209"/>
      <c r="AM1071" s="211"/>
      <c r="AN1071" s="209"/>
      <c r="AO1071" s="212"/>
      <c r="AP1071" s="213"/>
      <c r="AQ1071" s="213"/>
      <c r="AR1071" s="209"/>
      <c r="AS1071" s="301"/>
      <c r="AT1071" s="301"/>
      <c r="AU1071" s="209"/>
      <c r="AV1071" s="301"/>
      <c r="AW1071" s="210"/>
      <c r="AX1071" s="301"/>
      <c r="AY1071" s="214"/>
      <c r="AZ1071" s="211"/>
      <c r="BA1071" s="212"/>
      <c r="BB1071" s="212"/>
      <c r="BC1071" s="213"/>
      <c r="BD1071" s="209"/>
      <c r="BE1071" s="301"/>
      <c r="BF1071" s="301"/>
      <c r="BG1071" s="209"/>
      <c r="BH1071" s="301"/>
      <c r="BI1071" s="210"/>
      <c r="BJ1071" s="214"/>
      <c r="BK1071" s="212"/>
      <c r="BL1071" s="215"/>
      <c r="BM1071" s="216"/>
      <c r="BN1071" s="215"/>
      <c r="BO1071" s="215"/>
      <c r="BP1071" s="217"/>
      <c r="BQ1071" s="218"/>
      <c r="BR1071" s="219"/>
      <c r="BS1071" s="218"/>
      <c r="BT1071" s="218"/>
      <c r="BU1071" s="218"/>
      <c r="BV1071" s="220"/>
    </row>
    <row r="1072" spans="1:74" x14ac:dyDescent="0.8">
      <c r="A1072" s="64"/>
      <c r="B1072" s="57"/>
      <c r="C1072" s="62"/>
      <c r="F1072" s="70"/>
      <c r="G1072" s="86"/>
      <c r="H1072" s="70"/>
      <c r="I1072" s="86"/>
      <c r="J1072" s="70"/>
      <c r="K1072" s="86"/>
      <c r="N1072" s="83"/>
      <c r="O1072" s="83"/>
      <c r="P1072" s="83"/>
      <c r="Q1072" s="86"/>
      <c r="R1072" s="83"/>
      <c r="S1072" s="83"/>
      <c r="T1072" s="70"/>
      <c r="U1072" s="86"/>
      <c r="V1072" s="70"/>
      <c r="W1072" s="86"/>
      <c r="X1072" s="126"/>
      <c r="Y1072" s="208"/>
      <c r="Z1072" s="126"/>
      <c r="AA1072" s="208"/>
      <c r="AB1072" s="126"/>
      <c r="AC1072" s="208"/>
      <c r="AD1072" s="209"/>
      <c r="AE1072" s="210"/>
      <c r="AF1072" s="209"/>
      <c r="AG1072" s="210"/>
      <c r="AH1072" s="209"/>
      <c r="AI1072" s="210"/>
      <c r="AJ1072" s="209"/>
      <c r="AK1072" s="210"/>
      <c r="AL1072" s="209"/>
      <c r="AM1072" s="211"/>
      <c r="AN1072" s="209"/>
      <c r="AO1072" s="212"/>
      <c r="AP1072" s="213"/>
      <c r="AQ1072" s="213"/>
      <c r="AR1072" s="209"/>
      <c r="AS1072" s="301"/>
      <c r="AT1072" s="301"/>
      <c r="AU1072" s="209"/>
      <c r="AV1072" s="301"/>
      <c r="AW1072" s="210"/>
      <c r="AX1072" s="301"/>
      <c r="AY1072" s="214"/>
      <c r="AZ1072" s="211"/>
      <c r="BA1072" s="212"/>
      <c r="BB1072" s="212"/>
      <c r="BC1072" s="213"/>
      <c r="BD1072" s="209"/>
      <c r="BE1072" s="301"/>
      <c r="BF1072" s="301"/>
      <c r="BG1072" s="209"/>
      <c r="BH1072" s="301"/>
      <c r="BI1072" s="210"/>
      <c r="BJ1072" s="214"/>
      <c r="BK1072" s="212"/>
      <c r="BL1072" s="215"/>
      <c r="BM1072" s="216"/>
      <c r="BN1072" s="215"/>
      <c r="BO1072" s="215"/>
      <c r="BP1072" s="217"/>
      <c r="BQ1072" s="218"/>
      <c r="BR1072" s="219"/>
      <c r="BS1072" s="218"/>
      <c r="BT1072" s="218"/>
      <c r="BU1072" s="218"/>
      <c r="BV1072" s="220"/>
    </row>
    <row r="1073" spans="1:74" x14ac:dyDescent="0.8">
      <c r="A1073" s="64"/>
      <c r="B1073" s="57"/>
      <c r="C1073" s="62"/>
      <c r="F1073" s="70"/>
      <c r="G1073" s="86"/>
      <c r="H1073" s="70"/>
      <c r="I1073" s="86"/>
      <c r="J1073" s="70"/>
      <c r="K1073" s="86"/>
      <c r="N1073" s="83"/>
      <c r="O1073" s="83"/>
      <c r="P1073" s="83"/>
      <c r="Q1073" s="86"/>
      <c r="R1073" s="83"/>
      <c r="S1073" s="83"/>
      <c r="T1073" s="70"/>
      <c r="U1073" s="86"/>
      <c r="V1073" s="70"/>
      <c r="W1073" s="86"/>
      <c r="X1073" s="126"/>
      <c r="Y1073" s="208"/>
      <c r="Z1073" s="126"/>
      <c r="AA1073" s="208"/>
      <c r="AB1073" s="126"/>
      <c r="AC1073" s="208"/>
      <c r="AD1073" s="209"/>
      <c r="AE1073" s="210"/>
      <c r="AF1073" s="209"/>
      <c r="AG1073" s="210"/>
      <c r="AH1073" s="209"/>
      <c r="AI1073" s="210"/>
      <c r="AJ1073" s="209"/>
      <c r="AK1073" s="210"/>
      <c r="AL1073" s="209"/>
      <c r="AM1073" s="211"/>
      <c r="AN1073" s="209"/>
      <c r="AO1073" s="212"/>
      <c r="AP1073" s="213"/>
      <c r="AQ1073" s="213"/>
      <c r="AR1073" s="209"/>
      <c r="AS1073" s="301"/>
      <c r="AT1073" s="301"/>
      <c r="AU1073" s="209"/>
      <c r="AV1073" s="301"/>
      <c r="AW1073" s="210"/>
      <c r="AX1073" s="301"/>
      <c r="AY1073" s="214"/>
      <c r="AZ1073" s="211"/>
      <c r="BA1073" s="212"/>
      <c r="BB1073" s="212"/>
      <c r="BC1073" s="213"/>
      <c r="BD1073" s="209"/>
      <c r="BE1073" s="301"/>
      <c r="BF1073" s="301"/>
      <c r="BG1073" s="209"/>
      <c r="BH1073" s="301"/>
      <c r="BI1073" s="210"/>
      <c r="BJ1073" s="214"/>
      <c r="BK1073" s="212"/>
      <c r="BL1073" s="215"/>
      <c r="BM1073" s="216"/>
      <c r="BN1073" s="215"/>
      <c r="BO1073" s="215"/>
      <c r="BP1073" s="217"/>
      <c r="BQ1073" s="218"/>
      <c r="BR1073" s="219"/>
      <c r="BS1073" s="218"/>
      <c r="BT1073" s="218"/>
      <c r="BU1073" s="218"/>
      <c r="BV1073" s="220"/>
    </row>
    <row r="1074" spans="1:74" x14ac:dyDescent="0.8">
      <c r="A1074" s="64"/>
      <c r="B1074" s="57"/>
      <c r="C1074" s="62"/>
      <c r="F1074" s="70"/>
      <c r="G1074" s="86"/>
      <c r="H1074" s="70"/>
      <c r="I1074" s="86"/>
      <c r="J1074" s="70"/>
      <c r="K1074" s="86"/>
      <c r="N1074" s="83"/>
      <c r="O1074" s="83"/>
      <c r="P1074" s="83"/>
      <c r="Q1074" s="86"/>
      <c r="R1074" s="83"/>
      <c r="S1074" s="83"/>
      <c r="T1074" s="70"/>
      <c r="U1074" s="86"/>
      <c r="V1074" s="70"/>
      <c r="W1074" s="86"/>
      <c r="X1074" s="126"/>
      <c r="Y1074" s="208"/>
      <c r="Z1074" s="126"/>
      <c r="AA1074" s="208"/>
      <c r="AB1074" s="126"/>
      <c r="AC1074" s="208"/>
      <c r="AD1074" s="209"/>
      <c r="AE1074" s="210"/>
      <c r="AF1074" s="209"/>
      <c r="AG1074" s="210"/>
      <c r="AH1074" s="209"/>
      <c r="AI1074" s="210"/>
      <c r="AJ1074" s="209"/>
      <c r="AK1074" s="210"/>
      <c r="AL1074" s="209"/>
      <c r="AM1074" s="211"/>
      <c r="AN1074" s="209"/>
      <c r="AO1074" s="212"/>
      <c r="AP1074" s="213"/>
      <c r="AQ1074" s="213"/>
      <c r="AR1074" s="209"/>
      <c r="AS1074" s="301"/>
      <c r="AT1074" s="301"/>
      <c r="AU1074" s="209"/>
      <c r="AV1074" s="301"/>
      <c r="AW1074" s="210"/>
      <c r="AX1074" s="301"/>
      <c r="AY1074" s="214"/>
      <c r="AZ1074" s="211"/>
      <c r="BA1074" s="212"/>
      <c r="BB1074" s="212"/>
      <c r="BC1074" s="213"/>
      <c r="BD1074" s="209"/>
      <c r="BE1074" s="301"/>
      <c r="BF1074" s="301"/>
      <c r="BG1074" s="209"/>
      <c r="BH1074" s="301"/>
      <c r="BI1074" s="210"/>
      <c r="BJ1074" s="214"/>
      <c r="BK1074" s="212"/>
      <c r="BL1074" s="215"/>
      <c r="BM1074" s="216"/>
      <c r="BN1074" s="215"/>
      <c r="BO1074" s="215"/>
      <c r="BP1074" s="217"/>
      <c r="BQ1074" s="218"/>
      <c r="BR1074" s="219"/>
      <c r="BS1074" s="218"/>
      <c r="BT1074" s="218"/>
      <c r="BU1074" s="218"/>
      <c r="BV1074" s="220"/>
    </row>
    <row r="1075" spans="1:74" x14ac:dyDescent="0.8">
      <c r="A1075" s="64"/>
      <c r="B1075" s="57"/>
      <c r="C1075" s="62"/>
      <c r="F1075" s="70"/>
      <c r="G1075" s="86"/>
      <c r="H1075" s="70"/>
      <c r="I1075" s="86"/>
      <c r="J1075" s="70"/>
      <c r="K1075" s="86"/>
      <c r="N1075" s="83"/>
      <c r="O1075" s="83"/>
      <c r="P1075" s="83"/>
      <c r="Q1075" s="86"/>
      <c r="R1075" s="83"/>
      <c r="S1075" s="83"/>
      <c r="T1075" s="70"/>
      <c r="U1075" s="86"/>
      <c r="V1075" s="70"/>
      <c r="W1075" s="86"/>
      <c r="X1075" s="126"/>
      <c r="Y1075" s="208"/>
      <c r="Z1075" s="126"/>
      <c r="AA1075" s="208"/>
      <c r="AB1075" s="126"/>
      <c r="AC1075" s="208"/>
      <c r="AD1075" s="209"/>
      <c r="AE1075" s="210"/>
      <c r="AF1075" s="209"/>
      <c r="AG1075" s="210"/>
      <c r="AH1075" s="209"/>
      <c r="AI1075" s="210"/>
      <c r="AJ1075" s="209"/>
      <c r="AK1075" s="210"/>
      <c r="AL1075" s="209"/>
      <c r="AM1075" s="211"/>
      <c r="AN1075" s="209"/>
      <c r="AO1075" s="212"/>
      <c r="AP1075" s="213"/>
      <c r="AQ1075" s="213"/>
      <c r="AR1075" s="209"/>
      <c r="AS1075" s="301"/>
      <c r="AT1075" s="301"/>
      <c r="AU1075" s="209"/>
      <c r="AV1075" s="301"/>
      <c r="AW1075" s="210"/>
      <c r="AX1075" s="301"/>
      <c r="AY1075" s="214"/>
      <c r="AZ1075" s="211"/>
      <c r="BA1075" s="212"/>
      <c r="BB1075" s="212"/>
      <c r="BC1075" s="213"/>
      <c r="BD1075" s="209"/>
      <c r="BE1075" s="301"/>
      <c r="BF1075" s="301"/>
      <c r="BG1075" s="209"/>
      <c r="BH1075" s="301"/>
      <c r="BI1075" s="210"/>
      <c r="BJ1075" s="214"/>
      <c r="BK1075" s="212"/>
      <c r="BL1075" s="215"/>
      <c r="BM1075" s="216"/>
      <c r="BN1075" s="215"/>
      <c r="BO1075" s="215"/>
      <c r="BP1075" s="217"/>
      <c r="BQ1075" s="218"/>
      <c r="BR1075" s="219"/>
      <c r="BS1075" s="218"/>
      <c r="BT1075" s="218"/>
      <c r="BU1075" s="218"/>
      <c r="BV1075" s="220"/>
    </row>
    <row r="1076" spans="1:74" x14ac:dyDescent="0.8">
      <c r="A1076" s="64"/>
      <c r="B1076" s="57"/>
      <c r="C1076" s="62"/>
      <c r="F1076" s="70"/>
      <c r="G1076" s="86"/>
      <c r="H1076" s="70"/>
      <c r="I1076" s="86"/>
      <c r="J1076" s="70"/>
      <c r="K1076" s="86"/>
      <c r="N1076" s="83"/>
      <c r="O1076" s="83"/>
      <c r="P1076" s="83"/>
      <c r="Q1076" s="86"/>
      <c r="R1076" s="83"/>
      <c r="S1076" s="83"/>
      <c r="T1076" s="70"/>
      <c r="U1076" s="86"/>
      <c r="V1076" s="70"/>
      <c r="W1076" s="86"/>
      <c r="X1076" s="126"/>
      <c r="Y1076" s="208"/>
      <c r="Z1076" s="126"/>
      <c r="AA1076" s="208"/>
      <c r="AB1076" s="126"/>
      <c r="AC1076" s="208"/>
      <c r="AD1076" s="209"/>
      <c r="AE1076" s="210"/>
      <c r="AF1076" s="209"/>
      <c r="AG1076" s="210"/>
      <c r="AH1076" s="209"/>
      <c r="AI1076" s="210"/>
      <c r="AJ1076" s="209"/>
      <c r="AK1076" s="210"/>
      <c r="AL1076" s="209"/>
      <c r="AM1076" s="211"/>
      <c r="AN1076" s="209"/>
      <c r="AO1076" s="212"/>
      <c r="AP1076" s="213"/>
      <c r="AQ1076" s="213"/>
      <c r="AR1076" s="209"/>
      <c r="AS1076" s="301"/>
      <c r="AT1076" s="301"/>
      <c r="AU1076" s="209"/>
      <c r="AV1076" s="301"/>
      <c r="AW1076" s="210"/>
      <c r="AX1076" s="301"/>
      <c r="AY1076" s="214"/>
      <c r="AZ1076" s="211"/>
      <c r="BA1076" s="212"/>
      <c r="BB1076" s="212"/>
      <c r="BC1076" s="213"/>
      <c r="BD1076" s="209"/>
      <c r="BE1076" s="301"/>
      <c r="BF1076" s="301"/>
      <c r="BG1076" s="209"/>
      <c r="BH1076" s="301"/>
      <c r="BI1076" s="210"/>
      <c r="BJ1076" s="214"/>
      <c r="BK1076" s="212"/>
      <c r="BL1076" s="215"/>
      <c r="BM1076" s="216"/>
      <c r="BN1076" s="215"/>
      <c r="BO1076" s="215"/>
      <c r="BP1076" s="217"/>
      <c r="BQ1076" s="218"/>
      <c r="BR1076" s="219"/>
      <c r="BS1076" s="218"/>
      <c r="BT1076" s="218"/>
      <c r="BU1076" s="218"/>
      <c r="BV1076" s="220"/>
    </row>
    <row r="1077" spans="1:74" x14ac:dyDescent="0.8">
      <c r="A1077" s="64"/>
      <c r="B1077" s="57"/>
      <c r="C1077" s="62"/>
      <c r="F1077" s="70"/>
      <c r="G1077" s="86"/>
      <c r="H1077" s="70"/>
      <c r="I1077" s="86"/>
      <c r="J1077" s="70"/>
      <c r="K1077" s="86"/>
      <c r="N1077" s="83"/>
      <c r="O1077" s="83"/>
      <c r="P1077" s="83"/>
      <c r="Q1077" s="86"/>
      <c r="R1077" s="83"/>
      <c r="S1077" s="83"/>
      <c r="T1077" s="70"/>
      <c r="U1077" s="86"/>
      <c r="V1077" s="70"/>
      <c r="W1077" s="86"/>
      <c r="X1077" s="126"/>
      <c r="Y1077" s="208"/>
      <c r="Z1077" s="126"/>
      <c r="AA1077" s="208"/>
      <c r="AB1077" s="126"/>
      <c r="AC1077" s="208"/>
      <c r="AD1077" s="209"/>
      <c r="AE1077" s="210"/>
      <c r="AF1077" s="209"/>
      <c r="AG1077" s="210"/>
      <c r="AH1077" s="209"/>
      <c r="AI1077" s="210"/>
      <c r="AJ1077" s="209"/>
      <c r="AK1077" s="210"/>
      <c r="AL1077" s="209"/>
      <c r="AM1077" s="211"/>
      <c r="AN1077" s="209"/>
      <c r="AO1077" s="212"/>
      <c r="AP1077" s="213"/>
      <c r="AQ1077" s="213"/>
      <c r="AR1077" s="209"/>
      <c r="AS1077" s="301"/>
      <c r="AT1077" s="301"/>
      <c r="AU1077" s="209"/>
      <c r="AV1077" s="301"/>
      <c r="AW1077" s="210"/>
      <c r="AX1077" s="301"/>
      <c r="AY1077" s="214"/>
      <c r="AZ1077" s="211"/>
      <c r="BA1077" s="212"/>
      <c r="BB1077" s="212"/>
      <c r="BC1077" s="213"/>
      <c r="BD1077" s="209"/>
      <c r="BE1077" s="301"/>
      <c r="BF1077" s="301"/>
      <c r="BG1077" s="209"/>
      <c r="BH1077" s="301"/>
      <c r="BI1077" s="210"/>
      <c r="BJ1077" s="214"/>
      <c r="BK1077" s="212"/>
      <c r="BL1077" s="215"/>
      <c r="BM1077" s="216"/>
      <c r="BN1077" s="215"/>
      <c r="BO1077" s="215"/>
      <c r="BP1077" s="217"/>
      <c r="BQ1077" s="218"/>
      <c r="BR1077" s="219"/>
      <c r="BS1077" s="218"/>
      <c r="BT1077" s="218"/>
      <c r="BU1077" s="218"/>
      <c r="BV1077" s="220"/>
    </row>
    <row r="1078" spans="1:74" x14ac:dyDescent="0.8">
      <c r="A1078" s="64"/>
      <c r="B1078" s="57"/>
      <c r="C1078" s="62"/>
      <c r="F1078" s="70"/>
      <c r="G1078" s="86"/>
      <c r="H1078" s="70"/>
      <c r="I1078" s="86"/>
      <c r="J1078" s="70"/>
      <c r="K1078" s="86"/>
      <c r="N1078" s="83"/>
      <c r="O1078" s="83"/>
      <c r="P1078" s="83"/>
      <c r="Q1078" s="86"/>
      <c r="R1078" s="83"/>
      <c r="S1078" s="83"/>
      <c r="T1078" s="70"/>
      <c r="U1078" s="86"/>
      <c r="V1078" s="70"/>
      <c r="W1078" s="86"/>
      <c r="X1078" s="126"/>
      <c r="Y1078" s="208"/>
      <c r="Z1078" s="126"/>
      <c r="AA1078" s="208"/>
      <c r="AB1078" s="126"/>
      <c r="AC1078" s="208"/>
      <c r="AD1078" s="209"/>
      <c r="AE1078" s="210"/>
      <c r="AF1078" s="209"/>
      <c r="AG1078" s="210"/>
      <c r="AH1078" s="209"/>
      <c r="AI1078" s="210"/>
      <c r="AJ1078" s="209"/>
      <c r="AK1078" s="210"/>
      <c r="AL1078" s="209"/>
      <c r="AM1078" s="211"/>
      <c r="AN1078" s="209"/>
      <c r="AO1078" s="212"/>
      <c r="AP1078" s="213"/>
      <c r="AQ1078" s="213"/>
      <c r="AR1078" s="209"/>
      <c r="AS1078" s="301"/>
      <c r="AT1078" s="301"/>
      <c r="AU1078" s="209"/>
      <c r="AV1078" s="301"/>
      <c r="AW1078" s="210"/>
      <c r="AX1078" s="301"/>
      <c r="AY1078" s="214"/>
      <c r="AZ1078" s="211"/>
      <c r="BA1078" s="212"/>
      <c r="BB1078" s="212"/>
      <c r="BC1078" s="213"/>
      <c r="BD1078" s="209"/>
      <c r="BE1078" s="301"/>
      <c r="BF1078" s="301"/>
      <c r="BG1078" s="209"/>
      <c r="BH1078" s="301"/>
      <c r="BI1078" s="210"/>
      <c r="BJ1078" s="214"/>
      <c r="BK1078" s="212"/>
      <c r="BL1078" s="215"/>
      <c r="BM1078" s="216"/>
      <c r="BN1078" s="215"/>
      <c r="BO1078" s="215"/>
      <c r="BP1078" s="217"/>
      <c r="BQ1078" s="218"/>
      <c r="BR1078" s="219"/>
      <c r="BS1078" s="218"/>
      <c r="BT1078" s="218"/>
      <c r="BU1078" s="218"/>
      <c r="BV1078" s="220"/>
    </row>
    <row r="1079" spans="1:74" x14ac:dyDescent="0.8">
      <c r="A1079" s="64"/>
      <c r="B1079" s="57"/>
      <c r="C1079" s="62"/>
      <c r="F1079" s="70"/>
      <c r="G1079" s="86"/>
      <c r="H1079" s="70"/>
      <c r="I1079" s="86"/>
      <c r="J1079" s="70"/>
      <c r="K1079" s="86"/>
      <c r="N1079" s="83"/>
      <c r="O1079" s="83"/>
      <c r="P1079" s="83"/>
      <c r="Q1079" s="86"/>
      <c r="R1079" s="83"/>
      <c r="S1079" s="83"/>
      <c r="T1079" s="70"/>
      <c r="U1079" s="86"/>
      <c r="V1079" s="70"/>
      <c r="W1079" s="86"/>
      <c r="X1079" s="126"/>
      <c r="Y1079" s="208"/>
      <c r="Z1079" s="126"/>
      <c r="AA1079" s="208"/>
      <c r="AB1079" s="126"/>
      <c r="AC1079" s="208"/>
      <c r="AD1079" s="209"/>
      <c r="AE1079" s="210"/>
      <c r="AF1079" s="209"/>
      <c r="AG1079" s="210"/>
      <c r="AH1079" s="209"/>
      <c r="AI1079" s="210"/>
      <c r="AJ1079" s="209"/>
      <c r="AK1079" s="210"/>
      <c r="AL1079" s="209"/>
      <c r="AM1079" s="211"/>
      <c r="AN1079" s="209"/>
      <c r="AO1079" s="212"/>
      <c r="AP1079" s="213"/>
      <c r="AQ1079" s="213"/>
      <c r="AR1079" s="209"/>
      <c r="AS1079" s="301"/>
      <c r="AT1079" s="301"/>
      <c r="AU1079" s="209"/>
      <c r="AV1079" s="301"/>
      <c r="AW1079" s="210"/>
      <c r="AX1079" s="301"/>
      <c r="AY1079" s="214"/>
      <c r="AZ1079" s="211"/>
      <c r="BA1079" s="212"/>
      <c r="BB1079" s="212"/>
      <c r="BC1079" s="213"/>
      <c r="BD1079" s="209"/>
      <c r="BE1079" s="301"/>
      <c r="BF1079" s="301"/>
      <c r="BG1079" s="209"/>
      <c r="BH1079" s="301"/>
      <c r="BI1079" s="210"/>
      <c r="BJ1079" s="214"/>
      <c r="BK1079" s="212"/>
      <c r="BL1079" s="215"/>
      <c r="BM1079" s="216"/>
      <c r="BN1079" s="215"/>
      <c r="BO1079" s="215"/>
      <c r="BP1079" s="217"/>
      <c r="BQ1079" s="218"/>
      <c r="BR1079" s="219"/>
      <c r="BS1079" s="218"/>
      <c r="BT1079" s="218"/>
      <c r="BU1079" s="218"/>
      <c r="BV1079" s="220"/>
    </row>
    <row r="1080" spans="1:74" x14ac:dyDescent="0.8">
      <c r="A1080" s="64"/>
      <c r="B1080" s="57"/>
      <c r="C1080" s="62"/>
      <c r="F1080" s="70"/>
      <c r="G1080" s="86"/>
      <c r="H1080" s="70"/>
      <c r="I1080" s="86"/>
      <c r="J1080" s="70"/>
      <c r="K1080" s="86"/>
      <c r="N1080" s="83"/>
      <c r="O1080" s="83"/>
      <c r="P1080" s="83"/>
      <c r="Q1080" s="86"/>
      <c r="R1080" s="83"/>
      <c r="S1080" s="83"/>
      <c r="T1080" s="70"/>
      <c r="U1080" s="86"/>
      <c r="V1080" s="70"/>
      <c r="W1080" s="86"/>
      <c r="X1080" s="126"/>
      <c r="Y1080" s="208"/>
      <c r="Z1080" s="126"/>
      <c r="AA1080" s="208"/>
      <c r="AB1080" s="126"/>
      <c r="AC1080" s="208"/>
      <c r="AD1080" s="209"/>
      <c r="AE1080" s="210"/>
      <c r="AF1080" s="209"/>
      <c r="AG1080" s="210"/>
      <c r="AH1080" s="209"/>
      <c r="AI1080" s="210"/>
      <c r="AJ1080" s="209"/>
      <c r="AK1080" s="210"/>
      <c r="AL1080" s="209"/>
      <c r="AM1080" s="211"/>
      <c r="AN1080" s="209"/>
      <c r="AO1080" s="212"/>
      <c r="AP1080" s="213"/>
      <c r="AQ1080" s="213"/>
      <c r="AR1080" s="209"/>
      <c r="AS1080" s="301"/>
      <c r="AT1080" s="301"/>
      <c r="AU1080" s="209"/>
      <c r="AV1080" s="301"/>
      <c r="AW1080" s="210"/>
      <c r="AX1080" s="301"/>
      <c r="AY1080" s="214"/>
      <c r="AZ1080" s="211"/>
      <c r="BA1080" s="212"/>
      <c r="BB1080" s="212"/>
      <c r="BC1080" s="213"/>
      <c r="BD1080" s="209"/>
      <c r="BE1080" s="301"/>
      <c r="BF1080" s="301"/>
      <c r="BG1080" s="209"/>
      <c r="BH1080" s="301"/>
      <c r="BI1080" s="210"/>
      <c r="BJ1080" s="214"/>
      <c r="BK1080" s="212"/>
      <c r="BL1080" s="215"/>
      <c r="BM1080" s="216"/>
      <c r="BN1080" s="215"/>
      <c r="BO1080" s="215"/>
      <c r="BP1080" s="217"/>
      <c r="BQ1080" s="218"/>
      <c r="BR1080" s="219"/>
      <c r="BS1080" s="218"/>
      <c r="BT1080" s="218"/>
      <c r="BU1080" s="218"/>
      <c r="BV1080" s="220"/>
    </row>
    <row r="1081" spans="1:74" x14ac:dyDescent="0.8">
      <c r="A1081" s="64"/>
      <c r="B1081" s="57"/>
      <c r="C1081" s="62"/>
      <c r="F1081" s="70"/>
      <c r="G1081" s="86"/>
      <c r="H1081" s="70"/>
      <c r="I1081" s="86"/>
      <c r="J1081" s="70"/>
      <c r="K1081" s="86"/>
      <c r="N1081" s="83"/>
      <c r="O1081" s="83"/>
      <c r="P1081" s="83"/>
      <c r="Q1081" s="86"/>
      <c r="R1081" s="83"/>
      <c r="S1081" s="83"/>
      <c r="T1081" s="70"/>
      <c r="U1081" s="86"/>
      <c r="V1081" s="70"/>
      <c r="W1081" s="86"/>
      <c r="X1081" s="126"/>
      <c r="Y1081" s="208"/>
      <c r="Z1081" s="126"/>
      <c r="AA1081" s="208"/>
      <c r="AB1081" s="126"/>
      <c r="AC1081" s="208"/>
      <c r="AD1081" s="209"/>
      <c r="AE1081" s="210"/>
      <c r="AF1081" s="209"/>
      <c r="AG1081" s="210"/>
      <c r="AH1081" s="209"/>
      <c r="AI1081" s="210"/>
      <c r="AJ1081" s="209"/>
      <c r="AK1081" s="210"/>
      <c r="AL1081" s="209"/>
      <c r="AM1081" s="211"/>
      <c r="AN1081" s="209"/>
      <c r="AO1081" s="212"/>
      <c r="AP1081" s="213"/>
      <c r="AQ1081" s="213"/>
      <c r="AR1081" s="209"/>
      <c r="AS1081" s="301"/>
      <c r="AT1081" s="301"/>
      <c r="AU1081" s="209"/>
      <c r="AV1081" s="301"/>
      <c r="AW1081" s="210"/>
      <c r="AX1081" s="301"/>
      <c r="AY1081" s="214"/>
      <c r="AZ1081" s="211"/>
      <c r="BA1081" s="212"/>
      <c r="BB1081" s="212"/>
      <c r="BC1081" s="213"/>
      <c r="BD1081" s="209"/>
      <c r="BE1081" s="301"/>
      <c r="BF1081" s="301"/>
      <c r="BG1081" s="209"/>
      <c r="BH1081" s="301"/>
      <c r="BI1081" s="210"/>
      <c r="BJ1081" s="214"/>
      <c r="BK1081" s="212"/>
      <c r="BL1081" s="215"/>
      <c r="BM1081" s="216"/>
      <c r="BN1081" s="215"/>
      <c r="BO1081" s="215"/>
      <c r="BP1081" s="217"/>
      <c r="BQ1081" s="218"/>
      <c r="BR1081" s="219"/>
      <c r="BS1081" s="218"/>
      <c r="BT1081" s="218"/>
      <c r="BU1081" s="218"/>
      <c r="BV1081" s="220"/>
    </row>
    <row r="1082" spans="1:74" x14ac:dyDescent="0.8">
      <c r="A1082" s="64"/>
      <c r="B1082" s="57"/>
      <c r="C1082" s="62"/>
      <c r="F1082" s="70"/>
      <c r="G1082" s="86"/>
      <c r="H1082" s="70"/>
      <c r="I1082" s="86"/>
      <c r="J1082" s="70"/>
      <c r="K1082" s="86"/>
      <c r="N1082" s="83"/>
      <c r="O1082" s="83"/>
      <c r="P1082" s="83"/>
      <c r="Q1082" s="86"/>
      <c r="R1082" s="83"/>
      <c r="S1082" s="83"/>
      <c r="T1082" s="70"/>
      <c r="U1082" s="86"/>
      <c r="V1082" s="70"/>
      <c r="W1082" s="86"/>
      <c r="X1082" s="126"/>
      <c r="Y1082" s="208"/>
      <c r="Z1082" s="126"/>
      <c r="AA1082" s="208"/>
      <c r="AB1082" s="126"/>
      <c r="AC1082" s="208"/>
      <c r="AD1082" s="209"/>
      <c r="AE1082" s="210"/>
      <c r="AF1082" s="209"/>
      <c r="AG1082" s="210"/>
      <c r="AH1082" s="209"/>
      <c r="AI1082" s="210"/>
      <c r="AJ1082" s="209"/>
      <c r="AK1082" s="210"/>
      <c r="AL1082" s="209"/>
      <c r="AM1082" s="211"/>
      <c r="AN1082" s="209"/>
      <c r="AO1082" s="212"/>
      <c r="AP1082" s="213"/>
      <c r="AQ1082" s="213"/>
      <c r="AR1082" s="209"/>
      <c r="AS1082" s="301"/>
      <c r="AT1082" s="301"/>
      <c r="AU1082" s="209"/>
      <c r="AV1082" s="301"/>
      <c r="AW1082" s="210"/>
      <c r="AX1082" s="301"/>
      <c r="AY1082" s="214"/>
      <c r="AZ1082" s="211"/>
      <c r="BA1082" s="212"/>
      <c r="BB1082" s="212"/>
      <c r="BC1082" s="213"/>
      <c r="BD1082" s="209"/>
      <c r="BE1082" s="301"/>
      <c r="BF1082" s="301"/>
      <c r="BG1082" s="209"/>
      <c r="BH1082" s="301"/>
      <c r="BI1082" s="210"/>
      <c r="BJ1082" s="214"/>
      <c r="BK1082" s="212"/>
      <c r="BL1082" s="215"/>
      <c r="BM1082" s="216"/>
      <c r="BN1082" s="215"/>
      <c r="BO1082" s="215"/>
      <c r="BP1082" s="217"/>
      <c r="BQ1082" s="218"/>
      <c r="BR1082" s="219"/>
      <c r="BS1082" s="218"/>
      <c r="BT1082" s="218"/>
      <c r="BU1082" s="218"/>
      <c r="BV1082" s="220"/>
    </row>
    <row r="1083" spans="1:74" x14ac:dyDescent="0.8">
      <c r="A1083" s="64"/>
      <c r="B1083" s="57"/>
      <c r="C1083" s="62"/>
      <c r="F1083" s="70"/>
      <c r="G1083" s="86"/>
      <c r="H1083" s="70"/>
      <c r="I1083" s="86"/>
      <c r="J1083" s="70"/>
      <c r="K1083" s="86"/>
      <c r="N1083" s="83"/>
      <c r="O1083" s="83"/>
      <c r="P1083" s="83"/>
      <c r="Q1083" s="86"/>
      <c r="R1083" s="83"/>
      <c r="S1083" s="83"/>
      <c r="T1083" s="70"/>
      <c r="U1083" s="86"/>
      <c r="V1083" s="70"/>
      <c r="W1083" s="86"/>
      <c r="X1083" s="126"/>
      <c r="Y1083" s="208"/>
      <c r="Z1083" s="126"/>
      <c r="AA1083" s="208"/>
      <c r="AB1083" s="126"/>
      <c r="AC1083" s="208"/>
      <c r="AD1083" s="209"/>
      <c r="AE1083" s="210"/>
      <c r="AF1083" s="209"/>
      <c r="AG1083" s="210"/>
      <c r="AH1083" s="209"/>
      <c r="AI1083" s="210"/>
      <c r="AJ1083" s="209"/>
      <c r="AK1083" s="210"/>
      <c r="AL1083" s="209"/>
      <c r="AM1083" s="211"/>
      <c r="AN1083" s="209"/>
      <c r="AO1083" s="212"/>
      <c r="AP1083" s="213"/>
      <c r="AQ1083" s="213"/>
      <c r="AR1083" s="209"/>
      <c r="AS1083" s="301"/>
      <c r="AT1083" s="301"/>
      <c r="AU1083" s="209"/>
      <c r="AV1083" s="301"/>
      <c r="AW1083" s="210"/>
      <c r="AX1083" s="301"/>
      <c r="AY1083" s="214"/>
      <c r="AZ1083" s="211"/>
      <c r="BA1083" s="212"/>
      <c r="BB1083" s="212"/>
      <c r="BC1083" s="213"/>
      <c r="BD1083" s="209"/>
      <c r="BE1083" s="301"/>
      <c r="BF1083" s="301"/>
      <c r="BG1083" s="209"/>
      <c r="BH1083" s="301"/>
      <c r="BI1083" s="210"/>
      <c r="BJ1083" s="214"/>
      <c r="BK1083" s="212"/>
      <c r="BL1083" s="215"/>
      <c r="BM1083" s="216"/>
      <c r="BN1083" s="215"/>
      <c r="BO1083" s="215"/>
      <c r="BP1083" s="217"/>
      <c r="BQ1083" s="218"/>
      <c r="BR1083" s="219"/>
      <c r="BS1083" s="218"/>
      <c r="BT1083" s="218"/>
      <c r="BU1083" s="218"/>
      <c r="BV1083" s="220"/>
    </row>
    <row r="1084" spans="1:74" x14ac:dyDescent="0.8">
      <c r="A1084" s="64"/>
      <c r="B1084" s="57"/>
      <c r="C1084" s="62"/>
      <c r="F1084" s="70"/>
      <c r="G1084" s="86"/>
      <c r="H1084" s="70"/>
      <c r="I1084" s="86"/>
      <c r="J1084" s="70"/>
      <c r="K1084" s="86"/>
      <c r="N1084" s="83"/>
      <c r="O1084" s="83"/>
      <c r="P1084" s="83"/>
      <c r="Q1084" s="86"/>
      <c r="R1084" s="83"/>
      <c r="S1084" s="83"/>
      <c r="T1084" s="70"/>
      <c r="U1084" s="86"/>
      <c r="V1084" s="70"/>
      <c r="W1084" s="86"/>
      <c r="X1084" s="126"/>
      <c r="Y1084" s="208"/>
      <c r="Z1084" s="126"/>
      <c r="AA1084" s="208"/>
      <c r="AB1084" s="126"/>
      <c r="AC1084" s="208"/>
      <c r="AD1084" s="209"/>
      <c r="AE1084" s="210"/>
      <c r="AF1084" s="209"/>
      <c r="AG1084" s="210"/>
      <c r="AH1084" s="209"/>
      <c r="AI1084" s="210"/>
      <c r="AJ1084" s="209"/>
      <c r="AK1084" s="210"/>
      <c r="AL1084" s="209"/>
      <c r="AM1084" s="211"/>
      <c r="AN1084" s="209"/>
      <c r="AO1084" s="212"/>
      <c r="AP1084" s="213"/>
      <c r="AQ1084" s="213"/>
      <c r="AR1084" s="209"/>
      <c r="AS1084" s="301"/>
      <c r="AT1084" s="301"/>
      <c r="AU1084" s="209"/>
      <c r="AV1084" s="301"/>
      <c r="AW1084" s="210"/>
      <c r="AX1084" s="301"/>
      <c r="AY1084" s="214"/>
      <c r="AZ1084" s="211"/>
      <c r="BA1084" s="212"/>
      <c r="BB1084" s="212"/>
      <c r="BC1084" s="213"/>
      <c r="BD1084" s="209"/>
      <c r="BE1084" s="301"/>
      <c r="BF1084" s="301"/>
      <c r="BG1084" s="209"/>
      <c r="BH1084" s="301"/>
      <c r="BI1084" s="210"/>
      <c r="BJ1084" s="214"/>
      <c r="BK1084" s="212"/>
      <c r="BL1084" s="215"/>
      <c r="BM1084" s="216"/>
      <c r="BN1084" s="215"/>
      <c r="BO1084" s="215"/>
      <c r="BP1084" s="217"/>
      <c r="BQ1084" s="218"/>
      <c r="BR1084" s="219"/>
      <c r="BS1084" s="218"/>
      <c r="BT1084" s="218"/>
      <c r="BU1084" s="218"/>
      <c r="BV1084" s="220"/>
    </row>
    <row r="1085" spans="1:74" x14ac:dyDescent="0.8">
      <c r="A1085" s="64"/>
      <c r="B1085" s="57"/>
      <c r="C1085" s="62"/>
      <c r="F1085" s="70"/>
      <c r="G1085" s="86"/>
      <c r="H1085" s="70"/>
      <c r="I1085" s="86"/>
      <c r="J1085" s="70"/>
      <c r="K1085" s="86"/>
      <c r="N1085" s="83"/>
      <c r="O1085" s="83"/>
      <c r="P1085" s="83"/>
      <c r="Q1085" s="86"/>
      <c r="R1085" s="83"/>
      <c r="S1085" s="83"/>
      <c r="T1085" s="70"/>
      <c r="U1085" s="86"/>
      <c r="V1085" s="70"/>
      <c r="W1085" s="86"/>
      <c r="X1085" s="126"/>
      <c r="Y1085" s="208"/>
      <c r="Z1085" s="126"/>
      <c r="AA1085" s="208"/>
      <c r="AB1085" s="126"/>
      <c r="AC1085" s="208"/>
      <c r="AD1085" s="209"/>
      <c r="AE1085" s="210"/>
      <c r="AF1085" s="209"/>
      <c r="AG1085" s="210"/>
      <c r="AH1085" s="209"/>
      <c r="AI1085" s="210"/>
      <c r="AJ1085" s="209"/>
      <c r="AK1085" s="210"/>
      <c r="AL1085" s="209"/>
      <c r="AM1085" s="211"/>
      <c r="AN1085" s="209"/>
      <c r="AO1085" s="212"/>
      <c r="AP1085" s="213"/>
      <c r="AQ1085" s="213"/>
      <c r="AR1085" s="209"/>
      <c r="AS1085" s="301"/>
      <c r="AT1085" s="301"/>
      <c r="AU1085" s="209"/>
      <c r="AV1085" s="301"/>
      <c r="AW1085" s="210"/>
      <c r="AX1085" s="301"/>
      <c r="AY1085" s="214"/>
      <c r="AZ1085" s="211"/>
      <c r="BA1085" s="212"/>
      <c r="BB1085" s="212"/>
      <c r="BC1085" s="213"/>
      <c r="BD1085" s="209"/>
      <c r="BE1085" s="301"/>
      <c r="BF1085" s="301"/>
      <c r="BG1085" s="209"/>
      <c r="BH1085" s="301"/>
      <c r="BI1085" s="210"/>
      <c r="BJ1085" s="214"/>
      <c r="BK1085" s="212"/>
      <c r="BL1085" s="215"/>
      <c r="BM1085" s="216"/>
      <c r="BN1085" s="215"/>
      <c r="BO1085" s="215"/>
      <c r="BP1085" s="217"/>
      <c r="BQ1085" s="218"/>
      <c r="BR1085" s="219"/>
      <c r="BS1085" s="218"/>
      <c r="BT1085" s="218"/>
      <c r="BU1085" s="218"/>
      <c r="BV1085" s="220"/>
    </row>
    <row r="1086" spans="1:74" x14ac:dyDescent="0.8">
      <c r="A1086" s="64"/>
      <c r="B1086" s="57"/>
      <c r="C1086" s="62"/>
      <c r="F1086" s="70"/>
      <c r="G1086" s="86"/>
      <c r="H1086" s="70"/>
      <c r="I1086" s="86"/>
      <c r="J1086" s="70"/>
      <c r="K1086" s="86"/>
      <c r="N1086" s="83"/>
      <c r="O1086" s="83"/>
      <c r="P1086" s="83"/>
      <c r="Q1086" s="86"/>
      <c r="R1086" s="83"/>
      <c r="S1086" s="83"/>
      <c r="T1086" s="70"/>
      <c r="U1086" s="86"/>
      <c r="V1086" s="70"/>
      <c r="W1086" s="86"/>
      <c r="X1086" s="126"/>
      <c r="Y1086" s="208"/>
      <c r="Z1086" s="126"/>
      <c r="AA1086" s="208"/>
      <c r="AB1086" s="126"/>
      <c r="AC1086" s="208"/>
      <c r="AD1086" s="209"/>
      <c r="AE1086" s="210"/>
      <c r="AF1086" s="209"/>
      <c r="AG1086" s="210"/>
      <c r="AH1086" s="209"/>
      <c r="AI1086" s="210"/>
      <c r="AJ1086" s="209"/>
      <c r="AK1086" s="210"/>
      <c r="AL1086" s="209"/>
      <c r="AM1086" s="211"/>
      <c r="AN1086" s="209"/>
      <c r="AO1086" s="212"/>
      <c r="AP1086" s="213"/>
      <c r="AQ1086" s="213"/>
      <c r="AR1086" s="209"/>
      <c r="AS1086" s="301"/>
      <c r="AT1086" s="301"/>
      <c r="AU1086" s="209"/>
      <c r="AV1086" s="301"/>
      <c r="AW1086" s="210"/>
      <c r="AX1086" s="301"/>
      <c r="AY1086" s="214"/>
      <c r="AZ1086" s="211"/>
      <c r="BA1086" s="212"/>
      <c r="BB1086" s="212"/>
      <c r="BC1086" s="213"/>
      <c r="BD1086" s="209"/>
      <c r="BE1086" s="301"/>
      <c r="BF1086" s="301"/>
      <c r="BG1086" s="209"/>
      <c r="BH1086" s="301"/>
      <c r="BI1086" s="210"/>
      <c r="BJ1086" s="214"/>
      <c r="BK1086" s="212"/>
      <c r="BL1086" s="215"/>
      <c r="BM1086" s="216"/>
      <c r="BN1086" s="215"/>
      <c r="BO1086" s="215"/>
      <c r="BP1086" s="217"/>
      <c r="BQ1086" s="218"/>
      <c r="BR1086" s="219"/>
      <c r="BS1086" s="218"/>
      <c r="BT1086" s="218"/>
      <c r="BU1086" s="218"/>
      <c r="BV1086" s="220"/>
    </row>
    <row r="1087" spans="1:74" x14ac:dyDescent="0.8">
      <c r="A1087" s="64"/>
      <c r="B1087" s="57"/>
      <c r="C1087" s="62"/>
      <c r="F1087" s="70"/>
      <c r="G1087" s="86"/>
      <c r="H1087" s="70"/>
      <c r="I1087" s="86"/>
      <c r="J1087" s="70"/>
      <c r="K1087" s="86"/>
      <c r="N1087" s="83"/>
      <c r="O1087" s="83"/>
      <c r="P1087" s="83"/>
      <c r="Q1087" s="86"/>
      <c r="R1087" s="83"/>
      <c r="S1087" s="83"/>
      <c r="T1087" s="70"/>
      <c r="U1087" s="86"/>
      <c r="V1087" s="70"/>
      <c r="W1087" s="86"/>
      <c r="X1087" s="126"/>
      <c r="Y1087" s="208"/>
      <c r="Z1087" s="126"/>
      <c r="AA1087" s="208"/>
      <c r="AB1087" s="126"/>
      <c r="AC1087" s="208"/>
      <c r="AD1087" s="209"/>
      <c r="AE1087" s="210"/>
      <c r="AF1087" s="209"/>
      <c r="AG1087" s="210"/>
      <c r="AH1087" s="209"/>
      <c r="AI1087" s="210"/>
      <c r="AJ1087" s="209"/>
      <c r="AK1087" s="210"/>
      <c r="AL1087" s="209"/>
      <c r="AM1087" s="211"/>
      <c r="AN1087" s="209"/>
      <c r="AO1087" s="212"/>
      <c r="AP1087" s="213"/>
      <c r="AQ1087" s="213"/>
      <c r="AR1087" s="209"/>
      <c r="AS1087" s="301"/>
      <c r="AT1087" s="301"/>
      <c r="AU1087" s="209"/>
      <c r="AV1087" s="301"/>
      <c r="AW1087" s="210"/>
      <c r="AX1087" s="301"/>
      <c r="AY1087" s="214"/>
      <c r="AZ1087" s="211"/>
      <c r="BA1087" s="212"/>
      <c r="BB1087" s="212"/>
      <c r="BC1087" s="213"/>
      <c r="BD1087" s="209"/>
      <c r="BE1087" s="301"/>
      <c r="BF1087" s="301"/>
      <c r="BG1087" s="209"/>
      <c r="BH1087" s="301"/>
      <c r="BI1087" s="210"/>
      <c r="BJ1087" s="214"/>
      <c r="BK1087" s="212"/>
      <c r="BL1087" s="215"/>
      <c r="BM1087" s="216"/>
      <c r="BN1087" s="215"/>
      <c r="BO1087" s="215"/>
      <c r="BP1087" s="217"/>
      <c r="BQ1087" s="218"/>
      <c r="BR1087" s="219"/>
      <c r="BS1087" s="218"/>
      <c r="BT1087" s="218"/>
      <c r="BU1087" s="218"/>
      <c r="BV1087" s="220"/>
    </row>
    <row r="1088" spans="1:74" x14ac:dyDescent="0.8">
      <c r="A1088" s="64"/>
      <c r="B1088" s="57"/>
      <c r="C1088" s="62"/>
      <c r="F1088" s="70"/>
      <c r="G1088" s="86"/>
      <c r="H1088" s="70"/>
      <c r="I1088" s="86"/>
      <c r="J1088" s="70"/>
      <c r="K1088" s="86"/>
      <c r="N1088" s="83"/>
      <c r="O1088" s="83"/>
      <c r="P1088" s="83"/>
      <c r="Q1088" s="86"/>
      <c r="R1088" s="83"/>
      <c r="S1088" s="83"/>
      <c r="T1088" s="70"/>
      <c r="U1088" s="86"/>
      <c r="V1088" s="70"/>
      <c r="W1088" s="86"/>
      <c r="X1088" s="126"/>
      <c r="Y1088" s="208"/>
      <c r="Z1088" s="126"/>
      <c r="AA1088" s="208"/>
      <c r="AB1088" s="126"/>
      <c r="AC1088" s="208"/>
      <c r="AD1088" s="209"/>
      <c r="AE1088" s="210"/>
      <c r="AF1088" s="209"/>
      <c r="AG1088" s="210"/>
      <c r="AH1088" s="209"/>
      <c r="AI1088" s="210"/>
      <c r="AJ1088" s="209"/>
      <c r="AK1088" s="210"/>
      <c r="AL1088" s="209"/>
      <c r="AM1088" s="211"/>
      <c r="AN1088" s="209"/>
      <c r="AO1088" s="212"/>
      <c r="AP1088" s="213"/>
      <c r="AQ1088" s="213"/>
      <c r="AR1088" s="209"/>
      <c r="AS1088" s="301"/>
      <c r="AT1088" s="301"/>
      <c r="AU1088" s="209"/>
      <c r="AV1088" s="301"/>
      <c r="AW1088" s="210"/>
      <c r="AX1088" s="301"/>
      <c r="AY1088" s="214"/>
      <c r="AZ1088" s="211"/>
      <c r="BA1088" s="212"/>
      <c r="BB1088" s="212"/>
      <c r="BC1088" s="213"/>
      <c r="BD1088" s="209"/>
      <c r="BE1088" s="301"/>
      <c r="BF1088" s="301"/>
      <c r="BG1088" s="209"/>
      <c r="BH1088" s="301"/>
      <c r="BI1088" s="210"/>
      <c r="BJ1088" s="214"/>
      <c r="BK1088" s="212"/>
      <c r="BL1088" s="215"/>
      <c r="BM1088" s="216"/>
      <c r="BN1088" s="215"/>
      <c r="BO1088" s="215"/>
      <c r="BP1088" s="217"/>
      <c r="BQ1088" s="218"/>
      <c r="BR1088" s="219"/>
      <c r="BS1088" s="218"/>
      <c r="BT1088" s="218"/>
      <c r="BU1088" s="218"/>
      <c r="BV1088" s="220"/>
    </row>
    <row r="1089" spans="1:74" x14ac:dyDescent="0.8">
      <c r="A1089" s="64"/>
      <c r="B1089" s="57"/>
      <c r="C1089" s="62"/>
      <c r="F1089" s="70"/>
      <c r="G1089" s="86"/>
      <c r="H1089" s="70"/>
      <c r="I1089" s="86"/>
      <c r="J1089" s="70"/>
      <c r="K1089" s="86"/>
      <c r="N1089" s="83"/>
      <c r="O1089" s="83"/>
      <c r="P1089" s="83"/>
      <c r="Q1089" s="86"/>
      <c r="R1089" s="83"/>
      <c r="S1089" s="83"/>
      <c r="T1089" s="70"/>
      <c r="U1089" s="86"/>
      <c r="V1089" s="70"/>
      <c r="W1089" s="86"/>
      <c r="X1089" s="126"/>
      <c r="Y1089" s="208"/>
      <c r="Z1089" s="126"/>
      <c r="AA1089" s="208"/>
      <c r="AB1089" s="126"/>
      <c r="AC1089" s="208"/>
      <c r="AD1089" s="209"/>
      <c r="AE1089" s="210"/>
      <c r="AF1089" s="209"/>
      <c r="AG1089" s="210"/>
      <c r="AH1089" s="209"/>
      <c r="AI1089" s="210"/>
      <c r="AJ1089" s="209"/>
      <c r="AK1089" s="210"/>
      <c r="AL1089" s="209"/>
      <c r="AM1089" s="211"/>
      <c r="AN1089" s="209"/>
      <c r="AO1089" s="212"/>
      <c r="AP1089" s="213"/>
      <c r="AQ1089" s="213"/>
      <c r="AR1089" s="209"/>
      <c r="AS1089" s="301"/>
      <c r="AT1089" s="301"/>
      <c r="AU1089" s="209"/>
      <c r="AV1089" s="301"/>
      <c r="AW1089" s="210"/>
      <c r="AX1089" s="301"/>
      <c r="AY1089" s="214"/>
      <c r="AZ1089" s="211"/>
      <c r="BA1089" s="212"/>
      <c r="BB1089" s="212"/>
      <c r="BC1089" s="213"/>
      <c r="BD1089" s="209"/>
      <c r="BE1089" s="301"/>
      <c r="BF1089" s="301"/>
      <c r="BG1089" s="209"/>
      <c r="BH1089" s="301"/>
      <c r="BI1089" s="210"/>
      <c r="BJ1089" s="214"/>
      <c r="BK1089" s="212"/>
      <c r="BL1089" s="215"/>
      <c r="BM1089" s="216"/>
      <c r="BN1089" s="215"/>
      <c r="BO1089" s="215"/>
      <c r="BP1089" s="217"/>
      <c r="BQ1089" s="218"/>
      <c r="BR1089" s="219"/>
      <c r="BS1089" s="218"/>
      <c r="BT1089" s="218"/>
      <c r="BU1089" s="218"/>
      <c r="BV1089" s="220"/>
    </row>
    <row r="1090" spans="1:74" x14ac:dyDescent="0.8">
      <c r="A1090" s="64"/>
      <c r="B1090" s="57"/>
      <c r="C1090" s="62"/>
      <c r="F1090" s="70"/>
      <c r="G1090" s="86"/>
      <c r="H1090" s="70"/>
      <c r="I1090" s="86"/>
      <c r="J1090" s="70"/>
      <c r="K1090" s="86"/>
      <c r="N1090" s="83"/>
      <c r="O1090" s="83"/>
      <c r="P1090" s="83"/>
      <c r="Q1090" s="86"/>
      <c r="R1090" s="83"/>
      <c r="S1090" s="83"/>
      <c r="T1090" s="70"/>
      <c r="U1090" s="86"/>
      <c r="V1090" s="70"/>
      <c r="W1090" s="86"/>
      <c r="X1090" s="126"/>
      <c r="Y1090" s="208"/>
      <c r="Z1090" s="126"/>
      <c r="AA1090" s="208"/>
      <c r="AB1090" s="126"/>
      <c r="AC1090" s="208"/>
      <c r="AD1090" s="209"/>
      <c r="AE1090" s="210"/>
      <c r="AF1090" s="209"/>
      <c r="AG1090" s="210"/>
      <c r="AH1090" s="209"/>
      <c r="AI1090" s="210"/>
      <c r="AJ1090" s="209"/>
      <c r="AK1090" s="210"/>
      <c r="AL1090" s="209"/>
      <c r="AM1090" s="211"/>
      <c r="AN1090" s="209"/>
      <c r="AO1090" s="212"/>
      <c r="AP1090" s="213"/>
      <c r="AQ1090" s="213"/>
      <c r="AR1090" s="209"/>
      <c r="AS1090" s="301"/>
      <c r="AT1090" s="301"/>
      <c r="AU1090" s="209"/>
      <c r="AV1090" s="301"/>
      <c r="AW1090" s="210"/>
      <c r="AX1090" s="301"/>
      <c r="AY1090" s="214"/>
      <c r="AZ1090" s="211"/>
      <c r="BA1090" s="212"/>
      <c r="BB1090" s="212"/>
      <c r="BC1090" s="213"/>
      <c r="BD1090" s="209"/>
      <c r="BE1090" s="301"/>
      <c r="BF1090" s="301"/>
      <c r="BG1090" s="209"/>
      <c r="BH1090" s="301"/>
      <c r="BI1090" s="210"/>
      <c r="BJ1090" s="214"/>
      <c r="BK1090" s="212"/>
      <c r="BL1090" s="215"/>
      <c r="BM1090" s="216"/>
      <c r="BN1090" s="215"/>
      <c r="BO1090" s="215"/>
      <c r="BP1090" s="217"/>
      <c r="BQ1090" s="218"/>
      <c r="BR1090" s="219"/>
      <c r="BS1090" s="218"/>
      <c r="BT1090" s="218"/>
      <c r="BU1090" s="218"/>
      <c r="BV1090" s="220"/>
    </row>
    <row r="1091" spans="1:74" x14ac:dyDescent="0.8">
      <c r="A1091" s="64"/>
      <c r="B1091" s="57"/>
      <c r="C1091" s="62"/>
      <c r="F1091" s="70"/>
      <c r="G1091" s="86"/>
      <c r="H1091" s="70"/>
      <c r="I1091" s="86"/>
      <c r="J1091" s="70"/>
      <c r="K1091" s="86"/>
      <c r="N1091" s="83"/>
      <c r="O1091" s="83"/>
      <c r="P1091" s="83"/>
      <c r="Q1091" s="86"/>
      <c r="R1091" s="83"/>
      <c r="S1091" s="83"/>
      <c r="T1091" s="70"/>
      <c r="U1091" s="86"/>
      <c r="V1091" s="70"/>
      <c r="W1091" s="86"/>
      <c r="X1091" s="126"/>
      <c r="Y1091" s="208"/>
      <c r="Z1091" s="126"/>
      <c r="AA1091" s="208"/>
      <c r="AB1091" s="126"/>
      <c r="AC1091" s="208"/>
      <c r="AD1091" s="209"/>
      <c r="AE1091" s="210"/>
      <c r="AF1091" s="209"/>
      <c r="AG1091" s="210"/>
      <c r="AH1091" s="209"/>
      <c r="AI1091" s="210"/>
      <c r="AJ1091" s="209"/>
      <c r="AK1091" s="210"/>
      <c r="AL1091" s="209"/>
      <c r="AM1091" s="211"/>
      <c r="AN1091" s="209"/>
      <c r="AO1091" s="212"/>
      <c r="AP1091" s="213"/>
      <c r="AQ1091" s="213"/>
      <c r="AR1091" s="209"/>
      <c r="AS1091" s="301"/>
      <c r="AT1091" s="301"/>
      <c r="AU1091" s="209"/>
      <c r="AV1091" s="301"/>
      <c r="AW1091" s="210"/>
      <c r="AX1091" s="301"/>
      <c r="AY1091" s="214"/>
      <c r="AZ1091" s="211"/>
      <c r="BA1091" s="212"/>
      <c r="BB1091" s="212"/>
      <c r="BC1091" s="213"/>
      <c r="BD1091" s="209"/>
      <c r="BE1091" s="301"/>
      <c r="BF1091" s="301"/>
      <c r="BG1091" s="209"/>
      <c r="BH1091" s="301"/>
      <c r="BI1091" s="210"/>
      <c r="BJ1091" s="214"/>
      <c r="BK1091" s="212"/>
      <c r="BL1091" s="215"/>
      <c r="BM1091" s="216"/>
      <c r="BN1091" s="215"/>
      <c r="BO1091" s="215"/>
      <c r="BP1091" s="217"/>
      <c r="BQ1091" s="218"/>
      <c r="BR1091" s="219"/>
      <c r="BS1091" s="218"/>
      <c r="BT1091" s="218"/>
      <c r="BU1091" s="218"/>
      <c r="BV1091" s="220"/>
    </row>
    <row r="1092" spans="1:74" x14ac:dyDescent="0.8">
      <c r="A1092" s="64"/>
      <c r="B1092" s="57"/>
      <c r="C1092" s="62"/>
      <c r="F1092" s="70"/>
      <c r="G1092" s="86"/>
      <c r="H1092" s="70"/>
      <c r="I1092" s="86"/>
      <c r="J1092" s="70"/>
      <c r="K1092" s="86"/>
      <c r="N1092" s="83"/>
      <c r="O1092" s="83"/>
      <c r="P1092" s="83"/>
      <c r="Q1092" s="86"/>
      <c r="R1092" s="83"/>
      <c r="S1092" s="83"/>
      <c r="T1092" s="70"/>
      <c r="U1092" s="86"/>
      <c r="V1092" s="70"/>
      <c r="W1092" s="86"/>
      <c r="X1092" s="126"/>
      <c r="Y1092" s="208"/>
      <c r="Z1092" s="126"/>
      <c r="AA1092" s="208"/>
      <c r="AB1092" s="126"/>
      <c r="AC1092" s="208"/>
      <c r="AD1092" s="209"/>
      <c r="AE1092" s="210"/>
      <c r="AF1092" s="209"/>
      <c r="AG1092" s="210"/>
      <c r="AH1092" s="209"/>
      <c r="AI1092" s="210"/>
      <c r="AJ1092" s="209"/>
      <c r="AK1092" s="210"/>
      <c r="AL1092" s="209"/>
      <c r="AM1092" s="211"/>
      <c r="AN1092" s="209"/>
      <c r="AO1092" s="212"/>
      <c r="AP1092" s="213"/>
      <c r="AQ1092" s="213"/>
      <c r="AR1092" s="209"/>
      <c r="AS1092" s="301"/>
      <c r="AT1092" s="301"/>
      <c r="AU1092" s="209"/>
      <c r="AV1092" s="301"/>
      <c r="AW1092" s="210"/>
      <c r="AX1092" s="301"/>
      <c r="AY1092" s="214"/>
      <c r="AZ1092" s="211"/>
      <c r="BA1092" s="212"/>
      <c r="BB1092" s="212"/>
      <c r="BC1092" s="213"/>
      <c r="BD1092" s="209"/>
      <c r="BE1092" s="301"/>
      <c r="BF1092" s="301"/>
      <c r="BG1092" s="209"/>
      <c r="BH1092" s="301"/>
      <c r="BI1092" s="210"/>
      <c r="BJ1092" s="214"/>
      <c r="BK1092" s="212"/>
      <c r="BL1092" s="215"/>
      <c r="BM1092" s="216"/>
      <c r="BN1092" s="215"/>
      <c r="BO1092" s="215"/>
      <c r="BP1092" s="217"/>
      <c r="BQ1092" s="218"/>
      <c r="BR1092" s="219"/>
      <c r="BS1092" s="218"/>
      <c r="BT1092" s="218"/>
      <c r="BU1092" s="218"/>
      <c r="BV1092" s="220"/>
    </row>
    <row r="1093" spans="1:74" x14ac:dyDescent="0.8">
      <c r="A1093" s="64"/>
      <c r="B1093" s="57"/>
      <c r="C1093" s="62"/>
      <c r="F1093" s="70"/>
      <c r="G1093" s="86"/>
      <c r="H1093" s="70"/>
      <c r="I1093" s="86"/>
      <c r="J1093" s="70"/>
      <c r="K1093" s="86"/>
      <c r="N1093" s="83"/>
      <c r="O1093" s="83"/>
      <c r="P1093" s="83"/>
      <c r="Q1093" s="86"/>
      <c r="R1093" s="83"/>
      <c r="S1093" s="83"/>
      <c r="T1093" s="70"/>
      <c r="U1093" s="86"/>
      <c r="V1093" s="70"/>
      <c r="W1093" s="86"/>
      <c r="X1093" s="126"/>
      <c r="Y1093" s="208"/>
      <c r="Z1093" s="126"/>
      <c r="AA1093" s="208"/>
      <c r="AB1093" s="126"/>
      <c r="AC1093" s="208"/>
      <c r="AD1093" s="209"/>
      <c r="AE1093" s="210"/>
      <c r="AF1093" s="209"/>
      <c r="AG1093" s="210"/>
      <c r="AH1093" s="209"/>
      <c r="AI1093" s="210"/>
      <c r="AJ1093" s="209"/>
      <c r="AK1093" s="210"/>
      <c r="AL1093" s="209"/>
      <c r="AM1093" s="211"/>
      <c r="AN1093" s="209"/>
      <c r="AO1093" s="212"/>
      <c r="AP1093" s="213"/>
      <c r="AQ1093" s="213"/>
      <c r="AR1093" s="209"/>
      <c r="AS1093" s="301"/>
      <c r="AT1093" s="301"/>
      <c r="AU1093" s="209"/>
      <c r="AV1093" s="301"/>
      <c r="AW1093" s="210"/>
      <c r="AX1093" s="301"/>
      <c r="AY1093" s="214"/>
      <c r="AZ1093" s="211"/>
      <c r="BA1093" s="212"/>
      <c r="BB1093" s="212"/>
      <c r="BC1093" s="213"/>
      <c r="BD1093" s="209"/>
      <c r="BE1093" s="301"/>
      <c r="BF1093" s="301"/>
      <c r="BG1093" s="209"/>
      <c r="BH1093" s="301"/>
      <c r="BI1093" s="210"/>
      <c r="BJ1093" s="214"/>
      <c r="BK1093" s="212"/>
      <c r="BL1093" s="215"/>
      <c r="BM1093" s="216"/>
      <c r="BN1093" s="215"/>
      <c r="BO1093" s="215"/>
      <c r="BP1093" s="217"/>
      <c r="BQ1093" s="218"/>
      <c r="BR1093" s="219"/>
      <c r="BS1093" s="218"/>
      <c r="BT1093" s="218"/>
      <c r="BU1093" s="218"/>
      <c r="BV1093" s="220"/>
    </row>
    <row r="1094" spans="1:74" x14ac:dyDescent="0.8">
      <c r="A1094" s="64"/>
      <c r="B1094" s="57"/>
      <c r="C1094" s="62"/>
      <c r="F1094" s="70"/>
      <c r="G1094" s="86"/>
      <c r="H1094" s="70"/>
      <c r="I1094" s="86"/>
      <c r="J1094" s="70"/>
      <c r="K1094" s="86"/>
      <c r="N1094" s="83"/>
      <c r="O1094" s="83"/>
      <c r="P1094" s="83"/>
      <c r="Q1094" s="86"/>
      <c r="R1094" s="83"/>
      <c r="S1094" s="83"/>
      <c r="T1094" s="70"/>
      <c r="U1094" s="86"/>
      <c r="V1094" s="70"/>
      <c r="W1094" s="86"/>
      <c r="X1094" s="126"/>
      <c r="Y1094" s="208"/>
      <c r="Z1094" s="126"/>
      <c r="AA1094" s="208"/>
      <c r="AB1094" s="126"/>
      <c r="AC1094" s="208"/>
      <c r="AD1094" s="209"/>
      <c r="AE1094" s="210"/>
      <c r="AF1094" s="209"/>
      <c r="AG1094" s="210"/>
      <c r="AH1094" s="209"/>
      <c r="AI1094" s="210"/>
      <c r="AJ1094" s="209"/>
      <c r="AK1094" s="210"/>
      <c r="AL1094" s="209"/>
      <c r="AM1094" s="211"/>
      <c r="AN1094" s="209"/>
      <c r="AO1094" s="212"/>
      <c r="AP1094" s="213"/>
      <c r="AQ1094" s="213"/>
      <c r="AR1094" s="209"/>
      <c r="AS1094" s="301"/>
      <c r="AT1094" s="301"/>
      <c r="AU1094" s="209"/>
      <c r="AV1094" s="301"/>
      <c r="AW1094" s="210"/>
      <c r="AX1094" s="301"/>
      <c r="AY1094" s="214"/>
      <c r="AZ1094" s="211"/>
      <c r="BA1094" s="212"/>
      <c r="BB1094" s="212"/>
      <c r="BC1094" s="213"/>
      <c r="BD1094" s="209"/>
      <c r="BE1094" s="301"/>
      <c r="BF1094" s="301"/>
      <c r="BG1094" s="209"/>
      <c r="BH1094" s="301"/>
      <c r="BI1094" s="210"/>
      <c r="BJ1094" s="214"/>
      <c r="BK1094" s="212"/>
      <c r="BL1094" s="215"/>
      <c r="BM1094" s="216"/>
      <c r="BN1094" s="215"/>
      <c r="BO1094" s="215"/>
      <c r="BP1094" s="217"/>
      <c r="BQ1094" s="218"/>
      <c r="BR1094" s="219"/>
      <c r="BS1094" s="218"/>
      <c r="BT1094" s="218"/>
      <c r="BU1094" s="218"/>
      <c r="BV1094" s="220"/>
    </row>
    <row r="1095" spans="1:74" x14ac:dyDescent="0.8">
      <c r="A1095" s="64"/>
      <c r="B1095" s="64"/>
      <c r="C1095" s="62"/>
      <c r="F1095" s="70"/>
      <c r="G1095" s="86"/>
      <c r="H1095" s="70"/>
      <c r="I1095" s="86"/>
      <c r="J1095" s="70"/>
      <c r="K1095" s="86"/>
      <c r="N1095" s="83"/>
      <c r="O1095" s="83"/>
      <c r="P1095" s="83"/>
      <c r="Q1095" s="86"/>
      <c r="R1095" s="83"/>
      <c r="S1095" s="83"/>
      <c r="T1095" s="70"/>
      <c r="U1095" s="86"/>
      <c r="V1095" s="70"/>
      <c r="W1095" s="86"/>
      <c r="X1095" s="126"/>
      <c r="Y1095" s="208"/>
      <c r="Z1095" s="126"/>
      <c r="AA1095" s="208"/>
      <c r="AB1095" s="126"/>
      <c r="AC1095" s="208"/>
      <c r="AD1095" s="209"/>
      <c r="AE1095" s="210"/>
      <c r="AF1095" s="209"/>
      <c r="AG1095" s="210"/>
      <c r="AH1095" s="209"/>
      <c r="AI1095" s="210"/>
      <c r="AJ1095" s="209"/>
      <c r="AK1095" s="210"/>
      <c r="AL1095" s="209"/>
      <c r="AM1095" s="211"/>
      <c r="AN1095" s="209"/>
      <c r="AO1095" s="212"/>
      <c r="AP1095" s="213"/>
      <c r="AQ1095" s="213"/>
      <c r="AR1095" s="209"/>
      <c r="AS1095" s="301"/>
      <c r="AT1095" s="301"/>
      <c r="AU1095" s="209"/>
      <c r="AV1095" s="301"/>
      <c r="AW1095" s="210"/>
      <c r="AX1095" s="301"/>
      <c r="AY1095" s="214"/>
      <c r="AZ1095" s="211"/>
      <c r="BA1095" s="212"/>
      <c r="BB1095" s="212"/>
      <c r="BC1095" s="213"/>
      <c r="BD1095" s="209"/>
      <c r="BE1095" s="301"/>
      <c r="BF1095" s="301"/>
      <c r="BG1095" s="209"/>
      <c r="BH1095" s="301"/>
      <c r="BI1095" s="210"/>
      <c r="BJ1095" s="214"/>
      <c r="BK1095" s="212"/>
      <c r="BL1095" s="215"/>
      <c r="BM1095" s="216"/>
      <c r="BN1095" s="215"/>
      <c r="BO1095" s="215"/>
      <c r="BP1095" s="217"/>
      <c r="BQ1095" s="218"/>
      <c r="BR1095" s="219"/>
      <c r="BS1095" s="218"/>
      <c r="BT1095" s="218"/>
      <c r="BU1095" s="218"/>
      <c r="BV1095" s="220"/>
    </row>
    <row r="1096" spans="1:74" x14ac:dyDescent="0.8">
      <c r="A1096" s="64"/>
      <c r="B1096" s="64"/>
      <c r="C1096" s="62"/>
      <c r="F1096" s="70"/>
      <c r="G1096" s="86"/>
      <c r="H1096" s="70"/>
      <c r="I1096" s="86"/>
      <c r="J1096" s="70"/>
      <c r="K1096" s="86"/>
      <c r="N1096" s="83"/>
      <c r="O1096" s="83"/>
      <c r="P1096" s="83"/>
      <c r="Q1096" s="86"/>
      <c r="R1096" s="83"/>
      <c r="S1096" s="83"/>
      <c r="T1096" s="70"/>
      <c r="U1096" s="86"/>
      <c r="V1096" s="70"/>
      <c r="W1096" s="86"/>
      <c r="X1096" s="126"/>
      <c r="Y1096" s="208"/>
      <c r="Z1096" s="126"/>
      <c r="AA1096" s="208"/>
      <c r="AB1096" s="126"/>
      <c r="AC1096" s="208"/>
      <c r="AD1096" s="209"/>
      <c r="AE1096" s="210"/>
      <c r="AF1096" s="209"/>
      <c r="AG1096" s="210"/>
      <c r="AH1096" s="209"/>
      <c r="AI1096" s="210"/>
      <c r="AJ1096" s="209"/>
      <c r="AK1096" s="210"/>
      <c r="AL1096" s="209"/>
      <c r="AM1096" s="211"/>
      <c r="AN1096" s="209"/>
      <c r="AO1096" s="212"/>
      <c r="AP1096" s="213"/>
      <c r="AQ1096" s="213"/>
      <c r="AR1096" s="209"/>
      <c r="AS1096" s="301"/>
      <c r="AT1096" s="301"/>
      <c r="AU1096" s="209"/>
      <c r="AV1096" s="301"/>
      <c r="AW1096" s="210"/>
      <c r="AX1096" s="301"/>
      <c r="AY1096" s="214"/>
      <c r="AZ1096" s="211"/>
      <c r="BA1096" s="212"/>
      <c r="BB1096" s="212"/>
      <c r="BC1096" s="213"/>
      <c r="BD1096" s="209"/>
      <c r="BE1096" s="301"/>
      <c r="BF1096" s="301"/>
      <c r="BG1096" s="209"/>
      <c r="BH1096" s="301"/>
      <c r="BI1096" s="210"/>
      <c r="BJ1096" s="214"/>
      <c r="BK1096" s="212"/>
      <c r="BL1096" s="215"/>
      <c r="BM1096" s="216"/>
      <c r="BN1096" s="215"/>
      <c r="BO1096" s="215"/>
      <c r="BP1096" s="217"/>
      <c r="BQ1096" s="218"/>
      <c r="BR1096" s="219"/>
      <c r="BS1096" s="218"/>
      <c r="BT1096" s="218"/>
      <c r="BU1096" s="218"/>
      <c r="BV1096" s="220"/>
    </row>
    <row r="1097" spans="1:74" x14ac:dyDescent="0.8">
      <c r="A1097" s="64"/>
      <c r="B1097" s="64"/>
      <c r="C1097" s="62"/>
      <c r="F1097" s="70"/>
      <c r="G1097" s="86"/>
      <c r="H1097" s="70"/>
      <c r="I1097" s="86"/>
      <c r="J1097" s="70"/>
      <c r="K1097" s="86"/>
      <c r="N1097" s="83"/>
      <c r="O1097" s="83"/>
      <c r="P1097" s="83"/>
      <c r="Q1097" s="86"/>
      <c r="R1097" s="83"/>
      <c r="S1097" s="83"/>
      <c r="T1097" s="70"/>
      <c r="U1097" s="86"/>
      <c r="V1097" s="70"/>
      <c r="W1097" s="86"/>
      <c r="X1097" s="126"/>
      <c r="Y1097" s="208"/>
      <c r="Z1097" s="126"/>
      <c r="AA1097" s="208"/>
      <c r="AB1097" s="126"/>
      <c r="AC1097" s="208"/>
      <c r="AD1097" s="209"/>
      <c r="AE1097" s="210"/>
      <c r="AF1097" s="209"/>
      <c r="AG1097" s="210"/>
      <c r="AH1097" s="209"/>
      <c r="AI1097" s="210"/>
      <c r="AJ1097" s="209"/>
      <c r="AK1097" s="210"/>
      <c r="AL1097" s="209"/>
      <c r="AM1097" s="211"/>
      <c r="AN1097" s="209"/>
      <c r="AO1097" s="212"/>
      <c r="AP1097" s="213"/>
      <c r="AQ1097" s="213"/>
      <c r="AR1097" s="209"/>
      <c r="AS1097" s="301"/>
      <c r="AT1097" s="301"/>
      <c r="AU1097" s="209"/>
      <c r="AV1097" s="301"/>
      <c r="AW1097" s="210"/>
      <c r="AX1097" s="301"/>
      <c r="AY1097" s="214"/>
      <c r="AZ1097" s="211"/>
      <c r="BA1097" s="212"/>
      <c r="BB1097" s="212"/>
      <c r="BC1097" s="213"/>
      <c r="BD1097" s="209"/>
      <c r="BE1097" s="301"/>
      <c r="BF1097" s="301"/>
      <c r="BG1097" s="209"/>
      <c r="BH1097" s="301"/>
      <c r="BI1097" s="210"/>
      <c r="BJ1097" s="214"/>
      <c r="BK1097" s="212"/>
      <c r="BL1097" s="215"/>
      <c r="BM1097" s="216"/>
      <c r="BN1097" s="215"/>
      <c r="BO1097" s="215"/>
      <c r="BP1097" s="217"/>
      <c r="BQ1097" s="218"/>
      <c r="BR1097" s="219"/>
      <c r="BS1097" s="218"/>
      <c r="BT1097" s="218"/>
      <c r="BU1097" s="218"/>
      <c r="BV1097" s="220"/>
    </row>
    <row r="1098" spans="1:74" x14ac:dyDescent="0.8">
      <c r="A1098" s="64"/>
      <c r="B1098" s="64"/>
      <c r="C1098" s="62"/>
      <c r="F1098" s="70"/>
      <c r="G1098" s="86"/>
      <c r="H1098" s="70"/>
      <c r="I1098" s="86"/>
      <c r="J1098" s="70"/>
      <c r="K1098" s="86"/>
      <c r="N1098" s="83"/>
      <c r="O1098" s="83"/>
      <c r="P1098" s="83"/>
      <c r="Q1098" s="86"/>
      <c r="R1098" s="83"/>
      <c r="S1098" s="83"/>
      <c r="T1098" s="70"/>
      <c r="U1098" s="86"/>
      <c r="V1098" s="70"/>
      <c r="W1098" s="86"/>
      <c r="X1098" s="126"/>
      <c r="Y1098" s="208"/>
      <c r="Z1098" s="126"/>
      <c r="AA1098" s="208"/>
      <c r="AB1098" s="126"/>
      <c r="AC1098" s="208"/>
      <c r="AD1098" s="209"/>
      <c r="AE1098" s="210"/>
      <c r="AF1098" s="209"/>
      <c r="AG1098" s="210"/>
      <c r="AH1098" s="209"/>
      <c r="AI1098" s="210"/>
      <c r="AJ1098" s="209"/>
      <c r="AK1098" s="210"/>
      <c r="AL1098" s="209"/>
      <c r="AM1098" s="211"/>
      <c r="AN1098" s="209"/>
      <c r="AO1098" s="212"/>
      <c r="AP1098" s="213"/>
      <c r="AQ1098" s="213"/>
      <c r="AR1098" s="209"/>
      <c r="AS1098" s="301"/>
      <c r="AT1098" s="301"/>
      <c r="AU1098" s="209"/>
      <c r="AV1098" s="301"/>
      <c r="AW1098" s="210"/>
      <c r="AX1098" s="301"/>
      <c r="AY1098" s="214"/>
      <c r="AZ1098" s="211"/>
      <c r="BA1098" s="212"/>
      <c r="BB1098" s="212"/>
      <c r="BC1098" s="213"/>
      <c r="BD1098" s="209"/>
      <c r="BE1098" s="301"/>
      <c r="BF1098" s="301"/>
      <c r="BG1098" s="209"/>
      <c r="BH1098" s="301"/>
      <c r="BI1098" s="210"/>
      <c r="BJ1098" s="214"/>
      <c r="BK1098" s="212"/>
      <c r="BL1098" s="215"/>
      <c r="BM1098" s="216"/>
      <c r="BN1098" s="215"/>
      <c r="BO1098" s="215"/>
      <c r="BP1098" s="217"/>
      <c r="BQ1098" s="218"/>
      <c r="BR1098" s="219"/>
      <c r="BS1098" s="218"/>
      <c r="BT1098" s="218"/>
      <c r="BU1098" s="218"/>
      <c r="BV1098" s="220"/>
    </row>
    <row r="1099" spans="1:74" x14ac:dyDescent="0.8">
      <c r="A1099" s="64"/>
      <c r="B1099" s="64"/>
      <c r="C1099" s="62"/>
      <c r="F1099" s="70"/>
      <c r="G1099" s="86"/>
      <c r="H1099" s="70"/>
      <c r="I1099" s="86"/>
      <c r="J1099" s="70"/>
      <c r="K1099" s="86"/>
      <c r="N1099" s="83"/>
      <c r="O1099" s="83"/>
      <c r="P1099" s="83"/>
      <c r="Q1099" s="86"/>
      <c r="R1099" s="83"/>
      <c r="S1099" s="83"/>
      <c r="T1099" s="70"/>
      <c r="U1099" s="86"/>
      <c r="V1099" s="70"/>
      <c r="W1099" s="86"/>
      <c r="X1099" s="126"/>
      <c r="Y1099" s="208"/>
      <c r="Z1099" s="126"/>
      <c r="AA1099" s="208"/>
      <c r="AB1099" s="126"/>
      <c r="AC1099" s="208"/>
      <c r="AD1099" s="209"/>
      <c r="AE1099" s="210"/>
      <c r="AF1099" s="209"/>
      <c r="AG1099" s="210"/>
      <c r="AH1099" s="209"/>
      <c r="AI1099" s="210"/>
      <c r="AJ1099" s="209"/>
      <c r="AK1099" s="210"/>
      <c r="AL1099" s="209"/>
      <c r="AM1099" s="211"/>
      <c r="AN1099" s="209"/>
      <c r="AO1099" s="212"/>
      <c r="AP1099" s="213"/>
      <c r="AQ1099" s="213"/>
      <c r="AR1099" s="209"/>
      <c r="AS1099" s="301"/>
      <c r="AT1099" s="301"/>
      <c r="AU1099" s="209"/>
      <c r="AV1099" s="301"/>
      <c r="AW1099" s="210"/>
      <c r="AX1099" s="301"/>
      <c r="AY1099" s="214"/>
      <c r="AZ1099" s="211"/>
      <c r="BA1099" s="212"/>
      <c r="BB1099" s="212"/>
      <c r="BC1099" s="213"/>
      <c r="BD1099" s="209"/>
      <c r="BE1099" s="301"/>
      <c r="BF1099" s="301"/>
      <c r="BG1099" s="209"/>
      <c r="BH1099" s="301"/>
      <c r="BI1099" s="210"/>
      <c r="BJ1099" s="214"/>
      <c r="BK1099" s="212"/>
      <c r="BL1099" s="215"/>
      <c r="BM1099" s="216"/>
      <c r="BN1099" s="215"/>
      <c r="BO1099" s="215"/>
      <c r="BP1099" s="217"/>
      <c r="BQ1099" s="218"/>
      <c r="BR1099" s="219"/>
      <c r="BS1099" s="218"/>
      <c r="BT1099" s="218"/>
      <c r="BU1099" s="218"/>
      <c r="BV1099" s="220"/>
    </row>
    <row r="1100" spans="1:74" x14ac:dyDescent="0.8">
      <c r="A1100" s="64"/>
      <c r="B1100" s="64"/>
      <c r="C1100" s="62"/>
      <c r="F1100" s="70"/>
      <c r="G1100" s="86"/>
      <c r="H1100" s="70"/>
      <c r="I1100" s="86"/>
      <c r="J1100" s="70"/>
      <c r="K1100" s="86"/>
      <c r="N1100" s="83"/>
      <c r="O1100" s="83"/>
      <c r="P1100" s="83"/>
      <c r="Q1100" s="86"/>
      <c r="R1100" s="83"/>
      <c r="S1100" s="83"/>
      <c r="T1100" s="70"/>
      <c r="U1100" s="86"/>
      <c r="V1100" s="70"/>
      <c r="W1100" s="86"/>
      <c r="X1100" s="126"/>
      <c r="Y1100" s="208"/>
      <c r="Z1100" s="126"/>
      <c r="AA1100" s="208"/>
      <c r="AB1100" s="126"/>
      <c r="AC1100" s="208"/>
      <c r="AD1100" s="209"/>
      <c r="AE1100" s="210"/>
      <c r="AF1100" s="209"/>
      <c r="AG1100" s="210"/>
      <c r="AH1100" s="209"/>
      <c r="AI1100" s="210"/>
      <c r="AJ1100" s="209"/>
      <c r="AK1100" s="210"/>
      <c r="AL1100" s="209"/>
      <c r="AM1100" s="211"/>
      <c r="AN1100" s="209"/>
      <c r="AO1100" s="212"/>
      <c r="AP1100" s="213"/>
      <c r="AQ1100" s="213"/>
      <c r="AR1100" s="209"/>
      <c r="AS1100" s="301"/>
      <c r="AT1100" s="301"/>
      <c r="AU1100" s="209"/>
      <c r="AV1100" s="301"/>
      <c r="AW1100" s="210"/>
      <c r="AX1100" s="301"/>
      <c r="AY1100" s="214"/>
      <c r="AZ1100" s="211"/>
      <c r="BA1100" s="212"/>
      <c r="BB1100" s="212"/>
      <c r="BC1100" s="213"/>
      <c r="BD1100" s="209"/>
      <c r="BE1100" s="301"/>
      <c r="BF1100" s="301"/>
      <c r="BG1100" s="209"/>
      <c r="BH1100" s="301"/>
      <c r="BI1100" s="210"/>
      <c r="BJ1100" s="214"/>
      <c r="BK1100" s="212"/>
      <c r="BL1100" s="215"/>
      <c r="BM1100" s="216"/>
      <c r="BN1100" s="215"/>
      <c r="BO1100" s="215"/>
      <c r="BP1100" s="217"/>
      <c r="BQ1100" s="218"/>
      <c r="BR1100" s="219"/>
      <c r="BS1100" s="218"/>
      <c r="BT1100" s="218"/>
      <c r="BU1100" s="218"/>
      <c r="BV1100" s="220"/>
    </row>
    <row r="1101" spans="1:74" x14ac:dyDescent="0.8">
      <c r="A1101" s="64"/>
      <c r="B1101" s="64"/>
      <c r="C1101" s="62"/>
      <c r="F1101" s="70"/>
      <c r="G1101" s="86"/>
      <c r="H1101" s="70"/>
      <c r="I1101" s="86"/>
      <c r="J1101" s="70"/>
      <c r="K1101" s="86"/>
      <c r="N1101" s="83"/>
      <c r="O1101" s="83"/>
      <c r="P1101" s="83"/>
      <c r="Q1101" s="86"/>
      <c r="R1101" s="83"/>
      <c r="S1101" s="83"/>
      <c r="T1101" s="70"/>
      <c r="U1101" s="86"/>
      <c r="V1101" s="70"/>
      <c r="W1101" s="86"/>
      <c r="X1101" s="126"/>
      <c r="Y1101" s="208"/>
      <c r="Z1101" s="126"/>
      <c r="AA1101" s="208"/>
      <c r="AB1101" s="126"/>
      <c r="AC1101" s="208"/>
      <c r="AD1101" s="209"/>
      <c r="AE1101" s="210"/>
      <c r="AF1101" s="209"/>
      <c r="AG1101" s="210"/>
      <c r="AH1101" s="209"/>
      <c r="AI1101" s="210"/>
      <c r="AJ1101" s="209"/>
      <c r="AK1101" s="210"/>
      <c r="AL1101" s="209"/>
      <c r="AM1101" s="211"/>
      <c r="AN1101" s="209"/>
      <c r="AO1101" s="212"/>
      <c r="AP1101" s="213"/>
      <c r="AQ1101" s="213"/>
      <c r="AR1101" s="209"/>
      <c r="AS1101" s="301"/>
      <c r="AT1101" s="301"/>
      <c r="AU1101" s="209"/>
      <c r="AV1101" s="301"/>
      <c r="AW1101" s="210"/>
      <c r="AX1101" s="301"/>
      <c r="AY1101" s="214"/>
      <c r="AZ1101" s="211"/>
      <c r="BA1101" s="212"/>
      <c r="BB1101" s="212"/>
      <c r="BC1101" s="213"/>
      <c r="BD1101" s="209"/>
      <c r="BE1101" s="301"/>
      <c r="BF1101" s="301"/>
      <c r="BG1101" s="209"/>
      <c r="BH1101" s="301"/>
      <c r="BI1101" s="210"/>
      <c r="BJ1101" s="214"/>
      <c r="BK1101" s="212"/>
      <c r="BL1101" s="215"/>
      <c r="BM1101" s="216"/>
      <c r="BN1101" s="215"/>
      <c r="BO1101" s="215"/>
      <c r="BP1101" s="217"/>
      <c r="BQ1101" s="218"/>
      <c r="BR1101" s="219"/>
      <c r="BS1101" s="218"/>
      <c r="BT1101" s="218"/>
      <c r="BU1101" s="218"/>
      <c r="BV1101" s="220"/>
    </row>
    <row r="1102" spans="1:74" x14ac:dyDescent="0.8">
      <c r="A1102" s="64"/>
      <c r="B1102" s="64"/>
      <c r="C1102" s="62"/>
      <c r="F1102" s="70"/>
      <c r="G1102" s="86"/>
      <c r="H1102" s="70"/>
      <c r="I1102" s="86"/>
      <c r="J1102" s="70"/>
      <c r="K1102" s="86"/>
      <c r="N1102" s="83"/>
      <c r="O1102" s="83"/>
      <c r="P1102" s="83"/>
      <c r="Q1102" s="86"/>
      <c r="R1102" s="83"/>
      <c r="S1102" s="83"/>
      <c r="T1102" s="70"/>
      <c r="U1102" s="86"/>
      <c r="V1102" s="70"/>
      <c r="W1102" s="86"/>
      <c r="X1102" s="126"/>
      <c r="Y1102" s="208"/>
      <c r="Z1102" s="126"/>
      <c r="AA1102" s="208"/>
      <c r="AB1102" s="126"/>
      <c r="AC1102" s="208"/>
      <c r="AD1102" s="209"/>
      <c r="AE1102" s="210"/>
      <c r="AF1102" s="209"/>
      <c r="AG1102" s="210"/>
      <c r="AH1102" s="209"/>
      <c r="AI1102" s="210"/>
      <c r="AJ1102" s="209"/>
      <c r="AK1102" s="210"/>
      <c r="AL1102" s="209"/>
      <c r="AM1102" s="211"/>
      <c r="AN1102" s="209"/>
      <c r="AO1102" s="212"/>
      <c r="AP1102" s="213"/>
      <c r="AQ1102" s="213"/>
      <c r="AR1102" s="209"/>
      <c r="AS1102" s="301"/>
      <c r="AT1102" s="301"/>
      <c r="AU1102" s="209"/>
      <c r="AV1102" s="301"/>
      <c r="AW1102" s="210"/>
      <c r="AX1102" s="301"/>
      <c r="AY1102" s="214"/>
      <c r="AZ1102" s="211"/>
      <c r="BA1102" s="212"/>
      <c r="BB1102" s="212"/>
      <c r="BC1102" s="213"/>
      <c r="BD1102" s="209"/>
      <c r="BE1102" s="301"/>
      <c r="BF1102" s="301"/>
      <c r="BG1102" s="209"/>
      <c r="BH1102" s="301"/>
      <c r="BI1102" s="210"/>
      <c r="BJ1102" s="214"/>
      <c r="BK1102" s="212"/>
      <c r="BL1102" s="215"/>
      <c r="BM1102" s="216"/>
      <c r="BN1102" s="215"/>
      <c r="BO1102" s="215"/>
      <c r="BP1102" s="217"/>
      <c r="BQ1102" s="223"/>
      <c r="BR1102" s="224"/>
      <c r="BS1102" s="225"/>
      <c r="BT1102" s="225"/>
      <c r="BU1102" s="225"/>
      <c r="BV1102" s="226"/>
    </row>
    <row r="1103" spans="1:74" x14ac:dyDescent="0.8">
      <c r="A1103" s="64"/>
      <c r="B1103" s="64"/>
      <c r="C1103" s="62"/>
      <c r="F1103" s="70"/>
      <c r="G1103" s="86"/>
      <c r="H1103" s="70"/>
      <c r="I1103" s="86"/>
      <c r="J1103" s="70"/>
      <c r="K1103" s="86"/>
      <c r="N1103" s="83"/>
      <c r="O1103" s="83"/>
      <c r="P1103" s="83"/>
      <c r="Q1103" s="86"/>
      <c r="R1103" s="83"/>
      <c r="S1103" s="83"/>
      <c r="T1103" s="70"/>
      <c r="U1103" s="86"/>
      <c r="V1103" s="70"/>
      <c r="W1103" s="86"/>
      <c r="X1103" s="126"/>
      <c r="Y1103" s="208"/>
      <c r="Z1103" s="126"/>
      <c r="AA1103" s="208"/>
      <c r="AB1103" s="126"/>
      <c r="AC1103" s="208"/>
      <c r="AD1103" s="209"/>
      <c r="AE1103" s="210"/>
      <c r="AF1103" s="209"/>
      <c r="AG1103" s="210"/>
      <c r="AH1103" s="209"/>
      <c r="AI1103" s="210"/>
      <c r="AJ1103" s="209"/>
      <c r="AK1103" s="210"/>
      <c r="AL1103" s="209"/>
      <c r="AM1103" s="211"/>
      <c r="AN1103" s="209"/>
      <c r="AO1103" s="212"/>
      <c r="AP1103" s="213"/>
      <c r="AQ1103" s="213"/>
      <c r="AR1103" s="209"/>
      <c r="AS1103" s="301"/>
      <c r="AT1103" s="301"/>
      <c r="AU1103" s="209"/>
      <c r="AV1103" s="301"/>
      <c r="AW1103" s="210"/>
      <c r="AX1103" s="301"/>
      <c r="AY1103" s="214"/>
      <c r="AZ1103" s="211"/>
      <c r="BA1103" s="212"/>
      <c r="BB1103" s="212"/>
      <c r="BC1103" s="213"/>
      <c r="BD1103" s="209"/>
      <c r="BE1103" s="301"/>
      <c r="BF1103" s="301"/>
      <c r="BG1103" s="209"/>
      <c r="BH1103" s="301"/>
      <c r="BI1103" s="210"/>
      <c r="BJ1103" s="214"/>
      <c r="BK1103" s="212"/>
      <c r="BL1103" s="215"/>
      <c r="BM1103" s="216"/>
      <c r="BN1103" s="215"/>
      <c r="BO1103" s="215"/>
      <c r="BP1103" s="217"/>
      <c r="BQ1103" s="223"/>
      <c r="BR1103" s="224"/>
      <c r="BS1103" s="225"/>
      <c r="BT1103" s="225"/>
      <c r="BU1103" s="225"/>
      <c r="BV1103" s="226"/>
    </row>
    <row r="1104" spans="1:74" x14ac:dyDescent="0.8">
      <c r="A1104" s="64"/>
      <c r="B1104" s="64"/>
      <c r="C1104" s="62"/>
      <c r="F1104" s="70"/>
      <c r="G1104" s="86"/>
      <c r="H1104" s="70"/>
      <c r="I1104" s="86"/>
      <c r="J1104" s="70"/>
      <c r="K1104" s="86"/>
      <c r="N1104" s="83"/>
      <c r="O1104" s="83"/>
      <c r="P1104" s="83"/>
      <c r="Q1104" s="86"/>
      <c r="R1104" s="83"/>
      <c r="S1104" s="83"/>
      <c r="T1104" s="70"/>
      <c r="U1104" s="86"/>
      <c r="V1104" s="70"/>
      <c r="W1104" s="86"/>
      <c r="X1104" s="126"/>
      <c r="Y1104" s="208"/>
      <c r="Z1104" s="126"/>
      <c r="AA1104" s="208"/>
      <c r="AB1104" s="126"/>
      <c r="AC1104" s="208"/>
      <c r="AD1104" s="209"/>
      <c r="AE1104" s="210"/>
      <c r="AF1104" s="209"/>
      <c r="AG1104" s="210"/>
      <c r="AH1104" s="209"/>
      <c r="AI1104" s="210"/>
      <c r="AJ1104" s="209"/>
      <c r="AK1104" s="210"/>
      <c r="AL1104" s="209"/>
      <c r="AM1104" s="211"/>
      <c r="AN1104" s="209"/>
      <c r="AO1104" s="212"/>
      <c r="AP1104" s="213"/>
      <c r="AQ1104" s="213"/>
      <c r="AR1104" s="209"/>
      <c r="AS1104" s="301"/>
      <c r="AT1104" s="301"/>
      <c r="AU1104" s="209"/>
      <c r="AV1104" s="301"/>
      <c r="AW1104" s="210"/>
      <c r="AX1104" s="301"/>
      <c r="AY1104" s="214"/>
      <c r="AZ1104" s="211"/>
      <c r="BA1104" s="212"/>
      <c r="BB1104" s="212"/>
      <c r="BC1104" s="213"/>
      <c r="BD1104" s="209"/>
      <c r="BE1104" s="301"/>
      <c r="BF1104" s="301"/>
      <c r="BG1104" s="209"/>
      <c r="BH1104" s="301"/>
      <c r="BI1104" s="210"/>
      <c r="BJ1104" s="214"/>
      <c r="BK1104" s="212"/>
      <c r="BL1104" s="215"/>
      <c r="BM1104" s="216"/>
      <c r="BN1104" s="215"/>
      <c r="BO1104" s="215"/>
      <c r="BP1104" s="217"/>
      <c r="BQ1104" s="218"/>
      <c r="BR1104" s="219"/>
      <c r="BS1104" s="218"/>
      <c r="BT1104" s="218"/>
      <c r="BU1104" s="218"/>
      <c r="BV1104" s="220"/>
    </row>
    <row r="1105" spans="1:74" x14ac:dyDescent="0.8">
      <c r="A1105" s="64"/>
      <c r="B1105" s="64"/>
      <c r="C1105" s="59"/>
      <c r="F1105" s="70"/>
      <c r="G1105" s="86"/>
      <c r="H1105" s="70"/>
      <c r="I1105" s="86"/>
      <c r="J1105" s="70"/>
      <c r="K1105" s="86"/>
      <c r="M1105" s="302"/>
      <c r="N1105" s="83"/>
      <c r="O1105" s="83"/>
      <c r="P1105" s="83"/>
      <c r="Q1105" s="86"/>
      <c r="R1105" s="83"/>
      <c r="S1105" s="83"/>
      <c r="T1105" s="70"/>
      <c r="U1105" s="86"/>
      <c r="V1105" s="70"/>
      <c r="W1105" s="86"/>
      <c r="X1105" s="126"/>
      <c r="Y1105" s="208"/>
      <c r="Z1105" s="126"/>
      <c r="AA1105" s="208"/>
      <c r="AB1105" s="126"/>
      <c r="AC1105" s="208"/>
      <c r="AD1105" s="209"/>
      <c r="AE1105" s="210"/>
      <c r="AF1105" s="209"/>
      <c r="AG1105" s="210"/>
      <c r="AH1105" s="209"/>
      <c r="AI1105" s="210"/>
      <c r="AJ1105" s="209"/>
      <c r="AK1105" s="210"/>
      <c r="AL1105" s="209"/>
      <c r="AM1105" s="211"/>
      <c r="AN1105" s="209"/>
      <c r="AO1105" s="212"/>
      <c r="AP1105" s="213"/>
      <c r="AQ1105" s="213"/>
      <c r="AR1105" s="209"/>
      <c r="AS1105" s="301"/>
      <c r="AT1105" s="301"/>
      <c r="AU1105" s="209"/>
      <c r="AV1105" s="301"/>
      <c r="AW1105" s="210"/>
      <c r="AX1105" s="301"/>
      <c r="AY1105" s="214"/>
      <c r="AZ1105" s="211"/>
      <c r="BA1105" s="212"/>
      <c r="BB1105" s="212"/>
      <c r="BC1105" s="213"/>
      <c r="BD1105" s="209"/>
      <c r="BE1105" s="301"/>
      <c r="BF1105" s="301"/>
      <c r="BG1105" s="209"/>
      <c r="BH1105" s="301"/>
      <c r="BI1105" s="210"/>
      <c r="BJ1105" s="214"/>
      <c r="BK1105" s="212"/>
      <c r="BL1105" s="215"/>
      <c r="BM1105" s="216"/>
      <c r="BN1105" s="215"/>
      <c r="BO1105" s="215"/>
      <c r="BP1105" s="217"/>
      <c r="BQ1105" s="223"/>
      <c r="BR1105" s="224"/>
      <c r="BS1105" s="225"/>
      <c r="BT1105" s="225"/>
      <c r="BU1105" s="225"/>
      <c r="BV1105" s="226"/>
    </row>
    <row r="1106" spans="1:74" x14ac:dyDescent="0.8">
      <c r="A1106" s="64"/>
      <c r="B1106" s="64"/>
      <c r="C1106" s="59"/>
      <c r="F1106" s="70"/>
      <c r="G1106" s="86"/>
      <c r="H1106" s="70"/>
      <c r="I1106" s="86"/>
      <c r="J1106" s="70"/>
      <c r="K1106" s="86"/>
      <c r="M1106" s="302"/>
      <c r="N1106" s="83"/>
      <c r="O1106" s="83"/>
      <c r="P1106" s="83"/>
      <c r="Q1106" s="86"/>
      <c r="R1106" s="83"/>
      <c r="S1106" s="83"/>
      <c r="T1106" s="70"/>
      <c r="U1106" s="86"/>
      <c r="V1106" s="70"/>
      <c r="W1106" s="86"/>
      <c r="X1106" s="126"/>
      <c r="Y1106" s="208"/>
      <c r="Z1106" s="126"/>
      <c r="AA1106" s="208"/>
      <c r="AB1106" s="126"/>
      <c r="AC1106" s="208"/>
      <c r="AD1106" s="209"/>
      <c r="AE1106" s="210"/>
      <c r="AF1106" s="209"/>
      <c r="AG1106" s="210"/>
      <c r="AH1106" s="209"/>
      <c r="AI1106" s="210"/>
      <c r="AJ1106" s="209"/>
      <c r="AK1106" s="210"/>
      <c r="AL1106" s="209"/>
      <c r="AM1106" s="211"/>
      <c r="AN1106" s="209"/>
      <c r="AO1106" s="212"/>
      <c r="AP1106" s="213"/>
      <c r="AQ1106" s="213"/>
      <c r="AR1106" s="209"/>
      <c r="AS1106" s="301"/>
      <c r="AT1106" s="301"/>
      <c r="AU1106" s="209"/>
      <c r="AV1106" s="301"/>
      <c r="AW1106" s="210"/>
      <c r="AX1106" s="301"/>
      <c r="AY1106" s="214"/>
      <c r="AZ1106" s="211"/>
      <c r="BA1106" s="212"/>
      <c r="BB1106" s="212"/>
      <c r="BC1106" s="213"/>
      <c r="BD1106" s="209"/>
      <c r="BE1106" s="301"/>
      <c r="BF1106" s="301"/>
      <c r="BG1106" s="209"/>
      <c r="BH1106" s="301"/>
      <c r="BI1106" s="210"/>
      <c r="BJ1106" s="214"/>
      <c r="BK1106" s="212"/>
      <c r="BL1106" s="215"/>
      <c r="BM1106" s="216"/>
      <c r="BN1106" s="215"/>
      <c r="BO1106" s="215"/>
      <c r="BP1106" s="217"/>
      <c r="BQ1106" s="223"/>
      <c r="BR1106" s="224"/>
      <c r="BS1106" s="225"/>
      <c r="BT1106" s="225"/>
      <c r="BU1106" s="225"/>
      <c r="BV1106" s="226"/>
    </row>
    <row r="1107" spans="1:74" x14ac:dyDescent="0.8">
      <c r="A1107" s="64"/>
      <c r="B1107" s="64"/>
      <c r="C1107" s="59"/>
      <c r="F1107" s="70"/>
      <c r="G1107" s="86"/>
      <c r="H1107" s="70"/>
      <c r="I1107" s="86"/>
      <c r="J1107" s="70"/>
      <c r="K1107" s="86"/>
      <c r="M1107" s="302"/>
      <c r="N1107" s="83"/>
      <c r="O1107" s="83"/>
      <c r="P1107" s="83"/>
      <c r="Q1107" s="86"/>
      <c r="R1107" s="83"/>
      <c r="S1107" s="83"/>
      <c r="T1107" s="70"/>
      <c r="U1107" s="86"/>
      <c r="V1107" s="70"/>
      <c r="W1107" s="86"/>
      <c r="X1107" s="126"/>
      <c r="Y1107" s="208"/>
      <c r="Z1107" s="126"/>
      <c r="AA1107" s="208"/>
      <c r="AB1107" s="126"/>
      <c r="AC1107" s="208"/>
      <c r="AD1107" s="209"/>
      <c r="AE1107" s="210"/>
      <c r="AF1107" s="209"/>
      <c r="AG1107" s="210"/>
      <c r="AH1107" s="209"/>
      <c r="AI1107" s="210"/>
      <c r="AJ1107" s="209"/>
      <c r="AK1107" s="210"/>
      <c r="AL1107" s="209"/>
      <c r="AM1107" s="211"/>
      <c r="AN1107" s="209"/>
      <c r="AO1107" s="212"/>
      <c r="AP1107" s="213"/>
      <c r="AQ1107" s="213"/>
      <c r="AR1107" s="209"/>
      <c r="AS1107" s="301"/>
      <c r="AT1107" s="301"/>
      <c r="AU1107" s="209"/>
      <c r="AV1107" s="301"/>
      <c r="AW1107" s="210"/>
      <c r="AX1107" s="301"/>
      <c r="AY1107" s="214"/>
      <c r="AZ1107" s="211"/>
      <c r="BA1107" s="212"/>
      <c r="BB1107" s="212"/>
      <c r="BC1107" s="213"/>
      <c r="BD1107" s="209"/>
      <c r="BE1107" s="301"/>
      <c r="BF1107" s="301"/>
      <c r="BG1107" s="209"/>
      <c r="BH1107" s="301"/>
      <c r="BI1107" s="210"/>
      <c r="BJ1107" s="214"/>
      <c r="BK1107" s="212"/>
      <c r="BL1107" s="215"/>
      <c r="BM1107" s="216"/>
      <c r="BN1107" s="215"/>
      <c r="BO1107" s="215"/>
      <c r="BP1107" s="217"/>
      <c r="BQ1107" s="218"/>
      <c r="BR1107" s="219"/>
      <c r="BS1107" s="218"/>
      <c r="BT1107" s="218"/>
      <c r="BU1107" s="218"/>
      <c r="BV1107" s="220"/>
    </row>
    <row r="1108" spans="1:74" x14ac:dyDescent="0.8">
      <c r="A1108" s="64"/>
      <c r="B1108" s="64"/>
      <c r="C1108" s="59"/>
      <c r="F1108" s="70"/>
      <c r="G1108" s="86"/>
      <c r="H1108" s="70"/>
      <c r="I1108" s="86"/>
      <c r="J1108" s="70"/>
      <c r="K1108" s="86"/>
      <c r="M1108" s="302"/>
      <c r="N1108" s="83"/>
      <c r="O1108" s="83"/>
      <c r="P1108" s="83"/>
      <c r="Q1108" s="86"/>
      <c r="R1108" s="83"/>
      <c r="S1108" s="83"/>
      <c r="T1108" s="70"/>
      <c r="U1108" s="86"/>
      <c r="V1108" s="70"/>
      <c r="W1108" s="86"/>
      <c r="X1108" s="126"/>
      <c r="Y1108" s="208"/>
      <c r="Z1108" s="126"/>
      <c r="AA1108" s="208"/>
      <c r="AB1108" s="126"/>
      <c r="AC1108" s="208"/>
      <c r="AD1108" s="209"/>
      <c r="AE1108" s="210"/>
      <c r="AF1108" s="209"/>
      <c r="AG1108" s="210"/>
      <c r="AH1108" s="209"/>
      <c r="AI1108" s="210"/>
      <c r="AJ1108" s="209"/>
      <c r="AK1108" s="210"/>
      <c r="AL1108" s="209"/>
      <c r="AM1108" s="211"/>
      <c r="AN1108" s="209"/>
      <c r="AO1108" s="212"/>
      <c r="AP1108" s="213"/>
      <c r="AQ1108" s="213"/>
      <c r="AR1108" s="209"/>
      <c r="AS1108" s="301"/>
      <c r="AT1108" s="301"/>
      <c r="AU1108" s="209"/>
      <c r="AV1108" s="301"/>
      <c r="AW1108" s="210"/>
      <c r="AX1108" s="301"/>
      <c r="AY1108" s="214"/>
      <c r="AZ1108" s="211"/>
      <c r="BA1108" s="212"/>
      <c r="BB1108" s="212"/>
      <c r="BC1108" s="213"/>
      <c r="BD1108" s="209"/>
      <c r="BE1108" s="301"/>
      <c r="BF1108" s="301"/>
      <c r="BG1108" s="209"/>
      <c r="BH1108" s="301"/>
      <c r="BI1108" s="210"/>
      <c r="BJ1108" s="214"/>
      <c r="BK1108" s="212"/>
      <c r="BL1108" s="221"/>
      <c r="BM1108" s="216"/>
      <c r="BN1108" s="221"/>
      <c r="BO1108" s="221"/>
      <c r="BP1108" s="222"/>
      <c r="BQ1108" s="218"/>
      <c r="BR1108" s="219"/>
      <c r="BS1108" s="218"/>
      <c r="BT1108" s="218"/>
      <c r="BU1108" s="218"/>
      <c r="BV1108" s="220"/>
    </row>
    <row r="1109" spans="1:74" x14ac:dyDescent="0.8">
      <c r="A1109" s="64"/>
      <c r="B1109" s="64"/>
      <c r="C1109" s="59"/>
      <c r="F1109" s="70"/>
      <c r="G1109" s="86"/>
      <c r="H1109" s="70"/>
      <c r="I1109" s="86"/>
      <c r="J1109" s="70"/>
      <c r="K1109" s="86"/>
      <c r="M1109" s="302"/>
      <c r="N1109" s="83"/>
      <c r="O1109" s="83"/>
      <c r="P1109" s="83"/>
      <c r="Q1109" s="86"/>
      <c r="R1109" s="83"/>
      <c r="S1109" s="83"/>
      <c r="T1109" s="70"/>
      <c r="U1109" s="86"/>
      <c r="V1109" s="70"/>
      <c r="W1109" s="86"/>
      <c r="X1109" s="126"/>
      <c r="Y1109" s="208"/>
      <c r="Z1109" s="126"/>
      <c r="AA1109" s="208"/>
      <c r="AB1109" s="126"/>
      <c r="AC1109" s="208"/>
      <c r="AD1109" s="209"/>
      <c r="AE1109" s="210"/>
      <c r="AF1109" s="209"/>
      <c r="AG1109" s="210"/>
      <c r="AH1109" s="209"/>
      <c r="AI1109" s="210"/>
      <c r="AJ1109" s="209"/>
      <c r="AK1109" s="210"/>
      <c r="AL1109" s="209"/>
      <c r="AM1109" s="211"/>
      <c r="AN1109" s="209"/>
      <c r="AO1109" s="212"/>
      <c r="AP1109" s="213"/>
      <c r="AQ1109" s="213"/>
      <c r="AR1109" s="209"/>
      <c r="AS1109" s="301"/>
      <c r="AT1109" s="301"/>
      <c r="AU1109" s="209"/>
      <c r="AV1109" s="301"/>
      <c r="AW1109" s="210"/>
      <c r="AX1109" s="301"/>
      <c r="AY1109" s="214"/>
      <c r="AZ1109" s="211"/>
      <c r="BA1109" s="212"/>
      <c r="BB1109" s="212"/>
      <c r="BC1109" s="213"/>
      <c r="BD1109" s="209"/>
      <c r="BE1109" s="301"/>
      <c r="BF1109" s="301"/>
      <c r="BG1109" s="209"/>
      <c r="BH1109" s="301"/>
      <c r="BI1109" s="210"/>
      <c r="BJ1109" s="214"/>
      <c r="BK1109" s="212"/>
      <c r="BL1109" s="215"/>
      <c r="BM1109" s="216"/>
      <c r="BN1109" s="215"/>
      <c r="BO1109" s="215"/>
      <c r="BP1109" s="217"/>
      <c r="BQ1109" s="218"/>
      <c r="BR1109" s="219"/>
      <c r="BS1109" s="218"/>
      <c r="BT1109" s="218"/>
      <c r="BU1109" s="218"/>
      <c r="BV1109" s="220"/>
    </row>
    <row r="1110" spans="1:74" x14ac:dyDescent="0.8">
      <c r="A1110" s="64"/>
      <c r="B1110" s="64"/>
      <c r="C1110" s="59"/>
      <c r="F1110" s="70"/>
      <c r="G1110" s="86"/>
      <c r="H1110" s="70"/>
      <c r="I1110" s="86"/>
      <c r="J1110" s="70"/>
      <c r="K1110" s="86"/>
      <c r="M1110" s="302"/>
      <c r="N1110" s="83"/>
      <c r="O1110" s="83"/>
      <c r="P1110" s="83"/>
      <c r="Q1110" s="86"/>
      <c r="R1110" s="83"/>
      <c r="S1110" s="83"/>
      <c r="T1110" s="70"/>
      <c r="U1110" s="86"/>
      <c r="V1110" s="70"/>
      <c r="W1110" s="86"/>
      <c r="X1110" s="126"/>
      <c r="Y1110" s="208"/>
      <c r="Z1110" s="126"/>
      <c r="AA1110" s="208"/>
      <c r="AB1110" s="126"/>
      <c r="AC1110" s="208"/>
      <c r="AD1110" s="209"/>
      <c r="AE1110" s="210"/>
      <c r="AF1110" s="209"/>
      <c r="AG1110" s="210"/>
      <c r="AH1110" s="209"/>
      <c r="AI1110" s="210"/>
      <c r="AJ1110" s="209"/>
      <c r="AK1110" s="210"/>
      <c r="AL1110" s="209"/>
      <c r="AM1110" s="211"/>
      <c r="AN1110" s="209"/>
      <c r="AO1110" s="212"/>
      <c r="AP1110" s="213"/>
      <c r="AQ1110" s="213"/>
      <c r="AR1110" s="209"/>
      <c r="AS1110" s="301"/>
      <c r="AT1110" s="301"/>
      <c r="AU1110" s="209"/>
      <c r="AV1110" s="301"/>
      <c r="AW1110" s="210"/>
      <c r="AX1110" s="301"/>
      <c r="AY1110" s="214"/>
      <c r="AZ1110" s="211"/>
      <c r="BA1110" s="212"/>
      <c r="BB1110" s="212"/>
      <c r="BC1110" s="213"/>
      <c r="BD1110" s="209"/>
      <c r="BE1110" s="301"/>
      <c r="BF1110" s="301"/>
      <c r="BG1110" s="209"/>
      <c r="BH1110" s="301"/>
      <c r="BI1110" s="210"/>
      <c r="BJ1110" s="214"/>
      <c r="BK1110" s="212"/>
      <c r="BL1110" s="215"/>
      <c r="BM1110" s="216"/>
      <c r="BN1110" s="215"/>
      <c r="BO1110" s="215"/>
      <c r="BP1110" s="217"/>
      <c r="BQ1110" s="218"/>
      <c r="BR1110" s="219"/>
      <c r="BS1110" s="218"/>
      <c r="BT1110" s="218"/>
      <c r="BU1110" s="218"/>
      <c r="BV1110" s="220"/>
    </row>
    <row r="1111" spans="1:74" x14ac:dyDescent="0.8">
      <c r="A1111" s="64"/>
      <c r="B1111" s="64"/>
      <c r="C1111" s="59"/>
      <c r="F1111" s="70"/>
      <c r="G1111" s="86"/>
      <c r="H1111" s="70"/>
      <c r="I1111" s="86"/>
      <c r="J1111" s="70"/>
      <c r="K1111" s="86"/>
      <c r="M1111" s="302"/>
      <c r="N1111" s="83"/>
      <c r="O1111" s="83"/>
      <c r="P1111" s="83"/>
      <c r="Q1111" s="86"/>
      <c r="R1111" s="83"/>
      <c r="S1111" s="83"/>
      <c r="T1111" s="70"/>
      <c r="U1111" s="86"/>
      <c r="V1111" s="70"/>
      <c r="W1111" s="86"/>
      <c r="X1111" s="126"/>
      <c r="Y1111" s="208"/>
      <c r="Z1111" s="126"/>
      <c r="AA1111" s="208"/>
      <c r="AB1111" s="126"/>
      <c r="AC1111" s="208"/>
      <c r="AD1111" s="209"/>
      <c r="AE1111" s="210"/>
      <c r="AF1111" s="209"/>
      <c r="AG1111" s="210"/>
      <c r="AH1111" s="209"/>
      <c r="AI1111" s="210"/>
      <c r="AJ1111" s="209"/>
      <c r="AK1111" s="210"/>
      <c r="AL1111" s="209"/>
      <c r="AM1111" s="211"/>
      <c r="AN1111" s="209"/>
      <c r="AO1111" s="212"/>
      <c r="AP1111" s="213"/>
      <c r="AQ1111" s="213"/>
      <c r="AR1111" s="209"/>
      <c r="AS1111" s="301"/>
      <c r="AT1111" s="301"/>
      <c r="AU1111" s="209"/>
      <c r="AV1111" s="301"/>
      <c r="AW1111" s="210"/>
      <c r="AX1111" s="301"/>
      <c r="AY1111" s="214"/>
      <c r="AZ1111" s="211"/>
      <c r="BA1111" s="212"/>
      <c r="BB1111" s="212"/>
      <c r="BC1111" s="213"/>
      <c r="BD1111" s="209"/>
      <c r="BE1111" s="301"/>
      <c r="BF1111" s="301"/>
      <c r="BG1111" s="209"/>
      <c r="BH1111" s="301"/>
      <c r="BI1111" s="210"/>
      <c r="BJ1111" s="214"/>
      <c r="BK1111" s="212"/>
      <c r="BL1111" s="215"/>
      <c r="BM1111" s="216"/>
      <c r="BN1111" s="215"/>
      <c r="BO1111" s="215"/>
      <c r="BP1111" s="217"/>
      <c r="BQ1111" s="218"/>
      <c r="BR1111" s="219"/>
      <c r="BS1111" s="218"/>
      <c r="BT1111" s="218"/>
      <c r="BU1111" s="218"/>
      <c r="BV1111" s="220"/>
    </row>
    <row r="1112" spans="1:74" x14ac:dyDescent="0.8">
      <c r="A1112" s="64"/>
      <c r="B1112" s="64"/>
      <c r="C1112" s="59"/>
      <c r="F1112" s="70"/>
      <c r="G1112" s="86"/>
      <c r="H1112" s="70"/>
      <c r="I1112" s="86"/>
      <c r="J1112" s="70"/>
      <c r="K1112" s="86"/>
      <c r="M1112" s="302"/>
      <c r="N1112" s="83"/>
      <c r="O1112" s="83"/>
      <c r="P1112" s="83"/>
      <c r="Q1112" s="86"/>
      <c r="R1112" s="83"/>
      <c r="S1112" s="83"/>
      <c r="T1112" s="70"/>
      <c r="U1112" s="86"/>
      <c r="V1112" s="70"/>
      <c r="W1112" s="86"/>
      <c r="X1112" s="126"/>
      <c r="Y1112" s="208"/>
      <c r="Z1112" s="126"/>
      <c r="AA1112" s="208"/>
      <c r="AB1112" s="126"/>
      <c r="AC1112" s="208"/>
      <c r="AD1112" s="209"/>
      <c r="AE1112" s="210"/>
      <c r="AF1112" s="209"/>
      <c r="AG1112" s="210"/>
      <c r="AH1112" s="209"/>
      <c r="AI1112" s="210"/>
      <c r="AJ1112" s="209"/>
      <c r="AK1112" s="210"/>
      <c r="AL1112" s="209"/>
      <c r="AM1112" s="211"/>
      <c r="AN1112" s="209"/>
      <c r="AO1112" s="212"/>
      <c r="AP1112" s="213"/>
      <c r="AQ1112" s="213"/>
      <c r="AR1112" s="209"/>
      <c r="AS1112" s="301"/>
      <c r="AT1112" s="301"/>
      <c r="AU1112" s="209"/>
      <c r="AV1112" s="301"/>
      <c r="AW1112" s="210"/>
      <c r="AX1112" s="301"/>
      <c r="AY1112" s="214"/>
      <c r="AZ1112" s="211"/>
      <c r="BA1112" s="212"/>
      <c r="BB1112" s="212"/>
      <c r="BC1112" s="213"/>
      <c r="BD1112" s="209"/>
      <c r="BE1112" s="301"/>
      <c r="BF1112" s="301"/>
      <c r="BG1112" s="209"/>
      <c r="BH1112" s="301"/>
      <c r="BI1112" s="210"/>
      <c r="BJ1112" s="214"/>
      <c r="BK1112" s="212"/>
      <c r="BL1112" s="215"/>
      <c r="BM1112" s="216"/>
      <c r="BN1112" s="215"/>
      <c r="BO1112" s="215"/>
      <c r="BP1112" s="217"/>
      <c r="BQ1112" s="223"/>
      <c r="BR1112" s="224"/>
      <c r="BS1112" s="225"/>
      <c r="BT1112" s="225"/>
      <c r="BU1112" s="225"/>
      <c r="BV1112" s="226"/>
    </row>
    <row r="1113" spans="1:74" x14ac:dyDescent="0.8">
      <c r="A1113" s="64"/>
      <c r="B1113" s="64"/>
      <c r="C1113" s="59"/>
      <c r="F1113" s="70"/>
      <c r="G1113" s="86"/>
      <c r="H1113" s="70"/>
      <c r="I1113" s="86"/>
      <c r="J1113" s="70"/>
      <c r="K1113" s="86"/>
      <c r="M1113" s="302"/>
      <c r="N1113" s="83"/>
      <c r="O1113" s="83"/>
      <c r="P1113" s="83"/>
      <c r="Q1113" s="86"/>
      <c r="R1113" s="83"/>
      <c r="S1113" s="83"/>
      <c r="T1113" s="70"/>
      <c r="U1113" s="86"/>
      <c r="V1113" s="70"/>
      <c r="W1113" s="86"/>
      <c r="X1113" s="126"/>
      <c r="Y1113" s="208"/>
      <c r="Z1113" s="126"/>
      <c r="AA1113" s="208"/>
      <c r="AB1113" s="126"/>
      <c r="AC1113" s="208"/>
      <c r="AD1113" s="209"/>
      <c r="AE1113" s="210"/>
      <c r="AF1113" s="209"/>
      <c r="AG1113" s="210"/>
      <c r="AH1113" s="209"/>
      <c r="AI1113" s="210"/>
      <c r="AJ1113" s="209"/>
      <c r="AK1113" s="210"/>
      <c r="AL1113" s="209"/>
      <c r="AM1113" s="211"/>
      <c r="AN1113" s="209"/>
      <c r="AO1113" s="212"/>
      <c r="AP1113" s="213"/>
      <c r="AQ1113" s="213"/>
      <c r="AR1113" s="209"/>
      <c r="AS1113" s="301"/>
      <c r="AT1113" s="301"/>
      <c r="AU1113" s="209"/>
      <c r="AV1113" s="301"/>
      <c r="AW1113" s="210"/>
      <c r="AX1113" s="301"/>
      <c r="AY1113" s="214"/>
      <c r="AZ1113" s="211"/>
      <c r="BA1113" s="212"/>
      <c r="BB1113" s="212"/>
      <c r="BC1113" s="213"/>
      <c r="BD1113" s="209"/>
      <c r="BE1113" s="301"/>
      <c r="BF1113" s="301"/>
      <c r="BG1113" s="209"/>
      <c r="BH1113" s="301"/>
      <c r="BI1113" s="210"/>
      <c r="BJ1113" s="214"/>
      <c r="BK1113" s="212"/>
      <c r="BL1113" s="215"/>
      <c r="BM1113" s="216"/>
      <c r="BN1113" s="215"/>
      <c r="BO1113" s="215"/>
      <c r="BP1113" s="217"/>
      <c r="BQ1113" s="218"/>
      <c r="BR1113" s="219"/>
      <c r="BS1113" s="218"/>
      <c r="BT1113" s="218"/>
      <c r="BU1113" s="218"/>
      <c r="BV1113" s="220"/>
    </row>
    <row r="1114" spans="1:74" x14ac:dyDescent="0.8">
      <c r="A1114" s="64"/>
      <c r="B1114" s="64"/>
      <c r="C1114" s="59"/>
      <c r="F1114" s="70"/>
      <c r="G1114" s="86"/>
      <c r="H1114" s="70"/>
      <c r="I1114" s="86"/>
      <c r="J1114" s="70"/>
      <c r="K1114" s="86"/>
      <c r="M1114" s="302"/>
      <c r="N1114" s="83"/>
      <c r="O1114" s="83"/>
      <c r="P1114" s="83"/>
      <c r="Q1114" s="86"/>
      <c r="R1114" s="83"/>
      <c r="S1114" s="83"/>
      <c r="T1114" s="70"/>
      <c r="U1114" s="86"/>
      <c r="V1114" s="70"/>
      <c r="W1114" s="86"/>
      <c r="X1114" s="126"/>
      <c r="Y1114" s="208"/>
      <c r="Z1114" s="126"/>
      <c r="AA1114" s="208"/>
      <c r="AB1114" s="126"/>
      <c r="AC1114" s="208"/>
      <c r="AD1114" s="209"/>
      <c r="AE1114" s="210"/>
      <c r="AF1114" s="209"/>
      <c r="AG1114" s="210"/>
      <c r="AH1114" s="209"/>
      <c r="AI1114" s="210"/>
      <c r="AJ1114" s="209"/>
      <c r="AK1114" s="210"/>
      <c r="AL1114" s="209"/>
      <c r="AM1114" s="211"/>
      <c r="AN1114" s="209"/>
      <c r="AO1114" s="212"/>
      <c r="AP1114" s="213"/>
      <c r="AQ1114" s="213"/>
      <c r="AR1114" s="209"/>
      <c r="AS1114" s="301"/>
      <c r="AT1114" s="301"/>
      <c r="AU1114" s="209"/>
      <c r="AV1114" s="301"/>
      <c r="AW1114" s="210"/>
      <c r="AX1114" s="301"/>
      <c r="AY1114" s="214"/>
      <c r="AZ1114" s="211"/>
      <c r="BA1114" s="212"/>
      <c r="BB1114" s="212"/>
      <c r="BC1114" s="213"/>
      <c r="BD1114" s="209"/>
      <c r="BE1114" s="301"/>
      <c r="BF1114" s="301"/>
      <c r="BG1114" s="209"/>
      <c r="BH1114" s="301"/>
      <c r="BI1114" s="210"/>
      <c r="BJ1114" s="214"/>
      <c r="BK1114" s="212"/>
      <c r="BL1114" s="215"/>
      <c r="BM1114" s="216"/>
      <c r="BN1114" s="215"/>
      <c r="BO1114" s="215"/>
      <c r="BP1114" s="217"/>
      <c r="BQ1114" s="223"/>
      <c r="BR1114" s="224"/>
      <c r="BS1114" s="225"/>
      <c r="BT1114" s="225"/>
      <c r="BU1114" s="225"/>
      <c r="BV1114" s="226"/>
    </row>
    <row r="1115" spans="1:74" x14ac:dyDescent="0.8">
      <c r="A1115" s="64"/>
      <c r="B1115" s="64"/>
      <c r="C1115" s="59"/>
      <c r="F1115" s="70"/>
      <c r="G1115" s="86"/>
      <c r="H1115" s="70"/>
      <c r="I1115" s="86"/>
      <c r="J1115" s="70"/>
      <c r="K1115" s="86"/>
      <c r="M1115" s="302"/>
      <c r="N1115" s="83"/>
      <c r="O1115" s="83"/>
      <c r="P1115" s="83"/>
      <c r="Q1115" s="86"/>
      <c r="R1115" s="83"/>
      <c r="S1115" s="83"/>
      <c r="T1115" s="70"/>
      <c r="U1115" s="86"/>
      <c r="V1115" s="70"/>
      <c r="W1115" s="86"/>
      <c r="X1115" s="126"/>
      <c r="Y1115" s="208"/>
      <c r="Z1115" s="126"/>
      <c r="AA1115" s="208"/>
      <c r="AB1115" s="126"/>
      <c r="AC1115" s="208"/>
      <c r="AD1115" s="209"/>
      <c r="AE1115" s="210"/>
      <c r="AF1115" s="209"/>
      <c r="AG1115" s="210"/>
      <c r="AH1115" s="209"/>
      <c r="AI1115" s="210"/>
      <c r="AJ1115" s="209"/>
      <c r="AK1115" s="210"/>
      <c r="AL1115" s="209"/>
      <c r="AM1115" s="211"/>
      <c r="AN1115" s="209"/>
      <c r="AO1115" s="212"/>
      <c r="AP1115" s="213"/>
      <c r="AQ1115" s="213"/>
      <c r="AR1115" s="209"/>
      <c r="AS1115" s="301"/>
      <c r="AT1115" s="301"/>
      <c r="AU1115" s="209"/>
      <c r="AV1115" s="301"/>
      <c r="AW1115" s="210"/>
      <c r="AX1115" s="301"/>
      <c r="AY1115" s="214"/>
      <c r="AZ1115" s="211"/>
      <c r="BA1115" s="212"/>
      <c r="BB1115" s="212"/>
      <c r="BC1115" s="213"/>
      <c r="BD1115" s="209"/>
      <c r="BE1115" s="301"/>
      <c r="BF1115" s="301"/>
      <c r="BG1115" s="209"/>
      <c r="BH1115" s="301"/>
      <c r="BI1115" s="210"/>
      <c r="BJ1115" s="214"/>
      <c r="BK1115" s="212"/>
      <c r="BL1115" s="215"/>
      <c r="BM1115" s="216"/>
      <c r="BN1115" s="215"/>
      <c r="BO1115" s="215"/>
      <c r="BP1115" s="217"/>
      <c r="BQ1115" s="218"/>
      <c r="BR1115" s="219"/>
      <c r="BS1115" s="218"/>
      <c r="BT1115" s="218"/>
      <c r="BU1115" s="218"/>
      <c r="BV1115" s="220"/>
    </row>
    <row r="1116" spans="1:74" x14ac:dyDescent="0.8">
      <c r="A1116" s="64"/>
      <c r="B1116" s="64"/>
      <c r="C1116" s="59"/>
      <c r="F1116" s="70"/>
      <c r="G1116" s="86"/>
      <c r="H1116" s="70"/>
      <c r="I1116" s="86"/>
      <c r="J1116" s="70"/>
      <c r="K1116" s="86"/>
      <c r="M1116" s="302"/>
      <c r="N1116" s="83"/>
      <c r="O1116" s="83"/>
      <c r="P1116" s="83"/>
      <c r="Q1116" s="86"/>
      <c r="R1116" s="83"/>
      <c r="S1116" s="83"/>
      <c r="T1116" s="70"/>
      <c r="U1116" s="86"/>
      <c r="V1116" s="70"/>
      <c r="W1116" s="86"/>
      <c r="X1116" s="126"/>
      <c r="Y1116" s="208"/>
      <c r="Z1116" s="126"/>
      <c r="AA1116" s="208"/>
      <c r="AB1116" s="126"/>
      <c r="AC1116" s="208"/>
      <c r="AD1116" s="209"/>
      <c r="AE1116" s="210"/>
      <c r="AF1116" s="209"/>
      <c r="AG1116" s="210"/>
      <c r="AH1116" s="209"/>
      <c r="AI1116" s="210"/>
      <c r="AJ1116" s="209"/>
      <c r="AK1116" s="210"/>
      <c r="AL1116" s="209"/>
      <c r="AM1116" s="211"/>
      <c r="AN1116" s="209"/>
      <c r="AO1116" s="212"/>
      <c r="AP1116" s="213"/>
      <c r="AQ1116" s="213"/>
      <c r="AR1116" s="209"/>
      <c r="AS1116" s="301"/>
      <c r="AT1116" s="301"/>
      <c r="AU1116" s="209"/>
      <c r="AV1116" s="301"/>
      <c r="AW1116" s="210"/>
      <c r="AX1116" s="301"/>
      <c r="AY1116" s="214"/>
      <c r="AZ1116" s="211"/>
      <c r="BA1116" s="212"/>
      <c r="BB1116" s="212"/>
      <c r="BC1116" s="213"/>
      <c r="BD1116" s="209"/>
      <c r="BE1116" s="301"/>
      <c r="BF1116" s="301"/>
      <c r="BG1116" s="209"/>
      <c r="BH1116" s="301"/>
      <c r="BI1116" s="210"/>
      <c r="BJ1116" s="214"/>
      <c r="BK1116" s="212"/>
      <c r="BL1116" s="215"/>
      <c r="BM1116" s="216"/>
      <c r="BN1116" s="215"/>
      <c r="BO1116" s="215"/>
      <c r="BP1116" s="217"/>
      <c r="BQ1116" s="218"/>
      <c r="BR1116" s="219"/>
      <c r="BS1116" s="218"/>
      <c r="BT1116" s="218"/>
      <c r="BU1116" s="218"/>
      <c r="BV1116" s="220"/>
    </row>
    <row r="1117" spans="1:74" x14ac:dyDescent="0.8">
      <c r="A1117" s="64"/>
      <c r="B1117" s="64"/>
      <c r="C1117" s="59"/>
      <c r="F1117" s="70"/>
      <c r="G1117" s="86"/>
      <c r="H1117" s="70"/>
      <c r="I1117" s="86"/>
      <c r="J1117" s="70"/>
      <c r="K1117" s="86"/>
      <c r="M1117" s="302"/>
      <c r="N1117" s="83"/>
      <c r="O1117" s="83"/>
      <c r="P1117" s="83"/>
      <c r="Q1117" s="86"/>
      <c r="R1117" s="83"/>
      <c r="S1117" s="83"/>
      <c r="T1117" s="70"/>
      <c r="U1117" s="86"/>
      <c r="V1117" s="70"/>
      <c r="W1117" s="86"/>
      <c r="X1117" s="126"/>
      <c r="Y1117" s="208"/>
      <c r="Z1117" s="126"/>
      <c r="AA1117" s="208"/>
      <c r="AB1117" s="126"/>
      <c r="AC1117" s="208"/>
      <c r="AD1117" s="209"/>
      <c r="AE1117" s="210"/>
      <c r="AF1117" s="209"/>
      <c r="AG1117" s="210"/>
      <c r="AH1117" s="209"/>
      <c r="AI1117" s="210"/>
      <c r="AJ1117" s="209"/>
      <c r="AK1117" s="210"/>
      <c r="AL1117" s="209"/>
      <c r="AM1117" s="211"/>
      <c r="AN1117" s="209"/>
      <c r="AO1117" s="212"/>
      <c r="AP1117" s="213"/>
      <c r="AQ1117" s="213"/>
      <c r="AR1117" s="209"/>
      <c r="AS1117" s="301"/>
      <c r="AT1117" s="301"/>
      <c r="AU1117" s="209"/>
      <c r="AV1117" s="301"/>
      <c r="AW1117" s="210"/>
      <c r="AX1117" s="301"/>
      <c r="AY1117" s="214"/>
      <c r="AZ1117" s="211"/>
      <c r="BA1117" s="212"/>
      <c r="BB1117" s="212"/>
      <c r="BC1117" s="213"/>
      <c r="BD1117" s="209"/>
      <c r="BE1117" s="301"/>
      <c r="BF1117" s="301"/>
      <c r="BG1117" s="209"/>
      <c r="BH1117" s="301"/>
      <c r="BI1117" s="210"/>
      <c r="BJ1117" s="214"/>
      <c r="BK1117" s="212"/>
      <c r="BL1117" s="215"/>
      <c r="BM1117" s="216"/>
      <c r="BN1117" s="215"/>
      <c r="BO1117" s="215"/>
      <c r="BP1117" s="217"/>
      <c r="BQ1117" s="223"/>
      <c r="BR1117" s="224"/>
      <c r="BS1117" s="225"/>
      <c r="BT1117" s="225"/>
      <c r="BU1117" s="225"/>
      <c r="BV1117" s="226"/>
    </row>
    <row r="1118" spans="1:74" x14ac:dyDescent="0.8">
      <c r="A1118" s="64"/>
      <c r="B1118" s="64"/>
      <c r="C1118" s="59"/>
      <c r="F1118" s="70"/>
      <c r="G1118" s="86"/>
      <c r="H1118" s="70"/>
      <c r="I1118" s="86"/>
      <c r="J1118" s="70"/>
      <c r="K1118" s="86"/>
      <c r="M1118" s="302"/>
      <c r="N1118" s="83"/>
      <c r="O1118" s="83"/>
      <c r="P1118" s="83"/>
      <c r="Q1118" s="86"/>
      <c r="R1118" s="83"/>
      <c r="S1118" s="83"/>
      <c r="T1118" s="70"/>
      <c r="U1118" s="86"/>
      <c r="V1118" s="70"/>
      <c r="W1118" s="86"/>
      <c r="X1118" s="126"/>
      <c r="Y1118" s="208"/>
      <c r="Z1118" s="126"/>
      <c r="AA1118" s="208"/>
      <c r="AB1118" s="126"/>
      <c r="AC1118" s="208"/>
      <c r="AD1118" s="209"/>
      <c r="AE1118" s="210"/>
      <c r="AF1118" s="209"/>
      <c r="AG1118" s="210"/>
      <c r="AH1118" s="209"/>
      <c r="AI1118" s="210"/>
      <c r="AJ1118" s="209"/>
      <c r="AK1118" s="210"/>
      <c r="AL1118" s="209"/>
      <c r="AM1118" s="211"/>
      <c r="AN1118" s="209"/>
      <c r="AO1118" s="212"/>
      <c r="AP1118" s="213"/>
      <c r="AQ1118" s="213"/>
      <c r="AR1118" s="209"/>
      <c r="AS1118" s="301"/>
      <c r="AT1118" s="301"/>
      <c r="AU1118" s="209"/>
      <c r="AV1118" s="301"/>
      <c r="AW1118" s="210"/>
      <c r="AX1118" s="301"/>
      <c r="AY1118" s="214"/>
      <c r="AZ1118" s="211"/>
      <c r="BA1118" s="212"/>
      <c r="BB1118" s="212"/>
      <c r="BC1118" s="213"/>
      <c r="BD1118" s="209"/>
      <c r="BE1118" s="301"/>
      <c r="BF1118" s="301"/>
      <c r="BG1118" s="209"/>
      <c r="BH1118" s="301"/>
      <c r="BI1118" s="210"/>
      <c r="BJ1118" s="214"/>
      <c r="BK1118" s="212"/>
      <c r="BL1118" s="215"/>
      <c r="BM1118" s="216"/>
      <c r="BN1118" s="215"/>
      <c r="BO1118" s="215"/>
      <c r="BP1118" s="217"/>
      <c r="BQ1118" s="223"/>
      <c r="BR1118" s="224"/>
      <c r="BS1118" s="225"/>
      <c r="BT1118" s="225"/>
      <c r="BU1118" s="225"/>
      <c r="BV1118" s="226"/>
    </row>
    <row r="1119" spans="1:74" x14ac:dyDescent="0.8">
      <c r="A1119" s="64"/>
      <c r="B1119" s="64"/>
      <c r="C1119" s="59"/>
      <c r="F1119" s="70"/>
      <c r="G1119" s="86"/>
      <c r="H1119" s="70"/>
      <c r="I1119" s="86"/>
      <c r="J1119" s="70"/>
      <c r="K1119" s="86"/>
      <c r="M1119" s="302"/>
      <c r="N1119" s="83"/>
      <c r="O1119" s="83"/>
      <c r="P1119" s="83"/>
      <c r="Q1119" s="86"/>
      <c r="R1119" s="83"/>
      <c r="S1119" s="83"/>
      <c r="T1119" s="70"/>
      <c r="U1119" s="86"/>
      <c r="V1119" s="70"/>
      <c r="W1119" s="86"/>
      <c r="X1119" s="126"/>
      <c r="Y1119" s="208"/>
      <c r="Z1119" s="126"/>
      <c r="AA1119" s="208"/>
      <c r="AB1119" s="126"/>
      <c r="AC1119" s="208"/>
      <c r="AD1119" s="209"/>
      <c r="AE1119" s="210"/>
      <c r="AF1119" s="209"/>
      <c r="AG1119" s="210"/>
      <c r="AH1119" s="209"/>
      <c r="AI1119" s="210"/>
      <c r="AJ1119" s="209"/>
      <c r="AK1119" s="210"/>
      <c r="AL1119" s="209"/>
      <c r="AM1119" s="211"/>
      <c r="AN1119" s="209"/>
      <c r="AO1119" s="212"/>
      <c r="AP1119" s="213"/>
      <c r="AQ1119" s="213"/>
      <c r="AR1119" s="209"/>
      <c r="AS1119" s="301"/>
      <c r="AT1119" s="301"/>
      <c r="AU1119" s="209"/>
      <c r="AV1119" s="301"/>
      <c r="AW1119" s="210"/>
      <c r="AX1119" s="301"/>
      <c r="AY1119" s="214"/>
      <c r="AZ1119" s="211"/>
      <c r="BA1119" s="212"/>
      <c r="BB1119" s="212"/>
      <c r="BC1119" s="213"/>
      <c r="BD1119" s="209"/>
      <c r="BE1119" s="301"/>
      <c r="BF1119" s="301"/>
      <c r="BG1119" s="209"/>
      <c r="BH1119" s="301"/>
      <c r="BI1119" s="210"/>
      <c r="BJ1119" s="214"/>
      <c r="BK1119" s="212"/>
      <c r="BL1119" s="215"/>
      <c r="BM1119" s="216"/>
      <c r="BN1119" s="215"/>
      <c r="BO1119" s="215"/>
      <c r="BP1119" s="217"/>
      <c r="BQ1119" s="223"/>
      <c r="BR1119" s="224"/>
      <c r="BS1119" s="225"/>
      <c r="BT1119" s="225"/>
      <c r="BU1119" s="225"/>
      <c r="BV1119" s="226"/>
    </row>
    <row r="1120" spans="1:74" x14ac:dyDescent="0.8">
      <c r="A1120" s="64"/>
      <c r="B1120" s="64"/>
      <c r="C1120" s="59"/>
      <c r="F1120" s="70"/>
      <c r="G1120" s="86"/>
      <c r="H1120" s="70"/>
      <c r="I1120" s="86"/>
      <c r="J1120" s="70"/>
      <c r="K1120" s="86"/>
      <c r="M1120" s="302"/>
      <c r="N1120" s="83"/>
      <c r="O1120" s="83"/>
      <c r="P1120" s="83"/>
      <c r="Q1120" s="86"/>
      <c r="R1120" s="83"/>
      <c r="S1120" s="83"/>
      <c r="T1120" s="70"/>
      <c r="U1120" s="86"/>
      <c r="V1120" s="70"/>
      <c r="W1120" s="86"/>
      <c r="X1120" s="126"/>
      <c r="Y1120" s="208"/>
      <c r="Z1120" s="126"/>
      <c r="AA1120" s="208"/>
      <c r="AB1120" s="126"/>
      <c r="AC1120" s="208"/>
      <c r="AD1120" s="209"/>
      <c r="AE1120" s="210"/>
      <c r="AF1120" s="209"/>
      <c r="AG1120" s="210"/>
      <c r="AH1120" s="209"/>
      <c r="AI1120" s="210"/>
      <c r="AJ1120" s="209"/>
      <c r="AK1120" s="210"/>
      <c r="AL1120" s="209"/>
      <c r="AM1120" s="211"/>
      <c r="AN1120" s="209"/>
      <c r="AO1120" s="212"/>
      <c r="AP1120" s="213"/>
      <c r="AQ1120" s="213"/>
      <c r="AR1120" s="209"/>
      <c r="AS1120" s="301"/>
      <c r="AT1120" s="301"/>
      <c r="AU1120" s="209"/>
      <c r="AV1120" s="301"/>
      <c r="AW1120" s="210"/>
      <c r="AX1120" s="301"/>
      <c r="AY1120" s="214"/>
      <c r="AZ1120" s="211"/>
      <c r="BA1120" s="212"/>
      <c r="BB1120" s="212"/>
      <c r="BC1120" s="213"/>
      <c r="BD1120" s="209"/>
      <c r="BE1120" s="301"/>
      <c r="BF1120" s="301"/>
      <c r="BG1120" s="209"/>
      <c r="BH1120" s="301"/>
      <c r="BI1120" s="210"/>
      <c r="BJ1120" s="214"/>
      <c r="BK1120" s="212"/>
      <c r="BL1120" s="215"/>
      <c r="BM1120" s="216"/>
      <c r="BN1120" s="215"/>
      <c r="BO1120" s="215"/>
      <c r="BP1120" s="217"/>
      <c r="BQ1120" s="223"/>
      <c r="BR1120" s="224"/>
      <c r="BS1120" s="225"/>
      <c r="BT1120" s="225"/>
      <c r="BU1120" s="225"/>
      <c r="BV1120" s="226"/>
    </row>
    <row r="1121" spans="1:74" x14ac:dyDescent="0.8">
      <c r="A1121" s="64"/>
      <c r="B1121" s="64"/>
      <c r="C1121" s="59"/>
      <c r="F1121" s="70"/>
      <c r="G1121" s="86"/>
      <c r="H1121" s="70"/>
      <c r="I1121" s="86"/>
      <c r="J1121" s="70"/>
      <c r="K1121" s="86"/>
      <c r="M1121" s="302"/>
      <c r="N1121" s="83"/>
      <c r="O1121" s="83"/>
      <c r="P1121" s="83"/>
      <c r="Q1121" s="86"/>
      <c r="R1121" s="83"/>
      <c r="S1121" s="83"/>
      <c r="T1121" s="70"/>
      <c r="U1121" s="86"/>
      <c r="V1121" s="70"/>
      <c r="W1121" s="86"/>
      <c r="X1121" s="126"/>
      <c r="Y1121" s="208"/>
      <c r="Z1121" s="126"/>
      <c r="AA1121" s="208"/>
      <c r="AB1121" s="126"/>
      <c r="AC1121" s="208"/>
      <c r="AD1121" s="209"/>
      <c r="AE1121" s="210"/>
      <c r="AF1121" s="209"/>
      <c r="AG1121" s="210"/>
      <c r="AH1121" s="209"/>
      <c r="AI1121" s="210"/>
      <c r="AJ1121" s="209"/>
      <c r="AK1121" s="210"/>
      <c r="AL1121" s="209"/>
      <c r="AM1121" s="211"/>
      <c r="AN1121" s="209"/>
      <c r="AO1121" s="212"/>
      <c r="AP1121" s="213"/>
      <c r="AQ1121" s="213"/>
      <c r="AR1121" s="209"/>
      <c r="AS1121" s="301"/>
      <c r="AT1121" s="301"/>
      <c r="AU1121" s="209"/>
      <c r="AV1121" s="301"/>
      <c r="AW1121" s="210"/>
      <c r="AX1121" s="301"/>
      <c r="AY1121" s="214"/>
      <c r="AZ1121" s="211"/>
      <c r="BA1121" s="212"/>
      <c r="BB1121" s="212"/>
      <c r="BC1121" s="213"/>
      <c r="BD1121" s="209"/>
      <c r="BE1121" s="301"/>
      <c r="BF1121" s="301"/>
      <c r="BG1121" s="209"/>
      <c r="BH1121" s="301"/>
      <c r="BI1121" s="210"/>
      <c r="BJ1121" s="214"/>
      <c r="BK1121" s="212"/>
      <c r="BL1121" s="215"/>
      <c r="BM1121" s="216"/>
      <c r="BN1121" s="215"/>
      <c r="BO1121" s="215"/>
      <c r="BP1121" s="217"/>
      <c r="BQ1121" s="223"/>
      <c r="BR1121" s="224"/>
      <c r="BS1121" s="225"/>
      <c r="BT1121" s="225"/>
      <c r="BU1121" s="225"/>
      <c r="BV1121" s="226"/>
    </row>
    <row r="1122" spans="1:74" x14ac:dyDescent="0.8">
      <c r="A1122" s="64"/>
      <c r="B1122" s="64"/>
      <c r="C1122" s="59"/>
      <c r="F1122" s="70"/>
      <c r="G1122" s="86"/>
      <c r="H1122" s="70"/>
      <c r="I1122" s="86"/>
      <c r="J1122" s="70"/>
      <c r="K1122" s="86"/>
      <c r="M1122" s="302"/>
      <c r="N1122" s="83"/>
      <c r="O1122" s="83"/>
      <c r="P1122" s="83"/>
      <c r="Q1122" s="86"/>
      <c r="R1122" s="83"/>
      <c r="S1122" s="83"/>
      <c r="T1122" s="70"/>
      <c r="U1122" s="86"/>
      <c r="V1122" s="70"/>
      <c r="W1122" s="86"/>
      <c r="X1122" s="126"/>
      <c r="Y1122" s="208"/>
      <c r="Z1122" s="126"/>
      <c r="AA1122" s="208"/>
      <c r="AB1122" s="126"/>
      <c r="AC1122" s="208"/>
      <c r="AD1122" s="209"/>
      <c r="AE1122" s="210"/>
      <c r="AF1122" s="209"/>
      <c r="AG1122" s="210"/>
      <c r="AH1122" s="209"/>
      <c r="AI1122" s="210"/>
      <c r="AJ1122" s="209"/>
      <c r="AK1122" s="210"/>
      <c r="AL1122" s="209"/>
      <c r="AM1122" s="211"/>
      <c r="AN1122" s="209"/>
      <c r="AO1122" s="212"/>
      <c r="AP1122" s="213"/>
      <c r="AQ1122" s="213"/>
      <c r="AR1122" s="209"/>
      <c r="AS1122" s="301"/>
      <c r="AT1122" s="301"/>
      <c r="AU1122" s="209"/>
      <c r="AV1122" s="301"/>
      <c r="AW1122" s="210"/>
      <c r="AX1122" s="301"/>
      <c r="AY1122" s="214"/>
      <c r="AZ1122" s="211"/>
      <c r="BA1122" s="212"/>
      <c r="BB1122" s="212"/>
      <c r="BC1122" s="213"/>
      <c r="BD1122" s="209"/>
      <c r="BE1122" s="301"/>
      <c r="BF1122" s="301"/>
      <c r="BG1122" s="209"/>
      <c r="BH1122" s="301"/>
      <c r="BI1122" s="210"/>
      <c r="BJ1122" s="214"/>
      <c r="BK1122" s="212"/>
      <c r="BL1122" s="215"/>
      <c r="BM1122" s="216"/>
      <c r="BN1122" s="215"/>
      <c r="BO1122" s="215"/>
      <c r="BP1122" s="217"/>
      <c r="BQ1122" s="223"/>
      <c r="BR1122" s="224"/>
      <c r="BS1122" s="225"/>
      <c r="BT1122" s="225"/>
      <c r="BU1122" s="225"/>
      <c r="BV1122" s="226"/>
    </row>
    <row r="1123" spans="1:74" x14ac:dyDescent="0.8">
      <c r="A1123" s="64"/>
      <c r="B1123" s="64"/>
      <c r="C1123" s="59"/>
      <c r="F1123" s="70"/>
      <c r="G1123" s="86"/>
      <c r="H1123" s="70"/>
      <c r="I1123" s="86"/>
      <c r="J1123" s="70"/>
      <c r="K1123" s="86"/>
      <c r="M1123" s="302"/>
      <c r="N1123" s="83"/>
      <c r="O1123" s="83"/>
      <c r="P1123" s="83"/>
      <c r="Q1123" s="86"/>
      <c r="R1123" s="83"/>
      <c r="S1123" s="83"/>
      <c r="T1123" s="70"/>
      <c r="U1123" s="86"/>
      <c r="V1123" s="70"/>
      <c r="W1123" s="86"/>
      <c r="X1123" s="126"/>
      <c r="Y1123" s="208"/>
      <c r="Z1123" s="126"/>
      <c r="AA1123" s="208"/>
      <c r="AB1123" s="126"/>
      <c r="AC1123" s="208"/>
      <c r="AD1123" s="209"/>
      <c r="AE1123" s="210"/>
      <c r="AF1123" s="209"/>
      <c r="AG1123" s="210"/>
      <c r="AH1123" s="209"/>
      <c r="AI1123" s="210"/>
      <c r="AJ1123" s="209"/>
      <c r="AK1123" s="210"/>
      <c r="AL1123" s="209"/>
      <c r="AM1123" s="211"/>
      <c r="AN1123" s="209"/>
      <c r="AO1123" s="212"/>
      <c r="AP1123" s="213"/>
      <c r="AQ1123" s="213"/>
      <c r="AR1123" s="209"/>
      <c r="AS1123" s="301"/>
      <c r="AT1123" s="301"/>
      <c r="AU1123" s="209"/>
      <c r="AV1123" s="301"/>
      <c r="AW1123" s="210"/>
      <c r="AX1123" s="301"/>
      <c r="AY1123" s="214"/>
      <c r="AZ1123" s="211"/>
      <c r="BA1123" s="212"/>
      <c r="BB1123" s="212"/>
      <c r="BC1123" s="213"/>
      <c r="BD1123" s="209"/>
      <c r="BE1123" s="301"/>
      <c r="BF1123" s="301"/>
      <c r="BG1123" s="209"/>
      <c r="BH1123" s="301"/>
      <c r="BI1123" s="210"/>
      <c r="BJ1123" s="214"/>
      <c r="BK1123" s="212"/>
      <c r="BL1123" s="215"/>
      <c r="BM1123" s="216"/>
      <c r="BN1123" s="215"/>
      <c r="BO1123" s="215"/>
      <c r="BP1123" s="217"/>
      <c r="BQ1123" s="223"/>
      <c r="BR1123" s="224"/>
      <c r="BS1123" s="225"/>
      <c r="BT1123" s="225"/>
      <c r="BU1123" s="225"/>
      <c r="BV1123" s="226"/>
    </row>
    <row r="1124" spans="1:74" x14ac:dyDescent="0.8">
      <c r="A1124" s="64"/>
      <c r="B1124" s="64"/>
      <c r="C1124" s="59"/>
      <c r="F1124" s="70"/>
      <c r="G1124" s="86"/>
      <c r="H1124" s="70"/>
      <c r="I1124" s="86"/>
      <c r="J1124" s="70"/>
      <c r="K1124" s="86"/>
      <c r="M1124" s="302"/>
      <c r="N1124" s="83"/>
      <c r="O1124" s="83"/>
      <c r="P1124" s="83"/>
      <c r="Q1124" s="86"/>
      <c r="R1124" s="83"/>
      <c r="S1124" s="83"/>
      <c r="T1124" s="70"/>
      <c r="U1124" s="86"/>
      <c r="V1124" s="70"/>
      <c r="W1124" s="86"/>
      <c r="X1124" s="126"/>
      <c r="Y1124" s="208"/>
      <c r="Z1124" s="126"/>
      <c r="AA1124" s="208"/>
      <c r="AB1124" s="126"/>
      <c r="AC1124" s="208"/>
      <c r="AD1124" s="209"/>
      <c r="AE1124" s="210"/>
      <c r="AF1124" s="209"/>
      <c r="AG1124" s="210"/>
      <c r="AH1124" s="209"/>
      <c r="AI1124" s="210"/>
      <c r="AJ1124" s="209"/>
      <c r="AK1124" s="210"/>
      <c r="AL1124" s="209"/>
      <c r="AM1124" s="211"/>
      <c r="AN1124" s="209"/>
      <c r="AO1124" s="212"/>
      <c r="AP1124" s="213"/>
      <c r="AQ1124" s="213"/>
      <c r="AR1124" s="209"/>
      <c r="AS1124" s="301"/>
      <c r="AT1124" s="301"/>
      <c r="AU1124" s="209"/>
      <c r="AV1124" s="301"/>
      <c r="AW1124" s="210"/>
      <c r="AX1124" s="301"/>
      <c r="AY1124" s="214"/>
      <c r="AZ1124" s="211"/>
      <c r="BA1124" s="212"/>
      <c r="BB1124" s="212"/>
      <c r="BC1124" s="213"/>
      <c r="BD1124" s="209"/>
      <c r="BE1124" s="301"/>
      <c r="BF1124" s="301"/>
      <c r="BG1124" s="209"/>
      <c r="BH1124" s="301"/>
      <c r="BI1124" s="210"/>
      <c r="BJ1124" s="214"/>
      <c r="BK1124" s="212"/>
      <c r="BL1124" s="215"/>
      <c r="BM1124" s="216"/>
      <c r="BN1124" s="215"/>
      <c r="BO1124" s="215"/>
      <c r="BP1124" s="217"/>
      <c r="BQ1124" s="223"/>
      <c r="BR1124" s="224"/>
      <c r="BS1124" s="225"/>
      <c r="BT1124" s="225"/>
      <c r="BU1124" s="225"/>
      <c r="BV1124" s="226"/>
    </row>
    <row r="1125" spans="1:74" x14ac:dyDescent="0.8">
      <c r="A1125" s="64"/>
      <c r="B1125" s="64"/>
      <c r="C1125" s="59"/>
      <c r="F1125" s="70"/>
      <c r="G1125" s="86"/>
      <c r="H1125" s="70"/>
      <c r="I1125" s="86"/>
      <c r="J1125" s="70"/>
      <c r="K1125" s="86"/>
      <c r="M1125" s="302"/>
      <c r="N1125" s="83"/>
      <c r="O1125" s="83"/>
      <c r="P1125" s="83"/>
      <c r="Q1125" s="86"/>
      <c r="R1125" s="83"/>
      <c r="S1125" s="83"/>
      <c r="T1125" s="70"/>
      <c r="U1125" s="86"/>
      <c r="V1125" s="70"/>
      <c r="W1125" s="86"/>
      <c r="X1125" s="126"/>
      <c r="Y1125" s="208"/>
      <c r="Z1125" s="126"/>
      <c r="AA1125" s="208"/>
      <c r="AB1125" s="126"/>
      <c r="AC1125" s="208"/>
      <c r="AD1125" s="209"/>
      <c r="AE1125" s="210"/>
      <c r="AF1125" s="209"/>
      <c r="AG1125" s="210"/>
      <c r="AH1125" s="209"/>
      <c r="AI1125" s="210"/>
      <c r="AJ1125" s="209"/>
      <c r="AK1125" s="210"/>
      <c r="AL1125" s="209"/>
      <c r="AM1125" s="211"/>
      <c r="AN1125" s="209"/>
      <c r="AO1125" s="212"/>
      <c r="AP1125" s="213"/>
      <c r="AQ1125" s="213"/>
      <c r="AR1125" s="209"/>
      <c r="AS1125" s="301"/>
      <c r="AT1125" s="301"/>
      <c r="AU1125" s="209"/>
      <c r="AV1125" s="301"/>
      <c r="AW1125" s="210"/>
      <c r="AX1125" s="301"/>
      <c r="AY1125" s="214"/>
      <c r="AZ1125" s="211"/>
      <c r="BA1125" s="212"/>
      <c r="BB1125" s="212"/>
      <c r="BC1125" s="213"/>
      <c r="BD1125" s="209"/>
      <c r="BE1125" s="301"/>
      <c r="BF1125" s="301"/>
      <c r="BG1125" s="209"/>
      <c r="BH1125" s="301"/>
      <c r="BI1125" s="210"/>
      <c r="BJ1125" s="214"/>
      <c r="BK1125" s="212"/>
      <c r="BL1125" s="215"/>
      <c r="BM1125" s="216"/>
      <c r="BN1125" s="215"/>
      <c r="BO1125" s="215"/>
      <c r="BP1125" s="217"/>
      <c r="BQ1125" s="223"/>
      <c r="BR1125" s="224"/>
      <c r="BS1125" s="225"/>
      <c r="BT1125" s="225"/>
      <c r="BU1125" s="225"/>
      <c r="BV1125" s="226"/>
    </row>
    <row r="1126" spans="1:74" x14ac:dyDescent="0.8">
      <c r="A1126" s="64"/>
      <c r="B1126" s="64"/>
      <c r="C1126" s="59"/>
      <c r="F1126" s="70"/>
      <c r="G1126" s="86"/>
      <c r="H1126" s="70"/>
      <c r="I1126" s="86"/>
      <c r="J1126" s="70"/>
      <c r="K1126" s="86"/>
      <c r="M1126" s="302"/>
      <c r="N1126" s="83"/>
      <c r="O1126" s="83"/>
      <c r="P1126" s="83"/>
      <c r="Q1126" s="86"/>
      <c r="R1126" s="83"/>
      <c r="S1126" s="83"/>
      <c r="T1126" s="70"/>
      <c r="U1126" s="86"/>
      <c r="V1126" s="70"/>
      <c r="W1126" s="86"/>
      <c r="X1126" s="126"/>
      <c r="Y1126" s="208"/>
      <c r="Z1126" s="126"/>
      <c r="AA1126" s="208"/>
      <c r="AB1126" s="126"/>
      <c r="AC1126" s="208"/>
      <c r="AD1126" s="209"/>
      <c r="AE1126" s="210"/>
      <c r="AF1126" s="209"/>
      <c r="AG1126" s="210"/>
      <c r="AH1126" s="209"/>
      <c r="AI1126" s="210"/>
      <c r="AJ1126" s="209"/>
      <c r="AK1126" s="210"/>
      <c r="AL1126" s="209"/>
      <c r="AM1126" s="211"/>
      <c r="AN1126" s="209"/>
      <c r="AO1126" s="212"/>
      <c r="AP1126" s="213"/>
      <c r="AQ1126" s="213"/>
      <c r="AR1126" s="209"/>
      <c r="AS1126" s="301"/>
      <c r="AT1126" s="301"/>
      <c r="AU1126" s="209"/>
      <c r="AV1126" s="301"/>
      <c r="AW1126" s="210"/>
      <c r="AX1126" s="301"/>
      <c r="AY1126" s="214"/>
      <c r="AZ1126" s="211"/>
      <c r="BA1126" s="212"/>
      <c r="BB1126" s="212"/>
      <c r="BC1126" s="213"/>
      <c r="BD1126" s="209"/>
      <c r="BE1126" s="301"/>
      <c r="BF1126" s="301"/>
      <c r="BG1126" s="209"/>
      <c r="BH1126" s="301"/>
      <c r="BI1126" s="210"/>
      <c r="BJ1126" s="214"/>
      <c r="BK1126" s="212"/>
      <c r="BL1126" s="215"/>
      <c r="BM1126" s="216"/>
      <c r="BN1126" s="215"/>
      <c r="BO1126" s="215"/>
      <c r="BP1126" s="217"/>
      <c r="BQ1126" s="218"/>
      <c r="BR1126" s="219"/>
      <c r="BS1126" s="218"/>
      <c r="BT1126" s="218"/>
      <c r="BU1126" s="218"/>
      <c r="BV1126" s="220"/>
    </row>
    <row r="1127" spans="1:74" x14ac:dyDescent="0.8">
      <c r="A1127" s="64"/>
      <c r="B1127" s="64"/>
      <c r="C1127" s="59"/>
      <c r="F1127" s="70"/>
      <c r="G1127" s="86"/>
      <c r="H1127" s="70"/>
      <c r="I1127" s="86"/>
      <c r="J1127" s="70"/>
      <c r="K1127" s="86"/>
      <c r="M1127" s="302"/>
      <c r="N1127" s="83"/>
      <c r="O1127" s="83"/>
      <c r="P1127" s="83"/>
      <c r="Q1127" s="86"/>
      <c r="R1127" s="83"/>
      <c r="S1127" s="83"/>
      <c r="T1127" s="70"/>
      <c r="U1127" s="86"/>
      <c r="V1127" s="70"/>
      <c r="W1127" s="86"/>
      <c r="X1127" s="126"/>
      <c r="Y1127" s="208"/>
      <c r="Z1127" s="126"/>
      <c r="AA1127" s="208"/>
      <c r="AB1127" s="126"/>
      <c r="AC1127" s="208"/>
      <c r="AD1127" s="209"/>
      <c r="AE1127" s="210"/>
      <c r="AF1127" s="209"/>
      <c r="AG1127" s="210"/>
      <c r="AH1127" s="209"/>
      <c r="AI1127" s="210"/>
      <c r="AJ1127" s="209"/>
      <c r="AK1127" s="210"/>
      <c r="AL1127" s="209"/>
      <c r="AM1127" s="211"/>
      <c r="AN1127" s="209"/>
      <c r="AO1127" s="212"/>
      <c r="AP1127" s="213"/>
      <c r="AQ1127" s="213"/>
      <c r="AR1127" s="209"/>
      <c r="AS1127" s="301"/>
      <c r="AT1127" s="301"/>
      <c r="AU1127" s="209"/>
      <c r="AV1127" s="301"/>
      <c r="AW1127" s="210"/>
      <c r="AX1127" s="301"/>
      <c r="AY1127" s="214"/>
      <c r="AZ1127" s="211"/>
      <c r="BA1127" s="212"/>
      <c r="BB1127" s="212"/>
      <c r="BC1127" s="213"/>
      <c r="BD1127" s="209"/>
      <c r="BE1127" s="301"/>
      <c r="BF1127" s="301"/>
      <c r="BG1127" s="209"/>
      <c r="BH1127" s="301"/>
      <c r="BI1127" s="210"/>
      <c r="BJ1127" s="214"/>
      <c r="BK1127" s="212"/>
      <c r="BL1127" s="215"/>
      <c r="BM1127" s="216"/>
      <c r="BN1127" s="215"/>
      <c r="BO1127" s="215"/>
      <c r="BP1127" s="217"/>
      <c r="BQ1127" s="223"/>
      <c r="BR1127" s="224"/>
      <c r="BS1127" s="225"/>
      <c r="BT1127" s="225"/>
      <c r="BU1127" s="225"/>
      <c r="BV1127" s="226"/>
    </row>
    <row r="1128" spans="1:74" x14ac:dyDescent="0.8">
      <c r="A1128" s="64"/>
      <c r="B1128" s="64"/>
      <c r="C1128" s="59"/>
      <c r="F1128" s="70"/>
      <c r="G1128" s="86"/>
      <c r="H1128" s="70"/>
      <c r="I1128" s="86"/>
      <c r="J1128" s="70"/>
      <c r="K1128" s="86"/>
      <c r="M1128" s="302"/>
      <c r="N1128" s="83"/>
      <c r="O1128" s="83"/>
      <c r="P1128" s="83"/>
      <c r="Q1128" s="86"/>
      <c r="R1128" s="83"/>
      <c r="S1128" s="83"/>
      <c r="T1128" s="70"/>
      <c r="U1128" s="86"/>
      <c r="V1128" s="70"/>
      <c r="W1128" s="86"/>
      <c r="X1128" s="126"/>
      <c r="Y1128" s="208"/>
      <c r="Z1128" s="126"/>
      <c r="AA1128" s="208"/>
      <c r="AB1128" s="126"/>
      <c r="AC1128" s="208"/>
      <c r="AD1128" s="209"/>
      <c r="AE1128" s="210"/>
      <c r="AF1128" s="209"/>
      <c r="AG1128" s="210"/>
      <c r="AH1128" s="209"/>
      <c r="AI1128" s="210"/>
      <c r="AJ1128" s="209"/>
      <c r="AK1128" s="210"/>
      <c r="AL1128" s="209"/>
      <c r="AM1128" s="211"/>
      <c r="AN1128" s="209"/>
      <c r="AO1128" s="212"/>
      <c r="AP1128" s="213"/>
      <c r="AQ1128" s="213"/>
      <c r="AR1128" s="209"/>
      <c r="AS1128" s="301"/>
      <c r="AT1128" s="301"/>
      <c r="AU1128" s="209"/>
      <c r="AV1128" s="301"/>
      <c r="AW1128" s="210"/>
      <c r="AX1128" s="301"/>
      <c r="AY1128" s="214"/>
      <c r="AZ1128" s="211"/>
      <c r="BA1128" s="212"/>
      <c r="BB1128" s="212"/>
      <c r="BC1128" s="213"/>
      <c r="BD1128" s="209"/>
      <c r="BE1128" s="301"/>
      <c r="BF1128" s="301"/>
      <c r="BG1128" s="209"/>
      <c r="BH1128" s="301"/>
      <c r="BI1128" s="210"/>
      <c r="BJ1128" s="214"/>
      <c r="BK1128" s="212"/>
      <c r="BL1128" s="215"/>
      <c r="BM1128" s="216"/>
      <c r="BN1128" s="215"/>
      <c r="BO1128" s="215"/>
      <c r="BP1128" s="217"/>
      <c r="BQ1128" s="223"/>
      <c r="BR1128" s="224"/>
      <c r="BS1128" s="225"/>
      <c r="BT1128" s="225"/>
      <c r="BU1128" s="225"/>
      <c r="BV1128" s="226"/>
    </row>
    <row r="1129" spans="1:74" x14ac:dyDescent="0.8">
      <c r="A1129" s="64"/>
      <c r="B1129" s="64"/>
      <c r="C1129" s="59"/>
      <c r="F1129" s="70"/>
      <c r="G1129" s="86"/>
      <c r="H1129" s="70"/>
      <c r="I1129" s="86"/>
      <c r="J1129" s="70"/>
      <c r="K1129" s="86"/>
      <c r="M1129" s="302"/>
      <c r="N1129" s="83"/>
      <c r="O1129" s="83"/>
      <c r="P1129" s="83"/>
      <c r="Q1129" s="86"/>
      <c r="R1129" s="83"/>
      <c r="S1129" s="83"/>
      <c r="T1129" s="70"/>
      <c r="U1129" s="86"/>
      <c r="V1129" s="70"/>
      <c r="W1129" s="86"/>
      <c r="X1129" s="126"/>
      <c r="Y1129" s="208"/>
      <c r="Z1129" s="126"/>
      <c r="AA1129" s="208"/>
      <c r="AB1129" s="126"/>
      <c r="AC1129" s="208"/>
      <c r="AD1129" s="209"/>
      <c r="AE1129" s="210"/>
      <c r="AF1129" s="209"/>
      <c r="AG1129" s="210"/>
      <c r="AH1129" s="209"/>
      <c r="AI1129" s="210"/>
      <c r="AJ1129" s="209"/>
      <c r="AK1129" s="210"/>
      <c r="AL1129" s="209"/>
      <c r="AM1129" s="211"/>
      <c r="AN1129" s="209"/>
      <c r="AO1129" s="212"/>
      <c r="AP1129" s="213"/>
      <c r="AQ1129" s="213"/>
      <c r="AR1129" s="209"/>
      <c r="AS1129" s="301"/>
      <c r="AT1129" s="301"/>
      <c r="AU1129" s="209"/>
      <c r="AV1129" s="301"/>
      <c r="AW1129" s="210"/>
      <c r="AX1129" s="301"/>
      <c r="AY1129" s="214"/>
      <c r="AZ1129" s="211"/>
      <c r="BA1129" s="212"/>
      <c r="BB1129" s="212"/>
      <c r="BC1129" s="213"/>
      <c r="BD1129" s="209"/>
      <c r="BE1129" s="301"/>
      <c r="BF1129" s="301"/>
      <c r="BG1129" s="209"/>
      <c r="BH1129" s="301"/>
      <c r="BI1129" s="210"/>
      <c r="BJ1129" s="214"/>
      <c r="BK1129" s="212"/>
      <c r="BL1129" s="215"/>
      <c r="BM1129" s="216"/>
      <c r="BN1129" s="215"/>
      <c r="BO1129" s="215"/>
      <c r="BP1129" s="217"/>
      <c r="BQ1129" s="223"/>
      <c r="BR1129" s="224"/>
      <c r="BS1129" s="225"/>
      <c r="BT1129" s="225"/>
      <c r="BU1129" s="225"/>
      <c r="BV1129" s="226"/>
    </row>
    <row r="1130" spans="1:74" x14ac:dyDescent="0.8">
      <c r="A1130" s="64"/>
      <c r="B1130" s="64"/>
      <c r="C1130" s="59"/>
      <c r="F1130" s="70"/>
      <c r="G1130" s="86"/>
      <c r="H1130" s="70"/>
      <c r="I1130" s="86"/>
      <c r="J1130" s="70"/>
      <c r="K1130" s="86"/>
      <c r="M1130" s="302"/>
      <c r="N1130" s="83"/>
      <c r="O1130" s="83"/>
      <c r="P1130" s="83"/>
      <c r="Q1130" s="86"/>
      <c r="R1130" s="83"/>
      <c r="S1130" s="83"/>
      <c r="T1130" s="70"/>
      <c r="U1130" s="86"/>
      <c r="V1130" s="70"/>
      <c r="W1130" s="86"/>
      <c r="X1130" s="126"/>
      <c r="Y1130" s="208"/>
      <c r="Z1130" s="126"/>
      <c r="AA1130" s="208"/>
      <c r="AB1130" s="126"/>
      <c r="AC1130" s="208"/>
      <c r="AD1130" s="209"/>
      <c r="AE1130" s="210"/>
      <c r="AF1130" s="209"/>
      <c r="AG1130" s="210"/>
      <c r="AH1130" s="209"/>
      <c r="AI1130" s="210"/>
      <c r="AJ1130" s="209"/>
      <c r="AK1130" s="210"/>
      <c r="AL1130" s="209"/>
      <c r="AM1130" s="211"/>
      <c r="AN1130" s="209"/>
      <c r="AO1130" s="212"/>
      <c r="AP1130" s="213"/>
      <c r="AQ1130" s="213"/>
      <c r="AR1130" s="209"/>
      <c r="AS1130" s="301"/>
      <c r="AT1130" s="301"/>
      <c r="AU1130" s="209"/>
      <c r="AV1130" s="301"/>
      <c r="AW1130" s="210"/>
      <c r="AX1130" s="301"/>
      <c r="AY1130" s="214"/>
      <c r="AZ1130" s="211"/>
      <c r="BA1130" s="212"/>
      <c r="BB1130" s="212"/>
      <c r="BC1130" s="213"/>
      <c r="BD1130" s="209"/>
      <c r="BE1130" s="301"/>
      <c r="BF1130" s="301"/>
      <c r="BG1130" s="209"/>
      <c r="BH1130" s="301"/>
      <c r="BI1130" s="210"/>
      <c r="BJ1130" s="214"/>
      <c r="BK1130" s="212"/>
      <c r="BL1130" s="215"/>
      <c r="BM1130" s="216"/>
      <c r="BN1130" s="215"/>
      <c r="BO1130" s="215"/>
      <c r="BP1130" s="217"/>
      <c r="BQ1130" s="223"/>
      <c r="BR1130" s="224"/>
      <c r="BS1130" s="225"/>
      <c r="BT1130" s="225"/>
      <c r="BU1130" s="225"/>
      <c r="BV1130" s="226"/>
    </row>
    <row r="1131" spans="1:74" x14ac:dyDescent="0.8">
      <c r="A1131" s="64"/>
      <c r="B1131" s="64"/>
      <c r="C1131" s="59"/>
      <c r="F1131" s="70"/>
      <c r="G1131" s="86"/>
      <c r="H1131" s="70"/>
      <c r="I1131" s="86"/>
      <c r="J1131" s="70"/>
      <c r="K1131" s="86"/>
      <c r="M1131" s="302"/>
      <c r="N1131" s="83"/>
      <c r="O1131" s="83"/>
      <c r="P1131" s="83"/>
      <c r="Q1131" s="86"/>
      <c r="R1131" s="83"/>
      <c r="S1131" s="83"/>
      <c r="T1131" s="70"/>
      <c r="U1131" s="86"/>
      <c r="V1131" s="70"/>
      <c r="W1131" s="86"/>
      <c r="X1131" s="126"/>
      <c r="Y1131" s="208"/>
      <c r="Z1131" s="126"/>
      <c r="AA1131" s="208"/>
      <c r="AB1131" s="126"/>
      <c r="AC1131" s="208"/>
      <c r="AD1131" s="209"/>
      <c r="AE1131" s="210"/>
      <c r="AF1131" s="209"/>
      <c r="AG1131" s="210"/>
      <c r="AH1131" s="209"/>
      <c r="AI1131" s="210"/>
      <c r="AJ1131" s="209"/>
      <c r="AK1131" s="210"/>
      <c r="AL1131" s="209"/>
      <c r="AM1131" s="211"/>
      <c r="AN1131" s="209"/>
      <c r="AO1131" s="212"/>
      <c r="AP1131" s="213"/>
      <c r="AQ1131" s="213"/>
      <c r="AR1131" s="209"/>
      <c r="AS1131" s="301"/>
      <c r="AT1131" s="301"/>
      <c r="AU1131" s="209"/>
      <c r="AV1131" s="301"/>
      <c r="AW1131" s="210"/>
      <c r="AX1131" s="301"/>
      <c r="AY1131" s="214"/>
      <c r="AZ1131" s="211"/>
      <c r="BA1131" s="212"/>
      <c r="BB1131" s="212"/>
      <c r="BC1131" s="213"/>
      <c r="BD1131" s="209"/>
      <c r="BE1131" s="301"/>
      <c r="BF1131" s="301"/>
      <c r="BG1131" s="209"/>
      <c r="BH1131" s="301"/>
      <c r="BI1131" s="210"/>
      <c r="BJ1131" s="214"/>
      <c r="BK1131" s="212"/>
      <c r="BL1131" s="215"/>
      <c r="BM1131" s="216"/>
      <c r="BN1131" s="215"/>
      <c r="BO1131" s="215"/>
      <c r="BP1131" s="217"/>
      <c r="BQ1131" s="223"/>
      <c r="BR1131" s="224"/>
      <c r="BS1131" s="225"/>
      <c r="BT1131" s="225"/>
      <c r="BU1131" s="225"/>
      <c r="BV1131" s="226"/>
    </row>
    <row r="1132" spans="1:74" x14ac:dyDescent="0.8">
      <c r="A1132" s="64"/>
      <c r="B1132" s="64"/>
      <c r="C1132" s="59"/>
      <c r="F1132" s="70"/>
      <c r="G1132" s="86"/>
      <c r="H1132" s="70"/>
      <c r="I1132" s="86"/>
      <c r="J1132" s="70"/>
      <c r="K1132" s="86"/>
      <c r="M1132" s="302"/>
      <c r="N1132" s="83"/>
      <c r="O1132" s="83"/>
      <c r="P1132" s="83"/>
      <c r="Q1132" s="86"/>
      <c r="R1132" s="83"/>
      <c r="S1132" s="83"/>
      <c r="T1132" s="70"/>
      <c r="U1132" s="86"/>
      <c r="V1132" s="70"/>
      <c r="W1132" s="86"/>
      <c r="X1132" s="126"/>
      <c r="Y1132" s="208"/>
      <c r="Z1132" s="126"/>
      <c r="AA1132" s="208"/>
      <c r="AB1132" s="126"/>
      <c r="AC1132" s="208"/>
      <c r="AD1132" s="209"/>
      <c r="AE1132" s="210"/>
      <c r="AF1132" s="209"/>
      <c r="AG1132" s="210"/>
      <c r="AH1132" s="209"/>
      <c r="AI1132" s="210"/>
      <c r="AJ1132" s="209"/>
      <c r="AK1132" s="210"/>
      <c r="AL1132" s="209"/>
      <c r="AM1132" s="211"/>
      <c r="AN1132" s="209"/>
      <c r="AO1132" s="212"/>
      <c r="AP1132" s="213"/>
      <c r="AQ1132" s="213"/>
      <c r="AR1132" s="209"/>
      <c r="AS1132" s="301"/>
      <c r="AT1132" s="301"/>
      <c r="AU1132" s="209"/>
      <c r="AV1132" s="301"/>
      <c r="AW1132" s="210"/>
      <c r="AX1132" s="301"/>
      <c r="AY1132" s="214"/>
      <c r="AZ1132" s="211"/>
      <c r="BA1132" s="212"/>
      <c r="BB1132" s="212"/>
      <c r="BC1132" s="213"/>
      <c r="BD1132" s="209"/>
      <c r="BE1132" s="301"/>
      <c r="BF1132" s="301"/>
      <c r="BG1132" s="209"/>
      <c r="BH1132" s="301"/>
      <c r="BI1132" s="210"/>
      <c r="BJ1132" s="214"/>
      <c r="BK1132" s="212"/>
      <c r="BL1132" s="215"/>
      <c r="BM1132" s="216"/>
      <c r="BN1132" s="215"/>
      <c r="BO1132" s="215"/>
      <c r="BP1132" s="217"/>
      <c r="BQ1132" s="223"/>
      <c r="BR1132" s="224"/>
      <c r="BS1132" s="225"/>
      <c r="BT1132" s="225"/>
      <c r="BU1132" s="225"/>
      <c r="BV1132" s="226"/>
    </row>
    <row r="1133" spans="1:74" x14ac:dyDescent="0.8">
      <c r="A1133" s="64"/>
      <c r="B1133" s="64"/>
      <c r="C1133" s="59"/>
      <c r="F1133" s="70"/>
      <c r="G1133" s="86"/>
      <c r="H1133" s="70"/>
      <c r="I1133" s="86"/>
      <c r="J1133" s="70"/>
      <c r="K1133" s="86"/>
      <c r="M1133" s="302"/>
      <c r="N1133" s="83"/>
      <c r="O1133" s="83"/>
      <c r="P1133" s="83"/>
      <c r="Q1133" s="86"/>
      <c r="R1133" s="83"/>
      <c r="S1133" s="83"/>
      <c r="T1133" s="70"/>
      <c r="U1133" s="86"/>
      <c r="V1133" s="70"/>
      <c r="W1133" s="86"/>
      <c r="X1133" s="126"/>
      <c r="Y1133" s="208"/>
      <c r="Z1133" s="126"/>
      <c r="AA1133" s="208"/>
      <c r="AB1133" s="126"/>
      <c r="AC1133" s="208"/>
      <c r="AD1133" s="209"/>
      <c r="AE1133" s="210"/>
      <c r="AF1133" s="209"/>
      <c r="AG1133" s="210"/>
      <c r="AH1133" s="209"/>
      <c r="AI1133" s="210"/>
      <c r="AJ1133" s="209"/>
      <c r="AK1133" s="210"/>
      <c r="AL1133" s="209"/>
      <c r="AM1133" s="211"/>
      <c r="AN1133" s="209"/>
      <c r="AO1133" s="212"/>
      <c r="AP1133" s="213"/>
      <c r="AQ1133" s="213"/>
      <c r="AR1133" s="209"/>
      <c r="AS1133" s="301"/>
      <c r="AT1133" s="301"/>
      <c r="AU1133" s="209"/>
      <c r="AV1133" s="301"/>
      <c r="AW1133" s="210"/>
      <c r="AX1133" s="301"/>
      <c r="AY1133" s="214"/>
      <c r="AZ1133" s="211"/>
      <c r="BA1133" s="212"/>
      <c r="BB1133" s="212"/>
      <c r="BC1133" s="213"/>
      <c r="BD1133" s="209"/>
      <c r="BE1133" s="301"/>
      <c r="BF1133" s="301"/>
      <c r="BG1133" s="209"/>
      <c r="BH1133" s="301"/>
      <c r="BI1133" s="210"/>
      <c r="BJ1133" s="214"/>
      <c r="BK1133" s="212"/>
      <c r="BL1133" s="215"/>
      <c r="BM1133" s="216"/>
      <c r="BN1133" s="215"/>
      <c r="BO1133" s="215"/>
      <c r="BP1133" s="217"/>
      <c r="BQ1133" s="223"/>
      <c r="BR1133" s="224"/>
      <c r="BS1133" s="225"/>
      <c r="BT1133" s="225"/>
      <c r="BU1133" s="225"/>
      <c r="BV1133" s="226"/>
    </row>
    <row r="1134" spans="1:74" x14ac:dyDescent="0.8">
      <c r="A1134" s="64"/>
      <c r="B1134" s="64"/>
      <c r="C1134" s="59"/>
      <c r="F1134" s="70"/>
      <c r="G1134" s="86"/>
      <c r="H1134" s="70"/>
      <c r="I1134" s="86"/>
      <c r="J1134" s="70"/>
      <c r="K1134" s="86"/>
      <c r="M1134" s="302"/>
      <c r="N1134" s="83"/>
      <c r="O1134" s="83"/>
      <c r="P1134" s="83"/>
      <c r="Q1134" s="86"/>
      <c r="R1134" s="83"/>
      <c r="S1134" s="83"/>
      <c r="T1134" s="70"/>
      <c r="U1134" s="86"/>
      <c r="V1134" s="70"/>
      <c r="W1134" s="86"/>
      <c r="X1134" s="126"/>
      <c r="Y1134" s="208"/>
      <c r="Z1134" s="126"/>
      <c r="AA1134" s="208"/>
      <c r="AB1134" s="126"/>
      <c r="AC1134" s="208"/>
      <c r="AD1134" s="209"/>
      <c r="AE1134" s="210"/>
      <c r="AF1134" s="209"/>
      <c r="AG1134" s="210"/>
      <c r="AH1134" s="209"/>
      <c r="AI1134" s="210"/>
      <c r="AJ1134" s="209"/>
      <c r="AK1134" s="210"/>
      <c r="AL1134" s="209"/>
      <c r="AM1134" s="211"/>
      <c r="AN1134" s="209"/>
      <c r="AO1134" s="212"/>
      <c r="AP1134" s="213"/>
      <c r="AQ1134" s="213"/>
      <c r="AR1134" s="209"/>
      <c r="AS1134" s="301"/>
      <c r="AT1134" s="301"/>
      <c r="AU1134" s="209"/>
      <c r="AV1134" s="301"/>
      <c r="AW1134" s="210"/>
      <c r="AX1134" s="301"/>
      <c r="AY1134" s="214"/>
      <c r="AZ1134" s="211"/>
      <c r="BA1134" s="212"/>
      <c r="BB1134" s="212"/>
      <c r="BC1134" s="213"/>
      <c r="BD1134" s="209"/>
      <c r="BE1134" s="301"/>
      <c r="BF1134" s="301"/>
      <c r="BG1134" s="209"/>
      <c r="BH1134" s="301"/>
      <c r="BI1134" s="210"/>
      <c r="BJ1134" s="214"/>
      <c r="BK1134" s="212"/>
      <c r="BL1134" s="215"/>
      <c r="BM1134" s="216"/>
      <c r="BN1134" s="215"/>
      <c r="BO1134" s="215"/>
      <c r="BP1134" s="217"/>
      <c r="BQ1134" s="223"/>
      <c r="BR1134" s="224"/>
      <c r="BS1134" s="225"/>
      <c r="BT1134" s="225"/>
      <c r="BU1134" s="225"/>
      <c r="BV1134" s="226"/>
    </row>
    <row r="1135" spans="1:74" x14ac:dyDescent="0.8">
      <c r="A1135" s="64"/>
      <c r="B1135" s="64"/>
      <c r="C1135" s="59"/>
      <c r="F1135" s="70"/>
      <c r="G1135" s="86"/>
      <c r="H1135" s="70"/>
      <c r="I1135" s="86"/>
      <c r="J1135" s="70"/>
      <c r="K1135" s="86"/>
      <c r="M1135" s="302"/>
      <c r="N1135" s="83"/>
      <c r="O1135" s="83"/>
      <c r="P1135" s="83"/>
      <c r="Q1135" s="86"/>
      <c r="R1135" s="83"/>
      <c r="S1135" s="83"/>
      <c r="T1135" s="70"/>
      <c r="U1135" s="86"/>
      <c r="V1135" s="70"/>
      <c r="W1135" s="86"/>
      <c r="X1135" s="126"/>
      <c r="Y1135" s="208"/>
      <c r="Z1135" s="126"/>
      <c r="AA1135" s="208"/>
      <c r="AB1135" s="126"/>
      <c r="AC1135" s="208"/>
      <c r="AD1135" s="209"/>
      <c r="AE1135" s="210"/>
      <c r="AF1135" s="209"/>
      <c r="AG1135" s="210"/>
      <c r="AH1135" s="209"/>
      <c r="AI1135" s="210"/>
      <c r="AJ1135" s="209"/>
      <c r="AK1135" s="210"/>
      <c r="AL1135" s="209"/>
      <c r="AM1135" s="211"/>
      <c r="AN1135" s="209"/>
      <c r="AO1135" s="212"/>
      <c r="AP1135" s="213"/>
      <c r="AQ1135" s="213"/>
      <c r="AR1135" s="209"/>
      <c r="AS1135" s="301"/>
      <c r="AT1135" s="301"/>
      <c r="AU1135" s="209"/>
      <c r="AV1135" s="301"/>
      <c r="AW1135" s="210"/>
      <c r="AX1135" s="301"/>
      <c r="AY1135" s="214"/>
      <c r="AZ1135" s="211"/>
      <c r="BA1135" s="212"/>
      <c r="BB1135" s="212"/>
      <c r="BC1135" s="213"/>
      <c r="BD1135" s="209"/>
      <c r="BE1135" s="301"/>
      <c r="BF1135" s="301"/>
      <c r="BG1135" s="209"/>
      <c r="BH1135" s="301"/>
      <c r="BI1135" s="210"/>
      <c r="BJ1135" s="214"/>
      <c r="BK1135" s="212"/>
      <c r="BL1135" s="215"/>
      <c r="BM1135" s="216"/>
      <c r="BN1135" s="215"/>
      <c r="BO1135" s="215"/>
      <c r="BP1135" s="217"/>
      <c r="BQ1135" s="223"/>
      <c r="BR1135" s="224"/>
      <c r="BS1135" s="225"/>
      <c r="BT1135" s="225"/>
      <c r="BU1135" s="225"/>
      <c r="BV1135" s="226"/>
    </row>
    <row r="1136" spans="1:74" x14ac:dyDescent="0.8">
      <c r="A1136" s="64"/>
      <c r="B1136" s="64"/>
      <c r="C1136" s="59"/>
      <c r="F1136" s="70"/>
      <c r="G1136" s="86"/>
      <c r="H1136" s="70"/>
      <c r="I1136" s="86"/>
      <c r="J1136" s="70"/>
      <c r="K1136" s="86"/>
      <c r="M1136" s="302"/>
      <c r="N1136" s="83"/>
      <c r="O1136" s="83"/>
      <c r="P1136" s="83"/>
      <c r="Q1136" s="86"/>
      <c r="R1136" s="83"/>
      <c r="S1136" s="83"/>
      <c r="T1136" s="70"/>
      <c r="U1136" s="86"/>
      <c r="V1136" s="70"/>
      <c r="W1136" s="86"/>
      <c r="X1136" s="126"/>
      <c r="Y1136" s="208"/>
      <c r="Z1136" s="126"/>
      <c r="AA1136" s="208"/>
      <c r="AB1136" s="126"/>
      <c r="AC1136" s="208"/>
      <c r="AD1136" s="209"/>
      <c r="AE1136" s="210"/>
      <c r="AF1136" s="209"/>
      <c r="AG1136" s="210"/>
      <c r="AH1136" s="209"/>
      <c r="AI1136" s="210"/>
      <c r="AJ1136" s="209"/>
      <c r="AK1136" s="210"/>
      <c r="AL1136" s="209"/>
      <c r="AM1136" s="211"/>
      <c r="AN1136" s="209"/>
      <c r="AO1136" s="212"/>
      <c r="AP1136" s="213"/>
      <c r="AQ1136" s="213"/>
      <c r="AR1136" s="209"/>
      <c r="AS1136" s="301"/>
      <c r="AT1136" s="301"/>
      <c r="AU1136" s="209"/>
      <c r="AV1136" s="301"/>
      <c r="AW1136" s="210"/>
      <c r="AX1136" s="301"/>
      <c r="AY1136" s="214"/>
      <c r="AZ1136" s="211"/>
      <c r="BA1136" s="212"/>
      <c r="BB1136" s="212"/>
      <c r="BC1136" s="213"/>
      <c r="BD1136" s="209"/>
      <c r="BE1136" s="301"/>
      <c r="BF1136" s="301"/>
      <c r="BG1136" s="209"/>
      <c r="BH1136" s="301"/>
      <c r="BI1136" s="210"/>
      <c r="BJ1136" s="214"/>
      <c r="BK1136" s="212"/>
      <c r="BL1136" s="215"/>
      <c r="BM1136" s="216"/>
      <c r="BN1136" s="215"/>
      <c r="BO1136" s="215"/>
      <c r="BP1136" s="217"/>
      <c r="BQ1136" s="223"/>
      <c r="BR1136" s="224"/>
      <c r="BS1136" s="225"/>
      <c r="BT1136" s="225"/>
      <c r="BU1136" s="225"/>
      <c r="BV1136" s="226"/>
    </row>
    <row r="1137" spans="1:74" x14ac:dyDescent="0.8">
      <c r="A1137" s="64"/>
      <c r="B1137" s="64"/>
      <c r="C1137" s="59"/>
      <c r="F1137" s="70"/>
      <c r="G1137" s="86"/>
      <c r="H1137" s="70"/>
      <c r="I1137" s="86"/>
      <c r="J1137" s="70"/>
      <c r="K1137" s="86"/>
      <c r="M1137" s="302"/>
      <c r="N1137" s="83"/>
      <c r="O1137" s="83"/>
      <c r="P1137" s="83"/>
      <c r="Q1137" s="86"/>
      <c r="R1137" s="83"/>
      <c r="S1137" s="83"/>
      <c r="T1137" s="70"/>
      <c r="U1137" s="86"/>
      <c r="V1137" s="70"/>
      <c r="W1137" s="86"/>
      <c r="X1137" s="126"/>
      <c r="Y1137" s="208"/>
      <c r="Z1137" s="126"/>
      <c r="AA1137" s="208"/>
      <c r="AB1137" s="126"/>
      <c r="AC1137" s="208"/>
      <c r="AD1137" s="209"/>
      <c r="AE1137" s="210"/>
      <c r="AF1137" s="209"/>
      <c r="AG1137" s="210"/>
      <c r="AH1137" s="209"/>
      <c r="AI1137" s="210"/>
      <c r="AJ1137" s="209"/>
      <c r="AK1137" s="210"/>
      <c r="AL1137" s="209"/>
      <c r="AM1137" s="211"/>
      <c r="AN1137" s="209"/>
      <c r="AO1137" s="212"/>
      <c r="AP1137" s="213"/>
      <c r="AQ1137" s="213"/>
      <c r="AR1137" s="209"/>
      <c r="AS1137" s="301"/>
      <c r="AT1137" s="301"/>
      <c r="AU1137" s="209"/>
      <c r="AV1137" s="301"/>
      <c r="AW1137" s="210"/>
      <c r="AX1137" s="301"/>
      <c r="AY1137" s="214"/>
      <c r="AZ1137" s="211"/>
      <c r="BA1137" s="212"/>
      <c r="BB1137" s="212"/>
      <c r="BC1137" s="213"/>
      <c r="BD1137" s="209"/>
      <c r="BE1137" s="301"/>
      <c r="BF1137" s="301"/>
      <c r="BG1137" s="209"/>
      <c r="BH1137" s="301"/>
      <c r="BI1137" s="210"/>
      <c r="BJ1137" s="214"/>
      <c r="BK1137" s="212"/>
      <c r="BL1137" s="215"/>
      <c r="BM1137" s="216"/>
      <c r="BN1137" s="215"/>
      <c r="BO1137" s="215"/>
      <c r="BP1137" s="217"/>
      <c r="BQ1137" s="223"/>
      <c r="BR1137" s="224"/>
      <c r="BS1137" s="225"/>
      <c r="BT1137" s="225"/>
      <c r="BU1137" s="225"/>
      <c r="BV1137" s="226"/>
    </row>
    <row r="1138" spans="1:74" x14ac:dyDescent="0.8">
      <c r="A1138" s="64"/>
      <c r="B1138" s="64"/>
      <c r="C1138" s="59"/>
      <c r="F1138" s="70"/>
      <c r="G1138" s="86"/>
      <c r="H1138" s="70"/>
      <c r="I1138" s="86"/>
      <c r="J1138" s="70"/>
      <c r="K1138" s="86"/>
      <c r="M1138" s="302"/>
      <c r="N1138" s="83"/>
      <c r="O1138" s="83"/>
      <c r="P1138" s="83"/>
      <c r="Q1138" s="86"/>
      <c r="R1138" s="83"/>
      <c r="S1138" s="83"/>
      <c r="T1138" s="70"/>
      <c r="U1138" s="86"/>
      <c r="V1138" s="70"/>
      <c r="W1138" s="86"/>
      <c r="X1138" s="126"/>
      <c r="Y1138" s="208"/>
      <c r="Z1138" s="126"/>
      <c r="AA1138" s="208"/>
      <c r="AB1138" s="126"/>
      <c r="AC1138" s="208"/>
      <c r="AD1138" s="209"/>
      <c r="AE1138" s="210"/>
      <c r="AF1138" s="209"/>
      <c r="AG1138" s="210"/>
      <c r="AH1138" s="209"/>
      <c r="AI1138" s="210"/>
      <c r="AJ1138" s="209"/>
      <c r="AK1138" s="210"/>
      <c r="AL1138" s="209"/>
      <c r="AM1138" s="211"/>
      <c r="AN1138" s="209"/>
      <c r="AO1138" s="212"/>
      <c r="AP1138" s="213"/>
      <c r="AQ1138" s="213"/>
      <c r="AR1138" s="209"/>
      <c r="AS1138" s="301"/>
      <c r="AT1138" s="301"/>
      <c r="AU1138" s="209"/>
      <c r="AV1138" s="301"/>
      <c r="AW1138" s="210"/>
      <c r="AX1138" s="301"/>
      <c r="AY1138" s="214"/>
      <c r="AZ1138" s="211"/>
      <c r="BA1138" s="212"/>
      <c r="BB1138" s="212"/>
      <c r="BC1138" s="213"/>
      <c r="BD1138" s="209"/>
      <c r="BE1138" s="301"/>
      <c r="BF1138" s="301"/>
      <c r="BG1138" s="209"/>
      <c r="BH1138" s="301"/>
      <c r="BI1138" s="210"/>
      <c r="BJ1138" s="214"/>
      <c r="BK1138" s="212"/>
      <c r="BL1138" s="215"/>
      <c r="BM1138" s="216"/>
      <c r="BN1138" s="215"/>
      <c r="BO1138" s="215"/>
      <c r="BP1138" s="217"/>
      <c r="BQ1138" s="223"/>
      <c r="BR1138" s="224"/>
      <c r="BS1138" s="225"/>
      <c r="BT1138" s="225"/>
      <c r="BU1138" s="225"/>
      <c r="BV1138" s="226"/>
    </row>
    <row r="1139" spans="1:74" x14ac:dyDescent="0.8">
      <c r="A1139" s="64"/>
      <c r="B1139" s="64"/>
      <c r="C1139" s="59"/>
      <c r="F1139" s="70"/>
      <c r="G1139" s="86"/>
      <c r="H1139" s="70"/>
      <c r="I1139" s="86"/>
      <c r="J1139" s="70"/>
      <c r="K1139" s="86"/>
      <c r="M1139" s="302"/>
      <c r="N1139" s="83"/>
      <c r="O1139" s="83"/>
      <c r="P1139" s="83"/>
      <c r="Q1139" s="86"/>
      <c r="R1139" s="83"/>
      <c r="S1139" s="83"/>
      <c r="T1139" s="70"/>
      <c r="U1139" s="86"/>
      <c r="V1139" s="70"/>
      <c r="W1139" s="86"/>
      <c r="X1139" s="126"/>
      <c r="Y1139" s="208"/>
      <c r="Z1139" s="126"/>
      <c r="AA1139" s="208"/>
      <c r="AB1139" s="126"/>
      <c r="AC1139" s="208"/>
      <c r="AD1139" s="209"/>
      <c r="AE1139" s="210"/>
      <c r="AF1139" s="209"/>
      <c r="AG1139" s="210"/>
      <c r="AH1139" s="209"/>
      <c r="AI1139" s="210"/>
      <c r="AJ1139" s="209"/>
      <c r="AK1139" s="210"/>
      <c r="AL1139" s="209"/>
      <c r="AM1139" s="211"/>
      <c r="AN1139" s="209"/>
      <c r="AO1139" s="212"/>
      <c r="AP1139" s="213"/>
      <c r="AQ1139" s="213"/>
      <c r="AR1139" s="209"/>
      <c r="AS1139" s="301"/>
      <c r="AT1139" s="301"/>
      <c r="AU1139" s="209"/>
      <c r="AV1139" s="301"/>
      <c r="AW1139" s="210"/>
      <c r="AX1139" s="301"/>
      <c r="AY1139" s="214"/>
      <c r="AZ1139" s="211"/>
      <c r="BA1139" s="212"/>
      <c r="BB1139" s="212"/>
      <c r="BC1139" s="213"/>
      <c r="BD1139" s="209"/>
      <c r="BE1139" s="301"/>
      <c r="BF1139" s="301"/>
      <c r="BG1139" s="209"/>
      <c r="BH1139" s="301"/>
      <c r="BI1139" s="210"/>
      <c r="BJ1139" s="214"/>
      <c r="BK1139" s="212"/>
      <c r="BL1139" s="215"/>
      <c r="BM1139" s="216"/>
      <c r="BN1139" s="215"/>
      <c r="BO1139" s="215"/>
      <c r="BP1139" s="217"/>
      <c r="BQ1139" s="223"/>
      <c r="BR1139" s="224"/>
      <c r="BS1139" s="225"/>
      <c r="BT1139" s="225"/>
      <c r="BU1139" s="225"/>
      <c r="BV1139" s="226"/>
    </row>
    <row r="1140" spans="1:74" x14ac:dyDescent="0.8">
      <c r="A1140" s="64"/>
      <c r="B1140" s="64"/>
      <c r="C1140" s="59"/>
      <c r="F1140" s="70"/>
      <c r="G1140" s="86"/>
      <c r="H1140" s="70"/>
      <c r="I1140" s="86"/>
      <c r="J1140" s="70"/>
      <c r="K1140" s="86"/>
      <c r="M1140" s="302"/>
      <c r="N1140" s="83"/>
      <c r="O1140" s="83"/>
      <c r="P1140" s="83"/>
      <c r="Q1140" s="86"/>
      <c r="R1140" s="83"/>
      <c r="S1140" s="83"/>
      <c r="T1140" s="70"/>
      <c r="U1140" s="86"/>
      <c r="V1140" s="70"/>
      <c r="W1140" s="86"/>
      <c r="X1140" s="126"/>
      <c r="Y1140" s="208"/>
      <c r="Z1140" s="126"/>
      <c r="AA1140" s="208"/>
      <c r="AB1140" s="126"/>
      <c r="AC1140" s="208"/>
      <c r="AD1140" s="209"/>
      <c r="AE1140" s="210"/>
      <c r="AF1140" s="209"/>
      <c r="AG1140" s="210"/>
      <c r="AH1140" s="209"/>
      <c r="AI1140" s="210"/>
      <c r="AJ1140" s="209"/>
      <c r="AK1140" s="210"/>
      <c r="AL1140" s="209"/>
      <c r="AM1140" s="211"/>
      <c r="AN1140" s="209"/>
      <c r="AO1140" s="212"/>
      <c r="AP1140" s="213"/>
      <c r="AQ1140" s="213"/>
      <c r="AR1140" s="209"/>
      <c r="AS1140" s="301"/>
      <c r="AT1140" s="301"/>
      <c r="AU1140" s="209"/>
      <c r="AV1140" s="301"/>
      <c r="AW1140" s="210"/>
      <c r="AX1140" s="301"/>
      <c r="AY1140" s="214"/>
      <c r="AZ1140" s="211"/>
      <c r="BA1140" s="212"/>
      <c r="BB1140" s="212"/>
      <c r="BC1140" s="213"/>
      <c r="BD1140" s="209"/>
      <c r="BE1140" s="301"/>
      <c r="BF1140" s="301"/>
      <c r="BG1140" s="209"/>
      <c r="BH1140" s="301"/>
      <c r="BI1140" s="210"/>
      <c r="BJ1140" s="214"/>
      <c r="BK1140" s="212"/>
      <c r="BL1140" s="215"/>
      <c r="BM1140" s="216"/>
      <c r="BN1140" s="215"/>
      <c r="BO1140" s="215"/>
      <c r="BP1140" s="217"/>
      <c r="BQ1140" s="223"/>
      <c r="BR1140" s="224"/>
      <c r="BS1140" s="225"/>
      <c r="BT1140" s="225"/>
      <c r="BU1140" s="225"/>
      <c r="BV1140" s="226"/>
    </row>
    <row r="1141" spans="1:74" x14ac:dyDescent="0.8">
      <c r="A1141" s="64"/>
      <c r="B1141" s="64"/>
      <c r="C1141" s="59"/>
      <c r="F1141" s="70"/>
      <c r="G1141" s="86"/>
      <c r="H1141" s="70"/>
      <c r="I1141" s="86"/>
      <c r="J1141" s="70"/>
      <c r="K1141" s="86"/>
      <c r="M1141" s="302"/>
      <c r="N1141" s="83"/>
      <c r="O1141" s="83"/>
      <c r="P1141" s="83"/>
      <c r="Q1141" s="86"/>
      <c r="R1141" s="83"/>
      <c r="S1141" s="83"/>
      <c r="T1141" s="70"/>
      <c r="U1141" s="86"/>
      <c r="V1141" s="70"/>
      <c r="W1141" s="86"/>
      <c r="X1141" s="126"/>
      <c r="Y1141" s="208"/>
      <c r="Z1141" s="126"/>
      <c r="AA1141" s="208"/>
      <c r="AB1141" s="126"/>
      <c r="AC1141" s="208"/>
      <c r="AD1141" s="209"/>
      <c r="AE1141" s="210"/>
      <c r="AF1141" s="209"/>
      <c r="AG1141" s="210"/>
      <c r="AH1141" s="209"/>
      <c r="AI1141" s="210"/>
      <c r="AJ1141" s="209"/>
      <c r="AK1141" s="210"/>
      <c r="AL1141" s="209"/>
      <c r="AM1141" s="211"/>
      <c r="AN1141" s="209"/>
      <c r="AO1141" s="212"/>
      <c r="AP1141" s="213"/>
      <c r="AQ1141" s="213"/>
      <c r="AR1141" s="209"/>
      <c r="AS1141" s="301"/>
      <c r="AT1141" s="301"/>
      <c r="AU1141" s="209"/>
      <c r="AV1141" s="301"/>
      <c r="AW1141" s="210"/>
      <c r="AX1141" s="301"/>
      <c r="AY1141" s="214"/>
      <c r="AZ1141" s="211"/>
      <c r="BA1141" s="212"/>
      <c r="BB1141" s="212"/>
      <c r="BC1141" s="213"/>
      <c r="BD1141" s="209"/>
      <c r="BE1141" s="301"/>
      <c r="BF1141" s="301"/>
      <c r="BG1141" s="209"/>
      <c r="BH1141" s="301"/>
      <c r="BI1141" s="210"/>
      <c r="BJ1141" s="214"/>
      <c r="BK1141" s="212"/>
      <c r="BL1141" s="215"/>
      <c r="BM1141" s="216"/>
      <c r="BN1141" s="215"/>
      <c r="BO1141" s="215"/>
      <c r="BP1141" s="217"/>
      <c r="BQ1141" s="223"/>
      <c r="BR1141" s="224"/>
      <c r="BS1141" s="225"/>
      <c r="BT1141" s="225"/>
      <c r="BU1141" s="225"/>
      <c r="BV1141" s="226"/>
    </row>
    <row r="1142" spans="1:74" x14ac:dyDescent="0.8">
      <c r="A1142" s="64"/>
      <c r="B1142" s="64"/>
      <c r="C1142" s="59"/>
      <c r="F1142" s="70"/>
      <c r="G1142" s="86"/>
      <c r="H1142" s="70"/>
      <c r="I1142" s="86"/>
      <c r="J1142" s="70"/>
      <c r="K1142" s="86"/>
      <c r="M1142" s="302"/>
      <c r="N1142" s="83"/>
      <c r="O1142" s="83"/>
      <c r="P1142" s="83"/>
      <c r="Q1142" s="86"/>
      <c r="R1142" s="83"/>
      <c r="S1142" s="83"/>
      <c r="T1142" s="70"/>
      <c r="U1142" s="86"/>
      <c r="V1142" s="70"/>
      <c r="W1142" s="86"/>
      <c r="X1142" s="126"/>
      <c r="Y1142" s="208"/>
      <c r="Z1142" s="126"/>
      <c r="AA1142" s="208"/>
      <c r="AB1142" s="126"/>
      <c r="AC1142" s="208"/>
      <c r="AD1142" s="209"/>
      <c r="AE1142" s="210"/>
      <c r="AF1142" s="209"/>
      <c r="AG1142" s="210"/>
      <c r="AH1142" s="209"/>
      <c r="AI1142" s="210"/>
      <c r="AJ1142" s="209"/>
      <c r="AK1142" s="210"/>
      <c r="AL1142" s="209"/>
      <c r="AM1142" s="211"/>
      <c r="AN1142" s="209"/>
      <c r="AO1142" s="212"/>
      <c r="AP1142" s="213"/>
      <c r="AQ1142" s="213"/>
      <c r="AR1142" s="209"/>
      <c r="AS1142" s="301"/>
      <c r="AT1142" s="301"/>
      <c r="AU1142" s="209"/>
      <c r="AV1142" s="301"/>
      <c r="AW1142" s="210"/>
      <c r="AX1142" s="301"/>
      <c r="AY1142" s="214"/>
      <c r="AZ1142" s="211"/>
      <c r="BA1142" s="212"/>
      <c r="BB1142" s="212"/>
      <c r="BC1142" s="213"/>
      <c r="BD1142" s="209"/>
      <c r="BE1142" s="301"/>
      <c r="BF1142" s="301"/>
      <c r="BG1142" s="209"/>
      <c r="BH1142" s="301"/>
      <c r="BI1142" s="210"/>
      <c r="BJ1142" s="214"/>
      <c r="BK1142" s="212"/>
      <c r="BL1142" s="215"/>
      <c r="BM1142" s="216"/>
      <c r="BN1142" s="215"/>
      <c r="BO1142" s="215"/>
      <c r="BP1142" s="217"/>
      <c r="BQ1142" s="223"/>
      <c r="BR1142" s="224"/>
      <c r="BS1142" s="225"/>
      <c r="BT1142" s="225"/>
      <c r="BU1142" s="225"/>
      <c r="BV1142" s="226"/>
    </row>
    <row r="1143" spans="1:74" x14ac:dyDescent="0.8">
      <c r="A1143" s="64"/>
      <c r="B1143" s="64"/>
      <c r="C1143" s="59"/>
      <c r="F1143" s="70"/>
      <c r="G1143" s="86"/>
      <c r="H1143" s="70"/>
      <c r="I1143" s="86"/>
      <c r="J1143" s="70"/>
      <c r="K1143" s="86"/>
      <c r="M1143" s="302"/>
      <c r="N1143" s="83"/>
      <c r="O1143" s="83"/>
      <c r="P1143" s="83"/>
      <c r="Q1143" s="86"/>
      <c r="R1143" s="83"/>
      <c r="S1143" s="83"/>
      <c r="T1143" s="70"/>
      <c r="U1143" s="86"/>
      <c r="V1143" s="70"/>
      <c r="W1143" s="86"/>
      <c r="X1143" s="126"/>
      <c r="Y1143" s="208"/>
      <c r="Z1143" s="126"/>
      <c r="AA1143" s="208"/>
      <c r="AB1143" s="126"/>
      <c r="AC1143" s="208"/>
      <c r="AD1143" s="209"/>
      <c r="AE1143" s="210"/>
      <c r="AF1143" s="209"/>
      <c r="AG1143" s="210"/>
      <c r="AH1143" s="209"/>
      <c r="AI1143" s="210"/>
      <c r="AJ1143" s="209"/>
      <c r="AK1143" s="210"/>
      <c r="AL1143" s="209"/>
      <c r="AM1143" s="211"/>
      <c r="AN1143" s="209"/>
      <c r="AO1143" s="212"/>
      <c r="AP1143" s="213"/>
      <c r="AQ1143" s="213"/>
      <c r="AR1143" s="209"/>
      <c r="AS1143" s="301"/>
      <c r="AT1143" s="301"/>
      <c r="AU1143" s="209"/>
      <c r="AV1143" s="301"/>
      <c r="AW1143" s="210"/>
      <c r="AX1143" s="301"/>
      <c r="AY1143" s="214"/>
      <c r="AZ1143" s="211"/>
      <c r="BA1143" s="212"/>
      <c r="BB1143" s="212"/>
      <c r="BC1143" s="213"/>
      <c r="BD1143" s="209"/>
      <c r="BE1143" s="301"/>
      <c r="BF1143" s="301"/>
      <c r="BG1143" s="209"/>
      <c r="BH1143" s="301"/>
      <c r="BI1143" s="210"/>
      <c r="BJ1143" s="214"/>
      <c r="BK1143" s="212"/>
      <c r="BL1143" s="215"/>
      <c r="BM1143" s="216"/>
      <c r="BN1143" s="215"/>
      <c r="BO1143" s="215"/>
      <c r="BP1143" s="217"/>
      <c r="BQ1143" s="223"/>
      <c r="BR1143" s="224"/>
      <c r="BS1143" s="225"/>
      <c r="BT1143" s="225"/>
      <c r="BU1143" s="225"/>
      <c r="BV1143" s="226"/>
    </row>
    <row r="1144" spans="1:74" x14ac:dyDescent="0.8">
      <c r="A1144" s="64"/>
      <c r="B1144" s="64"/>
      <c r="C1144" s="59"/>
      <c r="F1144" s="70"/>
      <c r="G1144" s="86"/>
      <c r="H1144" s="70"/>
      <c r="I1144" s="86"/>
      <c r="J1144" s="70"/>
      <c r="K1144" s="86"/>
      <c r="M1144" s="302"/>
      <c r="N1144" s="83"/>
      <c r="O1144" s="83"/>
      <c r="P1144" s="83"/>
      <c r="Q1144" s="86"/>
      <c r="R1144" s="83"/>
      <c r="S1144" s="83"/>
      <c r="T1144" s="70"/>
      <c r="U1144" s="86"/>
      <c r="V1144" s="70"/>
      <c r="W1144" s="86"/>
      <c r="X1144" s="126"/>
      <c r="Y1144" s="208"/>
      <c r="Z1144" s="126"/>
      <c r="AA1144" s="208"/>
      <c r="AB1144" s="126"/>
      <c r="AC1144" s="208"/>
      <c r="AD1144" s="209"/>
      <c r="AE1144" s="210"/>
      <c r="AF1144" s="209"/>
      <c r="AG1144" s="210"/>
      <c r="AH1144" s="209"/>
      <c r="AI1144" s="210"/>
      <c r="AJ1144" s="209"/>
      <c r="AK1144" s="210"/>
      <c r="AL1144" s="209"/>
      <c r="AM1144" s="211"/>
      <c r="AN1144" s="209"/>
      <c r="AO1144" s="212"/>
      <c r="AP1144" s="213"/>
      <c r="AQ1144" s="213"/>
      <c r="AR1144" s="209"/>
      <c r="AS1144" s="301"/>
      <c r="AT1144" s="301"/>
      <c r="AU1144" s="209"/>
      <c r="AV1144" s="301"/>
      <c r="AW1144" s="210"/>
      <c r="AX1144" s="301"/>
      <c r="AY1144" s="214"/>
      <c r="AZ1144" s="211"/>
      <c r="BA1144" s="212"/>
      <c r="BB1144" s="212"/>
      <c r="BC1144" s="213"/>
      <c r="BD1144" s="209"/>
      <c r="BE1144" s="301"/>
      <c r="BF1144" s="301"/>
      <c r="BG1144" s="209"/>
      <c r="BH1144" s="301"/>
      <c r="BI1144" s="210"/>
      <c r="BJ1144" s="214"/>
      <c r="BK1144" s="212"/>
      <c r="BL1144" s="215"/>
      <c r="BM1144" s="216"/>
      <c r="BN1144" s="215"/>
      <c r="BO1144" s="215"/>
      <c r="BP1144" s="217"/>
      <c r="BQ1144" s="223"/>
      <c r="BR1144" s="224"/>
      <c r="BS1144" s="225"/>
      <c r="BT1144" s="225"/>
      <c r="BU1144" s="225"/>
      <c r="BV1144" s="226"/>
    </row>
    <row r="1145" spans="1:74" x14ac:dyDescent="0.8">
      <c r="A1145" s="64"/>
      <c r="B1145" s="64"/>
      <c r="C1145" s="59"/>
      <c r="F1145" s="70"/>
      <c r="G1145" s="86"/>
      <c r="H1145" s="70"/>
      <c r="I1145" s="86"/>
      <c r="J1145" s="70"/>
      <c r="K1145" s="86"/>
      <c r="M1145" s="302"/>
      <c r="N1145" s="83"/>
      <c r="O1145" s="83"/>
      <c r="P1145" s="83"/>
      <c r="Q1145" s="86"/>
      <c r="R1145" s="83"/>
      <c r="S1145" s="83"/>
      <c r="T1145" s="70"/>
      <c r="U1145" s="86"/>
      <c r="V1145" s="70"/>
      <c r="W1145" s="86"/>
      <c r="X1145" s="126"/>
      <c r="Y1145" s="208"/>
      <c r="Z1145" s="126"/>
      <c r="AA1145" s="208"/>
      <c r="AB1145" s="126"/>
      <c r="AC1145" s="208"/>
      <c r="AD1145" s="209"/>
      <c r="AE1145" s="210"/>
      <c r="AF1145" s="209"/>
      <c r="AG1145" s="210"/>
      <c r="AH1145" s="209"/>
      <c r="AI1145" s="210"/>
      <c r="AJ1145" s="209"/>
      <c r="AK1145" s="210"/>
      <c r="AL1145" s="209"/>
      <c r="AM1145" s="211"/>
      <c r="AN1145" s="209"/>
      <c r="AO1145" s="212"/>
      <c r="AP1145" s="213"/>
      <c r="AQ1145" s="213"/>
      <c r="AR1145" s="209"/>
      <c r="AS1145" s="301"/>
      <c r="AT1145" s="301"/>
      <c r="AU1145" s="209"/>
      <c r="AV1145" s="301"/>
      <c r="AW1145" s="210"/>
      <c r="AX1145" s="301"/>
      <c r="AY1145" s="214"/>
      <c r="AZ1145" s="211"/>
      <c r="BA1145" s="212"/>
      <c r="BB1145" s="212"/>
      <c r="BC1145" s="213"/>
      <c r="BD1145" s="209"/>
      <c r="BE1145" s="301"/>
      <c r="BF1145" s="301"/>
      <c r="BG1145" s="209"/>
      <c r="BH1145" s="301"/>
      <c r="BI1145" s="210"/>
      <c r="BJ1145" s="214"/>
      <c r="BK1145" s="212"/>
      <c r="BL1145" s="215"/>
      <c r="BM1145" s="216"/>
      <c r="BN1145" s="215"/>
      <c r="BO1145" s="215"/>
      <c r="BP1145" s="217"/>
      <c r="BQ1145" s="223"/>
      <c r="BR1145" s="224"/>
      <c r="BS1145" s="225"/>
      <c r="BT1145" s="225"/>
      <c r="BU1145" s="225"/>
      <c r="BV1145" s="226"/>
    </row>
    <row r="1146" spans="1:74" x14ac:dyDescent="0.8">
      <c r="A1146" s="64"/>
      <c r="B1146" s="64"/>
      <c r="C1146" s="59"/>
      <c r="F1146" s="70"/>
      <c r="G1146" s="86"/>
      <c r="H1146" s="70"/>
      <c r="I1146" s="86"/>
      <c r="J1146" s="70"/>
      <c r="K1146" s="86"/>
      <c r="M1146" s="302"/>
      <c r="N1146" s="83"/>
      <c r="O1146" s="83"/>
      <c r="P1146" s="83"/>
      <c r="Q1146" s="86"/>
      <c r="R1146" s="83"/>
      <c r="S1146" s="83"/>
      <c r="T1146" s="70"/>
      <c r="U1146" s="86"/>
      <c r="V1146" s="70"/>
      <c r="W1146" s="86"/>
      <c r="X1146" s="126"/>
      <c r="Y1146" s="208"/>
      <c r="Z1146" s="126"/>
      <c r="AA1146" s="208"/>
      <c r="AB1146" s="126"/>
      <c r="AC1146" s="208"/>
      <c r="AD1146" s="209"/>
      <c r="AE1146" s="210"/>
      <c r="AF1146" s="209"/>
      <c r="AG1146" s="210"/>
      <c r="AH1146" s="209"/>
      <c r="AI1146" s="210"/>
      <c r="AJ1146" s="209"/>
      <c r="AK1146" s="210"/>
      <c r="AL1146" s="209"/>
      <c r="AM1146" s="211"/>
      <c r="AN1146" s="209"/>
      <c r="AO1146" s="212"/>
      <c r="AP1146" s="213"/>
      <c r="AQ1146" s="213"/>
      <c r="AR1146" s="209"/>
      <c r="AS1146" s="301"/>
      <c r="AT1146" s="301"/>
      <c r="AU1146" s="209"/>
      <c r="AV1146" s="301"/>
      <c r="AW1146" s="210"/>
      <c r="AX1146" s="301"/>
      <c r="AY1146" s="214"/>
      <c r="AZ1146" s="211"/>
      <c r="BA1146" s="212"/>
      <c r="BB1146" s="212"/>
      <c r="BC1146" s="213"/>
      <c r="BD1146" s="209"/>
      <c r="BE1146" s="301"/>
      <c r="BF1146" s="301"/>
      <c r="BG1146" s="209"/>
      <c r="BH1146" s="301"/>
      <c r="BI1146" s="210"/>
      <c r="BJ1146" s="214"/>
      <c r="BK1146" s="212"/>
      <c r="BL1146" s="215"/>
      <c r="BM1146" s="216"/>
      <c r="BN1146" s="215"/>
      <c r="BO1146" s="215"/>
      <c r="BP1146" s="217"/>
      <c r="BQ1146" s="223"/>
      <c r="BR1146" s="224"/>
      <c r="BS1146" s="225"/>
      <c r="BT1146" s="225"/>
      <c r="BU1146" s="225"/>
      <c r="BV1146" s="226"/>
    </row>
    <row r="1147" spans="1:74" x14ac:dyDescent="0.8">
      <c r="A1147" s="64"/>
      <c r="B1147" s="64"/>
      <c r="C1147" s="59"/>
      <c r="F1147" s="70"/>
      <c r="G1147" s="86"/>
      <c r="H1147" s="70"/>
      <c r="I1147" s="86"/>
      <c r="J1147" s="70"/>
      <c r="K1147" s="86"/>
      <c r="M1147" s="302"/>
      <c r="N1147" s="83"/>
      <c r="O1147" s="83"/>
      <c r="P1147" s="83"/>
      <c r="Q1147" s="86"/>
      <c r="R1147" s="83"/>
      <c r="S1147" s="83"/>
      <c r="T1147" s="70"/>
      <c r="U1147" s="86"/>
      <c r="V1147" s="70"/>
      <c r="W1147" s="86"/>
      <c r="X1147" s="126"/>
      <c r="Y1147" s="208"/>
      <c r="Z1147" s="126"/>
      <c r="AA1147" s="208"/>
      <c r="AB1147" s="126"/>
      <c r="AC1147" s="208"/>
      <c r="AD1147" s="209"/>
      <c r="AE1147" s="210"/>
      <c r="AF1147" s="209"/>
      <c r="AG1147" s="210"/>
      <c r="AH1147" s="209"/>
      <c r="AI1147" s="210"/>
      <c r="AJ1147" s="209"/>
      <c r="AK1147" s="210"/>
      <c r="AL1147" s="209"/>
      <c r="AM1147" s="211"/>
      <c r="AN1147" s="209"/>
      <c r="AO1147" s="212"/>
      <c r="AP1147" s="213"/>
      <c r="AQ1147" s="213"/>
      <c r="AR1147" s="209"/>
      <c r="AS1147" s="301"/>
      <c r="AT1147" s="301"/>
      <c r="AU1147" s="209"/>
      <c r="AV1147" s="301"/>
      <c r="AW1147" s="210"/>
      <c r="AX1147" s="301"/>
      <c r="AY1147" s="214"/>
      <c r="AZ1147" s="211"/>
      <c r="BA1147" s="212"/>
      <c r="BB1147" s="212"/>
      <c r="BC1147" s="213"/>
      <c r="BD1147" s="209"/>
      <c r="BE1147" s="301"/>
      <c r="BF1147" s="301"/>
      <c r="BG1147" s="209"/>
      <c r="BH1147" s="301"/>
      <c r="BI1147" s="210"/>
      <c r="BJ1147" s="214"/>
      <c r="BK1147" s="212"/>
      <c r="BL1147" s="215"/>
      <c r="BM1147" s="216"/>
      <c r="BN1147" s="215"/>
      <c r="BO1147" s="215"/>
      <c r="BP1147" s="217"/>
      <c r="BQ1147" s="223"/>
      <c r="BR1147" s="224"/>
      <c r="BS1147" s="225"/>
      <c r="BT1147" s="225"/>
      <c r="BU1147" s="225"/>
      <c r="BV1147" s="226"/>
    </row>
    <row r="1148" spans="1:74" x14ac:dyDescent="0.8">
      <c r="A1148" s="64"/>
      <c r="B1148" s="64"/>
      <c r="C1148" s="59"/>
      <c r="F1148" s="70"/>
      <c r="G1148" s="86"/>
      <c r="H1148" s="70"/>
      <c r="I1148" s="86"/>
      <c r="J1148" s="70"/>
      <c r="K1148" s="86"/>
      <c r="M1148" s="302"/>
      <c r="N1148" s="83"/>
      <c r="O1148" s="83"/>
      <c r="P1148" s="83"/>
      <c r="Q1148" s="86"/>
      <c r="R1148" s="83"/>
      <c r="S1148" s="83"/>
      <c r="T1148" s="70"/>
      <c r="U1148" s="86"/>
      <c r="V1148" s="70"/>
      <c r="W1148" s="86"/>
      <c r="X1148" s="126"/>
      <c r="Y1148" s="208"/>
      <c r="Z1148" s="126"/>
      <c r="AA1148" s="208"/>
      <c r="AB1148" s="126"/>
      <c r="AC1148" s="208"/>
      <c r="AD1148" s="209"/>
      <c r="AE1148" s="210"/>
      <c r="AF1148" s="209"/>
      <c r="AG1148" s="210"/>
      <c r="AH1148" s="209"/>
      <c r="AI1148" s="210"/>
      <c r="AJ1148" s="209"/>
      <c r="AK1148" s="210"/>
      <c r="AL1148" s="209"/>
      <c r="AM1148" s="211"/>
      <c r="AN1148" s="209"/>
      <c r="AO1148" s="212"/>
      <c r="AP1148" s="213"/>
      <c r="AQ1148" s="213"/>
      <c r="AR1148" s="209"/>
      <c r="AS1148" s="301"/>
      <c r="AT1148" s="301"/>
      <c r="AU1148" s="209"/>
      <c r="AV1148" s="301"/>
      <c r="AW1148" s="210"/>
      <c r="AX1148" s="301"/>
      <c r="AY1148" s="214"/>
      <c r="AZ1148" s="211"/>
      <c r="BA1148" s="212"/>
      <c r="BB1148" s="212"/>
      <c r="BC1148" s="213"/>
      <c r="BD1148" s="209"/>
      <c r="BE1148" s="301"/>
      <c r="BF1148" s="301"/>
      <c r="BG1148" s="209"/>
      <c r="BH1148" s="301"/>
      <c r="BI1148" s="210"/>
      <c r="BJ1148" s="214"/>
      <c r="BK1148" s="212"/>
      <c r="BL1148" s="215"/>
      <c r="BM1148" s="216"/>
      <c r="BN1148" s="215"/>
      <c r="BO1148" s="215"/>
      <c r="BP1148" s="217"/>
      <c r="BQ1148" s="223"/>
      <c r="BR1148" s="224"/>
      <c r="BS1148" s="225"/>
      <c r="BT1148" s="225"/>
      <c r="BU1148" s="225"/>
      <c r="BV1148" s="226"/>
    </row>
    <row r="1149" spans="1:74" x14ac:dyDescent="0.8">
      <c r="A1149" s="64"/>
      <c r="B1149" s="64"/>
      <c r="C1149" s="59"/>
      <c r="F1149" s="70"/>
      <c r="G1149" s="86"/>
      <c r="H1149" s="70"/>
      <c r="I1149" s="86"/>
      <c r="J1149" s="70"/>
      <c r="K1149" s="86"/>
      <c r="M1149" s="302"/>
      <c r="N1149" s="83"/>
      <c r="O1149" s="83"/>
      <c r="P1149" s="83"/>
      <c r="Q1149" s="86"/>
      <c r="R1149" s="83"/>
      <c r="S1149" s="83"/>
      <c r="T1149" s="70"/>
      <c r="U1149" s="86"/>
      <c r="V1149" s="70"/>
      <c r="W1149" s="86"/>
      <c r="X1149" s="126"/>
      <c r="Y1149" s="208"/>
      <c r="Z1149" s="126"/>
      <c r="AA1149" s="208"/>
      <c r="AB1149" s="126"/>
      <c r="AC1149" s="208"/>
      <c r="AD1149" s="209"/>
      <c r="AE1149" s="210"/>
      <c r="AF1149" s="209"/>
      <c r="AG1149" s="210"/>
      <c r="AH1149" s="209"/>
      <c r="AI1149" s="210"/>
      <c r="AJ1149" s="209"/>
      <c r="AK1149" s="210"/>
      <c r="AL1149" s="209"/>
      <c r="AM1149" s="211"/>
      <c r="AN1149" s="209"/>
      <c r="AO1149" s="212"/>
      <c r="AP1149" s="213"/>
      <c r="AQ1149" s="213"/>
      <c r="AR1149" s="209"/>
      <c r="AS1149" s="301"/>
      <c r="AT1149" s="301"/>
      <c r="AU1149" s="209"/>
      <c r="AV1149" s="301"/>
      <c r="AW1149" s="210"/>
      <c r="AX1149" s="301"/>
      <c r="AY1149" s="214"/>
      <c r="AZ1149" s="211"/>
      <c r="BA1149" s="212"/>
      <c r="BB1149" s="212"/>
      <c r="BC1149" s="213"/>
      <c r="BD1149" s="209"/>
      <c r="BE1149" s="301"/>
      <c r="BF1149" s="301"/>
      <c r="BG1149" s="209"/>
      <c r="BH1149" s="301"/>
      <c r="BI1149" s="210"/>
      <c r="BJ1149" s="214"/>
      <c r="BK1149" s="212"/>
      <c r="BL1149" s="215"/>
      <c r="BM1149" s="216"/>
      <c r="BN1149" s="215"/>
      <c r="BO1149" s="215"/>
      <c r="BP1149" s="217"/>
      <c r="BQ1149" s="223"/>
      <c r="BR1149" s="224"/>
      <c r="BS1149" s="225"/>
      <c r="BT1149" s="225"/>
      <c r="BU1149" s="225"/>
      <c r="BV1149" s="226"/>
    </row>
    <row r="1150" spans="1:74" x14ac:dyDescent="0.8">
      <c r="A1150" s="64"/>
      <c r="B1150" s="64"/>
      <c r="C1150" s="59"/>
      <c r="F1150" s="70"/>
      <c r="G1150" s="86"/>
      <c r="H1150" s="70"/>
      <c r="I1150" s="86"/>
      <c r="J1150" s="70"/>
      <c r="K1150" s="86"/>
      <c r="M1150" s="302"/>
      <c r="N1150" s="83"/>
      <c r="O1150" s="83"/>
      <c r="P1150" s="83"/>
      <c r="Q1150" s="86"/>
      <c r="R1150" s="83"/>
      <c r="S1150" s="83"/>
      <c r="T1150" s="70"/>
      <c r="U1150" s="86"/>
      <c r="V1150" s="70"/>
      <c r="W1150" s="86"/>
      <c r="X1150" s="126"/>
      <c r="Y1150" s="208"/>
      <c r="Z1150" s="126"/>
      <c r="AA1150" s="208"/>
      <c r="AB1150" s="126"/>
      <c r="AC1150" s="208"/>
      <c r="AD1150" s="209"/>
      <c r="AE1150" s="210"/>
      <c r="AF1150" s="209"/>
      <c r="AG1150" s="210"/>
      <c r="AH1150" s="209"/>
      <c r="AI1150" s="210"/>
      <c r="AJ1150" s="209"/>
      <c r="AK1150" s="210"/>
      <c r="AL1150" s="209"/>
      <c r="AM1150" s="211"/>
      <c r="AN1150" s="209"/>
      <c r="AO1150" s="212"/>
      <c r="AP1150" s="213"/>
      <c r="AQ1150" s="213"/>
      <c r="AR1150" s="209"/>
      <c r="AS1150" s="301"/>
      <c r="AT1150" s="301"/>
      <c r="AU1150" s="209"/>
      <c r="AV1150" s="301"/>
      <c r="AW1150" s="210"/>
      <c r="AX1150" s="301"/>
      <c r="AY1150" s="214"/>
      <c r="AZ1150" s="211"/>
      <c r="BA1150" s="212"/>
      <c r="BB1150" s="212"/>
      <c r="BC1150" s="213"/>
      <c r="BD1150" s="209"/>
      <c r="BE1150" s="301"/>
      <c r="BF1150" s="301"/>
      <c r="BG1150" s="209"/>
      <c r="BH1150" s="301"/>
      <c r="BI1150" s="210"/>
      <c r="BJ1150" s="214"/>
      <c r="BK1150" s="212"/>
      <c r="BL1150" s="215"/>
      <c r="BM1150" s="216"/>
      <c r="BN1150" s="215"/>
      <c r="BO1150" s="215"/>
      <c r="BP1150" s="217"/>
      <c r="BQ1150" s="223"/>
      <c r="BR1150" s="224"/>
      <c r="BS1150" s="225"/>
      <c r="BT1150" s="225"/>
      <c r="BU1150" s="225"/>
      <c r="BV1150" s="226"/>
    </row>
    <row r="1151" spans="1:74" x14ac:dyDescent="0.8">
      <c r="A1151" s="64"/>
      <c r="B1151" s="64"/>
      <c r="C1151" s="59"/>
      <c r="F1151" s="70"/>
      <c r="G1151" s="86"/>
      <c r="H1151" s="70"/>
      <c r="I1151" s="86"/>
      <c r="J1151" s="70"/>
      <c r="K1151" s="86"/>
      <c r="M1151" s="302"/>
      <c r="N1151" s="83"/>
      <c r="O1151" s="83"/>
      <c r="P1151" s="83"/>
      <c r="Q1151" s="86"/>
      <c r="R1151" s="83"/>
      <c r="S1151" s="83"/>
      <c r="T1151" s="70"/>
      <c r="U1151" s="86"/>
      <c r="V1151" s="70"/>
      <c r="W1151" s="86"/>
      <c r="X1151" s="126"/>
      <c r="Y1151" s="208"/>
      <c r="Z1151" s="126"/>
      <c r="AA1151" s="208"/>
      <c r="AB1151" s="126"/>
      <c r="AC1151" s="208"/>
      <c r="AD1151" s="209"/>
      <c r="AE1151" s="210"/>
      <c r="AF1151" s="209"/>
      <c r="AG1151" s="210"/>
      <c r="AH1151" s="209"/>
      <c r="AI1151" s="210"/>
      <c r="AJ1151" s="209"/>
      <c r="AK1151" s="210"/>
      <c r="AL1151" s="209"/>
      <c r="AM1151" s="211"/>
      <c r="AN1151" s="209"/>
      <c r="AO1151" s="212"/>
      <c r="AP1151" s="213"/>
      <c r="AQ1151" s="213"/>
      <c r="AR1151" s="209"/>
      <c r="AS1151" s="301"/>
      <c r="AT1151" s="301"/>
      <c r="AU1151" s="209"/>
      <c r="AV1151" s="301"/>
      <c r="AW1151" s="210"/>
      <c r="AX1151" s="301"/>
      <c r="AY1151" s="214"/>
      <c r="AZ1151" s="211"/>
      <c r="BA1151" s="212"/>
      <c r="BB1151" s="212"/>
      <c r="BC1151" s="213"/>
      <c r="BD1151" s="209"/>
      <c r="BE1151" s="301"/>
      <c r="BF1151" s="301"/>
      <c r="BG1151" s="209"/>
      <c r="BH1151" s="301"/>
      <c r="BI1151" s="210"/>
      <c r="BJ1151" s="214"/>
      <c r="BK1151" s="212"/>
      <c r="BL1151" s="215"/>
      <c r="BM1151" s="216"/>
      <c r="BN1151" s="215"/>
      <c r="BO1151" s="215"/>
      <c r="BP1151" s="217"/>
      <c r="BQ1151" s="223"/>
      <c r="BR1151" s="224"/>
      <c r="BS1151" s="225"/>
      <c r="BT1151" s="225"/>
      <c r="BU1151" s="225"/>
      <c r="BV1151" s="226"/>
    </row>
    <row r="1152" spans="1:74" x14ac:dyDescent="0.8">
      <c r="A1152" s="64"/>
      <c r="B1152" s="64"/>
      <c r="C1152" s="59"/>
      <c r="F1152" s="70"/>
      <c r="G1152" s="86"/>
      <c r="H1152" s="70"/>
      <c r="I1152" s="86"/>
      <c r="J1152" s="70"/>
      <c r="K1152" s="86"/>
      <c r="M1152" s="302"/>
      <c r="N1152" s="83"/>
      <c r="O1152" s="83"/>
      <c r="P1152" s="83"/>
      <c r="Q1152" s="86"/>
      <c r="R1152" s="83"/>
      <c r="S1152" s="83"/>
      <c r="T1152" s="70"/>
      <c r="U1152" s="86"/>
      <c r="V1152" s="70"/>
      <c r="W1152" s="86"/>
      <c r="X1152" s="126"/>
      <c r="Y1152" s="208"/>
      <c r="Z1152" s="126"/>
      <c r="AA1152" s="208"/>
      <c r="AB1152" s="126"/>
      <c r="AC1152" s="208"/>
      <c r="AD1152" s="209"/>
      <c r="AE1152" s="210"/>
      <c r="AF1152" s="209"/>
      <c r="AG1152" s="210"/>
      <c r="AH1152" s="209"/>
      <c r="AI1152" s="210"/>
      <c r="AJ1152" s="209"/>
      <c r="AK1152" s="210"/>
      <c r="AL1152" s="209"/>
      <c r="AM1152" s="211"/>
      <c r="AN1152" s="209"/>
      <c r="AO1152" s="212"/>
      <c r="AP1152" s="213"/>
      <c r="AQ1152" s="213"/>
      <c r="AR1152" s="209"/>
      <c r="AS1152" s="301"/>
      <c r="AT1152" s="301"/>
      <c r="AU1152" s="209"/>
      <c r="AV1152" s="301"/>
      <c r="AW1152" s="210"/>
      <c r="AX1152" s="301"/>
      <c r="AY1152" s="214"/>
      <c r="AZ1152" s="211"/>
      <c r="BA1152" s="212"/>
      <c r="BB1152" s="212"/>
      <c r="BC1152" s="213"/>
      <c r="BD1152" s="209"/>
      <c r="BE1152" s="301"/>
      <c r="BF1152" s="301"/>
      <c r="BG1152" s="209"/>
      <c r="BH1152" s="301"/>
      <c r="BI1152" s="210"/>
      <c r="BJ1152" s="214"/>
      <c r="BK1152" s="212"/>
      <c r="BL1152" s="215"/>
      <c r="BM1152" s="216"/>
      <c r="BN1152" s="215"/>
      <c r="BO1152" s="215"/>
      <c r="BP1152" s="217"/>
      <c r="BQ1152" s="223"/>
      <c r="BR1152" s="224"/>
      <c r="BS1152" s="225"/>
      <c r="BT1152" s="225"/>
      <c r="BU1152" s="225"/>
      <c r="BV1152" s="226"/>
    </row>
    <row r="1153" spans="1:74" x14ac:dyDescent="0.8">
      <c r="A1153" s="64"/>
      <c r="B1153" s="64"/>
      <c r="C1153" s="59"/>
      <c r="F1153" s="70"/>
      <c r="G1153" s="86"/>
      <c r="H1153" s="70"/>
      <c r="I1153" s="86"/>
      <c r="J1153" s="70"/>
      <c r="K1153" s="86"/>
      <c r="M1153" s="302"/>
      <c r="N1153" s="83"/>
      <c r="O1153" s="83"/>
      <c r="P1153" s="83"/>
      <c r="Q1153" s="86"/>
      <c r="R1153" s="83"/>
      <c r="S1153" s="83"/>
      <c r="T1153" s="70"/>
      <c r="U1153" s="86"/>
      <c r="V1153" s="70"/>
      <c r="W1153" s="86"/>
      <c r="X1153" s="126"/>
      <c r="Y1153" s="208"/>
      <c r="Z1153" s="126"/>
      <c r="AA1153" s="208"/>
      <c r="AB1153" s="126"/>
      <c r="AC1153" s="208"/>
      <c r="AD1153" s="209"/>
      <c r="AE1153" s="210"/>
      <c r="AF1153" s="209"/>
      <c r="AG1153" s="210"/>
      <c r="AH1153" s="209"/>
      <c r="AI1153" s="210"/>
      <c r="AJ1153" s="209"/>
      <c r="AK1153" s="210"/>
      <c r="AL1153" s="209"/>
      <c r="AM1153" s="211"/>
      <c r="AN1153" s="209"/>
      <c r="AO1153" s="212"/>
      <c r="AP1153" s="213"/>
      <c r="AQ1153" s="213"/>
      <c r="AR1153" s="209"/>
      <c r="AS1153" s="301"/>
      <c r="AT1153" s="301"/>
      <c r="AU1153" s="209"/>
      <c r="AV1153" s="301"/>
      <c r="AW1153" s="210"/>
      <c r="AX1153" s="301"/>
      <c r="AY1153" s="214"/>
      <c r="AZ1153" s="211"/>
      <c r="BA1153" s="212"/>
      <c r="BB1153" s="212"/>
      <c r="BC1153" s="213"/>
      <c r="BD1153" s="209"/>
      <c r="BE1153" s="301"/>
      <c r="BF1153" s="301"/>
      <c r="BG1153" s="209"/>
      <c r="BH1153" s="301"/>
      <c r="BI1153" s="210"/>
      <c r="BJ1153" s="214"/>
      <c r="BK1153" s="212"/>
      <c r="BL1153" s="215"/>
      <c r="BM1153" s="216"/>
      <c r="BN1153" s="215"/>
      <c r="BO1153" s="215"/>
      <c r="BP1153" s="217"/>
      <c r="BQ1153" s="223"/>
      <c r="BR1153" s="224"/>
      <c r="BS1153" s="225"/>
      <c r="BT1153" s="225"/>
      <c r="BU1153" s="225"/>
      <c r="BV1153" s="226"/>
    </row>
    <row r="1154" spans="1:74" x14ac:dyDescent="0.8">
      <c r="A1154" s="64"/>
      <c r="B1154" s="64"/>
      <c r="C1154" s="59"/>
      <c r="F1154" s="70"/>
      <c r="G1154" s="86"/>
      <c r="H1154" s="70"/>
      <c r="I1154" s="86"/>
      <c r="J1154" s="70"/>
      <c r="K1154" s="86"/>
      <c r="M1154" s="302"/>
      <c r="N1154" s="83"/>
      <c r="O1154" s="83"/>
      <c r="P1154" s="83"/>
      <c r="Q1154" s="86"/>
      <c r="R1154" s="83"/>
      <c r="S1154" s="83"/>
      <c r="T1154" s="70"/>
      <c r="U1154" s="86"/>
      <c r="V1154" s="70"/>
      <c r="W1154" s="86"/>
      <c r="X1154" s="126"/>
      <c r="Y1154" s="208"/>
      <c r="Z1154" s="126"/>
      <c r="AA1154" s="208"/>
      <c r="AB1154" s="126"/>
      <c r="AC1154" s="208"/>
      <c r="AD1154" s="209"/>
      <c r="AE1154" s="210"/>
      <c r="AF1154" s="209"/>
      <c r="AG1154" s="210"/>
      <c r="AH1154" s="209"/>
      <c r="AI1154" s="210"/>
      <c r="AJ1154" s="209"/>
      <c r="AK1154" s="210"/>
      <c r="AL1154" s="209"/>
      <c r="AM1154" s="211"/>
      <c r="AN1154" s="209"/>
      <c r="AO1154" s="212"/>
      <c r="AP1154" s="213"/>
      <c r="AQ1154" s="213"/>
      <c r="AR1154" s="209"/>
      <c r="AS1154" s="301"/>
      <c r="AT1154" s="301"/>
      <c r="AU1154" s="209"/>
      <c r="AV1154" s="301"/>
      <c r="AW1154" s="210"/>
      <c r="AX1154" s="301"/>
      <c r="AY1154" s="214"/>
      <c r="AZ1154" s="211"/>
      <c r="BA1154" s="212"/>
      <c r="BB1154" s="212"/>
      <c r="BC1154" s="213"/>
      <c r="BD1154" s="209"/>
      <c r="BE1154" s="301"/>
      <c r="BF1154" s="301"/>
      <c r="BG1154" s="209"/>
      <c r="BH1154" s="301"/>
      <c r="BI1154" s="210"/>
      <c r="BJ1154" s="214"/>
      <c r="BK1154" s="212"/>
      <c r="BL1154" s="215"/>
      <c r="BM1154" s="216"/>
      <c r="BN1154" s="215"/>
      <c r="BO1154" s="215"/>
      <c r="BP1154" s="217"/>
      <c r="BQ1154" s="218"/>
      <c r="BR1154" s="219"/>
      <c r="BS1154" s="218"/>
      <c r="BT1154" s="218"/>
      <c r="BU1154" s="218"/>
      <c r="BV1154" s="220"/>
    </row>
    <row r="1155" spans="1:74" x14ac:dyDescent="0.8">
      <c r="A1155" s="64"/>
      <c r="B1155" s="64"/>
      <c r="C1155" s="59"/>
      <c r="F1155" s="70"/>
      <c r="G1155" s="86"/>
      <c r="H1155" s="70"/>
      <c r="I1155" s="86"/>
      <c r="J1155" s="70"/>
      <c r="K1155" s="86"/>
      <c r="M1155" s="302"/>
      <c r="N1155" s="83"/>
      <c r="O1155" s="83"/>
      <c r="P1155" s="83"/>
      <c r="Q1155" s="86"/>
      <c r="R1155" s="83"/>
      <c r="S1155" s="83"/>
      <c r="T1155" s="70"/>
      <c r="U1155" s="86"/>
      <c r="V1155" s="70"/>
      <c r="W1155" s="86"/>
      <c r="X1155" s="126"/>
      <c r="Y1155" s="208"/>
      <c r="Z1155" s="126"/>
      <c r="AA1155" s="208"/>
      <c r="AB1155" s="126"/>
      <c r="AC1155" s="208"/>
      <c r="AD1155" s="209"/>
      <c r="AE1155" s="210"/>
      <c r="AF1155" s="209"/>
      <c r="AG1155" s="210"/>
      <c r="AH1155" s="209"/>
      <c r="AI1155" s="210"/>
      <c r="AJ1155" s="209"/>
      <c r="AK1155" s="210"/>
      <c r="AL1155" s="209"/>
      <c r="AM1155" s="211"/>
      <c r="AN1155" s="209"/>
      <c r="AO1155" s="212"/>
      <c r="AP1155" s="213"/>
      <c r="AQ1155" s="213"/>
      <c r="AR1155" s="209"/>
      <c r="AS1155" s="301"/>
      <c r="AT1155" s="301"/>
      <c r="AU1155" s="209"/>
      <c r="AV1155" s="301"/>
      <c r="AW1155" s="210"/>
      <c r="AX1155" s="301"/>
      <c r="AY1155" s="214"/>
      <c r="AZ1155" s="211"/>
      <c r="BA1155" s="212"/>
      <c r="BB1155" s="212"/>
      <c r="BC1155" s="213"/>
      <c r="BD1155" s="209"/>
      <c r="BE1155" s="301"/>
      <c r="BF1155" s="301"/>
      <c r="BG1155" s="209"/>
      <c r="BH1155" s="301"/>
      <c r="BI1155" s="210"/>
      <c r="BJ1155" s="214"/>
      <c r="BK1155" s="212"/>
      <c r="BL1155" s="221"/>
      <c r="BM1155" s="216"/>
      <c r="BN1155" s="221"/>
      <c r="BO1155" s="221"/>
      <c r="BP1155" s="222"/>
      <c r="BQ1155" s="218"/>
      <c r="BR1155" s="219"/>
      <c r="BS1155" s="218"/>
      <c r="BT1155" s="218"/>
      <c r="BU1155" s="218"/>
      <c r="BV1155" s="220"/>
    </row>
    <row r="1156" spans="1:74" x14ac:dyDescent="0.8">
      <c r="A1156" s="64"/>
      <c r="B1156" s="64"/>
      <c r="C1156" s="59"/>
      <c r="F1156" s="70"/>
      <c r="G1156" s="86"/>
      <c r="H1156" s="70"/>
      <c r="I1156" s="86"/>
      <c r="J1156" s="70"/>
      <c r="K1156" s="86"/>
      <c r="M1156" s="302"/>
      <c r="N1156" s="83"/>
      <c r="O1156" s="83"/>
      <c r="P1156" s="83"/>
      <c r="Q1156" s="86"/>
      <c r="R1156" s="83"/>
      <c r="S1156" s="83"/>
      <c r="T1156" s="70"/>
      <c r="U1156" s="86"/>
      <c r="V1156" s="70"/>
      <c r="W1156" s="86"/>
      <c r="X1156" s="126"/>
      <c r="Y1156" s="208"/>
      <c r="Z1156" s="126"/>
      <c r="AA1156" s="208"/>
      <c r="AB1156" s="126"/>
      <c r="AC1156" s="208"/>
      <c r="AD1156" s="209"/>
      <c r="AE1156" s="210"/>
      <c r="AF1156" s="209"/>
      <c r="AG1156" s="210"/>
      <c r="AH1156" s="209"/>
      <c r="AI1156" s="210"/>
      <c r="AJ1156" s="209"/>
      <c r="AK1156" s="210"/>
      <c r="AL1156" s="209"/>
      <c r="AM1156" s="211"/>
      <c r="AN1156" s="209"/>
      <c r="AO1156" s="212"/>
      <c r="AP1156" s="213"/>
      <c r="AQ1156" s="213"/>
      <c r="AR1156" s="209"/>
      <c r="AS1156" s="301"/>
      <c r="AT1156" s="301"/>
      <c r="AU1156" s="209"/>
      <c r="AV1156" s="301"/>
      <c r="AW1156" s="210"/>
      <c r="AX1156" s="301"/>
      <c r="AY1156" s="214"/>
      <c r="AZ1156" s="211"/>
      <c r="BA1156" s="212"/>
      <c r="BB1156" s="212"/>
      <c r="BC1156" s="213"/>
      <c r="BD1156" s="209"/>
      <c r="BE1156" s="301"/>
      <c r="BF1156" s="301"/>
      <c r="BG1156" s="209"/>
      <c r="BH1156" s="301"/>
      <c r="BI1156" s="210"/>
      <c r="BJ1156" s="214"/>
      <c r="BK1156" s="212"/>
      <c r="BL1156" s="221"/>
      <c r="BM1156" s="216"/>
      <c r="BN1156" s="221"/>
      <c r="BO1156" s="221"/>
      <c r="BP1156" s="222"/>
      <c r="BQ1156" s="218"/>
      <c r="BR1156" s="219"/>
      <c r="BS1156" s="218"/>
      <c r="BT1156" s="218"/>
      <c r="BU1156" s="218"/>
      <c r="BV1156" s="220"/>
    </row>
    <row r="1157" spans="1:74" x14ac:dyDescent="0.8">
      <c r="A1157" s="64"/>
      <c r="B1157" s="64"/>
      <c r="C1157" s="59"/>
      <c r="F1157" s="70"/>
      <c r="G1157" s="86"/>
      <c r="H1157" s="70"/>
      <c r="I1157" s="86"/>
      <c r="J1157" s="70"/>
      <c r="K1157" s="86"/>
      <c r="M1157" s="302"/>
      <c r="N1157" s="83"/>
      <c r="O1157" s="83"/>
      <c r="P1157" s="83"/>
      <c r="Q1157" s="86"/>
      <c r="R1157" s="83"/>
      <c r="S1157" s="83"/>
      <c r="T1157" s="70"/>
      <c r="U1157" s="86"/>
      <c r="V1157" s="70"/>
      <c r="W1157" s="86"/>
      <c r="X1157" s="126"/>
      <c r="Y1157" s="208"/>
      <c r="Z1157" s="126"/>
      <c r="AA1157" s="208"/>
      <c r="AB1157" s="126"/>
      <c r="AC1157" s="208"/>
      <c r="AD1157" s="209"/>
      <c r="AE1157" s="210"/>
      <c r="AF1157" s="209"/>
      <c r="AG1157" s="210"/>
      <c r="AH1157" s="209"/>
      <c r="AI1157" s="210"/>
      <c r="AJ1157" s="209"/>
      <c r="AK1157" s="210"/>
      <c r="AL1157" s="209"/>
      <c r="AM1157" s="211"/>
      <c r="AN1157" s="209"/>
      <c r="AO1157" s="212"/>
      <c r="AP1157" s="213"/>
      <c r="AQ1157" s="213"/>
      <c r="AR1157" s="209"/>
      <c r="AS1157" s="301"/>
      <c r="AT1157" s="301"/>
      <c r="AU1157" s="209"/>
      <c r="AV1157" s="301"/>
      <c r="AW1157" s="210"/>
      <c r="AX1157" s="301"/>
      <c r="AY1157" s="214"/>
      <c r="AZ1157" s="211"/>
      <c r="BA1157" s="212"/>
      <c r="BB1157" s="212"/>
      <c r="BC1157" s="213"/>
      <c r="BD1157" s="209"/>
      <c r="BE1157" s="301"/>
      <c r="BF1157" s="301"/>
      <c r="BG1157" s="209"/>
      <c r="BH1157" s="301"/>
      <c r="BI1157" s="210"/>
      <c r="BJ1157" s="214"/>
      <c r="BK1157" s="212"/>
      <c r="BL1157" s="215"/>
      <c r="BM1157" s="216"/>
      <c r="BN1157" s="215"/>
      <c r="BO1157" s="215"/>
      <c r="BP1157" s="217"/>
      <c r="BQ1157" s="218"/>
      <c r="BR1157" s="219"/>
      <c r="BS1157" s="218"/>
      <c r="BT1157" s="218"/>
      <c r="BU1157" s="218"/>
      <c r="BV1157" s="220"/>
    </row>
    <row r="1158" spans="1:74" x14ac:dyDescent="0.8">
      <c r="A1158" s="64"/>
      <c r="B1158" s="64"/>
      <c r="C1158" s="59"/>
      <c r="F1158" s="70"/>
      <c r="G1158" s="86"/>
      <c r="H1158" s="70"/>
      <c r="I1158" s="86"/>
      <c r="J1158" s="70"/>
      <c r="K1158" s="86"/>
      <c r="M1158" s="302"/>
      <c r="N1158" s="83"/>
      <c r="O1158" s="83"/>
      <c r="P1158" s="83"/>
      <c r="Q1158" s="86"/>
      <c r="R1158" s="83"/>
      <c r="S1158" s="83"/>
      <c r="T1158" s="70"/>
      <c r="U1158" s="86"/>
      <c r="V1158" s="70"/>
      <c r="W1158" s="86"/>
      <c r="X1158" s="126"/>
      <c r="Y1158" s="208"/>
      <c r="Z1158" s="126"/>
      <c r="AA1158" s="208"/>
      <c r="AB1158" s="126"/>
      <c r="AC1158" s="208"/>
      <c r="AD1158" s="209"/>
      <c r="AE1158" s="210"/>
      <c r="AF1158" s="209"/>
      <c r="AG1158" s="210"/>
      <c r="AH1158" s="209"/>
      <c r="AI1158" s="210"/>
      <c r="AJ1158" s="209"/>
      <c r="AK1158" s="210"/>
      <c r="AL1158" s="209"/>
      <c r="AM1158" s="211"/>
      <c r="AN1158" s="209"/>
      <c r="AO1158" s="212"/>
      <c r="AP1158" s="213"/>
      <c r="AQ1158" s="213"/>
      <c r="AR1158" s="209"/>
      <c r="AS1158" s="301"/>
      <c r="AT1158" s="301"/>
      <c r="AU1158" s="209"/>
      <c r="AV1158" s="301"/>
      <c r="AW1158" s="210"/>
      <c r="AX1158" s="301"/>
      <c r="AY1158" s="214"/>
      <c r="AZ1158" s="211"/>
      <c r="BA1158" s="212"/>
      <c r="BB1158" s="212"/>
      <c r="BC1158" s="213"/>
      <c r="BD1158" s="209"/>
      <c r="BE1158" s="301"/>
      <c r="BF1158" s="301"/>
      <c r="BG1158" s="209"/>
      <c r="BH1158" s="301"/>
      <c r="BI1158" s="210"/>
      <c r="BJ1158" s="214"/>
      <c r="BK1158" s="212"/>
      <c r="BL1158" s="221"/>
      <c r="BM1158" s="216"/>
      <c r="BN1158" s="221"/>
      <c r="BO1158" s="221"/>
      <c r="BP1158" s="222"/>
      <c r="BQ1158" s="218"/>
      <c r="BR1158" s="219"/>
      <c r="BS1158" s="218"/>
      <c r="BT1158" s="218"/>
      <c r="BU1158" s="218"/>
      <c r="BV1158" s="220"/>
    </row>
    <row r="1159" spans="1:74" x14ac:dyDescent="0.8">
      <c r="A1159" s="64"/>
      <c r="B1159" s="64"/>
      <c r="C1159" s="59"/>
      <c r="F1159" s="70"/>
      <c r="G1159" s="86"/>
      <c r="H1159" s="70"/>
      <c r="I1159" s="86"/>
      <c r="J1159" s="70"/>
      <c r="K1159" s="86"/>
      <c r="M1159" s="302"/>
      <c r="N1159" s="83"/>
      <c r="O1159" s="83"/>
      <c r="P1159" s="83"/>
      <c r="Q1159" s="86"/>
      <c r="R1159" s="83"/>
      <c r="S1159" s="83"/>
      <c r="T1159" s="70"/>
      <c r="U1159" s="86"/>
      <c r="V1159" s="70"/>
      <c r="W1159" s="86"/>
      <c r="X1159" s="126"/>
      <c r="Y1159" s="208"/>
      <c r="Z1159" s="126"/>
      <c r="AA1159" s="208"/>
      <c r="AB1159" s="126"/>
      <c r="AC1159" s="208"/>
      <c r="AD1159" s="209"/>
      <c r="AE1159" s="210"/>
      <c r="AF1159" s="209"/>
      <c r="AG1159" s="210"/>
      <c r="AH1159" s="209"/>
      <c r="AI1159" s="210"/>
      <c r="AJ1159" s="209"/>
      <c r="AK1159" s="210"/>
      <c r="AL1159" s="209"/>
      <c r="AM1159" s="211"/>
      <c r="AN1159" s="209"/>
      <c r="AO1159" s="212"/>
      <c r="AP1159" s="213"/>
      <c r="AQ1159" s="213"/>
      <c r="AR1159" s="209"/>
      <c r="AS1159" s="301"/>
      <c r="AT1159" s="301"/>
      <c r="AU1159" s="209"/>
      <c r="AV1159" s="301"/>
      <c r="AW1159" s="210"/>
      <c r="AX1159" s="301"/>
      <c r="AY1159" s="214"/>
      <c r="AZ1159" s="211"/>
      <c r="BA1159" s="212"/>
      <c r="BB1159" s="212"/>
      <c r="BC1159" s="213"/>
      <c r="BD1159" s="209"/>
      <c r="BE1159" s="301"/>
      <c r="BF1159" s="301"/>
      <c r="BG1159" s="209"/>
      <c r="BH1159" s="301"/>
      <c r="BI1159" s="210"/>
      <c r="BJ1159" s="214"/>
      <c r="BK1159" s="212"/>
      <c r="BL1159" s="221"/>
      <c r="BM1159" s="216"/>
      <c r="BN1159" s="221"/>
      <c r="BO1159" s="221"/>
      <c r="BP1159" s="222"/>
      <c r="BQ1159" s="218"/>
      <c r="BR1159" s="219"/>
      <c r="BS1159" s="218"/>
      <c r="BT1159" s="218"/>
      <c r="BU1159" s="218"/>
      <c r="BV1159" s="220"/>
    </row>
    <row r="1160" spans="1:74" x14ac:dyDescent="0.8">
      <c r="A1160" s="64"/>
      <c r="B1160" s="64"/>
      <c r="C1160" s="59"/>
      <c r="F1160" s="70"/>
      <c r="G1160" s="86"/>
      <c r="H1160" s="70"/>
      <c r="I1160" s="86"/>
      <c r="J1160" s="70"/>
      <c r="K1160" s="86"/>
      <c r="M1160" s="302"/>
      <c r="N1160" s="83"/>
      <c r="O1160" s="83"/>
      <c r="P1160" s="83"/>
      <c r="Q1160" s="86"/>
      <c r="R1160" s="83"/>
      <c r="S1160" s="83"/>
      <c r="T1160" s="70"/>
      <c r="U1160" s="86"/>
      <c r="V1160" s="70"/>
      <c r="W1160" s="86"/>
      <c r="X1160" s="126"/>
      <c r="Y1160" s="208"/>
      <c r="Z1160" s="126"/>
      <c r="AA1160" s="208"/>
      <c r="AB1160" s="126"/>
      <c r="AC1160" s="208"/>
      <c r="AD1160" s="209"/>
      <c r="AE1160" s="210"/>
      <c r="AF1160" s="209"/>
      <c r="AG1160" s="210"/>
      <c r="AH1160" s="209"/>
      <c r="AI1160" s="210"/>
      <c r="AJ1160" s="209"/>
      <c r="AK1160" s="210"/>
      <c r="AL1160" s="209"/>
      <c r="AM1160" s="211"/>
      <c r="AN1160" s="209"/>
      <c r="AO1160" s="212"/>
      <c r="AP1160" s="213"/>
      <c r="AQ1160" s="213"/>
      <c r="AR1160" s="209"/>
      <c r="AS1160" s="301"/>
      <c r="AT1160" s="301"/>
      <c r="AU1160" s="209"/>
      <c r="AV1160" s="301"/>
      <c r="AW1160" s="210"/>
      <c r="AX1160" s="301"/>
      <c r="AY1160" s="214"/>
      <c r="AZ1160" s="211"/>
      <c r="BA1160" s="212"/>
      <c r="BB1160" s="212"/>
      <c r="BC1160" s="213"/>
      <c r="BD1160" s="209"/>
      <c r="BE1160" s="301"/>
      <c r="BF1160" s="301"/>
      <c r="BG1160" s="209"/>
      <c r="BH1160" s="301"/>
      <c r="BI1160" s="210"/>
      <c r="BJ1160" s="214"/>
      <c r="BK1160" s="212"/>
      <c r="BL1160" s="215"/>
      <c r="BM1160" s="216"/>
      <c r="BN1160" s="215"/>
      <c r="BO1160" s="215"/>
      <c r="BP1160" s="217"/>
      <c r="BQ1160" s="218"/>
      <c r="BR1160" s="219"/>
      <c r="BS1160" s="218"/>
      <c r="BT1160" s="218"/>
      <c r="BU1160" s="218"/>
      <c r="BV1160" s="220"/>
    </row>
    <row r="1161" spans="1:74" x14ac:dyDescent="0.8">
      <c r="A1161" s="64"/>
      <c r="B1161" s="64"/>
      <c r="C1161" s="59"/>
      <c r="F1161" s="70"/>
      <c r="G1161" s="86"/>
      <c r="H1161" s="70"/>
      <c r="I1161" s="86"/>
      <c r="J1161" s="70"/>
      <c r="K1161" s="86"/>
      <c r="M1161" s="302"/>
      <c r="N1161" s="83"/>
      <c r="O1161" s="83"/>
      <c r="P1161" s="83"/>
      <c r="Q1161" s="86"/>
      <c r="R1161" s="83"/>
      <c r="S1161" s="83"/>
      <c r="T1161" s="70"/>
      <c r="U1161" s="86"/>
      <c r="V1161" s="70"/>
      <c r="W1161" s="86"/>
      <c r="X1161" s="126"/>
      <c r="Y1161" s="208"/>
      <c r="Z1161" s="126"/>
      <c r="AA1161" s="208"/>
      <c r="AB1161" s="126"/>
      <c r="AC1161" s="208"/>
      <c r="AD1161" s="209"/>
      <c r="AE1161" s="210"/>
      <c r="AF1161" s="209"/>
      <c r="AG1161" s="210"/>
      <c r="AH1161" s="209"/>
      <c r="AI1161" s="210"/>
      <c r="AJ1161" s="209"/>
      <c r="AK1161" s="210"/>
      <c r="AL1161" s="209"/>
      <c r="AM1161" s="211"/>
      <c r="AN1161" s="209"/>
      <c r="AO1161" s="212"/>
      <c r="AP1161" s="213"/>
      <c r="AQ1161" s="213"/>
      <c r="AR1161" s="209"/>
      <c r="AS1161" s="301"/>
      <c r="AT1161" s="301"/>
      <c r="AU1161" s="209"/>
      <c r="AV1161" s="301"/>
      <c r="AW1161" s="210"/>
      <c r="AX1161" s="301"/>
      <c r="AY1161" s="214"/>
      <c r="AZ1161" s="211"/>
      <c r="BA1161" s="212"/>
      <c r="BB1161" s="212"/>
      <c r="BC1161" s="213"/>
      <c r="BD1161" s="209"/>
      <c r="BE1161" s="301"/>
      <c r="BF1161" s="301"/>
      <c r="BG1161" s="209"/>
      <c r="BH1161" s="301"/>
      <c r="BI1161" s="210"/>
      <c r="BJ1161" s="214"/>
      <c r="BK1161" s="212"/>
      <c r="BL1161" s="215"/>
      <c r="BM1161" s="216"/>
      <c r="BN1161" s="215"/>
      <c r="BO1161" s="215"/>
      <c r="BP1161" s="217"/>
      <c r="BQ1161" s="218"/>
      <c r="BR1161" s="219"/>
      <c r="BS1161" s="218"/>
      <c r="BT1161" s="218"/>
      <c r="BU1161" s="218"/>
      <c r="BV1161" s="220"/>
    </row>
    <row r="1162" spans="1:74" x14ac:dyDescent="0.8">
      <c r="A1162" s="64"/>
      <c r="B1162" s="64"/>
      <c r="C1162" s="59"/>
      <c r="F1162" s="70"/>
      <c r="G1162" s="86"/>
      <c r="H1162" s="70"/>
      <c r="I1162" s="86"/>
      <c r="J1162" s="70"/>
      <c r="K1162" s="86"/>
      <c r="M1162" s="302"/>
      <c r="N1162" s="83"/>
      <c r="O1162" s="83"/>
      <c r="P1162" s="83"/>
      <c r="Q1162" s="86"/>
      <c r="R1162" s="83"/>
      <c r="S1162" s="83"/>
      <c r="T1162" s="70"/>
      <c r="U1162" s="86"/>
      <c r="V1162" s="70"/>
      <c r="W1162" s="86"/>
      <c r="X1162" s="126"/>
      <c r="Y1162" s="208"/>
      <c r="Z1162" s="126"/>
      <c r="AA1162" s="208"/>
      <c r="AB1162" s="126"/>
      <c r="AC1162" s="208"/>
      <c r="AD1162" s="209"/>
      <c r="AE1162" s="210"/>
      <c r="AF1162" s="209"/>
      <c r="AG1162" s="210"/>
      <c r="AH1162" s="209"/>
      <c r="AI1162" s="210"/>
      <c r="AJ1162" s="209"/>
      <c r="AK1162" s="210"/>
      <c r="AL1162" s="209"/>
      <c r="AM1162" s="211"/>
      <c r="AN1162" s="209"/>
      <c r="AO1162" s="212"/>
      <c r="AP1162" s="213"/>
      <c r="AQ1162" s="213"/>
      <c r="AR1162" s="209"/>
      <c r="AS1162" s="301"/>
      <c r="AT1162" s="301"/>
      <c r="AU1162" s="209"/>
      <c r="AV1162" s="301"/>
      <c r="AW1162" s="210"/>
      <c r="AX1162" s="301"/>
      <c r="AY1162" s="214"/>
      <c r="AZ1162" s="211"/>
      <c r="BA1162" s="212"/>
      <c r="BB1162" s="212"/>
      <c r="BC1162" s="213"/>
      <c r="BD1162" s="209"/>
      <c r="BE1162" s="301"/>
      <c r="BF1162" s="301"/>
      <c r="BG1162" s="209"/>
      <c r="BH1162" s="301"/>
      <c r="BI1162" s="210"/>
      <c r="BJ1162" s="214"/>
      <c r="BK1162" s="212"/>
      <c r="BL1162" s="215"/>
      <c r="BM1162" s="216"/>
      <c r="BN1162" s="215"/>
      <c r="BO1162" s="215"/>
      <c r="BP1162" s="217"/>
      <c r="BQ1162" s="218"/>
      <c r="BR1162" s="219"/>
      <c r="BS1162" s="218"/>
      <c r="BT1162" s="218"/>
      <c r="BU1162" s="218"/>
      <c r="BV1162" s="220"/>
    </row>
    <row r="1163" spans="1:74" x14ac:dyDescent="0.8">
      <c r="A1163" s="64"/>
      <c r="B1163" s="64"/>
      <c r="C1163" s="59"/>
      <c r="F1163" s="70"/>
      <c r="G1163" s="86"/>
      <c r="H1163" s="70"/>
      <c r="I1163" s="86"/>
      <c r="J1163" s="70"/>
      <c r="K1163" s="86"/>
      <c r="M1163" s="302"/>
      <c r="N1163" s="83"/>
      <c r="O1163" s="83"/>
      <c r="P1163" s="83"/>
      <c r="Q1163" s="86"/>
      <c r="R1163" s="83"/>
      <c r="S1163" s="83"/>
      <c r="T1163" s="70"/>
      <c r="U1163" s="86"/>
      <c r="V1163" s="70"/>
      <c r="W1163" s="86"/>
      <c r="X1163" s="126"/>
      <c r="Y1163" s="208"/>
      <c r="Z1163" s="126"/>
      <c r="AA1163" s="208"/>
      <c r="AB1163" s="126"/>
      <c r="AC1163" s="208"/>
      <c r="AD1163" s="209"/>
      <c r="AE1163" s="210"/>
      <c r="AF1163" s="209"/>
      <c r="AG1163" s="210"/>
      <c r="AH1163" s="209"/>
      <c r="AI1163" s="210"/>
      <c r="AJ1163" s="209"/>
      <c r="AK1163" s="210"/>
      <c r="AL1163" s="209"/>
      <c r="AM1163" s="211"/>
      <c r="AN1163" s="209"/>
      <c r="AO1163" s="212"/>
      <c r="AP1163" s="213"/>
      <c r="AQ1163" s="213"/>
      <c r="AR1163" s="209"/>
      <c r="AS1163" s="301"/>
      <c r="AT1163" s="301"/>
      <c r="AU1163" s="209"/>
      <c r="AV1163" s="301"/>
      <c r="AW1163" s="210"/>
      <c r="AX1163" s="301"/>
      <c r="AY1163" s="214"/>
      <c r="AZ1163" s="211"/>
      <c r="BA1163" s="212"/>
      <c r="BB1163" s="212"/>
      <c r="BC1163" s="213"/>
      <c r="BD1163" s="209"/>
      <c r="BE1163" s="301"/>
      <c r="BF1163" s="301"/>
      <c r="BG1163" s="209"/>
      <c r="BH1163" s="301"/>
      <c r="BI1163" s="210"/>
      <c r="BJ1163" s="214"/>
      <c r="BK1163" s="212"/>
      <c r="BL1163" s="215"/>
      <c r="BM1163" s="216"/>
      <c r="BN1163" s="215"/>
      <c r="BO1163" s="215"/>
      <c r="BP1163" s="217"/>
      <c r="BQ1163" s="218"/>
      <c r="BR1163" s="219"/>
      <c r="BS1163" s="218"/>
      <c r="BT1163" s="218"/>
      <c r="BU1163" s="218"/>
      <c r="BV1163" s="220"/>
    </row>
    <row r="1164" spans="1:74" x14ac:dyDescent="0.8">
      <c r="A1164" s="64"/>
      <c r="B1164" s="64"/>
      <c r="C1164" s="59"/>
      <c r="F1164" s="70"/>
      <c r="G1164" s="86"/>
      <c r="H1164" s="70"/>
      <c r="I1164" s="86"/>
      <c r="J1164" s="70"/>
      <c r="K1164" s="86"/>
      <c r="M1164" s="302"/>
      <c r="N1164" s="83"/>
      <c r="O1164" s="83"/>
      <c r="P1164" s="83"/>
      <c r="Q1164" s="86"/>
      <c r="R1164" s="83"/>
      <c r="S1164" s="83"/>
      <c r="T1164" s="70"/>
      <c r="U1164" s="86"/>
      <c r="V1164" s="70"/>
      <c r="W1164" s="86"/>
      <c r="X1164" s="126"/>
      <c r="Y1164" s="208"/>
      <c r="Z1164" s="126"/>
      <c r="AA1164" s="208"/>
      <c r="AB1164" s="126"/>
      <c r="AC1164" s="208"/>
      <c r="AD1164" s="209"/>
      <c r="AE1164" s="210"/>
      <c r="AF1164" s="209"/>
      <c r="AG1164" s="210"/>
      <c r="AH1164" s="209"/>
      <c r="AI1164" s="210"/>
      <c r="AJ1164" s="209"/>
      <c r="AK1164" s="210"/>
      <c r="AL1164" s="209"/>
      <c r="AM1164" s="211"/>
      <c r="AN1164" s="209"/>
      <c r="AO1164" s="212"/>
      <c r="AP1164" s="213"/>
      <c r="AQ1164" s="213"/>
      <c r="AR1164" s="209"/>
      <c r="AS1164" s="301"/>
      <c r="AT1164" s="301"/>
      <c r="AU1164" s="209"/>
      <c r="AV1164" s="301"/>
      <c r="AW1164" s="210"/>
      <c r="AX1164" s="301"/>
      <c r="AY1164" s="214"/>
      <c r="AZ1164" s="211"/>
      <c r="BA1164" s="212"/>
      <c r="BB1164" s="212"/>
      <c r="BC1164" s="213"/>
      <c r="BD1164" s="209"/>
      <c r="BE1164" s="301"/>
      <c r="BF1164" s="301"/>
      <c r="BG1164" s="209"/>
      <c r="BH1164" s="301"/>
      <c r="BI1164" s="210"/>
      <c r="BJ1164" s="214"/>
      <c r="BK1164" s="212"/>
      <c r="BL1164" s="221"/>
      <c r="BM1164" s="216"/>
      <c r="BN1164" s="221"/>
      <c r="BO1164" s="221"/>
      <c r="BP1164" s="222"/>
      <c r="BQ1164" s="218"/>
      <c r="BR1164" s="219"/>
      <c r="BS1164" s="218"/>
      <c r="BT1164" s="218"/>
      <c r="BU1164" s="218"/>
      <c r="BV1164" s="220"/>
    </row>
    <row r="1165" spans="1:74" x14ac:dyDescent="0.8">
      <c r="A1165" s="64"/>
      <c r="B1165" s="64"/>
      <c r="C1165" s="59"/>
      <c r="F1165" s="70"/>
      <c r="G1165" s="86"/>
      <c r="H1165" s="70"/>
      <c r="I1165" s="86"/>
      <c r="J1165" s="70"/>
      <c r="K1165" s="86"/>
      <c r="M1165" s="302"/>
      <c r="N1165" s="83"/>
      <c r="O1165" s="83"/>
      <c r="P1165" s="83"/>
      <c r="Q1165" s="86"/>
      <c r="R1165" s="83"/>
      <c r="S1165" s="83"/>
      <c r="T1165" s="70"/>
      <c r="U1165" s="86"/>
      <c r="V1165" s="70"/>
      <c r="W1165" s="86"/>
      <c r="X1165" s="126"/>
      <c r="Y1165" s="208"/>
      <c r="Z1165" s="126"/>
      <c r="AA1165" s="208"/>
      <c r="AB1165" s="126"/>
      <c r="AC1165" s="208"/>
      <c r="AD1165" s="209"/>
      <c r="AE1165" s="210"/>
      <c r="AF1165" s="209"/>
      <c r="AG1165" s="210"/>
      <c r="AH1165" s="209"/>
      <c r="AI1165" s="210"/>
      <c r="AJ1165" s="209"/>
      <c r="AK1165" s="210"/>
      <c r="AL1165" s="209"/>
      <c r="AM1165" s="211"/>
      <c r="AN1165" s="209"/>
      <c r="AO1165" s="212"/>
      <c r="AP1165" s="213"/>
      <c r="AQ1165" s="213"/>
      <c r="AR1165" s="209"/>
      <c r="AS1165" s="301"/>
      <c r="AT1165" s="301"/>
      <c r="AU1165" s="209"/>
      <c r="AV1165" s="301"/>
      <c r="AW1165" s="210"/>
      <c r="AX1165" s="301"/>
      <c r="AY1165" s="214"/>
      <c r="AZ1165" s="211"/>
      <c r="BA1165" s="212"/>
      <c r="BB1165" s="212"/>
      <c r="BC1165" s="213"/>
      <c r="BD1165" s="209"/>
      <c r="BE1165" s="301"/>
      <c r="BF1165" s="301"/>
      <c r="BG1165" s="209"/>
      <c r="BH1165" s="301"/>
      <c r="BI1165" s="210"/>
      <c r="BJ1165" s="214"/>
      <c r="BK1165" s="212"/>
      <c r="BL1165" s="215"/>
      <c r="BM1165" s="216"/>
      <c r="BN1165" s="215"/>
      <c r="BO1165" s="215"/>
      <c r="BP1165" s="217"/>
      <c r="BQ1165" s="218"/>
      <c r="BR1165" s="219"/>
      <c r="BS1165" s="218"/>
      <c r="BT1165" s="218"/>
      <c r="BU1165" s="218"/>
      <c r="BV1165" s="220"/>
    </row>
    <row r="1166" spans="1:74" x14ac:dyDescent="0.8">
      <c r="A1166" s="64"/>
      <c r="B1166" s="64"/>
      <c r="C1166" s="59"/>
      <c r="F1166" s="70"/>
      <c r="G1166" s="86"/>
      <c r="H1166" s="70"/>
      <c r="I1166" s="86"/>
      <c r="J1166" s="70"/>
      <c r="K1166" s="86"/>
      <c r="M1166" s="302"/>
      <c r="N1166" s="83"/>
      <c r="O1166" s="83"/>
      <c r="P1166" s="83"/>
      <c r="Q1166" s="86"/>
      <c r="R1166" s="83"/>
      <c r="S1166" s="83"/>
      <c r="T1166" s="70"/>
      <c r="U1166" s="86"/>
      <c r="V1166" s="70"/>
      <c r="W1166" s="86"/>
      <c r="X1166" s="126"/>
      <c r="Y1166" s="208"/>
      <c r="Z1166" s="126"/>
      <c r="AA1166" s="208"/>
      <c r="AB1166" s="126"/>
      <c r="AC1166" s="208"/>
      <c r="AD1166" s="209"/>
      <c r="AE1166" s="210"/>
      <c r="AF1166" s="209"/>
      <c r="AG1166" s="210"/>
      <c r="AH1166" s="209"/>
      <c r="AI1166" s="210"/>
      <c r="AJ1166" s="209"/>
      <c r="AK1166" s="210"/>
      <c r="AL1166" s="209"/>
      <c r="AM1166" s="211"/>
      <c r="AN1166" s="209"/>
      <c r="AO1166" s="212"/>
      <c r="AP1166" s="213"/>
      <c r="AQ1166" s="213"/>
      <c r="AR1166" s="209"/>
      <c r="AS1166" s="301"/>
      <c r="AT1166" s="301"/>
      <c r="AU1166" s="209"/>
      <c r="AV1166" s="301"/>
      <c r="AW1166" s="210"/>
      <c r="AX1166" s="301"/>
      <c r="AY1166" s="214"/>
      <c r="AZ1166" s="211"/>
      <c r="BA1166" s="212"/>
      <c r="BB1166" s="212"/>
      <c r="BC1166" s="213"/>
      <c r="BD1166" s="209"/>
      <c r="BE1166" s="301"/>
      <c r="BF1166" s="301"/>
      <c r="BG1166" s="209"/>
      <c r="BH1166" s="301"/>
      <c r="BI1166" s="210"/>
      <c r="BJ1166" s="214"/>
      <c r="BK1166" s="212"/>
      <c r="BL1166" s="221"/>
      <c r="BM1166" s="216"/>
      <c r="BN1166" s="221"/>
      <c r="BO1166" s="221"/>
      <c r="BP1166" s="222"/>
      <c r="BQ1166" s="218"/>
      <c r="BR1166" s="219"/>
      <c r="BS1166" s="218"/>
      <c r="BT1166" s="218"/>
      <c r="BU1166" s="218"/>
      <c r="BV1166" s="220"/>
    </row>
    <row r="1167" spans="1:74" x14ac:dyDescent="0.8">
      <c r="A1167" s="64"/>
      <c r="B1167" s="64"/>
      <c r="C1167" s="59"/>
      <c r="F1167" s="70"/>
      <c r="G1167" s="86"/>
      <c r="H1167" s="70"/>
      <c r="I1167" s="86"/>
      <c r="J1167" s="70"/>
      <c r="K1167" s="86"/>
      <c r="M1167" s="302"/>
      <c r="N1167" s="83"/>
      <c r="O1167" s="83"/>
      <c r="P1167" s="83"/>
      <c r="Q1167" s="86"/>
      <c r="R1167" s="83"/>
      <c r="S1167" s="83"/>
      <c r="T1167" s="70"/>
      <c r="U1167" s="86"/>
      <c r="V1167" s="70"/>
      <c r="W1167" s="86"/>
      <c r="X1167" s="126"/>
      <c r="Y1167" s="208"/>
      <c r="Z1167" s="126"/>
      <c r="AA1167" s="208"/>
      <c r="AB1167" s="126"/>
      <c r="AC1167" s="208"/>
      <c r="AD1167" s="209"/>
      <c r="AE1167" s="210"/>
      <c r="AF1167" s="209"/>
      <c r="AG1167" s="210"/>
      <c r="AH1167" s="209"/>
      <c r="AI1167" s="210"/>
      <c r="AJ1167" s="209"/>
      <c r="AK1167" s="210"/>
      <c r="AL1167" s="209"/>
      <c r="AM1167" s="211"/>
      <c r="AN1167" s="209"/>
      <c r="AO1167" s="212"/>
      <c r="AP1167" s="213"/>
      <c r="AQ1167" s="213"/>
      <c r="AR1167" s="209"/>
      <c r="AS1167" s="301"/>
      <c r="AT1167" s="301"/>
      <c r="AU1167" s="209"/>
      <c r="AV1167" s="301"/>
      <c r="AW1167" s="210"/>
      <c r="AX1167" s="301"/>
      <c r="AY1167" s="214"/>
      <c r="AZ1167" s="211"/>
      <c r="BA1167" s="212"/>
      <c r="BB1167" s="212"/>
      <c r="BC1167" s="213"/>
      <c r="BD1167" s="209"/>
      <c r="BE1167" s="301"/>
      <c r="BF1167" s="301"/>
      <c r="BG1167" s="209"/>
      <c r="BH1167" s="301"/>
      <c r="BI1167" s="210"/>
      <c r="BJ1167" s="214"/>
      <c r="BK1167" s="212"/>
      <c r="BL1167" s="215"/>
      <c r="BM1167" s="216"/>
      <c r="BN1167" s="215"/>
      <c r="BO1167" s="215"/>
      <c r="BP1167" s="217"/>
      <c r="BQ1167" s="218"/>
      <c r="BR1167" s="219"/>
      <c r="BS1167" s="218"/>
      <c r="BT1167" s="218"/>
      <c r="BU1167" s="218"/>
      <c r="BV1167" s="220"/>
    </row>
    <row r="1168" spans="1:74" x14ac:dyDescent="0.8">
      <c r="A1168" s="64"/>
      <c r="B1168" s="64"/>
      <c r="C1168" s="59"/>
      <c r="F1168" s="70"/>
      <c r="G1168" s="86"/>
      <c r="H1168" s="70"/>
      <c r="I1168" s="86"/>
      <c r="J1168" s="70"/>
      <c r="K1168" s="86"/>
      <c r="M1168" s="302"/>
      <c r="N1168" s="83"/>
      <c r="O1168" s="83"/>
      <c r="P1168" s="83"/>
      <c r="Q1168" s="86"/>
      <c r="R1168" s="83"/>
      <c r="S1168" s="83"/>
      <c r="T1168" s="70"/>
      <c r="U1168" s="86"/>
      <c r="V1168" s="70"/>
      <c r="W1168" s="86"/>
      <c r="X1168" s="126"/>
      <c r="Y1168" s="208"/>
      <c r="Z1168" s="126"/>
      <c r="AA1168" s="208"/>
      <c r="AB1168" s="126"/>
      <c r="AC1168" s="208"/>
      <c r="AD1168" s="209"/>
      <c r="AE1168" s="210"/>
      <c r="AF1168" s="209"/>
      <c r="AG1168" s="210"/>
      <c r="AH1168" s="209"/>
      <c r="AI1168" s="210"/>
      <c r="AJ1168" s="209"/>
      <c r="AK1168" s="210"/>
      <c r="AL1168" s="209"/>
      <c r="AM1168" s="211"/>
      <c r="AN1168" s="209"/>
      <c r="AO1168" s="212"/>
      <c r="AP1168" s="213"/>
      <c r="AQ1168" s="213"/>
      <c r="AR1168" s="209"/>
      <c r="AS1168" s="301"/>
      <c r="AT1168" s="301"/>
      <c r="AU1168" s="209"/>
      <c r="AV1168" s="301"/>
      <c r="AW1168" s="210"/>
      <c r="AX1168" s="301"/>
      <c r="AY1168" s="214"/>
      <c r="AZ1168" s="211"/>
      <c r="BA1168" s="212"/>
      <c r="BB1168" s="212"/>
      <c r="BC1168" s="213"/>
      <c r="BD1168" s="209"/>
      <c r="BE1168" s="301"/>
      <c r="BF1168" s="301"/>
      <c r="BG1168" s="209"/>
      <c r="BH1168" s="301"/>
      <c r="BI1168" s="210"/>
      <c r="BJ1168" s="214"/>
      <c r="BK1168" s="212"/>
      <c r="BL1168" s="215"/>
      <c r="BM1168" s="216"/>
      <c r="BN1168" s="215"/>
      <c r="BO1168" s="215"/>
      <c r="BP1168" s="217"/>
      <c r="BQ1168" s="218"/>
      <c r="BR1168" s="219"/>
      <c r="BS1168" s="218"/>
      <c r="BT1168" s="218"/>
      <c r="BU1168" s="218"/>
      <c r="BV1168" s="220"/>
    </row>
    <row r="1169" spans="1:74" x14ac:dyDescent="0.8">
      <c r="A1169" s="64"/>
      <c r="B1169" s="64"/>
      <c r="C1169" s="59"/>
      <c r="F1169" s="70"/>
      <c r="G1169" s="86"/>
      <c r="H1169" s="70"/>
      <c r="I1169" s="86"/>
      <c r="J1169" s="70"/>
      <c r="K1169" s="86"/>
      <c r="M1169" s="302"/>
      <c r="N1169" s="83"/>
      <c r="O1169" s="83"/>
      <c r="P1169" s="83"/>
      <c r="Q1169" s="86"/>
      <c r="R1169" s="83"/>
      <c r="S1169" s="83"/>
      <c r="T1169" s="70"/>
      <c r="U1169" s="86"/>
      <c r="V1169" s="70"/>
      <c r="W1169" s="86"/>
      <c r="X1169" s="126"/>
      <c r="Y1169" s="208"/>
      <c r="Z1169" s="126"/>
      <c r="AA1169" s="208"/>
      <c r="AB1169" s="126"/>
      <c r="AC1169" s="208"/>
      <c r="AD1169" s="209"/>
      <c r="AE1169" s="210"/>
      <c r="AF1169" s="209"/>
      <c r="AG1169" s="210"/>
      <c r="AH1169" s="209"/>
      <c r="AI1169" s="210"/>
      <c r="AJ1169" s="209"/>
      <c r="AK1169" s="210"/>
      <c r="AL1169" s="209"/>
      <c r="AM1169" s="211"/>
      <c r="AN1169" s="209"/>
      <c r="AO1169" s="212"/>
      <c r="AP1169" s="213"/>
      <c r="AQ1169" s="213"/>
      <c r="AR1169" s="209"/>
      <c r="AS1169" s="301"/>
      <c r="AT1169" s="301"/>
      <c r="AU1169" s="209"/>
      <c r="AV1169" s="301"/>
      <c r="AW1169" s="210"/>
      <c r="AX1169" s="301"/>
      <c r="AY1169" s="214"/>
      <c r="AZ1169" s="211"/>
      <c r="BA1169" s="212"/>
      <c r="BB1169" s="212"/>
      <c r="BC1169" s="213"/>
      <c r="BD1169" s="209"/>
      <c r="BE1169" s="301"/>
      <c r="BF1169" s="301"/>
      <c r="BG1169" s="209"/>
      <c r="BH1169" s="301"/>
      <c r="BI1169" s="210"/>
      <c r="BJ1169" s="214"/>
      <c r="BK1169" s="212"/>
      <c r="BL1169" s="215"/>
      <c r="BM1169" s="216"/>
      <c r="BN1169" s="215"/>
      <c r="BO1169" s="215"/>
      <c r="BP1169" s="217"/>
      <c r="BQ1169" s="218"/>
      <c r="BR1169" s="219"/>
      <c r="BS1169" s="218"/>
      <c r="BT1169" s="218"/>
      <c r="BU1169" s="218"/>
      <c r="BV1169" s="220"/>
    </row>
    <row r="1170" spans="1:74" x14ac:dyDescent="0.8">
      <c r="A1170" s="64"/>
      <c r="B1170" s="64"/>
      <c r="C1170" s="59"/>
      <c r="F1170" s="70"/>
      <c r="G1170" s="86"/>
      <c r="H1170" s="70"/>
      <c r="I1170" s="86"/>
      <c r="J1170" s="70"/>
      <c r="K1170" s="86"/>
      <c r="M1170" s="302"/>
      <c r="N1170" s="83"/>
      <c r="O1170" s="83"/>
      <c r="P1170" s="83"/>
      <c r="Q1170" s="86"/>
      <c r="R1170" s="83"/>
      <c r="S1170" s="83"/>
      <c r="T1170" s="70"/>
      <c r="U1170" s="86"/>
      <c r="V1170" s="70"/>
      <c r="W1170" s="86"/>
      <c r="X1170" s="126"/>
      <c r="Y1170" s="208"/>
      <c r="Z1170" s="126"/>
      <c r="AA1170" s="208"/>
      <c r="AB1170" s="126"/>
      <c r="AC1170" s="208"/>
      <c r="AD1170" s="209"/>
      <c r="AE1170" s="210"/>
      <c r="AF1170" s="209"/>
      <c r="AG1170" s="210"/>
      <c r="AH1170" s="209"/>
      <c r="AI1170" s="210"/>
      <c r="AJ1170" s="209"/>
      <c r="AK1170" s="210"/>
      <c r="AL1170" s="209"/>
      <c r="AM1170" s="211"/>
      <c r="AN1170" s="209"/>
      <c r="AO1170" s="212"/>
      <c r="AP1170" s="213"/>
      <c r="AQ1170" s="213"/>
      <c r="AR1170" s="209"/>
      <c r="AS1170" s="301"/>
      <c r="AT1170" s="301"/>
      <c r="AU1170" s="209"/>
      <c r="AV1170" s="301"/>
      <c r="AW1170" s="210"/>
      <c r="AX1170" s="301"/>
      <c r="AY1170" s="214"/>
      <c r="AZ1170" s="211"/>
      <c r="BA1170" s="212"/>
      <c r="BB1170" s="212"/>
      <c r="BC1170" s="213"/>
      <c r="BD1170" s="209"/>
      <c r="BE1170" s="301"/>
      <c r="BF1170" s="301"/>
      <c r="BG1170" s="209"/>
      <c r="BH1170" s="301"/>
      <c r="BI1170" s="210"/>
      <c r="BJ1170" s="214"/>
      <c r="BK1170" s="212"/>
      <c r="BL1170" s="215"/>
      <c r="BM1170" s="216"/>
      <c r="BN1170" s="215"/>
      <c r="BO1170" s="215"/>
      <c r="BP1170" s="217"/>
      <c r="BQ1170" s="218"/>
      <c r="BR1170" s="219"/>
      <c r="BS1170" s="218"/>
      <c r="BT1170" s="218"/>
      <c r="BU1170" s="218"/>
      <c r="BV1170" s="220"/>
    </row>
    <row r="1171" spans="1:74" x14ac:dyDescent="0.8">
      <c r="A1171" s="64"/>
      <c r="B1171" s="64"/>
      <c r="C1171" s="59"/>
      <c r="F1171" s="70"/>
      <c r="G1171" s="86"/>
      <c r="H1171" s="70"/>
      <c r="I1171" s="86"/>
      <c r="J1171" s="70"/>
      <c r="K1171" s="86"/>
      <c r="M1171" s="302"/>
      <c r="N1171" s="83"/>
      <c r="O1171" s="83"/>
      <c r="P1171" s="83"/>
      <c r="Q1171" s="86"/>
      <c r="R1171" s="83"/>
      <c r="S1171" s="83"/>
      <c r="T1171" s="70"/>
      <c r="U1171" s="86"/>
      <c r="V1171" s="70"/>
      <c r="W1171" s="86"/>
      <c r="X1171" s="126"/>
      <c r="Y1171" s="208"/>
      <c r="Z1171" s="126"/>
      <c r="AA1171" s="208"/>
      <c r="AB1171" s="126"/>
      <c r="AC1171" s="208"/>
      <c r="AD1171" s="209"/>
      <c r="AE1171" s="210"/>
      <c r="AF1171" s="209"/>
      <c r="AG1171" s="210"/>
      <c r="AH1171" s="209"/>
      <c r="AI1171" s="210"/>
      <c r="AJ1171" s="209"/>
      <c r="AK1171" s="210"/>
      <c r="AL1171" s="209"/>
      <c r="AM1171" s="211"/>
      <c r="AN1171" s="209"/>
      <c r="AO1171" s="212"/>
      <c r="AP1171" s="213"/>
      <c r="AQ1171" s="213"/>
      <c r="AR1171" s="209"/>
      <c r="AS1171" s="301"/>
      <c r="AT1171" s="301"/>
      <c r="AU1171" s="209"/>
      <c r="AV1171" s="301"/>
      <c r="AW1171" s="210"/>
      <c r="AX1171" s="301"/>
      <c r="AY1171" s="214"/>
      <c r="AZ1171" s="211"/>
      <c r="BA1171" s="212"/>
      <c r="BB1171" s="212"/>
      <c r="BC1171" s="213"/>
      <c r="BD1171" s="209"/>
      <c r="BE1171" s="301"/>
      <c r="BF1171" s="301"/>
      <c r="BG1171" s="209"/>
      <c r="BH1171" s="301"/>
      <c r="BI1171" s="210"/>
      <c r="BJ1171" s="214"/>
      <c r="BK1171" s="212"/>
      <c r="BL1171" s="215"/>
      <c r="BM1171" s="216"/>
      <c r="BN1171" s="215"/>
      <c r="BO1171" s="215"/>
      <c r="BP1171" s="217"/>
      <c r="BQ1171" s="218"/>
      <c r="BR1171" s="219"/>
      <c r="BS1171" s="218"/>
      <c r="BT1171" s="218"/>
      <c r="BU1171" s="218"/>
      <c r="BV1171" s="220"/>
    </row>
    <row r="1172" spans="1:74" x14ac:dyDescent="0.8">
      <c r="A1172" s="64"/>
      <c r="B1172" s="64"/>
      <c r="C1172" s="59"/>
      <c r="F1172" s="70"/>
      <c r="G1172" s="86"/>
      <c r="H1172" s="70"/>
      <c r="I1172" s="86"/>
      <c r="J1172" s="70"/>
      <c r="K1172" s="86"/>
      <c r="M1172" s="302"/>
      <c r="N1172" s="83"/>
      <c r="O1172" s="83"/>
      <c r="P1172" s="83"/>
      <c r="Q1172" s="86"/>
      <c r="R1172" s="83"/>
      <c r="S1172" s="83"/>
      <c r="T1172" s="70"/>
      <c r="U1172" s="86"/>
      <c r="V1172" s="70"/>
      <c r="W1172" s="86"/>
      <c r="X1172" s="126"/>
      <c r="Y1172" s="208"/>
      <c r="Z1172" s="126"/>
      <c r="AA1172" s="208"/>
      <c r="AB1172" s="126"/>
      <c r="AC1172" s="208"/>
      <c r="AD1172" s="209"/>
      <c r="AE1172" s="210"/>
      <c r="AF1172" s="209"/>
      <c r="AG1172" s="210"/>
      <c r="AH1172" s="209"/>
      <c r="AI1172" s="210"/>
      <c r="AJ1172" s="209"/>
      <c r="AK1172" s="210"/>
      <c r="AL1172" s="209"/>
      <c r="AM1172" s="211"/>
      <c r="AN1172" s="209"/>
      <c r="AO1172" s="212"/>
      <c r="AP1172" s="213"/>
      <c r="AQ1172" s="213"/>
      <c r="AR1172" s="209"/>
      <c r="AS1172" s="301"/>
      <c r="AT1172" s="301"/>
      <c r="AU1172" s="209"/>
      <c r="AV1172" s="301"/>
      <c r="AW1172" s="210"/>
      <c r="AX1172" s="301"/>
      <c r="AY1172" s="214"/>
      <c r="AZ1172" s="211"/>
      <c r="BA1172" s="212"/>
      <c r="BB1172" s="212"/>
      <c r="BC1172" s="213"/>
      <c r="BD1172" s="209"/>
      <c r="BE1172" s="301"/>
      <c r="BF1172" s="301"/>
      <c r="BG1172" s="209"/>
      <c r="BH1172" s="301"/>
      <c r="BI1172" s="210"/>
      <c r="BJ1172" s="214"/>
      <c r="BK1172" s="212"/>
      <c r="BL1172" s="215"/>
      <c r="BM1172" s="216"/>
      <c r="BN1172" s="215"/>
      <c r="BO1172" s="215"/>
      <c r="BP1172" s="217"/>
      <c r="BQ1172" s="218"/>
      <c r="BR1172" s="219"/>
      <c r="BS1172" s="218"/>
      <c r="BT1172" s="218"/>
      <c r="BU1172" s="218"/>
      <c r="BV1172" s="220"/>
    </row>
    <row r="1173" spans="1:74" x14ac:dyDescent="0.8">
      <c r="A1173" s="64"/>
      <c r="B1173" s="64"/>
      <c r="C1173" s="59"/>
      <c r="F1173" s="70"/>
      <c r="G1173" s="86"/>
      <c r="H1173" s="70"/>
      <c r="I1173" s="86"/>
      <c r="J1173" s="70"/>
      <c r="K1173" s="86"/>
      <c r="M1173" s="302"/>
      <c r="N1173" s="83"/>
      <c r="O1173" s="83"/>
      <c r="P1173" s="83"/>
      <c r="Q1173" s="86"/>
      <c r="R1173" s="83"/>
      <c r="S1173" s="83"/>
      <c r="T1173" s="70"/>
      <c r="U1173" s="86"/>
      <c r="V1173" s="70"/>
      <c r="W1173" s="86"/>
      <c r="X1173" s="126"/>
      <c r="Y1173" s="208"/>
      <c r="Z1173" s="126"/>
      <c r="AA1173" s="208"/>
      <c r="AB1173" s="126"/>
      <c r="AC1173" s="208"/>
      <c r="AD1173" s="209"/>
      <c r="AE1173" s="210"/>
      <c r="AF1173" s="209"/>
      <c r="AG1173" s="210"/>
      <c r="AH1173" s="209"/>
      <c r="AI1173" s="210"/>
      <c r="AJ1173" s="209"/>
      <c r="AK1173" s="210"/>
      <c r="AL1173" s="209"/>
      <c r="AM1173" s="211"/>
      <c r="AN1173" s="209"/>
      <c r="AO1173" s="212"/>
      <c r="AP1173" s="213"/>
      <c r="AQ1173" s="213"/>
      <c r="AR1173" s="209"/>
      <c r="AS1173" s="301"/>
      <c r="AT1173" s="301"/>
      <c r="AU1173" s="209"/>
      <c r="AV1173" s="301"/>
      <c r="AW1173" s="210"/>
      <c r="AX1173" s="301"/>
      <c r="AY1173" s="214"/>
      <c r="AZ1173" s="211"/>
      <c r="BA1173" s="212"/>
      <c r="BB1173" s="212"/>
      <c r="BC1173" s="213"/>
      <c r="BD1173" s="209"/>
      <c r="BE1173" s="301"/>
      <c r="BF1173" s="301"/>
      <c r="BG1173" s="209"/>
      <c r="BH1173" s="301"/>
      <c r="BI1173" s="210"/>
      <c r="BJ1173" s="214"/>
      <c r="BK1173" s="212"/>
      <c r="BL1173" s="215"/>
      <c r="BM1173" s="216"/>
      <c r="BN1173" s="215"/>
      <c r="BO1173" s="215"/>
      <c r="BP1173" s="217"/>
      <c r="BQ1173" s="218"/>
      <c r="BR1173" s="219"/>
      <c r="BS1173" s="218"/>
      <c r="BT1173" s="218"/>
      <c r="BU1173" s="218"/>
      <c r="BV1173" s="220"/>
    </row>
    <row r="1174" spans="1:74" x14ac:dyDescent="0.8">
      <c r="A1174" s="64"/>
      <c r="B1174" s="64"/>
      <c r="C1174" s="59"/>
      <c r="F1174" s="70"/>
      <c r="G1174" s="86"/>
      <c r="H1174" s="70"/>
      <c r="I1174" s="86"/>
      <c r="J1174" s="70"/>
      <c r="K1174" s="86"/>
      <c r="M1174" s="302"/>
      <c r="N1174" s="83"/>
      <c r="O1174" s="83"/>
      <c r="P1174" s="83"/>
      <c r="Q1174" s="86"/>
      <c r="R1174" s="83"/>
      <c r="S1174" s="83"/>
      <c r="T1174" s="70"/>
      <c r="U1174" s="86"/>
      <c r="V1174" s="70"/>
      <c r="W1174" s="86"/>
      <c r="X1174" s="126"/>
      <c r="Y1174" s="208"/>
      <c r="Z1174" s="126"/>
      <c r="AA1174" s="208"/>
      <c r="AB1174" s="126"/>
      <c r="AC1174" s="208"/>
      <c r="AD1174" s="209"/>
      <c r="AE1174" s="210"/>
      <c r="AF1174" s="209"/>
      <c r="AG1174" s="210"/>
      <c r="AH1174" s="209"/>
      <c r="AI1174" s="210"/>
      <c r="AJ1174" s="209"/>
      <c r="AK1174" s="210"/>
      <c r="AL1174" s="209"/>
      <c r="AM1174" s="211"/>
      <c r="AN1174" s="209"/>
      <c r="AO1174" s="212"/>
      <c r="AP1174" s="213"/>
      <c r="AQ1174" s="213"/>
      <c r="AR1174" s="209"/>
      <c r="AS1174" s="301"/>
      <c r="AT1174" s="301"/>
      <c r="AU1174" s="209"/>
      <c r="AV1174" s="301"/>
      <c r="AW1174" s="210"/>
      <c r="AX1174" s="301"/>
      <c r="AY1174" s="214"/>
      <c r="AZ1174" s="211"/>
      <c r="BA1174" s="212"/>
      <c r="BB1174" s="212"/>
      <c r="BC1174" s="213"/>
      <c r="BD1174" s="209"/>
      <c r="BE1174" s="301"/>
      <c r="BF1174" s="301"/>
      <c r="BG1174" s="209"/>
      <c r="BH1174" s="301"/>
      <c r="BI1174" s="210"/>
      <c r="BJ1174" s="214"/>
      <c r="BK1174" s="212"/>
      <c r="BL1174" s="215"/>
      <c r="BM1174" s="216"/>
      <c r="BN1174" s="215"/>
      <c r="BO1174" s="215"/>
      <c r="BP1174" s="217"/>
      <c r="BQ1174" s="218"/>
      <c r="BR1174" s="219"/>
      <c r="BS1174" s="218"/>
      <c r="BT1174" s="218"/>
      <c r="BU1174" s="218"/>
      <c r="BV1174" s="220"/>
    </row>
    <row r="1175" spans="1:74" x14ac:dyDescent="0.8">
      <c r="A1175" s="64"/>
      <c r="B1175" s="64"/>
      <c r="C1175" s="59"/>
      <c r="F1175" s="70"/>
      <c r="G1175" s="86"/>
      <c r="H1175" s="70"/>
      <c r="I1175" s="86"/>
      <c r="J1175" s="70"/>
      <c r="K1175" s="86"/>
      <c r="M1175" s="302"/>
      <c r="N1175" s="83"/>
      <c r="O1175" s="83"/>
      <c r="P1175" s="83"/>
      <c r="Q1175" s="86"/>
      <c r="R1175" s="83"/>
      <c r="S1175" s="83"/>
      <c r="T1175" s="70"/>
      <c r="U1175" s="86"/>
      <c r="V1175" s="70"/>
      <c r="W1175" s="86"/>
      <c r="X1175" s="126"/>
      <c r="Y1175" s="208"/>
      <c r="Z1175" s="126"/>
      <c r="AA1175" s="208"/>
      <c r="AB1175" s="126"/>
      <c r="AC1175" s="208"/>
      <c r="AD1175" s="209"/>
      <c r="AE1175" s="210"/>
      <c r="AF1175" s="209"/>
      <c r="AG1175" s="210"/>
      <c r="AH1175" s="209"/>
      <c r="AI1175" s="210"/>
      <c r="AJ1175" s="209"/>
      <c r="AK1175" s="210"/>
      <c r="AL1175" s="209"/>
      <c r="AM1175" s="211"/>
      <c r="AN1175" s="209"/>
      <c r="AO1175" s="212"/>
      <c r="AP1175" s="213"/>
      <c r="AQ1175" s="213"/>
      <c r="AR1175" s="209"/>
      <c r="AS1175" s="301"/>
      <c r="AT1175" s="301"/>
      <c r="AU1175" s="209"/>
      <c r="AV1175" s="301"/>
      <c r="AW1175" s="210"/>
      <c r="AX1175" s="301"/>
      <c r="AY1175" s="214"/>
      <c r="AZ1175" s="211"/>
      <c r="BA1175" s="212"/>
      <c r="BB1175" s="212"/>
      <c r="BC1175" s="213"/>
      <c r="BD1175" s="209"/>
      <c r="BE1175" s="301"/>
      <c r="BF1175" s="301"/>
      <c r="BG1175" s="209"/>
      <c r="BH1175" s="301"/>
      <c r="BI1175" s="210"/>
      <c r="BJ1175" s="214"/>
      <c r="BK1175" s="212"/>
      <c r="BL1175" s="215"/>
      <c r="BM1175" s="216"/>
      <c r="BN1175" s="215"/>
      <c r="BO1175" s="215"/>
      <c r="BP1175" s="217"/>
      <c r="BQ1175" s="218"/>
      <c r="BR1175" s="219"/>
      <c r="BS1175" s="218"/>
      <c r="BT1175" s="218"/>
      <c r="BU1175" s="218"/>
      <c r="BV1175" s="220"/>
    </row>
    <row r="1176" spans="1:74" x14ac:dyDescent="0.8">
      <c r="A1176" s="64"/>
      <c r="B1176" s="64"/>
      <c r="C1176" s="59"/>
      <c r="F1176" s="70"/>
      <c r="G1176" s="86"/>
      <c r="H1176" s="70"/>
      <c r="I1176" s="86"/>
      <c r="J1176" s="70"/>
      <c r="K1176" s="86"/>
      <c r="M1176" s="302"/>
      <c r="N1176" s="83"/>
      <c r="O1176" s="83"/>
      <c r="P1176" s="83"/>
      <c r="Q1176" s="86"/>
      <c r="R1176" s="83"/>
      <c r="S1176" s="83"/>
      <c r="T1176" s="70"/>
      <c r="U1176" s="86"/>
      <c r="V1176" s="70"/>
      <c r="W1176" s="86"/>
      <c r="X1176" s="126"/>
      <c r="Y1176" s="208"/>
      <c r="Z1176" s="126"/>
      <c r="AA1176" s="208"/>
      <c r="AB1176" s="126"/>
      <c r="AC1176" s="208"/>
      <c r="AD1176" s="209"/>
      <c r="AE1176" s="210"/>
      <c r="AF1176" s="209"/>
      <c r="AG1176" s="210"/>
      <c r="AH1176" s="209"/>
      <c r="AI1176" s="210"/>
      <c r="AJ1176" s="209"/>
      <c r="AK1176" s="210"/>
      <c r="AL1176" s="209"/>
      <c r="AM1176" s="211"/>
      <c r="AN1176" s="209"/>
      <c r="AO1176" s="212"/>
      <c r="AP1176" s="213"/>
      <c r="AQ1176" s="213"/>
      <c r="AR1176" s="209"/>
      <c r="AS1176" s="301"/>
      <c r="AT1176" s="301"/>
      <c r="AU1176" s="209"/>
      <c r="AV1176" s="301"/>
      <c r="AW1176" s="210"/>
      <c r="AX1176" s="301"/>
      <c r="AY1176" s="214"/>
      <c r="AZ1176" s="211"/>
      <c r="BA1176" s="212"/>
      <c r="BB1176" s="212"/>
      <c r="BC1176" s="213"/>
      <c r="BD1176" s="209"/>
      <c r="BE1176" s="301"/>
      <c r="BF1176" s="301"/>
      <c r="BG1176" s="209"/>
      <c r="BH1176" s="301"/>
      <c r="BI1176" s="210"/>
      <c r="BJ1176" s="214"/>
      <c r="BK1176" s="212"/>
      <c r="BL1176" s="215"/>
      <c r="BM1176" s="216"/>
      <c r="BN1176" s="215"/>
      <c r="BO1176" s="215"/>
      <c r="BP1176" s="217"/>
      <c r="BQ1176" s="218"/>
      <c r="BR1176" s="219"/>
      <c r="BS1176" s="218"/>
      <c r="BT1176" s="218"/>
      <c r="BU1176" s="218"/>
      <c r="BV1176" s="220"/>
    </row>
    <row r="1177" spans="1:74" x14ac:dyDescent="0.8">
      <c r="A1177" s="64"/>
      <c r="B1177" s="64"/>
      <c r="C1177" s="59"/>
      <c r="F1177" s="70"/>
      <c r="G1177" s="86"/>
      <c r="H1177" s="70"/>
      <c r="I1177" s="86"/>
      <c r="J1177" s="70"/>
      <c r="K1177" s="86"/>
      <c r="M1177" s="302"/>
      <c r="N1177" s="83"/>
      <c r="O1177" s="83"/>
      <c r="P1177" s="83"/>
      <c r="Q1177" s="86"/>
      <c r="R1177" s="83"/>
      <c r="S1177" s="83"/>
      <c r="T1177" s="70"/>
      <c r="U1177" s="86"/>
      <c r="V1177" s="70"/>
      <c r="W1177" s="86"/>
      <c r="X1177" s="126"/>
      <c r="Y1177" s="208"/>
      <c r="Z1177" s="126"/>
      <c r="AA1177" s="208"/>
      <c r="AB1177" s="126"/>
      <c r="AC1177" s="208"/>
      <c r="AD1177" s="209"/>
      <c r="AE1177" s="210"/>
      <c r="AF1177" s="209"/>
      <c r="AG1177" s="210"/>
      <c r="AH1177" s="209"/>
      <c r="AI1177" s="210"/>
      <c r="AJ1177" s="209"/>
      <c r="AK1177" s="210"/>
      <c r="AL1177" s="209"/>
      <c r="AM1177" s="211"/>
      <c r="AN1177" s="209"/>
      <c r="AO1177" s="212"/>
      <c r="AP1177" s="213"/>
      <c r="AQ1177" s="213"/>
      <c r="AR1177" s="209"/>
      <c r="AS1177" s="301"/>
      <c r="AT1177" s="301"/>
      <c r="AU1177" s="209"/>
      <c r="AV1177" s="301"/>
      <c r="AW1177" s="210"/>
      <c r="AX1177" s="301"/>
      <c r="AY1177" s="214"/>
      <c r="AZ1177" s="211"/>
      <c r="BA1177" s="212"/>
      <c r="BB1177" s="212"/>
      <c r="BC1177" s="213"/>
      <c r="BD1177" s="209"/>
      <c r="BE1177" s="301"/>
      <c r="BF1177" s="301"/>
      <c r="BG1177" s="209"/>
      <c r="BH1177" s="301"/>
      <c r="BI1177" s="210"/>
      <c r="BJ1177" s="214"/>
      <c r="BK1177" s="212"/>
      <c r="BL1177" s="215"/>
      <c r="BM1177" s="216"/>
      <c r="BN1177" s="215"/>
      <c r="BO1177" s="215"/>
      <c r="BP1177" s="217"/>
      <c r="BQ1177" s="218"/>
      <c r="BR1177" s="219"/>
      <c r="BS1177" s="218"/>
      <c r="BT1177" s="218"/>
      <c r="BU1177" s="218"/>
      <c r="BV1177" s="220"/>
    </row>
    <row r="1178" spans="1:74" x14ac:dyDescent="0.8">
      <c r="A1178" s="64"/>
      <c r="B1178" s="64"/>
      <c r="C1178" s="59"/>
      <c r="F1178" s="70"/>
      <c r="G1178" s="86"/>
      <c r="H1178" s="70"/>
      <c r="I1178" s="86"/>
      <c r="J1178" s="70"/>
      <c r="K1178" s="86"/>
      <c r="M1178" s="302"/>
      <c r="N1178" s="83"/>
      <c r="O1178" s="83"/>
      <c r="P1178" s="83"/>
      <c r="Q1178" s="86"/>
      <c r="R1178" s="83"/>
      <c r="S1178" s="83"/>
      <c r="T1178" s="70"/>
      <c r="U1178" s="86"/>
      <c r="V1178" s="70"/>
      <c r="W1178" s="86"/>
      <c r="X1178" s="126"/>
      <c r="Y1178" s="208"/>
      <c r="Z1178" s="126"/>
      <c r="AA1178" s="208"/>
      <c r="AB1178" s="126"/>
      <c r="AC1178" s="208"/>
      <c r="AD1178" s="209"/>
      <c r="AE1178" s="210"/>
      <c r="AF1178" s="209"/>
      <c r="AG1178" s="210"/>
      <c r="AH1178" s="209"/>
      <c r="AI1178" s="210"/>
      <c r="AJ1178" s="209"/>
      <c r="AK1178" s="210"/>
      <c r="AL1178" s="209"/>
      <c r="AM1178" s="211"/>
      <c r="AN1178" s="209"/>
      <c r="AO1178" s="212"/>
      <c r="AP1178" s="213"/>
      <c r="AQ1178" s="213"/>
      <c r="AR1178" s="209"/>
      <c r="AS1178" s="301"/>
      <c r="AT1178" s="301"/>
      <c r="AU1178" s="209"/>
      <c r="AV1178" s="301"/>
      <c r="AW1178" s="210"/>
      <c r="AX1178" s="301"/>
      <c r="AY1178" s="214"/>
      <c r="AZ1178" s="211"/>
      <c r="BA1178" s="212"/>
      <c r="BB1178" s="212"/>
      <c r="BC1178" s="213"/>
      <c r="BD1178" s="209"/>
      <c r="BE1178" s="301"/>
      <c r="BF1178" s="301"/>
      <c r="BG1178" s="209"/>
      <c r="BH1178" s="301"/>
      <c r="BI1178" s="210"/>
      <c r="BJ1178" s="214"/>
      <c r="BK1178" s="212"/>
      <c r="BL1178" s="215"/>
      <c r="BM1178" s="216"/>
      <c r="BN1178" s="215"/>
      <c r="BO1178" s="215"/>
      <c r="BP1178" s="217"/>
      <c r="BQ1178" s="218"/>
      <c r="BR1178" s="219"/>
      <c r="BS1178" s="218"/>
      <c r="BT1178" s="218"/>
      <c r="BU1178" s="218"/>
      <c r="BV1178" s="220"/>
    </row>
    <row r="1179" spans="1:74" x14ac:dyDescent="0.8">
      <c r="A1179" s="64"/>
      <c r="B1179" s="64"/>
      <c r="C1179" s="59"/>
      <c r="F1179" s="70"/>
      <c r="G1179" s="86"/>
      <c r="H1179" s="70"/>
      <c r="I1179" s="86"/>
      <c r="J1179" s="70"/>
      <c r="K1179" s="86"/>
      <c r="M1179" s="302"/>
      <c r="N1179" s="83"/>
      <c r="O1179" s="83"/>
      <c r="P1179" s="83"/>
      <c r="Q1179" s="86"/>
      <c r="R1179" s="83"/>
      <c r="S1179" s="83"/>
      <c r="T1179" s="70"/>
      <c r="U1179" s="86"/>
      <c r="V1179" s="70"/>
      <c r="W1179" s="86"/>
      <c r="X1179" s="126"/>
      <c r="Y1179" s="208"/>
      <c r="Z1179" s="126"/>
      <c r="AA1179" s="208"/>
      <c r="AB1179" s="126"/>
      <c r="AC1179" s="208"/>
      <c r="AD1179" s="209"/>
      <c r="AE1179" s="210"/>
      <c r="AF1179" s="209"/>
      <c r="AG1179" s="210"/>
      <c r="AH1179" s="209"/>
      <c r="AI1179" s="210"/>
      <c r="AJ1179" s="209"/>
      <c r="AK1179" s="210"/>
      <c r="AL1179" s="209"/>
      <c r="AM1179" s="211"/>
      <c r="AN1179" s="209"/>
      <c r="AO1179" s="212"/>
      <c r="AP1179" s="213"/>
      <c r="AQ1179" s="213"/>
      <c r="AR1179" s="209"/>
      <c r="AS1179" s="301"/>
      <c r="AT1179" s="301"/>
      <c r="AU1179" s="209"/>
      <c r="AV1179" s="301"/>
      <c r="AW1179" s="210"/>
      <c r="AX1179" s="301"/>
      <c r="AY1179" s="214"/>
      <c r="AZ1179" s="211"/>
      <c r="BA1179" s="212"/>
      <c r="BB1179" s="212"/>
      <c r="BC1179" s="213"/>
      <c r="BD1179" s="209"/>
      <c r="BE1179" s="301"/>
      <c r="BF1179" s="301"/>
      <c r="BG1179" s="209"/>
      <c r="BH1179" s="301"/>
      <c r="BI1179" s="210"/>
      <c r="BJ1179" s="214"/>
      <c r="BK1179" s="212"/>
      <c r="BL1179" s="215"/>
      <c r="BM1179" s="216"/>
      <c r="BN1179" s="215"/>
      <c r="BO1179" s="215"/>
      <c r="BP1179" s="217"/>
      <c r="BQ1179" s="218"/>
      <c r="BR1179" s="219"/>
      <c r="BS1179" s="218"/>
      <c r="BT1179" s="218"/>
      <c r="BU1179" s="218"/>
      <c r="BV1179" s="220"/>
    </row>
    <row r="1180" spans="1:74" x14ac:dyDescent="0.8">
      <c r="A1180" s="64"/>
      <c r="B1180" s="64"/>
      <c r="C1180" s="59"/>
      <c r="F1180" s="70"/>
      <c r="G1180" s="86"/>
      <c r="H1180" s="70"/>
      <c r="I1180" s="86"/>
      <c r="J1180" s="70"/>
      <c r="K1180" s="86"/>
      <c r="M1180" s="302"/>
      <c r="N1180" s="83"/>
      <c r="O1180" s="83"/>
      <c r="P1180" s="83"/>
      <c r="Q1180" s="86"/>
      <c r="R1180" s="83"/>
      <c r="S1180" s="83"/>
      <c r="T1180" s="70"/>
      <c r="U1180" s="86"/>
      <c r="V1180" s="70"/>
      <c r="W1180" s="86"/>
      <c r="X1180" s="126"/>
      <c r="Y1180" s="208"/>
      <c r="Z1180" s="126"/>
      <c r="AA1180" s="208"/>
      <c r="AB1180" s="126"/>
      <c r="AC1180" s="208"/>
      <c r="AD1180" s="209"/>
      <c r="AE1180" s="210"/>
      <c r="AF1180" s="209"/>
      <c r="AG1180" s="210"/>
      <c r="AH1180" s="209"/>
      <c r="AI1180" s="210"/>
      <c r="AJ1180" s="209"/>
      <c r="AK1180" s="210"/>
      <c r="AL1180" s="209"/>
      <c r="AM1180" s="211"/>
      <c r="AN1180" s="209"/>
      <c r="AO1180" s="212"/>
      <c r="AP1180" s="213"/>
      <c r="AQ1180" s="213"/>
      <c r="AR1180" s="209"/>
      <c r="AS1180" s="301"/>
      <c r="AT1180" s="301"/>
      <c r="AU1180" s="209"/>
      <c r="AV1180" s="301"/>
      <c r="AW1180" s="210"/>
      <c r="AX1180" s="301"/>
      <c r="AY1180" s="214"/>
      <c r="AZ1180" s="211"/>
      <c r="BA1180" s="212"/>
      <c r="BB1180" s="212"/>
      <c r="BC1180" s="213"/>
      <c r="BD1180" s="209"/>
      <c r="BE1180" s="301"/>
      <c r="BF1180" s="301"/>
      <c r="BG1180" s="209"/>
      <c r="BH1180" s="301"/>
      <c r="BI1180" s="210"/>
      <c r="BJ1180" s="214"/>
      <c r="BK1180" s="212"/>
      <c r="BL1180" s="215"/>
      <c r="BM1180" s="216"/>
      <c r="BN1180" s="215"/>
      <c r="BO1180" s="215"/>
      <c r="BP1180" s="217"/>
      <c r="BQ1180" s="218"/>
      <c r="BR1180" s="219"/>
      <c r="BS1180" s="218"/>
      <c r="BT1180" s="218"/>
      <c r="BU1180" s="218"/>
      <c r="BV1180" s="220"/>
    </row>
    <row r="1181" spans="1:74" x14ac:dyDescent="0.8">
      <c r="A1181" s="64"/>
      <c r="B1181" s="64"/>
      <c r="C1181" s="59"/>
      <c r="F1181" s="70"/>
      <c r="G1181" s="86"/>
      <c r="H1181" s="70"/>
      <c r="I1181" s="86"/>
      <c r="J1181" s="70"/>
      <c r="K1181" s="86"/>
      <c r="M1181" s="302"/>
      <c r="N1181" s="83"/>
      <c r="O1181" s="83"/>
      <c r="P1181" s="83"/>
      <c r="Q1181" s="86"/>
      <c r="R1181" s="83"/>
      <c r="S1181" s="83"/>
      <c r="T1181" s="70"/>
      <c r="U1181" s="86"/>
      <c r="V1181" s="70"/>
      <c r="W1181" s="86"/>
      <c r="X1181" s="126"/>
      <c r="Y1181" s="208"/>
      <c r="Z1181" s="126"/>
      <c r="AA1181" s="208"/>
      <c r="AB1181" s="126"/>
      <c r="AC1181" s="208"/>
      <c r="AD1181" s="209"/>
      <c r="AE1181" s="210"/>
      <c r="AF1181" s="209"/>
      <c r="AG1181" s="210"/>
      <c r="AH1181" s="209"/>
      <c r="AI1181" s="210"/>
      <c r="AJ1181" s="209"/>
      <c r="AK1181" s="210"/>
      <c r="AL1181" s="209"/>
      <c r="AM1181" s="211"/>
      <c r="AN1181" s="209"/>
      <c r="AO1181" s="212"/>
      <c r="AP1181" s="213"/>
      <c r="AQ1181" s="213"/>
      <c r="AR1181" s="209"/>
      <c r="AS1181" s="301"/>
      <c r="AT1181" s="301"/>
      <c r="AU1181" s="209"/>
      <c r="AV1181" s="301"/>
      <c r="AW1181" s="210"/>
      <c r="AX1181" s="301"/>
      <c r="AY1181" s="214"/>
      <c r="AZ1181" s="211"/>
      <c r="BA1181" s="212"/>
      <c r="BB1181" s="212"/>
      <c r="BC1181" s="213"/>
      <c r="BD1181" s="209"/>
      <c r="BE1181" s="301"/>
      <c r="BF1181" s="301"/>
      <c r="BG1181" s="209"/>
      <c r="BH1181" s="301"/>
      <c r="BI1181" s="210"/>
      <c r="BJ1181" s="214"/>
      <c r="BK1181" s="212"/>
      <c r="BL1181" s="215"/>
      <c r="BM1181" s="216"/>
      <c r="BN1181" s="215"/>
      <c r="BO1181" s="215"/>
      <c r="BP1181" s="217"/>
      <c r="BQ1181" s="218"/>
      <c r="BR1181" s="219"/>
      <c r="BS1181" s="218"/>
      <c r="BT1181" s="218"/>
      <c r="BU1181" s="218"/>
      <c r="BV1181" s="220"/>
    </row>
    <row r="1182" spans="1:74" x14ac:dyDescent="0.8">
      <c r="A1182" s="64"/>
      <c r="B1182" s="64"/>
      <c r="C1182" s="59"/>
      <c r="F1182" s="70"/>
      <c r="G1182" s="86"/>
      <c r="H1182" s="70"/>
      <c r="I1182" s="86"/>
      <c r="J1182" s="70"/>
      <c r="K1182" s="86"/>
      <c r="M1182" s="302"/>
      <c r="N1182" s="83"/>
      <c r="O1182" s="83"/>
      <c r="P1182" s="83"/>
      <c r="Q1182" s="86"/>
      <c r="R1182" s="83"/>
      <c r="S1182" s="83"/>
      <c r="T1182" s="70"/>
      <c r="U1182" s="86"/>
      <c r="V1182" s="70"/>
      <c r="W1182" s="86"/>
      <c r="X1182" s="126"/>
      <c r="Y1182" s="208"/>
      <c r="Z1182" s="126"/>
      <c r="AA1182" s="208"/>
      <c r="AB1182" s="126"/>
      <c r="AC1182" s="208"/>
      <c r="AD1182" s="209"/>
      <c r="AE1182" s="210"/>
      <c r="AF1182" s="209"/>
      <c r="AG1182" s="210"/>
      <c r="AH1182" s="209"/>
      <c r="AI1182" s="210"/>
      <c r="AJ1182" s="209"/>
      <c r="AK1182" s="210"/>
      <c r="AL1182" s="209"/>
      <c r="AM1182" s="211"/>
      <c r="AN1182" s="209"/>
      <c r="AO1182" s="212"/>
      <c r="AP1182" s="213"/>
      <c r="AQ1182" s="213"/>
      <c r="AR1182" s="209"/>
      <c r="AS1182" s="301"/>
      <c r="AT1182" s="301"/>
      <c r="AU1182" s="209"/>
      <c r="AV1182" s="301"/>
      <c r="AW1182" s="210"/>
      <c r="AX1182" s="301"/>
      <c r="AY1182" s="214"/>
      <c r="AZ1182" s="211"/>
      <c r="BA1182" s="212"/>
      <c r="BB1182" s="212"/>
      <c r="BC1182" s="213"/>
      <c r="BD1182" s="209"/>
      <c r="BE1182" s="301"/>
      <c r="BF1182" s="301"/>
      <c r="BG1182" s="209"/>
      <c r="BH1182" s="301"/>
      <c r="BI1182" s="210"/>
      <c r="BJ1182" s="214"/>
      <c r="BK1182" s="212"/>
      <c r="BL1182" s="215"/>
      <c r="BM1182" s="216"/>
      <c r="BN1182" s="215"/>
      <c r="BO1182" s="215"/>
      <c r="BP1182" s="217"/>
      <c r="BQ1182" s="218"/>
      <c r="BR1182" s="219"/>
      <c r="BS1182" s="218"/>
      <c r="BT1182" s="218"/>
      <c r="BU1182" s="218"/>
      <c r="BV1182" s="220"/>
    </row>
    <row r="1183" spans="1:74" x14ac:dyDescent="0.8">
      <c r="A1183" s="64"/>
      <c r="B1183" s="64"/>
      <c r="C1183" s="59"/>
      <c r="F1183" s="70"/>
      <c r="G1183" s="86"/>
      <c r="H1183" s="70"/>
      <c r="I1183" s="86"/>
      <c r="J1183" s="70"/>
      <c r="K1183" s="86"/>
      <c r="M1183" s="302"/>
      <c r="N1183" s="83"/>
      <c r="O1183" s="83"/>
      <c r="P1183" s="83"/>
      <c r="Q1183" s="86"/>
      <c r="R1183" s="83"/>
      <c r="S1183" s="83"/>
      <c r="T1183" s="70"/>
      <c r="U1183" s="86"/>
      <c r="V1183" s="70"/>
      <c r="W1183" s="86"/>
      <c r="X1183" s="126"/>
      <c r="Y1183" s="208"/>
      <c r="Z1183" s="126"/>
      <c r="AA1183" s="208"/>
      <c r="AB1183" s="126"/>
      <c r="AC1183" s="208"/>
      <c r="AD1183" s="209"/>
      <c r="AE1183" s="210"/>
      <c r="AF1183" s="209"/>
      <c r="AG1183" s="210"/>
      <c r="AH1183" s="209"/>
      <c r="AI1183" s="210"/>
      <c r="AJ1183" s="209"/>
      <c r="AK1183" s="210"/>
      <c r="AL1183" s="209"/>
      <c r="AM1183" s="211"/>
      <c r="AN1183" s="209"/>
      <c r="AO1183" s="212"/>
      <c r="AP1183" s="213"/>
      <c r="AQ1183" s="213"/>
      <c r="AR1183" s="209"/>
      <c r="AS1183" s="301"/>
      <c r="AT1183" s="301"/>
      <c r="AU1183" s="209"/>
      <c r="AV1183" s="301"/>
      <c r="AW1183" s="210"/>
      <c r="AX1183" s="301"/>
      <c r="AY1183" s="214"/>
      <c r="AZ1183" s="211"/>
      <c r="BA1183" s="212"/>
      <c r="BB1183" s="212"/>
      <c r="BC1183" s="213"/>
      <c r="BD1183" s="209"/>
      <c r="BE1183" s="301"/>
      <c r="BF1183" s="301"/>
      <c r="BG1183" s="209"/>
      <c r="BH1183" s="301"/>
      <c r="BI1183" s="210"/>
      <c r="BJ1183" s="214"/>
      <c r="BK1183" s="212"/>
      <c r="BL1183" s="215"/>
      <c r="BM1183" s="216"/>
      <c r="BN1183" s="215"/>
      <c r="BO1183" s="215"/>
      <c r="BP1183" s="217"/>
      <c r="BQ1183" s="218"/>
      <c r="BR1183" s="219"/>
      <c r="BS1183" s="218"/>
      <c r="BT1183" s="218"/>
      <c r="BU1183" s="218"/>
      <c r="BV1183" s="220"/>
    </row>
    <row r="1184" spans="1:74" x14ac:dyDescent="0.8">
      <c r="A1184" s="64"/>
      <c r="B1184" s="64"/>
      <c r="C1184" s="59"/>
      <c r="F1184" s="70"/>
      <c r="G1184" s="86"/>
      <c r="H1184" s="70"/>
      <c r="I1184" s="86"/>
      <c r="J1184" s="70"/>
      <c r="K1184" s="86"/>
      <c r="M1184" s="302"/>
      <c r="N1184" s="83"/>
      <c r="O1184" s="83"/>
      <c r="P1184" s="83"/>
      <c r="Q1184" s="86"/>
      <c r="R1184" s="83"/>
      <c r="S1184" s="83"/>
      <c r="T1184" s="70"/>
      <c r="U1184" s="86"/>
      <c r="V1184" s="70"/>
      <c r="W1184" s="86"/>
      <c r="X1184" s="126"/>
      <c r="Y1184" s="208"/>
      <c r="Z1184" s="126"/>
      <c r="AA1184" s="208"/>
      <c r="AB1184" s="126"/>
      <c r="AC1184" s="208"/>
      <c r="AD1184" s="209"/>
      <c r="AE1184" s="210"/>
      <c r="AF1184" s="209"/>
      <c r="AG1184" s="210"/>
      <c r="AH1184" s="209"/>
      <c r="AI1184" s="210"/>
      <c r="AJ1184" s="209"/>
      <c r="AK1184" s="210"/>
      <c r="AL1184" s="209"/>
      <c r="AM1184" s="211"/>
      <c r="AN1184" s="209"/>
      <c r="AO1184" s="212"/>
      <c r="AP1184" s="213"/>
      <c r="AQ1184" s="213"/>
      <c r="AR1184" s="209"/>
      <c r="AS1184" s="301"/>
      <c r="AT1184" s="301"/>
      <c r="AU1184" s="209"/>
      <c r="AV1184" s="301"/>
      <c r="AW1184" s="210"/>
      <c r="AX1184" s="301"/>
      <c r="AY1184" s="214"/>
      <c r="AZ1184" s="211"/>
      <c r="BA1184" s="212"/>
      <c r="BB1184" s="212"/>
      <c r="BC1184" s="213"/>
      <c r="BD1184" s="209"/>
      <c r="BE1184" s="301"/>
      <c r="BF1184" s="301"/>
      <c r="BG1184" s="209"/>
      <c r="BH1184" s="301"/>
      <c r="BI1184" s="210"/>
      <c r="BJ1184" s="214"/>
      <c r="BK1184" s="212"/>
      <c r="BL1184" s="215"/>
      <c r="BM1184" s="216"/>
      <c r="BN1184" s="215"/>
      <c r="BO1184" s="215"/>
      <c r="BP1184" s="217"/>
      <c r="BQ1184" s="218"/>
      <c r="BR1184" s="219"/>
      <c r="BS1184" s="218"/>
      <c r="BT1184" s="218"/>
      <c r="BU1184" s="218"/>
      <c r="BV1184" s="220"/>
    </row>
    <row r="1185" spans="1:74" x14ac:dyDescent="0.8">
      <c r="A1185" s="64"/>
      <c r="B1185" s="64"/>
      <c r="C1185" s="59"/>
      <c r="F1185" s="70"/>
      <c r="G1185" s="86"/>
      <c r="H1185" s="70"/>
      <c r="I1185" s="86"/>
      <c r="J1185" s="70"/>
      <c r="K1185" s="86"/>
      <c r="M1185" s="302"/>
      <c r="N1185" s="83"/>
      <c r="O1185" s="83"/>
      <c r="P1185" s="83"/>
      <c r="Q1185" s="86"/>
      <c r="R1185" s="83"/>
      <c r="S1185" s="83"/>
      <c r="T1185" s="70"/>
      <c r="U1185" s="86"/>
      <c r="V1185" s="70"/>
      <c r="W1185" s="86"/>
      <c r="X1185" s="126"/>
      <c r="Y1185" s="208"/>
      <c r="Z1185" s="126"/>
      <c r="AA1185" s="208"/>
      <c r="AB1185" s="126"/>
      <c r="AC1185" s="208"/>
      <c r="AD1185" s="209"/>
      <c r="AE1185" s="210"/>
      <c r="AF1185" s="209"/>
      <c r="AG1185" s="210"/>
      <c r="AH1185" s="209"/>
      <c r="AI1185" s="210"/>
      <c r="AJ1185" s="209"/>
      <c r="AK1185" s="210"/>
      <c r="AL1185" s="209"/>
      <c r="AM1185" s="211"/>
      <c r="AN1185" s="209"/>
      <c r="AO1185" s="212"/>
      <c r="AP1185" s="213"/>
      <c r="AQ1185" s="213"/>
      <c r="AR1185" s="209"/>
      <c r="AS1185" s="301"/>
      <c r="AT1185" s="301"/>
      <c r="AU1185" s="209"/>
      <c r="AV1185" s="301"/>
      <c r="AW1185" s="210"/>
      <c r="AX1185" s="301"/>
      <c r="AY1185" s="214"/>
      <c r="AZ1185" s="211"/>
      <c r="BA1185" s="212"/>
      <c r="BB1185" s="212"/>
      <c r="BC1185" s="213"/>
      <c r="BD1185" s="209"/>
      <c r="BE1185" s="301"/>
      <c r="BF1185" s="301"/>
      <c r="BG1185" s="209"/>
      <c r="BH1185" s="301"/>
      <c r="BI1185" s="210"/>
      <c r="BJ1185" s="214"/>
      <c r="BK1185" s="212"/>
      <c r="BL1185" s="215"/>
      <c r="BM1185" s="216"/>
      <c r="BN1185" s="215"/>
      <c r="BO1185" s="215"/>
      <c r="BP1185" s="217"/>
      <c r="BQ1185" s="218"/>
      <c r="BR1185" s="219"/>
      <c r="BS1185" s="218"/>
      <c r="BT1185" s="218"/>
      <c r="BU1185" s="218"/>
      <c r="BV1185" s="220"/>
    </row>
    <row r="1186" spans="1:74" x14ac:dyDescent="0.8">
      <c r="A1186" s="64"/>
      <c r="B1186" s="64"/>
      <c r="C1186" s="59"/>
      <c r="F1186" s="70"/>
      <c r="G1186" s="86"/>
      <c r="H1186" s="70"/>
      <c r="I1186" s="86"/>
      <c r="J1186" s="70"/>
      <c r="K1186" s="86"/>
      <c r="M1186" s="302"/>
      <c r="N1186" s="83"/>
      <c r="O1186" s="83"/>
      <c r="P1186" s="83"/>
      <c r="Q1186" s="86"/>
      <c r="R1186" s="83"/>
      <c r="S1186" s="83"/>
      <c r="T1186" s="70"/>
      <c r="U1186" s="86"/>
      <c r="V1186" s="70"/>
      <c r="W1186" s="86"/>
      <c r="X1186" s="126"/>
      <c r="Y1186" s="208"/>
      <c r="Z1186" s="126"/>
      <c r="AA1186" s="208"/>
      <c r="AB1186" s="126"/>
      <c r="AC1186" s="208"/>
      <c r="AD1186" s="209"/>
      <c r="AE1186" s="210"/>
      <c r="AF1186" s="209"/>
      <c r="AG1186" s="210"/>
      <c r="AH1186" s="209"/>
      <c r="AI1186" s="210"/>
      <c r="AJ1186" s="209"/>
      <c r="AK1186" s="210"/>
      <c r="AL1186" s="209"/>
      <c r="AM1186" s="211"/>
      <c r="AN1186" s="209"/>
      <c r="AO1186" s="212"/>
      <c r="AP1186" s="213"/>
      <c r="AQ1186" s="213"/>
      <c r="AR1186" s="209"/>
      <c r="AS1186" s="301"/>
      <c r="AT1186" s="301"/>
      <c r="AU1186" s="209"/>
      <c r="AV1186" s="301"/>
      <c r="AW1186" s="210"/>
      <c r="AX1186" s="301"/>
      <c r="AY1186" s="214"/>
      <c r="AZ1186" s="211"/>
      <c r="BA1186" s="212"/>
      <c r="BB1186" s="212"/>
      <c r="BC1186" s="213"/>
      <c r="BD1186" s="209"/>
      <c r="BE1186" s="301"/>
      <c r="BF1186" s="301"/>
      <c r="BG1186" s="209"/>
      <c r="BH1186" s="301"/>
      <c r="BI1186" s="210"/>
      <c r="BJ1186" s="214"/>
      <c r="BK1186" s="212"/>
      <c r="BL1186" s="215"/>
      <c r="BM1186" s="216"/>
      <c r="BN1186" s="215"/>
      <c r="BO1186" s="215"/>
      <c r="BP1186" s="217"/>
      <c r="BQ1186" s="218"/>
      <c r="BR1186" s="219"/>
      <c r="BS1186" s="218"/>
      <c r="BT1186" s="218"/>
      <c r="BU1186" s="218"/>
      <c r="BV1186" s="220"/>
    </row>
    <row r="1187" spans="1:74" x14ac:dyDescent="0.8">
      <c r="A1187" s="64"/>
      <c r="B1187" s="64"/>
      <c r="C1187" s="59"/>
      <c r="F1187" s="70"/>
      <c r="G1187" s="86"/>
      <c r="H1187" s="70"/>
      <c r="I1187" s="86"/>
      <c r="J1187" s="70"/>
      <c r="K1187" s="86"/>
      <c r="M1187" s="302"/>
      <c r="N1187" s="83"/>
      <c r="O1187" s="83"/>
      <c r="P1187" s="83"/>
      <c r="Q1187" s="86"/>
      <c r="R1187" s="83"/>
      <c r="S1187" s="83"/>
      <c r="T1187" s="70"/>
      <c r="U1187" s="86"/>
      <c r="V1187" s="70"/>
      <c r="W1187" s="86"/>
      <c r="X1187" s="126"/>
      <c r="Y1187" s="208"/>
      <c r="Z1187" s="126"/>
      <c r="AA1187" s="208"/>
      <c r="AB1187" s="126"/>
      <c r="AC1187" s="208"/>
      <c r="AD1187" s="209"/>
      <c r="AE1187" s="210"/>
      <c r="AF1187" s="209"/>
      <c r="AG1187" s="210"/>
      <c r="AH1187" s="209"/>
      <c r="AI1187" s="210"/>
      <c r="AJ1187" s="209"/>
      <c r="AK1187" s="210"/>
      <c r="AL1187" s="209"/>
      <c r="AM1187" s="211"/>
      <c r="AN1187" s="209"/>
      <c r="AO1187" s="212"/>
      <c r="AP1187" s="213"/>
      <c r="AQ1187" s="213"/>
      <c r="AR1187" s="209"/>
      <c r="AS1187" s="301"/>
      <c r="AT1187" s="301"/>
      <c r="AU1187" s="209"/>
      <c r="AV1187" s="301"/>
      <c r="AW1187" s="210"/>
      <c r="AX1187" s="301"/>
      <c r="AY1187" s="214"/>
      <c r="AZ1187" s="211"/>
      <c r="BA1187" s="212"/>
      <c r="BB1187" s="212"/>
      <c r="BC1187" s="213"/>
      <c r="BD1187" s="209"/>
      <c r="BE1187" s="301"/>
      <c r="BF1187" s="301"/>
      <c r="BG1187" s="209"/>
      <c r="BH1187" s="301"/>
      <c r="BI1187" s="210"/>
      <c r="BJ1187" s="214"/>
      <c r="BK1187" s="212"/>
      <c r="BL1187" s="215"/>
      <c r="BM1187" s="216"/>
      <c r="BN1187" s="215"/>
      <c r="BO1187" s="215"/>
      <c r="BP1187" s="217"/>
      <c r="BQ1187" s="218"/>
      <c r="BR1187" s="219"/>
      <c r="BS1187" s="218"/>
      <c r="BT1187" s="218"/>
      <c r="BU1187" s="218"/>
      <c r="BV1187" s="220"/>
    </row>
    <row r="1188" spans="1:74" x14ac:dyDescent="0.8">
      <c r="A1188" s="64"/>
      <c r="B1188" s="64"/>
      <c r="C1188" s="59"/>
      <c r="F1188" s="70"/>
      <c r="G1188" s="86"/>
      <c r="H1188" s="70"/>
      <c r="I1188" s="86"/>
      <c r="J1188" s="70"/>
      <c r="K1188" s="86"/>
      <c r="M1188" s="302"/>
      <c r="N1188" s="83"/>
      <c r="O1188" s="83"/>
      <c r="P1188" s="83"/>
      <c r="Q1188" s="86"/>
      <c r="R1188" s="83"/>
      <c r="S1188" s="83"/>
      <c r="T1188" s="70"/>
      <c r="U1188" s="86"/>
      <c r="V1188" s="70"/>
      <c r="W1188" s="86"/>
      <c r="X1188" s="126"/>
      <c r="Y1188" s="208"/>
      <c r="Z1188" s="126"/>
      <c r="AA1188" s="208"/>
      <c r="AB1188" s="126"/>
      <c r="AC1188" s="208"/>
      <c r="AD1188" s="209"/>
      <c r="AE1188" s="210"/>
      <c r="AF1188" s="209"/>
      <c r="AG1188" s="210"/>
      <c r="AH1188" s="209"/>
      <c r="AI1188" s="210"/>
      <c r="AJ1188" s="209"/>
      <c r="AK1188" s="210"/>
      <c r="AL1188" s="209"/>
      <c r="AM1188" s="211"/>
      <c r="AN1188" s="209"/>
      <c r="AO1188" s="212"/>
      <c r="AP1188" s="213"/>
      <c r="AQ1188" s="213"/>
      <c r="AR1188" s="209"/>
      <c r="AS1188" s="301"/>
      <c r="AT1188" s="301"/>
      <c r="AU1188" s="209"/>
      <c r="AV1188" s="301"/>
      <c r="AW1188" s="210"/>
      <c r="AX1188" s="301"/>
      <c r="AY1188" s="214"/>
      <c r="AZ1188" s="211"/>
      <c r="BA1188" s="212"/>
      <c r="BB1188" s="212"/>
      <c r="BC1188" s="213"/>
      <c r="BD1188" s="209"/>
      <c r="BE1188" s="301"/>
      <c r="BF1188" s="301"/>
      <c r="BG1188" s="209"/>
      <c r="BH1188" s="301"/>
      <c r="BI1188" s="210"/>
      <c r="BJ1188" s="214"/>
      <c r="BK1188" s="212"/>
      <c r="BL1188" s="215"/>
      <c r="BM1188" s="216"/>
      <c r="BN1188" s="215"/>
      <c r="BO1188" s="215"/>
      <c r="BP1188" s="217"/>
      <c r="BQ1188" s="218"/>
      <c r="BR1188" s="219"/>
      <c r="BS1188" s="218"/>
      <c r="BT1188" s="218"/>
      <c r="BU1188" s="218"/>
      <c r="BV1188" s="220"/>
    </row>
    <row r="1189" spans="1:74" x14ac:dyDescent="0.8">
      <c r="A1189" s="64"/>
      <c r="B1189" s="64"/>
      <c r="C1189" s="59"/>
      <c r="F1189" s="70"/>
      <c r="G1189" s="86"/>
      <c r="H1189" s="70"/>
      <c r="I1189" s="86"/>
      <c r="J1189" s="70"/>
      <c r="K1189" s="86"/>
      <c r="M1189" s="302"/>
      <c r="N1189" s="83"/>
      <c r="O1189" s="83"/>
      <c r="P1189" s="83"/>
      <c r="Q1189" s="86"/>
      <c r="R1189" s="83"/>
      <c r="S1189" s="83"/>
      <c r="T1189" s="70"/>
      <c r="U1189" s="86"/>
      <c r="V1189" s="70"/>
      <c r="W1189" s="86"/>
      <c r="X1189" s="126"/>
      <c r="Y1189" s="208"/>
      <c r="Z1189" s="126"/>
      <c r="AA1189" s="208"/>
      <c r="AB1189" s="126"/>
      <c r="AC1189" s="208"/>
      <c r="AD1189" s="209"/>
      <c r="AE1189" s="210"/>
      <c r="AF1189" s="209"/>
      <c r="AG1189" s="210"/>
      <c r="AH1189" s="209"/>
      <c r="AI1189" s="210"/>
      <c r="AJ1189" s="209"/>
      <c r="AK1189" s="210"/>
      <c r="AL1189" s="209"/>
      <c r="AM1189" s="211"/>
      <c r="AN1189" s="209"/>
      <c r="AO1189" s="212"/>
      <c r="AP1189" s="213"/>
      <c r="AQ1189" s="213"/>
      <c r="AR1189" s="209"/>
      <c r="AS1189" s="301"/>
      <c r="AT1189" s="301"/>
      <c r="AU1189" s="209"/>
      <c r="AV1189" s="301"/>
      <c r="AW1189" s="210"/>
      <c r="AX1189" s="301"/>
      <c r="AY1189" s="214"/>
      <c r="AZ1189" s="211"/>
      <c r="BA1189" s="212"/>
      <c r="BB1189" s="212"/>
      <c r="BC1189" s="213"/>
      <c r="BD1189" s="209"/>
      <c r="BE1189" s="301"/>
      <c r="BF1189" s="301"/>
      <c r="BG1189" s="209"/>
      <c r="BH1189" s="301"/>
      <c r="BI1189" s="210"/>
      <c r="BJ1189" s="214"/>
      <c r="BK1189" s="212"/>
      <c r="BL1189" s="215"/>
      <c r="BM1189" s="216"/>
      <c r="BN1189" s="215"/>
      <c r="BO1189" s="215"/>
      <c r="BP1189" s="217"/>
      <c r="BQ1189" s="218"/>
      <c r="BR1189" s="219"/>
      <c r="BS1189" s="218"/>
      <c r="BT1189" s="218"/>
      <c r="BU1189" s="218"/>
      <c r="BV1189" s="220"/>
    </row>
    <row r="1190" spans="1:74" x14ac:dyDescent="0.8">
      <c r="A1190" s="64"/>
      <c r="B1190" s="64"/>
      <c r="C1190" s="59"/>
      <c r="F1190" s="70"/>
      <c r="G1190" s="86"/>
      <c r="H1190" s="70"/>
      <c r="I1190" s="86"/>
      <c r="J1190" s="70"/>
      <c r="K1190" s="86"/>
      <c r="M1190" s="302"/>
      <c r="N1190" s="83"/>
      <c r="O1190" s="83"/>
      <c r="P1190" s="83"/>
      <c r="Q1190" s="86"/>
      <c r="R1190" s="83"/>
      <c r="S1190" s="83"/>
      <c r="T1190" s="70"/>
      <c r="U1190" s="86"/>
      <c r="V1190" s="70"/>
      <c r="W1190" s="86"/>
      <c r="X1190" s="126"/>
      <c r="Y1190" s="208"/>
      <c r="Z1190" s="126"/>
      <c r="AA1190" s="208"/>
      <c r="AB1190" s="126"/>
      <c r="AC1190" s="208"/>
      <c r="AD1190" s="209"/>
      <c r="AE1190" s="210"/>
      <c r="AF1190" s="209"/>
      <c r="AG1190" s="210"/>
      <c r="AH1190" s="209"/>
      <c r="AI1190" s="210"/>
      <c r="AJ1190" s="209"/>
      <c r="AK1190" s="210"/>
      <c r="AL1190" s="209"/>
      <c r="AM1190" s="211"/>
      <c r="AN1190" s="209"/>
      <c r="AO1190" s="212"/>
      <c r="AP1190" s="213"/>
      <c r="AQ1190" s="213"/>
      <c r="AR1190" s="209"/>
      <c r="AS1190" s="301"/>
      <c r="AT1190" s="301"/>
      <c r="AU1190" s="209"/>
      <c r="AV1190" s="301"/>
      <c r="AW1190" s="210"/>
      <c r="AX1190" s="301"/>
      <c r="AY1190" s="214"/>
      <c r="AZ1190" s="211"/>
      <c r="BA1190" s="212"/>
      <c r="BB1190" s="212"/>
      <c r="BC1190" s="213"/>
      <c r="BD1190" s="209"/>
      <c r="BE1190" s="301"/>
      <c r="BF1190" s="301"/>
      <c r="BG1190" s="209"/>
      <c r="BH1190" s="301"/>
      <c r="BI1190" s="210"/>
      <c r="BJ1190" s="214"/>
      <c r="BK1190" s="212"/>
      <c r="BL1190" s="215"/>
      <c r="BM1190" s="216"/>
      <c r="BN1190" s="215"/>
      <c r="BO1190" s="215"/>
      <c r="BP1190" s="217"/>
      <c r="BQ1190" s="218"/>
      <c r="BR1190" s="219"/>
      <c r="BS1190" s="218"/>
      <c r="BT1190" s="218"/>
      <c r="BU1190" s="218"/>
      <c r="BV1190" s="220"/>
    </row>
    <row r="1191" spans="1:74" x14ac:dyDescent="0.8">
      <c r="A1191" s="64"/>
      <c r="B1191" s="64"/>
      <c r="C1191" s="59"/>
      <c r="F1191" s="70"/>
      <c r="G1191" s="86"/>
      <c r="H1191" s="70"/>
      <c r="I1191" s="86"/>
      <c r="J1191" s="70"/>
      <c r="K1191" s="86"/>
      <c r="M1191" s="302"/>
      <c r="N1191" s="83"/>
      <c r="O1191" s="83"/>
      <c r="P1191" s="83"/>
      <c r="Q1191" s="86"/>
      <c r="R1191" s="83"/>
      <c r="S1191" s="83"/>
      <c r="T1191" s="70"/>
      <c r="U1191" s="86"/>
      <c r="V1191" s="70"/>
      <c r="W1191" s="86"/>
      <c r="X1191" s="126"/>
      <c r="Y1191" s="208"/>
      <c r="Z1191" s="126"/>
      <c r="AA1191" s="208"/>
      <c r="AB1191" s="126"/>
      <c r="AC1191" s="208"/>
      <c r="AD1191" s="209"/>
      <c r="AE1191" s="210"/>
      <c r="AF1191" s="209"/>
      <c r="AG1191" s="210"/>
      <c r="AH1191" s="209"/>
      <c r="AI1191" s="210"/>
      <c r="AJ1191" s="209"/>
      <c r="AK1191" s="210"/>
      <c r="AL1191" s="209"/>
      <c r="AM1191" s="211"/>
      <c r="AN1191" s="209"/>
      <c r="AO1191" s="212"/>
      <c r="AP1191" s="213"/>
      <c r="AQ1191" s="213"/>
      <c r="AR1191" s="209"/>
      <c r="AS1191" s="301"/>
      <c r="AT1191" s="301"/>
      <c r="AU1191" s="209"/>
      <c r="AV1191" s="301"/>
      <c r="AW1191" s="210"/>
      <c r="AX1191" s="301"/>
      <c r="AY1191" s="214"/>
      <c r="AZ1191" s="211"/>
      <c r="BA1191" s="212"/>
      <c r="BB1191" s="212"/>
      <c r="BC1191" s="213"/>
      <c r="BD1191" s="209"/>
      <c r="BE1191" s="301"/>
      <c r="BF1191" s="301"/>
      <c r="BG1191" s="209"/>
      <c r="BH1191" s="301"/>
      <c r="BI1191" s="210"/>
      <c r="BJ1191" s="214"/>
      <c r="BK1191" s="212"/>
      <c r="BL1191" s="221"/>
      <c r="BM1191" s="216"/>
      <c r="BN1191" s="221"/>
      <c r="BO1191" s="221"/>
      <c r="BP1191" s="222"/>
      <c r="BQ1191" s="218"/>
      <c r="BR1191" s="219"/>
      <c r="BS1191" s="218"/>
      <c r="BT1191" s="218"/>
      <c r="BU1191" s="218"/>
      <c r="BV1191" s="220"/>
    </row>
    <row r="1192" spans="1:74" x14ac:dyDescent="0.8">
      <c r="A1192" s="64"/>
      <c r="B1192" s="64"/>
      <c r="C1192" s="59"/>
      <c r="F1192" s="70"/>
      <c r="G1192" s="86"/>
      <c r="H1192" s="70"/>
      <c r="I1192" s="86"/>
      <c r="J1192" s="70"/>
      <c r="K1192" s="86"/>
      <c r="M1192" s="302"/>
      <c r="N1192" s="83"/>
      <c r="O1192" s="83"/>
      <c r="P1192" s="83"/>
      <c r="Q1192" s="86"/>
      <c r="R1192" s="83"/>
      <c r="S1192" s="83"/>
      <c r="T1192" s="70"/>
      <c r="U1192" s="86"/>
      <c r="V1192" s="70"/>
      <c r="W1192" s="86"/>
      <c r="X1192" s="126"/>
      <c r="Y1192" s="208"/>
      <c r="Z1192" s="126"/>
      <c r="AA1192" s="208"/>
      <c r="AB1192" s="126"/>
      <c r="AC1192" s="208"/>
      <c r="AD1192" s="209"/>
      <c r="AE1192" s="210"/>
      <c r="AF1192" s="209"/>
      <c r="AG1192" s="210"/>
      <c r="AH1192" s="209"/>
      <c r="AI1192" s="210"/>
      <c r="AJ1192" s="209"/>
      <c r="AK1192" s="210"/>
      <c r="AL1192" s="209"/>
      <c r="AM1192" s="211"/>
      <c r="AN1192" s="209"/>
      <c r="AO1192" s="212"/>
      <c r="AP1192" s="213"/>
      <c r="AQ1192" s="213"/>
      <c r="AR1192" s="209"/>
      <c r="AS1192" s="301"/>
      <c r="AT1192" s="301"/>
      <c r="AU1192" s="209"/>
      <c r="AV1192" s="301"/>
      <c r="AW1192" s="210"/>
      <c r="AX1192" s="301"/>
      <c r="AY1192" s="214"/>
      <c r="AZ1192" s="211"/>
      <c r="BA1192" s="212"/>
      <c r="BB1192" s="212"/>
      <c r="BC1192" s="213"/>
      <c r="BD1192" s="209"/>
      <c r="BE1192" s="301"/>
      <c r="BF1192" s="301"/>
      <c r="BG1192" s="209"/>
      <c r="BH1192" s="301"/>
      <c r="BI1192" s="210"/>
      <c r="BJ1192" s="214"/>
      <c r="BK1192" s="212"/>
      <c r="BL1192" s="215"/>
      <c r="BM1192" s="216"/>
      <c r="BN1192" s="215"/>
      <c r="BO1192" s="215"/>
      <c r="BP1192" s="217"/>
      <c r="BQ1192" s="218"/>
      <c r="BR1192" s="219"/>
      <c r="BS1192" s="218"/>
      <c r="BT1192" s="218"/>
      <c r="BU1192" s="218"/>
      <c r="BV1192" s="220"/>
    </row>
    <row r="1193" spans="1:74" x14ac:dyDescent="0.8">
      <c r="A1193" s="64"/>
      <c r="B1193" s="64"/>
      <c r="C1193" s="59"/>
      <c r="F1193" s="70"/>
      <c r="G1193" s="86"/>
      <c r="H1193" s="70"/>
      <c r="I1193" s="86"/>
      <c r="J1193" s="70"/>
      <c r="K1193" s="86"/>
      <c r="M1193" s="302"/>
      <c r="N1193" s="83"/>
      <c r="O1193" s="83"/>
      <c r="P1193" s="83"/>
      <c r="Q1193" s="86"/>
      <c r="R1193" s="83"/>
      <c r="S1193" s="83"/>
      <c r="T1193" s="70"/>
      <c r="U1193" s="86"/>
      <c r="V1193" s="70"/>
      <c r="W1193" s="86"/>
      <c r="X1193" s="126"/>
      <c r="Y1193" s="208"/>
      <c r="Z1193" s="126"/>
      <c r="AA1193" s="208"/>
      <c r="AB1193" s="126"/>
      <c r="AC1193" s="208"/>
      <c r="AD1193" s="209"/>
      <c r="AE1193" s="210"/>
      <c r="AF1193" s="209"/>
      <c r="AG1193" s="210"/>
      <c r="AH1193" s="209"/>
      <c r="AI1193" s="210"/>
      <c r="AJ1193" s="209"/>
      <c r="AK1193" s="210"/>
      <c r="AL1193" s="209"/>
      <c r="AM1193" s="211"/>
      <c r="AN1193" s="209"/>
      <c r="AO1193" s="212"/>
      <c r="AP1193" s="213"/>
      <c r="AQ1193" s="213"/>
      <c r="AR1193" s="209"/>
      <c r="AS1193" s="301"/>
      <c r="AT1193" s="301"/>
      <c r="AU1193" s="209"/>
      <c r="AV1193" s="301"/>
      <c r="AW1193" s="210"/>
      <c r="AX1193" s="301"/>
      <c r="AY1193" s="214"/>
      <c r="AZ1193" s="211"/>
      <c r="BA1193" s="212"/>
      <c r="BB1193" s="212"/>
      <c r="BC1193" s="213"/>
      <c r="BD1193" s="209"/>
      <c r="BE1193" s="301"/>
      <c r="BF1193" s="301"/>
      <c r="BG1193" s="209"/>
      <c r="BH1193" s="301"/>
      <c r="BI1193" s="210"/>
      <c r="BJ1193" s="214"/>
      <c r="BK1193" s="212"/>
      <c r="BL1193" s="221"/>
      <c r="BM1193" s="216"/>
      <c r="BN1193" s="221"/>
      <c r="BO1193" s="221"/>
      <c r="BP1193" s="222"/>
      <c r="BQ1193" s="218"/>
      <c r="BR1193" s="219"/>
      <c r="BS1193" s="218"/>
      <c r="BT1193" s="218"/>
      <c r="BU1193" s="218"/>
      <c r="BV1193" s="220"/>
    </row>
    <row r="1194" spans="1:74" x14ac:dyDescent="0.8">
      <c r="A1194" s="64"/>
      <c r="B1194" s="64"/>
      <c r="C1194" s="59"/>
      <c r="F1194" s="70"/>
      <c r="G1194" s="86"/>
      <c r="H1194" s="70"/>
      <c r="I1194" s="86"/>
      <c r="J1194" s="70"/>
      <c r="K1194" s="86"/>
      <c r="M1194" s="302"/>
      <c r="N1194" s="83"/>
      <c r="O1194" s="83"/>
      <c r="P1194" s="83"/>
      <c r="Q1194" s="86"/>
      <c r="R1194" s="83"/>
      <c r="S1194" s="83"/>
      <c r="T1194" s="70"/>
      <c r="U1194" s="86"/>
      <c r="V1194" s="70"/>
      <c r="W1194" s="86"/>
      <c r="X1194" s="126"/>
      <c r="Y1194" s="208"/>
      <c r="Z1194" s="126"/>
      <c r="AA1194" s="208"/>
      <c r="AB1194" s="126"/>
      <c r="AC1194" s="208"/>
      <c r="AD1194" s="209"/>
      <c r="AE1194" s="210"/>
      <c r="AF1194" s="209"/>
      <c r="AG1194" s="210"/>
      <c r="AH1194" s="209"/>
      <c r="AI1194" s="210"/>
      <c r="AJ1194" s="209"/>
      <c r="AK1194" s="210"/>
      <c r="AL1194" s="209"/>
      <c r="AM1194" s="211"/>
      <c r="AN1194" s="209"/>
      <c r="AO1194" s="212"/>
      <c r="AP1194" s="213"/>
      <c r="AQ1194" s="213"/>
      <c r="AR1194" s="209"/>
      <c r="AS1194" s="301"/>
      <c r="AT1194" s="301"/>
      <c r="AU1194" s="209"/>
      <c r="AV1194" s="301"/>
      <c r="AW1194" s="210"/>
      <c r="AX1194" s="301"/>
      <c r="AY1194" s="214"/>
      <c r="AZ1194" s="211"/>
      <c r="BA1194" s="212"/>
      <c r="BB1194" s="212"/>
      <c r="BC1194" s="213"/>
      <c r="BD1194" s="209"/>
      <c r="BE1194" s="301"/>
      <c r="BF1194" s="301"/>
      <c r="BG1194" s="209"/>
      <c r="BH1194" s="301"/>
      <c r="BI1194" s="210"/>
      <c r="BJ1194" s="214"/>
      <c r="BK1194" s="212"/>
      <c r="BL1194" s="215"/>
      <c r="BM1194" s="216"/>
      <c r="BN1194" s="215"/>
      <c r="BO1194" s="215"/>
      <c r="BP1194" s="217"/>
      <c r="BQ1194" s="218"/>
      <c r="BR1194" s="219"/>
      <c r="BS1194" s="218"/>
      <c r="BT1194" s="218"/>
      <c r="BU1194" s="218"/>
      <c r="BV1194" s="220"/>
    </row>
    <row r="1195" spans="1:74" x14ac:dyDescent="0.8">
      <c r="A1195" s="64"/>
      <c r="B1195" s="64"/>
      <c r="C1195" s="59"/>
      <c r="F1195" s="70"/>
      <c r="G1195" s="86"/>
      <c r="H1195" s="70"/>
      <c r="I1195" s="86"/>
      <c r="J1195" s="70"/>
      <c r="K1195" s="86"/>
      <c r="M1195" s="302"/>
      <c r="N1195" s="83"/>
      <c r="O1195" s="83"/>
      <c r="P1195" s="83"/>
      <c r="Q1195" s="86"/>
      <c r="R1195" s="83"/>
      <c r="S1195" s="83"/>
      <c r="T1195" s="70"/>
      <c r="U1195" s="86"/>
      <c r="V1195" s="70"/>
      <c r="W1195" s="86"/>
      <c r="X1195" s="126"/>
      <c r="Y1195" s="208"/>
      <c r="Z1195" s="126"/>
      <c r="AA1195" s="208"/>
      <c r="AB1195" s="126"/>
      <c r="AC1195" s="208"/>
      <c r="AD1195" s="209"/>
      <c r="AE1195" s="210"/>
      <c r="AF1195" s="209"/>
      <c r="AG1195" s="210"/>
      <c r="AH1195" s="209"/>
      <c r="AI1195" s="210"/>
      <c r="AJ1195" s="209"/>
      <c r="AK1195" s="210"/>
      <c r="AL1195" s="209"/>
      <c r="AM1195" s="211"/>
      <c r="AN1195" s="209"/>
      <c r="AO1195" s="212"/>
      <c r="AP1195" s="213"/>
      <c r="AQ1195" s="213"/>
      <c r="AR1195" s="209"/>
      <c r="AS1195" s="301"/>
      <c r="AT1195" s="301"/>
      <c r="AU1195" s="209"/>
      <c r="AV1195" s="301"/>
      <c r="AW1195" s="210"/>
      <c r="AX1195" s="301"/>
      <c r="AY1195" s="214"/>
      <c r="AZ1195" s="211"/>
      <c r="BA1195" s="212"/>
      <c r="BB1195" s="212"/>
      <c r="BC1195" s="213"/>
      <c r="BD1195" s="209"/>
      <c r="BE1195" s="301"/>
      <c r="BF1195" s="301"/>
      <c r="BG1195" s="209"/>
      <c r="BH1195" s="301"/>
      <c r="BI1195" s="210"/>
      <c r="BJ1195" s="214"/>
      <c r="BK1195" s="212"/>
      <c r="BL1195" s="215"/>
      <c r="BM1195" s="216"/>
      <c r="BN1195" s="215"/>
      <c r="BO1195" s="215"/>
      <c r="BP1195" s="217"/>
      <c r="BQ1195" s="218"/>
      <c r="BR1195" s="219"/>
      <c r="BS1195" s="218"/>
      <c r="BT1195" s="218"/>
      <c r="BU1195" s="218"/>
      <c r="BV1195" s="220"/>
    </row>
    <row r="1196" spans="1:74" x14ac:dyDescent="0.8">
      <c r="A1196" s="64"/>
      <c r="B1196" s="64"/>
      <c r="C1196" s="59"/>
      <c r="F1196" s="70"/>
      <c r="G1196" s="86"/>
      <c r="H1196" s="70"/>
      <c r="I1196" s="86"/>
      <c r="J1196" s="70"/>
      <c r="K1196" s="86"/>
      <c r="M1196" s="302"/>
      <c r="N1196" s="83"/>
      <c r="O1196" s="83"/>
      <c r="P1196" s="83"/>
      <c r="Q1196" s="86"/>
      <c r="R1196" s="83"/>
      <c r="S1196" s="83"/>
      <c r="T1196" s="70"/>
      <c r="U1196" s="86"/>
      <c r="V1196" s="70"/>
      <c r="W1196" s="86"/>
      <c r="X1196" s="126"/>
      <c r="Y1196" s="208"/>
      <c r="Z1196" s="126"/>
      <c r="AA1196" s="208"/>
      <c r="AB1196" s="126"/>
      <c r="AC1196" s="208"/>
      <c r="AD1196" s="209"/>
      <c r="AE1196" s="210"/>
      <c r="AF1196" s="209"/>
      <c r="AG1196" s="210"/>
      <c r="AH1196" s="209"/>
      <c r="AI1196" s="210"/>
      <c r="AJ1196" s="209"/>
      <c r="AK1196" s="210"/>
      <c r="AL1196" s="209"/>
      <c r="AM1196" s="211"/>
      <c r="AN1196" s="209"/>
      <c r="AO1196" s="212"/>
      <c r="AP1196" s="213"/>
      <c r="AQ1196" s="213"/>
      <c r="AR1196" s="209"/>
      <c r="AS1196" s="301"/>
      <c r="AT1196" s="301"/>
      <c r="AU1196" s="209"/>
      <c r="AV1196" s="301"/>
      <c r="AW1196" s="210"/>
      <c r="AX1196" s="301"/>
      <c r="AY1196" s="214"/>
      <c r="AZ1196" s="211"/>
      <c r="BA1196" s="212"/>
      <c r="BB1196" s="212"/>
      <c r="BC1196" s="213"/>
      <c r="BD1196" s="209"/>
      <c r="BE1196" s="301"/>
      <c r="BF1196" s="301"/>
      <c r="BG1196" s="209"/>
      <c r="BH1196" s="301"/>
      <c r="BI1196" s="210"/>
      <c r="BJ1196" s="214"/>
      <c r="BK1196" s="212"/>
      <c r="BL1196" s="215"/>
      <c r="BM1196" s="216"/>
      <c r="BN1196" s="215"/>
      <c r="BO1196" s="215"/>
      <c r="BP1196" s="217"/>
      <c r="BQ1196" s="218"/>
      <c r="BR1196" s="219"/>
      <c r="BS1196" s="218"/>
      <c r="BT1196" s="218"/>
      <c r="BU1196" s="218"/>
      <c r="BV1196" s="220"/>
    </row>
    <row r="1197" spans="1:74" x14ac:dyDescent="0.8">
      <c r="A1197" s="64"/>
      <c r="B1197" s="64"/>
      <c r="C1197" s="59"/>
      <c r="F1197" s="70"/>
      <c r="G1197" s="86"/>
      <c r="H1197" s="70"/>
      <c r="I1197" s="86"/>
      <c r="J1197" s="70"/>
      <c r="K1197" s="86"/>
      <c r="M1197" s="302"/>
      <c r="N1197" s="83"/>
      <c r="O1197" s="83"/>
      <c r="P1197" s="83"/>
      <c r="Q1197" s="86"/>
      <c r="R1197" s="83"/>
      <c r="S1197" s="83"/>
      <c r="T1197" s="70"/>
      <c r="U1197" s="86"/>
      <c r="V1197" s="70"/>
      <c r="W1197" s="86"/>
      <c r="X1197" s="126"/>
      <c r="Y1197" s="208"/>
      <c r="Z1197" s="126"/>
      <c r="AA1197" s="208"/>
      <c r="AB1197" s="126"/>
      <c r="AC1197" s="208"/>
      <c r="AD1197" s="209"/>
      <c r="AE1197" s="210"/>
      <c r="AF1197" s="209"/>
      <c r="AG1197" s="210"/>
      <c r="AH1197" s="209"/>
      <c r="AI1197" s="210"/>
      <c r="AJ1197" s="209"/>
      <c r="AK1197" s="210"/>
      <c r="AL1197" s="209"/>
      <c r="AM1197" s="211"/>
      <c r="AN1197" s="209"/>
      <c r="AO1197" s="212"/>
      <c r="AP1197" s="213"/>
      <c r="AQ1197" s="213"/>
      <c r="AR1197" s="209"/>
      <c r="AS1197" s="301"/>
      <c r="AT1197" s="301"/>
      <c r="AU1197" s="209"/>
      <c r="AV1197" s="301"/>
      <c r="AW1197" s="210"/>
      <c r="AX1197" s="301"/>
      <c r="AY1197" s="214"/>
      <c r="AZ1197" s="211"/>
      <c r="BA1197" s="212"/>
      <c r="BB1197" s="212"/>
      <c r="BC1197" s="213"/>
      <c r="BD1197" s="209"/>
      <c r="BE1197" s="301"/>
      <c r="BF1197" s="301"/>
      <c r="BG1197" s="209"/>
      <c r="BH1197" s="301"/>
      <c r="BI1197" s="210"/>
      <c r="BJ1197" s="214"/>
      <c r="BK1197" s="212"/>
      <c r="BL1197" s="215"/>
      <c r="BM1197" s="216"/>
      <c r="BN1197" s="215"/>
      <c r="BO1197" s="215"/>
      <c r="BP1197" s="217"/>
      <c r="BQ1197" s="218"/>
      <c r="BR1197" s="219"/>
      <c r="BS1197" s="218"/>
      <c r="BT1197" s="218"/>
      <c r="BU1197" s="218"/>
      <c r="BV1197" s="220"/>
    </row>
    <row r="1198" spans="1:74" x14ac:dyDescent="0.8">
      <c r="A1198" s="64"/>
      <c r="B1198" s="64"/>
      <c r="C1198" s="59"/>
      <c r="F1198" s="70"/>
      <c r="G1198" s="86"/>
      <c r="H1198" s="70"/>
      <c r="I1198" s="86"/>
      <c r="J1198" s="70"/>
      <c r="K1198" s="86"/>
      <c r="M1198" s="302"/>
      <c r="N1198" s="83"/>
      <c r="O1198" s="83"/>
      <c r="P1198" s="83"/>
      <c r="Q1198" s="86"/>
      <c r="R1198" s="83"/>
      <c r="S1198" s="83"/>
      <c r="T1198" s="70"/>
      <c r="U1198" s="86"/>
      <c r="V1198" s="70"/>
      <c r="W1198" s="86"/>
      <c r="X1198" s="126"/>
      <c r="Y1198" s="208"/>
      <c r="Z1198" s="126"/>
      <c r="AA1198" s="208"/>
      <c r="AB1198" s="126"/>
      <c r="AC1198" s="208"/>
      <c r="AD1198" s="209"/>
      <c r="AE1198" s="210"/>
      <c r="AF1198" s="209"/>
      <c r="AG1198" s="210"/>
      <c r="AH1198" s="209"/>
      <c r="AI1198" s="210"/>
      <c r="AJ1198" s="209"/>
      <c r="AK1198" s="210"/>
      <c r="AL1198" s="209"/>
      <c r="AM1198" s="211"/>
      <c r="AN1198" s="209"/>
      <c r="AO1198" s="212"/>
      <c r="AP1198" s="213"/>
      <c r="AQ1198" s="213"/>
      <c r="AR1198" s="209"/>
      <c r="AS1198" s="301"/>
      <c r="AT1198" s="301"/>
      <c r="AU1198" s="209"/>
      <c r="AV1198" s="301"/>
      <c r="AW1198" s="210"/>
      <c r="AX1198" s="301"/>
      <c r="AY1198" s="214"/>
      <c r="AZ1198" s="211"/>
      <c r="BA1198" s="212"/>
      <c r="BB1198" s="212"/>
      <c r="BC1198" s="213"/>
      <c r="BD1198" s="209"/>
      <c r="BE1198" s="301"/>
      <c r="BF1198" s="301"/>
      <c r="BG1198" s="209"/>
      <c r="BH1198" s="301"/>
      <c r="BI1198" s="210"/>
      <c r="BJ1198" s="214"/>
      <c r="BK1198" s="212"/>
      <c r="BL1198" s="221"/>
      <c r="BM1198" s="216"/>
      <c r="BN1198" s="221"/>
      <c r="BO1198" s="221"/>
      <c r="BP1198" s="222"/>
      <c r="BQ1198" s="218"/>
      <c r="BR1198" s="219"/>
      <c r="BS1198" s="218"/>
      <c r="BT1198" s="218"/>
      <c r="BU1198" s="218"/>
      <c r="BV1198" s="220"/>
    </row>
    <row r="1199" spans="1:74" x14ac:dyDescent="0.8">
      <c r="A1199" s="64"/>
      <c r="B1199" s="64"/>
      <c r="C1199" s="59"/>
      <c r="F1199" s="70"/>
      <c r="G1199" s="86"/>
      <c r="H1199" s="70"/>
      <c r="I1199" s="86"/>
      <c r="J1199" s="70"/>
      <c r="K1199" s="86"/>
      <c r="M1199" s="302"/>
      <c r="N1199" s="83"/>
      <c r="O1199" s="83"/>
      <c r="P1199" s="83"/>
      <c r="Q1199" s="86"/>
      <c r="R1199" s="83"/>
      <c r="S1199" s="83"/>
      <c r="T1199" s="70"/>
      <c r="U1199" s="86"/>
      <c r="V1199" s="70"/>
      <c r="W1199" s="86"/>
      <c r="X1199" s="126"/>
      <c r="Y1199" s="208"/>
      <c r="Z1199" s="126"/>
      <c r="AA1199" s="208"/>
      <c r="AB1199" s="126"/>
      <c r="AC1199" s="208"/>
      <c r="AD1199" s="209"/>
      <c r="AE1199" s="210"/>
      <c r="AF1199" s="209"/>
      <c r="AG1199" s="210"/>
      <c r="AH1199" s="209"/>
      <c r="AI1199" s="210"/>
      <c r="AJ1199" s="209"/>
      <c r="AK1199" s="210"/>
      <c r="AL1199" s="209"/>
      <c r="AM1199" s="211"/>
      <c r="AN1199" s="209"/>
      <c r="AO1199" s="212"/>
      <c r="AP1199" s="213"/>
      <c r="AQ1199" s="213"/>
      <c r="AR1199" s="209"/>
      <c r="AS1199" s="301"/>
      <c r="AT1199" s="301"/>
      <c r="AU1199" s="209"/>
      <c r="AV1199" s="301"/>
      <c r="AW1199" s="210"/>
      <c r="AX1199" s="301"/>
      <c r="AY1199" s="214"/>
      <c r="AZ1199" s="211"/>
      <c r="BA1199" s="212"/>
      <c r="BB1199" s="212"/>
      <c r="BC1199" s="213"/>
      <c r="BD1199" s="209"/>
      <c r="BE1199" s="301"/>
      <c r="BF1199" s="301"/>
      <c r="BG1199" s="209"/>
      <c r="BH1199" s="301"/>
      <c r="BI1199" s="210"/>
      <c r="BJ1199" s="214"/>
      <c r="BK1199" s="212"/>
      <c r="BL1199" s="221"/>
      <c r="BM1199" s="216"/>
      <c r="BN1199" s="221"/>
      <c r="BO1199" s="221"/>
      <c r="BP1199" s="222"/>
      <c r="BQ1199" s="218"/>
      <c r="BR1199" s="219"/>
      <c r="BS1199" s="218"/>
      <c r="BT1199" s="218"/>
      <c r="BU1199" s="218"/>
      <c r="BV1199" s="220"/>
    </row>
    <row r="1200" spans="1:74" x14ac:dyDescent="0.8">
      <c r="A1200" s="64"/>
      <c r="B1200" s="64"/>
      <c r="C1200" s="59"/>
      <c r="F1200" s="70"/>
      <c r="G1200" s="86"/>
      <c r="H1200" s="70"/>
      <c r="I1200" s="86"/>
      <c r="J1200" s="70"/>
      <c r="K1200" s="86"/>
      <c r="M1200" s="302"/>
      <c r="N1200" s="83"/>
      <c r="O1200" s="83"/>
      <c r="P1200" s="83"/>
      <c r="Q1200" s="86"/>
      <c r="R1200" s="83"/>
      <c r="S1200" s="83"/>
      <c r="T1200" s="70"/>
      <c r="U1200" s="86"/>
      <c r="V1200" s="70"/>
      <c r="W1200" s="86"/>
      <c r="X1200" s="126"/>
      <c r="Y1200" s="208"/>
      <c r="Z1200" s="126"/>
      <c r="AA1200" s="208"/>
      <c r="AB1200" s="126"/>
      <c r="AC1200" s="208"/>
      <c r="AD1200" s="209"/>
      <c r="AE1200" s="210"/>
      <c r="AF1200" s="209"/>
      <c r="AG1200" s="210"/>
      <c r="AH1200" s="209"/>
      <c r="AI1200" s="210"/>
      <c r="AJ1200" s="209"/>
      <c r="AK1200" s="210"/>
      <c r="AL1200" s="209"/>
      <c r="AM1200" s="211"/>
      <c r="AN1200" s="209"/>
      <c r="AO1200" s="212"/>
      <c r="AP1200" s="213"/>
      <c r="AQ1200" s="213"/>
      <c r="AR1200" s="209"/>
      <c r="AS1200" s="301"/>
      <c r="AT1200" s="301"/>
      <c r="AU1200" s="209"/>
      <c r="AV1200" s="301"/>
      <c r="AW1200" s="210"/>
      <c r="AX1200" s="301"/>
      <c r="AY1200" s="214"/>
      <c r="AZ1200" s="211"/>
      <c r="BA1200" s="212"/>
      <c r="BB1200" s="212"/>
      <c r="BC1200" s="213"/>
      <c r="BD1200" s="209"/>
      <c r="BE1200" s="301"/>
      <c r="BF1200" s="301"/>
      <c r="BG1200" s="209"/>
      <c r="BH1200" s="301"/>
      <c r="BI1200" s="210"/>
      <c r="BJ1200" s="214"/>
      <c r="BK1200" s="212"/>
      <c r="BL1200" s="221"/>
      <c r="BM1200" s="216"/>
      <c r="BN1200" s="221"/>
      <c r="BO1200" s="221"/>
      <c r="BP1200" s="222"/>
      <c r="BQ1200" s="218"/>
      <c r="BR1200" s="219"/>
      <c r="BS1200" s="218"/>
      <c r="BT1200" s="218"/>
      <c r="BU1200" s="218"/>
      <c r="BV1200" s="220"/>
    </row>
    <row r="1201" spans="1:74" x14ac:dyDescent="0.8">
      <c r="A1201" s="64"/>
      <c r="B1201" s="64"/>
      <c r="C1201" s="59"/>
      <c r="F1201" s="70"/>
      <c r="G1201" s="86"/>
      <c r="H1201" s="70"/>
      <c r="I1201" s="86"/>
      <c r="J1201" s="70"/>
      <c r="K1201" s="86"/>
      <c r="M1201" s="302"/>
      <c r="N1201" s="83"/>
      <c r="O1201" s="83"/>
      <c r="P1201" s="83"/>
      <c r="Q1201" s="86"/>
      <c r="R1201" s="83"/>
      <c r="S1201" s="83"/>
      <c r="T1201" s="70"/>
      <c r="U1201" s="86"/>
      <c r="V1201" s="70"/>
      <c r="W1201" s="86"/>
      <c r="X1201" s="126"/>
      <c r="Y1201" s="208"/>
      <c r="Z1201" s="126"/>
      <c r="AA1201" s="208"/>
      <c r="AB1201" s="126"/>
      <c r="AC1201" s="208"/>
      <c r="AD1201" s="209"/>
      <c r="AE1201" s="210"/>
      <c r="AF1201" s="209"/>
      <c r="AG1201" s="210"/>
      <c r="AH1201" s="209"/>
      <c r="AI1201" s="210"/>
      <c r="AJ1201" s="209"/>
      <c r="AK1201" s="210"/>
      <c r="AL1201" s="209"/>
      <c r="AM1201" s="211"/>
      <c r="AN1201" s="209"/>
      <c r="AO1201" s="212"/>
      <c r="AP1201" s="213"/>
      <c r="AQ1201" s="213"/>
      <c r="AR1201" s="209"/>
      <c r="AS1201" s="301"/>
      <c r="AT1201" s="301"/>
      <c r="AU1201" s="209"/>
      <c r="AV1201" s="301"/>
      <c r="AW1201" s="210"/>
      <c r="AX1201" s="301"/>
      <c r="AY1201" s="214"/>
      <c r="AZ1201" s="211"/>
      <c r="BA1201" s="212"/>
      <c r="BB1201" s="212"/>
      <c r="BC1201" s="213"/>
      <c r="BD1201" s="209"/>
      <c r="BE1201" s="301"/>
      <c r="BF1201" s="301"/>
      <c r="BG1201" s="209"/>
      <c r="BH1201" s="301"/>
      <c r="BI1201" s="210"/>
      <c r="BJ1201" s="214"/>
      <c r="BK1201" s="212"/>
      <c r="BL1201" s="221"/>
      <c r="BM1201" s="216"/>
      <c r="BN1201" s="221"/>
      <c r="BO1201" s="221"/>
      <c r="BP1201" s="222"/>
      <c r="BQ1201" s="218"/>
      <c r="BR1201" s="219"/>
      <c r="BS1201" s="218"/>
      <c r="BT1201" s="218"/>
      <c r="BU1201" s="218"/>
      <c r="BV1201" s="220"/>
    </row>
    <row r="1202" spans="1:74" x14ac:dyDescent="0.8">
      <c r="A1202" s="64"/>
      <c r="B1202" s="64"/>
      <c r="C1202" s="59"/>
      <c r="F1202" s="70"/>
      <c r="G1202" s="86"/>
      <c r="H1202" s="70"/>
      <c r="I1202" s="86"/>
      <c r="J1202" s="70"/>
      <c r="K1202" s="86"/>
      <c r="M1202" s="302"/>
      <c r="N1202" s="83"/>
      <c r="O1202" s="83"/>
      <c r="P1202" s="83"/>
      <c r="Q1202" s="86"/>
      <c r="R1202" s="83"/>
      <c r="S1202" s="83"/>
      <c r="T1202" s="70"/>
      <c r="U1202" s="86"/>
      <c r="V1202" s="70"/>
      <c r="W1202" s="86"/>
      <c r="X1202" s="126"/>
      <c r="Y1202" s="208"/>
      <c r="Z1202" s="126"/>
      <c r="AA1202" s="208"/>
      <c r="AB1202" s="126"/>
      <c r="AC1202" s="208"/>
      <c r="AD1202" s="209"/>
      <c r="AE1202" s="210"/>
      <c r="AF1202" s="209"/>
      <c r="AG1202" s="210"/>
      <c r="AH1202" s="209"/>
      <c r="AI1202" s="210"/>
      <c r="AJ1202" s="209"/>
      <c r="AK1202" s="210"/>
      <c r="AL1202" s="209"/>
      <c r="AM1202" s="211"/>
      <c r="AN1202" s="209"/>
      <c r="AO1202" s="212"/>
      <c r="AP1202" s="213"/>
      <c r="AQ1202" s="213"/>
      <c r="AR1202" s="209"/>
      <c r="AS1202" s="301"/>
      <c r="AT1202" s="301"/>
      <c r="AU1202" s="209"/>
      <c r="AV1202" s="301"/>
      <c r="AW1202" s="210"/>
      <c r="AX1202" s="301"/>
      <c r="AY1202" s="214"/>
      <c r="AZ1202" s="211"/>
      <c r="BA1202" s="212"/>
      <c r="BB1202" s="212"/>
      <c r="BC1202" s="213"/>
      <c r="BD1202" s="209"/>
      <c r="BE1202" s="301"/>
      <c r="BF1202" s="301"/>
      <c r="BG1202" s="209"/>
      <c r="BH1202" s="301"/>
      <c r="BI1202" s="210"/>
      <c r="BJ1202" s="214"/>
      <c r="BK1202" s="212"/>
      <c r="BL1202" s="221"/>
      <c r="BM1202" s="216"/>
      <c r="BN1202" s="221"/>
      <c r="BO1202" s="221"/>
      <c r="BP1202" s="222"/>
      <c r="BQ1202" s="218"/>
      <c r="BR1202" s="219"/>
      <c r="BS1202" s="218"/>
      <c r="BT1202" s="218"/>
      <c r="BU1202" s="218"/>
      <c r="BV1202" s="220"/>
    </row>
    <row r="1203" spans="1:74" x14ac:dyDescent="0.8">
      <c r="A1203" s="64"/>
      <c r="B1203" s="64"/>
      <c r="C1203" s="59"/>
      <c r="F1203" s="70"/>
      <c r="G1203" s="86"/>
      <c r="H1203" s="70"/>
      <c r="I1203" s="86"/>
      <c r="J1203" s="70"/>
      <c r="K1203" s="86"/>
      <c r="M1203" s="302"/>
      <c r="N1203" s="83"/>
      <c r="O1203" s="83"/>
      <c r="P1203" s="83"/>
      <c r="Q1203" s="86"/>
      <c r="R1203" s="83"/>
      <c r="S1203" s="83"/>
      <c r="T1203" s="70"/>
      <c r="U1203" s="86"/>
      <c r="V1203" s="70"/>
      <c r="W1203" s="86"/>
      <c r="X1203" s="126"/>
      <c r="Y1203" s="208"/>
      <c r="Z1203" s="126"/>
      <c r="AA1203" s="208"/>
      <c r="AB1203" s="126"/>
      <c r="AC1203" s="208"/>
      <c r="AD1203" s="209"/>
      <c r="AE1203" s="210"/>
      <c r="AF1203" s="209"/>
      <c r="AG1203" s="210"/>
      <c r="AH1203" s="209"/>
      <c r="AI1203" s="210"/>
      <c r="AJ1203" s="209"/>
      <c r="AK1203" s="210"/>
      <c r="AL1203" s="209"/>
      <c r="AM1203" s="211"/>
      <c r="AN1203" s="209"/>
      <c r="AO1203" s="212"/>
      <c r="AP1203" s="213"/>
      <c r="AQ1203" s="213"/>
      <c r="AR1203" s="209"/>
      <c r="AS1203" s="301"/>
      <c r="AT1203" s="301"/>
      <c r="AU1203" s="209"/>
      <c r="AV1203" s="301"/>
      <c r="AW1203" s="210"/>
      <c r="AX1203" s="301"/>
      <c r="AY1203" s="214"/>
      <c r="AZ1203" s="211"/>
      <c r="BA1203" s="212"/>
      <c r="BB1203" s="212"/>
      <c r="BC1203" s="213"/>
      <c r="BD1203" s="209"/>
      <c r="BE1203" s="301"/>
      <c r="BF1203" s="301"/>
      <c r="BG1203" s="209"/>
      <c r="BH1203" s="301"/>
      <c r="BI1203" s="210"/>
      <c r="BJ1203" s="214"/>
      <c r="BK1203" s="212"/>
      <c r="BL1203" s="221"/>
      <c r="BM1203" s="216"/>
      <c r="BN1203" s="221"/>
      <c r="BO1203" s="221"/>
      <c r="BP1203" s="222"/>
      <c r="BQ1203" s="218"/>
      <c r="BR1203" s="219"/>
      <c r="BS1203" s="218"/>
      <c r="BT1203" s="218"/>
      <c r="BU1203" s="218"/>
      <c r="BV1203" s="220"/>
    </row>
    <row r="1204" spans="1:74" x14ac:dyDescent="0.8">
      <c r="A1204" s="64"/>
      <c r="B1204" s="64"/>
      <c r="C1204" s="59"/>
      <c r="F1204" s="70"/>
      <c r="G1204" s="86"/>
      <c r="H1204" s="70"/>
      <c r="I1204" s="86"/>
      <c r="J1204" s="70"/>
      <c r="K1204" s="86"/>
      <c r="M1204" s="302"/>
      <c r="N1204" s="83"/>
      <c r="O1204" s="83"/>
      <c r="P1204" s="83"/>
      <c r="Q1204" s="86"/>
      <c r="R1204" s="83"/>
      <c r="S1204" s="83"/>
      <c r="T1204" s="70"/>
      <c r="U1204" s="86"/>
      <c r="V1204" s="70"/>
      <c r="W1204" s="86"/>
      <c r="X1204" s="126"/>
      <c r="Y1204" s="208"/>
      <c r="Z1204" s="126"/>
      <c r="AA1204" s="208"/>
      <c r="AB1204" s="126"/>
      <c r="AC1204" s="208"/>
      <c r="AD1204" s="209"/>
      <c r="AE1204" s="210"/>
      <c r="AF1204" s="209"/>
      <c r="AG1204" s="210"/>
      <c r="AH1204" s="209"/>
      <c r="AI1204" s="210"/>
      <c r="AJ1204" s="209"/>
      <c r="AK1204" s="210"/>
      <c r="AL1204" s="209"/>
      <c r="AM1204" s="211"/>
      <c r="AN1204" s="209"/>
      <c r="AO1204" s="212"/>
      <c r="AP1204" s="213"/>
      <c r="AQ1204" s="213"/>
      <c r="AR1204" s="209"/>
      <c r="AS1204" s="301"/>
      <c r="AT1204" s="301"/>
      <c r="AU1204" s="209"/>
      <c r="AV1204" s="301"/>
      <c r="AW1204" s="210"/>
      <c r="AX1204" s="301"/>
      <c r="AY1204" s="214"/>
      <c r="AZ1204" s="211"/>
      <c r="BA1204" s="212"/>
      <c r="BB1204" s="212"/>
      <c r="BC1204" s="213"/>
      <c r="BD1204" s="209"/>
      <c r="BE1204" s="301"/>
      <c r="BF1204" s="301"/>
      <c r="BG1204" s="209"/>
      <c r="BH1204" s="301"/>
      <c r="BI1204" s="210"/>
      <c r="BJ1204" s="214"/>
      <c r="BK1204" s="212"/>
      <c r="BL1204" s="221"/>
      <c r="BM1204" s="216"/>
      <c r="BN1204" s="221"/>
      <c r="BO1204" s="221"/>
      <c r="BP1204" s="222"/>
      <c r="BQ1204" s="218"/>
      <c r="BR1204" s="219"/>
      <c r="BS1204" s="218"/>
      <c r="BT1204" s="218"/>
      <c r="BU1204" s="218"/>
      <c r="BV1204" s="220"/>
    </row>
    <row r="1205" spans="1:74" x14ac:dyDescent="0.8">
      <c r="A1205" s="64"/>
      <c r="B1205" s="64"/>
      <c r="C1205" s="59"/>
      <c r="F1205" s="70"/>
      <c r="G1205" s="86"/>
      <c r="H1205" s="70"/>
      <c r="I1205" s="86"/>
      <c r="J1205" s="70"/>
      <c r="K1205" s="86"/>
      <c r="M1205" s="302"/>
      <c r="N1205" s="83"/>
      <c r="O1205" s="83"/>
      <c r="P1205" s="83"/>
      <c r="Q1205" s="86"/>
      <c r="R1205" s="83"/>
      <c r="S1205" s="83"/>
      <c r="T1205" s="70"/>
      <c r="U1205" s="86"/>
      <c r="V1205" s="70"/>
      <c r="W1205" s="86"/>
      <c r="X1205" s="126"/>
      <c r="Y1205" s="208"/>
      <c r="Z1205" s="126"/>
      <c r="AA1205" s="208"/>
      <c r="AB1205" s="126"/>
      <c r="AC1205" s="208"/>
      <c r="AD1205" s="209"/>
      <c r="AE1205" s="210"/>
      <c r="AF1205" s="209"/>
      <c r="AG1205" s="210"/>
      <c r="AH1205" s="209"/>
      <c r="AI1205" s="210"/>
      <c r="AJ1205" s="209"/>
      <c r="AK1205" s="210"/>
      <c r="AL1205" s="209"/>
      <c r="AM1205" s="211"/>
      <c r="AN1205" s="209"/>
      <c r="AO1205" s="212"/>
      <c r="AP1205" s="213"/>
      <c r="AQ1205" s="213"/>
      <c r="AR1205" s="209"/>
      <c r="AS1205" s="301"/>
      <c r="AT1205" s="301"/>
      <c r="AU1205" s="209"/>
      <c r="AV1205" s="301"/>
      <c r="AW1205" s="210"/>
      <c r="AX1205" s="301"/>
      <c r="AY1205" s="214"/>
      <c r="AZ1205" s="211"/>
      <c r="BA1205" s="212"/>
      <c r="BB1205" s="212"/>
      <c r="BC1205" s="213"/>
      <c r="BD1205" s="209"/>
      <c r="BE1205" s="301"/>
      <c r="BF1205" s="301"/>
      <c r="BG1205" s="209"/>
      <c r="BH1205" s="301"/>
      <c r="BI1205" s="210"/>
      <c r="BJ1205" s="214"/>
      <c r="BK1205" s="212"/>
      <c r="BL1205" s="221"/>
      <c r="BM1205" s="216"/>
      <c r="BN1205" s="221"/>
      <c r="BO1205" s="221"/>
      <c r="BP1205" s="222"/>
      <c r="BQ1205" s="218"/>
      <c r="BR1205" s="219"/>
      <c r="BS1205" s="218"/>
      <c r="BT1205" s="218"/>
      <c r="BU1205" s="218"/>
      <c r="BV1205" s="220"/>
    </row>
    <row r="1206" spans="1:74" x14ac:dyDescent="0.8">
      <c r="A1206" s="64"/>
      <c r="B1206" s="64"/>
      <c r="C1206" s="59"/>
      <c r="F1206" s="70"/>
      <c r="G1206" s="86"/>
      <c r="H1206" s="70"/>
      <c r="I1206" s="86"/>
      <c r="J1206" s="70"/>
      <c r="K1206" s="86"/>
      <c r="M1206" s="302"/>
      <c r="N1206" s="83"/>
      <c r="O1206" s="83"/>
      <c r="P1206" s="83"/>
      <c r="Q1206" s="86"/>
      <c r="R1206" s="83"/>
      <c r="S1206" s="83"/>
      <c r="T1206" s="70"/>
      <c r="U1206" s="86"/>
      <c r="V1206" s="70"/>
      <c r="W1206" s="86"/>
      <c r="X1206" s="126"/>
      <c r="Y1206" s="208"/>
      <c r="Z1206" s="126"/>
      <c r="AA1206" s="208"/>
      <c r="AB1206" s="126"/>
      <c r="AC1206" s="208"/>
      <c r="AD1206" s="209"/>
      <c r="AE1206" s="210"/>
      <c r="AF1206" s="209"/>
      <c r="AG1206" s="210"/>
      <c r="AH1206" s="209"/>
      <c r="AI1206" s="210"/>
      <c r="AJ1206" s="209"/>
      <c r="AK1206" s="210"/>
      <c r="AL1206" s="209"/>
      <c r="AM1206" s="211"/>
      <c r="AN1206" s="209"/>
      <c r="AO1206" s="212"/>
      <c r="AP1206" s="213"/>
      <c r="AQ1206" s="213"/>
      <c r="AR1206" s="209"/>
      <c r="AS1206" s="301"/>
      <c r="AT1206" s="301"/>
      <c r="AU1206" s="209"/>
      <c r="AV1206" s="301"/>
      <c r="AW1206" s="210"/>
      <c r="AX1206" s="301"/>
      <c r="AY1206" s="214"/>
      <c r="AZ1206" s="211"/>
      <c r="BA1206" s="212"/>
      <c r="BB1206" s="212"/>
      <c r="BC1206" s="213"/>
      <c r="BD1206" s="209"/>
      <c r="BE1206" s="301"/>
      <c r="BF1206" s="301"/>
      <c r="BG1206" s="209"/>
      <c r="BH1206" s="301"/>
      <c r="BI1206" s="210"/>
      <c r="BJ1206" s="214"/>
      <c r="BK1206" s="212"/>
      <c r="BL1206" s="221"/>
      <c r="BM1206" s="216"/>
      <c r="BN1206" s="221"/>
      <c r="BO1206" s="221"/>
      <c r="BP1206" s="222"/>
      <c r="BQ1206" s="218"/>
      <c r="BR1206" s="219"/>
      <c r="BS1206" s="218"/>
      <c r="BT1206" s="218"/>
      <c r="BU1206" s="218"/>
      <c r="BV1206" s="220"/>
    </row>
    <row r="1207" spans="1:74" x14ac:dyDescent="0.8">
      <c r="A1207" s="64"/>
      <c r="B1207" s="64"/>
      <c r="C1207" s="59"/>
      <c r="F1207" s="70"/>
      <c r="G1207" s="86"/>
      <c r="H1207" s="70"/>
      <c r="I1207" s="86"/>
      <c r="J1207" s="70"/>
      <c r="K1207" s="86"/>
      <c r="M1207" s="302"/>
      <c r="N1207" s="83"/>
      <c r="O1207" s="83"/>
      <c r="P1207" s="83"/>
      <c r="Q1207" s="86"/>
      <c r="R1207" s="83"/>
      <c r="S1207" s="83"/>
      <c r="T1207" s="70"/>
      <c r="U1207" s="86"/>
      <c r="V1207" s="70"/>
      <c r="W1207" s="86"/>
      <c r="X1207" s="126"/>
      <c r="Y1207" s="208"/>
      <c r="Z1207" s="126"/>
      <c r="AA1207" s="208"/>
      <c r="AB1207" s="126"/>
      <c r="AC1207" s="208"/>
      <c r="AD1207" s="209"/>
      <c r="AE1207" s="210"/>
      <c r="AF1207" s="209"/>
      <c r="AG1207" s="210"/>
      <c r="AH1207" s="209"/>
      <c r="AI1207" s="210"/>
      <c r="AJ1207" s="209"/>
      <c r="AK1207" s="210"/>
      <c r="AL1207" s="209"/>
      <c r="AM1207" s="211"/>
      <c r="AN1207" s="209"/>
      <c r="AO1207" s="212"/>
      <c r="AP1207" s="213"/>
      <c r="AQ1207" s="213"/>
      <c r="AR1207" s="209"/>
      <c r="AS1207" s="301"/>
      <c r="AT1207" s="301"/>
      <c r="AU1207" s="209"/>
      <c r="AV1207" s="301"/>
      <c r="AW1207" s="210"/>
      <c r="AX1207" s="301"/>
      <c r="AY1207" s="214"/>
      <c r="AZ1207" s="211"/>
      <c r="BA1207" s="212"/>
      <c r="BB1207" s="212"/>
      <c r="BC1207" s="213"/>
      <c r="BD1207" s="209"/>
      <c r="BE1207" s="301"/>
      <c r="BF1207" s="301"/>
      <c r="BG1207" s="209"/>
      <c r="BH1207" s="301"/>
      <c r="BI1207" s="210"/>
      <c r="BJ1207" s="214"/>
      <c r="BK1207" s="212"/>
      <c r="BL1207" s="215"/>
      <c r="BM1207" s="216"/>
      <c r="BN1207" s="215"/>
      <c r="BO1207" s="215"/>
      <c r="BP1207" s="217"/>
      <c r="BQ1207" s="218"/>
      <c r="BR1207" s="219"/>
      <c r="BS1207" s="218"/>
      <c r="BT1207" s="218"/>
      <c r="BU1207" s="218"/>
      <c r="BV1207" s="220"/>
    </row>
    <row r="1208" spans="1:74" x14ac:dyDescent="0.8">
      <c r="A1208" s="64"/>
      <c r="B1208" s="64"/>
      <c r="C1208" s="59"/>
      <c r="F1208" s="70"/>
      <c r="G1208" s="86"/>
      <c r="H1208" s="70"/>
      <c r="I1208" s="86"/>
      <c r="J1208" s="70"/>
      <c r="K1208" s="86"/>
      <c r="M1208" s="302"/>
      <c r="N1208" s="83"/>
      <c r="O1208" s="83"/>
      <c r="P1208" s="83"/>
      <c r="Q1208" s="86"/>
      <c r="R1208" s="83"/>
      <c r="S1208" s="83"/>
      <c r="T1208" s="70"/>
      <c r="U1208" s="86"/>
      <c r="V1208" s="70"/>
      <c r="W1208" s="86"/>
      <c r="X1208" s="126"/>
      <c r="Y1208" s="208"/>
      <c r="Z1208" s="126"/>
      <c r="AA1208" s="208"/>
      <c r="AB1208" s="126"/>
      <c r="AC1208" s="208"/>
      <c r="AD1208" s="209"/>
      <c r="AE1208" s="210"/>
      <c r="AF1208" s="209"/>
      <c r="AG1208" s="210"/>
      <c r="AH1208" s="209"/>
      <c r="AI1208" s="210"/>
      <c r="AJ1208" s="209"/>
      <c r="AK1208" s="210"/>
      <c r="AL1208" s="209"/>
      <c r="AM1208" s="211"/>
      <c r="AN1208" s="209"/>
      <c r="AO1208" s="212"/>
      <c r="AP1208" s="213"/>
      <c r="AQ1208" s="213"/>
      <c r="AR1208" s="209"/>
      <c r="AS1208" s="301"/>
      <c r="AT1208" s="301"/>
      <c r="AU1208" s="209"/>
      <c r="AV1208" s="301"/>
      <c r="AW1208" s="210"/>
      <c r="AX1208" s="301"/>
      <c r="AY1208" s="214"/>
      <c r="AZ1208" s="211"/>
      <c r="BA1208" s="212"/>
      <c r="BB1208" s="212"/>
      <c r="BC1208" s="213"/>
      <c r="BD1208" s="209"/>
      <c r="BE1208" s="301"/>
      <c r="BF1208" s="301"/>
      <c r="BG1208" s="209"/>
      <c r="BH1208" s="301"/>
      <c r="BI1208" s="210"/>
      <c r="BJ1208" s="214"/>
      <c r="BK1208" s="212"/>
      <c r="BL1208" s="221"/>
      <c r="BM1208" s="216"/>
      <c r="BN1208" s="221"/>
      <c r="BO1208" s="221"/>
      <c r="BP1208" s="222"/>
      <c r="BQ1208" s="218"/>
      <c r="BR1208" s="219"/>
      <c r="BS1208" s="218"/>
      <c r="BT1208" s="218"/>
      <c r="BU1208" s="218"/>
      <c r="BV1208" s="220"/>
    </row>
    <row r="1209" spans="1:74" x14ac:dyDescent="0.8">
      <c r="A1209" s="64"/>
      <c r="B1209" s="64"/>
      <c r="C1209" s="59"/>
      <c r="F1209" s="70"/>
      <c r="G1209" s="86"/>
      <c r="H1209" s="70"/>
      <c r="I1209" s="86"/>
      <c r="J1209" s="70"/>
      <c r="K1209" s="86"/>
      <c r="M1209" s="302"/>
      <c r="N1209" s="83"/>
      <c r="O1209" s="83"/>
      <c r="P1209" s="83"/>
      <c r="Q1209" s="86"/>
      <c r="R1209" s="83"/>
      <c r="S1209" s="83"/>
      <c r="T1209" s="70"/>
      <c r="U1209" s="86"/>
      <c r="V1209" s="70"/>
      <c r="W1209" s="86"/>
      <c r="X1209" s="126"/>
      <c r="Y1209" s="208"/>
      <c r="Z1209" s="126"/>
      <c r="AA1209" s="208"/>
      <c r="AB1209" s="126"/>
      <c r="AC1209" s="208"/>
      <c r="AD1209" s="209"/>
      <c r="AE1209" s="210"/>
      <c r="AF1209" s="209"/>
      <c r="AG1209" s="210"/>
      <c r="AH1209" s="209"/>
      <c r="AI1209" s="210"/>
      <c r="AJ1209" s="209"/>
      <c r="AK1209" s="210"/>
      <c r="AL1209" s="209"/>
      <c r="AM1209" s="211"/>
      <c r="AN1209" s="209"/>
      <c r="AO1209" s="212"/>
      <c r="AP1209" s="213"/>
      <c r="AQ1209" s="213"/>
      <c r="AR1209" s="209"/>
      <c r="AS1209" s="301"/>
      <c r="AT1209" s="301"/>
      <c r="AU1209" s="209"/>
      <c r="AV1209" s="301"/>
      <c r="AW1209" s="210"/>
      <c r="AX1209" s="301"/>
      <c r="AY1209" s="214"/>
      <c r="AZ1209" s="211"/>
      <c r="BA1209" s="212"/>
      <c r="BB1209" s="212"/>
      <c r="BC1209" s="213"/>
      <c r="BD1209" s="209"/>
      <c r="BE1209" s="301"/>
      <c r="BF1209" s="301"/>
      <c r="BG1209" s="209"/>
      <c r="BH1209" s="301"/>
      <c r="BI1209" s="210"/>
      <c r="BJ1209" s="214"/>
      <c r="BK1209" s="212"/>
      <c r="BL1209" s="215"/>
      <c r="BM1209" s="216"/>
      <c r="BN1209" s="215"/>
      <c r="BO1209" s="215"/>
      <c r="BP1209" s="217"/>
      <c r="BQ1209" s="218"/>
      <c r="BR1209" s="219"/>
      <c r="BS1209" s="218"/>
      <c r="BT1209" s="218"/>
      <c r="BU1209" s="218"/>
      <c r="BV1209" s="220"/>
    </row>
    <row r="1210" spans="1:74" x14ac:dyDescent="0.8">
      <c r="A1210" s="64"/>
      <c r="B1210" s="64"/>
      <c r="C1210" s="59"/>
      <c r="F1210" s="70"/>
      <c r="G1210" s="86"/>
      <c r="H1210" s="70"/>
      <c r="I1210" s="86"/>
      <c r="J1210" s="70"/>
      <c r="K1210" s="86"/>
      <c r="M1210" s="302"/>
      <c r="N1210" s="83"/>
      <c r="O1210" s="83"/>
      <c r="P1210" s="83"/>
      <c r="Q1210" s="86"/>
      <c r="R1210" s="83"/>
      <c r="S1210" s="83"/>
      <c r="T1210" s="70"/>
      <c r="U1210" s="86"/>
      <c r="V1210" s="70"/>
      <c r="W1210" s="86"/>
      <c r="X1210" s="126"/>
      <c r="Y1210" s="208"/>
      <c r="Z1210" s="126"/>
      <c r="AA1210" s="208"/>
      <c r="AB1210" s="126"/>
      <c r="AC1210" s="208"/>
      <c r="AD1210" s="209"/>
      <c r="AE1210" s="210"/>
      <c r="AF1210" s="209"/>
      <c r="AG1210" s="210"/>
      <c r="AH1210" s="209"/>
      <c r="AI1210" s="210"/>
      <c r="AJ1210" s="209"/>
      <c r="AK1210" s="210"/>
      <c r="AL1210" s="209"/>
      <c r="AM1210" s="211"/>
      <c r="AN1210" s="209"/>
      <c r="AO1210" s="212"/>
      <c r="AP1210" s="213"/>
      <c r="AQ1210" s="213"/>
      <c r="AR1210" s="209"/>
      <c r="AS1210" s="301"/>
      <c r="AT1210" s="301"/>
      <c r="AU1210" s="209"/>
      <c r="AV1210" s="301"/>
      <c r="AW1210" s="210"/>
      <c r="AX1210" s="301"/>
      <c r="AY1210" s="214"/>
      <c r="AZ1210" s="211"/>
      <c r="BA1210" s="212"/>
      <c r="BB1210" s="212"/>
      <c r="BC1210" s="213"/>
      <c r="BD1210" s="209"/>
      <c r="BE1210" s="301"/>
      <c r="BF1210" s="301"/>
      <c r="BG1210" s="209"/>
      <c r="BH1210" s="301"/>
      <c r="BI1210" s="210"/>
      <c r="BJ1210" s="214"/>
      <c r="BK1210" s="212"/>
      <c r="BL1210" s="215"/>
      <c r="BM1210" s="216"/>
      <c r="BN1210" s="215"/>
      <c r="BO1210" s="215"/>
      <c r="BP1210" s="217"/>
      <c r="BQ1210" s="218"/>
      <c r="BR1210" s="219"/>
      <c r="BS1210" s="218"/>
      <c r="BT1210" s="218"/>
      <c r="BU1210" s="218"/>
      <c r="BV1210" s="220"/>
    </row>
    <row r="1211" spans="1:74" x14ac:dyDescent="0.8">
      <c r="A1211" s="64"/>
      <c r="B1211" s="64"/>
      <c r="C1211" s="59"/>
      <c r="F1211" s="70"/>
      <c r="G1211" s="86"/>
      <c r="H1211" s="70"/>
      <c r="I1211" s="86"/>
      <c r="J1211" s="70"/>
      <c r="K1211" s="86"/>
      <c r="M1211" s="302"/>
      <c r="N1211" s="83"/>
      <c r="O1211" s="83"/>
      <c r="P1211" s="83"/>
      <c r="Q1211" s="86"/>
      <c r="R1211" s="83"/>
      <c r="S1211" s="83"/>
      <c r="T1211" s="70"/>
      <c r="U1211" s="86"/>
      <c r="V1211" s="70"/>
      <c r="W1211" s="86"/>
      <c r="X1211" s="126"/>
      <c r="Y1211" s="208"/>
      <c r="Z1211" s="126"/>
      <c r="AA1211" s="208"/>
      <c r="AB1211" s="126"/>
      <c r="AC1211" s="208"/>
      <c r="AD1211" s="209"/>
      <c r="AE1211" s="210"/>
      <c r="AF1211" s="209"/>
      <c r="AG1211" s="210"/>
      <c r="AH1211" s="209"/>
      <c r="AI1211" s="210"/>
      <c r="AJ1211" s="209"/>
      <c r="AK1211" s="210"/>
      <c r="AL1211" s="209"/>
      <c r="AM1211" s="211"/>
      <c r="AN1211" s="209"/>
      <c r="AO1211" s="212"/>
      <c r="AP1211" s="213"/>
      <c r="AQ1211" s="213"/>
      <c r="AR1211" s="209"/>
      <c r="AS1211" s="301"/>
      <c r="AT1211" s="301"/>
      <c r="AU1211" s="209"/>
      <c r="AV1211" s="301"/>
      <c r="AW1211" s="210"/>
      <c r="AX1211" s="301"/>
      <c r="AY1211" s="214"/>
      <c r="AZ1211" s="211"/>
      <c r="BA1211" s="212"/>
      <c r="BB1211" s="212"/>
      <c r="BC1211" s="213"/>
      <c r="BD1211" s="209"/>
      <c r="BE1211" s="301"/>
      <c r="BF1211" s="301"/>
      <c r="BG1211" s="209"/>
      <c r="BH1211" s="301"/>
      <c r="BI1211" s="210"/>
      <c r="BJ1211" s="214"/>
      <c r="BK1211" s="212"/>
      <c r="BL1211" s="221"/>
      <c r="BM1211" s="216"/>
      <c r="BN1211" s="221"/>
      <c r="BO1211" s="221"/>
      <c r="BP1211" s="222"/>
      <c r="BQ1211" s="218"/>
      <c r="BR1211" s="219"/>
      <c r="BS1211" s="218"/>
      <c r="BT1211" s="218"/>
      <c r="BU1211" s="218"/>
      <c r="BV1211" s="220"/>
    </row>
    <row r="1212" spans="1:74" x14ac:dyDescent="0.8">
      <c r="A1212" s="64"/>
      <c r="B1212" s="64"/>
      <c r="C1212" s="59"/>
      <c r="F1212" s="70"/>
      <c r="G1212" s="86"/>
      <c r="H1212" s="70"/>
      <c r="I1212" s="86"/>
      <c r="J1212" s="70"/>
      <c r="K1212" s="86"/>
      <c r="M1212" s="302"/>
      <c r="N1212" s="83"/>
      <c r="O1212" s="83"/>
      <c r="P1212" s="83"/>
      <c r="Q1212" s="86"/>
      <c r="R1212" s="83"/>
      <c r="S1212" s="83"/>
      <c r="T1212" s="70"/>
      <c r="U1212" s="86"/>
      <c r="V1212" s="70"/>
      <c r="W1212" s="86"/>
      <c r="X1212" s="126"/>
      <c r="Y1212" s="208"/>
      <c r="Z1212" s="126"/>
      <c r="AA1212" s="208"/>
      <c r="AB1212" s="126"/>
      <c r="AC1212" s="208"/>
      <c r="AD1212" s="209"/>
      <c r="AE1212" s="210"/>
      <c r="AF1212" s="209"/>
      <c r="AG1212" s="210"/>
      <c r="AH1212" s="209"/>
      <c r="AI1212" s="210"/>
      <c r="AJ1212" s="209"/>
      <c r="AK1212" s="210"/>
      <c r="AL1212" s="209"/>
      <c r="AM1212" s="211"/>
      <c r="AN1212" s="209"/>
      <c r="AO1212" s="212"/>
      <c r="AP1212" s="213"/>
      <c r="AQ1212" s="213"/>
      <c r="AR1212" s="209"/>
      <c r="AS1212" s="301"/>
      <c r="AT1212" s="301"/>
      <c r="AU1212" s="209"/>
      <c r="AV1212" s="301"/>
      <c r="AW1212" s="210"/>
      <c r="AX1212" s="301"/>
      <c r="AY1212" s="214"/>
      <c r="AZ1212" s="211"/>
      <c r="BA1212" s="212"/>
      <c r="BB1212" s="212"/>
      <c r="BC1212" s="213"/>
      <c r="BD1212" s="209"/>
      <c r="BE1212" s="301"/>
      <c r="BF1212" s="301"/>
      <c r="BG1212" s="209"/>
      <c r="BH1212" s="301"/>
      <c r="BI1212" s="210"/>
      <c r="BJ1212" s="214"/>
      <c r="BK1212" s="212"/>
      <c r="BL1212" s="221"/>
      <c r="BM1212" s="216"/>
      <c r="BN1212" s="221"/>
      <c r="BO1212" s="221"/>
      <c r="BP1212" s="222"/>
      <c r="BQ1212" s="218"/>
      <c r="BR1212" s="219"/>
      <c r="BS1212" s="218"/>
      <c r="BT1212" s="218"/>
      <c r="BU1212" s="218"/>
      <c r="BV1212" s="220"/>
    </row>
    <row r="1213" spans="1:74" x14ac:dyDescent="0.8">
      <c r="A1213" s="64"/>
      <c r="B1213" s="64"/>
      <c r="C1213" s="59"/>
      <c r="F1213" s="70"/>
      <c r="G1213" s="86"/>
      <c r="H1213" s="70"/>
      <c r="I1213" s="86"/>
      <c r="J1213" s="70"/>
      <c r="K1213" s="86"/>
      <c r="M1213" s="302"/>
      <c r="N1213" s="83"/>
      <c r="O1213" s="83"/>
      <c r="P1213" s="83"/>
      <c r="Q1213" s="86"/>
      <c r="R1213" s="83"/>
      <c r="S1213" s="83"/>
      <c r="T1213" s="70"/>
      <c r="U1213" s="86"/>
      <c r="V1213" s="70"/>
      <c r="W1213" s="86"/>
      <c r="X1213" s="126"/>
      <c r="Y1213" s="208"/>
      <c r="Z1213" s="126"/>
      <c r="AA1213" s="208"/>
      <c r="AB1213" s="126"/>
      <c r="AC1213" s="208"/>
      <c r="AD1213" s="209"/>
      <c r="AE1213" s="210"/>
      <c r="AF1213" s="209"/>
      <c r="AG1213" s="210"/>
      <c r="AH1213" s="209"/>
      <c r="AI1213" s="210"/>
      <c r="AJ1213" s="209"/>
      <c r="AK1213" s="210"/>
      <c r="AL1213" s="209"/>
      <c r="AM1213" s="211"/>
      <c r="AN1213" s="209"/>
      <c r="AO1213" s="212"/>
      <c r="AP1213" s="213"/>
      <c r="AQ1213" s="213"/>
      <c r="AR1213" s="209"/>
      <c r="AS1213" s="301"/>
      <c r="AT1213" s="301"/>
      <c r="AU1213" s="209"/>
      <c r="AV1213" s="301"/>
      <c r="AW1213" s="210"/>
      <c r="AX1213" s="301"/>
      <c r="AY1213" s="214"/>
      <c r="AZ1213" s="211"/>
      <c r="BA1213" s="212"/>
      <c r="BB1213" s="212"/>
      <c r="BC1213" s="213"/>
      <c r="BD1213" s="209"/>
      <c r="BE1213" s="301"/>
      <c r="BF1213" s="301"/>
      <c r="BG1213" s="209"/>
      <c r="BH1213" s="301"/>
      <c r="BI1213" s="210"/>
      <c r="BJ1213" s="214"/>
      <c r="BK1213" s="212"/>
      <c r="BL1213" s="221"/>
      <c r="BM1213" s="216"/>
      <c r="BN1213" s="221"/>
      <c r="BO1213" s="221"/>
      <c r="BP1213" s="222"/>
      <c r="BQ1213" s="218"/>
      <c r="BR1213" s="219"/>
      <c r="BS1213" s="218"/>
      <c r="BT1213" s="218"/>
      <c r="BU1213" s="218"/>
      <c r="BV1213" s="220"/>
    </row>
    <row r="1214" spans="1:74" x14ac:dyDescent="0.8">
      <c r="A1214" s="64"/>
      <c r="B1214" s="64"/>
      <c r="C1214" s="59"/>
      <c r="F1214" s="70"/>
      <c r="G1214" s="86"/>
      <c r="H1214" s="70"/>
      <c r="I1214" s="86"/>
      <c r="J1214" s="70"/>
      <c r="K1214" s="86"/>
      <c r="M1214" s="302"/>
      <c r="N1214" s="83"/>
      <c r="O1214" s="83"/>
      <c r="P1214" s="83"/>
      <c r="Q1214" s="86"/>
      <c r="R1214" s="83"/>
      <c r="S1214" s="83"/>
      <c r="T1214" s="70"/>
      <c r="U1214" s="86"/>
      <c r="V1214" s="70"/>
      <c r="W1214" s="86"/>
      <c r="X1214" s="126"/>
      <c r="Y1214" s="208"/>
      <c r="Z1214" s="126"/>
      <c r="AA1214" s="208"/>
      <c r="AB1214" s="126"/>
      <c r="AC1214" s="208"/>
      <c r="AD1214" s="209"/>
      <c r="AE1214" s="210"/>
      <c r="AF1214" s="209"/>
      <c r="AG1214" s="210"/>
      <c r="AH1214" s="209"/>
      <c r="AI1214" s="210"/>
      <c r="AJ1214" s="209"/>
      <c r="AK1214" s="210"/>
      <c r="AL1214" s="209"/>
      <c r="AM1214" s="211"/>
      <c r="AN1214" s="209"/>
      <c r="AO1214" s="212"/>
      <c r="AP1214" s="213"/>
      <c r="AQ1214" s="213"/>
      <c r="AR1214" s="209"/>
      <c r="AS1214" s="301"/>
      <c r="AT1214" s="301"/>
      <c r="AU1214" s="209"/>
      <c r="AV1214" s="301"/>
      <c r="AW1214" s="210"/>
      <c r="AX1214" s="301"/>
      <c r="AY1214" s="214"/>
      <c r="AZ1214" s="211"/>
      <c r="BA1214" s="212"/>
      <c r="BB1214" s="212"/>
      <c r="BC1214" s="213"/>
      <c r="BD1214" s="209"/>
      <c r="BE1214" s="301"/>
      <c r="BF1214" s="301"/>
      <c r="BG1214" s="209"/>
      <c r="BH1214" s="301"/>
      <c r="BI1214" s="210"/>
      <c r="BJ1214" s="214"/>
      <c r="BK1214" s="212"/>
      <c r="BL1214" s="221"/>
      <c r="BM1214" s="216"/>
      <c r="BN1214" s="221"/>
      <c r="BO1214" s="221"/>
      <c r="BP1214" s="222"/>
      <c r="BQ1214" s="218"/>
      <c r="BR1214" s="219"/>
      <c r="BS1214" s="218"/>
      <c r="BT1214" s="218"/>
      <c r="BU1214" s="218"/>
      <c r="BV1214" s="220"/>
    </row>
    <row r="1215" spans="1:74" x14ac:dyDescent="0.8">
      <c r="A1215" s="64"/>
      <c r="B1215" s="64"/>
      <c r="C1215" s="59"/>
      <c r="F1215" s="70"/>
      <c r="G1215" s="86"/>
      <c r="H1215" s="70"/>
      <c r="I1215" s="86"/>
      <c r="J1215" s="70"/>
      <c r="K1215" s="86"/>
      <c r="M1215" s="302"/>
      <c r="N1215" s="83"/>
      <c r="O1215" s="83"/>
      <c r="P1215" s="83"/>
      <c r="Q1215" s="86"/>
      <c r="R1215" s="83"/>
      <c r="S1215" s="83"/>
      <c r="T1215" s="70"/>
      <c r="U1215" s="86"/>
      <c r="V1215" s="70"/>
      <c r="W1215" s="86"/>
      <c r="X1215" s="126"/>
      <c r="Y1215" s="208"/>
      <c r="Z1215" s="126"/>
      <c r="AA1215" s="208"/>
      <c r="AB1215" s="126"/>
      <c r="AC1215" s="208"/>
      <c r="AD1215" s="209"/>
      <c r="AE1215" s="210"/>
      <c r="AF1215" s="209"/>
      <c r="AG1215" s="210"/>
      <c r="AH1215" s="209"/>
      <c r="AI1215" s="210"/>
      <c r="AJ1215" s="209"/>
      <c r="AK1215" s="210"/>
      <c r="AL1215" s="209"/>
      <c r="AM1215" s="211"/>
      <c r="AN1215" s="209"/>
      <c r="AO1215" s="212"/>
      <c r="AP1215" s="213"/>
      <c r="AQ1215" s="213"/>
      <c r="AR1215" s="209"/>
      <c r="AS1215" s="301"/>
      <c r="AT1215" s="301"/>
      <c r="AU1215" s="209"/>
      <c r="AV1215" s="301"/>
      <c r="AW1215" s="210"/>
      <c r="AX1215" s="301"/>
      <c r="AY1215" s="214"/>
      <c r="AZ1215" s="211"/>
      <c r="BA1215" s="212"/>
      <c r="BB1215" s="212"/>
      <c r="BC1215" s="213"/>
      <c r="BD1215" s="209"/>
      <c r="BE1215" s="301"/>
      <c r="BF1215" s="301"/>
      <c r="BG1215" s="209"/>
      <c r="BH1215" s="301"/>
      <c r="BI1215" s="210"/>
      <c r="BJ1215" s="214"/>
      <c r="BK1215" s="212"/>
      <c r="BL1215" s="221"/>
      <c r="BM1215" s="216"/>
      <c r="BN1215" s="221"/>
      <c r="BO1215" s="221"/>
      <c r="BP1215" s="222"/>
      <c r="BQ1215" s="218"/>
      <c r="BR1215" s="219"/>
      <c r="BS1215" s="218"/>
      <c r="BT1215" s="218"/>
      <c r="BU1215" s="218"/>
      <c r="BV1215" s="220"/>
    </row>
    <row r="1216" spans="1:74" x14ac:dyDescent="0.8">
      <c r="A1216" s="64"/>
      <c r="B1216" s="64"/>
      <c r="C1216" s="59"/>
      <c r="F1216" s="70"/>
      <c r="G1216" s="86"/>
      <c r="H1216" s="70"/>
      <c r="I1216" s="86"/>
      <c r="J1216" s="70"/>
      <c r="K1216" s="86"/>
      <c r="M1216" s="302"/>
      <c r="N1216" s="83"/>
      <c r="O1216" s="83"/>
      <c r="P1216" s="83"/>
      <c r="Q1216" s="86"/>
      <c r="R1216" s="83"/>
      <c r="S1216" s="83"/>
      <c r="T1216" s="70"/>
      <c r="U1216" s="86"/>
      <c r="V1216" s="70"/>
      <c r="W1216" s="86"/>
      <c r="X1216" s="126"/>
      <c r="Y1216" s="208"/>
      <c r="Z1216" s="126"/>
      <c r="AA1216" s="208"/>
      <c r="AB1216" s="126"/>
      <c r="AC1216" s="208"/>
      <c r="AD1216" s="209"/>
      <c r="AE1216" s="210"/>
      <c r="AF1216" s="209"/>
      <c r="AG1216" s="210"/>
      <c r="AH1216" s="209"/>
      <c r="AI1216" s="210"/>
      <c r="AJ1216" s="209"/>
      <c r="AK1216" s="210"/>
      <c r="AL1216" s="209"/>
      <c r="AM1216" s="211"/>
      <c r="AN1216" s="209"/>
      <c r="AO1216" s="212"/>
      <c r="AP1216" s="213"/>
      <c r="AQ1216" s="213"/>
      <c r="AR1216" s="209"/>
      <c r="AS1216" s="301"/>
      <c r="AT1216" s="301"/>
      <c r="AU1216" s="209"/>
      <c r="AV1216" s="301"/>
      <c r="AW1216" s="210"/>
      <c r="AX1216" s="301"/>
      <c r="AY1216" s="214"/>
      <c r="AZ1216" s="211"/>
      <c r="BA1216" s="212"/>
      <c r="BB1216" s="212"/>
      <c r="BC1216" s="213"/>
      <c r="BD1216" s="209"/>
      <c r="BE1216" s="301"/>
      <c r="BF1216" s="301"/>
      <c r="BG1216" s="209"/>
      <c r="BH1216" s="301"/>
      <c r="BI1216" s="210"/>
      <c r="BJ1216" s="214"/>
      <c r="BK1216" s="212"/>
      <c r="BL1216" s="221"/>
      <c r="BM1216" s="216"/>
      <c r="BN1216" s="221"/>
      <c r="BO1216" s="221"/>
      <c r="BP1216" s="222"/>
      <c r="BQ1216" s="218"/>
      <c r="BR1216" s="219"/>
      <c r="BS1216" s="218"/>
      <c r="BT1216" s="218"/>
      <c r="BU1216" s="218"/>
      <c r="BV1216" s="220"/>
    </row>
    <row r="1217" spans="1:74" x14ac:dyDescent="0.8">
      <c r="A1217" s="64"/>
      <c r="B1217" s="64"/>
      <c r="C1217" s="59"/>
      <c r="F1217" s="70"/>
      <c r="G1217" s="86"/>
      <c r="H1217" s="70"/>
      <c r="I1217" s="86"/>
      <c r="J1217" s="70"/>
      <c r="K1217" s="86"/>
      <c r="M1217" s="302"/>
      <c r="N1217" s="83"/>
      <c r="O1217" s="83"/>
      <c r="P1217" s="83"/>
      <c r="Q1217" s="86"/>
      <c r="R1217" s="83"/>
      <c r="S1217" s="83"/>
      <c r="T1217" s="70"/>
      <c r="U1217" s="86"/>
      <c r="V1217" s="70"/>
      <c r="W1217" s="86"/>
      <c r="X1217" s="126"/>
      <c r="Y1217" s="208"/>
      <c r="Z1217" s="126"/>
      <c r="AA1217" s="208"/>
      <c r="AB1217" s="126"/>
      <c r="AC1217" s="208"/>
      <c r="AD1217" s="209"/>
      <c r="AE1217" s="210"/>
      <c r="AF1217" s="209"/>
      <c r="AG1217" s="210"/>
      <c r="AH1217" s="209"/>
      <c r="AI1217" s="210"/>
      <c r="AJ1217" s="209"/>
      <c r="AK1217" s="210"/>
      <c r="AL1217" s="209"/>
      <c r="AM1217" s="211"/>
      <c r="AN1217" s="209"/>
      <c r="AO1217" s="212"/>
      <c r="AP1217" s="213"/>
      <c r="AQ1217" s="213"/>
      <c r="AR1217" s="209"/>
      <c r="AS1217" s="301"/>
      <c r="AT1217" s="301"/>
      <c r="AU1217" s="209"/>
      <c r="AV1217" s="301"/>
      <c r="AW1217" s="210"/>
      <c r="AX1217" s="301"/>
      <c r="AY1217" s="214"/>
      <c r="AZ1217" s="211"/>
      <c r="BA1217" s="212"/>
      <c r="BB1217" s="212"/>
      <c r="BC1217" s="213"/>
      <c r="BD1217" s="209"/>
      <c r="BE1217" s="301"/>
      <c r="BF1217" s="301"/>
      <c r="BG1217" s="209"/>
      <c r="BH1217" s="301"/>
      <c r="BI1217" s="210"/>
      <c r="BJ1217" s="214"/>
      <c r="BK1217" s="212"/>
      <c r="BL1217" s="221"/>
      <c r="BM1217" s="216"/>
      <c r="BN1217" s="221"/>
      <c r="BO1217" s="221"/>
      <c r="BP1217" s="222"/>
      <c r="BQ1217" s="218"/>
      <c r="BR1217" s="219"/>
      <c r="BS1217" s="218"/>
      <c r="BT1217" s="218"/>
      <c r="BU1217" s="218"/>
      <c r="BV1217" s="220"/>
    </row>
    <row r="1218" spans="1:74" x14ac:dyDescent="0.8">
      <c r="A1218" s="64"/>
      <c r="B1218" s="64"/>
      <c r="C1218" s="59"/>
      <c r="F1218" s="70"/>
      <c r="G1218" s="86"/>
      <c r="H1218" s="70"/>
      <c r="I1218" s="86"/>
      <c r="J1218" s="70"/>
      <c r="K1218" s="86"/>
      <c r="M1218" s="302"/>
      <c r="N1218" s="83"/>
      <c r="O1218" s="83"/>
      <c r="P1218" s="83"/>
      <c r="Q1218" s="86"/>
      <c r="R1218" s="83"/>
      <c r="S1218" s="83"/>
      <c r="T1218" s="70"/>
      <c r="U1218" s="86"/>
      <c r="V1218" s="70"/>
      <c r="W1218" s="86"/>
      <c r="X1218" s="126"/>
      <c r="Y1218" s="208"/>
      <c r="Z1218" s="126"/>
      <c r="AA1218" s="208"/>
      <c r="AB1218" s="126"/>
      <c r="AC1218" s="208"/>
      <c r="AD1218" s="209"/>
      <c r="AE1218" s="210"/>
      <c r="AF1218" s="209"/>
      <c r="AG1218" s="210"/>
      <c r="AH1218" s="209"/>
      <c r="AI1218" s="210"/>
      <c r="AJ1218" s="209"/>
      <c r="AK1218" s="210"/>
      <c r="AL1218" s="209"/>
      <c r="AM1218" s="211"/>
      <c r="AN1218" s="209"/>
      <c r="AO1218" s="212"/>
      <c r="AP1218" s="213"/>
      <c r="AQ1218" s="213"/>
      <c r="AR1218" s="209"/>
      <c r="AS1218" s="301"/>
      <c r="AT1218" s="301"/>
      <c r="AU1218" s="209"/>
      <c r="AV1218" s="301"/>
      <c r="AW1218" s="210"/>
      <c r="AX1218" s="301"/>
      <c r="AY1218" s="214"/>
      <c r="AZ1218" s="211"/>
      <c r="BA1218" s="212"/>
      <c r="BB1218" s="212"/>
      <c r="BC1218" s="213"/>
      <c r="BD1218" s="209"/>
      <c r="BE1218" s="301"/>
      <c r="BF1218" s="301"/>
      <c r="BG1218" s="209"/>
      <c r="BH1218" s="301"/>
      <c r="BI1218" s="210"/>
      <c r="BJ1218" s="214"/>
      <c r="BK1218" s="212"/>
      <c r="BL1218" s="221"/>
      <c r="BM1218" s="216"/>
      <c r="BN1218" s="221"/>
      <c r="BO1218" s="221"/>
      <c r="BP1218" s="222"/>
      <c r="BQ1218" s="218"/>
      <c r="BR1218" s="219"/>
      <c r="BS1218" s="218"/>
      <c r="BT1218" s="218"/>
      <c r="BU1218" s="218"/>
      <c r="BV1218" s="220"/>
    </row>
    <row r="1219" spans="1:74" x14ac:dyDescent="0.8">
      <c r="A1219" s="64"/>
      <c r="B1219" s="64"/>
      <c r="C1219" s="59"/>
      <c r="F1219" s="70"/>
      <c r="G1219" s="86"/>
      <c r="H1219" s="70"/>
      <c r="I1219" s="86"/>
      <c r="J1219" s="70"/>
      <c r="K1219" s="86"/>
      <c r="M1219" s="302"/>
      <c r="N1219" s="83"/>
      <c r="O1219" s="83"/>
      <c r="P1219" s="83"/>
      <c r="Q1219" s="86"/>
      <c r="R1219" s="83"/>
      <c r="S1219" s="83"/>
      <c r="T1219" s="70"/>
      <c r="U1219" s="86"/>
      <c r="V1219" s="70"/>
      <c r="W1219" s="86"/>
      <c r="X1219" s="126"/>
      <c r="Y1219" s="208"/>
      <c r="Z1219" s="126"/>
      <c r="AA1219" s="208"/>
      <c r="AB1219" s="126"/>
      <c r="AC1219" s="208"/>
      <c r="AD1219" s="209"/>
      <c r="AE1219" s="210"/>
      <c r="AF1219" s="209"/>
      <c r="AG1219" s="210"/>
      <c r="AH1219" s="209"/>
      <c r="AI1219" s="210"/>
      <c r="AJ1219" s="209"/>
      <c r="AK1219" s="210"/>
      <c r="AL1219" s="209"/>
      <c r="AM1219" s="211"/>
      <c r="AN1219" s="209"/>
      <c r="AO1219" s="212"/>
      <c r="AP1219" s="213"/>
      <c r="AQ1219" s="213"/>
      <c r="AR1219" s="209"/>
      <c r="AS1219" s="301"/>
      <c r="AT1219" s="301"/>
      <c r="AU1219" s="209"/>
      <c r="AV1219" s="301"/>
      <c r="AW1219" s="210"/>
      <c r="AX1219" s="301"/>
      <c r="AY1219" s="214"/>
      <c r="AZ1219" s="211"/>
      <c r="BA1219" s="212"/>
      <c r="BB1219" s="212"/>
      <c r="BC1219" s="213"/>
      <c r="BD1219" s="209"/>
      <c r="BE1219" s="301"/>
      <c r="BF1219" s="301"/>
      <c r="BG1219" s="209"/>
      <c r="BH1219" s="301"/>
      <c r="BI1219" s="210"/>
      <c r="BJ1219" s="214"/>
      <c r="BK1219" s="212"/>
      <c r="BL1219" s="221"/>
      <c r="BM1219" s="216"/>
      <c r="BN1219" s="221"/>
      <c r="BO1219" s="221"/>
      <c r="BP1219" s="222"/>
      <c r="BQ1219" s="218"/>
      <c r="BR1219" s="219"/>
      <c r="BS1219" s="218"/>
      <c r="BT1219" s="218"/>
      <c r="BU1219" s="218"/>
      <c r="BV1219" s="220"/>
    </row>
    <row r="1220" spans="1:74" x14ac:dyDescent="0.8">
      <c r="A1220" s="64"/>
      <c r="B1220" s="64"/>
      <c r="C1220" s="59"/>
      <c r="F1220" s="70"/>
      <c r="G1220" s="86"/>
      <c r="H1220" s="70"/>
      <c r="I1220" s="86"/>
      <c r="J1220" s="70"/>
      <c r="K1220" s="86"/>
      <c r="M1220" s="302"/>
      <c r="N1220" s="83"/>
      <c r="O1220" s="83"/>
      <c r="P1220" s="83"/>
      <c r="Q1220" s="86"/>
      <c r="R1220" s="83"/>
      <c r="S1220" s="83"/>
      <c r="T1220" s="70"/>
      <c r="U1220" s="86"/>
      <c r="V1220" s="70"/>
      <c r="W1220" s="86"/>
      <c r="X1220" s="126"/>
      <c r="Y1220" s="208"/>
      <c r="Z1220" s="126"/>
      <c r="AA1220" s="208"/>
      <c r="AB1220" s="126"/>
      <c r="AC1220" s="208"/>
      <c r="AD1220" s="209"/>
      <c r="AE1220" s="210"/>
      <c r="AF1220" s="209"/>
      <c r="AG1220" s="210"/>
      <c r="AH1220" s="209"/>
      <c r="AI1220" s="210"/>
      <c r="AJ1220" s="209"/>
      <c r="AK1220" s="210"/>
      <c r="AL1220" s="209"/>
      <c r="AM1220" s="211"/>
      <c r="AN1220" s="209"/>
      <c r="AO1220" s="212"/>
      <c r="AP1220" s="213"/>
      <c r="AQ1220" s="213"/>
      <c r="AR1220" s="209"/>
      <c r="AS1220" s="301"/>
      <c r="AT1220" s="301"/>
      <c r="AU1220" s="209"/>
      <c r="AV1220" s="301"/>
      <c r="AW1220" s="210"/>
      <c r="AX1220" s="301"/>
      <c r="AY1220" s="214"/>
      <c r="AZ1220" s="211"/>
      <c r="BA1220" s="212"/>
      <c r="BB1220" s="212"/>
      <c r="BC1220" s="213"/>
      <c r="BD1220" s="209"/>
      <c r="BE1220" s="301"/>
      <c r="BF1220" s="301"/>
      <c r="BG1220" s="209"/>
      <c r="BH1220" s="301"/>
      <c r="BI1220" s="210"/>
      <c r="BJ1220" s="214"/>
      <c r="BK1220" s="212"/>
      <c r="BL1220" s="221"/>
      <c r="BM1220" s="216"/>
      <c r="BN1220" s="221"/>
      <c r="BO1220" s="221"/>
      <c r="BP1220" s="222"/>
      <c r="BQ1220" s="218"/>
      <c r="BR1220" s="219"/>
      <c r="BS1220" s="218"/>
      <c r="BT1220" s="218"/>
      <c r="BU1220" s="218"/>
      <c r="BV1220" s="220"/>
    </row>
    <row r="1221" spans="1:74" x14ac:dyDescent="0.8">
      <c r="A1221" s="64"/>
      <c r="B1221" s="64"/>
      <c r="C1221" s="59"/>
      <c r="F1221" s="70"/>
      <c r="G1221" s="86"/>
      <c r="H1221" s="70"/>
      <c r="I1221" s="86"/>
      <c r="J1221" s="70"/>
      <c r="K1221" s="86"/>
      <c r="M1221" s="302"/>
      <c r="N1221" s="83"/>
      <c r="O1221" s="83"/>
      <c r="P1221" s="83"/>
      <c r="Q1221" s="86"/>
      <c r="R1221" s="83"/>
      <c r="S1221" s="83"/>
      <c r="T1221" s="70"/>
      <c r="U1221" s="86"/>
      <c r="V1221" s="70"/>
      <c r="W1221" s="86"/>
      <c r="X1221" s="126"/>
      <c r="Y1221" s="208"/>
      <c r="Z1221" s="126"/>
      <c r="AA1221" s="208"/>
      <c r="AB1221" s="126"/>
      <c r="AC1221" s="208"/>
      <c r="AD1221" s="209"/>
      <c r="AE1221" s="210"/>
      <c r="AF1221" s="209"/>
      <c r="AG1221" s="210"/>
      <c r="AH1221" s="209"/>
      <c r="AI1221" s="210"/>
      <c r="AJ1221" s="209"/>
      <c r="AK1221" s="210"/>
      <c r="AL1221" s="209"/>
      <c r="AM1221" s="211"/>
      <c r="AN1221" s="209"/>
      <c r="AO1221" s="212"/>
      <c r="AP1221" s="213"/>
      <c r="AQ1221" s="213"/>
      <c r="AR1221" s="209"/>
      <c r="AS1221" s="301"/>
      <c r="AT1221" s="301"/>
      <c r="AU1221" s="209"/>
      <c r="AV1221" s="301"/>
      <c r="AW1221" s="210"/>
      <c r="AX1221" s="301"/>
      <c r="AY1221" s="214"/>
      <c r="AZ1221" s="211"/>
      <c r="BA1221" s="212"/>
      <c r="BB1221" s="212"/>
      <c r="BC1221" s="213"/>
      <c r="BD1221" s="209"/>
      <c r="BE1221" s="301"/>
      <c r="BF1221" s="301"/>
      <c r="BG1221" s="209"/>
      <c r="BH1221" s="301"/>
      <c r="BI1221" s="210"/>
      <c r="BJ1221" s="214"/>
      <c r="BK1221" s="212"/>
      <c r="BL1221" s="221"/>
      <c r="BM1221" s="216"/>
      <c r="BN1221" s="221"/>
      <c r="BO1221" s="221"/>
      <c r="BP1221" s="222"/>
      <c r="BQ1221" s="218"/>
      <c r="BR1221" s="219"/>
      <c r="BS1221" s="218"/>
      <c r="BT1221" s="218"/>
      <c r="BU1221" s="218"/>
      <c r="BV1221" s="220"/>
    </row>
    <row r="1222" spans="1:74" x14ac:dyDescent="0.8">
      <c r="A1222" s="64"/>
      <c r="B1222" s="64"/>
      <c r="C1222" s="59"/>
      <c r="F1222" s="70"/>
      <c r="G1222" s="86"/>
      <c r="H1222" s="70"/>
      <c r="I1222" s="86"/>
      <c r="J1222" s="70"/>
      <c r="K1222" s="86"/>
      <c r="M1222" s="302"/>
      <c r="N1222" s="83"/>
      <c r="O1222" s="83"/>
      <c r="P1222" s="83"/>
      <c r="Q1222" s="86"/>
      <c r="R1222" s="83"/>
      <c r="S1222" s="83"/>
      <c r="T1222" s="70"/>
      <c r="U1222" s="86"/>
      <c r="V1222" s="70"/>
      <c r="W1222" s="86"/>
      <c r="X1222" s="126"/>
      <c r="Y1222" s="208"/>
      <c r="Z1222" s="126"/>
      <c r="AA1222" s="208"/>
      <c r="AB1222" s="126"/>
      <c r="AC1222" s="208"/>
      <c r="AD1222" s="209"/>
      <c r="AE1222" s="210"/>
      <c r="AF1222" s="209"/>
      <c r="AG1222" s="210"/>
      <c r="AH1222" s="209"/>
      <c r="AI1222" s="210"/>
      <c r="AJ1222" s="209"/>
      <c r="AK1222" s="210"/>
      <c r="AL1222" s="209"/>
      <c r="AM1222" s="211"/>
      <c r="AN1222" s="209"/>
      <c r="AO1222" s="212"/>
      <c r="AP1222" s="213"/>
      <c r="AQ1222" s="213"/>
      <c r="AR1222" s="209"/>
      <c r="AS1222" s="301"/>
      <c r="AT1222" s="301"/>
      <c r="AU1222" s="209"/>
      <c r="AV1222" s="301"/>
      <c r="AW1222" s="210"/>
      <c r="AX1222" s="301"/>
      <c r="AY1222" s="214"/>
      <c r="AZ1222" s="211"/>
      <c r="BA1222" s="212"/>
      <c r="BB1222" s="212"/>
      <c r="BC1222" s="213"/>
      <c r="BD1222" s="209"/>
      <c r="BE1222" s="301"/>
      <c r="BF1222" s="301"/>
      <c r="BG1222" s="209"/>
      <c r="BH1222" s="301"/>
      <c r="BI1222" s="210"/>
      <c r="BJ1222" s="214"/>
      <c r="BK1222" s="212"/>
      <c r="BL1222" s="221"/>
      <c r="BM1222" s="216"/>
      <c r="BN1222" s="221"/>
      <c r="BO1222" s="221"/>
      <c r="BP1222" s="222"/>
      <c r="BQ1222" s="218"/>
      <c r="BR1222" s="219"/>
      <c r="BS1222" s="218"/>
      <c r="BT1222" s="218"/>
      <c r="BU1222" s="218"/>
      <c r="BV1222" s="220"/>
    </row>
    <row r="1223" spans="1:74" x14ac:dyDescent="0.8">
      <c r="A1223" s="64"/>
      <c r="B1223" s="64"/>
      <c r="C1223" s="59"/>
      <c r="F1223" s="70"/>
      <c r="G1223" s="86"/>
      <c r="H1223" s="70"/>
      <c r="I1223" s="86"/>
      <c r="J1223" s="70"/>
      <c r="K1223" s="86"/>
      <c r="M1223" s="302"/>
      <c r="N1223" s="83"/>
      <c r="O1223" s="83"/>
      <c r="P1223" s="83"/>
      <c r="Q1223" s="86"/>
      <c r="R1223" s="83"/>
      <c r="S1223" s="83"/>
      <c r="T1223" s="70"/>
      <c r="U1223" s="86"/>
      <c r="V1223" s="70"/>
      <c r="W1223" s="86"/>
      <c r="X1223" s="126"/>
      <c r="Y1223" s="208"/>
      <c r="Z1223" s="126"/>
      <c r="AA1223" s="208"/>
      <c r="AB1223" s="126"/>
      <c r="AC1223" s="208"/>
      <c r="AD1223" s="209"/>
      <c r="AE1223" s="210"/>
      <c r="AF1223" s="209"/>
      <c r="AG1223" s="210"/>
      <c r="AH1223" s="209"/>
      <c r="AI1223" s="210"/>
      <c r="AJ1223" s="209"/>
      <c r="AK1223" s="210"/>
      <c r="AL1223" s="209"/>
      <c r="AM1223" s="211"/>
      <c r="AN1223" s="209"/>
      <c r="AO1223" s="212"/>
      <c r="AP1223" s="213"/>
      <c r="AQ1223" s="213"/>
      <c r="AR1223" s="209"/>
      <c r="AS1223" s="301"/>
      <c r="AT1223" s="301"/>
      <c r="AU1223" s="209"/>
      <c r="AV1223" s="301"/>
      <c r="AW1223" s="210"/>
      <c r="AX1223" s="301"/>
      <c r="AY1223" s="214"/>
      <c r="AZ1223" s="211"/>
      <c r="BA1223" s="212"/>
      <c r="BB1223" s="212"/>
      <c r="BC1223" s="213"/>
      <c r="BD1223" s="209"/>
      <c r="BE1223" s="301"/>
      <c r="BF1223" s="301"/>
      <c r="BG1223" s="209"/>
      <c r="BH1223" s="301"/>
      <c r="BI1223" s="210"/>
      <c r="BJ1223" s="214"/>
      <c r="BK1223" s="212"/>
      <c r="BL1223" s="221"/>
      <c r="BM1223" s="216"/>
      <c r="BN1223" s="221"/>
      <c r="BO1223" s="221"/>
      <c r="BP1223" s="222"/>
      <c r="BQ1223" s="218"/>
      <c r="BR1223" s="219"/>
      <c r="BS1223" s="218"/>
      <c r="BT1223" s="218"/>
      <c r="BU1223" s="218"/>
      <c r="BV1223" s="220"/>
    </row>
    <row r="1224" spans="1:74" x14ac:dyDescent="0.8">
      <c r="A1224" s="64"/>
      <c r="B1224" s="64"/>
      <c r="C1224" s="59"/>
      <c r="F1224" s="70"/>
      <c r="G1224" s="86"/>
      <c r="H1224" s="70"/>
      <c r="I1224" s="86"/>
      <c r="J1224" s="70"/>
      <c r="K1224" s="86"/>
      <c r="M1224" s="302"/>
      <c r="N1224" s="83"/>
      <c r="O1224" s="83"/>
      <c r="P1224" s="83"/>
      <c r="Q1224" s="86"/>
      <c r="R1224" s="83"/>
      <c r="S1224" s="83"/>
      <c r="T1224" s="70"/>
      <c r="U1224" s="86"/>
      <c r="V1224" s="70"/>
      <c r="W1224" s="86"/>
      <c r="X1224" s="126"/>
      <c r="Y1224" s="208"/>
      <c r="Z1224" s="126"/>
      <c r="AA1224" s="208"/>
      <c r="AB1224" s="126"/>
      <c r="AC1224" s="208"/>
      <c r="AD1224" s="209"/>
      <c r="AE1224" s="210"/>
      <c r="AF1224" s="209"/>
      <c r="AG1224" s="210"/>
      <c r="AH1224" s="209"/>
      <c r="AI1224" s="210"/>
      <c r="AJ1224" s="209"/>
      <c r="AK1224" s="210"/>
      <c r="AL1224" s="209"/>
      <c r="AM1224" s="211"/>
      <c r="AN1224" s="209"/>
      <c r="AO1224" s="212"/>
      <c r="AP1224" s="213"/>
      <c r="AQ1224" s="213"/>
      <c r="AR1224" s="209"/>
      <c r="AS1224" s="301"/>
      <c r="AT1224" s="301"/>
      <c r="AU1224" s="209"/>
      <c r="AV1224" s="301"/>
      <c r="AW1224" s="210"/>
      <c r="AX1224" s="301"/>
      <c r="AY1224" s="214"/>
      <c r="AZ1224" s="211"/>
      <c r="BA1224" s="212"/>
      <c r="BB1224" s="212"/>
      <c r="BC1224" s="213"/>
      <c r="BD1224" s="209"/>
      <c r="BE1224" s="301"/>
      <c r="BF1224" s="301"/>
      <c r="BG1224" s="209"/>
      <c r="BH1224" s="301"/>
      <c r="BI1224" s="210"/>
      <c r="BJ1224" s="214"/>
      <c r="BK1224" s="212"/>
      <c r="BL1224" s="221"/>
      <c r="BM1224" s="216"/>
      <c r="BN1224" s="221"/>
      <c r="BO1224" s="221"/>
      <c r="BP1224" s="222"/>
      <c r="BQ1224" s="218"/>
      <c r="BR1224" s="219"/>
      <c r="BS1224" s="218"/>
      <c r="BT1224" s="218"/>
      <c r="BU1224" s="218"/>
      <c r="BV1224" s="220"/>
    </row>
    <row r="1225" spans="1:74" x14ac:dyDescent="0.8">
      <c r="A1225" s="64"/>
      <c r="B1225" s="64"/>
      <c r="C1225" s="59"/>
      <c r="F1225" s="70"/>
      <c r="G1225" s="86"/>
      <c r="H1225" s="70"/>
      <c r="I1225" s="86"/>
      <c r="J1225" s="70"/>
      <c r="K1225" s="86"/>
      <c r="M1225" s="302"/>
      <c r="N1225" s="83"/>
      <c r="O1225" s="83"/>
      <c r="P1225" s="83"/>
      <c r="Q1225" s="86"/>
      <c r="R1225" s="83"/>
      <c r="S1225" s="83"/>
      <c r="T1225" s="70"/>
      <c r="U1225" s="86"/>
      <c r="V1225" s="70"/>
      <c r="W1225" s="86"/>
      <c r="X1225" s="126"/>
      <c r="Y1225" s="208"/>
      <c r="Z1225" s="126"/>
      <c r="AA1225" s="208"/>
      <c r="AB1225" s="126"/>
      <c r="AC1225" s="208"/>
      <c r="AD1225" s="209"/>
      <c r="AE1225" s="210"/>
      <c r="AF1225" s="209"/>
      <c r="AG1225" s="210"/>
      <c r="AH1225" s="209"/>
      <c r="AI1225" s="210"/>
      <c r="AJ1225" s="209"/>
      <c r="AK1225" s="210"/>
      <c r="AL1225" s="209"/>
      <c r="AM1225" s="211"/>
      <c r="AN1225" s="209"/>
      <c r="AO1225" s="212"/>
      <c r="AP1225" s="213"/>
      <c r="AQ1225" s="213"/>
      <c r="AR1225" s="209"/>
      <c r="AS1225" s="301"/>
      <c r="AT1225" s="301"/>
      <c r="AU1225" s="209"/>
      <c r="AV1225" s="301"/>
      <c r="AW1225" s="210"/>
      <c r="AX1225" s="301"/>
      <c r="AY1225" s="214"/>
      <c r="AZ1225" s="211"/>
      <c r="BA1225" s="212"/>
      <c r="BB1225" s="212"/>
      <c r="BC1225" s="213"/>
      <c r="BD1225" s="209"/>
      <c r="BE1225" s="301"/>
      <c r="BF1225" s="301"/>
      <c r="BG1225" s="209"/>
      <c r="BH1225" s="301"/>
      <c r="BI1225" s="210"/>
      <c r="BJ1225" s="214"/>
      <c r="BK1225" s="212"/>
      <c r="BL1225" s="221"/>
      <c r="BM1225" s="216"/>
      <c r="BN1225" s="221"/>
      <c r="BO1225" s="221"/>
      <c r="BP1225" s="222"/>
      <c r="BQ1225" s="218"/>
      <c r="BR1225" s="219"/>
      <c r="BS1225" s="218"/>
      <c r="BT1225" s="218"/>
      <c r="BU1225" s="218"/>
      <c r="BV1225" s="220"/>
    </row>
    <row r="1226" spans="1:74" x14ac:dyDescent="0.8">
      <c r="A1226" s="64"/>
      <c r="B1226" s="64"/>
      <c r="C1226" s="59"/>
      <c r="F1226" s="70"/>
      <c r="G1226" s="86"/>
      <c r="H1226" s="70"/>
      <c r="I1226" s="86"/>
      <c r="J1226" s="70"/>
      <c r="K1226" s="86"/>
      <c r="M1226" s="302"/>
      <c r="N1226" s="83"/>
      <c r="O1226" s="83"/>
      <c r="P1226" s="83"/>
      <c r="Q1226" s="86"/>
      <c r="R1226" s="83"/>
      <c r="S1226" s="83"/>
      <c r="T1226" s="70"/>
      <c r="U1226" s="86"/>
      <c r="V1226" s="70"/>
      <c r="W1226" s="86"/>
      <c r="X1226" s="126"/>
      <c r="Y1226" s="208"/>
      <c r="Z1226" s="126"/>
      <c r="AA1226" s="208"/>
      <c r="AB1226" s="126"/>
      <c r="AC1226" s="208"/>
      <c r="AD1226" s="209"/>
      <c r="AE1226" s="210"/>
      <c r="AF1226" s="209"/>
      <c r="AG1226" s="210"/>
      <c r="AH1226" s="209"/>
      <c r="AI1226" s="210"/>
      <c r="AJ1226" s="209"/>
      <c r="AK1226" s="210"/>
      <c r="AL1226" s="209"/>
      <c r="AM1226" s="211"/>
      <c r="AN1226" s="209"/>
      <c r="AO1226" s="212"/>
      <c r="AP1226" s="213"/>
      <c r="AQ1226" s="213"/>
      <c r="AR1226" s="209"/>
      <c r="AS1226" s="301"/>
      <c r="AT1226" s="301"/>
      <c r="AU1226" s="209"/>
      <c r="AV1226" s="301"/>
      <c r="AW1226" s="210"/>
      <c r="AX1226" s="301"/>
      <c r="AY1226" s="214"/>
      <c r="AZ1226" s="211"/>
      <c r="BA1226" s="212"/>
      <c r="BB1226" s="212"/>
      <c r="BC1226" s="213"/>
      <c r="BD1226" s="209"/>
      <c r="BE1226" s="301"/>
      <c r="BF1226" s="301"/>
      <c r="BG1226" s="209"/>
      <c r="BH1226" s="301"/>
      <c r="BI1226" s="210"/>
      <c r="BJ1226" s="214"/>
      <c r="BK1226" s="212"/>
      <c r="BL1226" s="221"/>
      <c r="BM1226" s="216"/>
      <c r="BN1226" s="221"/>
      <c r="BO1226" s="221"/>
      <c r="BP1226" s="222"/>
      <c r="BQ1226" s="218"/>
      <c r="BR1226" s="219"/>
      <c r="BS1226" s="218"/>
      <c r="BT1226" s="218"/>
      <c r="BU1226" s="218"/>
      <c r="BV1226" s="220"/>
    </row>
    <row r="1227" spans="1:74" x14ac:dyDescent="0.8">
      <c r="A1227" s="64"/>
      <c r="B1227" s="64"/>
      <c r="C1227" s="59"/>
      <c r="F1227" s="70"/>
      <c r="G1227" s="86"/>
      <c r="H1227" s="70"/>
      <c r="I1227" s="86"/>
      <c r="J1227" s="70"/>
      <c r="K1227" s="86"/>
      <c r="M1227" s="302"/>
      <c r="N1227" s="83"/>
      <c r="O1227" s="83"/>
      <c r="P1227" s="83"/>
      <c r="Q1227" s="86"/>
      <c r="R1227" s="83"/>
      <c r="S1227" s="83"/>
      <c r="T1227" s="70"/>
      <c r="U1227" s="86"/>
      <c r="V1227" s="70"/>
      <c r="W1227" s="86"/>
      <c r="X1227" s="126"/>
      <c r="Y1227" s="208"/>
      <c r="Z1227" s="126"/>
      <c r="AA1227" s="208"/>
      <c r="AB1227" s="126"/>
      <c r="AC1227" s="208"/>
      <c r="AD1227" s="209"/>
      <c r="AE1227" s="210"/>
      <c r="AF1227" s="209"/>
      <c r="AG1227" s="210"/>
      <c r="AH1227" s="209"/>
      <c r="AI1227" s="210"/>
      <c r="AJ1227" s="209"/>
      <c r="AK1227" s="210"/>
      <c r="AL1227" s="209"/>
      <c r="AM1227" s="211"/>
      <c r="AN1227" s="209"/>
      <c r="AO1227" s="212"/>
      <c r="AP1227" s="213"/>
      <c r="AQ1227" s="213"/>
      <c r="AR1227" s="209"/>
      <c r="AS1227" s="301"/>
      <c r="AT1227" s="301"/>
      <c r="AU1227" s="209"/>
      <c r="AV1227" s="301"/>
      <c r="AW1227" s="210"/>
      <c r="AX1227" s="301"/>
      <c r="AY1227" s="214"/>
      <c r="AZ1227" s="211"/>
      <c r="BA1227" s="212"/>
      <c r="BB1227" s="212"/>
      <c r="BC1227" s="213"/>
      <c r="BD1227" s="209"/>
      <c r="BE1227" s="301"/>
      <c r="BF1227" s="301"/>
      <c r="BG1227" s="209"/>
      <c r="BH1227" s="301"/>
      <c r="BI1227" s="210"/>
      <c r="BJ1227" s="214"/>
      <c r="BK1227" s="212"/>
      <c r="BL1227" s="221"/>
      <c r="BM1227" s="216"/>
      <c r="BN1227" s="221"/>
      <c r="BO1227" s="221"/>
      <c r="BP1227" s="222"/>
      <c r="BQ1227" s="218"/>
      <c r="BR1227" s="219"/>
      <c r="BS1227" s="218"/>
      <c r="BT1227" s="218"/>
      <c r="BU1227" s="218"/>
      <c r="BV1227" s="220"/>
    </row>
    <row r="1228" spans="1:74" x14ac:dyDescent="0.8">
      <c r="A1228" s="64"/>
      <c r="B1228" s="64"/>
      <c r="C1228" s="59"/>
      <c r="F1228" s="70"/>
      <c r="G1228" s="86"/>
      <c r="H1228" s="70"/>
      <c r="I1228" s="86"/>
      <c r="J1228" s="70"/>
      <c r="K1228" s="86"/>
      <c r="M1228" s="302"/>
      <c r="N1228" s="83"/>
      <c r="O1228" s="83"/>
      <c r="P1228" s="83"/>
      <c r="Q1228" s="86"/>
      <c r="R1228" s="83"/>
      <c r="S1228" s="83"/>
      <c r="T1228" s="70"/>
      <c r="U1228" s="86"/>
      <c r="V1228" s="70"/>
      <c r="W1228" s="86"/>
      <c r="X1228" s="126"/>
      <c r="Y1228" s="208"/>
      <c r="Z1228" s="126"/>
      <c r="AA1228" s="208"/>
      <c r="AB1228" s="126"/>
      <c r="AC1228" s="208"/>
      <c r="AD1228" s="209"/>
      <c r="AE1228" s="210"/>
      <c r="AF1228" s="209"/>
      <c r="AG1228" s="210"/>
      <c r="AH1228" s="209"/>
      <c r="AI1228" s="210"/>
      <c r="AJ1228" s="209"/>
      <c r="AK1228" s="210"/>
      <c r="AL1228" s="209"/>
      <c r="AM1228" s="211"/>
      <c r="AN1228" s="209"/>
      <c r="AO1228" s="212"/>
      <c r="AP1228" s="213"/>
      <c r="AQ1228" s="213"/>
      <c r="AR1228" s="209"/>
      <c r="AS1228" s="301"/>
      <c r="AT1228" s="301"/>
      <c r="AU1228" s="209"/>
      <c r="AV1228" s="301"/>
      <c r="AW1228" s="210"/>
      <c r="AX1228" s="301"/>
      <c r="AY1228" s="214"/>
      <c r="AZ1228" s="211"/>
      <c r="BA1228" s="212"/>
      <c r="BB1228" s="212"/>
      <c r="BC1228" s="213"/>
      <c r="BD1228" s="209"/>
      <c r="BE1228" s="301"/>
      <c r="BF1228" s="301"/>
      <c r="BG1228" s="209"/>
      <c r="BH1228" s="301"/>
      <c r="BI1228" s="210"/>
      <c r="BJ1228" s="214"/>
      <c r="BK1228" s="212"/>
      <c r="BL1228" s="221"/>
      <c r="BM1228" s="216"/>
      <c r="BN1228" s="221"/>
      <c r="BO1228" s="221"/>
      <c r="BP1228" s="222"/>
      <c r="BQ1228" s="218"/>
      <c r="BR1228" s="219"/>
      <c r="BS1228" s="218"/>
      <c r="BT1228" s="218"/>
      <c r="BU1228" s="218"/>
      <c r="BV1228" s="220"/>
    </row>
    <row r="1229" spans="1:74" x14ac:dyDescent="0.8">
      <c r="A1229" s="64"/>
      <c r="B1229" s="64"/>
      <c r="C1229" s="59"/>
      <c r="F1229" s="70"/>
      <c r="G1229" s="86"/>
      <c r="H1229" s="70"/>
      <c r="I1229" s="86"/>
      <c r="J1229" s="70"/>
      <c r="K1229" s="86"/>
      <c r="M1229" s="302"/>
      <c r="N1229" s="83"/>
      <c r="O1229" s="83"/>
      <c r="P1229" s="83"/>
      <c r="Q1229" s="86"/>
      <c r="R1229" s="83"/>
      <c r="S1229" s="83"/>
      <c r="T1229" s="70"/>
      <c r="U1229" s="86"/>
      <c r="V1229" s="70"/>
      <c r="W1229" s="86"/>
      <c r="X1229" s="126"/>
      <c r="Y1229" s="208"/>
      <c r="Z1229" s="126"/>
      <c r="AA1229" s="208"/>
      <c r="AB1229" s="126"/>
      <c r="AC1229" s="208"/>
      <c r="AD1229" s="209"/>
      <c r="AE1229" s="210"/>
      <c r="AF1229" s="209"/>
      <c r="AG1229" s="210"/>
      <c r="AH1229" s="209"/>
      <c r="AI1229" s="210"/>
      <c r="AJ1229" s="209"/>
      <c r="AK1229" s="210"/>
      <c r="AL1229" s="209"/>
      <c r="AM1229" s="211"/>
      <c r="AN1229" s="209"/>
      <c r="AO1229" s="212"/>
      <c r="AP1229" s="213"/>
      <c r="AQ1229" s="213"/>
      <c r="AR1229" s="209"/>
      <c r="AS1229" s="301"/>
      <c r="AT1229" s="301"/>
      <c r="AU1229" s="209"/>
      <c r="AV1229" s="301"/>
      <c r="AW1229" s="210"/>
      <c r="AX1229" s="301"/>
      <c r="AY1229" s="214"/>
      <c r="AZ1229" s="211"/>
      <c r="BA1229" s="212"/>
      <c r="BB1229" s="212"/>
      <c r="BC1229" s="213"/>
      <c r="BD1229" s="209"/>
      <c r="BE1229" s="301"/>
      <c r="BF1229" s="301"/>
      <c r="BG1229" s="209"/>
      <c r="BH1229" s="301"/>
      <c r="BI1229" s="210"/>
      <c r="BJ1229" s="214"/>
      <c r="BK1229" s="212"/>
      <c r="BL1229" s="221"/>
      <c r="BM1229" s="216"/>
      <c r="BN1229" s="221"/>
      <c r="BO1229" s="221"/>
      <c r="BP1229" s="222"/>
      <c r="BQ1229" s="218"/>
      <c r="BR1229" s="219"/>
      <c r="BS1229" s="218"/>
      <c r="BT1229" s="218"/>
      <c r="BU1229" s="218"/>
      <c r="BV1229" s="220"/>
    </row>
    <row r="1230" spans="1:74" x14ac:dyDescent="0.8">
      <c r="A1230" s="64"/>
      <c r="B1230" s="64"/>
      <c r="C1230" s="59"/>
      <c r="F1230" s="70"/>
      <c r="G1230" s="86"/>
      <c r="H1230" s="70"/>
      <c r="I1230" s="86"/>
      <c r="J1230" s="70"/>
      <c r="K1230" s="86"/>
      <c r="M1230" s="302"/>
      <c r="N1230" s="83"/>
      <c r="O1230" s="83"/>
      <c r="P1230" s="83"/>
      <c r="Q1230" s="86"/>
      <c r="R1230" s="83"/>
      <c r="S1230" s="83"/>
      <c r="T1230" s="70"/>
      <c r="U1230" s="86"/>
      <c r="V1230" s="70"/>
      <c r="W1230" s="86"/>
      <c r="X1230" s="126"/>
      <c r="Y1230" s="208"/>
      <c r="Z1230" s="126"/>
      <c r="AA1230" s="208"/>
      <c r="AB1230" s="126"/>
      <c r="AC1230" s="208"/>
      <c r="AD1230" s="209"/>
      <c r="AE1230" s="210"/>
      <c r="AF1230" s="209"/>
      <c r="AG1230" s="210"/>
      <c r="AH1230" s="209"/>
      <c r="AI1230" s="210"/>
      <c r="AJ1230" s="209"/>
      <c r="AK1230" s="210"/>
      <c r="AL1230" s="209"/>
      <c r="AM1230" s="211"/>
      <c r="AN1230" s="209"/>
      <c r="AO1230" s="212"/>
      <c r="AP1230" s="213"/>
      <c r="AQ1230" s="213"/>
      <c r="AR1230" s="209"/>
      <c r="AS1230" s="301"/>
      <c r="AT1230" s="301"/>
      <c r="AU1230" s="209"/>
      <c r="AV1230" s="301"/>
      <c r="AW1230" s="210"/>
      <c r="AX1230" s="301"/>
      <c r="AY1230" s="214"/>
      <c r="AZ1230" s="211"/>
      <c r="BA1230" s="212"/>
      <c r="BB1230" s="212"/>
      <c r="BC1230" s="213"/>
      <c r="BD1230" s="209"/>
      <c r="BE1230" s="301"/>
      <c r="BF1230" s="301"/>
      <c r="BG1230" s="209"/>
      <c r="BH1230" s="301"/>
      <c r="BI1230" s="210"/>
      <c r="BJ1230" s="214"/>
      <c r="BK1230" s="212"/>
      <c r="BL1230" s="221"/>
      <c r="BM1230" s="216"/>
      <c r="BN1230" s="221"/>
      <c r="BO1230" s="221"/>
      <c r="BP1230" s="222"/>
      <c r="BQ1230" s="223"/>
      <c r="BR1230" s="224"/>
      <c r="BS1230" s="225"/>
      <c r="BT1230" s="225"/>
      <c r="BU1230" s="225"/>
      <c r="BV1230" s="226"/>
    </row>
    <row r="1231" spans="1:74" x14ac:dyDescent="0.8">
      <c r="A1231" s="64"/>
      <c r="B1231" s="64"/>
      <c r="C1231" s="59"/>
      <c r="F1231" s="70"/>
      <c r="G1231" s="86"/>
      <c r="H1231" s="70"/>
      <c r="I1231" s="86"/>
      <c r="J1231" s="70"/>
      <c r="K1231" s="86"/>
      <c r="M1231" s="302"/>
      <c r="N1231" s="83"/>
      <c r="O1231" s="83"/>
      <c r="P1231" s="83"/>
      <c r="Q1231" s="86"/>
      <c r="R1231" s="83"/>
      <c r="S1231" s="83"/>
      <c r="T1231" s="70"/>
      <c r="U1231" s="86"/>
      <c r="V1231" s="70"/>
      <c r="W1231" s="86"/>
      <c r="X1231" s="126"/>
      <c r="Y1231" s="208"/>
      <c r="Z1231" s="126"/>
      <c r="AA1231" s="208"/>
      <c r="AB1231" s="126"/>
      <c r="AC1231" s="208"/>
      <c r="AD1231" s="209"/>
      <c r="AE1231" s="210"/>
      <c r="AF1231" s="209"/>
      <c r="AG1231" s="210"/>
      <c r="AH1231" s="209"/>
      <c r="AI1231" s="210"/>
      <c r="AJ1231" s="209"/>
      <c r="AK1231" s="210"/>
      <c r="AL1231" s="209"/>
      <c r="AM1231" s="211"/>
      <c r="AN1231" s="209"/>
      <c r="AO1231" s="212"/>
      <c r="AP1231" s="213"/>
      <c r="AQ1231" s="213"/>
      <c r="AR1231" s="209"/>
      <c r="AS1231" s="301"/>
      <c r="AT1231" s="301"/>
      <c r="AU1231" s="209"/>
      <c r="AV1231" s="301"/>
      <c r="AW1231" s="210"/>
      <c r="AX1231" s="301"/>
      <c r="AY1231" s="214"/>
      <c r="AZ1231" s="211"/>
      <c r="BA1231" s="212"/>
      <c r="BB1231" s="212"/>
      <c r="BC1231" s="213"/>
      <c r="BD1231" s="209"/>
      <c r="BE1231" s="301"/>
      <c r="BF1231" s="301"/>
      <c r="BG1231" s="209"/>
      <c r="BH1231" s="301"/>
      <c r="BI1231" s="210"/>
      <c r="BJ1231" s="214"/>
      <c r="BK1231" s="212"/>
      <c r="BL1231" s="221"/>
      <c r="BM1231" s="216"/>
      <c r="BN1231" s="221"/>
      <c r="BO1231" s="221"/>
      <c r="BP1231" s="222"/>
      <c r="BQ1231" s="223"/>
      <c r="BR1231" s="224"/>
      <c r="BS1231" s="225"/>
      <c r="BT1231" s="225"/>
      <c r="BU1231" s="225"/>
      <c r="BV1231" s="226"/>
    </row>
    <row r="1232" spans="1:74" x14ac:dyDescent="0.8">
      <c r="A1232" s="64"/>
      <c r="B1232" s="64"/>
      <c r="C1232" s="59"/>
      <c r="F1232" s="70"/>
      <c r="G1232" s="86"/>
      <c r="H1232" s="70"/>
      <c r="I1232" s="86"/>
      <c r="J1232" s="70"/>
      <c r="K1232" s="86"/>
      <c r="M1232" s="302"/>
      <c r="N1232" s="83"/>
      <c r="O1232" s="83"/>
      <c r="P1232" s="83"/>
      <c r="Q1232" s="86"/>
      <c r="R1232" s="83"/>
      <c r="S1232" s="83"/>
      <c r="T1232" s="70"/>
      <c r="U1232" s="86"/>
      <c r="V1232" s="70"/>
      <c r="W1232" s="86"/>
      <c r="X1232" s="126"/>
      <c r="Y1232" s="208"/>
      <c r="Z1232" s="126"/>
      <c r="AA1232" s="208"/>
      <c r="AB1232" s="126"/>
      <c r="AC1232" s="208"/>
      <c r="AD1232" s="209"/>
      <c r="AE1232" s="210"/>
      <c r="AF1232" s="209"/>
      <c r="AG1232" s="210"/>
      <c r="AH1232" s="209"/>
      <c r="AI1232" s="210"/>
      <c r="AJ1232" s="209"/>
      <c r="AK1232" s="210"/>
      <c r="AL1232" s="209"/>
      <c r="AM1232" s="211"/>
      <c r="AN1232" s="209"/>
      <c r="AO1232" s="212"/>
      <c r="AP1232" s="213"/>
      <c r="AQ1232" s="213"/>
      <c r="AR1232" s="209"/>
      <c r="AS1232" s="301"/>
      <c r="AT1232" s="301"/>
      <c r="AU1232" s="209"/>
      <c r="AV1232" s="301"/>
      <c r="AW1232" s="210"/>
      <c r="AX1232" s="301"/>
      <c r="AY1232" s="214"/>
      <c r="AZ1232" s="211"/>
      <c r="BA1232" s="212"/>
      <c r="BB1232" s="212"/>
      <c r="BC1232" s="213"/>
      <c r="BD1232" s="209"/>
      <c r="BE1232" s="301"/>
      <c r="BF1232" s="301"/>
      <c r="BG1232" s="209"/>
      <c r="BH1232" s="301"/>
      <c r="BI1232" s="210"/>
      <c r="BJ1232" s="214"/>
      <c r="BK1232" s="212"/>
      <c r="BL1232" s="221"/>
      <c r="BM1232" s="216"/>
      <c r="BN1232" s="221"/>
      <c r="BO1232" s="221"/>
      <c r="BP1232" s="222"/>
      <c r="BQ1232" s="223"/>
      <c r="BR1232" s="224"/>
      <c r="BS1232" s="225"/>
      <c r="BT1232" s="225"/>
      <c r="BU1232" s="225"/>
      <c r="BV1232" s="226"/>
    </row>
    <row r="1233" spans="1:74" x14ac:dyDescent="0.8">
      <c r="A1233" s="64"/>
      <c r="B1233" s="64"/>
      <c r="C1233" s="59"/>
      <c r="F1233" s="70"/>
      <c r="G1233" s="86"/>
      <c r="H1233" s="70"/>
      <c r="I1233" s="86"/>
      <c r="J1233" s="70"/>
      <c r="K1233" s="86"/>
      <c r="N1233" s="83"/>
      <c r="O1233" s="83"/>
      <c r="P1233" s="83"/>
      <c r="Q1233" s="86"/>
      <c r="R1233" s="83"/>
      <c r="S1233" s="83"/>
      <c r="T1233" s="70"/>
      <c r="U1233" s="86"/>
      <c r="V1233" s="70"/>
      <c r="W1233" s="86"/>
      <c r="X1233" s="126"/>
      <c r="Y1233" s="208"/>
      <c r="Z1233" s="126"/>
      <c r="AA1233" s="208"/>
      <c r="AB1233" s="126"/>
      <c r="AC1233" s="208"/>
      <c r="AD1233" s="209"/>
      <c r="AE1233" s="210"/>
      <c r="AF1233" s="209"/>
      <c r="AG1233" s="210"/>
      <c r="AH1233" s="209"/>
      <c r="AI1233" s="210"/>
      <c r="AJ1233" s="209"/>
      <c r="AK1233" s="210"/>
      <c r="AL1233" s="209"/>
      <c r="AM1233" s="211"/>
      <c r="AN1233" s="209"/>
      <c r="AO1233" s="212"/>
      <c r="AP1233" s="213"/>
      <c r="AQ1233" s="213"/>
      <c r="AR1233" s="209"/>
      <c r="AS1233" s="301"/>
      <c r="AT1233" s="301"/>
      <c r="AU1233" s="209"/>
      <c r="AV1233" s="301"/>
      <c r="AW1233" s="210"/>
      <c r="AX1233" s="301"/>
      <c r="AY1233" s="214"/>
      <c r="AZ1233" s="211"/>
      <c r="BA1233" s="212"/>
      <c r="BB1233" s="212"/>
      <c r="BC1233" s="213"/>
      <c r="BD1233" s="209"/>
      <c r="BE1233" s="301"/>
      <c r="BF1233" s="301"/>
      <c r="BG1233" s="209"/>
      <c r="BH1233" s="301"/>
      <c r="BI1233" s="210"/>
      <c r="BJ1233" s="214"/>
      <c r="BK1233" s="212"/>
      <c r="BL1233" s="221"/>
      <c r="BM1233" s="216"/>
      <c r="BN1233" s="221"/>
      <c r="BO1233" s="221"/>
      <c r="BP1233" s="222"/>
      <c r="BQ1233" s="223"/>
      <c r="BR1233" s="224"/>
      <c r="BS1233" s="225"/>
      <c r="BT1233" s="225"/>
      <c r="BU1233" s="225"/>
      <c r="BV1233" s="226"/>
    </row>
    <row r="1234" spans="1:74" x14ac:dyDescent="0.8">
      <c r="A1234" s="64"/>
      <c r="B1234" s="64"/>
      <c r="C1234" s="46"/>
      <c r="F1234" s="70"/>
      <c r="G1234" s="86"/>
      <c r="H1234" s="70"/>
      <c r="I1234" s="86"/>
      <c r="J1234" s="70"/>
      <c r="K1234" s="86"/>
      <c r="N1234" s="83"/>
      <c r="O1234" s="83"/>
      <c r="P1234" s="83"/>
      <c r="Q1234" s="86"/>
      <c r="R1234" s="83"/>
      <c r="S1234" s="83"/>
      <c r="T1234" s="70"/>
      <c r="U1234" s="86"/>
      <c r="V1234" s="70"/>
      <c r="W1234" s="86"/>
      <c r="X1234" s="126"/>
      <c r="Y1234" s="208"/>
      <c r="Z1234" s="126"/>
      <c r="AA1234" s="208"/>
      <c r="AB1234" s="126"/>
      <c r="AC1234" s="208"/>
      <c r="AD1234" s="209"/>
      <c r="AE1234" s="210"/>
      <c r="AF1234" s="209"/>
      <c r="AG1234" s="210"/>
      <c r="AH1234" s="209"/>
      <c r="AI1234" s="210"/>
      <c r="AJ1234" s="209"/>
      <c r="AK1234" s="210"/>
      <c r="AL1234" s="209"/>
      <c r="AM1234" s="211"/>
      <c r="AN1234" s="209"/>
      <c r="AO1234" s="212"/>
      <c r="AP1234" s="213"/>
      <c r="AQ1234" s="213"/>
      <c r="AR1234" s="209"/>
      <c r="AS1234" s="301"/>
      <c r="AT1234" s="301"/>
      <c r="AU1234" s="209"/>
      <c r="AV1234" s="301"/>
      <c r="AW1234" s="210"/>
      <c r="AX1234" s="301"/>
      <c r="AY1234" s="214"/>
      <c r="AZ1234" s="211"/>
      <c r="BA1234" s="212"/>
      <c r="BB1234" s="212"/>
      <c r="BC1234" s="213"/>
      <c r="BD1234" s="209"/>
      <c r="BE1234" s="301"/>
      <c r="BF1234" s="301"/>
      <c r="BG1234" s="209"/>
      <c r="BH1234" s="301"/>
      <c r="BI1234" s="210"/>
      <c r="BJ1234" s="214"/>
      <c r="BK1234" s="212"/>
      <c r="BL1234" s="221"/>
      <c r="BM1234" s="216"/>
      <c r="BN1234" s="221"/>
      <c r="BO1234" s="221"/>
      <c r="BP1234" s="222"/>
      <c r="BQ1234" s="223"/>
      <c r="BR1234" s="224"/>
      <c r="BS1234" s="225"/>
      <c r="BT1234" s="225"/>
      <c r="BU1234" s="225"/>
      <c r="BV1234" s="226"/>
    </row>
    <row r="1235" spans="1:74" x14ac:dyDescent="0.8">
      <c r="A1235" s="64"/>
      <c r="B1235" s="64"/>
      <c r="C1235" s="46"/>
      <c r="BQ1235" s="229"/>
      <c r="BR1235" s="230"/>
      <c r="BS1235" s="181"/>
      <c r="BT1235" s="181"/>
      <c r="BU1235" s="181"/>
      <c r="BV1235" s="231"/>
    </row>
    <row r="1236" spans="1:74" x14ac:dyDescent="0.8">
      <c r="A1236" s="64"/>
      <c r="B1236" s="64"/>
      <c r="C1236" s="46"/>
      <c r="BQ1236" s="229"/>
      <c r="BR1236" s="230"/>
      <c r="BS1236" s="181"/>
      <c r="BT1236" s="181"/>
      <c r="BU1236" s="181"/>
      <c r="BV1236" s="231"/>
    </row>
    <row r="1237" spans="1:74" x14ac:dyDescent="0.8">
      <c r="A1237" s="64"/>
      <c r="B1237" s="64"/>
      <c r="C1237" s="46"/>
      <c r="BQ1237" s="229"/>
      <c r="BR1237" s="230"/>
      <c r="BS1237" s="181"/>
      <c r="BT1237" s="181"/>
      <c r="BU1237" s="181"/>
      <c r="BV1237" s="231"/>
    </row>
    <row r="1238" spans="1:74" x14ac:dyDescent="0.8">
      <c r="A1238" s="64"/>
      <c r="B1238" s="64"/>
      <c r="C1238" s="46"/>
      <c r="BQ1238" s="229"/>
      <c r="BR1238" s="230"/>
      <c r="BS1238" s="181"/>
      <c r="BT1238" s="181"/>
      <c r="BU1238" s="181"/>
      <c r="BV1238" s="231"/>
    </row>
    <row r="1239" spans="1:74" x14ac:dyDescent="0.8">
      <c r="A1239" s="64"/>
      <c r="B1239" s="64"/>
      <c r="C1239" s="46"/>
      <c r="BQ1239" s="229"/>
      <c r="BR1239" s="230"/>
      <c r="BS1239" s="181"/>
      <c r="BT1239" s="181"/>
      <c r="BU1239" s="181"/>
      <c r="BV1239" s="231"/>
    </row>
    <row r="1240" spans="1:74" x14ac:dyDescent="0.8">
      <c r="A1240" s="64"/>
      <c r="B1240" s="64"/>
      <c r="C1240" s="46"/>
      <c r="BQ1240" s="229"/>
      <c r="BR1240" s="230"/>
      <c r="BS1240" s="181"/>
      <c r="BT1240" s="181"/>
      <c r="BU1240" s="181"/>
      <c r="BV1240" s="231"/>
    </row>
    <row r="1241" spans="1:74" x14ac:dyDescent="0.8">
      <c r="A1241" s="64"/>
      <c r="B1241" s="64"/>
      <c r="C1241" s="46"/>
      <c r="BL1241" s="147"/>
      <c r="BM1241" s="146"/>
      <c r="BN1241" s="147"/>
      <c r="BO1241" s="147"/>
      <c r="BP1241" s="232"/>
      <c r="BQ1241" s="233"/>
      <c r="BR1241" s="234"/>
      <c r="BS1241" s="235"/>
      <c r="BT1241" s="235"/>
      <c r="BU1241" s="235"/>
      <c r="BV1241" s="236"/>
    </row>
    <row r="1242" spans="1:74" x14ac:dyDescent="0.8">
      <c r="A1242" s="64"/>
      <c r="B1242" s="64"/>
      <c r="C1242" s="46"/>
      <c r="BL1242" s="147"/>
      <c r="BM1242" s="146"/>
      <c r="BN1242" s="147"/>
      <c r="BO1242" s="147"/>
      <c r="BP1242" s="232"/>
      <c r="BQ1242" s="233"/>
      <c r="BR1242" s="234"/>
      <c r="BS1242" s="235"/>
      <c r="BT1242" s="235"/>
      <c r="BU1242" s="235"/>
      <c r="BV1242" s="236"/>
    </row>
    <row r="1243" spans="1:74" x14ac:dyDescent="0.8">
      <c r="A1243" s="64"/>
      <c r="B1243" s="64"/>
      <c r="C1243" s="46"/>
      <c r="BL1243" s="147"/>
      <c r="BM1243" s="146"/>
      <c r="BN1243" s="147"/>
      <c r="BO1243" s="147"/>
      <c r="BP1243" s="232"/>
      <c r="BQ1243" s="233"/>
      <c r="BR1243" s="234"/>
      <c r="BS1243" s="235"/>
      <c r="BT1243" s="235"/>
      <c r="BU1243" s="235"/>
      <c r="BV1243" s="236"/>
    </row>
    <row r="1244" spans="1:74" x14ac:dyDescent="0.8">
      <c r="A1244" s="64"/>
      <c r="B1244" s="64"/>
      <c r="C1244" s="46"/>
      <c r="BL1244" s="147"/>
      <c r="BM1244" s="146"/>
      <c r="BN1244" s="147"/>
      <c r="BO1244" s="147"/>
      <c r="BP1244" s="232"/>
      <c r="BQ1244" s="233"/>
      <c r="BR1244" s="234"/>
      <c r="BS1244" s="235"/>
      <c r="BT1244" s="235"/>
      <c r="BU1244" s="235"/>
      <c r="BV1244" s="236"/>
    </row>
    <row r="1245" spans="1:74" x14ac:dyDescent="0.8">
      <c r="A1245" s="64"/>
      <c r="B1245" s="64"/>
      <c r="C1245" s="46"/>
      <c r="BL1245" s="147"/>
      <c r="BM1245" s="146"/>
      <c r="BN1245" s="147"/>
      <c r="BO1245" s="147"/>
      <c r="BP1245" s="232"/>
      <c r="BQ1245" s="233"/>
      <c r="BR1245" s="234"/>
      <c r="BS1245" s="235"/>
      <c r="BT1245" s="235"/>
      <c r="BU1245" s="235"/>
      <c r="BV1245" s="236"/>
    </row>
    <row r="1246" spans="1:74" x14ac:dyDescent="0.8">
      <c r="A1246" s="64"/>
      <c r="B1246" s="64"/>
      <c r="C1246" s="46"/>
      <c r="BL1246" s="147"/>
      <c r="BM1246" s="146"/>
      <c r="BN1246" s="147"/>
      <c r="BO1246" s="147"/>
      <c r="BP1246" s="232"/>
      <c r="BQ1246" s="233"/>
      <c r="BR1246" s="234"/>
      <c r="BS1246" s="235"/>
      <c r="BT1246" s="235"/>
      <c r="BU1246" s="235"/>
      <c r="BV1246" s="236"/>
    </row>
    <row r="1247" spans="1:74" x14ac:dyDescent="0.8">
      <c r="A1247" s="64"/>
      <c r="B1247" s="64"/>
      <c r="C1247" s="46"/>
      <c r="BL1247" s="147"/>
      <c r="BM1247" s="146"/>
      <c r="BN1247" s="147"/>
      <c r="BO1247" s="147"/>
      <c r="BP1247" s="232"/>
      <c r="BQ1247" s="233"/>
      <c r="BR1247" s="234"/>
      <c r="BS1247" s="235"/>
      <c r="BT1247" s="235"/>
      <c r="BU1247" s="235"/>
      <c r="BV1247" s="236"/>
    </row>
    <row r="1248" spans="1:74" x14ac:dyDescent="0.8">
      <c r="A1248" s="64"/>
      <c r="B1248" s="64"/>
      <c r="C1248" s="46"/>
      <c r="BL1248" s="147"/>
      <c r="BM1248" s="146"/>
      <c r="BN1248" s="147"/>
      <c r="BO1248" s="147"/>
      <c r="BP1248" s="232"/>
      <c r="BQ1248" s="233"/>
      <c r="BR1248" s="234"/>
      <c r="BS1248" s="235"/>
      <c r="BT1248" s="235"/>
      <c r="BU1248" s="235"/>
      <c r="BV1248" s="236"/>
    </row>
    <row r="1249" spans="1:74" x14ac:dyDescent="0.8">
      <c r="A1249" s="64"/>
      <c r="B1249" s="64"/>
      <c r="C1249" s="46"/>
      <c r="BL1249" s="147"/>
      <c r="BM1249" s="146"/>
      <c r="BN1249" s="147"/>
      <c r="BO1249" s="147"/>
      <c r="BP1249" s="232"/>
      <c r="BQ1249" s="233"/>
      <c r="BR1249" s="234"/>
      <c r="BS1249" s="235"/>
      <c r="BT1249" s="235"/>
      <c r="BU1249" s="235"/>
      <c r="BV1249" s="236"/>
    </row>
    <row r="1250" spans="1:74" x14ac:dyDescent="0.8">
      <c r="A1250" s="64"/>
      <c r="B1250" s="64"/>
      <c r="C1250" s="46"/>
      <c r="BL1250" s="147"/>
      <c r="BM1250" s="146"/>
      <c r="BN1250" s="147"/>
      <c r="BO1250" s="147"/>
      <c r="BP1250" s="232"/>
      <c r="BQ1250" s="233"/>
      <c r="BR1250" s="234"/>
      <c r="BS1250" s="235"/>
      <c r="BT1250" s="235"/>
      <c r="BU1250" s="235"/>
      <c r="BV1250" s="236"/>
    </row>
    <row r="1251" spans="1:74" x14ac:dyDescent="0.8">
      <c r="A1251" s="64"/>
      <c r="B1251" s="64"/>
      <c r="C1251" s="46"/>
      <c r="BL1251" s="147"/>
      <c r="BM1251" s="146"/>
      <c r="BN1251" s="147"/>
      <c r="BO1251" s="147"/>
      <c r="BP1251" s="232"/>
      <c r="BQ1251" s="233"/>
      <c r="BR1251" s="234"/>
      <c r="BS1251" s="235"/>
      <c r="BT1251" s="235"/>
      <c r="BU1251" s="235"/>
      <c r="BV1251" s="236"/>
    </row>
    <row r="1252" spans="1:74" x14ac:dyDescent="0.8">
      <c r="A1252" s="64"/>
      <c r="B1252" s="64"/>
      <c r="C1252" s="46"/>
      <c r="BL1252" s="147"/>
      <c r="BM1252" s="146"/>
      <c r="BN1252" s="147"/>
      <c r="BO1252" s="147"/>
      <c r="BP1252" s="232"/>
      <c r="BQ1252" s="233"/>
      <c r="BR1252" s="234"/>
      <c r="BS1252" s="235"/>
      <c r="BT1252" s="235"/>
      <c r="BU1252" s="235"/>
      <c r="BV1252" s="236"/>
    </row>
    <row r="1253" spans="1:74" x14ac:dyDescent="0.8">
      <c r="A1253" s="64"/>
      <c r="B1253" s="64"/>
      <c r="C1253" s="46"/>
      <c r="BL1253" s="147"/>
      <c r="BM1253" s="146"/>
      <c r="BN1253" s="147"/>
      <c r="BO1253" s="147"/>
      <c r="BP1253" s="232"/>
      <c r="BQ1253" s="233"/>
      <c r="BR1253" s="234"/>
      <c r="BS1253" s="235"/>
      <c r="BT1253" s="235"/>
      <c r="BU1253" s="235"/>
      <c r="BV1253" s="236"/>
    </row>
    <row r="1254" spans="1:74" x14ac:dyDescent="0.8">
      <c r="A1254" s="64"/>
      <c r="B1254" s="64"/>
      <c r="C1254" s="46"/>
      <c r="BL1254" s="147"/>
      <c r="BM1254" s="146"/>
      <c r="BN1254" s="147"/>
      <c r="BO1254" s="147"/>
      <c r="BP1254" s="232"/>
      <c r="BQ1254" s="233"/>
      <c r="BR1254" s="234"/>
      <c r="BS1254" s="235"/>
      <c r="BT1254" s="235"/>
      <c r="BU1254" s="235"/>
      <c r="BV1254" s="236"/>
    </row>
    <row r="1255" spans="1:74" x14ac:dyDescent="0.8">
      <c r="A1255" s="64"/>
      <c r="B1255" s="64"/>
      <c r="C1255" s="46"/>
      <c r="BL1255" s="147"/>
      <c r="BM1255" s="146"/>
      <c r="BN1255" s="147"/>
      <c r="BO1255" s="147"/>
      <c r="BP1255" s="232"/>
      <c r="BQ1255" s="233"/>
      <c r="BR1255" s="234"/>
      <c r="BS1255" s="235"/>
      <c r="BT1255" s="235"/>
      <c r="BU1255" s="235"/>
      <c r="BV1255" s="236"/>
    </row>
    <row r="1256" spans="1:74" x14ac:dyDescent="0.8">
      <c r="A1256" s="64"/>
      <c r="B1256" s="64"/>
      <c r="C1256" s="46"/>
      <c r="BL1256" s="147"/>
      <c r="BM1256" s="146"/>
      <c r="BN1256" s="147"/>
      <c r="BO1256" s="147"/>
      <c r="BP1256" s="232"/>
      <c r="BQ1256" s="233"/>
      <c r="BR1256" s="234"/>
      <c r="BS1256" s="235"/>
      <c r="BT1256" s="235"/>
      <c r="BU1256" s="235"/>
      <c r="BV1256" s="236"/>
    </row>
    <row r="1257" spans="1:74" x14ac:dyDescent="0.8">
      <c r="A1257" s="64"/>
      <c r="B1257" s="64"/>
      <c r="C1257" s="46"/>
      <c r="BL1257" s="147"/>
      <c r="BM1257" s="146"/>
      <c r="BN1257" s="147"/>
      <c r="BO1257" s="147"/>
      <c r="BP1257" s="232"/>
      <c r="BQ1257" s="233"/>
      <c r="BR1257" s="234"/>
      <c r="BS1257" s="235"/>
      <c r="BT1257" s="235"/>
      <c r="BU1257" s="235"/>
      <c r="BV1257" s="236"/>
    </row>
    <row r="1258" spans="1:74" x14ac:dyDescent="0.8">
      <c r="A1258" s="64"/>
      <c r="B1258" s="64"/>
      <c r="C1258" s="46"/>
      <c r="BL1258" s="147"/>
      <c r="BM1258" s="146"/>
      <c r="BN1258" s="147"/>
      <c r="BO1258" s="147"/>
      <c r="BP1258" s="232"/>
      <c r="BQ1258" s="233"/>
      <c r="BR1258" s="234"/>
      <c r="BS1258" s="235"/>
      <c r="BT1258" s="235"/>
      <c r="BU1258" s="235"/>
      <c r="BV1258" s="236"/>
    </row>
    <row r="1259" spans="1:74" x14ac:dyDescent="0.8">
      <c r="A1259" s="64"/>
      <c r="B1259" s="64"/>
      <c r="C1259" s="46"/>
      <c r="BL1259" s="147"/>
      <c r="BM1259" s="146"/>
      <c r="BN1259" s="147"/>
      <c r="BO1259" s="147"/>
      <c r="BP1259" s="232"/>
      <c r="BQ1259" s="233"/>
      <c r="BR1259" s="234"/>
      <c r="BS1259" s="235"/>
      <c r="BT1259" s="235"/>
      <c r="BU1259" s="235"/>
      <c r="BV1259" s="236"/>
    </row>
    <row r="1260" spans="1:74" x14ac:dyDescent="0.8">
      <c r="A1260" s="64"/>
      <c r="B1260" s="64"/>
      <c r="C1260" s="46"/>
      <c r="BL1260" s="147"/>
      <c r="BM1260" s="146"/>
      <c r="BN1260" s="147"/>
      <c r="BO1260" s="147"/>
      <c r="BP1260" s="232"/>
      <c r="BQ1260" s="233"/>
      <c r="BR1260" s="234"/>
      <c r="BS1260" s="235"/>
      <c r="BT1260" s="235"/>
      <c r="BU1260" s="235"/>
      <c r="BV1260" s="236"/>
    </row>
    <row r="1261" spans="1:74" x14ac:dyDescent="0.8">
      <c r="A1261" s="64"/>
      <c r="B1261" s="64"/>
      <c r="C1261" s="46"/>
      <c r="BL1261" s="147"/>
      <c r="BM1261" s="146"/>
      <c r="BN1261" s="147"/>
      <c r="BO1261" s="147"/>
      <c r="BP1261" s="232"/>
      <c r="BQ1261" s="233"/>
      <c r="BR1261" s="234"/>
      <c r="BS1261" s="235"/>
      <c r="BT1261" s="235"/>
      <c r="BU1261" s="235"/>
      <c r="BV1261" s="236"/>
    </row>
    <row r="1262" spans="1:74" x14ac:dyDescent="0.8">
      <c r="A1262" s="64"/>
      <c r="B1262" s="64"/>
      <c r="C1262" s="46"/>
      <c r="BL1262" s="147"/>
      <c r="BM1262" s="146"/>
      <c r="BN1262" s="147"/>
      <c r="BO1262" s="147"/>
      <c r="BP1262" s="232"/>
      <c r="BQ1262" s="233"/>
      <c r="BR1262" s="234"/>
      <c r="BS1262" s="235"/>
      <c r="BT1262" s="235"/>
      <c r="BU1262" s="235"/>
      <c r="BV1262" s="236"/>
    </row>
    <row r="1263" spans="1:74" x14ac:dyDescent="0.8">
      <c r="A1263" s="64"/>
      <c r="B1263" s="64"/>
      <c r="C1263" s="46"/>
      <c r="BL1263" s="147"/>
      <c r="BM1263" s="146"/>
      <c r="BN1263" s="147"/>
      <c r="BO1263" s="147"/>
      <c r="BP1263" s="232"/>
      <c r="BQ1263" s="233"/>
      <c r="BR1263" s="234"/>
      <c r="BS1263" s="235"/>
      <c r="BT1263" s="235"/>
      <c r="BU1263" s="235"/>
      <c r="BV1263" s="236"/>
    </row>
    <row r="1264" spans="1:74" x14ac:dyDescent="0.8">
      <c r="A1264" s="64"/>
      <c r="B1264" s="64"/>
      <c r="C1264" s="46"/>
      <c r="BL1264" s="147"/>
      <c r="BM1264" s="146"/>
      <c r="BN1264" s="147"/>
      <c r="BO1264" s="147"/>
      <c r="BP1264" s="232"/>
      <c r="BQ1264" s="233"/>
      <c r="BR1264" s="234"/>
      <c r="BS1264" s="235"/>
      <c r="BT1264" s="235"/>
      <c r="BU1264" s="235"/>
      <c r="BV1264" s="236"/>
    </row>
    <row r="1265" spans="1:74" x14ac:dyDescent="0.8">
      <c r="A1265" s="64"/>
      <c r="B1265" s="64"/>
      <c r="C1265" s="46"/>
      <c r="BL1265" s="147"/>
      <c r="BM1265" s="146"/>
      <c r="BN1265" s="147"/>
      <c r="BO1265" s="147"/>
      <c r="BP1265" s="232"/>
      <c r="BQ1265" s="233"/>
      <c r="BR1265" s="234"/>
      <c r="BS1265" s="235"/>
      <c r="BT1265" s="235"/>
      <c r="BU1265" s="235"/>
      <c r="BV1265" s="236"/>
    </row>
    <row r="1266" spans="1:74" x14ac:dyDescent="0.8">
      <c r="A1266" s="64"/>
      <c r="B1266" s="64"/>
      <c r="C1266" s="46"/>
      <c r="BL1266" s="147"/>
      <c r="BM1266" s="146"/>
      <c r="BN1266" s="147"/>
      <c r="BO1266" s="147"/>
      <c r="BP1266" s="232"/>
      <c r="BQ1266" s="233"/>
      <c r="BR1266" s="234"/>
      <c r="BS1266" s="235"/>
      <c r="BT1266" s="235"/>
      <c r="BU1266" s="235"/>
      <c r="BV1266" s="236"/>
    </row>
    <row r="1267" spans="1:74" x14ac:dyDescent="0.8">
      <c r="A1267" s="64"/>
      <c r="B1267" s="64"/>
      <c r="C1267" s="46"/>
      <c r="BL1267" s="147"/>
      <c r="BM1267" s="146"/>
      <c r="BN1267" s="147"/>
      <c r="BO1267" s="147"/>
      <c r="BP1267" s="232"/>
      <c r="BQ1267" s="233"/>
      <c r="BR1267" s="234"/>
      <c r="BS1267" s="235"/>
      <c r="BT1267" s="235"/>
      <c r="BU1267" s="235"/>
      <c r="BV1267" s="236"/>
    </row>
    <row r="1268" spans="1:74" x14ac:dyDescent="0.8">
      <c r="A1268" s="64"/>
      <c r="B1268" s="64"/>
      <c r="C1268" s="46"/>
      <c r="BL1268" s="147"/>
      <c r="BM1268" s="146"/>
      <c r="BN1268" s="147"/>
      <c r="BO1268" s="147"/>
      <c r="BP1268" s="232"/>
      <c r="BQ1268" s="233"/>
      <c r="BR1268" s="234"/>
      <c r="BS1268" s="235"/>
      <c r="BT1268" s="235"/>
      <c r="BU1268" s="235"/>
      <c r="BV1268" s="236"/>
    </row>
    <row r="1269" spans="1:74" x14ac:dyDescent="0.8">
      <c r="A1269" s="64"/>
      <c r="B1269" s="64"/>
      <c r="C1269" s="46"/>
      <c r="BL1269" s="147"/>
      <c r="BM1269" s="146"/>
      <c r="BN1269" s="147"/>
      <c r="BO1269" s="147"/>
      <c r="BP1269" s="232"/>
      <c r="BQ1269" s="233"/>
      <c r="BR1269" s="234"/>
      <c r="BS1269" s="235"/>
      <c r="BT1269" s="235"/>
      <c r="BU1269" s="235"/>
      <c r="BV1269" s="236"/>
    </row>
    <row r="1270" spans="1:74" x14ac:dyDescent="0.8">
      <c r="A1270" s="64"/>
      <c r="B1270" s="64"/>
      <c r="C1270" s="46"/>
      <c r="BL1270" s="147"/>
      <c r="BM1270" s="146"/>
      <c r="BN1270" s="147"/>
      <c r="BO1270" s="147"/>
      <c r="BP1270" s="232"/>
      <c r="BQ1270" s="233"/>
      <c r="BR1270" s="234"/>
      <c r="BS1270" s="235"/>
      <c r="BT1270" s="235"/>
      <c r="BU1270" s="235"/>
      <c r="BV1270" s="236"/>
    </row>
    <row r="1271" spans="1:74" x14ac:dyDescent="0.8">
      <c r="A1271" s="64"/>
      <c r="B1271" s="64"/>
      <c r="C1271" s="46"/>
      <c r="BL1271" s="147"/>
      <c r="BM1271" s="146"/>
      <c r="BN1271" s="147"/>
      <c r="BO1271" s="147"/>
      <c r="BP1271" s="232"/>
      <c r="BQ1271" s="233"/>
      <c r="BR1271" s="234"/>
      <c r="BS1271" s="235"/>
      <c r="BT1271" s="235"/>
      <c r="BU1271" s="235"/>
      <c r="BV1271" s="236"/>
    </row>
    <row r="1272" spans="1:74" x14ac:dyDescent="0.8">
      <c r="A1272" s="1"/>
      <c r="B1272" s="1"/>
      <c r="C1272" s="2"/>
      <c r="D1272" s="3"/>
      <c r="E1272" s="1"/>
      <c r="F1272" s="7"/>
      <c r="G1272" s="7"/>
      <c r="H1272" s="92"/>
      <c r="I1272" s="7"/>
      <c r="J1272" s="1"/>
      <c r="K1272" s="1"/>
      <c r="L1272" s="247"/>
      <c r="M1272" s="93"/>
      <c r="N1272" s="1004"/>
      <c r="O1272" s="983"/>
      <c r="P1272" s="983"/>
      <c r="Q1272" s="984"/>
      <c r="R1272" s="7"/>
      <c r="S1272" s="7"/>
      <c r="T1272" s="1"/>
      <c r="U1272" s="1"/>
      <c r="V1272" s="1"/>
      <c r="W1272" s="1"/>
      <c r="X1272" s="7"/>
      <c r="Y1272" s="7"/>
      <c r="Z1272" s="985"/>
      <c r="AA1272" s="986"/>
      <c r="AB1272" s="94"/>
      <c r="AC1272" s="94"/>
      <c r="AD1272" s="1"/>
      <c r="AE1272" s="1"/>
      <c r="AF1272" s="1"/>
      <c r="AG1272" s="1"/>
      <c r="AH1272" s="1"/>
      <c r="AI1272" s="1"/>
      <c r="AJ1272" s="1"/>
      <c r="AK1272" s="1"/>
      <c r="AL1272" s="989"/>
      <c r="AM1272" s="989"/>
      <c r="AN1272" s="989"/>
      <c r="AO1272" s="989"/>
      <c r="AP1272" s="990"/>
      <c r="AQ1272" s="952"/>
      <c r="AR1272" s="952"/>
      <c r="AS1272" s="952"/>
      <c r="AT1272" s="952"/>
      <c r="AU1272" s="952"/>
      <c r="AV1272" s="952"/>
      <c r="AW1272" s="952"/>
      <c r="AX1272" s="6"/>
      <c r="AY1272" s="7"/>
      <c r="AZ1272" s="7"/>
      <c r="BA1272" s="7"/>
      <c r="BB1272" s="8"/>
      <c r="BC1272" s="952"/>
      <c r="BD1272" s="952"/>
      <c r="BE1272" s="952"/>
      <c r="BF1272" s="952"/>
      <c r="BG1272" s="952"/>
      <c r="BH1272" s="952"/>
      <c r="BI1272" s="952"/>
      <c r="BJ1272" s="94"/>
      <c r="BK1272" s="94"/>
      <c r="BL1272" s="7"/>
      <c r="BM1272" s="95"/>
      <c r="BN1272" s="1"/>
      <c r="BO1272" s="1"/>
      <c r="BP1272" s="1"/>
      <c r="BQ1272" s="1"/>
      <c r="BR1272" s="95"/>
      <c r="BS1272" s="1"/>
      <c r="BT1272" s="1"/>
      <c r="BU1272" s="1"/>
      <c r="BV1272" s="38"/>
    </row>
    <row r="1273" spans="1:74" x14ac:dyDescent="0.8">
      <c r="A1273" s="10"/>
      <c r="B1273" s="10"/>
      <c r="C1273" s="11"/>
      <c r="D1273" s="12"/>
      <c r="E1273" s="96"/>
      <c r="F1273" s="981"/>
      <c r="G1273" s="974"/>
      <c r="H1273" s="974"/>
      <c r="I1273" s="975"/>
      <c r="J1273" s="97"/>
      <c r="K1273" s="96"/>
      <c r="L1273" s="99"/>
      <c r="M1273" s="100"/>
      <c r="N1273" s="981"/>
      <c r="O1273" s="974"/>
      <c r="P1273" s="974"/>
      <c r="Q1273" s="975"/>
      <c r="R1273" s="981"/>
      <c r="S1273" s="975"/>
      <c r="T1273" s="97"/>
      <c r="U1273" s="96"/>
      <c r="V1273" s="97"/>
      <c r="W1273" s="96"/>
      <c r="X1273" s="991"/>
      <c r="Y1273" s="992"/>
      <c r="Z1273" s="987"/>
      <c r="AA1273" s="988"/>
      <c r="AB1273" s="101"/>
      <c r="AC1273" s="102"/>
      <c r="AD1273" s="97"/>
      <c r="AE1273" s="96"/>
      <c r="AF1273" s="97"/>
      <c r="AG1273" s="96"/>
      <c r="AH1273" s="97"/>
      <c r="AI1273" s="96"/>
      <c r="AJ1273" s="97"/>
      <c r="AK1273" s="96"/>
      <c r="AL1273" s="17"/>
      <c r="AM1273" s="18"/>
      <c r="AN1273" s="18"/>
      <c r="AO1273" s="19"/>
      <c r="AP1273" s="964"/>
      <c r="AQ1273" s="20"/>
      <c r="AR1273" s="971"/>
      <c r="AS1273" s="999"/>
      <c r="AT1273" s="1000"/>
      <c r="AU1273" s="971"/>
      <c r="AV1273" s="997"/>
      <c r="AW1273" s="998"/>
      <c r="AX1273" s="6"/>
      <c r="AY1273" s="978"/>
      <c r="AZ1273" s="979"/>
      <c r="BA1273" s="980"/>
      <c r="BB1273" s="8"/>
      <c r="BC1273" s="20"/>
      <c r="BD1273" s="971"/>
      <c r="BE1273" s="999"/>
      <c r="BF1273" s="1000"/>
      <c r="BG1273" s="971"/>
      <c r="BH1273" s="997"/>
      <c r="BI1273" s="998"/>
      <c r="BJ1273" s="976"/>
      <c r="BK1273" s="977"/>
      <c r="BL1273" s="103"/>
      <c r="BM1273" s="95"/>
      <c r="BN1273" s="1"/>
      <c r="BO1273" s="1"/>
      <c r="BP1273" s="1"/>
      <c r="BQ1273" s="1"/>
      <c r="BR1273" s="95"/>
      <c r="BS1273" s="1"/>
      <c r="BT1273" s="1"/>
      <c r="BU1273" s="1"/>
      <c r="BV1273" s="38"/>
    </row>
    <row r="1274" spans="1:74" x14ac:dyDescent="0.8">
      <c r="A1274" s="22"/>
      <c r="B1274" s="23"/>
      <c r="C1274" s="24"/>
      <c r="D1274" s="25"/>
      <c r="E1274" s="22"/>
      <c r="F1274" s="104"/>
      <c r="G1274" s="22"/>
      <c r="H1274" s="104"/>
      <c r="I1274" s="22"/>
      <c r="J1274" s="104"/>
      <c r="K1274" s="22"/>
      <c r="L1274" s="106"/>
      <c r="M1274" s="107"/>
      <c r="N1274" s="105"/>
      <c r="O1274" s="105"/>
      <c r="P1274" s="105"/>
      <c r="Q1274" s="22"/>
      <c r="R1274" s="105"/>
      <c r="S1274" s="105"/>
      <c r="T1274" s="104"/>
      <c r="U1274" s="22"/>
      <c r="V1274" s="104"/>
      <c r="W1274" s="22"/>
      <c r="X1274" s="109"/>
      <c r="Y1274" s="108"/>
      <c r="Z1274" s="109"/>
      <c r="AA1274" s="108"/>
      <c r="AB1274" s="80"/>
      <c r="AC1274" s="110"/>
      <c r="AD1274" s="104"/>
      <c r="AE1274" s="22"/>
      <c r="AF1274" s="104"/>
      <c r="AG1274" s="22"/>
      <c r="AH1274" s="104"/>
      <c r="AI1274" s="22"/>
      <c r="AJ1274" s="111"/>
      <c r="AK1274" s="22"/>
      <c r="AL1274" s="966"/>
      <c r="AM1274" s="967"/>
      <c r="AN1274" s="967"/>
      <c r="AO1274" s="968"/>
      <c r="AP1274" s="965"/>
      <c r="AQ1274" s="32"/>
      <c r="AR1274" s="33"/>
      <c r="AS1274" s="34"/>
      <c r="AT1274" s="35"/>
      <c r="AU1274" s="33"/>
      <c r="AV1274" s="34"/>
      <c r="AW1274" s="35"/>
      <c r="AX1274" s="36"/>
      <c r="AY1274" s="33"/>
      <c r="AZ1274" s="34"/>
      <c r="BA1274" s="35"/>
      <c r="BB1274" s="37"/>
      <c r="BC1274" s="32"/>
      <c r="BD1274" s="33"/>
      <c r="BE1274" s="34"/>
      <c r="BF1274" s="35"/>
      <c r="BG1274" s="33"/>
      <c r="BH1274" s="34"/>
      <c r="BI1274" s="35"/>
      <c r="BJ1274" s="112"/>
      <c r="BK1274" s="113"/>
      <c r="BL1274" s="103"/>
      <c r="BM1274" s="95"/>
      <c r="BN1274" s="1"/>
      <c r="BO1274" s="1"/>
      <c r="BP1274" s="1"/>
      <c r="BQ1274" s="1"/>
      <c r="BR1274" s="95"/>
      <c r="BS1274" s="1"/>
      <c r="BT1274" s="1"/>
      <c r="BU1274" s="1"/>
      <c r="BV1274" s="38"/>
    </row>
    <row r="1275" spans="1:74" x14ac:dyDescent="0.8">
      <c r="A1275" s="64"/>
      <c r="B1275" s="64"/>
      <c r="C1275" s="46"/>
      <c r="BL1275" s="147"/>
      <c r="BM1275" s="146"/>
      <c r="BN1275" s="147"/>
      <c r="BO1275" s="147"/>
      <c r="BP1275" s="232"/>
      <c r="BQ1275" s="233"/>
      <c r="BR1275" s="234"/>
      <c r="BS1275" s="235"/>
      <c r="BT1275" s="235"/>
      <c r="BU1275" s="235"/>
      <c r="BV1275" s="236"/>
    </row>
    <row r="1276" spans="1:74" x14ac:dyDescent="0.8">
      <c r="A1276" s="64"/>
      <c r="B1276" s="64"/>
      <c r="C1276" s="46"/>
      <c r="BL1276" s="147"/>
      <c r="BM1276" s="146"/>
      <c r="BN1276" s="147"/>
      <c r="BO1276" s="147"/>
      <c r="BP1276" s="232"/>
      <c r="BQ1276" s="233"/>
      <c r="BR1276" s="234"/>
      <c r="BS1276" s="235"/>
      <c r="BT1276" s="235"/>
      <c r="BU1276" s="235"/>
      <c r="BV1276" s="236"/>
    </row>
    <row r="1277" spans="1:74" x14ac:dyDescent="0.8">
      <c r="A1277" s="64"/>
      <c r="B1277" s="64"/>
      <c r="C1277" s="46"/>
      <c r="BL1277" s="147"/>
      <c r="BM1277" s="146"/>
      <c r="BN1277" s="147"/>
      <c r="BO1277" s="147"/>
      <c r="BP1277" s="232"/>
      <c r="BQ1277" s="233"/>
      <c r="BR1277" s="234"/>
      <c r="BS1277" s="235"/>
      <c r="BT1277" s="235"/>
      <c r="BU1277" s="235"/>
      <c r="BV1277" s="236"/>
    </row>
    <row r="1278" spans="1:74" x14ac:dyDescent="0.8">
      <c r="A1278" s="64"/>
      <c r="B1278" s="64"/>
      <c r="C1278" s="46"/>
      <c r="BL1278" s="147"/>
      <c r="BM1278" s="146"/>
      <c r="BN1278" s="147"/>
      <c r="BO1278" s="147"/>
      <c r="BP1278" s="232"/>
      <c r="BQ1278" s="233"/>
      <c r="BR1278" s="234"/>
      <c r="BS1278" s="235"/>
      <c r="BT1278" s="235"/>
      <c r="BU1278" s="235"/>
      <c r="BV1278" s="236"/>
    </row>
    <row r="1279" spans="1:74" x14ac:dyDescent="0.8">
      <c r="A1279" s="64"/>
      <c r="B1279" s="64"/>
      <c r="C1279" s="46"/>
      <c r="BL1279" s="147"/>
      <c r="BM1279" s="146"/>
      <c r="BN1279" s="147"/>
      <c r="BO1279" s="147"/>
      <c r="BP1279" s="232"/>
      <c r="BQ1279" s="233"/>
      <c r="BR1279" s="234"/>
      <c r="BS1279" s="235"/>
      <c r="BT1279" s="235"/>
      <c r="BU1279" s="235"/>
      <c r="BV1279" s="236"/>
    </row>
    <row r="1280" spans="1:74" x14ac:dyDescent="0.8">
      <c r="A1280" s="64"/>
      <c r="B1280" s="64"/>
      <c r="C1280" s="46"/>
      <c r="BL1280" s="147"/>
      <c r="BM1280" s="146"/>
      <c r="BN1280" s="147"/>
      <c r="BO1280" s="147"/>
      <c r="BP1280" s="232"/>
      <c r="BQ1280" s="233"/>
      <c r="BR1280" s="234"/>
      <c r="BS1280" s="235"/>
      <c r="BT1280" s="235"/>
      <c r="BU1280" s="235"/>
      <c r="BV1280" s="236"/>
    </row>
    <row r="1281" spans="1:74" x14ac:dyDescent="0.8">
      <c r="A1281" s="64"/>
      <c r="B1281" s="64"/>
      <c r="C1281" s="46"/>
      <c r="BL1281" s="147"/>
      <c r="BM1281" s="146"/>
      <c r="BN1281" s="147"/>
      <c r="BO1281" s="147"/>
      <c r="BP1281" s="232"/>
      <c r="BQ1281" s="233"/>
      <c r="BR1281" s="234"/>
      <c r="BS1281" s="235"/>
      <c r="BT1281" s="235"/>
      <c r="BU1281" s="235"/>
      <c r="BV1281" s="236"/>
    </row>
    <row r="1282" spans="1:74" x14ac:dyDescent="0.8">
      <c r="A1282" s="64"/>
      <c r="B1282" s="64"/>
      <c r="C1282" s="46"/>
      <c r="BL1282" s="147"/>
      <c r="BM1282" s="146"/>
      <c r="BN1282" s="147"/>
      <c r="BO1282" s="147"/>
      <c r="BP1282" s="232"/>
      <c r="BQ1282" s="233"/>
      <c r="BR1282" s="234"/>
      <c r="BS1282" s="235"/>
      <c r="BT1282" s="235"/>
      <c r="BU1282" s="235"/>
      <c r="BV1282" s="236"/>
    </row>
    <row r="1283" spans="1:74" x14ac:dyDescent="0.8">
      <c r="A1283" s="64"/>
      <c r="B1283" s="64"/>
      <c r="C1283" s="46"/>
      <c r="BL1283" s="147"/>
      <c r="BM1283" s="146"/>
      <c r="BN1283" s="147"/>
      <c r="BO1283" s="147"/>
      <c r="BP1283" s="232"/>
      <c r="BQ1283" s="233"/>
      <c r="BR1283" s="234"/>
      <c r="BS1283" s="235"/>
      <c r="BT1283" s="235"/>
      <c r="BU1283" s="235"/>
      <c r="BV1283" s="236"/>
    </row>
    <row r="1284" spans="1:74" x14ac:dyDescent="0.8">
      <c r="A1284" s="64"/>
      <c r="B1284" s="64"/>
      <c r="C1284" s="46"/>
      <c r="BL1284" s="147"/>
      <c r="BM1284" s="146"/>
      <c r="BN1284" s="147"/>
      <c r="BO1284" s="147"/>
      <c r="BP1284" s="232"/>
      <c r="BQ1284" s="233"/>
      <c r="BR1284" s="234"/>
      <c r="BS1284" s="235"/>
      <c r="BT1284" s="235"/>
      <c r="BU1284" s="235"/>
      <c r="BV1284" s="236"/>
    </row>
    <row r="1285" spans="1:74" x14ac:dyDescent="0.8">
      <c r="A1285" s="64"/>
      <c r="B1285" s="64"/>
      <c r="C1285" s="46"/>
      <c r="BL1285" s="147"/>
      <c r="BM1285" s="146"/>
      <c r="BN1285" s="147"/>
      <c r="BO1285" s="147"/>
      <c r="BP1285" s="232"/>
      <c r="BQ1285" s="233"/>
      <c r="BR1285" s="234"/>
      <c r="BS1285" s="235"/>
      <c r="BT1285" s="235"/>
      <c r="BU1285" s="235"/>
      <c r="BV1285" s="236"/>
    </row>
    <row r="1286" spans="1:74" x14ac:dyDescent="0.8">
      <c r="A1286" s="64"/>
      <c r="B1286" s="64"/>
      <c r="C1286" s="46"/>
      <c r="BL1286" s="147"/>
      <c r="BM1286" s="146"/>
      <c r="BN1286" s="147"/>
      <c r="BO1286" s="147"/>
      <c r="BP1286" s="232"/>
      <c r="BQ1286" s="233"/>
      <c r="BR1286" s="234"/>
      <c r="BS1286" s="235"/>
      <c r="BT1286" s="235"/>
      <c r="BU1286" s="235"/>
      <c r="BV1286" s="236"/>
    </row>
    <row r="1287" spans="1:74" x14ac:dyDescent="0.8">
      <c r="A1287" s="64"/>
      <c r="B1287" s="64"/>
      <c r="C1287" s="46"/>
      <c r="BL1287" s="147"/>
      <c r="BM1287" s="146"/>
      <c r="BN1287" s="147"/>
      <c r="BO1287" s="147"/>
      <c r="BP1287" s="232"/>
      <c r="BQ1287" s="233"/>
      <c r="BR1287" s="234"/>
      <c r="BS1287" s="235"/>
      <c r="BT1287" s="235"/>
      <c r="BU1287" s="235"/>
      <c r="BV1287" s="236"/>
    </row>
    <row r="1288" spans="1:74" x14ac:dyDescent="0.8">
      <c r="A1288" s="64"/>
      <c r="B1288" s="64"/>
      <c r="C1288" s="46"/>
      <c r="BL1288" s="147"/>
      <c r="BM1288" s="146"/>
      <c r="BN1288" s="147"/>
      <c r="BO1288" s="147"/>
      <c r="BP1288" s="232"/>
      <c r="BQ1288" s="233"/>
      <c r="BR1288" s="234"/>
      <c r="BS1288" s="235"/>
      <c r="BT1288" s="235"/>
      <c r="BU1288" s="235"/>
      <c r="BV1288" s="236"/>
    </row>
    <row r="1289" spans="1:74" x14ac:dyDescent="0.8">
      <c r="A1289" s="64"/>
      <c r="B1289" s="64"/>
      <c r="C1289" s="46"/>
      <c r="BL1289" s="147"/>
      <c r="BM1289" s="146"/>
      <c r="BN1289" s="147"/>
      <c r="BO1289" s="147"/>
      <c r="BP1289" s="232"/>
      <c r="BQ1289" s="233"/>
      <c r="BR1289" s="234"/>
      <c r="BS1289" s="235"/>
      <c r="BT1289" s="235"/>
      <c r="BU1289" s="235"/>
      <c r="BV1289" s="236"/>
    </row>
    <row r="1290" spans="1:74" x14ac:dyDescent="0.8">
      <c r="A1290" s="64"/>
      <c r="B1290" s="64"/>
      <c r="C1290" s="46"/>
      <c r="BL1290" s="147"/>
      <c r="BM1290" s="146"/>
      <c r="BN1290" s="147"/>
      <c r="BO1290" s="147"/>
      <c r="BP1290" s="232"/>
      <c r="BQ1290" s="233"/>
      <c r="BR1290" s="234"/>
      <c r="BS1290" s="235"/>
      <c r="BT1290" s="235"/>
      <c r="BU1290" s="235"/>
      <c r="BV1290" s="236"/>
    </row>
    <row r="1291" spans="1:74" x14ac:dyDescent="0.8">
      <c r="A1291" s="64"/>
      <c r="B1291" s="64"/>
      <c r="C1291" s="46"/>
      <c r="BL1291" s="147"/>
      <c r="BM1291" s="146"/>
      <c r="BN1291" s="147"/>
      <c r="BO1291" s="147"/>
      <c r="BP1291" s="232"/>
      <c r="BQ1291" s="233"/>
      <c r="BR1291" s="234"/>
      <c r="BS1291" s="235"/>
      <c r="BT1291" s="235"/>
      <c r="BU1291" s="235"/>
      <c r="BV1291" s="236"/>
    </row>
    <row r="1292" spans="1:74" x14ac:dyDescent="0.8">
      <c r="A1292" s="64"/>
      <c r="B1292" s="64"/>
      <c r="C1292" s="46"/>
      <c r="BL1292" s="147"/>
      <c r="BM1292" s="146"/>
      <c r="BN1292" s="147"/>
      <c r="BO1292" s="147"/>
      <c r="BP1292" s="232"/>
      <c r="BQ1292" s="233"/>
      <c r="BR1292" s="234"/>
      <c r="BS1292" s="235"/>
      <c r="BT1292" s="235"/>
      <c r="BU1292" s="235"/>
      <c r="BV1292" s="236"/>
    </row>
    <row r="1293" spans="1:74" x14ac:dyDescent="0.8">
      <c r="A1293" s="64"/>
      <c r="B1293" s="64"/>
      <c r="C1293" s="46"/>
      <c r="BL1293" s="147"/>
      <c r="BM1293" s="146"/>
      <c r="BN1293" s="147"/>
      <c r="BO1293" s="147"/>
      <c r="BP1293" s="232"/>
      <c r="BQ1293" s="233"/>
      <c r="BR1293" s="234"/>
      <c r="BS1293" s="235"/>
      <c r="BT1293" s="235"/>
      <c r="BU1293" s="235"/>
      <c r="BV1293" s="236"/>
    </row>
    <row r="1294" spans="1:74" x14ac:dyDescent="0.8">
      <c r="A1294" s="64"/>
      <c r="B1294" s="64"/>
      <c r="C1294" s="46"/>
      <c r="BL1294" s="147"/>
      <c r="BM1294" s="146"/>
      <c r="BN1294" s="147"/>
      <c r="BO1294" s="147"/>
      <c r="BP1294" s="232"/>
      <c r="BQ1294" s="233"/>
      <c r="BR1294" s="234"/>
      <c r="BS1294" s="235"/>
      <c r="BT1294" s="235"/>
      <c r="BU1294" s="235"/>
      <c r="BV1294" s="236"/>
    </row>
    <row r="1295" spans="1:74" x14ac:dyDescent="0.8">
      <c r="A1295" s="64"/>
      <c r="B1295" s="64"/>
      <c r="C1295" s="46"/>
      <c r="BL1295" s="147"/>
      <c r="BM1295" s="146"/>
      <c r="BN1295" s="147"/>
      <c r="BO1295" s="147"/>
      <c r="BP1295" s="232"/>
      <c r="BQ1295" s="233"/>
      <c r="BR1295" s="234"/>
      <c r="BS1295" s="235"/>
      <c r="BT1295" s="235"/>
      <c r="BU1295" s="235"/>
      <c r="BV1295" s="236"/>
    </row>
    <row r="1296" spans="1:74" x14ac:dyDescent="0.8">
      <c r="A1296" s="64"/>
      <c r="B1296" s="64"/>
      <c r="C1296" s="46"/>
      <c r="BL1296" s="147"/>
      <c r="BM1296" s="146"/>
      <c r="BN1296" s="147"/>
      <c r="BO1296" s="147"/>
      <c r="BP1296" s="232"/>
      <c r="BQ1296" s="233"/>
      <c r="BR1296" s="234"/>
      <c r="BS1296" s="235"/>
      <c r="BT1296" s="235"/>
      <c r="BU1296" s="235"/>
      <c r="BV1296" s="236"/>
    </row>
    <row r="1297" spans="1:74" x14ac:dyDescent="0.8">
      <c r="A1297" s="64"/>
      <c r="B1297" s="64"/>
      <c r="C1297" s="46"/>
      <c r="BL1297" s="147"/>
      <c r="BM1297" s="146"/>
      <c r="BN1297" s="147"/>
      <c r="BO1297" s="147"/>
      <c r="BP1297" s="232"/>
      <c r="BQ1297" s="233"/>
      <c r="BR1297" s="234"/>
      <c r="BS1297" s="235"/>
      <c r="BT1297" s="235"/>
      <c r="BU1297" s="235"/>
      <c r="BV1297" s="236"/>
    </row>
    <row r="1298" spans="1:74" x14ac:dyDescent="0.8">
      <c r="A1298" s="64"/>
      <c r="B1298" s="64"/>
      <c r="C1298" s="46"/>
      <c r="BL1298" s="147"/>
      <c r="BM1298" s="146"/>
      <c r="BN1298" s="147"/>
      <c r="BO1298" s="147"/>
      <c r="BP1298" s="232"/>
      <c r="BQ1298" s="233"/>
      <c r="BR1298" s="234"/>
      <c r="BS1298" s="235"/>
      <c r="BT1298" s="235"/>
      <c r="BU1298" s="235"/>
      <c r="BV1298" s="236"/>
    </row>
    <row r="1299" spans="1:74" x14ac:dyDescent="0.8">
      <c r="A1299" s="64"/>
      <c r="B1299" s="64"/>
      <c r="C1299" s="46"/>
      <c r="BL1299" s="147"/>
      <c r="BM1299" s="146"/>
      <c r="BN1299" s="147"/>
      <c r="BO1299" s="147"/>
      <c r="BP1299" s="232"/>
      <c r="BQ1299" s="233"/>
      <c r="BR1299" s="234"/>
      <c r="BS1299" s="235"/>
      <c r="BT1299" s="235"/>
      <c r="BU1299" s="235"/>
      <c r="BV1299" s="236"/>
    </row>
    <row r="1300" spans="1:74" x14ac:dyDescent="0.8">
      <c r="A1300" s="64"/>
      <c r="B1300" s="64"/>
      <c r="C1300" s="46"/>
      <c r="BL1300" s="147"/>
      <c r="BM1300" s="146"/>
      <c r="BN1300" s="147"/>
      <c r="BO1300" s="147"/>
      <c r="BP1300" s="232"/>
      <c r="BQ1300" s="233"/>
      <c r="BR1300" s="234"/>
      <c r="BS1300" s="235"/>
      <c r="BT1300" s="235"/>
      <c r="BU1300" s="235"/>
      <c r="BV1300" s="236"/>
    </row>
    <row r="1301" spans="1:74" x14ac:dyDescent="0.8">
      <c r="A1301" s="64"/>
      <c r="B1301" s="64"/>
      <c r="C1301" s="46"/>
      <c r="BL1301" s="147"/>
      <c r="BM1301" s="146"/>
      <c r="BN1301" s="147"/>
      <c r="BO1301" s="147"/>
      <c r="BP1301" s="232"/>
      <c r="BQ1301" s="233"/>
      <c r="BR1301" s="234"/>
      <c r="BS1301" s="235"/>
      <c r="BT1301" s="235"/>
      <c r="BU1301" s="235"/>
      <c r="BV1301" s="236"/>
    </row>
    <row r="1302" spans="1:74" x14ac:dyDescent="0.8">
      <c r="A1302" s="64"/>
      <c r="B1302" s="64"/>
      <c r="C1302" s="46"/>
      <c r="BL1302" s="147"/>
      <c r="BM1302" s="146"/>
      <c r="BN1302" s="147"/>
      <c r="BO1302" s="147"/>
      <c r="BP1302" s="232"/>
      <c r="BQ1302" s="233"/>
      <c r="BR1302" s="234"/>
      <c r="BS1302" s="235"/>
      <c r="BT1302" s="235"/>
      <c r="BU1302" s="235"/>
      <c r="BV1302" s="236"/>
    </row>
    <row r="1303" spans="1:74" x14ac:dyDescent="0.8">
      <c r="A1303" s="64"/>
      <c r="B1303" s="64"/>
      <c r="C1303" s="46"/>
      <c r="BL1303" s="147"/>
      <c r="BM1303" s="146"/>
      <c r="BN1303" s="147"/>
      <c r="BO1303" s="147"/>
      <c r="BP1303" s="232"/>
      <c r="BQ1303" s="233"/>
      <c r="BR1303" s="234"/>
      <c r="BS1303" s="235"/>
      <c r="BT1303" s="235"/>
      <c r="BU1303" s="235"/>
      <c r="BV1303" s="236"/>
    </row>
    <row r="1304" spans="1:74" x14ac:dyDescent="0.8">
      <c r="A1304" s="64"/>
      <c r="B1304" s="64"/>
      <c r="C1304" s="46"/>
      <c r="BL1304" s="147"/>
      <c r="BM1304" s="146"/>
      <c r="BN1304" s="147"/>
      <c r="BO1304" s="147"/>
      <c r="BP1304" s="232"/>
      <c r="BQ1304" s="233"/>
      <c r="BR1304" s="234"/>
      <c r="BS1304" s="235"/>
      <c r="BT1304" s="235"/>
      <c r="BU1304" s="235"/>
      <c r="BV1304" s="236"/>
    </row>
    <row r="1305" spans="1:74" x14ac:dyDescent="0.8">
      <c r="A1305" s="64"/>
      <c r="B1305" s="64"/>
      <c r="C1305" s="46"/>
      <c r="BL1305" s="147"/>
      <c r="BM1305" s="146"/>
      <c r="BN1305" s="147"/>
      <c r="BO1305" s="147"/>
      <c r="BP1305" s="232"/>
      <c r="BQ1305" s="233"/>
      <c r="BR1305" s="234"/>
      <c r="BS1305" s="235"/>
      <c r="BT1305" s="235"/>
      <c r="BU1305" s="235"/>
      <c r="BV1305" s="236"/>
    </row>
    <row r="1306" spans="1:74" x14ac:dyDescent="0.8">
      <c r="A1306" s="64"/>
      <c r="B1306" s="64"/>
      <c r="C1306" s="46"/>
      <c r="BL1306" s="147"/>
      <c r="BM1306" s="146"/>
      <c r="BN1306" s="147"/>
      <c r="BO1306" s="147"/>
      <c r="BP1306" s="232"/>
      <c r="BQ1306" s="233"/>
      <c r="BR1306" s="234"/>
      <c r="BS1306" s="235"/>
      <c r="BT1306" s="235"/>
      <c r="BU1306" s="235"/>
      <c r="BV1306" s="236"/>
    </row>
    <row r="1307" spans="1:74" x14ac:dyDescent="0.8">
      <c r="A1307" s="64"/>
      <c r="B1307" s="64"/>
      <c r="C1307" s="46"/>
      <c r="BL1307" s="147"/>
      <c r="BM1307" s="146"/>
      <c r="BN1307" s="147"/>
      <c r="BO1307" s="147"/>
      <c r="BP1307" s="232"/>
      <c r="BQ1307" s="233"/>
      <c r="BR1307" s="234"/>
      <c r="BS1307" s="235"/>
      <c r="BT1307" s="235"/>
      <c r="BU1307" s="235"/>
      <c r="BV1307" s="236"/>
    </row>
    <row r="1308" spans="1:74" x14ac:dyDescent="0.8">
      <c r="A1308" s="64"/>
      <c r="B1308" s="64"/>
      <c r="C1308" s="46"/>
      <c r="BL1308" s="147"/>
      <c r="BM1308" s="146"/>
      <c r="BN1308" s="147"/>
      <c r="BO1308" s="147"/>
      <c r="BP1308" s="232"/>
      <c r="BQ1308" s="233"/>
      <c r="BR1308" s="234"/>
      <c r="BS1308" s="235"/>
      <c r="BT1308" s="235"/>
      <c r="BU1308" s="235"/>
      <c r="BV1308" s="236"/>
    </row>
    <row r="1309" spans="1:74" x14ac:dyDescent="0.8">
      <c r="A1309" s="64"/>
      <c r="B1309" s="64"/>
      <c r="C1309" s="46"/>
      <c r="BL1309" s="147"/>
      <c r="BM1309" s="146"/>
      <c r="BN1309" s="147"/>
      <c r="BO1309" s="147"/>
      <c r="BP1309" s="232"/>
      <c r="BQ1309" s="233"/>
      <c r="BR1309" s="234"/>
      <c r="BS1309" s="235"/>
      <c r="BT1309" s="235"/>
      <c r="BU1309" s="235"/>
      <c r="BV1309" s="236"/>
    </row>
    <row r="1310" spans="1:74" x14ac:dyDescent="0.8">
      <c r="A1310" s="64"/>
      <c r="B1310" s="64"/>
      <c r="C1310" s="46"/>
      <c r="BL1310" s="147"/>
      <c r="BM1310" s="146"/>
      <c r="BN1310" s="147"/>
      <c r="BO1310" s="147"/>
      <c r="BP1310" s="232"/>
      <c r="BQ1310" s="233"/>
      <c r="BR1310" s="234"/>
      <c r="BS1310" s="235"/>
      <c r="BT1310" s="235"/>
      <c r="BU1310" s="235"/>
      <c r="BV1310" s="236"/>
    </row>
    <row r="1311" spans="1:74" x14ac:dyDescent="0.8">
      <c r="A1311" s="64"/>
      <c r="B1311" s="64"/>
      <c r="C1311" s="46"/>
      <c r="BL1311" s="147"/>
      <c r="BM1311" s="146"/>
      <c r="BN1311" s="147"/>
      <c r="BO1311" s="147"/>
      <c r="BP1311" s="232"/>
      <c r="BQ1311" s="233"/>
      <c r="BR1311" s="234"/>
      <c r="BS1311" s="235"/>
      <c r="BT1311" s="235"/>
      <c r="BU1311" s="235"/>
      <c r="BV1311" s="236"/>
    </row>
    <row r="1312" spans="1:74" x14ac:dyDescent="0.8">
      <c r="A1312" s="64"/>
      <c r="B1312" s="64"/>
      <c r="C1312" s="46"/>
      <c r="BL1312" s="147"/>
      <c r="BM1312" s="146"/>
      <c r="BN1312" s="147"/>
      <c r="BO1312" s="147"/>
      <c r="BP1312" s="232"/>
      <c r="BQ1312" s="233"/>
      <c r="BR1312" s="234"/>
      <c r="BS1312" s="235"/>
      <c r="BT1312" s="235"/>
      <c r="BU1312" s="235"/>
      <c r="BV1312" s="236"/>
    </row>
    <row r="1313" spans="1:74" x14ac:dyDescent="0.8">
      <c r="A1313" s="64"/>
      <c r="B1313" s="64"/>
      <c r="C1313" s="46"/>
      <c r="BL1313" s="147"/>
      <c r="BM1313" s="146"/>
      <c r="BN1313" s="147"/>
      <c r="BO1313" s="147"/>
      <c r="BP1313" s="232"/>
      <c r="BQ1313" s="233"/>
      <c r="BR1313" s="234"/>
      <c r="BS1313" s="235"/>
      <c r="BT1313" s="235"/>
      <c r="BU1313" s="235"/>
      <c r="BV1313" s="236"/>
    </row>
    <row r="1314" spans="1:74" x14ac:dyDescent="0.8">
      <c r="A1314" s="64"/>
      <c r="B1314" s="64"/>
      <c r="C1314" s="46"/>
      <c r="BL1314" s="147"/>
      <c r="BM1314" s="146"/>
      <c r="BN1314" s="147"/>
      <c r="BO1314" s="147"/>
      <c r="BP1314" s="232"/>
      <c r="BQ1314" s="233"/>
      <c r="BR1314" s="234"/>
      <c r="BS1314" s="235"/>
      <c r="BT1314" s="235"/>
      <c r="BU1314" s="235"/>
      <c r="BV1314" s="236"/>
    </row>
    <row r="1315" spans="1:74" x14ac:dyDescent="0.8">
      <c r="A1315" s="64"/>
      <c r="B1315" s="64"/>
      <c r="C1315" s="46"/>
      <c r="BL1315" s="147"/>
      <c r="BM1315" s="146"/>
      <c r="BN1315" s="147"/>
      <c r="BO1315" s="147"/>
      <c r="BP1315" s="232"/>
      <c r="BQ1315" s="233"/>
      <c r="BR1315" s="234"/>
      <c r="BS1315" s="235"/>
      <c r="BT1315" s="235"/>
      <c r="BU1315" s="235"/>
      <c r="BV1315" s="236"/>
    </row>
    <row r="1316" spans="1:74" x14ac:dyDescent="0.8">
      <c r="A1316" s="64"/>
      <c r="B1316" s="64"/>
      <c r="C1316" s="46"/>
      <c r="BL1316" s="147"/>
      <c r="BM1316" s="146"/>
      <c r="BN1316" s="147"/>
      <c r="BO1316" s="147"/>
      <c r="BP1316" s="232"/>
      <c r="BQ1316" s="233"/>
      <c r="BR1316" s="234"/>
      <c r="BS1316" s="235"/>
      <c r="BT1316" s="235"/>
      <c r="BU1316" s="235"/>
      <c r="BV1316" s="236"/>
    </row>
    <row r="1317" spans="1:74" x14ac:dyDescent="0.8">
      <c r="A1317" s="64"/>
      <c r="B1317" s="64"/>
      <c r="C1317" s="46"/>
      <c r="BL1317" s="147"/>
      <c r="BM1317" s="146"/>
      <c r="BN1317" s="147"/>
      <c r="BO1317" s="147"/>
      <c r="BP1317" s="232"/>
      <c r="BQ1317" s="233"/>
      <c r="BR1317" s="234"/>
      <c r="BS1317" s="235"/>
      <c r="BT1317" s="235"/>
      <c r="BU1317" s="235"/>
      <c r="BV1317" s="236"/>
    </row>
    <row r="1318" spans="1:74" x14ac:dyDescent="0.8">
      <c r="A1318" s="64"/>
      <c r="B1318" s="64"/>
      <c r="C1318" s="46"/>
      <c r="BL1318" s="147"/>
      <c r="BM1318" s="146"/>
      <c r="BN1318" s="147"/>
      <c r="BO1318" s="147"/>
      <c r="BP1318" s="232"/>
      <c r="BQ1318" s="233"/>
      <c r="BR1318" s="234"/>
      <c r="BS1318" s="235"/>
      <c r="BT1318" s="235"/>
      <c r="BU1318" s="235"/>
      <c r="BV1318" s="236"/>
    </row>
    <row r="1319" spans="1:74" x14ac:dyDescent="0.8">
      <c r="A1319" s="64"/>
      <c r="B1319" s="64"/>
      <c r="C1319" s="46"/>
      <c r="BL1319" s="147"/>
      <c r="BM1319" s="146"/>
      <c r="BN1319" s="147"/>
      <c r="BO1319" s="147"/>
      <c r="BP1319" s="232"/>
      <c r="BQ1319" s="233"/>
      <c r="BR1319" s="234"/>
      <c r="BS1319" s="235"/>
      <c r="BT1319" s="235"/>
      <c r="BU1319" s="235"/>
      <c r="BV1319" s="236"/>
    </row>
    <row r="1320" spans="1:74" x14ac:dyDescent="0.8">
      <c r="A1320" s="64"/>
      <c r="B1320" s="64"/>
      <c r="C1320" s="46"/>
      <c r="BL1320" s="147"/>
      <c r="BM1320" s="146"/>
      <c r="BN1320" s="147"/>
      <c r="BO1320" s="147"/>
      <c r="BP1320" s="232"/>
      <c r="BQ1320" s="233"/>
      <c r="BR1320" s="234"/>
      <c r="BS1320" s="235"/>
      <c r="BT1320" s="235"/>
      <c r="BU1320" s="235"/>
      <c r="BV1320" s="236"/>
    </row>
    <row r="1321" spans="1:74" x14ac:dyDescent="0.8">
      <c r="A1321" s="64"/>
      <c r="B1321" s="64"/>
      <c r="C1321" s="46"/>
      <c r="BL1321" s="147"/>
      <c r="BM1321" s="146"/>
      <c r="BN1321" s="147"/>
      <c r="BO1321" s="147"/>
      <c r="BP1321" s="232"/>
      <c r="BQ1321" s="233"/>
      <c r="BR1321" s="234"/>
      <c r="BS1321" s="235"/>
      <c r="BT1321" s="235"/>
      <c r="BU1321" s="235"/>
      <c r="BV1321" s="236"/>
    </row>
    <row r="1322" spans="1:74" x14ac:dyDescent="0.8">
      <c r="A1322" s="64"/>
      <c r="B1322" s="64"/>
      <c r="C1322" s="46"/>
      <c r="BL1322" s="147"/>
      <c r="BM1322" s="146"/>
      <c r="BN1322" s="147"/>
      <c r="BO1322" s="147"/>
      <c r="BP1322" s="232"/>
      <c r="BQ1322" s="233"/>
      <c r="BR1322" s="234"/>
      <c r="BS1322" s="235"/>
      <c r="BT1322" s="235"/>
      <c r="BU1322" s="235"/>
      <c r="BV1322" s="236"/>
    </row>
    <row r="1323" spans="1:74" x14ac:dyDescent="0.8">
      <c r="A1323" s="64"/>
      <c r="B1323" s="64"/>
      <c r="C1323" s="46"/>
      <c r="BL1323" s="147"/>
      <c r="BM1323" s="146"/>
      <c r="BN1323" s="147"/>
      <c r="BO1323" s="147"/>
      <c r="BP1323" s="232"/>
      <c r="BQ1323" s="233"/>
      <c r="BR1323" s="234"/>
      <c r="BS1323" s="235"/>
      <c r="BT1323" s="235"/>
      <c r="BU1323" s="235"/>
      <c r="BV1323" s="236"/>
    </row>
    <row r="1324" spans="1:74" x14ac:dyDescent="0.8">
      <c r="A1324" s="64"/>
      <c r="B1324" s="64"/>
      <c r="C1324" s="46"/>
      <c r="BL1324" s="147"/>
      <c r="BM1324" s="146"/>
      <c r="BN1324" s="147"/>
      <c r="BO1324" s="147"/>
      <c r="BP1324" s="232"/>
      <c r="BQ1324" s="233"/>
      <c r="BR1324" s="234"/>
      <c r="BS1324" s="235"/>
      <c r="BT1324" s="235"/>
      <c r="BU1324" s="235"/>
      <c r="BV1324" s="236"/>
    </row>
    <row r="1325" spans="1:74" x14ac:dyDescent="0.8">
      <c r="A1325" s="64"/>
      <c r="B1325" s="64"/>
      <c r="C1325" s="46"/>
      <c r="BL1325" s="147"/>
      <c r="BM1325" s="146"/>
      <c r="BN1325" s="147"/>
      <c r="BO1325" s="147"/>
      <c r="BP1325" s="232"/>
      <c r="BQ1325" s="233"/>
      <c r="BR1325" s="234"/>
      <c r="BS1325" s="235"/>
      <c r="BT1325" s="235"/>
      <c r="BU1325" s="235"/>
      <c r="BV1325" s="236"/>
    </row>
    <row r="1326" spans="1:74" x14ac:dyDescent="0.8">
      <c r="A1326" s="64"/>
      <c r="B1326" s="64"/>
      <c r="C1326" s="46"/>
      <c r="BL1326" s="147"/>
      <c r="BM1326" s="146"/>
      <c r="BN1326" s="147"/>
      <c r="BO1326" s="147"/>
      <c r="BP1326" s="232"/>
      <c r="BQ1326" s="233"/>
      <c r="BR1326" s="234"/>
      <c r="BS1326" s="235"/>
      <c r="BT1326" s="235"/>
      <c r="BU1326" s="235"/>
      <c r="BV1326" s="236"/>
    </row>
    <row r="1327" spans="1:74" x14ac:dyDescent="0.8">
      <c r="A1327" s="64"/>
      <c r="B1327" s="64"/>
      <c r="C1327" s="46"/>
      <c r="BL1327" s="147"/>
      <c r="BM1327" s="146"/>
      <c r="BN1327" s="147"/>
      <c r="BO1327" s="147"/>
      <c r="BP1327" s="232"/>
      <c r="BQ1327" s="233"/>
      <c r="BR1327" s="234"/>
      <c r="BS1327" s="235"/>
      <c r="BT1327" s="235"/>
      <c r="BU1327" s="235"/>
      <c r="BV1327" s="236"/>
    </row>
    <row r="1328" spans="1:74" x14ac:dyDescent="0.8">
      <c r="A1328" s="64"/>
      <c r="B1328" s="64"/>
      <c r="C1328" s="46"/>
      <c r="BL1328" s="147"/>
      <c r="BM1328" s="146"/>
      <c r="BN1328" s="147"/>
      <c r="BO1328" s="147"/>
      <c r="BP1328" s="232"/>
      <c r="BQ1328" s="233"/>
      <c r="BR1328" s="234"/>
      <c r="BS1328" s="235"/>
      <c r="BT1328" s="235"/>
      <c r="BU1328" s="235"/>
      <c r="BV1328" s="236"/>
    </row>
    <row r="1329" spans="1:74" x14ac:dyDescent="0.8">
      <c r="A1329" s="64"/>
      <c r="B1329" s="64"/>
      <c r="C1329" s="46"/>
      <c r="BL1329" s="147"/>
      <c r="BM1329" s="146"/>
      <c r="BN1329" s="147"/>
      <c r="BO1329" s="147"/>
      <c r="BP1329" s="232"/>
      <c r="BQ1329" s="233"/>
      <c r="BR1329" s="234"/>
      <c r="BS1329" s="235"/>
      <c r="BT1329" s="235"/>
      <c r="BU1329" s="235"/>
      <c r="BV1329" s="236"/>
    </row>
    <row r="1330" spans="1:74" x14ac:dyDescent="0.8">
      <c r="A1330" s="64"/>
      <c r="B1330" s="64"/>
      <c r="C1330" s="46"/>
      <c r="BL1330" s="147"/>
      <c r="BM1330" s="146"/>
      <c r="BN1330" s="147"/>
      <c r="BO1330" s="147"/>
      <c r="BP1330" s="232"/>
      <c r="BQ1330" s="233"/>
      <c r="BR1330" s="234"/>
      <c r="BS1330" s="235"/>
      <c r="BT1330" s="235"/>
      <c r="BU1330" s="235"/>
      <c r="BV1330" s="236"/>
    </row>
    <row r="1331" spans="1:74" x14ac:dyDescent="0.8">
      <c r="A1331" s="64"/>
      <c r="B1331" s="64"/>
      <c r="C1331" s="46"/>
      <c r="BL1331" s="147"/>
      <c r="BM1331" s="146"/>
      <c r="BN1331" s="147"/>
      <c r="BO1331" s="147"/>
      <c r="BP1331" s="232"/>
      <c r="BQ1331" s="233"/>
      <c r="BR1331" s="234"/>
      <c r="BS1331" s="235"/>
      <c r="BT1331" s="235"/>
      <c r="BU1331" s="235"/>
      <c r="BV1331" s="236"/>
    </row>
    <row r="1332" spans="1:74" x14ac:dyDescent="0.8">
      <c r="A1332" s="64"/>
      <c r="B1332" s="64"/>
      <c r="C1332" s="46"/>
      <c r="BL1332" s="147"/>
      <c r="BM1332" s="146"/>
      <c r="BN1332" s="147"/>
      <c r="BO1332" s="147"/>
      <c r="BP1332" s="232"/>
      <c r="BQ1332" s="233"/>
      <c r="BR1332" s="234"/>
      <c r="BS1332" s="235"/>
      <c r="BT1332" s="235"/>
      <c r="BU1332" s="235"/>
      <c r="BV1332" s="236"/>
    </row>
    <row r="1333" spans="1:74" x14ac:dyDescent="0.8">
      <c r="A1333" s="64"/>
      <c r="B1333" s="64"/>
      <c r="C1333" s="46"/>
      <c r="BL1333" s="147"/>
      <c r="BM1333" s="146"/>
      <c r="BN1333" s="147"/>
      <c r="BO1333" s="147"/>
      <c r="BP1333" s="232"/>
      <c r="BQ1333" s="233"/>
      <c r="BR1333" s="234"/>
      <c r="BS1333" s="235"/>
      <c r="BT1333" s="235"/>
      <c r="BU1333" s="235"/>
      <c r="BV1333" s="236"/>
    </row>
    <row r="1334" spans="1:74" x14ac:dyDescent="0.8">
      <c r="A1334" s="64"/>
      <c r="B1334" s="64"/>
      <c r="C1334" s="46"/>
      <c r="BL1334" s="147"/>
      <c r="BM1334" s="146"/>
      <c r="BN1334" s="147"/>
      <c r="BO1334" s="147"/>
      <c r="BP1334" s="232"/>
      <c r="BQ1334" s="233"/>
      <c r="BR1334" s="234"/>
      <c r="BS1334" s="235"/>
      <c r="BT1334" s="235"/>
      <c r="BU1334" s="235"/>
      <c r="BV1334" s="236"/>
    </row>
    <row r="1335" spans="1:74" x14ac:dyDescent="0.8">
      <c r="A1335" s="64"/>
      <c r="B1335" s="64"/>
      <c r="C1335" s="46"/>
      <c r="BL1335" s="147"/>
      <c r="BM1335" s="146"/>
      <c r="BN1335" s="147"/>
      <c r="BO1335" s="147"/>
      <c r="BP1335" s="232"/>
      <c r="BQ1335" s="233"/>
      <c r="BR1335" s="234"/>
      <c r="BS1335" s="235"/>
      <c r="BT1335" s="235"/>
      <c r="BU1335" s="235"/>
      <c r="BV1335" s="236"/>
    </row>
    <row r="1336" spans="1:74" x14ac:dyDescent="0.8">
      <c r="A1336" s="64"/>
      <c r="B1336" s="64"/>
      <c r="C1336" s="46"/>
      <c r="BL1336" s="147"/>
      <c r="BM1336" s="146"/>
      <c r="BN1336" s="147"/>
      <c r="BO1336" s="147"/>
      <c r="BP1336" s="232"/>
      <c r="BQ1336" s="233"/>
      <c r="BR1336" s="234"/>
      <c r="BS1336" s="235"/>
      <c r="BT1336" s="235"/>
      <c r="BU1336" s="235"/>
      <c r="BV1336" s="236"/>
    </row>
    <row r="1337" spans="1:74" x14ac:dyDescent="0.8">
      <c r="A1337" s="64"/>
      <c r="B1337" s="64"/>
      <c r="C1337" s="46"/>
      <c r="BL1337" s="147"/>
      <c r="BM1337" s="146"/>
      <c r="BN1337" s="147"/>
      <c r="BO1337" s="147"/>
      <c r="BP1337" s="232"/>
      <c r="BQ1337" s="233"/>
      <c r="BR1337" s="234"/>
      <c r="BS1337" s="235"/>
      <c r="BT1337" s="235"/>
      <c r="BU1337" s="235"/>
      <c r="BV1337" s="236"/>
    </row>
    <row r="1338" spans="1:74" x14ac:dyDescent="0.8">
      <c r="A1338" s="64"/>
      <c r="B1338" s="64"/>
      <c r="C1338" s="46"/>
      <c r="BL1338" s="147"/>
      <c r="BM1338" s="146"/>
      <c r="BN1338" s="147"/>
      <c r="BO1338" s="147"/>
      <c r="BP1338" s="232"/>
      <c r="BQ1338" s="233"/>
      <c r="BR1338" s="234"/>
      <c r="BS1338" s="235"/>
      <c r="BT1338" s="235"/>
      <c r="BU1338" s="235"/>
      <c r="BV1338" s="236"/>
    </row>
    <row r="1339" spans="1:74" x14ac:dyDescent="0.8">
      <c r="A1339" s="64"/>
      <c r="B1339" s="64"/>
      <c r="C1339" s="46"/>
      <c r="BL1339" s="147"/>
      <c r="BM1339" s="146"/>
      <c r="BN1339" s="147"/>
      <c r="BO1339" s="147"/>
      <c r="BP1339" s="232"/>
      <c r="BQ1339" s="233"/>
      <c r="BR1339" s="234"/>
      <c r="BS1339" s="235"/>
      <c r="BT1339" s="235"/>
      <c r="BU1339" s="235"/>
      <c r="BV1339" s="236"/>
    </row>
    <row r="1340" spans="1:74" x14ac:dyDescent="0.8">
      <c r="A1340" s="64"/>
      <c r="B1340" s="64"/>
      <c r="C1340" s="46"/>
      <c r="BL1340" s="147"/>
      <c r="BM1340" s="146"/>
      <c r="BN1340" s="147"/>
      <c r="BO1340" s="147"/>
      <c r="BP1340" s="232"/>
      <c r="BQ1340" s="233"/>
      <c r="BR1340" s="234"/>
      <c r="BS1340" s="235"/>
      <c r="BT1340" s="235"/>
      <c r="BU1340" s="235"/>
      <c r="BV1340" s="236"/>
    </row>
    <row r="1341" spans="1:74" x14ac:dyDescent="0.8">
      <c r="A1341" s="64"/>
      <c r="B1341" s="64"/>
      <c r="C1341" s="46"/>
      <c r="BL1341" s="147"/>
      <c r="BM1341" s="146"/>
      <c r="BN1341" s="147"/>
      <c r="BO1341" s="147"/>
      <c r="BP1341" s="232"/>
      <c r="BQ1341" s="237"/>
      <c r="BR1341" s="238"/>
      <c r="BS1341" s="239"/>
      <c r="BT1341" s="239"/>
      <c r="BU1341" s="239"/>
      <c r="BV1341" s="240"/>
    </row>
    <row r="1342" spans="1:74" x14ac:dyDescent="0.8">
      <c r="A1342" s="64"/>
      <c r="B1342" s="64"/>
      <c r="C1342" s="46"/>
      <c r="BL1342" s="147"/>
      <c r="BM1342" s="146"/>
      <c r="BN1342" s="147"/>
      <c r="BO1342" s="147"/>
      <c r="BP1342" s="232"/>
      <c r="BQ1342" s="233"/>
      <c r="BR1342" s="234"/>
      <c r="BS1342" s="235"/>
      <c r="BT1342" s="235"/>
      <c r="BU1342" s="235"/>
      <c r="BV1342" s="236"/>
    </row>
    <row r="1343" spans="1:74" x14ac:dyDescent="0.8">
      <c r="A1343" s="64"/>
      <c r="B1343" s="64"/>
      <c r="C1343" s="46"/>
      <c r="BL1343" s="147"/>
      <c r="BM1343" s="146"/>
      <c r="BN1343" s="147"/>
      <c r="BO1343" s="147"/>
      <c r="BP1343" s="232"/>
      <c r="BQ1343" s="233"/>
      <c r="BR1343" s="234"/>
      <c r="BS1343" s="235"/>
      <c r="BT1343" s="235"/>
      <c r="BU1343" s="235"/>
      <c r="BV1343" s="236"/>
    </row>
    <row r="1344" spans="1:74" x14ac:dyDescent="0.8">
      <c r="A1344" s="64"/>
      <c r="B1344" s="64"/>
      <c r="C1344" s="46"/>
      <c r="BL1344" s="147"/>
      <c r="BM1344" s="146"/>
      <c r="BN1344" s="147"/>
      <c r="BO1344" s="147"/>
      <c r="BP1344" s="232"/>
      <c r="BQ1344" s="233"/>
      <c r="BR1344" s="234"/>
      <c r="BS1344" s="235"/>
      <c r="BT1344" s="235"/>
      <c r="BU1344" s="235"/>
      <c r="BV1344" s="236"/>
    </row>
    <row r="1345" spans="1:74" x14ac:dyDescent="0.8">
      <c r="A1345" s="64"/>
      <c r="B1345" s="64"/>
      <c r="C1345" s="46"/>
      <c r="BL1345" s="147"/>
      <c r="BM1345" s="146"/>
      <c r="BN1345" s="147"/>
      <c r="BO1345" s="147"/>
      <c r="BP1345" s="232"/>
      <c r="BQ1345" s="233"/>
      <c r="BR1345" s="234"/>
      <c r="BS1345" s="235"/>
      <c r="BT1345" s="235"/>
      <c r="BU1345" s="235"/>
      <c r="BV1345" s="236"/>
    </row>
    <row r="1346" spans="1:74" x14ac:dyDescent="0.8">
      <c r="A1346" s="64"/>
      <c r="B1346" s="64"/>
      <c r="C1346" s="46"/>
      <c r="BL1346" s="147"/>
      <c r="BM1346" s="146"/>
      <c r="BN1346" s="147"/>
      <c r="BO1346" s="147"/>
      <c r="BP1346" s="232"/>
      <c r="BQ1346" s="233"/>
      <c r="BR1346" s="234"/>
      <c r="BS1346" s="235"/>
      <c r="BT1346" s="235"/>
      <c r="BU1346" s="235"/>
      <c r="BV1346" s="236"/>
    </row>
    <row r="1347" spans="1:74" x14ac:dyDescent="0.8">
      <c r="A1347" s="64"/>
      <c r="B1347" s="64"/>
      <c r="C1347" s="46"/>
      <c r="BL1347" s="147"/>
      <c r="BM1347" s="146"/>
      <c r="BN1347" s="147"/>
      <c r="BO1347" s="147"/>
      <c r="BP1347" s="232"/>
      <c r="BQ1347" s="233"/>
      <c r="BR1347" s="234"/>
      <c r="BS1347" s="235"/>
      <c r="BT1347" s="235"/>
      <c r="BU1347" s="235"/>
      <c r="BV1347" s="236"/>
    </row>
    <row r="1348" spans="1:74" x14ac:dyDescent="0.8">
      <c r="A1348" s="64"/>
      <c r="B1348" s="64"/>
      <c r="C1348" s="46"/>
      <c r="BL1348" s="147"/>
      <c r="BM1348" s="146"/>
      <c r="BN1348" s="147"/>
      <c r="BO1348" s="147"/>
      <c r="BP1348" s="232"/>
      <c r="BQ1348" s="237"/>
      <c r="BR1348" s="238"/>
      <c r="BS1348" s="239"/>
      <c r="BT1348" s="239"/>
      <c r="BU1348" s="239"/>
      <c r="BV1348" s="240"/>
    </row>
    <row r="1349" spans="1:74" x14ac:dyDescent="0.8">
      <c r="A1349" s="64"/>
      <c r="B1349" s="64"/>
      <c r="C1349" s="46"/>
      <c r="BL1349" s="147"/>
      <c r="BM1349" s="146"/>
      <c r="BN1349" s="147"/>
      <c r="BO1349" s="147"/>
      <c r="BP1349" s="232"/>
      <c r="BQ1349" s="233"/>
      <c r="BR1349" s="234"/>
      <c r="BS1349" s="235"/>
      <c r="BT1349" s="235"/>
      <c r="BU1349" s="235"/>
      <c r="BV1349" s="236"/>
    </row>
    <row r="1350" spans="1:74" x14ac:dyDescent="0.8">
      <c r="A1350" s="64"/>
      <c r="B1350" s="64"/>
      <c r="C1350" s="46"/>
      <c r="BL1350" s="147"/>
      <c r="BM1350" s="146"/>
      <c r="BN1350" s="147"/>
      <c r="BO1350" s="147"/>
      <c r="BP1350" s="232"/>
      <c r="BQ1350" s="237"/>
      <c r="BR1350" s="238"/>
      <c r="BS1350" s="239"/>
      <c r="BT1350" s="239"/>
      <c r="BU1350" s="239"/>
      <c r="BV1350" s="240"/>
    </row>
    <row r="1351" spans="1:74" x14ac:dyDescent="0.8">
      <c r="A1351" s="64"/>
      <c r="B1351" s="64"/>
      <c r="C1351" s="46"/>
      <c r="BL1351" s="147"/>
      <c r="BM1351" s="146"/>
      <c r="BN1351" s="147"/>
      <c r="BO1351" s="147"/>
      <c r="BP1351" s="232"/>
      <c r="BQ1351" s="237"/>
      <c r="BR1351" s="238"/>
      <c r="BS1351" s="239"/>
      <c r="BT1351" s="239"/>
      <c r="BU1351" s="239"/>
      <c r="BV1351" s="240"/>
    </row>
    <row r="1352" spans="1:74" x14ac:dyDescent="0.8">
      <c r="A1352" s="64"/>
      <c r="B1352" s="64"/>
      <c r="C1352" s="46"/>
      <c r="BL1352" s="147"/>
      <c r="BM1352" s="146"/>
      <c r="BN1352" s="147"/>
      <c r="BO1352" s="147"/>
      <c r="BP1352" s="232"/>
      <c r="BQ1352" s="237"/>
      <c r="BR1352" s="238"/>
      <c r="BS1352" s="239"/>
      <c r="BT1352" s="239"/>
      <c r="BU1352" s="239"/>
      <c r="BV1352" s="240"/>
    </row>
    <row r="1353" spans="1:74" x14ac:dyDescent="0.8">
      <c r="A1353" s="64"/>
      <c r="B1353" s="64"/>
      <c r="C1353" s="46"/>
      <c r="BL1353" s="147"/>
      <c r="BM1353" s="146"/>
      <c r="BN1353" s="147"/>
      <c r="BO1353" s="147"/>
      <c r="BP1353" s="232"/>
      <c r="BQ1353" s="237"/>
      <c r="BR1353" s="238"/>
      <c r="BS1353" s="239"/>
      <c r="BT1353" s="239"/>
      <c r="BU1353" s="239"/>
      <c r="BV1353" s="240"/>
    </row>
    <row r="1354" spans="1:74" x14ac:dyDescent="0.8">
      <c r="A1354" s="64"/>
      <c r="B1354" s="64"/>
      <c r="C1354" s="46"/>
      <c r="BL1354" s="147"/>
      <c r="BM1354" s="146"/>
      <c r="BN1354" s="147"/>
      <c r="BO1354" s="147"/>
      <c r="BP1354" s="232"/>
      <c r="BQ1354" s="237"/>
      <c r="BR1354" s="238"/>
      <c r="BS1354" s="239"/>
      <c r="BT1354" s="239"/>
      <c r="BU1354" s="239"/>
      <c r="BV1354" s="240"/>
    </row>
    <row r="1355" spans="1:74" x14ac:dyDescent="0.8">
      <c r="A1355" s="64"/>
      <c r="B1355" s="64"/>
      <c r="C1355" s="46"/>
      <c r="BL1355" s="147"/>
      <c r="BM1355" s="146"/>
      <c r="BN1355" s="147"/>
      <c r="BO1355" s="147"/>
      <c r="BP1355" s="232"/>
      <c r="BQ1355" s="237"/>
      <c r="BR1355" s="238"/>
      <c r="BS1355" s="239"/>
      <c r="BT1355" s="239"/>
      <c r="BU1355" s="239"/>
      <c r="BV1355" s="240"/>
    </row>
    <row r="1356" spans="1:74" x14ac:dyDescent="0.8">
      <c r="A1356" s="64"/>
      <c r="B1356" s="64"/>
      <c r="C1356" s="46"/>
      <c r="BL1356" s="147"/>
      <c r="BM1356" s="146"/>
      <c r="BN1356" s="147"/>
      <c r="BO1356" s="147"/>
      <c r="BP1356" s="232"/>
      <c r="BQ1356" s="237"/>
      <c r="BR1356" s="238"/>
      <c r="BS1356" s="239"/>
      <c r="BT1356" s="239"/>
      <c r="BU1356" s="239"/>
      <c r="BV1356" s="240"/>
    </row>
    <row r="1357" spans="1:74" x14ac:dyDescent="0.8">
      <c r="A1357" s="64"/>
      <c r="B1357" s="64"/>
      <c r="C1357" s="62"/>
      <c r="BL1357" s="147"/>
      <c r="BM1357" s="146"/>
      <c r="BN1357" s="147"/>
      <c r="BO1357" s="147"/>
      <c r="BP1357" s="232"/>
      <c r="BQ1357" s="237"/>
      <c r="BR1357" s="238"/>
      <c r="BS1357" s="239"/>
      <c r="BT1357" s="239"/>
      <c r="BU1357" s="239"/>
      <c r="BV1357" s="240"/>
    </row>
    <row r="1358" spans="1:74" x14ac:dyDescent="0.8">
      <c r="A1358" s="64"/>
      <c r="B1358" s="64"/>
      <c r="C1358" s="62"/>
      <c r="BL1358" s="147"/>
      <c r="BM1358" s="146"/>
      <c r="BN1358" s="147"/>
      <c r="BO1358" s="147"/>
      <c r="BP1358" s="232"/>
      <c r="BQ1358" s="237"/>
      <c r="BR1358" s="238"/>
      <c r="BS1358" s="239"/>
      <c r="BT1358" s="239"/>
      <c r="BU1358" s="239"/>
      <c r="BV1358" s="240"/>
    </row>
    <row r="1359" spans="1:74" x14ac:dyDescent="0.8">
      <c r="A1359" s="64"/>
      <c r="B1359" s="64"/>
      <c r="C1359" s="62"/>
      <c r="BL1359" s="147"/>
      <c r="BM1359" s="146"/>
      <c r="BN1359" s="147"/>
      <c r="BO1359" s="147"/>
      <c r="BP1359" s="232"/>
      <c r="BQ1359" s="237"/>
      <c r="BR1359" s="238"/>
      <c r="BS1359" s="239"/>
      <c r="BT1359" s="239"/>
      <c r="BU1359" s="239"/>
      <c r="BV1359" s="240"/>
    </row>
    <row r="1360" spans="1:74" x14ac:dyDescent="0.8">
      <c r="A1360" s="64"/>
      <c r="B1360" s="64"/>
      <c r="C1360" s="62"/>
      <c r="BL1360" s="147"/>
      <c r="BM1360" s="146"/>
      <c r="BN1360" s="147"/>
      <c r="BO1360" s="147"/>
      <c r="BP1360" s="232"/>
      <c r="BQ1360" s="237"/>
      <c r="BR1360" s="238"/>
      <c r="BS1360" s="239"/>
      <c r="BT1360" s="239"/>
      <c r="BU1360" s="239"/>
      <c r="BV1360" s="240"/>
    </row>
    <row r="1361" spans="1:74" x14ac:dyDescent="0.8">
      <c r="A1361" s="64"/>
      <c r="B1361" s="64"/>
      <c r="C1361" s="62"/>
      <c r="BL1361" s="147"/>
      <c r="BM1361" s="146"/>
      <c r="BN1361" s="147"/>
      <c r="BO1361" s="147"/>
      <c r="BP1361" s="232"/>
      <c r="BQ1361" s="237"/>
      <c r="BR1361" s="238"/>
      <c r="BS1361" s="239"/>
      <c r="BT1361" s="239"/>
      <c r="BU1361" s="239"/>
      <c r="BV1361" s="240"/>
    </row>
    <row r="1362" spans="1:74" x14ac:dyDescent="0.8">
      <c r="A1362" s="64"/>
      <c r="B1362" s="64"/>
      <c r="C1362" s="62"/>
      <c r="BL1362" s="147"/>
      <c r="BM1362" s="146"/>
      <c r="BN1362" s="147"/>
      <c r="BO1362" s="147"/>
      <c r="BP1362" s="232"/>
      <c r="BQ1362" s="237"/>
      <c r="BR1362" s="238"/>
      <c r="BS1362" s="239"/>
      <c r="BT1362" s="239"/>
      <c r="BU1362" s="239"/>
      <c r="BV1362" s="240"/>
    </row>
    <row r="1363" spans="1:74" x14ac:dyDescent="0.8">
      <c r="A1363" s="64"/>
      <c r="B1363" s="64"/>
      <c r="C1363" s="62"/>
      <c r="BL1363" s="147"/>
      <c r="BM1363" s="146"/>
      <c r="BN1363" s="147"/>
      <c r="BO1363" s="147"/>
      <c r="BP1363" s="232"/>
      <c r="BQ1363" s="237"/>
      <c r="BR1363" s="238"/>
      <c r="BS1363" s="239"/>
      <c r="BT1363" s="239"/>
      <c r="BU1363" s="239"/>
      <c r="BV1363" s="240"/>
    </row>
    <row r="1364" spans="1:74" x14ac:dyDescent="0.8">
      <c r="A1364" s="64"/>
      <c r="B1364" s="64"/>
      <c r="C1364" s="62"/>
      <c r="BL1364" s="147"/>
      <c r="BM1364" s="146"/>
      <c r="BN1364" s="147"/>
      <c r="BO1364" s="147"/>
      <c r="BP1364" s="232"/>
      <c r="BQ1364" s="237"/>
      <c r="BR1364" s="238"/>
      <c r="BS1364" s="239"/>
      <c r="BT1364" s="239"/>
      <c r="BU1364" s="239"/>
      <c r="BV1364" s="240"/>
    </row>
    <row r="1365" spans="1:74" x14ac:dyDescent="0.8">
      <c r="A1365" s="64"/>
      <c r="B1365" s="64"/>
      <c r="C1365" s="62"/>
      <c r="BL1365" s="147"/>
      <c r="BM1365" s="146"/>
      <c r="BN1365" s="147"/>
      <c r="BO1365" s="147"/>
      <c r="BP1365" s="232"/>
      <c r="BQ1365" s="237"/>
      <c r="BR1365" s="238"/>
      <c r="BS1365" s="239"/>
      <c r="BT1365" s="239"/>
      <c r="BU1365" s="239"/>
      <c r="BV1365" s="240"/>
    </row>
    <row r="1366" spans="1:74" x14ac:dyDescent="0.8">
      <c r="A1366" s="64"/>
      <c r="B1366" s="64"/>
      <c r="C1366" s="62"/>
      <c r="BL1366" s="147"/>
      <c r="BM1366" s="146"/>
      <c r="BN1366" s="147"/>
      <c r="BO1366" s="147"/>
      <c r="BP1366" s="232"/>
      <c r="BQ1366" s="237"/>
      <c r="BR1366" s="238"/>
      <c r="BS1366" s="239"/>
      <c r="BT1366" s="239"/>
      <c r="BU1366" s="239"/>
      <c r="BV1366" s="240"/>
    </row>
    <row r="1367" spans="1:74" x14ac:dyDescent="0.8">
      <c r="A1367" s="64"/>
      <c r="B1367" s="64"/>
      <c r="C1367" s="62"/>
      <c r="BL1367" s="147"/>
      <c r="BM1367" s="146"/>
      <c r="BN1367" s="147"/>
      <c r="BO1367" s="147"/>
      <c r="BP1367" s="232"/>
      <c r="BQ1367" s="237"/>
      <c r="BR1367" s="238"/>
      <c r="BS1367" s="239"/>
      <c r="BT1367" s="239"/>
      <c r="BU1367" s="239"/>
      <c r="BV1367" s="240"/>
    </row>
    <row r="1368" spans="1:74" x14ac:dyDescent="0.8">
      <c r="A1368" s="64"/>
      <c r="B1368" s="64"/>
      <c r="C1368" s="62"/>
      <c r="BL1368" s="147"/>
      <c r="BM1368" s="146"/>
      <c r="BN1368" s="147"/>
      <c r="BO1368" s="147"/>
      <c r="BP1368" s="232"/>
      <c r="BQ1368" s="237"/>
      <c r="BR1368" s="238"/>
      <c r="BS1368" s="239"/>
      <c r="BT1368" s="239"/>
      <c r="BU1368" s="239"/>
      <c r="BV1368" s="240"/>
    </row>
    <row r="1369" spans="1:74" x14ac:dyDescent="0.8">
      <c r="A1369" s="64"/>
      <c r="B1369" s="64"/>
      <c r="C1369" s="62"/>
      <c r="BL1369" s="147"/>
      <c r="BM1369" s="146"/>
      <c r="BN1369" s="147"/>
      <c r="BO1369" s="147"/>
      <c r="BP1369" s="232"/>
      <c r="BQ1369" s="237"/>
      <c r="BR1369" s="238"/>
      <c r="BS1369" s="239"/>
      <c r="BT1369" s="239"/>
      <c r="BU1369" s="239"/>
      <c r="BV1369" s="240"/>
    </row>
    <row r="1370" spans="1:74" x14ac:dyDescent="0.8">
      <c r="A1370" s="64"/>
      <c r="B1370" s="64"/>
      <c r="C1370" s="62"/>
      <c r="BL1370" s="147"/>
      <c r="BM1370" s="146"/>
      <c r="BN1370" s="147"/>
      <c r="BO1370" s="147"/>
      <c r="BP1370" s="232"/>
      <c r="BQ1370" s="237"/>
      <c r="BR1370" s="238"/>
      <c r="BS1370" s="239"/>
      <c r="BT1370" s="239"/>
      <c r="BU1370" s="239"/>
      <c r="BV1370" s="240"/>
    </row>
    <row r="1371" spans="1:74" x14ac:dyDescent="0.8">
      <c r="A1371" s="64"/>
      <c r="B1371" s="64"/>
      <c r="C1371" s="62"/>
      <c r="BL1371" s="147"/>
      <c r="BM1371" s="146"/>
      <c r="BN1371" s="147"/>
      <c r="BO1371" s="147"/>
      <c r="BP1371" s="232"/>
      <c r="BQ1371" s="237"/>
      <c r="BR1371" s="238"/>
      <c r="BS1371" s="239"/>
      <c r="BT1371" s="239"/>
      <c r="BU1371" s="239"/>
      <c r="BV1371" s="240"/>
    </row>
    <row r="1372" spans="1:74" x14ac:dyDescent="0.8">
      <c r="A1372" s="64"/>
      <c r="B1372" s="64"/>
      <c r="C1372" s="62"/>
      <c r="BL1372" s="147"/>
      <c r="BM1372" s="146"/>
      <c r="BN1372" s="147"/>
      <c r="BO1372" s="147"/>
      <c r="BP1372" s="232"/>
      <c r="BQ1372" s="237"/>
      <c r="BR1372" s="238"/>
      <c r="BS1372" s="239"/>
      <c r="BT1372" s="239"/>
      <c r="BU1372" s="239"/>
      <c r="BV1372" s="240"/>
    </row>
    <row r="1373" spans="1:74" x14ac:dyDescent="0.8">
      <c r="A1373" s="64"/>
      <c r="B1373" s="64"/>
      <c r="C1373" s="62"/>
      <c r="BL1373" s="147"/>
      <c r="BM1373" s="146"/>
      <c r="BN1373" s="147"/>
      <c r="BO1373" s="147"/>
      <c r="BP1373" s="232"/>
      <c r="BQ1373" s="237"/>
      <c r="BR1373" s="238"/>
      <c r="BS1373" s="239"/>
      <c r="BT1373" s="239"/>
      <c r="BU1373" s="239"/>
      <c r="BV1373" s="240"/>
    </row>
    <row r="1374" spans="1:74" x14ac:dyDescent="0.8">
      <c r="A1374" s="64"/>
      <c r="B1374" s="64"/>
      <c r="C1374" s="62"/>
      <c r="BL1374" s="147"/>
      <c r="BM1374" s="146"/>
      <c r="BN1374" s="147"/>
      <c r="BO1374" s="147"/>
      <c r="BP1374" s="232"/>
      <c r="BQ1374" s="237"/>
      <c r="BR1374" s="238"/>
      <c r="BS1374" s="239"/>
      <c r="BT1374" s="239"/>
      <c r="BU1374" s="239"/>
      <c r="BV1374" s="240"/>
    </row>
    <row r="1375" spans="1:74" x14ac:dyDescent="0.8">
      <c r="A1375" s="64"/>
      <c r="B1375" s="64"/>
      <c r="C1375" s="62"/>
      <c r="BL1375" s="147"/>
      <c r="BM1375" s="146"/>
      <c r="BN1375" s="147"/>
      <c r="BO1375" s="147"/>
      <c r="BP1375" s="232"/>
      <c r="BQ1375" s="237"/>
      <c r="BR1375" s="238"/>
      <c r="BS1375" s="239"/>
      <c r="BT1375" s="239"/>
      <c r="BU1375" s="239"/>
      <c r="BV1375" s="240"/>
    </row>
    <row r="1376" spans="1:74" x14ac:dyDescent="0.8">
      <c r="BL1376" s="147"/>
      <c r="BM1376" s="146"/>
      <c r="BN1376" s="147"/>
      <c r="BO1376" s="147"/>
      <c r="BP1376" s="232"/>
      <c r="BQ1376" s="237"/>
      <c r="BR1376" s="238"/>
      <c r="BS1376" s="239"/>
      <c r="BT1376" s="239"/>
      <c r="BU1376" s="239"/>
      <c r="BV1376" s="240"/>
    </row>
    <row r="1377" spans="64:74" x14ac:dyDescent="0.8">
      <c r="BL1377" s="147"/>
      <c r="BM1377" s="146"/>
      <c r="BN1377" s="147"/>
      <c r="BO1377" s="147"/>
      <c r="BP1377" s="232"/>
      <c r="BQ1377" s="237"/>
      <c r="BR1377" s="238"/>
      <c r="BS1377" s="239"/>
      <c r="BT1377" s="239"/>
      <c r="BU1377" s="239"/>
      <c r="BV1377" s="240"/>
    </row>
    <row r="1378" spans="64:74" x14ac:dyDescent="0.8">
      <c r="BL1378" s="147"/>
      <c r="BM1378" s="146"/>
      <c r="BN1378" s="147"/>
      <c r="BO1378" s="147"/>
      <c r="BP1378" s="232"/>
      <c r="BQ1378" s="237"/>
      <c r="BR1378" s="238"/>
      <c r="BS1378" s="239"/>
      <c r="BT1378" s="239"/>
      <c r="BU1378" s="239"/>
      <c r="BV1378" s="240"/>
    </row>
    <row r="1379" spans="64:74" x14ac:dyDescent="0.8">
      <c r="BL1379" s="147"/>
      <c r="BM1379" s="146"/>
      <c r="BN1379" s="147"/>
      <c r="BO1379" s="147"/>
      <c r="BP1379" s="232"/>
      <c r="BQ1379" s="237"/>
      <c r="BR1379" s="238"/>
      <c r="BS1379" s="239"/>
      <c r="BT1379" s="239"/>
      <c r="BU1379" s="239"/>
      <c r="BV1379" s="240"/>
    </row>
    <row r="1380" spans="64:74" x14ac:dyDescent="0.8">
      <c r="BL1380" s="147"/>
      <c r="BM1380" s="146"/>
      <c r="BN1380" s="147"/>
      <c r="BO1380" s="147"/>
      <c r="BP1380" s="232"/>
      <c r="BQ1380" s="237"/>
      <c r="BR1380" s="238"/>
      <c r="BS1380" s="239"/>
      <c r="BT1380" s="239"/>
      <c r="BU1380" s="239"/>
      <c r="BV1380" s="240"/>
    </row>
    <row r="1381" spans="64:74" x14ac:dyDescent="0.8">
      <c r="BL1381" s="147"/>
      <c r="BM1381" s="146"/>
      <c r="BN1381" s="147"/>
      <c r="BO1381" s="147"/>
      <c r="BP1381" s="232"/>
      <c r="BQ1381" s="237"/>
      <c r="BR1381" s="238"/>
      <c r="BS1381" s="239"/>
      <c r="BT1381" s="239"/>
      <c r="BU1381" s="239"/>
      <c r="BV1381" s="240"/>
    </row>
  </sheetData>
  <mergeCells count="38">
    <mergeCell ref="A1008:E1008"/>
    <mergeCell ref="BJ1273:BK1273"/>
    <mergeCell ref="AL1274:AO1274"/>
    <mergeCell ref="BC1272:BI1272"/>
    <mergeCell ref="F1273:I1273"/>
    <mergeCell ref="N1273:Q1273"/>
    <mergeCell ref="R1273:S1273"/>
    <mergeCell ref="X1273:Y1273"/>
    <mergeCell ref="AR1273:AT1273"/>
    <mergeCell ref="AU1273:AW1273"/>
    <mergeCell ref="AY1273:BA1273"/>
    <mergeCell ref="BD1273:BF1273"/>
    <mergeCell ref="BG1273:BI1273"/>
    <mergeCell ref="N1272:Q1272"/>
    <mergeCell ref="Z1272:AA1273"/>
    <mergeCell ref="CF2:CH2"/>
    <mergeCell ref="AL3:AO3"/>
    <mergeCell ref="BC1:BI1"/>
    <mergeCell ref="AQ1272:AW1272"/>
    <mergeCell ref="BX1:BY1"/>
    <mergeCell ref="AU2:AW2"/>
    <mergeCell ref="AY2:BA2"/>
    <mergeCell ref="BD2:BF2"/>
    <mergeCell ref="BG2:BI2"/>
    <mergeCell ref="AP1272:AP1274"/>
    <mergeCell ref="AR2:AT2"/>
    <mergeCell ref="AL1272:AO1272"/>
    <mergeCell ref="AQ1:AW1"/>
    <mergeCell ref="BJ2:BK2"/>
    <mergeCell ref="BX2:BY2"/>
    <mergeCell ref="N1:Q1"/>
    <mergeCell ref="Z1:AA2"/>
    <mergeCell ref="AL1:AO1"/>
    <mergeCell ref="AP1:AP3"/>
    <mergeCell ref="F2:I2"/>
    <mergeCell ref="N2:Q2"/>
    <mergeCell ref="R2:S2"/>
    <mergeCell ref="X2:Y2"/>
  </mergeCells>
  <pageMargins left="0.7" right="0.7" top="0.75" bottom="0.75" header="0.3" footer="0.3"/>
  <pageSetup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1"/>
  <dimension ref="A1:X255"/>
  <sheetViews>
    <sheetView workbookViewId="0">
      <selection activeCell="G2" sqref="G2"/>
    </sheetView>
  </sheetViews>
  <sheetFormatPr defaultColWidth="8.86328125" defaultRowHeight="14.75" x14ac:dyDescent="0.75"/>
  <cols>
    <col min="1" max="1" width="18" style="306" customWidth="1"/>
    <col min="2" max="2" width="7" style="306" customWidth="1"/>
    <col min="3" max="3" width="18" style="82" customWidth="1"/>
    <col min="4" max="4" width="7" style="82" customWidth="1"/>
    <col min="5" max="5" width="18" style="316" customWidth="1"/>
    <col min="6" max="6" width="7" style="316" customWidth="1"/>
    <col min="7" max="7" width="18" style="317" customWidth="1"/>
    <col min="8" max="8" width="7" style="273" customWidth="1"/>
    <col min="9" max="9" width="18" style="317" customWidth="1"/>
    <col min="10" max="10" width="7" style="273" customWidth="1"/>
    <col min="11" max="11" width="18" style="317" customWidth="1"/>
    <col min="12" max="12" width="7" style="317" customWidth="1"/>
    <col min="13" max="13" width="18" style="283" customWidth="1"/>
    <col min="14" max="14" width="7" style="283" customWidth="1"/>
    <col min="15" max="15" width="18" style="283" customWidth="1"/>
    <col min="16" max="16" width="7" style="283" customWidth="1"/>
    <col min="17" max="17" width="18" style="283" customWidth="1"/>
    <col min="18" max="18" width="7" style="283" customWidth="1"/>
    <col min="19" max="19" width="18" style="283" customWidth="1"/>
    <col min="20" max="20" width="7" style="283" customWidth="1"/>
    <col min="21" max="21" width="18" style="283" customWidth="1"/>
    <col min="22" max="22" width="7" style="283" customWidth="1"/>
    <col min="23" max="23" width="18" style="487" customWidth="1"/>
    <col min="24" max="24" width="7" style="487" customWidth="1"/>
    <col min="25" max="26" width="15.54296875" style="9" customWidth="1"/>
    <col min="27" max="16384" width="8.86328125" style="9"/>
  </cols>
  <sheetData>
    <row r="1" spans="1:24" ht="30" customHeight="1" x14ac:dyDescent="0.75">
      <c r="A1" s="1008" t="s">
        <v>410</v>
      </c>
      <c r="B1" s="961"/>
      <c r="C1" s="1008" t="s">
        <v>61</v>
      </c>
      <c r="D1" s="961"/>
      <c r="E1" s="1008" t="s">
        <v>368</v>
      </c>
      <c r="F1" s="961"/>
      <c r="G1" s="1008" t="s">
        <v>369</v>
      </c>
      <c r="H1" s="961"/>
      <c r="I1" s="1007" t="s">
        <v>39</v>
      </c>
      <c r="J1" s="960"/>
      <c r="K1" s="1007" t="s">
        <v>370</v>
      </c>
      <c r="L1" s="960"/>
      <c r="M1" s="1007" t="s">
        <v>68</v>
      </c>
      <c r="N1" s="960"/>
      <c r="O1" s="1007" t="s">
        <v>45</v>
      </c>
      <c r="P1" s="960"/>
      <c r="Q1" s="1007" t="s">
        <v>371</v>
      </c>
      <c r="R1" s="960"/>
      <c r="S1" s="1007" t="s">
        <v>372</v>
      </c>
      <c r="T1" s="960"/>
      <c r="U1" s="1007" t="s">
        <v>85</v>
      </c>
      <c r="V1" s="960"/>
      <c r="W1" s="1005" t="s">
        <v>411</v>
      </c>
      <c r="X1" s="1006"/>
    </row>
    <row r="2" spans="1:24" ht="20" customHeight="1" x14ac:dyDescent="0.8">
      <c r="A2" s="57" t="s">
        <v>106</v>
      </c>
      <c r="B2" s="46" t="s">
        <v>50</v>
      </c>
      <c r="C2" s="57" t="s">
        <v>102</v>
      </c>
      <c r="D2" s="46" t="s">
        <v>61</v>
      </c>
      <c r="E2" s="57" t="s">
        <v>132</v>
      </c>
      <c r="F2" s="46" t="s">
        <v>64</v>
      </c>
      <c r="G2" s="57" t="s">
        <v>146</v>
      </c>
      <c r="H2" s="46" t="s">
        <v>73</v>
      </c>
      <c r="I2" s="57" t="s">
        <v>97</v>
      </c>
      <c r="J2" s="46" t="s">
        <v>39</v>
      </c>
      <c r="K2" s="57" t="s">
        <v>373</v>
      </c>
      <c r="L2" s="46" t="s">
        <v>43</v>
      </c>
      <c r="M2" s="57" t="s">
        <v>144</v>
      </c>
      <c r="N2" s="46" t="s">
        <v>68</v>
      </c>
      <c r="O2" s="57" t="s">
        <v>184</v>
      </c>
      <c r="P2" s="46" t="s">
        <v>45</v>
      </c>
      <c r="Q2" s="57" t="s">
        <v>198</v>
      </c>
      <c r="R2" s="46" t="s">
        <v>37</v>
      </c>
      <c r="S2" s="57" t="s">
        <v>374</v>
      </c>
      <c r="T2" s="46" t="s">
        <v>59</v>
      </c>
      <c r="U2" s="57" t="s">
        <v>375</v>
      </c>
      <c r="V2" s="64" t="s">
        <v>85</v>
      </c>
      <c r="W2" s="57" t="s">
        <v>375</v>
      </c>
      <c r="X2" s="46" t="s">
        <v>85</v>
      </c>
    </row>
    <row r="3" spans="1:24" ht="20" customHeight="1" x14ac:dyDescent="0.8">
      <c r="A3" s="57" t="s">
        <v>55</v>
      </c>
      <c r="B3" s="46" t="s">
        <v>50</v>
      </c>
      <c r="C3" s="57" t="s">
        <v>114</v>
      </c>
      <c r="D3" s="46" t="s">
        <v>61</v>
      </c>
      <c r="E3" s="57" t="s">
        <v>65</v>
      </c>
      <c r="F3" s="46" t="s">
        <v>64</v>
      </c>
      <c r="G3" s="57" t="s">
        <v>148</v>
      </c>
      <c r="H3" s="46" t="s">
        <v>73</v>
      </c>
      <c r="I3" s="57" t="s">
        <v>105</v>
      </c>
      <c r="J3" s="46" t="s">
        <v>39</v>
      </c>
      <c r="K3" s="57" t="s">
        <v>42</v>
      </c>
      <c r="L3" s="46" t="s">
        <v>43</v>
      </c>
      <c r="M3" s="57" t="s">
        <v>131</v>
      </c>
      <c r="N3" s="46" t="s">
        <v>68</v>
      </c>
      <c r="O3" s="57" t="s">
        <v>186</v>
      </c>
      <c r="P3" s="46" t="s">
        <v>45</v>
      </c>
      <c r="Q3" s="57" t="s">
        <v>79</v>
      </c>
      <c r="R3" s="46" t="s">
        <v>37</v>
      </c>
      <c r="S3" s="57" t="s">
        <v>140</v>
      </c>
      <c r="T3" s="46" t="s">
        <v>59</v>
      </c>
      <c r="U3" s="57" t="s">
        <v>87</v>
      </c>
      <c r="V3" s="64" t="s">
        <v>85</v>
      </c>
      <c r="W3" s="57" t="s">
        <v>87</v>
      </c>
      <c r="X3" s="46" t="s">
        <v>85</v>
      </c>
    </row>
    <row r="4" spans="1:24" ht="20" customHeight="1" x14ac:dyDescent="0.8">
      <c r="A4" s="57" t="s">
        <v>107</v>
      </c>
      <c r="B4" s="46" t="s">
        <v>50</v>
      </c>
      <c r="C4" s="57" t="s">
        <v>115</v>
      </c>
      <c r="D4" s="46" t="s">
        <v>61</v>
      </c>
      <c r="E4" s="57" t="s">
        <v>376</v>
      </c>
      <c r="F4" s="46" t="s">
        <v>64</v>
      </c>
      <c r="G4" s="57" t="s">
        <v>150</v>
      </c>
      <c r="H4" s="46" t="s">
        <v>73</v>
      </c>
      <c r="I4" s="57" t="s">
        <v>161</v>
      </c>
      <c r="J4" s="46" t="s">
        <v>39</v>
      </c>
      <c r="K4" s="57" t="s">
        <v>57</v>
      </c>
      <c r="L4" s="46" t="s">
        <v>50</v>
      </c>
      <c r="M4" s="57" t="s">
        <v>138</v>
      </c>
      <c r="N4" s="46" t="s">
        <v>68</v>
      </c>
      <c r="O4" s="57" t="s">
        <v>48</v>
      </c>
      <c r="P4" s="46" t="s">
        <v>45</v>
      </c>
      <c r="Q4" s="57" t="s">
        <v>123</v>
      </c>
      <c r="R4" s="46" t="s">
        <v>37</v>
      </c>
      <c r="S4" s="57" t="s">
        <v>205</v>
      </c>
      <c r="T4" s="46" t="s">
        <v>59</v>
      </c>
      <c r="U4" s="57" t="s">
        <v>211</v>
      </c>
      <c r="V4" s="64" t="s">
        <v>85</v>
      </c>
      <c r="W4" s="57" t="s">
        <v>211</v>
      </c>
      <c r="X4" s="46" t="s">
        <v>85</v>
      </c>
    </row>
    <row r="5" spans="1:24" ht="20" customHeight="1" x14ac:dyDescent="0.8">
      <c r="A5" s="57" t="s">
        <v>174</v>
      </c>
      <c r="B5" s="46" t="s">
        <v>50</v>
      </c>
      <c r="C5" s="57" t="s">
        <v>117</v>
      </c>
      <c r="D5" s="46" t="s">
        <v>61</v>
      </c>
      <c r="E5" s="57" t="s">
        <v>156</v>
      </c>
      <c r="F5" s="46" t="s">
        <v>64</v>
      </c>
      <c r="G5" s="57" t="s">
        <v>152</v>
      </c>
      <c r="H5" s="46" t="s">
        <v>73</v>
      </c>
      <c r="I5" s="57" t="s">
        <v>165</v>
      </c>
      <c r="J5" s="46" t="s">
        <v>39</v>
      </c>
      <c r="K5" s="57" t="s">
        <v>306</v>
      </c>
      <c r="L5" s="46" t="str">
        <f>+L3</f>
        <v>Ind</v>
      </c>
      <c r="M5" s="57" t="s">
        <v>67</v>
      </c>
      <c r="N5" s="46" t="s">
        <v>68</v>
      </c>
      <c r="O5" s="57" t="s">
        <v>188</v>
      </c>
      <c r="P5" s="46" t="s">
        <v>45</v>
      </c>
      <c r="Q5" s="57" t="s">
        <v>104</v>
      </c>
      <c r="R5" s="46" t="s">
        <v>37</v>
      </c>
      <c r="S5" s="57" t="s">
        <v>210</v>
      </c>
      <c r="T5" s="46" t="s">
        <v>59</v>
      </c>
      <c r="U5" s="57" t="s">
        <v>136</v>
      </c>
      <c r="V5" s="64" t="s">
        <v>85</v>
      </c>
      <c r="W5" s="57" t="s">
        <v>136</v>
      </c>
      <c r="X5" s="46" t="s">
        <v>85</v>
      </c>
    </row>
    <row r="6" spans="1:24" ht="20" customHeight="1" x14ac:dyDescent="0.8">
      <c r="A6" s="57" t="s">
        <v>60</v>
      </c>
      <c r="B6" s="46" t="s">
        <v>50</v>
      </c>
      <c r="C6" s="57" t="s">
        <v>227</v>
      </c>
      <c r="D6" s="46" t="s">
        <v>61</v>
      </c>
      <c r="E6" s="57" t="s">
        <v>137</v>
      </c>
      <c r="F6" s="46" t="s">
        <v>64</v>
      </c>
      <c r="G6" s="57" t="s">
        <v>154</v>
      </c>
      <c r="H6" s="46" t="s">
        <v>73</v>
      </c>
      <c r="I6" s="57" t="s">
        <v>167</v>
      </c>
      <c r="J6" s="46" t="s">
        <v>39</v>
      </c>
      <c r="K6" s="57" t="s">
        <v>181</v>
      </c>
      <c r="L6" s="46" t="s">
        <v>43</v>
      </c>
      <c r="M6" s="57" t="s">
        <v>75</v>
      </c>
      <c r="N6" s="46" t="s">
        <v>68</v>
      </c>
      <c r="O6" s="57" t="s">
        <v>44</v>
      </c>
      <c r="P6" s="46" t="s">
        <v>45</v>
      </c>
      <c r="Q6" s="57" t="s">
        <v>200</v>
      </c>
      <c r="R6" s="46" t="s">
        <v>37</v>
      </c>
      <c r="S6" s="57" t="s">
        <v>84</v>
      </c>
      <c r="T6" s="46" t="s">
        <v>59</v>
      </c>
      <c r="U6" s="57" t="s">
        <v>377</v>
      </c>
      <c r="V6" s="64" t="s">
        <v>85</v>
      </c>
      <c r="W6" s="57" t="s">
        <v>377</v>
      </c>
      <c r="X6" s="46" t="s">
        <v>85</v>
      </c>
    </row>
    <row r="7" spans="1:24" ht="20" customHeight="1" x14ac:dyDescent="0.8">
      <c r="A7" s="57" t="s">
        <v>96</v>
      </c>
      <c r="B7" s="46" t="s">
        <v>50</v>
      </c>
      <c r="C7" s="57" t="s">
        <v>120</v>
      </c>
      <c r="D7" s="46" t="s">
        <v>61</v>
      </c>
      <c r="E7" s="57" t="s">
        <v>139</v>
      </c>
      <c r="F7" s="46" t="s">
        <v>64</v>
      </c>
      <c r="G7" s="57" t="s">
        <v>72</v>
      </c>
      <c r="H7" s="46" t="s">
        <v>73</v>
      </c>
      <c r="K7" s="57" t="s">
        <v>46</v>
      </c>
      <c r="L7" s="46" t="str">
        <f>+L6</f>
        <v>Ind</v>
      </c>
      <c r="M7" s="57" t="s">
        <v>101</v>
      </c>
      <c r="N7" s="46" t="s">
        <v>68</v>
      </c>
      <c r="O7" s="57" t="s">
        <v>142</v>
      </c>
      <c r="P7" s="46" t="s">
        <v>45</v>
      </c>
      <c r="Q7" s="57" t="s">
        <v>47</v>
      </c>
      <c r="R7" s="46" t="s">
        <v>37</v>
      </c>
      <c r="S7" s="283" t="s">
        <v>442</v>
      </c>
      <c r="T7" s="283" t="s">
        <v>59</v>
      </c>
      <c r="U7" s="57" t="s">
        <v>170</v>
      </c>
      <c r="V7" s="64" t="s">
        <v>85</v>
      </c>
      <c r="W7" s="57" t="s">
        <v>170</v>
      </c>
      <c r="X7" s="46" t="s">
        <v>85</v>
      </c>
    </row>
    <row r="8" spans="1:24" ht="20" customHeight="1" x14ac:dyDescent="0.8">
      <c r="A8" s="57" t="s">
        <v>109</v>
      </c>
      <c r="B8" s="46" t="s">
        <v>50</v>
      </c>
      <c r="C8" s="57" t="s">
        <v>122</v>
      </c>
      <c r="D8" s="46" t="s">
        <v>61</v>
      </c>
      <c r="E8" s="57" t="s">
        <v>69</v>
      </c>
      <c r="F8" s="46" t="s">
        <v>64</v>
      </c>
      <c r="G8" s="57" t="s">
        <v>155</v>
      </c>
      <c r="H8" s="46" t="s">
        <v>73</v>
      </c>
      <c r="I8" s="57" t="s">
        <v>38</v>
      </c>
      <c r="J8" s="46" t="s">
        <v>39</v>
      </c>
      <c r="K8" s="57" t="s">
        <v>78</v>
      </c>
      <c r="L8" s="46" t="str">
        <f>+L7</f>
        <v>Ind</v>
      </c>
      <c r="M8" s="57" t="s">
        <v>113</v>
      </c>
      <c r="N8" s="46" t="s">
        <v>68</v>
      </c>
      <c r="O8" s="57" t="s">
        <v>191</v>
      </c>
      <c r="P8" s="46" t="s">
        <v>45</v>
      </c>
      <c r="Q8" s="57" t="s">
        <v>202</v>
      </c>
      <c r="R8" s="46" t="s">
        <v>37</v>
      </c>
      <c r="S8" s="57" t="s">
        <v>163</v>
      </c>
      <c r="T8" s="46" t="s">
        <v>59</v>
      </c>
      <c r="U8" s="57" t="s">
        <v>378</v>
      </c>
      <c r="V8" s="64" t="s">
        <v>85</v>
      </c>
      <c r="W8" s="57" t="s">
        <v>378</v>
      </c>
      <c r="X8" s="46" t="s">
        <v>85</v>
      </c>
    </row>
    <row r="9" spans="1:24" ht="20" customHeight="1" x14ac:dyDescent="0.8">
      <c r="A9" s="57" t="s">
        <v>49</v>
      </c>
      <c r="B9" s="46" t="s">
        <v>50</v>
      </c>
      <c r="C9" s="57" t="s">
        <v>379</v>
      </c>
      <c r="D9" s="46" t="s">
        <v>61</v>
      </c>
      <c r="E9" s="57" t="s">
        <v>141</v>
      </c>
      <c r="F9" s="46" t="s">
        <v>64</v>
      </c>
      <c r="G9" s="57" t="s">
        <v>157</v>
      </c>
      <c r="H9" s="46" t="s">
        <v>73</v>
      </c>
      <c r="K9" s="57"/>
      <c r="L9" s="46"/>
      <c r="M9" s="57" t="s">
        <v>162</v>
      </c>
      <c r="N9" s="46" t="s">
        <v>68</v>
      </c>
      <c r="O9" s="57" t="s">
        <v>193</v>
      </c>
      <c r="P9" s="46" t="s">
        <v>45</v>
      </c>
      <c r="Q9" s="57" t="s">
        <v>36</v>
      </c>
      <c r="R9" s="46" t="s">
        <v>37</v>
      </c>
      <c r="S9" s="283" t="s">
        <v>169</v>
      </c>
      <c r="T9" s="283" t="s">
        <v>59</v>
      </c>
      <c r="U9" s="57" t="s">
        <v>215</v>
      </c>
      <c r="V9" s="64" t="s">
        <v>85</v>
      </c>
      <c r="W9" s="57" t="s">
        <v>215</v>
      </c>
      <c r="X9" s="46" t="s">
        <v>85</v>
      </c>
    </row>
    <row r="10" spans="1:24" ht="20" customHeight="1" x14ac:dyDescent="0.8">
      <c r="A10" s="57" t="s">
        <v>180</v>
      </c>
      <c r="B10" s="46" t="s">
        <v>50</v>
      </c>
      <c r="C10" s="57" t="s">
        <v>126</v>
      </c>
      <c r="D10" s="46" t="s">
        <v>61</v>
      </c>
      <c r="E10" s="57" t="s">
        <v>380</v>
      </c>
      <c r="F10" s="46" t="s">
        <v>64</v>
      </c>
      <c r="G10" s="57" t="s">
        <v>159</v>
      </c>
      <c r="H10" s="46" t="s">
        <v>73</v>
      </c>
      <c r="I10" s="57" t="s">
        <v>173</v>
      </c>
      <c r="J10" s="46" t="s">
        <v>39</v>
      </c>
      <c r="K10" s="57"/>
      <c r="L10" s="46"/>
      <c r="M10" s="57" t="s">
        <v>103</v>
      </c>
      <c r="N10" s="46" t="s">
        <v>68</v>
      </c>
      <c r="O10" s="57" t="s">
        <v>381</v>
      </c>
      <c r="P10" s="46" t="s">
        <v>45</v>
      </c>
      <c r="Q10" s="57" t="s">
        <v>224</v>
      </c>
      <c r="R10" s="46" t="s">
        <v>37</v>
      </c>
      <c r="S10" s="57" t="s">
        <v>171</v>
      </c>
      <c r="T10" s="46" t="s">
        <v>39</v>
      </c>
      <c r="U10" s="57" t="s">
        <v>217</v>
      </c>
      <c r="V10" s="64" t="s">
        <v>85</v>
      </c>
      <c r="W10" s="57" t="s">
        <v>217</v>
      </c>
      <c r="X10" s="46" t="s">
        <v>85</v>
      </c>
    </row>
    <row r="11" spans="1:24" ht="20" customHeight="1" x14ac:dyDescent="0.8">
      <c r="A11" s="57" t="s">
        <v>112</v>
      </c>
      <c r="B11" s="46" t="s">
        <v>50</v>
      </c>
      <c r="C11" s="57" t="s">
        <v>128</v>
      </c>
      <c r="D11" s="46" t="s">
        <v>61</v>
      </c>
      <c r="E11" s="57" t="s">
        <v>63</v>
      </c>
      <c r="F11" s="46" t="s">
        <v>64</v>
      </c>
      <c r="G11" s="57" t="s">
        <v>222</v>
      </c>
      <c r="H11" s="46" t="s">
        <v>73</v>
      </c>
      <c r="I11" s="57" t="s">
        <v>100</v>
      </c>
      <c r="J11" s="46" t="s">
        <v>39</v>
      </c>
      <c r="K11" s="57"/>
      <c r="L11" s="46"/>
      <c r="M11" s="57" t="s">
        <v>182</v>
      </c>
      <c r="N11" s="46" t="s">
        <v>68</v>
      </c>
      <c r="O11" s="57" t="s">
        <v>196</v>
      </c>
      <c r="P11" s="46" t="s">
        <v>45</v>
      </c>
      <c r="Q11" s="57" t="s">
        <v>81</v>
      </c>
      <c r="R11" s="46" t="s">
        <v>37</v>
      </c>
      <c r="S11" s="57" t="s">
        <v>214</v>
      </c>
      <c r="T11" s="46" t="s">
        <v>59</v>
      </c>
      <c r="U11" s="57" t="s">
        <v>219</v>
      </c>
      <c r="V11" s="64" t="s">
        <v>85</v>
      </c>
      <c r="W11" s="57" t="s">
        <v>219</v>
      </c>
      <c r="X11" s="46" t="s">
        <v>85</v>
      </c>
    </row>
    <row r="12" spans="1:24" ht="20" customHeight="1" x14ac:dyDescent="0.8">
      <c r="A12" s="57" t="s">
        <v>71</v>
      </c>
      <c r="B12" s="46" t="s">
        <v>50</v>
      </c>
      <c r="C12" s="57" t="s">
        <v>90</v>
      </c>
      <c r="D12" s="46" t="s">
        <v>61</v>
      </c>
      <c r="E12" s="57" t="s">
        <v>145</v>
      </c>
      <c r="F12" s="46" t="s">
        <v>64</v>
      </c>
      <c r="G12" s="57"/>
      <c r="H12" s="46"/>
      <c r="I12" s="57" t="s">
        <v>175</v>
      </c>
      <c r="J12" s="46" t="s">
        <v>39</v>
      </c>
      <c r="K12" s="57"/>
      <c r="L12" s="46"/>
      <c r="M12" s="57" t="s">
        <v>77</v>
      </c>
      <c r="N12" s="46" t="s">
        <v>68</v>
      </c>
      <c r="O12" s="57" t="s">
        <v>93</v>
      </c>
      <c r="P12" s="46" t="s">
        <v>45</v>
      </c>
      <c r="Q12" s="57" t="s">
        <v>91</v>
      </c>
      <c r="R12" s="46" t="s">
        <v>37</v>
      </c>
      <c r="S12" s="57" t="s">
        <v>207</v>
      </c>
      <c r="T12" s="46" t="s">
        <v>59</v>
      </c>
      <c r="U12" s="57" t="s">
        <v>125</v>
      </c>
      <c r="V12" s="64" t="s">
        <v>85</v>
      </c>
      <c r="W12" s="57" t="s">
        <v>125</v>
      </c>
      <c r="X12" s="46" t="s">
        <v>85</v>
      </c>
    </row>
    <row r="13" spans="1:24" ht="20" customHeight="1" x14ac:dyDescent="0.8">
      <c r="C13" s="57" t="s">
        <v>130</v>
      </c>
      <c r="D13" s="46" t="s">
        <v>61</v>
      </c>
      <c r="E13" s="57" t="s">
        <v>119</v>
      </c>
      <c r="F13" s="46" t="s">
        <v>64</v>
      </c>
      <c r="G13" s="57"/>
      <c r="H13" s="46"/>
      <c r="I13" s="303" t="s">
        <v>153</v>
      </c>
      <c r="J13" s="81" t="s">
        <v>39</v>
      </c>
      <c r="K13" s="57"/>
      <c r="L13" s="46"/>
      <c r="M13" s="57" t="s">
        <v>201</v>
      </c>
      <c r="N13" s="46" t="s">
        <v>68</v>
      </c>
      <c r="O13" s="57" t="s">
        <v>133</v>
      </c>
      <c r="P13" s="46" t="s">
        <v>45</v>
      </c>
      <c r="Q13" s="57" t="s">
        <v>204</v>
      </c>
      <c r="R13" s="46" t="s">
        <v>37</v>
      </c>
      <c r="S13" s="57" t="s">
        <v>185</v>
      </c>
      <c r="T13" s="46" t="s">
        <v>59</v>
      </c>
      <c r="U13" s="57" t="s">
        <v>226</v>
      </c>
      <c r="V13" s="64" t="s">
        <v>85</v>
      </c>
      <c r="W13" s="57" t="s">
        <v>226</v>
      </c>
      <c r="X13" s="46" t="s">
        <v>85</v>
      </c>
    </row>
    <row r="14" spans="1:24" ht="20" customHeight="1" x14ac:dyDescent="0.8">
      <c r="A14" s="303"/>
      <c r="B14" s="81"/>
      <c r="C14" s="303" t="s">
        <v>221</v>
      </c>
      <c r="D14" s="81" t="s">
        <v>61</v>
      </c>
      <c r="E14" s="303" t="s">
        <v>92</v>
      </c>
      <c r="F14" s="81" t="s">
        <v>64</v>
      </c>
      <c r="G14" s="303"/>
      <c r="H14" s="81"/>
      <c r="I14" s="303" t="s">
        <v>382</v>
      </c>
      <c r="J14" s="81" t="s">
        <v>39</v>
      </c>
      <c r="K14" s="303"/>
      <c r="L14" s="81"/>
      <c r="M14" s="303"/>
      <c r="N14" s="81"/>
      <c r="O14" s="303"/>
      <c r="P14" s="81"/>
      <c r="Q14" s="303"/>
      <c r="R14" s="81"/>
      <c r="S14" s="57" t="s">
        <v>209</v>
      </c>
      <c r="T14" s="46" t="s">
        <v>59</v>
      </c>
      <c r="U14" s="303" t="s">
        <v>223</v>
      </c>
      <c r="V14" s="306" t="s">
        <v>85</v>
      </c>
      <c r="W14" s="303" t="s">
        <v>223</v>
      </c>
      <c r="X14" s="81" t="s">
        <v>85</v>
      </c>
    </row>
    <row r="15" spans="1:24" ht="20" customHeight="1" x14ac:dyDescent="0.8">
      <c r="A15" s="304"/>
      <c r="B15" s="305"/>
      <c r="C15" s="304" t="s">
        <v>62</v>
      </c>
      <c r="D15" s="305" t="s">
        <v>61</v>
      </c>
      <c r="E15" s="304" t="s">
        <v>94</v>
      </c>
      <c r="F15" s="305" t="s">
        <v>64</v>
      </c>
      <c r="G15" s="304"/>
      <c r="H15" s="305"/>
      <c r="I15" s="638"/>
      <c r="J15" s="639"/>
      <c r="K15" s="304"/>
      <c r="L15" s="305"/>
      <c r="M15" s="304"/>
      <c r="N15" s="305"/>
      <c r="O15" s="304"/>
      <c r="P15" s="305"/>
      <c r="Q15" s="304"/>
      <c r="R15" s="305"/>
      <c r="S15" s="497" t="s">
        <v>58</v>
      </c>
      <c r="T15" s="640" t="s">
        <v>59</v>
      </c>
      <c r="U15" s="304" t="s">
        <v>164</v>
      </c>
      <c r="V15" s="488" t="s">
        <v>85</v>
      </c>
      <c r="W15" s="303" t="s">
        <v>164</v>
      </c>
      <c r="X15" s="81" t="s">
        <v>85</v>
      </c>
    </row>
    <row r="16" spans="1:24" ht="20" customHeight="1" x14ac:dyDescent="0.8">
      <c r="E16" s="307"/>
      <c r="F16" s="307"/>
      <c r="G16" s="306"/>
      <c r="H16" s="308"/>
      <c r="I16" s="306"/>
      <c r="J16" s="308"/>
      <c r="K16" s="85"/>
      <c r="L16" s="85"/>
      <c r="W16" s="57" t="s">
        <v>374</v>
      </c>
      <c r="X16" s="46" t="s">
        <v>59</v>
      </c>
    </row>
    <row r="17" spans="1:24" s="311" customFormat="1" ht="20" customHeight="1" x14ac:dyDescent="0.8">
      <c r="A17" s="309" t="s">
        <v>383</v>
      </c>
      <c r="B17" s="309">
        <v>11</v>
      </c>
      <c r="C17" s="309"/>
      <c r="D17" s="309">
        <v>14</v>
      </c>
      <c r="E17" s="309"/>
      <c r="F17" s="309">
        <v>14</v>
      </c>
      <c r="G17" s="309"/>
      <c r="H17" s="309">
        <v>10</v>
      </c>
      <c r="I17" s="309"/>
      <c r="J17" s="309">
        <v>11</v>
      </c>
      <c r="K17" s="309"/>
      <c r="L17" s="309">
        <v>7</v>
      </c>
      <c r="M17" s="310"/>
      <c r="N17" s="310">
        <v>12</v>
      </c>
      <c r="O17" s="310"/>
      <c r="P17" s="310">
        <v>12</v>
      </c>
      <c r="Q17" s="310"/>
      <c r="R17" s="310">
        <v>12</v>
      </c>
      <c r="S17" s="310"/>
      <c r="T17" s="310">
        <v>14</v>
      </c>
      <c r="U17" s="310"/>
      <c r="V17" s="310">
        <v>14</v>
      </c>
      <c r="W17" s="57" t="s">
        <v>140</v>
      </c>
      <c r="X17" s="46" t="s">
        <v>59</v>
      </c>
    </row>
    <row r="18" spans="1:24" ht="16" x14ac:dyDescent="0.8">
      <c r="E18" s="307"/>
      <c r="F18" s="307"/>
      <c r="G18" s="306"/>
      <c r="H18" s="308"/>
      <c r="K18" s="85"/>
      <c r="L18" s="85"/>
      <c r="W18" s="57" t="s">
        <v>210</v>
      </c>
      <c r="X18" s="46" t="s">
        <v>59</v>
      </c>
    </row>
    <row r="19" spans="1:24" ht="16" x14ac:dyDescent="0.8">
      <c r="A19" s="312"/>
      <c r="D19" s="313"/>
      <c r="E19" s="307"/>
      <c r="F19" s="307"/>
      <c r="G19" s="306"/>
      <c r="H19" s="308"/>
      <c r="I19" s="306"/>
      <c r="J19" s="308"/>
      <c r="K19" s="85"/>
      <c r="L19" s="85"/>
      <c r="W19" s="57" t="s">
        <v>84</v>
      </c>
      <c r="X19" s="46" t="s">
        <v>59</v>
      </c>
    </row>
    <row r="20" spans="1:24" ht="16" x14ac:dyDescent="0.8">
      <c r="D20" s="314"/>
      <c r="E20" s="307"/>
      <c r="F20" s="307"/>
      <c r="G20" s="306"/>
      <c r="H20" s="308"/>
      <c r="I20" s="306"/>
      <c r="J20" s="308"/>
      <c r="K20" s="85"/>
      <c r="L20" s="85"/>
      <c r="W20" s="57" t="s">
        <v>214</v>
      </c>
      <c r="X20" s="46" t="s">
        <v>59</v>
      </c>
    </row>
    <row r="21" spans="1:24" ht="16" x14ac:dyDescent="0.8">
      <c r="E21" s="307"/>
      <c r="F21" s="307"/>
      <c r="G21" s="306"/>
      <c r="H21" s="308"/>
      <c r="I21" s="306"/>
      <c r="J21" s="308"/>
      <c r="K21" s="85"/>
      <c r="L21" s="85"/>
      <c r="W21" s="57" t="s">
        <v>207</v>
      </c>
      <c r="X21" s="46" t="s">
        <v>59</v>
      </c>
    </row>
    <row r="22" spans="1:24" ht="16" x14ac:dyDescent="0.8">
      <c r="E22" s="307"/>
      <c r="F22" s="307"/>
      <c r="G22" s="306"/>
      <c r="H22" s="308"/>
      <c r="I22" s="306"/>
      <c r="J22" s="308"/>
      <c r="K22" s="85"/>
      <c r="L22" s="85"/>
      <c r="W22" s="57" t="s">
        <v>185</v>
      </c>
      <c r="X22" s="46" t="s">
        <v>59</v>
      </c>
    </row>
    <row r="23" spans="1:24" ht="16" x14ac:dyDescent="0.8">
      <c r="E23" s="307"/>
      <c r="F23" s="307"/>
      <c r="G23" s="306"/>
      <c r="H23" s="308"/>
      <c r="I23" s="306"/>
      <c r="J23" s="308"/>
      <c r="K23" s="85"/>
      <c r="L23" s="85"/>
      <c r="W23" s="57" t="s">
        <v>209</v>
      </c>
      <c r="X23" s="46" t="s">
        <v>59</v>
      </c>
    </row>
    <row r="24" spans="1:24" ht="16" x14ac:dyDescent="0.8">
      <c r="E24" s="307"/>
      <c r="F24" s="307"/>
      <c r="G24" s="306"/>
      <c r="H24" s="308"/>
      <c r="I24" s="306"/>
      <c r="J24" s="308"/>
      <c r="K24" s="85"/>
      <c r="L24" s="85"/>
      <c r="W24" s="57" t="s">
        <v>58</v>
      </c>
      <c r="X24" s="46" t="s">
        <v>59</v>
      </c>
    </row>
    <row r="25" spans="1:24" ht="16" x14ac:dyDescent="0.8">
      <c r="E25" s="307"/>
      <c r="F25" s="307"/>
      <c r="G25" s="306"/>
      <c r="H25" s="308"/>
      <c r="I25" s="306"/>
      <c r="J25" s="308"/>
      <c r="K25" s="85"/>
      <c r="L25" s="85"/>
      <c r="W25" s="57" t="s">
        <v>198</v>
      </c>
      <c r="X25" s="46" t="s">
        <v>37</v>
      </c>
    </row>
    <row r="26" spans="1:24" ht="16" x14ac:dyDescent="0.8">
      <c r="E26" s="307"/>
      <c r="F26" s="307"/>
      <c r="G26" s="306"/>
      <c r="H26" s="308"/>
      <c r="I26" s="306"/>
      <c r="J26" s="308"/>
      <c r="K26" s="85"/>
      <c r="L26" s="85"/>
      <c r="W26" s="57" t="s">
        <v>79</v>
      </c>
      <c r="X26" s="46" t="s">
        <v>37</v>
      </c>
    </row>
    <row r="27" spans="1:24" ht="16" x14ac:dyDescent="0.8">
      <c r="E27" s="307"/>
      <c r="F27" s="307"/>
      <c r="G27" s="306"/>
      <c r="H27" s="308"/>
      <c r="I27" s="306"/>
      <c r="J27" s="308"/>
      <c r="K27" s="85"/>
      <c r="L27" s="85"/>
      <c r="W27" s="57" t="s">
        <v>123</v>
      </c>
      <c r="X27" s="46" t="s">
        <v>37</v>
      </c>
    </row>
    <row r="28" spans="1:24" ht="16" x14ac:dyDescent="0.8">
      <c r="E28" s="307"/>
      <c r="F28" s="307"/>
      <c r="G28" s="306"/>
      <c r="H28" s="308"/>
      <c r="I28" s="306"/>
      <c r="J28" s="308"/>
      <c r="K28" s="85"/>
      <c r="L28" s="85"/>
      <c r="W28" s="57" t="s">
        <v>104</v>
      </c>
      <c r="X28" s="46" t="s">
        <v>37</v>
      </c>
    </row>
    <row r="29" spans="1:24" ht="16" x14ac:dyDescent="0.8">
      <c r="E29" s="307"/>
      <c r="F29" s="307"/>
      <c r="G29" s="306"/>
      <c r="H29" s="308"/>
      <c r="I29" s="306"/>
      <c r="J29" s="308"/>
      <c r="K29" s="85"/>
      <c r="L29" s="85"/>
      <c r="W29" s="57" t="s">
        <v>200</v>
      </c>
      <c r="X29" s="46" t="s">
        <v>37</v>
      </c>
    </row>
    <row r="30" spans="1:24" ht="16" x14ac:dyDescent="0.8">
      <c r="E30" s="307"/>
      <c r="F30" s="307"/>
      <c r="G30" s="306"/>
      <c r="H30" s="308"/>
      <c r="I30" s="306"/>
      <c r="J30" s="308"/>
      <c r="K30" s="85"/>
      <c r="L30" s="85"/>
      <c r="W30" s="57" t="s">
        <v>47</v>
      </c>
      <c r="X30" s="46" t="s">
        <v>37</v>
      </c>
    </row>
    <row r="31" spans="1:24" ht="16" x14ac:dyDescent="0.8">
      <c r="E31" s="307"/>
      <c r="F31" s="307"/>
      <c r="G31" s="306"/>
      <c r="H31" s="308"/>
      <c r="I31" s="306"/>
      <c r="J31" s="308"/>
      <c r="K31" s="85"/>
      <c r="L31" s="85"/>
      <c r="W31" s="57" t="s">
        <v>202</v>
      </c>
      <c r="X31" s="46" t="s">
        <v>37</v>
      </c>
    </row>
    <row r="32" spans="1:24" ht="16" x14ac:dyDescent="0.8">
      <c r="E32" s="307"/>
      <c r="F32" s="307"/>
      <c r="G32" s="306"/>
      <c r="H32" s="308"/>
      <c r="I32" s="306"/>
      <c r="J32" s="308"/>
      <c r="K32" s="85"/>
      <c r="L32" s="85"/>
      <c r="W32" s="57" t="s">
        <v>36</v>
      </c>
      <c r="X32" s="46" t="s">
        <v>37</v>
      </c>
    </row>
    <row r="33" spans="5:24" ht="16" x14ac:dyDescent="0.8">
      <c r="E33" s="307"/>
      <c r="F33" s="307"/>
      <c r="G33" s="306"/>
      <c r="H33" s="308"/>
      <c r="I33" s="306"/>
      <c r="J33" s="308"/>
      <c r="K33" s="85"/>
      <c r="L33" s="85"/>
      <c r="W33" s="57" t="s">
        <v>224</v>
      </c>
      <c r="X33" s="46" t="s">
        <v>37</v>
      </c>
    </row>
    <row r="34" spans="5:24" ht="16" x14ac:dyDescent="0.8">
      <c r="E34" s="307"/>
      <c r="F34" s="307"/>
      <c r="G34" s="306"/>
      <c r="H34" s="308"/>
      <c r="I34" s="306"/>
      <c r="J34" s="308"/>
      <c r="K34" s="85"/>
      <c r="L34" s="85"/>
      <c r="W34" s="57" t="s">
        <v>81</v>
      </c>
      <c r="X34" s="46" t="s">
        <v>37</v>
      </c>
    </row>
    <row r="35" spans="5:24" ht="16" x14ac:dyDescent="0.8">
      <c r="E35" s="307"/>
      <c r="F35" s="307"/>
      <c r="G35" s="306"/>
      <c r="H35" s="308"/>
      <c r="I35" s="306"/>
      <c r="J35" s="308"/>
      <c r="K35" s="85"/>
      <c r="L35" s="85"/>
      <c r="W35" s="57" t="s">
        <v>91</v>
      </c>
      <c r="X35" s="46" t="s">
        <v>37</v>
      </c>
    </row>
    <row r="36" spans="5:24" ht="16" x14ac:dyDescent="0.8">
      <c r="E36" s="307"/>
      <c r="F36" s="307"/>
      <c r="G36" s="306"/>
      <c r="H36" s="308"/>
      <c r="I36" s="306"/>
      <c r="J36" s="308"/>
      <c r="K36" s="85"/>
      <c r="L36" s="85"/>
      <c r="W36" s="57" t="s">
        <v>204</v>
      </c>
      <c r="X36" s="46" t="s">
        <v>37</v>
      </c>
    </row>
    <row r="37" spans="5:24" ht="16" x14ac:dyDescent="0.8">
      <c r="E37" s="307"/>
      <c r="F37" s="307"/>
      <c r="G37" s="306"/>
      <c r="H37" s="308"/>
      <c r="I37" s="306"/>
      <c r="J37" s="308"/>
      <c r="K37" s="85"/>
      <c r="L37" s="85"/>
      <c r="W37" s="57" t="s">
        <v>184</v>
      </c>
      <c r="X37" s="46" t="s">
        <v>45</v>
      </c>
    </row>
    <row r="38" spans="5:24" ht="16" x14ac:dyDescent="0.8">
      <c r="E38" s="307"/>
      <c r="F38" s="307"/>
      <c r="G38" s="306"/>
      <c r="H38" s="308"/>
      <c r="I38" s="306"/>
      <c r="J38" s="308"/>
      <c r="K38" s="85"/>
      <c r="L38" s="85"/>
      <c r="W38" s="57" t="s">
        <v>186</v>
      </c>
      <c r="X38" s="46" t="s">
        <v>45</v>
      </c>
    </row>
    <row r="39" spans="5:24" ht="16" x14ac:dyDescent="0.8">
      <c r="E39" s="307"/>
      <c r="F39" s="307"/>
      <c r="G39" s="306"/>
      <c r="H39" s="308"/>
      <c r="I39" s="306"/>
      <c r="J39" s="308"/>
      <c r="K39" s="85"/>
      <c r="L39" s="85"/>
      <c r="W39" s="57" t="s">
        <v>48</v>
      </c>
      <c r="X39" s="46" t="s">
        <v>45</v>
      </c>
    </row>
    <row r="40" spans="5:24" ht="16" x14ac:dyDescent="0.8">
      <c r="E40" s="307"/>
      <c r="F40" s="307"/>
      <c r="G40" s="306"/>
      <c r="H40" s="308"/>
      <c r="I40" s="306"/>
      <c r="J40" s="308"/>
      <c r="K40" s="85"/>
      <c r="L40" s="85"/>
      <c r="W40" s="57" t="s">
        <v>188</v>
      </c>
      <c r="X40" s="46" t="s">
        <v>45</v>
      </c>
    </row>
    <row r="41" spans="5:24" ht="16" x14ac:dyDescent="0.8">
      <c r="E41" s="307"/>
      <c r="F41" s="307"/>
      <c r="G41" s="306"/>
      <c r="H41" s="308"/>
      <c r="I41" s="306"/>
      <c r="J41" s="308"/>
      <c r="K41" s="85"/>
      <c r="L41" s="85"/>
      <c r="W41" s="57" t="s">
        <v>44</v>
      </c>
      <c r="X41" s="46" t="s">
        <v>45</v>
      </c>
    </row>
    <row r="42" spans="5:24" ht="16" x14ac:dyDescent="0.8">
      <c r="E42" s="307"/>
      <c r="F42" s="307"/>
      <c r="G42" s="306"/>
      <c r="H42" s="308"/>
      <c r="I42" s="306"/>
      <c r="J42" s="308"/>
      <c r="K42" s="85"/>
      <c r="L42" s="85"/>
      <c r="W42" s="57" t="s">
        <v>142</v>
      </c>
      <c r="X42" s="46" t="s">
        <v>45</v>
      </c>
    </row>
    <row r="43" spans="5:24" ht="16" x14ac:dyDescent="0.8">
      <c r="E43" s="307"/>
      <c r="F43" s="307"/>
      <c r="G43" s="306"/>
      <c r="H43" s="308"/>
      <c r="I43" s="306"/>
      <c r="J43" s="308"/>
      <c r="K43" s="85"/>
      <c r="L43" s="85"/>
      <c r="W43" s="57" t="s">
        <v>191</v>
      </c>
      <c r="X43" s="46" t="s">
        <v>45</v>
      </c>
    </row>
    <row r="44" spans="5:24" ht="16" x14ac:dyDescent="0.8">
      <c r="E44" s="307"/>
      <c r="F44" s="307"/>
      <c r="G44" s="306"/>
      <c r="H44" s="308"/>
      <c r="I44" s="306"/>
      <c r="J44" s="308"/>
      <c r="K44" s="85"/>
      <c r="L44" s="85"/>
      <c r="W44" s="57" t="s">
        <v>193</v>
      </c>
      <c r="X44" s="46" t="s">
        <v>45</v>
      </c>
    </row>
    <row r="45" spans="5:24" ht="16" x14ac:dyDescent="0.8">
      <c r="E45" s="307"/>
      <c r="F45" s="307"/>
      <c r="G45" s="306"/>
      <c r="H45" s="308"/>
      <c r="I45" s="306"/>
      <c r="J45" s="308"/>
      <c r="K45" s="85"/>
      <c r="L45" s="85"/>
      <c r="W45" s="57" t="s">
        <v>381</v>
      </c>
      <c r="X45" s="46" t="s">
        <v>45</v>
      </c>
    </row>
    <row r="46" spans="5:24" ht="16" x14ac:dyDescent="0.8">
      <c r="E46" s="307"/>
      <c r="F46" s="307"/>
      <c r="G46" s="306"/>
      <c r="H46" s="308"/>
      <c r="I46" s="306"/>
      <c r="J46" s="308"/>
      <c r="K46" s="85"/>
      <c r="L46" s="85"/>
      <c r="W46" s="57" t="s">
        <v>196</v>
      </c>
      <c r="X46" s="46" t="s">
        <v>45</v>
      </c>
    </row>
    <row r="47" spans="5:24" ht="16" x14ac:dyDescent="0.8">
      <c r="E47" s="307"/>
      <c r="F47" s="307"/>
      <c r="G47" s="306"/>
      <c r="H47" s="308"/>
      <c r="I47" s="306"/>
      <c r="J47" s="308"/>
      <c r="K47" s="85"/>
      <c r="L47" s="85"/>
      <c r="W47" s="57" t="s">
        <v>93</v>
      </c>
      <c r="X47" s="46" t="s">
        <v>45</v>
      </c>
    </row>
    <row r="48" spans="5:24" ht="16" x14ac:dyDescent="0.8">
      <c r="E48" s="307"/>
      <c r="F48" s="307"/>
      <c r="G48" s="306"/>
      <c r="H48" s="308"/>
      <c r="I48" s="306"/>
      <c r="J48" s="308"/>
      <c r="K48" s="85"/>
      <c r="L48" s="85"/>
      <c r="W48" s="57" t="s">
        <v>133</v>
      </c>
      <c r="X48" s="46" t="s">
        <v>45</v>
      </c>
    </row>
    <row r="49" spans="5:24" ht="16" x14ac:dyDescent="0.8">
      <c r="E49" s="307"/>
      <c r="F49" s="307"/>
      <c r="G49" s="306"/>
      <c r="H49" s="308"/>
      <c r="I49" s="306"/>
      <c r="J49" s="308"/>
      <c r="K49" s="85"/>
      <c r="L49" s="85"/>
      <c r="W49" s="57" t="s">
        <v>144</v>
      </c>
      <c r="X49" s="46" t="s">
        <v>68</v>
      </c>
    </row>
    <row r="50" spans="5:24" ht="16" x14ac:dyDescent="0.8">
      <c r="E50" s="307"/>
      <c r="F50" s="307"/>
      <c r="G50" s="306"/>
      <c r="H50" s="308"/>
      <c r="I50" s="306"/>
      <c r="J50" s="308"/>
      <c r="K50" s="85"/>
      <c r="L50" s="85"/>
      <c r="W50" s="57" t="s">
        <v>131</v>
      </c>
      <c r="X50" s="46" t="s">
        <v>68</v>
      </c>
    </row>
    <row r="51" spans="5:24" ht="16" x14ac:dyDescent="0.8">
      <c r="E51" s="307"/>
      <c r="F51" s="307"/>
      <c r="G51" s="306"/>
      <c r="H51" s="308"/>
      <c r="I51" s="306"/>
      <c r="J51" s="308"/>
      <c r="K51" s="85"/>
      <c r="L51" s="85"/>
      <c r="W51" s="57" t="s">
        <v>138</v>
      </c>
      <c r="X51" s="46" t="s">
        <v>68</v>
      </c>
    </row>
    <row r="52" spans="5:24" ht="16" x14ac:dyDescent="0.8">
      <c r="E52" s="307"/>
      <c r="F52" s="307"/>
      <c r="G52" s="306"/>
      <c r="H52" s="308"/>
      <c r="I52" s="306"/>
      <c r="J52" s="308"/>
      <c r="K52" s="85"/>
      <c r="L52" s="85"/>
      <c r="W52" s="57" t="s">
        <v>67</v>
      </c>
      <c r="X52" s="46" t="s">
        <v>68</v>
      </c>
    </row>
    <row r="53" spans="5:24" ht="16" x14ac:dyDescent="0.8">
      <c r="E53" s="307"/>
      <c r="F53" s="307"/>
      <c r="G53" s="306"/>
      <c r="H53" s="308"/>
      <c r="I53" s="306"/>
      <c r="J53" s="308"/>
      <c r="K53" s="85"/>
      <c r="L53" s="85"/>
      <c r="W53" s="57" t="s">
        <v>75</v>
      </c>
      <c r="X53" s="46" t="s">
        <v>68</v>
      </c>
    </row>
    <row r="54" spans="5:24" ht="16" x14ac:dyDescent="0.8">
      <c r="E54" s="307"/>
      <c r="F54" s="307"/>
      <c r="G54" s="306"/>
      <c r="H54" s="308"/>
      <c r="I54" s="306"/>
      <c r="J54" s="308"/>
      <c r="K54" s="85"/>
      <c r="L54" s="85"/>
      <c r="W54" s="57" t="s">
        <v>101</v>
      </c>
      <c r="X54" s="46" t="s">
        <v>68</v>
      </c>
    </row>
    <row r="55" spans="5:24" ht="16" x14ac:dyDescent="0.8">
      <c r="E55" s="307"/>
      <c r="F55" s="307"/>
      <c r="G55" s="306"/>
      <c r="H55" s="308"/>
      <c r="I55" s="306"/>
      <c r="J55" s="308"/>
      <c r="K55" s="85"/>
      <c r="L55" s="85"/>
      <c r="W55" s="57" t="s">
        <v>113</v>
      </c>
      <c r="X55" s="46" t="s">
        <v>68</v>
      </c>
    </row>
    <row r="56" spans="5:24" ht="16" x14ac:dyDescent="0.8">
      <c r="E56" s="307"/>
      <c r="F56" s="307"/>
      <c r="G56" s="306"/>
      <c r="H56" s="308"/>
      <c r="I56" s="306"/>
      <c r="J56" s="308"/>
      <c r="K56" s="85"/>
      <c r="L56" s="85"/>
      <c r="W56" s="57" t="s">
        <v>162</v>
      </c>
      <c r="X56" s="46" t="s">
        <v>68</v>
      </c>
    </row>
    <row r="57" spans="5:24" ht="16" x14ac:dyDescent="0.8">
      <c r="E57" s="307"/>
      <c r="F57" s="307"/>
      <c r="G57" s="306"/>
      <c r="H57" s="308"/>
      <c r="I57" s="306"/>
      <c r="J57" s="308"/>
      <c r="K57" s="85"/>
      <c r="L57" s="85"/>
      <c r="W57" s="57" t="s">
        <v>103</v>
      </c>
      <c r="X57" s="46" t="s">
        <v>68</v>
      </c>
    </row>
    <row r="58" spans="5:24" ht="16" x14ac:dyDescent="0.8">
      <c r="E58" s="307"/>
      <c r="F58" s="307"/>
      <c r="G58" s="306"/>
      <c r="H58" s="308"/>
      <c r="I58" s="306"/>
      <c r="J58" s="308"/>
      <c r="K58" s="85"/>
      <c r="L58" s="85"/>
      <c r="W58" s="57" t="s">
        <v>182</v>
      </c>
      <c r="X58" s="46" t="s">
        <v>68</v>
      </c>
    </row>
    <row r="59" spans="5:24" ht="16" x14ac:dyDescent="0.8">
      <c r="E59" s="307"/>
      <c r="F59" s="307"/>
      <c r="G59" s="306"/>
      <c r="H59" s="308"/>
      <c r="I59" s="306"/>
      <c r="J59" s="308"/>
      <c r="K59" s="85"/>
      <c r="L59" s="85"/>
      <c r="W59" s="57" t="s">
        <v>77</v>
      </c>
      <c r="X59" s="46" t="s">
        <v>68</v>
      </c>
    </row>
    <row r="60" spans="5:24" ht="16" x14ac:dyDescent="0.8">
      <c r="E60" s="307"/>
      <c r="F60" s="307"/>
      <c r="G60" s="306"/>
      <c r="H60" s="308"/>
      <c r="I60" s="306"/>
      <c r="J60" s="308"/>
      <c r="K60" s="85"/>
      <c r="L60" s="85"/>
      <c r="W60" s="57" t="s">
        <v>201</v>
      </c>
      <c r="X60" s="46" t="s">
        <v>68</v>
      </c>
    </row>
    <row r="61" spans="5:24" ht="16" x14ac:dyDescent="0.8">
      <c r="E61" s="307"/>
      <c r="F61" s="307"/>
      <c r="G61" s="306"/>
      <c r="H61" s="308"/>
      <c r="I61" s="306"/>
      <c r="J61" s="308"/>
      <c r="K61" s="85"/>
      <c r="L61" s="85"/>
      <c r="W61" s="57" t="s">
        <v>373</v>
      </c>
      <c r="X61" s="46" t="s">
        <v>43</v>
      </c>
    </row>
    <row r="62" spans="5:24" ht="16" x14ac:dyDescent="0.8">
      <c r="E62" s="307"/>
      <c r="F62" s="307"/>
      <c r="G62" s="306"/>
      <c r="H62" s="308"/>
      <c r="I62" s="306"/>
      <c r="J62" s="308"/>
      <c r="K62" s="85"/>
      <c r="L62" s="85"/>
      <c r="W62" s="57" t="s">
        <v>42</v>
      </c>
      <c r="X62" s="46" t="s">
        <v>43</v>
      </c>
    </row>
    <row r="63" spans="5:24" ht="16" x14ac:dyDescent="0.8">
      <c r="E63" s="307"/>
      <c r="F63" s="307"/>
      <c r="G63" s="306"/>
      <c r="H63" s="308"/>
      <c r="I63" s="306"/>
      <c r="J63" s="308"/>
      <c r="K63" s="85"/>
      <c r="L63" s="85"/>
      <c r="W63" s="57" t="s">
        <v>57</v>
      </c>
      <c r="X63" s="46" t="s">
        <v>50</v>
      </c>
    </row>
    <row r="64" spans="5:24" ht="16" x14ac:dyDescent="0.8">
      <c r="E64" s="307"/>
      <c r="F64" s="307"/>
      <c r="G64" s="306"/>
      <c r="H64" s="308"/>
      <c r="I64" s="306"/>
      <c r="J64" s="308"/>
      <c r="K64" s="85"/>
      <c r="L64" s="85"/>
      <c r="W64" s="57" t="s">
        <v>306</v>
      </c>
      <c r="X64" s="46" t="str">
        <f>+X62</f>
        <v>Ind</v>
      </c>
    </row>
    <row r="65" spans="5:24" ht="16" x14ac:dyDescent="0.8">
      <c r="E65" s="307"/>
      <c r="F65" s="307"/>
      <c r="G65" s="306"/>
      <c r="H65" s="308"/>
      <c r="I65" s="306"/>
      <c r="J65" s="308"/>
      <c r="K65" s="85"/>
      <c r="L65" s="85"/>
      <c r="W65" s="57" t="s">
        <v>181</v>
      </c>
      <c r="X65" s="46" t="s">
        <v>43</v>
      </c>
    </row>
    <row r="66" spans="5:24" ht="16" x14ac:dyDescent="0.8">
      <c r="E66" s="307"/>
      <c r="F66" s="307"/>
      <c r="G66" s="306"/>
      <c r="H66" s="308"/>
      <c r="I66" s="306"/>
      <c r="J66" s="308"/>
      <c r="K66" s="85"/>
      <c r="L66" s="85"/>
      <c r="W66" s="57" t="s">
        <v>46</v>
      </c>
      <c r="X66" s="46" t="str">
        <f>+X65</f>
        <v>Ind</v>
      </c>
    </row>
    <row r="67" spans="5:24" ht="16" x14ac:dyDescent="0.8">
      <c r="E67" s="307"/>
      <c r="F67" s="307"/>
      <c r="G67" s="306"/>
      <c r="H67" s="308"/>
      <c r="I67" s="306"/>
      <c r="J67" s="308"/>
      <c r="K67" s="85"/>
      <c r="L67" s="85"/>
      <c r="W67" s="57" t="s">
        <v>78</v>
      </c>
      <c r="X67" s="46" t="str">
        <f>+X66</f>
        <v>Ind</v>
      </c>
    </row>
    <row r="68" spans="5:24" ht="16" x14ac:dyDescent="0.8">
      <c r="E68" s="307"/>
      <c r="F68" s="307"/>
      <c r="G68" s="306"/>
      <c r="H68" s="308"/>
      <c r="I68" s="306"/>
      <c r="J68" s="308"/>
      <c r="K68" s="85"/>
      <c r="L68" s="85"/>
      <c r="W68" s="57" t="s">
        <v>106</v>
      </c>
      <c r="X68" s="46" t="s">
        <v>50</v>
      </c>
    </row>
    <row r="69" spans="5:24" ht="16" x14ac:dyDescent="0.8">
      <c r="E69" s="307"/>
      <c r="F69" s="307"/>
      <c r="G69" s="306"/>
      <c r="H69" s="308"/>
      <c r="I69" s="306"/>
      <c r="J69" s="308"/>
      <c r="K69" s="85"/>
      <c r="L69" s="85"/>
      <c r="W69" s="57" t="s">
        <v>55</v>
      </c>
      <c r="X69" s="46" t="s">
        <v>50</v>
      </c>
    </row>
    <row r="70" spans="5:24" ht="16" x14ac:dyDescent="0.8">
      <c r="E70" s="307"/>
      <c r="F70" s="307"/>
      <c r="G70" s="306"/>
      <c r="H70" s="308"/>
      <c r="I70" s="306"/>
      <c r="J70" s="308"/>
      <c r="K70" s="85"/>
      <c r="L70" s="85"/>
      <c r="W70" s="57" t="s">
        <v>107</v>
      </c>
      <c r="X70" s="46" t="s">
        <v>50</v>
      </c>
    </row>
    <row r="71" spans="5:24" ht="16" x14ac:dyDescent="0.8">
      <c r="E71" s="307"/>
      <c r="F71" s="307"/>
      <c r="G71" s="306"/>
      <c r="H71" s="308"/>
      <c r="I71" s="306"/>
      <c r="J71" s="308"/>
      <c r="K71" s="85"/>
      <c r="L71" s="85"/>
      <c r="W71" s="57" t="s">
        <v>174</v>
      </c>
      <c r="X71" s="46" t="s">
        <v>50</v>
      </c>
    </row>
    <row r="72" spans="5:24" ht="16" x14ac:dyDescent="0.8">
      <c r="E72" s="307"/>
      <c r="F72" s="307"/>
      <c r="G72" s="306"/>
      <c r="H72" s="308"/>
      <c r="I72" s="306"/>
      <c r="J72" s="308"/>
      <c r="K72" s="85"/>
      <c r="L72" s="85"/>
      <c r="W72" s="57" t="s">
        <v>60</v>
      </c>
      <c r="X72" s="46" t="s">
        <v>50</v>
      </c>
    </row>
    <row r="73" spans="5:24" ht="16" x14ac:dyDescent="0.8">
      <c r="E73" s="307"/>
      <c r="F73" s="307"/>
      <c r="G73" s="306"/>
      <c r="H73" s="308"/>
      <c r="I73" s="306"/>
      <c r="J73" s="308"/>
      <c r="K73" s="85"/>
      <c r="L73" s="85"/>
      <c r="W73" s="57" t="s">
        <v>96</v>
      </c>
      <c r="X73" s="46" t="s">
        <v>50</v>
      </c>
    </row>
    <row r="74" spans="5:24" ht="16" x14ac:dyDescent="0.8">
      <c r="E74" s="307"/>
      <c r="F74" s="307"/>
      <c r="G74" s="306"/>
      <c r="H74" s="308"/>
      <c r="I74" s="306"/>
      <c r="J74" s="308"/>
      <c r="K74" s="85"/>
      <c r="L74" s="85"/>
      <c r="W74" s="57" t="s">
        <v>109</v>
      </c>
      <c r="X74" s="46" t="s">
        <v>50</v>
      </c>
    </row>
    <row r="75" spans="5:24" ht="16" x14ac:dyDescent="0.8">
      <c r="E75" s="315"/>
      <c r="F75" s="307"/>
      <c r="G75" s="306"/>
      <c r="H75" s="308"/>
      <c r="I75" s="306"/>
      <c r="J75" s="308"/>
      <c r="K75" s="85"/>
      <c r="L75" s="85"/>
      <c r="W75" s="57" t="s">
        <v>49</v>
      </c>
      <c r="X75" s="46" t="s">
        <v>50</v>
      </c>
    </row>
    <row r="76" spans="5:24" ht="16" x14ac:dyDescent="0.8">
      <c r="E76" s="307"/>
      <c r="F76" s="307"/>
      <c r="G76" s="306"/>
      <c r="H76" s="308"/>
      <c r="I76" s="306"/>
      <c r="J76" s="308"/>
      <c r="K76" s="85"/>
      <c r="L76" s="85"/>
      <c r="W76" s="57" t="s">
        <v>180</v>
      </c>
      <c r="X76" s="46" t="s">
        <v>50</v>
      </c>
    </row>
    <row r="77" spans="5:24" ht="16" x14ac:dyDescent="0.8">
      <c r="E77" s="307"/>
      <c r="F77" s="307"/>
      <c r="G77" s="306"/>
      <c r="H77" s="308"/>
      <c r="I77" s="306"/>
      <c r="J77" s="308"/>
      <c r="K77" s="85"/>
      <c r="L77" s="85"/>
      <c r="W77" s="57" t="s">
        <v>112</v>
      </c>
      <c r="X77" s="46" t="s">
        <v>50</v>
      </c>
    </row>
    <row r="78" spans="5:24" ht="16" x14ac:dyDescent="0.8">
      <c r="E78" s="307"/>
      <c r="F78" s="307"/>
      <c r="G78" s="306"/>
      <c r="H78" s="308"/>
      <c r="I78" s="306"/>
      <c r="J78" s="308"/>
      <c r="K78" s="85"/>
      <c r="L78" s="85"/>
      <c r="W78" s="57" t="s">
        <v>71</v>
      </c>
      <c r="X78" s="46" t="s">
        <v>50</v>
      </c>
    </row>
    <row r="79" spans="5:24" ht="16" x14ac:dyDescent="0.8">
      <c r="E79" s="307"/>
      <c r="F79" s="307"/>
      <c r="G79" s="306"/>
      <c r="H79" s="308"/>
      <c r="I79" s="306"/>
      <c r="J79" s="308"/>
      <c r="K79" s="85"/>
      <c r="L79" s="85"/>
      <c r="W79" s="57" t="s">
        <v>102</v>
      </c>
      <c r="X79" s="46" t="s">
        <v>61</v>
      </c>
    </row>
    <row r="80" spans="5:24" ht="16" x14ac:dyDescent="0.8">
      <c r="E80" s="307"/>
      <c r="F80" s="307"/>
      <c r="G80" s="306"/>
      <c r="H80" s="308"/>
      <c r="I80" s="306"/>
      <c r="J80" s="308"/>
      <c r="K80" s="85"/>
      <c r="L80" s="85"/>
      <c r="W80" s="57" t="s">
        <v>114</v>
      </c>
      <c r="X80" s="46" t="s">
        <v>61</v>
      </c>
    </row>
    <row r="81" spans="5:24" ht="16" x14ac:dyDescent="0.8">
      <c r="E81" s="307"/>
      <c r="F81" s="307"/>
      <c r="G81" s="306"/>
      <c r="H81" s="308"/>
      <c r="I81" s="306"/>
      <c r="J81" s="308"/>
      <c r="K81" s="85"/>
      <c r="L81" s="85"/>
      <c r="W81" s="57" t="s">
        <v>115</v>
      </c>
      <c r="X81" s="46" t="s">
        <v>61</v>
      </c>
    </row>
    <row r="82" spans="5:24" ht="16" x14ac:dyDescent="0.8">
      <c r="E82" s="307"/>
      <c r="F82" s="307"/>
      <c r="G82" s="306"/>
      <c r="H82" s="308"/>
      <c r="I82" s="306"/>
      <c r="J82" s="308"/>
      <c r="K82" s="85"/>
      <c r="L82" s="85"/>
      <c r="W82" s="57" t="s">
        <v>117</v>
      </c>
      <c r="X82" s="46" t="s">
        <v>61</v>
      </c>
    </row>
    <row r="83" spans="5:24" ht="16" x14ac:dyDescent="0.8">
      <c r="E83" s="307"/>
      <c r="F83" s="307"/>
      <c r="G83" s="306"/>
      <c r="H83" s="308"/>
      <c r="I83" s="306"/>
      <c r="J83" s="308"/>
      <c r="K83" s="85"/>
      <c r="L83" s="85"/>
      <c r="W83" s="57" t="s">
        <v>227</v>
      </c>
      <c r="X83" s="46" t="s">
        <v>61</v>
      </c>
    </row>
    <row r="84" spans="5:24" ht="16" x14ac:dyDescent="0.8">
      <c r="E84" s="307"/>
      <c r="F84" s="307"/>
      <c r="G84" s="306"/>
      <c r="H84" s="308"/>
      <c r="I84" s="306"/>
      <c r="J84" s="308"/>
      <c r="K84" s="85"/>
      <c r="L84" s="85"/>
      <c r="W84" s="57" t="s">
        <v>120</v>
      </c>
      <c r="X84" s="46" t="s">
        <v>61</v>
      </c>
    </row>
    <row r="85" spans="5:24" ht="16" x14ac:dyDescent="0.8">
      <c r="E85" s="307"/>
      <c r="F85" s="307"/>
      <c r="G85" s="306"/>
      <c r="H85" s="308"/>
      <c r="I85" s="306"/>
      <c r="J85" s="308"/>
      <c r="K85" s="85"/>
      <c r="L85" s="85"/>
      <c r="W85" s="57" t="s">
        <v>122</v>
      </c>
      <c r="X85" s="46" t="s">
        <v>61</v>
      </c>
    </row>
    <row r="86" spans="5:24" ht="16" x14ac:dyDescent="0.8">
      <c r="E86" s="307"/>
      <c r="F86" s="307"/>
      <c r="G86" s="306"/>
      <c r="H86" s="308"/>
      <c r="I86" s="306"/>
      <c r="J86" s="308"/>
      <c r="K86" s="85"/>
      <c r="L86" s="85"/>
      <c r="W86" s="57" t="s">
        <v>379</v>
      </c>
      <c r="X86" s="46" t="s">
        <v>61</v>
      </c>
    </row>
    <row r="87" spans="5:24" ht="16" x14ac:dyDescent="0.8">
      <c r="E87" s="307"/>
      <c r="F87" s="307"/>
      <c r="G87" s="82"/>
      <c r="H87" s="308"/>
      <c r="I87" s="306"/>
      <c r="J87" s="308"/>
      <c r="K87" s="85"/>
      <c r="L87" s="85"/>
      <c r="W87" s="57" t="s">
        <v>126</v>
      </c>
      <c r="X87" s="46" t="s">
        <v>61</v>
      </c>
    </row>
    <row r="88" spans="5:24" ht="16" x14ac:dyDescent="0.8">
      <c r="E88" s="307"/>
      <c r="F88" s="307"/>
      <c r="G88" s="306"/>
      <c r="H88" s="308"/>
      <c r="I88" s="306"/>
      <c r="J88" s="308"/>
      <c r="K88" s="85"/>
      <c r="L88" s="85"/>
      <c r="W88" s="57" t="s">
        <v>128</v>
      </c>
      <c r="X88" s="46" t="s">
        <v>61</v>
      </c>
    </row>
    <row r="89" spans="5:24" ht="16" x14ac:dyDescent="0.8">
      <c r="E89" s="307"/>
      <c r="F89" s="307"/>
      <c r="G89" s="306"/>
      <c r="H89" s="308"/>
      <c r="I89" s="306"/>
      <c r="J89" s="308"/>
      <c r="K89" s="85"/>
      <c r="L89" s="85"/>
      <c r="W89" s="57" t="s">
        <v>90</v>
      </c>
      <c r="X89" s="46" t="s">
        <v>61</v>
      </c>
    </row>
    <row r="90" spans="5:24" ht="16" x14ac:dyDescent="0.8">
      <c r="E90" s="307"/>
      <c r="F90" s="307"/>
      <c r="G90" s="306"/>
      <c r="H90" s="308"/>
      <c r="I90" s="306"/>
      <c r="J90" s="308"/>
      <c r="K90" s="85"/>
      <c r="L90" s="85"/>
      <c r="W90" s="57" t="s">
        <v>130</v>
      </c>
      <c r="X90" s="46" t="s">
        <v>61</v>
      </c>
    </row>
    <row r="91" spans="5:24" x14ac:dyDescent="0.75">
      <c r="E91" s="307"/>
      <c r="F91" s="307"/>
      <c r="G91" s="306"/>
      <c r="H91" s="308"/>
      <c r="I91" s="306"/>
      <c r="J91" s="308"/>
      <c r="K91" s="85"/>
      <c r="L91" s="85"/>
      <c r="W91" s="303" t="s">
        <v>221</v>
      </c>
      <c r="X91" s="81" t="s">
        <v>61</v>
      </c>
    </row>
    <row r="92" spans="5:24" x14ac:dyDescent="0.75">
      <c r="E92" s="307"/>
      <c r="F92" s="307"/>
      <c r="G92" s="306"/>
      <c r="H92" s="308"/>
      <c r="I92" s="306"/>
      <c r="J92" s="308"/>
      <c r="K92" s="85"/>
      <c r="L92" s="85"/>
      <c r="W92" s="303" t="s">
        <v>62</v>
      </c>
      <c r="X92" s="81" t="s">
        <v>61</v>
      </c>
    </row>
    <row r="93" spans="5:24" ht="16" x14ac:dyDescent="0.8">
      <c r="E93" s="307"/>
      <c r="F93" s="307"/>
      <c r="G93" s="306"/>
      <c r="H93" s="308"/>
      <c r="I93" s="306"/>
      <c r="J93" s="308"/>
      <c r="K93" s="85"/>
      <c r="L93" s="85"/>
      <c r="W93" s="57" t="s">
        <v>132</v>
      </c>
      <c r="X93" s="46" t="s">
        <v>64</v>
      </c>
    </row>
    <row r="94" spans="5:24" ht="16" x14ac:dyDescent="0.8">
      <c r="E94" s="307"/>
      <c r="F94" s="307"/>
      <c r="G94" s="306"/>
      <c r="H94" s="308"/>
      <c r="I94" s="306"/>
      <c r="J94" s="308"/>
      <c r="K94" s="85"/>
      <c r="L94" s="85"/>
      <c r="W94" s="57" t="s">
        <v>65</v>
      </c>
      <c r="X94" s="46" t="s">
        <v>64</v>
      </c>
    </row>
    <row r="95" spans="5:24" ht="16" x14ac:dyDescent="0.8">
      <c r="E95" s="307"/>
      <c r="F95" s="307"/>
      <c r="G95" s="306"/>
      <c r="H95" s="308"/>
      <c r="I95" s="306"/>
      <c r="J95" s="308"/>
      <c r="K95" s="85"/>
      <c r="L95" s="85"/>
      <c r="W95" s="57" t="s">
        <v>376</v>
      </c>
      <c r="X95" s="46" t="s">
        <v>64</v>
      </c>
    </row>
    <row r="96" spans="5:24" ht="16" x14ac:dyDescent="0.8">
      <c r="E96" s="307"/>
      <c r="F96" s="307"/>
      <c r="G96" s="306"/>
      <c r="H96" s="308"/>
      <c r="I96" s="306"/>
      <c r="J96" s="308"/>
      <c r="K96" s="85"/>
      <c r="L96" s="85"/>
      <c r="W96" s="57" t="s">
        <v>156</v>
      </c>
      <c r="X96" s="46" t="s">
        <v>64</v>
      </c>
    </row>
    <row r="97" spans="5:24" ht="16" x14ac:dyDescent="0.8">
      <c r="E97" s="307"/>
      <c r="F97" s="307"/>
      <c r="G97" s="306"/>
      <c r="H97" s="308"/>
      <c r="I97" s="306"/>
      <c r="J97" s="308"/>
      <c r="K97" s="85"/>
      <c r="L97" s="85"/>
      <c r="W97" s="57" t="s">
        <v>137</v>
      </c>
      <c r="X97" s="46" t="s">
        <v>64</v>
      </c>
    </row>
    <row r="98" spans="5:24" ht="16" x14ac:dyDescent="0.8">
      <c r="E98" s="307"/>
      <c r="F98" s="307"/>
      <c r="G98" s="306"/>
      <c r="H98" s="308"/>
      <c r="I98" s="306"/>
      <c r="J98" s="308"/>
      <c r="K98" s="85"/>
      <c r="L98" s="85"/>
      <c r="W98" s="57" t="s">
        <v>139</v>
      </c>
      <c r="X98" s="46" t="s">
        <v>64</v>
      </c>
    </row>
    <row r="99" spans="5:24" ht="16" x14ac:dyDescent="0.8">
      <c r="E99" s="307"/>
      <c r="F99" s="307"/>
      <c r="G99" s="306"/>
      <c r="H99" s="308"/>
      <c r="I99" s="306"/>
      <c r="J99" s="308"/>
      <c r="K99" s="85"/>
      <c r="L99" s="85"/>
      <c r="W99" s="57" t="s">
        <v>69</v>
      </c>
      <c r="X99" s="46" t="s">
        <v>64</v>
      </c>
    </row>
    <row r="100" spans="5:24" ht="16" x14ac:dyDescent="0.8">
      <c r="E100" s="307"/>
      <c r="F100" s="307"/>
      <c r="G100" s="306"/>
      <c r="H100" s="308"/>
      <c r="I100" s="306"/>
      <c r="J100" s="308"/>
      <c r="K100" s="85"/>
      <c r="L100" s="85"/>
      <c r="W100" s="57" t="s">
        <v>141</v>
      </c>
      <c r="X100" s="46" t="s">
        <v>64</v>
      </c>
    </row>
    <row r="101" spans="5:24" ht="16" x14ac:dyDescent="0.8">
      <c r="E101" s="307"/>
      <c r="F101" s="307"/>
      <c r="G101" s="306"/>
      <c r="H101" s="308"/>
      <c r="I101" s="306"/>
      <c r="J101" s="308"/>
      <c r="K101" s="85"/>
      <c r="L101" s="85"/>
      <c r="W101" s="57" t="s">
        <v>380</v>
      </c>
      <c r="X101" s="46" t="s">
        <v>64</v>
      </c>
    </row>
    <row r="102" spans="5:24" ht="16" x14ac:dyDescent="0.8">
      <c r="E102" s="307"/>
      <c r="F102" s="307"/>
      <c r="G102" s="306"/>
      <c r="H102" s="308"/>
      <c r="I102" s="306"/>
      <c r="J102" s="308"/>
      <c r="K102" s="85"/>
      <c r="L102" s="85"/>
      <c r="W102" s="57" t="s">
        <v>63</v>
      </c>
      <c r="X102" s="46" t="s">
        <v>64</v>
      </c>
    </row>
    <row r="103" spans="5:24" ht="16" x14ac:dyDescent="0.8">
      <c r="E103" s="307"/>
      <c r="F103" s="307"/>
      <c r="G103" s="306"/>
      <c r="H103" s="308"/>
      <c r="I103" s="306"/>
      <c r="J103" s="308"/>
      <c r="K103" s="85"/>
      <c r="L103" s="85"/>
      <c r="W103" s="57" t="s">
        <v>145</v>
      </c>
      <c r="X103" s="46" t="s">
        <v>64</v>
      </c>
    </row>
    <row r="104" spans="5:24" ht="16" x14ac:dyDescent="0.8">
      <c r="E104" s="307"/>
      <c r="F104" s="307"/>
      <c r="G104" s="306"/>
      <c r="H104" s="308"/>
      <c r="I104" s="306"/>
      <c r="J104" s="308"/>
      <c r="K104" s="85"/>
      <c r="L104" s="85"/>
      <c r="W104" s="57" t="s">
        <v>119</v>
      </c>
      <c r="X104" s="46" t="s">
        <v>64</v>
      </c>
    </row>
    <row r="105" spans="5:24" x14ac:dyDescent="0.75">
      <c r="E105" s="307"/>
      <c r="F105" s="307"/>
      <c r="G105" s="306"/>
      <c r="H105" s="308"/>
      <c r="I105" s="306"/>
      <c r="J105" s="308"/>
      <c r="K105" s="85"/>
      <c r="L105" s="85"/>
      <c r="W105" s="303" t="s">
        <v>92</v>
      </c>
      <c r="X105" s="81" t="s">
        <v>64</v>
      </c>
    </row>
    <row r="106" spans="5:24" x14ac:dyDescent="0.75">
      <c r="E106" s="307"/>
      <c r="F106" s="307"/>
      <c r="G106" s="306"/>
      <c r="H106" s="308"/>
      <c r="I106" s="306"/>
      <c r="J106" s="308"/>
      <c r="K106" s="85"/>
      <c r="L106" s="85"/>
      <c r="W106" s="303" t="s">
        <v>94</v>
      </c>
      <c r="X106" s="81" t="s">
        <v>64</v>
      </c>
    </row>
    <row r="107" spans="5:24" ht="16" x14ac:dyDescent="0.8">
      <c r="E107" s="307"/>
      <c r="F107" s="307"/>
      <c r="G107" s="306"/>
      <c r="H107" s="308"/>
      <c r="I107" s="306"/>
      <c r="J107" s="308"/>
      <c r="K107" s="85"/>
      <c r="L107" s="85"/>
      <c r="W107" s="57" t="s">
        <v>146</v>
      </c>
      <c r="X107" s="46" t="s">
        <v>73</v>
      </c>
    </row>
    <row r="108" spans="5:24" ht="16" x14ac:dyDescent="0.8">
      <c r="E108" s="307"/>
      <c r="F108" s="307"/>
      <c r="G108" s="306"/>
      <c r="H108" s="308"/>
      <c r="I108" s="306"/>
      <c r="J108" s="308"/>
      <c r="K108" s="85"/>
      <c r="L108" s="85"/>
      <c r="W108" s="57" t="s">
        <v>148</v>
      </c>
      <c r="X108" s="46" t="s">
        <v>73</v>
      </c>
    </row>
    <row r="109" spans="5:24" ht="16" x14ac:dyDescent="0.8">
      <c r="E109" s="307"/>
      <c r="F109" s="307"/>
      <c r="G109" s="306"/>
      <c r="H109" s="308"/>
      <c r="I109" s="306"/>
      <c r="J109" s="308"/>
      <c r="K109" s="85"/>
      <c r="L109" s="85"/>
      <c r="W109" s="57" t="s">
        <v>150</v>
      </c>
      <c r="X109" s="46" t="s">
        <v>73</v>
      </c>
    </row>
    <row r="110" spans="5:24" ht="16" x14ac:dyDescent="0.8">
      <c r="E110" s="307"/>
      <c r="F110" s="307"/>
      <c r="G110" s="306"/>
      <c r="H110" s="308"/>
      <c r="I110" s="306"/>
      <c r="J110" s="308"/>
      <c r="K110" s="85"/>
      <c r="L110" s="85"/>
      <c r="W110" s="57" t="s">
        <v>152</v>
      </c>
      <c r="X110" s="46" t="s">
        <v>73</v>
      </c>
    </row>
    <row r="111" spans="5:24" ht="16" x14ac:dyDescent="0.8">
      <c r="E111" s="307"/>
      <c r="F111" s="307"/>
      <c r="G111" s="306"/>
      <c r="H111" s="308"/>
      <c r="I111" s="306"/>
      <c r="J111" s="308"/>
      <c r="K111" s="85"/>
      <c r="L111" s="85"/>
      <c r="W111" s="57" t="s">
        <v>154</v>
      </c>
      <c r="X111" s="46" t="s">
        <v>73</v>
      </c>
    </row>
    <row r="112" spans="5:24" ht="16" x14ac:dyDescent="0.8">
      <c r="E112" s="307"/>
      <c r="F112" s="307"/>
      <c r="G112" s="306"/>
      <c r="H112" s="308"/>
      <c r="I112" s="306"/>
      <c r="J112" s="308"/>
      <c r="K112" s="85"/>
      <c r="L112" s="85"/>
      <c r="W112" s="57" t="s">
        <v>72</v>
      </c>
      <c r="X112" s="46" t="s">
        <v>73</v>
      </c>
    </row>
    <row r="113" spans="5:24" ht="16" x14ac:dyDescent="0.8">
      <c r="E113" s="307"/>
      <c r="F113" s="307"/>
      <c r="G113" s="306"/>
      <c r="H113" s="308"/>
      <c r="I113" s="306"/>
      <c r="J113" s="308"/>
      <c r="K113" s="85"/>
      <c r="L113" s="85"/>
      <c r="W113" s="57" t="s">
        <v>155</v>
      </c>
      <c r="X113" s="46" t="s">
        <v>73</v>
      </c>
    </row>
    <row r="114" spans="5:24" ht="16" x14ac:dyDescent="0.8">
      <c r="E114" s="307"/>
      <c r="F114" s="307"/>
      <c r="G114" s="306"/>
      <c r="H114" s="308"/>
      <c r="I114" s="306"/>
      <c r="J114" s="308"/>
      <c r="K114" s="85"/>
      <c r="L114" s="85"/>
      <c r="W114" s="57" t="s">
        <v>157</v>
      </c>
      <c r="X114" s="46" t="s">
        <v>73</v>
      </c>
    </row>
    <row r="115" spans="5:24" ht="16" x14ac:dyDescent="0.8">
      <c r="E115" s="307"/>
      <c r="F115" s="307"/>
      <c r="G115" s="306"/>
      <c r="H115" s="308"/>
      <c r="I115" s="306"/>
      <c r="J115" s="308"/>
      <c r="K115" s="85"/>
      <c r="L115" s="85"/>
      <c r="W115" s="57" t="s">
        <v>159</v>
      </c>
      <c r="X115" s="46" t="s">
        <v>73</v>
      </c>
    </row>
    <row r="116" spans="5:24" ht="16" x14ac:dyDescent="0.8">
      <c r="E116" s="307"/>
      <c r="F116" s="307"/>
      <c r="G116" s="306"/>
      <c r="H116" s="308"/>
      <c r="I116" s="306"/>
      <c r="J116" s="308"/>
      <c r="K116" s="85"/>
      <c r="L116" s="85"/>
      <c r="W116" s="57" t="s">
        <v>222</v>
      </c>
      <c r="X116" s="46" t="s">
        <v>73</v>
      </c>
    </row>
    <row r="117" spans="5:24" ht="16" x14ac:dyDescent="0.8">
      <c r="E117" s="307"/>
      <c r="F117" s="307"/>
      <c r="G117" s="306"/>
      <c r="H117" s="308"/>
      <c r="I117" s="306"/>
      <c r="J117" s="308"/>
      <c r="K117" s="85"/>
      <c r="L117" s="85"/>
      <c r="W117" s="57" t="s">
        <v>97</v>
      </c>
      <c r="X117" s="46" t="s">
        <v>39</v>
      </c>
    </row>
    <row r="118" spans="5:24" ht="16" x14ac:dyDescent="0.8">
      <c r="E118" s="307"/>
      <c r="F118" s="307"/>
      <c r="G118" s="306"/>
      <c r="H118" s="308"/>
      <c r="I118" s="306"/>
      <c r="J118" s="308"/>
      <c r="K118" s="85"/>
      <c r="L118" s="85"/>
      <c r="W118" s="57" t="s">
        <v>105</v>
      </c>
      <c r="X118" s="46" t="s">
        <v>39</v>
      </c>
    </row>
    <row r="119" spans="5:24" ht="16" x14ac:dyDescent="0.8">
      <c r="E119" s="307"/>
      <c r="F119" s="307"/>
      <c r="G119" s="306"/>
      <c r="H119" s="308"/>
      <c r="I119" s="306"/>
      <c r="J119" s="308"/>
      <c r="K119" s="85"/>
      <c r="L119" s="85"/>
      <c r="W119" s="57" t="s">
        <v>161</v>
      </c>
      <c r="X119" s="46" t="s">
        <v>39</v>
      </c>
    </row>
    <row r="120" spans="5:24" ht="16" x14ac:dyDescent="0.8">
      <c r="E120" s="307"/>
      <c r="F120" s="307"/>
      <c r="G120" s="306"/>
      <c r="H120" s="308"/>
      <c r="I120" s="306"/>
      <c r="J120" s="308"/>
      <c r="K120" s="85"/>
      <c r="L120" s="85"/>
      <c r="W120" s="57" t="s">
        <v>163</v>
      </c>
      <c r="X120" s="46" t="s">
        <v>39</v>
      </c>
    </row>
    <row r="121" spans="5:24" ht="16" x14ac:dyDescent="0.8">
      <c r="E121" s="307"/>
      <c r="F121" s="307"/>
      <c r="G121" s="306"/>
      <c r="H121" s="308"/>
      <c r="I121" s="306"/>
      <c r="J121" s="308"/>
      <c r="K121" s="85"/>
      <c r="L121" s="85"/>
      <c r="W121" s="57" t="s">
        <v>165</v>
      </c>
      <c r="X121" s="46" t="s">
        <v>39</v>
      </c>
    </row>
    <row r="122" spans="5:24" ht="16" x14ac:dyDescent="0.8">
      <c r="E122" s="307"/>
      <c r="F122" s="307"/>
      <c r="G122" s="306"/>
      <c r="H122" s="308"/>
      <c r="I122" s="306"/>
      <c r="J122" s="308"/>
      <c r="K122" s="85"/>
      <c r="L122" s="85"/>
      <c r="W122" s="57" t="s">
        <v>167</v>
      </c>
      <c r="X122" s="46" t="s">
        <v>39</v>
      </c>
    </row>
    <row r="123" spans="5:24" ht="16" x14ac:dyDescent="0.8">
      <c r="E123" s="307"/>
      <c r="F123" s="307"/>
      <c r="G123" s="306"/>
      <c r="H123" s="308"/>
      <c r="I123" s="306"/>
      <c r="J123" s="308"/>
      <c r="K123" s="85"/>
      <c r="L123" s="85"/>
      <c r="W123" s="57" t="s">
        <v>169</v>
      </c>
      <c r="X123" s="46" t="s">
        <v>39</v>
      </c>
    </row>
    <row r="124" spans="5:24" ht="16" x14ac:dyDescent="0.8">
      <c r="E124" s="307"/>
      <c r="F124" s="307"/>
      <c r="G124" s="306"/>
      <c r="H124" s="308"/>
      <c r="I124" s="306"/>
      <c r="J124" s="308"/>
      <c r="K124" s="85"/>
      <c r="L124" s="85"/>
      <c r="W124" s="57" t="s">
        <v>38</v>
      </c>
      <c r="X124" s="46" t="s">
        <v>39</v>
      </c>
    </row>
    <row r="125" spans="5:24" ht="16" x14ac:dyDescent="0.8">
      <c r="E125" s="307"/>
      <c r="F125" s="307"/>
      <c r="G125" s="306"/>
      <c r="H125" s="308"/>
      <c r="I125" s="306"/>
      <c r="J125" s="308"/>
      <c r="K125" s="85"/>
      <c r="L125" s="85"/>
      <c r="W125" s="57" t="s">
        <v>171</v>
      </c>
      <c r="X125" s="46" t="s">
        <v>39</v>
      </c>
    </row>
    <row r="126" spans="5:24" ht="16" x14ac:dyDescent="0.8">
      <c r="E126" s="307"/>
      <c r="F126" s="307"/>
      <c r="G126" s="306"/>
      <c r="H126" s="308"/>
      <c r="I126" s="306"/>
      <c r="J126" s="308"/>
      <c r="K126" s="85"/>
      <c r="L126" s="85"/>
      <c r="W126" s="57" t="s">
        <v>173</v>
      </c>
      <c r="X126" s="46" t="s">
        <v>39</v>
      </c>
    </row>
    <row r="127" spans="5:24" ht="16" x14ac:dyDescent="0.8">
      <c r="E127" s="307"/>
      <c r="F127" s="307"/>
      <c r="G127" s="306"/>
      <c r="H127" s="308"/>
      <c r="I127" s="306"/>
      <c r="J127" s="308"/>
      <c r="K127" s="85"/>
      <c r="L127" s="85"/>
      <c r="W127" s="57" t="s">
        <v>100</v>
      </c>
      <c r="X127" s="46" t="s">
        <v>39</v>
      </c>
    </row>
    <row r="128" spans="5:24" ht="16" x14ac:dyDescent="0.8">
      <c r="E128" s="307"/>
      <c r="F128" s="307"/>
      <c r="G128" s="306"/>
      <c r="H128" s="308"/>
      <c r="I128" s="306"/>
      <c r="J128" s="308"/>
      <c r="K128" s="85"/>
      <c r="L128" s="85"/>
      <c r="W128" s="57" t="s">
        <v>175</v>
      </c>
      <c r="X128" s="46" t="s">
        <v>39</v>
      </c>
    </row>
    <row r="129" spans="5:24" x14ac:dyDescent="0.75">
      <c r="E129" s="307"/>
      <c r="F129" s="307"/>
      <c r="G129" s="306"/>
      <c r="H129" s="308"/>
      <c r="I129" s="306"/>
      <c r="J129" s="308"/>
      <c r="K129" s="85"/>
      <c r="L129" s="85"/>
      <c r="W129" s="303" t="s">
        <v>153</v>
      </c>
      <c r="X129" s="81" t="s">
        <v>39</v>
      </c>
    </row>
    <row r="130" spans="5:24" x14ac:dyDescent="0.75">
      <c r="E130" s="307"/>
      <c r="F130" s="307"/>
      <c r="G130" s="306"/>
      <c r="H130" s="308"/>
      <c r="I130" s="306"/>
      <c r="J130" s="308"/>
      <c r="K130" s="85"/>
      <c r="L130" s="85"/>
      <c r="W130" s="304" t="s">
        <v>382</v>
      </c>
      <c r="X130" s="305" t="s">
        <v>39</v>
      </c>
    </row>
    <row r="131" spans="5:24" x14ac:dyDescent="0.75">
      <c r="E131" s="307"/>
      <c r="F131" s="307"/>
      <c r="G131" s="306"/>
      <c r="H131" s="308"/>
      <c r="I131" s="306"/>
      <c r="J131" s="308"/>
      <c r="K131" s="85"/>
      <c r="L131" s="85"/>
    </row>
    <row r="132" spans="5:24" x14ac:dyDescent="0.75">
      <c r="E132" s="307"/>
      <c r="F132" s="307"/>
      <c r="G132" s="306"/>
      <c r="H132" s="308"/>
      <c r="I132" s="306"/>
      <c r="J132" s="308"/>
      <c r="K132" s="85"/>
      <c r="L132" s="85"/>
    </row>
    <row r="133" spans="5:24" x14ac:dyDescent="0.75">
      <c r="E133" s="307"/>
      <c r="F133" s="307"/>
      <c r="G133" s="306"/>
      <c r="H133" s="308"/>
      <c r="I133" s="306"/>
      <c r="J133" s="308"/>
      <c r="K133" s="85"/>
      <c r="L133" s="85"/>
    </row>
    <row r="134" spans="5:24" x14ac:dyDescent="0.75">
      <c r="E134" s="307"/>
      <c r="F134" s="307"/>
      <c r="G134" s="306"/>
      <c r="H134" s="308"/>
      <c r="I134" s="306"/>
      <c r="J134" s="308"/>
      <c r="K134" s="85"/>
      <c r="L134" s="85"/>
    </row>
    <row r="135" spans="5:24" x14ac:dyDescent="0.75">
      <c r="E135" s="307"/>
      <c r="F135" s="307"/>
      <c r="G135" s="306"/>
      <c r="H135" s="308"/>
      <c r="I135" s="306"/>
      <c r="J135" s="308"/>
      <c r="K135" s="85"/>
      <c r="L135" s="85"/>
    </row>
    <row r="136" spans="5:24" x14ac:dyDescent="0.75">
      <c r="E136" s="307"/>
      <c r="F136" s="307"/>
      <c r="G136" s="306"/>
      <c r="H136" s="308"/>
      <c r="I136" s="306"/>
      <c r="J136" s="308"/>
      <c r="K136" s="85"/>
      <c r="L136" s="85"/>
    </row>
    <row r="137" spans="5:24" x14ac:dyDescent="0.75">
      <c r="E137" s="307"/>
      <c r="F137" s="307"/>
      <c r="G137" s="306"/>
      <c r="H137" s="308"/>
      <c r="I137" s="306"/>
      <c r="J137" s="308"/>
      <c r="K137" s="85"/>
      <c r="L137" s="85"/>
    </row>
    <row r="138" spans="5:24" x14ac:dyDescent="0.75">
      <c r="E138" s="307"/>
      <c r="F138" s="307"/>
      <c r="G138" s="306"/>
      <c r="H138" s="308"/>
      <c r="I138" s="306"/>
      <c r="J138" s="308"/>
      <c r="K138" s="85"/>
      <c r="L138" s="85"/>
    </row>
    <row r="139" spans="5:24" x14ac:dyDescent="0.75">
      <c r="E139" s="307"/>
      <c r="F139" s="307"/>
      <c r="G139" s="306"/>
      <c r="H139" s="308"/>
      <c r="I139" s="306"/>
      <c r="J139" s="308"/>
      <c r="K139" s="85"/>
      <c r="L139" s="85"/>
    </row>
    <row r="140" spans="5:24" x14ac:dyDescent="0.75">
      <c r="E140" s="307"/>
      <c r="F140" s="307"/>
      <c r="G140" s="306"/>
      <c r="H140" s="308"/>
      <c r="I140" s="306"/>
      <c r="J140" s="308"/>
      <c r="K140" s="85"/>
      <c r="L140" s="85"/>
    </row>
    <row r="141" spans="5:24" x14ac:dyDescent="0.75">
      <c r="E141" s="307"/>
      <c r="F141" s="307"/>
      <c r="G141" s="306"/>
      <c r="H141" s="308"/>
      <c r="I141" s="306"/>
      <c r="J141" s="308"/>
      <c r="K141" s="85"/>
      <c r="L141" s="85"/>
    </row>
    <row r="142" spans="5:24" x14ac:dyDescent="0.75">
      <c r="E142" s="307"/>
      <c r="F142" s="307"/>
      <c r="G142" s="306"/>
      <c r="H142" s="308"/>
      <c r="I142" s="306"/>
      <c r="J142" s="308"/>
      <c r="K142" s="85"/>
      <c r="L142" s="85"/>
    </row>
    <row r="143" spans="5:24" x14ac:dyDescent="0.75">
      <c r="E143" s="307"/>
      <c r="F143" s="307"/>
      <c r="G143" s="306"/>
      <c r="H143" s="308"/>
      <c r="I143" s="306"/>
      <c r="J143" s="308"/>
      <c r="K143" s="85"/>
      <c r="L143" s="85"/>
    </row>
    <row r="144" spans="5:24" x14ac:dyDescent="0.75">
      <c r="E144" s="307"/>
      <c r="F144" s="307"/>
      <c r="G144" s="306"/>
      <c r="H144" s="308"/>
      <c r="I144" s="306"/>
      <c r="J144" s="308"/>
      <c r="K144" s="85"/>
      <c r="L144" s="85"/>
    </row>
    <row r="145" spans="5:12" x14ac:dyDescent="0.75">
      <c r="E145" s="307"/>
      <c r="F145" s="307"/>
      <c r="G145" s="306"/>
      <c r="H145" s="308"/>
      <c r="I145" s="306"/>
      <c r="J145" s="308"/>
      <c r="K145" s="85"/>
      <c r="L145" s="85"/>
    </row>
    <row r="146" spans="5:12" x14ac:dyDescent="0.75">
      <c r="E146" s="307"/>
      <c r="F146" s="307"/>
      <c r="G146" s="306"/>
      <c r="H146" s="308"/>
      <c r="I146" s="306"/>
      <c r="J146" s="308"/>
      <c r="K146" s="85"/>
      <c r="L146" s="85"/>
    </row>
    <row r="147" spans="5:12" x14ac:dyDescent="0.75">
      <c r="E147" s="307"/>
      <c r="F147" s="307"/>
      <c r="G147" s="306"/>
      <c r="H147" s="308"/>
      <c r="I147" s="306"/>
      <c r="J147" s="308"/>
      <c r="K147" s="85"/>
      <c r="L147" s="85"/>
    </row>
    <row r="148" spans="5:12" x14ac:dyDescent="0.75">
      <c r="E148" s="307"/>
      <c r="F148" s="307"/>
      <c r="G148" s="306"/>
      <c r="H148" s="308"/>
      <c r="I148" s="306"/>
      <c r="J148" s="308"/>
      <c r="K148" s="85"/>
      <c r="L148" s="85"/>
    </row>
    <row r="149" spans="5:12" x14ac:dyDescent="0.75">
      <c r="E149" s="307"/>
      <c r="F149" s="307"/>
      <c r="G149" s="306"/>
      <c r="H149" s="308"/>
      <c r="I149" s="306"/>
      <c r="J149" s="308"/>
      <c r="K149" s="85"/>
      <c r="L149" s="85"/>
    </row>
    <row r="150" spans="5:12" x14ac:dyDescent="0.75">
      <c r="E150" s="307"/>
      <c r="F150" s="307"/>
      <c r="G150" s="306"/>
      <c r="H150" s="308"/>
      <c r="I150" s="306"/>
      <c r="J150" s="308"/>
      <c r="K150" s="85"/>
      <c r="L150" s="85"/>
    </row>
    <row r="151" spans="5:12" x14ac:dyDescent="0.75">
      <c r="E151" s="307"/>
      <c r="F151" s="307"/>
      <c r="G151" s="306"/>
      <c r="H151" s="308"/>
      <c r="I151" s="306"/>
      <c r="J151" s="308"/>
      <c r="K151" s="85"/>
      <c r="L151" s="85"/>
    </row>
    <row r="152" spans="5:12" x14ac:dyDescent="0.75">
      <c r="E152" s="307"/>
      <c r="F152" s="307"/>
      <c r="G152" s="306"/>
      <c r="H152" s="308"/>
      <c r="I152" s="306"/>
      <c r="J152" s="308"/>
      <c r="K152" s="85"/>
      <c r="L152" s="85"/>
    </row>
    <row r="153" spans="5:12" x14ac:dyDescent="0.75">
      <c r="E153" s="307"/>
      <c r="F153" s="307"/>
      <c r="G153" s="306"/>
      <c r="H153" s="308"/>
      <c r="I153" s="306"/>
      <c r="J153" s="308"/>
      <c r="K153" s="85"/>
      <c r="L153" s="85"/>
    </row>
    <row r="154" spans="5:12" x14ac:dyDescent="0.75">
      <c r="E154" s="307"/>
      <c r="F154" s="307"/>
      <c r="G154" s="306"/>
      <c r="H154" s="308"/>
      <c r="I154" s="306"/>
      <c r="J154" s="308"/>
      <c r="K154" s="85"/>
      <c r="L154" s="85"/>
    </row>
    <row r="155" spans="5:12" x14ac:dyDescent="0.75">
      <c r="E155" s="307"/>
      <c r="F155" s="307"/>
      <c r="G155" s="306"/>
      <c r="H155" s="308"/>
      <c r="I155" s="306"/>
      <c r="J155" s="308"/>
      <c r="K155" s="85"/>
      <c r="L155" s="85"/>
    </row>
    <row r="156" spans="5:12" x14ac:dyDescent="0.75">
      <c r="E156" s="307"/>
      <c r="F156" s="307"/>
      <c r="G156" s="306"/>
      <c r="H156" s="308"/>
      <c r="I156" s="306"/>
      <c r="J156" s="308"/>
      <c r="K156" s="85"/>
      <c r="L156" s="85"/>
    </row>
    <row r="157" spans="5:12" x14ac:dyDescent="0.75">
      <c r="E157" s="307"/>
      <c r="F157" s="307"/>
      <c r="G157" s="306"/>
      <c r="H157" s="308"/>
      <c r="I157" s="306"/>
      <c r="J157" s="308"/>
      <c r="K157" s="85"/>
      <c r="L157" s="85"/>
    </row>
    <row r="158" spans="5:12" x14ac:dyDescent="0.75">
      <c r="E158" s="307"/>
      <c r="F158" s="307"/>
      <c r="G158" s="306"/>
      <c r="H158" s="308"/>
      <c r="I158" s="306"/>
      <c r="J158" s="308"/>
      <c r="K158" s="85"/>
      <c r="L158" s="85"/>
    </row>
    <row r="159" spans="5:12" x14ac:dyDescent="0.75">
      <c r="E159" s="307"/>
      <c r="F159" s="307"/>
      <c r="G159" s="306"/>
      <c r="H159" s="308"/>
      <c r="I159" s="306"/>
      <c r="J159" s="308"/>
      <c r="K159" s="85"/>
      <c r="L159" s="85"/>
    </row>
    <row r="160" spans="5:12" x14ac:dyDescent="0.75">
      <c r="E160" s="307"/>
      <c r="F160" s="307"/>
      <c r="G160" s="306"/>
      <c r="H160" s="308"/>
      <c r="I160" s="306"/>
      <c r="J160" s="308"/>
      <c r="K160" s="85"/>
      <c r="L160" s="85"/>
    </row>
    <row r="161" spans="5:12" x14ac:dyDescent="0.75">
      <c r="E161" s="307"/>
      <c r="F161" s="307"/>
      <c r="G161" s="306"/>
      <c r="H161" s="308"/>
      <c r="I161" s="306"/>
      <c r="J161" s="308"/>
      <c r="K161" s="85"/>
      <c r="L161" s="85"/>
    </row>
    <row r="162" spans="5:12" x14ac:dyDescent="0.75">
      <c r="E162" s="307"/>
      <c r="F162" s="307"/>
      <c r="G162" s="306"/>
      <c r="H162" s="308"/>
      <c r="I162" s="306"/>
      <c r="J162" s="308"/>
      <c r="K162" s="85"/>
      <c r="L162" s="85"/>
    </row>
    <row r="163" spans="5:12" x14ac:dyDescent="0.75">
      <c r="E163" s="307"/>
      <c r="F163" s="307"/>
      <c r="G163" s="306"/>
      <c r="H163" s="308"/>
      <c r="I163" s="306"/>
      <c r="J163" s="308"/>
      <c r="K163" s="85"/>
      <c r="L163" s="85"/>
    </row>
    <row r="164" spans="5:12" x14ac:dyDescent="0.75">
      <c r="E164" s="307"/>
      <c r="F164" s="307"/>
      <c r="G164" s="306"/>
      <c r="H164" s="308"/>
      <c r="I164" s="306"/>
      <c r="J164" s="308"/>
      <c r="K164" s="85"/>
      <c r="L164" s="85"/>
    </row>
    <row r="165" spans="5:12" x14ac:dyDescent="0.75">
      <c r="E165" s="307"/>
      <c r="F165" s="307"/>
      <c r="G165" s="306"/>
      <c r="H165" s="308"/>
      <c r="I165" s="306"/>
      <c r="J165" s="308"/>
      <c r="K165" s="85"/>
      <c r="L165" s="85"/>
    </row>
    <row r="166" spans="5:12" x14ac:dyDescent="0.75">
      <c r="E166" s="307"/>
      <c r="F166" s="307"/>
      <c r="G166" s="306"/>
      <c r="H166" s="308"/>
      <c r="I166" s="306"/>
      <c r="J166" s="308"/>
      <c r="K166" s="85"/>
      <c r="L166" s="85"/>
    </row>
    <row r="167" spans="5:12" x14ac:dyDescent="0.75">
      <c r="E167" s="307"/>
      <c r="F167" s="307"/>
      <c r="G167" s="306"/>
      <c r="H167" s="308"/>
      <c r="I167" s="306"/>
      <c r="J167" s="308"/>
      <c r="K167" s="85"/>
      <c r="L167" s="85"/>
    </row>
    <row r="168" spans="5:12" x14ac:dyDescent="0.75">
      <c r="E168" s="307"/>
      <c r="F168" s="307"/>
      <c r="G168" s="306"/>
      <c r="H168" s="308"/>
      <c r="I168" s="306"/>
      <c r="J168" s="308"/>
      <c r="K168" s="85"/>
      <c r="L168" s="85"/>
    </row>
    <row r="169" spans="5:12" x14ac:dyDescent="0.75">
      <c r="E169" s="307"/>
      <c r="F169" s="307"/>
      <c r="G169" s="306"/>
      <c r="H169" s="308"/>
      <c r="I169" s="306"/>
      <c r="J169" s="308"/>
      <c r="K169" s="85"/>
      <c r="L169" s="85"/>
    </row>
    <row r="170" spans="5:12" x14ac:dyDescent="0.75">
      <c r="E170" s="307"/>
      <c r="F170" s="307"/>
      <c r="G170" s="306"/>
      <c r="H170" s="308"/>
      <c r="I170" s="306"/>
      <c r="J170" s="308"/>
      <c r="K170" s="85"/>
      <c r="L170" s="85"/>
    </row>
    <row r="171" spans="5:12" x14ac:dyDescent="0.75">
      <c r="E171" s="307"/>
      <c r="F171" s="307"/>
      <c r="G171" s="306"/>
      <c r="H171" s="308"/>
      <c r="I171" s="306"/>
      <c r="J171" s="308"/>
      <c r="K171" s="85"/>
      <c r="L171" s="85"/>
    </row>
    <row r="172" spans="5:12" x14ac:dyDescent="0.75">
      <c r="E172" s="307"/>
      <c r="F172" s="307"/>
      <c r="G172" s="306"/>
      <c r="H172" s="308"/>
      <c r="I172" s="306"/>
      <c r="J172" s="308"/>
      <c r="K172" s="85"/>
      <c r="L172" s="85"/>
    </row>
    <row r="173" spans="5:12" x14ac:dyDescent="0.75">
      <c r="E173" s="307"/>
      <c r="F173" s="307"/>
      <c r="G173" s="306"/>
      <c r="H173" s="308"/>
      <c r="I173" s="306"/>
      <c r="J173" s="308"/>
      <c r="K173" s="85"/>
      <c r="L173" s="85"/>
    </row>
    <row r="174" spans="5:12" x14ac:dyDescent="0.75">
      <c r="E174" s="307"/>
      <c r="F174" s="307"/>
      <c r="G174" s="306"/>
      <c r="H174" s="308"/>
      <c r="I174" s="306"/>
      <c r="J174" s="308"/>
      <c r="K174" s="85"/>
      <c r="L174" s="85"/>
    </row>
    <row r="175" spans="5:12" x14ac:dyDescent="0.75">
      <c r="E175" s="307"/>
      <c r="F175" s="307"/>
      <c r="G175" s="306"/>
      <c r="H175" s="308"/>
      <c r="I175" s="306"/>
      <c r="J175" s="308"/>
      <c r="K175" s="85"/>
      <c r="L175" s="85"/>
    </row>
    <row r="176" spans="5:12" x14ac:dyDescent="0.75">
      <c r="E176" s="307"/>
      <c r="F176" s="307"/>
      <c r="G176" s="306"/>
      <c r="H176" s="308"/>
      <c r="I176" s="306"/>
      <c r="J176" s="308"/>
      <c r="K176" s="85"/>
      <c r="L176" s="85"/>
    </row>
    <row r="177" spans="5:12" x14ac:dyDescent="0.75">
      <c r="E177" s="307"/>
      <c r="F177" s="307"/>
      <c r="G177" s="306"/>
      <c r="H177" s="308"/>
      <c r="I177" s="306"/>
      <c r="J177" s="308"/>
      <c r="K177" s="85"/>
      <c r="L177" s="85"/>
    </row>
    <row r="178" spans="5:12" x14ac:dyDescent="0.75">
      <c r="E178" s="307"/>
      <c r="F178" s="307"/>
      <c r="G178" s="306"/>
      <c r="H178" s="308"/>
      <c r="I178" s="306"/>
      <c r="J178" s="308"/>
      <c r="K178" s="85"/>
      <c r="L178" s="85"/>
    </row>
    <row r="179" spans="5:12" x14ac:dyDescent="0.75">
      <c r="E179" s="307"/>
      <c r="F179" s="307"/>
      <c r="G179" s="306"/>
      <c r="H179" s="308"/>
      <c r="I179" s="306"/>
      <c r="J179" s="308"/>
      <c r="K179" s="85"/>
      <c r="L179" s="85"/>
    </row>
    <row r="180" spans="5:12" x14ac:dyDescent="0.75">
      <c r="E180" s="307"/>
      <c r="F180" s="307"/>
      <c r="G180" s="306"/>
      <c r="H180" s="308"/>
      <c r="I180" s="306"/>
      <c r="J180" s="308"/>
      <c r="K180" s="85"/>
      <c r="L180" s="85"/>
    </row>
    <row r="181" spans="5:12" x14ac:dyDescent="0.75">
      <c r="E181" s="307"/>
      <c r="F181" s="307"/>
      <c r="G181" s="306"/>
      <c r="H181" s="308"/>
      <c r="I181" s="306"/>
      <c r="J181" s="308"/>
      <c r="K181" s="85"/>
      <c r="L181" s="85"/>
    </row>
    <row r="182" spans="5:12" x14ac:dyDescent="0.75">
      <c r="E182" s="307"/>
      <c r="F182" s="307"/>
      <c r="G182" s="306"/>
      <c r="H182" s="308"/>
      <c r="I182" s="306"/>
      <c r="J182" s="308"/>
      <c r="K182" s="85"/>
      <c r="L182" s="85"/>
    </row>
    <row r="183" spans="5:12" x14ac:dyDescent="0.75">
      <c r="E183" s="307"/>
      <c r="F183" s="307"/>
      <c r="G183" s="306"/>
      <c r="H183" s="308"/>
      <c r="I183" s="306"/>
      <c r="J183" s="308"/>
      <c r="K183" s="85"/>
      <c r="L183" s="85"/>
    </row>
    <row r="184" spans="5:12" x14ac:dyDescent="0.75">
      <c r="E184" s="307"/>
      <c r="F184" s="307"/>
      <c r="G184" s="306"/>
      <c r="H184" s="308"/>
      <c r="I184" s="306"/>
      <c r="J184" s="308"/>
      <c r="K184" s="85"/>
      <c r="L184" s="85"/>
    </row>
    <row r="185" spans="5:12" x14ac:dyDescent="0.75">
      <c r="E185" s="307"/>
      <c r="F185" s="307"/>
      <c r="G185" s="306"/>
      <c r="H185" s="308"/>
      <c r="I185" s="306"/>
      <c r="J185" s="308"/>
      <c r="K185" s="85"/>
      <c r="L185" s="85"/>
    </row>
    <row r="186" spans="5:12" x14ac:dyDescent="0.75">
      <c r="E186" s="307"/>
      <c r="F186" s="307"/>
      <c r="G186" s="306"/>
      <c r="H186" s="308"/>
      <c r="I186" s="306"/>
      <c r="J186" s="308"/>
      <c r="K186" s="85"/>
      <c r="L186" s="85"/>
    </row>
    <row r="187" spans="5:12" x14ac:dyDescent="0.75">
      <c r="E187" s="307"/>
      <c r="F187" s="307"/>
      <c r="G187" s="306"/>
      <c r="H187" s="308"/>
      <c r="I187" s="306"/>
      <c r="J187" s="308"/>
      <c r="K187" s="85"/>
      <c r="L187" s="85"/>
    </row>
    <row r="188" spans="5:12" x14ac:dyDescent="0.75">
      <c r="E188" s="307"/>
      <c r="F188" s="307"/>
      <c r="G188" s="306"/>
      <c r="H188" s="308"/>
      <c r="I188" s="306"/>
      <c r="J188" s="308"/>
      <c r="K188" s="85"/>
      <c r="L188" s="85"/>
    </row>
    <row r="189" spans="5:12" x14ac:dyDescent="0.75">
      <c r="E189" s="307"/>
      <c r="F189" s="307"/>
      <c r="G189" s="306"/>
      <c r="H189" s="308"/>
      <c r="I189" s="306"/>
      <c r="J189" s="308"/>
      <c r="K189" s="85"/>
      <c r="L189" s="85"/>
    </row>
    <row r="190" spans="5:12" x14ac:dyDescent="0.75">
      <c r="E190" s="307"/>
      <c r="F190" s="307"/>
      <c r="G190" s="306"/>
      <c r="H190" s="308"/>
      <c r="I190" s="306"/>
      <c r="J190" s="308"/>
      <c r="K190" s="85"/>
      <c r="L190" s="85"/>
    </row>
    <row r="191" spans="5:12" x14ac:dyDescent="0.75">
      <c r="E191" s="315"/>
      <c r="F191" s="307"/>
      <c r="G191" s="306"/>
      <c r="H191" s="308"/>
      <c r="I191" s="306"/>
      <c r="J191" s="308"/>
      <c r="K191" s="85"/>
      <c r="L191" s="85"/>
    </row>
    <row r="192" spans="5:12" x14ac:dyDescent="0.75">
      <c r="E192" s="307"/>
      <c r="F192" s="307"/>
      <c r="G192" s="306"/>
      <c r="H192" s="308"/>
      <c r="I192" s="306"/>
      <c r="J192" s="308"/>
      <c r="K192" s="85"/>
      <c r="L192" s="85"/>
    </row>
    <row r="193" spans="5:12" x14ac:dyDescent="0.75">
      <c r="E193" s="307"/>
      <c r="F193" s="307"/>
      <c r="G193" s="306"/>
      <c r="H193" s="308"/>
      <c r="I193" s="306"/>
      <c r="J193" s="308"/>
      <c r="K193" s="85"/>
      <c r="L193" s="85"/>
    </row>
    <row r="194" spans="5:12" x14ac:dyDescent="0.75">
      <c r="E194" s="307"/>
      <c r="F194" s="307"/>
      <c r="G194" s="306"/>
      <c r="H194" s="308"/>
      <c r="I194" s="306"/>
      <c r="J194" s="308"/>
      <c r="K194" s="85"/>
      <c r="L194" s="85"/>
    </row>
    <row r="195" spans="5:12" x14ac:dyDescent="0.75">
      <c r="E195" s="307"/>
      <c r="F195" s="307"/>
      <c r="G195" s="306"/>
      <c r="H195" s="308"/>
      <c r="I195" s="306"/>
      <c r="J195" s="308"/>
      <c r="K195" s="85"/>
      <c r="L195" s="85"/>
    </row>
    <row r="196" spans="5:12" x14ac:dyDescent="0.75">
      <c r="E196" s="307"/>
      <c r="F196" s="307"/>
      <c r="G196" s="306"/>
      <c r="H196" s="308"/>
      <c r="I196" s="306"/>
      <c r="J196" s="308"/>
      <c r="K196" s="85"/>
      <c r="L196" s="85"/>
    </row>
    <row r="197" spans="5:12" x14ac:dyDescent="0.75">
      <c r="E197" s="307"/>
      <c r="F197" s="307"/>
      <c r="G197" s="306"/>
      <c r="H197" s="308"/>
      <c r="I197" s="306"/>
      <c r="J197" s="308"/>
      <c r="K197" s="85"/>
      <c r="L197" s="85"/>
    </row>
    <row r="198" spans="5:12" x14ac:dyDescent="0.75">
      <c r="E198" s="307"/>
      <c r="F198" s="307"/>
      <c r="G198" s="306"/>
      <c r="H198" s="308"/>
      <c r="I198" s="306"/>
      <c r="J198" s="308"/>
      <c r="K198" s="85"/>
      <c r="L198" s="85"/>
    </row>
    <row r="199" spans="5:12" x14ac:dyDescent="0.75">
      <c r="E199" s="307"/>
      <c r="F199" s="307"/>
      <c r="G199" s="306"/>
      <c r="H199" s="308"/>
      <c r="I199" s="306"/>
      <c r="J199" s="308"/>
      <c r="K199" s="85"/>
      <c r="L199" s="85"/>
    </row>
    <row r="200" spans="5:12" x14ac:dyDescent="0.75">
      <c r="E200" s="307"/>
      <c r="F200" s="307"/>
      <c r="G200" s="306"/>
      <c r="H200" s="308"/>
      <c r="I200" s="306"/>
      <c r="J200" s="308"/>
      <c r="K200" s="85"/>
      <c r="L200" s="85"/>
    </row>
    <row r="201" spans="5:12" x14ac:dyDescent="0.75">
      <c r="E201" s="307"/>
      <c r="F201" s="307"/>
      <c r="G201" s="306"/>
      <c r="H201" s="308"/>
      <c r="I201" s="306"/>
      <c r="J201" s="308"/>
      <c r="K201" s="85"/>
      <c r="L201" s="85"/>
    </row>
    <row r="202" spans="5:12" x14ac:dyDescent="0.75">
      <c r="E202" s="307"/>
      <c r="F202" s="307"/>
      <c r="G202" s="306"/>
      <c r="H202" s="308"/>
      <c r="I202" s="306"/>
      <c r="J202" s="308"/>
      <c r="K202" s="85"/>
      <c r="L202" s="85"/>
    </row>
    <row r="203" spans="5:12" x14ac:dyDescent="0.75">
      <c r="E203" s="307"/>
      <c r="F203" s="307"/>
      <c r="G203" s="306"/>
      <c r="H203" s="308"/>
      <c r="I203" s="306"/>
      <c r="J203" s="308"/>
      <c r="K203" s="85"/>
      <c r="L203" s="85"/>
    </row>
    <row r="204" spans="5:12" x14ac:dyDescent="0.75">
      <c r="E204" s="307"/>
      <c r="F204" s="307"/>
      <c r="G204" s="306"/>
      <c r="H204" s="308"/>
      <c r="I204" s="306"/>
      <c r="J204" s="308"/>
      <c r="K204" s="85"/>
      <c r="L204" s="85"/>
    </row>
    <row r="205" spans="5:12" x14ac:dyDescent="0.75">
      <c r="E205" s="307"/>
      <c r="F205" s="307"/>
      <c r="G205" s="306"/>
      <c r="H205" s="308"/>
      <c r="I205" s="306"/>
      <c r="J205" s="308"/>
      <c r="K205" s="85"/>
      <c r="L205" s="85"/>
    </row>
    <row r="206" spans="5:12" x14ac:dyDescent="0.75">
      <c r="E206" s="307"/>
      <c r="F206" s="307"/>
      <c r="G206" s="82"/>
      <c r="H206" s="308"/>
      <c r="I206" s="306"/>
      <c r="J206" s="308"/>
      <c r="K206" s="85"/>
      <c r="L206" s="85"/>
    </row>
    <row r="207" spans="5:12" x14ac:dyDescent="0.75">
      <c r="E207" s="307"/>
      <c r="F207" s="307"/>
      <c r="G207" s="306"/>
      <c r="H207" s="308"/>
      <c r="I207" s="306"/>
      <c r="J207" s="308"/>
      <c r="K207" s="85"/>
      <c r="L207" s="85"/>
    </row>
    <row r="208" spans="5:12" x14ac:dyDescent="0.75">
      <c r="E208" s="307"/>
      <c r="F208" s="307"/>
      <c r="G208" s="306"/>
      <c r="H208" s="308"/>
      <c r="I208" s="306"/>
      <c r="J208" s="308"/>
      <c r="K208" s="85"/>
      <c r="L208" s="85"/>
    </row>
    <row r="209" spans="5:12" x14ac:dyDescent="0.75">
      <c r="E209" s="307"/>
      <c r="F209" s="307"/>
      <c r="G209" s="306"/>
      <c r="H209" s="308"/>
      <c r="I209" s="306"/>
      <c r="J209" s="308"/>
      <c r="K209" s="85"/>
      <c r="L209" s="85"/>
    </row>
    <row r="210" spans="5:12" x14ac:dyDescent="0.75">
      <c r="E210" s="307"/>
      <c r="F210" s="307"/>
      <c r="G210" s="306"/>
      <c r="H210" s="308"/>
      <c r="I210" s="306"/>
      <c r="J210" s="308"/>
      <c r="K210" s="85"/>
      <c r="L210" s="85"/>
    </row>
    <row r="211" spans="5:12" x14ac:dyDescent="0.75">
      <c r="E211" s="307"/>
      <c r="F211" s="307"/>
      <c r="G211" s="306"/>
      <c r="H211" s="308"/>
      <c r="I211" s="306"/>
      <c r="J211" s="308"/>
      <c r="K211" s="85"/>
      <c r="L211" s="85"/>
    </row>
    <row r="212" spans="5:12" x14ac:dyDescent="0.75">
      <c r="E212" s="307"/>
      <c r="F212" s="307"/>
      <c r="G212" s="306"/>
      <c r="H212" s="308"/>
      <c r="I212" s="306"/>
      <c r="J212" s="308"/>
      <c r="K212" s="85"/>
      <c r="L212" s="85"/>
    </row>
    <row r="213" spans="5:12" x14ac:dyDescent="0.75">
      <c r="E213" s="307"/>
      <c r="F213" s="307"/>
      <c r="G213" s="306"/>
      <c r="H213" s="308"/>
      <c r="I213" s="306"/>
      <c r="J213" s="308"/>
      <c r="K213" s="85"/>
      <c r="L213" s="85"/>
    </row>
    <row r="214" spans="5:12" x14ac:dyDescent="0.75">
      <c r="E214" s="307"/>
      <c r="F214" s="307"/>
      <c r="G214" s="306"/>
      <c r="H214" s="308"/>
      <c r="I214" s="306"/>
      <c r="J214" s="308"/>
      <c r="K214" s="85"/>
      <c r="L214" s="85"/>
    </row>
    <row r="215" spans="5:12" x14ac:dyDescent="0.75">
      <c r="E215" s="307"/>
      <c r="F215" s="307"/>
      <c r="G215" s="306"/>
      <c r="H215" s="308"/>
      <c r="I215" s="306"/>
      <c r="J215" s="308"/>
      <c r="K215" s="85"/>
      <c r="L215" s="85"/>
    </row>
    <row r="216" spans="5:12" x14ac:dyDescent="0.75">
      <c r="E216" s="307"/>
      <c r="F216" s="307"/>
      <c r="G216" s="306"/>
      <c r="H216" s="308"/>
      <c r="I216" s="306"/>
      <c r="J216" s="308"/>
      <c r="K216" s="85"/>
      <c r="L216" s="85"/>
    </row>
    <row r="217" spans="5:12" x14ac:dyDescent="0.75">
      <c r="E217" s="307"/>
      <c r="F217" s="307"/>
      <c r="G217" s="306"/>
      <c r="H217" s="308"/>
      <c r="I217" s="306"/>
      <c r="J217" s="308"/>
      <c r="K217" s="85"/>
      <c r="L217" s="85"/>
    </row>
    <row r="218" spans="5:12" x14ac:dyDescent="0.75">
      <c r="E218" s="307"/>
      <c r="F218" s="307"/>
      <c r="G218" s="306"/>
      <c r="H218" s="308"/>
      <c r="I218" s="306"/>
      <c r="J218" s="308"/>
      <c r="K218" s="85"/>
      <c r="L218" s="85"/>
    </row>
    <row r="219" spans="5:12" x14ac:dyDescent="0.75">
      <c r="E219" s="307"/>
      <c r="F219" s="307"/>
      <c r="G219" s="306"/>
      <c r="H219" s="308"/>
      <c r="I219" s="306"/>
      <c r="J219" s="308"/>
      <c r="K219" s="85"/>
      <c r="L219" s="85"/>
    </row>
    <row r="220" spans="5:12" x14ac:dyDescent="0.75">
      <c r="E220" s="307"/>
      <c r="F220" s="307"/>
      <c r="G220" s="306"/>
      <c r="H220" s="308"/>
      <c r="I220" s="306"/>
      <c r="J220" s="308"/>
      <c r="K220" s="85"/>
      <c r="L220" s="85"/>
    </row>
    <row r="221" spans="5:12" x14ac:dyDescent="0.75">
      <c r="E221" s="307"/>
      <c r="F221" s="307"/>
      <c r="G221" s="306"/>
      <c r="H221" s="308"/>
      <c r="I221" s="306"/>
      <c r="J221" s="308"/>
      <c r="K221" s="85"/>
      <c r="L221" s="85"/>
    </row>
    <row r="222" spans="5:12" x14ac:dyDescent="0.75">
      <c r="E222" s="307"/>
      <c r="F222" s="307"/>
      <c r="G222" s="306"/>
      <c r="H222" s="308"/>
      <c r="I222" s="306"/>
      <c r="J222" s="308"/>
      <c r="K222" s="85"/>
      <c r="L222" s="85"/>
    </row>
    <row r="223" spans="5:12" x14ac:dyDescent="0.75">
      <c r="E223" s="307"/>
      <c r="F223" s="307"/>
      <c r="G223" s="306"/>
      <c r="H223" s="308"/>
      <c r="I223" s="306"/>
      <c r="J223" s="308"/>
      <c r="K223" s="85"/>
      <c r="L223" s="85"/>
    </row>
    <row r="224" spans="5:12" x14ac:dyDescent="0.75">
      <c r="E224" s="307"/>
      <c r="F224" s="307"/>
      <c r="G224" s="306"/>
      <c r="H224" s="308"/>
      <c r="I224" s="306"/>
      <c r="J224" s="308"/>
      <c r="K224" s="85"/>
      <c r="L224" s="85"/>
    </row>
    <row r="225" spans="5:12" x14ac:dyDescent="0.75">
      <c r="E225" s="307"/>
      <c r="F225" s="307"/>
      <c r="G225" s="306"/>
      <c r="H225" s="308"/>
      <c r="I225" s="306"/>
      <c r="J225" s="308"/>
      <c r="K225" s="85"/>
      <c r="L225" s="85"/>
    </row>
    <row r="226" spans="5:12" x14ac:dyDescent="0.75">
      <c r="E226" s="307"/>
      <c r="F226" s="307"/>
      <c r="G226" s="306"/>
      <c r="H226" s="308"/>
      <c r="I226" s="306"/>
      <c r="J226" s="308"/>
      <c r="K226" s="85"/>
      <c r="L226" s="85"/>
    </row>
    <row r="227" spans="5:12" x14ac:dyDescent="0.75">
      <c r="E227" s="307"/>
      <c r="F227" s="307"/>
      <c r="G227" s="306"/>
      <c r="H227" s="308"/>
      <c r="I227" s="306"/>
      <c r="J227" s="308"/>
      <c r="K227" s="85"/>
      <c r="L227" s="85"/>
    </row>
    <row r="228" spans="5:12" x14ac:dyDescent="0.75">
      <c r="E228" s="307"/>
      <c r="F228" s="307"/>
      <c r="G228" s="306"/>
      <c r="H228" s="308"/>
      <c r="I228" s="306"/>
      <c r="J228" s="308"/>
      <c r="K228" s="85"/>
      <c r="L228" s="85"/>
    </row>
    <row r="229" spans="5:12" x14ac:dyDescent="0.75">
      <c r="E229" s="307"/>
      <c r="F229" s="307"/>
      <c r="G229" s="306"/>
      <c r="H229" s="308"/>
      <c r="I229" s="306"/>
      <c r="J229" s="308"/>
      <c r="K229" s="85"/>
      <c r="L229" s="85"/>
    </row>
    <row r="230" spans="5:12" x14ac:dyDescent="0.75">
      <c r="E230" s="307"/>
      <c r="F230" s="307"/>
      <c r="G230" s="306"/>
      <c r="H230" s="308"/>
      <c r="I230" s="306"/>
      <c r="J230" s="308"/>
      <c r="K230" s="85"/>
      <c r="L230" s="85"/>
    </row>
    <row r="231" spans="5:12" x14ac:dyDescent="0.75">
      <c r="E231" s="307"/>
      <c r="F231" s="307"/>
      <c r="G231" s="306"/>
      <c r="H231" s="308"/>
      <c r="I231" s="306"/>
      <c r="J231" s="308"/>
      <c r="K231" s="85"/>
      <c r="L231" s="85"/>
    </row>
    <row r="232" spans="5:12" x14ac:dyDescent="0.75">
      <c r="E232" s="307"/>
      <c r="F232" s="307"/>
      <c r="G232" s="306"/>
      <c r="H232" s="308"/>
      <c r="I232" s="306"/>
      <c r="J232" s="308"/>
      <c r="K232" s="85"/>
      <c r="L232" s="85"/>
    </row>
    <row r="233" spans="5:12" x14ac:dyDescent="0.75">
      <c r="E233" s="307"/>
      <c r="F233" s="307"/>
      <c r="G233" s="306"/>
      <c r="H233" s="308"/>
      <c r="I233" s="306"/>
      <c r="J233" s="308"/>
      <c r="K233" s="85"/>
      <c r="L233" s="85"/>
    </row>
    <row r="234" spans="5:12" x14ac:dyDescent="0.75">
      <c r="E234" s="307"/>
      <c r="F234" s="307"/>
      <c r="G234" s="306"/>
      <c r="H234" s="308"/>
      <c r="I234" s="306"/>
      <c r="J234" s="308"/>
      <c r="K234" s="85"/>
      <c r="L234" s="85"/>
    </row>
    <row r="235" spans="5:12" x14ac:dyDescent="0.75">
      <c r="E235" s="307"/>
      <c r="F235" s="307"/>
      <c r="G235" s="306"/>
      <c r="H235" s="308"/>
      <c r="I235" s="306"/>
      <c r="J235" s="308"/>
      <c r="K235" s="85"/>
      <c r="L235" s="85"/>
    </row>
    <row r="236" spans="5:12" x14ac:dyDescent="0.75">
      <c r="E236" s="307"/>
      <c r="F236" s="307"/>
      <c r="G236" s="306"/>
      <c r="H236" s="308"/>
      <c r="I236" s="306"/>
      <c r="J236" s="308"/>
      <c r="K236" s="85"/>
      <c r="L236" s="85"/>
    </row>
    <row r="237" spans="5:12" x14ac:dyDescent="0.75">
      <c r="E237" s="307"/>
      <c r="F237" s="307"/>
      <c r="G237" s="306"/>
      <c r="H237" s="308"/>
      <c r="I237" s="306"/>
      <c r="J237" s="308"/>
      <c r="K237" s="85"/>
      <c r="L237" s="85"/>
    </row>
    <row r="238" spans="5:12" x14ac:dyDescent="0.75">
      <c r="E238" s="307"/>
      <c r="F238" s="307"/>
      <c r="G238" s="306"/>
      <c r="H238" s="308"/>
      <c r="I238" s="306"/>
      <c r="J238" s="308"/>
      <c r="K238" s="85"/>
      <c r="L238" s="85"/>
    </row>
    <row r="239" spans="5:12" x14ac:dyDescent="0.75">
      <c r="E239" s="307"/>
      <c r="F239" s="307"/>
      <c r="G239" s="306"/>
      <c r="H239" s="308"/>
      <c r="I239" s="306"/>
      <c r="J239" s="308"/>
      <c r="K239" s="85"/>
      <c r="L239" s="85"/>
    </row>
    <row r="240" spans="5:12" x14ac:dyDescent="0.75">
      <c r="E240" s="307"/>
      <c r="F240" s="307"/>
      <c r="G240" s="306"/>
      <c r="H240" s="308"/>
      <c r="I240" s="306"/>
      <c r="J240" s="308"/>
      <c r="K240" s="85"/>
      <c r="L240" s="85"/>
    </row>
    <row r="241" spans="5:12" x14ac:dyDescent="0.75">
      <c r="E241" s="307"/>
      <c r="F241" s="307"/>
      <c r="G241" s="306"/>
      <c r="H241" s="308"/>
      <c r="I241" s="306"/>
      <c r="J241" s="308"/>
      <c r="K241" s="85"/>
      <c r="L241" s="85"/>
    </row>
    <row r="242" spans="5:12" x14ac:dyDescent="0.75">
      <c r="E242" s="307"/>
      <c r="F242" s="307"/>
      <c r="G242" s="306"/>
      <c r="H242" s="308"/>
      <c r="I242" s="306"/>
      <c r="J242" s="308"/>
      <c r="K242" s="85"/>
      <c r="L242" s="85"/>
    </row>
    <row r="243" spans="5:12" x14ac:dyDescent="0.75">
      <c r="E243" s="307"/>
      <c r="F243" s="307"/>
      <c r="G243" s="306"/>
      <c r="H243" s="308"/>
      <c r="I243" s="306"/>
      <c r="J243" s="308"/>
      <c r="K243" s="85"/>
      <c r="L243" s="85"/>
    </row>
    <row r="244" spans="5:12" x14ac:dyDescent="0.75">
      <c r="E244" s="307"/>
      <c r="F244" s="307"/>
      <c r="G244" s="306"/>
      <c r="H244" s="308"/>
      <c r="I244" s="306"/>
      <c r="J244" s="308"/>
      <c r="K244" s="85"/>
      <c r="L244" s="85"/>
    </row>
    <row r="245" spans="5:12" x14ac:dyDescent="0.75">
      <c r="E245" s="307"/>
      <c r="F245" s="307"/>
      <c r="G245" s="306"/>
      <c r="H245" s="308"/>
      <c r="I245" s="306"/>
      <c r="J245" s="308"/>
      <c r="K245" s="85"/>
      <c r="L245" s="85"/>
    </row>
    <row r="246" spans="5:12" x14ac:dyDescent="0.75">
      <c r="E246" s="307"/>
      <c r="F246" s="307"/>
      <c r="G246" s="306"/>
      <c r="H246" s="308"/>
      <c r="I246" s="306"/>
      <c r="J246" s="308"/>
      <c r="K246" s="85"/>
      <c r="L246" s="85"/>
    </row>
    <row r="247" spans="5:12" x14ac:dyDescent="0.75">
      <c r="E247" s="307"/>
      <c r="F247" s="307"/>
      <c r="G247" s="306"/>
      <c r="H247" s="308"/>
      <c r="I247" s="306"/>
      <c r="J247" s="308"/>
      <c r="K247" s="85"/>
      <c r="L247" s="85"/>
    </row>
    <row r="248" spans="5:12" x14ac:dyDescent="0.75">
      <c r="E248" s="307"/>
      <c r="F248" s="307"/>
      <c r="G248" s="306"/>
      <c r="H248" s="308"/>
      <c r="I248" s="306"/>
      <c r="J248" s="308"/>
      <c r="K248" s="85"/>
      <c r="L248" s="85"/>
    </row>
    <row r="249" spans="5:12" x14ac:dyDescent="0.75">
      <c r="E249" s="307"/>
      <c r="F249" s="307"/>
      <c r="G249" s="306"/>
      <c r="H249" s="308"/>
      <c r="I249" s="306"/>
      <c r="J249" s="308"/>
      <c r="K249" s="85"/>
      <c r="L249" s="85"/>
    </row>
    <row r="250" spans="5:12" x14ac:dyDescent="0.75">
      <c r="E250" s="307"/>
      <c r="F250" s="307"/>
      <c r="G250" s="306"/>
      <c r="H250" s="308"/>
      <c r="I250" s="306"/>
      <c r="J250" s="308"/>
      <c r="K250" s="85"/>
      <c r="L250" s="85"/>
    </row>
    <row r="251" spans="5:12" x14ac:dyDescent="0.75">
      <c r="E251" s="307"/>
      <c r="F251" s="307"/>
      <c r="G251" s="306"/>
      <c r="H251" s="308"/>
      <c r="I251" s="306"/>
      <c r="J251" s="308"/>
      <c r="K251" s="85"/>
      <c r="L251" s="85"/>
    </row>
    <row r="252" spans="5:12" x14ac:dyDescent="0.75">
      <c r="E252" s="307"/>
      <c r="F252" s="307"/>
      <c r="G252" s="306"/>
      <c r="H252" s="308"/>
      <c r="I252" s="306"/>
      <c r="J252" s="308"/>
      <c r="K252" s="85"/>
      <c r="L252" s="85"/>
    </row>
    <row r="253" spans="5:12" x14ac:dyDescent="0.75">
      <c r="E253" s="307"/>
      <c r="F253" s="307"/>
      <c r="G253" s="306"/>
      <c r="H253" s="308"/>
      <c r="I253" s="306"/>
      <c r="J253" s="308"/>
      <c r="K253" s="85"/>
      <c r="L253" s="85"/>
    </row>
    <row r="254" spans="5:12" x14ac:dyDescent="0.75">
      <c r="E254" s="307"/>
      <c r="F254" s="307"/>
      <c r="G254" s="306"/>
      <c r="H254" s="308"/>
      <c r="I254" s="306"/>
      <c r="J254" s="308"/>
      <c r="K254" s="85"/>
      <c r="L254" s="85"/>
    </row>
    <row r="255" spans="5:12" x14ac:dyDescent="0.75">
      <c r="E255" s="307"/>
      <c r="F255" s="307"/>
      <c r="G255" s="306"/>
      <c r="H255" s="308"/>
      <c r="I255" s="306"/>
      <c r="J255" s="308"/>
      <c r="K255" s="85"/>
      <c r="L255" s="85"/>
    </row>
  </sheetData>
  <mergeCells count="12">
    <mergeCell ref="W1:X1"/>
    <mergeCell ref="K1:L1"/>
    <mergeCell ref="A1:B1"/>
    <mergeCell ref="C1:D1"/>
    <mergeCell ref="E1:F1"/>
    <mergeCell ref="G1:H1"/>
    <mergeCell ref="I1:J1"/>
    <mergeCell ref="M1:N1"/>
    <mergeCell ref="O1:P1"/>
    <mergeCell ref="Q1:R1"/>
    <mergeCell ref="S1:T1"/>
    <mergeCell ref="U1:V1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W157"/>
  <sheetViews>
    <sheetView view="pageBreakPreview" zoomScale="75" zoomScaleNormal="75" zoomScaleSheetLayoutView="75" workbookViewId="0">
      <selection activeCell="F14" sqref="F14"/>
    </sheetView>
  </sheetViews>
  <sheetFormatPr defaultColWidth="8.86328125" defaultRowHeight="16" x14ac:dyDescent="0.8"/>
  <cols>
    <col min="1" max="1" width="5.6796875" style="46" customWidth="1"/>
    <col min="2" max="2" width="5.6796875" style="47" hidden="1" customWidth="1"/>
    <col min="3" max="3" width="13" style="72" hidden="1" customWidth="1"/>
    <col min="4" max="4" width="11.6796875" style="73" hidden="1" customWidth="1"/>
    <col min="5" max="5" width="9.1328125" style="50" hidden="1" customWidth="1"/>
    <col min="6" max="6" width="24.453125" style="53" customWidth="1"/>
    <col min="7" max="7" width="8.6796875" style="50" hidden="1" customWidth="1"/>
    <col min="8" max="8" width="24.453125" style="53" customWidth="1"/>
    <col min="9" max="9" width="8.6796875" style="50" hidden="1" customWidth="1"/>
    <col min="10" max="10" width="24.453125" style="53" customWidth="1"/>
    <col min="11" max="11" width="24.453125" style="50" customWidth="1"/>
    <col min="12" max="12" width="8" style="60" customWidth="1"/>
    <col min="13" max="13" width="8" style="61" customWidth="1"/>
    <col min="14" max="14" width="24.453125" style="53" customWidth="1"/>
    <col min="15" max="15" width="5.6796875" style="56" customWidth="1"/>
    <col min="16" max="16" width="24.453125" style="56" customWidth="1"/>
    <col min="17" max="17" width="5.6796875" style="50" customWidth="1"/>
    <col min="18" max="18" width="24.453125" style="53" customWidth="1"/>
    <col min="19" max="19" width="24.453125" style="56" customWidth="1"/>
    <col min="20" max="20" width="27.6796875" style="53" customWidth="1"/>
    <col min="21" max="21" width="6.54296875" style="50" customWidth="1"/>
    <col min="22" max="16384" width="8.86328125" style="9"/>
  </cols>
  <sheetData>
    <row r="1" spans="1:23" s="21" customFormat="1" ht="16" customHeight="1" x14ac:dyDescent="0.8">
      <c r="A1" s="10"/>
      <c r="B1" s="10"/>
      <c r="C1" s="11"/>
      <c r="D1" s="12"/>
      <c r="E1" s="723"/>
      <c r="F1" s="895" t="s">
        <v>2</v>
      </c>
      <c r="G1" s="900"/>
      <c r="H1" s="900"/>
      <c r="I1" s="896"/>
      <c r="J1" s="722"/>
      <c r="K1" s="723"/>
      <c r="L1" s="15"/>
      <c r="M1" s="16"/>
      <c r="N1" s="895" t="s">
        <v>3</v>
      </c>
      <c r="O1" s="900"/>
      <c r="P1" s="900"/>
      <c r="Q1" s="896"/>
      <c r="R1" s="895" t="s">
        <v>4</v>
      </c>
      <c r="S1" s="896"/>
      <c r="T1" s="722"/>
      <c r="U1" s="723"/>
    </row>
    <row r="2" spans="1:23" s="21" customFormat="1" ht="16" customHeight="1" x14ac:dyDescent="0.8">
      <c r="A2" s="22" t="s">
        <v>10</v>
      </c>
      <c r="B2" s="23" t="s">
        <v>11</v>
      </c>
      <c r="C2" s="24" t="s">
        <v>12</v>
      </c>
      <c r="D2" s="25" t="s">
        <v>13</v>
      </c>
      <c r="E2" s="26" t="s">
        <v>14</v>
      </c>
      <c r="F2" s="27" t="s">
        <v>6</v>
      </c>
      <c r="G2" s="26" t="s">
        <v>15</v>
      </c>
      <c r="H2" s="27" t="s">
        <v>8</v>
      </c>
      <c r="I2" s="26" t="s">
        <v>15</v>
      </c>
      <c r="J2" s="27" t="s">
        <v>16</v>
      </c>
      <c r="K2" s="26" t="s">
        <v>17</v>
      </c>
      <c r="L2" s="28" t="s">
        <v>18</v>
      </c>
      <c r="M2" s="29" t="s">
        <v>19</v>
      </c>
      <c r="N2" s="27" t="s">
        <v>20</v>
      </c>
      <c r="O2" s="30"/>
      <c r="P2" s="30" t="s">
        <v>21</v>
      </c>
      <c r="Q2" s="31"/>
      <c r="R2" s="27" t="s">
        <v>20</v>
      </c>
      <c r="S2" s="30" t="s">
        <v>21</v>
      </c>
      <c r="T2" s="27" t="s">
        <v>22</v>
      </c>
      <c r="U2" s="26" t="s">
        <v>23</v>
      </c>
      <c r="V2" s="9"/>
      <c r="W2" s="9"/>
    </row>
    <row r="3" spans="1:23" x14ac:dyDescent="0.8">
      <c r="B3" s="46"/>
      <c r="C3" s="62"/>
      <c r="D3" s="49"/>
      <c r="E3" s="461"/>
      <c r="F3" s="897" t="str">
        <f>H4</f>
        <v>Central Florida</v>
      </c>
      <c r="G3" s="898"/>
      <c r="H3" s="898"/>
      <c r="I3" s="899"/>
      <c r="J3" s="460"/>
      <c r="K3" s="461"/>
      <c r="L3" s="54"/>
      <c r="M3" s="55"/>
      <c r="N3" s="460"/>
      <c r="O3" s="462"/>
      <c r="P3" s="462"/>
      <c r="Q3" s="461"/>
      <c r="R3" s="460"/>
      <c r="S3" s="462"/>
      <c r="T3" s="460"/>
      <c r="U3" s="461"/>
    </row>
    <row r="4" spans="1:23" x14ac:dyDescent="0.8">
      <c r="A4" s="46">
        <f>IF(+All!$H15="Central Florida",+All!A15,IF(+All!$F15="Central Florida",+All!A15,0))</f>
        <v>1</v>
      </c>
      <c r="B4" s="348" t="str">
        <f>IF(+All!$H15="Central Florida",+All!B15,IF(+All!$F15="Central Florida",+All!B15,0))</f>
        <v>Thurs</v>
      </c>
      <c r="C4" s="48">
        <f>IF(+All!$H15="Central Florida",+All!C15,IF(+All!$F15="Central Florida",+All!C15,0))</f>
        <v>44805</v>
      </c>
      <c r="D4" s="490">
        <f>IF(+All!$H15="Central Florida",+All!D15,IF(+All!$F15="Central Florida",+All!D15,0))</f>
        <v>0.79166666666666663</v>
      </c>
      <c r="E4" s="461">
        <f>IF(+All!$H15="Central Florida",+All!E15,IF(+All!$F15="Central Florida",+All!E15,0))</f>
        <v>0</v>
      </c>
      <c r="F4" s="51" t="str">
        <f>IF(+All!$H15="Central Florida",+All!F15,IF(+All!$F15="Central Florida",+All!F15,0))</f>
        <v>1AA South Carolina State</v>
      </c>
      <c r="G4" s="52" t="str">
        <f>IF(+All!$H15="Central Florida",+All!G15,IF(+All!$F15="Central Florida",+All!G15,0))</f>
        <v>1AA</v>
      </c>
      <c r="H4" s="51" t="str">
        <f>IF(+All!$H15="Central Florida",+All!H15,IF(+All!$F15="Central Florida",+All!H15,0))</f>
        <v>Central Florida</v>
      </c>
      <c r="I4" s="52" t="str">
        <f>IF(+All!$H15="Central Florida",+All!I15,IF(+All!$F15="Central Florida",+All!I15,0))</f>
        <v>AAC</v>
      </c>
      <c r="J4" s="460">
        <f>IF(+All!$H15="Central Florida",+All!J15,IF(+All!$F15="Central Florida",+All!J15,0))</f>
        <v>0</v>
      </c>
      <c r="K4" s="461">
        <f>IF(+All!$H15="Central Florida",+All!K15,IF(+All!$F15="Central Florida",+All!K15,0))</f>
        <v>0</v>
      </c>
      <c r="L4" s="54">
        <f>IF(+All!$H15="Central Florida",+All!L15,IF(+All!$F15="Central Florida",+All!L15,0))</f>
        <v>0</v>
      </c>
      <c r="M4" s="55">
        <f>IF(+All!$H15="Central Florida",+All!M15,IF(+All!$F15="Central Florida",+All!M15,0))</f>
        <v>0</v>
      </c>
      <c r="N4" s="460" t="str">
        <f>IF(+All!$H15="Central Florida",+All!N15,IF(+All!$F15="Central Florida",+All!N15,0))</f>
        <v>Central Florida</v>
      </c>
      <c r="O4" s="462">
        <f>IF(+All!$H15="Central Florida",+All!O15,IF(+All!$F15="Central Florida",+All!O15,0))</f>
        <v>56</v>
      </c>
      <c r="P4" s="462" t="str">
        <f>IF(+All!$H15="Central Florida",+All!P15,IF(+All!$F15="Central Florida",+All!P15,0))</f>
        <v>1AA South Carolina State</v>
      </c>
      <c r="Q4" s="461">
        <f>IF(+All!$H15="Central Florida",+All!Q15,IF(+All!$F15="Central Florida",+All!Q15,0))</f>
        <v>10</v>
      </c>
      <c r="R4" s="460">
        <f>IF(+All!$H15="Central Florida",+All!R15,IF(+All!$F15="Central Florida",+All!R15,0))</f>
        <v>0</v>
      </c>
      <c r="S4" s="462">
        <f>IF(+All!$H15="Central Florida",+All!S15,IF(+All!$F15="Central Florida",+All!S15,0))</f>
        <v>0</v>
      </c>
      <c r="T4" s="460">
        <f>IF(+All!$H15="Central Florida",+All!T15,IF(+All!$F15="Central Florida",+All!T15,0))</f>
        <v>0</v>
      </c>
      <c r="U4" s="461">
        <f>IF(+All!$H15="Central Florida",+All!U15,IF(+All!$F15="Central Florida",+All!U15,0))</f>
        <v>0</v>
      </c>
    </row>
    <row r="5" spans="1:23" x14ac:dyDescent="0.8">
      <c r="A5" s="46">
        <f>IF(+All!$H99="Central Florida",+All!A99,IF(+All!$F99="Central Florida",+All!A99,0))</f>
        <v>2</v>
      </c>
      <c r="B5" s="348" t="str">
        <f>IF(+All!$H99="Central Florida",+All!B99,IF(+All!$F99="Central Florida",+All!B99,0))</f>
        <v>Fri</v>
      </c>
      <c r="C5" s="48">
        <f>IF(+All!$H99="Central Florida",+All!C99,IF(+All!$F99="Central Florida",+All!C99,0))</f>
        <v>44813</v>
      </c>
      <c r="D5" s="490">
        <f>IF(+All!$H99="Central Florida",+All!D99,IF(+All!$F99="Central Florida",+All!D99,0))</f>
        <v>0.8125</v>
      </c>
      <c r="E5" s="461" t="str">
        <f>IF(+All!$H99="Central Florida",+All!E99,IF(+All!$F99="Central Florida",+All!E99,0))</f>
        <v>ESPN2</v>
      </c>
      <c r="F5" s="51" t="str">
        <f>IF(+All!$H99="Central Florida",+All!F99,IF(+All!$F99="Central Florida",+All!F99,0))</f>
        <v>Louisville</v>
      </c>
      <c r="G5" s="52" t="str">
        <f>IF(+All!$H99="Central Florida",+All!G99,IF(+All!$F99="Central Florida",+All!G99,0))</f>
        <v>ACC</v>
      </c>
      <c r="H5" s="51" t="str">
        <f>IF(+All!$H99="Central Florida",+All!H99,IF(+All!$F99="Central Florida",+All!H99,0))</f>
        <v>Central Florida</v>
      </c>
      <c r="I5" s="52" t="str">
        <f>IF(+All!$H99="Central Florida",+All!I99,IF(+All!$F99="Central Florida",+All!I99,0))</f>
        <v>AAC</v>
      </c>
      <c r="J5" s="460" t="str">
        <f>IF(+All!$H99="Central Florida",+All!J99,IF(+All!$F99="Central Florida",+All!J99,0))</f>
        <v>Central Florida</v>
      </c>
      <c r="K5" s="461" t="str">
        <f>IF(+All!$H99="Central Florida",+All!K99,IF(+All!$F99="Central Florida",+All!K99,0))</f>
        <v>Louisville</v>
      </c>
      <c r="L5" s="54">
        <f>IF(+All!$H99="Central Florida",+All!L99,IF(+All!$F99="Central Florida",+All!L99,0))</f>
        <v>6.5</v>
      </c>
      <c r="M5" s="55">
        <f>IF(+All!$H99="Central Florida",+All!M99,IF(+All!$F99="Central Florida",+All!M99,0))</f>
        <v>61.5</v>
      </c>
      <c r="N5" s="460" t="str">
        <f>IF(+All!$H99="Central Florida",+All!N99,IF(+All!$F99="Central Florida",+All!N99,0))</f>
        <v>Louisville</v>
      </c>
      <c r="O5" s="462">
        <f>IF(+All!$H99="Central Florida",+All!O99,IF(+All!$F99="Central Florida",+All!O99,0))</f>
        <v>20</v>
      </c>
      <c r="P5" s="462" t="str">
        <f>IF(+All!$H99="Central Florida",+All!P99,IF(+All!$F99="Central Florida",+All!P99,0))</f>
        <v>Central Florida</v>
      </c>
      <c r="Q5" s="461">
        <f>IF(+All!$H99="Central Florida",+All!Q99,IF(+All!$F99="Central Florida",+All!Q99,0))</f>
        <v>14</v>
      </c>
      <c r="R5" s="460" t="str">
        <f>IF(+All!$H99="Central Florida",+All!R99,IF(+All!$F99="Central Florida",+All!R99,0))</f>
        <v>Louisville</v>
      </c>
      <c r="S5" s="462" t="str">
        <f>IF(+All!$H99="Central Florida",+All!S99,IF(+All!$F99="Central Florida",+All!S99,0))</f>
        <v>Central Florida</v>
      </c>
      <c r="T5" s="460" t="str">
        <f>IF(+All!$H99="Central Florida",+All!T99,IF(+All!$F99="Central Florida",+All!T99,0))</f>
        <v>Central Florida</v>
      </c>
      <c r="U5" s="461" t="str">
        <f>IF(+All!$H99="Central Florida",+All!U99,IF(+All!$F99="Central Florida",+All!U99,0))</f>
        <v>L</v>
      </c>
    </row>
    <row r="6" spans="1:23" x14ac:dyDescent="0.8">
      <c r="A6" s="46">
        <f>IF(+All!$H212="Central Florida",+All!A212,IF(+All!$F212="Central Florida",+All!A212,0))</f>
        <v>3</v>
      </c>
      <c r="B6" s="348" t="str">
        <f>IF(+All!$H212="Central Florida",+All!B212,IF(+All!$F212="Central Florida",+All!B212,0))</f>
        <v>Sat</v>
      </c>
      <c r="C6" s="48">
        <f>IF(+All!$H212="Central Florida",+All!C212,IF(+All!$F212="Central Florida",+All!C212,0))</f>
        <v>44821</v>
      </c>
      <c r="D6" s="490">
        <f>IF(+All!$H212="Central Florida",+All!D212,IF(+All!$F212="Central Florida",+All!D212,0))</f>
        <v>0.8125</v>
      </c>
      <c r="E6" s="461" t="str">
        <f>IF(+All!$H212="Central Florida",+All!E212,IF(+All!$F212="Central Florida",+All!E212,0))</f>
        <v>CBSSN</v>
      </c>
      <c r="F6" s="51" t="str">
        <f>IF(+All!$H212="Central Florida",+All!F212,IF(+All!$F212="Central Florida",+All!F212,0))</f>
        <v>Central Florida</v>
      </c>
      <c r="G6" s="52" t="str">
        <f>IF(+All!$H212="Central Florida",+All!G212,IF(+All!$F212="Central Florida",+All!G212,0))</f>
        <v>AAC</v>
      </c>
      <c r="H6" s="51" t="str">
        <f>IF(+All!$H212="Central Florida",+All!H212,IF(+All!$F212="Central Florida",+All!H212,0))</f>
        <v>Florida Atlantic</v>
      </c>
      <c r="I6" s="52" t="str">
        <f>IF(+All!$H212="Central Florida",+All!I212,IF(+All!$F212="Central Florida",+All!I212,0))</f>
        <v>CUSA</v>
      </c>
      <c r="J6" s="460" t="str">
        <f>IF(+All!$H212="Central Florida",+All!J212,IF(+All!$F212="Central Florida",+All!J212,0))</f>
        <v>Central Florida</v>
      </c>
      <c r="K6" s="461" t="str">
        <f>IF(+All!$H212="Central Florida",+All!K212,IF(+All!$F212="Central Florida",+All!K212,0))</f>
        <v>Florida Atlantic</v>
      </c>
      <c r="L6" s="54">
        <f>IF(+All!$H212="Central Florida",+All!L212,IF(+All!$F212="Central Florida",+All!L212,0))</f>
        <v>9</v>
      </c>
      <c r="M6" s="55">
        <f>IF(+All!$H212="Central Florida",+All!M212,IF(+All!$F212="Central Florida",+All!M212,0))</f>
        <v>61</v>
      </c>
      <c r="N6" s="460" t="str">
        <f>IF(+All!$H212="Central Florida",+All!N212,IF(+All!$F212="Central Florida",+All!N212,0))</f>
        <v>Central Florida</v>
      </c>
      <c r="O6" s="462">
        <f>IF(+All!$H212="Central Florida",+All!O212,IF(+All!$F212="Central Florida",+All!O212,0))</f>
        <v>40</v>
      </c>
      <c r="P6" s="462" t="str">
        <f>IF(+All!$H212="Central Florida",+All!P212,IF(+All!$F212="Central Florida",+All!P212,0))</f>
        <v>Florida Atlantic</v>
      </c>
      <c r="Q6" s="461">
        <f>IF(+All!$H212="Central Florida",+All!Q212,IF(+All!$F212="Central Florida",+All!Q212,0))</f>
        <v>14</v>
      </c>
      <c r="R6" s="460" t="str">
        <f>IF(+All!$H212="Central Florida",+All!R212,IF(+All!$F212="Central Florida",+All!R212,0))</f>
        <v>Central Florida</v>
      </c>
      <c r="S6" s="462" t="str">
        <f>IF(+All!$H212="Central Florida",+All!S212,IF(+All!$F212="Central Florida",+All!S212,0))</f>
        <v>Florida Atlantic</v>
      </c>
      <c r="T6" s="460" t="str">
        <f>IF(+All!$H212="Central Florida",+All!T212,IF(+All!$F212="Central Florida",+All!T212,0))</f>
        <v>Central Florida</v>
      </c>
      <c r="U6" s="461" t="str">
        <f>IF(+All!$H212="Central Florida",+All!U212,IF(+All!$F212="Central Florida",+All!U212,0))</f>
        <v>W</v>
      </c>
    </row>
    <row r="7" spans="1:23" x14ac:dyDescent="0.8">
      <c r="A7" s="46">
        <f>IF(+All!$H258="Central Florida",+All!A258,IF(+All!$F258="Central Florida",+All!A258,0))</f>
        <v>4</v>
      </c>
      <c r="B7" s="348" t="str">
        <f>IF(+All!$H258="Central Florida",+All!B258,IF(+All!$F258="Central Florida",+All!B258,0))</f>
        <v>Sat</v>
      </c>
      <c r="C7" s="48">
        <f>IF(+All!$H258="Central Florida",+All!C258,IF(+All!$F258="Central Florida",+All!C258,0))</f>
        <v>44828</v>
      </c>
      <c r="D7" s="490">
        <f>IF(+All!$H258="Central Florida",+All!D258,IF(+All!$F258="Central Florida",+All!D258,0))</f>
        <v>0.66666666666666663</v>
      </c>
      <c r="E7" s="461" t="str">
        <f>IF(+All!$H258="Central Florida",+All!E258,IF(+All!$F258="Central Florida",+All!E258,0))</f>
        <v>ESPNU</v>
      </c>
      <c r="F7" s="51" t="str">
        <f>IF(+All!$H258="Central Florida",+All!F258,IF(+All!$F258="Central Florida",+All!F258,0))</f>
        <v>Georgia Tech</v>
      </c>
      <c r="G7" s="52" t="str">
        <f>IF(+All!$H258="Central Florida",+All!G258,IF(+All!$F258="Central Florida",+All!G258,0))</f>
        <v>ACC</v>
      </c>
      <c r="H7" s="51" t="str">
        <f>IF(+All!$H258="Central Florida",+All!H258,IF(+All!$F258="Central Florida",+All!H258,0))</f>
        <v>Central Florida</v>
      </c>
      <c r="I7" s="52" t="str">
        <f>IF(+All!$H258="Central Florida",+All!I258,IF(+All!$F258="Central Florida",+All!I258,0))</f>
        <v>AAC</v>
      </c>
      <c r="J7" s="460" t="str">
        <f>IF(+All!$H258="Central Florida",+All!J258,IF(+All!$F258="Central Florida",+All!J258,0))</f>
        <v>Central Florida</v>
      </c>
      <c r="K7" s="461" t="str">
        <f>IF(+All!$H258="Central Florida",+All!K258,IF(+All!$F258="Central Florida",+All!K258,0))</f>
        <v>Georgia Tech</v>
      </c>
      <c r="L7" s="54">
        <f>IF(+All!$H258="Central Florida",+All!L258,IF(+All!$F258="Central Florida",+All!L258,0))</f>
        <v>20.5</v>
      </c>
      <c r="M7" s="55">
        <f>IF(+All!$H258="Central Florida",+All!M258,IF(+All!$F258="Central Florida",+All!M258,0))</f>
        <v>56</v>
      </c>
      <c r="N7" s="460" t="str">
        <f>IF(+All!$H258="Central Florida",+All!N258,IF(+All!$F258="Central Florida",+All!N258,0))</f>
        <v>Central Florida</v>
      </c>
      <c r="O7" s="462">
        <f>IF(+All!$H258="Central Florida",+All!O258,IF(+All!$F258="Central Florida",+All!O258,0))</f>
        <v>27</v>
      </c>
      <c r="P7" s="462" t="str">
        <f>IF(+All!$H258="Central Florida",+All!P258,IF(+All!$F258="Central Florida",+All!P258,0))</f>
        <v>Georgia Tech</v>
      </c>
      <c r="Q7" s="461">
        <f>IF(+All!$H258="Central Florida",+All!Q258,IF(+All!$F258="Central Florida",+All!Q258,0))</f>
        <v>10</v>
      </c>
      <c r="R7" s="460" t="str">
        <f>IF(+All!$H258="Central Florida",+All!R258,IF(+All!$F258="Central Florida",+All!R258,0))</f>
        <v>Georgia Tech</v>
      </c>
      <c r="S7" s="462" t="str">
        <f>IF(+All!$H258="Central Florida",+All!S258,IF(+All!$F258="Central Florida",+All!S258,0))</f>
        <v>Central Florida</v>
      </c>
      <c r="T7" s="460" t="str">
        <f>IF(+All!$H258="Central Florida",+All!T258,IF(+All!$F258="Central Florida",+All!T258,0))</f>
        <v>Georgia Tech</v>
      </c>
      <c r="U7" s="461" t="str">
        <f>IF(+All!$H258="Central Florida",+All!U258,IF(+All!$F258="Central Florida",+All!U258,0))</f>
        <v>W</v>
      </c>
    </row>
    <row r="8" spans="1:23" x14ac:dyDescent="0.8">
      <c r="A8" s="46">
        <f>IF(+All!$H324="Central Florida",+All!A324,IF(+All!$F324="Central Florida",+All!A324,0))</f>
        <v>5</v>
      </c>
      <c r="B8" s="348" t="str">
        <f>IF(+All!$H324="Central Florida",+All!B324,IF(+All!$F324="Central Florida",+All!B324,0))</f>
        <v>Weds</v>
      </c>
      <c r="C8" s="48">
        <f>IF(+All!$H324="Central Florida",+All!C324,IF(+All!$F324="Central Florida",+All!C324,0))</f>
        <v>44839</v>
      </c>
      <c r="D8" s="490">
        <f>IF(+All!$H324="Central Florida",+All!D324,IF(+All!$F324="Central Florida",+All!D324,0))</f>
        <v>0.64583333333333337</v>
      </c>
      <c r="E8" s="461" t="str">
        <f>IF(+All!$H324="Central Florida",+All!E324,IF(+All!$F324="Central Florida",+All!E324,0))</f>
        <v>ESPNU</v>
      </c>
      <c r="F8" s="51" t="str">
        <f>IF(+All!$H324="Central Florida",+All!F324,IF(+All!$F324="Central Florida",+All!F324,0))</f>
        <v>SMU</v>
      </c>
      <c r="G8" s="52" t="str">
        <f>IF(+All!$H324="Central Florida",+All!G324,IF(+All!$F324="Central Florida",+All!G324,0))</f>
        <v>AAC</v>
      </c>
      <c r="H8" s="51" t="str">
        <f>IF(+All!$H324="Central Florida",+All!H324,IF(+All!$F324="Central Florida",+All!H324,0))</f>
        <v>Central Florida</v>
      </c>
      <c r="I8" s="52" t="str">
        <f>IF(+All!$H324="Central Florida",+All!I324,IF(+All!$F324="Central Florida",+All!I324,0))</f>
        <v>AAC</v>
      </c>
      <c r="J8" s="460" t="str">
        <f>IF(+All!$H324="Central Florida",+All!J324,IF(+All!$F324="Central Florida",+All!J324,0))</f>
        <v>Central Florida</v>
      </c>
      <c r="K8" s="461" t="str">
        <f>IF(+All!$H324="Central Florida",+All!K324,IF(+All!$F324="Central Florida",+All!K324,0))</f>
        <v>SMU</v>
      </c>
      <c r="L8" s="54">
        <f>IF(+All!$H324="Central Florida",+All!L324,IF(+All!$F324="Central Florida",+All!L324,0))</f>
        <v>3.5</v>
      </c>
      <c r="M8" s="55">
        <f>IF(+All!$H324="Central Florida",+All!M324,IF(+All!$F324="Central Florida",+All!M324,0))</f>
        <v>65</v>
      </c>
      <c r="N8" s="460" t="str">
        <f>IF(+All!$H324="Central Florida",+All!N324,IF(+All!$F324="Central Florida",+All!N324,0))</f>
        <v>Central Florida</v>
      </c>
      <c r="O8" s="462">
        <f>IF(+All!$H324="Central Florida",+All!O324,IF(+All!$F324="Central Florida",+All!O324,0))</f>
        <v>41</v>
      </c>
      <c r="P8" s="462" t="str">
        <f>IF(+All!$H324="Central Florida",+All!P324,IF(+All!$F324="Central Florida",+All!P324,0))</f>
        <v>SMU</v>
      </c>
      <c r="Q8" s="461">
        <f>IF(+All!$H324="Central Florida",+All!Q324,IF(+All!$F324="Central Florida",+All!Q324,0))</f>
        <v>19</v>
      </c>
      <c r="R8" s="460" t="str">
        <f>IF(+All!$H324="Central Florida",+All!R324,IF(+All!$F324="Central Florida",+All!R324,0))</f>
        <v>Central Florida</v>
      </c>
      <c r="S8" s="462" t="str">
        <f>IF(+All!$H324="Central Florida",+All!S324,IF(+All!$F324="Central Florida",+All!S324,0))</f>
        <v>SMU</v>
      </c>
      <c r="T8" s="460" t="str">
        <f>IF(+All!$H324="Central Florida",+All!T324,IF(+All!$F324="Central Florida",+All!T324,0))</f>
        <v>Central Florida</v>
      </c>
      <c r="U8" s="461" t="str">
        <f>IF(+All!$H324="Central Florida",+All!U324,IF(+All!$F324="Central Florida",+All!U324,0))</f>
        <v>W</v>
      </c>
    </row>
    <row r="9" spans="1:23" x14ac:dyDescent="0.8">
      <c r="A9" s="46" t="e">
        <f>IF(+All!#REF!="Central Florida",+All!#REF!,IF(+All!#REF!="Central Florida",+All!#REF!,0))</f>
        <v>#REF!</v>
      </c>
      <c r="B9" s="348" t="e">
        <f>IF(+All!#REF!="Central Florida",+All!#REF!,IF(+All!#REF!="Central Florida",+All!#REF!,0))</f>
        <v>#REF!</v>
      </c>
      <c r="C9" s="48" t="e">
        <f>IF(+All!#REF!="Central Florida",+All!#REF!,IF(+All!#REF!="Central Florida",+All!#REF!,0))</f>
        <v>#REF!</v>
      </c>
      <c r="D9" s="490" t="e">
        <f>IF(+All!#REF!="Central Florida",+All!#REF!,IF(+All!#REF!="Central Florida",+All!#REF!,0))</f>
        <v>#REF!</v>
      </c>
      <c r="E9" s="461" t="e">
        <f>IF(+All!#REF!="Central Florida",+All!#REF!,IF(+All!#REF!="Central Florida",+All!#REF!,0))</f>
        <v>#REF!</v>
      </c>
      <c r="F9" s="51" t="e">
        <f>IF(+All!#REF!="Central Florida",+All!#REF!,IF(+All!#REF!="Central Florida",+All!#REF!,0))</f>
        <v>#REF!</v>
      </c>
      <c r="G9" s="52" t="e">
        <f>IF(+All!#REF!="Central Florida",+All!#REF!,IF(+All!#REF!="Central Florida",+All!#REF!,0))</f>
        <v>#REF!</v>
      </c>
      <c r="H9" s="51" t="e">
        <f>IF(+All!#REF!="Central Florida",+All!#REF!,IF(+All!#REF!="Central Florida",+All!#REF!,0))</f>
        <v>#REF!</v>
      </c>
      <c r="I9" s="52" t="e">
        <f>IF(+All!#REF!="Central Florida",+All!#REF!,IF(+All!#REF!="Central Florida",+All!#REF!,0))</f>
        <v>#REF!</v>
      </c>
      <c r="J9" s="460" t="e">
        <f>IF(+All!#REF!="Central Florida",+All!#REF!,IF(+All!#REF!="Central Florida",+All!#REF!,0))</f>
        <v>#REF!</v>
      </c>
      <c r="K9" s="461" t="e">
        <f>IF(+All!#REF!="Central Florida",+All!#REF!,IF(+All!#REF!="Central Florida",+All!#REF!,0))</f>
        <v>#REF!</v>
      </c>
      <c r="L9" s="54" t="e">
        <f>IF(+All!#REF!="Central Florida",+All!#REF!,IF(+All!#REF!="Central Florida",+All!#REF!,0))</f>
        <v>#REF!</v>
      </c>
      <c r="M9" s="55" t="e">
        <f>IF(+All!#REF!="Central Florida",+All!#REF!,IF(+All!#REF!="Central Florida",+All!#REF!,0))</f>
        <v>#REF!</v>
      </c>
      <c r="N9" s="460" t="e">
        <f>IF(+All!#REF!="Central Florida",+All!#REF!,IF(+All!#REF!="Central Florida",+All!#REF!,0))</f>
        <v>#REF!</v>
      </c>
      <c r="O9" s="462" t="e">
        <f>IF(+All!#REF!="Central Florida",+All!#REF!,IF(+All!#REF!="Central Florida",+All!#REF!,0))</f>
        <v>#REF!</v>
      </c>
      <c r="P9" s="462" t="e">
        <f>IF(+All!#REF!="Central Florida",+All!#REF!,IF(+All!#REF!="Central Florida",+All!#REF!,0))</f>
        <v>#REF!</v>
      </c>
      <c r="Q9" s="461" t="e">
        <f>IF(+All!#REF!="Central Florida",+All!#REF!,IF(+All!#REF!="Central Florida",+All!#REF!,0))</f>
        <v>#REF!</v>
      </c>
      <c r="R9" s="460" t="e">
        <f>IF(+All!#REF!="Central Florida",+All!#REF!,IF(+All!#REF!="Central Florida",+All!#REF!,0))</f>
        <v>#REF!</v>
      </c>
      <c r="S9" s="462" t="e">
        <f>IF(+All!#REF!="Central Florida",+All!#REF!,IF(+All!#REF!="Central Florida",+All!#REF!,0))</f>
        <v>#REF!</v>
      </c>
      <c r="T9" s="460" t="e">
        <f>IF(+All!#REF!="Central Florida",+All!#REF!,IF(+All!#REF!="Central Florida",+All!#REF!,0))</f>
        <v>#REF!</v>
      </c>
      <c r="U9" s="461" t="e">
        <f>IF(+All!#REF!="Central Florida",+All!#REF!,IF(+All!#REF!="Central Florida",+All!#REF!,0))</f>
        <v>#REF!</v>
      </c>
    </row>
    <row r="10" spans="1:23" x14ac:dyDescent="0.8">
      <c r="A10" s="46">
        <f>IF(+All!$H439="Central Florida",+All!A439,IF(+All!$F439="Central Florida",+All!A439,0))</f>
        <v>7</v>
      </c>
      <c r="B10" s="348" t="str">
        <f>IF(+All!$H439="Central Florida",+All!B439,IF(+All!$F439="Central Florida",+All!B439,0))</f>
        <v>Thurs</v>
      </c>
      <c r="C10" s="48">
        <f>IF(+All!$H439="Central Florida",+All!C439,IF(+All!$F439="Central Florida",+All!C439,0))</f>
        <v>44847</v>
      </c>
      <c r="D10" s="490">
        <f>IF(+All!$H439="Central Florida",+All!D439,IF(+All!$F439="Central Florida",+All!D439,0))</f>
        <v>0.79166666666666663</v>
      </c>
      <c r="E10" s="461" t="str">
        <f>IF(+All!$H439="Central Florida",+All!E439,IF(+All!$F439="Central Florida",+All!E439,0))</f>
        <v>ESPN</v>
      </c>
      <c r="F10" s="51" t="str">
        <f>IF(+All!$H439="Central Florida",+All!F439,IF(+All!$F439="Central Florida",+All!F439,0))</f>
        <v>Temple</v>
      </c>
      <c r="G10" s="52" t="str">
        <f>IF(+All!$H439="Central Florida",+All!G439,IF(+All!$F439="Central Florida",+All!G439,0))</f>
        <v>AAC</v>
      </c>
      <c r="H10" s="51" t="str">
        <f>IF(+All!$H439="Central Florida",+All!H439,IF(+All!$F439="Central Florida",+All!H439,0))</f>
        <v>Central Florida</v>
      </c>
      <c r="I10" s="52" t="str">
        <f>IF(+All!$H439="Central Florida",+All!I439,IF(+All!$F439="Central Florida",+All!I439,0))</f>
        <v>AAC</v>
      </c>
      <c r="J10" s="460" t="str">
        <f>IF(+All!$H439="Central Florida",+All!J439,IF(+All!$F439="Central Florida",+All!J439,0))</f>
        <v>Central Florida</v>
      </c>
      <c r="K10" s="461" t="str">
        <f>IF(+All!$H439="Central Florida",+All!K439,IF(+All!$F439="Central Florida",+All!K439,0))</f>
        <v>Temple</v>
      </c>
      <c r="L10" s="54">
        <f>IF(+All!$H439="Central Florida",+All!L439,IF(+All!$F439="Central Florida",+All!L439,0))</f>
        <v>23</v>
      </c>
      <c r="M10" s="55">
        <f>IF(+All!$H439="Central Florida",+All!M439,IF(+All!$F439="Central Florida",+All!M439,0))</f>
        <v>46</v>
      </c>
      <c r="N10" s="460" t="str">
        <f>IF(+All!$H439="Central Florida",+All!N439,IF(+All!$F439="Central Florida",+All!N439,0))</f>
        <v>Central Florida</v>
      </c>
      <c r="O10" s="462">
        <f>IF(+All!$H439="Central Florida",+All!O439,IF(+All!$F439="Central Florida",+All!O439,0))</f>
        <v>70</v>
      </c>
      <c r="P10" s="462" t="str">
        <f>IF(+All!$H439="Central Florida",+All!P439,IF(+All!$F439="Central Florida",+All!P439,0))</f>
        <v>Temple</v>
      </c>
      <c r="Q10" s="461">
        <f>IF(+All!$H439="Central Florida",+All!Q439,IF(+All!$F439="Central Florida",+All!Q439,0))</f>
        <v>13</v>
      </c>
      <c r="R10" s="460" t="str">
        <f>IF(+All!$H439="Central Florida",+All!R439,IF(+All!$F439="Central Florida",+All!R439,0))</f>
        <v>Central Florida</v>
      </c>
      <c r="S10" s="462" t="str">
        <f>IF(+All!$H439="Central Florida",+All!S439,IF(+All!$F439="Central Florida",+All!S439,0))</f>
        <v>Temple</v>
      </c>
      <c r="T10" s="460" t="str">
        <f>IF(+All!$H439="Central Florida",+All!T439,IF(+All!$F439="Central Florida",+All!T439,0))</f>
        <v>Temple</v>
      </c>
      <c r="U10" s="461" t="str">
        <f>IF(+All!$H439="Central Florida",+All!U439,IF(+All!$F439="Central Florida",+All!U439,0))</f>
        <v>L</v>
      </c>
    </row>
    <row r="11" spans="1:23" x14ac:dyDescent="0.8">
      <c r="A11" s="46">
        <f>IF(+All!$H496="Central Florida",+All!A496,IF(+All!$F496="Central Florida",+All!A496,0))</f>
        <v>8</v>
      </c>
      <c r="B11" s="348" t="str">
        <f>IF(+All!$H496="Central Florida",+All!B496,IF(+All!$F496="Central Florida",+All!B496,0))</f>
        <v>Sat</v>
      </c>
      <c r="C11" s="48">
        <f>IF(+All!$H496="Central Florida",+All!C496,IF(+All!$F496="Central Florida",+All!C496,0))</f>
        <v>44856</v>
      </c>
      <c r="D11" s="490">
        <f>IF(+All!$H496="Central Florida",+All!D496,IF(+All!$F496="Central Florida",+All!D496,0))</f>
        <v>0.8125</v>
      </c>
      <c r="E11" s="461" t="str">
        <f>IF(+All!$H496="Central Florida",+All!E496,IF(+All!$F496="Central Florida",+All!E496,0))</f>
        <v>ESPNU</v>
      </c>
      <c r="F11" s="51" t="str">
        <f>IF(+All!$H496="Central Florida",+All!F496,IF(+All!$F496="Central Florida",+All!F496,0))</f>
        <v>Central Florida</v>
      </c>
      <c r="G11" s="52" t="str">
        <f>IF(+All!$H496="Central Florida",+All!G496,IF(+All!$F496="Central Florida",+All!G496,0))</f>
        <v>AAC</v>
      </c>
      <c r="H11" s="51" t="str">
        <f>IF(+All!$H496="Central Florida",+All!H496,IF(+All!$F496="Central Florida",+All!H496,0))</f>
        <v>East Carolina</v>
      </c>
      <c r="I11" s="52" t="str">
        <f>IF(+All!$H496="Central Florida",+All!I496,IF(+All!$F496="Central Florida",+All!I496,0))</f>
        <v>AAC</v>
      </c>
      <c r="J11" s="460" t="str">
        <f>IF(+All!$H496="Central Florida",+All!J496,IF(+All!$F496="Central Florida",+All!J496,0))</f>
        <v>Central Florida</v>
      </c>
      <c r="K11" s="461" t="str">
        <f>IF(+All!$H496="Central Florida",+All!K496,IF(+All!$F496="Central Florida",+All!K496,0))</f>
        <v>East Carolina</v>
      </c>
      <c r="L11" s="54">
        <f>IF(+All!$H496="Central Florida",+All!L496,IF(+All!$F496="Central Florida",+All!L496,0))</f>
        <v>5</v>
      </c>
      <c r="M11" s="55">
        <f>IF(+All!$H496="Central Florida",+All!M496,IF(+All!$F496="Central Florida",+All!M496,0))</f>
        <v>65.5</v>
      </c>
      <c r="N11" s="460" t="str">
        <f>IF(+All!$H496="Central Florida",+All!N496,IF(+All!$F496="Central Florida",+All!N496,0))</f>
        <v>East Carolina</v>
      </c>
      <c r="O11" s="462">
        <f>IF(+All!$H496="Central Florida",+All!O496,IF(+All!$F496="Central Florida",+All!O496,0))</f>
        <v>34</v>
      </c>
      <c r="P11" s="462" t="str">
        <f>IF(+All!$H496="Central Florida",+All!P496,IF(+All!$F496="Central Florida",+All!P496,0))</f>
        <v>Central Florida</v>
      </c>
      <c r="Q11" s="461">
        <f>IF(+All!$H496="Central Florida",+All!Q496,IF(+All!$F496="Central Florida",+All!Q496,0))</f>
        <v>13</v>
      </c>
      <c r="R11" s="460" t="str">
        <f>IF(+All!$H496="Central Florida",+All!R496,IF(+All!$F496="Central Florida",+All!R496,0))</f>
        <v>East Carolina</v>
      </c>
      <c r="S11" s="462" t="str">
        <f>IF(+All!$H496="Central Florida",+All!S496,IF(+All!$F496="Central Florida",+All!S496,0))</f>
        <v>Central Florida</v>
      </c>
      <c r="T11" s="460" t="str">
        <f>IF(+All!$H496="Central Florida",+All!T496,IF(+All!$F496="Central Florida",+All!T496,0))</f>
        <v>East Carolina</v>
      </c>
      <c r="U11" s="461" t="str">
        <f>IF(+All!$H496="Central Florida",+All!U496,IF(+All!$F496="Central Florida",+All!U496,0))</f>
        <v>W</v>
      </c>
    </row>
    <row r="12" spans="1:23" x14ac:dyDescent="0.8">
      <c r="A12" s="46">
        <f>IF(+All!$H550="Central Florida",+All!A550,IF(+All!$F550="Central Florida",+All!A550,0))</f>
        <v>9</v>
      </c>
      <c r="B12" s="348" t="str">
        <f>IF(+All!$H550="Central Florida",+All!B550,IF(+All!$F550="Central Florida",+All!B550,0))</f>
        <v>Sat</v>
      </c>
      <c r="C12" s="48">
        <f>IF(+All!$H550="Central Florida",+All!C550,IF(+All!$F550="Central Florida",+All!C550,0))</f>
        <v>44863</v>
      </c>
      <c r="D12" s="490">
        <f>IF(+All!$H550="Central Florida",+All!D550,IF(+All!$F550="Central Florida",+All!D550,0))</f>
        <v>0.64583333333333337</v>
      </c>
      <c r="E12" s="461" t="str">
        <f>IF(+All!$H550="Central Florida",+All!E550,IF(+All!$F550="Central Florida",+All!E550,0))</f>
        <v>ESPN</v>
      </c>
      <c r="F12" s="51" t="str">
        <f>IF(+All!$H550="Central Florida",+All!F550,IF(+All!$F550="Central Florida",+All!F550,0))</f>
        <v>Cincinnati</v>
      </c>
      <c r="G12" s="52" t="str">
        <f>IF(+All!$H550="Central Florida",+All!G550,IF(+All!$F550="Central Florida",+All!G550,0))</f>
        <v>AAC</v>
      </c>
      <c r="H12" s="51" t="str">
        <f>IF(+All!$H550="Central Florida",+All!H550,IF(+All!$F550="Central Florida",+All!H550,0))</f>
        <v>Central Florida</v>
      </c>
      <c r="I12" s="52" t="str">
        <f>IF(+All!$H550="Central Florida",+All!I550,IF(+All!$F550="Central Florida",+All!I550,0))</f>
        <v>AAC</v>
      </c>
      <c r="J12" s="460" t="str">
        <f>IF(+All!$H550="Central Florida",+All!J550,IF(+All!$F550="Central Florida",+All!J550,0))</f>
        <v>Cincinnati</v>
      </c>
      <c r="K12" s="461" t="str">
        <f>IF(+All!$H550="Central Florida",+All!K550,IF(+All!$F550="Central Florida",+All!K550,0))</f>
        <v>Central Florida</v>
      </c>
      <c r="L12" s="54">
        <f>IF(+All!$H550="Central Florida",+All!L550,IF(+All!$F550="Central Florida",+All!L550,0))</f>
        <v>0</v>
      </c>
      <c r="M12" s="55">
        <f>IF(+All!$H550="Central Florida",+All!M550,IF(+All!$F550="Central Florida",+All!M550,0))</f>
        <v>56</v>
      </c>
      <c r="N12" s="460" t="str">
        <f>IF(+All!$H550="Central Florida",+All!N550,IF(+All!$F550="Central Florida",+All!N550,0))</f>
        <v>Central Florida</v>
      </c>
      <c r="O12" s="462">
        <f>IF(+All!$H550="Central Florida",+All!O550,IF(+All!$F550="Central Florida",+All!O550,0))</f>
        <v>27</v>
      </c>
      <c r="P12" s="462" t="str">
        <f>IF(+All!$H550="Central Florida",+All!P550,IF(+All!$F550="Central Florida",+All!P550,0))</f>
        <v>Cincinnati</v>
      </c>
      <c r="Q12" s="461">
        <f>IF(+All!$H550="Central Florida",+All!Q550,IF(+All!$F550="Central Florida",+All!Q550,0))</f>
        <v>25</v>
      </c>
      <c r="R12" s="460" t="str">
        <f>IF(+All!$H550="Central Florida",+All!R550,IF(+All!$F550="Central Florida",+All!R550,0))</f>
        <v>Central Florida</v>
      </c>
      <c r="S12" s="462" t="str">
        <f>IF(+All!$H550="Central Florida",+All!S550,IF(+All!$F550="Central Florida",+All!S550,0))</f>
        <v>Cincinnati</v>
      </c>
      <c r="T12" s="460" t="str">
        <f>IF(+All!$H550="Central Florida",+All!T550,IF(+All!$F550="Central Florida",+All!T550,0))</f>
        <v>Central Florida</v>
      </c>
      <c r="U12" s="461" t="str">
        <f>IF(+All!$H550="Central Florida",+All!U550,IF(+All!$F550="Central Florida",+All!U550,0))</f>
        <v>W</v>
      </c>
    </row>
    <row r="13" spans="1:23" x14ac:dyDescent="0.8">
      <c r="A13" s="46">
        <f>IF(+All!$H603="Central Florida",+All!A603,IF(+All!$F603="Central Florida",+All!A603,0))</f>
        <v>10</v>
      </c>
      <c r="B13" s="348" t="str">
        <f>IF(+All!$H603="Central Florida",+All!B603,IF(+All!$F603="Central Florida",+All!B603,0))</f>
        <v>Sat</v>
      </c>
      <c r="C13" s="48">
        <f>IF(+All!$H603="Central Florida",+All!C603,IF(+All!$F603="Central Florida",+All!C603,0))</f>
        <v>44870</v>
      </c>
      <c r="D13" s="490">
        <f>IF(+All!$H603="Central Florida",+All!D603,IF(+All!$F603="Central Florida",+All!D603,0))</f>
        <v>0.64583333333333337</v>
      </c>
      <c r="E13" s="461" t="str">
        <f>IF(+All!$H603="Central Florida",+All!E603,IF(+All!$F603="Central Florida",+All!E603,0))</f>
        <v>ESPN2</v>
      </c>
      <c r="F13" s="51" t="str">
        <f>IF(+All!$H603="Central Florida",+All!F603,IF(+All!$F603="Central Florida",+All!F603,0))</f>
        <v>Central Florida</v>
      </c>
      <c r="G13" s="52" t="str">
        <f>IF(+All!$H603="Central Florida",+All!G603,IF(+All!$F603="Central Florida",+All!G603,0))</f>
        <v>AAC</v>
      </c>
      <c r="H13" s="51" t="str">
        <f>IF(+All!$H603="Central Florida",+All!H603,IF(+All!$F603="Central Florida",+All!H603,0))</f>
        <v>Memphis</v>
      </c>
      <c r="I13" s="52" t="str">
        <f>IF(+All!$H603="Central Florida",+All!I603,IF(+All!$F603="Central Florida",+All!I603,0))</f>
        <v>AAC</v>
      </c>
      <c r="J13" s="460" t="str">
        <f>IF(+All!$H603="Central Florida",+All!J603,IF(+All!$F603="Central Florida",+All!J603,0))</f>
        <v>Central Florida</v>
      </c>
      <c r="K13" s="461" t="str">
        <f>IF(+All!$H603="Central Florida",+All!K603,IF(+All!$F603="Central Florida",+All!K603,0))</f>
        <v>Memphis</v>
      </c>
      <c r="L13" s="54">
        <f>IF(+All!$H603="Central Florida",+All!L603,IF(+All!$F603="Central Florida",+All!L603,0))</f>
        <v>3.5</v>
      </c>
      <c r="M13" s="55">
        <f>IF(+All!$H603="Central Florida",+All!M603,IF(+All!$F603="Central Florida",+All!M603,0))</f>
        <v>58</v>
      </c>
      <c r="N13" s="460" t="str">
        <f>IF(+All!$H603="Central Florida",+All!N603,IF(+All!$F603="Central Florida",+All!N603,0))</f>
        <v>Central Florida</v>
      </c>
      <c r="O13" s="462">
        <f>IF(+All!$H603="Central Florida",+All!O603,IF(+All!$F603="Central Florida",+All!O603,0))</f>
        <v>35</v>
      </c>
      <c r="P13" s="462" t="str">
        <f>IF(+All!$H603="Central Florida",+All!P603,IF(+All!$F603="Central Florida",+All!P603,0))</f>
        <v>Memphis</v>
      </c>
      <c r="Q13" s="461">
        <f>IF(+All!$H603="Central Florida",+All!Q603,IF(+All!$F603="Central Florida",+All!Q603,0))</f>
        <v>28</v>
      </c>
      <c r="R13" s="460" t="str">
        <f>IF(+All!$H603="Central Florida",+All!R603,IF(+All!$F603="Central Florida",+All!R603,0))</f>
        <v>Central Florida</v>
      </c>
      <c r="S13" s="462" t="str">
        <f>IF(+All!$H603="Central Florida",+All!S603,IF(+All!$F603="Central Florida",+All!S603,0))</f>
        <v>Memphis</v>
      </c>
      <c r="T13" s="460" t="str">
        <f>IF(+All!$H603="Central Florida",+All!T603,IF(+All!$F603="Central Florida",+All!T603,0))</f>
        <v>Memphis</v>
      </c>
      <c r="U13" s="461" t="str">
        <f>IF(+All!$H603="Central Florida",+All!U603,IF(+All!$F603="Central Florida",+All!U603,0))</f>
        <v>L</v>
      </c>
    </row>
    <row r="14" spans="1:23" x14ac:dyDescent="0.8">
      <c r="A14" s="46">
        <f>IF(+All!$H667="Central Florida",+All!A667,IF(+All!$F667="Central Florida",+All!A667,0))</f>
        <v>11</v>
      </c>
      <c r="B14" s="348" t="str">
        <f>IF(+All!$H667="Central Florida",+All!B667,IF(+All!$F667="Central Florida",+All!B667,0))</f>
        <v>Sat</v>
      </c>
      <c r="C14" s="48">
        <f>IF(+All!$H667="Central Florida",+All!C667,IF(+All!$F667="Central Florida",+All!C667,0))</f>
        <v>44877</v>
      </c>
      <c r="D14" s="490">
        <f>IF(+All!$H667="Central Florida",+All!D667,IF(+All!$F667="Central Florida",+All!D667,0))</f>
        <v>0.64583333333333337</v>
      </c>
      <c r="E14" s="461" t="str">
        <f>IF(+All!$H667="Central Florida",+All!E667,IF(+All!$F667="Central Florida",+All!E667,0))</f>
        <v>ESPN2</v>
      </c>
      <c r="F14" s="51" t="str">
        <f>IF(+All!$H667="Central Florida",+All!F667,IF(+All!$F667="Central Florida",+All!F667,0))</f>
        <v>Central Florida</v>
      </c>
      <c r="G14" s="52" t="str">
        <f>IF(+All!$H667="Central Florida",+All!G667,IF(+All!$F667="Central Florida",+All!G667,0))</f>
        <v>AAC</v>
      </c>
      <c r="H14" s="51" t="str">
        <f>IF(+All!$H667="Central Florida",+All!H667,IF(+All!$F667="Central Florida",+All!H667,0))</f>
        <v>Tulane</v>
      </c>
      <c r="I14" s="52" t="str">
        <f>IF(+All!$H667="Central Florida",+All!I667,IF(+All!$F667="Central Florida",+All!I667,0))</f>
        <v>AAC</v>
      </c>
      <c r="J14" s="460" t="str">
        <f>IF(+All!$H667="Central Florida",+All!J667,IF(+All!$F667="Central Florida",+All!J667,0))</f>
        <v>Tulane</v>
      </c>
      <c r="K14" s="461" t="str">
        <f>IF(+All!$H667="Central Florida",+All!K667,IF(+All!$F667="Central Florida",+All!K667,0))</f>
        <v>Central Florida</v>
      </c>
      <c r="L14" s="54">
        <f>IF(+All!$H667="Central Florida",+All!L667,IF(+All!$F667="Central Florida",+All!L667,0))</f>
        <v>2</v>
      </c>
      <c r="M14" s="55">
        <f>IF(+All!$H667="Central Florida",+All!M667,IF(+All!$F667="Central Florida",+All!M667,0))</f>
        <v>54.5</v>
      </c>
      <c r="N14" s="460" t="str">
        <f>IF(+All!$H667="Central Florida",+All!N667,IF(+All!$F667="Central Florida",+All!N667,0))</f>
        <v>Central Florida</v>
      </c>
      <c r="O14" s="462">
        <f>IF(+All!$H667="Central Florida",+All!O667,IF(+All!$F667="Central Florida",+All!O667,0))</f>
        <v>38</v>
      </c>
      <c r="P14" s="462" t="str">
        <f>IF(+All!$H667="Central Florida",+All!P667,IF(+All!$F667="Central Florida",+All!P667,0))</f>
        <v>Tulane</v>
      </c>
      <c r="Q14" s="461">
        <f>IF(+All!$H667="Central Florida",+All!Q667,IF(+All!$F667="Central Florida",+All!Q667,0))</f>
        <v>31</v>
      </c>
      <c r="R14" s="460" t="str">
        <f>IF(+All!$H667="Central Florida",+All!R667,IF(+All!$F667="Central Florida",+All!R667,0))</f>
        <v>Central Florida</v>
      </c>
      <c r="S14" s="462" t="str">
        <f>IF(+All!$H667="Central Florida",+All!S667,IF(+All!$F667="Central Florida",+All!S667,0))</f>
        <v>Tulane</v>
      </c>
      <c r="T14" s="460" t="str">
        <f>IF(+All!$H667="Central Florida",+All!T667,IF(+All!$F667="Central Florida",+All!T667,0))</f>
        <v>Tulane</v>
      </c>
      <c r="U14" s="461" t="str">
        <f>IF(+All!$H667="Central Florida",+All!U667,IF(+All!$F667="Central Florida",+All!U667,0))</f>
        <v>L</v>
      </c>
    </row>
    <row r="15" spans="1:23" x14ac:dyDescent="0.8">
      <c r="A15" s="46">
        <f>IF(+All!$H726="Central Florida",+All!A726,IF(+All!$F726="Central Florida",+All!A726,0))</f>
        <v>12</v>
      </c>
      <c r="B15" s="348" t="str">
        <f>IF(+All!$H726="Central Florida",+All!B726,IF(+All!$F726="Central Florida",+All!B726,0))</f>
        <v>Sat</v>
      </c>
      <c r="C15" s="48">
        <f>IF(+All!$H726="Central Florida",+All!C726,IF(+All!$F726="Central Florida",+All!C726,0))</f>
        <v>44884</v>
      </c>
      <c r="D15" s="490">
        <f>IF(+All!$H726="Central Florida",+All!D726,IF(+All!$F726="Central Florida",+All!D726,0))</f>
        <v>0.45833333333333331</v>
      </c>
      <c r="E15" s="461" t="str">
        <f>IF(+All!$H726="Central Florida",+All!E726,IF(+All!$F726="Central Florida",+All!E726,0))</f>
        <v>ESPN2</v>
      </c>
      <c r="F15" s="51" t="str">
        <f>IF(+All!$H726="Central Florida",+All!F726,IF(+All!$F726="Central Florida",+All!F726,0))</f>
        <v>Navy</v>
      </c>
      <c r="G15" s="52" t="str">
        <f>IF(+All!$H726="Central Florida",+All!G726,IF(+All!$F726="Central Florida",+All!G726,0))</f>
        <v>AAC</v>
      </c>
      <c r="H15" s="51" t="str">
        <f>IF(+All!$H726="Central Florida",+All!H726,IF(+All!$F726="Central Florida",+All!H726,0))</f>
        <v>Central Florida</v>
      </c>
      <c r="I15" s="52" t="str">
        <f>IF(+All!$H726="Central Florida",+All!I726,IF(+All!$F726="Central Florida",+All!I726,0))</f>
        <v>AAC</v>
      </c>
      <c r="J15" s="460" t="str">
        <f>IF(+All!$H726="Central Florida",+All!J726,IF(+All!$F726="Central Florida",+All!J726,0))</f>
        <v>Central Florida</v>
      </c>
      <c r="K15" s="461" t="str">
        <f>IF(+All!$H726="Central Florida",+All!K726,IF(+All!$F726="Central Florida",+All!K726,0))</f>
        <v>Navy</v>
      </c>
      <c r="L15" s="54">
        <f>IF(+All!$H726="Central Florida",+All!L726,IF(+All!$F726="Central Florida",+All!L726,0))</f>
        <v>16.5</v>
      </c>
      <c r="M15" s="55">
        <f>IF(+All!$H726="Central Florida",+All!M726,IF(+All!$F726="Central Florida",+All!M726,0))</f>
        <v>53</v>
      </c>
      <c r="N15" s="460" t="str">
        <f>IF(+All!$H726="Central Florida",+All!N726,IF(+All!$F726="Central Florida",+All!N726,0))</f>
        <v>Navy</v>
      </c>
      <c r="O15" s="462">
        <f>IF(+All!$H726="Central Florida",+All!O726,IF(+All!$F726="Central Florida",+All!O726,0))</f>
        <v>17</v>
      </c>
      <c r="P15" s="462" t="str">
        <f>IF(+All!$H726="Central Florida",+All!P726,IF(+All!$F726="Central Florida",+All!P726,0))</f>
        <v>Central Florida</v>
      </c>
      <c r="Q15" s="461">
        <f>IF(+All!$H726="Central Florida",+All!Q726,IF(+All!$F726="Central Florida",+All!Q726,0))</f>
        <v>14</v>
      </c>
      <c r="R15" s="460" t="str">
        <f>IF(+All!$H726="Central Florida",+All!R726,IF(+All!$F726="Central Florida",+All!R726,0))</f>
        <v>Navy</v>
      </c>
      <c r="S15" s="462" t="str">
        <f>IF(+All!$H726="Central Florida",+All!S726,IF(+All!$F726="Central Florida",+All!S726,0))</f>
        <v>Central Florida</v>
      </c>
      <c r="T15" s="460" t="str">
        <f>IF(+All!$H726="Central Florida",+All!T726,IF(+All!$F726="Central Florida",+All!T726,0))</f>
        <v>Navy</v>
      </c>
      <c r="U15" s="461" t="str">
        <f>IF(+All!$H726="Central Florida",+All!U726,IF(+All!$F726="Central Florida",+All!U726,0))</f>
        <v>W</v>
      </c>
    </row>
    <row r="16" spans="1:23" x14ac:dyDescent="0.8">
      <c r="A16" s="46">
        <f>IF(+All!$H801="Central Florida",+All!A801,IF(+All!$F801="Central Florida",+All!A801,0))</f>
        <v>13</v>
      </c>
      <c r="B16" s="348" t="str">
        <f>IF(+All!$H801="Central Florida",+All!B801,IF(+All!$F801="Central Florida",+All!B801,0))</f>
        <v>Sat</v>
      </c>
      <c r="C16" s="48">
        <f>IF(+All!$H801="Central Florida",+All!C801,IF(+All!$F801="Central Florida",+All!C801,0))</f>
        <v>44891</v>
      </c>
      <c r="D16" s="490">
        <f>IF(+All!$H801="Central Florida",+All!D801,IF(+All!$F801="Central Florida",+All!D801,0))</f>
        <v>0.79166666666666663</v>
      </c>
      <c r="E16" s="461" t="str">
        <f>IF(+All!$H801="Central Florida",+All!E801,IF(+All!$F801="Central Florida",+All!E801,0))</f>
        <v>ESPN2</v>
      </c>
      <c r="F16" s="51" t="str">
        <f>IF(+All!$H801="Central Florida",+All!F801,IF(+All!$F801="Central Florida",+All!F801,0))</f>
        <v>Central Florida</v>
      </c>
      <c r="G16" s="52" t="str">
        <f>IF(+All!$H801="Central Florida",+All!G801,IF(+All!$F801="Central Florida",+All!G801,0))</f>
        <v>AAC</v>
      </c>
      <c r="H16" s="51" t="str">
        <f>IF(+All!$H801="Central Florida",+All!H801,IF(+All!$F801="Central Florida",+All!H801,0))</f>
        <v>South Florida</v>
      </c>
      <c r="I16" s="52" t="str">
        <f>IF(+All!$H801="Central Florida",+All!I801,IF(+All!$F801="Central Florida",+All!I801,0))</f>
        <v>AAC</v>
      </c>
      <c r="J16" s="460" t="str">
        <f>IF(+All!$H801="Central Florida",+All!J801,IF(+All!$F801="Central Florida",+All!J801,0))</f>
        <v>Central Florida</v>
      </c>
      <c r="K16" s="461" t="str">
        <f>IF(+All!$H801="Central Florida",+All!K801,IF(+All!$F801="Central Florida",+All!K801,0))</f>
        <v>South Florida</v>
      </c>
      <c r="L16" s="54">
        <f>IF(+All!$H801="Central Florida",+All!L801,IF(+All!$F801="Central Florida",+All!L801,0))</f>
        <v>20</v>
      </c>
      <c r="M16" s="55">
        <f>IF(+All!$H801="Central Florida",+All!M801,IF(+All!$F801="Central Florida",+All!M801,0))</f>
        <v>67.5</v>
      </c>
      <c r="N16" s="460" t="str">
        <f>IF(+All!$H801="Central Florida",+All!N801,IF(+All!$F801="Central Florida",+All!N801,0))</f>
        <v>Central Florida</v>
      </c>
      <c r="O16" s="462">
        <f>IF(+All!$H801="Central Florida",+All!O801,IF(+All!$F801="Central Florida",+All!O801,0))</f>
        <v>46</v>
      </c>
      <c r="P16" s="462" t="str">
        <f>IF(+All!$H801="Central Florida",+All!P801,IF(+All!$F801="Central Florida",+All!P801,0))</f>
        <v>South Florida</v>
      </c>
      <c r="Q16" s="461">
        <f>IF(+All!$H801="Central Florida",+All!Q801,IF(+All!$F801="Central Florida",+All!Q801,0))</f>
        <v>39</v>
      </c>
      <c r="R16" s="460" t="str">
        <f>IF(+All!$H801="Central Florida",+All!R801,IF(+All!$F801="Central Florida",+All!R801,0))</f>
        <v>South Florida</v>
      </c>
      <c r="S16" s="462" t="str">
        <f>IF(+All!$H801="Central Florida",+All!S801,IF(+All!$F801="Central Florida",+All!S801,0))</f>
        <v>Central Florida</v>
      </c>
      <c r="T16" s="460" t="str">
        <f>IF(+All!$H801="Central Florida",+All!T801,IF(+All!$F801="Central Florida",+All!T801,0))</f>
        <v>South Florida</v>
      </c>
      <c r="U16" s="461" t="str">
        <f>IF(+All!$H801="Central Florida",+All!U801,IF(+All!$F801="Central Florida",+All!U801,0))</f>
        <v>W</v>
      </c>
    </row>
    <row r="17" spans="1:21" x14ac:dyDescent="0.8">
      <c r="B17" s="46"/>
      <c r="C17" s="62"/>
      <c r="D17" s="49"/>
      <c r="E17" s="461"/>
      <c r="F17" s="897" t="str">
        <f>H19</f>
        <v>Cincinnati</v>
      </c>
      <c r="G17" s="898"/>
      <c r="H17" s="898"/>
      <c r="I17" s="899"/>
      <c r="J17" s="460"/>
      <c r="K17" s="461"/>
      <c r="L17" s="54"/>
      <c r="M17" s="55"/>
      <c r="N17" s="460"/>
      <c r="O17" s="462"/>
      <c r="P17" s="462"/>
      <c r="Q17" s="461"/>
      <c r="R17" s="460"/>
      <c r="S17" s="462"/>
      <c r="T17" s="460"/>
      <c r="U17" s="461"/>
    </row>
    <row r="18" spans="1:21" x14ac:dyDescent="0.8">
      <c r="A18" s="46">
        <f>IF(+All!$F60="Cincinnati",+All!A60,IF(+All!$H60="Cincinnati",+All!A60,0))</f>
        <v>1</v>
      </c>
      <c r="B18" s="348" t="str">
        <f>IF(+All!$F60="Cincinnati",+All!B60,IF(+All!$H60="Cincinnati",+All!B60,0))</f>
        <v>Sat</v>
      </c>
      <c r="C18" s="48">
        <f>IF(+All!$F60="Cincinnati",+All!C60,IF(+All!$H60="Cincinnati",+All!C60,0))</f>
        <v>44807</v>
      </c>
      <c r="D18" s="490">
        <f>IF(+All!$F60="Cincinnati",+All!D60,IF(+All!$H60="Cincinnati",+All!D60,0))</f>
        <v>0.64583333333333337</v>
      </c>
      <c r="E18" s="461" t="str">
        <f>IF(+All!$F60="Cincinnati",+All!E60,IF(+All!$H60="Cincinnati",+All!E60,0))</f>
        <v>ESPN</v>
      </c>
      <c r="F18" s="51" t="str">
        <f>IF(+All!$F60="Cincinnati",+All!F60,IF(+All!$H60="Cincinnati",+All!F60,0))</f>
        <v>Cincinnati</v>
      </c>
      <c r="G18" s="52" t="str">
        <f>IF(+All!$F60="Cincinnati",+All!G60,IF(+All!$H60="Cincinnati",+All!G60,0))</f>
        <v>AAC</v>
      </c>
      <c r="H18" s="51" t="str">
        <f>IF(+All!$F60="Cincinnati",+All!H60,IF(+All!$H60="Cincinnati",+All!H60,0))</f>
        <v>Arkansas</v>
      </c>
      <c r="I18" s="52" t="str">
        <f>IF(+All!$F60="Cincinnati",+All!I60,IF(+All!$H60="Cincinnati",+All!I60,0))</f>
        <v>SEC</v>
      </c>
      <c r="J18" s="460" t="str">
        <f>IF(+All!$F60="Cincinnati",+All!J60,IF(+All!$H60="Cincinnati",+All!J60,0))</f>
        <v>Arkansas</v>
      </c>
      <c r="K18" s="461" t="str">
        <f>IF(+All!$F60="Cincinnati",+All!K60,IF(+All!$H60="Cincinnati",+All!K60,0))</f>
        <v>Cincinnati</v>
      </c>
      <c r="L18" s="54">
        <f>IF(+All!$F60="Cincinnati",+All!L60,IF(+All!$H60="Cincinnati",+All!L60,0))</f>
        <v>6.5</v>
      </c>
      <c r="M18" s="55">
        <f>IF(+All!$F60="Cincinnati",+All!M60,IF(+All!$H60="Cincinnati",+All!M60,0))</f>
        <v>52</v>
      </c>
      <c r="N18" s="460" t="str">
        <f>IF(+All!$F60="Cincinnati",+All!N60,IF(+All!$H60="Cincinnati",+All!N60,0))</f>
        <v>Arkansas</v>
      </c>
      <c r="O18" s="462">
        <f>IF(+All!$F60="Cincinnati",+All!O60,IF(+All!$H60="Cincinnati",+All!O60,0))</f>
        <v>31</v>
      </c>
      <c r="P18" s="462" t="str">
        <f>IF(+All!$F60="Cincinnati",+All!P60,IF(+All!$H60="Cincinnati",+All!P60,0))</f>
        <v>Cincinnati</v>
      </c>
      <c r="Q18" s="461">
        <f>IF(+All!$F60="Cincinnati",+All!Q60,IF(+All!$H60="Cincinnati",+All!Q60,0))</f>
        <v>24</v>
      </c>
      <c r="R18" s="460" t="str">
        <f>IF(+All!$F60="Cincinnati",+All!R60,IF(+All!$H60="Cincinnati",+All!R60,0))</f>
        <v>Arkansas</v>
      </c>
      <c r="S18" s="462" t="str">
        <f>IF(+All!$F60="Cincinnati",+All!S60,IF(+All!$H60="Cincinnati",+All!S60,0))</f>
        <v>Cincinnati</v>
      </c>
      <c r="T18" s="460" t="str">
        <f>IF(+All!$F60="Cincinnati",+All!T60,IF(+All!$H60="Cincinnati",+All!T60,0))</f>
        <v>Arkansas</v>
      </c>
      <c r="U18" s="461" t="str">
        <f>IF(+All!$F60="Cincinnati",+All!U60,IF(+All!$H60="Cincinnati",+All!U60,0))</f>
        <v>W</v>
      </c>
    </row>
    <row r="19" spans="1:21" x14ac:dyDescent="0.8">
      <c r="A19" s="46">
        <f>IF(+All!$F100="Cincinnati",+All!A100,IF(+All!$H100="Cincinnati",+All!A100,0))</f>
        <v>2</v>
      </c>
      <c r="B19" s="348" t="str">
        <f>IF(+All!$F100="Cincinnati",+All!B100,IF(+All!$H100="Cincinnati",+All!B100,0))</f>
        <v>Sat</v>
      </c>
      <c r="C19" s="48">
        <f>IF(+All!$F100="Cincinnati",+All!C100,IF(+All!$H100="Cincinnati",+All!C100,0))</f>
        <v>44814</v>
      </c>
      <c r="D19" s="490">
        <f>IF(+All!$F100="Cincinnati",+All!D100,IF(+All!$H100="Cincinnati",+All!D100,0))</f>
        <v>0.64583333333333337</v>
      </c>
      <c r="E19" s="461">
        <f>IF(+All!$F100="Cincinnati",+All!E100,IF(+All!$H100="Cincinnati",+All!E100,0))</f>
        <v>0</v>
      </c>
      <c r="F19" s="51" t="str">
        <f>IF(+All!$F100="Cincinnati",+All!F100,IF(+All!$H100="Cincinnati",+All!F100,0))</f>
        <v>1AA Kennesaw State</v>
      </c>
      <c r="G19" s="52" t="str">
        <f>IF(+All!$F100="Cincinnati",+All!G100,IF(+All!$H100="Cincinnati",+All!G100,0))</f>
        <v>1AA</v>
      </c>
      <c r="H19" s="51" t="str">
        <f>IF(+All!$F100="Cincinnati",+All!H100,IF(+All!$H100="Cincinnati",+All!H100,0))</f>
        <v>Cincinnati</v>
      </c>
      <c r="I19" s="52" t="str">
        <f>IF(+All!$F100="Cincinnati",+All!I100,IF(+All!$H100="Cincinnati",+All!I100,0))</f>
        <v>AAC</v>
      </c>
      <c r="J19" s="460">
        <f>IF(+All!$F100="Cincinnati",+All!J100,IF(+All!$H100="Cincinnati",+All!J100,0))</f>
        <v>0</v>
      </c>
      <c r="K19" s="461">
        <f>IF(+All!$F100="Cincinnati",+All!K100,IF(+All!$H100="Cincinnati",+All!K100,0))</f>
        <v>0</v>
      </c>
      <c r="L19" s="54">
        <f>IF(+All!$F100="Cincinnati",+All!L100,IF(+All!$H100="Cincinnati",+All!L100,0))</f>
        <v>0</v>
      </c>
      <c r="M19" s="55">
        <f>IF(+All!$F100="Cincinnati",+All!M100,IF(+All!$H100="Cincinnati",+All!M100,0))</f>
        <v>0</v>
      </c>
      <c r="N19" s="460" t="str">
        <f>IF(+All!$F100="Cincinnati",+All!N100,IF(+All!$H100="Cincinnati",+All!N100,0))</f>
        <v>Cincinnati</v>
      </c>
      <c r="O19" s="462">
        <f>IF(+All!$F100="Cincinnati",+All!O100,IF(+All!$H100="Cincinnati",+All!O100,0))</f>
        <v>63</v>
      </c>
      <c r="P19" s="462" t="str">
        <f>IF(+All!$F100="Cincinnati",+All!P100,IF(+All!$H100="Cincinnati",+All!P100,0))</f>
        <v>1AA Kennesaw State</v>
      </c>
      <c r="Q19" s="461">
        <f>IF(+All!$F100="Cincinnati",+All!Q100,IF(+All!$H100="Cincinnati",+All!Q100,0))</f>
        <v>10</v>
      </c>
      <c r="R19" s="460">
        <f>IF(+All!$F100="Cincinnati",+All!R100,IF(+All!$H100="Cincinnati",+All!R100,0))</f>
        <v>0</v>
      </c>
      <c r="S19" s="462">
        <f>IF(+All!$F100="Cincinnati",+All!S100,IF(+All!$H100="Cincinnati",+All!S100,0))</f>
        <v>0</v>
      </c>
      <c r="T19" s="460">
        <f>IF(+All!$F100="Cincinnati",+All!T100,IF(+All!$H100="Cincinnati",+All!T100,0))</f>
        <v>0</v>
      </c>
      <c r="U19" s="461">
        <f>IF(+All!$F100="Cincinnati",+All!U100,IF(+All!$H100="Cincinnati",+All!U100,0))</f>
        <v>0</v>
      </c>
    </row>
    <row r="20" spans="1:21" x14ac:dyDescent="0.8">
      <c r="A20" s="46">
        <f>IF(+All!$F182="Cincinnati",+All!A182,IF(+All!$H182="Cincinnati",+All!A182,0))</f>
        <v>3</v>
      </c>
      <c r="B20" s="348" t="str">
        <f>IF(+All!$F182="Cincinnati",+All!B182,IF(+All!$H182="Cincinnati",+All!B182,0))</f>
        <v>Sat</v>
      </c>
      <c r="C20" s="48">
        <f>IF(+All!$F182="Cincinnati",+All!C182,IF(+All!$H182="Cincinnati",+All!C182,0))</f>
        <v>44821</v>
      </c>
      <c r="D20" s="490">
        <f>IF(+All!$F182="Cincinnati",+All!D182,IF(+All!$H182="Cincinnati",+All!D182,0))</f>
        <v>0.5</v>
      </c>
      <c r="E20" s="461" t="str">
        <f>IF(+All!$F182="Cincinnati",+All!E182,IF(+All!$H182="Cincinnati",+All!E182,0))</f>
        <v>ESPNU</v>
      </c>
      <c r="F20" s="51" t="str">
        <f>IF(+All!$F182="Cincinnati",+All!F182,IF(+All!$H182="Cincinnati",+All!F182,0))</f>
        <v>Miami (OH)</v>
      </c>
      <c r="G20" s="52" t="str">
        <f>IF(+All!$F182="Cincinnati",+All!G182,IF(+All!$H182="Cincinnati",+All!G182,0))</f>
        <v>MAC</v>
      </c>
      <c r="H20" s="51" t="str">
        <f>IF(+All!$F182="Cincinnati",+All!H182,IF(+All!$H182="Cincinnati",+All!H182,0))</f>
        <v>Cincinnati</v>
      </c>
      <c r="I20" s="52" t="str">
        <f>IF(+All!$F182="Cincinnati",+All!I182,IF(+All!$H182="Cincinnati",+All!I182,0))</f>
        <v>AAC</v>
      </c>
      <c r="J20" s="460" t="str">
        <f>IF(+All!$F182="Cincinnati",+All!J182,IF(+All!$H182="Cincinnati",+All!J182,0))</f>
        <v>Cincinnati</v>
      </c>
      <c r="K20" s="461" t="str">
        <f>IF(+All!$F182="Cincinnati",+All!K182,IF(+All!$H182="Cincinnati",+All!K182,0))</f>
        <v>Miami (OH)</v>
      </c>
      <c r="L20" s="54">
        <f>IF(+All!$F182="Cincinnati",+All!L182,IF(+All!$H182="Cincinnati",+All!L182,0))</f>
        <v>22</v>
      </c>
      <c r="M20" s="55">
        <f>IF(+All!$F182="Cincinnati",+All!M182,IF(+All!$H182="Cincinnati",+All!M182,0))</f>
        <v>51</v>
      </c>
      <c r="N20" s="460" t="str">
        <f>IF(+All!$F182="Cincinnati",+All!N182,IF(+All!$H182="Cincinnati",+All!N182,0))</f>
        <v>Cincinnati</v>
      </c>
      <c r="O20" s="462">
        <f>IF(+All!$F182="Cincinnati",+All!O182,IF(+All!$H182="Cincinnati",+All!O182,0))</f>
        <v>38</v>
      </c>
      <c r="P20" s="462" t="str">
        <f>IF(+All!$F182="Cincinnati",+All!P182,IF(+All!$H182="Cincinnati",+All!P182,0))</f>
        <v>Miami (OH)</v>
      </c>
      <c r="Q20" s="461">
        <f>IF(+All!$F182="Cincinnati",+All!Q182,IF(+All!$H182="Cincinnati",+All!Q182,0))</f>
        <v>17</v>
      </c>
      <c r="R20" s="460" t="str">
        <f>IF(+All!$F182="Cincinnati",+All!R182,IF(+All!$H182="Cincinnati",+All!R182,0))</f>
        <v>Miami (OH)</v>
      </c>
      <c r="S20" s="462" t="str">
        <f>IF(+All!$F182="Cincinnati",+All!S182,IF(+All!$H182="Cincinnati",+All!S182,0))</f>
        <v>Cincinnati</v>
      </c>
      <c r="T20" s="460" t="str">
        <f>IF(+All!$F182="Cincinnati",+All!T182,IF(+All!$H182="Cincinnati",+All!T182,0))</f>
        <v>Miami (OH)</v>
      </c>
      <c r="U20" s="461" t="str">
        <f>IF(+All!$F182="Cincinnati",+All!U182,IF(+All!$H182="Cincinnati",+All!U182,0))</f>
        <v>W</v>
      </c>
    </row>
    <row r="21" spans="1:21" x14ac:dyDescent="0.8">
      <c r="A21" s="46">
        <f>IF(+All!$F259="Cincinnati",+All!A259,IF(+All!$H259="Cincinnati",+All!A259,0))</f>
        <v>4</v>
      </c>
      <c r="B21" s="348" t="str">
        <f>IF(+All!$F259="Cincinnati",+All!B259,IF(+All!$H259="Cincinnati",+All!B259,0))</f>
        <v>Sat</v>
      </c>
      <c r="C21" s="48">
        <f>IF(+All!$F259="Cincinnati",+All!C259,IF(+All!$H259="Cincinnati",+All!C259,0))</f>
        <v>44828</v>
      </c>
      <c r="D21" s="490">
        <f>IF(+All!$F259="Cincinnati",+All!D259,IF(+All!$H259="Cincinnati",+All!D259,0))</f>
        <v>0.64583333333333337</v>
      </c>
      <c r="E21" s="461" t="str">
        <f>IF(+All!$F259="Cincinnati",+All!E259,IF(+All!$H259="Cincinnati",+All!E259,0))</f>
        <v>ESPN2</v>
      </c>
      <c r="F21" s="51" t="str">
        <f>IF(+All!$F259="Cincinnati",+All!F259,IF(+All!$H259="Cincinnati",+All!F259,0))</f>
        <v>Indiana</v>
      </c>
      <c r="G21" s="52" t="str">
        <f>IF(+All!$F259="Cincinnati",+All!G259,IF(+All!$H259="Cincinnati",+All!G259,0))</f>
        <v>B10</v>
      </c>
      <c r="H21" s="51" t="str">
        <f>IF(+All!$F259="Cincinnati",+All!H259,IF(+All!$H259="Cincinnati",+All!H259,0))</f>
        <v>Cincinnati</v>
      </c>
      <c r="I21" s="52" t="str">
        <f>IF(+All!$F259="Cincinnati",+All!I259,IF(+All!$H259="Cincinnati",+All!I259,0))</f>
        <v>AAC</v>
      </c>
      <c r="J21" s="460" t="str">
        <f>IF(+All!$F259="Cincinnati",+All!J259,IF(+All!$H259="Cincinnati",+All!J259,0))</f>
        <v>Cincinnati</v>
      </c>
      <c r="K21" s="461" t="str">
        <f>IF(+All!$F259="Cincinnati",+All!K259,IF(+All!$H259="Cincinnati",+All!K259,0))</f>
        <v>Indiana</v>
      </c>
      <c r="L21" s="54">
        <f>IF(+All!$F259="Cincinnati",+All!L259,IF(+All!$H259="Cincinnati",+All!L259,0))</f>
        <v>17</v>
      </c>
      <c r="M21" s="55">
        <f>IF(+All!$F259="Cincinnati",+All!M259,IF(+All!$H259="Cincinnati",+All!M259,0))</f>
        <v>57.5</v>
      </c>
      <c r="N21" s="460" t="str">
        <f>IF(+All!$F259="Cincinnati",+All!N259,IF(+All!$H259="Cincinnati",+All!N259,0))</f>
        <v>Cincinnati</v>
      </c>
      <c r="O21" s="462">
        <f>IF(+All!$F259="Cincinnati",+All!O259,IF(+All!$H259="Cincinnati",+All!O259,0))</f>
        <v>45</v>
      </c>
      <c r="P21" s="462" t="str">
        <f>IF(+All!$F259="Cincinnati",+All!P259,IF(+All!$H259="Cincinnati",+All!P259,0))</f>
        <v>Indiana</v>
      </c>
      <c r="Q21" s="461">
        <f>IF(+All!$F259="Cincinnati",+All!Q259,IF(+All!$H259="Cincinnati",+All!Q259,0))</f>
        <v>24</v>
      </c>
      <c r="R21" s="460" t="str">
        <f>IF(+All!$F259="Cincinnati",+All!R259,IF(+All!$H259="Cincinnati",+All!R259,0))</f>
        <v>Cincinnati</v>
      </c>
      <c r="S21" s="462" t="str">
        <f>IF(+All!$F259="Cincinnati",+All!S259,IF(+All!$H259="Cincinnati",+All!S259,0))</f>
        <v>Indiana</v>
      </c>
      <c r="T21" s="460" t="str">
        <f>IF(+All!$F259="Cincinnati",+All!T259,IF(+All!$H259="Cincinnati",+All!T259,0))</f>
        <v>Indiana</v>
      </c>
      <c r="U21" s="461" t="str">
        <f>IF(+All!$F259="Cincinnati",+All!U259,IF(+All!$H259="Cincinnati",+All!U259,0))</f>
        <v>L</v>
      </c>
    </row>
    <row r="22" spans="1:21" x14ac:dyDescent="0.8">
      <c r="A22" s="46">
        <f>IF(+All!$F327="Cincinnati",+All!A327,IF(+All!$H327="Cincinnati",+All!A327,0))</f>
        <v>5</v>
      </c>
      <c r="B22" s="348" t="str">
        <f>IF(+All!$F327="Cincinnati",+All!B327,IF(+All!$H327="Cincinnati",+All!B327,0))</f>
        <v>Sat</v>
      </c>
      <c r="C22" s="48">
        <f>IF(+All!$F327="Cincinnati",+All!C327,IF(+All!$H327="Cincinnati",+All!C327,0))</f>
        <v>44835</v>
      </c>
      <c r="D22" s="490">
        <f>IF(+All!$F327="Cincinnati",+All!D327,IF(+All!$H327="Cincinnati",+All!D327,0))</f>
        <v>0.79166666666666663</v>
      </c>
      <c r="E22" s="461" t="str">
        <f>IF(+All!$F327="Cincinnati",+All!E327,IF(+All!$H327="Cincinnati",+All!E327,0))</f>
        <v>ESPNU</v>
      </c>
      <c r="F22" s="51" t="str">
        <f>IF(+All!$F327="Cincinnati",+All!F327,IF(+All!$H327="Cincinnati",+All!F327,0))</f>
        <v>Cincinnati</v>
      </c>
      <c r="G22" s="52" t="str">
        <f>IF(+All!$F327="Cincinnati",+All!G327,IF(+All!$H327="Cincinnati",+All!G327,0))</f>
        <v>AAC</v>
      </c>
      <c r="H22" s="51" t="str">
        <f>IF(+All!$F327="Cincinnati",+All!H327,IF(+All!$H327="Cincinnati",+All!H327,0))</f>
        <v>Tulsa</v>
      </c>
      <c r="I22" s="52" t="str">
        <f>IF(+All!$F327="Cincinnati",+All!I327,IF(+All!$H327="Cincinnati",+All!I327,0))</f>
        <v>AAC</v>
      </c>
      <c r="J22" s="460" t="str">
        <f>IF(+All!$F327="Cincinnati",+All!J327,IF(+All!$H327="Cincinnati",+All!J327,0))</f>
        <v>Cincinnati</v>
      </c>
      <c r="K22" s="461" t="str">
        <f>IF(+All!$F327="Cincinnati",+All!K327,IF(+All!$H327="Cincinnati",+All!K327,0))</f>
        <v>Tulsa</v>
      </c>
      <c r="L22" s="54">
        <f>IF(+All!$F327="Cincinnati",+All!L327,IF(+All!$H327="Cincinnati",+All!L327,0))</f>
        <v>9.5</v>
      </c>
      <c r="M22" s="55">
        <f>IF(+All!$F327="Cincinnati",+All!M327,IF(+All!$H327="Cincinnati",+All!M327,0))</f>
        <v>61</v>
      </c>
      <c r="N22" s="460" t="str">
        <f>IF(+All!$F327="Cincinnati",+All!N327,IF(+All!$H327="Cincinnati",+All!N327,0))</f>
        <v>Cincinnati</v>
      </c>
      <c r="O22" s="462">
        <f>IF(+All!$F327="Cincinnati",+All!O327,IF(+All!$H327="Cincinnati",+All!O327,0))</f>
        <v>31</v>
      </c>
      <c r="P22" s="462" t="str">
        <f>IF(+All!$F327="Cincinnati",+All!P327,IF(+All!$H327="Cincinnati",+All!P327,0))</f>
        <v>Tulsa</v>
      </c>
      <c r="Q22" s="461">
        <f>IF(+All!$F327="Cincinnati",+All!Q327,IF(+All!$H327="Cincinnati",+All!Q327,0))</f>
        <v>21</v>
      </c>
      <c r="R22" s="460" t="str">
        <f>IF(+All!$F327="Cincinnati",+All!R327,IF(+All!$H327="Cincinnati",+All!R327,0))</f>
        <v>Cincinnati</v>
      </c>
      <c r="S22" s="462" t="str">
        <f>IF(+All!$F327="Cincinnati",+All!S327,IF(+All!$H327="Cincinnati",+All!S327,0))</f>
        <v>Tulsa</v>
      </c>
      <c r="T22" s="460" t="str">
        <f>IF(+All!$F327="Cincinnati",+All!T327,IF(+All!$H327="Cincinnati",+All!T327,0))</f>
        <v>Tulsa</v>
      </c>
      <c r="U22" s="461" t="str">
        <f>IF(+All!$F327="Cincinnati",+All!U327,IF(+All!$H327="Cincinnati",+All!U327,0))</f>
        <v>L</v>
      </c>
    </row>
    <row r="23" spans="1:21" x14ac:dyDescent="0.8">
      <c r="A23" s="46">
        <f>IF(+All!$F386="Cincinnati",+All!A386,IF(+All!$H386="Cincinnati",+All!A386,0))</f>
        <v>6</v>
      </c>
      <c r="B23" s="348" t="str">
        <f>IF(+All!$F386="Cincinnati",+All!B386,IF(+All!$H386="Cincinnati",+All!B386,0))</f>
        <v>Sat</v>
      </c>
      <c r="C23" s="48">
        <f>IF(+All!$F386="Cincinnati",+All!C386,IF(+All!$H386="Cincinnati",+All!C386,0))</f>
        <v>44842</v>
      </c>
      <c r="D23" s="490">
        <f>IF(+All!$F386="Cincinnati",+All!D386,IF(+All!$H386="Cincinnati",+All!D386,0))</f>
        <v>0.60416666666666663</v>
      </c>
      <c r="E23" s="461">
        <f>IF(+All!$F386="Cincinnati",+All!E386,IF(+All!$H386="Cincinnati",+All!E386,0))</f>
        <v>0</v>
      </c>
      <c r="F23" s="51" t="str">
        <f>IF(+All!$F386="Cincinnati",+All!F386,IF(+All!$H386="Cincinnati",+All!F386,0))</f>
        <v>South Florida</v>
      </c>
      <c r="G23" s="52" t="str">
        <f>IF(+All!$F386="Cincinnati",+All!G386,IF(+All!$H386="Cincinnati",+All!G386,0))</f>
        <v>AAC</v>
      </c>
      <c r="H23" s="51" t="str">
        <f>IF(+All!$F386="Cincinnati",+All!H386,IF(+All!$H386="Cincinnati",+All!H386,0))</f>
        <v>Cincinnati</v>
      </c>
      <c r="I23" s="52" t="str">
        <f>IF(+All!$F386="Cincinnati",+All!I386,IF(+All!$H386="Cincinnati",+All!I386,0))</f>
        <v>AAC</v>
      </c>
      <c r="J23" s="460" t="str">
        <f>IF(+All!$F386="Cincinnati",+All!J386,IF(+All!$H386="Cincinnati",+All!J386,0))</f>
        <v>Cincinnati</v>
      </c>
      <c r="K23" s="461" t="str">
        <f>IF(+All!$F386="Cincinnati",+All!K386,IF(+All!$H386="Cincinnati",+All!K386,0))</f>
        <v>South Florida</v>
      </c>
      <c r="L23" s="54">
        <f>IF(+All!$F386="Cincinnati",+All!L386,IF(+All!$H386="Cincinnati",+All!L386,0))</f>
        <v>27.5</v>
      </c>
      <c r="M23" s="55">
        <f>IF(+All!$F386="Cincinnati",+All!M386,IF(+All!$H386="Cincinnati",+All!M386,0))</f>
        <v>59.5</v>
      </c>
      <c r="N23" s="460" t="str">
        <f>IF(+All!$F386="Cincinnati",+All!N386,IF(+All!$H386="Cincinnati",+All!N386,0))</f>
        <v>Cincinnati</v>
      </c>
      <c r="O23" s="462">
        <f>IF(+All!$F386="Cincinnati",+All!O386,IF(+All!$H386="Cincinnati",+All!O386,0))</f>
        <v>28</v>
      </c>
      <c r="P23" s="462" t="str">
        <f>IF(+All!$F386="Cincinnati",+All!P386,IF(+All!$H386="Cincinnati",+All!P386,0))</f>
        <v>South Florida</v>
      </c>
      <c r="Q23" s="461">
        <f>IF(+All!$F386="Cincinnati",+All!Q386,IF(+All!$H386="Cincinnati",+All!Q386,0))</f>
        <v>24</v>
      </c>
      <c r="R23" s="460" t="str">
        <f>IF(+All!$F386="Cincinnati",+All!R386,IF(+All!$H386="Cincinnati",+All!R386,0))</f>
        <v>South Florida</v>
      </c>
      <c r="S23" s="462" t="str">
        <f>IF(+All!$F386="Cincinnati",+All!S386,IF(+All!$H386="Cincinnati",+All!S386,0))</f>
        <v>Cincinnati</v>
      </c>
      <c r="T23" s="460" t="str">
        <f>IF(+All!$F386="Cincinnati",+All!T386,IF(+All!$H386="Cincinnati",+All!T386,0))</f>
        <v>South Florida</v>
      </c>
      <c r="U23" s="461" t="str">
        <f>IF(+All!$F386="Cincinnati",+All!U386,IF(+All!$H386="Cincinnati",+All!U386,0))</f>
        <v>W</v>
      </c>
    </row>
    <row r="24" spans="1:21" x14ac:dyDescent="0.8">
      <c r="A24" s="46" t="e">
        <f>IF(+All!#REF!="Cincinnati",+All!#REF!,IF(+All!#REF!="Cincinnati",+All!#REF!,0))</f>
        <v>#REF!</v>
      </c>
      <c r="B24" s="348" t="e">
        <f>IF(+All!#REF!="Cincinnati",+All!#REF!,IF(+All!#REF!="Cincinnati",+All!#REF!,0))</f>
        <v>#REF!</v>
      </c>
      <c r="C24" s="48" t="e">
        <f>IF(+All!#REF!="Cincinnati",+All!#REF!,IF(+All!#REF!="Cincinnati",+All!#REF!,0))</f>
        <v>#REF!</v>
      </c>
      <c r="D24" s="490" t="e">
        <f>IF(+All!#REF!="Cincinnati",+All!#REF!,IF(+All!#REF!="Cincinnati",+All!#REF!,0))</f>
        <v>#REF!</v>
      </c>
      <c r="E24" s="461" t="e">
        <f>IF(+All!#REF!="Cincinnati",+All!#REF!,IF(+All!#REF!="Cincinnati",+All!#REF!,0))</f>
        <v>#REF!</v>
      </c>
      <c r="F24" s="51" t="e">
        <f>IF(+All!#REF!="Cincinnati",+All!#REF!,IF(+All!#REF!="Cincinnati",+All!#REF!,0))</f>
        <v>#REF!</v>
      </c>
      <c r="G24" s="52" t="e">
        <f>IF(+All!#REF!="Cincinnati",+All!#REF!,IF(+All!#REF!="Cincinnati",+All!#REF!,0))</f>
        <v>#REF!</v>
      </c>
      <c r="H24" s="51" t="e">
        <f>IF(+All!#REF!="Cincinnati",+All!#REF!,IF(+All!#REF!="Cincinnati",+All!#REF!,0))</f>
        <v>#REF!</v>
      </c>
      <c r="I24" s="52" t="e">
        <f>IF(+All!#REF!="Cincinnati",+All!#REF!,IF(+All!#REF!="Cincinnati",+All!#REF!,0))</f>
        <v>#REF!</v>
      </c>
      <c r="J24" s="460" t="e">
        <f>IF(+All!#REF!="Cincinnati",+All!#REF!,IF(+All!#REF!="Cincinnati",+All!#REF!,0))</f>
        <v>#REF!</v>
      </c>
      <c r="K24" s="461" t="e">
        <f>IF(+All!#REF!="Cincinnati",+All!#REF!,IF(+All!#REF!="Cincinnati",+All!#REF!,0))</f>
        <v>#REF!</v>
      </c>
      <c r="L24" s="54" t="e">
        <f>IF(+All!#REF!="Cincinnati",+All!#REF!,IF(+All!#REF!="Cincinnati",+All!#REF!,0))</f>
        <v>#REF!</v>
      </c>
      <c r="M24" s="55" t="e">
        <f>IF(+All!#REF!="Cincinnati",+All!#REF!,IF(+All!#REF!="Cincinnati",+All!#REF!,0))</f>
        <v>#REF!</v>
      </c>
      <c r="N24" s="460" t="e">
        <f>IF(+All!#REF!="Cincinnati",+All!#REF!,IF(+All!#REF!="Cincinnati",+All!#REF!,0))</f>
        <v>#REF!</v>
      </c>
      <c r="O24" s="462" t="e">
        <f>IF(+All!#REF!="Cincinnati",+All!#REF!,IF(+All!#REF!="Cincinnati",+All!#REF!,0))</f>
        <v>#REF!</v>
      </c>
      <c r="P24" s="462" t="e">
        <f>IF(+All!#REF!="Cincinnati",+All!#REF!,IF(+All!#REF!="Cincinnati",+All!#REF!,0))</f>
        <v>#REF!</v>
      </c>
      <c r="Q24" s="461" t="e">
        <f>IF(+All!#REF!="Cincinnati",+All!#REF!,IF(+All!#REF!="Cincinnati",+All!#REF!,0))</f>
        <v>#REF!</v>
      </c>
      <c r="R24" s="460" t="e">
        <f>IF(+All!#REF!="Cincinnati",+All!#REF!,IF(+All!#REF!="Cincinnati",+All!#REF!,0))</f>
        <v>#REF!</v>
      </c>
      <c r="S24" s="462" t="e">
        <f>IF(+All!#REF!="Cincinnati",+All!#REF!,IF(+All!#REF!="Cincinnati",+All!#REF!,0))</f>
        <v>#REF!</v>
      </c>
      <c r="T24" s="460" t="e">
        <f>IF(+All!#REF!="Cincinnati",+All!#REF!,IF(+All!#REF!="Cincinnati",+All!#REF!,0))</f>
        <v>#REF!</v>
      </c>
      <c r="U24" s="461" t="e">
        <f>IF(+All!#REF!="Cincinnati",+All!#REF!,IF(+All!#REF!="Cincinnati",+All!#REF!,0))</f>
        <v>#REF!</v>
      </c>
    </row>
    <row r="25" spans="1:21" x14ac:dyDescent="0.8">
      <c r="A25" s="46">
        <f>IF(+All!$F498="Cincinnati",+All!A498,IF(+All!$H498="Cincinnati",+All!A498,0))</f>
        <v>8</v>
      </c>
      <c r="B25" s="348" t="str">
        <f>IF(+All!$F498="Cincinnati",+All!B498,IF(+All!$H498="Cincinnati",+All!B498,0))</f>
        <v>Sat</v>
      </c>
      <c r="C25" s="48">
        <f>IF(+All!$F498="Cincinnati",+All!C498,IF(+All!$H498="Cincinnati",+All!C498,0))</f>
        <v>44856</v>
      </c>
      <c r="D25" s="490">
        <f>IF(+All!$F498="Cincinnati",+All!D498,IF(+All!$H498="Cincinnati",+All!D498,0))</f>
        <v>0.5</v>
      </c>
      <c r="E25" s="461" t="str">
        <f>IF(+All!$F498="Cincinnati",+All!E498,IF(+All!$H498="Cincinnati",+All!E498,0))</f>
        <v>ESPN</v>
      </c>
      <c r="F25" s="51" t="str">
        <f>IF(+All!$F498="Cincinnati",+All!F498,IF(+All!$H498="Cincinnati",+All!F498,0))</f>
        <v>Cincinnati</v>
      </c>
      <c r="G25" s="52" t="str">
        <f>IF(+All!$F498="Cincinnati",+All!G498,IF(+All!$H498="Cincinnati",+All!G498,0))</f>
        <v>AAC</v>
      </c>
      <c r="H25" s="51" t="str">
        <f>IF(+All!$F498="Cincinnati",+All!H498,IF(+All!$H498="Cincinnati",+All!H498,0))</f>
        <v>SMU</v>
      </c>
      <c r="I25" s="52" t="str">
        <f>IF(+All!$F498="Cincinnati",+All!I498,IF(+All!$H498="Cincinnati",+All!I498,0))</f>
        <v>AAC</v>
      </c>
      <c r="J25" s="460" t="str">
        <f>IF(+All!$F498="Cincinnati",+All!J498,IF(+All!$H498="Cincinnati",+All!J498,0))</f>
        <v>Cincinnati</v>
      </c>
      <c r="K25" s="461" t="str">
        <f>IF(+All!$F498="Cincinnati",+All!K498,IF(+All!$H498="Cincinnati",+All!K498,0))</f>
        <v>SMU</v>
      </c>
      <c r="L25" s="54">
        <f>IF(+All!$F498="Cincinnati",+All!L498,IF(+All!$H498="Cincinnati",+All!L498,0))</f>
        <v>3</v>
      </c>
      <c r="M25" s="55">
        <f>IF(+All!$F498="Cincinnati",+All!M498,IF(+All!$H498="Cincinnati",+All!M498,0))</f>
        <v>59.5</v>
      </c>
      <c r="N25" s="460" t="str">
        <f>IF(+All!$F498="Cincinnati",+All!N498,IF(+All!$H498="Cincinnati",+All!N498,0))</f>
        <v>Cincinnati</v>
      </c>
      <c r="O25" s="462">
        <f>IF(+All!$F498="Cincinnati",+All!O498,IF(+All!$H498="Cincinnati",+All!O498,0))</f>
        <v>29</v>
      </c>
      <c r="P25" s="462" t="str">
        <f>IF(+All!$F498="Cincinnati",+All!P498,IF(+All!$H498="Cincinnati",+All!P498,0))</f>
        <v>SMU</v>
      </c>
      <c r="Q25" s="461">
        <f>IF(+All!$F498="Cincinnati",+All!Q498,IF(+All!$H498="Cincinnati",+All!Q498,0))</f>
        <v>27</v>
      </c>
      <c r="R25" s="460" t="str">
        <f>IF(+All!$F498="Cincinnati",+All!R498,IF(+All!$H498="Cincinnati",+All!R498,0))</f>
        <v>SMU</v>
      </c>
      <c r="S25" s="462" t="str">
        <f>IF(+All!$F498="Cincinnati",+All!S498,IF(+All!$H498="Cincinnati",+All!S498,0))</f>
        <v>Cincinnati</v>
      </c>
      <c r="T25" s="460" t="str">
        <f>IF(+All!$F498="Cincinnati",+All!T498,IF(+All!$H498="Cincinnati",+All!T498,0))</f>
        <v>SMU</v>
      </c>
      <c r="U25" s="461" t="str">
        <f>IF(+All!$F498="Cincinnati",+All!U498,IF(+All!$H498="Cincinnati",+All!U498,0))</f>
        <v>W</v>
      </c>
    </row>
    <row r="26" spans="1:21" x14ac:dyDescent="0.8">
      <c r="A26" s="46">
        <f>IF(+All!$F550="Cincinnati",+All!A550,IF(+All!$H550="Cincinnati",+All!A550,0))</f>
        <v>9</v>
      </c>
      <c r="B26" s="348" t="str">
        <f>IF(+All!$F550="Cincinnati",+All!B550,IF(+All!$H550="Cincinnati",+All!B550,0))</f>
        <v>Sat</v>
      </c>
      <c r="C26" s="48">
        <f>IF(+All!$F550="Cincinnati",+All!C550,IF(+All!$H550="Cincinnati",+All!C550,0))</f>
        <v>44863</v>
      </c>
      <c r="D26" s="490">
        <f>IF(+All!$F550="Cincinnati",+All!D550,IF(+All!$H550="Cincinnati",+All!D550,0))</f>
        <v>0.64583333333333337</v>
      </c>
      <c r="E26" s="461" t="str">
        <f>IF(+All!$F550="Cincinnati",+All!E550,IF(+All!$H550="Cincinnati",+All!E550,0))</f>
        <v>ESPN</v>
      </c>
      <c r="F26" s="51" t="str">
        <f>IF(+All!$F550="Cincinnati",+All!F550,IF(+All!$H550="Cincinnati",+All!F550,0))</f>
        <v>Cincinnati</v>
      </c>
      <c r="G26" s="52" t="str">
        <f>IF(+All!$F550="Cincinnati",+All!G550,IF(+All!$H550="Cincinnati",+All!G550,0))</f>
        <v>AAC</v>
      </c>
      <c r="H26" s="51" t="str">
        <f>IF(+All!$F550="Cincinnati",+All!H550,IF(+All!$H550="Cincinnati",+All!H550,0))</f>
        <v>Central Florida</v>
      </c>
      <c r="I26" s="52" t="str">
        <f>IF(+All!$F550="Cincinnati",+All!I550,IF(+All!$H550="Cincinnati",+All!I550,0))</f>
        <v>AAC</v>
      </c>
      <c r="J26" s="460" t="str">
        <f>IF(+All!$F550="Cincinnati",+All!J550,IF(+All!$H550="Cincinnati",+All!J550,0))</f>
        <v>Cincinnati</v>
      </c>
      <c r="K26" s="461" t="str">
        <f>IF(+All!$F550="Cincinnati",+All!K550,IF(+All!$H550="Cincinnati",+All!K550,0))</f>
        <v>Central Florida</v>
      </c>
      <c r="L26" s="54">
        <f>IF(+All!$F550="Cincinnati",+All!L550,IF(+All!$H550="Cincinnati",+All!L550,0))</f>
        <v>0</v>
      </c>
      <c r="M26" s="55">
        <f>IF(+All!$F550="Cincinnati",+All!M550,IF(+All!$H550="Cincinnati",+All!M550,0))</f>
        <v>56</v>
      </c>
      <c r="N26" s="460" t="str">
        <f>IF(+All!$F550="Cincinnati",+All!N550,IF(+All!$H550="Cincinnati",+All!N550,0))</f>
        <v>Central Florida</v>
      </c>
      <c r="O26" s="462">
        <f>IF(+All!$F550="Cincinnati",+All!O550,IF(+All!$H550="Cincinnati",+All!O550,0))</f>
        <v>27</v>
      </c>
      <c r="P26" s="462" t="str">
        <f>IF(+All!$F550="Cincinnati",+All!P550,IF(+All!$H550="Cincinnati",+All!P550,0))</f>
        <v>Cincinnati</v>
      </c>
      <c r="Q26" s="461">
        <f>IF(+All!$F550="Cincinnati",+All!Q550,IF(+All!$H550="Cincinnati",+All!Q550,0))</f>
        <v>25</v>
      </c>
      <c r="R26" s="460" t="str">
        <f>IF(+All!$F550="Cincinnati",+All!R550,IF(+All!$H550="Cincinnati",+All!R550,0))</f>
        <v>Central Florida</v>
      </c>
      <c r="S26" s="462" t="str">
        <f>IF(+All!$F550="Cincinnati",+All!S550,IF(+All!$H550="Cincinnati",+All!S550,0))</f>
        <v>Cincinnati</v>
      </c>
      <c r="T26" s="460" t="str">
        <f>IF(+All!$F550="Cincinnati",+All!T550,IF(+All!$H550="Cincinnati",+All!T550,0))</f>
        <v>Central Florida</v>
      </c>
      <c r="U26" s="461" t="str">
        <f>IF(+All!$F550="Cincinnati",+All!U550,IF(+All!$H550="Cincinnati",+All!U550,0))</f>
        <v>W</v>
      </c>
    </row>
    <row r="27" spans="1:21" x14ac:dyDescent="0.8">
      <c r="A27" s="46">
        <f>IF(+All!$F602="Cincinnati",+All!A602,IF(+All!$H602="Cincinnati",+All!A602,0))</f>
        <v>10</v>
      </c>
      <c r="B27" s="348" t="str">
        <f>IF(+All!$F602="Cincinnati",+All!B602,IF(+All!$H602="Cincinnati",+All!B602,0))</f>
        <v>Sat</v>
      </c>
      <c r="C27" s="48">
        <f>IF(+All!$F602="Cincinnati",+All!C602,IF(+All!$H602="Cincinnati",+All!C602,0))</f>
        <v>44870</v>
      </c>
      <c r="D27" s="490">
        <f>IF(+All!$F602="Cincinnati",+All!D602,IF(+All!$H602="Cincinnati",+All!D602,0))</f>
        <v>0.66666666666666663</v>
      </c>
      <c r="E27" s="461" t="str">
        <f>IF(+All!$F602="Cincinnati",+All!E602,IF(+All!$H602="Cincinnati",+All!E602,0))</f>
        <v>ESPNU</v>
      </c>
      <c r="F27" s="51" t="str">
        <f>IF(+All!$F602="Cincinnati",+All!F602,IF(+All!$H602="Cincinnati",+All!F602,0))</f>
        <v>Navy</v>
      </c>
      <c r="G27" s="52" t="str">
        <f>IF(+All!$F602="Cincinnati",+All!G602,IF(+All!$H602="Cincinnati",+All!G602,0))</f>
        <v>AAC</v>
      </c>
      <c r="H27" s="51" t="str">
        <f>IF(+All!$F602="Cincinnati",+All!H602,IF(+All!$H602="Cincinnati",+All!H602,0))</f>
        <v>Cincinnati</v>
      </c>
      <c r="I27" s="52" t="str">
        <f>IF(+All!$F602="Cincinnati",+All!I602,IF(+All!$H602="Cincinnati",+All!I602,0))</f>
        <v>AAC</v>
      </c>
      <c r="J27" s="460" t="str">
        <f>IF(+All!$F602="Cincinnati",+All!J602,IF(+All!$H602="Cincinnati",+All!J602,0))</f>
        <v>Cincinnati</v>
      </c>
      <c r="K27" s="461" t="str">
        <f>IF(+All!$F602="Cincinnati",+All!K602,IF(+All!$H602="Cincinnati",+All!K602,0))</f>
        <v>Navy</v>
      </c>
      <c r="L27" s="54">
        <f>IF(+All!$F602="Cincinnati",+All!L602,IF(+All!$H602="Cincinnati",+All!L602,0))</f>
        <v>19.5</v>
      </c>
      <c r="M27" s="55">
        <f>IF(+All!$F602="Cincinnati",+All!M602,IF(+All!$H602="Cincinnati",+All!M602,0))</f>
        <v>46.5</v>
      </c>
      <c r="N27" s="460" t="str">
        <f>IF(+All!$F602="Cincinnati",+All!N602,IF(+All!$H602="Cincinnati",+All!N602,0))</f>
        <v>Cincinnati</v>
      </c>
      <c r="O27" s="462">
        <f>IF(+All!$F602="Cincinnati",+All!O602,IF(+All!$H602="Cincinnati",+All!O602,0))</f>
        <v>20</v>
      </c>
      <c r="P27" s="462" t="str">
        <f>IF(+All!$F602="Cincinnati",+All!P602,IF(+All!$H602="Cincinnati",+All!P602,0))</f>
        <v>Navy</v>
      </c>
      <c r="Q27" s="461">
        <f>IF(+All!$F602="Cincinnati",+All!Q602,IF(+All!$H602="Cincinnati",+All!Q602,0))</f>
        <v>10</v>
      </c>
      <c r="R27" s="460" t="str">
        <f>IF(+All!$F602="Cincinnati",+All!R602,IF(+All!$H602="Cincinnati",+All!R602,0))</f>
        <v>Navy</v>
      </c>
      <c r="S27" s="462" t="str">
        <f>IF(+All!$F602="Cincinnati",+All!S602,IF(+All!$H602="Cincinnati",+All!S602,0))</f>
        <v>Cincinnati</v>
      </c>
      <c r="T27" s="460" t="str">
        <f>IF(+All!$F602="Cincinnati",+All!T602,IF(+All!$H602="Cincinnati",+All!T602,0))</f>
        <v>Navy</v>
      </c>
      <c r="U27" s="461" t="str">
        <f>IF(+All!$F602="Cincinnati",+All!U602,IF(+All!$H602="Cincinnati",+All!U602,0))</f>
        <v>W</v>
      </c>
    </row>
    <row r="28" spans="1:21" x14ac:dyDescent="0.8">
      <c r="A28" s="46">
        <f>IF(+All!$F661="Cincinnati",+All!A661,IF(+All!$H661="Cincinnati",+All!A661,0))</f>
        <v>11</v>
      </c>
      <c r="B28" s="348" t="str">
        <f>IF(+All!$F661="Cincinnati",+All!B661,IF(+All!$H661="Cincinnati",+All!B661,0))</f>
        <v>Fri</v>
      </c>
      <c r="C28" s="48">
        <f>IF(+All!$F661="Cincinnati",+All!C661,IF(+All!$H661="Cincinnati",+All!C661,0))</f>
        <v>44875</v>
      </c>
      <c r="D28" s="490">
        <f>IF(+All!$F661="Cincinnati",+All!D661,IF(+All!$H661="Cincinnati",+All!D661,0))</f>
        <v>0.83333333333333337</v>
      </c>
      <c r="E28" s="461" t="str">
        <f>IF(+All!$F661="Cincinnati",+All!E661,IF(+All!$H661="Cincinnati",+All!E661,0))</f>
        <v>ESPN2</v>
      </c>
      <c r="F28" s="51" t="str">
        <f>IF(+All!$F661="Cincinnati",+All!F661,IF(+All!$H661="Cincinnati",+All!F661,0))</f>
        <v>East Carolina</v>
      </c>
      <c r="G28" s="52" t="str">
        <f>IF(+All!$F661="Cincinnati",+All!G661,IF(+All!$H661="Cincinnati",+All!G661,0))</f>
        <v>AAC</v>
      </c>
      <c r="H28" s="51" t="str">
        <f>IF(+All!$F661="Cincinnati",+All!H661,IF(+All!$H661="Cincinnati",+All!H661,0))</f>
        <v>Cincinnati</v>
      </c>
      <c r="I28" s="52" t="str">
        <f>IF(+All!$F661="Cincinnati",+All!I661,IF(+All!$H661="Cincinnati",+All!I661,0))</f>
        <v>AAC</v>
      </c>
      <c r="J28" s="460" t="str">
        <f>IF(+All!$F661="Cincinnati",+All!J661,IF(+All!$H661="Cincinnati",+All!J661,0))</f>
        <v>Cincinnati</v>
      </c>
      <c r="K28" s="461" t="str">
        <f>IF(+All!$F661="Cincinnati",+All!K661,IF(+All!$H661="Cincinnati",+All!K661,0))</f>
        <v>East Carolina</v>
      </c>
      <c r="L28" s="54">
        <f>IF(+All!$F661="Cincinnati",+All!L661,IF(+All!$H661="Cincinnati",+All!L661,0))</f>
        <v>5.5</v>
      </c>
      <c r="M28" s="55">
        <f>IF(+All!$F661="Cincinnati",+All!M661,IF(+All!$H661="Cincinnati",+All!M661,0))</f>
        <v>52.5</v>
      </c>
      <c r="N28" s="460" t="str">
        <f>IF(+All!$F661="Cincinnati",+All!N661,IF(+All!$H661="Cincinnati",+All!N661,0))</f>
        <v>Cincinnati</v>
      </c>
      <c r="O28" s="462">
        <f>IF(+All!$F661="Cincinnati",+All!O661,IF(+All!$H661="Cincinnati",+All!O661,0))</f>
        <v>27</v>
      </c>
      <c r="P28" s="462" t="str">
        <f>IF(+All!$F661="Cincinnati",+All!P661,IF(+All!$H661="Cincinnati",+All!P661,0))</f>
        <v>East Carolina</v>
      </c>
      <c r="Q28" s="461">
        <f>IF(+All!$F661="Cincinnati",+All!Q661,IF(+All!$H661="Cincinnati",+All!Q661,0))</f>
        <v>25</v>
      </c>
      <c r="R28" s="460" t="str">
        <f>IF(+All!$F661="Cincinnati",+All!R661,IF(+All!$H661="Cincinnati",+All!R661,0))</f>
        <v>East Carolina</v>
      </c>
      <c r="S28" s="462" t="str">
        <f>IF(+All!$F661="Cincinnati",+All!S661,IF(+All!$H661="Cincinnati",+All!S661,0))</f>
        <v>Cincinnati</v>
      </c>
      <c r="T28" s="460" t="str">
        <f>IF(+All!$F661="Cincinnati",+All!T661,IF(+All!$H661="Cincinnati",+All!T661,0))</f>
        <v>East Carolina</v>
      </c>
      <c r="U28" s="461" t="str">
        <f>IF(+All!$F661="Cincinnati",+All!U661,IF(+All!$H661="Cincinnati",+All!U661,0))</f>
        <v>W</v>
      </c>
    </row>
    <row r="29" spans="1:21" x14ac:dyDescent="0.8">
      <c r="A29" s="46">
        <f>IF(+All!$F729="Cincinnati",+All!A729,IF(+All!$H729="Cincinnati",+All!A729,0))</f>
        <v>12</v>
      </c>
      <c r="B29" s="348" t="str">
        <f>IF(+All!$F729="Cincinnati",+All!B729,IF(+All!$H729="Cincinnati",+All!B729,0))</f>
        <v>Sat</v>
      </c>
      <c r="C29" s="48">
        <f>IF(+All!$F729="Cincinnati",+All!C729,IF(+All!$H729="Cincinnati",+All!C729,0))</f>
        <v>44884</v>
      </c>
      <c r="D29" s="490">
        <f>IF(+All!$F729="Cincinnati",+All!D729,IF(+All!$H729="Cincinnati",+All!D729,0))</f>
        <v>0.66666666666666663</v>
      </c>
      <c r="E29" s="461" t="str">
        <f>IF(+All!$F729="Cincinnati",+All!E729,IF(+All!$H729="Cincinnati",+All!E729,0))</f>
        <v>ESPNU</v>
      </c>
      <c r="F29" s="51" t="str">
        <f>IF(+All!$F729="Cincinnati",+All!F729,IF(+All!$H729="Cincinnati",+All!F729,0))</f>
        <v>Cincinnati</v>
      </c>
      <c r="G29" s="52" t="str">
        <f>IF(+All!$F729="Cincinnati",+All!G729,IF(+All!$H729="Cincinnati",+All!G729,0))</f>
        <v>AAC</v>
      </c>
      <c r="H29" s="51" t="str">
        <f>IF(+All!$F729="Cincinnati",+All!H729,IF(+All!$H729="Cincinnati",+All!H729,0))</f>
        <v>Temple</v>
      </c>
      <c r="I29" s="52" t="str">
        <f>IF(+All!$F729="Cincinnati",+All!I729,IF(+All!$H729="Cincinnati",+All!I729,0))</f>
        <v>AAC</v>
      </c>
      <c r="J29" s="460" t="str">
        <f>IF(+All!$F729="Cincinnati",+All!J729,IF(+All!$H729="Cincinnati",+All!J729,0))</f>
        <v>Cincinnati</v>
      </c>
      <c r="K29" s="461" t="str">
        <f>IF(+All!$F729="Cincinnati",+All!K729,IF(+All!$H729="Cincinnati",+All!K729,0))</f>
        <v>Temple</v>
      </c>
      <c r="L29" s="54">
        <f>IF(+All!$F729="Cincinnati",+All!L729,IF(+All!$H729="Cincinnati",+All!L729,0))</f>
        <v>17</v>
      </c>
      <c r="M29" s="55">
        <f>IF(+All!$F729="Cincinnati",+All!M729,IF(+All!$H729="Cincinnati",+All!M729,0))</f>
        <v>50.5</v>
      </c>
      <c r="N29" s="460" t="str">
        <f>IF(+All!$F729="Cincinnati",+All!N729,IF(+All!$H729="Cincinnati",+All!N729,0))</f>
        <v>Cincinnati</v>
      </c>
      <c r="O29" s="462">
        <f>IF(+All!$F729="Cincinnati",+All!O729,IF(+All!$H729="Cincinnati",+All!O729,0))</f>
        <v>23</v>
      </c>
      <c r="P29" s="462" t="str">
        <f>IF(+All!$F729="Cincinnati",+All!P729,IF(+All!$H729="Cincinnati",+All!P729,0))</f>
        <v>Temple</v>
      </c>
      <c r="Q29" s="461">
        <f>IF(+All!$F729="Cincinnati",+All!Q729,IF(+All!$H729="Cincinnati",+All!Q729,0))</f>
        <v>3</v>
      </c>
      <c r="R29" s="460" t="str">
        <f>IF(+All!$F729="Cincinnati",+All!R729,IF(+All!$H729="Cincinnati",+All!R729,0))</f>
        <v>Cincinnati</v>
      </c>
      <c r="S29" s="462" t="str">
        <f>IF(+All!$F729="Cincinnati",+All!S729,IF(+All!$H729="Cincinnati",+All!S729,0))</f>
        <v>Temple</v>
      </c>
      <c r="T29" s="460" t="str">
        <f>IF(+All!$F729="Cincinnati",+All!T729,IF(+All!$H729="Cincinnati",+All!T729,0))</f>
        <v>Cincinnati</v>
      </c>
      <c r="U29" s="461" t="str">
        <f>IF(+All!$F729="Cincinnati",+All!U729,IF(+All!$H729="Cincinnati",+All!U729,0))</f>
        <v>W</v>
      </c>
    </row>
    <row r="30" spans="1:21" x14ac:dyDescent="0.8">
      <c r="A30" s="46">
        <f>IF(+All!$F786="Cincinnati",+All!A786,IF(+All!$H786="Cincinnati",+All!A786,0))</f>
        <v>13</v>
      </c>
      <c r="B30" s="348" t="str">
        <f>IF(+All!$F786="Cincinnati",+All!B786,IF(+All!$H786="Cincinnati",+All!B786,0))</f>
        <v>Fri</v>
      </c>
      <c r="C30" s="48">
        <f>IF(+All!$F786="Cincinnati",+All!C786,IF(+All!$H786="Cincinnati",+All!C786,0))</f>
        <v>44890</v>
      </c>
      <c r="D30" s="490">
        <f>IF(+All!$F786="Cincinnati",+All!D786,IF(+All!$H786="Cincinnati",+All!D786,0))</f>
        <v>0.5</v>
      </c>
      <c r="E30" s="461" t="str">
        <f>IF(+All!$F786="Cincinnati",+All!E786,IF(+All!$H786="Cincinnati",+All!E786,0))</f>
        <v>ABC</v>
      </c>
      <c r="F30" s="51" t="str">
        <f>IF(+All!$F786="Cincinnati",+All!F786,IF(+All!$H786="Cincinnati",+All!F786,0))</f>
        <v>Tulane</v>
      </c>
      <c r="G30" s="52" t="str">
        <f>IF(+All!$F786="Cincinnati",+All!G786,IF(+All!$H786="Cincinnati",+All!G786,0))</f>
        <v>AAC</v>
      </c>
      <c r="H30" s="51" t="str">
        <f>IF(+All!$F786="Cincinnati",+All!H786,IF(+All!$H786="Cincinnati",+All!H786,0))</f>
        <v>Cincinnati</v>
      </c>
      <c r="I30" s="52" t="str">
        <f>IF(+All!$F786="Cincinnati",+All!I786,IF(+All!$H786="Cincinnati",+All!I786,0))</f>
        <v>AAC</v>
      </c>
      <c r="J30" s="460" t="str">
        <f>IF(+All!$F786="Cincinnati",+All!J786,IF(+All!$H786="Cincinnati",+All!J786,0))</f>
        <v>Tulane</v>
      </c>
      <c r="K30" s="461" t="str">
        <f>IF(+All!$F786="Cincinnati",+All!K786,IF(+All!$H786="Cincinnati",+All!K786,0))</f>
        <v>Cincinnati</v>
      </c>
      <c r="L30" s="54">
        <f>IF(+All!$F786="Cincinnati",+All!L786,IF(+All!$H786="Cincinnati",+All!L786,0))</f>
        <v>1</v>
      </c>
      <c r="M30" s="55">
        <f>IF(+All!$F786="Cincinnati",+All!M786,IF(+All!$H786="Cincinnati",+All!M786,0))</f>
        <v>44</v>
      </c>
      <c r="N30" s="460" t="str">
        <f>IF(+All!$F786="Cincinnati",+All!N786,IF(+All!$H786="Cincinnati",+All!N786,0))</f>
        <v>Tulane</v>
      </c>
      <c r="O30" s="462">
        <f>IF(+All!$F786="Cincinnati",+All!O786,IF(+All!$H786="Cincinnati",+All!O786,0))</f>
        <v>27</v>
      </c>
      <c r="P30" s="462" t="str">
        <f>IF(+All!$F786="Cincinnati",+All!P786,IF(+All!$H786="Cincinnati",+All!P786,0))</f>
        <v>Cincinnati</v>
      </c>
      <c r="Q30" s="461">
        <f>IF(+All!$F786="Cincinnati",+All!Q786,IF(+All!$H786="Cincinnati",+All!Q786,0))</f>
        <v>24</v>
      </c>
      <c r="R30" s="460" t="str">
        <f>IF(+All!$F786="Cincinnati",+All!R786,IF(+All!$H786="Cincinnati",+All!R786,0))</f>
        <v>Tulane</v>
      </c>
      <c r="S30" s="462" t="str">
        <f>IF(+All!$F786="Cincinnati",+All!S786,IF(+All!$H786="Cincinnati",+All!S786,0))</f>
        <v>Cincinnati</v>
      </c>
      <c r="T30" s="460" t="str">
        <f>IF(+All!$F786="Cincinnati",+All!T786,IF(+All!$H786="Cincinnati",+All!T786,0))</f>
        <v>Tulane</v>
      </c>
      <c r="U30" s="461" t="str">
        <f>IF(+All!$F786="Cincinnati",+All!U786,IF(+All!$H786="Cincinnati",+All!U786,0))</f>
        <v>W</v>
      </c>
    </row>
    <row r="31" spans="1:21" x14ac:dyDescent="0.8">
      <c r="B31" s="46"/>
      <c r="C31" s="62"/>
      <c r="D31" s="49"/>
      <c r="E31" s="461"/>
      <c r="F31" s="897" t="str">
        <f>H32</f>
        <v>East Carolina</v>
      </c>
      <c r="G31" s="898"/>
      <c r="H31" s="898"/>
      <c r="I31" s="899"/>
      <c r="J31" s="460"/>
      <c r="K31" s="461"/>
      <c r="L31" s="54"/>
      <c r="M31" s="55"/>
      <c r="N31" s="460"/>
      <c r="O31" s="462"/>
      <c r="P31" s="462"/>
      <c r="Q31" s="461"/>
      <c r="R31" s="460"/>
      <c r="S31" s="462"/>
      <c r="T31" s="460"/>
      <c r="U31" s="461"/>
    </row>
    <row r="32" spans="1:21" s="365" customFormat="1" x14ac:dyDescent="0.8">
      <c r="A32" s="46">
        <f>IF(+All!$F32="East Carolina",+All!A32,IF(+All!$H32="East Carolina",+All!A32,0))</f>
        <v>1</v>
      </c>
      <c r="B32" s="46" t="str">
        <f>IF(+All!$F32="East Carolina",+All!B32,IF(+All!$H32="East Carolina",+All!B32,0))</f>
        <v>Sat</v>
      </c>
      <c r="C32" s="62">
        <f>IF(+All!$F32="East Carolina",+All!C32,IF(+All!$H32="East Carolina",+All!C32,0))</f>
        <v>44807</v>
      </c>
      <c r="D32" s="490">
        <f>IF(+All!$F32="East Carolina",+All!D32,IF(+All!$H32="East Carolina",+All!D32,0))</f>
        <v>0.5</v>
      </c>
      <c r="E32" s="461" t="str">
        <f>IF(+All!$F32="East Carolina",+All!E32,IF(+All!$H32="East Carolina",+All!E32,0))</f>
        <v>ESPN</v>
      </c>
      <c r="F32" s="460" t="str">
        <f>IF(+All!$F32="East Carolina",+All!F32,IF(+All!$H32="East Carolina",+All!F32,0))</f>
        <v>North Carolina St</v>
      </c>
      <c r="G32" s="465" t="str">
        <f>IF(+All!$F32="East Carolina",+All!G32,IF(+All!$H32="East Carolina",+All!G32,0))</f>
        <v>ACC</v>
      </c>
      <c r="H32" s="465" t="str">
        <f>IF(+All!$F32="East Carolina",+All!H32,IF(+All!$H32="East Carolina",+All!H32,0))</f>
        <v>East Carolina</v>
      </c>
      <c r="I32" s="464" t="str">
        <f>IF(+All!$F32="East Carolina",+All!I32,IF(+All!$H32="East Carolina",+All!I32,0))</f>
        <v>AAC</v>
      </c>
      <c r="J32" s="460" t="str">
        <f>IF(+All!$F32="East Carolina",+All!J32,IF(+All!$H32="East Carolina",+All!J32,0))</f>
        <v>North Carolina St</v>
      </c>
      <c r="K32" s="461" t="str">
        <f>IF(+All!$F32="East Carolina",+All!K32,IF(+All!$H32="East Carolina",+All!K32,0))</f>
        <v>East Carolina</v>
      </c>
      <c r="L32" s="54">
        <f>IF(+All!$F32="East Carolina",+All!L32,IF(+All!$H32="East Carolina",+All!L32,0))</f>
        <v>11</v>
      </c>
      <c r="M32" s="55">
        <f>IF(+All!$F32="East Carolina",+All!M32,IF(+All!$H32="East Carolina",+All!M32,0))</f>
        <v>55</v>
      </c>
      <c r="N32" s="460" t="str">
        <f>IF(+All!$F32="East Carolina",+All!N32,IF(+All!$H32="East Carolina",+All!N32,0))</f>
        <v>North Carolina St</v>
      </c>
      <c r="O32" s="462">
        <f>IF(+All!$F32="East Carolina",+All!O32,IF(+All!$H32="East Carolina",+All!O32,0))</f>
        <v>21</v>
      </c>
      <c r="P32" s="462" t="str">
        <f>IF(+All!$F32="East Carolina",+All!P32,IF(+All!$H32="East Carolina",+All!P32,0))</f>
        <v>East Carolina</v>
      </c>
      <c r="Q32" s="461">
        <f>IF(+All!$F32="East Carolina",+All!Q32,IF(+All!$H32="East Carolina",+All!Q32,0))</f>
        <v>20</v>
      </c>
      <c r="R32" s="460" t="str">
        <f>IF(+All!$F32="East Carolina",+All!R32,IF(+All!$H32="East Carolina",+All!R32,0))</f>
        <v>East Carolina</v>
      </c>
      <c r="S32" s="462" t="str">
        <f>IF(+All!$F32="East Carolina",+All!S32,IF(+All!$H32="East Carolina",+All!S32,0))</f>
        <v>North Carolina St</v>
      </c>
      <c r="T32" s="460" t="str">
        <f>IF(+All!$F32="East Carolina",+All!T32,IF(+All!$H32="East Carolina",+All!T32,0))</f>
        <v>North Carolina St</v>
      </c>
      <c r="U32" s="461" t="str">
        <f>IF(+All!$F32="East Carolina",+All!U32,IF(+All!$H32="East Carolina",+All!U32,0))</f>
        <v>L</v>
      </c>
    </row>
    <row r="33" spans="1:21" s="365" customFormat="1" x14ac:dyDescent="0.8">
      <c r="A33" s="46">
        <f>IF(+All!$F101="East Carolina",+All!A101,IF(+All!$H101="East Carolina",+All!A101,0))</f>
        <v>2</v>
      </c>
      <c r="B33" s="46" t="str">
        <f>IF(+All!$F101="East Carolina",+All!B101,IF(+All!$H101="East Carolina",+All!B101,0))</f>
        <v>Sat</v>
      </c>
      <c r="C33" s="62">
        <f>IF(+All!$F101="East Carolina",+All!C101,IF(+All!$H101="East Carolina",+All!C101,0))</f>
        <v>44814</v>
      </c>
      <c r="D33" s="490">
        <f>IF(+All!$F101="East Carolina",+All!D101,IF(+All!$H101="East Carolina",+All!D101,0))</f>
        <v>0.75</v>
      </c>
      <c r="E33" s="461">
        <f>IF(+All!$F101="East Carolina",+All!E101,IF(+All!$H101="East Carolina",+All!E101,0))</f>
        <v>0</v>
      </c>
      <c r="F33" s="460" t="str">
        <f>IF(+All!$F101="East Carolina",+All!F101,IF(+All!$H101="East Carolina",+All!F101,0))</f>
        <v>Old Dominion</v>
      </c>
      <c r="G33" s="465" t="str">
        <f>IF(+All!$F101="East Carolina",+All!G101,IF(+All!$H101="East Carolina",+All!G101,0))</f>
        <v>SB</v>
      </c>
      <c r="H33" s="465" t="str">
        <f>IF(+All!$F101="East Carolina",+All!H101,IF(+All!$H101="East Carolina",+All!H101,0))</f>
        <v>East Carolina</v>
      </c>
      <c r="I33" s="464" t="str">
        <f>IF(+All!$F101="East Carolina",+All!I101,IF(+All!$H101="East Carolina",+All!I101,0))</f>
        <v>AAC</v>
      </c>
      <c r="J33" s="460" t="str">
        <f>IF(+All!$F101="East Carolina",+All!J101,IF(+All!$H101="East Carolina",+All!J101,0))</f>
        <v>East Carolina</v>
      </c>
      <c r="K33" s="461" t="str">
        <f>IF(+All!$F101="East Carolina",+All!K101,IF(+All!$H101="East Carolina",+All!K101,0))</f>
        <v>Old Dominion</v>
      </c>
      <c r="L33" s="54">
        <f>IF(+All!$F101="East Carolina",+All!L101,IF(+All!$H101="East Carolina",+All!L101,0))</f>
        <v>13</v>
      </c>
      <c r="M33" s="55">
        <f>IF(+All!$F101="East Carolina",+All!M101,IF(+All!$H101="East Carolina",+All!M101,0))</f>
        <v>51.5</v>
      </c>
      <c r="N33" s="460" t="str">
        <f>IF(+All!$F101="East Carolina",+All!N101,IF(+All!$H101="East Carolina",+All!N101,0))</f>
        <v>East Carolina</v>
      </c>
      <c r="O33" s="462">
        <f>IF(+All!$F101="East Carolina",+All!O101,IF(+All!$H101="East Carolina",+All!O101,0))</f>
        <v>39</v>
      </c>
      <c r="P33" s="462" t="str">
        <f>IF(+All!$F101="East Carolina",+All!P101,IF(+All!$H101="East Carolina",+All!P101,0))</f>
        <v>Old Dominion</v>
      </c>
      <c r="Q33" s="461">
        <f>IF(+All!$F101="East Carolina",+All!Q101,IF(+All!$H101="East Carolina",+All!Q101,0))</f>
        <v>21</v>
      </c>
      <c r="R33" s="460" t="str">
        <f>IF(+All!$F101="East Carolina",+All!R101,IF(+All!$H101="East Carolina",+All!R101,0))</f>
        <v>East Carolina</v>
      </c>
      <c r="S33" s="462" t="str">
        <f>IF(+All!$F101="East Carolina",+All!S101,IF(+All!$H101="East Carolina",+All!S101,0))</f>
        <v>Old Dominion</v>
      </c>
      <c r="T33" s="460" t="str">
        <f>IF(+All!$F101="East Carolina",+All!T101,IF(+All!$H101="East Carolina",+All!T101,0))</f>
        <v>East Carolina</v>
      </c>
      <c r="U33" s="461" t="str">
        <f>IF(+All!$F101="East Carolina",+All!U101,IF(+All!$H101="East Carolina",+All!U101,0))</f>
        <v>W</v>
      </c>
    </row>
    <row r="34" spans="1:21" s="365" customFormat="1" x14ac:dyDescent="0.8">
      <c r="A34" s="46">
        <f>IF(+All!$F183="East Carolina",+All!A183,IF(+All!$H183="East Carolina",+All!A183,0))</f>
        <v>3</v>
      </c>
      <c r="B34" s="46" t="str">
        <f>IF(+All!$F183="East Carolina",+All!B183,IF(+All!$H183="East Carolina",+All!B183,0))</f>
        <v>Sat</v>
      </c>
      <c r="C34" s="62">
        <f>IF(+All!$F183="East Carolina",+All!C183,IF(+All!$H183="East Carolina",+All!C183,0))</f>
        <v>44821</v>
      </c>
      <c r="D34" s="490">
        <f>IF(+All!$F183="East Carolina",+All!D183,IF(+All!$H183="East Carolina",+All!D183,0))</f>
        <v>0.75</v>
      </c>
      <c r="E34" s="461">
        <f>IF(+All!$F183="East Carolina",+All!E183,IF(+All!$H183="East Carolina",+All!E183,0))</f>
        <v>0</v>
      </c>
      <c r="F34" s="460" t="str">
        <f>IF(+All!$F183="East Carolina",+All!F183,IF(+All!$H183="East Carolina",+All!F183,0))</f>
        <v>1AA Campbell</v>
      </c>
      <c r="G34" s="465" t="str">
        <f>IF(+All!$F183="East Carolina",+All!G183,IF(+All!$H183="East Carolina",+All!G183,0))</f>
        <v>1AA</v>
      </c>
      <c r="H34" s="465" t="str">
        <f>IF(+All!$F183="East Carolina",+All!H183,IF(+All!$H183="East Carolina",+All!H183,0))</f>
        <v>East Carolina</v>
      </c>
      <c r="I34" s="464" t="str">
        <f>IF(+All!$F183="East Carolina",+All!I183,IF(+All!$H183="East Carolina",+All!I183,0))</f>
        <v>AAC</v>
      </c>
      <c r="J34" s="460">
        <f>IF(+All!$F183="East Carolina",+All!J183,IF(+All!$H183="East Carolina",+All!J183,0))</f>
        <v>0</v>
      </c>
      <c r="K34" s="461">
        <f>IF(+All!$F183="East Carolina",+All!K183,IF(+All!$H183="East Carolina",+All!K183,0))</f>
        <v>0</v>
      </c>
      <c r="L34" s="54">
        <f>IF(+All!$F183="East Carolina",+All!L183,IF(+All!$H183="East Carolina",+All!L183,0))</f>
        <v>0</v>
      </c>
      <c r="M34" s="55">
        <f>IF(+All!$F183="East Carolina",+All!M183,IF(+All!$H183="East Carolina",+All!M183,0))</f>
        <v>0</v>
      </c>
      <c r="N34" s="460" t="str">
        <f>IF(+All!$F183="East Carolina",+All!N183,IF(+All!$H183="East Carolina",+All!N183,0))</f>
        <v>East Carolina</v>
      </c>
      <c r="O34" s="462">
        <f>IF(+All!$F183="East Carolina",+All!O183,IF(+All!$H183="East Carolina",+All!O183,0))</f>
        <v>49</v>
      </c>
      <c r="P34" s="462" t="str">
        <f>IF(+All!$F183="East Carolina",+All!P183,IF(+All!$H183="East Carolina",+All!P183,0))</f>
        <v>1AA Campbell</v>
      </c>
      <c r="Q34" s="461">
        <f>IF(+All!$F183="East Carolina",+All!Q183,IF(+All!$H183="East Carolina",+All!Q183,0))</f>
        <v>10</v>
      </c>
      <c r="R34" s="460">
        <f>IF(+All!$F183="East Carolina",+All!R183,IF(+All!$H183="East Carolina",+All!R183,0))</f>
        <v>0</v>
      </c>
      <c r="S34" s="462">
        <f>IF(+All!$F183="East Carolina",+All!S183,IF(+All!$H183="East Carolina",+All!S183,0))</f>
        <v>0</v>
      </c>
      <c r="T34" s="460">
        <f>IF(+All!$F183="East Carolina",+All!T183,IF(+All!$H183="East Carolina",+All!T183,0))</f>
        <v>0</v>
      </c>
      <c r="U34" s="461">
        <f>IF(+All!$F183="East Carolina",+All!U183,IF(+All!$H183="East Carolina",+All!U183,0))</f>
        <v>0</v>
      </c>
    </row>
    <row r="35" spans="1:21" s="365" customFormat="1" x14ac:dyDescent="0.8">
      <c r="A35" s="46">
        <f>IF(+All!$F260="East Carolina",+All!A260,IF(+All!$H260="East Carolina",+All!A260,0))</f>
        <v>4</v>
      </c>
      <c r="B35" s="46" t="str">
        <f>IF(+All!$F260="East Carolina",+All!B260,IF(+All!$H260="East Carolina",+All!B260,0))</f>
        <v>Sat</v>
      </c>
      <c r="C35" s="62">
        <f>IF(+All!$F260="East Carolina",+All!C260,IF(+All!$H260="East Carolina",+All!C260,0))</f>
        <v>44828</v>
      </c>
      <c r="D35" s="490">
        <f>IF(+All!$F260="East Carolina",+All!D260,IF(+All!$H260="East Carolina",+All!D260,0))</f>
        <v>0.75</v>
      </c>
      <c r="E35" s="461">
        <f>IF(+All!$F260="East Carolina",+All!E260,IF(+All!$H260="East Carolina",+All!E260,0))</f>
        <v>0</v>
      </c>
      <c r="F35" s="460" t="str">
        <f>IF(+All!$F260="East Carolina",+All!F260,IF(+All!$H260="East Carolina",+All!F260,0))</f>
        <v>Navy</v>
      </c>
      <c r="G35" s="465" t="str">
        <f>IF(+All!$F260="East Carolina",+All!G260,IF(+All!$H260="East Carolina",+All!G260,0))</f>
        <v>AAC</v>
      </c>
      <c r="H35" s="465" t="str">
        <f>IF(+All!$F260="East Carolina",+All!H260,IF(+All!$H260="East Carolina",+All!H260,0))</f>
        <v>East Carolina</v>
      </c>
      <c r="I35" s="464" t="str">
        <f>IF(+All!$F260="East Carolina",+All!I260,IF(+All!$H260="East Carolina",+All!I260,0))</f>
        <v>AAC</v>
      </c>
      <c r="J35" s="460" t="str">
        <f>IF(+All!$F260="East Carolina",+All!J260,IF(+All!$H260="East Carolina",+All!J260,0))</f>
        <v>East Carolina</v>
      </c>
      <c r="K35" s="461" t="str">
        <f>IF(+All!$F260="East Carolina",+All!K260,IF(+All!$H260="East Carolina",+All!K260,0))</f>
        <v>Navy</v>
      </c>
      <c r="L35" s="54">
        <f>IF(+All!$F260="East Carolina",+All!L260,IF(+All!$H260="East Carolina",+All!L260,0))</f>
        <v>16.5</v>
      </c>
      <c r="M35" s="55">
        <f>IF(+All!$F260="East Carolina",+All!M260,IF(+All!$H260="East Carolina",+All!M260,0))</f>
        <v>49.5</v>
      </c>
      <c r="N35" s="460" t="str">
        <f>IF(+All!$F260="East Carolina",+All!N260,IF(+All!$H260="East Carolina",+All!N260,0))</f>
        <v>Navy</v>
      </c>
      <c r="O35" s="462">
        <f>IF(+All!$F260="East Carolina",+All!O260,IF(+All!$H260="East Carolina",+All!O260,0))</f>
        <v>23</v>
      </c>
      <c r="P35" s="462" t="str">
        <f>IF(+All!$F260="East Carolina",+All!P260,IF(+All!$H260="East Carolina",+All!P260,0))</f>
        <v>East Carolina</v>
      </c>
      <c r="Q35" s="461">
        <f>IF(+All!$F260="East Carolina",+All!Q260,IF(+All!$H260="East Carolina",+All!Q260,0))</f>
        <v>20</v>
      </c>
      <c r="R35" s="460" t="str">
        <f>IF(+All!$F260="East Carolina",+All!R260,IF(+All!$H260="East Carolina",+All!R260,0))</f>
        <v>Navy</v>
      </c>
      <c r="S35" s="462" t="str">
        <f>IF(+All!$F260="East Carolina",+All!S260,IF(+All!$H260="East Carolina",+All!S260,0))</f>
        <v>East Carolina</v>
      </c>
      <c r="T35" s="460" t="str">
        <f>IF(+All!$F260="East Carolina",+All!T260,IF(+All!$H260="East Carolina",+All!T260,0))</f>
        <v>East Carolina</v>
      </c>
      <c r="U35" s="461" t="str">
        <f>IF(+All!$F260="East Carolina",+All!U260,IF(+All!$H260="East Carolina",+All!U260,0))</f>
        <v>L</v>
      </c>
    </row>
    <row r="36" spans="1:21" s="365" customFormat="1" x14ac:dyDescent="0.8">
      <c r="A36" s="46">
        <f>IF(+All!$F326="East Carolina",+All!A326,IF(+All!$H326="East Carolina",+All!A326,0))</f>
        <v>5</v>
      </c>
      <c r="B36" s="46" t="str">
        <f>IF(+All!$F326="East Carolina",+All!B326,IF(+All!$H326="East Carolina",+All!B326,0))</f>
        <v>Sat</v>
      </c>
      <c r="C36" s="62">
        <f>IF(+All!$F326="East Carolina",+All!C326,IF(+All!$H326="East Carolina",+All!C326,0))</f>
        <v>44835</v>
      </c>
      <c r="D36" s="490">
        <f>IF(+All!$F326="East Carolina",+All!D326,IF(+All!$H326="East Carolina",+All!D326,0))</f>
        <v>0.79166666666666663</v>
      </c>
      <c r="E36" s="461">
        <f>IF(+All!$F326="East Carolina",+All!E326,IF(+All!$H326="East Carolina",+All!E326,0))</f>
        <v>0</v>
      </c>
      <c r="F36" s="460" t="str">
        <f>IF(+All!$F326="East Carolina",+All!F326,IF(+All!$H326="East Carolina",+All!F326,0))</f>
        <v>East Carolina</v>
      </c>
      <c r="G36" s="465" t="str">
        <f>IF(+All!$F326="East Carolina",+All!G326,IF(+All!$H326="East Carolina",+All!G326,0))</f>
        <v>AAC</v>
      </c>
      <c r="H36" s="465" t="str">
        <f>IF(+All!$F326="East Carolina",+All!H326,IF(+All!$H326="East Carolina",+All!H326,0))</f>
        <v>South Florida</v>
      </c>
      <c r="I36" s="464" t="str">
        <f>IF(+All!$F326="East Carolina",+All!I326,IF(+All!$H326="East Carolina",+All!I326,0))</f>
        <v>AAC</v>
      </c>
      <c r="J36" s="460" t="str">
        <f>IF(+All!$F326="East Carolina",+All!J326,IF(+All!$H326="East Carolina",+All!J326,0))</f>
        <v>East Carolina</v>
      </c>
      <c r="K36" s="461" t="str">
        <f>IF(+All!$F326="East Carolina",+All!K326,IF(+All!$H326="East Carolina",+All!K326,0))</f>
        <v>South Florida</v>
      </c>
      <c r="L36" s="54">
        <f>IF(+All!$F326="East Carolina",+All!L326,IF(+All!$H326="East Carolina",+All!L326,0))</f>
        <v>9</v>
      </c>
      <c r="M36" s="55">
        <f>IF(+All!$F326="East Carolina",+All!M326,IF(+All!$H326="East Carolina",+All!M326,0))</f>
        <v>57.5</v>
      </c>
      <c r="N36" s="460" t="str">
        <f>IF(+All!$F326="East Carolina",+All!N326,IF(+All!$H326="East Carolina",+All!N326,0))</f>
        <v>East Carolina</v>
      </c>
      <c r="O36" s="462">
        <f>IF(+All!$F326="East Carolina",+All!O326,IF(+All!$H326="East Carolina",+All!O326,0))</f>
        <v>48</v>
      </c>
      <c r="P36" s="462" t="str">
        <f>IF(+All!$F326="East Carolina",+All!P326,IF(+All!$H326="East Carolina",+All!P326,0))</f>
        <v>South Florida</v>
      </c>
      <c r="Q36" s="461">
        <f>IF(+All!$F326="East Carolina",+All!Q326,IF(+All!$H326="East Carolina",+All!Q326,0))</f>
        <v>28</v>
      </c>
      <c r="R36" s="460" t="str">
        <f>IF(+All!$F326="East Carolina",+All!R326,IF(+All!$H326="East Carolina",+All!R326,0))</f>
        <v>East Carolina</v>
      </c>
      <c r="S36" s="462" t="str">
        <f>IF(+All!$F326="East Carolina",+All!S326,IF(+All!$H326="East Carolina",+All!S326,0))</f>
        <v>South Florida</v>
      </c>
      <c r="T36" s="460" t="str">
        <f>IF(+All!$F326="East Carolina",+All!T326,IF(+All!$H326="East Carolina",+All!T326,0))</f>
        <v>East Carolina</v>
      </c>
      <c r="U36" s="461" t="str">
        <f>IF(+All!$F326="East Carolina",+All!U326,IF(+All!$H326="East Carolina",+All!U326,0))</f>
        <v>W</v>
      </c>
    </row>
    <row r="37" spans="1:21" s="365" customFormat="1" x14ac:dyDescent="0.8">
      <c r="A37" s="46">
        <f>IF(+All!$F388="East Carolina",+All!A388,IF(+All!$H388="East Carolina",+All!A388,0))</f>
        <v>6</v>
      </c>
      <c r="B37" s="46" t="str">
        <f>IF(+All!$F388="East Carolina",+All!B388,IF(+All!$H388="East Carolina",+All!B388,0))</f>
        <v>Sat</v>
      </c>
      <c r="C37" s="62">
        <f>IF(+All!$F388="East Carolina",+All!C388,IF(+All!$H388="East Carolina",+All!C388,0))</f>
        <v>44842</v>
      </c>
      <c r="D37" s="490">
        <f>IF(+All!$F388="East Carolina",+All!D388,IF(+All!$H388="East Carolina",+All!D388,0))</f>
        <v>0.64583333333333337</v>
      </c>
      <c r="E37" s="461" t="str">
        <f>IF(+All!$F388="East Carolina",+All!E388,IF(+All!$H388="East Carolina",+All!E388,0))</f>
        <v>ESPNU</v>
      </c>
      <c r="F37" s="460" t="str">
        <f>IF(+All!$F388="East Carolina",+All!F388,IF(+All!$H388="East Carolina",+All!F388,0))</f>
        <v>East Carolina</v>
      </c>
      <c r="G37" s="465" t="str">
        <f>IF(+All!$F388="East Carolina",+All!G388,IF(+All!$H388="East Carolina",+All!G388,0))</f>
        <v>AAC</v>
      </c>
      <c r="H37" s="465" t="str">
        <f>IF(+All!$F388="East Carolina",+All!H388,IF(+All!$H388="East Carolina",+All!H388,0))</f>
        <v>Tulane</v>
      </c>
      <c r="I37" s="464" t="str">
        <f>IF(+All!$F388="East Carolina",+All!I388,IF(+All!$H388="East Carolina",+All!I388,0))</f>
        <v>AAC</v>
      </c>
      <c r="J37" s="460" t="str">
        <f>IF(+All!$F388="East Carolina",+All!J388,IF(+All!$H388="East Carolina",+All!J388,0))</f>
        <v>Tulane</v>
      </c>
      <c r="K37" s="461" t="str">
        <f>IF(+All!$F388="East Carolina",+All!K388,IF(+All!$H388="East Carolina",+All!K388,0))</f>
        <v>East Carolina</v>
      </c>
      <c r="L37" s="54">
        <f>IF(+All!$F388="East Carolina",+All!L388,IF(+All!$H388="East Carolina",+All!L388,0))</f>
        <v>3</v>
      </c>
      <c r="M37" s="55">
        <f>IF(+All!$F388="East Carolina",+All!M388,IF(+All!$H388="East Carolina",+All!M388,0))</f>
        <v>54.5</v>
      </c>
      <c r="N37" s="460" t="str">
        <f>IF(+All!$F388="East Carolina",+All!N388,IF(+All!$H388="East Carolina",+All!N388,0))</f>
        <v>Tulane</v>
      </c>
      <c r="O37" s="462">
        <f>IF(+All!$F388="East Carolina",+All!O388,IF(+All!$H388="East Carolina",+All!O388,0))</f>
        <v>24</v>
      </c>
      <c r="P37" s="462" t="str">
        <f>IF(+All!$F388="East Carolina",+All!P388,IF(+All!$H388="East Carolina",+All!P388,0))</f>
        <v>East Carolina</v>
      </c>
      <c r="Q37" s="461">
        <f>IF(+All!$F388="East Carolina",+All!Q388,IF(+All!$H388="East Carolina",+All!Q388,0))</f>
        <v>9</v>
      </c>
      <c r="R37" s="460" t="str">
        <f>IF(+All!$F388="East Carolina",+All!R388,IF(+All!$H388="East Carolina",+All!R388,0))</f>
        <v>Tulane</v>
      </c>
      <c r="S37" s="462" t="str">
        <f>IF(+All!$F388="East Carolina",+All!S388,IF(+All!$H388="East Carolina",+All!S388,0))</f>
        <v>East Carolina</v>
      </c>
      <c r="T37" s="460" t="str">
        <f>IF(+All!$F388="East Carolina",+All!T388,IF(+All!$H388="East Carolina",+All!T388,0))</f>
        <v>Tulane</v>
      </c>
      <c r="U37" s="461" t="str">
        <f>IF(+All!$F388="East Carolina",+All!U388,IF(+All!$H388="East Carolina",+All!U388,0))</f>
        <v>W</v>
      </c>
    </row>
    <row r="38" spans="1:21" s="365" customFormat="1" x14ac:dyDescent="0.8">
      <c r="A38" s="46">
        <f>IF(+All!$F443="East Carolina",+All!A443,IF(+All!$H443="East Carolina",+All!A443,0))</f>
        <v>7</v>
      </c>
      <c r="B38" s="46" t="str">
        <f>IF(+All!$F443="East Carolina",+All!B443,IF(+All!$H443="East Carolina",+All!B443,0))</f>
        <v>Sat</v>
      </c>
      <c r="C38" s="62">
        <f>IF(+All!$F443="East Carolina",+All!C443,IF(+All!$H443="East Carolina",+All!C443,0))</f>
        <v>44849</v>
      </c>
      <c r="D38" s="490">
        <f>IF(+All!$F443="East Carolina",+All!D443,IF(+All!$H443="East Carolina",+All!D443,0))</f>
        <v>0.8125</v>
      </c>
      <c r="E38" s="461" t="str">
        <f>IF(+All!$F443="East Carolina",+All!E443,IF(+All!$H443="East Carolina",+All!E443,0))</f>
        <v>ESPNU</v>
      </c>
      <c r="F38" s="460" t="str">
        <f>IF(+All!$F443="East Carolina",+All!F443,IF(+All!$H443="East Carolina",+All!F443,0))</f>
        <v>Memphis</v>
      </c>
      <c r="G38" s="465" t="str">
        <f>IF(+All!$F443="East Carolina",+All!G443,IF(+All!$H443="East Carolina",+All!G443,0))</f>
        <v>AAC</v>
      </c>
      <c r="H38" s="465" t="str">
        <f>IF(+All!$F443="East Carolina",+All!H443,IF(+All!$H443="East Carolina",+All!H443,0))</f>
        <v>East Carolina</v>
      </c>
      <c r="I38" s="464" t="str">
        <f>IF(+All!$F443="East Carolina",+All!I443,IF(+All!$H443="East Carolina",+All!I443,0))</f>
        <v>AAC</v>
      </c>
      <c r="J38" s="460" t="str">
        <f>IF(+All!$F443="East Carolina",+All!J443,IF(+All!$H443="East Carolina",+All!J443,0))</f>
        <v>East Carolina</v>
      </c>
      <c r="K38" s="461" t="str">
        <f>IF(+All!$F443="East Carolina",+All!K443,IF(+All!$H443="East Carolina",+All!K443,0))</f>
        <v>Memphis</v>
      </c>
      <c r="L38" s="54">
        <f>IF(+All!$F443="East Carolina",+All!L443,IF(+All!$H443="East Carolina",+All!L443,0))</f>
        <v>4.5</v>
      </c>
      <c r="M38" s="55">
        <f>IF(+All!$F443="East Carolina",+All!M443,IF(+All!$H443="East Carolina",+All!M443,0))</f>
        <v>58.5</v>
      </c>
      <c r="N38" s="460" t="str">
        <f>IF(+All!$F443="East Carolina",+All!N443,IF(+All!$H443="East Carolina",+All!N443,0))</f>
        <v>East Carolina</v>
      </c>
      <c r="O38" s="462">
        <f>IF(+All!$F443="East Carolina",+All!O443,IF(+All!$H443="East Carolina",+All!O443,0))</f>
        <v>47</v>
      </c>
      <c r="P38" s="462" t="str">
        <f>IF(+All!$F443="East Carolina",+All!P443,IF(+All!$H443="East Carolina",+All!P443,0))</f>
        <v>Memphis</v>
      </c>
      <c r="Q38" s="461">
        <f>IF(+All!$F443="East Carolina",+All!Q443,IF(+All!$H443="East Carolina",+All!Q443,0))</f>
        <v>45</v>
      </c>
      <c r="R38" s="460" t="str">
        <f>IF(+All!$F443="East Carolina",+All!R443,IF(+All!$H443="East Carolina",+All!R443,0))</f>
        <v>Memphis</v>
      </c>
      <c r="S38" s="462" t="str">
        <f>IF(+All!$F443="East Carolina",+All!S443,IF(+All!$H443="East Carolina",+All!S443,0))</f>
        <v>East Carolina</v>
      </c>
      <c r="T38" s="460" t="str">
        <f>IF(+All!$F443="East Carolina",+All!T443,IF(+All!$H443="East Carolina",+All!T443,0))</f>
        <v>Memphis</v>
      </c>
      <c r="U38" s="461" t="str">
        <f>IF(+All!$F443="East Carolina",+All!U443,IF(+All!$H443="East Carolina",+All!U443,0))</f>
        <v>W</v>
      </c>
    </row>
    <row r="39" spans="1:21" s="365" customFormat="1" x14ac:dyDescent="0.8">
      <c r="A39" s="46">
        <f>IF(+All!$F496="East Carolina",+All!A496,IF(+All!$H496="East Carolina",+All!A496,0))</f>
        <v>8</v>
      </c>
      <c r="B39" s="46" t="str">
        <f>IF(+All!$F496="East Carolina",+All!B496,IF(+All!$H496="East Carolina",+All!B496,0))</f>
        <v>Sat</v>
      </c>
      <c r="C39" s="62">
        <f>IF(+All!$F496="East Carolina",+All!C496,IF(+All!$H496="East Carolina",+All!C496,0))</f>
        <v>44856</v>
      </c>
      <c r="D39" s="490">
        <f>IF(+All!$F496="East Carolina",+All!D496,IF(+All!$H496="East Carolina",+All!D496,0))</f>
        <v>0.8125</v>
      </c>
      <c r="E39" s="461" t="str">
        <f>IF(+All!$F496="East Carolina",+All!E496,IF(+All!$H496="East Carolina",+All!E496,0))</f>
        <v>ESPNU</v>
      </c>
      <c r="F39" s="460" t="str">
        <f>IF(+All!$F496="East Carolina",+All!F496,IF(+All!$H496="East Carolina",+All!F496,0))</f>
        <v>Central Florida</v>
      </c>
      <c r="G39" s="465" t="str">
        <f>IF(+All!$F496="East Carolina",+All!G496,IF(+All!$H496="East Carolina",+All!G496,0))</f>
        <v>AAC</v>
      </c>
      <c r="H39" s="465" t="str">
        <f>IF(+All!$F496="East Carolina",+All!H496,IF(+All!$H496="East Carolina",+All!H496,0))</f>
        <v>East Carolina</v>
      </c>
      <c r="I39" s="464" t="str">
        <f>IF(+All!$F496="East Carolina",+All!I496,IF(+All!$H496="East Carolina",+All!I496,0))</f>
        <v>AAC</v>
      </c>
      <c r="J39" s="460" t="str">
        <f>IF(+All!$F496="East Carolina",+All!J496,IF(+All!$H496="East Carolina",+All!J496,0))</f>
        <v>Central Florida</v>
      </c>
      <c r="K39" s="461" t="str">
        <f>IF(+All!$F496="East Carolina",+All!K496,IF(+All!$H496="East Carolina",+All!K496,0))</f>
        <v>East Carolina</v>
      </c>
      <c r="L39" s="54">
        <f>IF(+All!$F496="East Carolina",+All!L496,IF(+All!$H496="East Carolina",+All!L496,0))</f>
        <v>5</v>
      </c>
      <c r="M39" s="55">
        <f>IF(+All!$F496="East Carolina",+All!M496,IF(+All!$H496="East Carolina",+All!M496,0))</f>
        <v>65.5</v>
      </c>
      <c r="N39" s="460" t="str">
        <f>IF(+All!$F496="East Carolina",+All!N496,IF(+All!$H496="East Carolina",+All!N496,0))</f>
        <v>East Carolina</v>
      </c>
      <c r="O39" s="462">
        <f>IF(+All!$F496="East Carolina",+All!O496,IF(+All!$H496="East Carolina",+All!O496,0))</f>
        <v>34</v>
      </c>
      <c r="P39" s="462" t="str">
        <f>IF(+All!$F496="East Carolina",+All!P496,IF(+All!$H496="East Carolina",+All!P496,0))</f>
        <v>Central Florida</v>
      </c>
      <c r="Q39" s="461">
        <f>IF(+All!$F496="East Carolina",+All!Q496,IF(+All!$H496="East Carolina",+All!Q496,0))</f>
        <v>13</v>
      </c>
      <c r="R39" s="460" t="str">
        <f>IF(+All!$F496="East Carolina",+All!R496,IF(+All!$H496="East Carolina",+All!R496,0))</f>
        <v>East Carolina</v>
      </c>
      <c r="S39" s="462" t="str">
        <f>IF(+All!$F496="East Carolina",+All!S496,IF(+All!$H496="East Carolina",+All!S496,0))</f>
        <v>Central Florida</v>
      </c>
      <c r="T39" s="460" t="str">
        <f>IF(+All!$F496="East Carolina",+All!T496,IF(+All!$H496="East Carolina",+All!T496,0))</f>
        <v>East Carolina</v>
      </c>
      <c r="U39" s="461" t="str">
        <f>IF(+All!$F496="East Carolina",+All!U496,IF(+All!$H496="East Carolina",+All!U496,0))</f>
        <v>W</v>
      </c>
    </row>
    <row r="40" spans="1:21" s="365" customFormat="1" x14ac:dyDescent="0.8">
      <c r="A40" s="46">
        <f>IF(+All!$F549="East Carolina",+All!A549,IF(+All!$H549="East Carolina",+All!A549,0))</f>
        <v>9</v>
      </c>
      <c r="B40" s="46" t="str">
        <f>IF(+All!$F549="East Carolina",+All!B549,IF(+All!$H549="East Carolina",+All!B549,0))</f>
        <v>Fri</v>
      </c>
      <c r="C40" s="62">
        <f>IF(+All!$F549="East Carolina",+All!C549,IF(+All!$H549="East Carolina",+All!C549,0))</f>
        <v>44862</v>
      </c>
      <c r="D40" s="490">
        <f>IF(+All!$F549="East Carolina",+All!D549,IF(+All!$H549="East Carolina",+All!D549,0))</f>
        <v>0.83333333333333337</v>
      </c>
      <c r="E40" s="461" t="str">
        <f>IF(+All!$F549="East Carolina",+All!E549,IF(+All!$H549="East Carolina",+All!E549,0))</f>
        <v>ESPN2</v>
      </c>
      <c r="F40" s="460" t="str">
        <f>IF(+All!$F549="East Carolina",+All!F549,IF(+All!$H549="East Carolina",+All!F549,0))</f>
        <v>East Carolina</v>
      </c>
      <c r="G40" s="465" t="str">
        <f>IF(+All!$F549="East Carolina",+All!G549,IF(+All!$H549="East Carolina",+All!G549,0))</f>
        <v>AAC</v>
      </c>
      <c r="H40" s="465" t="str">
        <f>IF(+All!$F549="East Carolina",+All!H549,IF(+All!$H549="East Carolina",+All!H549,0))</f>
        <v>BYU</v>
      </c>
      <c r="I40" s="464" t="str">
        <f>IF(+All!$F549="East Carolina",+All!I549,IF(+All!$H549="East Carolina",+All!I549,0))</f>
        <v>Ind</v>
      </c>
      <c r="J40" s="460" t="str">
        <f>IF(+All!$F549="East Carolina",+All!J549,IF(+All!$H549="East Carolina",+All!J549,0))</f>
        <v>BYU</v>
      </c>
      <c r="K40" s="461" t="str">
        <f>IF(+All!$F549="East Carolina",+All!K549,IF(+All!$H549="East Carolina",+All!K549,0))</f>
        <v>East Carolina</v>
      </c>
      <c r="L40" s="54">
        <f>IF(+All!$F549="East Carolina",+All!L549,IF(+All!$H549="East Carolina",+All!L549,0))</f>
        <v>3</v>
      </c>
      <c r="M40" s="55">
        <f>IF(+All!$F549="East Carolina",+All!M549,IF(+All!$H549="East Carolina",+All!M549,0))</f>
        <v>62</v>
      </c>
      <c r="N40" s="460" t="str">
        <f>IF(+All!$F549="East Carolina",+All!N549,IF(+All!$H549="East Carolina",+All!N549,0))</f>
        <v>East Carolina</v>
      </c>
      <c r="O40" s="462">
        <f>IF(+All!$F549="East Carolina",+All!O549,IF(+All!$H549="East Carolina",+All!O549,0))</f>
        <v>27</v>
      </c>
      <c r="P40" s="462" t="str">
        <f>IF(+All!$F549="East Carolina",+All!P549,IF(+All!$H549="East Carolina",+All!P549,0))</f>
        <v>BYU</v>
      </c>
      <c r="Q40" s="461">
        <f>IF(+All!$F549="East Carolina",+All!Q549,IF(+All!$H549="East Carolina",+All!Q549,0))</f>
        <v>24</v>
      </c>
      <c r="R40" s="460" t="str">
        <f>IF(+All!$F549="East Carolina",+All!R549,IF(+All!$H549="East Carolina",+All!R549,0))</f>
        <v>East Carolina</v>
      </c>
      <c r="S40" s="462" t="str">
        <f>IF(+All!$F549="East Carolina",+All!S549,IF(+All!$H549="East Carolina",+All!S549,0))</f>
        <v>BYU</v>
      </c>
      <c r="T40" s="460" t="str">
        <f>IF(+All!$F549="East Carolina",+All!T549,IF(+All!$H549="East Carolina",+All!T549,0))</f>
        <v>East Carolina</v>
      </c>
      <c r="U40" s="461" t="str">
        <f>IF(+All!$F549="East Carolina",+All!U549,IF(+All!$H549="East Carolina",+All!U549,0))</f>
        <v>W</v>
      </c>
    </row>
    <row r="41" spans="1:21" s="365" customFormat="1" x14ac:dyDescent="0.8">
      <c r="A41" s="46" t="e">
        <f>IF(+All!#REF!="East Carolina",+All!#REF!,IF(+All!#REF!="East Carolina",+All!#REF!,0))</f>
        <v>#REF!</v>
      </c>
      <c r="B41" s="46" t="e">
        <f>IF(+All!#REF!="East Carolina",+All!#REF!,IF(+All!#REF!="East Carolina",+All!#REF!,0))</f>
        <v>#REF!</v>
      </c>
      <c r="C41" s="62" t="e">
        <f>IF(+All!#REF!="East Carolina",+All!#REF!,IF(+All!#REF!="East Carolina",+All!#REF!,0))</f>
        <v>#REF!</v>
      </c>
      <c r="D41" s="490" t="e">
        <f>IF(+All!#REF!="East Carolina",+All!#REF!,IF(+All!#REF!="East Carolina",+All!#REF!,0))</f>
        <v>#REF!</v>
      </c>
      <c r="E41" s="461" t="e">
        <f>IF(+All!#REF!="East Carolina",+All!#REF!,IF(+All!#REF!="East Carolina",+All!#REF!,0))</f>
        <v>#REF!</v>
      </c>
      <c r="F41" s="460" t="e">
        <f>IF(+All!#REF!="East Carolina",+All!#REF!,IF(+All!#REF!="East Carolina",+All!#REF!,0))</f>
        <v>#REF!</v>
      </c>
      <c r="G41" s="465" t="e">
        <f>IF(+All!#REF!="East Carolina",+All!#REF!,IF(+All!#REF!="East Carolina",+All!#REF!,0))</f>
        <v>#REF!</v>
      </c>
      <c r="H41" s="465" t="e">
        <f>IF(+All!#REF!="East Carolina",+All!#REF!,IF(+All!#REF!="East Carolina",+All!#REF!,0))</f>
        <v>#REF!</v>
      </c>
      <c r="I41" s="464" t="e">
        <f>IF(+All!#REF!="East Carolina",+All!#REF!,IF(+All!#REF!="East Carolina",+All!#REF!,0))</f>
        <v>#REF!</v>
      </c>
      <c r="J41" s="460" t="e">
        <f>IF(+All!#REF!="East Carolina",+All!#REF!,IF(+All!#REF!="East Carolina",+All!#REF!,0))</f>
        <v>#REF!</v>
      </c>
      <c r="K41" s="461" t="e">
        <f>IF(+All!#REF!="East Carolina",+All!#REF!,IF(+All!#REF!="East Carolina",+All!#REF!,0))</f>
        <v>#REF!</v>
      </c>
      <c r="L41" s="54" t="e">
        <f>IF(+All!#REF!="East Carolina",+All!#REF!,IF(+All!#REF!="East Carolina",+All!#REF!,0))</f>
        <v>#REF!</v>
      </c>
      <c r="M41" s="55" t="e">
        <f>IF(+All!#REF!="East Carolina",+All!#REF!,IF(+All!#REF!="East Carolina",+All!#REF!,0))</f>
        <v>#REF!</v>
      </c>
      <c r="N41" s="460" t="e">
        <f>IF(+All!#REF!="East Carolina",+All!#REF!,IF(+All!#REF!="East Carolina",+All!#REF!,0))</f>
        <v>#REF!</v>
      </c>
      <c r="O41" s="462" t="e">
        <f>IF(+All!#REF!="East Carolina",+All!#REF!,IF(+All!#REF!="East Carolina",+All!#REF!,0))</f>
        <v>#REF!</v>
      </c>
      <c r="P41" s="462" t="e">
        <f>IF(+All!#REF!="East Carolina",+All!#REF!,IF(+All!#REF!="East Carolina",+All!#REF!,0))</f>
        <v>#REF!</v>
      </c>
      <c r="Q41" s="461" t="e">
        <f>IF(+All!#REF!="East Carolina",+All!#REF!,IF(+All!#REF!="East Carolina",+All!#REF!,0))</f>
        <v>#REF!</v>
      </c>
      <c r="R41" s="460" t="e">
        <f>IF(+All!#REF!="East Carolina",+All!#REF!,IF(+All!#REF!="East Carolina",+All!#REF!,0))</f>
        <v>#REF!</v>
      </c>
      <c r="S41" s="462" t="e">
        <f>IF(+All!#REF!="East Carolina",+All!#REF!,IF(+All!#REF!="East Carolina",+All!#REF!,0))</f>
        <v>#REF!</v>
      </c>
      <c r="T41" s="460" t="e">
        <f>IF(+All!#REF!="East Carolina",+All!#REF!,IF(+All!#REF!="East Carolina",+All!#REF!,0))</f>
        <v>#REF!</v>
      </c>
      <c r="U41" s="461" t="e">
        <f>IF(+All!#REF!="East Carolina",+All!#REF!,IF(+All!#REF!="East Carolina",+All!#REF!,0))</f>
        <v>#REF!</v>
      </c>
    </row>
    <row r="42" spans="1:21" s="365" customFormat="1" x14ac:dyDescent="0.8">
      <c r="A42" s="46">
        <f>IF(+All!$F661="East Carolina",+All!A661,IF(+All!$H661="East Carolina",+All!A661,0))</f>
        <v>11</v>
      </c>
      <c r="B42" s="46" t="str">
        <f>IF(+All!$F661="East Carolina",+All!B661,IF(+All!$H661="East Carolina",+All!B661,0))</f>
        <v>Fri</v>
      </c>
      <c r="C42" s="62">
        <f>IF(+All!$F661="East Carolina",+All!C661,IF(+All!$H661="East Carolina",+All!C661,0))</f>
        <v>44875</v>
      </c>
      <c r="D42" s="490">
        <f>IF(+All!$F661="East Carolina",+All!D661,IF(+All!$H661="East Carolina",+All!D661,0))</f>
        <v>0.83333333333333337</v>
      </c>
      <c r="E42" s="461" t="str">
        <f>IF(+All!$F661="East Carolina",+All!E661,IF(+All!$H661="East Carolina",+All!E661,0))</f>
        <v>ESPN2</v>
      </c>
      <c r="F42" s="460" t="str">
        <f>IF(+All!$F661="East Carolina",+All!F661,IF(+All!$H661="East Carolina",+All!F661,0))</f>
        <v>East Carolina</v>
      </c>
      <c r="G42" s="465" t="str">
        <f>IF(+All!$F661="East Carolina",+All!G661,IF(+All!$H661="East Carolina",+All!G661,0))</f>
        <v>AAC</v>
      </c>
      <c r="H42" s="465" t="str">
        <f>IF(+All!$F661="East Carolina",+All!H661,IF(+All!$H661="East Carolina",+All!H661,0))</f>
        <v>Cincinnati</v>
      </c>
      <c r="I42" s="464" t="str">
        <f>IF(+All!$F661="East Carolina",+All!I661,IF(+All!$H661="East Carolina",+All!I661,0))</f>
        <v>AAC</v>
      </c>
      <c r="J42" s="460" t="str">
        <f>IF(+All!$F661="East Carolina",+All!J661,IF(+All!$H661="East Carolina",+All!J661,0))</f>
        <v>Cincinnati</v>
      </c>
      <c r="K42" s="461" t="str">
        <f>IF(+All!$F661="East Carolina",+All!K661,IF(+All!$H661="East Carolina",+All!K661,0))</f>
        <v>East Carolina</v>
      </c>
      <c r="L42" s="54">
        <f>IF(+All!$F661="East Carolina",+All!L661,IF(+All!$H661="East Carolina",+All!L661,0))</f>
        <v>5.5</v>
      </c>
      <c r="M42" s="55">
        <f>IF(+All!$F661="East Carolina",+All!M661,IF(+All!$H661="East Carolina",+All!M661,0))</f>
        <v>52.5</v>
      </c>
      <c r="N42" s="460" t="str">
        <f>IF(+All!$F661="East Carolina",+All!N661,IF(+All!$H661="East Carolina",+All!N661,0))</f>
        <v>Cincinnati</v>
      </c>
      <c r="O42" s="462">
        <f>IF(+All!$F661="East Carolina",+All!O661,IF(+All!$H661="East Carolina",+All!O661,0))</f>
        <v>27</v>
      </c>
      <c r="P42" s="462" t="str">
        <f>IF(+All!$F661="East Carolina",+All!P661,IF(+All!$H661="East Carolina",+All!P661,0))</f>
        <v>East Carolina</v>
      </c>
      <c r="Q42" s="461">
        <f>IF(+All!$F661="East Carolina",+All!Q661,IF(+All!$H661="East Carolina",+All!Q661,0))</f>
        <v>25</v>
      </c>
      <c r="R42" s="460" t="str">
        <f>IF(+All!$F661="East Carolina",+All!R661,IF(+All!$H661="East Carolina",+All!R661,0))</f>
        <v>East Carolina</v>
      </c>
      <c r="S42" s="462" t="str">
        <f>IF(+All!$F661="East Carolina",+All!S661,IF(+All!$H661="East Carolina",+All!S661,0))</f>
        <v>Cincinnati</v>
      </c>
      <c r="T42" s="460" t="str">
        <f>IF(+All!$F661="East Carolina",+All!T661,IF(+All!$H661="East Carolina",+All!T661,0))</f>
        <v>East Carolina</v>
      </c>
      <c r="U42" s="461" t="str">
        <f>IF(+All!$F661="East Carolina",+All!U661,IF(+All!$H661="East Carolina",+All!U661,0))</f>
        <v>W</v>
      </c>
    </row>
    <row r="43" spans="1:21" s="365" customFormat="1" x14ac:dyDescent="0.8">
      <c r="A43" s="46">
        <f>IF(+All!$F727="East Carolina",+All!A727,IF(+All!$H727="East Carolina",+All!A727,0))</f>
        <v>12</v>
      </c>
      <c r="B43" s="46" t="str">
        <f>IF(+All!$F727="East Carolina",+All!B727,IF(+All!$H727="East Carolina",+All!B727,0))</f>
        <v>Sat</v>
      </c>
      <c r="C43" s="62">
        <f>IF(+All!$F727="East Carolina",+All!C727,IF(+All!$H727="East Carolina",+All!C727,0))</f>
        <v>44884</v>
      </c>
      <c r="D43" s="490">
        <f>IF(+All!$F727="East Carolina",+All!D727,IF(+All!$H727="East Carolina",+All!D727,0))</f>
        <v>0.58333333333333337</v>
      </c>
      <c r="E43" s="461">
        <f>IF(+All!$F727="East Carolina",+All!E727,IF(+All!$H727="East Carolina",+All!E727,0))</f>
        <v>0</v>
      </c>
      <c r="F43" s="460" t="str">
        <f>IF(+All!$F727="East Carolina",+All!F727,IF(+All!$H727="East Carolina",+All!F727,0))</f>
        <v>Houston</v>
      </c>
      <c r="G43" s="465" t="str">
        <f>IF(+All!$F727="East Carolina",+All!G727,IF(+All!$H727="East Carolina",+All!G727,0))</f>
        <v>AAC</v>
      </c>
      <c r="H43" s="465" t="str">
        <f>IF(+All!$F727="East Carolina",+All!H727,IF(+All!$H727="East Carolina",+All!H727,0))</f>
        <v>East Carolina</v>
      </c>
      <c r="I43" s="464" t="str">
        <f>IF(+All!$F727="East Carolina",+All!I727,IF(+All!$H727="East Carolina",+All!I727,0))</f>
        <v>AAC</v>
      </c>
      <c r="J43" s="460" t="str">
        <f>IF(+All!$F727="East Carolina",+All!J727,IF(+All!$H727="East Carolina",+All!J727,0))</f>
        <v>East Carolina</v>
      </c>
      <c r="K43" s="461" t="str">
        <f>IF(+All!$F727="East Carolina",+All!K727,IF(+All!$H727="East Carolina",+All!K727,0))</f>
        <v>Houston</v>
      </c>
      <c r="L43" s="54">
        <f>IF(+All!$F727="East Carolina",+All!L727,IF(+All!$H727="East Carolina",+All!L727,0))</f>
        <v>6</v>
      </c>
      <c r="M43" s="55">
        <f>IF(+All!$F727="East Carolina",+All!M727,IF(+All!$H727="East Carolina",+All!M727,0))</f>
        <v>67.5</v>
      </c>
      <c r="N43" s="460" t="str">
        <f>IF(+All!$F727="East Carolina",+All!N727,IF(+All!$H727="East Carolina",+All!N727,0))</f>
        <v>Houston</v>
      </c>
      <c r="O43" s="462">
        <f>IF(+All!$F727="East Carolina",+All!O727,IF(+All!$H727="East Carolina",+All!O727,0))</f>
        <v>42</v>
      </c>
      <c r="P43" s="462" t="str">
        <f>IF(+All!$F727="East Carolina",+All!P727,IF(+All!$H727="East Carolina",+All!P727,0))</f>
        <v>East Carolina</v>
      </c>
      <c r="Q43" s="461">
        <f>IF(+All!$F727="East Carolina",+All!Q727,IF(+All!$H727="East Carolina",+All!Q727,0))</f>
        <v>3</v>
      </c>
      <c r="R43" s="460" t="str">
        <f>IF(+All!$F727="East Carolina",+All!R727,IF(+All!$H727="East Carolina",+All!R727,0))</f>
        <v>Houston</v>
      </c>
      <c r="S43" s="462" t="str">
        <f>IF(+All!$F727="East Carolina",+All!S727,IF(+All!$H727="East Carolina",+All!S727,0))</f>
        <v>East Carolina</v>
      </c>
      <c r="T43" s="460" t="str">
        <f>IF(+All!$F727="East Carolina",+All!T727,IF(+All!$H727="East Carolina",+All!T727,0))</f>
        <v>Houston</v>
      </c>
      <c r="U43" s="461" t="str">
        <f>IF(+All!$F727="East Carolina",+All!U727,IF(+All!$H727="East Carolina",+All!U727,0))</f>
        <v>W</v>
      </c>
    </row>
    <row r="44" spans="1:21" s="365" customFormat="1" x14ac:dyDescent="0.8">
      <c r="A44" s="46">
        <f>IF(+All!$F802="East Carolina",+All!A802,IF(+All!$H802="East Carolina",+All!A802,0))</f>
        <v>13</v>
      </c>
      <c r="B44" s="46" t="str">
        <f>IF(+All!$F802="East Carolina",+All!B802,IF(+All!$H802="East Carolina",+All!B802,0))</f>
        <v>Sat</v>
      </c>
      <c r="C44" s="62">
        <f>IF(+All!$F802="East Carolina",+All!C802,IF(+All!$H802="East Carolina",+All!C802,0))</f>
        <v>44891</v>
      </c>
      <c r="D44" s="490">
        <f>IF(+All!$F802="East Carolina",+All!D802,IF(+All!$H802="East Carolina",+All!D802,0))</f>
        <v>0.54166666666666663</v>
      </c>
      <c r="E44" s="461">
        <f>IF(+All!$F802="East Carolina",+All!E802,IF(+All!$H802="East Carolina",+All!E802,0))</f>
        <v>0</v>
      </c>
      <c r="F44" s="460" t="str">
        <f>IF(+All!$F802="East Carolina",+All!F802,IF(+All!$H802="East Carolina",+All!F802,0))</f>
        <v>East Carolina</v>
      </c>
      <c r="G44" s="465" t="str">
        <f>IF(+All!$F802="East Carolina",+All!G802,IF(+All!$H802="East Carolina",+All!G802,0))</f>
        <v>AAC</v>
      </c>
      <c r="H44" s="465" t="str">
        <f>IF(+All!$F802="East Carolina",+All!H802,IF(+All!$H802="East Carolina",+All!H802,0))</f>
        <v>Temple</v>
      </c>
      <c r="I44" s="464" t="str">
        <f>IF(+All!$F802="East Carolina",+All!I802,IF(+All!$H802="East Carolina",+All!I802,0))</f>
        <v>AAC</v>
      </c>
      <c r="J44" s="460" t="str">
        <f>IF(+All!$F802="East Carolina",+All!J802,IF(+All!$H802="East Carolina",+All!J802,0))</f>
        <v>East Carolina</v>
      </c>
      <c r="K44" s="461" t="str">
        <f>IF(+All!$F802="East Carolina",+All!K802,IF(+All!$H802="East Carolina",+All!K802,0))</f>
        <v>Temple</v>
      </c>
      <c r="L44" s="54">
        <f>IF(+All!$F802="East Carolina",+All!L802,IF(+All!$H802="East Carolina",+All!L802,0))</f>
        <v>9.5</v>
      </c>
      <c r="M44" s="55">
        <f>IF(+All!$F802="East Carolina",+All!M802,IF(+All!$H802="East Carolina",+All!M802,0))</f>
        <v>51.5</v>
      </c>
      <c r="N44" s="460" t="str">
        <f>IF(+All!$F802="East Carolina",+All!N802,IF(+All!$H802="East Carolina",+All!N802,0))</f>
        <v>East Carolina</v>
      </c>
      <c r="O44" s="462">
        <f>IF(+All!$F802="East Carolina",+All!O802,IF(+All!$H802="East Carolina",+All!O802,0))</f>
        <v>49</v>
      </c>
      <c r="P44" s="462" t="str">
        <f>IF(+All!$F802="East Carolina",+All!P802,IF(+All!$H802="East Carolina",+All!P802,0))</f>
        <v>Temple</v>
      </c>
      <c r="Q44" s="461">
        <f>IF(+All!$F802="East Carolina",+All!Q802,IF(+All!$H802="East Carolina",+All!Q802,0))</f>
        <v>46</v>
      </c>
      <c r="R44" s="460" t="str">
        <f>IF(+All!$F802="East Carolina",+All!R802,IF(+All!$H802="East Carolina",+All!R802,0))</f>
        <v>Temple</v>
      </c>
      <c r="S44" s="462" t="str">
        <f>IF(+All!$F802="East Carolina",+All!S802,IF(+All!$H802="East Carolina",+All!S802,0))</f>
        <v>East Carolina</v>
      </c>
      <c r="T44" s="460" t="str">
        <f>IF(+All!$F802="East Carolina",+All!T802,IF(+All!$H802="East Carolina",+All!T802,0))</f>
        <v>East Carolina</v>
      </c>
      <c r="U44" s="461" t="str">
        <f>IF(+All!$F802="East Carolina",+All!U802,IF(+All!$H802="East Carolina",+All!U802,0))</f>
        <v>L</v>
      </c>
    </row>
    <row r="45" spans="1:21" x14ac:dyDescent="0.8">
      <c r="B45" s="46"/>
      <c r="C45" s="62"/>
      <c r="D45" s="490"/>
      <c r="E45" s="461"/>
      <c r="F45" s="897" t="str">
        <f>F46</f>
        <v>Houston</v>
      </c>
      <c r="G45" s="898"/>
      <c r="H45" s="898"/>
      <c r="I45" s="899"/>
      <c r="J45" s="460"/>
      <c r="K45" s="461"/>
      <c r="L45" s="54"/>
      <c r="M45" s="55"/>
      <c r="N45" s="460"/>
      <c r="O45" s="462"/>
      <c r="P45" s="462"/>
      <c r="Q45" s="461"/>
      <c r="R45" s="460"/>
      <c r="S45" s="462"/>
      <c r="T45" s="460"/>
      <c r="U45" s="461"/>
    </row>
    <row r="46" spans="1:21" x14ac:dyDescent="0.8">
      <c r="A46" s="46">
        <f>IF(+All!$F45="Houston",+All!A45,IF(+All!$H45="Houston",+All!A45,0))</f>
        <v>1</v>
      </c>
      <c r="B46" s="46" t="str">
        <f>IF(+All!$F45="Houston",+All!B45,IF(+All!$H45="Houston",+All!B45,0))</f>
        <v>Sat</v>
      </c>
      <c r="C46" s="62">
        <f>IF(+All!$F45="Houston",+All!C45,IF(+All!$H45="Houston",+All!C45,0))</f>
        <v>44807</v>
      </c>
      <c r="D46" s="490">
        <f>IF(+All!$F45="Houston",+All!D45,IF(+All!$H45="Houston",+All!D45,0))</f>
        <v>0.64583333333333337</v>
      </c>
      <c r="E46" s="461" t="str">
        <f>IF(+All!$F45="Houston",+All!E45,IF(+All!$H45="Houston",+All!E45,0))</f>
        <v>CBSSN</v>
      </c>
      <c r="F46" s="460" t="str">
        <f>IF(+All!$F45="Houston",+All!F45,IF(+All!$H45="Houston",+All!F45,0))</f>
        <v>Houston</v>
      </c>
      <c r="G46" s="465" t="str">
        <f>IF(+All!$F45="Houston",+All!G45,IF(+All!$H45="Houston",+All!G45,0))</f>
        <v>AAC</v>
      </c>
      <c r="H46" s="465" t="str">
        <f>IF(+All!$F45="Houston",+All!H45,IF(+All!$H45="Houston",+All!H45,0))</f>
        <v>UT San Antonio</v>
      </c>
      <c r="I46" s="464" t="str">
        <f>IF(+All!$F45="Houston",+All!I45,IF(+All!$H45="Houston",+All!I45,0))</f>
        <v>CUSA</v>
      </c>
      <c r="J46" s="460" t="str">
        <f>IF(+All!$F45="Houston",+All!J45,IF(+All!$H45="Houston",+All!J45,0))</f>
        <v>Houston</v>
      </c>
      <c r="K46" s="461" t="str">
        <f>IF(+All!$F45="Houston",+All!K45,IF(+All!$H45="Houston",+All!K45,0))</f>
        <v>UT San Antonio</v>
      </c>
      <c r="L46" s="54">
        <f>IF(+All!$F45="Houston",+All!L45,IF(+All!$H45="Houston",+All!L45,0))</f>
        <v>4</v>
      </c>
      <c r="M46" s="55">
        <f>IF(+All!$F45="Houston",+All!M45,IF(+All!$H45="Houston",+All!M45,0))</f>
        <v>61.5</v>
      </c>
      <c r="N46" s="460" t="str">
        <f>IF(+All!$F45="Houston",+All!N45,IF(+All!$H45="Houston",+All!N45,0))</f>
        <v>Houston</v>
      </c>
      <c r="O46" s="462">
        <f>IF(+All!$F45="Houston",+All!O45,IF(+All!$H45="Houston",+All!O45,0))</f>
        <v>37</v>
      </c>
      <c r="P46" s="462" t="str">
        <f>IF(+All!$F45="Houston",+All!P45,IF(+All!$H45="Houston",+All!P45,0))</f>
        <v>UT San Antonio</v>
      </c>
      <c r="Q46" s="461">
        <f>IF(+All!$F45="Houston",+All!Q45,IF(+All!$H45="Houston",+All!Q45,0))</f>
        <v>35</v>
      </c>
      <c r="R46" s="460" t="str">
        <f>IF(+All!$F45="Houston",+All!R45,IF(+All!$H45="Houston",+All!R45,0))</f>
        <v>UT San Antonio</v>
      </c>
      <c r="S46" s="462" t="str">
        <f>IF(+All!$F45="Houston",+All!S45,IF(+All!$H45="Houston",+All!S45,0))</f>
        <v>Houston</v>
      </c>
      <c r="T46" s="460" t="str">
        <f>IF(+All!$F45="Houston",+All!T45,IF(+All!$H45="Houston",+All!T45,0))</f>
        <v>Houston</v>
      </c>
      <c r="U46" s="461" t="str">
        <f>IF(+All!$F45="Houston",+All!U45,IF(+All!$H45="Houston",+All!U45,0))</f>
        <v>L</v>
      </c>
    </row>
    <row r="47" spans="1:21" x14ac:dyDescent="0.8">
      <c r="A47" s="46">
        <f>IF(+All!$F132="Houston",+All!A132,IF(+All!$H132="Houston",+All!A132,0))</f>
        <v>2</v>
      </c>
      <c r="B47" s="46" t="str">
        <f>IF(+All!$F132="Houston",+All!B132,IF(+All!$H132="Houston",+All!B132,0))</f>
        <v>Sat</v>
      </c>
      <c r="C47" s="62">
        <f>IF(+All!$F132="Houston",+All!C132,IF(+All!$H132="Houston",+All!C132,0))</f>
        <v>44814</v>
      </c>
      <c r="D47" s="490">
        <f>IF(+All!$F132="Houston",+All!D132,IF(+All!$H132="Houston",+All!D132,0))</f>
        <v>0.66666666666666663</v>
      </c>
      <c r="E47" s="461" t="str">
        <f>IF(+All!$F132="Houston",+All!E132,IF(+All!$H132="Houston",+All!E132,0))</f>
        <v>FS1</v>
      </c>
      <c r="F47" s="460" t="str">
        <f>IF(+All!$F132="Houston",+All!F132,IF(+All!$H132="Houston",+All!F132,0))</f>
        <v>Houston</v>
      </c>
      <c r="G47" s="465" t="str">
        <f>IF(+All!$F132="Houston",+All!G132,IF(+All!$H132="Houston",+All!G132,0))</f>
        <v>AAC</v>
      </c>
      <c r="H47" s="465" t="str">
        <f>IF(+All!$F132="Houston",+All!H132,IF(+All!$H132="Houston",+All!H132,0))</f>
        <v>Texas Tech</v>
      </c>
      <c r="I47" s="464" t="str">
        <f>IF(+All!$F132="Houston",+All!I132,IF(+All!$H132="Houston",+All!I132,0))</f>
        <v>B12</v>
      </c>
      <c r="J47" s="460" t="str">
        <f>IF(+All!$F132="Houston",+All!J132,IF(+All!$H132="Houston",+All!J132,0))</f>
        <v>Texas Tech</v>
      </c>
      <c r="K47" s="461" t="str">
        <f>IF(+All!$F132="Houston",+All!K132,IF(+All!$H132="Houston",+All!K132,0))</f>
        <v>Houston</v>
      </c>
      <c r="L47" s="54">
        <f>IF(+All!$F132="Houston",+All!L132,IF(+All!$H132="Houston",+All!L132,0))</f>
        <v>3</v>
      </c>
      <c r="M47" s="55">
        <f>IF(+All!$F132="Houston",+All!M132,IF(+All!$H132="Houston",+All!M132,0))</f>
        <v>65.5</v>
      </c>
      <c r="N47" s="460" t="str">
        <f>IF(+All!$F132="Houston",+All!N132,IF(+All!$H132="Houston",+All!N132,0))</f>
        <v>Texas Tech</v>
      </c>
      <c r="O47" s="462">
        <f>IF(+All!$F132="Houston",+All!O132,IF(+All!$H132="Houston",+All!O132,0))</f>
        <v>33</v>
      </c>
      <c r="P47" s="462" t="str">
        <f>IF(+All!$F132="Houston",+All!P132,IF(+All!$H132="Houston",+All!P132,0))</f>
        <v>Houston</v>
      </c>
      <c r="Q47" s="461">
        <f>IF(+All!$F132="Houston",+All!Q132,IF(+All!$H132="Houston",+All!Q132,0))</f>
        <v>30</v>
      </c>
      <c r="R47" s="460" t="str">
        <f>IF(+All!$F132="Houston",+All!R132,IF(+All!$H132="Houston",+All!R132,0))</f>
        <v>Texas Tech</v>
      </c>
      <c r="S47" s="462" t="str">
        <f>IF(+All!$F132="Houston",+All!S132,IF(+All!$H132="Houston",+All!S132,0))</f>
        <v>Houston</v>
      </c>
      <c r="T47" s="460" t="str">
        <f>IF(+All!$F132="Houston",+All!T132,IF(+All!$H132="Houston",+All!T132,0))</f>
        <v>Houston</v>
      </c>
      <c r="U47" s="461" t="str">
        <f>IF(+All!$F132="Houston",+All!U132,IF(+All!$H132="Houston",+All!U132,0))</f>
        <v>T</v>
      </c>
    </row>
    <row r="48" spans="1:21" x14ac:dyDescent="0.8">
      <c r="A48" s="46">
        <f>IF(+All!$F184="Houston",+All!A184,IF(+All!$H184="Houston",+All!A184,0))</f>
        <v>3</v>
      </c>
      <c r="B48" s="46" t="str">
        <f>IF(+All!$F184="Houston",+All!B184,IF(+All!$H184="Houston",+All!B184,0))</f>
        <v>Sat</v>
      </c>
      <c r="C48" s="62">
        <f>IF(+All!$F184="Houston",+All!C184,IF(+All!$H184="Houston",+All!C184,0))</f>
        <v>44821</v>
      </c>
      <c r="D48" s="490">
        <f>IF(+All!$F184="Houston",+All!D184,IF(+All!$H184="Houston",+All!D184,0))</f>
        <v>0.66666666666666663</v>
      </c>
      <c r="E48" s="461" t="str">
        <f>IF(+All!$F184="Houston",+All!E184,IF(+All!$H184="Houston",+All!E184,0))</f>
        <v>ESPNU</v>
      </c>
      <c r="F48" s="460" t="str">
        <f>IF(+All!$F184="Houston",+All!F184,IF(+All!$H184="Houston",+All!F184,0))</f>
        <v>Kansas</v>
      </c>
      <c r="G48" s="465" t="str">
        <f>IF(+All!$F184="Houston",+All!G184,IF(+All!$H184="Houston",+All!G184,0))</f>
        <v>B12</v>
      </c>
      <c r="H48" s="465" t="str">
        <f>IF(+All!$F184="Houston",+All!H184,IF(+All!$H184="Houston",+All!H184,0))</f>
        <v>Houston</v>
      </c>
      <c r="I48" s="464" t="str">
        <f>IF(+All!$F184="Houston",+All!I184,IF(+All!$H184="Houston",+All!I184,0))</f>
        <v>AAC</v>
      </c>
      <c r="J48" s="460" t="str">
        <f>IF(+All!$F184="Houston",+All!J184,IF(+All!$H184="Houston",+All!J184,0))</f>
        <v>Houston</v>
      </c>
      <c r="K48" s="461" t="str">
        <f>IF(+All!$F184="Houston",+All!K184,IF(+All!$H184="Houston",+All!K184,0))</f>
        <v>Kansas</v>
      </c>
      <c r="L48" s="54">
        <f>IF(+All!$F184="Houston",+All!L184,IF(+All!$H184="Houston",+All!L184,0))</f>
        <v>8</v>
      </c>
      <c r="M48" s="55">
        <f>IF(+All!$F184="Houston",+All!M184,IF(+All!$H184="Houston",+All!M184,0))</f>
        <v>57</v>
      </c>
      <c r="N48" s="460" t="str">
        <f>IF(+All!$F184="Houston",+All!N184,IF(+All!$H184="Houston",+All!N184,0))</f>
        <v>Kansas</v>
      </c>
      <c r="O48" s="462">
        <f>IF(+All!$F184="Houston",+All!O184,IF(+All!$H184="Houston",+All!O184,0))</f>
        <v>48</v>
      </c>
      <c r="P48" s="462" t="str">
        <f>IF(+All!$F184="Houston",+All!P184,IF(+All!$H184="Houston",+All!P184,0))</f>
        <v>Houston</v>
      </c>
      <c r="Q48" s="461">
        <f>IF(+All!$F184="Houston",+All!Q184,IF(+All!$H184="Houston",+All!Q184,0))</f>
        <v>30</v>
      </c>
      <c r="R48" s="460" t="str">
        <f>IF(+All!$F184="Houston",+All!R184,IF(+All!$H184="Houston",+All!R184,0))</f>
        <v>Kansas</v>
      </c>
      <c r="S48" s="462" t="str">
        <f>IF(+All!$F184="Houston",+All!S184,IF(+All!$H184="Houston",+All!S184,0))</f>
        <v>Houston</v>
      </c>
      <c r="T48" s="460" t="str">
        <f>IF(+All!$F184="Houston",+All!T184,IF(+All!$H184="Houston",+All!T184,0))</f>
        <v>Kansas</v>
      </c>
      <c r="U48" s="461" t="str">
        <f>IF(+All!$F184="Houston",+All!U184,IF(+All!$H184="Houston",+All!U184,0))</f>
        <v>W</v>
      </c>
    </row>
    <row r="49" spans="1:21" x14ac:dyDescent="0.8">
      <c r="A49" s="46">
        <f>IF(+All!$F261="Houston",+All!A261,IF(+All!$H261="Houston",+All!A261,0))</f>
        <v>4</v>
      </c>
      <c r="B49" s="46" t="str">
        <f>IF(+All!$F261="Houston",+All!B261,IF(+All!$H261="Houston",+All!B261,0))</f>
        <v>Sat</v>
      </c>
      <c r="C49" s="62">
        <f>IF(+All!$F261="Houston",+All!C261,IF(+All!$H261="Houston",+All!C261,0))</f>
        <v>44828</v>
      </c>
      <c r="D49" s="490">
        <f>IF(+All!$F261="Houston",+All!D261,IF(+All!$H261="Houston",+All!D261,0))</f>
        <v>0.66666666666666663</v>
      </c>
      <c r="E49" s="461">
        <f>IF(+All!$F261="Houston",+All!E261,IF(+All!$H261="Houston",+All!E261,0))</f>
        <v>0</v>
      </c>
      <c r="F49" s="460" t="str">
        <f>IF(+All!$F261="Houston",+All!F261,IF(+All!$H261="Houston",+All!F261,0))</f>
        <v>Rice</v>
      </c>
      <c r="G49" s="465" t="str">
        <f>IF(+All!$F261="Houston",+All!G261,IF(+All!$H261="Houston",+All!G261,0))</f>
        <v>CUSA</v>
      </c>
      <c r="H49" s="465" t="str">
        <f>IF(+All!$F261="Houston",+All!H261,IF(+All!$H261="Houston",+All!H261,0))</f>
        <v>Houston</v>
      </c>
      <c r="I49" s="464" t="str">
        <f>IF(+All!$F261="Houston",+All!I261,IF(+All!$H261="Houston",+All!I261,0))</f>
        <v>AAC</v>
      </c>
      <c r="J49" s="460" t="str">
        <f>IF(+All!$F261="Houston",+All!J261,IF(+All!$H261="Houston",+All!J261,0))</f>
        <v>Houston</v>
      </c>
      <c r="K49" s="461" t="str">
        <f>IF(+All!$F261="Houston",+All!K261,IF(+All!$H261="Houston",+All!K261,0))</f>
        <v>Rice</v>
      </c>
      <c r="L49" s="54">
        <f>IF(+All!$F261="Houston",+All!L261,IF(+All!$H261="Houston",+All!L261,0))</f>
        <v>17.5</v>
      </c>
      <c r="M49" s="55">
        <f>IF(+All!$F261="Houston",+All!M261,IF(+All!$H261="Houston",+All!M261,0))</f>
        <v>52.5</v>
      </c>
      <c r="N49" s="460" t="str">
        <f>IF(+All!$F261="Houston",+All!N261,IF(+All!$H261="Houston",+All!N261,0))</f>
        <v>Houston</v>
      </c>
      <c r="O49" s="462">
        <f>IF(+All!$F261="Houston",+All!O261,IF(+All!$H261="Houston",+All!O261,0))</f>
        <v>34</v>
      </c>
      <c r="P49" s="462" t="str">
        <f>IF(+All!$F261="Houston",+All!P261,IF(+All!$H261="Houston",+All!P261,0))</f>
        <v>Rice</v>
      </c>
      <c r="Q49" s="461">
        <f>IF(+All!$F261="Houston",+All!Q261,IF(+All!$H261="Houston",+All!Q261,0))</f>
        <v>27</v>
      </c>
      <c r="R49" s="460" t="str">
        <f>IF(+All!$F261="Houston",+All!R261,IF(+All!$H261="Houston",+All!R261,0))</f>
        <v>Rice</v>
      </c>
      <c r="S49" s="462" t="str">
        <f>IF(+All!$F261="Houston",+All!S261,IF(+All!$H261="Houston",+All!S261,0))</f>
        <v>Houston</v>
      </c>
      <c r="T49" s="460" t="str">
        <f>IF(+All!$F261="Houston",+All!T261,IF(+All!$H261="Houston",+All!T261,0))</f>
        <v>Houston</v>
      </c>
      <c r="U49" s="461" t="str">
        <f>IF(+All!$F261="Houston",+All!U261,IF(+All!$H261="Houston",+All!U261,0))</f>
        <v>L</v>
      </c>
    </row>
    <row r="50" spans="1:21" x14ac:dyDescent="0.8">
      <c r="A50" s="46">
        <f>IF(+All!$F319="Houston",+All!A319,IF(+All!$H319="Houston",+All!A319,0))</f>
        <v>5</v>
      </c>
      <c r="B50" s="46" t="str">
        <f>IF(+All!$F319="Houston",+All!B319,IF(+All!$H319="Houston",+All!B319,0))</f>
        <v>Fri</v>
      </c>
      <c r="C50" s="62">
        <f>IF(+All!$F319="Houston",+All!C319,IF(+All!$H319="Houston",+All!C319,0))</f>
        <v>44834</v>
      </c>
      <c r="D50" s="490">
        <f>IF(+All!$F319="Houston",+All!D319,IF(+All!$H319="Houston",+All!D319,0))</f>
        <v>0.79166666666666663</v>
      </c>
      <c r="E50" s="461" t="str">
        <f>IF(+All!$F319="Houston",+All!E319,IF(+All!$H319="Houston",+All!E319,0))</f>
        <v>ESPN</v>
      </c>
      <c r="F50" s="460" t="str">
        <f>IF(+All!$F319="Houston",+All!F319,IF(+All!$H319="Houston",+All!F319,0))</f>
        <v>Tulane</v>
      </c>
      <c r="G50" s="465" t="str">
        <f>IF(+All!$F319="Houston",+All!G319,IF(+All!$H319="Houston",+All!G319,0))</f>
        <v>AAC</v>
      </c>
      <c r="H50" s="465" t="str">
        <f>IF(+All!$F319="Houston",+All!H319,IF(+All!$H319="Houston",+All!H319,0))</f>
        <v>Houston</v>
      </c>
      <c r="I50" s="464" t="str">
        <f>IF(+All!$F319="Houston",+All!I319,IF(+All!$H319="Houston",+All!I319,0))</f>
        <v>AAC</v>
      </c>
      <c r="J50" s="460" t="str">
        <f>IF(+All!$F319="Houston",+All!J319,IF(+All!$H319="Houston",+All!J319,0))</f>
        <v>Houston</v>
      </c>
      <c r="K50" s="461" t="str">
        <f>IF(+All!$F319="Houston",+All!K319,IF(+All!$H319="Houston",+All!K319,0))</f>
        <v>Tulane</v>
      </c>
      <c r="L50" s="54">
        <f>IF(+All!$F319="Houston",+All!L319,IF(+All!$H319="Houston",+All!L319,0))</f>
        <v>2.5</v>
      </c>
      <c r="M50" s="55">
        <f>IF(+All!$F319="Houston",+All!M319,IF(+All!$H319="Houston",+All!M319,0))</f>
        <v>54</v>
      </c>
      <c r="N50" s="460" t="str">
        <f>IF(+All!$F319="Houston",+All!N319,IF(+All!$H319="Houston",+All!N319,0))</f>
        <v>Tulane</v>
      </c>
      <c r="O50" s="462">
        <f>IF(+All!$F319="Houston",+All!O319,IF(+All!$H319="Houston",+All!O319,0))</f>
        <v>27</v>
      </c>
      <c r="P50" s="462" t="str">
        <f>IF(+All!$F319="Houston",+All!P319,IF(+All!$H319="Houston",+All!P319,0))</f>
        <v>Houston</v>
      </c>
      <c r="Q50" s="461">
        <f>IF(+All!$F319="Houston",+All!Q319,IF(+All!$H319="Houston",+All!Q319,0))</f>
        <v>24</v>
      </c>
      <c r="R50" s="460" t="str">
        <f>IF(+All!$F319="Houston",+All!R319,IF(+All!$H319="Houston",+All!R319,0))</f>
        <v>Tulane</v>
      </c>
      <c r="S50" s="462" t="str">
        <f>IF(+All!$F319="Houston",+All!S319,IF(+All!$H319="Houston",+All!S319,0))</f>
        <v>Houston</v>
      </c>
      <c r="T50" s="460" t="str">
        <f>IF(+All!$F319="Houston",+All!T319,IF(+All!$H319="Houston",+All!T319,0))</f>
        <v>Tulane</v>
      </c>
      <c r="U50" s="461" t="str">
        <f>IF(+All!$F319="Houston",+All!U319,IF(+All!$H319="Houston",+All!U319,0))</f>
        <v>W</v>
      </c>
    </row>
    <row r="51" spans="1:21" x14ac:dyDescent="0.8">
      <c r="A51" s="46">
        <f>IF(+All!$F382="Houston",+All!A382,IF(+All!$H382="Houston",+All!A382,0))</f>
        <v>5</v>
      </c>
      <c r="B51" s="46" t="str">
        <f>IF(+All!$F382="Houston",+All!B382,IF(+All!$H382="Houston",+All!B382,0))</f>
        <v>Fri</v>
      </c>
      <c r="C51" s="62">
        <f>IF(+All!$F382="Houston",+All!C382,IF(+All!$H382="Houston",+All!C382,0))</f>
        <v>44841</v>
      </c>
      <c r="D51" s="490">
        <f>IF(+All!$F382="Houston",+All!D382,IF(+All!$H382="Houston",+All!D382,0))</f>
        <v>0.8125</v>
      </c>
      <c r="E51" s="461" t="str">
        <f>IF(+All!$F382="Houston",+All!E382,IF(+All!$H382="Houston",+All!E382,0))</f>
        <v>ESPN2</v>
      </c>
      <c r="F51" s="460" t="str">
        <f>IF(+All!$F382="Houston",+All!F382,IF(+All!$H382="Houston",+All!F382,0))</f>
        <v>Houston</v>
      </c>
      <c r="G51" s="465" t="str">
        <f>IF(+All!$F382="Houston",+All!G382,IF(+All!$H382="Houston",+All!G382,0))</f>
        <v>AAC</v>
      </c>
      <c r="H51" s="465" t="str">
        <f>IF(+All!$F382="Houston",+All!H382,IF(+All!$H382="Houston",+All!H382,0))</f>
        <v>Memphis</v>
      </c>
      <c r="I51" s="464" t="str">
        <f>IF(+All!$F382="Houston",+All!I382,IF(+All!$H382="Houston",+All!I382,0))</f>
        <v>AAC</v>
      </c>
      <c r="J51" s="460" t="str">
        <f>IF(+All!$F382="Houston",+All!J382,IF(+All!$H382="Houston",+All!J382,0))</f>
        <v>Memphis</v>
      </c>
      <c r="K51" s="461" t="str">
        <f>IF(+All!$F382="Houston",+All!K382,IF(+All!$H382="Houston",+All!K382,0))</f>
        <v>Houston</v>
      </c>
      <c r="L51" s="54">
        <f>IF(+All!$F382="Houston",+All!L382,IF(+All!$H382="Houston",+All!L382,0))</f>
        <v>3</v>
      </c>
      <c r="M51" s="55">
        <f>IF(+All!$F382="Houston",+All!M382,IF(+All!$H382="Houston",+All!M382,0))</f>
        <v>57.5</v>
      </c>
      <c r="N51" s="460" t="str">
        <f>IF(+All!$F382="Houston",+All!N382,IF(+All!$H382="Houston",+All!N382,0))</f>
        <v>Houston</v>
      </c>
      <c r="O51" s="462">
        <f>IF(+All!$F382="Houston",+All!O382,IF(+All!$H382="Houston",+All!O382,0))</f>
        <v>33</v>
      </c>
      <c r="P51" s="462" t="str">
        <f>IF(+All!$F382="Houston",+All!P382,IF(+All!$H382="Houston",+All!P382,0))</f>
        <v>Memphis</v>
      </c>
      <c r="Q51" s="461">
        <f>IF(+All!$F382="Houston",+All!Q382,IF(+All!$H382="Houston",+All!Q382,0))</f>
        <v>32</v>
      </c>
      <c r="R51" s="460" t="str">
        <f>IF(+All!$F382="Houston",+All!R382,IF(+All!$H382="Houston",+All!R382,0))</f>
        <v>Houston</v>
      </c>
      <c r="S51" s="462" t="str">
        <f>IF(+All!$F382="Houston",+All!S382,IF(+All!$H382="Houston",+All!S382,0))</f>
        <v>Memphis</v>
      </c>
      <c r="T51" s="460" t="str">
        <f>IF(+All!$F382="Houston",+All!T382,IF(+All!$H382="Houston",+All!T382,0))</f>
        <v>Houston</v>
      </c>
      <c r="U51" s="461" t="str">
        <f>IF(+All!$F382="Houston",+All!U382,IF(+All!$H382="Houston",+All!U382,0))</f>
        <v>W</v>
      </c>
    </row>
    <row r="52" spans="1:21" x14ac:dyDescent="0.8">
      <c r="A52" s="46" t="e">
        <f>IF(+All!#REF!="Houston",+All!#REF!,IF(+All!#REF!="Houston",+All!#REF!,0))</f>
        <v>#REF!</v>
      </c>
      <c r="B52" s="46" t="e">
        <f>IF(+All!#REF!="Houston",+All!#REF!,IF(+All!#REF!="Houston",+All!#REF!,0))</f>
        <v>#REF!</v>
      </c>
      <c r="C52" s="62" t="e">
        <f>IF(+All!#REF!="Houston",+All!#REF!,IF(+All!#REF!="Houston",+All!#REF!,0))</f>
        <v>#REF!</v>
      </c>
      <c r="D52" s="490" t="e">
        <f>IF(+All!#REF!="Houston",+All!#REF!,IF(+All!#REF!="Houston",+All!#REF!,0))</f>
        <v>#REF!</v>
      </c>
      <c r="E52" s="461" t="e">
        <f>IF(+All!#REF!="Houston",+All!#REF!,IF(+All!#REF!="Houston",+All!#REF!,0))</f>
        <v>#REF!</v>
      </c>
      <c r="F52" s="460" t="e">
        <f>IF(+All!#REF!="Houston",+All!#REF!,IF(+All!#REF!="Houston",+All!#REF!,0))</f>
        <v>#REF!</v>
      </c>
      <c r="G52" s="465" t="e">
        <f>IF(+All!#REF!="Houston",+All!#REF!,IF(+All!#REF!="Houston",+All!#REF!,0))</f>
        <v>#REF!</v>
      </c>
      <c r="H52" s="465" t="e">
        <f>IF(+All!#REF!="Houston",+All!#REF!,IF(+All!#REF!="Houston",+All!#REF!,0))</f>
        <v>#REF!</v>
      </c>
      <c r="I52" s="464" t="e">
        <f>IF(+All!#REF!="Houston",+All!#REF!,IF(+All!#REF!="Houston",+All!#REF!,0))</f>
        <v>#REF!</v>
      </c>
      <c r="J52" s="460" t="e">
        <f>IF(+All!#REF!="Houston",+All!#REF!,IF(+All!#REF!="Houston",+All!#REF!,0))</f>
        <v>#REF!</v>
      </c>
      <c r="K52" s="461" t="e">
        <f>IF(+All!#REF!="Houston",+All!#REF!,IF(+All!#REF!="Houston",+All!#REF!,0))</f>
        <v>#REF!</v>
      </c>
      <c r="L52" s="54" t="e">
        <f>IF(+All!#REF!="Houston",+All!#REF!,IF(+All!#REF!="Houston",+All!#REF!,0))</f>
        <v>#REF!</v>
      </c>
      <c r="M52" s="55" t="e">
        <f>IF(+All!#REF!="Houston",+All!#REF!,IF(+All!#REF!="Houston",+All!#REF!,0))</f>
        <v>#REF!</v>
      </c>
      <c r="N52" s="460" t="e">
        <f>IF(+All!#REF!="Houston",+All!#REF!,IF(+All!#REF!="Houston",+All!#REF!,0))</f>
        <v>#REF!</v>
      </c>
      <c r="O52" s="462" t="e">
        <f>IF(+All!#REF!="Houston",+All!#REF!,IF(+All!#REF!="Houston",+All!#REF!,0))</f>
        <v>#REF!</v>
      </c>
      <c r="P52" s="462" t="e">
        <f>IF(+All!#REF!="Houston",+All!#REF!,IF(+All!#REF!="Houston",+All!#REF!,0))</f>
        <v>#REF!</v>
      </c>
      <c r="Q52" s="461" t="e">
        <f>IF(+All!#REF!="Houston",+All!#REF!,IF(+All!#REF!="Houston",+All!#REF!,0))</f>
        <v>#REF!</v>
      </c>
      <c r="R52" s="460" t="e">
        <f>IF(+All!#REF!="Houston",+All!#REF!,IF(+All!#REF!="Houston",+All!#REF!,0))</f>
        <v>#REF!</v>
      </c>
      <c r="S52" s="462" t="e">
        <f>IF(+All!#REF!="Houston",+All!#REF!,IF(+All!#REF!="Houston",+All!#REF!,0))</f>
        <v>#REF!</v>
      </c>
      <c r="T52" s="460" t="e">
        <f>IF(+All!#REF!="Houston",+All!#REF!,IF(+All!#REF!="Houston",+All!#REF!,0))</f>
        <v>#REF!</v>
      </c>
      <c r="U52" s="461" t="e">
        <f>IF(+All!#REF!="Houston",+All!#REF!,IF(+All!#REF!="Houston",+All!#REF!,0))</f>
        <v>#REF!</v>
      </c>
    </row>
    <row r="53" spans="1:21" x14ac:dyDescent="0.8">
      <c r="A53" s="46">
        <f>IF(+All!$F497="Houston",+All!A497,IF(+All!$H497="Houston",+All!A497,0))</f>
        <v>8</v>
      </c>
      <c r="B53" s="46" t="str">
        <f>IF(+All!$F497="Houston",+All!B497,IF(+All!$H497="Houston",+All!B497,0))</f>
        <v>Sat</v>
      </c>
      <c r="C53" s="62">
        <f>IF(+All!$F497="Houston",+All!C497,IF(+All!$H497="Houston",+All!C497,0))</f>
        <v>44856</v>
      </c>
      <c r="D53" s="490">
        <f>IF(+All!$F497="Houston",+All!D497,IF(+All!$H497="Houston",+All!D497,0))</f>
        <v>0.5</v>
      </c>
      <c r="E53" s="461" t="str">
        <f>IF(+All!$F497="Houston",+All!E497,IF(+All!$H497="Houston",+All!E497,0))</f>
        <v>ESPNU</v>
      </c>
      <c r="F53" s="460" t="str">
        <f>IF(+All!$F497="Houston",+All!F497,IF(+All!$H497="Houston",+All!F497,0))</f>
        <v>Houston</v>
      </c>
      <c r="G53" s="465" t="str">
        <f>IF(+All!$F497="Houston",+All!G497,IF(+All!$H497="Houston",+All!G497,0))</f>
        <v>AAC</v>
      </c>
      <c r="H53" s="465" t="str">
        <f>IF(+All!$F497="Houston",+All!H497,IF(+All!$H497="Houston",+All!H497,0))</f>
        <v>Navy</v>
      </c>
      <c r="I53" s="464" t="str">
        <f>IF(+All!$F497="Houston",+All!I497,IF(+All!$H497="Houston",+All!I497,0))</f>
        <v>AAC</v>
      </c>
      <c r="J53" s="460" t="str">
        <f>IF(+All!$F497="Houston",+All!J497,IF(+All!$H497="Houston",+All!J497,0))</f>
        <v>Houston</v>
      </c>
      <c r="K53" s="461" t="str">
        <f>IF(+All!$F497="Houston",+All!K497,IF(+All!$H497="Houston",+All!K497,0))</f>
        <v>Navy</v>
      </c>
      <c r="L53" s="54">
        <f>IF(+All!$F497="Houston",+All!L497,IF(+All!$H497="Houston",+All!L497,0))</f>
        <v>3</v>
      </c>
      <c r="M53" s="55">
        <f>IF(+All!$F497="Houston",+All!M497,IF(+All!$H497="Houston",+All!M497,0))</f>
        <v>51</v>
      </c>
      <c r="N53" s="460" t="str">
        <f>IF(+All!$F497="Houston",+All!N497,IF(+All!$H497="Houston",+All!N497,0))</f>
        <v>Houston</v>
      </c>
      <c r="O53" s="462">
        <f>IF(+All!$F497="Houston",+All!O497,IF(+All!$H497="Houston",+All!O497,0))</f>
        <v>38</v>
      </c>
      <c r="P53" s="462" t="str">
        <f>IF(+All!$F497="Houston",+All!P497,IF(+All!$H497="Houston",+All!P497,0))</f>
        <v>Navy</v>
      </c>
      <c r="Q53" s="461">
        <f>IF(+All!$F497="Houston",+All!Q497,IF(+All!$H497="Houston",+All!Q497,0))</f>
        <v>20</v>
      </c>
      <c r="R53" s="460" t="str">
        <f>IF(+All!$F497="Houston",+All!R497,IF(+All!$H497="Houston",+All!R497,0))</f>
        <v>Houston</v>
      </c>
      <c r="S53" s="462" t="str">
        <f>IF(+All!$F497="Houston",+All!S497,IF(+All!$H497="Houston",+All!S497,0))</f>
        <v>Navy</v>
      </c>
      <c r="T53" s="460" t="str">
        <f>IF(+All!$F497="Houston",+All!T497,IF(+All!$H497="Houston",+All!T497,0))</f>
        <v>Houston</v>
      </c>
      <c r="U53" s="461" t="str">
        <f>IF(+All!$F497="Houston",+All!U497,IF(+All!$H497="Houston",+All!U497,0))</f>
        <v>W</v>
      </c>
    </row>
    <row r="54" spans="1:21" x14ac:dyDescent="0.8">
      <c r="A54" s="46">
        <f>IF(+All!$F551="Houston",+All!A551,IF(+All!$H551="Houston",+All!A551,0))</f>
        <v>9</v>
      </c>
      <c r="B54" s="46" t="str">
        <f>IF(+All!$F551="Houston",+All!B551,IF(+All!$H551="Houston",+All!B551,0))</f>
        <v>Sat</v>
      </c>
      <c r="C54" s="62">
        <f>IF(+All!$F551="Houston",+All!C551,IF(+All!$H551="Houston",+All!C551,0))</f>
        <v>44863</v>
      </c>
      <c r="D54" s="490">
        <f>IF(+All!$F551="Houston",+All!D551,IF(+All!$H551="Houston",+All!D551,0))</f>
        <v>0.5</v>
      </c>
      <c r="E54" s="461" t="str">
        <f>IF(+All!$F551="Houston",+All!E551,IF(+All!$H551="Houston",+All!E551,0))</f>
        <v>ESPN2</v>
      </c>
      <c r="F54" s="460" t="str">
        <f>IF(+All!$F551="Houston",+All!F551,IF(+All!$H551="Houston",+All!F551,0))</f>
        <v>South Florida</v>
      </c>
      <c r="G54" s="465" t="str">
        <f>IF(+All!$F551="Houston",+All!G551,IF(+All!$H551="Houston",+All!G551,0))</f>
        <v>AAC</v>
      </c>
      <c r="H54" s="465" t="str">
        <f>IF(+All!$F551="Houston",+All!H551,IF(+All!$H551="Houston",+All!H551,0))</f>
        <v>Houston</v>
      </c>
      <c r="I54" s="464" t="str">
        <f>IF(+All!$F551="Houston",+All!I551,IF(+All!$H551="Houston",+All!I551,0))</f>
        <v>AAC</v>
      </c>
      <c r="J54" s="460" t="str">
        <f>IF(+All!$F551="Houston",+All!J551,IF(+All!$H551="Houston",+All!J551,0))</f>
        <v>Houston</v>
      </c>
      <c r="K54" s="461" t="str">
        <f>IF(+All!$F551="Houston",+All!K551,IF(+All!$H551="Houston",+All!K551,0))</f>
        <v>South Florida</v>
      </c>
      <c r="L54" s="54">
        <f>IF(+All!$F551="Houston",+All!L551,IF(+All!$H551="Houston",+All!L551,0))</f>
        <v>17.5</v>
      </c>
      <c r="M54" s="55">
        <f>IF(+All!$F551="Houston",+All!M551,IF(+All!$H551="Houston",+All!M551,0))</f>
        <v>60.5</v>
      </c>
      <c r="N54" s="460" t="str">
        <f>IF(+All!$F551="Houston",+All!N551,IF(+All!$H551="Houston",+All!N551,0))</f>
        <v>Houston</v>
      </c>
      <c r="O54" s="462">
        <f>IF(+All!$F551="Houston",+All!O551,IF(+All!$H551="Houston",+All!O551,0))</f>
        <v>42</v>
      </c>
      <c r="P54" s="462" t="str">
        <f>IF(+All!$F551="Houston",+All!P551,IF(+All!$H551="Houston",+All!P551,0))</f>
        <v>South Florida</v>
      </c>
      <c r="Q54" s="461">
        <f>IF(+All!$F551="Houston",+All!Q551,IF(+All!$H551="Houston",+All!Q551,0))</f>
        <v>27</v>
      </c>
      <c r="R54" s="460" t="str">
        <f>IF(+All!$F551="Houston",+All!R551,IF(+All!$H551="Houston",+All!R551,0))</f>
        <v>South Florida</v>
      </c>
      <c r="S54" s="462" t="str">
        <f>IF(+All!$F551="Houston",+All!S551,IF(+All!$H551="Houston",+All!S551,0))</f>
        <v>Houston</v>
      </c>
      <c r="T54" s="460" t="str">
        <f>IF(+All!$F551="Houston",+All!T551,IF(+All!$H551="Houston",+All!T551,0))</f>
        <v>South Florida</v>
      </c>
      <c r="U54" s="461" t="str">
        <f>IF(+All!$F551="Houston",+All!U551,IF(+All!$H551="Houston",+All!U551,0))</f>
        <v>W</v>
      </c>
    </row>
    <row r="55" spans="1:21" x14ac:dyDescent="0.8">
      <c r="A55" s="46">
        <f>IF(+All!$F604="Houston",+All!A604,IF(+All!$H604="Houston",+All!A604,0))</f>
        <v>10</v>
      </c>
      <c r="B55" s="46" t="str">
        <f>IF(+All!$F604="Houston",+All!B604,IF(+All!$H604="Houston",+All!B604,0))</f>
        <v>Sat</v>
      </c>
      <c r="C55" s="62">
        <f>IF(+All!$F604="Houston",+All!C604,IF(+All!$H604="Houston",+All!C604,0))</f>
        <v>44870</v>
      </c>
      <c r="D55" s="490">
        <f>IF(+All!$F604="Houston",+All!D604,IF(+All!$H604="Houston",+All!D604,0))</f>
        <v>0.79166666666666663</v>
      </c>
      <c r="E55" s="461" t="str">
        <f>IF(+All!$F604="Houston",+All!E604,IF(+All!$H604="Houston",+All!E604,0))</f>
        <v>NFL</v>
      </c>
      <c r="F55" s="460" t="str">
        <f>IF(+All!$F604="Houston",+All!F604,IF(+All!$H604="Houston",+All!F604,0))</f>
        <v>Houston</v>
      </c>
      <c r="G55" s="465" t="str">
        <f>IF(+All!$F604="Houston",+All!G604,IF(+All!$H604="Houston",+All!G604,0))</f>
        <v>AAC</v>
      </c>
      <c r="H55" s="465" t="str">
        <f>IF(+All!$F604="Houston",+All!H604,IF(+All!$H604="Houston",+All!H604,0))</f>
        <v>SMU</v>
      </c>
      <c r="I55" s="464" t="str">
        <f>IF(+All!$F604="Houston",+All!I604,IF(+All!$H604="Houston",+All!I604,0))</f>
        <v>AAC</v>
      </c>
      <c r="J55" s="460" t="str">
        <f>IF(+All!$F604="Houston",+All!J604,IF(+All!$H604="Houston",+All!J604,0))</f>
        <v>SMU</v>
      </c>
      <c r="K55" s="461" t="str">
        <f>IF(+All!$F604="Houston",+All!K604,IF(+All!$H604="Houston",+All!K604,0))</f>
        <v>Houston</v>
      </c>
      <c r="L55" s="54">
        <f>IF(+All!$F604="Houston",+All!L604,IF(+All!$H604="Houston",+All!L604,0))</f>
        <v>3.5</v>
      </c>
      <c r="M55" s="55">
        <f>IF(+All!$F604="Houston",+All!M604,IF(+All!$H604="Houston",+All!M604,0))</f>
        <v>67</v>
      </c>
      <c r="N55" s="460" t="str">
        <f>IF(+All!$F604="Houston",+All!N604,IF(+All!$H604="Houston",+All!N604,0))</f>
        <v>SMU</v>
      </c>
      <c r="O55" s="462">
        <f>IF(+All!$F604="Houston",+All!O604,IF(+All!$H604="Houston",+All!O604,0))</f>
        <v>77</v>
      </c>
      <c r="P55" s="462" t="str">
        <f>IF(+All!$F604="Houston",+All!P604,IF(+All!$H604="Houston",+All!P604,0))</f>
        <v>Houston</v>
      </c>
      <c r="Q55" s="461">
        <f>IF(+All!$F604="Houston",+All!Q604,IF(+All!$H604="Houston",+All!Q604,0))</f>
        <v>63</v>
      </c>
      <c r="R55" s="460" t="str">
        <f>IF(+All!$F604="Houston",+All!R604,IF(+All!$H604="Houston",+All!R604,0))</f>
        <v>SMU</v>
      </c>
      <c r="S55" s="462" t="str">
        <f>IF(+All!$F604="Houston",+All!S604,IF(+All!$H604="Houston",+All!S604,0))</f>
        <v>Houston</v>
      </c>
      <c r="T55" s="460" t="str">
        <f>IF(+All!$F604="Houston",+All!T604,IF(+All!$H604="Houston",+All!T604,0))</f>
        <v>SMU</v>
      </c>
      <c r="U55" s="461" t="str">
        <f>IF(+All!$F604="Houston",+All!U604,IF(+All!$H604="Houston",+All!U604,0))</f>
        <v>W</v>
      </c>
    </row>
    <row r="56" spans="1:21" x14ac:dyDescent="0.8">
      <c r="A56" s="46">
        <f>IF(+All!$F664="Houston",+All!A664,IF(+All!$H664="Houston",+All!A664,0))</f>
        <v>11</v>
      </c>
      <c r="B56" s="46" t="str">
        <f>IF(+All!$F664="Houston",+All!B664,IF(+All!$H664="Houston",+All!B664,0))</f>
        <v>Sat</v>
      </c>
      <c r="C56" s="62">
        <f>IF(+All!$F664="Houston",+All!C664,IF(+All!$H664="Houston",+All!C664,0))</f>
        <v>44877</v>
      </c>
      <c r="D56" s="490">
        <f>IF(+All!$F664="Houston",+All!D664,IF(+All!$H664="Houston",+All!D664,0))</f>
        <v>0.625</v>
      </c>
      <c r="E56" s="461">
        <f>IF(+All!$F664="Houston",+All!E664,IF(+All!$H664="Houston",+All!E664,0))</f>
        <v>0</v>
      </c>
      <c r="F56" s="460" t="str">
        <f>IF(+All!$F664="Houston",+All!F664,IF(+All!$H664="Houston",+All!F664,0))</f>
        <v>Temple</v>
      </c>
      <c r="G56" s="465" t="str">
        <f>IF(+All!$F664="Houston",+All!G664,IF(+All!$H664="Houston",+All!G664,0))</f>
        <v>AAC</v>
      </c>
      <c r="H56" s="465" t="str">
        <f>IF(+All!$F664="Houston",+All!H664,IF(+All!$H664="Houston",+All!H664,0))</f>
        <v>Houston</v>
      </c>
      <c r="I56" s="464" t="str">
        <f>IF(+All!$F664="Houston",+All!I664,IF(+All!$H664="Houston",+All!I664,0))</f>
        <v>AAC</v>
      </c>
      <c r="J56" s="460" t="str">
        <f>IF(+All!$F664="Houston",+All!J664,IF(+All!$H664="Houston",+All!J664,0))</f>
        <v>Houston</v>
      </c>
      <c r="K56" s="461" t="str">
        <f>IF(+All!$F664="Houston",+All!K664,IF(+All!$H664="Houston",+All!K664,0))</f>
        <v>Temple</v>
      </c>
      <c r="L56" s="54">
        <f>IF(+All!$F664="Houston",+All!L664,IF(+All!$H664="Houston",+All!L664,0))</f>
        <v>20</v>
      </c>
      <c r="M56" s="55">
        <f>IF(+All!$F664="Houston",+All!M664,IF(+All!$H664="Houston",+All!M664,0))</f>
        <v>57</v>
      </c>
      <c r="N56" s="460" t="str">
        <f>IF(+All!$F664="Houston",+All!N664,IF(+All!$H664="Houston",+All!N664,0))</f>
        <v>Houston</v>
      </c>
      <c r="O56" s="462">
        <f>IF(+All!$F664="Houston",+All!O664,IF(+All!$H664="Houston",+All!O664,0))</f>
        <v>43</v>
      </c>
      <c r="P56" s="462" t="str">
        <f>IF(+All!$F664="Houston",+All!P664,IF(+All!$H664="Houston",+All!P664,0))</f>
        <v>Temple</v>
      </c>
      <c r="Q56" s="461">
        <f>IF(+All!$F664="Houston",+All!Q664,IF(+All!$H664="Houston",+All!Q664,0))</f>
        <v>36</v>
      </c>
      <c r="R56" s="460" t="str">
        <f>IF(+All!$F664="Houston",+All!R664,IF(+All!$H664="Houston",+All!R664,0))</f>
        <v>Temple</v>
      </c>
      <c r="S56" s="462" t="str">
        <f>IF(+All!$F664="Houston",+All!S664,IF(+All!$H664="Houston",+All!S664,0))</f>
        <v>Houston</v>
      </c>
      <c r="T56" s="460" t="str">
        <f>IF(+All!$F664="Houston",+All!T664,IF(+All!$H664="Houston",+All!T664,0))</f>
        <v>Houston</v>
      </c>
      <c r="U56" s="461" t="str">
        <f>IF(+All!$F664="Houston",+All!U664,IF(+All!$H664="Houston",+All!U664,0))</f>
        <v>L</v>
      </c>
    </row>
    <row r="57" spans="1:21" x14ac:dyDescent="0.8">
      <c r="A57" s="46">
        <f>IF(+All!$F727="Houston",+All!A727,IF(+All!$H727="Houston",+All!A727,0))</f>
        <v>12</v>
      </c>
      <c r="B57" s="46" t="str">
        <f>IF(+All!$F727="Houston",+All!B727,IF(+All!$H727="Houston",+All!B727,0))</f>
        <v>Sat</v>
      </c>
      <c r="C57" s="62">
        <f>IF(+All!$F727="Houston",+All!C727,IF(+All!$H727="Houston",+All!C727,0))</f>
        <v>44884</v>
      </c>
      <c r="D57" s="490">
        <f>IF(+All!$F727="Houston",+All!D727,IF(+All!$H727="Houston",+All!D727,0))</f>
        <v>0.58333333333333337</v>
      </c>
      <c r="E57" s="461">
        <f>IF(+All!$F727="Houston",+All!E727,IF(+All!$H727="Houston",+All!E727,0))</f>
        <v>0</v>
      </c>
      <c r="F57" s="460" t="str">
        <f>IF(+All!$F727="Houston",+All!F727,IF(+All!$H727="Houston",+All!F727,0))</f>
        <v>Houston</v>
      </c>
      <c r="G57" s="465" t="str">
        <f>IF(+All!$F727="Houston",+All!G727,IF(+All!$H727="Houston",+All!G727,0))</f>
        <v>AAC</v>
      </c>
      <c r="H57" s="465" t="str">
        <f>IF(+All!$F727="Houston",+All!H727,IF(+All!$H727="Houston",+All!H727,0))</f>
        <v>East Carolina</v>
      </c>
      <c r="I57" s="464" t="str">
        <f>IF(+All!$F727="Houston",+All!I727,IF(+All!$H727="Houston",+All!I727,0))</f>
        <v>AAC</v>
      </c>
      <c r="J57" s="460" t="str">
        <f>IF(+All!$F727="Houston",+All!J727,IF(+All!$H727="Houston",+All!J727,0))</f>
        <v>East Carolina</v>
      </c>
      <c r="K57" s="461" t="str">
        <f>IF(+All!$F727="Houston",+All!K727,IF(+All!$H727="Houston",+All!K727,0))</f>
        <v>Houston</v>
      </c>
      <c r="L57" s="54">
        <f>IF(+All!$F727="Houston",+All!L727,IF(+All!$H727="Houston",+All!L727,0))</f>
        <v>6</v>
      </c>
      <c r="M57" s="55">
        <f>IF(+All!$F727="Houston",+All!M727,IF(+All!$H727="Houston",+All!M727,0))</f>
        <v>67.5</v>
      </c>
      <c r="N57" s="460" t="str">
        <f>IF(+All!$F727="Houston",+All!N727,IF(+All!$H727="Houston",+All!N727,0))</f>
        <v>Houston</v>
      </c>
      <c r="O57" s="462">
        <f>IF(+All!$F727="Houston",+All!O727,IF(+All!$H727="Houston",+All!O727,0))</f>
        <v>42</v>
      </c>
      <c r="P57" s="462" t="str">
        <f>IF(+All!$F727="Houston",+All!P727,IF(+All!$H727="Houston",+All!P727,0))</f>
        <v>East Carolina</v>
      </c>
      <c r="Q57" s="461">
        <f>IF(+All!$F727="Houston",+All!Q727,IF(+All!$H727="Houston",+All!Q727,0))</f>
        <v>3</v>
      </c>
      <c r="R57" s="460" t="str">
        <f>IF(+All!$F727="Houston",+All!R727,IF(+All!$H727="Houston",+All!R727,0))</f>
        <v>Houston</v>
      </c>
      <c r="S57" s="462" t="str">
        <f>IF(+All!$F727="Houston",+All!S727,IF(+All!$H727="Houston",+All!S727,0))</f>
        <v>East Carolina</v>
      </c>
      <c r="T57" s="460" t="str">
        <f>IF(+All!$F727="Houston",+All!T727,IF(+All!$H727="Houston",+All!T727,0))</f>
        <v>Houston</v>
      </c>
      <c r="U57" s="461" t="str">
        <f>IF(+All!$F727="Houston",+All!U727,IF(+All!$H727="Houston",+All!U727,0))</f>
        <v>W</v>
      </c>
    </row>
    <row r="58" spans="1:21" x14ac:dyDescent="0.8">
      <c r="A58" s="46">
        <f>IF(+All!$F799="Houston",+All!A799,IF(+All!$H799="Houston",+All!A799,0))</f>
        <v>13</v>
      </c>
      <c r="B58" s="46" t="str">
        <f>IF(+All!$F799="Houston",+All!B799,IF(+All!$H799="Houston",+All!B799,0))</f>
        <v>Sat</v>
      </c>
      <c r="C58" s="62">
        <f>IF(+All!$F799="Houston",+All!C799,IF(+All!$H799="Houston",+All!C799,0))</f>
        <v>44891</v>
      </c>
      <c r="D58" s="490">
        <f>IF(+All!$F799="Houston",+All!D799,IF(+All!$H799="Houston",+All!D799,0))</f>
        <v>0.8125</v>
      </c>
      <c r="E58" s="461" t="str">
        <f>IF(+All!$F799="Houston",+All!E799,IF(+All!$H799="Houston",+All!E799,0))</f>
        <v>ESPNU</v>
      </c>
      <c r="F58" s="460" t="str">
        <f>IF(+All!$F799="Houston",+All!F799,IF(+All!$H799="Houston",+All!F799,0))</f>
        <v>Tulsa</v>
      </c>
      <c r="G58" s="465" t="str">
        <f>IF(+All!$F799="Houston",+All!G799,IF(+All!$H799="Houston",+All!G799,0))</f>
        <v>AAC</v>
      </c>
      <c r="H58" s="465" t="str">
        <f>IF(+All!$F799="Houston",+All!H799,IF(+All!$H799="Houston",+All!H799,0))</f>
        <v>Houston</v>
      </c>
      <c r="I58" s="464" t="str">
        <f>IF(+All!$F799="Houston",+All!I799,IF(+All!$H799="Houston",+All!I799,0))</f>
        <v>AAC</v>
      </c>
      <c r="J58" s="460" t="str">
        <f>IF(+All!$F799="Houston",+All!J799,IF(+All!$H799="Houston",+All!J799,0))</f>
        <v>Houston</v>
      </c>
      <c r="K58" s="461" t="str">
        <f>IF(+All!$F799="Houston",+All!K799,IF(+All!$H799="Houston",+All!K799,0))</f>
        <v>Tulsa</v>
      </c>
      <c r="L58" s="54">
        <f>IF(+All!$F799="Houston",+All!L799,IF(+All!$H799="Houston",+All!L799,0))</f>
        <v>12</v>
      </c>
      <c r="M58" s="55">
        <f>IF(+All!$F799="Houston",+All!M799,IF(+All!$H799="Houston",+All!M799,0))</f>
        <v>66.5</v>
      </c>
      <c r="N58" s="460" t="str">
        <f>IF(+All!$F799="Houston",+All!N799,IF(+All!$H799="Houston",+All!N799,0))</f>
        <v>Tulsa</v>
      </c>
      <c r="O58" s="462">
        <f>IF(+All!$F799="Houston",+All!O799,IF(+All!$H799="Houston",+All!O799,0))</f>
        <v>37</v>
      </c>
      <c r="P58" s="462" t="str">
        <f>IF(+All!$F799="Houston",+All!P799,IF(+All!$H799="Houston",+All!P799,0))</f>
        <v>Houston</v>
      </c>
      <c r="Q58" s="461">
        <f>IF(+All!$F799="Houston",+All!Q799,IF(+All!$H799="Houston",+All!Q799,0))</f>
        <v>30</v>
      </c>
      <c r="R58" s="460" t="str">
        <f>IF(+All!$F799="Houston",+All!R799,IF(+All!$H799="Houston",+All!R799,0))</f>
        <v>Tulsa</v>
      </c>
      <c r="S58" s="462" t="str">
        <f>IF(+All!$F799="Houston",+All!S799,IF(+All!$H799="Houston",+All!S799,0))</f>
        <v>Houston</v>
      </c>
      <c r="T58" s="460" t="str">
        <f>IF(+All!$F799="Houston",+All!T799,IF(+All!$H799="Houston",+All!T799,0))</f>
        <v>Tulsa</v>
      </c>
      <c r="U58" s="461" t="str">
        <f>IF(+All!$F799="Houston",+All!U799,IF(+All!$H799="Houston",+All!U799,0))</f>
        <v>W</v>
      </c>
    </row>
    <row r="59" spans="1:21" x14ac:dyDescent="0.8">
      <c r="B59" s="46"/>
      <c r="C59" s="62"/>
      <c r="D59" s="490"/>
      <c r="E59" s="461"/>
      <c r="F59" s="897" t="str">
        <f>F61</f>
        <v>Memphis</v>
      </c>
      <c r="G59" s="898"/>
      <c r="H59" s="898"/>
      <c r="I59" s="899"/>
      <c r="J59" s="460"/>
      <c r="K59" s="461"/>
      <c r="L59" s="54"/>
      <c r="M59" s="55"/>
      <c r="N59" s="460"/>
      <c r="O59" s="462"/>
      <c r="P59" s="462"/>
      <c r="Q59" s="461"/>
      <c r="R59" s="460"/>
      <c r="S59" s="462"/>
      <c r="T59" s="460"/>
      <c r="U59" s="461"/>
    </row>
    <row r="60" spans="1:21" x14ac:dyDescent="0.8">
      <c r="A60" s="46">
        <f>IF(+All!$F86="Memphis",+All!A86,IF(+All!$H86="Memphis",+All!A86,0))</f>
        <v>1</v>
      </c>
      <c r="B60" s="46" t="str">
        <f>IF(+All!$F86="Memphis",+All!B86,IF(+All!$H86="Memphis",+All!B86,0))</f>
        <v>Sat</v>
      </c>
      <c r="C60" s="62">
        <f>IF(+All!$F86="Memphis",+All!C86,IF(+All!$H86="Memphis",+All!C86,0))</f>
        <v>44807</v>
      </c>
      <c r="D60" s="490">
        <f>IF(+All!$F86="Memphis",+All!D86,IF(+All!$H86="Memphis",+All!D86,0))</f>
        <v>0.8125</v>
      </c>
      <c r="E60" s="461" t="str">
        <f>IF(+All!$F86="Memphis",+All!E86,IF(+All!$H86="Memphis",+All!E86,0))</f>
        <v>ESPNU</v>
      </c>
      <c r="F60" s="460" t="str">
        <f>IF(+All!$F86="Memphis",+All!F86,IF(+All!$H86="Memphis",+All!F86,0))</f>
        <v>Memphis</v>
      </c>
      <c r="G60" s="465" t="str">
        <f>IF(+All!$F86="Memphis",+All!G86,IF(+All!$H86="Memphis",+All!G86,0))</f>
        <v>AAC</v>
      </c>
      <c r="H60" s="465" t="str">
        <f>IF(+All!$F86="Memphis",+All!H86,IF(+All!$H86="Memphis",+All!H86,0))</f>
        <v>Mississippi State</v>
      </c>
      <c r="I60" s="464" t="str">
        <f>IF(+All!$F86="Memphis",+All!I86,IF(+All!$H86="Memphis",+All!I86,0))</f>
        <v>SEC</v>
      </c>
      <c r="J60" s="460" t="str">
        <f>IF(+All!$F86="Memphis",+All!J86,IF(+All!$H86="Memphis",+All!J86,0))</f>
        <v>Mississippi State</v>
      </c>
      <c r="K60" s="461" t="str">
        <f>IF(+All!$F86="Memphis",+All!K86,IF(+All!$H86="Memphis",+All!K86,0))</f>
        <v>Memphis</v>
      </c>
      <c r="L60" s="54">
        <f>IF(+All!$F86="Memphis",+All!L86,IF(+All!$H86="Memphis",+All!L86,0))</f>
        <v>16</v>
      </c>
      <c r="M60" s="55">
        <f>IF(+All!$F86="Memphis",+All!M86,IF(+All!$H86="Memphis",+All!M86,0))</f>
        <v>56</v>
      </c>
      <c r="N60" s="460" t="str">
        <f>IF(+All!$F86="Memphis",+All!N86,IF(+All!$H86="Memphis",+All!N86,0))</f>
        <v>Mississippi State</v>
      </c>
      <c r="O60" s="462">
        <f>IF(+All!$F86="Memphis",+All!O86,IF(+All!$H86="Memphis",+All!O86,0))</f>
        <v>49</v>
      </c>
      <c r="P60" s="462" t="str">
        <f>IF(+All!$F86="Memphis",+All!P86,IF(+All!$H86="Memphis",+All!P86,0))</f>
        <v>Memphis</v>
      </c>
      <c r="Q60" s="461">
        <f>IF(+All!$F86="Memphis",+All!Q86,IF(+All!$H86="Memphis",+All!Q86,0))</f>
        <v>23</v>
      </c>
      <c r="R60" s="460" t="str">
        <f>IF(+All!$F86="Memphis",+All!R86,IF(+All!$H86="Memphis",+All!R86,0))</f>
        <v>Mississippi State</v>
      </c>
      <c r="S60" s="462" t="str">
        <f>IF(+All!$F86="Memphis",+All!S86,IF(+All!$H86="Memphis",+All!S86,0))</f>
        <v>Memphis</v>
      </c>
      <c r="T60" s="460" t="str">
        <f>IF(+All!$F86="Memphis",+All!T86,IF(+All!$H86="Memphis",+All!T86,0))</f>
        <v>Mississippi State</v>
      </c>
      <c r="U60" s="461" t="str">
        <f>IF(+All!$F86="Memphis",+All!U86,IF(+All!$H86="Memphis",+All!U86,0))</f>
        <v>W</v>
      </c>
    </row>
    <row r="61" spans="1:21" x14ac:dyDescent="0.8">
      <c r="A61" s="46">
        <f>IF(+All!$F102="Memphis",+All!A102,IF(+All!$H102="Memphis",+All!A102,0))</f>
        <v>2</v>
      </c>
      <c r="B61" s="46" t="str">
        <f>IF(+All!$F102="Memphis",+All!B102,IF(+All!$H102="Memphis",+All!B102,0))</f>
        <v>Sat</v>
      </c>
      <c r="C61" s="62">
        <f>IF(+All!$F102="Memphis",+All!C102,IF(+All!$H102="Memphis",+All!C102,0))</f>
        <v>44814</v>
      </c>
      <c r="D61" s="490">
        <f>IF(+All!$F102="Memphis",+All!D102,IF(+All!$H102="Memphis",+All!D102,0))</f>
        <v>0.64583333333333337</v>
      </c>
      <c r="E61" s="461" t="str">
        <f>IF(+All!$F102="Memphis",+All!E102,IF(+All!$H102="Memphis",+All!E102,0))</f>
        <v>CBSSN</v>
      </c>
      <c r="F61" s="460" t="str">
        <f>IF(+All!$F102="Memphis",+All!F102,IF(+All!$H102="Memphis",+All!F102,0))</f>
        <v>Memphis</v>
      </c>
      <c r="G61" s="465" t="str">
        <f>IF(+All!$F102="Memphis",+All!G102,IF(+All!$H102="Memphis",+All!G102,0))</f>
        <v>AAC</v>
      </c>
      <c r="H61" s="465" t="str">
        <f>IF(+All!$F102="Memphis",+All!H102,IF(+All!$H102="Memphis",+All!H102,0))</f>
        <v>Navy</v>
      </c>
      <c r="I61" s="464" t="str">
        <f>IF(+All!$F102="Memphis",+All!I102,IF(+All!$H102="Memphis",+All!I102,0))</f>
        <v>AAC</v>
      </c>
      <c r="J61" s="460" t="str">
        <f>IF(+All!$F102="Memphis",+All!J102,IF(+All!$H102="Memphis",+All!J102,0))</f>
        <v>Memphis</v>
      </c>
      <c r="K61" s="461" t="str">
        <f>IF(+All!$F102="Memphis",+All!K102,IF(+All!$H102="Memphis",+All!K102,0))</f>
        <v>Navy</v>
      </c>
      <c r="L61" s="54">
        <f>IF(+All!$F102="Memphis",+All!L102,IF(+All!$H102="Memphis",+All!L102,0))</f>
        <v>6</v>
      </c>
      <c r="M61" s="55">
        <f>IF(+All!$F102="Memphis",+All!M102,IF(+All!$H102="Memphis",+All!M102,0))</f>
        <v>50</v>
      </c>
      <c r="N61" s="460" t="str">
        <f>IF(+All!$F102="Memphis",+All!N102,IF(+All!$H102="Memphis",+All!N102,0))</f>
        <v>Memphis</v>
      </c>
      <c r="O61" s="462">
        <f>IF(+All!$F102="Memphis",+All!O102,IF(+All!$H102="Memphis",+All!O102,0))</f>
        <v>37</v>
      </c>
      <c r="P61" s="462" t="str">
        <f>IF(+All!$F102="Memphis",+All!P102,IF(+All!$H102="Memphis",+All!P102,0))</f>
        <v>Navy</v>
      </c>
      <c r="Q61" s="461">
        <f>IF(+All!$F102="Memphis",+All!Q102,IF(+All!$H102="Memphis",+All!Q102,0))</f>
        <v>13</v>
      </c>
      <c r="R61" s="460" t="str">
        <f>IF(+All!$F102="Memphis",+All!R102,IF(+All!$H102="Memphis",+All!R102,0))</f>
        <v>Memphis</v>
      </c>
      <c r="S61" s="462" t="str">
        <f>IF(+All!$F102="Memphis",+All!S102,IF(+All!$H102="Memphis",+All!S102,0))</f>
        <v>Navy</v>
      </c>
      <c r="T61" s="460" t="str">
        <f>IF(+All!$F102="Memphis",+All!T102,IF(+All!$H102="Memphis",+All!T102,0))</f>
        <v>Memphis</v>
      </c>
      <c r="U61" s="461" t="str">
        <f>IF(+All!$F102="Memphis",+All!U102,IF(+All!$H102="Memphis",+All!U102,0))</f>
        <v>W</v>
      </c>
    </row>
    <row r="62" spans="1:21" x14ac:dyDescent="0.8">
      <c r="A62" s="46">
        <f>IF(+All!$F185="Memphis",+All!A185,IF(+All!$H185="Memphis",+All!A185,0))</f>
        <v>3</v>
      </c>
      <c r="B62" s="46" t="str">
        <f>IF(+All!$F185="Memphis",+All!B185,IF(+All!$H185="Memphis",+All!B185,0))</f>
        <v>Sat</v>
      </c>
      <c r="C62" s="62">
        <f>IF(+All!$F185="Memphis",+All!C185,IF(+All!$H185="Memphis",+All!C185,0))</f>
        <v>44821</v>
      </c>
      <c r="D62" s="490">
        <f>IF(+All!$F185="Memphis",+All!D185,IF(+All!$H185="Memphis",+All!D185,0))</f>
        <v>0.79166666666666663</v>
      </c>
      <c r="E62" s="461">
        <f>IF(+All!$F185="Memphis",+All!E185,IF(+All!$H185="Memphis",+All!E185,0))</f>
        <v>0</v>
      </c>
      <c r="F62" s="460" t="str">
        <f>IF(+All!$F185="Memphis",+All!F185,IF(+All!$H185="Memphis",+All!F185,0))</f>
        <v>Arkansas State</v>
      </c>
      <c r="G62" s="465" t="str">
        <f>IF(+All!$F185="Memphis",+All!G185,IF(+All!$H185="Memphis",+All!G185,0))</f>
        <v>SB</v>
      </c>
      <c r="H62" s="465" t="str">
        <f>IF(+All!$F185="Memphis",+All!H185,IF(+All!$H185="Memphis",+All!H185,0))</f>
        <v>Memphis</v>
      </c>
      <c r="I62" s="464" t="str">
        <f>IF(+All!$F185="Memphis",+All!I185,IF(+All!$H185="Memphis",+All!I185,0))</f>
        <v>AAC</v>
      </c>
      <c r="J62" s="460" t="str">
        <f>IF(+All!$F185="Memphis",+All!J185,IF(+All!$H185="Memphis",+All!J185,0))</f>
        <v>Memphis</v>
      </c>
      <c r="K62" s="461" t="str">
        <f>IF(+All!$F185="Memphis",+All!K185,IF(+All!$H185="Memphis",+All!K185,0))</f>
        <v>Arkansas State</v>
      </c>
      <c r="L62" s="54">
        <f>IF(+All!$F185="Memphis",+All!L185,IF(+All!$H185="Memphis",+All!L185,0))</f>
        <v>14</v>
      </c>
      <c r="M62" s="55">
        <f>IF(+All!$F185="Memphis",+All!M185,IF(+All!$H185="Memphis",+All!M185,0))</f>
        <v>65.5</v>
      </c>
      <c r="N62" s="460" t="str">
        <f>IF(+All!$F185="Memphis",+All!N185,IF(+All!$H185="Memphis",+All!N185,0))</f>
        <v>Memphis</v>
      </c>
      <c r="O62" s="462">
        <f>IF(+All!$F185="Memphis",+All!O185,IF(+All!$H185="Memphis",+All!O185,0))</f>
        <v>44</v>
      </c>
      <c r="P62" s="462" t="str">
        <f>IF(+All!$F185="Memphis",+All!P185,IF(+All!$H185="Memphis",+All!P185,0))</f>
        <v>Arkansas State</v>
      </c>
      <c r="Q62" s="461">
        <f>IF(+All!$F185="Memphis",+All!Q185,IF(+All!$H185="Memphis",+All!Q185,0))</f>
        <v>32</v>
      </c>
      <c r="R62" s="460" t="str">
        <f>IF(+All!$F185="Memphis",+All!R185,IF(+All!$H185="Memphis",+All!R185,0))</f>
        <v>Arkansas State</v>
      </c>
      <c r="S62" s="462" t="str">
        <f>IF(+All!$F185="Memphis",+All!S185,IF(+All!$H185="Memphis",+All!S185,0))</f>
        <v>Memphis</v>
      </c>
      <c r="T62" s="460" t="str">
        <f>IF(+All!$F185="Memphis",+All!T185,IF(+All!$H185="Memphis",+All!T185,0))</f>
        <v>Arkansas State</v>
      </c>
      <c r="U62" s="461" t="str">
        <f>IF(+All!$F185="Memphis",+All!U185,IF(+All!$H185="Memphis",+All!U185,0))</f>
        <v>W</v>
      </c>
    </row>
    <row r="63" spans="1:21" x14ac:dyDescent="0.8">
      <c r="A63" s="46">
        <f>IF(+All!$F262="Memphis",+All!A262,IF(+All!$H262="Memphis",+All!A262,0))</f>
        <v>4</v>
      </c>
      <c r="B63" s="46" t="str">
        <f>IF(+All!$F262="Memphis",+All!B262,IF(+All!$H262="Memphis",+All!B262,0))</f>
        <v>Sat</v>
      </c>
      <c r="C63" s="62">
        <f>IF(+All!$F262="Memphis",+All!C262,IF(+All!$H262="Memphis",+All!C262,0))</f>
        <v>44828</v>
      </c>
      <c r="D63" s="490">
        <f>IF(+All!$F262="Memphis",+All!D262,IF(+All!$H262="Memphis",+All!D262,0))</f>
        <v>0.64583333333333337</v>
      </c>
      <c r="E63" s="461">
        <f>IF(+All!$F262="Memphis",+All!E262,IF(+All!$H262="Memphis",+All!E262,0))</f>
        <v>0</v>
      </c>
      <c r="F63" s="460" t="str">
        <f>IF(+All!$F262="Memphis",+All!F262,IF(+All!$H262="Memphis",+All!F262,0))</f>
        <v>North Texas</v>
      </c>
      <c r="G63" s="465" t="str">
        <f>IF(+All!$F262="Memphis",+All!G262,IF(+All!$H262="Memphis",+All!G262,0))</f>
        <v>CUSA</v>
      </c>
      <c r="H63" s="465" t="str">
        <f>IF(+All!$F262="Memphis",+All!H262,IF(+All!$H262="Memphis",+All!H262,0))</f>
        <v>Memphis</v>
      </c>
      <c r="I63" s="464" t="str">
        <f>IF(+All!$F262="Memphis",+All!I262,IF(+All!$H262="Memphis",+All!I262,0))</f>
        <v>AAC</v>
      </c>
      <c r="J63" s="460" t="str">
        <f>IF(+All!$F262="Memphis",+All!J262,IF(+All!$H262="Memphis",+All!J262,0))</f>
        <v>Memphis</v>
      </c>
      <c r="K63" s="461" t="str">
        <f>IF(+All!$F262="Memphis",+All!K262,IF(+All!$H262="Memphis",+All!K262,0))</f>
        <v>North Texas</v>
      </c>
      <c r="L63" s="54">
        <f>IF(+All!$F262="Memphis",+All!L262,IF(+All!$H262="Memphis",+All!L262,0))</f>
        <v>11.5</v>
      </c>
      <c r="M63" s="55">
        <f>IF(+All!$F262="Memphis",+All!M262,IF(+All!$H262="Memphis",+All!M262,0))</f>
        <v>68.5</v>
      </c>
      <c r="N63" s="460" t="str">
        <f>IF(+All!$F262="Memphis",+All!N262,IF(+All!$H262="Memphis",+All!N262,0))</f>
        <v>Memphis</v>
      </c>
      <c r="O63" s="462">
        <f>IF(+All!$F262="Memphis",+All!O262,IF(+All!$H262="Memphis",+All!O262,0))</f>
        <v>44</v>
      </c>
      <c r="P63" s="462" t="str">
        <f>IF(+All!$F262="Memphis",+All!P262,IF(+All!$H262="Memphis",+All!P262,0))</f>
        <v>North Texas</v>
      </c>
      <c r="Q63" s="461">
        <f>IF(+All!$F262="Memphis",+All!Q262,IF(+All!$H262="Memphis",+All!Q262,0))</f>
        <v>34</v>
      </c>
      <c r="R63" s="460" t="str">
        <f>IF(+All!$F262="Memphis",+All!R262,IF(+All!$H262="Memphis",+All!R262,0))</f>
        <v>North Texas</v>
      </c>
      <c r="S63" s="462" t="str">
        <f>IF(+All!$F262="Memphis",+All!S262,IF(+All!$H262="Memphis",+All!S262,0))</f>
        <v>Memphis</v>
      </c>
      <c r="T63" s="460" t="str">
        <f>IF(+All!$F262="Memphis",+All!T262,IF(+All!$H262="Memphis",+All!T262,0))</f>
        <v>Memphis</v>
      </c>
      <c r="U63" s="461" t="str">
        <f>IF(+All!$F262="Memphis",+All!U262,IF(+All!$H262="Memphis",+All!U262,0))</f>
        <v>L</v>
      </c>
    </row>
    <row r="64" spans="1:21" x14ac:dyDescent="0.8">
      <c r="A64" s="46">
        <f>IF(+All!$F325="Memphis",+All!A325,IF(+All!$H325="Memphis",+All!A325,0))</f>
        <v>5</v>
      </c>
      <c r="B64" s="46" t="str">
        <f>IF(+All!$F325="Memphis",+All!B325,IF(+All!$H325="Memphis",+All!B325,0))</f>
        <v>Sat</v>
      </c>
      <c r="C64" s="62">
        <f>IF(+All!$F325="Memphis",+All!C325,IF(+All!$H325="Memphis",+All!C325,0))</f>
        <v>44835</v>
      </c>
      <c r="D64" s="490">
        <f>IF(+All!$F325="Memphis",+All!D325,IF(+All!$H325="Memphis",+All!D325,0))</f>
        <v>0.5</v>
      </c>
      <c r="E64" s="461" t="str">
        <f>IF(+All!$F325="Memphis",+All!E325,IF(+All!$H325="Memphis",+All!E325,0))</f>
        <v>ESPNU</v>
      </c>
      <c r="F64" s="460" t="str">
        <f>IF(+All!$F325="Memphis",+All!F325,IF(+All!$H325="Memphis",+All!F325,0))</f>
        <v>Temple</v>
      </c>
      <c r="G64" s="465" t="str">
        <f>IF(+All!$F325="Memphis",+All!G325,IF(+All!$H325="Memphis",+All!G325,0))</f>
        <v>AAC</v>
      </c>
      <c r="H64" s="465" t="str">
        <f>IF(+All!$F325="Memphis",+All!H325,IF(+All!$H325="Memphis",+All!H325,0))</f>
        <v>Memphis</v>
      </c>
      <c r="I64" s="464" t="str">
        <f>IF(+All!$F325="Memphis",+All!I325,IF(+All!$H325="Memphis",+All!I325,0))</f>
        <v>AAC</v>
      </c>
      <c r="J64" s="460" t="str">
        <f>IF(+All!$F325="Memphis",+All!J325,IF(+All!$H325="Memphis",+All!J325,0))</f>
        <v>Memphis</v>
      </c>
      <c r="K64" s="461" t="str">
        <f>IF(+All!$F325="Memphis",+All!K325,IF(+All!$H325="Memphis",+All!K325,0))</f>
        <v>Temple</v>
      </c>
      <c r="L64" s="54">
        <f>IF(+All!$F325="Memphis",+All!L325,IF(+All!$H325="Memphis",+All!L325,0))</f>
        <v>19.5</v>
      </c>
      <c r="M64" s="55">
        <f>IF(+All!$F325="Memphis",+All!M325,IF(+All!$H325="Memphis",+All!M325,0))</f>
        <v>52.5</v>
      </c>
      <c r="N64" s="460" t="str">
        <f>IF(+All!$F325="Memphis",+All!N325,IF(+All!$H325="Memphis",+All!N325,0))</f>
        <v>Memphis</v>
      </c>
      <c r="O64" s="462">
        <f>IF(+All!$F325="Memphis",+All!O325,IF(+All!$H325="Memphis",+All!O325,0))</f>
        <v>24</v>
      </c>
      <c r="P64" s="462" t="str">
        <f>IF(+All!$F325="Memphis",+All!P325,IF(+All!$H325="Memphis",+All!P325,0))</f>
        <v>Temple</v>
      </c>
      <c r="Q64" s="461">
        <f>IF(+All!$F325="Memphis",+All!Q325,IF(+All!$H325="Memphis",+All!Q325,0))</f>
        <v>3</v>
      </c>
      <c r="R64" s="460" t="str">
        <f>IF(+All!$F325="Memphis",+All!R325,IF(+All!$H325="Memphis",+All!R325,0))</f>
        <v>Memphis</v>
      </c>
      <c r="S64" s="462" t="str">
        <f>IF(+All!$F325="Memphis",+All!S325,IF(+All!$H325="Memphis",+All!S325,0))</f>
        <v>Temple</v>
      </c>
      <c r="T64" s="460" t="str">
        <f>IF(+All!$F325="Memphis",+All!T325,IF(+All!$H325="Memphis",+All!T325,0))</f>
        <v>Memphis</v>
      </c>
      <c r="U64" s="461" t="str">
        <f>IF(+All!$F325="Memphis",+All!U325,IF(+All!$H325="Memphis",+All!U325,0))</f>
        <v>W</v>
      </c>
    </row>
    <row r="65" spans="1:21" x14ac:dyDescent="0.8">
      <c r="A65" s="46">
        <f>IF(+All!$F382="Memphis",+All!A382,IF(+All!$H382="Memphis",+All!A382,0))</f>
        <v>5</v>
      </c>
      <c r="B65" s="46" t="str">
        <f>IF(+All!$F382="Memphis",+All!B382,IF(+All!$H382="Memphis",+All!B382,0))</f>
        <v>Fri</v>
      </c>
      <c r="C65" s="62">
        <f>IF(+All!$F382="Memphis",+All!C382,IF(+All!$H382="Memphis",+All!C382,0))</f>
        <v>44841</v>
      </c>
      <c r="D65" s="490">
        <f>IF(+All!$F382="Memphis",+All!D382,IF(+All!$H382="Memphis",+All!D382,0))</f>
        <v>0.8125</v>
      </c>
      <c r="E65" s="461" t="str">
        <f>IF(+All!$F382="Memphis",+All!E382,IF(+All!$H382="Memphis",+All!E382,0))</f>
        <v>ESPN2</v>
      </c>
      <c r="F65" s="460" t="str">
        <f>IF(+All!$F382="Memphis",+All!F382,IF(+All!$H382="Memphis",+All!F382,0))</f>
        <v>Houston</v>
      </c>
      <c r="G65" s="465" t="str">
        <f>IF(+All!$F382="Memphis",+All!G382,IF(+All!$H382="Memphis",+All!G382,0))</f>
        <v>AAC</v>
      </c>
      <c r="H65" s="465" t="str">
        <f>IF(+All!$F382="Memphis",+All!H382,IF(+All!$H382="Memphis",+All!H382,0))</f>
        <v>Memphis</v>
      </c>
      <c r="I65" s="464" t="str">
        <f>IF(+All!$F382="Memphis",+All!I382,IF(+All!$H382="Memphis",+All!I382,0))</f>
        <v>AAC</v>
      </c>
      <c r="J65" s="460" t="str">
        <f>IF(+All!$F382="Memphis",+All!J382,IF(+All!$H382="Memphis",+All!J382,0))</f>
        <v>Memphis</v>
      </c>
      <c r="K65" s="461" t="str">
        <f>IF(+All!$F382="Memphis",+All!K382,IF(+All!$H382="Memphis",+All!K382,0))</f>
        <v>Houston</v>
      </c>
      <c r="L65" s="54">
        <f>IF(+All!$F382="Memphis",+All!L382,IF(+All!$H382="Memphis",+All!L382,0))</f>
        <v>3</v>
      </c>
      <c r="M65" s="55">
        <f>IF(+All!$F382="Memphis",+All!M382,IF(+All!$H382="Memphis",+All!M382,0))</f>
        <v>57.5</v>
      </c>
      <c r="N65" s="460" t="str">
        <f>IF(+All!$F382="Memphis",+All!N382,IF(+All!$H382="Memphis",+All!N382,0))</f>
        <v>Houston</v>
      </c>
      <c r="O65" s="462">
        <f>IF(+All!$F382="Memphis",+All!O382,IF(+All!$H382="Memphis",+All!O382,0))</f>
        <v>33</v>
      </c>
      <c r="P65" s="462" t="str">
        <f>IF(+All!$F382="Memphis",+All!P382,IF(+All!$H382="Memphis",+All!P382,0))</f>
        <v>Memphis</v>
      </c>
      <c r="Q65" s="461">
        <f>IF(+All!$F382="Memphis",+All!Q382,IF(+All!$H382="Memphis",+All!Q382,0))</f>
        <v>32</v>
      </c>
      <c r="R65" s="460" t="str">
        <f>IF(+All!$F382="Memphis",+All!R382,IF(+All!$H382="Memphis",+All!R382,0))</f>
        <v>Houston</v>
      </c>
      <c r="S65" s="462" t="str">
        <f>IF(+All!$F382="Memphis",+All!S382,IF(+All!$H382="Memphis",+All!S382,0))</f>
        <v>Memphis</v>
      </c>
      <c r="T65" s="460" t="str">
        <f>IF(+All!$F382="Memphis",+All!T382,IF(+All!$H382="Memphis",+All!T382,0))</f>
        <v>Houston</v>
      </c>
      <c r="U65" s="461" t="str">
        <f>IF(+All!$F382="Memphis",+All!U382,IF(+All!$H382="Memphis",+All!U382,0))</f>
        <v>W</v>
      </c>
    </row>
    <row r="66" spans="1:21" x14ac:dyDescent="0.8">
      <c r="A66" s="46">
        <f>IF(+All!$F443="Memphis",+All!A443,IF(+All!$H443="Memphis",+All!A443,0))</f>
        <v>7</v>
      </c>
      <c r="B66" s="46" t="str">
        <f>IF(+All!$F443="Memphis",+All!B443,IF(+All!$H443="Memphis",+All!B443,0))</f>
        <v>Sat</v>
      </c>
      <c r="C66" s="62">
        <f>IF(+All!$F443="Memphis",+All!C443,IF(+All!$H443="Memphis",+All!C443,0))</f>
        <v>44849</v>
      </c>
      <c r="D66" s="490">
        <f>IF(+All!$F443="Memphis",+All!D443,IF(+All!$H443="Memphis",+All!D443,0))</f>
        <v>0.8125</v>
      </c>
      <c r="E66" s="461" t="str">
        <f>IF(+All!$F443="Memphis",+All!E443,IF(+All!$H443="Memphis",+All!E443,0))</f>
        <v>ESPNU</v>
      </c>
      <c r="F66" s="460" t="str">
        <f>IF(+All!$F443="Memphis",+All!F443,IF(+All!$H443="Memphis",+All!F443,0))</f>
        <v>Memphis</v>
      </c>
      <c r="G66" s="465" t="str">
        <f>IF(+All!$F443="Memphis",+All!G443,IF(+All!$H443="Memphis",+All!G443,0))</f>
        <v>AAC</v>
      </c>
      <c r="H66" s="465" t="str">
        <f>IF(+All!$F443="Memphis",+All!H443,IF(+All!$H443="Memphis",+All!H443,0))</f>
        <v>East Carolina</v>
      </c>
      <c r="I66" s="464" t="str">
        <f>IF(+All!$F443="Memphis",+All!I443,IF(+All!$H443="Memphis",+All!I443,0))</f>
        <v>AAC</v>
      </c>
      <c r="J66" s="460" t="str">
        <f>IF(+All!$F443="Memphis",+All!J443,IF(+All!$H443="Memphis",+All!J443,0))</f>
        <v>East Carolina</v>
      </c>
      <c r="K66" s="461" t="str">
        <f>IF(+All!$F443="Memphis",+All!K443,IF(+All!$H443="Memphis",+All!K443,0))</f>
        <v>Memphis</v>
      </c>
      <c r="L66" s="54">
        <f>IF(+All!$F443="Memphis",+All!L443,IF(+All!$H443="Memphis",+All!L443,0))</f>
        <v>4.5</v>
      </c>
      <c r="M66" s="55">
        <f>IF(+All!$F443="Memphis",+All!M443,IF(+All!$H443="Memphis",+All!M443,0))</f>
        <v>58.5</v>
      </c>
      <c r="N66" s="460" t="str">
        <f>IF(+All!$F443="Memphis",+All!N443,IF(+All!$H443="Memphis",+All!N443,0))</f>
        <v>East Carolina</v>
      </c>
      <c r="O66" s="462">
        <f>IF(+All!$F443="Memphis",+All!O443,IF(+All!$H443="Memphis",+All!O443,0))</f>
        <v>47</v>
      </c>
      <c r="P66" s="462" t="str">
        <f>IF(+All!$F443="Memphis",+All!P443,IF(+All!$H443="Memphis",+All!P443,0))</f>
        <v>Memphis</v>
      </c>
      <c r="Q66" s="461">
        <f>IF(+All!$F443="Memphis",+All!Q443,IF(+All!$H443="Memphis",+All!Q443,0))</f>
        <v>45</v>
      </c>
      <c r="R66" s="460" t="str">
        <f>IF(+All!$F443="Memphis",+All!R443,IF(+All!$H443="Memphis",+All!R443,0))</f>
        <v>Memphis</v>
      </c>
      <c r="S66" s="462" t="str">
        <f>IF(+All!$F443="Memphis",+All!S443,IF(+All!$H443="Memphis",+All!S443,0))</f>
        <v>East Carolina</v>
      </c>
      <c r="T66" s="460" t="str">
        <f>IF(+All!$F443="Memphis",+All!T443,IF(+All!$H443="Memphis",+All!T443,0))</f>
        <v>Memphis</v>
      </c>
      <c r="U66" s="461" t="str">
        <f>IF(+All!$F443="Memphis",+All!U443,IF(+All!$H443="Memphis",+All!U443,0))</f>
        <v>W</v>
      </c>
    </row>
    <row r="67" spans="1:21" x14ac:dyDescent="0.8">
      <c r="A67" s="46">
        <f>IF(+All!$F499="Memphis",+All!A499,IF(+All!$H499="Memphis",+All!A499,0))</f>
        <v>8</v>
      </c>
      <c r="B67" s="46" t="str">
        <f>IF(+All!$F499="Memphis",+All!B499,IF(+All!$H499="Memphis",+All!B499,0))</f>
        <v>Sat</v>
      </c>
      <c r="C67" s="62">
        <f>IF(+All!$F499="Memphis",+All!C499,IF(+All!$H499="Memphis",+All!C499,0))</f>
        <v>44856</v>
      </c>
      <c r="D67" s="490">
        <f>IF(+All!$F499="Memphis",+All!D499,IF(+All!$H499="Memphis",+All!D499,0))</f>
        <v>0.64583333333333337</v>
      </c>
      <c r="E67" s="461" t="str">
        <f>IF(+All!$F499="Memphis",+All!E499,IF(+All!$H499="Memphis",+All!E499,0))</f>
        <v>ESPN2</v>
      </c>
      <c r="F67" s="460" t="str">
        <f>IF(+All!$F499="Memphis",+All!F499,IF(+All!$H499="Memphis",+All!F499,0))</f>
        <v>Memphis</v>
      </c>
      <c r="G67" s="465" t="str">
        <f>IF(+All!$F499="Memphis",+All!G499,IF(+All!$H499="Memphis",+All!G499,0))</f>
        <v>AAC</v>
      </c>
      <c r="H67" s="465" t="str">
        <f>IF(+All!$F499="Memphis",+All!H499,IF(+All!$H499="Memphis",+All!H499,0))</f>
        <v>Tulane</v>
      </c>
      <c r="I67" s="464" t="str">
        <f>IF(+All!$F499="Memphis",+All!I499,IF(+All!$H499="Memphis",+All!I499,0))</f>
        <v>AAC</v>
      </c>
      <c r="J67" s="460" t="str">
        <f>IF(+All!$F499="Memphis",+All!J499,IF(+All!$H499="Memphis",+All!J499,0))</f>
        <v>Tulane</v>
      </c>
      <c r="K67" s="461" t="str">
        <f>IF(+All!$F499="Memphis",+All!K499,IF(+All!$H499="Memphis",+All!K499,0))</f>
        <v>Memphis</v>
      </c>
      <c r="L67" s="54">
        <f>IF(+All!$F499="Memphis",+All!L499,IF(+All!$H499="Memphis",+All!L499,0))</f>
        <v>7</v>
      </c>
      <c r="M67" s="55">
        <f>IF(+All!$F499="Memphis",+All!M499,IF(+All!$H499="Memphis",+All!M499,0))</f>
        <v>56.5</v>
      </c>
      <c r="N67" s="460" t="str">
        <f>IF(+All!$F499="Memphis",+All!N499,IF(+All!$H499="Memphis",+All!N499,0))</f>
        <v>Tulane</v>
      </c>
      <c r="O67" s="462">
        <f>IF(+All!$F499="Memphis",+All!O499,IF(+All!$H499="Memphis",+All!O499,0))</f>
        <v>38</v>
      </c>
      <c r="P67" s="462" t="str">
        <f>IF(+All!$F499="Memphis",+All!P499,IF(+All!$H499="Memphis",+All!P499,0))</f>
        <v>Memphis</v>
      </c>
      <c r="Q67" s="461">
        <f>IF(+All!$F499="Memphis",+All!Q499,IF(+All!$H499="Memphis",+All!Q499,0))</f>
        <v>28</v>
      </c>
      <c r="R67" s="460" t="str">
        <f>IF(+All!$F499="Memphis",+All!R499,IF(+All!$H499="Memphis",+All!R499,0))</f>
        <v>Tulane</v>
      </c>
      <c r="S67" s="462" t="str">
        <f>IF(+All!$F499="Memphis",+All!S499,IF(+All!$H499="Memphis",+All!S499,0))</f>
        <v>Memphis</v>
      </c>
      <c r="T67" s="460" t="str">
        <f>IF(+All!$F499="Memphis",+All!T499,IF(+All!$H499="Memphis",+All!T499,0))</f>
        <v>Tulane</v>
      </c>
      <c r="U67" s="461" t="str">
        <f>IF(+All!$F499="Memphis",+All!U499,IF(+All!$H499="Memphis",+All!U499,0))</f>
        <v>W</v>
      </c>
    </row>
    <row r="68" spans="1:21" x14ac:dyDescent="0.8">
      <c r="A68" s="46" t="e">
        <f>IF(+All!#REF!="Memphis",+All!#REF!,IF(+All!#REF!="Memphis",+All!#REF!,0))</f>
        <v>#REF!</v>
      </c>
      <c r="B68" s="46" t="e">
        <f>IF(+All!#REF!="Memphis",+All!#REF!,IF(+All!#REF!="Memphis",+All!#REF!,0))</f>
        <v>#REF!</v>
      </c>
      <c r="C68" s="62" t="e">
        <f>IF(+All!#REF!="Memphis",+All!#REF!,IF(+All!#REF!="Memphis",+All!#REF!,0))</f>
        <v>#REF!</v>
      </c>
      <c r="D68" s="490" t="e">
        <f>IF(+All!#REF!="Memphis",+All!#REF!,IF(+All!#REF!="Memphis",+All!#REF!,0))</f>
        <v>#REF!</v>
      </c>
      <c r="E68" s="461" t="e">
        <f>IF(+All!#REF!="Memphis",+All!#REF!,IF(+All!#REF!="Memphis",+All!#REF!,0))</f>
        <v>#REF!</v>
      </c>
      <c r="F68" s="460" t="e">
        <f>IF(+All!#REF!="Memphis",+All!#REF!,IF(+All!#REF!="Memphis",+All!#REF!,0))</f>
        <v>#REF!</v>
      </c>
      <c r="G68" s="465" t="e">
        <f>IF(+All!#REF!="Memphis",+All!#REF!,IF(+All!#REF!="Memphis",+All!#REF!,0))</f>
        <v>#REF!</v>
      </c>
      <c r="H68" s="465" t="e">
        <f>IF(+All!#REF!="Memphis",+All!#REF!,IF(+All!#REF!="Memphis",+All!#REF!,0))</f>
        <v>#REF!</v>
      </c>
      <c r="I68" s="464" t="e">
        <f>IF(+All!#REF!="Memphis",+All!#REF!,IF(+All!#REF!="Memphis",+All!#REF!,0))</f>
        <v>#REF!</v>
      </c>
      <c r="J68" s="460" t="e">
        <f>IF(+All!#REF!="Memphis",+All!#REF!,IF(+All!#REF!="Memphis",+All!#REF!,0))</f>
        <v>#REF!</v>
      </c>
      <c r="K68" s="461" t="e">
        <f>IF(+All!#REF!="Memphis",+All!#REF!,IF(+All!#REF!="Memphis",+All!#REF!,0))</f>
        <v>#REF!</v>
      </c>
      <c r="L68" s="54" t="e">
        <f>IF(+All!#REF!="Memphis",+All!#REF!,IF(+All!#REF!="Memphis",+All!#REF!,0))</f>
        <v>#REF!</v>
      </c>
      <c r="M68" s="55" t="e">
        <f>IF(+All!#REF!="Memphis",+All!#REF!,IF(+All!#REF!="Memphis",+All!#REF!,0))</f>
        <v>#REF!</v>
      </c>
      <c r="N68" s="460" t="e">
        <f>IF(+All!#REF!="Memphis",+All!#REF!,IF(+All!#REF!="Memphis",+All!#REF!,0))</f>
        <v>#REF!</v>
      </c>
      <c r="O68" s="462" t="e">
        <f>IF(+All!#REF!="Memphis",+All!#REF!,IF(+All!#REF!="Memphis",+All!#REF!,0))</f>
        <v>#REF!</v>
      </c>
      <c r="P68" s="462" t="e">
        <f>IF(+All!#REF!="Memphis",+All!#REF!,IF(+All!#REF!="Memphis",+All!#REF!,0))</f>
        <v>#REF!</v>
      </c>
      <c r="Q68" s="461" t="e">
        <f>IF(+All!#REF!="Memphis",+All!#REF!,IF(+All!#REF!="Memphis",+All!#REF!,0))</f>
        <v>#REF!</v>
      </c>
      <c r="R68" s="460" t="e">
        <f>IF(+All!#REF!="Memphis",+All!#REF!,IF(+All!#REF!="Memphis",+All!#REF!,0))</f>
        <v>#REF!</v>
      </c>
      <c r="S68" s="462" t="e">
        <f>IF(+All!#REF!="Memphis",+All!#REF!,IF(+All!#REF!="Memphis",+All!#REF!,0))</f>
        <v>#REF!</v>
      </c>
      <c r="T68" s="460" t="e">
        <f>IF(+All!#REF!="Memphis",+All!#REF!,IF(+All!#REF!="Memphis",+All!#REF!,0))</f>
        <v>#REF!</v>
      </c>
      <c r="U68" s="461" t="e">
        <f>IF(+All!#REF!="Memphis",+All!#REF!,IF(+All!#REF!="Memphis",+All!#REF!,0))</f>
        <v>#REF!</v>
      </c>
    </row>
    <row r="69" spans="1:21" x14ac:dyDescent="0.8">
      <c r="A69" s="46">
        <f>IF(+All!$F603="Memphis",+All!A603,IF(+All!$H603="Memphis",+All!A603,0))</f>
        <v>10</v>
      </c>
      <c r="B69" s="46" t="str">
        <f>IF(+All!$F603="Memphis",+All!B603,IF(+All!$H603="Memphis",+All!B603,0))</f>
        <v>Sat</v>
      </c>
      <c r="C69" s="62">
        <f>IF(+All!$F603="Memphis",+All!C603,IF(+All!$H603="Memphis",+All!C603,0))</f>
        <v>44870</v>
      </c>
      <c r="D69" s="490">
        <f>IF(+All!$F603="Memphis",+All!D603,IF(+All!$H603="Memphis",+All!D603,0))</f>
        <v>0.64583333333333337</v>
      </c>
      <c r="E69" s="461" t="str">
        <f>IF(+All!$F603="Memphis",+All!E603,IF(+All!$H603="Memphis",+All!E603,0))</f>
        <v>ESPN2</v>
      </c>
      <c r="F69" s="460" t="str">
        <f>IF(+All!$F603="Memphis",+All!F603,IF(+All!$H603="Memphis",+All!F603,0))</f>
        <v>Central Florida</v>
      </c>
      <c r="G69" s="465" t="str">
        <f>IF(+All!$F603="Memphis",+All!G603,IF(+All!$H603="Memphis",+All!G603,0))</f>
        <v>AAC</v>
      </c>
      <c r="H69" s="465" t="str">
        <f>IF(+All!$F603="Memphis",+All!H603,IF(+All!$H603="Memphis",+All!H603,0))</f>
        <v>Memphis</v>
      </c>
      <c r="I69" s="464" t="str">
        <f>IF(+All!$F603="Memphis",+All!I603,IF(+All!$H603="Memphis",+All!I603,0))</f>
        <v>AAC</v>
      </c>
      <c r="J69" s="460" t="str">
        <f>IF(+All!$F603="Memphis",+All!J603,IF(+All!$H603="Memphis",+All!J603,0))</f>
        <v>Central Florida</v>
      </c>
      <c r="K69" s="461" t="str">
        <f>IF(+All!$F603="Memphis",+All!K603,IF(+All!$H603="Memphis",+All!K603,0))</f>
        <v>Memphis</v>
      </c>
      <c r="L69" s="54">
        <f>IF(+All!$F603="Memphis",+All!L603,IF(+All!$H603="Memphis",+All!L603,0))</f>
        <v>3.5</v>
      </c>
      <c r="M69" s="55">
        <f>IF(+All!$F603="Memphis",+All!M603,IF(+All!$H603="Memphis",+All!M603,0))</f>
        <v>58</v>
      </c>
      <c r="N69" s="460" t="str">
        <f>IF(+All!$F603="Memphis",+All!N603,IF(+All!$H603="Memphis",+All!N603,0))</f>
        <v>Central Florida</v>
      </c>
      <c r="O69" s="462">
        <f>IF(+All!$F603="Memphis",+All!O603,IF(+All!$H603="Memphis",+All!O603,0))</f>
        <v>35</v>
      </c>
      <c r="P69" s="462" t="str">
        <f>IF(+All!$F603="Memphis",+All!P603,IF(+All!$H603="Memphis",+All!P603,0))</f>
        <v>Memphis</v>
      </c>
      <c r="Q69" s="461">
        <f>IF(+All!$F603="Memphis",+All!Q603,IF(+All!$H603="Memphis",+All!Q603,0))</f>
        <v>28</v>
      </c>
      <c r="R69" s="460" t="str">
        <f>IF(+All!$F603="Memphis",+All!R603,IF(+All!$H603="Memphis",+All!R603,0))</f>
        <v>Central Florida</v>
      </c>
      <c r="S69" s="462" t="str">
        <f>IF(+All!$F603="Memphis",+All!S603,IF(+All!$H603="Memphis",+All!S603,0))</f>
        <v>Memphis</v>
      </c>
      <c r="T69" s="460" t="str">
        <f>IF(+All!$F603="Memphis",+All!T603,IF(+All!$H603="Memphis",+All!T603,0))</f>
        <v>Memphis</v>
      </c>
      <c r="U69" s="461" t="str">
        <f>IF(+All!$F603="Memphis",+All!U603,IF(+All!$H603="Memphis",+All!U603,0))</f>
        <v>L</v>
      </c>
    </row>
    <row r="70" spans="1:21" x14ac:dyDescent="0.8">
      <c r="A70" s="46">
        <f>IF(+All!$F659="Memphis",+All!A659,IF(+All!$H659="Memphis",+All!A659,0))</f>
        <v>11</v>
      </c>
      <c r="B70" s="46" t="str">
        <f>IF(+All!$F659="Memphis",+All!B659,IF(+All!$H659="Memphis",+All!B659,0))</f>
        <v>Thurs</v>
      </c>
      <c r="C70" s="62">
        <f>IF(+All!$F659="Memphis",+All!C659,IF(+All!$H659="Memphis",+All!C659,0))</f>
        <v>44874</v>
      </c>
      <c r="D70" s="490">
        <f>IF(+All!$F659="Memphis",+All!D659,IF(+All!$H659="Memphis",+All!D659,0))</f>
        <v>0.8125</v>
      </c>
      <c r="E70" s="461" t="str">
        <f>IF(+All!$F659="Memphis",+All!E659,IF(+All!$H659="Memphis",+All!E659,0))</f>
        <v>ESPN</v>
      </c>
      <c r="F70" s="460" t="str">
        <f>IF(+All!$F659="Memphis",+All!F659,IF(+All!$H659="Memphis",+All!F659,0))</f>
        <v>Tulsa</v>
      </c>
      <c r="G70" s="465" t="str">
        <f>IF(+All!$F659="Memphis",+All!G659,IF(+All!$H659="Memphis",+All!G659,0))</f>
        <v>AAC</v>
      </c>
      <c r="H70" s="465" t="str">
        <f>IF(+All!$F659="Memphis",+All!H659,IF(+All!$H659="Memphis",+All!H659,0))</f>
        <v>Memphis</v>
      </c>
      <c r="I70" s="464" t="str">
        <f>IF(+All!$F659="Memphis",+All!I659,IF(+All!$H659="Memphis",+All!I659,0))</f>
        <v>AAC</v>
      </c>
      <c r="J70" s="460" t="str">
        <f>IF(+All!$F659="Memphis",+All!J659,IF(+All!$H659="Memphis",+All!J659,0))</f>
        <v>Memphis</v>
      </c>
      <c r="K70" s="461" t="str">
        <f>IF(+All!$F659="Memphis",+All!K659,IF(+All!$H659="Memphis",+All!K659,0))</f>
        <v>Tulsa</v>
      </c>
      <c r="L70" s="54">
        <f>IF(+All!$F659="Memphis",+All!L659,IF(+All!$H659="Memphis",+All!L659,0))</f>
        <v>7</v>
      </c>
      <c r="M70" s="55">
        <f>IF(+All!$F659="Memphis",+All!M659,IF(+All!$H659="Memphis",+All!M659,0))</f>
        <v>62</v>
      </c>
      <c r="N70" s="460" t="str">
        <f>IF(+All!$F659="Memphis",+All!N659,IF(+All!$H659="Memphis",+All!N659,0))</f>
        <v>Memphis</v>
      </c>
      <c r="O70" s="462">
        <f>IF(+All!$F659="Memphis",+All!O659,IF(+All!$H659="Memphis",+All!O659,0))</f>
        <v>26</v>
      </c>
      <c r="P70" s="462" t="str">
        <f>IF(+All!$F659="Memphis",+All!P659,IF(+All!$H659="Memphis",+All!P659,0))</f>
        <v>Tulsa</v>
      </c>
      <c r="Q70" s="461">
        <f>IF(+All!$F659="Memphis",+All!Q659,IF(+All!$H659="Memphis",+All!Q659,0))</f>
        <v>10</v>
      </c>
      <c r="R70" s="460" t="str">
        <f>IF(+All!$F659="Memphis",+All!R659,IF(+All!$H659="Memphis",+All!R659,0))</f>
        <v>Memphis</v>
      </c>
      <c r="S70" s="462" t="str">
        <f>IF(+All!$F659="Memphis",+All!S659,IF(+All!$H659="Memphis",+All!S659,0))</f>
        <v>Tulsa</v>
      </c>
      <c r="T70" s="460" t="str">
        <f>IF(+All!$F659="Memphis",+All!T659,IF(+All!$H659="Memphis",+All!T659,0))</f>
        <v>Memphis</v>
      </c>
      <c r="U70" s="461" t="str">
        <f>IF(+All!$F659="Memphis",+All!U659,IF(+All!$H659="Memphis",+All!U659,0))</f>
        <v>W</v>
      </c>
    </row>
    <row r="71" spans="1:21" x14ac:dyDescent="0.8">
      <c r="A71" s="46">
        <f>IF(+All!$F728="Memphis",+All!A728,IF(+All!$H728="Memphis",+All!A728,0))</f>
        <v>12</v>
      </c>
      <c r="B71" s="46" t="str">
        <f>IF(+All!$F728="Memphis",+All!B728,IF(+All!$H728="Memphis",+All!B728,0))</f>
        <v>Sat</v>
      </c>
      <c r="C71" s="62">
        <f>IF(+All!$F728="Memphis",+All!C728,IF(+All!$H728="Memphis",+All!C728,0))</f>
        <v>44884</v>
      </c>
      <c r="D71" s="490">
        <f>IF(+All!$F728="Memphis",+All!D728,IF(+All!$H728="Memphis",+All!D728,0))</f>
        <v>0.58333333333333337</v>
      </c>
      <c r="E71" s="461">
        <f>IF(+All!$F728="Memphis",+All!E728,IF(+All!$H728="Memphis",+All!E728,0))</f>
        <v>0</v>
      </c>
      <c r="F71" s="460" t="str">
        <f>IF(+All!$F728="Memphis",+All!F728,IF(+All!$H728="Memphis",+All!F728,0))</f>
        <v>1AA North Alabama</v>
      </c>
      <c r="G71" s="465" t="str">
        <f>IF(+All!$F728="Memphis",+All!G728,IF(+All!$H728="Memphis",+All!G728,0))</f>
        <v>1AA</v>
      </c>
      <c r="H71" s="465" t="str">
        <f>IF(+All!$F728="Memphis",+All!H728,IF(+All!$H728="Memphis",+All!H728,0))</f>
        <v>Memphis</v>
      </c>
      <c r="I71" s="464" t="str">
        <f>IF(+All!$F728="Memphis",+All!I728,IF(+All!$H728="Memphis",+All!I728,0))</f>
        <v>AAC</v>
      </c>
      <c r="J71" s="460">
        <f>IF(+All!$F728="Memphis",+All!J728,IF(+All!$H728="Memphis",+All!J728,0))</f>
        <v>0</v>
      </c>
      <c r="K71" s="461" t="str">
        <f>IF(+All!$F728="Memphis",+All!K728,IF(+All!$H728="Memphis",+All!K728,0))</f>
        <v>Memphis</v>
      </c>
      <c r="L71" s="54">
        <f>IF(+All!$F728="Memphis",+All!L728,IF(+All!$H728="Memphis",+All!L728,0))</f>
        <v>0</v>
      </c>
      <c r="M71" s="55">
        <f>IF(+All!$F728="Memphis",+All!M728,IF(+All!$H728="Memphis",+All!M728,0))</f>
        <v>0</v>
      </c>
      <c r="N71" s="460" t="str">
        <f>IF(+All!$F728="Memphis",+All!N728,IF(+All!$H728="Memphis",+All!N728,0))</f>
        <v>Memphis</v>
      </c>
      <c r="O71" s="462">
        <f>IF(+All!$F728="Memphis",+All!O728,IF(+All!$H728="Memphis",+All!O728,0))</f>
        <v>59</v>
      </c>
      <c r="P71" s="462" t="str">
        <f>IF(+All!$F728="Memphis",+All!P728,IF(+All!$H728="Memphis",+All!P728,0))</f>
        <v>1AA North Alabama</v>
      </c>
      <c r="Q71" s="461">
        <f>IF(+All!$F728="Memphis",+All!Q728,IF(+All!$H728="Memphis",+All!Q728,0))</f>
        <v>0</v>
      </c>
      <c r="R71" s="460">
        <f>IF(+All!$F728="Memphis",+All!R728,IF(+All!$H728="Memphis",+All!R728,0))</f>
        <v>0</v>
      </c>
      <c r="S71" s="462">
        <f>IF(+All!$F728="Memphis",+All!S728,IF(+All!$H728="Memphis",+All!S728,0))</f>
        <v>0</v>
      </c>
      <c r="T71" s="460">
        <f>IF(+All!$F728="Memphis",+All!T728,IF(+All!$H728="Memphis",+All!T728,0))</f>
        <v>0</v>
      </c>
      <c r="U71" s="461">
        <f>IF(+All!$F728="Memphis",+All!U728,IF(+All!$H728="Memphis",+All!U728,0))</f>
        <v>0</v>
      </c>
    </row>
    <row r="72" spans="1:21" x14ac:dyDescent="0.8">
      <c r="A72" s="46">
        <f>IF(+All!$F800="Memphis",+All!A800,IF(+All!$H800="Memphis",+All!A800,0))</f>
        <v>13</v>
      </c>
      <c r="B72" s="46" t="str">
        <f>IF(+All!$F800="Memphis",+All!B800,IF(+All!$H800="Memphis",+All!B800,0))</f>
        <v>Sat</v>
      </c>
      <c r="C72" s="62">
        <f>IF(+All!$F800="Memphis",+All!C800,IF(+All!$H800="Memphis",+All!C800,0))</f>
        <v>44891</v>
      </c>
      <c r="D72" s="490">
        <f>IF(+All!$F800="Memphis",+All!D800,IF(+All!$H800="Memphis",+All!D800,0))</f>
        <v>0.64583333333333337</v>
      </c>
      <c r="E72" s="461" t="str">
        <f>IF(+All!$F800="Memphis",+All!E800,IF(+All!$H800="Memphis",+All!E800,0))</f>
        <v>ESPN2</v>
      </c>
      <c r="F72" s="460" t="str">
        <f>IF(+All!$F800="Memphis",+All!F800,IF(+All!$H800="Memphis",+All!F800,0))</f>
        <v>Memphis</v>
      </c>
      <c r="G72" s="465" t="str">
        <f>IF(+All!$F800="Memphis",+All!G800,IF(+All!$H800="Memphis",+All!G800,0))</f>
        <v>AAC</v>
      </c>
      <c r="H72" s="465" t="str">
        <f>IF(+All!$F800="Memphis",+All!H800,IF(+All!$H800="Memphis",+All!H800,0))</f>
        <v>SMU</v>
      </c>
      <c r="I72" s="464" t="str">
        <f>IF(+All!$F800="Memphis",+All!I800,IF(+All!$H800="Memphis",+All!I800,0))</f>
        <v>AAC</v>
      </c>
      <c r="J72" s="460" t="str">
        <f>IF(+All!$F800="Memphis",+All!J800,IF(+All!$H800="Memphis",+All!J800,0))</f>
        <v>SMU</v>
      </c>
      <c r="K72" s="461" t="str">
        <f>IF(+All!$F800="Memphis",+All!K800,IF(+All!$H800="Memphis",+All!K800,0))</f>
        <v>Memphis</v>
      </c>
      <c r="L72" s="54">
        <f>IF(+All!$F800="Memphis",+All!L800,IF(+All!$H800="Memphis",+All!L800,0))</f>
        <v>4.5</v>
      </c>
      <c r="M72" s="55">
        <f>IF(+All!$F800="Memphis",+All!M800,IF(+All!$H800="Memphis",+All!M800,0))</f>
        <v>69.5</v>
      </c>
      <c r="N72" s="460" t="str">
        <f>IF(+All!$F800="Memphis",+All!N800,IF(+All!$H800="Memphis",+All!N800,0))</f>
        <v>SMU</v>
      </c>
      <c r="O72" s="462">
        <f>IF(+All!$F800="Memphis",+All!O800,IF(+All!$H800="Memphis",+All!O800,0))</f>
        <v>34</v>
      </c>
      <c r="P72" s="462" t="str">
        <f>IF(+All!$F800="Memphis",+All!P800,IF(+All!$H800="Memphis",+All!P800,0))</f>
        <v>Memphis</v>
      </c>
      <c r="Q72" s="461">
        <f>IF(+All!$F800="Memphis",+All!Q800,IF(+All!$H800="Memphis",+All!Q800,0))</f>
        <v>31</v>
      </c>
      <c r="R72" s="460" t="str">
        <f>IF(+All!$F800="Memphis",+All!R800,IF(+All!$H800="Memphis",+All!R800,0))</f>
        <v>Memphis</v>
      </c>
      <c r="S72" s="462" t="str">
        <f>IF(+All!$F800="Memphis",+All!S800,IF(+All!$H800="Memphis",+All!S800,0))</f>
        <v>SMU</v>
      </c>
      <c r="T72" s="460" t="str">
        <f>IF(+All!$F800="Memphis",+All!T800,IF(+All!$H800="Memphis",+All!T800,0))</f>
        <v>SMU</v>
      </c>
      <c r="U72" s="461" t="str">
        <f>IF(+All!$F800="Memphis",+All!U800,IF(+All!$H800="Memphis",+All!U800,0))</f>
        <v>L</v>
      </c>
    </row>
    <row r="73" spans="1:21" x14ac:dyDescent="0.8">
      <c r="B73" s="46"/>
      <c r="C73" s="62"/>
      <c r="D73" s="490"/>
      <c r="E73" s="461"/>
      <c r="F73" s="897" t="str">
        <f>H74</f>
        <v>Navy</v>
      </c>
      <c r="G73" s="898"/>
      <c r="H73" s="898"/>
      <c r="I73" s="899"/>
      <c r="J73" s="460"/>
      <c r="K73" s="461"/>
      <c r="L73" s="54"/>
      <c r="M73" s="55"/>
      <c r="N73" s="460"/>
      <c r="O73" s="462"/>
      <c r="P73" s="462"/>
      <c r="Q73" s="461"/>
      <c r="R73" s="460"/>
      <c r="S73" s="462"/>
      <c r="T73" s="460"/>
      <c r="U73" s="461"/>
    </row>
    <row r="74" spans="1:21" x14ac:dyDescent="0.8">
      <c r="A74" s="46">
        <f>IF(+All!$F17="Navy",+All!A17,IF(+All!$H17="Navy",+All!A17,0))</f>
        <v>1</v>
      </c>
      <c r="B74" s="348" t="str">
        <f>IF(+All!$F17="Navy",+All!B17,IF(+All!$H17="Navy",+All!B17,0))</f>
        <v>Sat</v>
      </c>
      <c r="C74" s="48">
        <f>IF(+All!$F17="Navy",+All!C17,IF(+All!$H17="Navy",+All!C17,0))</f>
        <v>44807</v>
      </c>
      <c r="D74" s="490">
        <f>IF(+All!$F17="Navy",+All!D17,IF(+All!$H17="Navy",+All!D17,0))</f>
        <v>0.5</v>
      </c>
      <c r="E74" s="461" t="str">
        <f>IF(+All!$F17="Navy",+All!E17,IF(+All!$H17="Navy",+All!E17,0))</f>
        <v>CBSSN</v>
      </c>
      <c r="F74" s="51" t="str">
        <f>IF(+All!$F17="Navy",+All!F17,IF(+All!$H17="Navy",+All!F17,0))</f>
        <v>1AA Delaware</v>
      </c>
      <c r="G74" s="52" t="str">
        <f>IF(+All!$F17="Navy",+All!G17,IF(+All!$H17="Navy",+All!G17,0))</f>
        <v>1AA</v>
      </c>
      <c r="H74" s="51" t="str">
        <f>IF(+All!$F17="Navy",+All!H17,IF(+All!$H17="Navy",+All!H17,0))</f>
        <v>Navy</v>
      </c>
      <c r="I74" s="52" t="str">
        <f>IF(+All!$F17="Navy",+All!I17,IF(+All!$H17="Navy",+All!I17,0))</f>
        <v>AAC</v>
      </c>
      <c r="J74" s="460">
        <f>IF(+All!$F17="Navy",+All!J17,IF(+All!$H17="Navy",+All!J17,0))</f>
        <v>0</v>
      </c>
      <c r="K74" s="461">
        <f>IF(+All!$F17="Navy",+All!K17,IF(+All!$H17="Navy",+All!K17,0))</f>
        <v>0</v>
      </c>
      <c r="L74" s="54">
        <f>IF(+All!$F17="Navy",+All!L17,IF(+All!$H17="Navy",+All!L17,0))</f>
        <v>0</v>
      </c>
      <c r="M74" s="55">
        <f>IF(+All!$F17="Navy",+All!M17,IF(+All!$H17="Navy",+All!M17,0))</f>
        <v>0</v>
      </c>
      <c r="N74" s="460" t="str">
        <f>IF(+All!$F17="Navy",+All!N17,IF(+All!$H17="Navy",+All!N17,0))</f>
        <v>1AA Delaware</v>
      </c>
      <c r="O74" s="462">
        <f>IF(+All!$F17="Navy",+All!O17,IF(+All!$H17="Navy",+All!O17,0))</f>
        <v>14</v>
      </c>
      <c r="P74" s="462" t="str">
        <f>IF(+All!$F17="Navy",+All!P17,IF(+All!$H17="Navy",+All!P17,0))</f>
        <v>Navy</v>
      </c>
      <c r="Q74" s="461">
        <f>IF(+All!$F17="Navy",+All!Q17,IF(+All!$H17="Navy",+All!Q17,0))</f>
        <v>7</v>
      </c>
      <c r="R74" s="460">
        <f>IF(+All!$F17="Navy",+All!R17,IF(+All!$H17="Navy",+All!R17,0))</f>
        <v>0</v>
      </c>
      <c r="S74" s="462">
        <f>IF(+All!$F17="Navy",+All!S17,IF(+All!$H17="Navy",+All!S17,0))</f>
        <v>0</v>
      </c>
      <c r="T74" s="460">
        <f>IF(+All!$F17="Navy",+All!T17,IF(+All!$H17="Navy",+All!T17,0))</f>
        <v>0</v>
      </c>
      <c r="U74" s="461">
        <f>IF(+All!$F17="Navy",+All!U17,IF(+All!$H17="Navy",+All!U17,0))</f>
        <v>0</v>
      </c>
    </row>
    <row r="75" spans="1:21" x14ac:dyDescent="0.8">
      <c r="A75" s="46">
        <f>IF(+All!$F102="Navy",+All!A102,IF(+All!$H102="Navy",+All!A102,0))</f>
        <v>2</v>
      </c>
      <c r="B75" s="348" t="str">
        <f>IF(+All!$F102="Navy",+All!B102,IF(+All!$H102="Navy",+All!B102,0))</f>
        <v>Sat</v>
      </c>
      <c r="C75" s="48">
        <f>IF(+All!$F102="Navy",+All!C102,IF(+All!$H102="Navy",+All!C102,0))</f>
        <v>44814</v>
      </c>
      <c r="D75" s="490">
        <f>IF(+All!$F102="Navy",+All!D102,IF(+All!$H102="Navy",+All!D102,0))</f>
        <v>0.64583333333333337</v>
      </c>
      <c r="E75" s="461" t="str">
        <f>IF(+All!$F102="Navy",+All!E102,IF(+All!$H102="Navy",+All!E102,0))</f>
        <v>CBSSN</v>
      </c>
      <c r="F75" s="51" t="str">
        <f>IF(+All!$F102="Navy",+All!F102,IF(+All!$H102="Navy",+All!F102,0))</f>
        <v>Memphis</v>
      </c>
      <c r="G75" s="52" t="str">
        <f>IF(+All!$F102="Navy",+All!G102,IF(+All!$H102="Navy",+All!G102,0))</f>
        <v>AAC</v>
      </c>
      <c r="H75" s="51" t="str">
        <f>IF(+All!$F102="Navy",+All!H102,IF(+All!$H102="Navy",+All!H102,0))</f>
        <v>Navy</v>
      </c>
      <c r="I75" s="52" t="str">
        <f>IF(+All!$F102="Navy",+All!I102,IF(+All!$H102="Navy",+All!I102,0))</f>
        <v>AAC</v>
      </c>
      <c r="J75" s="460" t="str">
        <f>IF(+All!$F102="Navy",+All!J102,IF(+All!$H102="Navy",+All!J102,0))</f>
        <v>Memphis</v>
      </c>
      <c r="K75" s="461" t="str">
        <f>IF(+All!$F102="Navy",+All!K102,IF(+All!$H102="Navy",+All!K102,0))</f>
        <v>Navy</v>
      </c>
      <c r="L75" s="54">
        <f>IF(+All!$F102="Navy",+All!L102,IF(+All!$H102="Navy",+All!L102,0))</f>
        <v>6</v>
      </c>
      <c r="M75" s="55">
        <f>IF(+All!$F102="Navy",+All!M102,IF(+All!$H102="Navy",+All!M102,0))</f>
        <v>50</v>
      </c>
      <c r="N75" s="460" t="str">
        <f>IF(+All!$F102="Navy",+All!N102,IF(+All!$H102="Navy",+All!N102,0))</f>
        <v>Memphis</v>
      </c>
      <c r="O75" s="462">
        <f>IF(+All!$F102="Navy",+All!O102,IF(+All!$H102="Navy",+All!O102,0))</f>
        <v>37</v>
      </c>
      <c r="P75" s="462" t="str">
        <f>IF(+All!$F102="Navy",+All!P102,IF(+All!$H102="Navy",+All!P102,0))</f>
        <v>Navy</v>
      </c>
      <c r="Q75" s="461">
        <f>IF(+All!$F102="Navy",+All!Q102,IF(+All!$H102="Navy",+All!Q102,0))</f>
        <v>13</v>
      </c>
      <c r="R75" s="460" t="str">
        <f>IF(+All!$F102="Navy",+All!R102,IF(+All!$H102="Navy",+All!R102,0))</f>
        <v>Memphis</v>
      </c>
      <c r="S75" s="462" t="str">
        <f>IF(+All!$F102="Navy",+All!S102,IF(+All!$H102="Navy",+All!S102,0))</f>
        <v>Navy</v>
      </c>
      <c r="T75" s="460" t="str">
        <f>IF(+All!$F102="Navy",+All!T102,IF(+All!$H102="Navy",+All!T102,0))</f>
        <v>Memphis</v>
      </c>
      <c r="U75" s="461" t="str">
        <f>IF(+All!$F102="Navy",+All!U102,IF(+All!$H102="Navy",+All!U102,0))</f>
        <v>W</v>
      </c>
    </row>
    <row r="76" spans="1:21" x14ac:dyDescent="0.8">
      <c r="A76" s="46" t="e">
        <f>IF(+All!#REF!="Navy",+All!#REF!,IF(+All!#REF!="Navy",+All!#REF!,0))</f>
        <v>#REF!</v>
      </c>
      <c r="B76" s="348" t="e">
        <f>IF(+All!#REF!="Navy",+All!#REF!,IF(+All!#REF!="Navy",+All!#REF!,0))</f>
        <v>#REF!</v>
      </c>
      <c r="C76" s="48" t="e">
        <f>IF(+All!#REF!="Navy",+All!#REF!,IF(+All!#REF!="Navy",+All!#REF!,0))</f>
        <v>#REF!</v>
      </c>
      <c r="D76" s="490" t="e">
        <f>IF(+All!#REF!="Navy",+All!#REF!,IF(+All!#REF!="Navy",+All!#REF!,0))</f>
        <v>#REF!</v>
      </c>
      <c r="E76" s="461" t="e">
        <f>IF(+All!#REF!="Navy",+All!#REF!,IF(+All!#REF!="Navy",+All!#REF!,0))</f>
        <v>#REF!</v>
      </c>
      <c r="F76" s="51" t="e">
        <f>IF(+All!#REF!="Navy",+All!#REF!,IF(+All!#REF!="Navy",+All!#REF!,0))</f>
        <v>#REF!</v>
      </c>
      <c r="G76" s="52" t="e">
        <f>IF(+All!#REF!="Navy",+All!#REF!,IF(+All!#REF!="Navy",+All!#REF!,0))</f>
        <v>#REF!</v>
      </c>
      <c r="H76" s="51" t="e">
        <f>IF(+All!#REF!="Navy",+All!#REF!,IF(+All!#REF!="Navy",+All!#REF!,0))</f>
        <v>#REF!</v>
      </c>
      <c r="I76" s="52" t="e">
        <f>IF(+All!#REF!="Navy",+All!#REF!,IF(+All!#REF!="Navy",+All!#REF!,0))</f>
        <v>#REF!</v>
      </c>
      <c r="J76" s="460" t="e">
        <f>IF(+All!#REF!="Navy",+All!#REF!,IF(+All!#REF!="Navy",+All!#REF!,0))</f>
        <v>#REF!</v>
      </c>
      <c r="K76" s="461" t="e">
        <f>IF(+All!#REF!="Navy",+All!#REF!,IF(+All!#REF!="Navy",+All!#REF!,0))</f>
        <v>#REF!</v>
      </c>
      <c r="L76" s="54" t="e">
        <f>IF(+All!#REF!="Navy",+All!#REF!,IF(+All!#REF!="Navy",+All!#REF!,0))</f>
        <v>#REF!</v>
      </c>
      <c r="M76" s="55" t="e">
        <f>IF(+All!#REF!="Navy",+All!#REF!,IF(+All!#REF!="Navy",+All!#REF!,0))</f>
        <v>#REF!</v>
      </c>
      <c r="N76" s="460" t="e">
        <f>IF(+All!#REF!="Navy",+All!#REF!,IF(+All!#REF!="Navy",+All!#REF!,0))</f>
        <v>#REF!</v>
      </c>
      <c r="O76" s="462" t="e">
        <f>IF(+All!#REF!="Navy",+All!#REF!,IF(+All!#REF!="Navy",+All!#REF!,0))</f>
        <v>#REF!</v>
      </c>
      <c r="P76" s="462" t="e">
        <f>IF(+All!#REF!="Navy",+All!#REF!,IF(+All!#REF!="Navy",+All!#REF!,0))</f>
        <v>#REF!</v>
      </c>
      <c r="Q76" s="461" t="e">
        <f>IF(+All!#REF!="Navy",+All!#REF!,IF(+All!#REF!="Navy",+All!#REF!,0))</f>
        <v>#REF!</v>
      </c>
      <c r="R76" s="460" t="e">
        <f>IF(+All!#REF!="Navy",+All!#REF!,IF(+All!#REF!="Navy",+All!#REF!,0))</f>
        <v>#REF!</v>
      </c>
      <c r="S76" s="462" t="e">
        <f>IF(+All!#REF!="Navy",+All!#REF!,IF(+All!#REF!="Navy",+All!#REF!,0))</f>
        <v>#REF!</v>
      </c>
      <c r="T76" s="460" t="e">
        <f>IF(+All!#REF!="Navy",+All!#REF!,IF(+All!#REF!="Navy",+All!#REF!,0))</f>
        <v>#REF!</v>
      </c>
      <c r="U76" s="461" t="e">
        <f>IF(+All!#REF!="Navy",+All!#REF!,IF(+All!#REF!="Navy",+All!#REF!,0))</f>
        <v>#REF!</v>
      </c>
    </row>
    <row r="77" spans="1:21" x14ac:dyDescent="0.8">
      <c r="A77" s="46">
        <f>IF(+All!$F260="Navy",+All!A260,IF(+All!$H260="Navy",+All!A260,0))</f>
        <v>4</v>
      </c>
      <c r="B77" s="348" t="str">
        <f>IF(+All!$F260="Navy",+All!B260,IF(+All!$H260="Navy",+All!B260,0))</f>
        <v>Sat</v>
      </c>
      <c r="C77" s="48">
        <f>IF(+All!$F260="Navy",+All!C260,IF(+All!$H260="Navy",+All!C260,0))</f>
        <v>44828</v>
      </c>
      <c r="D77" s="490">
        <f>IF(+All!$F260="Navy",+All!D260,IF(+All!$H260="Navy",+All!D260,0))</f>
        <v>0.75</v>
      </c>
      <c r="E77" s="461">
        <f>IF(+All!$F260="Navy",+All!E260,IF(+All!$H260="Navy",+All!E260,0))</f>
        <v>0</v>
      </c>
      <c r="F77" s="51" t="str">
        <f>IF(+All!$F260="Navy",+All!F260,IF(+All!$H260="Navy",+All!F260,0))</f>
        <v>Navy</v>
      </c>
      <c r="G77" s="52" t="str">
        <f>IF(+All!$F260="Navy",+All!G260,IF(+All!$H260="Navy",+All!G260,0))</f>
        <v>AAC</v>
      </c>
      <c r="H77" s="51" t="str">
        <f>IF(+All!$F260="Navy",+All!H260,IF(+All!$H260="Navy",+All!H260,0))</f>
        <v>East Carolina</v>
      </c>
      <c r="I77" s="52" t="str">
        <f>IF(+All!$F260="Navy",+All!I260,IF(+All!$H260="Navy",+All!I260,0))</f>
        <v>AAC</v>
      </c>
      <c r="J77" s="460" t="str">
        <f>IF(+All!$F260="Navy",+All!J260,IF(+All!$H260="Navy",+All!J260,0))</f>
        <v>East Carolina</v>
      </c>
      <c r="K77" s="461" t="str">
        <f>IF(+All!$F260="Navy",+All!K260,IF(+All!$H260="Navy",+All!K260,0))</f>
        <v>Navy</v>
      </c>
      <c r="L77" s="54">
        <f>IF(+All!$F260="Navy",+All!L260,IF(+All!$H260="Navy",+All!L260,0))</f>
        <v>16.5</v>
      </c>
      <c r="M77" s="55">
        <f>IF(+All!$F260="Navy",+All!M260,IF(+All!$H260="Navy",+All!M260,0))</f>
        <v>49.5</v>
      </c>
      <c r="N77" s="460" t="str">
        <f>IF(+All!$F260="Navy",+All!N260,IF(+All!$H260="Navy",+All!N260,0))</f>
        <v>Navy</v>
      </c>
      <c r="O77" s="462">
        <f>IF(+All!$F260="Navy",+All!O260,IF(+All!$H260="Navy",+All!O260,0))</f>
        <v>23</v>
      </c>
      <c r="P77" s="462" t="str">
        <f>IF(+All!$F260="Navy",+All!P260,IF(+All!$H260="Navy",+All!P260,0))</f>
        <v>East Carolina</v>
      </c>
      <c r="Q77" s="461">
        <f>IF(+All!$F260="Navy",+All!Q260,IF(+All!$H260="Navy",+All!Q260,0))</f>
        <v>20</v>
      </c>
      <c r="R77" s="460" t="str">
        <f>IF(+All!$F260="Navy",+All!R260,IF(+All!$H260="Navy",+All!R260,0))</f>
        <v>Navy</v>
      </c>
      <c r="S77" s="462" t="str">
        <f>IF(+All!$F260="Navy",+All!S260,IF(+All!$H260="Navy",+All!S260,0))</f>
        <v>East Carolina</v>
      </c>
      <c r="T77" s="460" t="str">
        <f>IF(+All!$F260="Navy",+All!T260,IF(+All!$H260="Navy",+All!T260,0))</f>
        <v>East Carolina</v>
      </c>
      <c r="U77" s="461" t="str">
        <f>IF(+All!$F260="Navy",+All!U260,IF(+All!$H260="Navy",+All!U260,0))</f>
        <v>L</v>
      </c>
    </row>
    <row r="78" spans="1:21" x14ac:dyDescent="0.8">
      <c r="A78" s="46">
        <f>IF(+All!$F361="Navy",+All!A361,IF(+All!$H361="Navy",+All!A361,0))</f>
        <v>5</v>
      </c>
      <c r="B78" s="348" t="str">
        <f>IF(+All!$F361="Navy",+All!B361,IF(+All!$H361="Navy",+All!B361,0))</f>
        <v>Sat</v>
      </c>
      <c r="C78" s="48">
        <f>IF(+All!$F361="Navy",+All!C361,IF(+All!$H361="Navy",+All!C361,0))</f>
        <v>44835</v>
      </c>
      <c r="D78" s="490">
        <f>IF(+All!$F361="Navy",+All!D361,IF(+All!$H361="Navy",+All!D361,0))</f>
        <v>0.5</v>
      </c>
      <c r="E78" s="461" t="str">
        <f>IF(+All!$F361="Navy",+All!E361,IF(+All!$H361="Navy",+All!E361,0))</f>
        <v>CBS</v>
      </c>
      <c r="F78" s="51" t="str">
        <f>IF(+All!$F361="Navy",+All!F361,IF(+All!$H361="Navy",+All!F361,0))</f>
        <v>Navy</v>
      </c>
      <c r="G78" s="52" t="str">
        <f>IF(+All!$F361="Navy",+All!G361,IF(+All!$H361="Navy",+All!G361,0))</f>
        <v>AAC</v>
      </c>
      <c r="H78" s="51" t="str">
        <f>IF(+All!$F361="Navy",+All!H361,IF(+All!$H361="Navy",+All!H361,0))</f>
        <v>Air Force</v>
      </c>
      <c r="I78" s="52" t="str">
        <f>IF(+All!$F361="Navy",+All!I361,IF(+All!$H361="Navy",+All!I361,0))</f>
        <v>MWC</v>
      </c>
      <c r="J78" s="460" t="str">
        <f>IF(+All!$F361="Navy",+All!J361,IF(+All!$H361="Navy",+All!J361,0))</f>
        <v>Air Force</v>
      </c>
      <c r="K78" s="461" t="str">
        <f>IF(+All!$F361="Navy",+All!K361,IF(+All!$H361="Navy",+All!K361,0))</f>
        <v>Navy</v>
      </c>
      <c r="L78" s="54">
        <f>IF(+All!$F361="Navy",+All!L361,IF(+All!$H361="Navy",+All!L361,0))</f>
        <v>14</v>
      </c>
      <c r="M78" s="55">
        <f>IF(+All!$F361="Navy",+All!M361,IF(+All!$H361="Navy",+All!M361,0))</f>
        <v>37.5</v>
      </c>
      <c r="N78" s="460" t="str">
        <f>IF(+All!$F361="Navy",+All!N361,IF(+All!$H361="Navy",+All!N361,0))</f>
        <v>Air Force</v>
      </c>
      <c r="O78" s="462">
        <f>IF(+All!$F361="Navy",+All!O361,IF(+All!$H361="Navy",+All!O361,0))</f>
        <v>13</v>
      </c>
      <c r="P78" s="462" t="str">
        <f>IF(+All!$F361="Navy",+All!P361,IF(+All!$H361="Navy",+All!P361,0))</f>
        <v>Navy</v>
      </c>
      <c r="Q78" s="461">
        <f>IF(+All!$F361="Navy",+All!Q361,IF(+All!$H361="Navy",+All!Q361,0))</f>
        <v>10</v>
      </c>
      <c r="R78" s="460" t="str">
        <f>IF(+All!$F361="Navy",+All!R361,IF(+All!$H361="Navy",+All!R361,0))</f>
        <v>Navy</v>
      </c>
      <c r="S78" s="462" t="str">
        <f>IF(+All!$F361="Navy",+All!S361,IF(+All!$H361="Navy",+All!S361,0))</f>
        <v>Air Force</v>
      </c>
      <c r="T78" s="460" t="str">
        <f>IF(+All!$F361="Navy",+All!T361,IF(+All!$H361="Navy",+All!T361,0))</f>
        <v>Air Force</v>
      </c>
      <c r="U78" s="461" t="str">
        <f>IF(+All!$F361="Navy",+All!U361,IF(+All!$H361="Navy",+All!U361,0))</f>
        <v>L</v>
      </c>
    </row>
    <row r="79" spans="1:21" x14ac:dyDescent="0.8">
      <c r="A79" s="46">
        <f>IF(+All!$F387="Navy",+All!A387,IF(+All!$H387="Navy",+All!A387,0))</f>
        <v>6</v>
      </c>
      <c r="B79" s="348" t="str">
        <f>IF(+All!$F387="Navy",+All!B387,IF(+All!$H387="Navy",+All!B387,0))</f>
        <v>Sat</v>
      </c>
      <c r="C79" s="48">
        <f>IF(+All!$F387="Navy",+All!C387,IF(+All!$H387="Navy",+All!C387,0))</f>
        <v>44842</v>
      </c>
      <c r="D79" s="490">
        <f>IF(+All!$F387="Navy",+All!D387,IF(+All!$H387="Navy",+All!D387,0))</f>
        <v>0.64583333333333337</v>
      </c>
      <c r="E79" s="461" t="str">
        <f>IF(+All!$F387="Navy",+All!E387,IF(+All!$H387="Navy",+All!E387,0))</f>
        <v>CBSSN</v>
      </c>
      <c r="F79" s="51" t="str">
        <f>IF(+All!$F387="Navy",+All!F387,IF(+All!$H387="Navy",+All!F387,0))</f>
        <v>Tulsa</v>
      </c>
      <c r="G79" s="52" t="str">
        <f>IF(+All!$F387="Navy",+All!G387,IF(+All!$H387="Navy",+All!G387,0))</f>
        <v>AAC</v>
      </c>
      <c r="H79" s="51" t="str">
        <f>IF(+All!$F387="Navy",+All!H387,IF(+All!$H387="Navy",+All!H387,0))</f>
        <v>Navy</v>
      </c>
      <c r="I79" s="52" t="str">
        <f>IF(+All!$F387="Navy",+All!I387,IF(+All!$H387="Navy",+All!I387,0))</f>
        <v>AAC</v>
      </c>
      <c r="J79" s="460" t="str">
        <f>IF(+All!$F387="Navy",+All!J387,IF(+All!$H387="Navy",+All!J387,0))</f>
        <v>Tulsa</v>
      </c>
      <c r="K79" s="461" t="str">
        <f>IF(+All!$F387="Navy",+All!K387,IF(+All!$H387="Navy",+All!K387,0))</f>
        <v>Navy</v>
      </c>
      <c r="L79" s="54">
        <f>IF(+All!$F387="Navy",+All!L387,IF(+All!$H387="Navy",+All!L387,0))</f>
        <v>5.5</v>
      </c>
      <c r="M79" s="55">
        <f>IF(+All!$F387="Navy",+All!M387,IF(+All!$H387="Navy",+All!M387,0))</f>
        <v>45.5</v>
      </c>
      <c r="N79" s="460" t="str">
        <f>IF(+All!$F387="Navy",+All!N387,IF(+All!$H387="Navy",+All!N387,0))</f>
        <v>Navy</v>
      </c>
      <c r="O79" s="462">
        <f>IF(+All!$F387="Navy",+All!O387,IF(+All!$H387="Navy",+All!O387,0))</f>
        <v>53</v>
      </c>
      <c r="P79" s="462" t="str">
        <f>IF(+All!$F387="Navy",+All!P387,IF(+All!$H387="Navy",+All!P387,0))</f>
        <v>Tulsa</v>
      </c>
      <c r="Q79" s="461">
        <f>IF(+All!$F387="Navy",+All!Q387,IF(+All!$H387="Navy",+All!Q387,0))</f>
        <v>21</v>
      </c>
      <c r="R79" s="460" t="str">
        <f>IF(+All!$F387="Navy",+All!R387,IF(+All!$H387="Navy",+All!R387,0))</f>
        <v>Navy</v>
      </c>
      <c r="S79" s="462" t="str">
        <f>IF(+All!$F387="Navy",+All!S387,IF(+All!$H387="Navy",+All!S387,0))</f>
        <v>Tulsa</v>
      </c>
      <c r="T79" s="460" t="str">
        <f>IF(+All!$F387="Navy",+All!T387,IF(+All!$H387="Navy",+All!T387,0))</f>
        <v>Tulsa</v>
      </c>
      <c r="U79" s="461" t="str">
        <f>IF(+All!$F387="Navy",+All!U387,IF(+All!$H387="Navy",+All!U387,0))</f>
        <v>L</v>
      </c>
    </row>
    <row r="80" spans="1:21" x14ac:dyDescent="0.8">
      <c r="A80" s="46">
        <f>IF(+All!$F441="Navy",+All!A441,IF(+All!$H441="Navy",+All!A441,0))</f>
        <v>7</v>
      </c>
      <c r="B80" s="348" t="str">
        <f>IF(+All!$F441="Navy",+All!B441,IF(+All!$H441="Navy",+All!B441,0))</f>
        <v>Fri</v>
      </c>
      <c r="C80" s="48">
        <f>IF(+All!$F441="Navy",+All!C441,IF(+All!$H441="Navy",+All!C441,0))</f>
        <v>44848</v>
      </c>
      <c r="D80" s="490">
        <f>IF(+All!$F441="Navy",+All!D441,IF(+All!$H441="Navy",+All!D441,0))</f>
        <v>0.8125</v>
      </c>
      <c r="E80" s="461" t="str">
        <f>IF(+All!$F441="Navy",+All!E441,IF(+All!$H441="Navy",+All!E441,0))</f>
        <v>ESPN</v>
      </c>
      <c r="F80" s="51" t="str">
        <f>IF(+All!$F441="Navy",+All!F441,IF(+All!$H441="Navy",+All!F441,0))</f>
        <v>Navy</v>
      </c>
      <c r="G80" s="52" t="str">
        <f>IF(+All!$F441="Navy",+All!G441,IF(+All!$H441="Navy",+All!G441,0))</f>
        <v>AAC</v>
      </c>
      <c r="H80" s="51" t="str">
        <f>IF(+All!$F441="Navy",+All!H441,IF(+All!$H441="Navy",+All!H441,0))</f>
        <v>SMU</v>
      </c>
      <c r="I80" s="52" t="str">
        <f>IF(+All!$F441="Navy",+All!I441,IF(+All!$H441="Navy",+All!I441,0))</f>
        <v>AAC</v>
      </c>
      <c r="J80" s="460" t="str">
        <f>IF(+All!$F441="Navy",+All!J441,IF(+All!$H441="Navy",+All!J441,0))</f>
        <v>SMU</v>
      </c>
      <c r="K80" s="461" t="str">
        <f>IF(+All!$F441="Navy",+All!K441,IF(+All!$H441="Navy",+All!K441,0))</f>
        <v>Navy</v>
      </c>
      <c r="L80" s="54">
        <f>IF(+All!$F441="Navy",+All!L441,IF(+All!$H441="Navy",+All!L441,0))</f>
        <v>12.5</v>
      </c>
      <c r="M80" s="55">
        <f>IF(+All!$F441="Navy",+All!M441,IF(+All!$H441="Navy",+All!M441,0))</f>
        <v>57.5</v>
      </c>
      <c r="N80" s="460" t="str">
        <f>IF(+All!$F441="Navy",+All!N441,IF(+All!$H441="Navy",+All!N441,0))</f>
        <v>SMU</v>
      </c>
      <c r="O80" s="462">
        <f>IF(+All!$F441="Navy",+All!O441,IF(+All!$H441="Navy",+All!O441,0))</f>
        <v>40</v>
      </c>
      <c r="P80" s="462" t="str">
        <f>IF(+All!$F441="Navy",+All!P441,IF(+All!$H441="Navy",+All!P441,0))</f>
        <v>Navy</v>
      </c>
      <c r="Q80" s="461">
        <f>IF(+All!$F441="Navy",+All!Q441,IF(+All!$H441="Navy",+All!Q441,0))</f>
        <v>34</v>
      </c>
      <c r="R80" s="460" t="str">
        <f>IF(+All!$F441="Navy",+All!R441,IF(+All!$H441="Navy",+All!R441,0))</f>
        <v>Navy</v>
      </c>
      <c r="S80" s="462" t="str">
        <f>IF(+All!$F441="Navy",+All!S441,IF(+All!$H441="Navy",+All!S441,0))</f>
        <v>SMU</v>
      </c>
      <c r="T80" s="460" t="str">
        <f>IF(+All!$F441="Navy",+All!T441,IF(+All!$H441="Navy",+All!T441,0))</f>
        <v>Navy</v>
      </c>
      <c r="U80" s="461" t="str">
        <f>IF(+All!$F441="Navy",+All!U441,IF(+All!$H441="Navy",+All!U441,0))</f>
        <v>W</v>
      </c>
    </row>
    <row r="81" spans="1:21" x14ac:dyDescent="0.8">
      <c r="A81" s="46">
        <f>IF(+All!$F497="Navy",+All!A497,IF(+All!$H497="Navy",+All!A497,0))</f>
        <v>8</v>
      </c>
      <c r="B81" s="348" t="str">
        <f>IF(+All!$F497="Navy",+All!B497,IF(+All!$H497="Navy",+All!B497,0))</f>
        <v>Sat</v>
      </c>
      <c r="C81" s="48">
        <f>IF(+All!$F497="Navy",+All!C497,IF(+All!$H497="Navy",+All!C497,0))</f>
        <v>44856</v>
      </c>
      <c r="D81" s="490">
        <f>IF(+All!$F497="Navy",+All!D497,IF(+All!$H497="Navy",+All!D497,0))</f>
        <v>0.5</v>
      </c>
      <c r="E81" s="461" t="str">
        <f>IF(+All!$F497="Navy",+All!E497,IF(+All!$H497="Navy",+All!E497,0))</f>
        <v>ESPNU</v>
      </c>
      <c r="F81" s="51" t="str">
        <f>IF(+All!$F497="Navy",+All!F497,IF(+All!$H497="Navy",+All!F497,0))</f>
        <v>Houston</v>
      </c>
      <c r="G81" s="52" t="str">
        <f>IF(+All!$F497="Navy",+All!G497,IF(+All!$H497="Navy",+All!G497,0))</f>
        <v>AAC</v>
      </c>
      <c r="H81" s="51" t="str">
        <f>IF(+All!$F497="Navy",+All!H497,IF(+All!$H497="Navy",+All!H497,0))</f>
        <v>Navy</v>
      </c>
      <c r="I81" s="52" t="str">
        <f>IF(+All!$F497="Navy",+All!I497,IF(+All!$H497="Navy",+All!I497,0))</f>
        <v>AAC</v>
      </c>
      <c r="J81" s="460" t="str">
        <f>IF(+All!$F497="Navy",+All!J497,IF(+All!$H497="Navy",+All!J497,0))</f>
        <v>Houston</v>
      </c>
      <c r="K81" s="461" t="str">
        <f>IF(+All!$F497="Navy",+All!K497,IF(+All!$H497="Navy",+All!K497,0))</f>
        <v>Navy</v>
      </c>
      <c r="L81" s="54">
        <f>IF(+All!$F497="Navy",+All!L497,IF(+All!$H497="Navy",+All!L497,0))</f>
        <v>3</v>
      </c>
      <c r="M81" s="55">
        <f>IF(+All!$F497="Navy",+All!M497,IF(+All!$H497="Navy",+All!M497,0))</f>
        <v>51</v>
      </c>
      <c r="N81" s="460" t="str">
        <f>IF(+All!$F497="Navy",+All!N497,IF(+All!$H497="Navy",+All!N497,0))</f>
        <v>Houston</v>
      </c>
      <c r="O81" s="462">
        <f>IF(+All!$F497="Navy",+All!O497,IF(+All!$H497="Navy",+All!O497,0))</f>
        <v>38</v>
      </c>
      <c r="P81" s="462" t="str">
        <f>IF(+All!$F497="Navy",+All!P497,IF(+All!$H497="Navy",+All!P497,0))</f>
        <v>Navy</v>
      </c>
      <c r="Q81" s="461">
        <f>IF(+All!$F497="Navy",+All!Q497,IF(+All!$H497="Navy",+All!Q497,0))</f>
        <v>20</v>
      </c>
      <c r="R81" s="460" t="str">
        <f>IF(+All!$F497="Navy",+All!R497,IF(+All!$H497="Navy",+All!R497,0))</f>
        <v>Houston</v>
      </c>
      <c r="S81" s="462" t="str">
        <f>IF(+All!$F497="Navy",+All!S497,IF(+All!$H497="Navy",+All!S497,0))</f>
        <v>Navy</v>
      </c>
      <c r="T81" s="460" t="str">
        <f>IF(+All!$F497="Navy",+All!T497,IF(+All!$H497="Navy",+All!T497,0))</f>
        <v>Houston</v>
      </c>
      <c r="U81" s="461" t="str">
        <f>IF(+All!$F497="Navy",+All!U497,IF(+All!$H497="Navy",+All!U497,0))</f>
        <v>W</v>
      </c>
    </row>
    <row r="82" spans="1:21" x14ac:dyDescent="0.8">
      <c r="A82" s="46">
        <f>IF(+All!$F552="Navy",+All!A552,IF(+All!$H552="Navy",+All!A552,0))</f>
        <v>9</v>
      </c>
      <c r="B82" s="348" t="str">
        <f>IF(+All!$F552="Navy",+All!B552,IF(+All!$H552="Navy",+All!B552,0))</f>
        <v>Sat</v>
      </c>
      <c r="C82" s="48">
        <f>IF(+All!$F552="Navy",+All!C552,IF(+All!$H552="Navy",+All!C552,0))</f>
        <v>44863</v>
      </c>
      <c r="D82" s="490">
        <f>IF(+All!$F552="Navy",+All!D552,IF(+All!$H552="Navy",+All!D552,0))</f>
        <v>0.64583333333333337</v>
      </c>
      <c r="E82" s="461">
        <f>IF(+All!$F552="Navy",+All!E552,IF(+All!$H552="Navy",+All!E552,0))</f>
        <v>0</v>
      </c>
      <c r="F82" s="51" t="str">
        <f>IF(+All!$F552="Navy",+All!F552,IF(+All!$H552="Navy",+All!F552,0))</f>
        <v>Temple</v>
      </c>
      <c r="G82" s="52" t="str">
        <f>IF(+All!$F552="Navy",+All!G552,IF(+All!$H552="Navy",+All!G552,0))</f>
        <v>AAC</v>
      </c>
      <c r="H82" s="51" t="str">
        <f>IF(+All!$F552="Navy",+All!H552,IF(+All!$H552="Navy",+All!H552,0))</f>
        <v>Navy</v>
      </c>
      <c r="I82" s="52" t="str">
        <f>IF(+All!$F552="Navy",+All!I552,IF(+All!$H552="Navy",+All!I552,0))</f>
        <v>AAC</v>
      </c>
      <c r="J82" s="460" t="str">
        <f>IF(+All!$F552="Navy",+All!J552,IF(+All!$H552="Navy",+All!J552,0))</f>
        <v>Temple</v>
      </c>
      <c r="K82" s="461" t="str">
        <f>IF(+All!$F552="Navy",+All!K552,IF(+All!$H552="Navy",+All!K552,0))</f>
        <v>Navy</v>
      </c>
      <c r="L82" s="54">
        <f>IF(+All!$F552="Navy",+All!L552,IF(+All!$H552="Navy",+All!L552,0))</f>
        <v>13.5</v>
      </c>
      <c r="M82" s="55">
        <f>IF(+All!$F552="Navy",+All!M552,IF(+All!$H552="Navy",+All!M552,0))</f>
        <v>40.5</v>
      </c>
      <c r="N82" s="460" t="str">
        <f>IF(+All!$F552="Navy",+All!N552,IF(+All!$H552="Navy",+All!N552,0))</f>
        <v>Navy</v>
      </c>
      <c r="O82" s="462">
        <f>IF(+All!$F552="Navy",+All!O552,IF(+All!$H552="Navy",+All!O552,0))</f>
        <v>27</v>
      </c>
      <c r="P82" s="462" t="str">
        <f>IF(+All!$F552="Navy",+All!P552,IF(+All!$H552="Navy",+All!P552,0))</f>
        <v>Temple</v>
      </c>
      <c r="Q82" s="461">
        <f>IF(+All!$F552="Navy",+All!Q552,IF(+All!$H552="Navy",+All!Q552,0))</f>
        <v>20</v>
      </c>
      <c r="R82" s="460" t="str">
        <f>IF(+All!$F552="Navy",+All!R552,IF(+All!$H552="Navy",+All!R552,0))</f>
        <v>Navy</v>
      </c>
      <c r="S82" s="462" t="str">
        <f>IF(+All!$F552="Navy",+All!S552,IF(+All!$H552="Navy",+All!S552,0))</f>
        <v>Temple</v>
      </c>
      <c r="T82" s="460" t="str">
        <f>IF(+All!$F552="Navy",+All!T552,IF(+All!$H552="Navy",+All!T552,0))</f>
        <v>Navy</v>
      </c>
      <c r="U82" s="461" t="str">
        <f>IF(+All!$F552="Navy",+All!U552,IF(+All!$H552="Navy",+All!U552,0))</f>
        <v>W</v>
      </c>
    </row>
    <row r="83" spans="1:21" x14ac:dyDescent="0.8">
      <c r="A83" s="46">
        <f>IF(+All!$F602="Navy",+All!A602,IF(+All!$H602="Navy",+All!A602,0))</f>
        <v>10</v>
      </c>
      <c r="B83" s="348" t="str">
        <f>IF(+All!$F602="Navy",+All!B602,IF(+All!$H602="Navy",+All!B602,0))</f>
        <v>Sat</v>
      </c>
      <c r="C83" s="48">
        <f>IF(+All!$F602="Navy",+All!C602,IF(+All!$H602="Navy",+All!C602,0))</f>
        <v>44870</v>
      </c>
      <c r="D83" s="490">
        <f>IF(+All!$F602="Navy",+All!D602,IF(+All!$H602="Navy",+All!D602,0))</f>
        <v>0.66666666666666663</v>
      </c>
      <c r="E83" s="461" t="str">
        <f>IF(+All!$F602="Navy",+All!E602,IF(+All!$H602="Navy",+All!E602,0))</f>
        <v>ESPNU</v>
      </c>
      <c r="F83" s="51" t="str">
        <f>IF(+All!$F602="Navy",+All!F602,IF(+All!$H602="Navy",+All!F602,0))</f>
        <v>Navy</v>
      </c>
      <c r="G83" s="52" t="str">
        <f>IF(+All!$F602="Navy",+All!G602,IF(+All!$H602="Navy",+All!G602,0))</f>
        <v>AAC</v>
      </c>
      <c r="H83" s="51" t="str">
        <f>IF(+All!$F602="Navy",+All!H602,IF(+All!$H602="Navy",+All!H602,0))</f>
        <v>Cincinnati</v>
      </c>
      <c r="I83" s="52" t="str">
        <f>IF(+All!$F602="Navy",+All!I602,IF(+All!$H602="Navy",+All!I602,0))</f>
        <v>AAC</v>
      </c>
      <c r="J83" s="460" t="str">
        <f>IF(+All!$F602="Navy",+All!J602,IF(+All!$H602="Navy",+All!J602,0))</f>
        <v>Cincinnati</v>
      </c>
      <c r="K83" s="461" t="str">
        <f>IF(+All!$F602="Navy",+All!K602,IF(+All!$H602="Navy",+All!K602,0))</f>
        <v>Navy</v>
      </c>
      <c r="L83" s="54">
        <f>IF(+All!$F602="Navy",+All!L602,IF(+All!$H602="Navy",+All!L602,0))</f>
        <v>19.5</v>
      </c>
      <c r="M83" s="55">
        <f>IF(+All!$F602="Navy",+All!M602,IF(+All!$H602="Navy",+All!M602,0))</f>
        <v>46.5</v>
      </c>
      <c r="N83" s="460" t="str">
        <f>IF(+All!$F602="Navy",+All!N602,IF(+All!$H602="Navy",+All!N602,0))</f>
        <v>Cincinnati</v>
      </c>
      <c r="O83" s="462">
        <f>IF(+All!$F602="Navy",+All!O602,IF(+All!$H602="Navy",+All!O602,0))</f>
        <v>20</v>
      </c>
      <c r="P83" s="462" t="str">
        <f>IF(+All!$F602="Navy",+All!P602,IF(+All!$H602="Navy",+All!P602,0))</f>
        <v>Navy</v>
      </c>
      <c r="Q83" s="461">
        <f>IF(+All!$F602="Navy",+All!Q602,IF(+All!$H602="Navy",+All!Q602,0))</f>
        <v>10</v>
      </c>
      <c r="R83" s="460" t="str">
        <f>IF(+All!$F602="Navy",+All!R602,IF(+All!$H602="Navy",+All!R602,0))</f>
        <v>Navy</v>
      </c>
      <c r="S83" s="462" t="str">
        <f>IF(+All!$F602="Navy",+All!S602,IF(+All!$H602="Navy",+All!S602,0))</f>
        <v>Cincinnati</v>
      </c>
      <c r="T83" s="460" t="str">
        <f>IF(+All!$F602="Navy",+All!T602,IF(+All!$H602="Navy",+All!T602,0))</f>
        <v>Navy</v>
      </c>
      <c r="U83" s="461" t="str">
        <f>IF(+All!$F602="Navy",+All!U602,IF(+All!$H602="Navy",+All!U602,0))</f>
        <v>W</v>
      </c>
    </row>
    <row r="84" spans="1:21" x14ac:dyDescent="0.8">
      <c r="A84" s="46">
        <f>IF(+All!$F665="Navy",+All!A665,IF(+All!$H665="Navy",+All!A665,0))</f>
        <v>11</v>
      </c>
      <c r="B84" s="348" t="str">
        <f>IF(+All!$F665="Navy",+All!B665,IF(+All!$H665="Navy",+All!B665,0))</f>
        <v>Sat</v>
      </c>
      <c r="C84" s="48">
        <f>IF(+All!$F665="Navy",+All!C665,IF(+All!$H665="Navy",+All!C665,0))</f>
        <v>44877</v>
      </c>
      <c r="D84" s="490">
        <f>IF(+All!$F665="Navy",+All!D665,IF(+All!$H665="Navy",+All!D665,0))</f>
        <v>0.5</v>
      </c>
      <c r="E84" s="461" t="str">
        <f>IF(+All!$F665="Navy",+All!E665,IF(+All!$H665="Navy",+All!E665,0))</f>
        <v>ABC</v>
      </c>
      <c r="F84" s="51" t="str">
        <f>IF(+All!$F665="Navy",+All!F665,IF(+All!$H665="Navy",+All!F665,0))</f>
        <v>Notre Dame</v>
      </c>
      <c r="G84" s="52" t="str">
        <f>IF(+All!$F665="Navy",+All!G665,IF(+All!$H665="Navy",+All!G665,0))</f>
        <v>Ind</v>
      </c>
      <c r="H84" s="51" t="str">
        <f>IF(+All!$F665="Navy",+All!H665,IF(+All!$H665="Navy",+All!H665,0))</f>
        <v>Navy</v>
      </c>
      <c r="I84" s="52" t="str">
        <f>IF(+All!$F665="Navy",+All!I665,IF(+All!$H665="Navy",+All!I665,0))</f>
        <v>AAC</v>
      </c>
      <c r="J84" s="460" t="str">
        <f>IF(+All!$F665="Navy",+All!J665,IF(+All!$H665="Navy",+All!J665,0))</f>
        <v>Notre Dame</v>
      </c>
      <c r="K84" s="461" t="str">
        <f>IF(+All!$F665="Navy",+All!K665,IF(+All!$H665="Navy",+All!K665,0))</f>
        <v>Navy</v>
      </c>
      <c r="L84" s="54">
        <f>IF(+All!$F665="Navy",+All!L665,IF(+All!$H665="Navy",+All!L665,0))</f>
        <v>17</v>
      </c>
      <c r="M84" s="55">
        <f>IF(+All!$F665="Navy",+All!M665,IF(+All!$H665="Navy",+All!M665,0))</f>
        <v>41.5</v>
      </c>
      <c r="N84" s="460" t="str">
        <f>IF(+All!$F665="Navy",+All!N665,IF(+All!$H665="Navy",+All!N665,0))</f>
        <v>Notre Dame</v>
      </c>
      <c r="O84" s="462">
        <f>IF(+All!$F665="Navy",+All!O665,IF(+All!$H665="Navy",+All!O665,0))</f>
        <v>35</v>
      </c>
      <c r="P84" s="462" t="str">
        <f>IF(+All!$F665="Navy",+All!P665,IF(+All!$H665="Navy",+All!P665,0))</f>
        <v>Navy</v>
      </c>
      <c r="Q84" s="461">
        <f>IF(+All!$F665="Navy",+All!Q665,IF(+All!$H665="Navy",+All!Q665,0))</f>
        <v>32</v>
      </c>
      <c r="R84" s="460" t="str">
        <f>IF(+All!$F665="Navy",+All!R665,IF(+All!$H665="Navy",+All!R665,0))</f>
        <v>Navy</v>
      </c>
      <c r="S84" s="462" t="str">
        <f>IF(+All!$F665="Navy",+All!S665,IF(+All!$H665="Navy",+All!S665,0))</f>
        <v>Notre Dame</v>
      </c>
      <c r="T84" s="460" t="str">
        <f>IF(+All!$F665="Navy",+All!T665,IF(+All!$H665="Navy",+All!T665,0))</f>
        <v>Navy</v>
      </c>
      <c r="U84" s="461" t="str">
        <f>IF(+All!$F665="Navy",+All!U665,IF(+All!$H665="Navy",+All!U665,0))</f>
        <v>W</v>
      </c>
    </row>
    <row r="85" spans="1:21" x14ac:dyDescent="0.8">
      <c r="A85" s="46">
        <f>IF(+All!$F726="Navy",+All!A726,IF(+All!$H726="Navy",+All!A726,0))</f>
        <v>12</v>
      </c>
      <c r="B85" s="348" t="str">
        <f>IF(+All!$F726="Navy",+All!B726,IF(+All!$H726="Navy",+All!B726,0))</f>
        <v>Sat</v>
      </c>
      <c r="C85" s="48">
        <f>IF(+All!$F726="Navy",+All!C726,IF(+All!$H726="Navy",+All!C726,0))</f>
        <v>44884</v>
      </c>
      <c r="D85" s="490">
        <f>IF(+All!$F726="Navy",+All!D726,IF(+All!$H726="Navy",+All!D726,0))</f>
        <v>0.45833333333333331</v>
      </c>
      <c r="E85" s="461" t="str">
        <f>IF(+All!$F726="Navy",+All!E726,IF(+All!$H726="Navy",+All!E726,0))</f>
        <v>ESPN2</v>
      </c>
      <c r="F85" s="51" t="str">
        <f>IF(+All!$F726="Navy",+All!F726,IF(+All!$H726="Navy",+All!F726,0))</f>
        <v>Navy</v>
      </c>
      <c r="G85" s="52" t="str">
        <f>IF(+All!$F726="Navy",+All!G726,IF(+All!$H726="Navy",+All!G726,0))</f>
        <v>AAC</v>
      </c>
      <c r="H85" s="51" t="str">
        <f>IF(+All!$F726="Navy",+All!H726,IF(+All!$H726="Navy",+All!H726,0))</f>
        <v>Central Florida</v>
      </c>
      <c r="I85" s="52" t="str">
        <f>IF(+All!$F726="Navy",+All!I726,IF(+All!$H726="Navy",+All!I726,0))</f>
        <v>AAC</v>
      </c>
      <c r="J85" s="460" t="str">
        <f>IF(+All!$F726="Navy",+All!J726,IF(+All!$H726="Navy",+All!J726,0))</f>
        <v>Central Florida</v>
      </c>
      <c r="K85" s="461" t="str">
        <f>IF(+All!$F726="Navy",+All!K726,IF(+All!$H726="Navy",+All!K726,0))</f>
        <v>Navy</v>
      </c>
      <c r="L85" s="54">
        <f>IF(+All!$F726="Navy",+All!L726,IF(+All!$H726="Navy",+All!L726,0))</f>
        <v>16.5</v>
      </c>
      <c r="M85" s="55">
        <f>IF(+All!$F726="Navy",+All!M726,IF(+All!$H726="Navy",+All!M726,0))</f>
        <v>53</v>
      </c>
      <c r="N85" s="460" t="str">
        <f>IF(+All!$F726="Navy",+All!N726,IF(+All!$H726="Navy",+All!N726,0))</f>
        <v>Navy</v>
      </c>
      <c r="O85" s="462">
        <f>IF(+All!$F726="Navy",+All!O726,IF(+All!$H726="Navy",+All!O726,0))</f>
        <v>17</v>
      </c>
      <c r="P85" s="462" t="str">
        <f>IF(+All!$F726="Navy",+All!P726,IF(+All!$H726="Navy",+All!P726,0))</f>
        <v>Central Florida</v>
      </c>
      <c r="Q85" s="461">
        <f>IF(+All!$F726="Navy",+All!Q726,IF(+All!$H726="Navy",+All!Q726,0))</f>
        <v>14</v>
      </c>
      <c r="R85" s="460" t="str">
        <f>IF(+All!$F726="Navy",+All!R726,IF(+All!$H726="Navy",+All!R726,0))</f>
        <v>Navy</v>
      </c>
      <c r="S85" s="462" t="str">
        <f>IF(+All!$F726="Navy",+All!S726,IF(+All!$H726="Navy",+All!S726,0))</f>
        <v>Central Florida</v>
      </c>
      <c r="T85" s="460" t="str">
        <f>IF(+All!$F726="Navy",+All!T726,IF(+All!$H726="Navy",+All!T726,0))</f>
        <v>Navy</v>
      </c>
      <c r="U85" s="461" t="str">
        <f>IF(+All!$F726="Navy",+All!U726,IF(+All!$H726="Navy",+All!U726,0))</f>
        <v>W</v>
      </c>
    </row>
    <row r="86" spans="1:21" x14ac:dyDescent="0.8">
      <c r="A86" s="46" t="e">
        <f>IF(+All!#REF!="Navy",+All!#REF!,IF(+All!#REF!="Navy",+All!#REF!,0))</f>
        <v>#REF!</v>
      </c>
      <c r="B86" s="348" t="e">
        <f>IF(+All!#REF!="Navy",+All!#REF!,IF(+All!#REF!="Navy",+All!#REF!,0))</f>
        <v>#REF!</v>
      </c>
      <c r="C86" s="48" t="e">
        <f>IF(+All!#REF!="Navy",+All!#REF!,IF(+All!#REF!="Navy",+All!#REF!,0))</f>
        <v>#REF!</v>
      </c>
      <c r="D86" s="490" t="e">
        <f>IF(+All!#REF!="Navy",+All!#REF!,IF(+All!#REF!="Navy",+All!#REF!,0))</f>
        <v>#REF!</v>
      </c>
      <c r="E86" s="461" t="e">
        <f>IF(+All!#REF!="Navy",+All!#REF!,IF(+All!#REF!="Navy",+All!#REF!,0))</f>
        <v>#REF!</v>
      </c>
      <c r="F86" s="51" t="e">
        <f>IF(+All!#REF!="Navy",+All!#REF!,IF(+All!#REF!="Navy",+All!#REF!,0))</f>
        <v>#REF!</v>
      </c>
      <c r="G86" s="52" t="e">
        <f>IF(+All!#REF!="Navy",+All!#REF!,IF(+All!#REF!="Navy",+All!#REF!,0))</f>
        <v>#REF!</v>
      </c>
      <c r="H86" s="51" t="e">
        <f>IF(+All!#REF!="Navy",+All!#REF!,IF(+All!#REF!="Navy",+All!#REF!,0))</f>
        <v>#REF!</v>
      </c>
      <c r="I86" s="52" t="e">
        <f>IF(+All!#REF!="Navy",+All!#REF!,IF(+All!#REF!="Navy",+All!#REF!,0))</f>
        <v>#REF!</v>
      </c>
      <c r="J86" s="460" t="e">
        <f>IF(+All!#REF!="Navy",+All!#REF!,IF(+All!#REF!="Navy",+All!#REF!,0))</f>
        <v>#REF!</v>
      </c>
      <c r="K86" s="461" t="e">
        <f>IF(+All!#REF!="Navy",+All!#REF!,IF(+All!#REF!="Navy",+All!#REF!,0))</f>
        <v>#REF!</v>
      </c>
      <c r="L86" s="54" t="e">
        <f>IF(+All!#REF!="Navy",+All!#REF!,IF(+All!#REF!="Navy",+All!#REF!,0))</f>
        <v>#REF!</v>
      </c>
      <c r="M86" s="55" t="e">
        <f>IF(+All!#REF!="Navy",+All!#REF!,IF(+All!#REF!="Navy",+All!#REF!,0))</f>
        <v>#REF!</v>
      </c>
      <c r="N86" s="460" t="e">
        <f>IF(+All!#REF!="Navy",+All!#REF!,IF(+All!#REF!="Navy",+All!#REF!,0))</f>
        <v>#REF!</v>
      </c>
      <c r="O86" s="462" t="e">
        <f>IF(+All!#REF!="Navy",+All!#REF!,IF(+All!#REF!="Navy",+All!#REF!,0))</f>
        <v>#REF!</v>
      </c>
      <c r="P86" s="462" t="e">
        <f>IF(+All!#REF!="Navy",+All!#REF!,IF(+All!#REF!="Navy",+All!#REF!,0))</f>
        <v>#REF!</v>
      </c>
      <c r="Q86" s="461" t="e">
        <f>IF(+All!#REF!="Navy",+All!#REF!,IF(+All!#REF!="Navy",+All!#REF!,0))</f>
        <v>#REF!</v>
      </c>
      <c r="R86" s="460" t="e">
        <f>IF(+All!#REF!="Navy",+All!#REF!,IF(+All!#REF!="Navy",+All!#REF!,0))</f>
        <v>#REF!</v>
      </c>
      <c r="S86" s="462" t="e">
        <f>IF(+All!#REF!="Navy",+All!#REF!,IF(+All!#REF!="Navy",+All!#REF!,0))</f>
        <v>#REF!</v>
      </c>
      <c r="T86" s="460" t="e">
        <f>IF(+All!#REF!="Navy",+All!#REF!,IF(+All!#REF!="Navy",+All!#REF!,0))</f>
        <v>#REF!</v>
      </c>
      <c r="U86" s="461" t="e">
        <f>IF(+All!#REF!="Navy",+All!#REF!,IF(+All!#REF!="Navy",+All!#REF!,0))</f>
        <v>#REF!</v>
      </c>
    </row>
    <row r="87" spans="1:21" x14ac:dyDescent="0.8">
      <c r="A87" s="46">
        <f>IF(+All!$F851="Navy",+All!A851,IF(+All!$H851="Navy",+All!A851,0))</f>
        <v>15</v>
      </c>
      <c r="B87" s="348" t="str">
        <f>IF(+All!$F851="Navy",+All!B851,IF(+All!$H851="Navy",+All!B851,0))</f>
        <v>Sat</v>
      </c>
      <c r="C87" s="48">
        <f>IF(+All!$F851="Navy",+All!C851,IF(+All!$H851="Navy",+All!C851,0))</f>
        <v>44905</v>
      </c>
      <c r="D87" s="490">
        <f>IF(+All!$F851="Navy",+All!D851,IF(+All!$H851="Navy",+All!D851,0))</f>
        <v>0</v>
      </c>
      <c r="E87" s="461">
        <f>IF(+All!$F851="Navy",+All!E851,IF(+All!$H851="Navy",+All!E851,0))</f>
        <v>0</v>
      </c>
      <c r="F87" s="51" t="str">
        <f>IF(+All!$F851="Navy",+All!F851,IF(+All!$H851="Navy",+All!F851,0))</f>
        <v>Army</v>
      </c>
      <c r="G87" s="52" t="str">
        <f>IF(+All!$F851="Navy",+All!G851,IF(+All!$H851="Navy",+All!G851,0))</f>
        <v>Ind</v>
      </c>
      <c r="H87" s="51" t="str">
        <f>IF(+All!$F851="Navy",+All!H851,IF(+All!$H851="Navy",+All!H851,0))</f>
        <v>Navy</v>
      </c>
      <c r="I87" s="52" t="str">
        <f>IF(+All!$F851="Navy",+All!I851,IF(+All!$H851="Navy",+All!I851,0))</f>
        <v>AAC</v>
      </c>
      <c r="J87" s="460">
        <f>IF(+All!$F851="Navy",+All!J851,IF(+All!$H851="Navy",+All!J851,0))</f>
        <v>0</v>
      </c>
      <c r="K87" s="461" t="str">
        <f>IF(+All!$F851="Navy",+All!K851,IF(+All!$H851="Navy",+All!K851,0))</f>
        <v>Navy</v>
      </c>
      <c r="L87" s="54">
        <f>IF(+All!$F851="Navy",+All!L851,IF(+All!$H851="Navy",+All!L851,0))</f>
        <v>0</v>
      </c>
      <c r="M87" s="55">
        <f>IF(+All!$F851="Navy",+All!M851,IF(+All!$H851="Navy",+All!M851,0))</f>
        <v>0</v>
      </c>
      <c r="N87" s="460">
        <f>IF(+All!$F851="Navy",+All!N851,IF(+All!$H851="Navy",+All!N851,0))</f>
        <v>0</v>
      </c>
      <c r="O87" s="462">
        <f>IF(+All!$F851="Navy",+All!O851,IF(+All!$H851="Navy",+All!O851,0))</f>
        <v>0</v>
      </c>
      <c r="P87" s="462" t="str">
        <f>IF(+All!$F851="Navy",+All!P851,IF(+All!$H851="Navy",+All!P851,0))</f>
        <v>Navy</v>
      </c>
      <c r="Q87" s="461">
        <f>IF(+All!$F851="Navy",+All!Q851,IF(+All!$H851="Navy",+All!Q851,0))</f>
        <v>0</v>
      </c>
      <c r="R87" s="460">
        <f>IF(+All!$F851="Navy",+All!R851,IF(+All!$H851="Navy",+All!R851,0))</f>
        <v>0</v>
      </c>
      <c r="S87" s="462" t="str">
        <f>IF(+All!$F851="Navy",+All!S851,IF(+All!$H851="Navy",+All!S851,0))</f>
        <v>Navy</v>
      </c>
      <c r="T87" s="460">
        <f>IF(+All!$F851="Navy",+All!T851,IF(+All!$H851="Navy",+All!T851,0))</f>
        <v>0</v>
      </c>
      <c r="U87" s="461" t="str">
        <f>IF(+All!$F851="Navy",+All!U851,IF(+All!$H851="Navy",+All!U851,0))</f>
        <v>T</v>
      </c>
    </row>
    <row r="88" spans="1:21" x14ac:dyDescent="0.8">
      <c r="B88" s="46"/>
      <c r="C88" s="62"/>
      <c r="D88" s="49"/>
      <c r="E88" s="461"/>
      <c r="F88" s="897" t="str">
        <f>H90</f>
        <v>SMU</v>
      </c>
      <c r="G88" s="898"/>
      <c r="H88" s="898"/>
      <c r="I88" s="899"/>
      <c r="J88" s="460"/>
      <c r="K88" s="461"/>
      <c r="L88" s="54"/>
      <c r="M88" s="55"/>
      <c r="N88" s="460"/>
      <c r="O88" s="462"/>
      <c r="P88" s="462"/>
      <c r="Q88" s="461"/>
      <c r="R88" s="460"/>
      <c r="S88" s="462"/>
      <c r="T88" s="460"/>
      <c r="U88" s="461"/>
    </row>
    <row r="89" spans="1:21" x14ac:dyDescent="0.8">
      <c r="A89" s="46">
        <f>IF(+All!$F82="SMU",+All!A82,IF(+All!$H82="SMU",+All!A82,0))</f>
        <v>1</v>
      </c>
      <c r="B89" s="348" t="str">
        <f>IF(+All!$F82="SMU",+All!B82,IF(+All!$H82="SMU",+All!B82,0))</f>
        <v>Sat</v>
      </c>
      <c r="C89" s="72">
        <f>IF(+All!$F82="SMU",+All!C82,IF(+All!$H82="SMU",+All!C82,0))</f>
        <v>44807</v>
      </c>
      <c r="D89" s="73">
        <f>IF(+All!$F82="SMU",+All!D82,IF(+All!$H82="SMU",+All!D82,0))</f>
        <v>0.8125</v>
      </c>
      <c r="E89" s="461" t="str">
        <f>IF(+All!$F82="SMU",+All!E82,IF(+All!$H82="SMU",+All!E82,0))</f>
        <v>CBSSN</v>
      </c>
      <c r="F89" s="460" t="str">
        <f>IF(+All!$F82="SMU",+All!F82,IF(+All!$H82="SMU",+All!F82,0))</f>
        <v>SMU</v>
      </c>
      <c r="G89" s="461" t="str">
        <f>IF(+All!$F82="SMU",+All!G82,IF(+All!$H82="SMU",+All!G82,0))</f>
        <v>AAC</v>
      </c>
      <c r="H89" s="460" t="str">
        <f>IF(+All!$F82="SMU",+All!H82,IF(+All!$H82="SMU",+All!H82,0))</f>
        <v>North Texas</v>
      </c>
      <c r="I89" s="461" t="str">
        <f>IF(+All!$F82="SMU",+All!I82,IF(+All!$H82="SMU",+All!I82,0))</f>
        <v>CUSA</v>
      </c>
      <c r="J89" s="460" t="str">
        <f>IF(+All!$F82="SMU",+All!J82,IF(+All!$H82="SMU",+All!J82,0))</f>
        <v>SMU</v>
      </c>
      <c r="K89" s="461" t="str">
        <f>IF(+All!$F82="SMU",+All!K82,IF(+All!$H82="SMU",+All!K82,0))</f>
        <v>North Texas</v>
      </c>
      <c r="L89" s="60">
        <f>IF(+All!$F82="SMU",+All!L82,IF(+All!$H82="SMU",+All!L82,0))</f>
        <v>11</v>
      </c>
      <c r="M89" s="61">
        <f>IF(+All!$F82="SMU",+All!M82,IF(+All!$H82="SMU",+All!M82,0))</f>
        <v>68</v>
      </c>
      <c r="N89" s="460" t="str">
        <f>IF(+All!$F82="SMU",+All!N82,IF(+All!$H82="SMU",+All!N82,0))</f>
        <v>SMU</v>
      </c>
      <c r="O89" s="462">
        <f>IF(+All!$F82="SMU",+All!O82,IF(+All!$H82="SMU",+All!O82,0))</f>
        <v>48</v>
      </c>
      <c r="P89" s="462" t="str">
        <f>IF(+All!$F82="SMU",+All!P82,IF(+All!$H82="SMU",+All!P82,0))</f>
        <v>North Texas</v>
      </c>
      <c r="Q89" s="461">
        <f>IF(+All!$F82="SMU",+All!Q82,IF(+All!$H82="SMU",+All!Q82,0))</f>
        <v>10</v>
      </c>
      <c r="R89" s="460" t="str">
        <f>IF(+All!$F82="SMU",+All!R82,IF(+All!$H82="SMU",+All!R82,0))</f>
        <v>SMU</v>
      </c>
      <c r="S89" s="462" t="str">
        <f>IF(+All!$F82="SMU",+All!S82,IF(+All!$H82="SMU",+All!S82,0))</f>
        <v>North Texas</v>
      </c>
      <c r="T89" s="460" t="str">
        <f>IF(+All!$F82="SMU",+All!T82,IF(+All!$H82="SMU",+All!T82,0))</f>
        <v>SMU</v>
      </c>
      <c r="U89" s="461" t="str">
        <f>IF(+All!$F82="SMU",+All!U82,IF(+All!$H82="SMU",+All!U82,0))</f>
        <v>W</v>
      </c>
    </row>
    <row r="90" spans="1:21" x14ac:dyDescent="0.8">
      <c r="A90" s="46">
        <f>IF(+All!$F103="SMU",+All!A103,IF(+All!$H103="SMU",+All!A103,0))</f>
        <v>2</v>
      </c>
      <c r="B90" s="348" t="str">
        <f>IF(+All!$F103="SMU",+All!B103,IF(+All!$H103="SMU",+All!B103,0))</f>
        <v>Sat</v>
      </c>
      <c r="C90" s="72">
        <f>IF(+All!$F103="SMU",+All!C103,IF(+All!$H103="SMU",+All!C103,0))</f>
        <v>44814</v>
      </c>
      <c r="D90" s="73">
        <f>IF(+All!$F103="SMU",+All!D103,IF(+All!$H103="SMU",+All!D103,0))</f>
        <v>0.79166666666666663</v>
      </c>
      <c r="E90" s="461">
        <f>IF(+All!$F103="SMU",+All!E103,IF(+All!$H103="SMU",+All!E103,0))</f>
        <v>0</v>
      </c>
      <c r="F90" s="460" t="str">
        <f>IF(+All!$F103="SMU",+All!F103,IF(+All!$H103="SMU",+All!F103,0))</f>
        <v>1AA Lamar</v>
      </c>
      <c r="G90" s="461" t="str">
        <f>IF(+All!$F103="SMU",+All!G103,IF(+All!$H103="SMU",+All!G103,0))</f>
        <v>1AA</v>
      </c>
      <c r="H90" s="460" t="str">
        <f>IF(+All!$F103="SMU",+All!H103,IF(+All!$H103="SMU",+All!H103,0))</f>
        <v>SMU</v>
      </c>
      <c r="I90" s="461" t="str">
        <f>IF(+All!$F103="SMU",+All!I103,IF(+All!$H103="SMU",+All!I103,0))</f>
        <v>AAC</v>
      </c>
      <c r="J90" s="460">
        <f>IF(+All!$F103="SMU",+All!J103,IF(+All!$H103="SMU",+All!J103,0))</f>
        <v>0</v>
      </c>
      <c r="K90" s="461">
        <f>IF(+All!$F103="SMU",+All!K103,IF(+All!$H103="SMU",+All!K103,0))</f>
        <v>0</v>
      </c>
      <c r="L90" s="60">
        <f>IF(+All!$F103="SMU",+All!L103,IF(+All!$H103="SMU",+All!L103,0))</f>
        <v>0</v>
      </c>
      <c r="M90" s="61">
        <f>IF(+All!$F103="SMU",+All!M103,IF(+All!$H103="SMU",+All!M103,0))</f>
        <v>0</v>
      </c>
      <c r="N90" s="460" t="str">
        <f>IF(+All!$F103="SMU",+All!N103,IF(+All!$H103="SMU",+All!N103,0))</f>
        <v>SMU</v>
      </c>
      <c r="O90" s="462">
        <f>IF(+All!$F103="SMU",+All!O103,IF(+All!$H103="SMU",+All!O103,0))</f>
        <v>45</v>
      </c>
      <c r="P90" s="462" t="str">
        <f>IF(+All!$F103="SMU",+All!P103,IF(+All!$H103="SMU",+All!P103,0))</f>
        <v>1AA Lamar</v>
      </c>
      <c r="Q90" s="461">
        <f>IF(+All!$F103="SMU",+All!Q103,IF(+All!$H103="SMU",+All!Q103,0))</f>
        <v>16</v>
      </c>
      <c r="R90" s="460">
        <f>IF(+All!$F103="SMU",+All!R103,IF(+All!$H103="SMU",+All!R103,0))</f>
        <v>0</v>
      </c>
      <c r="S90" s="462">
        <f>IF(+All!$F103="SMU",+All!S103,IF(+All!$H103="SMU",+All!S103,0))</f>
        <v>0</v>
      </c>
      <c r="T90" s="460">
        <f>IF(+All!$F103="SMU",+All!T103,IF(+All!$H103="SMU",+All!T103,0))</f>
        <v>0</v>
      </c>
      <c r="U90" s="461">
        <f>IF(+All!$F103="SMU",+All!U103,IF(+All!$H103="SMU",+All!U103,0))</f>
        <v>0</v>
      </c>
    </row>
    <row r="91" spans="1:21" x14ac:dyDescent="0.8">
      <c r="A91" s="46">
        <f>IF(+All!$F199="SMU",+All!A199,IF(+All!$H199="SMU",+All!A199,0))</f>
        <v>3</v>
      </c>
      <c r="B91" s="348" t="str">
        <f>IF(+All!$F199="SMU",+All!B199,IF(+All!$H199="SMU",+All!B199,0))</f>
        <v>Sat</v>
      </c>
      <c r="C91" s="72">
        <f>IF(+All!$F199="SMU",+All!C199,IF(+All!$H199="SMU",+All!C199,0))</f>
        <v>44821</v>
      </c>
      <c r="D91" s="73">
        <f>IF(+All!$F199="SMU",+All!D199,IF(+All!$H199="SMU",+All!D199,0))</f>
        <v>0.8125</v>
      </c>
      <c r="E91" s="461" t="str">
        <f>IF(+All!$F199="SMU",+All!E199,IF(+All!$H199="SMU",+All!E199,0))</f>
        <v>FS1</v>
      </c>
      <c r="F91" s="460" t="str">
        <f>IF(+All!$F199="SMU",+All!F199,IF(+All!$H199="SMU",+All!F199,0))</f>
        <v>SMU</v>
      </c>
      <c r="G91" s="461" t="str">
        <f>IF(+All!$F199="SMU",+All!G199,IF(+All!$H199="SMU",+All!G199,0))</f>
        <v>AAC</v>
      </c>
      <c r="H91" s="460" t="str">
        <f>IF(+All!$F199="SMU",+All!H199,IF(+All!$H199="SMU",+All!H199,0))</f>
        <v>Maryland</v>
      </c>
      <c r="I91" s="461" t="str">
        <f>IF(+All!$F199="SMU",+All!I199,IF(+All!$H199="SMU",+All!I199,0))</f>
        <v>B10</v>
      </c>
      <c r="J91" s="460" t="str">
        <f>IF(+All!$F199="SMU",+All!J199,IF(+All!$H199="SMU",+All!J199,0))</f>
        <v>Maryland</v>
      </c>
      <c r="K91" s="461" t="str">
        <f>IF(+All!$F199="SMU",+All!K199,IF(+All!$H199="SMU",+All!K199,0))</f>
        <v>SMU</v>
      </c>
      <c r="L91" s="60">
        <f>IF(+All!$F199="SMU",+All!L199,IF(+All!$H199="SMU",+All!L199,0))</f>
        <v>3.5</v>
      </c>
      <c r="M91" s="61">
        <f>IF(+All!$F199="SMU",+All!M199,IF(+All!$H199="SMU",+All!M199,0))</f>
        <v>73</v>
      </c>
      <c r="N91" s="460" t="str">
        <f>IF(+All!$F199="SMU",+All!N199,IF(+All!$H199="SMU",+All!N199,0))</f>
        <v>Maryland</v>
      </c>
      <c r="O91" s="462">
        <f>IF(+All!$F199="SMU",+All!O199,IF(+All!$H199="SMU",+All!O199,0))</f>
        <v>34</v>
      </c>
      <c r="P91" s="462" t="str">
        <f>IF(+All!$F199="SMU",+All!P199,IF(+All!$H199="SMU",+All!P199,0))</f>
        <v>SMU</v>
      </c>
      <c r="Q91" s="461">
        <f>IF(+All!$F199="SMU",+All!Q199,IF(+All!$H199="SMU",+All!Q199,0))</f>
        <v>27</v>
      </c>
      <c r="R91" s="460" t="str">
        <f>IF(+All!$F199="SMU",+All!R199,IF(+All!$H199="SMU",+All!R199,0))</f>
        <v>Maryland</v>
      </c>
      <c r="S91" s="462" t="str">
        <f>IF(+All!$F199="SMU",+All!S199,IF(+All!$H199="SMU",+All!S199,0))</f>
        <v>SMU</v>
      </c>
      <c r="T91" s="460" t="str">
        <f>IF(+All!$F199="SMU",+All!T199,IF(+All!$H199="SMU",+All!T199,0))</f>
        <v>Maryland</v>
      </c>
      <c r="U91" s="461" t="str">
        <f>IF(+All!$F199="SMU",+All!U199,IF(+All!$H199="SMU",+All!U199,0))</f>
        <v>W</v>
      </c>
    </row>
    <row r="92" spans="1:21" x14ac:dyDescent="0.8">
      <c r="A92" s="46">
        <f>IF(+All!$F263="SMU",+All!A263,IF(+All!$H263="SMU",+All!A263,0))</f>
        <v>4</v>
      </c>
      <c r="B92" s="348" t="str">
        <f>IF(+All!$F263="SMU",+All!B263,IF(+All!$H263="SMU",+All!B263,0))</f>
        <v>Sat</v>
      </c>
      <c r="C92" s="72">
        <f>IF(+All!$F263="SMU",+All!C263,IF(+All!$H263="SMU",+All!C263,0))</f>
        <v>44828</v>
      </c>
      <c r="D92" s="73">
        <f>IF(+All!$F263="SMU",+All!D263,IF(+All!$H263="SMU",+All!D263,0))</f>
        <v>0.5</v>
      </c>
      <c r="E92" s="461" t="str">
        <f>IF(+All!$F263="SMU",+All!E263,IF(+All!$H263="SMU",+All!E263,0))</f>
        <v>ESPNU</v>
      </c>
      <c r="F92" s="460" t="str">
        <f>IF(+All!$F263="SMU",+All!F263,IF(+All!$H263="SMU",+All!F263,0))</f>
        <v>TCU</v>
      </c>
      <c r="G92" s="461" t="str">
        <f>IF(+All!$F263="SMU",+All!G263,IF(+All!$H263="SMU",+All!G263,0))</f>
        <v>B12</v>
      </c>
      <c r="H92" s="460" t="str">
        <f>IF(+All!$F263="SMU",+All!H263,IF(+All!$H263="SMU",+All!H263,0))</f>
        <v>SMU</v>
      </c>
      <c r="I92" s="461" t="str">
        <f>IF(+All!$F263="SMU",+All!I263,IF(+All!$H263="SMU",+All!I263,0))</f>
        <v>AAC</v>
      </c>
      <c r="J92" s="460" t="str">
        <f>IF(+All!$F263="SMU",+All!J263,IF(+All!$H263="SMU",+All!J263,0))</f>
        <v>TCU</v>
      </c>
      <c r="K92" s="461" t="str">
        <f>IF(+All!$F263="SMU",+All!K263,IF(+All!$H263="SMU",+All!K263,0))</f>
        <v>SMU</v>
      </c>
      <c r="L92" s="60">
        <f>IF(+All!$F263="SMU",+All!L263,IF(+All!$H263="SMU",+All!L263,0))</f>
        <v>2</v>
      </c>
      <c r="M92" s="61">
        <f>IF(+All!$F263="SMU",+All!M263,IF(+All!$H263="SMU",+All!M263,0))</f>
        <v>70.5</v>
      </c>
      <c r="N92" s="460" t="str">
        <f>IF(+All!$F263="SMU",+All!N263,IF(+All!$H263="SMU",+All!N263,0))</f>
        <v>TCU</v>
      </c>
      <c r="O92" s="462">
        <f>IF(+All!$F263="SMU",+All!O263,IF(+All!$H263="SMU",+All!O263,0))</f>
        <v>42</v>
      </c>
      <c r="P92" s="462" t="str">
        <f>IF(+All!$F263="SMU",+All!P263,IF(+All!$H263="SMU",+All!P263,0))</f>
        <v>SMU</v>
      </c>
      <c r="Q92" s="461">
        <f>IF(+All!$F263="SMU",+All!Q263,IF(+All!$H263="SMU",+All!Q263,0))</f>
        <v>34</v>
      </c>
      <c r="R92" s="460" t="str">
        <f>IF(+All!$F263="SMU",+All!R263,IF(+All!$H263="SMU",+All!R263,0))</f>
        <v>TCU</v>
      </c>
      <c r="S92" s="462" t="str">
        <f>IF(+All!$F263="SMU",+All!S263,IF(+All!$H263="SMU",+All!S263,0))</f>
        <v>SMU</v>
      </c>
      <c r="T92" s="460" t="str">
        <f>IF(+All!$F263="SMU",+All!T263,IF(+All!$H263="SMU",+All!T263,0))</f>
        <v>SMU</v>
      </c>
      <c r="U92" s="461" t="str">
        <f>IF(+All!$F263="SMU",+All!U263,IF(+All!$H263="SMU",+All!U263,0))</f>
        <v>L</v>
      </c>
    </row>
    <row r="93" spans="1:21" x14ac:dyDescent="0.8">
      <c r="A93" s="46">
        <f>IF(+All!$F324="SMU",+All!A324,IF(+All!$H324="SMU",+All!A324,0))</f>
        <v>5</v>
      </c>
      <c r="B93" s="348" t="str">
        <f>IF(+All!$F324="SMU",+All!B324,IF(+All!$H324="SMU",+All!B324,0))</f>
        <v>Weds</v>
      </c>
      <c r="C93" s="72">
        <f>IF(+All!$F324="SMU",+All!C324,IF(+All!$H324="SMU",+All!C324,0))</f>
        <v>44839</v>
      </c>
      <c r="D93" s="73">
        <f>IF(+All!$F324="SMU",+All!D324,IF(+All!$H324="SMU",+All!D324,0))</f>
        <v>0.64583333333333337</v>
      </c>
      <c r="E93" s="461" t="str">
        <f>IF(+All!$F324="SMU",+All!E324,IF(+All!$H324="SMU",+All!E324,0))</f>
        <v>ESPNU</v>
      </c>
      <c r="F93" s="460" t="str">
        <f>IF(+All!$F324="SMU",+All!F324,IF(+All!$H324="SMU",+All!F324,0))</f>
        <v>SMU</v>
      </c>
      <c r="G93" s="461" t="str">
        <f>IF(+All!$F324="SMU",+All!G324,IF(+All!$H324="SMU",+All!G324,0))</f>
        <v>AAC</v>
      </c>
      <c r="H93" s="460" t="str">
        <f>IF(+All!$F324="SMU",+All!H324,IF(+All!$H324="SMU",+All!H324,0))</f>
        <v>Central Florida</v>
      </c>
      <c r="I93" s="461" t="str">
        <f>IF(+All!$F324="SMU",+All!I324,IF(+All!$H324="SMU",+All!I324,0))</f>
        <v>AAC</v>
      </c>
      <c r="J93" s="460" t="str">
        <f>IF(+All!$F324="SMU",+All!J324,IF(+All!$H324="SMU",+All!J324,0))</f>
        <v>Central Florida</v>
      </c>
      <c r="K93" s="461" t="str">
        <f>IF(+All!$F324="SMU",+All!K324,IF(+All!$H324="SMU",+All!K324,0))</f>
        <v>SMU</v>
      </c>
      <c r="L93" s="60">
        <f>IF(+All!$F324="SMU",+All!L324,IF(+All!$H324="SMU",+All!L324,0))</f>
        <v>3.5</v>
      </c>
      <c r="M93" s="61">
        <f>IF(+All!$F324="SMU",+All!M324,IF(+All!$H324="SMU",+All!M324,0))</f>
        <v>65</v>
      </c>
      <c r="N93" s="460" t="str">
        <f>IF(+All!$F324="SMU",+All!N324,IF(+All!$H324="SMU",+All!N324,0))</f>
        <v>Central Florida</v>
      </c>
      <c r="O93" s="462">
        <f>IF(+All!$F324="SMU",+All!O324,IF(+All!$H324="SMU",+All!O324,0))</f>
        <v>41</v>
      </c>
      <c r="P93" s="462" t="str">
        <f>IF(+All!$F324="SMU",+All!P324,IF(+All!$H324="SMU",+All!P324,0))</f>
        <v>SMU</v>
      </c>
      <c r="Q93" s="461">
        <f>IF(+All!$F324="SMU",+All!Q324,IF(+All!$H324="SMU",+All!Q324,0))</f>
        <v>19</v>
      </c>
      <c r="R93" s="460" t="str">
        <f>IF(+All!$F324="SMU",+All!R324,IF(+All!$H324="SMU",+All!R324,0))</f>
        <v>Central Florida</v>
      </c>
      <c r="S93" s="462" t="str">
        <f>IF(+All!$F324="SMU",+All!S324,IF(+All!$H324="SMU",+All!S324,0))</f>
        <v>SMU</v>
      </c>
      <c r="T93" s="460" t="str">
        <f>IF(+All!$F324="SMU",+All!T324,IF(+All!$H324="SMU",+All!T324,0))</f>
        <v>Central Florida</v>
      </c>
      <c r="U93" s="461" t="str">
        <f>IF(+All!$F324="SMU",+All!U324,IF(+All!$H324="SMU",+All!U324,0))</f>
        <v>W</v>
      </c>
    </row>
    <row r="94" spans="1:21" x14ac:dyDescent="0.8">
      <c r="A94" s="46" t="e">
        <f>IF(+All!#REF!="SMU",+All!#REF!,IF(+All!#REF!="SMU",+All!#REF!,0))</f>
        <v>#REF!</v>
      </c>
      <c r="B94" s="348" t="e">
        <f>IF(+All!#REF!="SMU",+All!#REF!,IF(+All!#REF!="SMU",+All!#REF!,0))</f>
        <v>#REF!</v>
      </c>
      <c r="C94" s="72" t="e">
        <f>IF(+All!#REF!="SMU",+All!#REF!,IF(+All!#REF!="SMU",+All!#REF!,0))</f>
        <v>#REF!</v>
      </c>
      <c r="D94" s="73" t="e">
        <f>IF(+All!#REF!="SMU",+All!#REF!,IF(+All!#REF!="SMU",+All!#REF!,0))</f>
        <v>#REF!</v>
      </c>
      <c r="E94" s="461" t="e">
        <f>IF(+All!#REF!="SMU",+All!#REF!,IF(+All!#REF!="SMU",+All!#REF!,0))</f>
        <v>#REF!</v>
      </c>
      <c r="F94" s="460" t="e">
        <f>IF(+All!#REF!="SMU",+All!#REF!,IF(+All!#REF!="SMU",+All!#REF!,0))</f>
        <v>#REF!</v>
      </c>
      <c r="G94" s="461" t="e">
        <f>IF(+All!#REF!="SMU",+All!#REF!,IF(+All!#REF!="SMU",+All!#REF!,0))</f>
        <v>#REF!</v>
      </c>
      <c r="H94" s="460" t="e">
        <f>IF(+All!#REF!="SMU",+All!#REF!,IF(+All!#REF!="SMU",+All!#REF!,0))</f>
        <v>#REF!</v>
      </c>
      <c r="I94" s="461" t="e">
        <f>IF(+All!#REF!="SMU",+All!#REF!,IF(+All!#REF!="SMU",+All!#REF!,0))</f>
        <v>#REF!</v>
      </c>
      <c r="J94" s="460" t="e">
        <f>IF(+All!#REF!="SMU",+All!#REF!,IF(+All!#REF!="SMU",+All!#REF!,0))</f>
        <v>#REF!</v>
      </c>
      <c r="K94" s="461" t="e">
        <f>IF(+All!#REF!="SMU",+All!#REF!,IF(+All!#REF!="SMU",+All!#REF!,0))</f>
        <v>#REF!</v>
      </c>
      <c r="L94" s="60" t="e">
        <f>IF(+All!#REF!="SMU",+All!#REF!,IF(+All!#REF!="SMU",+All!#REF!,0))</f>
        <v>#REF!</v>
      </c>
      <c r="M94" s="61" t="e">
        <f>IF(+All!#REF!="SMU",+All!#REF!,IF(+All!#REF!="SMU",+All!#REF!,0))</f>
        <v>#REF!</v>
      </c>
      <c r="N94" s="460" t="e">
        <f>IF(+All!#REF!="SMU",+All!#REF!,IF(+All!#REF!="SMU",+All!#REF!,0))</f>
        <v>#REF!</v>
      </c>
      <c r="O94" s="462" t="e">
        <f>IF(+All!#REF!="SMU",+All!#REF!,IF(+All!#REF!="SMU",+All!#REF!,0))</f>
        <v>#REF!</v>
      </c>
      <c r="P94" s="462" t="e">
        <f>IF(+All!#REF!="SMU",+All!#REF!,IF(+All!#REF!="SMU",+All!#REF!,0))</f>
        <v>#REF!</v>
      </c>
      <c r="Q94" s="461" t="e">
        <f>IF(+All!#REF!="SMU",+All!#REF!,IF(+All!#REF!="SMU",+All!#REF!,0))</f>
        <v>#REF!</v>
      </c>
      <c r="R94" s="460" t="e">
        <f>IF(+All!#REF!="SMU",+All!#REF!,IF(+All!#REF!="SMU",+All!#REF!,0))</f>
        <v>#REF!</v>
      </c>
      <c r="S94" s="462" t="e">
        <f>IF(+All!#REF!="SMU",+All!#REF!,IF(+All!#REF!="SMU",+All!#REF!,0))</f>
        <v>#REF!</v>
      </c>
      <c r="T94" s="460" t="e">
        <f>IF(+All!#REF!="SMU",+All!#REF!,IF(+All!#REF!="SMU",+All!#REF!,0))</f>
        <v>#REF!</v>
      </c>
      <c r="U94" s="461" t="e">
        <f>IF(+All!#REF!="SMU",+All!#REF!,IF(+All!#REF!="SMU",+All!#REF!,0))</f>
        <v>#REF!</v>
      </c>
    </row>
    <row r="95" spans="1:21" x14ac:dyDescent="0.8">
      <c r="A95" s="46">
        <f>IF(+All!$F441="SMU",+All!A441,IF(+All!$H441="SMU",+All!A441,0))</f>
        <v>7</v>
      </c>
      <c r="B95" s="348" t="str">
        <f>IF(+All!$F441="SMU",+All!B441,IF(+All!$H441="SMU",+All!B441,0))</f>
        <v>Fri</v>
      </c>
      <c r="C95" s="72">
        <f>IF(+All!$F441="SMU",+All!C441,IF(+All!$H441="SMU",+All!C441,0))</f>
        <v>44848</v>
      </c>
      <c r="D95" s="73">
        <f>IF(+All!$F441="SMU",+All!D441,IF(+All!$H441="SMU",+All!D441,0))</f>
        <v>0.8125</v>
      </c>
      <c r="E95" s="461" t="str">
        <f>IF(+All!$F441="SMU",+All!E441,IF(+All!$H441="SMU",+All!E441,0))</f>
        <v>ESPN</v>
      </c>
      <c r="F95" s="460" t="str">
        <f>IF(+All!$F441="SMU",+All!F441,IF(+All!$H441="SMU",+All!F441,0))</f>
        <v>Navy</v>
      </c>
      <c r="G95" s="461" t="str">
        <f>IF(+All!$F441="SMU",+All!G441,IF(+All!$H441="SMU",+All!G441,0))</f>
        <v>AAC</v>
      </c>
      <c r="H95" s="460" t="str">
        <f>IF(+All!$F441="SMU",+All!H441,IF(+All!$H441="SMU",+All!H441,0))</f>
        <v>SMU</v>
      </c>
      <c r="I95" s="461" t="str">
        <f>IF(+All!$F441="SMU",+All!I441,IF(+All!$H441="SMU",+All!I441,0))</f>
        <v>AAC</v>
      </c>
      <c r="J95" s="460" t="str">
        <f>IF(+All!$F441="SMU",+All!J441,IF(+All!$H441="SMU",+All!J441,0))</f>
        <v>SMU</v>
      </c>
      <c r="K95" s="461" t="str">
        <f>IF(+All!$F441="SMU",+All!K441,IF(+All!$H441="SMU",+All!K441,0))</f>
        <v>Navy</v>
      </c>
      <c r="L95" s="60">
        <f>IF(+All!$F441="SMU",+All!L441,IF(+All!$H441="SMU",+All!L441,0))</f>
        <v>12.5</v>
      </c>
      <c r="M95" s="61">
        <f>IF(+All!$F441="SMU",+All!M441,IF(+All!$H441="SMU",+All!M441,0))</f>
        <v>57.5</v>
      </c>
      <c r="N95" s="460" t="str">
        <f>IF(+All!$F441="SMU",+All!N441,IF(+All!$H441="SMU",+All!N441,0))</f>
        <v>SMU</v>
      </c>
      <c r="O95" s="462">
        <f>IF(+All!$F441="SMU",+All!O441,IF(+All!$H441="SMU",+All!O441,0))</f>
        <v>40</v>
      </c>
      <c r="P95" s="462" t="str">
        <f>IF(+All!$F441="SMU",+All!P441,IF(+All!$H441="SMU",+All!P441,0))</f>
        <v>Navy</v>
      </c>
      <c r="Q95" s="461">
        <f>IF(+All!$F441="SMU",+All!Q441,IF(+All!$H441="SMU",+All!Q441,0))</f>
        <v>34</v>
      </c>
      <c r="R95" s="460" t="str">
        <f>IF(+All!$F441="SMU",+All!R441,IF(+All!$H441="SMU",+All!R441,0))</f>
        <v>Navy</v>
      </c>
      <c r="S95" s="462" t="str">
        <f>IF(+All!$F441="SMU",+All!S441,IF(+All!$H441="SMU",+All!S441,0))</f>
        <v>SMU</v>
      </c>
      <c r="T95" s="460" t="str">
        <f>IF(+All!$F441="SMU",+All!T441,IF(+All!$H441="SMU",+All!T441,0))</f>
        <v>Navy</v>
      </c>
      <c r="U95" s="461" t="str">
        <f>IF(+All!$F441="SMU",+All!U441,IF(+All!$H441="SMU",+All!U441,0))</f>
        <v>W</v>
      </c>
    </row>
    <row r="96" spans="1:21" x14ac:dyDescent="0.8">
      <c r="A96" s="46">
        <f>IF(+All!$F498="SMU",+All!A498,IF(+All!$H498="SMU",+All!A498,0))</f>
        <v>8</v>
      </c>
      <c r="B96" s="348" t="str">
        <f>IF(+All!$F498="SMU",+All!B498,IF(+All!$H498="SMU",+All!B498,0))</f>
        <v>Sat</v>
      </c>
      <c r="C96" s="72">
        <f>IF(+All!$F498="SMU",+All!C498,IF(+All!$H498="SMU",+All!C498,0))</f>
        <v>44856</v>
      </c>
      <c r="D96" s="73">
        <f>IF(+All!$F498="SMU",+All!D498,IF(+All!$H498="SMU",+All!D498,0))</f>
        <v>0.5</v>
      </c>
      <c r="E96" s="461" t="str">
        <f>IF(+All!$F498="SMU",+All!E498,IF(+All!$H498="SMU",+All!E498,0))</f>
        <v>ESPN</v>
      </c>
      <c r="F96" s="460" t="str">
        <f>IF(+All!$F498="SMU",+All!F498,IF(+All!$H498="SMU",+All!F498,0))</f>
        <v>Cincinnati</v>
      </c>
      <c r="G96" s="461" t="str">
        <f>IF(+All!$F498="SMU",+All!G498,IF(+All!$H498="SMU",+All!G498,0))</f>
        <v>AAC</v>
      </c>
      <c r="H96" s="460" t="str">
        <f>IF(+All!$F498="SMU",+All!H498,IF(+All!$H498="SMU",+All!H498,0))</f>
        <v>SMU</v>
      </c>
      <c r="I96" s="461" t="str">
        <f>IF(+All!$F498="SMU",+All!I498,IF(+All!$H498="SMU",+All!I498,0))</f>
        <v>AAC</v>
      </c>
      <c r="J96" s="460" t="str">
        <f>IF(+All!$F498="SMU",+All!J498,IF(+All!$H498="SMU",+All!J498,0))</f>
        <v>Cincinnati</v>
      </c>
      <c r="K96" s="461" t="str">
        <f>IF(+All!$F498="SMU",+All!K498,IF(+All!$H498="SMU",+All!K498,0))</f>
        <v>SMU</v>
      </c>
      <c r="L96" s="60">
        <f>IF(+All!$F498="SMU",+All!L498,IF(+All!$H498="SMU",+All!L498,0))</f>
        <v>3</v>
      </c>
      <c r="M96" s="61">
        <f>IF(+All!$F498="SMU",+All!M498,IF(+All!$H498="SMU",+All!M498,0))</f>
        <v>59.5</v>
      </c>
      <c r="N96" s="460" t="str">
        <f>IF(+All!$F498="SMU",+All!N498,IF(+All!$H498="SMU",+All!N498,0))</f>
        <v>Cincinnati</v>
      </c>
      <c r="O96" s="462">
        <f>IF(+All!$F498="SMU",+All!O498,IF(+All!$H498="SMU",+All!O498,0))</f>
        <v>29</v>
      </c>
      <c r="P96" s="462" t="str">
        <f>IF(+All!$F498="SMU",+All!P498,IF(+All!$H498="SMU",+All!P498,0))</f>
        <v>SMU</v>
      </c>
      <c r="Q96" s="461">
        <f>IF(+All!$F498="SMU",+All!Q498,IF(+All!$H498="SMU",+All!Q498,0))</f>
        <v>27</v>
      </c>
      <c r="R96" s="460" t="str">
        <f>IF(+All!$F498="SMU",+All!R498,IF(+All!$H498="SMU",+All!R498,0))</f>
        <v>SMU</v>
      </c>
      <c r="S96" s="462" t="str">
        <f>IF(+All!$F498="SMU",+All!S498,IF(+All!$H498="SMU",+All!S498,0))</f>
        <v>Cincinnati</v>
      </c>
      <c r="T96" s="460" t="str">
        <f>IF(+All!$F498="SMU",+All!T498,IF(+All!$H498="SMU",+All!T498,0))</f>
        <v>SMU</v>
      </c>
      <c r="U96" s="461" t="str">
        <f>IF(+All!$F498="SMU",+All!U498,IF(+All!$H498="SMU",+All!U498,0))</f>
        <v>W</v>
      </c>
    </row>
    <row r="97" spans="1:21" x14ac:dyDescent="0.8">
      <c r="A97" s="46">
        <f>IF(+All!$F553="SMU",+All!A553,IF(+All!$H553="SMU",+All!A553,0))</f>
        <v>9</v>
      </c>
      <c r="B97" s="348" t="str">
        <f>IF(+All!$F553="SMU",+All!B553,IF(+All!$H553="SMU",+All!B553,0))</f>
        <v>Sat</v>
      </c>
      <c r="C97" s="72">
        <f>IF(+All!$F553="SMU",+All!C553,IF(+All!$H553="SMU",+All!C553,0))</f>
        <v>44863</v>
      </c>
      <c r="D97" s="73">
        <f>IF(+All!$F553="SMU",+All!D553,IF(+All!$H553="SMU",+All!D553,0))</f>
        <v>0.64583333333333337</v>
      </c>
      <c r="E97" s="461">
        <f>IF(+All!$F553="SMU",+All!E553,IF(+All!$H553="SMU",+All!E553,0))</f>
        <v>0</v>
      </c>
      <c r="F97" s="460" t="str">
        <f>IF(+All!$F553="SMU",+All!F553,IF(+All!$H553="SMU",+All!F553,0))</f>
        <v>SMU</v>
      </c>
      <c r="G97" s="461" t="str">
        <f>IF(+All!$F553="SMU",+All!G553,IF(+All!$H553="SMU",+All!G553,0))</f>
        <v>AAC</v>
      </c>
      <c r="H97" s="460" t="str">
        <f>IF(+All!$F553="SMU",+All!H553,IF(+All!$H553="SMU",+All!H553,0))</f>
        <v>Tulsa</v>
      </c>
      <c r="I97" s="461" t="str">
        <f>IF(+All!$F553="SMU",+All!I553,IF(+All!$H553="SMU",+All!I553,0))</f>
        <v>AAC</v>
      </c>
      <c r="J97" s="460" t="str">
        <f>IF(+All!$F553="SMU",+All!J553,IF(+All!$H553="SMU",+All!J553,0))</f>
        <v>SMU</v>
      </c>
      <c r="K97" s="461" t="str">
        <f>IF(+All!$F553="SMU",+All!K553,IF(+All!$H553="SMU",+All!K553,0))</f>
        <v>Tulsa</v>
      </c>
      <c r="L97" s="60">
        <f>IF(+All!$F553="SMU",+All!L553,IF(+All!$H553="SMU",+All!L553,0))</f>
        <v>2.5</v>
      </c>
      <c r="M97" s="61">
        <f>IF(+All!$F553="SMU",+All!M553,IF(+All!$H553="SMU",+All!M553,0))</f>
        <v>65.5</v>
      </c>
      <c r="N97" s="460" t="str">
        <f>IF(+All!$F553="SMU",+All!N553,IF(+All!$H553="SMU",+All!N553,0))</f>
        <v>SMU</v>
      </c>
      <c r="O97" s="462">
        <f>IF(+All!$F553="SMU",+All!O553,IF(+All!$H553="SMU",+All!O553,0))</f>
        <v>45</v>
      </c>
      <c r="P97" s="462" t="str">
        <f>IF(+All!$F553="SMU",+All!P553,IF(+All!$H553="SMU",+All!P553,0))</f>
        <v>Tulsa</v>
      </c>
      <c r="Q97" s="461">
        <f>IF(+All!$F553="SMU",+All!Q553,IF(+All!$H553="SMU",+All!Q553,0))</f>
        <v>34</v>
      </c>
      <c r="R97" s="460" t="str">
        <f>IF(+All!$F553="SMU",+All!R553,IF(+All!$H553="SMU",+All!R553,0))</f>
        <v>SMU</v>
      </c>
      <c r="S97" s="462" t="str">
        <f>IF(+All!$F553="SMU",+All!S553,IF(+All!$H553="SMU",+All!S553,0))</f>
        <v>Tulsa</v>
      </c>
      <c r="T97" s="460" t="str">
        <f>IF(+All!$F553="SMU",+All!T553,IF(+All!$H553="SMU",+All!T553,0))</f>
        <v>SMU</v>
      </c>
      <c r="U97" s="461" t="str">
        <f>IF(+All!$F553="SMU",+All!U553,IF(+All!$H553="SMU",+All!U553,0))</f>
        <v>W</v>
      </c>
    </row>
    <row r="98" spans="1:21" x14ac:dyDescent="0.8">
      <c r="A98" s="46">
        <f>IF(+All!$F604="SMU",+All!A604,IF(+All!$H604="SMU",+All!A604,0))</f>
        <v>10</v>
      </c>
      <c r="B98" s="348" t="str">
        <f>IF(+All!$F604="SMU",+All!B604,IF(+All!$H604="SMU",+All!B604,0))</f>
        <v>Sat</v>
      </c>
      <c r="C98" s="72">
        <f>IF(+All!$F604="SMU",+All!C604,IF(+All!$H604="SMU",+All!C604,0))</f>
        <v>44870</v>
      </c>
      <c r="D98" s="73">
        <f>IF(+All!$F604="SMU",+All!D604,IF(+All!$H604="SMU",+All!D604,0))</f>
        <v>0.79166666666666663</v>
      </c>
      <c r="E98" s="461" t="str">
        <f>IF(+All!$F604="SMU",+All!E604,IF(+All!$H604="SMU",+All!E604,0))</f>
        <v>NFL</v>
      </c>
      <c r="F98" s="460" t="str">
        <f>IF(+All!$F604="SMU",+All!F604,IF(+All!$H604="SMU",+All!F604,0))</f>
        <v>Houston</v>
      </c>
      <c r="G98" s="461" t="str">
        <f>IF(+All!$F604="SMU",+All!G604,IF(+All!$H604="SMU",+All!G604,0))</f>
        <v>AAC</v>
      </c>
      <c r="H98" s="460" t="str">
        <f>IF(+All!$F604="SMU",+All!H604,IF(+All!$H604="SMU",+All!H604,0))</f>
        <v>SMU</v>
      </c>
      <c r="I98" s="461" t="str">
        <f>IF(+All!$F604="SMU",+All!I604,IF(+All!$H604="SMU",+All!I604,0))</f>
        <v>AAC</v>
      </c>
      <c r="J98" s="460" t="str">
        <f>IF(+All!$F604="SMU",+All!J604,IF(+All!$H604="SMU",+All!J604,0))</f>
        <v>SMU</v>
      </c>
      <c r="K98" s="461" t="str">
        <f>IF(+All!$F604="SMU",+All!K604,IF(+All!$H604="SMU",+All!K604,0))</f>
        <v>Houston</v>
      </c>
      <c r="L98" s="60">
        <f>IF(+All!$F604="SMU",+All!L604,IF(+All!$H604="SMU",+All!L604,0))</f>
        <v>3.5</v>
      </c>
      <c r="M98" s="61">
        <f>IF(+All!$F604="SMU",+All!M604,IF(+All!$H604="SMU",+All!M604,0))</f>
        <v>67</v>
      </c>
      <c r="N98" s="460" t="str">
        <f>IF(+All!$F604="SMU",+All!N604,IF(+All!$H604="SMU",+All!N604,0))</f>
        <v>SMU</v>
      </c>
      <c r="O98" s="462">
        <f>IF(+All!$F604="SMU",+All!O604,IF(+All!$H604="SMU",+All!O604,0))</f>
        <v>77</v>
      </c>
      <c r="P98" s="462" t="str">
        <f>IF(+All!$F604="SMU",+All!P604,IF(+All!$H604="SMU",+All!P604,0))</f>
        <v>Houston</v>
      </c>
      <c r="Q98" s="461">
        <f>IF(+All!$F604="SMU",+All!Q604,IF(+All!$H604="SMU",+All!Q604,0))</f>
        <v>63</v>
      </c>
      <c r="R98" s="460" t="str">
        <f>IF(+All!$F604="SMU",+All!R604,IF(+All!$H604="SMU",+All!R604,0))</f>
        <v>SMU</v>
      </c>
      <c r="S98" s="462" t="str">
        <f>IF(+All!$F604="SMU",+All!S604,IF(+All!$H604="SMU",+All!S604,0))</f>
        <v>Houston</v>
      </c>
      <c r="T98" s="460" t="str">
        <f>IF(+All!$F604="SMU",+All!T604,IF(+All!$H604="SMU",+All!T604,0))</f>
        <v>SMU</v>
      </c>
      <c r="U98" s="461" t="str">
        <f>IF(+All!$F604="SMU",+All!U604,IF(+All!$H604="SMU",+All!U604,0))</f>
        <v>W</v>
      </c>
    </row>
    <row r="99" spans="1:21" x14ac:dyDescent="0.8">
      <c r="A99" s="46">
        <f>IF(+All!$F666="SMU",+All!A666,IF(+All!$H666="SMU",+All!A666,0))</f>
        <v>11</v>
      </c>
      <c r="B99" s="348" t="str">
        <f>IF(+All!$F666="SMU",+All!B666,IF(+All!$H666="SMU",+All!B666,0))</f>
        <v>Sat</v>
      </c>
      <c r="C99" s="72">
        <f>IF(+All!$F666="SMU",+All!C666,IF(+All!$H666="SMU",+All!C666,0))</f>
        <v>44877</v>
      </c>
      <c r="D99" s="73">
        <f>IF(+All!$F666="SMU",+All!D666,IF(+All!$H666="SMU",+All!D666,0))</f>
        <v>0.5</v>
      </c>
      <c r="E99" s="461" t="str">
        <f>IF(+All!$F666="SMU",+All!E666,IF(+All!$H666="SMU",+All!E666,0))</f>
        <v>ESPNU</v>
      </c>
      <c r="F99" s="460" t="str">
        <f>IF(+All!$F666="SMU",+All!F666,IF(+All!$H666="SMU",+All!F666,0))</f>
        <v>SMU</v>
      </c>
      <c r="G99" s="461" t="str">
        <f>IF(+All!$F666="SMU",+All!G666,IF(+All!$H666="SMU",+All!G666,0))</f>
        <v>AAC</v>
      </c>
      <c r="H99" s="460" t="str">
        <f>IF(+All!$F666="SMU",+All!H666,IF(+All!$H666="SMU",+All!H666,0))</f>
        <v>South Florida</v>
      </c>
      <c r="I99" s="461" t="str">
        <f>IF(+All!$F666="SMU",+All!I666,IF(+All!$H666="SMU",+All!I666,0))</f>
        <v>AAC</v>
      </c>
      <c r="J99" s="460" t="str">
        <f>IF(+All!$F666="SMU",+All!J666,IF(+All!$H666="SMU",+All!J666,0))</f>
        <v>SMU</v>
      </c>
      <c r="K99" s="461" t="str">
        <f>IF(+All!$F666="SMU",+All!K666,IF(+All!$H666="SMU",+All!K666,0))</f>
        <v>South Florida</v>
      </c>
      <c r="L99" s="60">
        <f>IF(+All!$F666="SMU",+All!L666,IF(+All!$H666="SMU",+All!L666,0))</f>
        <v>17.5</v>
      </c>
      <c r="M99" s="61">
        <f>IF(+All!$F666="SMU",+All!M666,IF(+All!$H666="SMU",+All!M666,0))</f>
        <v>72</v>
      </c>
      <c r="N99" s="460" t="str">
        <f>IF(+All!$F666="SMU",+All!N666,IF(+All!$H666="SMU",+All!N666,0))</f>
        <v>SMU</v>
      </c>
      <c r="O99" s="462">
        <f>IF(+All!$F666="SMU",+All!O666,IF(+All!$H666="SMU",+All!O666,0))</f>
        <v>41</v>
      </c>
      <c r="P99" s="462" t="str">
        <f>IF(+All!$F666="SMU",+All!P666,IF(+All!$H666="SMU",+All!P666,0))</f>
        <v>South Florida</v>
      </c>
      <c r="Q99" s="461">
        <f>IF(+All!$F666="SMU",+All!Q666,IF(+All!$H666="SMU",+All!Q666,0))</f>
        <v>23</v>
      </c>
      <c r="R99" s="460" t="str">
        <f>IF(+All!$F666="SMU",+All!R666,IF(+All!$H666="SMU",+All!R666,0))</f>
        <v>SMU</v>
      </c>
      <c r="S99" s="462" t="str">
        <f>IF(+All!$F666="SMU",+All!S666,IF(+All!$H666="SMU",+All!S666,0))</f>
        <v>South Florida</v>
      </c>
      <c r="T99" s="460" t="str">
        <f>IF(+All!$F666="SMU",+All!T666,IF(+All!$H666="SMU",+All!T666,0))</f>
        <v>South Florida</v>
      </c>
      <c r="U99" s="461" t="str">
        <f>IF(+All!$F666="SMU",+All!U666,IF(+All!$H666="SMU",+All!U666,0))</f>
        <v>L</v>
      </c>
    </row>
    <row r="100" spans="1:21" x14ac:dyDescent="0.8">
      <c r="A100" s="46">
        <f>IF(+All!$F723="SMU",+All!A723,IF(+All!$H723="SMU",+All!A723,0))</f>
        <v>12</v>
      </c>
      <c r="B100" s="348" t="str">
        <f>IF(+All!$F723="SMU",+All!B723,IF(+All!$H723="SMU",+All!B723,0))</f>
        <v>Thurs</v>
      </c>
      <c r="C100" s="72">
        <f>IF(+All!$F723="SMU",+All!C723,IF(+All!$H723="SMU",+All!C723,0))</f>
        <v>44882</v>
      </c>
      <c r="D100" s="73">
        <f>IF(+All!$F723="SMU",+All!D723,IF(+All!$H723="SMU",+All!D723,0))</f>
        <v>0.8125</v>
      </c>
      <c r="E100" s="461" t="str">
        <f>IF(+All!$F723="SMU",+All!E723,IF(+All!$H723="SMU",+All!E723,0))</f>
        <v>ESPN</v>
      </c>
      <c r="F100" s="460" t="str">
        <f>IF(+All!$F723="SMU",+All!F723,IF(+All!$H723="SMU",+All!F723,0))</f>
        <v>SMU</v>
      </c>
      <c r="G100" s="461" t="str">
        <f>IF(+All!$F723="SMU",+All!G723,IF(+All!$H723="SMU",+All!G723,0))</f>
        <v>AAC</v>
      </c>
      <c r="H100" s="460" t="str">
        <f>IF(+All!$F723="SMU",+All!H723,IF(+All!$H723="SMU",+All!H723,0))</f>
        <v>Tulane</v>
      </c>
      <c r="I100" s="461" t="str">
        <f>IF(+All!$F723="SMU",+All!I723,IF(+All!$H723="SMU",+All!I723,0))</f>
        <v>AAC</v>
      </c>
      <c r="J100" s="460" t="str">
        <f>IF(+All!$F723="SMU",+All!J723,IF(+All!$H723="SMU",+All!J723,0))</f>
        <v>Tulane</v>
      </c>
      <c r="K100" s="461" t="str">
        <f>IF(+All!$F723="SMU",+All!K723,IF(+All!$H723="SMU",+All!K723,0))</f>
        <v>SMU</v>
      </c>
      <c r="L100" s="60">
        <f>IF(+All!$F723="SMU",+All!L723,IF(+All!$H723="SMU",+All!L723,0))</f>
        <v>3</v>
      </c>
      <c r="M100" s="61">
        <f>IF(+All!$F723="SMU",+All!M723,IF(+All!$H723="SMU",+All!M723,0))</f>
        <v>65</v>
      </c>
      <c r="N100" s="460" t="str">
        <f>IF(+All!$F723="SMU",+All!N723,IF(+All!$H723="SMU",+All!N723,0))</f>
        <v>Tulane</v>
      </c>
      <c r="O100" s="462">
        <f>IF(+All!$F723="SMU",+All!O723,IF(+All!$H723="SMU",+All!O723,0))</f>
        <v>59</v>
      </c>
      <c r="P100" s="462" t="str">
        <f>IF(+All!$F723="SMU",+All!P723,IF(+All!$H723="SMU",+All!P723,0))</f>
        <v>SMU</v>
      </c>
      <c r="Q100" s="461">
        <f>IF(+All!$F723="SMU",+All!Q723,IF(+All!$H723="SMU",+All!Q723,0))</f>
        <v>24</v>
      </c>
      <c r="R100" s="460" t="str">
        <f>IF(+All!$F723="SMU",+All!R723,IF(+All!$H723="SMU",+All!R723,0))</f>
        <v>Tulane</v>
      </c>
      <c r="S100" s="462" t="str">
        <f>IF(+All!$F723="SMU",+All!S723,IF(+All!$H723="SMU",+All!S723,0))</f>
        <v>SMU</v>
      </c>
      <c r="T100" s="460" t="str">
        <f>IF(+All!$F723="SMU",+All!T723,IF(+All!$H723="SMU",+All!T723,0))</f>
        <v>Tulane</v>
      </c>
      <c r="U100" s="461" t="str">
        <f>IF(+All!$F723="SMU",+All!U723,IF(+All!$H723="SMU",+All!U723,0))</f>
        <v>W</v>
      </c>
    </row>
    <row r="101" spans="1:21" x14ac:dyDescent="0.8">
      <c r="A101" s="46">
        <f>IF(+All!$F800="SMU",+All!A800,IF(+All!$H800="SMU",+All!A800,0))</f>
        <v>13</v>
      </c>
      <c r="B101" s="348" t="str">
        <f>IF(+All!$F800="SMU",+All!B800,IF(+All!$H800="SMU",+All!B800,0))</f>
        <v>Sat</v>
      </c>
      <c r="C101" s="72">
        <f>IF(+All!$F800="SMU",+All!C800,IF(+All!$H800="SMU",+All!C800,0))</f>
        <v>44891</v>
      </c>
      <c r="D101" s="73">
        <f>IF(+All!$F800="SMU",+All!D800,IF(+All!$H800="SMU",+All!D800,0))</f>
        <v>0.64583333333333337</v>
      </c>
      <c r="E101" s="461" t="str">
        <f>IF(+All!$F800="SMU",+All!E800,IF(+All!$H800="SMU",+All!E800,0))</f>
        <v>ESPN2</v>
      </c>
      <c r="F101" s="460" t="str">
        <f>IF(+All!$F800="SMU",+All!F800,IF(+All!$H800="SMU",+All!F800,0))</f>
        <v>Memphis</v>
      </c>
      <c r="G101" s="461" t="str">
        <f>IF(+All!$F800="SMU",+All!G800,IF(+All!$H800="SMU",+All!G800,0))</f>
        <v>AAC</v>
      </c>
      <c r="H101" s="460" t="str">
        <f>IF(+All!$F800="SMU",+All!H800,IF(+All!$H800="SMU",+All!H800,0))</f>
        <v>SMU</v>
      </c>
      <c r="I101" s="461" t="str">
        <f>IF(+All!$F800="SMU",+All!I800,IF(+All!$H800="SMU",+All!I800,0))</f>
        <v>AAC</v>
      </c>
      <c r="J101" s="460" t="str">
        <f>IF(+All!$F800="SMU",+All!J800,IF(+All!$H800="SMU",+All!J800,0))</f>
        <v>SMU</v>
      </c>
      <c r="K101" s="461" t="str">
        <f>IF(+All!$F800="SMU",+All!K800,IF(+All!$H800="SMU",+All!K800,0))</f>
        <v>Memphis</v>
      </c>
      <c r="L101" s="60">
        <f>IF(+All!$F800="SMU",+All!L800,IF(+All!$H800="SMU",+All!L800,0))</f>
        <v>4.5</v>
      </c>
      <c r="M101" s="61">
        <f>IF(+All!$F800="SMU",+All!M800,IF(+All!$H800="SMU",+All!M800,0))</f>
        <v>69.5</v>
      </c>
      <c r="N101" s="460" t="str">
        <f>IF(+All!$F800="SMU",+All!N800,IF(+All!$H800="SMU",+All!N800,0))</f>
        <v>SMU</v>
      </c>
      <c r="O101" s="462">
        <f>IF(+All!$F800="SMU",+All!O800,IF(+All!$H800="SMU",+All!O800,0))</f>
        <v>34</v>
      </c>
      <c r="P101" s="462" t="str">
        <f>IF(+All!$F800="SMU",+All!P800,IF(+All!$H800="SMU",+All!P800,0))</f>
        <v>Memphis</v>
      </c>
      <c r="Q101" s="461">
        <f>IF(+All!$F800="SMU",+All!Q800,IF(+All!$H800="SMU",+All!Q800,0))</f>
        <v>31</v>
      </c>
      <c r="R101" s="460" t="str">
        <f>IF(+All!$F800="SMU",+All!R800,IF(+All!$H800="SMU",+All!R800,0))</f>
        <v>Memphis</v>
      </c>
      <c r="S101" s="462" t="str">
        <f>IF(+All!$F800="SMU",+All!S800,IF(+All!$H800="SMU",+All!S800,0))</f>
        <v>SMU</v>
      </c>
      <c r="T101" s="460" t="str">
        <f>IF(+All!$F800="SMU",+All!T800,IF(+All!$H800="SMU",+All!T800,0))</f>
        <v>SMU</v>
      </c>
      <c r="U101" s="461" t="str">
        <f>IF(+All!$F800="SMU",+All!U800,IF(+All!$H800="SMU",+All!U800,0))</f>
        <v>L</v>
      </c>
    </row>
    <row r="102" spans="1:21" x14ac:dyDescent="0.8">
      <c r="B102" s="46"/>
      <c r="C102" s="62"/>
      <c r="D102" s="490"/>
      <c r="E102" s="461"/>
      <c r="F102" s="897" t="str">
        <f>F105</f>
        <v>South Florida</v>
      </c>
      <c r="G102" s="898"/>
      <c r="H102" s="898"/>
      <c r="I102" s="899"/>
      <c r="J102" s="460"/>
      <c r="K102" s="461"/>
      <c r="L102" s="54"/>
      <c r="M102" s="55"/>
      <c r="N102" s="460"/>
      <c r="O102" s="462"/>
      <c r="P102" s="462"/>
      <c r="Q102" s="461"/>
      <c r="R102" s="460"/>
      <c r="S102" s="462"/>
      <c r="T102" s="460"/>
      <c r="U102" s="461"/>
    </row>
    <row r="103" spans="1:21" x14ac:dyDescent="0.8">
      <c r="A103" s="46">
        <f>IF(+All!$F61="South Florida",+All!A61,IF(+All!$H61="South Florida",+All!A61,0))</f>
        <v>1</v>
      </c>
      <c r="B103" s="46" t="str">
        <f>IF(+All!$F61="South Florida",+All!B61,IF(+All!$H61="South Florida",+All!B61,0))</f>
        <v>Sat</v>
      </c>
      <c r="C103" s="62">
        <f>IF(+All!$F61="South Florida",+All!C61,IF(+All!$H61="South Florida",+All!C61,0))</f>
        <v>44807</v>
      </c>
      <c r="D103" s="490">
        <f>IF(+All!$F61="South Florida",+All!D61,IF(+All!$H61="South Florida",+All!D61,0))</f>
        <v>0.66666666666666663</v>
      </c>
      <c r="E103" s="461" t="str">
        <f>IF(+All!$F61="South Florida",+All!E61,IF(+All!$H61="South Florida",+All!E61,0))</f>
        <v>ESPNU</v>
      </c>
      <c r="F103" s="51" t="str">
        <f>IF(+All!$F61="South Florida",+All!F61,IF(+All!$H61="South Florida",+All!F61,0))</f>
        <v>BYU</v>
      </c>
      <c r="G103" s="52" t="str">
        <f>IF(+All!$F61="South Florida",+All!G61,IF(+All!$H61="South Florida",+All!G61,0))</f>
        <v>Ind</v>
      </c>
      <c r="H103" s="51" t="str">
        <f>IF(+All!$F61="South Florida",+All!H61,IF(+All!$H61="South Florida",+All!H61,0))</f>
        <v>South Florida</v>
      </c>
      <c r="I103" s="52" t="str">
        <f>IF(+All!$F61="South Florida",+All!I61,IF(+All!$H61="South Florida",+All!I61,0))</f>
        <v>AAC</v>
      </c>
      <c r="J103" s="460" t="str">
        <f>IF(+All!$F61="South Florida",+All!J61,IF(+All!$H61="South Florida",+All!J61,0))</f>
        <v>BYU</v>
      </c>
      <c r="K103" s="461" t="str">
        <f>IF(+All!$F61="South Florida",+All!K61,IF(+All!$H61="South Florida",+All!K61,0))</f>
        <v>South Florida</v>
      </c>
      <c r="L103" s="54">
        <f>IF(+All!$F61="South Florida",+All!L61,IF(+All!$H61="South Florida",+All!L61,0))</f>
        <v>12</v>
      </c>
      <c r="M103" s="55">
        <f>IF(+All!$F61="South Florida",+All!M61,IF(+All!$H61="South Florida",+All!M61,0))</f>
        <v>58</v>
      </c>
      <c r="N103" s="460" t="str">
        <f>IF(+All!$F61="South Florida",+All!N61,IF(+All!$H61="South Florida",+All!N61,0))</f>
        <v>BYU</v>
      </c>
      <c r="O103" s="462">
        <f>IF(+All!$F61="South Florida",+All!O61,IF(+All!$H61="South Florida",+All!O61,0))</f>
        <v>50</v>
      </c>
      <c r="P103" s="462" t="str">
        <f>IF(+All!$F61="South Florida",+All!P61,IF(+All!$H61="South Florida",+All!P61,0))</f>
        <v>South Florida</v>
      </c>
      <c r="Q103" s="461">
        <f>IF(+All!$F61="South Florida",+All!Q61,IF(+All!$H61="South Florida",+All!Q61,0))</f>
        <v>21</v>
      </c>
      <c r="R103" s="460" t="str">
        <f>IF(+All!$F61="South Florida",+All!R61,IF(+All!$H61="South Florida",+All!R61,0))</f>
        <v>BYU</v>
      </c>
      <c r="S103" s="462" t="str">
        <f>IF(+All!$F61="South Florida",+All!S61,IF(+All!$H61="South Florida",+All!S61,0))</f>
        <v>South Florida</v>
      </c>
      <c r="T103" s="460" t="str">
        <f>IF(+All!$F61="South Florida",+All!T61,IF(+All!$H61="South Florida",+All!T61,0))</f>
        <v>BYU</v>
      </c>
      <c r="U103" s="461" t="str">
        <f>IF(+All!$F61="South Florida",+All!U61,IF(+All!$H61="South Florida",+All!U61,0))</f>
        <v>W</v>
      </c>
    </row>
    <row r="104" spans="1:21" x14ac:dyDescent="0.8">
      <c r="A104" s="46">
        <f>IF(+All!$F104="South Florida",+All!A104,IF(+All!$H104="South Florida",+All!A104,0))</f>
        <v>2</v>
      </c>
      <c r="B104" s="46" t="str">
        <f>IF(+All!$F104="South Florida",+All!B104,IF(+All!$H104="South Florida",+All!B104,0))</f>
        <v>Sat</v>
      </c>
      <c r="C104" s="62">
        <f>IF(+All!$F104="South Florida",+All!C104,IF(+All!$H104="South Florida",+All!C104,0))</f>
        <v>44814</v>
      </c>
      <c r="D104" s="490">
        <f>IF(+All!$F104="South Florida",+All!D104,IF(+All!$H104="South Florida",+All!D104,0))</f>
        <v>0.79166666666666663</v>
      </c>
      <c r="E104" s="461">
        <f>IF(+All!$F104="South Florida",+All!E104,IF(+All!$H104="South Florida",+All!E104,0))</f>
        <v>0</v>
      </c>
      <c r="F104" s="51" t="str">
        <f>IF(+All!$F104="South Florida",+All!F104,IF(+All!$H104="South Florida",+All!F104,0))</f>
        <v>1AA Howard</v>
      </c>
      <c r="G104" s="52" t="str">
        <f>IF(+All!$F104="South Florida",+All!G104,IF(+All!$H104="South Florida",+All!G104,0))</f>
        <v>1AA</v>
      </c>
      <c r="H104" s="51" t="str">
        <f>IF(+All!$F104="South Florida",+All!H104,IF(+All!$H104="South Florida",+All!H104,0))</f>
        <v>South Florida</v>
      </c>
      <c r="I104" s="52" t="str">
        <f>IF(+All!$F104="South Florida",+All!I104,IF(+All!$H104="South Florida",+All!I104,0))</f>
        <v>AAC</v>
      </c>
      <c r="J104" s="460">
        <f>IF(+All!$F104="South Florida",+All!J104,IF(+All!$H104="South Florida",+All!J104,0))</f>
        <v>0</v>
      </c>
      <c r="K104" s="461">
        <f>IF(+All!$F104="South Florida",+All!K104,IF(+All!$H104="South Florida",+All!K104,0))</f>
        <v>0</v>
      </c>
      <c r="L104" s="54">
        <f>IF(+All!$F104="South Florida",+All!L104,IF(+All!$H104="South Florida",+All!L104,0))</f>
        <v>0</v>
      </c>
      <c r="M104" s="55">
        <f>IF(+All!$F104="South Florida",+All!M104,IF(+All!$H104="South Florida",+All!M104,0))</f>
        <v>0</v>
      </c>
      <c r="N104" s="460" t="str">
        <f>IF(+All!$F104="South Florida",+All!N104,IF(+All!$H104="South Florida",+All!N104,0))</f>
        <v>South Florida</v>
      </c>
      <c r="O104" s="462">
        <f>IF(+All!$F104="South Florida",+All!O104,IF(+All!$H104="South Florida",+All!O104,0))</f>
        <v>42</v>
      </c>
      <c r="P104" s="462" t="str">
        <f>IF(+All!$F104="South Florida",+All!P104,IF(+All!$H104="South Florida",+All!P104,0))</f>
        <v>1AA Howard</v>
      </c>
      <c r="Q104" s="461">
        <f>IF(+All!$F104="South Florida",+All!Q104,IF(+All!$H104="South Florida",+All!Q104,0))</f>
        <v>20</v>
      </c>
      <c r="R104" s="460">
        <f>IF(+All!$F104="South Florida",+All!R104,IF(+All!$H104="South Florida",+All!R104,0))</f>
        <v>0</v>
      </c>
      <c r="S104" s="462">
        <f>IF(+All!$F104="South Florida",+All!S104,IF(+All!$H104="South Florida",+All!S104,0))</f>
        <v>0</v>
      </c>
      <c r="T104" s="460">
        <f>IF(+All!$F104="South Florida",+All!T104,IF(+All!$H104="South Florida",+All!T104,0))</f>
        <v>0</v>
      </c>
      <c r="U104" s="461">
        <f>IF(+All!$F104="South Florida",+All!U104,IF(+All!$H104="South Florida",+All!U104,0))</f>
        <v>0</v>
      </c>
    </row>
    <row r="105" spans="1:21" x14ac:dyDescent="0.8">
      <c r="A105" s="46">
        <f>IF(+All!$F245="South Florida",+All!A245,IF(+All!$H245="South Florida",+All!A245,0))</f>
        <v>3</v>
      </c>
      <c r="B105" s="46" t="str">
        <f>IF(+All!$F245="South Florida",+All!B245,IF(+All!$H245="South Florida",+All!B245,0))</f>
        <v>Sat</v>
      </c>
      <c r="C105" s="62">
        <f>IF(+All!$F245="South Florida",+All!C245,IF(+All!$H245="South Florida",+All!C245,0))</f>
        <v>44821</v>
      </c>
      <c r="D105" s="490">
        <f>IF(+All!$F245="South Florida",+All!D245,IF(+All!$H245="South Florida",+All!D245,0))</f>
        <v>0.8125</v>
      </c>
      <c r="E105" s="461" t="str">
        <f>IF(+All!$F245="South Florida",+All!E245,IF(+All!$H245="South Florida",+All!E245,0))</f>
        <v>SEC</v>
      </c>
      <c r="F105" s="51" t="str">
        <f>IF(+All!$F245="South Florida",+All!F245,IF(+All!$H245="South Florida",+All!F245,0))</f>
        <v>South Florida</v>
      </c>
      <c r="G105" s="52" t="str">
        <f>IF(+All!$F245="South Florida",+All!G245,IF(+All!$H245="South Florida",+All!G245,0))</f>
        <v>AAC</v>
      </c>
      <c r="H105" s="51" t="str">
        <f>IF(+All!$F245="South Florida",+All!H245,IF(+All!$H245="South Florida",+All!H245,0))</f>
        <v>Florida</v>
      </c>
      <c r="I105" s="52" t="str">
        <f>IF(+All!$F245="South Florida",+All!I245,IF(+All!$H245="South Florida",+All!I245,0))</f>
        <v>SEC</v>
      </c>
      <c r="J105" s="460" t="str">
        <f>IF(+All!$F245="South Florida",+All!J245,IF(+All!$H245="South Florida",+All!J245,0))</f>
        <v>Florida</v>
      </c>
      <c r="K105" s="461" t="str">
        <f>IF(+All!$F245="South Florida",+All!K245,IF(+All!$H245="South Florida",+All!K245,0))</f>
        <v>South Florida</v>
      </c>
      <c r="L105" s="54">
        <f>IF(+All!$F245="South Florida",+All!L245,IF(+All!$H245="South Florida",+All!L245,0))</f>
        <v>24.5</v>
      </c>
      <c r="M105" s="55">
        <f>IF(+All!$F245="South Florida",+All!M245,IF(+All!$H245="South Florida",+All!M245,0))</f>
        <v>59</v>
      </c>
      <c r="N105" s="460" t="str">
        <f>IF(+All!$F245="South Florida",+All!N245,IF(+All!$H245="South Florida",+All!N245,0))</f>
        <v>Florida</v>
      </c>
      <c r="O105" s="462">
        <f>IF(+All!$F245="South Florida",+All!O245,IF(+All!$H245="South Florida",+All!O245,0))</f>
        <v>31</v>
      </c>
      <c r="P105" s="462" t="str">
        <f>IF(+All!$F245="South Florida",+All!P245,IF(+All!$H245="South Florida",+All!P245,0))</f>
        <v>South Florida</v>
      </c>
      <c r="Q105" s="461">
        <f>IF(+All!$F245="South Florida",+All!Q245,IF(+All!$H245="South Florida",+All!Q245,0))</f>
        <v>28</v>
      </c>
      <c r="R105" s="460" t="str">
        <f>IF(+All!$F245="South Florida",+All!R245,IF(+All!$H245="South Florida",+All!R245,0))</f>
        <v>South Florida</v>
      </c>
      <c r="S105" s="462" t="str">
        <f>IF(+All!$F245="South Florida",+All!S245,IF(+All!$H245="South Florida",+All!S245,0))</f>
        <v>Florida</v>
      </c>
      <c r="T105" s="460" t="str">
        <f>IF(+All!$F245="South Florida",+All!T245,IF(+All!$H245="South Florida",+All!T245,0))</f>
        <v>Florida</v>
      </c>
      <c r="U105" s="461" t="str">
        <f>IF(+All!$F245="South Florida",+All!U245,IF(+All!$H245="South Florida",+All!U245,0))</f>
        <v>L</v>
      </c>
    </row>
    <row r="106" spans="1:21" x14ac:dyDescent="0.8">
      <c r="A106" s="46">
        <f>IF(+All!$F267="South Florida",+All!A267,IF(+All!$H267="South Florida",+All!A267,0))</f>
        <v>4</v>
      </c>
      <c r="B106" s="46" t="str">
        <f>IF(+All!$F267="South Florida",+All!B267,IF(+All!$H267="South Florida",+All!B267,0))</f>
        <v>Sat</v>
      </c>
      <c r="C106" s="62">
        <f>IF(+All!$F267="South Florida",+All!C267,IF(+All!$H267="South Florida",+All!C267,0))</f>
        <v>44828</v>
      </c>
      <c r="D106" s="490">
        <f>IF(+All!$F267="South Florida",+All!D267,IF(+All!$H267="South Florida",+All!D267,0))</f>
        <v>0.5</v>
      </c>
      <c r="E106" s="461" t="str">
        <f>IF(+All!$F267="South Florida",+All!E267,IF(+All!$H267="South Florida",+All!E267,0))</f>
        <v>espn3</v>
      </c>
      <c r="F106" s="51" t="str">
        <f>IF(+All!$F267="South Florida",+All!F267,IF(+All!$H267="South Florida",+All!F267,0))</f>
        <v>South Florida</v>
      </c>
      <c r="G106" s="52" t="str">
        <f>IF(+All!$F267="South Florida",+All!G267,IF(+All!$H267="South Florida",+All!G267,0))</f>
        <v>AAC</v>
      </c>
      <c r="H106" s="51" t="str">
        <f>IF(+All!$F267="South Florida",+All!H267,IF(+All!$H267="South Florida",+All!H267,0))</f>
        <v>Louisville</v>
      </c>
      <c r="I106" s="52" t="str">
        <f>IF(+All!$F267="South Florida",+All!I267,IF(+All!$H267="South Florida",+All!I267,0))</f>
        <v>ACC</v>
      </c>
      <c r="J106" s="460" t="str">
        <f>IF(+All!$F267="South Florida",+All!J267,IF(+All!$H267="South Florida",+All!J267,0))</f>
        <v>Louisville</v>
      </c>
      <c r="K106" s="461" t="str">
        <f>IF(+All!$F267="South Florida",+All!K267,IF(+All!$H267="South Florida",+All!K267,0))</f>
        <v>South Florida</v>
      </c>
      <c r="L106" s="54">
        <f>IF(+All!$F267="South Florida",+All!L267,IF(+All!$H267="South Florida",+All!L267,0))</f>
        <v>14</v>
      </c>
      <c r="M106" s="55">
        <f>IF(+All!$F267="South Florida",+All!M267,IF(+All!$H267="South Florida",+All!M267,0))</f>
        <v>64</v>
      </c>
      <c r="N106" s="460" t="str">
        <f>IF(+All!$F267="South Florida",+All!N267,IF(+All!$H267="South Florida",+All!N267,0))</f>
        <v>Louisville</v>
      </c>
      <c r="O106" s="462">
        <f>IF(+All!$F267="South Florida",+All!O267,IF(+All!$H267="South Florida",+All!O267,0))</f>
        <v>41</v>
      </c>
      <c r="P106" s="462" t="str">
        <f>IF(+All!$F267="South Florida",+All!P267,IF(+All!$H267="South Florida",+All!P267,0))</f>
        <v>South Florida</v>
      </c>
      <c r="Q106" s="461">
        <f>IF(+All!$F267="South Florida",+All!Q267,IF(+All!$H267="South Florida",+All!Q267,0))</f>
        <v>3</v>
      </c>
      <c r="R106" s="460" t="str">
        <f>IF(+All!$F267="South Florida",+All!R267,IF(+All!$H267="South Florida",+All!R267,0))</f>
        <v>Louisville</v>
      </c>
      <c r="S106" s="462" t="str">
        <f>IF(+All!$F267="South Florida",+All!S267,IF(+All!$H267="South Florida",+All!S267,0))</f>
        <v>South Florida</v>
      </c>
      <c r="T106" s="460" t="str">
        <f>IF(+All!$F267="South Florida",+All!T267,IF(+All!$H267="South Florida",+All!T267,0))</f>
        <v>Louisville</v>
      </c>
      <c r="U106" s="461" t="str">
        <f>IF(+All!$F267="South Florida",+All!U267,IF(+All!$H267="South Florida",+All!U267,0))</f>
        <v>W</v>
      </c>
    </row>
    <row r="107" spans="1:21" x14ac:dyDescent="0.8">
      <c r="A107" s="46">
        <f>IF(+All!$F326="South Florida",+All!A326,IF(+All!$H326="South Florida",+All!A326,0))</f>
        <v>5</v>
      </c>
      <c r="B107" s="46" t="str">
        <f>IF(+All!$F326="South Florida",+All!B326,IF(+All!$H326="South Florida",+All!B326,0))</f>
        <v>Sat</v>
      </c>
      <c r="C107" s="62">
        <f>IF(+All!$F326="South Florida",+All!C326,IF(+All!$H326="South Florida",+All!C326,0))</f>
        <v>44835</v>
      </c>
      <c r="D107" s="490">
        <f>IF(+All!$F326="South Florida",+All!D326,IF(+All!$H326="South Florida",+All!D326,0))</f>
        <v>0.79166666666666663</v>
      </c>
      <c r="E107" s="461">
        <f>IF(+All!$F326="South Florida",+All!E326,IF(+All!$H326="South Florida",+All!E326,0))</f>
        <v>0</v>
      </c>
      <c r="F107" s="51" t="str">
        <f>IF(+All!$F326="South Florida",+All!F326,IF(+All!$H326="South Florida",+All!F326,0))</f>
        <v>East Carolina</v>
      </c>
      <c r="G107" s="52" t="str">
        <f>IF(+All!$F326="South Florida",+All!G326,IF(+All!$H326="South Florida",+All!G326,0))</f>
        <v>AAC</v>
      </c>
      <c r="H107" s="51" t="str">
        <f>IF(+All!$F326="South Florida",+All!H326,IF(+All!$H326="South Florida",+All!H326,0))</f>
        <v>South Florida</v>
      </c>
      <c r="I107" s="52" t="str">
        <f>IF(+All!$F326="South Florida",+All!I326,IF(+All!$H326="South Florida",+All!I326,0))</f>
        <v>AAC</v>
      </c>
      <c r="J107" s="460" t="str">
        <f>IF(+All!$F326="South Florida",+All!J326,IF(+All!$H326="South Florida",+All!J326,0))</f>
        <v>East Carolina</v>
      </c>
      <c r="K107" s="461" t="str">
        <f>IF(+All!$F326="South Florida",+All!K326,IF(+All!$H326="South Florida",+All!K326,0))</f>
        <v>South Florida</v>
      </c>
      <c r="L107" s="54">
        <f>IF(+All!$F326="South Florida",+All!L326,IF(+All!$H326="South Florida",+All!L326,0))</f>
        <v>9</v>
      </c>
      <c r="M107" s="55">
        <f>IF(+All!$F326="South Florida",+All!M326,IF(+All!$H326="South Florida",+All!M326,0))</f>
        <v>57.5</v>
      </c>
      <c r="N107" s="460" t="str">
        <f>IF(+All!$F326="South Florida",+All!N326,IF(+All!$H326="South Florida",+All!N326,0))</f>
        <v>East Carolina</v>
      </c>
      <c r="O107" s="462">
        <f>IF(+All!$F326="South Florida",+All!O326,IF(+All!$H326="South Florida",+All!O326,0))</f>
        <v>48</v>
      </c>
      <c r="P107" s="462" t="str">
        <f>IF(+All!$F326="South Florida",+All!P326,IF(+All!$H326="South Florida",+All!P326,0))</f>
        <v>South Florida</v>
      </c>
      <c r="Q107" s="461">
        <f>IF(+All!$F326="South Florida",+All!Q326,IF(+All!$H326="South Florida",+All!Q326,0))</f>
        <v>28</v>
      </c>
      <c r="R107" s="460" t="str">
        <f>IF(+All!$F326="South Florida",+All!R326,IF(+All!$H326="South Florida",+All!R326,0))</f>
        <v>East Carolina</v>
      </c>
      <c r="S107" s="462" t="str">
        <f>IF(+All!$F326="South Florida",+All!S326,IF(+All!$H326="South Florida",+All!S326,0))</f>
        <v>South Florida</v>
      </c>
      <c r="T107" s="460" t="str">
        <f>IF(+All!$F326="South Florida",+All!T326,IF(+All!$H326="South Florida",+All!T326,0))</f>
        <v>East Carolina</v>
      </c>
      <c r="U107" s="461" t="str">
        <f>IF(+All!$F326="South Florida",+All!U326,IF(+All!$H326="South Florida",+All!U326,0))</f>
        <v>W</v>
      </c>
    </row>
    <row r="108" spans="1:21" x14ac:dyDescent="0.8">
      <c r="A108" s="46">
        <f>IF(+All!$F386="South Florida",+All!A386,IF(+All!$H386="South Florida",+All!A386,0))</f>
        <v>6</v>
      </c>
      <c r="B108" s="46" t="str">
        <f>IF(+All!$F386="South Florida",+All!B386,IF(+All!$H386="South Florida",+All!B386,0))</f>
        <v>Sat</v>
      </c>
      <c r="C108" s="62">
        <f>IF(+All!$F386="South Florida",+All!C386,IF(+All!$H386="South Florida",+All!C386,0))</f>
        <v>44842</v>
      </c>
      <c r="D108" s="490">
        <f>IF(+All!$F386="South Florida",+All!D386,IF(+All!$H386="South Florida",+All!D386,0))</f>
        <v>0.60416666666666663</v>
      </c>
      <c r="E108" s="461">
        <f>IF(+All!$F386="South Florida",+All!E386,IF(+All!$H386="South Florida",+All!E386,0))</f>
        <v>0</v>
      </c>
      <c r="F108" s="51" t="str">
        <f>IF(+All!$F386="South Florida",+All!F386,IF(+All!$H386="South Florida",+All!F386,0))</f>
        <v>South Florida</v>
      </c>
      <c r="G108" s="52" t="str">
        <f>IF(+All!$F386="South Florida",+All!G386,IF(+All!$H386="South Florida",+All!G386,0))</f>
        <v>AAC</v>
      </c>
      <c r="H108" s="51" t="str">
        <f>IF(+All!$F386="South Florida",+All!H386,IF(+All!$H386="South Florida",+All!H386,0))</f>
        <v>Cincinnati</v>
      </c>
      <c r="I108" s="52" t="str">
        <f>IF(+All!$F386="South Florida",+All!I386,IF(+All!$H386="South Florida",+All!I386,0))</f>
        <v>AAC</v>
      </c>
      <c r="J108" s="460" t="str">
        <f>IF(+All!$F386="South Florida",+All!J386,IF(+All!$H386="South Florida",+All!J386,0))</f>
        <v>Cincinnati</v>
      </c>
      <c r="K108" s="461" t="str">
        <f>IF(+All!$F386="South Florida",+All!K386,IF(+All!$H386="South Florida",+All!K386,0))</f>
        <v>South Florida</v>
      </c>
      <c r="L108" s="54">
        <f>IF(+All!$F386="South Florida",+All!L386,IF(+All!$H386="South Florida",+All!L386,0))</f>
        <v>27.5</v>
      </c>
      <c r="M108" s="55">
        <f>IF(+All!$F386="South Florida",+All!M386,IF(+All!$H386="South Florida",+All!M386,0))</f>
        <v>59.5</v>
      </c>
      <c r="N108" s="460" t="str">
        <f>IF(+All!$F386="South Florida",+All!N386,IF(+All!$H386="South Florida",+All!N386,0))</f>
        <v>Cincinnati</v>
      </c>
      <c r="O108" s="462">
        <f>IF(+All!$F386="South Florida",+All!O386,IF(+All!$H386="South Florida",+All!O386,0))</f>
        <v>28</v>
      </c>
      <c r="P108" s="462" t="str">
        <f>IF(+All!$F386="South Florida",+All!P386,IF(+All!$H386="South Florida",+All!P386,0))</f>
        <v>South Florida</v>
      </c>
      <c r="Q108" s="461">
        <f>IF(+All!$F386="South Florida",+All!Q386,IF(+All!$H386="South Florida",+All!Q386,0))</f>
        <v>24</v>
      </c>
      <c r="R108" s="460" t="str">
        <f>IF(+All!$F386="South Florida",+All!R386,IF(+All!$H386="South Florida",+All!R386,0))</f>
        <v>South Florida</v>
      </c>
      <c r="S108" s="462" t="str">
        <f>IF(+All!$F386="South Florida",+All!S386,IF(+All!$H386="South Florida",+All!S386,0))</f>
        <v>Cincinnati</v>
      </c>
      <c r="T108" s="460" t="str">
        <f>IF(+All!$F386="South Florida",+All!T386,IF(+All!$H386="South Florida",+All!T386,0))</f>
        <v>South Florida</v>
      </c>
      <c r="U108" s="461" t="str">
        <f>IF(+All!$F386="South Florida",+All!U386,IF(+All!$H386="South Florida",+All!U386,0))</f>
        <v>W</v>
      </c>
    </row>
    <row r="109" spans="1:21" x14ac:dyDescent="0.8">
      <c r="A109" s="46">
        <f>IF(+All!$F444="South Florida",+All!A444,IF(+All!$H444="South Florida",+All!A444,0))</f>
        <v>7</v>
      </c>
      <c r="B109" s="46" t="str">
        <f>IF(+All!$F444="South Florida",+All!B444,IF(+All!$H444="South Florida",+All!B444,0))</f>
        <v>Sat</v>
      </c>
      <c r="C109" s="62">
        <f>IF(+All!$F444="South Florida",+All!C444,IF(+All!$H444="South Florida",+All!C444,0))</f>
        <v>44849</v>
      </c>
      <c r="D109" s="490">
        <f>IF(+All!$F444="South Florida",+All!D444,IF(+All!$H444="South Florida",+All!D444,0))</f>
        <v>0.66666666666666663</v>
      </c>
      <c r="E109" s="461" t="str">
        <f>IF(+All!$F444="South Florida",+All!E444,IF(+All!$H444="South Florida",+All!E444,0))</f>
        <v>ESPNU</v>
      </c>
      <c r="F109" s="51" t="str">
        <f>IF(+All!$F444="South Florida",+All!F444,IF(+All!$H444="South Florida",+All!F444,0))</f>
        <v>Tulane</v>
      </c>
      <c r="G109" s="52" t="str">
        <f>IF(+All!$F444="South Florida",+All!G444,IF(+All!$H444="South Florida",+All!G444,0))</f>
        <v>AAC</v>
      </c>
      <c r="H109" s="51" t="str">
        <f>IF(+All!$F444="South Florida",+All!H444,IF(+All!$H444="South Florida",+All!H444,0))</f>
        <v>South Florida</v>
      </c>
      <c r="I109" s="52" t="str">
        <f>IF(+All!$F444="South Florida",+All!I444,IF(+All!$H444="South Florida",+All!I444,0))</f>
        <v>AAC</v>
      </c>
      <c r="J109" s="460" t="str">
        <f>IF(+All!$F444="South Florida",+All!J444,IF(+All!$H444="South Florida",+All!J444,0))</f>
        <v>Tulane</v>
      </c>
      <c r="K109" s="461" t="str">
        <f>IF(+All!$F444="South Florida",+All!K444,IF(+All!$H444="South Florida",+All!K444,0))</f>
        <v>South Florida</v>
      </c>
      <c r="L109" s="54">
        <f>IF(+All!$F444="South Florida",+All!L444,IF(+All!$H444="South Florida",+All!L444,0))</f>
        <v>12</v>
      </c>
      <c r="M109" s="55">
        <f>IF(+All!$F444="South Florida",+All!M444,IF(+All!$H444="South Florida",+All!M444,0))</f>
        <v>54.5</v>
      </c>
      <c r="N109" s="460" t="str">
        <f>IF(+All!$F444="South Florida",+All!N444,IF(+All!$H444="South Florida",+All!N444,0))</f>
        <v>Tulane</v>
      </c>
      <c r="O109" s="462">
        <f>IF(+All!$F444="South Florida",+All!O444,IF(+All!$H444="South Florida",+All!O444,0))</f>
        <v>45</v>
      </c>
      <c r="P109" s="462" t="str">
        <f>IF(+All!$F444="South Florida",+All!P444,IF(+All!$H444="South Florida",+All!P444,0))</f>
        <v>South Florida</v>
      </c>
      <c r="Q109" s="461">
        <f>IF(+All!$F444="South Florida",+All!Q444,IF(+All!$H444="South Florida",+All!Q444,0))</f>
        <v>31</v>
      </c>
      <c r="R109" s="460" t="str">
        <f>IF(+All!$F444="South Florida",+All!R444,IF(+All!$H444="South Florida",+All!R444,0))</f>
        <v>Tulane</v>
      </c>
      <c r="S109" s="462" t="str">
        <f>IF(+All!$F444="South Florida",+All!S444,IF(+All!$H444="South Florida",+All!S444,0))</f>
        <v>South Florida</v>
      </c>
      <c r="T109" s="460" t="str">
        <f>IF(+All!$F444="South Florida",+All!T444,IF(+All!$H444="South Florida",+All!T444,0))</f>
        <v>South Florida</v>
      </c>
      <c r="U109" s="461" t="str">
        <f>IF(+All!$F444="South Florida",+All!U444,IF(+All!$H444="South Florida",+All!U444,0))</f>
        <v>L</v>
      </c>
    </row>
    <row r="110" spans="1:21" x14ac:dyDescent="0.8">
      <c r="A110" s="46" t="e">
        <f>IF(+All!#REF!="South Florida",+All!#REF!,IF(+All!#REF!="South Florida",+All!#REF!,0))</f>
        <v>#REF!</v>
      </c>
      <c r="B110" s="46" t="e">
        <f>IF(+All!#REF!="South Florida",+All!#REF!,IF(+All!#REF!="South Florida",+All!#REF!,0))</f>
        <v>#REF!</v>
      </c>
      <c r="C110" s="62" t="e">
        <f>IF(+All!#REF!="South Florida",+All!#REF!,IF(+All!#REF!="South Florida",+All!#REF!,0))</f>
        <v>#REF!</v>
      </c>
      <c r="D110" s="490" t="e">
        <f>IF(+All!#REF!="South Florida",+All!#REF!,IF(+All!#REF!="South Florida",+All!#REF!,0))</f>
        <v>#REF!</v>
      </c>
      <c r="E110" s="461" t="e">
        <f>IF(+All!#REF!="South Florida",+All!#REF!,IF(+All!#REF!="South Florida",+All!#REF!,0))</f>
        <v>#REF!</v>
      </c>
      <c r="F110" s="51" t="e">
        <f>IF(+All!#REF!="South Florida",+All!#REF!,IF(+All!#REF!="South Florida",+All!#REF!,0))</f>
        <v>#REF!</v>
      </c>
      <c r="G110" s="52" t="e">
        <f>IF(+All!#REF!="South Florida",+All!#REF!,IF(+All!#REF!="South Florida",+All!#REF!,0))</f>
        <v>#REF!</v>
      </c>
      <c r="H110" s="51" t="e">
        <f>IF(+All!#REF!="South Florida",+All!#REF!,IF(+All!#REF!="South Florida",+All!#REF!,0))</f>
        <v>#REF!</v>
      </c>
      <c r="I110" s="52" t="e">
        <f>IF(+All!#REF!="South Florida",+All!#REF!,IF(+All!#REF!="South Florida",+All!#REF!,0))</f>
        <v>#REF!</v>
      </c>
      <c r="J110" s="460" t="e">
        <f>IF(+All!#REF!="South Florida",+All!#REF!,IF(+All!#REF!="South Florida",+All!#REF!,0))</f>
        <v>#REF!</v>
      </c>
      <c r="K110" s="461" t="e">
        <f>IF(+All!#REF!="South Florida",+All!#REF!,IF(+All!#REF!="South Florida",+All!#REF!,0))</f>
        <v>#REF!</v>
      </c>
      <c r="L110" s="54" t="e">
        <f>IF(+All!#REF!="South Florida",+All!#REF!,IF(+All!#REF!="South Florida",+All!#REF!,0))</f>
        <v>#REF!</v>
      </c>
      <c r="M110" s="55" t="e">
        <f>IF(+All!#REF!="South Florida",+All!#REF!,IF(+All!#REF!="South Florida",+All!#REF!,0))</f>
        <v>#REF!</v>
      </c>
      <c r="N110" s="460" t="e">
        <f>IF(+All!#REF!="South Florida",+All!#REF!,IF(+All!#REF!="South Florida",+All!#REF!,0))</f>
        <v>#REF!</v>
      </c>
      <c r="O110" s="462" t="e">
        <f>IF(+All!#REF!="South Florida",+All!#REF!,IF(+All!#REF!="South Florida",+All!#REF!,0))</f>
        <v>#REF!</v>
      </c>
      <c r="P110" s="462" t="e">
        <f>IF(+All!#REF!="South Florida",+All!#REF!,IF(+All!#REF!="South Florida",+All!#REF!,0))</f>
        <v>#REF!</v>
      </c>
      <c r="Q110" s="461" t="e">
        <f>IF(+All!#REF!="South Florida",+All!#REF!,IF(+All!#REF!="South Florida",+All!#REF!,0))</f>
        <v>#REF!</v>
      </c>
      <c r="R110" s="460" t="e">
        <f>IF(+All!#REF!="South Florida",+All!#REF!,IF(+All!#REF!="South Florida",+All!#REF!,0))</f>
        <v>#REF!</v>
      </c>
      <c r="S110" s="462" t="e">
        <f>IF(+All!#REF!="South Florida",+All!#REF!,IF(+All!#REF!="South Florida",+All!#REF!,0))</f>
        <v>#REF!</v>
      </c>
      <c r="T110" s="460" t="e">
        <f>IF(+All!#REF!="South Florida",+All!#REF!,IF(+All!#REF!="South Florida",+All!#REF!,0))</f>
        <v>#REF!</v>
      </c>
      <c r="U110" s="461" t="e">
        <f>IF(+All!#REF!="South Florida",+All!#REF!,IF(+All!#REF!="South Florida",+All!#REF!,0))</f>
        <v>#REF!</v>
      </c>
    </row>
    <row r="111" spans="1:21" x14ac:dyDescent="0.8">
      <c r="A111" s="46">
        <f>IF(+All!$F551="South Florida",+All!A551,IF(+All!$H551="South Florida",+All!A551,0))</f>
        <v>9</v>
      </c>
      <c r="B111" s="46" t="str">
        <f>IF(+All!$F551="South Florida",+All!B551,IF(+All!$H551="South Florida",+All!B551,0))</f>
        <v>Sat</v>
      </c>
      <c r="C111" s="62">
        <f>IF(+All!$F551="South Florida",+All!C551,IF(+All!$H551="South Florida",+All!C551,0))</f>
        <v>44863</v>
      </c>
      <c r="D111" s="490">
        <f>IF(+All!$F551="South Florida",+All!D551,IF(+All!$H551="South Florida",+All!D551,0))</f>
        <v>0.5</v>
      </c>
      <c r="E111" s="461" t="str">
        <f>IF(+All!$F551="South Florida",+All!E551,IF(+All!$H551="South Florida",+All!E551,0))</f>
        <v>ESPN2</v>
      </c>
      <c r="F111" s="51" t="str">
        <f>IF(+All!$F551="South Florida",+All!F551,IF(+All!$H551="South Florida",+All!F551,0))</f>
        <v>South Florida</v>
      </c>
      <c r="G111" s="52" t="str">
        <f>IF(+All!$F551="South Florida",+All!G551,IF(+All!$H551="South Florida",+All!G551,0))</f>
        <v>AAC</v>
      </c>
      <c r="H111" s="51" t="str">
        <f>IF(+All!$F551="South Florida",+All!H551,IF(+All!$H551="South Florida",+All!H551,0))</f>
        <v>Houston</v>
      </c>
      <c r="I111" s="52" t="str">
        <f>IF(+All!$F551="South Florida",+All!I551,IF(+All!$H551="South Florida",+All!I551,0))</f>
        <v>AAC</v>
      </c>
      <c r="J111" s="460" t="str">
        <f>IF(+All!$F551="South Florida",+All!J551,IF(+All!$H551="South Florida",+All!J551,0))</f>
        <v>Houston</v>
      </c>
      <c r="K111" s="461" t="str">
        <f>IF(+All!$F551="South Florida",+All!K551,IF(+All!$H551="South Florida",+All!K551,0))</f>
        <v>South Florida</v>
      </c>
      <c r="L111" s="54">
        <f>IF(+All!$F551="South Florida",+All!L551,IF(+All!$H551="South Florida",+All!L551,0))</f>
        <v>17.5</v>
      </c>
      <c r="M111" s="55">
        <f>IF(+All!$F551="South Florida",+All!M551,IF(+All!$H551="South Florida",+All!M551,0))</f>
        <v>60.5</v>
      </c>
      <c r="N111" s="460" t="str">
        <f>IF(+All!$F551="South Florida",+All!N551,IF(+All!$H551="South Florida",+All!N551,0))</f>
        <v>Houston</v>
      </c>
      <c r="O111" s="462">
        <f>IF(+All!$F551="South Florida",+All!O551,IF(+All!$H551="South Florida",+All!O551,0))</f>
        <v>42</v>
      </c>
      <c r="P111" s="462" t="str">
        <f>IF(+All!$F551="South Florida",+All!P551,IF(+All!$H551="South Florida",+All!P551,0))</f>
        <v>South Florida</v>
      </c>
      <c r="Q111" s="461">
        <f>IF(+All!$F551="South Florida",+All!Q551,IF(+All!$H551="South Florida",+All!Q551,0))</f>
        <v>27</v>
      </c>
      <c r="R111" s="460" t="str">
        <f>IF(+All!$F551="South Florida",+All!R551,IF(+All!$H551="South Florida",+All!R551,0))</f>
        <v>South Florida</v>
      </c>
      <c r="S111" s="462" t="str">
        <f>IF(+All!$F551="South Florida",+All!S551,IF(+All!$H551="South Florida",+All!S551,0))</f>
        <v>Houston</v>
      </c>
      <c r="T111" s="460" t="str">
        <f>IF(+All!$F551="South Florida",+All!T551,IF(+All!$H551="South Florida",+All!T551,0))</f>
        <v>South Florida</v>
      </c>
      <c r="U111" s="461" t="str">
        <f>IF(+All!$F551="South Florida",+All!U551,IF(+All!$H551="South Florida",+All!U551,0))</f>
        <v>W</v>
      </c>
    </row>
    <row r="112" spans="1:21" x14ac:dyDescent="0.8">
      <c r="A112" s="46">
        <f>IF(+All!$F605="South Florida",+All!A605,IF(+All!$H605="South Florida",+All!A605,0))</f>
        <v>10</v>
      </c>
      <c r="B112" s="46" t="str">
        <f>IF(+All!$F605="South Florida",+All!B605,IF(+All!$H605="South Florida",+All!B605,0))</f>
        <v>Sat</v>
      </c>
      <c r="C112" s="62">
        <f>IF(+All!$F605="South Florida",+All!C605,IF(+All!$H605="South Florida",+All!C605,0))</f>
        <v>44870</v>
      </c>
      <c r="D112" s="490">
        <f>IF(+All!$F605="South Florida",+All!D605,IF(+All!$H605="South Florida",+All!D605,0))</f>
        <v>0.58333333333333337</v>
      </c>
      <c r="E112" s="461">
        <f>IF(+All!$F605="South Florida",+All!E605,IF(+All!$H605="South Florida",+All!E605,0))</f>
        <v>0</v>
      </c>
      <c r="F112" s="51" t="str">
        <f>IF(+All!$F605="South Florida",+All!F605,IF(+All!$H605="South Florida",+All!F605,0))</f>
        <v>South Florida</v>
      </c>
      <c r="G112" s="52" t="str">
        <f>IF(+All!$F605="South Florida",+All!G605,IF(+All!$H605="South Florida",+All!G605,0))</f>
        <v>AAC</v>
      </c>
      <c r="H112" s="51" t="str">
        <f>IF(+All!$F605="South Florida",+All!H605,IF(+All!$H605="South Florida",+All!H605,0))</f>
        <v>Temple</v>
      </c>
      <c r="I112" s="52" t="str">
        <f>IF(+All!$F605="South Florida",+All!I605,IF(+All!$H605="South Florida",+All!I605,0))</f>
        <v>AAC</v>
      </c>
      <c r="J112" s="460" t="str">
        <f>IF(+All!$F605="South Florida",+All!J605,IF(+All!$H605="South Florida",+All!J605,0))</f>
        <v>South Florida</v>
      </c>
      <c r="K112" s="461" t="str">
        <f>IF(+All!$F605="South Florida",+All!K605,IF(+All!$H605="South Florida",+All!K605,0))</f>
        <v>Temple</v>
      </c>
      <c r="L112" s="54">
        <f>IF(+All!$F605="South Florida",+All!L605,IF(+All!$H605="South Florida",+All!L605,0))</f>
        <v>3</v>
      </c>
      <c r="M112" s="55">
        <f>IF(+All!$F605="South Florida",+All!M605,IF(+All!$H605="South Florida",+All!M605,0))</f>
        <v>51</v>
      </c>
      <c r="N112" s="460" t="str">
        <f>IF(+All!$F605="South Florida",+All!N605,IF(+All!$H605="South Florida",+All!N605,0))</f>
        <v>Temple</v>
      </c>
      <c r="O112" s="462">
        <f>IF(+All!$F605="South Florida",+All!O605,IF(+All!$H605="South Florida",+All!O605,0))</f>
        <v>54</v>
      </c>
      <c r="P112" s="462" t="str">
        <f>IF(+All!$F605="South Florida",+All!P605,IF(+All!$H605="South Florida",+All!P605,0))</f>
        <v>South Florida</v>
      </c>
      <c r="Q112" s="461">
        <f>IF(+All!$F605="South Florida",+All!Q605,IF(+All!$H605="South Florida",+All!Q605,0))</f>
        <v>28</v>
      </c>
      <c r="R112" s="460" t="str">
        <f>IF(+All!$F605="South Florida",+All!R605,IF(+All!$H605="South Florida",+All!R605,0))</f>
        <v>Temple</v>
      </c>
      <c r="S112" s="462" t="str">
        <f>IF(+All!$F605="South Florida",+All!S605,IF(+All!$H605="South Florida",+All!S605,0))</f>
        <v>South Florida</v>
      </c>
      <c r="T112" s="460" t="str">
        <f>IF(+All!$F605="South Florida",+All!T605,IF(+All!$H605="South Florida",+All!T605,0))</f>
        <v>South Florida</v>
      </c>
      <c r="U112" s="461" t="str">
        <f>IF(+All!$F605="South Florida",+All!U605,IF(+All!$H605="South Florida",+All!U605,0))</f>
        <v>L</v>
      </c>
    </row>
    <row r="113" spans="1:21" x14ac:dyDescent="0.8">
      <c r="A113" s="46">
        <f>IF(+All!$F666="South Florida",+All!A666,IF(+All!$H666="South Florida",+All!A666,0))</f>
        <v>11</v>
      </c>
      <c r="B113" s="46" t="str">
        <f>IF(+All!$F666="South Florida",+All!B666,IF(+All!$H666="South Florida",+All!B666,0))</f>
        <v>Sat</v>
      </c>
      <c r="C113" s="62">
        <f>IF(+All!$F666="South Florida",+All!C666,IF(+All!$H666="South Florida",+All!C666,0))</f>
        <v>44877</v>
      </c>
      <c r="D113" s="490">
        <f>IF(+All!$F666="South Florida",+All!D666,IF(+All!$H666="South Florida",+All!D666,0))</f>
        <v>0.5</v>
      </c>
      <c r="E113" s="461" t="str">
        <f>IF(+All!$F666="South Florida",+All!E666,IF(+All!$H666="South Florida",+All!E666,0))</f>
        <v>ESPNU</v>
      </c>
      <c r="F113" s="51" t="str">
        <f>IF(+All!$F666="South Florida",+All!F666,IF(+All!$H666="South Florida",+All!F666,0))</f>
        <v>SMU</v>
      </c>
      <c r="G113" s="52" t="str">
        <f>IF(+All!$F666="South Florida",+All!G666,IF(+All!$H666="South Florida",+All!G666,0))</f>
        <v>AAC</v>
      </c>
      <c r="H113" s="51" t="str">
        <f>IF(+All!$F666="South Florida",+All!H666,IF(+All!$H666="South Florida",+All!H666,0))</f>
        <v>South Florida</v>
      </c>
      <c r="I113" s="52" t="str">
        <f>IF(+All!$F666="South Florida",+All!I666,IF(+All!$H666="South Florida",+All!I666,0))</f>
        <v>AAC</v>
      </c>
      <c r="J113" s="460" t="str">
        <f>IF(+All!$F666="South Florida",+All!J666,IF(+All!$H666="South Florida",+All!J666,0))</f>
        <v>SMU</v>
      </c>
      <c r="K113" s="461" t="str">
        <f>IF(+All!$F666="South Florida",+All!K666,IF(+All!$H666="South Florida",+All!K666,0))</f>
        <v>South Florida</v>
      </c>
      <c r="L113" s="54">
        <f>IF(+All!$F666="South Florida",+All!L666,IF(+All!$H666="South Florida",+All!L666,0))</f>
        <v>17.5</v>
      </c>
      <c r="M113" s="55">
        <f>IF(+All!$F666="South Florida",+All!M666,IF(+All!$H666="South Florida",+All!M666,0))</f>
        <v>72</v>
      </c>
      <c r="N113" s="460" t="str">
        <f>IF(+All!$F666="South Florida",+All!N666,IF(+All!$H666="South Florida",+All!N666,0))</f>
        <v>SMU</v>
      </c>
      <c r="O113" s="462">
        <f>IF(+All!$F666="South Florida",+All!O666,IF(+All!$H666="South Florida",+All!O666,0))</f>
        <v>41</v>
      </c>
      <c r="P113" s="462" t="str">
        <f>IF(+All!$F666="South Florida",+All!P666,IF(+All!$H666="South Florida",+All!P666,0))</f>
        <v>South Florida</v>
      </c>
      <c r="Q113" s="461">
        <f>IF(+All!$F666="South Florida",+All!Q666,IF(+All!$H666="South Florida",+All!Q666,0))</f>
        <v>23</v>
      </c>
      <c r="R113" s="460" t="str">
        <f>IF(+All!$F666="South Florida",+All!R666,IF(+All!$H666="South Florida",+All!R666,0))</f>
        <v>SMU</v>
      </c>
      <c r="S113" s="462" t="str">
        <f>IF(+All!$F666="South Florida",+All!S666,IF(+All!$H666="South Florida",+All!S666,0))</f>
        <v>South Florida</v>
      </c>
      <c r="T113" s="460" t="str">
        <f>IF(+All!$F666="South Florida",+All!T666,IF(+All!$H666="South Florida",+All!T666,0))</f>
        <v>South Florida</v>
      </c>
      <c r="U113" s="461" t="str">
        <f>IF(+All!$F666="South Florida",+All!U666,IF(+All!$H666="South Florida",+All!U666,0))</f>
        <v>L</v>
      </c>
    </row>
    <row r="114" spans="1:21" x14ac:dyDescent="0.8">
      <c r="A114" s="46">
        <f>IF(+All!$F724="South Florida",+All!A724,IF(+All!$H724="South Florida",+All!A724,0))</f>
        <v>12</v>
      </c>
      <c r="B114" s="46" t="str">
        <f>IF(+All!$F724="South Florida",+All!B724,IF(+All!$H724="South Florida",+All!B724,0))</f>
        <v>Fri</v>
      </c>
      <c r="C114" s="62">
        <f>IF(+All!$F724="South Florida",+All!C724,IF(+All!$H724="South Florida",+All!C724,0))</f>
        <v>44883</v>
      </c>
      <c r="D114" s="490">
        <f>IF(+All!$F724="South Florida",+All!D724,IF(+All!$H724="South Florida",+All!D724,0))</f>
        <v>0.875</v>
      </c>
      <c r="E114" s="461" t="str">
        <f>IF(+All!$F724="South Florida",+All!E724,IF(+All!$H724="South Florida",+All!E724,0))</f>
        <v>ESPN2</v>
      </c>
      <c r="F114" s="51" t="str">
        <f>IF(+All!$F724="South Florida",+All!F724,IF(+All!$H724="South Florida",+All!F724,0))</f>
        <v>South Florida</v>
      </c>
      <c r="G114" s="52" t="str">
        <f>IF(+All!$F724="South Florida",+All!G724,IF(+All!$H724="South Florida",+All!G724,0))</f>
        <v>AAC</v>
      </c>
      <c r="H114" s="51" t="str">
        <f>IF(+All!$F724="South Florida",+All!H724,IF(+All!$H724="South Florida",+All!H724,0))</f>
        <v>Tulsa</v>
      </c>
      <c r="I114" s="52" t="str">
        <f>IF(+All!$F724="South Florida",+All!I724,IF(+All!$H724="South Florida",+All!I724,0))</f>
        <v>AAC</v>
      </c>
      <c r="J114" s="460" t="str">
        <f>IF(+All!$F724="South Florida",+All!J724,IF(+All!$H724="South Florida",+All!J724,0))</f>
        <v>Tulsa</v>
      </c>
      <c r="K114" s="461" t="str">
        <f>IF(+All!$F724="South Florida",+All!K724,IF(+All!$H724="South Florida",+All!K724,0))</f>
        <v>South Florida</v>
      </c>
      <c r="L114" s="54">
        <f>IF(+All!$F724="South Florida",+All!L724,IF(+All!$H724="South Florida",+All!L724,0))</f>
        <v>14</v>
      </c>
      <c r="M114" s="55">
        <f>IF(+All!$F724="South Florida",+All!M724,IF(+All!$H724="South Florida",+All!M724,0))</f>
        <v>59</v>
      </c>
      <c r="N114" s="460" t="str">
        <f>IF(+All!$F724="South Florida",+All!N724,IF(+All!$H724="South Florida",+All!N724,0))</f>
        <v>Tulsa</v>
      </c>
      <c r="O114" s="462">
        <f>IF(+All!$F724="South Florida",+All!O724,IF(+All!$H724="South Florida",+All!O724,0))</f>
        <v>48</v>
      </c>
      <c r="P114" s="462" t="str">
        <f>IF(+All!$F724="South Florida",+All!P724,IF(+All!$H724="South Florida",+All!P724,0))</f>
        <v>South Florida</v>
      </c>
      <c r="Q114" s="461">
        <f>IF(+All!$F724="South Florida",+All!Q724,IF(+All!$H724="South Florida",+All!Q724,0))</f>
        <v>42</v>
      </c>
      <c r="R114" s="460" t="str">
        <f>IF(+All!$F724="South Florida",+All!R724,IF(+All!$H724="South Florida",+All!R724,0))</f>
        <v>South Florida</v>
      </c>
      <c r="S114" s="462" t="str">
        <f>IF(+All!$F724="South Florida",+All!S724,IF(+All!$H724="South Florida",+All!S724,0))</f>
        <v>Tulsa</v>
      </c>
      <c r="T114" s="460" t="str">
        <f>IF(+All!$F724="South Florida",+All!T724,IF(+All!$H724="South Florida",+All!T724,0))</f>
        <v>South Florida</v>
      </c>
      <c r="U114" s="461" t="str">
        <f>IF(+All!$F724="South Florida",+All!U724,IF(+All!$H724="South Florida",+All!U724,0))</f>
        <v>W</v>
      </c>
    </row>
    <row r="115" spans="1:21" x14ac:dyDescent="0.8">
      <c r="A115" s="46">
        <f>IF(+All!$F801="South Florida",+All!A801,IF(+All!$H801="South Florida",+All!A801,0))</f>
        <v>13</v>
      </c>
      <c r="B115" s="46" t="str">
        <f>IF(+All!$F801="South Florida",+All!B801,IF(+All!$H801="South Florida",+All!B801,0))</f>
        <v>Sat</v>
      </c>
      <c r="C115" s="62">
        <f>IF(+All!$F801="South Florida",+All!C801,IF(+All!$H801="South Florida",+All!C801,0))</f>
        <v>44891</v>
      </c>
      <c r="D115" s="490">
        <f>IF(+All!$F801="South Florida",+All!D801,IF(+All!$H801="South Florida",+All!D801,0))</f>
        <v>0.79166666666666663</v>
      </c>
      <c r="E115" s="461" t="str">
        <f>IF(+All!$F801="South Florida",+All!E801,IF(+All!$H801="South Florida",+All!E801,0))</f>
        <v>ESPN2</v>
      </c>
      <c r="F115" s="51" t="str">
        <f>IF(+All!$F801="South Florida",+All!F801,IF(+All!$H801="South Florida",+All!F801,0))</f>
        <v>Central Florida</v>
      </c>
      <c r="G115" s="52" t="str">
        <f>IF(+All!$F801="South Florida",+All!G801,IF(+All!$H801="South Florida",+All!G801,0))</f>
        <v>AAC</v>
      </c>
      <c r="H115" s="51" t="str">
        <f>IF(+All!$F801="South Florida",+All!H801,IF(+All!$H801="South Florida",+All!H801,0))</f>
        <v>South Florida</v>
      </c>
      <c r="I115" s="52" t="str">
        <f>IF(+All!$F801="South Florida",+All!I801,IF(+All!$H801="South Florida",+All!I801,0))</f>
        <v>AAC</v>
      </c>
      <c r="J115" s="460" t="str">
        <f>IF(+All!$F801="South Florida",+All!J801,IF(+All!$H801="South Florida",+All!J801,0))</f>
        <v>Central Florida</v>
      </c>
      <c r="K115" s="461" t="str">
        <f>IF(+All!$F801="South Florida",+All!K801,IF(+All!$H801="South Florida",+All!K801,0))</f>
        <v>South Florida</v>
      </c>
      <c r="L115" s="54">
        <f>IF(+All!$F801="South Florida",+All!L801,IF(+All!$H801="South Florida",+All!L801,0))</f>
        <v>20</v>
      </c>
      <c r="M115" s="55">
        <f>IF(+All!$F801="South Florida",+All!M801,IF(+All!$H801="South Florida",+All!M801,0))</f>
        <v>67.5</v>
      </c>
      <c r="N115" s="460" t="str">
        <f>IF(+All!$F801="South Florida",+All!N801,IF(+All!$H801="South Florida",+All!N801,0))</f>
        <v>Central Florida</v>
      </c>
      <c r="O115" s="462">
        <f>IF(+All!$F801="South Florida",+All!O801,IF(+All!$H801="South Florida",+All!O801,0))</f>
        <v>46</v>
      </c>
      <c r="P115" s="462" t="str">
        <f>IF(+All!$F801="South Florida",+All!P801,IF(+All!$H801="South Florida",+All!P801,0))</f>
        <v>South Florida</v>
      </c>
      <c r="Q115" s="461">
        <f>IF(+All!$F801="South Florida",+All!Q801,IF(+All!$H801="South Florida",+All!Q801,0))</f>
        <v>39</v>
      </c>
      <c r="R115" s="460" t="str">
        <f>IF(+All!$F801="South Florida",+All!R801,IF(+All!$H801="South Florida",+All!R801,0))</f>
        <v>South Florida</v>
      </c>
      <c r="S115" s="462" t="str">
        <f>IF(+All!$F801="South Florida",+All!S801,IF(+All!$H801="South Florida",+All!S801,0))</f>
        <v>Central Florida</v>
      </c>
      <c r="T115" s="460" t="str">
        <f>IF(+All!$F801="South Florida",+All!T801,IF(+All!$H801="South Florida",+All!T801,0))</f>
        <v>South Florida</v>
      </c>
      <c r="U115" s="461" t="str">
        <f>IF(+All!$F801="South Florida",+All!U801,IF(+All!$H801="South Florida",+All!U801,0))</f>
        <v>W</v>
      </c>
    </row>
    <row r="116" spans="1:21" x14ac:dyDescent="0.8">
      <c r="B116" s="46"/>
      <c r="C116" s="62"/>
      <c r="D116" s="490"/>
      <c r="E116" s="461"/>
      <c r="F116" s="897" t="str">
        <f>H118</f>
        <v>Temple</v>
      </c>
      <c r="G116" s="898"/>
      <c r="H116" s="898"/>
      <c r="I116" s="899"/>
      <c r="J116" s="460"/>
      <c r="K116" s="461"/>
      <c r="L116" s="54"/>
      <c r="M116" s="55"/>
      <c r="N116" s="460"/>
      <c r="O116" s="462"/>
      <c r="P116" s="462"/>
      <c r="Q116" s="461"/>
      <c r="R116" s="460"/>
      <c r="S116" s="462"/>
      <c r="T116" s="460"/>
      <c r="U116" s="461"/>
    </row>
    <row r="117" spans="1:21" x14ac:dyDescent="0.8">
      <c r="A117" s="46">
        <f>IF(+All!$F26="Temple",+All!A26,IF(+All!$H26="Temple",+All!A26,0))</f>
        <v>1</v>
      </c>
      <c r="B117" s="348" t="str">
        <f>IF(+All!$F26="Temple",+All!B26,IF(+All!$H26="Temple",+All!B26,0))</f>
        <v>Fri</v>
      </c>
      <c r="C117" s="72">
        <f>IF(+All!$F26="Temple",+All!C26,IF(+All!$H26="Temple",+All!C26,0))</f>
        <v>44806</v>
      </c>
      <c r="D117" s="73">
        <f>IF(+All!$F26="Temple",+All!D26,IF(+All!$H26="Temple",+All!D26,0))</f>
        <v>0.8125</v>
      </c>
      <c r="E117" s="461" t="str">
        <f>IF(+All!$F26="Temple",+All!E26,IF(+All!$H26="Temple",+All!E26,0))</f>
        <v>ACC</v>
      </c>
      <c r="F117" s="460" t="str">
        <f>IF(+All!$F26="Temple",+All!F26,IF(+All!$H26="Temple",+All!F26,0))</f>
        <v>Temple</v>
      </c>
      <c r="G117" s="461" t="str">
        <f>IF(+All!$F26="Temple",+All!G26,IF(+All!$H26="Temple",+All!G26,0))</f>
        <v>AAC</v>
      </c>
      <c r="H117" s="460" t="str">
        <f>IF(+All!$F26="Temple",+All!H26,IF(+All!$H26="Temple",+All!H26,0))</f>
        <v>Duke</v>
      </c>
      <c r="I117" s="461" t="str">
        <f>IF(+All!$F26="Temple",+All!I26,IF(+All!$H26="Temple",+All!I26,0))</f>
        <v>ACC</v>
      </c>
      <c r="J117" s="460" t="str">
        <f>IF(+All!$F26="Temple",+All!J26,IF(+All!$H26="Temple",+All!J26,0))</f>
        <v>Duke</v>
      </c>
      <c r="K117" s="461" t="str">
        <f>IF(+All!$F26="Temple",+All!K26,IF(+All!$H26="Temple",+All!K26,0))</f>
        <v>Temple</v>
      </c>
      <c r="L117" s="60">
        <f>IF(+All!$F26="Temple",+All!L26,IF(+All!$H26="Temple",+All!L26,0))</f>
        <v>7</v>
      </c>
      <c r="M117" s="61">
        <f>IF(+All!$F26="Temple",+All!M26,IF(+All!$H26="Temple",+All!M26,0))</f>
        <v>51</v>
      </c>
      <c r="N117" s="460" t="str">
        <f>IF(+All!$F26="Temple",+All!N26,IF(+All!$H26="Temple",+All!N26,0))</f>
        <v>Duke</v>
      </c>
      <c r="O117" s="462">
        <f>IF(+All!$F26="Temple",+All!O26,IF(+All!$H26="Temple",+All!O26,0))</f>
        <v>30</v>
      </c>
      <c r="P117" s="462" t="str">
        <f>IF(+All!$F26="Temple",+All!P26,IF(+All!$H26="Temple",+All!P26,0))</f>
        <v>Temple</v>
      </c>
      <c r="Q117" s="461">
        <f>IF(+All!$F26="Temple",+All!Q26,IF(+All!$H26="Temple",+All!Q26,0))</f>
        <v>0</v>
      </c>
      <c r="R117" s="460" t="str">
        <f>IF(+All!$F26="Temple",+All!R26,IF(+All!$H26="Temple",+All!R26,0))</f>
        <v>Duke</v>
      </c>
      <c r="S117" s="462" t="str">
        <f>IF(+All!$F26="Temple",+All!S26,IF(+All!$H26="Temple",+All!S26,0))</f>
        <v>Temple</v>
      </c>
      <c r="T117" s="460" t="str">
        <f>IF(+All!$F26="Temple",+All!T26,IF(+All!$H26="Temple",+All!T26,0))</f>
        <v>Duke</v>
      </c>
      <c r="U117" s="461" t="str">
        <f>IF(+All!$F26="Temple",+All!U26,IF(+All!$H26="Temple",+All!U26,0))</f>
        <v>W</v>
      </c>
    </row>
    <row r="118" spans="1:21" x14ac:dyDescent="0.8">
      <c r="A118" s="46">
        <f>IF(+All!$F105="Temple",+All!A105,IF(+All!$H105="Temple",+All!A105,0))</f>
        <v>2</v>
      </c>
      <c r="B118" s="348" t="str">
        <f>IF(+All!$F105="Temple",+All!B105,IF(+All!$H105="Temple",+All!B105,0))</f>
        <v>Sat</v>
      </c>
      <c r="C118" s="72">
        <f>IF(+All!$F105="Temple",+All!C105,IF(+All!$H105="Temple",+All!C105,0))</f>
        <v>44814</v>
      </c>
      <c r="D118" s="73">
        <f>IF(+All!$F105="Temple",+All!D105,IF(+All!$H105="Temple",+All!D105,0))</f>
        <v>0.58333333333333337</v>
      </c>
      <c r="E118" s="461">
        <f>IF(+All!$F105="Temple",+All!E105,IF(+All!$H105="Temple",+All!E105,0))</f>
        <v>0</v>
      </c>
      <c r="F118" s="460" t="str">
        <f>IF(+All!$F105="Temple",+All!F105,IF(+All!$H105="Temple",+All!F105,0))</f>
        <v>1AA Lafayette</v>
      </c>
      <c r="G118" s="461" t="str">
        <f>IF(+All!$F105="Temple",+All!G105,IF(+All!$H105="Temple",+All!G105,0))</f>
        <v>1AA</v>
      </c>
      <c r="H118" s="460" t="str">
        <f>IF(+All!$F105="Temple",+All!H105,IF(+All!$H105="Temple",+All!H105,0))</f>
        <v>Temple</v>
      </c>
      <c r="I118" s="461" t="str">
        <f>IF(+All!$F105="Temple",+All!I105,IF(+All!$H105="Temple",+All!I105,0))</f>
        <v>AAC</v>
      </c>
      <c r="J118" s="460">
        <f>IF(+All!$F105="Temple",+All!J105,IF(+All!$H105="Temple",+All!J105,0))</f>
        <v>0</v>
      </c>
      <c r="K118" s="461">
        <f>IF(+All!$F105="Temple",+All!K105,IF(+All!$H105="Temple",+All!K105,0))</f>
        <v>0</v>
      </c>
      <c r="L118" s="60">
        <f>IF(+All!$F105="Temple",+All!L105,IF(+All!$H105="Temple",+All!L105,0))</f>
        <v>0</v>
      </c>
      <c r="M118" s="61">
        <f>IF(+All!$F105="Temple",+All!M105,IF(+All!$H105="Temple",+All!M105,0))</f>
        <v>0</v>
      </c>
      <c r="N118" s="460" t="str">
        <f>IF(+All!$F105="Temple",+All!N105,IF(+All!$H105="Temple",+All!N105,0))</f>
        <v>Temple</v>
      </c>
      <c r="O118" s="462">
        <f>IF(+All!$F105="Temple",+All!O105,IF(+All!$H105="Temple",+All!O105,0))</f>
        <v>30</v>
      </c>
      <c r="P118" s="462" t="str">
        <f>IF(+All!$F105="Temple",+All!P105,IF(+All!$H105="Temple",+All!P105,0))</f>
        <v>1AA Lafayette</v>
      </c>
      <c r="Q118" s="461">
        <f>IF(+All!$F105="Temple",+All!Q105,IF(+All!$H105="Temple",+All!Q105,0))</f>
        <v>14</v>
      </c>
      <c r="R118" s="460">
        <f>IF(+All!$F105="Temple",+All!R105,IF(+All!$H105="Temple",+All!R105,0))</f>
        <v>0</v>
      </c>
      <c r="S118" s="462">
        <f>IF(+All!$F105="Temple",+All!S105,IF(+All!$H105="Temple",+All!S105,0))</f>
        <v>0</v>
      </c>
      <c r="T118" s="460">
        <f>IF(+All!$F105="Temple",+All!T105,IF(+All!$H105="Temple",+All!T105,0))</f>
        <v>0</v>
      </c>
      <c r="U118" s="461">
        <f>IF(+All!$F105="Temple",+All!U105,IF(+All!$H105="Temple",+All!U105,0))</f>
        <v>0</v>
      </c>
    </row>
    <row r="119" spans="1:21" x14ac:dyDescent="0.8">
      <c r="A119" s="46">
        <f>IF(+All!$F186="Temple",+All!A186,IF(+All!$H186="Temple",+All!A186,0))</f>
        <v>3</v>
      </c>
      <c r="B119" s="348" t="str">
        <f>IF(+All!$F186="Temple",+All!B186,IF(+All!$H186="Temple",+All!B186,0))</f>
        <v>Sat</v>
      </c>
      <c r="C119" s="72">
        <f>IF(+All!$F186="Temple",+All!C186,IF(+All!$H186="Temple",+All!C186,0))</f>
        <v>44821</v>
      </c>
      <c r="D119" s="73">
        <f>IF(+All!$F186="Temple",+All!D186,IF(+All!$H186="Temple",+All!D186,0))</f>
        <v>0.58333333333333337</v>
      </c>
      <c r="E119" s="461">
        <f>IF(+All!$F186="Temple",+All!E186,IF(+All!$H186="Temple",+All!E186,0))</f>
        <v>0</v>
      </c>
      <c r="F119" s="460" t="str">
        <f>IF(+All!$F186="Temple",+All!F186,IF(+All!$H186="Temple",+All!F186,0))</f>
        <v>Rutgers</v>
      </c>
      <c r="G119" s="461" t="str">
        <f>IF(+All!$F186="Temple",+All!G186,IF(+All!$H186="Temple",+All!G186,0))</f>
        <v>B10</v>
      </c>
      <c r="H119" s="460" t="str">
        <f>IF(+All!$F186="Temple",+All!H186,IF(+All!$H186="Temple",+All!H186,0))</f>
        <v>Temple</v>
      </c>
      <c r="I119" s="461" t="str">
        <f>IF(+All!$F186="Temple",+All!I186,IF(+All!$H186="Temple",+All!I186,0))</f>
        <v>AAC</v>
      </c>
      <c r="J119" s="460" t="str">
        <f>IF(+All!$F186="Temple",+All!J186,IF(+All!$H186="Temple",+All!J186,0))</f>
        <v>Rutgers</v>
      </c>
      <c r="K119" s="461" t="str">
        <f>IF(+All!$F186="Temple",+All!K186,IF(+All!$H186="Temple",+All!K186,0))</f>
        <v>Temple</v>
      </c>
      <c r="L119" s="60">
        <f>IF(+All!$F186="Temple",+All!L186,IF(+All!$H186="Temple",+All!L186,0))</f>
        <v>17.5</v>
      </c>
      <c r="M119" s="61">
        <f>IF(+All!$F186="Temple",+All!M186,IF(+All!$H186="Temple",+All!M186,0))</f>
        <v>44</v>
      </c>
      <c r="N119" s="460" t="str">
        <f>IF(+All!$F186="Temple",+All!N186,IF(+All!$H186="Temple",+All!N186,0))</f>
        <v>Rutgers</v>
      </c>
      <c r="O119" s="462">
        <f>IF(+All!$F186="Temple",+All!O186,IF(+All!$H186="Temple",+All!O186,0))</f>
        <v>16</v>
      </c>
      <c r="P119" s="462" t="str">
        <f>IF(+All!$F186="Temple",+All!P186,IF(+All!$H186="Temple",+All!P186,0))</f>
        <v>Temple</v>
      </c>
      <c r="Q119" s="461">
        <f>IF(+All!$F186="Temple",+All!Q186,IF(+All!$H186="Temple",+All!Q186,0))</f>
        <v>14</v>
      </c>
      <c r="R119" s="460" t="str">
        <f>IF(+All!$F186="Temple",+All!R186,IF(+All!$H186="Temple",+All!R186,0))</f>
        <v>Temple</v>
      </c>
      <c r="S119" s="462" t="str">
        <f>IF(+All!$F186="Temple",+All!S186,IF(+All!$H186="Temple",+All!S186,0))</f>
        <v>Rutgers</v>
      </c>
      <c r="T119" s="460" t="str">
        <f>IF(+All!$F186="Temple",+All!T186,IF(+All!$H186="Temple",+All!T186,0))</f>
        <v>Rutgers</v>
      </c>
      <c r="U119" s="461" t="str">
        <f>IF(+All!$F186="Temple",+All!U186,IF(+All!$H186="Temple",+All!U186,0))</f>
        <v>L</v>
      </c>
    </row>
    <row r="120" spans="1:21" x14ac:dyDescent="0.8">
      <c r="A120" s="46">
        <f>IF(+All!$F264="Temple",+All!A264,IF(+All!$H264="Temple",+All!A264,0))</f>
        <v>4</v>
      </c>
      <c r="B120" s="348" t="str">
        <f>IF(+All!$F264="Temple",+All!B264,IF(+All!$H264="Temple",+All!B264,0))</f>
        <v>Sat</v>
      </c>
      <c r="C120" s="72">
        <f>IF(+All!$F264="Temple",+All!C264,IF(+All!$H264="Temple",+All!C264,0))</f>
        <v>44828</v>
      </c>
      <c r="D120" s="73">
        <f>IF(+All!$F264="Temple",+All!D264,IF(+All!$H264="Temple",+All!D264,0))</f>
        <v>0.58333333333333337</v>
      </c>
      <c r="E120" s="461">
        <f>IF(+All!$F264="Temple",+All!E264,IF(+All!$H264="Temple",+All!E264,0))</f>
        <v>0</v>
      </c>
      <c r="F120" s="460" t="str">
        <f>IF(+All!$F264="Temple",+All!F264,IF(+All!$H264="Temple",+All!F264,0))</f>
        <v>Massachusetts</v>
      </c>
      <c r="G120" s="461" t="str">
        <f>IF(+All!$F264="Temple",+All!G264,IF(+All!$H264="Temple",+All!G264,0))</f>
        <v>Ind</v>
      </c>
      <c r="H120" s="460" t="str">
        <f>IF(+All!$F264="Temple",+All!H264,IF(+All!$H264="Temple",+All!H264,0))</f>
        <v>Temple</v>
      </c>
      <c r="I120" s="461" t="str">
        <f>IF(+All!$F264="Temple",+All!I264,IF(+All!$H264="Temple",+All!I264,0))</f>
        <v>AAC</v>
      </c>
      <c r="J120" s="460" t="str">
        <f>IF(+All!$F264="Temple",+All!J264,IF(+All!$H264="Temple",+All!J264,0))</f>
        <v>Temple</v>
      </c>
      <c r="K120" s="461" t="str">
        <f>IF(+All!$F264="Temple",+All!K264,IF(+All!$H264="Temple",+All!K264,0))</f>
        <v>Massachusetts</v>
      </c>
      <c r="L120" s="60">
        <f>IF(+All!$F264="Temple",+All!L264,IF(+All!$H264="Temple",+All!L264,0))</f>
        <v>10</v>
      </c>
      <c r="M120" s="61">
        <f>IF(+All!$F264="Temple",+All!M264,IF(+All!$H264="Temple",+All!M264,0))</f>
        <v>43.5</v>
      </c>
      <c r="N120" s="460" t="str">
        <f>IF(+All!$F264="Temple",+All!N264,IF(+All!$H264="Temple",+All!N264,0))</f>
        <v>Temple</v>
      </c>
      <c r="O120" s="462">
        <f>IF(+All!$F264="Temple",+All!O264,IF(+All!$H264="Temple",+All!O264,0))</f>
        <v>28</v>
      </c>
      <c r="P120" s="462" t="str">
        <f>IF(+All!$F264="Temple",+All!P264,IF(+All!$H264="Temple",+All!P264,0))</f>
        <v>Massachusetts</v>
      </c>
      <c r="Q120" s="461">
        <f>IF(+All!$F264="Temple",+All!Q264,IF(+All!$H264="Temple",+All!Q264,0))</f>
        <v>0</v>
      </c>
      <c r="R120" s="460" t="str">
        <f>IF(+All!$F264="Temple",+All!R264,IF(+All!$H264="Temple",+All!R264,0))</f>
        <v>Temple</v>
      </c>
      <c r="S120" s="462" t="str">
        <f>IF(+All!$F264="Temple",+All!S264,IF(+All!$H264="Temple",+All!S264,0))</f>
        <v>Massachusetts</v>
      </c>
      <c r="T120" s="460" t="str">
        <f>IF(+All!$F264="Temple",+All!T264,IF(+All!$H264="Temple",+All!T264,0))</f>
        <v>Massachusetts</v>
      </c>
      <c r="U120" s="461" t="str">
        <f>IF(+All!$F264="Temple",+All!U264,IF(+All!$H264="Temple",+All!U264,0))</f>
        <v>L</v>
      </c>
    </row>
    <row r="121" spans="1:21" x14ac:dyDescent="0.8">
      <c r="A121" s="46">
        <f>IF(+All!$F325="Temple",+All!A325,IF(+All!$H325="Temple",+All!A325,0))</f>
        <v>5</v>
      </c>
      <c r="B121" s="348" t="str">
        <f>IF(+All!$F325="Temple",+All!B325,IF(+All!$H325="Temple",+All!B325,0))</f>
        <v>Sat</v>
      </c>
      <c r="C121" s="72">
        <f>IF(+All!$F325="Temple",+All!C325,IF(+All!$H325="Temple",+All!C325,0))</f>
        <v>44835</v>
      </c>
      <c r="D121" s="73">
        <f>IF(+All!$F325="Temple",+All!D325,IF(+All!$H325="Temple",+All!D325,0))</f>
        <v>0.5</v>
      </c>
      <c r="E121" s="461" t="str">
        <f>IF(+All!$F325="Temple",+All!E325,IF(+All!$H325="Temple",+All!E325,0))</f>
        <v>ESPNU</v>
      </c>
      <c r="F121" s="460" t="str">
        <f>IF(+All!$F325="Temple",+All!F325,IF(+All!$H325="Temple",+All!F325,0))</f>
        <v>Temple</v>
      </c>
      <c r="G121" s="461" t="str">
        <f>IF(+All!$F325="Temple",+All!G325,IF(+All!$H325="Temple",+All!G325,0))</f>
        <v>AAC</v>
      </c>
      <c r="H121" s="460" t="str">
        <f>IF(+All!$F325="Temple",+All!H325,IF(+All!$H325="Temple",+All!H325,0))</f>
        <v>Memphis</v>
      </c>
      <c r="I121" s="461" t="str">
        <f>IF(+All!$F325="Temple",+All!I325,IF(+All!$H325="Temple",+All!I325,0))</f>
        <v>AAC</v>
      </c>
      <c r="J121" s="460" t="str">
        <f>IF(+All!$F325="Temple",+All!J325,IF(+All!$H325="Temple",+All!J325,0))</f>
        <v>Memphis</v>
      </c>
      <c r="K121" s="461" t="str">
        <f>IF(+All!$F325="Temple",+All!K325,IF(+All!$H325="Temple",+All!K325,0))</f>
        <v>Temple</v>
      </c>
      <c r="L121" s="60">
        <f>IF(+All!$F325="Temple",+All!L325,IF(+All!$H325="Temple",+All!L325,0))</f>
        <v>19.5</v>
      </c>
      <c r="M121" s="61">
        <f>IF(+All!$F325="Temple",+All!M325,IF(+All!$H325="Temple",+All!M325,0))</f>
        <v>52.5</v>
      </c>
      <c r="N121" s="460" t="str">
        <f>IF(+All!$F325="Temple",+All!N325,IF(+All!$H325="Temple",+All!N325,0))</f>
        <v>Memphis</v>
      </c>
      <c r="O121" s="462">
        <f>IF(+All!$F325="Temple",+All!O325,IF(+All!$H325="Temple",+All!O325,0))</f>
        <v>24</v>
      </c>
      <c r="P121" s="462" t="str">
        <f>IF(+All!$F325="Temple",+All!P325,IF(+All!$H325="Temple",+All!P325,0))</f>
        <v>Temple</v>
      </c>
      <c r="Q121" s="461">
        <f>IF(+All!$F325="Temple",+All!Q325,IF(+All!$H325="Temple",+All!Q325,0))</f>
        <v>3</v>
      </c>
      <c r="R121" s="460" t="str">
        <f>IF(+All!$F325="Temple",+All!R325,IF(+All!$H325="Temple",+All!R325,0))</f>
        <v>Memphis</v>
      </c>
      <c r="S121" s="462" t="str">
        <f>IF(+All!$F325="Temple",+All!S325,IF(+All!$H325="Temple",+All!S325,0))</f>
        <v>Temple</v>
      </c>
      <c r="T121" s="460" t="str">
        <f>IF(+All!$F325="Temple",+All!T325,IF(+All!$H325="Temple",+All!T325,0))</f>
        <v>Memphis</v>
      </c>
      <c r="U121" s="461" t="str">
        <f>IF(+All!$F325="Temple",+All!U325,IF(+All!$H325="Temple",+All!U325,0))</f>
        <v>W</v>
      </c>
    </row>
    <row r="122" spans="1:21" x14ac:dyDescent="0.8">
      <c r="A122" s="46" t="e">
        <f>IF(+All!#REF!="Temple",+All!#REF!,IF(+All!#REF!="Temple",+All!#REF!,0))</f>
        <v>#REF!</v>
      </c>
      <c r="B122" s="348" t="e">
        <f>IF(+All!#REF!="Temple",+All!#REF!,IF(+All!#REF!="Temple",+All!#REF!,0))</f>
        <v>#REF!</v>
      </c>
      <c r="C122" s="72" t="e">
        <f>IF(+All!#REF!="Temple",+All!#REF!,IF(+All!#REF!="Temple",+All!#REF!,0))</f>
        <v>#REF!</v>
      </c>
      <c r="D122" s="73" t="e">
        <f>IF(+All!#REF!="Temple",+All!#REF!,IF(+All!#REF!="Temple",+All!#REF!,0))</f>
        <v>#REF!</v>
      </c>
      <c r="E122" s="461" t="e">
        <f>IF(+All!#REF!="Temple",+All!#REF!,IF(+All!#REF!="Temple",+All!#REF!,0))</f>
        <v>#REF!</v>
      </c>
      <c r="F122" s="460" t="e">
        <f>IF(+All!#REF!="Temple",+All!#REF!,IF(+All!#REF!="Temple",+All!#REF!,0))</f>
        <v>#REF!</v>
      </c>
      <c r="G122" s="461" t="e">
        <f>IF(+All!#REF!="Temple",+All!#REF!,IF(+All!#REF!="Temple",+All!#REF!,0))</f>
        <v>#REF!</v>
      </c>
      <c r="H122" s="460" t="e">
        <f>IF(+All!#REF!="Temple",+All!#REF!,IF(+All!#REF!="Temple",+All!#REF!,0))</f>
        <v>#REF!</v>
      </c>
      <c r="I122" s="461" t="e">
        <f>IF(+All!#REF!="Temple",+All!#REF!,IF(+All!#REF!="Temple",+All!#REF!,0))</f>
        <v>#REF!</v>
      </c>
      <c r="J122" s="460" t="e">
        <f>IF(+All!#REF!="Temple",+All!#REF!,IF(+All!#REF!="Temple",+All!#REF!,0))</f>
        <v>#REF!</v>
      </c>
      <c r="K122" s="461" t="e">
        <f>IF(+All!#REF!="Temple",+All!#REF!,IF(+All!#REF!="Temple",+All!#REF!,0))</f>
        <v>#REF!</v>
      </c>
      <c r="L122" s="60" t="e">
        <f>IF(+All!#REF!="Temple",+All!#REF!,IF(+All!#REF!="Temple",+All!#REF!,0))</f>
        <v>#REF!</v>
      </c>
      <c r="M122" s="61" t="e">
        <f>IF(+All!#REF!="Temple",+All!#REF!,IF(+All!#REF!="Temple",+All!#REF!,0))</f>
        <v>#REF!</v>
      </c>
      <c r="N122" s="460" t="e">
        <f>IF(+All!#REF!="Temple",+All!#REF!,IF(+All!#REF!="Temple",+All!#REF!,0))</f>
        <v>#REF!</v>
      </c>
      <c r="O122" s="462" t="e">
        <f>IF(+All!#REF!="Temple",+All!#REF!,IF(+All!#REF!="Temple",+All!#REF!,0))</f>
        <v>#REF!</v>
      </c>
      <c r="P122" s="462" t="e">
        <f>IF(+All!#REF!="Temple",+All!#REF!,IF(+All!#REF!="Temple",+All!#REF!,0))</f>
        <v>#REF!</v>
      </c>
      <c r="Q122" s="461" t="e">
        <f>IF(+All!#REF!="Temple",+All!#REF!,IF(+All!#REF!="Temple",+All!#REF!,0))</f>
        <v>#REF!</v>
      </c>
      <c r="R122" s="460" t="e">
        <f>IF(+All!#REF!="Temple",+All!#REF!,IF(+All!#REF!="Temple",+All!#REF!,0))</f>
        <v>#REF!</v>
      </c>
      <c r="S122" s="462" t="e">
        <f>IF(+All!#REF!="Temple",+All!#REF!,IF(+All!#REF!="Temple",+All!#REF!,0))</f>
        <v>#REF!</v>
      </c>
      <c r="T122" s="460" t="e">
        <f>IF(+All!#REF!="Temple",+All!#REF!,IF(+All!#REF!="Temple",+All!#REF!,0))</f>
        <v>#REF!</v>
      </c>
      <c r="U122" s="461" t="e">
        <f>IF(+All!#REF!="Temple",+All!#REF!,IF(+All!#REF!="Temple",+All!#REF!,0))</f>
        <v>#REF!</v>
      </c>
    </row>
    <row r="123" spans="1:21" x14ac:dyDescent="0.8">
      <c r="A123" s="46">
        <f>IF(+All!$F439="Temple",+All!A439,IF(+All!$H439="Temple",+All!A439,0))</f>
        <v>7</v>
      </c>
      <c r="B123" s="348" t="str">
        <f>IF(+All!$F439="Temple",+All!B439,IF(+All!$H439="Temple",+All!B439,0))</f>
        <v>Thurs</v>
      </c>
      <c r="C123" s="72">
        <f>IF(+All!$F439="Temple",+All!C439,IF(+All!$H439="Temple",+All!C439,0))</f>
        <v>44847</v>
      </c>
      <c r="D123" s="73">
        <f>IF(+All!$F439="Temple",+All!D439,IF(+All!$H439="Temple",+All!D439,0))</f>
        <v>0.79166666666666663</v>
      </c>
      <c r="E123" s="461" t="str">
        <f>IF(+All!$F439="Temple",+All!E439,IF(+All!$H439="Temple",+All!E439,0))</f>
        <v>ESPN</v>
      </c>
      <c r="F123" s="460" t="str">
        <f>IF(+All!$F439="Temple",+All!F439,IF(+All!$H439="Temple",+All!F439,0))</f>
        <v>Temple</v>
      </c>
      <c r="G123" s="461" t="str">
        <f>IF(+All!$F439="Temple",+All!G439,IF(+All!$H439="Temple",+All!G439,0))</f>
        <v>AAC</v>
      </c>
      <c r="H123" s="460" t="str">
        <f>IF(+All!$F439="Temple",+All!H439,IF(+All!$H439="Temple",+All!H439,0))</f>
        <v>Central Florida</v>
      </c>
      <c r="I123" s="461" t="str">
        <f>IF(+All!$F439="Temple",+All!I439,IF(+All!$H439="Temple",+All!I439,0))</f>
        <v>AAC</v>
      </c>
      <c r="J123" s="460" t="str">
        <f>IF(+All!$F439="Temple",+All!J439,IF(+All!$H439="Temple",+All!J439,0))</f>
        <v>Central Florida</v>
      </c>
      <c r="K123" s="461" t="str">
        <f>IF(+All!$F439="Temple",+All!K439,IF(+All!$H439="Temple",+All!K439,0))</f>
        <v>Temple</v>
      </c>
      <c r="L123" s="60">
        <f>IF(+All!$F439="Temple",+All!L439,IF(+All!$H439="Temple",+All!L439,0))</f>
        <v>23</v>
      </c>
      <c r="M123" s="61">
        <f>IF(+All!$F439="Temple",+All!M439,IF(+All!$H439="Temple",+All!M439,0))</f>
        <v>46</v>
      </c>
      <c r="N123" s="460" t="str">
        <f>IF(+All!$F439="Temple",+All!N439,IF(+All!$H439="Temple",+All!N439,0))</f>
        <v>Central Florida</v>
      </c>
      <c r="O123" s="462">
        <f>IF(+All!$F439="Temple",+All!O439,IF(+All!$H439="Temple",+All!O439,0))</f>
        <v>70</v>
      </c>
      <c r="P123" s="462" t="str">
        <f>IF(+All!$F439="Temple",+All!P439,IF(+All!$H439="Temple",+All!P439,0))</f>
        <v>Temple</v>
      </c>
      <c r="Q123" s="461">
        <f>IF(+All!$F439="Temple",+All!Q439,IF(+All!$H439="Temple",+All!Q439,0))</f>
        <v>13</v>
      </c>
      <c r="R123" s="460" t="str">
        <f>IF(+All!$F439="Temple",+All!R439,IF(+All!$H439="Temple",+All!R439,0))</f>
        <v>Central Florida</v>
      </c>
      <c r="S123" s="462" t="str">
        <f>IF(+All!$F439="Temple",+All!S439,IF(+All!$H439="Temple",+All!S439,0))</f>
        <v>Temple</v>
      </c>
      <c r="T123" s="460" t="str">
        <f>IF(+All!$F439="Temple",+All!T439,IF(+All!$H439="Temple",+All!T439,0))</f>
        <v>Temple</v>
      </c>
      <c r="U123" s="461" t="str">
        <f>IF(+All!$F439="Temple",+All!U439,IF(+All!$H439="Temple",+All!U439,0))</f>
        <v>L</v>
      </c>
    </row>
    <row r="124" spans="1:21" x14ac:dyDescent="0.8">
      <c r="A124" s="46">
        <f>IF(+All!$F494="Temple",+All!A494,IF(+All!$H494="Temple",+All!A494,0))</f>
        <v>8</v>
      </c>
      <c r="B124" s="348" t="str">
        <f>IF(+All!$F494="Temple",+All!B494,IF(+All!$H494="Temple",+All!B494,0))</f>
        <v>Fri</v>
      </c>
      <c r="C124" s="72">
        <f>IF(+All!$F494="Temple",+All!C494,IF(+All!$H494="Temple",+All!C494,0))</f>
        <v>44855</v>
      </c>
      <c r="D124" s="73">
        <f>IF(+All!$F494="Temple",+All!D494,IF(+All!$H494="Temple",+All!D494,0))</f>
        <v>0.8125</v>
      </c>
      <c r="E124" s="461" t="str">
        <f>IF(+All!$F494="Temple",+All!E494,IF(+All!$H494="Temple",+All!E494,0))</f>
        <v>ESPN2</v>
      </c>
      <c r="F124" s="460" t="str">
        <f>IF(+All!$F494="Temple",+All!F494,IF(+All!$H494="Temple",+All!F494,0))</f>
        <v>Tulsa</v>
      </c>
      <c r="G124" s="461" t="str">
        <f>IF(+All!$F494="Temple",+All!G494,IF(+All!$H494="Temple",+All!G494,0))</f>
        <v>AAC</v>
      </c>
      <c r="H124" s="460" t="str">
        <f>IF(+All!$F494="Temple",+All!H494,IF(+All!$H494="Temple",+All!H494,0))</f>
        <v>Temple</v>
      </c>
      <c r="I124" s="461" t="str">
        <f>IF(+All!$F494="Temple",+All!I494,IF(+All!$H494="Temple",+All!I494,0))</f>
        <v>AAC</v>
      </c>
      <c r="J124" s="460" t="str">
        <f>IF(+All!$F494="Temple",+All!J494,IF(+All!$H494="Temple",+All!J494,0))</f>
        <v>Tulsa</v>
      </c>
      <c r="K124" s="461" t="str">
        <f>IF(+All!$F494="Temple",+All!K494,IF(+All!$H494="Temple",+All!K494,0))</f>
        <v>Temple</v>
      </c>
      <c r="L124" s="60">
        <f>IF(+All!$F494="Temple",+All!L494,IF(+All!$H494="Temple",+All!L494,0))</f>
        <v>13</v>
      </c>
      <c r="M124" s="61">
        <f>IF(+All!$F494="Temple",+All!M494,IF(+All!$H494="Temple",+All!M494,0))</f>
        <v>52.5</v>
      </c>
      <c r="N124" s="460" t="str">
        <f>IF(+All!$F494="Temple",+All!N494,IF(+All!$H494="Temple",+All!N494,0))</f>
        <v>Tulsa</v>
      </c>
      <c r="O124" s="462">
        <f>IF(+All!$F494="Temple",+All!O494,IF(+All!$H494="Temple",+All!O494,0))</f>
        <v>27</v>
      </c>
      <c r="P124" s="462" t="str">
        <f>IF(+All!$F494="Temple",+All!P494,IF(+All!$H494="Temple",+All!P494,0))</f>
        <v>Temple</v>
      </c>
      <c r="Q124" s="461">
        <f>IF(+All!$F494="Temple",+All!Q494,IF(+All!$H494="Temple",+All!Q494,0))</f>
        <v>16</v>
      </c>
      <c r="R124" s="460" t="str">
        <f>IF(+All!$F494="Temple",+All!R494,IF(+All!$H494="Temple",+All!R494,0))</f>
        <v>Temple</v>
      </c>
      <c r="S124" s="462" t="str">
        <f>IF(+All!$F494="Temple",+All!S494,IF(+All!$H494="Temple",+All!S494,0))</f>
        <v>Tulsa</v>
      </c>
      <c r="T124" s="460" t="str">
        <f>IF(+All!$F494="Temple",+All!T494,IF(+All!$H494="Temple",+All!T494,0))</f>
        <v>Temple</v>
      </c>
      <c r="U124" s="461" t="str">
        <f>IF(+All!$F494="Temple",+All!U494,IF(+All!$H494="Temple",+All!U494,0))</f>
        <v>W</v>
      </c>
    </row>
    <row r="125" spans="1:21" x14ac:dyDescent="0.8">
      <c r="A125" s="46">
        <f>IF(+All!$F552="Temple",+All!A552,IF(+All!$H552="Temple",+All!A552,0))</f>
        <v>9</v>
      </c>
      <c r="B125" s="348" t="str">
        <f>IF(+All!$F552="Temple",+All!B552,IF(+All!$H552="Temple",+All!B552,0))</f>
        <v>Sat</v>
      </c>
      <c r="C125" s="72">
        <f>IF(+All!$F552="Temple",+All!C552,IF(+All!$H552="Temple",+All!C552,0))</f>
        <v>44863</v>
      </c>
      <c r="D125" s="73">
        <f>IF(+All!$F552="Temple",+All!D552,IF(+All!$H552="Temple",+All!D552,0))</f>
        <v>0.64583333333333337</v>
      </c>
      <c r="E125" s="461">
        <f>IF(+All!$F552="Temple",+All!E552,IF(+All!$H552="Temple",+All!E552,0))</f>
        <v>0</v>
      </c>
      <c r="F125" s="460" t="str">
        <f>IF(+All!$F552="Temple",+All!F552,IF(+All!$H552="Temple",+All!F552,0))</f>
        <v>Temple</v>
      </c>
      <c r="G125" s="461" t="str">
        <f>IF(+All!$F552="Temple",+All!G552,IF(+All!$H552="Temple",+All!G552,0))</f>
        <v>AAC</v>
      </c>
      <c r="H125" s="460" t="str">
        <f>IF(+All!$F552="Temple",+All!H552,IF(+All!$H552="Temple",+All!H552,0))</f>
        <v>Navy</v>
      </c>
      <c r="I125" s="461" t="str">
        <f>IF(+All!$F552="Temple",+All!I552,IF(+All!$H552="Temple",+All!I552,0))</f>
        <v>AAC</v>
      </c>
      <c r="J125" s="460" t="str">
        <f>IF(+All!$F552="Temple",+All!J552,IF(+All!$H552="Temple",+All!J552,0))</f>
        <v>Temple</v>
      </c>
      <c r="K125" s="461" t="str">
        <f>IF(+All!$F552="Temple",+All!K552,IF(+All!$H552="Temple",+All!K552,0))</f>
        <v>Navy</v>
      </c>
      <c r="L125" s="60">
        <f>IF(+All!$F552="Temple",+All!L552,IF(+All!$H552="Temple",+All!L552,0))</f>
        <v>13.5</v>
      </c>
      <c r="M125" s="61">
        <f>IF(+All!$F552="Temple",+All!M552,IF(+All!$H552="Temple",+All!M552,0))</f>
        <v>40.5</v>
      </c>
      <c r="N125" s="460" t="str">
        <f>IF(+All!$F552="Temple",+All!N552,IF(+All!$H552="Temple",+All!N552,0))</f>
        <v>Navy</v>
      </c>
      <c r="O125" s="462">
        <f>IF(+All!$F552="Temple",+All!O552,IF(+All!$H552="Temple",+All!O552,0))</f>
        <v>27</v>
      </c>
      <c r="P125" s="462" t="str">
        <f>IF(+All!$F552="Temple",+All!P552,IF(+All!$H552="Temple",+All!P552,0))</f>
        <v>Temple</v>
      </c>
      <c r="Q125" s="461">
        <f>IF(+All!$F552="Temple",+All!Q552,IF(+All!$H552="Temple",+All!Q552,0))</f>
        <v>20</v>
      </c>
      <c r="R125" s="460" t="str">
        <f>IF(+All!$F552="Temple",+All!R552,IF(+All!$H552="Temple",+All!R552,0))</f>
        <v>Navy</v>
      </c>
      <c r="S125" s="462" t="str">
        <f>IF(+All!$F552="Temple",+All!S552,IF(+All!$H552="Temple",+All!S552,0))</f>
        <v>Temple</v>
      </c>
      <c r="T125" s="460" t="str">
        <f>IF(+All!$F552="Temple",+All!T552,IF(+All!$H552="Temple",+All!T552,0))</f>
        <v>Navy</v>
      </c>
      <c r="U125" s="461" t="str">
        <f>IF(+All!$F552="Temple",+All!U552,IF(+All!$H552="Temple",+All!U552,0))</f>
        <v>W</v>
      </c>
    </row>
    <row r="126" spans="1:21" x14ac:dyDescent="0.8">
      <c r="A126" s="46">
        <f>IF(+All!$F605="Temple",+All!A605,IF(+All!$H605="Temple",+All!A605,0))</f>
        <v>10</v>
      </c>
      <c r="B126" s="348" t="str">
        <f>IF(+All!$F605="Temple",+All!B605,IF(+All!$H605="Temple",+All!B605,0))</f>
        <v>Sat</v>
      </c>
      <c r="C126" s="72">
        <f>IF(+All!$F605="Temple",+All!C605,IF(+All!$H605="Temple",+All!C605,0))</f>
        <v>44870</v>
      </c>
      <c r="D126" s="73">
        <f>IF(+All!$F605="Temple",+All!D605,IF(+All!$H605="Temple",+All!D605,0))</f>
        <v>0.58333333333333337</v>
      </c>
      <c r="E126" s="461">
        <f>IF(+All!$F605="Temple",+All!E605,IF(+All!$H605="Temple",+All!E605,0))</f>
        <v>0</v>
      </c>
      <c r="F126" s="460" t="str">
        <f>IF(+All!$F605="Temple",+All!F605,IF(+All!$H605="Temple",+All!F605,0))</f>
        <v>South Florida</v>
      </c>
      <c r="G126" s="461" t="str">
        <f>IF(+All!$F605="Temple",+All!G605,IF(+All!$H605="Temple",+All!G605,0))</f>
        <v>AAC</v>
      </c>
      <c r="H126" s="460" t="str">
        <f>IF(+All!$F605="Temple",+All!H605,IF(+All!$H605="Temple",+All!H605,0))</f>
        <v>Temple</v>
      </c>
      <c r="I126" s="461" t="str">
        <f>IF(+All!$F605="Temple",+All!I605,IF(+All!$H605="Temple",+All!I605,0))</f>
        <v>AAC</v>
      </c>
      <c r="J126" s="460" t="str">
        <f>IF(+All!$F605="Temple",+All!J605,IF(+All!$H605="Temple",+All!J605,0))</f>
        <v>South Florida</v>
      </c>
      <c r="K126" s="461" t="str">
        <f>IF(+All!$F605="Temple",+All!K605,IF(+All!$H605="Temple",+All!K605,0))</f>
        <v>Temple</v>
      </c>
      <c r="L126" s="60">
        <f>IF(+All!$F605="Temple",+All!L605,IF(+All!$H605="Temple",+All!L605,0))</f>
        <v>3</v>
      </c>
      <c r="M126" s="61">
        <f>IF(+All!$F605="Temple",+All!M605,IF(+All!$H605="Temple",+All!M605,0))</f>
        <v>51</v>
      </c>
      <c r="N126" s="460" t="str">
        <f>IF(+All!$F605="Temple",+All!N605,IF(+All!$H605="Temple",+All!N605,0))</f>
        <v>Temple</v>
      </c>
      <c r="O126" s="462">
        <f>IF(+All!$F605="Temple",+All!O605,IF(+All!$H605="Temple",+All!O605,0))</f>
        <v>54</v>
      </c>
      <c r="P126" s="462" t="str">
        <f>IF(+All!$F605="Temple",+All!P605,IF(+All!$H605="Temple",+All!P605,0))</f>
        <v>South Florida</v>
      </c>
      <c r="Q126" s="461">
        <f>IF(+All!$F605="Temple",+All!Q605,IF(+All!$H605="Temple",+All!Q605,0))</f>
        <v>28</v>
      </c>
      <c r="R126" s="460" t="str">
        <f>IF(+All!$F605="Temple",+All!R605,IF(+All!$H605="Temple",+All!R605,0))</f>
        <v>Temple</v>
      </c>
      <c r="S126" s="462" t="str">
        <f>IF(+All!$F605="Temple",+All!S605,IF(+All!$H605="Temple",+All!S605,0))</f>
        <v>South Florida</v>
      </c>
      <c r="T126" s="460" t="str">
        <f>IF(+All!$F605="Temple",+All!T605,IF(+All!$H605="Temple",+All!T605,0))</f>
        <v>South Florida</v>
      </c>
      <c r="U126" s="461" t="str">
        <f>IF(+All!$F605="Temple",+All!U605,IF(+All!$H605="Temple",+All!U605,0))</f>
        <v>L</v>
      </c>
    </row>
    <row r="127" spans="1:21" x14ac:dyDescent="0.8">
      <c r="A127" s="46">
        <f>IF(+All!$F664="Temple",+All!A664,IF(+All!$H664="Temple",+All!A664,0))</f>
        <v>11</v>
      </c>
      <c r="B127" s="348" t="str">
        <f>IF(+All!$F664="Temple",+All!B664,IF(+All!$H664="Temple",+All!B664,0))</f>
        <v>Sat</v>
      </c>
      <c r="C127" s="72">
        <f>IF(+All!$F664="Temple",+All!C664,IF(+All!$H664="Temple",+All!C664,0))</f>
        <v>44877</v>
      </c>
      <c r="D127" s="73">
        <f>IF(+All!$F664="Temple",+All!D664,IF(+All!$H664="Temple",+All!D664,0))</f>
        <v>0.625</v>
      </c>
      <c r="E127" s="461">
        <f>IF(+All!$F664="Temple",+All!E664,IF(+All!$H664="Temple",+All!E664,0))</f>
        <v>0</v>
      </c>
      <c r="F127" s="460" t="str">
        <f>IF(+All!$F664="Temple",+All!F664,IF(+All!$H664="Temple",+All!F664,0))</f>
        <v>Temple</v>
      </c>
      <c r="G127" s="461" t="str">
        <f>IF(+All!$F664="Temple",+All!G664,IF(+All!$H664="Temple",+All!G664,0))</f>
        <v>AAC</v>
      </c>
      <c r="H127" s="460" t="str">
        <f>IF(+All!$F664="Temple",+All!H664,IF(+All!$H664="Temple",+All!H664,0))</f>
        <v>Houston</v>
      </c>
      <c r="I127" s="461" t="str">
        <f>IF(+All!$F664="Temple",+All!I664,IF(+All!$H664="Temple",+All!I664,0))</f>
        <v>AAC</v>
      </c>
      <c r="J127" s="460" t="str">
        <f>IF(+All!$F664="Temple",+All!J664,IF(+All!$H664="Temple",+All!J664,0))</f>
        <v>Houston</v>
      </c>
      <c r="K127" s="461" t="str">
        <f>IF(+All!$F664="Temple",+All!K664,IF(+All!$H664="Temple",+All!K664,0))</f>
        <v>Temple</v>
      </c>
      <c r="L127" s="60">
        <f>IF(+All!$F664="Temple",+All!L664,IF(+All!$H664="Temple",+All!L664,0))</f>
        <v>20</v>
      </c>
      <c r="M127" s="61">
        <f>IF(+All!$F664="Temple",+All!M664,IF(+All!$H664="Temple",+All!M664,0))</f>
        <v>57</v>
      </c>
      <c r="N127" s="460" t="str">
        <f>IF(+All!$F664="Temple",+All!N664,IF(+All!$H664="Temple",+All!N664,0))</f>
        <v>Houston</v>
      </c>
      <c r="O127" s="462">
        <f>IF(+All!$F664="Temple",+All!O664,IF(+All!$H664="Temple",+All!O664,0))</f>
        <v>43</v>
      </c>
      <c r="P127" s="462" t="str">
        <f>IF(+All!$F664="Temple",+All!P664,IF(+All!$H664="Temple",+All!P664,0))</f>
        <v>Temple</v>
      </c>
      <c r="Q127" s="461">
        <f>IF(+All!$F664="Temple",+All!Q664,IF(+All!$H664="Temple",+All!Q664,0))</f>
        <v>36</v>
      </c>
      <c r="R127" s="460" t="str">
        <f>IF(+All!$F664="Temple",+All!R664,IF(+All!$H664="Temple",+All!R664,0))</f>
        <v>Temple</v>
      </c>
      <c r="S127" s="462" t="str">
        <f>IF(+All!$F664="Temple",+All!S664,IF(+All!$H664="Temple",+All!S664,0))</f>
        <v>Houston</v>
      </c>
      <c r="T127" s="460" t="str">
        <f>IF(+All!$F664="Temple",+All!T664,IF(+All!$H664="Temple",+All!T664,0))</f>
        <v>Houston</v>
      </c>
      <c r="U127" s="461" t="str">
        <f>IF(+All!$F664="Temple",+All!U664,IF(+All!$H664="Temple",+All!U664,0))</f>
        <v>L</v>
      </c>
    </row>
    <row r="128" spans="1:21" x14ac:dyDescent="0.8">
      <c r="A128" s="46">
        <f>IF(+All!$F729="Temple",+All!A729,IF(+All!$H729="Temple",+All!A729,0))</f>
        <v>12</v>
      </c>
      <c r="B128" s="348" t="str">
        <f>IF(+All!$F729="Temple",+All!B729,IF(+All!$H729="Temple",+All!B729,0))</f>
        <v>Sat</v>
      </c>
      <c r="C128" s="72">
        <f>IF(+All!$F729="Temple",+All!C729,IF(+All!$H729="Temple",+All!C729,0))</f>
        <v>44884</v>
      </c>
      <c r="D128" s="73">
        <f>IF(+All!$F729="Temple",+All!D729,IF(+All!$H729="Temple",+All!D729,0))</f>
        <v>0.66666666666666663</v>
      </c>
      <c r="E128" s="461" t="str">
        <f>IF(+All!$F729="Temple",+All!E729,IF(+All!$H729="Temple",+All!E729,0))</f>
        <v>ESPNU</v>
      </c>
      <c r="F128" s="460" t="str">
        <f>IF(+All!$F729="Temple",+All!F729,IF(+All!$H729="Temple",+All!F729,0))</f>
        <v>Cincinnati</v>
      </c>
      <c r="G128" s="461" t="str">
        <f>IF(+All!$F729="Temple",+All!G729,IF(+All!$H729="Temple",+All!G729,0))</f>
        <v>AAC</v>
      </c>
      <c r="H128" s="460" t="str">
        <f>IF(+All!$F729="Temple",+All!H729,IF(+All!$H729="Temple",+All!H729,0))</f>
        <v>Temple</v>
      </c>
      <c r="I128" s="461" t="str">
        <f>IF(+All!$F729="Temple",+All!I729,IF(+All!$H729="Temple",+All!I729,0))</f>
        <v>AAC</v>
      </c>
      <c r="J128" s="460" t="str">
        <f>IF(+All!$F729="Temple",+All!J729,IF(+All!$H729="Temple",+All!J729,0))</f>
        <v>Cincinnati</v>
      </c>
      <c r="K128" s="461" t="str">
        <f>IF(+All!$F729="Temple",+All!K729,IF(+All!$H729="Temple",+All!K729,0))</f>
        <v>Temple</v>
      </c>
      <c r="L128" s="60">
        <f>IF(+All!$F729="Temple",+All!L729,IF(+All!$H729="Temple",+All!L729,0))</f>
        <v>17</v>
      </c>
      <c r="M128" s="61">
        <f>IF(+All!$F729="Temple",+All!M729,IF(+All!$H729="Temple",+All!M729,0))</f>
        <v>50.5</v>
      </c>
      <c r="N128" s="460" t="str">
        <f>IF(+All!$F729="Temple",+All!N729,IF(+All!$H729="Temple",+All!N729,0))</f>
        <v>Cincinnati</v>
      </c>
      <c r="O128" s="462">
        <f>IF(+All!$F729="Temple",+All!O729,IF(+All!$H729="Temple",+All!O729,0))</f>
        <v>23</v>
      </c>
      <c r="P128" s="462" t="str">
        <f>IF(+All!$F729="Temple",+All!P729,IF(+All!$H729="Temple",+All!P729,0))</f>
        <v>Temple</v>
      </c>
      <c r="Q128" s="461">
        <f>IF(+All!$F729="Temple",+All!Q729,IF(+All!$H729="Temple",+All!Q729,0))</f>
        <v>3</v>
      </c>
      <c r="R128" s="460" t="str">
        <f>IF(+All!$F729="Temple",+All!R729,IF(+All!$H729="Temple",+All!R729,0))</f>
        <v>Cincinnati</v>
      </c>
      <c r="S128" s="462" t="str">
        <f>IF(+All!$F729="Temple",+All!S729,IF(+All!$H729="Temple",+All!S729,0))</f>
        <v>Temple</v>
      </c>
      <c r="T128" s="460" t="str">
        <f>IF(+All!$F729="Temple",+All!T729,IF(+All!$H729="Temple",+All!T729,0))</f>
        <v>Cincinnati</v>
      </c>
      <c r="U128" s="461" t="str">
        <f>IF(+All!$F729="Temple",+All!U729,IF(+All!$H729="Temple",+All!U729,0))</f>
        <v>W</v>
      </c>
    </row>
    <row r="129" spans="1:21" x14ac:dyDescent="0.8">
      <c r="A129" s="46">
        <f>IF(+All!$F802="Temple",+All!A802,IF(+All!$H802="Temple",+All!A802,0))</f>
        <v>13</v>
      </c>
      <c r="B129" s="348" t="str">
        <f>IF(+All!$F802="Temple",+All!B802,IF(+All!$H802="Temple",+All!B802,0))</f>
        <v>Sat</v>
      </c>
      <c r="C129" s="72">
        <f>IF(+All!$F802="Temple",+All!C802,IF(+All!$H802="Temple",+All!C802,0))</f>
        <v>44891</v>
      </c>
      <c r="D129" s="73">
        <f>IF(+All!$F802="Temple",+All!D802,IF(+All!$H802="Temple",+All!D802,0))</f>
        <v>0.54166666666666663</v>
      </c>
      <c r="E129" s="461">
        <f>IF(+All!$F802="Temple",+All!E802,IF(+All!$H802="Temple",+All!E802,0))</f>
        <v>0</v>
      </c>
      <c r="F129" s="460" t="str">
        <f>IF(+All!$F802="Temple",+All!F802,IF(+All!$H802="Temple",+All!F802,0))</f>
        <v>East Carolina</v>
      </c>
      <c r="G129" s="461" t="str">
        <f>IF(+All!$F802="Temple",+All!G802,IF(+All!$H802="Temple",+All!G802,0))</f>
        <v>AAC</v>
      </c>
      <c r="H129" s="460" t="str">
        <f>IF(+All!$F802="Temple",+All!H802,IF(+All!$H802="Temple",+All!H802,0))</f>
        <v>Temple</v>
      </c>
      <c r="I129" s="461" t="str">
        <f>IF(+All!$F802="Temple",+All!I802,IF(+All!$H802="Temple",+All!I802,0))</f>
        <v>AAC</v>
      </c>
      <c r="J129" s="460" t="str">
        <f>IF(+All!$F802="Temple",+All!J802,IF(+All!$H802="Temple",+All!J802,0))</f>
        <v>East Carolina</v>
      </c>
      <c r="K129" s="461" t="str">
        <f>IF(+All!$F802="Temple",+All!K802,IF(+All!$H802="Temple",+All!K802,0))</f>
        <v>Temple</v>
      </c>
      <c r="L129" s="60">
        <f>IF(+All!$F802="Temple",+All!L802,IF(+All!$H802="Temple",+All!L802,0))</f>
        <v>9.5</v>
      </c>
      <c r="M129" s="61">
        <f>IF(+All!$F802="Temple",+All!M802,IF(+All!$H802="Temple",+All!M802,0))</f>
        <v>51.5</v>
      </c>
      <c r="N129" s="460" t="str">
        <f>IF(+All!$F802="Temple",+All!N802,IF(+All!$H802="Temple",+All!N802,0))</f>
        <v>East Carolina</v>
      </c>
      <c r="O129" s="462">
        <f>IF(+All!$F802="Temple",+All!O802,IF(+All!$H802="Temple",+All!O802,0))</f>
        <v>49</v>
      </c>
      <c r="P129" s="462" t="str">
        <f>IF(+All!$F802="Temple",+All!P802,IF(+All!$H802="Temple",+All!P802,0))</f>
        <v>Temple</v>
      </c>
      <c r="Q129" s="461">
        <f>IF(+All!$F802="Temple",+All!Q802,IF(+All!$H802="Temple",+All!Q802,0))</f>
        <v>46</v>
      </c>
      <c r="R129" s="460" t="str">
        <f>IF(+All!$F802="Temple",+All!R802,IF(+All!$H802="Temple",+All!R802,0))</f>
        <v>Temple</v>
      </c>
      <c r="S129" s="462" t="str">
        <f>IF(+All!$F802="Temple",+All!S802,IF(+All!$H802="Temple",+All!S802,0))</f>
        <v>East Carolina</v>
      </c>
      <c r="T129" s="460" t="str">
        <f>IF(+All!$F802="Temple",+All!T802,IF(+All!$H802="Temple",+All!T802,0))</f>
        <v>East Carolina</v>
      </c>
      <c r="U129" s="461" t="str">
        <f>IF(+All!$F802="Temple",+All!U802,IF(+All!$H802="Temple",+All!U802,0))</f>
        <v>L</v>
      </c>
    </row>
    <row r="130" spans="1:21" x14ac:dyDescent="0.8">
      <c r="B130" s="46"/>
      <c r="C130" s="62"/>
      <c r="D130" s="490"/>
      <c r="E130" s="461"/>
      <c r="F130" s="897" t="str">
        <f>H132</f>
        <v>Tulane</v>
      </c>
      <c r="G130" s="898"/>
      <c r="H130" s="898"/>
      <c r="I130" s="899"/>
      <c r="J130" s="460"/>
      <c r="K130" s="461"/>
      <c r="L130" s="54"/>
      <c r="M130" s="55"/>
      <c r="N130" s="460"/>
      <c r="O130" s="462"/>
      <c r="P130" s="462"/>
      <c r="Q130" s="461"/>
      <c r="R130" s="460"/>
      <c r="S130" s="462"/>
      <c r="T130" s="460"/>
      <c r="U130" s="461"/>
    </row>
    <row r="131" spans="1:21" x14ac:dyDescent="0.8">
      <c r="A131" s="46">
        <f>IF(+All!$F71="Tulane",+All!A71,IF(+All!$H71="Tulane",+All!A71,0))</f>
        <v>1</v>
      </c>
      <c r="B131" s="348" t="str">
        <f>IF(+All!$F71="Tulane",+All!B71,IF(+All!$H71="Tulane",+All!B71,0))</f>
        <v>Sat</v>
      </c>
      <c r="C131" s="72">
        <f>IF(+All!$F71="Tulane",+All!C71,IF(+All!$H71="Tulane",+All!C71,0))</f>
        <v>44807</v>
      </c>
      <c r="D131" s="73">
        <f>IF(+All!$F71="Tulane",+All!D71,IF(+All!$H71="Tulane",+All!D71,0))</f>
        <v>0.79166666666666663</v>
      </c>
      <c r="E131" s="461">
        <f>IF(+All!$F71="Tulane",+All!E71,IF(+All!$H71="Tulane",+All!E71,0))</f>
        <v>0</v>
      </c>
      <c r="F131" s="460" t="str">
        <f>IF(+All!$F71="Tulane",+All!F71,IF(+All!$H71="Tulane",+All!F71,0))</f>
        <v>Massachusetts</v>
      </c>
      <c r="G131" s="461" t="str">
        <f>IF(+All!$F71="Tulane",+All!G71,IF(+All!$H71="Tulane",+All!G71,0))</f>
        <v>Ind</v>
      </c>
      <c r="H131" s="460" t="str">
        <f>IF(+All!$F71="Tulane",+All!H71,IF(+All!$H71="Tulane",+All!H71,0))</f>
        <v>Tulane</v>
      </c>
      <c r="I131" s="461" t="str">
        <f>IF(+All!$F71="Tulane",+All!I71,IF(+All!$H71="Tulane",+All!I71,0))</f>
        <v>AAC</v>
      </c>
      <c r="J131" s="460" t="str">
        <f>IF(+All!$F71="Tulane",+All!J71,IF(+All!$H71="Tulane",+All!J71,0))</f>
        <v>Tulane</v>
      </c>
      <c r="K131" s="461" t="str">
        <f>IF(+All!$F71="Tulane",+All!K71,IF(+All!$H71="Tulane",+All!K71,0))</f>
        <v>Massachusetts</v>
      </c>
      <c r="L131" s="60">
        <f>IF(+All!$F71="Tulane",+All!L71,IF(+All!$H71="Tulane",+All!L71,0))</f>
        <v>29</v>
      </c>
      <c r="M131" s="61">
        <f>IF(+All!$F71="Tulane",+All!M71,IF(+All!$H71="Tulane",+All!M71,0))</f>
        <v>59</v>
      </c>
      <c r="N131" s="460" t="str">
        <f>IF(+All!$F71="Tulane",+All!N71,IF(+All!$H71="Tulane",+All!N71,0))</f>
        <v>Tulane</v>
      </c>
      <c r="O131" s="462">
        <f>IF(+All!$F71="Tulane",+All!O71,IF(+All!$H71="Tulane",+All!O71,0))</f>
        <v>42</v>
      </c>
      <c r="P131" s="462" t="str">
        <f>IF(+All!$F71="Tulane",+All!P71,IF(+All!$H71="Tulane",+All!P71,0))</f>
        <v>Massachusetts</v>
      </c>
      <c r="Q131" s="461">
        <f>IF(+All!$F71="Tulane",+All!Q71,IF(+All!$H71="Tulane",+All!Q71,0))</f>
        <v>10</v>
      </c>
      <c r="R131" s="460" t="str">
        <f>IF(+All!$F71="Tulane",+All!R71,IF(+All!$H71="Tulane",+All!R71,0))</f>
        <v>Tulane</v>
      </c>
      <c r="S131" s="462" t="str">
        <f>IF(+All!$F71="Tulane",+All!S71,IF(+All!$H71="Tulane",+All!S71,0))</f>
        <v>Massachusetts</v>
      </c>
      <c r="T131" s="460" t="str">
        <f>IF(+All!$F71="Tulane",+All!T71,IF(+All!$H71="Tulane",+All!T71,0))</f>
        <v>Massachusetts</v>
      </c>
      <c r="U131" s="461" t="str">
        <f>IF(+All!$F71="Tulane",+All!U71,IF(+All!$H71="Tulane",+All!U71,0))</f>
        <v>L</v>
      </c>
    </row>
    <row r="132" spans="1:21" x14ac:dyDescent="0.8">
      <c r="A132" s="46">
        <f>IF(+All!$F106="Tulane",+All!A106,IF(+All!$H106="Tulane",+All!A106,0))</f>
        <v>2</v>
      </c>
      <c r="B132" s="348" t="str">
        <f>IF(+All!$F106="Tulane",+All!B106,IF(+All!$H106="Tulane",+All!B106,0))</f>
        <v>Sat</v>
      </c>
      <c r="C132" s="72">
        <f>IF(+All!$F106="Tulane",+All!C106,IF(+All!$H106="Tulane",+All!C106,0))</f>
        <v>44814</v>
      </c>
      <c r="D132" s="73">
        <f>IF(+All!$F106="Tulane",+All!D106,IF(+All!$H106="Tulane",+All!D106,0))</f>
        <v>0.79166666666666663</v>
      </c>
      <c r="E132" s="461">
        <f>IF(+All!$F106="Tulane",+All!E106,IF(+All!$H106="Tulane",+All!E106,0))</f>
        <v>0</v>
      </c>
      <c r="F132" s="460" t="str">
        <f>IF(+All!$F106="Tulane",+All!F106,IF(+All!$H106="Tulane",+All!F106,0))</f>
        <v>1AA Alcorn State</v>
      </c>
      <c r="G132" s="461" t="str">
        <f>IF(+All!$F106="Tulane",+All!G106,IF(+All!$H106="Tulane",+All!G106,0))</f>
        <v>1AA</v>
      </c>
      <c r="H132" s="460" t="str">
        <f>IF(+All!$F106="Tulane",+All!H106,IF(+All!$H106="Tulane",+All!H106,0))</f>
        <v>Tulane</v>
      </c>
      <c r="I132" s="461" t="str">
        <f>IF(+All!$F106="Tulane",+All!I106,IF(+All!$H106="Tulane",+All!I106,0))</f>
        <v>AAC</v>
      </c>
      <c r="J132" s="460">
        <f>IF(+All!$F106="Tulane",+All!J106,IF(+All!$H106="Tulane",+All!J106,0))</f>
        <v>0</v>
      </c>
      <c r="K132" s="461">
        <f>IF(+All!$F106="Tulane",+All!K106,IF(+All!$H106="Tulane",+All!K106,0))</f>
        <v>0</v>
      </c>
      <c r="L132" s="60">
        <f>IF(+All!$F106="Tulane",+All!L106,IF(+All!$H106="Tulane",+All!L106,0))</f>
        <v>0</v>
      </c>
      <c r="M132" s="61">
        <f>IF(+All!$F106="Tulane",+All!M106,IF(+All!$H106="Tulane",+All!M106,0))</f>
        <v>0</v>
      </c>
      <c r="N132" s="460" t="str">
        <f>IF(+All!$F106="Tulane",+All!N106,IF(+All!$H106="Tulane",+All!N106,0))</f>
        <v>Tulane</v>
      </c>
      <c r="O132" s="462">
        <f>IF(+All!$F106="Tulane",+All!O106,IF(+All!$H106="Tulane",+All!O106,0))</f>
        <v>52</v>
      </c>
      <c r="P132" s="462" t="str">
        <f>IF(+All!$F106="Tulane",+All!P106,IF(+All!$H106="Tulane",+All!P106,0))</f>
        <v>1AA Alcorn State</v>
      </c>
      <c r="Q132" s="461">
        <f>IF(+All!$F106="Tulane",+All!Q106,IF(+All!$H106="Tulane",+All!Q106,0))</f>
        <v>0</v>
      </c>
      <c r="R132" s="460">
        <f>IF(+All!$F106="Tulane",+All!R106,IF(+All!$H106="Tulane",+All!R106,0))</f>
        <v>0</v>
      </c>
      <c r="S132" s="462">
        <f>IF(+All!$F106="Tulane",+All!S106,IF(+All!$H106="Tulane",+All!S106,0))</f>
        <v>0</v>
      </c>
      <c r="T132" s="460">
        <f>IF(+All!$F106="Tulane",+All!T106,IF(+All!$H106="Tulane",+All!T106,0))</f>
        <v>0</v>
      </c>
      <c r="U132" s="461">
        <f>IF(+All!$F106="Tulane",+All!U106,IF(+All!$H106="Tulane",+All!U106,0))</f>
        <v>0</v>
      </c>
    </row>
    <row r="133" spans="1:21" x14ac:dyDescent="0.8">
      <c r="A133" s="46">
        <f>IF(+All!$F208="Tulane",+All!A208,IF(+All!$H208="Tulane",+All!A208,0))</f>
        <v>3</v>
      </c>
      <c r="B133" s="348" t="str">
        <f>IF(+All!$F208="Tulane",+All!B208,IF(+All!$H208="Tulane",+All!B208,0))</f>
        <v>Sat</v>
      </c>
      <c r="C133" s="72">
        <f>IF(+All!$F208="Tulane",+All!C208,IF(+All!$H208="Tulane",+All!C208,0))</f>
        <v>44821</v>
      </c>
      <c r="D133" s="73">
        <f>IF(+All!$F208="Tulane",+All!D208,IF(+All!$H208="Tulane",+All!D208,0))</f>
        <v>0.625</v>
      </c>
      <c r="E133" s="461">
        <f>IF(+All!$F208="Tulane",+All!E208,IF(+All!$H208="Tulane",+All!E208,0))</f>
        <v>0</v>
      </c>
      <c r="F133" s="460" t="str">
        <f>IF(+All!$F208="Tulane",+All!F208,IF(+All!$H208="Tulane",+All!F208,0))</f>
        <v>Tulane</v>
      </c>
      <c r="G133" s="461" t="str">
        <f>IF(+All!$F208="Tulane",+All!G208,IF(+All!$H208="Tulane",+All!G208,0))</f>
        <v>AAC</v>
      </c>
      <c r="H133" s="460" t="str">
        <f>IF(+All!$F208="Tulane",+All!H208,IF(+All!$H208="Tulane",+All!H208,0))</f>
        <v>Kansas State</v>
      </c>
      <c r="I133" s="461" t="str">
        <f>IF(+All!$F208="Tulane",+All!I208,IF(+All!$H208="Tulane",+All!I208,0))</f>
        <v>B12</v>
      </c>
      <c r="J133" s="460" t="str">
        <f>IF(+All!$F208="Tulane",+All!J208,IF(+All!$H208="Tulane",+All!J208,0))</f>
        <v>Kansas State</v>
      </c>
      <c r="K133" s="461" t="str">
        <f>IF(+All!$F208="Tulane",+All!K208,IF(+All!$H208="Tulane",+All!K208,0))</f>
        <v>Tulane</v>
      </c>
      <c r="L133" s="60">
        <f>IF(+All!$F208="Tulane",+All!L208,IF(+All!$H208="Tulane",+All!L208,0))</f>
        <v>14.5</v>
      </c>
      <c r="M133" s="61">
        <f>IF(+All!$F208="Tulane",+All!M208,IF(+All!$H208="Tulane",+All!M208,0))</f>
        <v>46.5</v>
      </c>
      <c r="N133" s="460" t="str">
        <f>IF(+All!$F208="Tulane",+All!N208,IF(+All!$H208="Tulane",+All!N208,0))</f>
        <v>Kansas State</v>
      </c>
      <c r="O133" s="462">
        <f>IF(+All!$F208="Tulane",+All!O208,IF(+All!$H208="Tulane",+All!O208,0))</f>
        <v>17</v>
      </c>
      <c r="P133" s="462" t="str">
        <f>IF(+All!$F208="Tulane",+All!P208,IF(+All!$H208="Tulane",+All!P208,0))</f>
        <v>Tulane</v>
      </c>
      <c r="Q133" s="461">
        <f>IF(+All!$F208="Tulane",+All!Q208,IF(+All!$H208="Tulane",+All!Q208,0))</f>
        <v>10</v>
      </c>
      <c r="R133" s="460" t="str">
        <f>IF(+All!$F208="Tulane",+All!R208,IF(+All!$H208="Tulane",+All!R208,0))</f>
        <v>Tulane</v>
      </c>
      <c r="S133" s="462" t="str">
        <f>IF(+All!$F208="Tulane",+All!S208,IF(+All!$H208="Tulane",+All!S208,0))</f>
        <v>Kansas State</v>
      </c>
      <c r="T133" s="460" t="str">
        <f>IF(+All!$F208="Tulane",+All!T208,IF(+All!$H208="Tulane",+All!T208,0))</f>
        <v>Kansas State</v>
      </c>
      <c r="U133" s="461" t="str">
        <f>IF(+All!$F208="Tulane",+All!U208,IF(+All!$H208="Tulane",+All!U208,0))</f>
        <v>L</v>
      </c>
    </row>
    <row r="134" spans="1:21" x14ac:dyDescent="0.8">
      <c r="A134" s="46">
        <f>IF(+All!$F265="Tulane",+All!A265,IF(+All!$H265="Tulane",+All!A265,0))</f>
        <v>4</v>
      </c>
      <c r="B134" s="348" t="str">
        <f>IF(+All!$F265="Tulane",+All!B265,IF(+All!$H265="Tulane",+All!B265,0))</f>
        <v>Sat</v>
      </c>
      <c r="C134" s="72">
        <f>IF(+All!$F265="Tulane",+All!C265,IF(+All!$H265="Tulane",+All!C265,0))</f>
        <v>44828</v>
      </c>
      <c r="D134" s="73">
        <f>IF(+All!$F265="Tulane",+All!D265,IF(+All!$H265="Tulane",+All!D265,0))</f>
        <v>0.79166666666666663</v>
      </c>
      <c r="E134" s="461">
        <f>IF(+All!$F265="Tulane",+All!E265,IF(+All!$H265="Tulane",+All!E265,0))</f>
        <v>0</v>
      </c>
      <c r="F134" s="460" t="str">
        <f>IF(+All!$F265="Tulane",+All!F265,IF(+All!$H265="Tulane",+All!F265,0))</f>
        <v>Southern Miss</v>
      </c>
      <c r="G134" s="461" t="str">
        <f>IF(+All!$F265="Tulane",+All!G265,IF(+All!$H265="Tulane",+All!G265,0))</f>
        <v>SB</v>
      </c>
      <c r="H134" s="460" t="str">
        <f>IF(+All!$F265="Tulane",+All!H265,IF(+All!$H265="Tulane",+All!H265,0))</f>
        <v>Tulane</v>
      </c>
      <c r="I134" s="461" t="str">
        <f>IF(+All!$F265="Tulane",+All!I265,IF(+All!$H265="Tulane",+All!I265,0))</f>
        <v>AAC</v>
      </c>
      <c r="J134" s="460" t="str">
        <f>IF(+All!$F265="Tulane",+All!J265,IF(+All!$H265="Tulane",+All!J265,0))</f>
        <v>Tulane</v>
      </c>
      <c r="K134" s="461" t="str">
        <f>IF(+All!$F265="Tulane",+All!K265,IF(+All!$H265="Tulane",+All!K265,0))</f>
        <v>Southern Miss</v>
      </c>
      <c r="L134" s="60">
        <f>IF(+All!$F265="Tulane",+All!L265,IF(+All!$H265="Tulane",+All!L265,0))</f>
        <v>13</v>
      </c>
      <c r="M134" s="61">
        <f>IF(+All!$F265="Tulane",+All!M265,IF(+All!$H265="Tulane",+All!M265,0))</f>
        <v>48.5</v>
      </c>
      <c r="N134" s="460" t="str">
        <f>IF(+All!$F265="Tulane",+All!N265,IF(+All!$H265="Tulane",+All!N265,0))</f>
        <v>Southern Miss</v>
      </c>
      <c r="O134" s="462">
        <f>IF(+All!$F265="Tulane",+All!O265,IF(+All!$H265="Tulane",+All!O265,0))</f>
        <v>27</v>
      </c>
      <c r="P134" s="462" t="str">
        <f>IF(+All!$F265="Tulane",+All!P265,IF(+All!$H265="Tulane",+All!P265,0))</f>
        <v>Tulane</v>
      </c>
      <c r="Q134" s="461">
        <f>IF(+All!$F265="Tulane",+All!Q265,IF(+All!$H265="Tulane",+All!Q265,0))</f>
        <v>24</v>
      </c>
      <c r="R134" s="460" t="str">
        <f>IF(+All!$F265="Tulane",+All!R265,IF(+All!$H265="Tulane",+All!R265,0))</f>
        <v>Southern Miss</v>
      </c>
      <c r="S134" s="462" t="str">
        <f>IF(+All!$F265="Tulane",+All!S265,IF(+All!$H265="Tulane",+All!S265,0))</f>
        <v>Tulane</v>
      </c>
      <c r="T134" s="460" t="str">
        <f>IF(+All!$F265="Tulane",+All!T265,IF(+All!$H265="Tulane",+All!T265,0))</f>
        <v>Tulane</v>
      </c>
      <c r="U134" s="461" t="str">
        <f>IF(+All!$F265="Tulane",+All!U265,IF(+All!$H265="Tulane",+All!U265,0))</f>
        <v>L</v>
      </c>
    </row>
    <row r="135" spans="1:21" x14ac:dyDescent="0.8">
      <c r="A135" s="46">
        <f>IF(+All!$F319="Tulane",+All!A319,IF(+All!$H319="Tulane",+All!A319,0))</f>
        <v>5</v>
      </c>
      <c r="B135" s="348" t="str">
        <f>IF(+All!$F319="Tulane",+All!B319,IF(+All!$H319="Tulane",+All!B319,0))</f>
        <v>Fri</v>
      </c>
      <c r="C135" s="72">
        <f>IF(+All!$F319="Tulane",+All!C319,IF(+All!$H319="Tulane",+All!C319,0))</f>
        <v>44834</v>
      </c>
      <c r="D135" s="73">
        <f>IF(+All!$F319="Tulane",+All!D319,IF(+All!$H319="Tulane",+All!D319,0))</f>
        <v>0.79166666666666663</v>
      </c>
      <c r="E135" s="461" t="str">
        <f>IF(+All!$F319="Tulane",+All!E319,IF(+All!$H319="Tulane",+All!E319,0))</f>
        <v>ESPN</v>
      </c>
      <c r="F135" s="460" t="str">
        <f>IF(+All!$F319="Tulane",+All!F319,IF(+All!$H319="Tulane",+All!F319,0))</f>
        <v>Tulane</v>
      </c>
      <c r="G135" s="461" t="str">
        <f>IF(+All!$F319="Tulane",+All!G319,IF(+All!$H319="Tulane",+All!G319,0))</f>
        <v>AAC</v>
      </c>
      <c r="H135" s="460" t="str">
        <f>IF(+All!$F319="Tulane",+All!H319,IF(+All!$H319="Tulane",+All!H319,0))</f>
        <v>Houston</v>
      </c>
      <c r="I135" s="461" t="str">
        <f>IF(+All!$F319="Tulane",+All!I319,IF(+All!$H319="Tulane",+All!I319,0))</f>
        <v>AAC</v>
      </c>
      <c r="J135" s="460" t="str">
        <f>IF(+All!$F319="Tulane",+All!J319,IF(+All!$H319="Tulane",+All!J319,0))</f>
        <v>Houston</v>
      </c>
      <c r="K135" s="461" t="str">
        <f>IF(+All!$F319="Tulane",+All!K319,IF(+All!$H319="Tulane",+All!K319,0))</f>
        <v>Tulane</v>
      </c>
      <c r="L135" s="60">
        <f>IF(+All!$F319="Tulane",+All!L319,IF(+All!$H319="Tulane",+All!L319,0))</f>
        <v>2.5</v>
      </c>
      <c r="M135" s="61">
        <f>IF(+All!$F319="Tulane",+All!M319,IF(+All!$H319="Tulane",+All!M319,0))</f>
        <v>54</v>
      </c>
      <c r="N135" s="460" t="str">
        <f>IF(+All!$F319="Tulane",+All!N319,IF(+All!$H319="Tulane",+All!N319,0))</f>
        <v>Tulane</v>
      </c>
      <c r="O135" s="462">
        <f>IF(+All!$F319="Tulane",+All!O319,IF(+All!$H319="Tulane",+All!O319,0))</f>
        <v>27</v>
      </c>
      <c r="P135" s="462" t="str">
        <f>IF(+All!$F319="Tulane",+All!P319,IF(+All!$H319="Tulane",+All!P319,0))</f>
        <v>Houston</v>
      </c>
      <c r="Q135" s="461">
        <f>IF(+All!$F319="Tulane",+All!Q319,IF(+All!$H319="Tulane",+All!Q319,0))</f>
        <v>24</v>
      </c>
      <c r="R135" s="460" t="str">
        <f>IF(+All!$F319="Tulane",+All!R319,IF(+All!$H319="Tulane",+All!R319,0))</f>
        <v>Tulane</v>
      </c>
      <c r="S135" s="462" t="str">
        <f>IF(+All!$F319="Tulane",+All!S319,IF(+All!$H319="Tulane",+All!S319,0))</f>
        <v>Houston</v>
      </c>
      <c r="T135" s="460" t="str">
        <f>IF(+All!$F319="Tulane",+All!T319,IF(+All!$H319="Tulane",+All!T319,0))</f>
        <v>Tulane</v>
      </c>
      <c r="U135" s="461" t="str">
        <f>IF(+All!$F319="Tulane",+All!U319,IF(+All!$H319="Tulane",+All!U319,0))</f>
        <v>W</v>
      </c>
    </row>
    <row r="136" spans="1:21" x14ac:dyDescent="0.8">
      <c r="A136" s="46">
        <f>IF(+All!$F388="Tulane",+All!A388,IF(+All!$H388="Tulane",+All!A388,0))</f>
        <v>6</v>
      </c>
      <c r="B136" s="348" t="str">
        <f>IF(+All!$F388="Tulane",+All!B388,IF(+All!$H388="Tulane",+All!B388,0))</f>
        <v>Sat</v>
      </c>
      <c r="C136" s="72">
        <f>IF(+All!$F388="Tulane",+All!C388,IF(+All!$H388="Tulane",+All!C388,0))</f>
        <v>44842</v>
      </c>
      <c r="D136" s="73">
        <f>IF(+All!$F388="Tulane",+All!D388,IF(+All!$H388="Tulane",+All!D388,0))</f>
        <v>0.64583333333333337</v>
      </c>
      <c r="E136" s="461" t="str">
        <f>IF(+All!$F388="Tulane",+All!E388,IF(+All!$H388="Tulane",+All!E388,0))</f>
        <v>ESPNU</v>
      </c>
      <c r="F136" s="460" t="str">
        <f>IF(+All!$F388="Tulane",+All!F388,IF(+All!$H388="Tulane",+All!F388,0))</f>
        <v>East Carolina</v>
      </c>
      <c r="G136" s="461" t="str">
        <f>IF(+All!$F388="Tulane",+All!G388,IF(+All!$H388="Tulane",+All!G388,0))</f>
        <v>AAC</v>
      </c>
      <c r="H136" s="460" t="str">
        <f>IF(+All!$F388="Tulane",+All!H388,IF(+All!$H388="Tulane",+All!H388,0))</f>
        <v>Tulane</v>
      </c>
      <c r="I136" s="461" t="str">
        <f>IF(+All!$F388="Tulane",+All!I388,IF(+All!$H388="Tulane",+All!I388,0))</f>
        <v>AAC</v>
      </c>
      <c r="J136" s="460" t="str">
        <f>IF(+All!$F388="Tulane",+All!J388,IF(+All!$H388="Tulane",+All!J388,0))</f>
        <v>Tulane</v>
      </c>
      <c r="K136" s="461" t="str">
        <f>IF(+All!$F388="Tulane",+All!K388,IF(+All!$H388="Tulane",+All!K388,0))</f>
        <v>East Carolina</v>
      </c>
      <c r="L136" s="60">
        <f>IF(+All!$F388="Tulane",+All!L388,IF(+All!$H388="Tulane",+All!L388,0))</f>
        <v>3</v>
      </c>
      <c r="M136" s="61">
        <f>IF(+All!$F388="Tulane",+All!M388,IF(+All!$H388="Tulane",+All!M388,0))</f>
        <v>54.5</v>
      </c>
      <c r="N136" s="460" t="str">
        <f>IF(+All!$F388="Tulane",+All!N388,IF(+All!$H388="Tulane",+All!N388,0))</f>
        <v>Tulane</v>
      </c>
      <c r="O136" s="462">
        <f>IF(+All!$F388="Tulane",+All!O388,IF(+All!$H388="Tulane",+All!O388,0))</f>
        <v>24</v>
      </c>
      <c r="P136" s="462" t="str">
        <f>IF(+All!$F388="Tulane",+All!P388,IF(+All!$H388="Tulane",+All!P388,0))</f>
        <v>East Carolina</v>
      </c>
      <c r="Q136" s="461">
        <f>IF(+All!$F388="Tulane",+All!Q388,IF(+All!$H388="Tulane",+All!Q388,0))</f>
        <v>9</v>
      </c>
      <c r="R136" s="460" t="str">
        <f>IF(+All!$F388="Tulane",+All!R388,IF(+All!$H388="Tulane",+All!R388,0))</f>
        <v>Tulane</v>
      </c>
      <c r="S136" s="462" t="str">
        <f>IF(+All!$F388="Tulane",+All!S388,IF(+All!$H388="Tulane",+All!S388,0))</f>
        <v>East Carolina</v>
      </c>
      <c r="T136" s="460" t="str">
        <f>IF(+All!$F388="Tulane",+All!T388,IF(+All!$H388="Tulane",+All!T388,0))</f>
        <v>Tulane</v>
      </c>
      <c r="U136" s="461" t="str">
        <f>IF(+All!$F388="Tulane",+All!U388,IF(+All!$H388="Tulane",+All!U388,0))</f>
        <v>W</v>
      </c>
    </row>
    <row r="137" spans="1:21" x14ac:dyDescent="0.8">
      <c r="A137" s="46">
        <f>IF(+All!$F444="Tulane",+All!A444,IF(+All!$H444="Tulane",+All!A444,0))</f>
        <v>7</v>
      </c>
      <c r="B137" s="348" t="str">
        <f>IF(+All!$F444="Tulane",+All!B444,IF(+All!$H444="Tulane",+All!B444,0))</f>
        <v>Sat</v>
      </c>
      <c r="C137" s="72">
        <f>IF(+All!$F444="Tulane",+All!C444,IF(+All!$H444="Tulane",+All!C444,0))</f>
        <v>44849</v>
      </c>
      <c r="D137" s="73">
        <f>IF(+All!$F444="Tulane",+All!D444,IF(+All!$H444="Tulane",+All!D444,0))</f>
        <v>0.66666666666666663</v>
      </c>
      <c r="E137" s="461" t="str">
        <f>IF(+All!$F444="Tulane",+All!E444,IF(+All!$H444="Tulane",+All!E444,0))</f>
        <v>ESPNU</v>
      </c>
      <c r="F137" s="460" t="str">
        <f>IF(+All!$F444="Tulane",+All!F444,IF(+All!$H444="Tulane",+All!F444,0))</f>
        <v>Tulane</v>
      </c>
      <c r="G137" s="461" t="str">
        <f>IF(+All!$F444="Tulane",+All!G444,IF(+All!$H444="Tulane",+All!G444,0))</f>
        <v>AAC</v>
      </c>
      <c r="H137" s="460" t="str">
        <f>IF(+All!$F444="Tulane",+All!H444,IF(+All!$H444="Tulane",+All!H444,0))</f>
        <v>South Florida</v>
      </c>
      <c r="I137" s="461" t="str">
        <f>IF(+All!$F444="Tulane",+All!I444,IF(+All!$H444="Tulane",+All!I444,0))</f>
        <v>AAC</v>
      </c>
      <c r="J137" s="460" t="str">
        <f>IF(+All!$F444="Tulane",+All!J444,IF(+All!$H444="Tulane",+All!J444,0))</f>
        <v>Tulane</v>
      </c>
      <c r="K137" s="461" t="str">
        <f>IF(+All!$F444="Tulane",+All!K444,IF(+All!$H444="Tulane",+All!K444,0))</f>
        <v>South Florida</v>
      </c>
      <c r="L137" s="60">
        <f>IF(+All!$F444="Tulane",+All!L444,IF(+All!$H444="Tulane",+All!L444,0))</f>
        <v>12</v>
      </c>
      <c r="M137" s="61">
        <f>IF(+All!$F444="Tulane",+All!M444,IF(+All!$H444="Tulane",+All!M444,0))</f>
        <v>54.5</v>
      </c>
      <c r="N137" s="460" t="str">
        <f>IF(+All!$F444="Tulane",+All!N444,IF(+All!$H444="Tulane",+All!N444,0))</f>
        <v>Tulane</v>
      </c>
      <c r="O137" s="462">
        <f>IF(+All!$F444="Tulane",+All!O444,IF(+All!$H444="Tulane",+All!O444,0))</f>
        <v>45</v>
      </c>
      <c r="P137" s="462" t="str">
        <f>IF(+All!$F444="Tulane",+All!P444,IF(+All!$H444="Tulane",+All!P444,0))</f>
        <v>South Florida</v>
      </c>
      <c r="Q137" s="461">
        <f>IF(+All!$F444="Tulane",+All!Q444,IF(+All!$H444="Tulane",+All!Q444,0))</f>
        <v>31</v>
      </c>
      <c r="R137" s="460" t="str">
        <f>IF(+All!$F444="Tulane",+All!R444,IF(+All!$H444="Tulane",+All!R444,0))</f>
        <v>Tulane</v>
      </c>
      <c r="S137" s="462" t="str">
        <f>IF(+All!$F444="Tulane",+All!S444,IF(+All!$H444="Tulane",+All!S444,0))</f>
        <v>South Florida</v>
      </c>
      <c r="T137" s="460" t="str">
        <f>IF(+All!$F444="Tulane",+All!T444,IF(+All!$H444="Tulane",+All!T444,0))</f>
        <v>South Florida</v>
      </c>
      <c r="U137" s="461" t="str">
        <f>IF(+All!$F444="Tulane",+All!U444,IF(+All!$H444="Tulane",+All!U444,0))</f>
        <v>L</v>
      </c>
    </row>
    <row r="138" spans="1:21" x14ac:dyDescent="0.8">
      <c r="A138" s="46">
        <f>IF(+All!$F499="Tulane",+All!A499,IF(+All!$H499="Tulane",+All!A499,0))</f>
        <v>8</v>
      </c>
      <c r="B138" s="348" t="str">
        <f>IF(+All!$F499="Tulane",+All!B499,IF(+All!$H499="Tulane",+All!B499,0))</f>
        <v>Sat</v>
      </c>
      <c r="C138" s="72">
        <f>IF(+All!$F499="Tulane",+All!C499,IF(+All!$H499="Tulane",+All!C499,0))</f>
        <v>44856</v>
      </c>
      <c r="D138" s="73">
        <f>IF(+All!$F499="Tulane",+All!D499,IF(+All!$H499="Tulane",+All!D499,0))</f>
        <v>0.64583333333333337</v>
      </c>
      <c r="E138" s="461" t="str">
        <f>IF(+All!$F499="Tulane",+All!E499,IF(+All!$H499="Tulane",+All!E499,0))</f>
        <v>ESPN2</v>
      </c>
      <c r="F138" s="460" t="str">
        <f>IF(+All!$F499="Tulane",+All!F499,IF(+All!$H499="Tulane",+All!F499,0))</f>
        <v>Memphis</v>
      </c>
      <c r="G138" s="461" t="str">
        <f>IF(+All!$F499="Tulane",+All!G499,IF(+All!$H499="Tulane",+All!G499,0))</f>
        <v>AAC</v>
      </c>
      <c r="H138" s="460" t="str">
        <f>IF(+All!$F499="Tulane",+All!H499,IF(+All!$H499="Tulane",+All!H499,0))</f>
        <v>Tulane</v>
      </c>
      <c r="I138" s="461" t="str">
        <f>IF(+All!$F499="Tulane",+All!I499,IF(+All!$H499="Tulane",+All!I499,0))</f>
        <v>AAC</v>
      </c>
      <c r="J138" s="460" t="str">
        <f>IF(+All!$F499="Tulane",+All!J499,IF(+All!$H499="Tulane",+All!J499,0))</f>
        <v>Tulane</v>
      </c>
      <c r="K138" s="461" t="str">
        <f>IF(+All!$F499="Tulane",+All!K499,IF(+All!$H499="Tulane",+All!K499,0))</f>
        <v>Memphis</v>
      </c>
      <c r="L138" s="60">
        <f>IF(+All!$F499="Tulane",+All!L499,IF(+All!$H499="Tulane",+All!L499,0))</f>
        <v>7</v>
      </c>
      <c r="M138" s="61">
        <f>IF(+All!$F499="Tulane",+All!M499,IF(+All!$H499="Tulane",+All!M499,0))</f>
        <v>56.5</v>
      </c>
      <c r="N138" s="460" t="str">
        <f>IF(+All!$F499="Tulane",+All!N499,IF(+All!$H499="Tulane",+All!N499,0))</f>
        <v>Tulane</v>
      </c>
      <c r="O138" s="462">
        <f>IF(+All!$F499="Tulane",+All!O499,IF(+All!$H499="Tulane",+All!O499,0))</f>
        <v>38</v>
      </c>
      <c r="P138" s="462" t="str">
        <f>IF(+All!$F499="Tulane",+All!P499,IF(+All!$H499="Tulane",+All!P499,0))</f>
        <v>Memphis</v>
      </c>
      <c r="Q138" s="461">
        <f>IF(+All!$F499="Tulane",+All!Q499,IF(+All!$H499="Tulane",+All!Q499,0))</f>
        <v>28</v>
      </c>
      <c r="R138" s="460" t="str">
        <f>IF(+All!$F499="Tulane",+All!R499,IF(+All!$H499="Tulane",+All!R499,0))</f>
        <v>Tulane</v>
      </c>
      <c r="S138" s="462" t="str">
        <f>IF(+All!$F499="Tulane",+All!S499,IF(+All!$H499="Tulane",+All!S499,0))</f>
        <v>Memphis</v>
      </c>
      <c r="T138" s="460" t="str">
        <f>IF(+All!$F499="Tulane",+All!T499,IF(+All!$H499="Tulane",+All!T499,0))</f>
        <v>Tulane</v>
      </c>
      <c r="U138" s="461" t="str">
        <f>IF(+All!$F499="Tulane",+All!U499,IF(+All!$H499="Tulane",+All!U499,0))</f>
        <v>W</v>
      </c>
    </row>
    <row r="139" spans="1:21" x14ac:dyDescent="0.8">
      <c r="A139" s="46" t="e">
        <f>IF(+All!#REF!="Tulane",+All!#REF!,IF(+All!#REF!="Tulane",+All!#REF!,0))</f>
        <v>#REF!</v>
      </c>
      <c r="B139" s="348" t="e">
        <f>IF(+All!#REF!="Tulane",+All!#REF!,IF(+All!#REF!="Tulane",+All!#REF!,0))</f>
        <v>#REF!</v>
      </c>
      <c r="C139" s="72" t="e">
        <f>IF(+All!#REF!="Tulane",+All!#REF!,IF(+All!#REF!="Tulane",+All!#REF!,0))</f>
        <v>#REF!</v>
      </c>
      <c r="D139" s="73" t="e">
        <f>IF(+All!#REF!="Tulane",+All!#REF!,IF(+All!#REF!="Tulane",+All!#REF!,0))</f>
        <v>#REF!</v>
      </c>
      <c r="E139" s="461" t="e">
        <f>IF(+All!#REF!="Tulane",+All!#REF!,IF(+All!#REF!="Tulane",+All!#REF!,0))</f>
        <v>#REF!</v>
      </c>
      <c r="F139" s="460" t="e">
        <f>IF(+All!#REF!="Tulane",+All!#REF!,IF(+All!#REF!="Tulane",+All!#REF!,0))</f>
        <v>#REF!</v>
      </c>
      <c r="G139" s="461" t="e">
        <f>IF(+All!#REF!="Tulane",+All!#REF!,IF(+All!#REF!="Tulane",+All!#REF!,0))</f>
        <v>#REF!</v>
      </c>
      <c r="H139" s="460" t="e">
        <f>IF(+All!#REF!="Tulane",+All!#REF!,IF(+All!#REF!="Tulane",+All!#REF!,0))</f>
        <v>#REF!</v>
      </c>
      <c r="I139" s="461" t="e">
        <f>IF(+All!#REF!="Tulane",+All!#REF!,IF(+All!#REF!="Tulane",+All!#REF!,0))</f>
        <v>#REF!</v>
      </c>
      <c r="J139" s="460" t="e">
        <f>IF(+All!#REF!="Tulane",+All!#REF!,IF(+All!#REF!="Tulane",+All!#REF!,0))</f>
        <v>#REF!</v>
      </c>
      <c r="K139" s="461" t="e">
        <f>IF(+All!#REF!="Tulane",+All!#REF!,IF(+All!#REF!="Tulane",+All!#REF!,0))</f>
        <v>#REF!</v>
      </c>
      <c r="L139" s="60" t="e">
        <f>IF(+All!#REF!="Tulane",+All!#REF!,IF(+All!#REF!="Tulane",+All!#REF!,0))</f>
        <v>#REF!</v>
      </c>
      <c r="M139" s="61" t="e">
        <f>IF(+All!#REF!="Tulane",+All!#REF!,IF(+All!#REF!="Tulane",+All!#REF!,0))</f>
        <v>#REF!</v>
      </c>
      <c r="N139" s="460" t="e">
        <f>IF(+All!#REF!="Tulane",+All!#REF!,IF(+All!#REF!="Tulane",+All!#REF!,0))</f>
        <v>#REF!</v>
      </c>
      <c r="O139" s="462" t="e">
        <f>IF(+All!#REF!="Tulane",+All!#REF!,IF(+All!#REF!="Tulane",+All!#REF!,0))</f>
        <v>#REF!</v>
      </c>
      <c r="P139" s="462" t="e">
        <f>IF(+All!#REF!="Tulane",+All!#REF!,IF(+All!#REF!="Tulane",+All!#REF!,0))</f>
        <v>#REF!</v>
      </c>
      <c r="Q139" s="461" t="e">
        <f>IF(+All!#REF!="Tulane",+All!#REF!,IF(+All!#REF!="Tulane",+All!#REF!,0))</f>
        <v>#REF!</v>
      </c>
      <c r="R139" s="460" t="e">
        <f>IF(+All!#REF!="Tulane",+All!#REF!,IF(+All!#REF!="Tulane",+All!#REF!,0))</f>
        <v>#REF!</v>
      </c>
      <c r="S139" s="462" t="e">
        <f>IF(+All!#REF!="Tulane",+All!#REF!,IF(+All!#REF!="Tulane",+All!#REF!,0))</f>
        <v>#REF!</v>
      </c>
      <c r="T139" s="460" t="e">
        <f>IF(+All!#REF!="Tulane",+All!#REF!,IF(+All!#REF!="Tulane",+All!#REF!,0))</f>
        <v>#REF!</v>
      </c>
      <c r="U139" s="461" t="e">
        <f>IF(+All!#REF!="Tulane",+All!#REF!,IF(+All!#REF!="Tulane",+All!#REF!,0))</f>
        <v>#REF!</v>
      </c>
    </row>
    <row r="140" spans="1:21" x14ac:dyDescent="0.8">
      <c r="A140" s="46">
        <f>IF(+All!$F606="Tulane",+All!A606,IF(+All!$H606="Tulane",+All!A606,0))</f>
        <v>10</v>
      </c>
      <c r="B140" s="348" t="str">
        <f>IF(+All!$F606="Tulane",+All!B606,IF(+All!$H606="Tulane",+All!B606,0))</f>
        <v>Sat</v>
      </c>
      <c r="C140" s="72">
        <f>IF(+All!$F606="Tulane",+All!C606,IF(+All!$H606="Tulane",+All!C606,0))</f>
        <v>44870</v>
      </c>
      <c r="D140" s="73">
        <f>IF(+All!$F606="Tulane",+All!D606,IF(+All!$H606="Tulane",+All!D606,0))</f>
        <v>0.5</v>
      </c>
      <c r="E140" s="461" t="str">
        <f>IF(+All!$F606="Tulane",+All!E606,IF(+All!$H606="Tulane",+All!E606,0))</f>
        <v>ESPNU</v>
      </c>
      <c r="F140" s="460" t="str">
        <f>IF(+All!$F606="Tulane",+All!F606,IF(+All!$H606="Tulane",+All!F606,0))</f>
        <v>Tulane</v>
      </c>
      <c r="G140" s="461" t="str">
        <f>IF(+All!$F606="Tulane",+All!G606,IF(+All!$H606="Tulane",+All!G606,0))</f>
        <v>AAC</v>
      </c>
      <c r="H140" s="460" t="str">
        <f>IF(+All!$F606="Tulane",+All!H606,IF(+All!$H606="Tulane",+All!H606,0))</f>
        <v>Tulsa</v>
      </c>
      <c r="I140" s="461" t="str">
        <f>IF(+All!$F606="Tulane",+All!I606,IF(+All!$H606="Tulane",+All!I606,0))</f>
        <v>AAC</v>
      </c>
      <c r="J140" s="460" t="str">
        <f>IF(+All!$F606="Tulane",+All!J606,IF(+All!$H606="Tulane",+All!J606,0))</f>
        <v>Tulane</v>
      </c>
      <c r="K140" s="461" t="str">
        <f>IF(+All!$F606="Tulane",+All!K606,IF(+All!$H606="Tulane",+All!K606,0))</f>
        <v>Tulsa</v>
      </c>
      <c r="L140" s="60">
        <f>IF(+All!$F606="Tulane",+All!L606,IF(+All!$H606="Tulane",+All!L606,0))</f>
        <v>7.5</v>
      </c>
      <c r="M140" s="61">
        <f>IF(+All!$F606="Tulane",+All!M606,IF(+All!$H606="Tulane",+All!M606,0))</f>
        <v>57.5</v>
      </c>
      <c r="N140" s="460" t="str">
        <f>IF(+All!$F606="Tulane",+All!N606,IF(+All!$H606="Tulane",+All!N606,0))</f>
        <v>Tulane</v>
      </c>
      <c r="O140" s="462">
        <f>IF(+All!$F606="Tulane",+All!O606,IF(+All!$H606="Tulane",+All!O606,0))</f>
        <v>27</v>
      </c>
      <c r="P140" s="462" t="str">
        <f>IF(+All!$F606="Tulane",+All!P606,IF(+All!$H606="Tulane",+All!P606,0))</f>
        <v>Tulsa</v>
      </c>
      <c r="Q140" s="461">
        <f>IF(+All!$F606="Tulane",+All!Q606,IF(+All!$H606="Tulane",+All!Q606,0))</f>
        <v>13</v>
      </c>
      <c r="R140" s="460" t="str">
        <f>IF(+All!$F606="Tulane",+All!R606,IF(+All!$H606="Tulane",+All!R606,0))</f>
        <v>Tulane</v>
      </c>
      <c r="S140" s="462" t="str">
        <f>IF(+All!$F606="Tulane",+All!S606,IF(+All!$H606="Tulane",+All!S606,0))</f>
        <v>Tulsa</v>
      </c>
      <c r="T140" s="460" t="str">
        <f>IF(+All!$F606="Tulane",+All!T606,IF(+All!$H606="Tulane",+All!T606,0))</f>
        <v>Tulane</v>
      </c>
      <c r="U140" s="461" t="str">
        <f>IF(+All!$F606="Tulane",+All!U606,IF(+All!$H606="Tulane",+All!U606,0))</f>
        <v>W</v>
      </c>
    </row>
    <row r="141" spans="1:21" x14ac:dyDescent="0.8">
      <c r="A141" s="46">
        <f>IF(+All!$F667="Tulane",+All!A667,IF(+All!$H667="Tulane",+All!A667,0))</f>
        <v>11</v>
      </c>
      <c r="B141" s="348" t="str">
        <f>IF(+All!$F667="Tulane",+All!B667,IF(+All!$H667="Tulane",+All!B667,0))</f>
        <v>Sat</v>
      </c>
      <c r="C141" s="72">
        <f>IF(+All!$F667="Tulane",+All!C667,IF(+All!$H667="Tulane",+All!C667,0))</f>
        <v>44877</v>
      </c>
      <c r="D141" s="73">
        <f>IF(+All!$F667="Tulane",+All!D667,IF(+All!$H667="Tulane",+All!D667,0))</f>
        <v>0.64583333333333337</v>
      </c>
      <c r="E141" s="461" t="str">
        <f>IF(+All!$F667="Tulane",+All!E667,IF(+All!$H667="Tulane",+All!E667,0))</f>
        <v>ESPN2</v>
      </c>
      <c r="F141" s="460" t="str">
        <f>IF(+All!$F667="Tulane",+All!F667,IF(+All!$H667="Tulane",+All!F667,0))</f>
        <v>Central Florida</v>
      </c>
      <c r="G141" s="461" t="str">
        <f>IF(+All!$F667="Tulane",+All!G667,IF(+All!$H667="Tulane",+All!G667,0))</f>
        <v>AAC</v>
      </c>
      <c r="H141" s="460" t="str">
        <f>IF(+All!$F667="Tulane",+All!H667,IF(+All!$H667="Tulane",+All!H667,0))</f>
        <v>Tulane</v>
      </c>
      <c r="I141" s="461" t="str">
        <f>IF(+All!$F667="Tulane",+All!I667,IF(+All!$H667="Tulane",+All!I667,0))</f>
        <v>AAC</v>
      </c>
      <c r="J141" s="460" t="str">
        <f>IF(+All!$F667="Tulane",+All!J667,IF(+All!$H667="Tulane",+All!J667,0))</f>
        <v>Tulane</v>
      </c>
      <c r="K141" s="461" t="str">
        <f>IF(+All!$F667="Tulane",+All!K667,IF(+All!$H667="Tulane",+All!K667,0))</f>
        <v>Central Florida</v>
      </c>
      <c r="L141" s="60">
        <f>IF(+All!$F667="Tulane",+All!L667,IF(+All!$H667="Tulane",+All!L667,0))</f>
        <v>2</v>
      </c>
      <c r="M141" s="61">
        <f>IF(+All!$F667="Tulane",+All!M667,IF(+All!$H667="Tulane",+All!M667,0))</f>
        <v>54.5</v>
      </c>
      <c r="N141" s="460" t="str">
        <f>IF(+All!$F667="Tulane",+All!N667,IF(+All!$H667="Tulane",+All!N667,0))</f>
        <v>Central Florida</v>
      </c>
      <c r="O141" s="462">
        <f>IF(+All!$F667="Tulane",+All!O667,IF(+All!$H667="Tulane",+All!O667,0))</f>
        <v>38</v>
      </c>
      <c r="P141" s="462" t="str">
        <f>IF(+All!$F667="Tulane",+All!P667,IF(+All!$H667="Tulane",+All!P667,0))</f>
        <v>Tulane</v>
      </c>
      <c r="Q141" s="461">
        <f>IF(+All!$F667="Tulane",+All!Q667,IF(+All!$H667="Tulane",+All!Q667,0))</f>
        <v>31</v>
      </c>
      <c r="R141" s="460" t="str">
        <f>IF(+All!$F667="Tulane",+All!R667,IF(+All!$H667="Tulane",+All!R667,0))</f>
        <v>Central Florida</v>
      </c>
      <c r="S141" s="462" t="str">
        <f>IF(+All!$F667="Tulane",+All!S667,IF(+All!$H667="Tulane",+All!S667,0))</f>
        <v>Tulane</v>
      </c>
      <c r="T141" s="460" t="str">
        <f>IF(+All!$F667="Tulane",+All!T667,IF(+All!$H667="Tulane",+All!T667,0))</f>
        <v>Tulane</v>
      </c>
      <c r="U141" s="461" t="str">
        <f>IF(+All!$F667="Tulane",+All!U667,IF(+All!$H667="Tulane",+All!U667,0))</f>
        <v>L</v>
      </c>
    </row>
    <row r="142" spans="1:21" x14ac:dyDescent="0.8">
      <c r="A142" s="46">
        <f>IF(+All!$F723="Tulane",+All!A723,IF(+All!$H723="Tulane",+All!A723,0))</f>
        <v>12</v>
      </c>
      <c r="B142" s="348" t="str">
        <f>IF(+All!$F723="Tulane",+All!B723,IF(+All!$H723="Tulane",+All!B723,0))</f>
        <v>Thurs</v>
      </c>
      <c r="C142" s="72">
        <f>IF(+All!$F723="Tulane",+All!C723,IF(+All!$H723="Tulane",+All!C723,0))</f>
        <v>44882</v>
      </c>
      <c r="D142" s="73">
        <f>IF(+All!$F723="Tulane",+All!D723,IF(+All!$H723="Tulane",+All!D723,0))</f>
        <v>0.8125</v>
      </c>
      <c r="E142" s="461" t="str">
        <f>IF(+All!$F723="Tulane",+All!E723,IF(+All!$H723="Tulane",+All!E723,0))</f>
        <v>ESPN</v>
      </c>
      <c r="F142" s="460" t="str">
        <f>IF(+All!$F723="Tulane",+All!F723,IF(+All!$H723="Tulane",+All!F723,0))</f>
        <v>SMU</v>
      </c>
      <c r="G142" s="461" t="str">
        <f>IF(+All!$F723="Tulane",+All!G723,IF(+All!$H723="Tulane",+All!G723,0))</f>
        <v>AAC</v>
      </c>
      <c r="H142" s="460" t="str">
        <f>IF(+All!$F723="Tulane",+All!H723,IF(+All!$H723="Tulane",+All!H723,0))</f>
        <v>Tulane</v>
      </c>
      <c r="I142" s="461" t="str">
        <f>IF(+All!$F723="Tulane",+All!I723,IF(+All!$H723="Tulane",+All!I723,0))</f>
        <v>AAC</v>
      </c>
      <c r="J142" s="460" t="str">
        <f>IF(+All!$F723="Tulane",+All!J723,IF(+All!$H723="Tulane",+All!J723,0))</f>
        <v>Tulane</v>
      </c>
      <c r="K142" s="461" t="str">
        <f>IF(+All!$F723="Tulane",+All!K723,IF(+All!$H723="Tulane",+All!K723,0))</f>
        <v>SMU</v>
      </c>
      <c r="L142" s="60">
        <f>IF(+All!$F723="Tulane",+All!L723,IF(+All!$H723="Tulane",+All!L723,0))</f>
        <v>3</v>
      </c>
      <c r="M142" s="61">
        <f>IF(+All!$F723="Tulane",+All!M723,IF(+All!$H723="Tulane",+All!M723,0))</f>
        <v>65</v>
      </c>
      <c r="N142" s="460" t="str">
        <f>IF(+All!$F723="Tulane",+All!N723,IF(+All!$H723="Tulane",+All!N723,0))</f>
        <v>Tulane</v>
      </c>
      <c r="O142" s="462">
        <f>IF(+All!$F723="Tulane",+All!O723,IF(+All!$H723="Tulane",+All!O723,0))</f>
        <v>59</v>
      </c>
      <c r="P142" s="462" t="str">
        <f>IF(+All!$F723="Tulane",+All!P723,IF(+All!$H723="Tulane",+All!P723,0))</f>
        <v>SMU</v>
      </c>
      <c r="Q142" s="461">
        <f>IF(+All!$F723="Tulane",+All!Q723,IF(+All!$H723="Tulane",+All!Q723,0))</f>
        <v>24</v>
      </c>
      <c r="R142" s="460" t="str">
        <f>IF(+All!$F723="Tulane",+All!R723,IF(+All!$H723="Tulane",+All!R723,0))</f>
        <v>Tulane</v>
      </c>
      <c r="S142" s="462" t="str">
        <f>IF(+All!$F723="Tulane",+All!S723,IF(+All!$H723="Tulane",+All!S723,0))</f>
        <v>SMU</v>
      </c>
      <c r="T142" s="460" t="str">
        <f>IF(+All!$F723="Tulane",+All!T723,IF(+All!$H723="Tulane",+All!T723,0))</f>
        <v>Tulane</v>
      </c>
      <c r="U142" s="461" t="str">
        <f>IF(+All!$F723="Tulane",+All!U723,IF(+All!$H723="Tulane",+All!U723,0))</f>
        <v>W</v>
      </c>
    </row>
    <row r="143" spans="1:21" x14ac:dyDescent="0.8">
      <c r="A143" s="46">
        <f>IF(+All!$F786="Tulane",+All!A786,IF(+All!$H786="Tulane",+All!A786,0))</f>
        <v>13</v>
      </c>
      <c r="B143" s="348" t="str">
        <f>IF(+All!$F786="Tulane",+All!B786,IF(+All!$H786="Tulane",+All!B786,0))</f>
        <v>Fri</v>
      </c>
      <c r="C143" s="72">
        <f>IF(+All!$F786="Tulane",+All!C786,IF(+All!$H786="Tulane",+All!C786,0))</f>
        <v>44890</v>
      </c>
      <c r="D143" s="73">
        <f>IF(+All!$F786="Tulane",+All!D786,IF(+All!$H786="Tulane",+All!D786,0))</f>
        <v>0.5</v>
      </c>
      <c r="E143" s="461" t="str">
        <f>IF(+All!$F786="Tulane",+All!E786,IF(+All!$H786="Tulane",+All!E786,0))</f>
        <v>ABC</v>
      </c>
      <c r="F143" s="460" t="str">
        <f>IF(+All!$F786="Tulane",+All!F786,IF(+All!$H786="Tulane",+All!F786,0))</f>
        <v>Tulane</v>
      </c>
      <c r="G143" s="461" t="str">
        <f>IF(+All!$F786="Tulane",+All!G786,IF(+All!$H786="Tulane",+All!G786,0))</f>
        <v>AAC</v>
      </c>
      <c r="H143" s="460" t="str">
        <f>IF(+All!$F786="Tulane",+All!H786,IF(+All!$H786="Tulane",+All!H786,0))</f>
        <v>Cincinnati</v>
      </c>
      <c r="I143" s="461" t="str">
        <f>IF(+All!$F786="Tulane",+All!I786,IF(+All!$H786="Tulane",+All!I786,0))</f>
        <v>AAC</v>
      </c>
      <c r="J143" s="460" t="str">
        <f>IF(+All!$F786="Tulane",+All!J786,IF(+All!$H786="Tulane",+All!J786,0))</f>
        <v>Tulane</v>
      </c>
      <c r="K143" s="461" t="str">
        <f>IF(+All!$F786="Tulane",+All!K786,IF(+All!$H786="Tulane",+All!K786,0))</f>
        <v>Cincinnati</v>
      </c>
      <c r="L143" s="60">
        <f>IF(+All!$F786="Tulane",+All!L786,IF(+All!$H786="Tulane",+All!L786,0))</f>
        <v>1</v>
      </c>
      <c r="M143" s="61">
        <f>IF(+All!$F786="Tulane",+All!M786,IF(+All!$H786="Tulane",+All!M786,0))</f>
        <v>44</v>
      </c>
      <c r="N143" s="460" t="str">
        <f>IF(+All!$F786="Tulane",+All!N786,IF(+All!$H786="Tulane",+All!N786,0))</f>
        <v>Tulane</v>
      </c>
      <c r="O143" s="462">
        <f>IF(+All!$F786="Tulane",+All!O786,IF(+All!$H786="Tulane",+All!O786,0))</f>
        <v>27</v>
      </c>
      <c r="P143" s="462" t="str">
        <f>IF(+All!$F786="Tulane",+All!P786,IF(+All!$H786="Tulane",+All!P786,0))</f>
        <v>Cincinnati</v>
      </c>
      <c r="Q143" s="461">
        <f>IF(+All!$F786="Tulane",+All!Q786,IF(+All!$H786="Tulane",+All!Q786,0))</f>
        <v>24</v>
      </c>
      <c r="R143" s="460" t="str">
        <f>IF(+All!$F786="Tulane",+All!R786,IF(+All!$H786="Tulane",+All!R786,0))</f>
        <v>Tulane</v>
      </c>
      <c r="S143" s="462" t="str">
        <f>IF(+All!$F786="Tulane",+All!S786,IF(+All!$H786="Tulane",+All!S786,0))</f>
        <v>Cincinnati</v>
      </c>
      <c r="T143" s="460" t="str">
        <f>IF(+All!$F786="Tulane",+All!T786,IF(+All!$H786="Tulane",+All!T786,0))</f>
        <v>Tulane</v>
      </c>
      <c r="U143" s="461" t="str">
        <f>IF(+All!$F786="Tulane",+All!U786,IF(+All!$H786="Tulane",+All!U786,0))</f>
        <v>W</v>
      </c>
    </row>
    <row r="144" spans="1:21" x14ac:dyDescent="0.8">
      <c r="B144" s="46"/>
      <c r="C144" s="62"/>
      <c r="D144" s="49"/>
      <c r="F144" s="897" t="str">
        <f>H146</f>
        <v>Tulsa</v>
      </c>
      <c r="G144" s="898"/>
      <c r="H144" s="898"/>
      <c r="I144" s="899"/>
      <c r="L144" s="54"/>
      <c r="M144" s="55"/>
    </row>
    <row r="145" spans="1:21" x14ac:dyDescent="0.8">
      <c r="A145" s="46">
        <f>IF(+All!$F51="Tulsa",+All!A51,IF(+All!$H51="Tulsa",+All!A51,0))</f>
        <v>1</v>
      </c>
      <c r="B145" s="348" t="str">
        <f>IF(+All!$F51="Tulsa",+All!B51,IF(+All!$H51="Tulsa",+All!B51,0))</f>
        <v>Sat</v>
      </c>
      <c r="C145" s="72">
        <f>IF(+All!$F51="Tulsa",+All!C51,IF(+All!$H51="Tulsa",+All!C51,0))</f>
        <v>44807</v>
      </c>
      <c r="D145" s="73">
        <f>IF(+All!$F51="Tulsa",+All!D51,IF(+All!$H51="Tulsa",+All!D51,0))</f>
        <v>0.64583333333333337</v>
      </c>
      <c r="E145" s="461" t="str">
        <f>IF(+All!$F51="Tulsa",+All!E51,IF(+All!$H51="Tulsa",+All!E51,0))</f>
        <v>FS1</v>
      </c>
      <c r="F145" s="460" t="str">
        <f>IF(+All!$F51="Tulsa",+All!F51,IF(+All!$H51="Tulsa",+All!F51,0))</f>
        <v>Tulsa</v>
      </c>
      <c r="G145" s="461" t="str">
        <f>IF(+All!$F51="Tulsa",+All!G51,IF(+All!$H51="Tulsa",+All!G51,0))</f>
        <v>AAC</v>
      </c>
      <c r="H145" s="460" t="str">
        <f>IF(+All!$F51="Tulsa",+All!H51,IF(+All!$H51="Tulsa",+All!H51,0))</f>
        <v>Wyoming</v>
      </c>
      <c r="I145" s="461" t="str">
        <f>IF(+All!$F51="Tulsa",+All!I51,IF(+All!$H51="Tulsa",+All!I51,0))</f>
        <v>MWC</v>
      </c>
      <c r="J145" s="460" t="str">
        <f>IF(+All!$F51="Tulsa",+All!J51,IF(+All!$H51="Tulsa",+All!J51,0))</f>
        <v>Tulsa</v>
      </c>
      <c r="K145" s="461" t="str">
        <f>IF(+All!$F51="Tulsa",+All!K51,IF(+All!$H51="Tulsa",+All!K51,0))</f>
        <v>Wyoming</v>
      </c>
      <c r="L145" s="60">
        <f>IF(+All!$F51="Tulsa",+All!L51,IF(+All!$H51="Tulsa",+All!L51,0))</f>
        <v>6.5</v>
      </c>
      <c r="M145" s="61">
        <f>IF(+All!$F51="Tulsa",+All!M51,IF(+All!$H51="Tulsa",+All!M51,0))</f>
        <v>44</v>
      </c>
      <c r="N145" s="460" t="str">
        <f>IF(+All!$F51="Tulsa",+All!N51,IF(+All!$H51="Tulsa",+All!N51,0))</f>
        <v>Wyoming</v>
      </c>
      <c r="O145" s="462">
        <f>IF(+All!$F51="Tulsa",+All!O51,IF(+All!$H51="Tulsa",+All!O51,0))</f>
        <v>40</v>
      </c>
      <c r="P145" s="462" t="str">
        <f>IF(+All!$F51="Tulsa",+All!P51,IF(+All!$H51="Tulsa",+All!P51,0))</f>
        <v>Tulsa</v>
      </c>
      <c r="Q145" s="461">
        <f>IF(+All!$F51="Tulsa",+All!Q51,IF(+All!$H51="Tulsa",+All!Q51,0))</f>
        <v>37</v>
      </c>
      <c r="R145" s="460" t="str">
        <f>IF(+All!$F51="Tulsa",+All!R51,IF(+All!$H51="Tulsa",+All!R51,0))</f>
        <v>Wyoming</v>
      </c>
      <c r="S145" s="462" t="str">
        <f>IF(+All!$F51="Tulsa",+All!S51,IF(+All!$H51="Tulsa",+All!S51,0))</f>
        <v>Tulsa</v>
      </c>
      <c r="T145" s="460" t="str">
        <f>IF(+All!$F51="Tulsa",+All!T51,IF(+All!$H51="Tulsa",+All!T51,0))</f>
        <v>Wyoming</v>
      </c>
      <c r="U145" s="461" t="str">
        <f>IF(+All!$F51="Tulsa",+All!U51,IF(+All!$H51="Tulsa",+All!U51,0))</f>
        <v>W</v>
      </c>
    </row>
    <row r="146" spans="1:21" x14ac:dyDescent="0.8">
      <c r="A146" s="46">
        <f>IF(+All!$F107="Tulsa",+All!A107,IF(+All!$H107="Tulsa",+All!A107,0))</f>
        <v>2</v>
      </c>
      <c r="B146" s="348" t="str">
        <f>IF(+All!$F107="Tulsa",+All!B107,IF(+All!$H107="Tulsa",+All!B107,0))</f>
        <v>Sat</v>
      </c>
      <c r="C146" s="72">
        <f>IF(+All!$F107="Tulsa",+All!C107,IF(+All!$H107="Tulsa",+All!C107,0))</f>
        <v>44814</v>
      </c>
      <c r="D146" s="73">
        <f>IF(+All!$F107="Tulsa",+All!D107,IF(+All!$H107="Tulsa",+All!D107,0))</f>
        <v>0.79166666666666663</v>
      </c>
      <c r="E146" s="461">
        <f>IF(+All!$F107="Tulsa",+All!E107,IF(+All!$H107="Tulsa",+All!E107,0))</f>
        <v>0</v>
      </c>
      <c r="F146" s="460" t="str">
        <f>IF(+All!$F107="Tulsa",+All!F107,IF(+All!$H107="Tulsa",+All!F107,0))</f>
        <v>Northern Illinois</v>
      </c>
      <c r="G146" s="461" t="str">
        <f>IF(+All!$F107="Tulsa",+All!G107,IF(+All!$H107="Tulsa",+All!G107,0))</f>
        <v>MAC</v>
      </c>
      <c r="H146" s="460" t="str">
        <f>IF(+All!$F107="Tulsa",+All!H107,IF(+All!$H107="Tulsa",+All!H107,0))</f>
        <v>Tulsa</v>
      </c>
      <c r="I146" s="461" t="str">
        <f>IF(+All!$F107="Tulsa",+All!I107,IF(+All!$H107="Tulsa",+All!I107,0))</f>
        <v>AAC</v>
      </c>
      <c r="J146" s="460" t="str">
        <f>IF(+All!$F107="Tulsa",+All!J107,IF(+All!$H107="Tulsa",+All!J107,0))</f>
        <v>Tulsa</v>
      </c>
      <c r="K146" s="461" t="str">
        <f>IF(+All!$F107="Tulsa",+All!K107,IF(+All!$H107="Tulsa",+All!K107,0))</f>
        <v>Northern Illinois</v>
      </c>
      <c r="L146" s="60">
        <f>IF(+All!$F107="Tulsa",+All!L107,IF(+All!$H107="Tulsa",+All!L107,0))</f>
        <v>6</v>
      </c>
      <c r="M146" s="61">
        <f>IF(+All!$F107="Tulsa",+All!M107,IF(+All!$H107="Tulsa",+All!M107,0))</f>
        <v>62</v>
      </c>
      <c r="N146" s="460" t="str">
        <f>IF(+All!$F107="Tulsa",+All!N107,IF(+All!$H107="Tulsa",+All!N107,0))</f>
        <v>Tulsa</v>
      </c>
      <c r="O146" s="462">
        <f>IF(+All!$F107="Tulsa",+All!O107,IF(+All!$H107="Tulsa",+All!O107,0))</f>
        <v>38</v>
      </c>
      <c r="P146" s="462" t="str">
        <f>IF(+All!$F107="Tulsa",+All!P107,IF(+All!$H107="Tulsa",+All!P107,0))</f>
        <v>Northern Illinois</v>
      </c>
      <c r="Q146" s="461">
        <f>IF(+All!$F107="Tulsa",+All!Q107,IF(+All!$H107="Tulsa",+All!Q107,0))</f>
        <v>35</v>
      </c>
      <c r="R146" s="460" t="str">
        <f>IF(+All!$F107="Tulsa",+All!R107,IF(+All!$H107="Tulsa",+All!R107,0))</f>
        <v>Northern Illinois</v>
      </c>
      <c r="S146" s="462" t="str">
        <f>IF(+All!$F107="Tulsa",+All!S107,IF(+All!$H107="Tulsa",+All!S107,0))</f>
        <v>Tulsa</v>
      </c>
      <c r="T146" s="460" t="str">
        <f>IF(+All!$F107="Tulsa",+All!T107,IF(+All!$H107="Tulsa",+All!T107,0))</f>
        <v>Northern Illinois</v>
      </c>
      <c r="U146" s="461" t="str">
        <f>IF(+All!$F107="Tulsa",+All!U107,IF(+All!$H107="Tulsa",+All!U107,0))</f>
        <v>W</v>
      </c>
    </row>
    <row r="147" spans="1:21" x14ac:dyDescent="0.8">
      <c r="A147" s="46">
        <f>IF(+All!$F187="Tulsa",+All!A187,IF(+All!$H187="Tulsa",+All!A187,0))</f>
        <v>3</v>
      </c>
      <c r="B147" s="348" t="str">
        <f>IF(+All!$F187="Tulsa",+All!B187,IF(+All!$H187="Tulsa",+All!B187,0))</f>
        <v>Sat</v>
      </c>
      <c r="C147" s="72">
        <f>IF(+All!$F187="Tulsa",+All!C187,IF(+All!$H187="Tulsa",+All!C187,0))</f>
        <v>44821</v>
      </c>
      <c r="D147" s="73">
        <f>IF(+All!$F187="Tulsa",+All!D187,IF(+All!$H187="Tulsa",+All!D187,0))</f>
        <v>0.79166666666666663</v>
      </c>
      <c r="E147" s="461">
        <f>IF(+All!$F187="Tulsa",+All!E187,IF(+All!$H187="Tulsa",+All!E187,0))</f>
        <v>0</v>
      </c>
      <c r="F147" s="460" t="str">
        <f>IF(+All!$F187="Tulsa",+All!F187,IF(+All!$H187="Tulsa",+All!F187,0))</f>
        <v>1AA Jacksonville State</v>
      </c>
      <c r="G147" s="461" t="str">
        <f>IF(+All!$F187="Tulsa",+All!G187,IF(+All!$H187="Tulsa",+All!G187,0))</f>
        <v>1AA</v>
      </c>
      <c r="H147" s="460" t="str">
        <f>IF(+All!$F187="Tulsa",+All!H187,IF(+All!$H187="Tulsa",+All!H187,0))</f>
        <v>Tulsa</v>
      </c>
      <c r="I147" s="461" t="str">
        <f>IF(+All!$F187="Tulsa",+All!I187,IF(+All!$H187="Tulsa",+All!I187,0))</f>
        <v>AAC</v>
      </c>
      <c r="J147" s="460">
        <f>IF(+All!$F187="Tulsa",+All!J187,IF(+All!$H187="Tulsa",+All!J187,0))</f>
        <v>0</v>
      </c>
      <c r="K147" s="461">
        <f>IF(+All!$F187="Tulsa",+All!K187,IF(+All!$H187="Tulsa",+All!K187,0))</f>
        <v>0</v>
      </c>
      <c r="L147" s="60">
        <f>IF(+All!$F187="Tulsa",+All!L187,IF(+All!$H187="Tulsa",+All!L187,0))</f>
        <v>0</v>
      </c>
      <c r="M147" s="61">
        <f>IF(+All!$F187="Tulsa",+All!M187,IF(+All!$H187="Tulsa",+All!M187,0))</f>
        <v>0</v>
      </c>
      <c r="N147" s="460" t="str">
        <f>IF(+All!$F187="Tulsa",+All!N187,IF(+All!$H187="Tulsa",+All!N187,0))</f>
        <v>Tulsa</v>
      </c>
      <c r="O147" s="462">
        <f>IF(+All!$F187="Tulsa",+All!O187,IF(+All!$H187="Tulsa",+All!O187,0))</f>
        <v>54</v>
      </c>
      <c r="P147" s="462" t="str">
        <f>IF(+All!$F187="Tulsa",+All!P187,IF(+All!$H187="Tulsa",+All!P187,0))</f>
        <v>1AA Jacksonville State</v>
      </c>
      <c r="Q147" s="461">
        <f>IF(+All!$F187="Tulsa",+All!Q187,IF(+All!$H187="Tulsa",+All!Q187,0))</f>
        <v>17</v>
      </c>
      <c r="R147" s="460">
        <f>IF(+All!$F187="Tulsa",+All!R187,IF(+All!$H187="Tulsa",+All!R187,0))</f>
        <v>0</v>
      </c>
      <c r="S147" s="462">
        <f>IF(+All!$F187="Tulsa",+All!S187,IF(+All!$H187="Tulsa",+All!S187,0))</f>
        <v>0</v>
      </c>
      <c r="T147" s="460">
        <f>IF(+All!$F187="Tulsa",+All!T187,IF(+All!$H187="Tulsa",+All!T187,0))</f>
        <v>0</v>
      </c>
      <c r="U147" s="461">
        <f>IF(+All!$F187="Tulsa",+All!U187,IF(+All!$H187="Tulsa",+All!U187,0))</f>
        <v>0</v>
      </c>
    </row>
    <row r="148" spans="1:21" x14ac:dyDescent="0.8">
      <c r="A148" s="46">
        <f>IF(+All!$F314="Tulsa",+All!A314,IF(+All!$H314="Tulsa",+All!A314,0))</f>
        <v>4</v>
      </c>
      <c r="B148" s="348" t="str">
        <f>IF(+All!$F314="Tulsa",+All!B314,IF(+All!$H314="Tulsa",+All!B314,0))</f>
        <v>Sat</v>
      </c>
      <c r="C148" s="72">
        <f>IF(+All!$F314="Tulsa",+All!C314,IF(+All!$H314="Tulsa",+All!C314,0))</f>
        <v>44828</v>
      </c>
      <c r="D148" s="73">
        <f>IF(+All!$F314="Tulsa",+All!D314,IF(+All!$H314="Tulsa",+All!D314,0))</f>
        <v>0.66666666666666663</v>
      </c>
      <c r="E148" s="461" t="str">
        <f>IF(+All!$F314="Tulsa",+All!E314,IF(+All!$H314="Tulsa",+All!E314,0))</f>
        <v>SEC</v>
      </c>
      <c r="F148" s="460" t="str">
        <f>IF(+All!$F314="Tulsa",+All!F314,IF(+All!$H314="Tulsa",+All!F314,0))</f>
        <v>Tulsa</v>
      </c>
      <c r="G148" s="461" t="str">
        <f>IF(+All!$F314="Tulsa",+All!G314,IF(+All!$H314="Tulsa",+All!G314,0))</f>
        <v>AAC</v>
      </c>
      <c r="H148" s="460" t="str">
        <f>IF(+All!$F314="Tulsa",+All!H314,IF(+All!$H314="Tulsa",+All!H314,0))</f>
        <v>Mississippi</v>
      </c>
      <c r="I148" s="461" t="str">
        <f>IF(+All!$F314="Tulsa",+All!I314,IF(+All!$H314="Tulsa",+All!I314,0))</f>
        <v>SEC</v>
      </c>
      <c r="J148" s="460" t="str">
        <f>IF(+All!$F314="Tulsa",+All!J314,IF(+All!$H314="Tulsa",+All!J314,0))</f>
        <v>Mississippi</v>
      </c>
      <c r="K148" s="461" t="str">
        <f>IF(+All!$F314="Tulsa",+All!K314,IF(+All!$H314="Tulsa",+All!K314,0))</f>
        <v>Tulsa</v>
      </c>
      <c r="L148" s="60">
        <f>IF(+All!$F314="Tulsa",+All!L314,IF(+All!$H314="Tulsa",+All!L314,0))</f>
        <v>21.5</v>
      </c>
      <c r="M148" s="61">
        <f>IF(+All!$F314="Tulsa",+All!M314,IF(+All!$H314="Tulsa",+All!M314,0))</f>
        <v>51.5</v>
      </c>
      <c r="N148" s="460" t="str">
        <f>IF(+All!$F314="Tulsa",+All!N314,IF(+All!$H314="Tulsa",+All!N314,0))</f>
        <v>Mississippi</v>
      </c>
      <c r="O148" s="462">
        <f>IF(+All!$F314="Tulsa",+All!O314,IF(+All!$H314="Tulsa",+All!O314,0))</f>
        <v>35</v>
      </c>
      <c r="P148" s="462" t="str">
        <f>IF(+All!$F314="Tulsa",+All!P314,IF(+All!$H314="Tulsa",+All!P314,0))</f>
        <v>Tulsa</v>
      </c>
      <c r="Q148" s="461">
        <f>IF(+All!$F314="Tulsa",+All!Q314,IF(+All!$H314="Tulsa",+All!Q314,0))</f>
        <v>27</v>
      </c>
      <c r="R148" s="460" t="str">
        <f>IF(+All!$F314="Tulsa",+All!R314,IF(+All!$H314="Tulsa",+All!R314,0))</f>
        <v>Tulsa</v>
      </c>
      <c r="S148" s="462" t="str">
        <f>IF(+All!$F314="Tulsa",+All!S314,IF(+All!$H314="Tulsa",+All!S314,0))</f>
        <v>Mississippi</v>
      </c>
      <c r="T148" s="460" t="str">
        <f>IF(+All!$F314="Tulsa",+All!T314,IF(+All!$H314="Tulsa",+All!T314,0))</f>
        <v>Tulsa</v>
      </c>
      <c r="U148" s="461" t="str">
        <f>IF(+All!$F314="Tulsa",+All!U314,IF(+All!$H314="Tulsa",+All!U314,0))</f>
        <v>W</v>
      </c>
    </row>
    <row r="149" spans="1:21" x14ac:dyDescent="0.8">
      <c r="A149" s="46">
        <f>IF(+All!$F327="Tulsa",+All!A327,IF(+All!$H327="Tulsa",+All!A327,0))</f>
        <v>5</v>
      </c>
      <c r="B149" s="348" t="str">
        <f>IF(+All!$F327="Tulsa",+All!B327,IF(+All!$H327="Tulsa",+All!B327,0))</f>
        <v>Sat</v>
      </c>
      <c r="C149" s="72">
        <f>IF(+All!$F327="Tulsa",+All!C327,IF(+All!$H327="Tulsa",+All!C327,0))</f>
        <v>44835</v>
      </c>
      <c r="D149" s="73">
        <f>IF(+All!$F327="Tulsa",+All!D327,IF(+All!$H327="Tulsa",+All!D327,0))</f>
        <v>0.79166666666666663</v>
      </c>
      <c r="E149" s="461" t="str">
        <f>IF(+All!$F327="Tulsa",+All!E327,IF(+All!$H327="Tulsa",+All!E327,0))</f>
        <v>ESPNU</v>
      </c>
      <c r="F149" s="460" t="str">
        <f>IF(+All!$F327="Tulsa",+All!F327,IF(+All!$H327="Tulsa",+All!F327,0))</f>
        <v>Cincinnati</v>
      </c>
      <c r="G149" s="461" t="str">
        <f>IF(+All!$F327="Tulsa",+All!G327,IF(+All!$H327="Tulsa",+All!G327,0))</f>
        <v>AAC</v>
      </c>
      <c r="H149" s="460" t="str">
        <f>IF(+All!$F327="Tulsa",+All!H327,IF(+All!$H327="Tulsa",+All!H327,0))</f>
        <v>Tulsa</v>
      </c>
      <c r="I149" s="461" t="str">
        <f>IF(+All!$F327="Tulsa",+All!I327,IF(+All!$H327="Tulsa",+All!I327,0))</f>
        <v>AAC</v>
      </c>
      <c r="J149" s="460" t="str">
        <f>IF(+All!$F327="Tulsa",+All!J327,IF(+All!$H327="Tulsa",+All!J327,0))</f>
        <v>Cincinnati</v>
      </c>
      <c r="K149" s="461" t="str">
        <f>IF(+All!$F327="Tulsa",+All!K327,IF(+All!$H327="Tulsa",+All!K327,0))</f>
        <v>Tulsa</v>
      </c>
      <c r="L149" s="60">
        <f>IF(+All!$F327="Tulsa",+All!L327,IF(+All!$H327="Tulsa",+All!L327,0))</f>
        <v>9.5</v>
      </c>
      <c r="M149" s="61">
        <f>IF(+All!$F327="Tulsa",+All!M327,IF(+All!$H327="Tulsa",+All!M327,0))</f>
        <v>61</v>
      </c>
      <c r="N149" s="460" t="str">
        <f>IF(+All!$F327="Tulsa",+All!N327,IF(+All!$H327="Tulsa",+All!N327,0))</f>
        <v>Cincinnati</v>
      </c>
      <c r="O149" s="462">
        <f>IF(+All!$F327="Tulsa",+All!O327,IF(+All!$H327="Tulsa",+All!O327,0))</f>
        <v>31</v>
      </c>
      <c r="P149" s="462" t="str">
        <f>IF(+All!$F327="Tulsa",+All!P327,IF(+All!$H327="Tulsa",+All!P327,0))</f>
        <v>Tulsa</v>
      </c>
      <c r="Q149" s="461">
        <f>IF(+All!$F327="Tulsa",+All!Q327,IF(+All!$H327="Tulsa",+All!Q327,0))</f>
        <v>21</v>
      </c>
      <c r="R149" s="460" t="str">
        <f>IF(+All!$F327="Tulsa",+All!R327,IF(+All!$H327="Tulsa",+All!R327,0))</f>
        <v>Cincinnati</v>
      </c>
      <c r="S149" s="462" t="str">
        <f>IF(+All!$F327="Tulsa",+All!S327,IF(+All!$H327="Tulsa",+All!S327,0))</f>
        <v>Tulsa</v>
      </c>
      <c r="T149" s="460" t="str">
        <f>IF(+All!$F327="Tulsa",+All!T327,IF(+All!$H327="Tulsa",+All!T327,0))</f>
        <v>Tulsa</v>
      </c>
      <c r="U149" s="461" t="str">
        <f>IF(+All!$F327="Tulsa",+All!U327,IF(+All!$H327="Tulsa",+All!U327,0))</f>
        <v>L</v>
      </c>
    </row>
    <row r="150" spans="1:21" x14ac:dyDescent="0.8">
      <c r="A150" s="46">
        <f>IF(+All!$F387="Tulsa",+All!A387,IF(+All!$H387="Tulsa",+All!A387,0))</f>
        <v>6</v>
      </c>
      <c r="B150" s="348" t="str">
        <f>IF(+All!$F387="Tulsa",+All!B387,IF(+All!$H387="Tulsa",+All!B387,0))</f>
        <v>Sat</v>
      </c>
      <c r="C150" s="72">
        <f>IF(+All!$F387="Tulsa",+All!C387,IF(+All!$H387="Tulsa",+All!C387,0))</f>
        <v>44842</v>
      </c>
      <c r="D150" s="73">
        <f>IF(+All!$F387="Tulsa",+All!D387,IF(+All!$H387="Tulsa",+All!D387,0))</f>
        <v>0.64583333333333337</v>
      </c>
      <c r="E150" s="461" t="str">
        <f>IF(+All!$F387="Tulsa",+All!E387,IF(+All!$H387="Tulsa",+All!E387,0))</f>
        <v>CBSSN</v>
      </c>
      <c r="F150" s="460" t="str">
        <f>IF(+All!$F387="Tulsa",+All!F387,IF(+All!$H387="Tulsa",+All!F387,0))</f>
        <v>Tulsa</v>
      </c>
      <c r="G150" s="461" t="str">
        <f>IF(+All!$F387="Tulsa",+All!G387,IF(+All!$H387="Tulsa",+All!G387,0))</f>
        <v>AAC</v>
      </c>
      <c r="H150" s="460" t="str">
        <f>IF(+All!$F387="Tulsa",+All!H387,IF(+All!$H387="Tulsa",+All!H387,0))</f>
        <v>Navy</v>
      </c>
      <c r="I150" s="461" t="str">
        <f>IF(+All!$F387="Tulsa",+All!I387,IF(+All!$H387="Tulsa",+All!I387,0))</f>
        <v>AAC</v>
      </c>
      <c r="J150" s="460" t="str">
        <f>IF(+All!$F387="Tulsa",+All!J387,IF(+All!$H387="Tulsa",+All!J387,0))</f>
        <v>Tulsa</v>
      </c>
      <c r="K150" s="461" t="str">
        <f>IF(+All!$F387="Tulsa",+All!K387,IF(+All!$H387="Tulsa",+All!K387,0))</f>
        <v>Navy</v>
      </c>
      <c r="L150" s="60">
        <f>IF(+All!$F387="Tulsa",+All!L387,IF(+All!$H387="Tulsa",+All!L387,0))</f>
        <v>5.5</v>
      </c>
      <c r="M150" s="61">
        <f>IF(+All!$F387="Tulsa",+All!M387,IF(+All!$H387="Tulsa",+All!M387,0))</f>
        <v>45.5</v>
      </c>
      <c r="N150" s="460" t="str">
        <f>IF(+All!$F387="Tulsa",+All!N387,IF(+All!$H387="Tulsa",+All!N387,0))</f>
        <v>Navy</v>
      </c>
      <c r="O150" s="462">
        <f>IF(+All!$F387="Tulsa",+All!O387,IF(+All!$H387="Tulsa",+All!O387,0))</f>
        <v>53</v>
      </c>
      <c r="P150" s="462" t="str">
        <f>IF(+All!$F387="Tulsa",+All!P387,IF(+All!$H387="Tulsa",+All!P387,0))</f>
        <v>Tulsa</v>
      </c>
      <c r="Q150" s="461">
        <f>IF(+All!$F387="Tulsa",+All!Q387,IF(+All!$H387="Tulsa",+All!Q387,0))</f>
        <v>21</v>
      </c>
      <c r="R150" s="460" t="str">
        <f>IF(+All!$F387="Tulsa",+All!R387,IF(+All!$H387="Tulsa",+All!R387,0))</f>
        <v>Navy</v>
      </c>
      <c r="S150" s="462" t="str">
        <f>IF(+All!$F387="Tulsa",+All!S387,IF(+All!$H387="Tulsa",+All!S387,0))</f>
        <v>Tulsa</v>
      </c>
      <c r="T150" s="460" t="str">
        <f>IF(+All!$F387="Tulsa",+All!T387,IF(+All!$H387="Tulsa",+All!T387,0))</f>
        <v>Tulsa</v>
      </c>
      <c r="U150" s="461" t="str">
        <f>IF(+All!$F387="Tulsa",+All!U387,IF(+All!$H387="Tulsa",+All!U387,0))</f>
        <v>L</v>
      </c>
    </row>
    <row r="151" spans="1:21" x14ac:dyDescent="0.8">
      <c r="A151" s="46" t="e">
        <f>IF(+All!#REF!="Tulsa",+All!#REF!,IF(+All!#REF!="Tulsa",+All!#REF!,0))</f>
        <v>#REF!</v>
      </c>
      <c r="B151" s="348" t="e">
        <f>IF(+All!#REF!="Tulsa",+All!#REF!,IF(+All!#REF!="Tulsa",+All!#REF!,0))</f>
        <v>#REF!</v>
      </c>
      <c r="C151" s="72" t="e">
        <f>IF(+All!#REF!="Tulsa",+All!#REF!,IF(+All!#REF!="Tulsa",+All!#REF!,0))</f>
        <v>#REF!</v>
      </c>
      <c r="D151" s="73" t="e">
        <f>IF(+All!#REF!="Tulsa",+All!#REF!,IF(+All!#REF!="Tulsa",+All!#REF!,0))</f>
        <v>#REF!</v>
      </c>
      <c r="E151" s="461" t="e">
        <f>IF(+All!#REF!="Tulsa",+All!#REF!,IF(+All!#REF!="Tulsa",+All!#REF!,0))</f>
        <v>#REF!</v>
      </c>
      <c r="F151" s="460" t="e">
        <f>IF(+All!#REF!="Tulsa",+All!#REF!,IF(+All!#REF!="Tulsa",+All!#REF!,0))</f>
        <v>#REF!</v>
      </c>
      <c r="G151" s="461" t="e">
        <f>IF(+All!#REF!="Tulsa",+All!#REF!,IF(+All!#REF!="Tulsa",+All!#REF!,0))</f>
        <v>#REF!</v>
      </c>
      <c r="H151" s="460" t="e">
        <f>IF(+All!#REF!="Tulsa",+All!#REF!,IF(+All!#REF!="Tulsa",+All!#REF!,0))</f>
        <v>#REF!</v>
      </c>
      <c r="I151" s="461" t="e">
        <f>IF(+All!#REF!="Tulsa",+All!#REF!,IF(+All!#REF!="Tulsa",+All!#REF!,0))</f>
        <v>#REF!</v>
      </c>
      <c r="J151" s="460" t="e">
        <f>IF(+All!#REF!="Tulsa",+All!#REF!,IF(+All!#REF!="Tulsa",+All!#REF!,0))</f>
        <v>#REF!</v>
      </c>
      <c r="K151" s="461" t="e">
        <f>IF(+All!#REF!="Tulsa",+All!#REF!,IF(+All!#REF!="Tulsa",+All!#REF!,0))</f>
        <v>#REF!</v>
      </c>
      <c r="L151" s="60" t="e">
        <f>IF(+All!#REF!="Tulsa",+All!#REF!,IF(+All!#REF!="Tulsa",+All!#REF!,0))</f>
        <v>#REF!</v>
      </c>
      <c r="M151" s="61" t="e">
        <f>IF(+All!#REF!="Tulsa",+All!#REF!,IF(+All!#REF!="Tulsa",+All!#REF!,0))</f>
        <v>#REF!</v>
      </c>
      <c r="N151" s="460" t="e">
        <f>IF(+All!#REF!="Tulsa",+All!#REF!,IF(+All!#REF!="Tulsa",+All!#REF!,0))</f>
        <v>#REF!</v>
      </c>
      <c r="O151" s="462" t="e">
        <f>IF(+All!#REF!="Tulsa",+All!#REF!,IF(+All!#REF!="Tulsa",+All!#REF!,0))</f>
        <v>#REF!</v>
      </c>
      <c r="P151" s="462" t="e">
        <f>IF(+All!#REF!="Tulsa",+All!#REF!,IF(+All!#REF!="Tulsa",+All!#REF!,0))</f>
        <v>#REF!</v>
      </c>
      <c r="Q151" s="461" t="e">
        <f>IF(+All!#REF!="Tulsa",+All!#REF!,IF(+All!#REF!="Tulsa",+All!#REF!,0))</f>
        <v>#REF!</v>
      </c>
      <c r="R151" s="460" t="e">
        <f>IF(+All!#REF!="Tulsa",+All!#REF!,IF(+All!#REF!="Tulsa",+All!#REF!,0))</f>
        <v>#REF!</v>
      </c>
      <c r="S151" s="462" t="e">
        <f>IF(+All!#REF!="Tulsa",+All!#REF!,IF(+All!#REF!="Tulsa",+All!#REF!,0))</f>
        <v>#REF!</v>
      </c>
      <c r="T151" s="460" t="e">
        <f>IF(+All!#REF!="Tulsa",+All!#REF!,IF(+All!#REF!="Tulsa",+All!#REF!,0))</f>
        <v>#REF!</v>
      </c>
      <c r="U151" s="461" t="e">
        <f>IF(+All!#REF!="Tulsa",+All!#REF!,IF(+All!#REF!="Tulsa",+All!#REF!,0))</f>
        <v>#REF!</v>
      </c>
    </row>
    <row r="152" spans="1:21" x14ac:dyDescent="0.8">
      <c r="A152" s="46">
        <f>IF(+All!$F494="Tulsa",+All!A494,IF(+All!$H494="Tulsa",+All!A494,0))</f>
        <v>8</v>
      </c>
      <c r="B152" s="348" t="str">
        <f>IF(+All!$F494="Tulsa",+All!B494,IF(+All!$H494="Tulsa",+All!B494,0))</f>
        <v>Fri</v>
      </c>
      <c r="C152" s="72">
        <f>IF(+All!$F494="Tulsa",+All!C494,IF(+All!$H494="Tulsa",+All!C494,0))</f>
        <v>44855</v>
      </c>
      <c r="D152" s="73">
        <f>IF(+All!$F494="Tulsa",+All!D494,IF(+All!$H494="Tulsa",+All!D494,0))</f>
        <v>0.8125</v>
      </c>
      <c r="E152" s="461" t="str">
        <f>IF(+All!$F494="Tulsa",+All!E494,IF(+All!$H494="Tulsa",+All!E494,0))</f>
        <v>ESPN2</v>
      </c>
      <c r="F152" s="460" t="str">
        <f>IF(+All!$F494="Tulsa",+All!F494,IF(+All!$H494="Tulsa",+All!F494,0))</f>
        <v>Tulsa</v>
      </c>
      <c r="G152" s="461" t="str">
        <f>IF(+All!$F494="Tulsa",+All!G494,IF(+All!$H494="Tulsa",+All!G494,0))</f>
        <v>AAC</v>
      </c>
      <c r="H152" s="460" t="str">
        <f>IF(+All!$F494="Tulsa",+All!H494,IF(+All!$H494="Tulsa",+All!H494,0))</f>
        <v>Temple</v>
      </c>
      <c r="I152" s="461" t="str">
        <f>IF(+All!$F494="Tulsa",+All!I494,IF(+All!$H494="Tulsa",+All!I494,0))</f>
        <v>AAC</v>
      </c>
      <c r="J152" s="460" t="str">
        <f>IF(+All!$F494="Tulsa",+All!J494,IF(+All!$H494="Tulsa",+All!J494,0))</f>
        <v>Tulsa</v>
      </c>
      <c r="K152" s="461" t="str">
        <f>IF(+All!$F494="Tulsa",+All!K494,IF(+All!$H494="Tulsa",+All!K494,0))</f>
        <v>Temple</v>
      </c>
      <c r="L152" s="60">
        <f>IF(+All!$F494="Tulsa",+All!L494,IF(+All!$H494="Tulsa",+All!L494,0))</f>
        <v>13</v>
      </c>
      <c r="M152" s="61">
        <f>IF(+All!$F494="Tulsa",+All!M494,IF(+All!$H494="Tulsa",+All!M494,0))</f>
        <v>52.5</v>
      </c>
      <c r="N152" s="460" t="str">
        <f>IF(+All!$F494="Tulsa",+All!N494,IF(+All!$H494="Tulsa",+All!N494,0))</f>
        <v>Tulsa</v>
      </c>
      <c r="O152" s="462">
        <f>IF(+All!$F494="Tulsa",+All!O494,IF(+All!$H494="Tulsa",+All!O494,0))</f>
        <v>27</v>
      </c>
      <c r="P152" s="462" t="str">
        <f>IF(+All!$F494="Tulsa",+All!P494,IF(+All!$H494="Tulsa",+All!P494,0))</f>
        <v>Temple</v>
      </c>
      <c r="Q152" s="461">
        <f>IF(+All!$F494="Tulsa",+All!Q494,IF(+All!$H494="Tulsa",+All!Q494,0))</f>
        <v>16</v>
      </c>
      <c r="R152" s="460" t="str">
        <f>IF(+All!$F494="Tulsa",+All!R494,IF(+All!$H494="Tulsa",+All!R494,0))</f>
        <v>Temple</v>
      </c>
      <c r="S152" s="462" t="str">
        <f>IF(+All!$F494="Tulsa",+All!S494,IF(+All!$H494="Tulsa",+All!S494,0))</f>
        <v>Tulsa</v>
      </c>
      <c r="T152" s="460" t="str">
        <f>IF(+All!$F494="Tulsa",+All!T494,IF(+All!$H494="Tulsa",+All!T494,0))</f>
        <v>Temple</v>
      </c>
      <c r="U152" s="461" t="str">
        <f>IF(+All!$F494="Tulsa",+All!U494,IF(+All!$H494="Tulsa",+All!U494,0))</f>
        <v>W</v>
      </c>
    </row>
    <row r="153" spans="1:21" x14ac:dyDescent="0.8">
      <c r="A153" s="46">
        <f>IF(+All!$F553="Tulsa",+All!A553,IF(+All!$H553="Tulsa",+All!A553,0))</f>
        <v>9</v>
      </c>
      <c r="B153" s="348" t="str">
        <f>IF(+All!$F553="Tulsa",+All!B553,IF(+All!$H553="Tulsa",+All!B553,0))</f>
        <v>Sat</v>
      </c>
      <c r="C153" s="72">
        <f>IF(+All!$F553="Tulsa",+All!C553,IF(+All!$H553="Tulsa",+All!C553,0))</f>
        <v>44863</v>
      </c>
      <c r="D153" s="73">
        <f>IF(+All!$F553="Tulsa",+All!D553,IF(+All!$H553="Tulsa",+All!D553,0))</f>
        <v>0.64583333333333337</v>
      </c>
      <c r="E153" s="461">
        <f>IF(+All!$F553="Tulsa",+All!E553,IF(+All!$H553="Tulsa",+All!E553,0))</f>
        <v>0</v>
      </c>
      <c r="F153" s="460" t="str">
        <f>IF(+All!$F553="Tulsa",+All!F553,IF(+All!$H553="Tulsa",+All!F553,0))</f>
        <v>SMU</v>
      </c>
      <c r="G153" s="461" t="str">
        <f>IF(+All!$F553="Tulsa",+All!G553,IF(+All!$H553="Tulsa",+All!G553,0))</f>
        <v>AAC</v>
      </c>
      <c r="H153" s="460" t="str">
        <f>IF(+All!$F553="Tulsa",+All!H553,IF(+All!$H553="Tulsa",+All!H553,0))</f>
        <v>Tulsa</v>
      </c>
      <c r="I153" s="461" t="str">
        <f>IF(+All!$F553="Tulsa",+All!I553,IF(+All!$H553="Tulsa",+All!I553,0))</f>
        <v>AAC</v>
      </c>
      <c r="J153" s="460" t="str">
        <f>IF(+All!$F553="Tulsa",+All!J553,IF(+All!$H553="Tulsa",+All!J553,0))</f>
        <v>SMU</v>
      </c>
      <c r="K153" s="461" t="str">
        <f>IF(+All!$F553="Tulsa",+All!K553,IF(+All!$H553="Tulsa",+All!K553,0))</f>
        <v>Tulsa</v>
      </c>
      <c r="L153" s="60">
        <f>IF(+All!$F553="Tulsa",+All!L553,IF(+All!$H553="Tulsa",+All!L553,0))</f>
        <v>2.5</v>
      </c>
      <c r="M153" s="61">
        <f>IF(+All!$F553="Tulsa",+All!M553,IF(+All!$H553="Tulsa",+All!M553,0))</f>
        <v>65.5</v>
      </c>
      <c r="N153" s="460" t="str">
        <f>IF(+All!$F553="Tulsa",+All!N553,IF(+All!$H553="Tulsa",+All!N553,0))</f>
        <v>SMU</v>
      </c>
      <c r="O153" s="462">
        <f>IF(+All!$F553="Tulsa",+All!O553,IF(+All!$H553="Tulsa",+All!O553,0))</f>
        <v>45</v>
      </c>
      <c r="P153" s="462" t="str">
        <f>IF(+All!$F553="Tulsa",+All!P553,IF(+All!$H553="Tulsa",+All!P553,0))</f>
        <v>Tulsa</v>
      </c>
      <c r="Q153" s="461">
        <f>IF(+All!$F553="Tulsa",+All!Q553,IF(+All!$H553="Tulsa",+All!Q553,0))</f>
        <v>34</v>
      </c>
      <c r="R153" s="460" t="str">
        <f>IF(+All!$F553="Tulsa",+All!R553,IF(+All!$H553="Tulsa",+All!R553,0))</f>
        <v>SMU</v>
      </c>
      <c r="S153" s="462" t="str">
        <f>IF(+All!$F553="Tulsa",+All!S553,IF(+All!$H553="Tulsa",+All!S553,0))</f>
        <v>Tulsa</v>
      </c>
      <c r="T153" s="460" t="str">
        <f>IF(+All!$F553="Tulsa",+All!T553,IF(+All!$H553="Tulsa",+All!T553,0))</f>
        <v>SMU</v>
      </c>
      <c r="U153" s="461" t="str">
        <f>IF(+All!$F553="Tulsa",+All!U553,IF(+All!$H553="Tulsa",+All!U553,0))</f>
        <v>W</v>
      </c>
    </row>
    <row r="154" spans="1:21" x14ac:dyDescent="0.8">
      <c r="A154" s="46">
        <f>IF(+All!$F606="Tulsa",+All!A606,IF(+All!$H606="Tulsa",+All!A606,0))</f>
        <v>10</v>
      </c>
      <c r="B154" s="348" t="str">
        <f>IF(+All!$F606="Tulsa",+All!B606,IF(+All!$H606="Tulsa",+All!B606,0))</f>
        <v>Sat</v>
      </c>
      <c r="C154" s="72">
        <f>IF(+All!$F606="Tulsa",+All!C606,IF(+All!$H606="Tulsa",+All!C606,0))</f>
        <v>44870</v>
      </c>
      <c r="D154" s="73">
        <f>IF(+All!$F606="Tulsa",+All!D606,IF(+All!$H606="Tulsa",+All!D606,0))</f>
        <v>0.5</v>
      </c>
      <c r="E154" s="461" t="str">
        <f>IF(+All!$F606="Tulsa",+All!E606,IF(+All!$H606="Tulsa",+All!E606,0))</f>
        <v>ESPNU</v>
      </c>
      <c r="F154" s="460" t="str">
        <f>IF(+All!$F606="Tulsa",+All!F606,IF(+All!$H606="Tulsa",+All!F606,0))</f>
        <v>Tulane</v>
      </c>
      <c r="G154" s="461" t="str">
        <f>IF(+All!$F606="Tulsa",+All!G606,IF(+All!$H606="Tulsa",+All!G606,0))</f>
        <v>AAC</v>
      </c>
      <c r="H154" s="460" t="str">
        <f>IF(+All!$F606="Tulsa",+All!H606,IF(+All!$H606="Tulsa",+All!H606,0))</f>
        <v>Tulsa</v>
      </c>
      <c r="I154" s="461" t="str">
        <f>IF(+All!$F606="Tulsa",+All!I606,IF(+All!$H606="Tulsa",+All!I606,0))</f>
        <v>AAC</v>
      </c>
      <c r="J154" s="460" t="str">
        <f>IF(+All!$F606="Tulsa",+All!J606,IF(+All!$H606="Tulsa",+All!J606,0))</f>
        <v>Tulane</v>
      </c>
      <c r="K154" s="461" t="str">
        <f>IF(+All!$F606="Tulsa",+All!K606,IF(+All!$H606="Tulsa",+All!K606,0))</f>
        <v>Tulsa</v>
      </c>
      <c r="L154" s="60">
        <f>IF(+All!$F606="Tulsa",+All!L606,IF(+All!$H606="Tulsa",+All!L606,0))</f>
        <v>7.5</v>
      </c>
      <c r="M154" s="61">
        <f>IF(+All!$F606="Tulsa",+All!M606,IF(+All!$H606="Tulsa",+All!M606,0))</f>
        <v>57.5</v>
      </c>
      <c r="N154" s="460" t="str">
        <f>IF(+All!$F606="Tulsa",+All!N606,IF(+All!$H606="Tulsa",+All!N606,0))</f>
        <v>Tulane</v>
      </c>
      <c r="O154" s="462">
        <f>IF(+All!$F606="Tulsa",+All!O606,IF(+All!$H606="Tulsa",+All!O606,0))</f>
        <v>27</v>
      </c>
      <c r="P154" s="462" t="str">
        <f>IF(+All!$F606="Tulsa",+All!P606,IF(+All!$H606="Tulsa",+All!P606,0))</f>
        <v>Tulsa</v>
      </c>
      <c r="Q154" s="461">
        <f>IF(+All!$F606="Tulsa",+All!Q606,IF(+All!$H606="Tulsa",+All!Q606,0))</f>
        <v>13</v>
      </c>
      <c r="R154" s="460" t="str">
        <f>IF(+All!$F606="Tulsa",+All!R606,IF(+All!$H606="Tulsa",+All!R606,0))</f>
        <v>Tulane</v>
      </c>
      <c r="S154" s="462" t="str">
        <f>IF(+All!$F606="Tulsa",+All!S606,IF(+All!$H606="Tulsa",+All!S606,0))</f>
        <v>Tulsa</v>
      </c>
      <c r="T154" s="460" t="str">
        <f>IF(+All!$F606="Tulsa",+All!T606,IF(+All!$H606="Tulsa",+All!T606,0))</f>
        <v>Tulane</v>
      </c>
      <c r="U154" s="461" t="str">
        <f>IF(+All!$F606="Tulsa",+All!U606,IF(+All!$H606="Tulsa",+All!U606,0))</f>
        <v>W</v>
      </c>
    </row>
    <row r="155" spans="1:21" x14ac:dyDescent="0.8">
      <c r="A155" s="46">
        <f>IF(+All!$F659="Tulsa",+All!A659,IF(+All!$H659="Tulsa",+All!A659,0))</f>
        <v>11</v>
      </c>
      <c r="B155" s="348" t="str">
        <f>IF(+All!$F659="Tulsa",+All!B659,IF(+All!$H659="Tulsa",+All!B659,0))</f>
        <v>Thurs</v>
      </c>
      <c r="C155" s="72">
        <f>IF(+All!$F659="Tulsa",+All!C659,IF(+All!$H659="Tulsa",+All!C659,0))</f>
        <v>44874</v>
      </c>
      <c r="D155" s="73">
        <f>IF(+All!$F659="Tulsa",+All!D659,IF(+All!$H659="Tulsa",+All!D659,0))</f>
        <v>0.8125</v>
      </c>
      <c r="E155" s="461" t="str">
        <f>IF(+All!$F659="Tulsa",+All!E659,IF(+All!$H659="Tulsa",+All!E659,0))</f>
        <v>ESPN</v>
      </c>
      <c r="F155" s="460" t="str">
        <f>IF(+All!$F659="Tulsa",+All!F659,IF(+All!$H659="Tulsa",+All!F659,0))</f>
        <v>Tulsa</v>
      </c>
      <c r="G155" s="461" t="str">
        <f>IF(+All!$F659="Tulsa",+All!G659,IF(+All!$H659="Tulsa",+All!G659,0))</f>
        <v>AAC</v>
      </c>
      <c r="H155" s="460" t="str">
        <f>IF(+All!$F659="Tulsa",+All!H659,IF(+All!$H659="Tulsa",+All!H659,0))</f>
        <v>Memphis</v>
      </c>
      <c r="I155" s="461" t="str">
        <f>IF(+All!$F659="Tulsa",+All!I659,IF(+All!$H659="Tulsa",+All!I659,0))</f>
        <v>AAC</v>
      </c>
      <c r="J155" s="460" t="str">
        <f>IF(+All!$F659="Tulsa",+All!J659,IF(+All!$H659="Tulsa",+All!J659,0))</f>
        <v>Memphis</v>
      </c>
      <c r="K155" s="461" t="str">
        <f>IF(+All!$F659="Tulsa",+All!K659,IF(+All!$H659="Tulsa",+All!K659,0))</f>
        <v>Tulsa</v>
      </c>
      <c r="L155" s="60">
        <f>IF(+All!$F659="Tulsa",+All!L659,IF(+All!$H659="Tulsa",+All!L659,0))</f>
        <v>7</v>
      </c>
      <c r="M155" s="61">
        <f>IF(+All!$F659="Tulsa",+All!M659,IF(+All!$H659="Tulsa",+All!M659,0))</f>
        <v>62</v>
      </c>
      <c r="N155" s="460" t="str">
        <f>IF(+All!$F659="Tulsa",+All!N659,IF(+All!$H659="Tulsa",+All!N659,0))</f>
        <v>Memphis</v>
      </c>
      <c r="O155" s="462">
        <f>IF(+All!$F659="Tulsa",+All!O659,IF(+All!$H659="Tulsa",+All!O659,0))</f>
        <v>26</v>
      </c>
      <c r="P155" s="462" t="str">
        <f>IF(+All!$F659="Tulsa",+All!P659,IF(+All!$H659="Tulsa",+All!P659,0))</f>
        <v>Tulsa</v>
      </c>
      <c r="Q155" s="461">
        <f>IF(+All!$F659="Tulsa",+All!Q659,IF(+All!$H659="Tulsa",+All!Q659,0))</f>
        <v>10</v>
      </c>
      <c r="R155" s="460" t="str">
        <f>IF(+All!$F659="Tulsa",+All!R659,IF(+All!$H659="Tulsa",+All!R659,0))</f>
        <v>Memphis</v>
      </c>
      <c r="S155" s="462" t="str">
        <f>IF(+All!$F659="Tulsa",+All!S659,IF(+All!$H659="Tulsa",+All!S659,0))</f>
        <v>Tulsa</v>
      </c>
      <c r="T155" s="460" t="str">
        <f>IF(+All!$F659="Tulsa",+All!T659,IF(+All!$H659="Tulsa",+All!T659,0))</f>
        <v>Memphis</v>
      </c>
      <c r="U155" s="461" t="str">
        <f>IF(+All!$F659="Tulsa",+All!U659,IF(+All!$H659="Tulsa",+All!U659,0))</f>
        <v>W</v>
      </c>
    </row>
    <row r="156" spans="1:21" x14ac:dyDescent="0.8">
      <c r="A156" s="46">
        <f>IF(+All!$F724="Tulsa",+All!A724,IF(+All!$H724="Tulsa",+All!A724,0))</f>
        <v>12</v>
      </c>
      <c r="B156" s="348" t="str">
        <f>IF(+All!$F724="Tulsa",+All!B724,IF(+All!$H724="Tulsa",+All!B724,0))</f>
        <v>Fri</v>
      </c>
      <c r="C156" s="72">
        <f>IF(+All!$F724="Tulsa",+All!C724,IF(+All!$H724="Tulsa",+All!C724,0))</f>
        <v>44883</v>
      </c>
      <c r="D156" s="73">
        <f>IF(+All!$F724="Tulsa",+All!D724,IF(+All!$H724="Tulsa",+All!D724,0))</f>
        <v>0.875</v>
      </c>
      <c r="E156" s="461" t="str">
        <f>IF(+All!$F724="Tulsa",+All!E724,IF(+All!$H724="Tulsa",+All!E724,0))</f>
        <v>ESPN2</v>
      </c>
      <c r="F156" s="460" t="str">
        <f>IF(+All!$F724="Tulsa",+All!F724,IF(+All!$H724="Tulsa",+All!F724,0))</f>
        <v>South Florida</v>
      </c>
      <c r="G156" s="461" t="str">
        <f>IF(+All!$F724="Tulsa",+All!G724,IF(+All!$H724="Tulsa",+All!G724,0))</f>
        <v>AAC</v>
      </c>
      <c r="H156" s="460" t="str">
        <f>IF(+All!$F724="Tulsa",+All!H724,IF(+All!$H724="Tulsa",+All!H724,0))</f>
        <v>Tulsa</v>
      </c>
      <c r="I156" s="461" t="str">
        <f>IF(+All!$F724="Tulsa",+All!I724,IF(+All!$H724="Tulsa",+All!I724,0))</f>
        <v>AAC</v>
      </c>
      <c r="J156" s="460" t="str">
        <f>IF(+All!$F724="Tulsa",+All!J724,IF(+All!$H724="Tulsa",+All!J724,0))</f>
        <v>Tulsa</v>
      </c>
      <c r="K156" s="461" t="str">
        <f>IF(+All!$F724="Tulsa",+All!K724,IF(+All!$H724="Tulsa",+All!K724,0))</f>
        <v>South Florida</v>
      </c>
      <c r="L156" s="60">
        <f>IF(+All!$F724="Tulsa",+All!L724,IF(+All!$H724="Tulsa",+All!L724,0))</f>
        <v>14</v>
      </c>
      <c r="M156" s="61">
        <f>IF(+All!$F724="Tulsa",+All!M724,IF(+All!$H724="Tulsa",+All!M724,0))</f>
        <v>59</v>
      </c>
      <c r="N156" s="460" t="str">
        <f>IF(+All!$F724="Tulsa",+All!N724,IF(+All!$H724="Tulsa",+All!N724,0))</f>
        <v>Tulsa</v>
      </c>
      <c r="O156" s="462">
        <f>IF(+All!$F724="Tulsa",+All!O724,IF(+All!$H724="Tulsa",+All!O724,0))</f>
        <v>48</v>
      </c>
      <c r="P156" s="462" t="str">
        <f>IF(+All!$F724="Tulsa",+All!P724,IF(+All!$H724="Tulsa",+All!P724,0))</f>
        <v>South Florida</v>
      </c>
      <c r="Q156" s="461">
        <f>IF(+All!$F724="Tulsa",+All!Q724,IF(+All!$H724="Tulsa",+All!Q724,0))</f>
        <v>42</v>
      </c>
      <c r="R156" s="460" t="str">
        <f>IF(+All!$F724="Tulsa",+All!R724,IF(+All!$H724="Tulsa",+All!R724,0))</f>
        <v>South Florida</v>
      </c>
      <c r="S156" s="462" t="str">
        <f>IF(+All!$F724="Tulsa",+All!S724,IF(+All!$H724="Tulsa",+All!S724,0))</f>
        <v>Tulsa</v>
      </c>
      <c r="T156" s="460" t="str">
        <f>IF(+All!$F724="Tulsa",+All!T724,IF(+All!$H724="Tulsa",+All!T724,0))</f>
        <v>South Florida</v>
      </c>
      <c r="U156" s="461" t="str">
        <f>IF(+All!$F724="Tulsa",+All!U724,IF(+All!$H724="Tulsa",+All!U724,0))</f>
        <v>W</v>
      </c>
    </row>
    <row r="157" spans="1:21" x14ac:dyDescent="0.8">
      <c r="A157" s="46">
        <f>IF(+All!$F799="Tulsa",+All!A799,IF(+All!$H799="Tulsa",+All!A799,0))</f>
        <v>13</v>
      </c>
      <c r="B157" s="348" t="str">
        <f>IF(+All!$F799="Tulsa",+All!B799,IF(+All!$H799="Tulsa",+All!B799,0))</f>
        <v>Sat</v>
      </c>
      <c r="C157" s="72">
        <f>IF(+All!$F799="Tulsa",+All!C799,IF(+All!$H799="Tulsa",+All!C799,0))</f>
        <v>44891</v>
      </c>
      <c r="D157" s="73">
        <f>IF(+All!$F799="Tulsa",+All!D799,IF(+All!$H799="Tulsa",+All!D799,0))</f>
        <v>0.8125</v>
      </c>
      <c r="E157" s="461" t="str">
        <f>IF(+All!$F799="Tulsa",+All!E799,IF(+All!$H799="Tulsa",+All!E799,0))</f>
        <v>ESPNU</v>
      </c>
      <c r="F157" s="460" t="str">
        <f>IF(+All!$F799="Tulsa",+All!F799,IF(+All!$H799="Tulsa",+All!F799,0))</f>
        <v>Tulsa</v>
      </c>
      <c r="G157" s="461" t="str">
        <f>IF(+All!$F799="Tulsa",+All!G799,IF(+All!$H799="Tulsa",+All!G799,0))</f>
        <v>AAC</v>
      </c>
      <c r="H157" s="460" t="str">
        <f>IF(+All!$F799="Tulsa",+All!H799,IF(+All!$H799="Tulsa",+All!H799,0))</f>
        <v>Houston</v>
      </c>
      <c r="I157" s="461" t="str">
        <f>IF(+All!$F799="Tulsa",+All!I799,IF(+All!$H799="Tulsa",+All!I799,0))</f>
        <v>AAC</v>
      </c>
      <c r="J157" s="460" t="str">
        <f>IF(+All!$F799="Tulsa",+All!J799,IF(+All!$H799="Tulsa",+All!J799,0))</f>
        <v>Houston</v>
      </c>
      <c r="K157" s="461" t="str">
        <f>IF(+All!$F799="Tulsa",+All!K799,IF(+All!$H799="Tulsa",+All!K799,0))</f>
        <v>Tulsa</v>
      </c>
      <c r="L157" s="60">
        <f>IF(+All!$F799="Tulsa",+All!L799,IF(+All!$H799="Tulsa",+All!L799,0))</f>
        <v>12</v>
      </c>
      <c r="M157" s="61">
        <f>IF(+All!$F799="Tulsa",+All!M799,IF(+All!$H799="Tulsa",+All!M799,0))</f>
        <v>66.5</v>
      </c>
      <c r="N157" s="460" t="str">
        <f>IF(+All!$F799="Tulsa",+All!N799,IF(+All!$H799="Tulsa",+All!N799,0))</f>
        <v>Tulsa</v>
      </c>
      <c r="O157" s="462">
        <f>IF(+All!$F799="Tulsa",+All!O799,IF(+All!$H799="Tulsa",+All!O799,0))</f>
        <v>37</v>
      </c>
      <c r="P157" s="462" t="str">
        <f>IF(+All!$F799="Tulsa",+All!P799,IF(+All!$H799="Tulsa",+All!P799,0))</f>
        <v>Houston</v>
      </c>
      <c r="Q157" s="461">
        <f>IF(+All!$F799="Tulsa",+All!Q799,IF(+All!$H799="Tulsa",+All!Q799,0))</f>
        <v>30</v>
      </c>
      <c r="R157" s="460" t="str">
        <f>IF(+All!$F799="Tulsa",+All!R799,IF(+All!$H799="Tulsa",+All!R799,0))</f>
        <v>Tulsa</v>
      </c>
      <c r="S157" s="462" t="str">
        <f>IF(+All!$F799="Tulsa",+All!S799,IF(+All!$H799="Tulsa",+All!S799,0))</f>
        <v>Houston</v>
      </c>
      <c r="T157" s="460" t="str">
        <f>IF(+All!$F799="Tulsa",+All!T799,IF(+All!$H799="Tulsa",+All!T799,0))</f>
        <v>Tulsa</v>
      </c>
      <c r="U157" s="461" t="str">
        <f>IF(+All!$F799="Tulsa",+All!U799,IF(+All!$H799="Tulsa",+All!U799,0))</f>
        <v>W</v>
      </c>
    </row>
  </sheetData>
  <sortState xmlns:xlrd2="http://schemas.microsoft.com/office/spreadsheetml/2017/richdata2" ref="A145:U157">
    <sortCondition ref="A145:A157"/>
    <sortCondition ref="H145:H157"/>
  </sortState>
  <mergeCells count="14">
    <mergeCell ref="R1:S1"/>
    <mergeCell ref="F130:I130"/>
    <mergeCell ref="F116:I116"/>
    <mergeCell ref="F144:I144"/>
    <mergeCell ref="F1:I1"/>
    <mergeCell ref="N1:Q1"/>
    <mergeCell ref="F102:I102"/>
    <mergeCell ref="F88:I88"/>
    <mergeCell ref="F17:I17"/>
    <mergeCell ref="F31:I31"/>
    <mergeCell ref="F3:I3"/>
    <mergeCell ref="F45:I45"/>
    <mergeCell ref="F59:I59"/>
    <mergeCell ref="F73:I73"/>
  </mergeCells>
  <pageMargins left="0.25" right="0.25" top="0.25" bottom="0.25" header="0.3" footer="0.3"/>
  <pageSetup scale="58" fitToHeight="0" orientation="landscape" r:id="rId1"/>
  <headerFooter alignWithMargins="0">
    <oddFooter>&amp;C&amp;36AAC</oddFooter>
  </headerFooter>
  <rowBreaks count="2" manualBreakCount="2">
    <brk id="58" max="18" man="1"/>
    <brk id="115" max="18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U201"/>
  <sheetViews>
    <sheetView view="pageBreakPreview" topLeftCell="A116" zoomScale="75" zoomScaleNormal="75" zoomScaleSheetLayoutView="75" workbookViewId="0">
      <selection activeCell="L31" sqref="L31"/>
    </sheetView>
  </sheetViews>
  <sheetFormatPr defaultColWidth="8.86328125" defaultRowHeight="15.75" customHeight="1" x14ac:dyDescent="0.8"/>
  <cols>
    <col min="1" max="1" width="5.6796875" style="46" customWidth="1"/>
    <col min="2" max="2" width="5.6796875" style="47" hidden="1" customWidth="1"/>
    <col min="3" max="3" width="13" style="72" hidden="1" customWidth="1"/>
    <col min="4" max="4" width="11.6796875" style="73" hidden="1" customWidth="1"/>
    <col min="5" max="5" width="9.1328125" style="50" hidden="1" customWidth="1"/>
    <col min="6" max="6" width="24.453125" style="53" customWidth="1"/>
    <col min="7" max="7" width="8.6796875" style="50" hidden="1" customWidth="1"/>
    <col min="8" max="8" width="24.453125" style="53" customWidth="1"/>
    <col min="9" max="9" width="8.6796875" style="50" hidden="1" customWidth="1"/>
    <col min="10" max="10" width="24.453125" style="53" customWidth="1"/>
    <col min="11" max="11" width="24.453125" style="50" customWidth="1"/>
    <col min="12" max="12" width="8" style="60" customWidth="1"/>
    <col min="13" max="13" width="8" style="61" customWidth="1"/>
    <col min="14" max="14" width="24.453125" style="53" customWidth="1"/>
    <col min="15" max="15" width="5.6796875" style="56" customWidth="1"/>
    <col min="16" max="16" width="24.453125" style="56" customWidth="1"/>
    <col min="17" max="17" width="5.6796875" style="50" customWidth="1"/>
    <col min="18" max="18" width="24.453125" style="53" customWidth="1"/>
    <col min="19" max="19" width="24.453125" style="56" customWidth="1"/>
    <col min="20" max="20" width="27.6796875" style="53" customWidth="1"/>
    <col min="21" max="21" width="6.54296875" style="50" customWidth="1"/>
    <col min="22" max="16384" width="8.86328125" style="9"/>
  </cols>
  <sheetData>
    <row r="1" spans="1:21" s="21" customFormat="1" ht="15.9" customHeight="1" x14ac:dyDescent="0.8">
      <c r="A1" s="10"/>
      <c r="B1" s="10"/>
      <c r="C1" s="11"/>
      <c r="D1" s="12"/>
      <c r="E1" s="13"/>
      <c r="F1" s="895" t="s">
        <v>2</v>
      </c>
      <c r="G1" s="900"/>
      <c r="H1" s="900"/>
      <c r="I1" s="896"/>
      <c r="J1" s="14"/>
      <c r="K1" s="13"/>
      <c r="L1" s="15"/>
      <c r="M1" s="16"/>
      <c r="N1" s="895" t="s">
        <v>3</v>
      </c>
      <c r="O1" s="900"/>
      <c r="P1" s="900"/>
      <c r="Q1" s="896"/>
      <c r="R1" s="895" t="s">
        <v>4</v>
      </c>
      <c r="S1" s="896"/>
      <c r="T1" s="14"/>
      <c r="U1" s="13"/>
    </row>
    <row r="2" spans="1:21" s="21" customFormat="1" ht="15.9" customHeight="1" x14ac:dyDescent="0.8">
      <c r="A2" s="22" t="s">
        <v>10</v>
      </c>
      <c r="B2" s="23" t="s">
        <v>11</v>
      </c>
      <c r="C2" s="24" t="s">
        <v>12</v>
      </c>
      <c r="D2" s="25" t="s">
        <v>13</v>
      </c>
      <c r="E2" s="26" t="s">
        <v>14</v>
      </c>
      <c r="F2" s="27" t="s">
        <v>6</v>
      </c>
      <c r="G2" s="26" t="s">
        <v>15</v>
      </c>
      <c r="H2" s="27" t="s">
        <v>8</v>
      </c>
      <c r="I2" s="26" t="s">
        <v>15</v>
      </c>
      <c r="J2" s="27" t="s">
        <v>16</v>
      </c>
      <c r="K2" s="26" t="s">
        <v>17</v>
      </c>
      <c r="L2" s="28" t="s">
        <v>18</v>
      </c>
      <c r="M2" s="29" t="s">
        <v>19</v>
      </c>
      <c r="N2" s="27" t="s">
        <v>20</v>
      </c>
      <c r="O2" s="30"/>
      <c r="P2" s="30" t="s">
        <v>21</v>
      </c>
      <c r="Q2" s="31"/>
      <c r="R2" s="27" t="s">
        <v>20</v>
      </c>
      <c r="S2" s="30" t="s">
        <v>21</v>
      </c>
      <c r="T2" s="27" t="s">
        <v>22</v>
      </c>
      <c r="U2" s="26" t="s">
        <v>23</v>
      </c>
    </row>
    <row r="3" spans="1:21" ht="15.9" customHeight="1" x14ac:dyDescent="0.8">
      <c r="A3" s="38"/>
      <c r="B3" s="39"/>
      <c r="C3" s="40"/>
      <c r="D3" s="41"/>
      <c r="E3" s="463"/>
      <c r="F3" s="897" t="str">
        <f>F5</f>
        <v>Boston College</v>
      </c>
      <c r="G3" s="901"/>
      <c r="H3" s="901"/>
      <c r="I3" s="902"/>
      <c r="J3" s="459"/>
      <c r="K3" s="463"/>
      <c r="L3" s="44"/>
      <c r="M3" s="45"/>
      <c r="N3" s="459"/>
      <c r="O3" s="5"/>
      <c r="P3" s="5"/>
      <c r="Q3" s="463"/>
      <c r="R3" s="459"/>
      <c r="S3" s="5"/>
      <c r="T3" s="459"/>
      <c r="U3" s="463"/>
    </row>
    <row r="4" spans="1:21" ht="15.75" customHeight="1" x14ac:dyDescent="0.8">
      <c r="A4" s="493">
        <f>IF(+All!$F33="Boston College",+All!A33,IF(+All!$H33="Boston College",+All!A33,0))</f>
        <v>1</v>
      </c>
      <c r="B4" s="348" t="str">
        <f>IF(+All!$F33="Boston College",+All!B33,IF(+All!$H33="Boston College",+All!B33,0))</f>
        <v>Sat</v>
      </c>
      <c r="C4" s="72">
        <f>IF(+All!$F33="Boston College",+All!C33,IF(+All!$H33="Boston College",+All!C33,0))</f>
        <v>44807</v>
      </c>
      <c r="D4" s="73">
        <f>IF(+All!$F33="Boston College",+All!D33,IF(+All!$H33="Boston College",+All!D33,0))</f>
        <v>0.5</v>
      </c>
      <c r="E4" s="461" t="str">
        <f>IF(+All!$F33="Boston College",+All!E33,IF(+All!$H33="Boston College",+All!E33,0))</f>
        <v>ACC</v>
      </c>
      <c r="F4" s="460" t="str">
        <f>IF(+All!$F33="Boston College",+All!F33,IF(+All!$H33="Boston College",+All!F33,0))</f>
        <v>Rutgers</v>
      </c>
      <c r="G4" s="462" t="str">
        <f>IF(+All!$F33="Boston College",+All!G33,IF(+All!$H33="Boston College",+All!G33,0))</f>
        <v>B10</v>
      </c>
      <c r="H4" s="462" t="str">
        <f>IF(+All!$F33="Boston College",+All!H33,IF(+All!$H33="Boston College",+All!H33,0))</f>
        <v>Boston College</v>
      </c>
      <c r="I4" s="462" t="str">
        <f>IF(+All!$F33="Boston College",+All!I33,IF(+All!$H33="Boston College",+All!I33,0))</f>
        <v>ACC</v>
      </c>
      <c r="J4" s="460" t="str">
        <f>IF(+All!$F33="Boston College",+All!J33,IF(+All!$H33="Boston College",+All!J33,0))</f>
        <v>Boston College</v>
      </c>
      <c r="K4" s="462" t="str">
        <f>IF(+All!$F33="Boston College",+All!K33,IF(+All!$H33="Boston College",+All!K33,0))</f>
        <v>Rutgers</v>
      </c>
      <c r="L4" s="60">
        <f>IF(+All!$F33="Boston College",+All!L33,IF(+All!$H33="Boston College",+All!L33,0))</f>
        <v>7</v>
      </c>
      <c r="M4" s="357">
        <f>IF(+All!$F33="Boston College",+All!M33,IF(+All!$H33="Boston College",+All!M33,0))</f>
        <v>48</v>
      </c>
      <c r="N4" s="460" t="str">
        <f>IF(+All!$F33="Boston College",+All!N33,IF(+All!$H33="Boston College",+All!N33,0))</f>
        <v>Rutgers</v>
      </c>
      <c r="O4" s="462">
        <f>IF(+All!$F33="Boston College",+All!O33,IF(+All!$H33="Boston College",+All!O33,0))</f>
        <v>22</v>
      </c>
      <c r="P4" s="462" t="str">
        <f>IF(+All!$F33="Boston College",+All!P33,IF(+All!$H33="Boston College",+All!P33,0))</f>
        <v>Boston College</v>
      </c>
      <c r="Q4" s="462">
        <f>IF(+All!$F33="Boston College",+All!Q33,IF(+All!$H33="Boston College",+All!Q33,0))</f>
        <v>21</v>
      </c>
      <c r="R4" s="460" t="str">
        <f>IF(+All!$F33="Boston College",+All!R33,IF(+All!$H33="Boston College",+All!R33,0))</f>
        <v>Rutgers</v>
      </c>
      <c r="S4" s="462" t="str">
        <f>IF(+All!$F33="Boston College",+All!S33,IF(+All!$H33="Boston College",+All!S33,0))</f>
        <v>Boston College</v>
      </c>
      <c r="T4" s="460" t="str">
        <f>IF(+All!$F33="Boston College",+All!T33,IF(+All!$H33="Boston College",+All!T33,0))</f>
        <v>Rutgers</v>
      </c>
      <c r="U4" s="462" t="str">
        <f>IF(+All!$F33="Boston College",+All!U33,IF(+All!$H33="Boston College",+All!U33,0))</f>
        <v>W</v>
      </c>
    </row>
    <row r="5" spans="1:21" ht="15.75" customHeight="1" x14ac:dyDescent="0.8">
      <c r="A5" s="493">
        <f>IF(+All!$F113="Boston College",+All!A113,IF(+All!$H113="Boston College",+All!A113,0))</f>
        <v>2</v>
      </c>
      <c r="B5" s="348" t="str">
        <f>IF(+All!$F113="Boston College",+All!B113,IF(+All!$H113="Boston College",+All!B113,0))</f>
        <v>Sat</v>
      </c>
      <c r="C5" s="72">
        <f>IF(+All!$F113="Boston College",+All!C113,IF(+All!$H113="Boston College",+All!C113,0))</f>
        <v>44814</v>
      </c>
      <c r="D5" s="73">
        <f>IF(+All!$F113="Boston College",+All!D113,IF(+All!$H113="Boston College",+All!D113,0))</f>
        <v>0.83333333333333337</v>
      </c>
      <c r="E5" s="461" t="str">
        <f>IF(+All!$F113="Boston College",+All!E113,IF(+All!$H113="Boston College",+All!E113,0))</f>
        <v>ACC</v>
      </c>
      <c r="F5" s="460" t="str">
        <f>IF(+All!$F113="Boston College",+All!F113,IF(+All!$H113="Boston College",+All!F113,0))</f>
        <v>Boston College</v>
      </c>
      <c r="G5" s="462" t="str">
        <f>IF(+All!$F113="Boston College",+All!G113,IF(+All!$H113="Boston College",+All!G113,0))</f>
        <v>ACC</v>
      </c>
      <c r="H5" s="462" t="str">
        <f>IF(+All!$F113="Boston College",+All!H113,IF(+All!$H113="Boston College",+All!H113,0))</f>
        <v>Virginia Tech</v>
      </c>
      <c r="I5" s="462" t="str">
        <f>IF(+All!$F113="Boston College",+All!I113,IF(+All!$H113="Boston College",+All!I113,0))</f>
        <v>ACC</v>
      </c>
      <c r="J5" s="460" t="str">
        <f>IF(+All!$F113="Boston College",+All!J113,IF(+All!$H113="Boston College",+All!J113,0))</f>
        <v>Virginia Tech</v>
      </c>
      <c r="K5" s="462" t="str">
        <f>IF(+All!$F113="Boston College",+All!K113,IF(+All!$H113="Boston College",+All!K113,0))</f>
        <v>Boston College</v>
      </c>
      <c r="L5" s="60">
        <f>IF(+All!$F113="Boston College",+All!L113,IF(+All!$H113="Boston College",+All!L113,0))</f>
        <v>3</v>
      </c>
      <c r="M5" s="357">
        <f>IF(+All!$F113="Boston College",+All!M113,IF(+All!$H113="Boston College",+All!M113,0))</f>
        <v>46</v>
      </c>
      <c r="N5" s="460" t="str">
        <f>IF(+All!$F113="Boston College",+All!N113,IF(+All!$H113="Boston College",+All!N113,0))</f>
        <v>Virginia Tech</v>
      </c>
      <c r="O5" s="462">
        <f>IF(+All!$F113="Boston College",+All!O113,IF(+All!$H113="Boston College",+All!O113,0))</f>
        <v>27</v>
      </c>
      <c r="P5" s="462" t="str">
        <f>IF(+All!$F113="Boston College",+All!P113,IF(+All!$H113="Boston College",+All!P113,0))</f>
        <v>Boston College</v>
      </c>
      <c r="Q5" s="462">
        <f>IF(+All!$F113="Boston College",+All!Q113,IF(+All!$H113="Boston College",+All!Q113,0))</f>
        <v>10</v>
      </c>
      <c r="R5" s="460" t="str">
        <f>IF(+All!$F113="Boston College",+All!R113,IF(+All!$H113="Boston College",+All!R113,0))</f>
        <v>Virginia Tech</v>
      </c>
      <c r="S5" s="462" t="str">
        <f>IF(+All!$F113="Boston College",+All!S113,IF(+All!$H113="Boston College",+All!S113,0))</f>
        <v>Boston College</v>
      </c>
      <c r="T5" s="460" t="str">
        <f>IF(+All!$F113="Boston College",+All!T113,IF(+All!$H113="Boston College",+All!T113,0))</f>
        <v>Virginia Tech</v>
      </c>
      <c r="U5" s="462" t="str">
        <f>IF(+All!$F113="Boston College",+All!U113,IF(+All!$H113="Boston College",+All!U113,0))</f>
        <v>W</v>
      </c>
    </row>
    <row r="6" spans="1:21" ht="15.75" customHeight="1" x14ac:dyDescent="0.8">
      <c r="A6" s="493">
        <f>IF(+All!$F188="Boston College",+All!A188,IF(+All!$H188="Boston College",+All!A188,0))</f>
        <v>3</v>
      </c>
      <c r="B6" s="348" t="str">
        <f>IF(+All!$F188="Boston College",+All!B188,IF(+All!$H188="Boston College",+All!B188,0))</f>
        <v>Sat</v>
      </c>
      <c r="C6" s="72">
        <f>IF(+All!$F188="Boston College",+All!C188,IF(+All!$H188="Boston College",+All!C188,0))</f>
        <v>44821</v>
      </c>
      <c r="D6" s="73">
        <f>IF(+All!$F188="Boston College",+All!D188,IF(+All!$H188="Boston College",+All!D188,0))</f>
        <v>0.8125</v>
      </c>
      <c r="E6" s="461" t="str">
        <f>IF(+All!$F188="Boston College",+All!E188,IF(+All!$H188="Boston College",+All!E188,0))</f>
        <v>espn3</v>
      </c>
      <c r="F6" s="460" t="str">
        <f>IF(+All!$F188="Boston College",+All!F188,IF(+All!$H188="Boston College",+All!F188,0))</f>
        <v>1AA Maine</v>
      </c>
      <c r="G6" s="462" t="str">
        <f>IF(+All!$F188="Boston College",+All!G188,IF(+All!$H188="Boston College",+All!G188,0))</f>
        <v>1AA</v>
      </c>
      <c r="H6" s="462" t="str">
        <f>IF(+All!$F188="Boston College",+All!H188,IF(+All!$H188="Boston College",+All!H188,0))</f>
        <v>Boston College</v>
      </c>
      <c r="I6" s="462" t="str">
        <f>IF(+All!$F188="Boston College",+All!I188,IF(+All!$H188="Boston College",+All!I188,0))</f>
        <v>ACC</v>
      </c>
      <c r="J6" s="460">
        <f>IF(+All!$F188="Boston College",+All!J188,IF(+All!$H188="Boston College",+All!J188,0))</f>
        <v>0</v>
      </c>
      <c r="K6" s="462">
        <f>IF(+All!$F188="Boston College",+All!K188,IF(+All!$H188="Boston College",+All!K188,0))</f>
        <v>0</v>
      </c>
      <c r="L6" s="60">
        <f>IF(+All!$F188="Boston College",+All!L188,IF(+All!$H188="Boston College",+All!L188,0))</f>
        <v>0</v>
      </c>
      <c r="M6" s="357">
        <f>IF(+All!$F188="Boston College",+All!M188,IF(+All!$H188="Boston College",+All!M188,0))</f>
        <v>0</v>
      </c>
      <c r="N6" s="460" t="str">
        <f>IF(+All!$F188="Boston College",+All!N188,IF(+All!$H188="Boston College",+All!N188,0))</f>
        <v>Boston College</v>
      </c>
      <c r="O6" s="462">
        <f>IF(+All!$F188="Boston College",+All!O188,IF(+All!$H188="Boston College",+All!O188,0))</f>
        <v>38</v>
      </c>
      <c r="P6" s="462" t="str">
        <f>IF(+All!$F188="Boston College",+All!P188,IF(+All!$H188="Boston College",+All!P188,0))</f>
        <v>1AA Maine</v>
      </c>
      <c r="Q6" s="462">
        <f>IF(+All!$F188="Boston College",+All!Q188,IF(+All!$H188="Boston College",+All!Q188,0))</f>
        <v>17</v>
      </c>
      <c r="R6" s="460">
        <f>IF(+All!$F188="Boston College",+All!R188,IF(+All!$H188="Boston College",+All!R188,0))</f>
        <v>0</v>
      </c>
      <c r="S6" s="462">
        <f>IF(+All!$F188="Boston College",+All!S188,IF(+All!$H188="Boston College",+All!S188,0))</f>
        <v>0</v>
      </c>
      <c r="T6" s="460">
        <f>IF(+All!$F188="Boston College",+All!T188,IF(+All!$H188="Boston College",+All!T188,0))</f>
        <v>0</v>
      </c>
      <c r="U6" s="462">
        <f>IF(+All!$F188="Boston College",+All!U188,IF(+All!$H188="Boston College",+All!U188,0))</f>
        <v>0</v>
      </c>
    </row>
    <row r="7" spans="1:21" ht="15.75" customHeight="1" x14ac:dyDescent="0.8">
      <c r="A7" s="493">
        <f>IF(+All!$F266="Boston College",+All!A266,IF(+All!$H266="Boston College",+All!A266,0))</f>
        <v>4</v>
      </c>
      <c r="B7" s="348" t="str">
        <f>IF(+All!$F266="Boston College",+All!B266,IF(+All!$H266="Boston College",+All!B266,0))</f>
        <v>Sat</v>
      </c>
      <c r="C7" s="72">
        <f>IF(+All!$F266="Boston College",+All!C266,IF(+All!$H266="Boston College",+All!C266,0))</f>
        <v>44828</v>
      </c>
      <c r="D7" s="73">
        <f>IF(+All!$F266="Boston College",+All!D266,IF(+All!$H266="Boston College",+All!D266,0))</f>
        <v>0.83333333333333337</v>
      </c>
      <c r="E7" s="461" t="str">
        <f>IF(+All!$F266="Boston College",+All!E266,IF(+All!$H266="Boston College",+All!E266,0))</f>
        <v>ACC</v>
      </c>
      <c r="F7" s="460" t="str">
        <f>IF(+All!$F266="Boston College",+All!F266,IF(+All!$H266="Boston College",+All!F266,0))</f>
        <v>Boston College</v>
      </c>
      <c r="G7" s="462" t="str">
        <f>IF(+All!$F266="Boston College",+All!G266,IF(+All!$H266="Boston College",+All!G266,0))</f>
        <v>ACC</v>
      </c>
      <c r="H7" s="462" t="str">
        <f>IF(+All!$F266="Boston College",+All!H266,IF(+All!$H266="Boston College",+All!H266,0))</f>
        <v>Florida State</v>
      </c>
      <c r="I7" s="462" t="str">
        <f>IF(+All!$F266="Boston College",+All!I266,IF(+All!$H266="Boston College",+All!I266,0))</f>
        <v>ACC</v>
      </c>
      <c r="J7" s="460" t="str">
        <f>IF(+All!$F266="Boston College",+All!J266,IF(+All!$H266="Boston College",+All!J266,0))</f>
        <v>Florida State</v>
      </c>
      <c r="K7" s="462" t="str">
        <f>IF(+All!$F266="Boston College",+All!K266,IF(+All!$H266="Boston College",+All!K266,0))</f>
        <v>Boston College</v>
      </c>
      <c r="L7" s="60">
        <f>IF(+All!$F266="Boston College",+All!L266,IF(+All!$H266="Boston College",+All!L266,0))</f>
        <v>16.5</v>
      </c>
      <c r="M7" s="357">
        <f>IF(+All!$F266="Boston College",+All!M266,IF(+All!$H266="Boston College",+All!M266,0))</f>
        <v>46.5</v>
      </c>
      <c r="N7" s="460" t="str">
        <f>IF(+All!$F266="Boston College",+All!N266,IF(+All!$H266="Boston College",+All!N266,0))</f>
        <v>Florida State</v>
      </c>
      <c r="O7" s="462">
        <f>IF(+All!$F266="Boston College",+All!O266,IF(+All!$H266="Boston College",+All!O266,0))</f>
        <v>44</v>
      </c>
      <c r="P7" s="462" t="str">
        <f>IF(+All!$F266="Boston College",+All!P266,IF(+All!$H266="Boston College",+All!P266,0))</f>
        <v>Boston College</v>
      </c>
      <c r="Q7" s="462">
        <f>IF(+All!$F266="Boston College",+All!Q266,IF(+All!$H266="Boston College",+All!Q266,0))</f>
        <v>14</v>
      </c>
      <c r="R7" s="460" t="str">
        <f>IF(+All!$F266="Boston College",+All!R266,IF(+All!$H266="Boston College",+All!R266,0))</f>
        <v>Florida State</v>
      </c>
      <c r="S7" s="462" t="str">
        <f>IF(+All!$F266="Boston College",+All!S266,IF(+All!$H266="Boston College",+All!S266,0))</f>
        <v>Boston College</v>
      </c>
      <c r="T7" s="460" t="str">
        <f>IF(+All!$F266="Boston College",+All!T266,IF(+All!$H266="Boston College",+All!T266,0))</f>
        <v>Boston College</v>
      </c>
      <c r="U7" s="462" t="str">
        <f>IF(+All!$F266="Boston College",+All!U266,IF(+All!$H266="Boston College",+All!U266,0))</f>
        <v>L</v>
      </c>
    </row>
    <row r="8" spans="1:21" ht="15.75" customHeight="1" x14ac:dyDescent="0.8">
      <c r="A8" s="493">
        <f>IF(+All!$F328="Boston College",+All!A328,IF(+All!$H328="Boston College",+All!A328,0))</f>
        <v>5</v>
      </c>
      <c r="B8" s="348" t="str">
        <f>IF(+All!$F328="Boston College",+All!B328,IF(+All!$H328="Boston College",+All!B328,0))</f>
        <v>Sat</v>
      </c>
      <c r="C8" s="72">
        <f>IF(+All!$F328="Boston College",+All!C328,IF(+All!$H328="Boston College",+All!C328,0))</f>
        <v>44835</v>
      </c>
      <c r="D8" s="73">
        <f>IF(+All!$F328="Boston College",+All!D328,IF(+All!$H328="Boston College",+All!D328,0))</f>
        <v>0.5</v>
      </c>
      <c r="E8" s="461" t="str">
        <f>IF(+All!$F328="Boston College",+All!E328,IF(+All!$H328="Boston College",+All!E328,0))</f>
        <v>ACC</v>
      </c>
      <c r="F8" s="460" t="str">
        <f>IF(+All!$F328="Boston College",+All!F328,IF(+All!$H328="Boston College",+All!F328,0))</f>
        <v>Louisville</v>
      </c>
      <c r="G8" s="462" t="str">
        <f>IF(+All!$F328="Boston College",+All!G328,IF(+All!$H328="Boston College",+All!G328,0))</f>
        <v>ACC</v>
      </c>
      <c r="H8" s="462" t="str">
        <f>IF(+All!$F328="Boston College",+All!H328,IF(+All!$H328="Boston College",+All!H328,0))</f>
        <v>Boston College</v>
      </c>
      <c r="I8" s="462" t="str">
        <f>IF(+All!$F328="Boston College",+All!I328,IF(+All!$H328="Boston College",+All!I328,0))</f>
        <v>ACC</v>
      </c>
      <c r="J8" s="460" t="str">
        <f>IF(+All!$F328="Boston College",+All!J328,IF(+All!$H328="Boston College",+All!J328,0))</f>
        <v>Louisville</v>
      </c>
      <c r="K8" s="462" t="str">
        <f>IF(+All!$F328="Boston College",+All!K328,IF(+All!$H328="Boston College",+All!K328,0))</f>
        <v>Boston College</v>
      </c>
      <c r="L8" s="60">
        <f>IF(+All!$F328="Boston College",+All!L328,IF(+All!$H328="Boston College",+All!L328,0))</f>
        <v>15.5</v>
      </c>
      <c r="M8" s="357">
        <f>IF(+All!$F328="Boston College",+All!M328,IF(+All!$H328="Boston College",+All!M328,0))</f>
        <v>51</v>
      </c>
      <c r="N8" s="460" t="str">
        <f>IF(+All!$F328="Boston College",+All!N328,IF(+All!$H328="Boston College",+All!N328,0))</f>
        <v>Boston College</v>
      </c>
      <c r="O8" s="462">
        <f>IF(+All!$F328="Boston College",+All!O328,IF(+All!$H328="Boston College",+All!O328,0))</f>
        <v>34</v>
      </c>
      <c r="P8" s="462" t="str">
        <f>IF(+All!$F328="Boston College",+All!P328,IF(+All!$H328="Boston College",+All!P328,0))</f>
        <v>Louisville</v>
      </c>
      <c r="Q8" s="462">
        <f>IF(+All!$F328="Boston College",+All!Q328,IF(+All!$H328="Boston College",+All!Q328,0))</f>
        <v>33</v>
      </c>
      <c r="R8" s="460" t="str">
        <f>IF(+All!$F328="Boston College",+All!R328,IF(+All!$H328="Boston College",+All!R328,0))</f>
        <v>Boston College</v>
      </c>
      <c r="S8" s="462" t="str">
        <f>IF(+All!$F328="Boston College",+All!S328,IF(+All!$H328="Boston College",+All!S328,0))</f>
        <v>Louisville</v>
      </c>
      <c r="T8" s="460" t="str">
        <f>IF(+All!$F328="Boston College",+All!T328,IF(+All!$H328="Boston College",+All!T328,0))</f>
        <v>Boston College</v>
      </c>
      <c r="U8" s="462" t="str">
        <f>IF(+All!$F328="Boston College",+All!U328,IF(+All!$H328="Boston College",+All!U328,0))</f>
        <v>W</v>
      </c>
    </row>
    <row r="9" spans="1:21" ht="15.75" customHeight="1" x14ac:dyDescent="0.8">
      <c r="A9" s="493">
        <f>IF(+All!$F389="Boston College",+All!A389,IF(+All!$H389="Boston College",+All!A389,0))</f>
        <v>6</v>
      </c>
      <c r="B9" s="348" t="str">
        <f>IF(+All!$F389="Boston College",+All!B389,IF(+All!$H389="Boston College",+All!B389,0))</f>
        <v>Sat</v>
      </c>
      <c r="C9" s="72">
        <f>IF(+All!$F389="Boston College",+All!C389,IF(+All!$H389="Boston College",+All!C389,0))</f>
        <v>44842</v>
      </c>
      <c r="D9" s="73">
        <f>IF(+All!$F389="Boston College",+All!D389,IF(+All!$H389="Boston College",+All!D389,0))</f>
        <v>0.8125</v>
      </c>
      <c r="E9" s="461" t="str">
        <f>IF(+All!$F389="Boston College",+All!E389,IF(+All!$H389="Boston College",+All!E389,0))</f>
        <v>ABC</v>
      </c>
      <c r="F9" s="460" t="str">
        <f>IF(+All!$F389="Boston College",+All!F389,IF(+All!$H389="Boston College",+All!F389,0))</f>
        <v>Clemson</v>
      </c>
      <c r="G9" s="462" t="str">
        <f>IF(+All!$F389="Boston College",+All!G389,IF(+All!$H389="Boston College",+All!G389,0))</f>
        <v>ACC</v>
      </c>
      <c r="H9" s="462" t="str">
        <f>IF(+All!$F389="Boston College",+All!H389,IF(+All!$H389="Boston College",+All!H389,0))</f>
        <v>Boston College</v>
      </c>
      <c r="I9" s="462" t="str">
        <f>IF(+All!$F389="Boston College",+All!I389,IF(+All!$H389="Boston College",+All!I389,0))</f>
        <v>ACC</v>
      </c>
      <c r="J9" s="460" t="str">
        <f>IF(+All!$F389="Boston College",+All!J389,IF(+All!$H389="Boston College",+All!J389,0))</f>
        <v>Clemson</v>
      </c>
      <c r="K9" s="462" t="str">
        <f>IF(+All!$F389="Boston College",+All!K389,IF(+All!$H389="Boston College",+All!K389,0))</f>
        <v>Boston College</v>
      </c>
      <c r="L9" s="60">
        <f>IF(+All!$F389="Boston College",+All!L389,IF(+All!$H389="Boston College",+All!L389,0))</f>
        <v>20.5</v>
      </c>
      <c r="M9" s="357">
        <f>IF(+All!$F389="Boston College",+All!M389,IF(+All!$H389="Boston College",+All!M389,0))</f>
        <v>48</v>
      </c>
      <c r="N9" s="460" t="str">
        <f>IF(+All!$F389="Boston College",+All!N389,IF(+All!$H389="Boston College",+All!N389,0))</f>
        <v>Clemson</v>
      </c>
      <c r="O9" s="462">
        <f>IF(+All!$F389="Boston College",+All!O389,IF(+All!$H389="Boston College",+All!O389,0))</f>
        <v>31</v>
      </c>
      <c r="P9" s="462" t="str">
        <f>IF(+All!$F389="Boston College",+All!P389,IF(+All!$H389="Boston College",+All!P389,0))</f>
        <v>Boston College</v>
      </c>
      <c r="Q9" s="462">
        <f>IF(+All!$F389="Boston College",+All!Q389,IF(+All!$H389="Boston College",+All!Q389,0))</f>
        <v>3</v>
      </c>
      <c r="R9" s="460" t="str">
        <f>IF(+All!$F389="Boston College",+All!R389,IF(+All!$H389="Boston College",+All!R389,0))</f>
        <v>Clemson</v>
      </c>
      <c r="S9" s="462" t="str">
        <f>IF(+All!$F389="Boston College",+All!S389,IF(+All!$H389="Boston College",+All!S389,0))</f>
        <v>Boston College</v>
      </c>
      <c r="T9" s="460" t="str">
        <f>IF(+All!$F389="Boston College",+All!T389,IF(+All!$H389="Boston College",+All!T389,0))</f>
        <v>Boston College</v>
      </c>
      <c r="U9" s="462" t="str">
        <f>IF(+All!$F389="Boston College",+All!U389,IF(+All!$H389="Boston College",+All!U389,0))</f>
        <v>L</v>
      </c>
    </row>
    <row r="10" spans="1:21" ht="15.75" customHeight="1" x14ac:dyDescent="0.8">
      <c r="A10" s="493" t="e">
        <f>IF(+All!#REF!="Boston College",+All!#REF!,IF(+All!#REF!="Boston College",+All!#REF!,0))</f>
        <v>#REF!</v>
      </c>
      <c r="B10" s="348" t="e">
        <f>IF(+All!#REF!="Boston College",+All!#REF!,IF(+All!#REF!="Boston College",+All!#REF!,0))</f>
        <v>#REF!</v>
      </c>
      <c r="C10" s="72" t="e">
        <f>IF(+All!#REF!="Boston College",+All!#REF!,IF(+All!#REF!="Boston College",+All!#REF!,0))</f>
        <v>#REF!</v>
      </c>
      <c r="D10" s="73" t="e">
        <f>IF(+All!#REF!="Boston College",+All!#REF!,IF(+All!#REF!="Boston College",+All!#REF!,0))</f>
        <v>#REF!</v>
      </c>
      <c r="E10" s="461" t="e">
        <f>IF(+All!#REF!="Boston College",+All!#REF!,IF(+All!#REF!="Boston College",+All!#REF!,0))</f>
        <v>#REF!</v>
      </c>
      <c r="F10" s="460" t="e">
        <f>IF(+All!#REF!="Boston College",+All!#REF!,IF(+All!#REF!="Boston College",+All!#REF!,0))</f>
        <v>#REF!</v>
      </c>
      <c r="G10" s="462" t="e">
        <f>IF(+All!#REF!="Boston College",+All!#REF!,IF(+All!#REF!="Boston College",+All!#REF!,0))</f>
        <v>#REF!</v>
      </c>
      <c r="H10" s="462" t="e">
        <f>IF(+All!#REF!="Boston College",+All!#REF!,IF(+All!#REF!="Boston College",+All!#REF!,0))</f>
        <v>#REF!</v>
      </c>
      <c r="I10" s="462" t="e">
        <f>IF(+All!#REF!="Boston College",+All!#REF!,IF(+All!#REF!="Boston College",+All!#REF!,0))</f>
        <v>#REF!</v>
      </c>
      <c r="J10" s="460" t="e">
        <f>IF(+All!#REF!="Boston College",+All!#REF!,IF(+All!#REF!="Boston College",+All!#REF!,0))</f>
        <v>#REF!</v>
      </c>
      <c r="K10" s="462" t="e">
        <f>IF(+All!#REF!="Boston College",+All!#REF!,IF(+All!#REF!="Boston College",+All!#REF!,0))</f>
        <v>#REF!</v>
      </c>
      <c r="L10" s="60" t="e">
        <f>IF(+All!#REF!="Boston College",+All!#REF!,IF(+All!#REF!="Boston College",+All!#REF!,0))</f>
        <v>#REF!</v>
      </c>
      <c r="M10" s="357" t="e">
        <f>IF(+All!#REF!="Boston College",+All!#REF!,IF(+All!#REF!="Boston College",+All!#REF!,0))</f>
        <v>#REF!</v>
      </c>
      <c r="N10" s="460" t="e">
        <f>IF(+All!#REF!="Boston College",+All!#REF!,IF(+All!#REF!="Boston College",+All!#REF!,0))</f>
        <v>#REF!</v>
      </c>
      <c r="O10" s="462" t="e">
        <f>IF(+All!#REF!="Boston College",+All!#REF!,IF(+All!#REF!="Boston College",+All!#REF!,0))</f>
        <v>#REF!</v>
      </c>
      <c r="P10" s="462" t="e">
        <f>IF(+All!#REF!="Boston College",+All!#REF!,IF(+All!#REF!="Boston College",+All!#REF!,0))</f>
        <v>#REF!</v>
      </c>
      <c r="Q10" s="462" t="e">
        <f>IF(+All!#REF!="Boston College",+All!#REF!,IF(+All!#REF!="Boston College",+All!#REF!,0))</f>
        <v>#REF!</v>
      </c>
      <c r="R10" s="460" t="e">
        <f>IF(+All!#REF!="Boston College",+All!#REF!,IF(+All!#REF!="Boston College",+All!#REF!,0))</f>
        <v>#REF!</v>
      </c>
      <c r="S10" s="462" t="e">
        <f>IF(+All!#REF!="Boston College",+All!#REF!,IF(+All!#REF!="Boston College",+All!#REF!,0))</f>
        <v>#REF!</v>
      </c>
      <c r="T10" s="460" t="e">
        <f>IF(+All!#REF!="Boston College",+All!#REF!,IF(+All!#REF!="Boston College",+All!#REF!,0))</f>
        <v>#REF!</v>
      </c>
      <c r="U10" s="462" t="e">
        <f>IF(+All!#REF!="Boston College",+All!#REF!,IF(+All!#REF!="Boston College",+All!#REF!,0))</f>
        <v>#REF!</v>
      </c>
    </row>
    <row r="11" spans="1:21" ht="15.75" customHeight="1" x14ac:dyDescent="0.8">
      <c r="A11" s="493">
        <f>IF(+All!$F503="Boston College",+All!A503,IF(+All!$H503="Boston College",+All!A503,0))</f>
        <v>8</v>
      </c>
      <c r="B11" s="348" t="str">
        <f>IF(+All!$F503="Boston College",+All!B503,IF(+All!$H503="Boston College",+All!B503,0))</f>
        <v>Sat</v>
      </c>
      <c r="C11" s="72">
        <f>IF(+All!$F503="Boston College",+All!C503,IF(+All!$H503="Boston College",+All!C503,0))</f>
        <v>44856</v>
      </c>
      <c r="D11" s="73">
        <f>IF(+All!$F503="Boston College",+All!D503,IF(+All!$H503="Boston College",+All!D503,0))</f>
        <v>0.64583333333333337</v>
      </c>
      <c r="E11" s="461" t="str">
        <f>IF(+All!$F503="Boston College",+All!E503,IF(+All!$H503="Boston College",+All!E503,0))</f>
        <v>ACC</v>
      </c>
      <c r="F11" s="460" t="str">
        <f>IF(+All!$F503="Boston College",+All!F503,IF(+All!$H503="Boston College",+All!F503,0))</f>
        <v>Boston College</v>
      </c>
      <c r="G11" s="462" t="str">
        <f>IF(+All!$F503="Boston College",+All!G503,IF(+All!$H503="Boston College",+All!G503,0))</f>
        <v>ACC</v>
      </c>
      <c r="H11" s="462" t="str">
        <f>IF(+All!$F503="Boston College",+All!H503,IF(+All!$H503="Boston College",+All!H503,0))</f>
        <v>Wake Forest</v>
      </c>
      <c r="I11" s="462" t="str">
        <f>IF(+All!$F503="Boston College",+All!I503,IF(+All!$H503="Boston College",+All!I503,0))</f>
        <v>ACC</v>
      </c>
      <c r="J11" s="460" t="str">
        <f>IF(+All!$F503="Boston College",+All!J503,IF(+All!$H503="Boston College",+All!J503,0))</f>
        <v>Wake Forest</v>
      </c>
      <c r="K11" s="462" t="str">
        <f>IF(+All!$F503="Boston College",+All!K503,IF(+All!$H503="Boston College",+All!K503,0))</f>
        <v>Boston College</v>
      </c>
      <c r="L11" s="60">
        <f>IF(+All!$F503="Boston College",+All!L503,IF(+All!$H503="Boston College",+All!L503,0))</f>
        <v>21</v>
      </c>
      <c r="M11" s="357">
        <f>IF(+All!$F503="Boston College",+All!M503,IF(+All!$H503="Boston College",+All!M503,0))</f>
        <v>60.5</v>
      </c>
      <c r="N11" s="460" t="str">
        <f>IF(+All!$F503="Boston College",+All!N503,IF(+All!$H503="Boston College",+All!N503,0))</f>
        <v>Wake Forest</v>
      </c>
      <c r="O11" s="462">
        <f>IF(+All!$F503="Boston College",+All!O503,IF(+All!$H503="Boston College",+All!O503,0))</f>
        <v>43</v>
      </c>
      <c r="P11" s="462" t="str">
        <f>IF(+All!$F503="Boston College",+All!P503,IF(+All!$H503="Boston College",+All!P503,0))</f>
        <v>Boston College</v>
      </c>
      <c r="Q11" s="462">
        <f>IF(+All!$F503="Boston College",+All!Q503,IF(+All!$H503="Boston College",+All!Q503,0))</f>
        <v>15</v>
      </c>
      <c r="R11" s="460" t="str">
        <f>IF(+All!$F503="Boston College",+All!R503,IF(+All!$H503="Boston College",+All!R503,0))</f>
        <v>Wake Forest</v>
      </c>
      <c r="S11" s="462" t="str">
        <f>IF(+All!$F503="Boston College",+All!S503,IF(+All!$H503="Boston College",+All!S503,0))</f>
        <v>Boston College</v>
      </c>
      <c r="T11" s="460" t="str">
        <f>IF(+All!$F503="Boston College",+All!T503,IF(+All!$H503="Boston College",+All!T503,0))</f>
        <v>Wake Forest</v>
      </c>
      <c r="U11" s="462" t="str">
        <f>IF(+All!$F503="Boston College",+All!U503,IF(+All!$H503="Boston College",+All!U503,0))</f>
        <v>W</v>
      </c>
    </row>
    <row r="12" spans="1:21" ht="15.75" customHeight="1" x14ac:dyDescent="0.8">
      <c r="A12" s="493">
        <f>IF(+All!$F572="Boston College",+All!A572,IF(+All!$H572="Boston College",+All!A572,0))</f>
        <v>9</v>
      </c>
      <c r="B12" s="348" t="str">
        <f>IF(+All!$F572="Boston College",+All!B572,IF(+All!$H572="Boston College",+All!B572,0))</f>
        <v>Sat</v>
      </c>
      <c r="C12" s="72">
        <f>IF(+All!$F572="Boston College",+All!C572,IF(+All!$H572="Boston College",+All!C572,0))</f>
        <v>44863</v>
      </c>
      <c r="D12" s="73">
        <f>IF(+All!$F572="Boston College",+All!D572,IF(+All!$H572="Boston College",+All!D572,0))</f>
        <v>0.5</v>
      </c>
      <c r="E12" s="461" t="str">
        <f>IF(+All!$F572="Boston College",+All!E572,IF(+All!$H572="Boston College",+All!E572,0))</f>
        <v>CBSSN</v>
      </c>
      <c r="F12" s="460" t="str">
        <f>IF(+All!$F572="Boston College",+All!F572,IF(+All!$H572="Boston College",+All!F572,0))</f>
        <v>Boston College</v>
      </c>
      <c r="G12" s="462" t="str">
        <f>IF(+All!$F572="Boston College",+All!G572,IF(+All!$H572="Boston College",+All!G572,0))</f>
        <v>ACC</v>
      </c>
      <c r="H12" s="462" t="str">
        <f>IF(+All!$F572="Boston College",+All!H572,IF(+All!$H572="Boston College",+All!H572,0))</f>
        <v>Connecticut</v>
      </c>
      <c r="I12" s="462" t="str">
        <f>IF(+All!$F572="Boston College",+All!I572,IF(+All!$H572="Boston College",+All!I572,0))</f>
        <v>Ind</v>
      </c>
      <c r="J12" s="460" t="str">
        <f>IF(+All!$F572="Boston College",+All!J572,IF(+All!$H572="Boston College",+All!J572,0))</f>
        <v>Boston College</v>
      </c>
      <c r="K12" s="462" t="str">
        <f>IF(+All!$F572="Boston College",+All!K572,IF(+All!$H572="Boston College",+All!K572,0))</f>
        <v>Connecticut</v>
      </c>
      <c r="L12" s="60">
        <f>IF(+All!$F572="Boston College",+All!L572,IF(+All!$H572="Boston College",+All!L572,0))</f>
        <v>8</v>
      </c>
      <c r="M12" s="357">
        <f>IF(+All!$F572="Boston College",+All!M572,IF(+All!$H572="Boston College",+All!M572,0))</f>
        <v>44.5</v>
      </c>
      <c r="N12" s="460" t="str">
        <f>IF(+All!$F572="Boston College",+All!N572,IF(+All!$H572="Boston College",+All!N572,0))</f>
        <v>Connecticut</v>
      </c>
      <c r="O12" s="462">
        <f>IF(+All!$F572="Boston College",+All!O572,IF(+All!$H572="Boston College",+All!O572,0))</f>
        <v>13</v>
      </c>
      <c r="P12" s="462" t="str">
        <f>IF(+All!$F572="Boston College",+All!P572,IF(+All!$H572="Boston College",+All!P572,0))</f>
        <v>Boston College</v>
      </c>
      <c r="Q12" s="462">
        <f>IF(+All!$F572="Boston College",+All!Q572,IF(+All!$H572="Boston College",+All!Q572,0))</f>
        <v>3</v>
      </c>
      <c r="R12" s="460" t="str">
        <f>IF(+All!$F572="Boston College",+All!R572,IF(+All!$H572="Boston College",+All!R572,0))</f>
        <v>Connecticut</v>
      </c>
      <c r="S12" s="462" t="str">
        <f>IF(+All!$F572="Boston College",+All!S572,IF(+All!$H572="Boston College",+All!S572,0))</f>
        <v>Boston College</v>
      </c>
      <c r="T12" s="460" t="str">
        <f>IF(+All!$F572="Boston College",+All!T572,IF(+All!$H572="Boston College",+All!T572,0))</f>
        <v>Connecticut</v>
      </c>
      <c r="U12" s="462" t="str">
        <f>IF(+All!$F572="Boston College",+All!U572,IF(+All!$H572="Boston College",+All!U572,0))</f>
        <v>W</v>
      </c>
    </row>
    <row r="13" spans="1:21" ht="15.75" customHeight="1" x14ac:dyDescent="0.8">
      <c r="A13" s="493">
        <f>IF(+All!$F600="Boston College",+All!A600,IF(+All!$H600="Boston College",+All!A600,0))</f>
        <v>10</v>
      </c>
      <c r="B13" s="348" t="str">
        <f>IF(+All!$F600="Boston College",+All!B600,IF(+All!$H600="Boston College",+All!B600,0))</f>
        <v>Fri</v>
      </c>
      <c r="C13" s="72">
        <f>IF(+All!$F600="Boston College",+All!C600,IF(+All!$H600="Boston College",+All!C600,0))</f>
        <v>44869</v>
      </c>
      <c r="D13" s="73">
        <f>IF(+All!$F600="Boston College",+All!D600,IF(+All!$H600="Boston College",+All!D600,0))</f>
        <v>0.79166666666666663</v>
      </c>
      <c r="E13" s="461" t="str">
        <f>IF(+All!$F600="Boston College",+All!E600,IF(+All!$H600="Boston College",+All!E600,0))</f>
        <v>ESPN2</v>
      </c>
      <c r="F13" s="460" t="str">
        <f>IF(+All!$F600="Boston College",+All!F600,IF(+All!$H600="Boston College",+All!F600,0))</f>
        <v>Duke</v>
      </c>
      <c r="G13" s="462" t="str">
        <f>IF(+All!$F600="Boston College",+All!G600,IF(+All!$H600="Boston College",+All!G600,0))</f>
        <v>ACC</v>
      </c>
      <c r="H13" s="462" t="str">
        <f>IF(+All!$F600="Boston College",+All!H600,IF(+All!$H600="Boston College",+All!H600,0))</f>
        <v>Boston College</v>
      </c>
      <c r="I13" s="462" t="str">
        <f>IF(+All!$F600="Boston College",+All!I600,IF(+All!$H600="Boston College",+All!I600,0))</f>
        <v>ACC</v>
      </c>
      <c r="J13" s="460" t="str">
        <f>IF(+All!$F600="Boston College",+All!J600,IF(+All!$H600="Boston College",+All!J600,0))</f>
        <v>Duke</v>
      </c>
      <c r="K13" s="462" t="str">
        <f>IF(+All!$F600="Boston College",+All!K600,IF(+All!$H600="Boston College",+All!K600,0))</f>
        <v>Boston College</v>
      </c>
      <c r="L13" s="60">
        <f>IF(+All!$F600="Boston College",+All!L600,IF(+All!$H600="Boston College",+All!L600,0))</f>
        <v>9.5</v>
      </c>
      <c r="M13" s="357">
        <f>IF(+All!$F600="Boston College",+All!M600,IF(+All!$H600="Boston College",+All!M600,0))</f>
        <v>47.5</v>
      </c>
      <c r="N13" s="460" t="str">
        <f>IF(+All!$F600="Boston College",+All!N600,IF(+All!$H600="Boston College",+All!N600,0))</f>
        <v>Duke</v>
      </c>
      <c r="O13" s="462">
        <f>IF(+All!$F600="Boston College",+All!O600,IF(+All!$H600="Boston College",+All!O600,0))</f>
        <v>38</v>
      </c>
      <c r="P13" s="462" t="str">
        <f>IF(+All!$F600="Boston College",+All!P600,IF(+All!$H600="Boston College",+All!P600,0))</f>
        <v>Boston College</v>
      </c>
      <c r="Q13" s="462">
        <f>IF(+All!$F600="Boston College",+All!Q600,IF(+All!$H600="Boston College",+All!Q600,0))</f>
        <v>31</v>
      </c>
      <c r="R13" s="460" t="str">
        <f>IF(+All!$F600="Boston College",+All!R600,IF(+All!$H600="Boston College",+All!R600,0))</f>
        <v>Boston College</v>
      </c>
      <c r="S13" s="462" t="str">
        <f>IF(+All!$F600="Boston College",+All!S600,IF(+All!$H600="Boston College",+All!S600,0))</f>
        <v>Duke</v>
      </c>
      <c r="T13" s="460" t="str">
        <f>IF(+All!$F600="Boston College",+All!T600,IF(+All!$H600="Boston College",+All!T600,0))</f>
        <v>Boston College</v>
      </c>
      <c r="U13" s="462" t="str">
        <f>IF(+All!$F600="Boston College",+All!U600,IF(+All!$H600="Boston College",+All!U600,0))</f>
        <v>W</v>
      </c>
    </row>
    <row r="14" spans="1:21" ht="15.75" customHeight="1" x14ac:dyDescent="0.8">
      <c r="A14" s="493">
        <f>IF(+All!$F671="Boston College",+All!A671,IF(+All!$H671="Boston College",+All!A671,0))</f>
        <v>11</v>
      </c>
      <c r="B14" s="348" t="str">
        <f>IF(+All!$F671="Boston College",+All!B671,IF(+All!$H671="Boston College",+All!B671,0))</f>
        <v>Sat</v>
      </c>
      <c r="C14" s="72">
        <f>IF(+All!$F671="Boston College",+All!C671,IF(+All!$H671="Boston College",+All!C671,0))</f>
        <v>44877</v>
      </c>
      <c r="D14" s="73">
        <f>IF(+All!$F671="Boston College",+All!D671,IF(+All!$H671="Boston College",+All!D671,0))</f>
        <v>0.64583333333333337</v>
      </c>
      <c r="E14" s="461" t="str">
        <f>IF(+All!$F671="Boston College",+All!E671,IF(+All!$H671="Boston College",+All!E671,0))</f>
        <v>ACC</v>
      </c>
      <c r="F14" s="460" t="str">
        <f>IF(+All!$F671="Boston College",+All!F671,IF(+All!$H671="Boston College",+All!F671,0))</f>
        <v>Boston College</v>
      </c>
      <c r="G14" s="462" t="str">
        <f>IF(+All!$F671="Boston College",+All!G671,IF(+All!$H671="Boston College",+All!G671,0))</f>
        <v>ACC</v>
      </c>
      <c r="H14" s="462" t="str">
        <f>IF(+All!$F671="Boston College",+All!H671,IF(+All!$H671="Boston College",+All!H671,0))</f>
        <v>North Carolina St</v>
      </c>
      <c r="I14" s="462" t="str">
        <f>IF(+All!$F671="Boston College",+All!I671,IF(+All!$H671="Boston College",+All!I671,0))</f>
        <v>ACC</v>
      </c>
      <c r="J14" s="460" t="str">
        <f>IF(+All!$F671="Boston College",+All!J671,IF(+All!$H671="Boston College",+All!J671,0))</f>
        <v>North Carolina St</v>
      </c>
      <c r="K14" s="462" t="str">
        <f>IF(+All!$F671="Boston College",+All!K671,IF(+All!$H671="Boston College",+All!K671,0))</f>
        <v>Boston College</v>
      </c>
      <c r="L14" s="60">
        <f>IF(+All!$F671="Boston College",+All!L671,IF(+All!$H671="Boston College",+All!L671,0))</f>
        <v>18</v>
      </c>
      <c r="M14" s="357">
        <f>IF(+All!$F671="Boston College",+All!M671,IF(+All!$H671="Boston College",+All!M671,0))</f>
        <v>42</v>
      </c>
      <c r="N14" s="460" t="str">
        <f>IF(+All!$F671="Boston College",+All!N671,IF(+All!$H671="Boston College",+All!N671,0))</f>
        <v>Boston College</v>
      </c>
      <c r="O14" s="462">
        <f>IF(+All!$F671="Boston College",+All!O671,IF(+All!$H671="Boston College",+All!O671,0))</f>
        <v>21</v>
      </c>
      <c r="P14" s="462" t="str">
        <f>IF(+All!$F671="Boston College",+All!P671,IF(+All!$H671="Boston College",+All!P671,0))</f>
        <v>North Carolina St</v>
      </c>
      <c r="Q14" s="462">
        <f>IF(+All!$F671="Boston College",+All!Q671,IF(+All!$H671="Boston College",+All!Q671,0))</f>
        <v>20</v>
      </c>
      <c r="R14" s="460" t="str">
        <f>IF(+All!$F671="Boston College",+All!R671,IF(+All!$H671="Boston College",+All!R671,0))</f>
        <v>Boston College</v>
      </c>
      <c r="S14" s="462" t="str">
        <f>IF(+All!$F671="Boston College",+All!S671,IF(+All!$H671="Boston College",+All!S671,0))</f>
        <v>North Carolina St</v>
      </c>
      <c r="T14" s="460" t="str">
        <f>IF(+All!$F671="Boston College",+All!T671,IF(+All!$H671="Boston College",+All!T671,0))</f>
        <v>North Carolina St</v>
      </c>
      <c r="U14" s="462" t="str">
        <f>IF(+All!$F671="Boston College",+All!U671,IF(+All!$H671="Boston College",+All!U671,0))</f>
        <v>L</v>
      </c>
    </row>
    <row r="15" spans="1:21" ht="15.75" customHeight="1" x14ac:dyDescent="0.8">
      <c r="A15" s="493">
        <f>IF(+All!$F756="Boston College",+All!A756,IF(+All!$H756="Boston College",+All!A756,0))</f>
        <v>12</v>
      </c>
      <c r="B15" s="348" t="str">
        <f>IF(+All!$F756="Boston College",+All!B756,IF(+All!$H756="Boston College",+All!B756,0))</f>
        <v>Sat</v>
      </c>
      <c r="C15" s="72">
        <f>IF(+All!$F756="Boston College",+All!C756,IF(+All!$H756="Boston College",+All!C756,0))</f>
        <v>44884</v>
      </c>
      <c r="D15" s="73">
        <f>IF(+All!$F756="Boston College",+All!D756,IF(+All!$H756="Boston College",+All!D756,0))</f>
        <v>0.60416666666666663</v>
      </c>
      <c r="E15" s="461" t="str">
        <f>IF(+All!$F756="Boston College",+All!E756,IF(+All!$H756="Boston College",+All!E756,0))</f>
        <v>NBC</v>
      </c>
      <c r="F15" s="460" t="str">
        <f>IF(+All!$F756="Boston College",+All!F756,IF(+All!$H756="Boston College",+All!F756,0))</f>
        <v>Boston College</v>
      </c>
      <c r="G15" s="462" t="str">
        <f>IF(+All!$F756="Boston College",+All!G756,IF(+All!$H756="Boston College",+All!G756,0))</f>
        <v>ACC</v>
      </c>
      <c r="H15" s="462" t="str">
        <f>IF(+All!$F756="Boston College",+All!H756,IF(+All!$H756="Boston College",+All!H756,0))</f>
        <v>Notre Dame</v>
      </c>
      <c r="I15" s="462" t="str">
        <f>IF(+All!$F756="Boston College",+All!I756,IF(+All!$H756="Boston College",+All!I756,0))</f>
        <v>Ind</v>
      </c>
      <c r="J15" s="460" t="str">
        <f>IF(+All!$F756="Boston College",+All!J756,IF(+All!$H756="Boston College",+All!J756,0))</f>
        <v>Notre Dame</v>
      </c>
      <c r="K15" s="462" t="str">
        <f>IF(+All!$F756="Boston College",+All!K756,IF(+All!$H756="Boston College",+All!K756,0))</f>
        <v>Boston College</v>
      </c>
      <c r="L15" s="60">
        <f>IF(+All!$F756="Boston College",+All!L756,IF(+All!$H756="Boston College",+All!L756,0))</f>
        <v>20.5</v>
      </c>
      <c r="M15" s="357">
        <f>IF(+All!$F756="Boston College",+All!M756,IF(+All!$H756="Boston College",+All!M756,0))</f>
        <v>44.5</v>
      </c>
      <c r="N15" s="460" t="str">
        <f>IF(+All!$F756="Boston College",+All!N756,IF(+All!$H756="Boston College",+All!N756,0))</f>
        <v>Notre Dame</v>
      </c>
      <c r="O15" s="462">
        <f>IF(+All!$F756="Boston College",+All!O756,IF(+All!$H756="Boston College",+All!O756,0))</f>
        <v>44</v>
      </c>
      <c r="P15" s="462" t="str">
        <f>IF(+All!$F756="Boston College",+All!P756,IF(+All!$H756="Boston College",+All!P756,0))</f>
        <v>Boston College</v>
      </c>
      <c r="Q15" s="462">
        <f>IF(+All!$F756="Boston College",+All!Q756,IF(+All!$H756="Boston College",+All!Q756,0))</f>
        <v>0</v>
      </c>
      <c r="R15" s="460" t="str">
        <f>IF(+All!$F756="Boston College",+All!R756,IF(+All!$H756="Boston College",+All!R756,0))</f>
        <v>Notre Dame</v>
      </c>
      <c r="S15" s="462" t="str">
        <f>IF(+All!$F756="Boston College",+All!S756,IF(+All!$H756="Boston College",+All!S756,0))</f>
        <v>Boston College</v>
      </c>
      <c r="T15" s="460" t="str">
        <f>IF(+All!$F756="Boston College",+All!T756,IF(+All!$H756="Boston College",+All!T756,0))</f>
        <v>Boston College</v>
      </c>
      <c r="U15" s="462" t="str">
        <f>IF(+All!$F756="Boston College",+All!U756,IF(+All!$H756="Boston College",+All!U756,0))</f>
        <v>L</v>
      </c>
    </row>
    <row r="16" spans="1:21" ht="15.75" customHeight="1" x14ac:dyDescent="0.8">
      <c r="A16" s="493">
        <f>IF(+All!$F803="Boston College",+All!A803,IF(+All!$H803="Boston College",+All!A803,0))</f>
        <v>13</v>
      </c>
      <c r="B16" s="348" t="str">
        <f>IF(+All!$F803="Boston College",+All!B803,IF(+All!$H803="Boston College",+All!B803,0))</f>
        <v>Sat</v>
      </c>
      <c r="C16" s="72">
        <f>IF(+All!$F803="Boston College",+All!C803,IF(+All!$H803="Boston College",+All!C803,0))</f>
        <v>44891</v>
      </c>
      <c r="D16" s="73">
        <f>IF(+All!$F803="Boston College",+All!D803,IF(+All!$H803="Boston College",+All!D803,0))</f>
        <v>0.8125</v>
      </c>
      <c r="E16" s="461">
        <f>IF(+All!$F803="Boston College",+All!E803,IF(+All!$H803="Boston College",+All!E803,0))</f>
        <v>0</v>
      </c>
      <c r="F16" s="460" t="str">
        <f>IF(+All!$F803="Boston College",+All!F803,IF(+All!$H803="Boston College",+All!F803,0))</f>
        <v>Syracuse</v>
      </c>
      <c r="G16" s="462" t="str">
        <f>IF(+All!$F803="Boston College",+All!G803,IF(+All!$H803="Boston College",+All!G803,0))</f>
        <v>ACC</v>
      </c>
      <c r="H16" s="462" t="str">
        <f>IF(+All!$F803="Boston College",+All!H803,IF(+All!$H803="Boston College",+All!H803,0))</f>
        <v>Boston College</v>
      </c>
      <c r="I16" s="462" t="str">
        <f>IF(+All!$F803="Boston College",+All!I803,IF(+All!$H803="Boston College",+All!I803,0))</f>
        <v>ACC</v>
      </c>
      <c r="J16" s="460" t="str">
        <f>IF(+All!$F803="Boston College",+All!J803,IF(+All!$H803="Boston College",+All!J803,0))</f>
        <v>Syracuse</v>
      </c>
      <c r="K16" s="462" t="str">
        <f>IF(+All!$F803="Boston College",+All!K803,IF(+All!$H803="Boston College",+All!K803,0))</f>
        <v>Boston College</v>
      </c>
      <c r="L16" s="60">
        <f>IF(+All!$F803="Boston College",+All!L803,IF(+All!$H803="Boston College",+All!L803,0))</f>
        <v>10.5</v>
      </c>
      <c r="M16" s="357">
        <f>IF(+All!$F803="Boston College",+All!M803,IF(+All!$H803="Boston College",+All!M803,0))</f>
        <v>47</v>
      </c>
      <c r="N16" s="460" t="str">
        <f>IF(+All!$F803="Boston College",+All!N803,IF(+All!$H803="Boston College",+All!N803,0))</f>
        <v>Syracuse</v>
      </c>
      <c r="O16" s="462">
        <f>IF(+All!$F803="Boston College",+All!O803,IF(+All!$H803="Boston College",+All!O803,0))</f>
        <v>32</v>
      </c>
      <c r="P16" s="462" t="str">
        <f>IF(+All!$F803="Boston College",+All!P803,IF(+All!$H803="Boston College",+All!P803,0))</f>
        <v>Boston College</v>
      </c>
      <c r="Q16" s="462">
        <f>IF(+All!$F803="Boston College",+All!Q803,IF(+All!$H803="Boston College",+All!Q803,0))</f>
        <v>23</v>
      </c>
      <c r="R16" s="460" t="str">
        <f>IF(+All!$F803="Boston College",+All!R803,IF(+All!$H803="Boston College",+All!R803,0))</f>
        <v>Boston College</v>
      </c>
      <c r="S16" s="462" t="str">
        <f>IF(+All!$F803="Boston College",+All!S803,IF(+All!$H803="Boston College",+All!S803,0))</f>
        <v>Syracuse</v>
      </c>
      <c r="T16" s="460" t="str">
        <f>IF(+All!$F803="Boston College",+All!T803,IF(+All!$H803="Boston College",+All!T803,0))</f>
        <v>Boston College</v>
      </c>
      <c r="U16" s="462" t="str">
        <f>IF(+All!$F803="Boston College",+All!U803,IF(+All!$H803="Boston College",+All!U803,0))</f>
        <v>W</v>
      </c>
    </row>
    <row r="17" spans="1:21" ht="15.9" customHeight="1" x14ac:dyDescent="0.8">
      <c r="A17" s="38"/>
      <c r="B17" s="39"/>
      <c r="C17" s="40"/>
      <c r="D17" s="41"/>
      <c r="E17" s="463"/>
      <c r="F17" s="897" t="str">
        <f>H19</f>
        <v>Clemson</v>
      </c>
      <c r="G17" s="901"/>
      <c r="H17" s="901"/>
      <c r="I17" s="902"/>
      <c r="J17" s="459"/>
      <c r="K17" s="463"/>
      <c r="L17" s="44"/>
      <c r="M17" s="45"/>
      <c r="N17" s="459"/>
      <c r="O17" s="5"/>
      <c r="P17" s="5"/>
      <c r="Q17" s="463"/>
      <c r="R17" s="459"/>
      <c r="S17" s="5"/>
      <c r="T17" s="459"/>
      <c r="U17" s="463"/>
    </row>
    <row r="18" spans="1:21" ht="15.75" customHeight="1" x14ac:dyDescent="0.8">
      <c r="A18" s="493">
        <f>IF(+All!$F95="Clemson",+All!A95,IF(+All!$H95="Clemson",+All!A95,0))</f>
        <v>1</v>
      </c>
      <c r="B18" s="348" t="str">
        <f>IF(+All!$F95="Clemson",+All!B95,IF(+All!$H95="Clemson",+All!B95,0))</f>
        <v>Mon</v>
      </c>
      <c r="C18" s="72">
        <f>IF(+All!$F95="Clemson",+All!C95,IF(+All!$H95="Clemson",+All!C95,0))</f>
        <v>44809</v>
      </c>
      <c r="D18" s="73">
        <f>IF(+All!$F95="Clemson",+All!D95,IF(+All!$H95="Clemson",+All!D95,0))</f>
        <v>0.83333333333333337</v>
      </c>
      <c r="E18" s="461" t="str">
        <f>IF(+All!$F95="Clemson",+All!E95,IF(+All!$H95="Clemson",+All!E95,0))</f>
        <v>ESPN</v>
      </c>
      <c r="F18" s="460" t="str">
        <f>IF(+All!$F95="Clemson",+All!F95,IF(+All!$H95="Clemson",+All!F95,0))</f>
        <v>Clemson</v>
      </c>
      <c r="G18" s="462" t="str">
        <f>IF(+All!$F95="Clemson",+All!G95,IF(+All!$H95="Clemson",+All!G95,0))</f>
        <v>ACC</v>
      </c>
      <c r="H18" s="462" t="str">
        <f>IF(+All!$F95="Clemson",+All!H95,IF(+All!$H95="Clemson",+All!H95,0))</f>
        <v>Georgia Tech</v>
      </c>
      <c r="I18" s="462" t="str">
        <f>IF(+All!$F95="Clemson",+All!I95,IF(+All!$H95="Clemson",+All!I95,0))</f>
        <v>ACC</v>
      </c>
      <c r="J18" s="460" t="str">
        <f>IF(+All!$F95="Clemson",+All!J95,IF(+All!$H95="Clemson",+All!J95,0))</f>
        <v>Clemson</v>
      </c>
      <c r="K18" s="462" t="str">
        <f>IF(+All!$F95="Clemson",+All!K95,IF(+All!$H95="Clemson",+All!K95,0))</f>
        <v>Georgia Tech</v>
      </c>
      <c r="L18" s="60">
        <f>IF(+All!$F95="Clemson",+All!L95,IF(+All!$H95="Clemson",+All!L95,0))</f>
        <v>21.5</v>
      </c>
      <c r="M18" s="357">
        <f>IF(+All!$F95="Clemson",+All!M95,IF(+All!$H95="Clemson",+All!M95,0))</f>
        <v>48.5</v>
      </c>
      <c r="N18" s="460" t="str">
        <f>IF(+All!$F95="Clemson",+All!N95,IF(+All!$H95="Clemson",+All!N95,0))</f>
        <v>Clemson</v>
      </c>
      <c r="O18" s="462">
        <f>IF(+All!$F95="Clemson",+All!O95,IF(+All!$H95="Clemson",+All!O95,0))</f>
        <v>41</v>
      </c>
      <c r="P18" s="462" t="str">
        <f>IF(+All!$F95="Clemson",+All!P95,IF(+All!$H95="Clemson",+All!P95,0))</f>
        <v>Georgia Tech</v>
      </c>
      <c r="Q18" s="462">
        <f>IF(+All!$F95="Clemson",+All!Q95,IF(+All!$H95="Clemson",+All!Q95,0))</f>
        <v>10</v>
      </c>
      <c r="R18" s="460" t="str">
        <f>IF(+All!$F95="Clemson",+All!R95,IF(+All!$H95="Clemson",+All!R95,0))</f>
        <v>Clemson</v>
      </c>
      <c r="S18" s="462" t="str">
        <f>IF(+All!$F95="Clemson",+All!S95,IF(+All!$H95="Clemson",+All!S95,0))</f>
        <v>Georgia Tech</v>
      </c>
      <c r="T18" s="460" t="str">
        <f>IF(+All!$F95="Clemson",+All!T95,IF(+All!$H95="Clemson",+All!T95,0))</f>
        <v>Clemson</v>
      </c>
      <c r="U18" s="462" t="str">
        <f>IF(+All!$F95="Clemson",+All!U95,IF(+All!$H95="Clemson",+All!U95,0))</f>
        <v>W</v>
      </c>
    </row>
    <row r="19" spans="1:21" ht="15.75" customHeight="1" x14ac:dyDescent="0.8">
      <c r="A19" s="493">
        <f>IF(+All!$F108="Clemson",+All!A108,IF(+All!$H108="Clemson",+All!A108,0))</f>
        <v>2</v>
      </c>
      <c r="B19" s="348" t="str">
        <f>IF(+All!$F108="Clemson",+All!B108,IF(+All!$H108="Clemson",+All!B108,0))</f>
        <v>Sat</v>
      </c>
      <c r="C19" s="72">
        <f>IF(+All!$F108="Clemson",+All!C108,IF(+All!$H108="Clemson",+All!C108,0))</f>
        <v>44814</v>
      </c>
      <c r="D19" s="73">
        <f>IF(+All!$F108="Clemson",+All!D108,IF(+All!$H108="Clemson",+All!D108,0))</f>
        <v>0.64583333333333337</v>
      </c>
      <c r="E19" s="461" t="str">
        <f>IF(+All!$F108="Clemson",+All!E108,IF(+All!$H108="Clemson",+All!E108,0))</f>
        <v>ACC</v>
      </c>
      <c r="F19" s="460" t="str">
        <f>IF(+All!$F108="Clemson",+All!F108,IF(+All!$H108="Clemson",+All!F108,0))</f>
        <v>1AA Furman</v>
      </c>
      <c r="G19" s="462" t="str">
        <f>IF(+All!$F108="Clemson",+All!G108,IF(+All!$H108="Clemson",+All!G108,0))</f>
        <v>1AA</v>
      </c>
      <c r="H19" s="462" t="str">
        <f>IF(+All!$F108="Clemson",+All!H108,IF(+All!$H108="Clemson",+All!H108,0))</f>
        <v>Clemson</v>
      </c>
      <c r="I19" s="462" t="str">
        <f>IF(+All!$F108="Clemson",+All!I108,IF(+All!$H108="Clemson",+All!I108,0))</f>
        <v>ACC</v>
      </c>
      <c r="J19" s="460">
        <f>IF(+All!$F108="Clemson",+All!J108,IF(+All!$H108="Clemson",+All!J108,0))</f>
        <v>0</v>
      </c>
      <c r="K19" s="462">
        <f>IF(+All!$F108="Clemson",+All!K108,IF(+All!$H108="Clemson",+All!K108,0))</f>
        <v>0</v>
      </c>
      <c r="L19" s="60">
        <f>IF(+All!$F108="Clemson",+All!L108,IF(+All!$H108="Clemson",+All!L108,0))</f>
        <v>0</v>
      </c>
      <c r="M19" s="357">
        <f>IF(+All!$F108="Clemson",+All!M108,IF(+All!$H108="Clemson",+All!M108,0))</f>
        <v>0</v>
      </c>
      <c r="N19" s="460" t="str">
        <f>IF(+All!$F108="Clemson",+All!N108,IF(+All!$H108="Clemson",+All!N108,0))</f>
        <v>Clemson</v>
      </c>
      <c r="O19" s="462">
        <f>IF(+All!$F108="Clemson",+All!O108,IF(+All!$H108="Clemson",+All!O108,0))</f>
        <v>35</v>
      </c>
      <c r="P19" s="462" t="str">
        <f>IF(+All!$F108="Clemson",+All!P108,IF(+All!$H108="Clemson",+All!P108,0))</f>
        <v>1AA Furman</v>
      </c>
      <c r="Q19" s="462">
        <f>IF(+All!$F108="Clemson",+All!Q108,IF(+All!$H108="Clemson",+All!Q108,0))</f>
        <v>12</v>
      </c>
      <c r="R19" s="460">
        <f>IF(+All!$F108="Clemson",+All!R108,IF(+All!$H108="Clemson",+All!R108,0))</f>
        <v>0</v>
      </c>
      <c r="S19" s="462">
        <f>IF(+All!$F108="Clemson",+All!S108,IF(+All!$H108="Clemson",+All!S108,0))</f>
        <v>0</v>
      </c>
      <c r="T19" s="460">
        <f>IF(+All!$F108="Clemson",+All!T108,IF(+All!$H108="Clemson",+All!T108,0))</f>
        <v>0</v>
      </c>
      <c r="U19" s="462">
        <f>IF(+All!$F108="Clemson",+All!U108,IF(+All!$H108="Clemson",+All!U108,0))</f>
        <v>0</v>
      </c>
    </row>
    <row r="20" spans="1:21" ht="15.75" customHeight="1" x14ac:dyDescent="0.8">
      <c r="A20" s="493">
        <f>IF(+All!$F189="Clemson",+All!A189,IF(+All!$H189="Clemson",+All!A189,0))</f>
        <v>3</v>
      </c>
      <c r="B20" s="348" t="str">
        <f>IF(+All!$F189="Clemson",+All!B189,IF(+All!$H189="Clemson",+All!B189,0))</f>
        <v>Sat</v>
      </c>
      <c r="C20" s="72">
        <f>IF(+All!$F189="Clemson",+All!C189,IF(+All!$H189="Clemson",+All!C189,0))</f>
        <v>44821</v>
      </c>
      <c r="D20" s="73">
        <f>IF(+All!$F189="Clemson",+All!D189,IF(+All!$H189="Clemson",+All!D189,0))</f>
        <v>0.83333333333333337</v>
      </c>
      <c r="E20" s="461" t="str">
        <f>IF(+All!$F189="Clemson",+All!E189,IF(+All!$H189="Clemson",+All!E189,0))</f>
        <v>ACC</v>
      </c>
      <c r="F20" s="460" t="str">
        <f>IF(+All!$F189="Clemson",+All!F189,IF(+All!$H189="Clemson",+All!F189,0))</f>
        <v>Louisiana Tech</v>
      </c>
      <c r="G20" s="462" t="str">
        <f>IF(+All!$F189="Clemson",+All!G189,IF(+All!$H189="Clemson",+All!G189,0))</f>
        <v>CUSA</v>
      </c>
      <c r="H20" s="462" t="str">
        <f>IF(+All!$F189="Clemson",+All!H189,IF(+All!$H189="Clemson",+All!H189,0))</f>
        <v>Clemson</v>
      </c>
      <c r="I20" s="462" t="str">
        <f>IF(+All!$F189="Clemson",+All!I189,IF(+All!$H189="Clemson",+All!I189,0))</f>
        <v>ACC</v>
      </c>
      <c r="J20" s="460" t="str">
        <f>IF(+All!$F189="Clemson",+All!J189,IF(+All!$H189="Clemson",+All!J189,0))</f>
        <v>Clemson</v>
      </c>
      <c r="K20" s="462" t="str">
        <f>IF(+All!$F189="Clemson",+All!K189,IF(+All!$H189="Clemson",+All!K189,0))</f>
        <v>Louisiana Tech</v>
      </c>
      <c r="L20" s="60">
        <f>IF(+All!$F189="Clemson",+All!L189,IF(+All!$H189="Clemson",+All!L189,0))</f>
        <v>34</v>
      </c>
      <c r="M20" s="357">
        <f>IF(+All!$F189="Clemson",+All!M189,IF(+All!$H189="Clemson",+All!M189,0))</f>
        <v>53</v>
      </c>
      <c r="N20" s="460" t="str">
        <f>IF(+All!$F189="Clemson",+All!N189,IF(+All!$H189="Clemson",+All!N189,0))</f>
        <v>Clemson</v>
      </c>
      <c r="O20" s="462">
        <f>IF(+All!$F189="Clemson",+All!O189,IF(+All!$H189="Clemson",+All!O189,0))</f>
        <v>48</v>
      </c>
      <c r="P20" s="462" t="str">
        <f>IF(+All!$F189="Clemson",+All!P189,IF(+All!$H189="Clemson",+All!P189,0))</f>
        <v>Louisiana Tech</v>
      </c>
      <c r="Q20" s="462">
        <f>IF(+All!$F189="Clemson",+All!Q189,IF(+All!$H189="Clemson",+All!Q189,0))</f>
        <v>20</v>
      </c>
      <c r="R20" s="460" t="str">
        <f>IF(+All!$F189="Clemson",+All!R189,IF(+All!$H189="Clemson",+All!R189,0))</f>
        <v>Louisiana Tech</v>
      </c>
      <c r="S20" s="462" t="str">
        <f>IF(+All!$F189="Clemson",+All!S189,IF(+All!$H189="Clemson",+All!S189,0))</f>
        <v>Clemson</v>
      </c>
      <c r="T20" s="460" t="str">
        <f>IF(+All!$F189="Clemson",+All!T189,IF(+All!$H189="Clemson",+All!T189,0))</f>
        <v>Louisiana Tech</v>
      </c>
      <c r="U20" s="462" t="str">
        <f>IF(+All!$F189="Clemson",+All!U189,IF(+All!$H189="Clemson",+All!U189,0))</f>
        <v>W</v>
      </c>
    </row>
    <row r="21" spans="1:21" ht="15.75" customHeight="1" x14ac:dyDescent="0.8">
      <c r="A21" s="493">
        <f>IF(+All!$F272="Clemson",+All!A272,IF(+All!$H272="Clemson",+All!A272,0))</f>
        <v>4</v>
      </c>
      <c r="B21" s="348" t="str">
        <f>IF(+All!$F272="Clemson",+All!B272,IF(+All!$H272="Clemson",+All!B272,0))</f>
        <v>Sat</v>
      </c>
      <c r="C21" s="72">
        <f>IF(+All!$F272="Clemson",+All!C272,IF(+All!$H272="Clemson",+All!C272,0))</f>
        <v>44828</v>
      </c>
      <c r="D21" s="73">
        <f>IF(+All!$F272="Clemson",+All!D272,IF(+All!$H272="Clemson",+All!D272,0))</f>
        <v>0.5</v>
      </c>
      <c r="E21" s="461" t="str">
        <f>IF(+All!$F272="Clemson",+All!E272,IF(+All!$H272="Clemson",+All!E272,0))</f>
        <v>ABC</v>
      </c>
      <c r="F21" s="460" t="str">
        <f>IF(+All!$F272="Clemson",+All!F272,IF(+All!$H272="Clemson",+All!F272,0))</f>
        <v>Clemson</v>
      </c>
      <c r="G21" s="462" t="str">
        <f>IF(+All!$F272="Clemson",+All!G272,IF(+All!$H272="Clemson",+All!G272,0))</f>
        <v>ACC</v>
      </c>
      <c r="H21" s="462" t="str">
        <f>IF(+All!$F272="Clemson",+All!H272,IF(+All!$H272="Clemson",+All!H272,0))</f>
        <v>Wake Forest</v>
      </c>
      <c r="I21" s="462" t="str">
        <f>IF(+All!$F272="Clemson",+All!I272,IF(+All!$H272="Clemson",+All!I272,0))</f>
        <v>ACC</v>
      </c>
      <c r="J21" s="460" t="str">
        <f>IF(+All!$F272="Clemson",+All!J272,IF(+All!$H272="Clemson",+All!J272,0))</f>
        <v>Clemson</v>
      </c>
      <c r="K21" s="462" t="str">
        <f>IF(+All!$F272="Clemson",+All!K272,IF(+All!$H272="Clemson",+All!K272,0))</f>
        <v>Wake Forest</v>
      </c>
      <c r="L21" s="60">
        <f>IF(+All!$F272="Clemson",+All!L272,IF(+All!$H272="Clemson",+All!L272,0))</f>
        <v>7</v>
      </c>
      <c r="M21" s="357">
        <f>IF(+All!$F272="Clemson",+All!M272,IF(+All!$H272="Clemson",+All!M272,0))</f>
        <v>55.5</v>
      </c>
      <c r="N21" s="460" t="str">
        <f>IF(+All!$F272="Clemson",+All!N272,IF(+All!$H272="Clemson",+All!N272,0))</f>
        <v>Clemson</v>
      </c>
      <c r="O21" s="462">
        <f>IF(+All!$F272="Clemson",+All!O272,IF(+All!$H272="Clemson",+All!O272,0))</f>
        <v>51</v>
      </c>
      <c r="P21" s="462" t="str">
        <f>IF(+All!$F272="Clemson",+All!P272,IF(+All!$H272="Clemson",+All!P272,0))</f>
        <v>Wake Forest</v>
      </c>
      <c r="Q21" s="462">
        <f>IF(+All!$F272="Clemson",+All!Q272,IF(+All!$H272="Clemson",+All!Q272,0))</f>
        <v>45</v>
      </c>
      <c r="R21" s="460" t="str">
        <f>IF(+All!$F272="Clemson",+All!R272,IF(+All!$H272="Clemson",+All!R272,0))</f>
        <v>Wake Forest</v>
      </c>
      <c r="S21" s="462" t="str">
        <f>IF(+All!$F272="Clemson",+All!S272,IF(+All!$H272="Clemson",+All!S272,0))</f>
        <v>Clemson</v>
      </c>
      <c r="T21" s="460" t="str">
        <f>IF(+All!$F272="Clemson",+All!T272,IF(+All!$H272="Clemson",+All!T272,0))</f>
        <v>Clemson</v>
      </c>
      <c r="U21" s="462" t="str">
        <f>IF(+All!$F272="Clemson",+All!U272,IF(+All!$H272="Clemson",+All!U272,0))</f>
        <v>L</v>
      </c>
    </row>
    <row r="22" spans="1:21" ht="15.75" customHeight="1" x14ac:dyDescent="0.8">
      <c r="A22" s="493">
        <f>IF(+All!$F329="Clemson",+All!A329,IF(+All!$H329="Clemson",+All!A329,0))</f>
        <v>5</v>
      </c>
      <c r="B22" s="348" t="str">
        <f>IF(+All!$F329="Clemson",+All!B329,IF(+All!$H329="Clemson",+All!B329,0))</f>
        <v>Sat</v>
      </c>
      <c r="C22" s="72">
        <f>IF(+All!$F329="Clemson",+All!C329,IF(+All!$H329="Clemson",+All!C329,0))</f>
        <v>44835</v>
      </c>
      <c r="D22" s="73">
        <f>IF(+All!$F329="Clemson",+All!D329,IF(+All!$H329="Clemson",+All!D329,0))</f>
        <v>0.8125</v>
      </c>
      <c r="E22" s="461" t="str">
        <f>IF(+All!$F329="Clemson",+All!E329,IF(+All!$H329="Clemson",+All!E329,0))</f>
        <v>ABC</v>
      </c>
      <c r="F22" s="460" t="str">
        <f>IF(+All!$F329="Clemson",+All!F329,IF(+All!$H329="Clemson",+All!F329,0))</f>
        <v>North Carolina St</v>
      </c>
      <c r="G22" s="462" t="str">
        <f>IF(+All!$F329="Clemson",+All!G329,IF(+All!$H329="Clemson",+All!G329,0))</f>
        <v>ACC</v>
      </c>
      <c r="H22" s="462" t="str">
        <f>IF(+All!$F329="Clemson",+All!H329,IF(+All!$H329="Clemson",+All!H329,0))</f>
        <v>Clemson</v>
      </c>
      <c r="I22" s="462" t="str">
        <f>IF(+All!$F329="Clemson",+All!I329,IF(+All!$H329="Clemson",+All!I329,0))</f>
        <v>ACC</v>
      </c>
      <c r="J22" s="460" t="str">
        <f>IF(+All!$F329="Clemson",+All!J329,IF(+All!$H329="Clemson",+All!J329,0))</f>
        <v>Clemson</v>
      </c>
      <c r="K22" s="462" t="str">
        <f>IF(+All!$F329="Clemson",+All!K329,IF(+All!$H329="Clemson",+All!K329,0))</f>
        <v>North Carolina St</v>
      </c>
      <c r="L22" s="60">
        <f>IF(+All!$F329="Clemson",+All!L329,IF(+All!$H329="Clemson",+All!L329,0))</f>
        <v>6.5</v>
      </c>
      <c r="M22" s="357">
        <f>IF(+All!$F329="Clemson",+All!M329,IF(+All!$H329="Clemson",+All!M329,0))</f>
        <v>40</v>
      </c>
      <c r="N22" s="460" t="str">
        <f>IF(+All!$F329="Clemson",+All!N329,IF(+All!$H329="Clemson",+All!N329,0))</f>
        <v>Clemson</v>
      </c>
      <c r="O22" s="462">
        <f>IF(+All!$F329="Clemson",+All!O329,IF(+All!$H329="Clemson",+All!O329,0))</f>
        <v>30</v>
      </c>
      <c r="P22" s="462" t="str">
        <f>IF(+All!$F329="Clemson",+All!P329,IF(+All!$H329="Clemson",+All!P329,0))</f>
        <v>North Carolina St</v>
      </c>
      <c r="Q22" s="462">
        <f>IF(+All!$F329="Clemson",+All!Q329,IF(+All!$H329="Clemson",+All!Q329,0))</f>
        <v>20</v>
      </c>
      <c r="R22" s="460" t="str">
        <f>IF(+All!$F329="Clemson",+All!R329,IF(+All!$H329="Clemson",+All!R329,0))</f>
        <v>Clemson</v>
      </c>
      <c r="S22" s="462" t="str">
        <f>IF(+All!$F329="Clemson",+All!S329,IF(+All!$H329="Clemson",+All!S329,0))</f>
        <v>North Carolina St</v>
      </c>
      <c r="T22" s="460" t="str">
        <f>IF(+All!$F329="Clemson",+All!T329,IF(+All!$H329="Clemson",+All!T329,0))</f>
        <v>Clemson</v>
      </c>
      <c r="U22" s="462" t="str">
        <f>IF(+All!$F329="Clemson",+All!U329,IF(+All!$H329="Clemson",+All!U329,0))</f>
        <v>W</v>
      </c>
    </row>
    <row r="23" spans="1:21" ht="15.75" customHeight="1" x14ac:dyDescent="0.8">
      <c r="A23" s="493">
        <f>IF(+All!$F389="Clemson",+All!A389,IF(+All!$H389="Clemson",+All!A389,0))</f>
        <v>6</v>
      </c>
      <c r="B23" s="348" t="str">
        <f>IF(+All!$F389="Clemson",+All!B389,IF(+All!$H389="Clemson",+All!B389,0))</f>
        <v>Sat</v>
      </c>
      <c r="C23" s="72">
        <f>IF(+All!$F389="Clemson",+All!C389,IF(+All!$H389="Clemson",+All!C389,0))</f>
        <v>44842</v>
      </c>
      <c r="D23" s="73">
        <f>IF(+All!$F389="Clemson",+All!D389,IF(+All!$H389="Clemson",+All!D389,0))</f>
        <v>0.8125</v>
      </c>
      <c r="E23" s="461" t="str">
        <f>IF(+All!$F389="Clemson",+All!E389,IF(+All!$H389="Clemson",+All!E389,0))</f>
        <v>ABC</v>
      </c>
      <c r="F23" s="460" t="str">
        <f>IF(+All!$F389="Clemson",+All!F389,IF(+All!$H389="Clemson",+All!F389,0))</f>
        <v>Clemson</v>
      </c>
      <c r="G23" s="462" t="str">
        <f>IF(+All!$F389="Clemson",+All!G389,IF(+All!$H389="Clemson",+All!G389,0))</f>
        <v>ACC</v>
      </c>
      <c r="H23" s="462" t="str">
        <f>IF(+All!$F389="Clemson",+All!H389,IF(+All!$H389="Clemson",+All!H389,0))</f>
        <v>Boston College</v>
      </c>
      <c r="I23" s="462" t="str">
        <f>IF(+All!$F389="Clemson",+All!I389,IF(+All!$H389="Clemson",+All!I389,0))</f>
        <v>ACC</v>
      </c>
      <c r="J23" s="460" t="str">
        <f>IF(+All!$F389="Clemson",+All!J389,IF(+All!$H389="Clemson",+All!J389,0))</f>
        <v>Clemson</v>
      </c>
      <c r="K23" s="462" t="str">
        <f>IF(+All!$F389="Clemson",+All!K389,IF(+All!$H389="Clemson",+All!K389,0))</f>
        <v>Boston College</v>
      </c>
      <c r="L23" s="60">
        <f>IF(+All!$F389="Clemson",+All!L389,IF(+All!$H389="Clemson",+All!L389,0))</f>
        <v>20.5</v>
      </c>
      <c r="M23" s="357">
        <f>IF(+All!$F389="Clemson",+All!M389,IF(+All!$H389="Clemson",+All!M389,0))</f>
        <v>48</v>
      </c>
      <c r="N23" s="460" t="str">
        <f>IF(+All!$F389="Clemson",+All!N389,IF(+All!$H389="Clemson",+All!N389,0))</f>
        <v>Clemson</v>
      </c>
      <c r="O23" s="462">
        <f>IF(+All!$F389="Clemson",+All!O389,IF(+All!$H389="Clemson",+All!O389,0))</f>
        <v>31</v>
      </c>
      <c r="P23" s="462" t="str">
        <f>IF(+All!$F389="Clemson",+All!P389,IF(+All!$H389="Clemson",+All!P389,0))</f>
        <v>Boston College</v>
      </c>
      <c r="Q23" s="462">
        <f>IF(+All!$F389="Clemson",+All!Q389,IF(+All!$H389="Clemson",+All!Q389,0))</f>
        <v>3</v>
      </c>
      <c r="R23" s="460" t="str">
        <f>IF(+All!$F389="Clemson",+All!R389,IF(+All!$H389="Clemson",+All!R389,0))</f>
        <v>Clemson</v>
      </c>
      <c r="S23" s="462" t="str">
        <f>IF(+All!$F389="Clemson",+All!S389,IF(+All!$H389="Clemson",+All!S389,0))</f>
        <v>Boston College</v>
      </c>
      <c r="T23" s="460" t="str">
        <f>IF(+All!$F389="Clemson",+All!T389,IF(+All!$H389="Clemson",+All!T389,0))</f>
        <v>Boston College</v>
      </c>
      <c r="U23" s="462" t="str">
        <f>IF(+All!$F389="Clemson",+All!U389,IF(+All!$H389="Clemson",+All!U389,0))</f>
        <v>L</v>
      </c>
    </row>
    <row r="24" spans="1:21" ht="15.75" customHeight="1" x14ac:dyDescent="0.8">
      <c r="A24" s="493">
        <f>IF(+All!$F446="Clemson",+All!A446,IF(+All!$H446="Clemson",+All!A446,0))</f>
        <v>7</v>
      </c>
      <c r="B24" s="348" t="str">
        <f>IF(+All!$F446="Clemson",+All!B446,IF(+All!$H446="Clemson",+All!B446,0))</f>
        <v>Sat</v>
      </c>
      <c r="C24" s="72">
        <f>IF(+All!$F446="Clemson",+All!C446,IF(+All!$H446="Clemson",+All!C446,0))</f>
        <v>44849</v>
      </c>
      <c r="D24" s="73">
        <f>IF(+All!$F446="Clemson",+All!D446,IF(+All!$H446="Clemson",+All!D446,0))</f>
        <v>0.8125</v>
      </c>
      <c r="E24" s="461" t="str">
        <f>IF(+All!$F446="Clemson",+All!E446,IF(+All!$H446="Clemson",+All!E446,0))</f>
        <v>ABC</v>
      </c>
      <c r="F24" s="460" t="str">
        <f>IF(+All!$F446="Clemson",+All!F446,IF(+All!$H446="Clemson",+All!F446,0))</f>
        <v>Clemson</v>
      </c>
      <c r="G24" s="462" t="str">
        <f>IF(+All!$F446="Clemson",+All!G446,IF(+All!$H446="Clemson",+All!G446,0))</f>
        <v>ACC</v>
      </c>
      <c r="H24" s="462" t="str">
        <f>IF(+All!$F446="Clemson",+All!H446,IF(+All!$H446="Clemson",+All!H446,0))</f>
        <v>Florida State</v>
      </c>
      <c r="I24" s="462" t="str">
        <f>IF(+All!$F446="Clemson",+All!I446,IF(+All!$H446="Clemson",+All!I446,0))</f>
        <v>ACC</v>
      </c>
      <c r="J24" s="460" t="str">
        <f>IF(+All!$F446="Clemson",+All!J446,IF(+All!$H446="Clemson",+All!J446,0))</f>
        <v>Clemson</v>
      </c>
      <c r="K24" s="462" t="str">
        <f>IF(+All!$F446="Clemson",+All!K446,IF(+All!$H446="Clemson",+All!K446,0))</f>
        <v>Florida State</v>
      </c>
      <c r="L24" s="60">
        <f>IF(+All!$F446="Clemson",+All!L446,IF(+All!$H446="Clemson",+All!L446,0))</f>
        <v>3.5</v>
      </c>
      <c r="M24" s="357">
        <f>IF(+All!$F446="Clemson",+All!M446,IF(+All!$H446="Clemson",+All!M446,0))</f>
        <v>51</v>
      </c>
      <c r="N24" s="460" t="str">
        <f>IF(+All!$F446="Clemson",+All!N446,IF(+All!$H446="Clemson",+All!N446,0))</f>
        <v>Clemson</v>
      </c>
      <c r="O24" s="462">
        <f>IF(+All!$F446="Clemson",+All!O446,IF(+All!$H446="Clemson",+All!O446,0))</f>
        <v>34</v>
      </c>
      <c r="P24" s="462" t="str">
        <f>IF(+All!$F446="Clemson",+All!P446,IF(+All!$H446="Clemson",+All!P446,0))</f>
        <v>Florida State</v>
      </c>
      <c r="Q24" s="462">
        <f>IF(+All!$F446="Clemson",+All!Q446,IF(+All!$H446="Clemson",+All!Q446,0))</f>
        <v>28</v>
      </c>
      <c r="R24" s="460" t="str">
        <f>IF(+All!$F446="Clemson",+All!R446,IF(+All!$H446="Clemson",+All!R446,0))</f>
        <v>Clemson</v>
      </c>
      <c r="S24" s="462" t="str">
        <f>IF(+All!$F446="Clemson",+All!S446,IF(+All!$H446="Clemson",+All!S446,0))</f>
        <v>Florida State</v>
      </c>
      <c r="T24" s="460" t="str">
        <f>IF(+All!$F446="Clemson",+All!T446,IF(+All!$H446="Clemson",+All!T446,0))</f>
        <v>Clemson</v>
      </c>
      <c r="U24" s="462" t="str">
        <f>IF(+All!$F446="Clemson",+All!U446,IF(+All!$H446="Clemson",+All!U446,0))</f>
        <v>W</v>
      </c>
    </row>
    <row r="25" spans="1:21" ht="15.75" customHeight="1" x14ac:dyDescent="0.8">
      <c r="A25" s="493">
        <f>IF(+All!$F500="Clemson",+All!A500,IF(+All!$H500="Clemson",+All!A500,0))</f>
        <v>8</v>
      </c>
      <c r="B25" s="348" t="str">
        <f>IF(+All!$F500="Clemson",+All!B500,IF(+All!$H500="Clemson",+All!B500,0))</f>
        <v>Sat</v>
      </c>
      <c r="C25" s="72">
        <f>IF(+All!$F500="Clemson",+All!C500,IF(+All!$H500="Clemson",+All!C500,0))</f>
        <v>44856</v>
      </c>
      <c r="D25" s="73">
        <f>IF(+All!$F500="Clemson",+All!D500,IF(+All!$H500="Clemson",+All!D500,0))</f>
        <v>0.5</v>
      </c>
      <c r="E25" s="461" t="str">
        <f>IF(+All!$F500="Clemson",+All!E500,IF(+All!$H500="Clemson",+All!E500,0))</f>
        <v>ABC</v>
      </c>
      <c r="F25" s="460" t="str">
        <f>IF(+All!$F500="Clemson",+All!F500,IF(+All!$H500="Clemson",+All!F500,0))</f>
        <v>Syracuse</v>
      </c>
      <c r="G25" s="462" t="str">
        <f>IF(+All!$F500="Clemson",+All!G500,IF(+All!$H500="Clemson",+All!G500,0))</f>
        <v>ACC</v>
      </c>
      <c r="H25" s="462" t="str">
        <f>IF(+All!$F500="Clemson",+All!H500,IF(+All!$H500="Clemson",+All!H500,0))</f>
        <v>Clemson</v>
      </c>
      <c r="I25" s="462" t="str">
        <f>IF(+All!$F500="Clemson",+All!I500,IF(+All!$H500="Clemson",+All!I500,0))</f>
        <v>ACC</v>
      </c>
      <c r="J25" s="460" t="str">
        <f>IF(+All!$F500="Clemson",+All!J500,IF(+All!$H500="Clemson",+All!J500,0))</f>
        <v>Clemson</v>
      </c>
      <c r="K25" s="462" t="str">
        <f>IF(+All!$F500="Clemson",+All!K500,IF(+All!$H500="Clemson",+All!K500,0))</f>
        <v>Syracuse</v>
      </c>
      <c r="L25" s="60">
        <f>IF(+All!$F500="Clemson",+All!L500,IF(+All!$H500="Clemson",+All!L500,0))</f>
        <v>14</v>
      </c>
      <c r="M25" s="357">
        <f>IF(+All!$F500="Clemson",+All!M500,IF(+All!$H500="Clemson",+All!M500,0))</f>
        <v>49.5</v>
      </c>
      <c r="N25" s="460" t="str">
        <f>IF(+All!$F500="Clemson",+All!N500,IF(+All!$H500="Clemson",+All!N500,0))</f>
        <v>Clemson</v>
      </c>
      <c r="O25" s="462">
        <f>IF(+All!$F500="Clemson",+All!O500,IF(+All!$H500="Clemson",+All!O500,0))</f>
        <v>27</v>
      </c>
      <c r="P25" s="462" t="str">
        <f>IF(+All!$F500="Clemson",+All!P500,IF(+All!$H500="Clemson",+All!P500,0))</f>
        <v>Syracuse</v>
      </c>
      <c r="Q25" s="462">
        <f>IF(+All!$F500="Clemson",+All!Q500,IF(+All!$H500="Clemson",+All!Q500,0))</f>
        <v>21</v>
      </c>
      <c r="R25" s="460" t="str">
        <f>IF(+All!$F500="Clemson",+All!R500,IF(+All!$H500="Clemson",+All!R500,0))</f>
        <v>Syracuse</v>
      </c>
      <c r="S25" s="462" t="str">
        <f>IF(+All!$F500="Clemson",+All!S500,IF(+All!$H500="Clemson",+All!S500,0))</f>
        <v>Clemson</v>
      </c>
      <c r="T25" s="460" t="str">
        <f>IF(+All!$F500="Clemson",+All!T500,IF(+All!$H500="Clemson",+All!T500,0))</f>
        <v>Syracuse</v>
      </c>
      <c r="U25" s="462" t="str">
        <f>IF(+All!$F500="Clemson",+All!U500,IF(+All!$H500="Clemson",+All!U500,0))</f>
        <v>W</v>
      </c>
    </row>
    <row r="26" spans="1:21" ht="15.75" customHeight="1" x14ac:dyDescent="0.8">
      <c r="A26" s="493" t="e">
        <f>IF(+All!#REF!="Clemson",+All!#REF!,IF(+All!#REF!="Clemson",+All!#REF!,0))</f>
        <v>#REF!</v>
      </c>
      <c r="B26" s="348" t="e">
        <f>IF(+All!#REF!="Clemson",+All!#REF!,IF(+All!#REF!="Clemson",+All!#REF!,0))</f>
        <v>#REF!</v>
      </c>
      <c r="C26" s="72" t="e">
        <f>IF(+All!#REF!="Clemson",+All!#REF!,IF(+All!#REF!="Clemson",+All!#REF!,0))</f>
        <v>#REF!</v>
      </c>
      <c r="D26" s="73" t="e">
        <f>IF(+All!#REF!="Clemson",+All!#REF!,IF(+All!#REF!="Clemson",+All!#REF!,0))</f>
        <v>#REF!</v>
      </c>
      <c r="E26" s="461" t="e">
        <f>IF(+All!#REF!="Clemson",+All!#REF!,IF(+All!#REF!="Clemson",+All!#REF!,0))</f>
        <v>#REF!</v>
      </c>
      <c r="F26" s="460" t="e">
        <f>IF(+All!#REF!="Clemson",+All!#REF!,IF(+All!#REF!="Clemson",+All!#REF!,0))</f>
        <v>#REF!</v>
      </c>
      <c r="G26" s="462" t="e">
        <f>IF(+All!#REF!="Clemson",+All!#REF!,IF(+All!#REF!="Clemson",+All!#REF!,0))</f>
        <v>#REF!</v>
      </c>
      <c r="H26" s="462" t="e">
        <f>IF(+All!#REF!="Clemson",+All!#REF!,IF(+All!#REF!="Clemson",+All!#REF!,0))</f>
        <v>#REF!</v>
      </c>
      <c r="I26" s="462" t="e">
        <f>IF(+All!#REF!="Clemson",+All!#REF!,IF(+All!#REF!="Clemson",+All!#REF!,0))</f>
        <v>#REF!</v>
      </c>
      <c r="J26" s="460" t="e">
        <f>IF(+All!#REF!="Clemson",+All!#REF!,IF(+All!#REF!="Clemson",+All!#REF!,0))</f>
        <v>#REF!</v>
      </c>
      <c r="K26" s="462" t="e">
        <f>IF(+All!#REF!="Clemson",+All!#REF!,IF(+All!#REF!="Clemson",+All!#REF!,0))</f>
        <v>#REF!</v>
      </c>
      <c r="L26" s="60" t="e">
        <f>IF(+All!#REF!="Clemson",+All!#REF!,IF(+All!#REF!="Clemson",+All!#REF!,0))</f>
        <v>#REF!</v>
      </c>
      <c r="M26" s="357" t="e">
        <f>IF(+All!#REF!="Clemson",+All!#REF!,IF(+All!#REF!="Clemson",+All!#REF!,0))</f>
        <v>#REF!</v>
      </c>
      <c r="N26" s="460" t="e">
        <f>IF(+All!#REF!="Clemson",+All!#REF!,IF(+All!#REF!="Clemson",+All!#REF!,0))</f>
        <v>#REF!</v>
      </c>
      <c r="O26" s="462" t="e">
        <f>IF(+All!#REF!="Clemson",+All!#REF!,IF(+All!#REF!="Clemson",+All!#REF!,0))</f>
        <v>#REF!</v>
      </c>
      <c r="P26" s="462" t="e">
        <f>IF(+All!#REF!="Clemson",+All!#REF!,IF(+All!#REF!="Clemson",+All!#REF!,0))</f>
        <v>#REF!</v>
      </c>
      <c r="Q26" s="462" t="e">
        <f>IF(+All!#REF!="Clemson",+All!#REF!,IF(+All!#REF!="Clemson",+All!#REF!,0))</f>
        <v>#REF!</v>
      </c>
      <c r="R26" s="460" t="e">
        <f>IF(+All!#REF!="Clemson",+All!#REF!,IF(+All!#REF!="Clemson",+All!#REF!,0))</f>
        <v>#REF!</v>
      </c>
      <c r="S26" s="462" t="e">
        <f>IF(+All!#REF!="Clemson",+All!#REF!,IF(+All!#REF!="Clemson",+All!#REF!,0))</f>
        <v>#REF!</v>
      </c>
      <c r="T26" s="460" t="e">
        <f>IF(+All!#REF!="Clemson",+All!#REF!,IF(+All!#REF!="Clemson",+All!#REF!,0))</f>
        <v>#REF!</v>
      </c>
      <c r="U26" s="462" t="e">
        <f>IF(+All!#REF!="Clemson",+All!#REF!,IF(+All!#REF!="Clemson",+All!#REF!,0))</f>
        <v>#REF!</v>
      </c>
    </row>
    <row r="27" spans="1:21" ht="15.75" customHeight="1" x14ac:dyDescent="0.8">
      <c r="A27" s="493">
        <f>IF(+All!$F630="Clemson",+All!A630,IF(+All!$H630="Clemson",+All!A630,0))</f>
        <v>10</v>
      </c>
      <c r="B27" s="348" t="str">
        <f>IF(+All!$F630="Clemson",+All!B630,IF(+All!$H630="Clemson",+All!B630,0))</f>
        <v>Sat</v>
      </c>
      <c r="C27" s="72">
        <f>IF(+All!$F630="Clemson",+All!C630,IF(+All!$H630="Clemson",+All!C630,0))</f>
        <v>44870</v>
      </c>
      <c r="D27" s="73">
        <f>IF(+All!$F630="Clemson",+All!D630,IF(+All!$H630="Clemson",+All!D630,0))</f>
        <v>0.8125</v>
      </c>
      <c r="E27" s="461" t="str">
        <f>IF(+All!$F630="Clemson",+All!E630,IF(+All!$H630="Clemson",+All!E630,0))</f>
        <v>NBC</v>
      </c>
      <c r="F27" s="460" t="str">
        <f>IF(+All!$F630="Clemson",+All!F630,IF(+All!$H630="Clemson",+All!F630,0))</f>
        <v>Clemson</v>
      </c>
      <c r="G27" s="462" t="str">
        <f>IF(+All!$F630="Clemson",+All!G630,IF(+All!$H630="Clemson",+All!G630,0))</f>
        <v>ACC</v>
      </c>
      <c r="H27" s="462" t="str">
        <f>IF(+All!$F630="Clemson",+All!H630,IF(+All!$H630="Clemson",+All!H630,0))</f>
        <v>Notre Dame</v>
      </c>
      <c r="I27" s="462" t="str">
        <f>IF(+All!$F630="Clemson",+All!I630,IF(+All!$H630="Clemson",+All!I630,0))</f>
        <v>Ind</v>
      </c>
      <c r="J27" s="460" t="str">
        <f>IF(+All!$F630="Clemson",+All!J630,IF(+All!$H630="Clemson",+All!J630,0))</f>
        <v>Clemson</v>
      </c>
      <c r="K27" s="462" t="str">
        <f>IF(+All!$F630="Clemson",+All!K630,IF(+All!$H630="Clemson",+All!K630,0))</f>
        <v>Notre Dame</v>
      </c>
      <c r="L27" s="60">
        <f>IF(+All!$F630="Clemson",+All!L630,IF(+All!$H630="Clemson",+All!L630,0))</f>
        <v>4</v>
      </c>
      <c r="M27" s="357">
        <f>IF(+All!$F630="Clemson",+All!M630,IF(+All!$H630="Clemson",+All!M630,0))</f>
        <v>44.5</v>
      </c>
      <c r="N27" s="460" t="str">
        <f>IF(+All!$F630="Clemson",+All!N630,IF(+All!$H630="Clemson",+All!N630,0))</f>
        <v>Notre Dame</v>
      </c>
      <c r="O27" s="462">
        <f>IF(+All!$F630="Clemson",+All!O630,IF(+All!$H630="Clemson",+All!O630,0))</f>
        <v>35</v>
      </c>
      <c r="P27" s="462" t="str">
        <f>IF(+All!$F630="Clemson",+All!P630,IF(+All!$H630="Clemson",+All!P630,0))</f>
        <v>Clemson</v>
      </c>
      <c r="Q27" s="462">
        <f>IF(+All!$F630="Clemson",+All!Q630,IF(+All!$H630="Clemson",+All!Q630,0))</f>
        <v>14</v>
      </c>
      <c r="R27" s="460" t="str">
        <f>IF(+All!$F630="Clemson",+All!R630,IF(+All!$H630="Clemson",+All!R630,0))</f>
        <v>Notre Dame</v>
      </c>
      <c r="S27" s="462" t="str">
        <f>IF(+All!$F630="Clemson",+All!S630,IF(+All!$H630="Clemson",+All!S630,0))</f>
        <v>Clemson</v>
      </c>
      <c r="T27" s="460" t="str">
        <f>IF(+All!$F630="Clemson",+All!T630,IF(+All!$H630="Clemson",+All!T630,0))</f>
        <v>Clemson</v>
      </c>
      <c r="U27" s="462" t="str">
        <f>IF(+All!$F630="Clemson",+All!U630,IF(+All!$H630="Clemson",+All!U630,0))</f>
        <v>L</v>
      </c>
    </row>
    <row r="28" spans="1:21" ht="15.75" customHeight="1" x14ac:dyDescent="0.8">
      <c r="A28" s="493">
        <f>IF(+All!$F668="Clemson",+All!A668,IF(+All!$H668="Clemson",+All!A668,0))</f>
        <v>11</v>
      </c>
      <c r="B28" s="348" t="str">
        <f>IF(+All!$F668="Clemson",+All!B668,IF(+All!$H668="Clemson",+All!B668,0))</f>
        <v>Sat</v>
      </c>
      <c r="C28" s="72">
        <f>IF(+All!$F668="Clemson",+All!C668,IF(+All!$H668="Clemson",+All!C668,0))</f>
        <v>44877</v>
      </c>
      <c r="D28" s="73">
        <f>IF(+All!$F668="Clemson",+All!D668,IF(+All!$H668="Clemson",+All!D668,0))</f>
        <v>0.64583333333333337</v>
      </c>
      <c r="E28" s="461" t="str">
        <f>IF(+All!$F668="Clemson",+All!E668,IF(+All!$H668="Clemson",+All!E668,0))</f>
        <v>ESPN</v>
      </c>
      <c r="F28" s="460" t="str">
        <f>IF(+All!$F668="Clemson",+All!F668,IF(+All!$H668="Clemson",+All!F668,0))</f>
        <v>Louisville</v>
      </c>
      <c r="G28" s="462" t="str">
        <f>IF(+All!$F668="Clemson",+All!G668,IF(+All!$H668="Clemson",+All!G668,0))</f>
        <v>ACC</v>
      </c>
      <c r="H28" s="462" t="str">
        <f>IF(+All!$F668="Clemson",+All!H668,IF(+All!$H668="Clemson",+All!H668,0))</f>
        <v>Clemson</v>
      </c>
      <c r="I28" s="462" t="str">
        <f>IF(+All!$F668="Clemson",+All!I668,IF(+All!$H668="Clemson",+All!I668,0))</f>
        <v>ACC</v>
      </c>
      <c r="J28" s="460" t="str">
        <f>IF(+All!$F668="Clemson",+All!J668,IF(+All!$H668="Clemson",+All!J668,0))</f>
        <v>Clemson</v>
      </c>
      <c r="K28" s="462" t="str">
        <f>IF(+All!$F668="Clemson",+All!K668,IF(+All!$H668="Clemson",+All!K668,0))</f>
        <v>Louisville</v>
      </c>
      <c r="L28" s="60">
        <f>IF(+All!$F668="Clemson",+All!L668,IF(+All!$H668="Clemson",+All!L668,0))</f>
        <v>7</v>
      </c>
      <c r="M28" s="357">
        <f>IF(+All!$F668="Clemson",+All!M668,IF(+All!$H668="Clemson",+All!M668,0))</f>
        <v>52</v>
      </c>
      <c r="N28" s="460" t="str">
        <f>IF(+All!$F668="Clemson",+All!N668,IF(+All!$H668="Clemson",+All!N668,0))</f>
        <v>Clemson</v>
      </c>
      <c r="O28" s="462">
        <f>IF(+All!$F668="Clemson",+All!O668,IF(+All!$H668="Clemson",+All!O668,0))</f>
        <v>31</v>
      </c>
      <c r="P28" s="462" t="str">
        <f>IF(+All!$F668="Clemson",+All!P668,IF(+All!$H668="Clemson",+All!P668,0))</f>
        <v>Louisville</v>
      </c>
      <c r="Q28" s="462">
        <f>IF(+All!$F668="Clemson",+All!Q668,IF(+All!$H668="Clemson",+All!Q668,0))</f>
        <v>16</v>
      </c>
      <c r="R28" s="460" t="str">
        <f>IF(+All!$F668="Clemson",+All!R668,IF(+All!$H668="Clemson",+All!R668,0))</f>
        <v>Clemson</v>
      </c>
      <c r="S28" s="462" t="str">
        <f>IF(+All!$F668="Clemson",+All!S668,IF(+All!$H668="Clemson",+All!S668,0))</f>
        <v>Louisville</v>
      </c>
      <c r="T28" s="460" t="str">
        <f>IF(+All!$F668="Clemson",+All!T668,IF(+All!$H668="Clemson",+All!T668,0))</f>
        <v>Clemson</v>
      </c>
      <c r="U28" s="462" t="str">
        <f>IF(+All!$F668="Clemson",+All!U668,IF(+All!$H668="Clemson",+All!U668,0))</f>
        <v>W</v>
      </c>
    </row>
    <row r="29" spans="1:21" ht="15.75" customHeight="1" x14ac:dyDescent="0.8">
      <c r="A29" s="493">
        <f>IF(+All!$F730="Clemson",+All!A730,IF(+All!$H730="Clemson",+All!A730,0))</f>
        <v>12</v>
      </c>
      <c r="B29" s="348" t="str">
        <f>IF(+All!$F730="Clemson",+All!B730,IF(+All!$H730="Clemson",+All!B730,0))</f>
        <v>Sat</v>
      </c>
      <c r="C29" s="72">
        <f>IF(+All!$F730="Clemson",+All!C730,IF(+All!$H730="Clemson",+All!C730,0))</f>
        <v>44884</v>
      </c>
      <c r="D29" s="73">
        <f>IF(+All!$F730="Clemson",+All!D730,IF(+All!$H730="Clemson",+All!D730,0))</f>
        <v>0.64583333333333337</v>
      </c>
      <c r="E29" s="461" t="str">
        <f>IF(+All!$F730="Clemson",+All!E730,IF(+All!$H730="Clemson",+All!E730,0))</f>
        <v>ESPN</v>
      </c>
      <c r="F29" s="460" t="str">
        <f>IF(+All!$F730="Clemson",+All!F730,IF(+All!$H730="Clemson",+All!F730,0))</f>
        <v>Miami (FL)</v>
      </c>
      <c r="G29" s="462" t="str">
        <f>IF(+All!$F730="Clemson",+All!G730,IF(+All!$H730="Clemson",+All!G730,0))</f>
        <v>ACC</v>
      </c>
      <c r="H29" s="462" t="str">
        <f>IF(+All!$F730="Clemson",+All!H730,IF(+All!$H730="Clemson",+All!H730,0))</f>
        <v>Clemson</v>
      </c>
      <c r="I29" s="462" t="str">
        <f>IF(+All!$F730="Clemson",+All!I730,IF(+All!$H730="Clemson",+All!I730,0))</f>
        <v>ACC</v>
      </c>
      <c r="J29" s="460" t="str">
        <f>IF(+All!$F730="Clemson",+All!J730,IF(+All!$H730="Clemson",+All!J730,0))</f>
        <v>Clemson</v>
      </c>
      <c r="K29" s="462" t="str">
        <f>IF(+All!$F730="Clemson",+All!K730,IF(+All!$H730="Clemson",+All!K730,0))</f>
        <v>Miami (FL)</v>
      </c>
      <c r="L29" s="60">
        <f>IF(+All!$F730="Clemson",+All!L730,IF(+All!$H730="Clemson",+All!L730,0))</f>
        <v>19</v>
      </c>
      <c r="M29" s="357">
        <f>IF(+All!$F730="Clemson",+All!M730,IF(+All!$H730="Clemson",+All!M730,0))</f>
        <v>48</v>
      </c>
      <c r="N29" s="460" t="str">
        <f>IF(+All!$F730="Clemson",+All!N730,IF(+All!$H730="Clemson",+All!N730,0))</f>
        <v>Clemson</v>
      </c>
      <c r="O29" s="462">
        <f>IF(+All!$F730="Clemson",+All!O730,IF(+All!$H730="Clemson",+All!O730,0))</f>
        <v>40</v>
      </c>
      <c r="P29" s="462" t="str">
        <f>IF(+All!$F730="Clemson",+All!P730,IF(+All!$H730="Clemson",+All!P730,0))</f>
        <v>Miami (FL)</v>
      </c>
      <c r="Q29" s="462">
        <f>IF(+All!$F730="Clemson",+All!Q730,IF(+All!$H730="Clemson",+All!Q730,0))</f>
        <v>10</v>
      </c>
      <c r="R29" s="460" t="str">
        <f>IF(+All!$F730="Clemson",+All!R730,IF(+All!$H730="Clemson",+All!R730,0))</f>
        <v>Clemson</v>
      </c>
      <c r="S29" s="462" t="str">
        <f>IF(+All!$F730="Clemson",+All!S730,IF(+All!$H730="Clemson",+All!S730,0))</f>
        <v>Miami (FL)</v>
      </c>
      <c r="T29" s="460" t="str">
        <f>IF(+All!$F730="Clemson",+All!T730,IF(+All!$H730="Clemson",+All!T730,0))</f>
        <v>Clemson</v>
      </c>
      <c r="U29" s="462" t="str">
        <f>IF(+All!$F730="Clemson",+All!U730,IF(+All!$H730="Clemson",+All!U730,0))</f>
        <v>W</v>
      </c>
    </row>
    <row r="30" spans="1:21" ht="15.75" customHeight="1" x14ac:dyDescent="0.8">
      <c r="A30" s="493">
        <f>IF(+All!$F804="Clemson",+All!A804,IF(+All!$H804="Clemson",+All!A804,0))</f>
        <v>13</v>
      </c>
      <c r="B30" s="348" t="str">
        <f>IF(+All!$F804="Clemson",+All!B804,IF(+All!$H804="Clemson",+All!B804,0))</f>
        <v>Sat</v>
      </c>
      <c r="C30" s="72">
        <f>IF(+All!$F804="Clemson",+All!C804,IF(+All!$H804="Clemson",+All!C804,0))</f>
        <v>44891</v>
      </c>
      <c r="D30" s="73">
        <f>IF(+All!$F804="Clemson",+All!D804,IF(+All!$H804="Clemson",+All!D804,0))</f>
        <v>0.5</v>
      </c>
      <c r="E30" s="461" t="str">
        <f>IF(+All!$F804="Clemson",+All!E804,IF(+All!$H804="Clemson",+All!E804,0))</f>
        <v>ABC</v>
      </c>
      <c r="F30" s="460" t="str">
        <f>IF(+All!$F804="Clemson",+All!F804,IF(+All!$H804="Clemson",+All!F804,0))</f>
        <v>South Carolina</v>
      </c>
      <c r="G30" s="462" t="str">
        <f>IF(+All!$F804="Clemson",+All!G804,IF(+All!$H804="Clemson",+All!G804,0))</f>
        <v>SEC</v>
      </c>
      <c r="H30" s="462" t="str">
        <f>IF(+All!$F804="Clemson",+All!H804,IF(+All!$H804="Clemson",+All!H804,0))</f>
        <v>Clemson</v>
      </c>
      <c r="I30" s="462" t="str">
        <f>IF(+All!$F804="Clemson",+All!I804,IF(+All!$H804="Clemson",+All!I804,0))</f>
        <v>ACC</v>
      </c>
      <c r="J30" s="460" t="str">
        <f>IF(+All!$F804="Clemson",+All!J804,IF(+All!$H804="Clemson",+All!J804,0))</f>
        <v>Clemson</v>
      </c>
      <c r="K30" s="462" t="str">
        <f>IF(+All!$F804="Clemson",+All!K804,IF(+All!$H804="Clemson",+All!K804,0))</f>
        <v>South Carolina</v>
      </c>
      <c r="L30" s="60">
        <f>IF(+All!$F804="Clemson",+All!L804,IF(+All!$H804="Clemson",+All!L804,0))</f>
        <v>14.5</v>
      </c>
      <c r="M30" s="357">
        <f>IF(+All!$F804="Clemson",+All!M804,IF(+All!$H804="Clemson",+All!M804,0))</f>
        <v>53</v>
      </c>
      <c r="N30" s="460" t="str">
        <f>IF(+All!$F804="Clemson",+All!N804,IF(+All!$H804="Clemson",+All!N804,0))</f>
        <v>South Carolina</v>
      </c>
      <c r="O30" s="462">
        <f>IF(+All!$F804="Clemson",+All!O804,IF(+All!$H804="Clemson",+All!O804,0))</f>
        <v>31</v>
      </c>
      <c r="P30" s="462" t="str">
        <f>IF(+All!$F804="Clemson",+All!P804,IF(+All!$H804="Clemson",+All!P804,0))</f>
        <v>Clemson</v>
      </c>
      <c r="Q30" s="462">
        <f>IF(+All!$F804="Clemson",+All!Q804,IF(+All!$H804="Clemson",+All!Q804,0))</f>
        <v>30</v>
      </c>
      <c r="R30" s="460" t="str">
        <f>IF(+All!$F804="Clemson",+All!R804,IF(+All!$H804="Clemson",+All!R804,0))</f>
        <v>South Carolina</v>
      </c>
      <c r="S30" s="462" t="str">
        <f>IF(+All!$F804="Clemson",+All!S804,IF(+All!$H804="Clemson",+All!S804,0))</f>
        <v>Clemson</v>
      </c>
      <c r="T30" s="460" t="str">
        <f>IF(+All!$F804="Clemson",+All!T804,IF(+All!$H804="Clemson",+All!T804,0))</f>
        <v>South Carolina</v>
      </c>
      <c r="U30" s="462" t="str">
        <f>IF(+All!$F804="Clemson",+All!U804,IF(+All!$H804="Clemson",+All!U804,0))</f>
        <v>W</v>
      </c>
    </row>
    <row r="31" spans="1:21" ht="15.9" customHeight="1" x14ac:dyDescent="0.8">
      <c r="A31" s="38"/>
      <c r="B31" s="39"/>
      <c r="C31" s="40"/>
      <c r="D31" s="41"/>
      <c r="E31" s="463"/>
      <c r="F31" s="897" t="str">
        <f>F33</f>
        <v>Duke</v>
      </c>
      <c r="G31" s="901"/>
      <c r="H31" s="901"/>
      <c r="I31" s="902"/>
      <c r="J31" s="459"/>
      <c r="K31" s="463"/>
      <c r="L31" s="44"/>
      <c r="M31" s="45"/>
      <c r="N31" s="459"/>
      <c r="O31" s="5"/>
      <c r="P31" s="5"/>
      <c r="Q31" s="463"/>
      <c r="R31" s="459"/>
      <c r="S31" s="5"/>
      <c r="T31" s="459"/>
      <c r="U31" s="463"/>
    </row>
    <row r="32" spans="1:21" ht="15.75" customHeight="1" x14ac:dyDescent="0.8">
      <c r="A32" s="493">
        <f>IF(+All!$F26="Duke",+All!A26,IF(+All!$H26="Duke",+All!A26,0))</f>
        <v>1</v>
      </c>
      <c r="B32" s="348" t="str">
        <f>IF(+All!$F26="Duke",+All!B26,IF(+All!$H26="Duke",+All!B26,0))</f>
        <v>Fri</v>
      </c>
      <c r="C32" s="72">
        <f>IF(+All!$F26="Duke",+All!C26,IF(+All!$H26="Duke",+All!C26,0))</f>
        <v>44806</v>
      </c>
      <c r="D32" s="73">
        <f>IF(+All!$F26="Duke",+All!D26,IF(+All!$H26="Duke",+All!D26,0))</f>
        <v>0.8125</v>
      </c>
      <c r="E32" s="461" t="str">
        <f>IF(+All!$F26="Duke",+All!E26,IF(+All!$H26="Duke",+All!E26,0))</f>
        <v>ACC</v>
      </c>
      <c r="F32" s="460" t="str">
        <f>IF(+All!$F26="Duke",+All!F26,IF(+All!$H26="Duke",+All!F26,0))</f>
        <v>Temple</v>
      </c>
      <c r="G32" s="462" t="str">
        <f>IF(+All!$F26="Duke",+All!G26,IF(+All!$H26="Duke",+All!G26,0))</f>
        <v>AAC</v>
      </c>
      <c r="H32" s="462" t="str">
        <f>IF(+All!$F26="Duke",+All!H26,IF(+All!$H26="Duke",+All!H26,0))</f>
        <v>Duke</v>
      </c>
      <c r="I32" s="462" t="str">
        <f>IF(+All!$F26="Duke",+All!I26,IF(+All!$H26="Duke",+All!I26,0))</f>
        <v>ACC</v>
      </c>
      <c r="J32" s="460" t="str">
        <f>IF(+All!$F26="Duke",+All!J26,IF(+All!$H26="Duke",+All!J26,0))</f>
        <v>Duke</v>
      </c>
      <c r="K32" s="462" t="str">
        <f>IF(+All!$F26="Duke",+All!K26,IF(+All!$H26="Duke",+All!K26,0))</f>
        <v>Temple</v>
      </c>
      <c r="L32" s="60">
        <f>IF(+All!$F26="Duke",+All!L26,IF(+All!$H26="Duke",+All!L26,0))</f>
        <v>7</v>
      </c>
      <c r="M32" s="357">
        <f>IF(+All!$F26="Duke",+All!M26,IF(+All!$H26="Duke",+All!M26,0))</f>
        <v>51</v>
      </c>
      <c r="N32" s="460" t="str">
        <f>IF(+All!$F26="Duke",+All!N26,IF(+All!$H26="Duke",+All!N26,0))</f>
        <v>Duke</v>
      </c>
      <c r="O32" s="462">
        <f>IF(+All!$F26="Duke",+All!O26,IF(+All!$H26="Duke",+All!O26,0))</f>
        <v>30</v>
      </c>
      <c r="P32" s="462" t="str">
        <f>IF(+All!$F26="Duke",+All!P26,IF(+All!$H26="Duke",+All!P26,0))</f>
        <v>Temple</v>
      </c>
      <c r="Q32" s="462">
        <f>IF(+All!$F26="Duke",+All!Q26,IF(+All!$H26="Duke",+All!Q26,0))</f>
        <v>0</v>
      </c>
      <c r="R32" s="460" t="str">
        <f>IF(+All!$F26="Duke",+All!R26,IF(+All!$H26="Duke",+All!R26,0))</f>
        <v>Duke</v>
      </c>
      <c r="S32" s="462" t="str">
        <f>IF(+All!$F26="Duke",+All!S26,IF(+All!$H26="Duke",+All!S26,0))</f>
        <v>Temple</v>
      </c>
      <c r="T32" s="460" t="str">
        <f>IF(+All!$F26="Duke",+All!T26,IF(+All!$H26="Duke",+All!T26,0))</f>
        <v>Duke</v>
      </c>
      <c r="U32" s="462" t="str">
        <f>IF(+All!$F26="Duke",+All!U26,IF(+All!$H26="Duke",+All!U26,0))</f>
        <v>W</v>
      </c>
    </row>
    <row r="33" spans="1:21" ht="15.75" customHeight="1" x14ac:dyDescent="0.8">
      <c r="A33" s="493">
        <f>IF(+All!$F121="Duke",+All!A121,IF(+All!$H121="Duke",+All!A121,0))</f>
        <v>2</v>
      </c>
      <c r="B33" s="348" t="str">
        <f>IF(+All!$F121="Duke",+All!B121,IF(+All!$H121="Duke",+All!B121,0))</f>
        <v>Sat</v>
      </c>
      <c r="C33" s="72">
        <f>IF(+All!$F121="Duke",+All!C121,IF(+All!$H121="Duke",+All!C121,0))</f>
        <v>44814</v>
      </c>
      <c r="D33" s="73">
        <f>IF(+All!$F121="Duke",+All!D121,IF(+All!$H121="Duke",+All!D121,0))</f>
        <v>0.5</v>
      </c>
      <c r="E33" s="461" t="str">
        <f>IF(+All!$F121="Duke",+All!E121,IF(+All!$H121="Duke",+All!E121,0))</f>
        <v>FS1</v>
      </c>
      <c r="F33" s="460" t="str">
        <f>IF(+All!$F121="Duke",+All!F121,IF(+All!$H121="Duke",+All!F121,0))</f>
        <v>Duke</v>
      </c>
      <c r="G33" s="462" t="str">
        <f>IF(+All!$F121="Duke",+All!G121,IF(+All!$H121="Duke",+All!G121,0))</f>
        <v>ACC</v>
      </c>
      <c r="H33" s="462" t="str">
        <f>IF(+All!$F121="Duke",+All!H121,IF(+All!$H121="Duke",+All!H121,0))</f>
        <v>Northwestern</v>
      </c>
      <c r="I33" s="462" t="str">
        <f>IF(+All!$F121="Duke",+All!I121,IF(+All!$H121="Duke",+All!I121,0))</f>
        <v>B10</v>
      </c>
      <c r="J33" s="460" t="str">
        <f>IF(+All!$F121="Duke",+All!J121,IF(+All!$H121="Duke",+All!J121,0))</f>
        <v>Northwestern</v>
      </c>
      <c r="K33" s="462" t="str">
        <f>IF(+All!$F121="Duke",+All!K121,IF(+All!$H121="Duke",+All!K121,0))</f>
        <v>Duke</v>
      </c>
      <c r="L33" s="60">
        <f>IF(+All!$F121="Duke",+All!L121,IF(+All!$H121="Duke",+All!L121,0))</f>
        <v>10</v>
      </c>
      <c r="M33" s="357">
        <f>IF(+All!$F121="Duke",+All!M121,IF(+All!$H121="Duke",+All!M121,0))</f>
        <v>58</v>
      </c>
      <c r="N33" s="460" t="str">
        <f>IF(+All!$F121="Duke",+All!N121,IF(+All!$H121="Duke",+All!N121,0))</f>
        <v>Duke</v>
      </c>
      <c r="O33" s="462">
        <f>IF(+All!$F121="Duke",+All!O121,IF(+All!$H121="Duke",+All!O121,0))</f>
        <v>31</v>
      </c>
      <c r="P33" s="462" t="str">
        <f>IF(+All!$F121="Duke",+All!P121,IF(+All!$H121="Duke",+All!P121,0))</f>
        <v>Northwestern</v>
      </c>
      <c r="Q33" s="462">
        <f>IF(+All!$F121="Duke",+All!Q121,IF(+All!$H121="Duke",+All!Q121,0))</f>
        <v>23</v>
      </c>
      <c r="R33" s="460" t="str">
        <f>IF(+All!$F121="Duke",+All!R121,IF(+All!$H121="Duke",+All!R121,0))</f>
        <v>Duke</v>
      </c>
      <c r="S33" s="462" t="str">
        <f>IF(+All!$F121="Duke",+All!S121,IF(+All!$H121="Duke",+All!S121,0))</f>
        <v>Northwestern</v>
      </c>
      <c r="T33" s="460" t="str">
        <f>IF(+All!$F121="Duke",+All!T121,IF(+All!$H121="Duke",+All!T121,0))</f>
        <v>Duke</v>
      </c>
      <c r="U33" s="462" t="str">
        <f>IF(+All!$F121="Duke",+All!U121,IF(+All!$H121="Duke",+All!U121,0))</f>
        <v>W</v>
      </c>
    </row>
    <row r="34" spans="1:21" ht="15.75" customHeight="1" x14ac:dyDescent="0.8">
      <c r="A34" s="493">
        <f>IF(+All!$F190="Duke",+All!A190,IF(+All!$H190="Duke",+All!A190,0))</f>
        <v>3</v>
      </c>
      <c r="B34" s="348" t="str">
        <f>IF(+All!$F190="Duke",+All!B190,IF(+All!$H190="Duke",+All!B190,0))</f>
        <v>Sat</v>
      </c>
      <c r="C34" s="72">
        <f>IF(+All!$F190="Duke",+All!C190,IF(+All!$H190="Duke",+All!C190,0))</f>
        <v>44821</v>
      </c>
      <c r="D34" s="73">
        <f>IF(+All!$F190="Duke",+All!D190,IF(+All!$H190="Duke",+All!D190,0))</f>
        <v>0.75</v>
      </c>
      <c r="E34" s="461" t="str">
        <f>IF(+All!$F190="Duke",+All!E190,IF(+All!$H190="Duke",+All!E190,0))</f>
        <v>ACC</v>
      </c>
      <c r="F34" s="460" t="str">
        <f>IF(+All!$F190="Duke",+All!F190,IF(+All!$H190="Duke",+All!F190,0))</f>
        <v>1AA North Carolina A&amp;T</v>
      </c>
      <c r="G34" s="462" t="str">
        <f>IF(+All!$F190="Duke",+All!G190,IF(+All!$H190="Duke",+All!G190,0))</f>
        <v>1AA</v>
      </c>
      <c r="H34" s="462" t="str">
        <f>IF(+All!$F190="Duke",+All!H190,IF(+All!$H190="Duke",+All!H190,0))</f>
        <v>Duke</v>
      </c>
      <c r="I34" s="462" t="str">
        <f>IF(+All!$F190="Duke",+All!I190,IF(+All!$H190="Duke",+All!I190,0))</f>
        <v>ACC</v>
      </c>
      <c r="J34" s="460">
        <f>IF(+All!$F190="Duke",+All!J190,IF(+All!$H190="Duke",+All!J190,0))</f>
        <v>0</v>
      </c>
      <c r="K34" s="462">
        <f>IF(+All!$F190="Duke",+All!K190,IF(+All!$H190="Duke",+All!K190,0))</f>
        <v>0</v>
      </c>
      <c r="L34" s="60">
        <f>IF(+All!$F190="Duke",+All!L190,IF(+All!$H190="Duke",+All!L190,0))</f>
        <v>0</v>
      </c>
      <c r="M34" s="357">
        <f>IF(+All!$F190="Duke",+All!M190,IF(+All!$H190="Duke",+All!M190,0))</f>
        <v>0</v>
      </c>
      <c r="N34" s="460" t="str">
        <f>IF(+All!$F190="Duke",+All!N190,IF(+All!$H190="Duke",+All!N190,0))</f>
        <v>Duke</v>
      </c>
      <c r="O34" s="462">
        <f>IF(+All!$F190="Duke",+All!O190,IF(+All!$H190="Duke",+All!O190,0))</f>
        <v>49</v>
      </c>
      <c r="P34" s="462" t="str">
        <f>IF(+All!$F190="Duke",+All!P190,IF(+All!$H190="Duke",+All!P190,0))</f>
        <v>1AA North Carolina A&amp;T</v>
      </c>
      <c r="Q34" s="462">
        <f>IF(+All!$F190="Duke",+All!Q190,IF(+All!$H190="Duke",+All!Q190,0))</f>
        <v>20</v>
      </c>
      <c r="R34" s="460">
        <f>IF(+All!$F190="Duke",+All!R190,IF(+All!$H190="Duke",+All!R190,0))</f>
        <v>0</v>
      </c>
      <c r="S34" s="462">
        <f>IF(+All!$F190="Duke",+All!S190,IF(+All!$H190="Duke",+All!S190,0))</f>
        <v>0</v>
      </c>
      <c r="T34" s="460">
        <f>IF(+All!$F190="Duke",+All!T190,IF(+All!$H190="Duke",+All!T190,0))</f>
        <v>0</v>
      </c>
      <c r="U34" s="462">
        <f>IF(+All!$F190="Duke",+All!U190,IF(+All!$H190="Duke",+All!U190,0))</f>
        <v>0</v>
      </c>
    </row>
    <row r="35" spans="1:21" ht="15.75" customHeight="1" x14ac:dyDescent="0.8">
      <c r="A35" s="493">
        <f>IF(+All!$F281="Duke",+All!A281,IF(+All!$H281="Duke",+All!A281,0))</f>
        <v>4</v>
      </c>
      <c r="B35" s="348" t="str">
        <f>IF(+All!$F281="Duke",+All!B281,IF(+All!$H281="Duke",+All!B281,0))</f>
        <v>Sat</v>
      </c>
      <c r="C35" s="72">
        <f>IF(+All!$F281="Duke",+All!C281,IF(+All!$H281="Duke",+All!C281,0))</f>
        <v>44828</v>
      </c>
      <c r="D35" s="73">
        <f>IF(+All!$F281="Duke",+All!D281,IF(+All!$H281="Duke",+All!D281,0))</f>
        <v>0.5</v>
      </c>
      <c r="E35" s="461" t="str">
        <f>IF(+All!$F281="Duke",+All!E281,IF(+All!$H281="Duke",+All!E281,0))</f>
        <v>FS1</v>
      </c>
      <c r="F35" s="460" t="str">
        <f>IF(+All!$F281="Duke",+All!F281,IF(+All!$H281="Duke",+All!F281,0))</f>
        <v>Duke</v>
      </c>
      <c r="G35" s="462" t="str">
        <f>IF(+All!$F281="Duke",+All!G281,IF(+All!$H281="Duke",+All!G281,0))</f>
        <v>ACC</v>
      </c>
      <c r="H35" s="462" t="str">
        <f>IF(+All!$F281="Duke",+All!H281,IF(+All!$H281="Duke",+All!H281,0))</f>
        <v>Kansas</v>
      </c>
      <c r="I35" s="462" t="str">
        <f>IF(+All!$F281="Duke",+All!I281,IF(+All!$H281="Duke",+All!I281,0))</f>
        <v>B12</v>
      </c>
      <c r="J35" s="460" t="str">
        <f>IF(+All!$F281="Duke",+All!J281,IF(+All!$H281="Duke",+All!J281,0))</f>
        <v>Kansas</v>
      </c>
      <c r="K35" s="462" t="str">
        <f>IF(+All!$F281="Duke",+All!K281,IF(+All!$H281="Duke",+All!K281,0))</f>
        <v>Duke</v>
      </c>
      <c r="L35" s="60">
        <f>IF(+All!$F281="Duke",+All!L281,IF(+All!$H281="Duke",+All!L281,0))</f>
        <v>7</v>
      </c>
      <c r="M35" s="357">
        <f>IF(+All!$F281="Duke",+All!M281,IF(+All!$H281="Duke",+All!M281,0))</f>
        <v>63.5</v>
      </c>
      <c r="N35" s="460" t="str">
        <f>IF(+All!$F281="Duke",+All!N281,IF(+All!$H281="Duke",+All!N281,0))</f>
        <v>Kansas</v>
      </c>
      <c r="O35" s="462">
        <f>IF(+All!$F281="Duke",+All!O281,IF(+All!$H281="Duke",+All!O281,0))</f>
        <v>35</v>
      </c>
      <c r="P35" s="462" t="str">
        <f>IF(+All!$F281="Duke",+All!P281,IF(+All!$H281="Duke",+All!P281,0))</f>
        <v>Duke</v>
      </c>
      <c r="Q35" s="462">
        <f>IF(+All!$F281="Duke",+All!Q281,IF(+All!$H281="Duke",+All!Q281,0))</f>
        <v>27</v>
      </c>
      <c r="R35" s="460" t="str">
        <f>IF(+All!$F281="Duke",+All!R281,IF(+All!$H281="Duke",+All!R281,0))</f>
        <v>Kansas</v>
      </c>
      <c r="S35" s="462" t="str">
        <f>IF(+All!$F281="Duke",+All!S281,IF(+All!$H281="Duke",+All!S281,0))</f>
        <v>Duke</v>
      </c>
      <c r="T35" s="460" t="str">
        <f>IF(+All!$F281="Duke",+All!T281,IF(+All!$H281="Duke",+All!T281,0))</f>
        <v>Kansas</v>
      </c>
      <c r="U35" s="462" t="str">
        <f>IF(+All!$F281="Duke",+All!U281,IF(+All!$H281="Duke",+All!U281,0))</f>
        <v>W</v>
      </c>
    </row>
    <row r="36" spans="1:21" ht="15.75" customHeight="1" x14ac:dyDescent="0.8">
      <c r="A36" s="493">
        <f>IF(+All!$F330="Duke",+All!A330,IF(+All!$H330="Duke",+All!A330,0))</f>
        <v>5</v>
      </c>
      <c r="B36" s="348" t="str">
        <f>IF(+All!$F330="Duke",+All!B330,IF(+All!$H330="Duke",+All!B330,0))</f>
        <v>Sat</v>
      </c>
      <c r="C36" s="72">
        <f>IF(+All!$F330="Duke",+All!C330,IF(+All!$H330="Duke",+All!C330,0))</f>
        <v>44835</v>
      </c>
      <c r="D36" s="73">
        <f>IF(+All!$F330="Duke",+All!D330,IF(+All!$H330="Duke",+All!D330,0))</f>
        <v>0.8125</v>
      </c>
      <c r="E36" s="461" t="str">
        <f>IF(+All!$F330="Duke",+All!E330,IF(+All!$H330="Duke",+All!E330,0))</f>
        <v>espn3</v>
      </c>
      <c r="F36" s="460" t="str">
        <f>IF(+All!$F330="Duke",+All!F330,IF(+All!$H330="Duke",+All!F330,0))</f>
        <v>Virginia</v>
      </c>
      <c r="G36" s="462" t="str">
        <f>IF(+All!$F330="Duke",+All!G330,IF(+All!$H330="Duke",+All!G330,0))</f>
        <v>ACC</v>
      </c>
      <c r="H36" s="462" t="str">
        <f>IF(+All!$F330="Duke",+All!H330,IF(+All!$H330="Duke",+All!H330,0))</f>
        <v>Duke</v>
      </c>
      <c r="I36" s="462" t="str">
        <f>IF(+All!$F330="Duke",+All!I330,IF(+All!$H330="Duke",+All!I330,0))</f>
        <v>ACC</v>
      </c>
      <c r="J36" s="460" t="str">
        <f>IF(+All!$F330="Duke",+All!J330,IF(+All!$H330="Duke",+All!J330,0))</f>
        <v>Duke</v>
      </c>
      <c r="K36" s="462" t="str">
        <f>IF(+All!$F330="Duke",+All!K330,IF(+All!$H330="Duke",+All!K330,0))</f>
        <v>Virginia</v>
      </c>
      <c r="L36" s="60">
        <f>IF(+All!$F330="Duke",+All!L330,IF(+All!$H330="Duke",+All!L330,0))</f>
        <v>2.5</v>
      </c>
      <c r="M36" s="357">
        <f>IF(+All!$F330="Duke",+All!M330,IF(+All!$H330="Duke",+All!M330,0))</f>
        <v>49</v>
      </c>
      <c r="N36" s="460" t="str">
        <f>IF(+All!$F330="Duke",+All!N330,IF(+All!$H330="Duke",+All!N330,0))</f>
        <v>Duke</v>
      </c>
      <c r="O36" s="462">
        <f>IF(+All!$F330="Duke",+All!O330,IF(+All!$H330="Duke",+All!O330,0))</f>
        <v>38</v>
      </c>
      <c r="P36" s="462" t="str">
        <f>IF(+All!$F330="Duke",+All!P330,IF(+All!$H330="Duke",+All!P330,0))</f>
        <v>Virginia</v>
      </c>
      <c r="Q36" s="462">
        <f>IF(+All!$F330="Duke",+All!Q330,IF(+All!$H330="Duke",+All!Q330,0))</f>
        <v>17</v>
      </c>
      <c r="R36" s="460" t="str">
        <f>IF(+All!$F330="Duke",+All!R330,IF(+All!$H330="Duke",+All!R330,0))</f>
        <v>Duke</v>
      </c>
      <c r="S36" s="462" t="str">
        <f>IF(+All!$F330="Duke",+All!S330,IF(+All!$H330="Duke",+All!S330,0))</f>
        <v>Virginia</v>
      </c>
      <c r="T36" s="460" t="str">
        <f>IF(+All!$F330="Duke",+All!T330,IF(+All!$H330="Duke",+All!T330,0))</f>
        <v>Duke</v>
      </c>
      <c r="U36" s="462" t="str">
        <f>IF(+All!$F330="Duke",+All!U330,IF(+All!$H330="Duke",+All!U330,0))</f>
        <v>W</v>
      </c>
    </row>
    <row r="37" spans="1:21" ht="15.75" customHeight="1" x14ac:dyDescent="0.8">
      <c r="A37" s="493">
        <f>IF(+All!$F390="Duke",+All!A390,IF(+All!$H390="Duke",+All!A390,0))</f>
        <v>6</v>
      </c>
      <c r="B37" s="348" t="str">
        <f>IF(+All!$F390="Duke",+All!B390,IF(+All!$H390="Duke",+All!B390,0))</f>
        <v>Sat</v>
      </c>
      <c r="C37" s="72">
        <f>IF(+All!$F390="Duke",+All!C390,IF(+All!$H390="Duke",+All!C390,0))</f>
        <v>44842</v>
      </c>
      <c r="D37" s="73">
        <f>IF(+All!$F390="Duke",+All!D390,IF(+All!$H390="Duke",+All!D390,0))</f>
        <v>0.66666666666666663</v>
      </c>
      <c r="E37" s="461" t="str">
        <f>IF(+All!$F390="Duke",+All!E390,IF(+All!$H390="Duke",+All!E390,0))</f>
        <v>espn3</v>
      </c>
      <c r="F37" s="460" t="str">
        <f>IF(+All!$F390="Duke",+All!F390,IF(+All!$H390="Duke",+All!F390,0))</f>
        <v>Duke</v>
      </c>
      <c r="G37" s="462" t="str">
        <f>IF(+All!$F390="Duke",+All!G390,IF(+All!$H390="Duke",+All!G390,0))</f>
        <v>ACC</v>
      </c>
      <c r="H37" s="462" t="str">
        <f>IF(+All!$F390="Duke",+All!H390,IF(+All!$H390="Duke",+All!H390,0))</f>
        <v>Georgia Tech</v>
      </c>
      <c r="I37" s="462" t="str">
        <f>IF(+All!$F390="Duke",+All!I390,IF(+All!$H390="Duke",+All!I390,0))</f>
        <v>ACC</v>
      </c>
      <c r="J37" s="460" t="str">
        <f>IF(+All!$F390="Duke",+All!J390,IF(+All!$H390="Duke",+All!J390,0))</f>
        <v>Duke</v>
      </c>
      <c r="K37" s="462" t="str">
        <f>IF(+All!$F390="Duke",+All!K390,IF(+All!$H390="Duke",+All!K390,0))</f>
        <v>Georgia Tech</v>
      </c>
      <c r="L37" s="60">
        <f>IF(+All!$F390="Duke",+All!L390,IF(+All!$H390="Duke",+All!L390,0))</f>
        <v>3</v>
      </c>
      <c r="M37" s="357">
        <f>IF(+All!$F390="Duke",+All!M390,IF(+All!$H390="Duke",+All!M390,0))</f>
        <v>54</v>
      </c>
      <c r="N37" s="460" t="str">
        <f>IF(+All!$F390="Duke",+All!N390,IF(+All!$H390="Duke",+All!N390,0))</f>
        <v>Georgia Tech</v>
      </c>
      <c r="O37" s="462">
        <f>IF(+All!$F390="Duke",+All!O390,IF(+All!$H390="Duke",+All!O390,0))</f>
        <v>23</v>
      </c>
      <c r="P37" s="462" t="str">
        <f>IF(+All!$F390="Duke",+All!P390,IF(+All!$H390="Duke",+All!P390,0))</f>
        <v>Duke</v>
      </c>
      <c r="Q37" s="462">
        <f>IF(+All!$F390="Duke",+All!Q390,IF(+All!$H390="Duke",+All!Q390,0))</f>
        <v>20</v>
      </c>
      <c r="R37" s="460" t="str">
        <f>IF(+All!$F390="Duke",+All!R390,IF(+All!$H390="Duke",+All!R390,0))</f>
        <v>Georgia Tech</v>
      </c>
      <c r="S37" s="462" t="str">
        <f>IF(+All!$F390="Duke",+All!S390,IF(+All!$H390="Duke",+All!S390,0))</f>
        <v>Duke</v>
      </c>
      <c r="T37" s="460" t="str">
        <f>IF(+All!$F390="Duke",+All!T390,IF(+All!$H390="Duke",+All!T390,0))</f>
        <v>Duke</v>
      </c>
      <c r="U37" s="462" t="str">
        <f>IF(+All!$F390="Duke",+All!U390,IF(+All!$H390="Duke",+All!U390,0))</f>
        <v>L</v>
      </c>
    </row>
    <row r="38" spans="1:21" ht="15.75" customHeight="1" x14ac:dyDescent="0.8">
      <c r="A38" s="493">
        <f>IF(+All!$F445="Duke",+All!A445,IF(+All!$H445="Duke",+All!A445,0))</f>
        <v>7</v>
      </c>
      <c r="B38" s="348" t="str">
        <f>IF(+All!$F445="Duke",+All!B445,IF(+All!$H445="Duke",+All!B445,0))</f>
        <v>Sat</v>
      </c>
      <c r="C38" s="72">
        <f>IF(+All!$F445="Duke",+All!C445,IF(+All!$H445="Duke",+All!C445,0))</f>
        <v>44849</v>
      </c>
      <c r="D38" s="73">
        <f>IF(+All!$F445="Duke",+All!D445,IF(+All!$H445="Duke",+All!D445,0))</f>
        <v>0.83333333333333337</v>
      </c>
      <c r="E38" s="461" t="str">
        <f>IF(+All!$F445="Duke",+All!E445,IF(+All!$H445="Duke",+All!E445,0))</f>
        <v>ACC</v>
      </c>
      <c r="F38" s="460" t="str">
        <f>IF(+All!$F445="Duke",+All!F445,IF(+All!$H445="Duke",+All!F445,0))</f>
        <v>North Carolina</v>
      </c>
      <c r="G38" s="462" t="str">
        <f>IF(+All!$F445="Duke",+All!G445,IF(+All!$H445="Duke",+All!G445,0))</f>
        <v>ACC</v>
      </c>
      <c r="H38" s="462" t="str">
        <f>IF(+All!$F445="Duke",+All!H445,IF(+All!$H445="Duke",+All!H445,0))</f>
        <v>Duke</v>
      </c>
      <c r="I38" s="462" t="str">
        <f>IF(+All!$F445="Duke",+All!I445,IF(+All!$H445="Duke",+All!I445,0))</f>
        <v>ACC</v>
      </c>
      <c r="J38" s="460" t="str">
        <f>IF(+All!$F445="Duke",+All!J445,IF(+All!$H445="Duke",+All!J445,0))</f>
        <v>North Carolina</v>
      </c>
      <c r="K38" s="462" t="str">
        <f>IF(+All!$F445="Duke",+All!K445,IF(+All!$H445="Duke",+All!K445,0))</f>
        <v>Duke</v>
      </c>
      <c r="L38" s="60">
        <f>IF(+All!$F445="Duke",+All!L445,IF(+All!$H445="Duke",+All!L445,0))</f>
        <v>7</v>
      </c>
      <c r="M38" s="357">
        <f>IF(+All!$F445="Duke",+All!M445,IF(+All!$H445="Duke",+All!M445,0))</f>
        <v>67.5</v>
      </c>
      <c r="N38" s="460" t="str">
        <f>IF(+All!$F445="Duke",+All!N445,IF(+All!$H445="Duke",+All!N445,0))</f>
        <v>North Carolina</v>
      </c>
      <c r="O38" s="462">
        <f>IF(+All!$F445="Duke",+All!O445,IF(+All!$H445="Duke",+All!O445,0))</f>
        <v>38</v>
      </c>
      <c r="P38" s="462" t="str">
        <f>IF(+All!$F445="Duke",+All!P445,IF(+All!$H445="Duke",+All!P445,0))</f>
        <v>Duke</v>
      </c>
      <c r="Q38" s="462">
        <f>IF(+All!$F445="Duke",+All!Q445,IF(+All!$H445="Duke",+All!Q445,0))</f>
        <v>35</v>
      </c>
      <c r="R38" s="460" t="str">
        <f>IF(+All!$F445="Duke",+All!R445,IF(+All!$H445="Duke",+All!R445,0))</f>
        <v>Duke</v>
      </c>
      <c r="S38" s="462" t="str">
        <f>IF(+All!$F445="Duke",+All!S445,IF(+All!$H445="Duke",+All!S445,0))</f>
        <v>North Carolina</v>
      </c>
      <c r="T38" s="460" t="str">
        <f>IF(+All!$F445="Duke",+All!T445,IF(+All!$H445="Duke",+All!T445,0))</f>
        <v>North Carolina</v>
      </c>
      <c r="U38" s="462" t="str">
        <f>IF(+All!$F445="Duke",+All!U445,IF(+All!$H445="Duke",+All!U445,0))</f>
        <v>L</v>
      </c>
    </row>
    <row r="39" spans="1:21" ht="15.75" customHeight="1" x14ac:dyDescent="0.8">
      <c r="A39" s="493">
        <f>IF(+All!$F502="Duke",+All!A502,IF(+All!$H502="Duke",+All!A502,0))</f>
        <v>8</v>
      </c>
      <c r="B39" s="348" t="str">
        <f>IF(+All!$F502="Duke",+All!B502,IF(+All!$H502="Duke",+All!B502,0))</f>
        <v>Sat</v>
      </c>
      <c r="C39" s="72">
        <f>IF(+All!$F502="Duke",+All!C502,IF(+All!$H502="Duke",+All!C502,0))</f>
        <v>44856</v>
      </c>
      <c r="D39" s="73">
        <f>IF(+All!$F502="Duke",+All!D502,IF(+All!$H502="Duke",+All!D502,0))</f>
        <v>0.52083333333333337</v>
      </c>
      <c r="E39" s="461" t="str">
        <f>IF(+All!$F502="Duke",+All!E502,IF(+All!$H502="Duke",+All!E502,0))</f>
        <v>espn3</v>
      </c>
      <c r="F39" s="460" t="str">
        <f>IF(+All!$F502="Duke",+All!F502,IF(+All!$H502="Duke",+All!F502,0))</f>
        <v>Duke</v>
      </c>
      <c r="G39" s="462" t="str">
        <f>IF(+All!$F502="Duke",+All!G502,IF(+All!$H502="Duke",+All!G502,0))</f>
        <v>ACC</v>
      </c>
      <c r="H39" s="462" t="str">
        <f>IF(+All!$F502="Duke",+All!H502,IF(+All!$H502="Duke",+All!H502,0))</f>
        <v>Miami (FL)</v>
      </c>
      <c r="I39" s="462" t="str">
        <f>IF(+All!$F502="Duke",+All!I502,IF(+All!$H502="Duke",+All!I502,0))</f>
        <v>ACC</v>
      </c>
      <c r="J39" s="460" t="str">
        <f>IF(+All!$F502="Duke",+All!J502,IF(+All!$H502="Duke",+All!J502,0))</f>
        <v>Miami (FL)</v>
      </c>
      <c r="K39" s="462" t="str">
        <f>IF(+All!$F502="Duke",+All!K502,IF(+All!$H502="Duke",+All!K502,0))</f>
        <v>Duke</v>
      </c>
      <c r="L39" s="60">
        <f>IF(+All!$F502="Duke",+All!L502,IF(+All!$H502="Duke",+All!L502,0))</f>
        <v>9</v>
      </c>
      <c r="M39" s="357">
        <f>IF(+All!$F502="Duke",+All!M502,IF(+All!$H502="Duke",+All!M502,0))</f>
        <v>58.5</v>
      </c>
      <c r="N39" s="460" t="str">
        <f>IF(+All!$F502="Duke",+All!N502,IF(+All!$H502="Duke",+All!N502,0))</f>
        <v>Duke</v>
      </c>
      <c r="O39" s="462">
        <f>IF(+All!$F502="Duke",+All!O502,IF(+All!$H502="Duke",+All!O502,0))</f>
        <v>45</v>
      </c>
      <c r="P39" s="462" t="str">
        <f>IF(+All!$F502="Duke",+All!P502,IF(+All!$H502="Duke",+All!P502,0))</f>
        <v>Miami (FL)</v>
      </c>
      <c r="Q39" s="462">
        <f>IF(+All!$F502="Duke",+All!Q502,IF(+All!$H502="Duke",+All!Q502,0))</f>
        <v>21</v>
      </c>
      <c r="R39" s="460" t="str">
        <f>IF(+All!$F502="Duke",+All!R502,IF(+All!$H502="Duke",+All!R502,0))</f>
        <v>Duke</v>
      </c>
      <c r="S39" s="462" t="str">
        <f>IF(+All!$F502="Duke",+All!S502,IF(+All!$H502="Duke",+All!S502,0))</f>
        <v>Miami (FL)</v>
      </c>
      <c r="T39" s="460" t="str">
        <f>IF(+All!$F502="Duke",+All!T502,IF(+All!$H502="Duke",+All!T502,0))</f>
        <v>Duke</v>
      </c>
      <c r="U39" s="462" t="str">
        <f>IF(+All!$F502="Duke",+All!U502,IF(+All!$H502="Duke",+All!U502,0))</f>
        <v>W</v>
      </c>
    </row>
    <row r="40" spans="1:21" ht="15.75" customHeight="1" x14ac:dyDescent="0.8">
      <c r="A40" s="493" t="e">
        <f>IF(+All!#REF!="Duke",+All!#REF!,IF(+All!#REF!="Duke",+All!#REF!,0))</f>
        <v>#REF!</v>
      </c>
      <c r="B40" s="348" t="e">
        <f>IF(+All!#REF!="Duke",+All!#REF!,IF(+All!#REF!="Duke",+All!#REF!,0))</f>
        <v>#REF!</v>
      </c>
      <c r="C40" s="72" t="e">
        <f>IF(+All!#REF!="Duke",+All!#REF!,IF(+All!#REF!="Duke",+All!#REF!,0))</f>
        <v>#REF!</v>
      </c>
      <c r="D40" s="73" t="e">
        <f>IF(+All!#REF!="Duke",+All!#REF!,IF(+All!#REF!="Duke",+All!#REF!,0))</f>
        <v>#REF!</v>
      </c>
      <c r="E40" s="461" t="e">
        <f>IF(+All!#REF!="Duke",+All!#REF!,IF(+All!#REF!="Duke",+All!#REF!,0))</f>
        <v>#REF!</v>
      </c>
      <c r="F40" s="460" t="e">
        <f>IF(+All!#REF!="Duke",+All!#REF!,IF(+All!#REF!="Duke",+All!#REF!,0))</f>
        <v>#REF!</v>
      </c>
      <c r="G40" s="462" t="e">
        <f>IF(+All!#REF!="Duke",+All!#REF!,IF(+All!#REF!="Duke",+All!#REF!,0))</f>
        <v>#REF!</v>
      </c>
      <c r="H40" s="462" t="e">
        <f>IF(+All!#REF!="Duke",+All!#REF!,IF(+All!#REF!="Duke",+All!#REF!,0))</f>
        <v>#REF!</v>
      </c>
      <c r="I40" s="462" t="e">
        <f>IF(+All!#REF!="Duke",+All!#REF!,IF(+All!#REF!="Duke",+All!#REF!,0))</f>
        <v>#REF!</v>
      </c>
      <c r="J40" s="460" t="e">
        <f>IF(+All!#REF!="Duke",+All!#REF!,IF(+All!#REF!="Duke",+All!#REF!,0))</f>
        <v>#REF!</v>
      </c>
      <c r="K40" s="462" t="e">
        <f>IF(+All!#REF!="Duke",+All!#REF!,IF(+All!#REF!="Duke",+All!#REF!,0))</f>
        <v>#REF!</v>
      </c>
      <c r="L40" s="60" t="e">
        <f>IF(+All!#REF!="Duke",+All!#REF!,IF(+All!#REF!="Duke",+All!#REF!,0))</f>
        <v>#REF!</v>
      </c>
      <c r="M40" s="357" t="e">
        <f>IF(+All!#REF!="Duke",+All!#REF!,IF(+All!#REF!="Duke",+All!#REF!,0))</f>
        <v>#REF!</v>
      </c>
      <c r="N40" s="460" t="e">
        <f>IF(+All!#REF!="Duke",+All!#REF!,IF(+All!#REF!="Duke",+All!#REF!,0))</f>
        <v>#REF!</v>
      </c>
      <c r="O40" s="462" t="e">
        <f>IF(+All!#REF!="Duke",+All!#REF!,IF(+All!#REF!="Duke",+All!#REF!,0))</f>
        <v>#REF!</v>
      </c>
      <c r="P40" s="462" t="e">
        <f>IF(+All!#REF!="Duke",+All!#REF!,IF(+All!#REF!="Duke",+All!#REF!,0))</f>
        <v>#REF!</v>
      </c>
      <c r="Q40" s="462" t="e">
        <f>IF(+All!#REF!="Duke",+All!#REF!,IF(+All!#REF!="Duke",+All!#REF!,0))</f>
        <v>#REF!</v>
      </c>
      <c r="R40" s="460" t="e">
        <f>IF(+All!#REF!="Duke",+All!#REF!,IF(+All!#REF!="Duke",+All!#REF!,0))</f>
        <v>#REF!</v>
      </c>
      <c r="S40" s="462" t="e">
        <f>IF(+All!#REF!="Duke",+All!#REF!,IF(+All!#REF!="Duke",+All!#REF!,0))</f>
        <v>#REF!</v>
      </c>
      <c r="T40" s="460" t="e">
        <f>IF(+All!#REF!="Duke",+All!#REF!,IF(+All!#REF!="Duke",+All!#REF!,0))</f>
        <v>#REF!</v>
      </c>
      <c r="U40" s="462" t="e">
        <f>IF(+All!#REF!="Duke",+All!#REF!,IF(+All!#REF!="Duke",+All!#REF!,0))</f>
        <v>#REF!</v>
      </c>
    </row>
    <row r="41" spans="1:21" ht="15.75" customHeight="1" x14ac:dyDescent="0.8">
      <c r="A41" s="493">
        <f>IF(+All!$F600="Duke",+All!A600,IF(+All!$H600="Duke",+All!A600,0))</f>
        <v>10</v>
      </c>
      <c r="B41" s="348" t="str">
        <f>IF(+All!$F600="Duke",+All!B600,IF(+All!$H600="Duke",+All!B600,0))</f>
        <v>Fri</v>
      </c>
      <c r="C41" s="72">
        <f>IF(+All!$F600="Duke",+All!C600,IF(+All!$H600="Duke",+All!C600,0))</f>
        <v>44869</v>
      </c>
      <c r="D41" s="73">
        <f>IF(+All!$F600="Duke",+All!D600,IF(+All!$H600="Duke",+All!D600,0))</f>
        <v>0.79166666666666663</v>
      </c>
      <c r="E41" s="461" t="str">
        <f>IF(+All!$F600="Duke",+All!E600,IF(+All!$H600="Duke",+All!E600,0))</f>
        <v>ESPN2</v>
      </c>
      <c r="F41" s="460" t="str">
        <f>IF(+All!$F600="Duke",+All!F600,IF(+All!$H600="Duke",+All!F600,0))</f>
        <v>Duke</v>
      </c>
      <c r="G41" s="462" t="str">
        <f>IF(+All!$F600="Duke",+All!G600,IF(+All!$H600="Duke",+All!G600,0))</f>
        <v>ACC</v>
      </c>
      <c r="H41" s="462" t="str">
        <f>IF(+All!$F600="Duke",+All!H600,IF(+All!$H600="Duke",+All!H600,0))</f>
        <v>Boston College</v>
      </c>
      <c r="I41" s="462" t="str">
        <f>IF(+All!$F600="Duke",+All!I600,IF(+All!$H600="Duke",+All!I600,0))</f>
        <v>ACC</v>
      </c>
      <c r="J41" s="460" t="str">
        <f>IF(+All!$F600="Duke",+All!J600,IF(+All!$H600="Duke",+All!J600,0))</f>
        <v>Duke</v>
      </c>
      <c r="K41" s="462" t="str">
        <f>IF(+All!$F600="Duke",+All!K600,IF(+All!$H600="Duke",+All!K600,0))</f>
        <v>Boston College</v>
      </c>
      <c r="L41" s="60">
        <f>IF(+All!$F600="Duke",+All!L600,IF(+All!$H600="Duke",+All!L600,0))</f>
        <v>9.5</v>
      </c>
      <c r="M41" s="357">
        <f>IF(+All!$F600="Duke",+All!M600,IF(+All!$H600="Duke",+All!M600,0))</f>
        <v>47.5</v>
      </c>
      <c r="N41" s="460" t="str">
        <f>IF(+All!$F600="Duke",+All!N600,IF(+All!$H600="Duke",+All!N600,0))</f>
        <v>Duke</v>
      </c>
      <c r="O41" s="462">
        <f>IF(+All!$F600="Duke",+All!O600,IF(+All!$H600="Duke",+All!O600,0))</f>
        <v>38</v>
      </c>
      <c r="P41" s="462" t="str">
        <f>IF(+All!$F600="Duke",+All!P600,IF(+All!$H600="Duke",+All!P600,0))</f>
        <v>Boston College</v>
      </c>
      <c r="Q41" s="462">
        <f>IF(+All!$F600="Duke",+All!Q600,IF(+All!$H600="Duke",+All!Q600,0))</f>
        <v>31</v>
      </c>
      <c r="R41" s="460" t="str">
        <f>IF(+All!$F600="Duke",+All!R600,IF(+All!$H600="Duke",+All!R600,0))</f>
        <v>Boston College</v>
      </c>
      <c r="S41" s="462" t="str">
        <f>IF(+All!$F600="Duke",+All!S600,IF(+All!$H600="Duke",+All!S600,0))</f>
        <v>Duke</v>
      </c>
      <c r="T41" s="460" t="str">
        <f>IF(+All!$F600="Duke",+All!T600,IF(+All!$H600="Duke",+All!T600,0))</f>
        <v>Boston College</v>
      </c>
      <c r="U41" s="462" t="str">
        <f>IF(+All!$F600="Duke",+All!U600,IF(+All!$H600="Duke",+All!U600,0))</f>
        <v>W</v>
      </c>
    </row>
    <row r="42" spans="1:21" ht="15.75" customHeight="1" x14ac:dyDescent="0.8">
      <c r="A42" s="493">
        <f>IF(+All!$F669="Duke",+All!A669,IF(+All!$H669="Duke",+All!A669,0))</f>
        <v>11</v>
      </c>
      <c r="B42" s="348" t="str">
        <f>IF(+All!$F669="Duke",+All!B669,IF(+All!$H669="Duke",+All!B669,0))</f>
        <v>Sat</v>
      </c>
      <c r="C42" s="72">
        <f>IF(+All!$F669="Duke",+All!C669,IF(+All!$H669="Duke",+All!C669,0))</f>
        <v>44877</v>
      </c>
      <c r="D42" s="73">
        <f>IF(+All!$F669="Duke",+All!D669,IF(+All!$H669="Duke",+All!D669,0))</f>
        <v>0.5</v>
      </c>
      <c r="E42" s="461" t="str">
        <f>IF(+All!$F669="Duke",+All!E669,IF(+All!$H669="Duke",+All!E669,0))</f>
        <v>espn3</v>
      </c>
      <c r="F42" s="460" t="str">
        <f>IF(+All!$F669="Duke",+All!F669,IF(+All!$H669="Duke",+All!F669,0))</f>
        <v>Virginia Tech</v>
      </c>
      <c r="G42" s="462" t="str">
        <f>IF(+All!$F669="Duke",+All!G669,IF(+All!$H669="Duke",+All!G669,0))</f>
        <v>ACC</v>
      </c>
      <c r="H42" s="462" t="str">
        <f>IF(+All!$F669="Duke",+All!H669,IF(+All!$H669="Duke",+All!H669,0))</f>
        <v>Duke</v>
      </c>
      <c r="I42" s="462" t="str">
        <f>IF(+All!$F669="Duke",+All!I669,IF(+All!$H669="Duke",+All!I669,0))</f>
        <v>ACC</v>
      </c>
      <c r="J42" s="460" t="str">
        <f>IF(+All!$F669="Duke",+All!J669,IF(+All!$H669="Duke",+All!J669,0))</f>
        <v>Duke</v>
      </c>
      <c r="K42" s="462" t="str">
        <f>IF(+All!$F669="Duke",+All!K669,IF(+All!$H669="Duke",+All!K669,0))</f>
        <v>Virginia Tech</v>
      </c>
      <c r="L42" s="60">
        <f>IF(+All!$F669="Duke",+All!L669,IF(+All!$H669="Duke",+All!L669,0))</f>
        <v>9.5</v>
      </c>
      <c r="M42" s="357">
        <f>IF(+All!$F669="Duke",+All!M669,IF(+All!$H669="Duke",+All!M669,0))</f>
        <v>49.5</v>
      </c>
      <c r="N42" s="460" t="str">
        <f>IF(+All!$F669="Duke",+All!N669,IF(+All!$H669="Duke",+All!N669,0))</f>
        <v>Duke</v>
      </c>
      <c r="O42" s="462">
        <f>IF(+All!$F669="Duke",+All!O669,IF(+All!$H669="Duke",+All!O669,0))</f>
        <v>24</v>
      </c>
      <c r="P42" s="462" t="str">
        <f>IF(+All!$F669="Duke",+All!P669,IF(+All!$H669="Duke",+All!P669,0))</f>
        <v>Virginia Tech</v>
      </c>
      <c r="Q42" s="462">
        <f>IF(+All!$F669="Duke",+All!Q669,IF(+All!$H669="Duke",+All!Q669,0))</f>
        <v>7</v>
      </c>
      <c r="R42" s="460" t="str">
        <f>IF(+All!$F669="Duke",+All!R669,IF(+All!$H669="Duke",+All!R669,0))</f>
        <v>Duke</v>
      </c>
      <c r="S42" s="462" t="str">
        <f>IF(+All!$F669="Duke",+All!S669,IF(+All!$H669="Duke",+All!S669,0))</f>
        <v>Virginia Tech</v>
      </c>
      <c r="T42" s="460" t="str">
        <f>IF(+All!$F669="Duke",+All!T669,IF(+All!$H669="Duke",+All!T669,0))</f>
        <v>Duke</v>
      </c>
      <c r="U42" s="462" t="str">
        <f>IF(+All!$F669="Duke",+All!U669,IF(+All!$H669="Duke",+All!U669,0))</f>
        <v>W</v>
      </c>
    </row>
    <row r="43" spans="1:21" ht="15.75" customHeight="1" x14ac:dyDescent="0.8">
      <c r="A43" s="493">
        <f>IF(+All!$F734="Duke",+All!A734,IF(+All!$H734="Duke",+All!A734,0))</f>
        <v>12</v>
      </c>
      <c r="B43" s="348" t="str">
        <f>IF(+All!$F734="Duke",+All!B734,IF(+All!$H734="Duke",+All!B734,0))</f>
        <v>Sat</v>
      </c>
      <c r="C43" s="72">
        <f>IF(+All!$F734="Duke",+All!C734,IF(+All!$H734="Duke",+All!C734,0))</f>
        <v>44884</v>
      </c>
      <c r="D43" s="73">
        <f>IF(+All!$F734="Duke",+All!D734,IF(+All!$H734="Duke",+All!D734,0))</f>
        <v>0.5</v>
      </c>
      <c r="E43" s="461" t="str">
        <f>IF(+All!$F734="Duke",+All!E734,IF(+All!$H734="Duke",+All!E734,0))</f>
        <v>ACC</v>
      </c>
      <c r="F43" s="460" t="str">
        <f>IF(+All!$F734="Duke",+All!F734,IF(+All!$H734="Duke",+All!F734,0))</f>
        <v>Duke</v>
      </c>
      <c r="G43" s="462" t="str">
        <f>IF(+All!$F734="Duke",+All!G734,IF(+All!$H734="Duke",+All!G734,0))</f>
        <v>ACC</v>
      </c>
      <c r="H43" s="462" t="str">
        <f>IF(+All!$F734="Duke",+All!H734,IF(+All!$H734="Duke",+All!H734,0))</f>
        <v>Pittsburgh</v>
      </c>
      <c r="I43" s="462" t="str">
        <f>IF(+All!$F734="Duke",+All!I734,IF(+All!$H734="Duke",+All!I734,0))</f>
        <v>ACC</v>
      </c>
      <c r="J43" s="460" t="str">
        <f>IF(+All!$F734="Duke",+All!J734,IF(+All!$H734="Duke",+All!J734,0))</f>
        <v>Pittsburgh</v>
      </c>
      <c r="K43" s="462" t="str">
        <f>IF(+All!$F734="Duke",+All!K734,IF(+All!$H734="Duke",+All!K734,0))</f>
        <v>Duke</v>
      </c>
      <c r="L43" s="60">
        <f>IF(+All!$F734="Duke",+All!L734,IF(+All!$H734="Duke",+All!L734,0))</f>
        <v>7.5</v>
      </c>
      <c r="M43" s="357">
        <f>IF(+All!$F734="Duke",+All!M734,IF(+All!$H734="Duke",+All!M734,0))</f>
        <v>52</v>
      </c>
      <c r="N43" s="460" t="str">
        <f>IF(+All!$F734="Duke",+All!N734,IF(+All!$H734="Duke",+All!N734,0))</f>
        <v>Pittsburgh</v>
      </c>
      <c r="O43" s="462">
        <f>IF(+All!$F734="Duke",+All!O734,IF(+All!$H734="Duke",+All!O734,0))</f>
        <v>28</v>
      </c>
      <c r="P43" s="462" t="str">
        <f>IF(+All!$F734="Duke",+All!P734,IF(+All!$H734="Duke",+All!P734,0))</f>
        <v>Duke</v>
      </c>
      <c r="Q43" s="462">
        <f>IF(+All!$F734="Duke",+All!Q734,IF(+All!$H734="Duke",+All!Q734,0))</f>
        <v>26</v>
      </c>
      <c r="R43" s="460" t="str">
        <f>IF(+All!$F734="Duke",+All!R734,IF(+All!$H734="Duke",+All!R734,0))</f>
        <v>Duke</v>
      </c>
      <c r="S43" s="462" t="str">
        <f>IF(+All!$F734="Duke",+All!S734,IF(+All!$H734="Duke",+All!S734,0))</f>
        <v>Pittsburgh</v>
      </c>
      <c r="T43" s="460" t="str">
        <f>IF(+All!$F734="Duke",+All!T734,IF(+All!$H734="Duke",+All!T734,0))</f>
        <v>Duke</v>
      </c>
      <c r="U43" s="462" t="str">
        <f>IF(+All!$F734="Duke",+All!U734,IF(+All!$H734="Duke",+All!U734,0))</f>
        <v>W</v>
      </c>
    </row>
    <row r="44" spans="1:21" ht="15.75" customHeight="1" x14ac:dyDescent="0.8">
      <c r="A44" s="493">
        <f>IF(+All!$F805="Duke",+All!A805,IF(+All!$H805="Duke",+All!A805,0))</f>
        <v>13</v>
      </c>
      <c r="B44" s="348" t="str">
        <f>IF(+All!$F805="Duke",+All!B805,IF(+All!$H805="Duke",+All!B805,0))</f>
        <v>Sat</v>
      </c>
      <c r="C44" s="72">
        <f>IF(+All!$F805="Duke",+All!C805,IF(+All!$H805="Duke",+All!C805,0))</f>
        <v>44891</v>
      </c>
      <c r="D44" s="73">
        <f>IF(+All!$F805="Duke",+All!D805,IF(+All!$H805="Duke",+All!D805,0))</f>
        <v>0.64583333333333337</v>
      </c>
      <c r="E44" s="461" t="str">
        <f>IF(+All!$F805="Duke",+All!E805,IF(+All!$H805="Duke",+All!E805,0))</f>
        <v>ACC</v>
      </c>
      <c r="F44" s="460" t="str">
        <f>IF(+All!$F805="Duke",+All!F805,IF(+All!$H805="Duke",+All!F805,0))</f>
        <v>Wake Forest</v>
      </c>
      <c r="G44" s="462" t="str">
        <f>IF(+All!$F805="Duke",+All!G805,IF(+All!$H805="Duke",+All!G805,0))</f>
        <v>ACC</v>
      </c>
      <c r="H44" s="462" t="str">
        <f>IF(+All!$F805="Duke",+All!H805,IF(+All!$H805="Duke",+All!H805,0))</f>
        <v>Duke</v>
      </c>
      <c r="I44" s="462" t="str">
        <f>IF(+All!$F805="Duke",+All!I805,IF(+All!$H805="Duke",+All!I805,0))</f>
        <v>ACC</v>
      </c>
      <c r="J44" s="460" t="str">
        <f>IF(+All!$F805="Duke",+All!J805,IF(+All!$H805="Duke",+All!J805,0))</f>
        <v>Wake Forest</v>
      </c>
      <c r="K44" s="462" t="str">
        <f>IF(+All!$F805="Duke",+All!K805,IF(+All!$H805="Duke",+All!K805,0))</f>
        <v>Duke</v>
      </c>
      <c r="L44" s="60">
        <f>IF(+All!$F805="Duke",+All!L805,IF(+All!$H805="Duke",+All!L805,0))</f>
        <v>3.5</v>
      </c>
      <c r="M44" s="357">
        <f>IF(+All!$F805="Duke",+All!M805,IF(+All!$H805="Duke",+All!M805,0))</f>
        <v>66.5</v>
      </c>
      <c r="N44" s="460" t="str">
        <f>IF(+All!$F805="Duke",+All!N805,IF(+All!$H805="Duke",+All!N805,0))</f>
        <v>Duke</v>
      </c>
      <c r="O44" s="462">
        <f>IF(+All!$F805="Duke",+All!O805,IF(+All!$H805="Duke",+All!O805,0))</f>
        <v>34</v>
      </c>
      <c r="P44" s="462" t="str">
        <f>IF(+All!$F805="Duke",+All!P805,IF(+All!$H805="Duke",+All!P805,0))</f>
        <v>Wake Forest</v>
      </c>
      <c r="Q44" s="462">
        <f>IF(+All!$F805="Duke",+All!Q805,IF(+All!$H805="Duke",+All!Q805,0))</f>
        <v>31</v>
      </c>
      <c r="R44" s="460" t="str">
        <f>IF(+All!$F805="Duke",+All!R805,IF(+All!$H805="Duke",+All!R805,0))</f>
        <v>Duke</v>
      </c>
      <c r="S44" s="462" t="str">
        <f>IF(+All!$F805="Duke",+All!S805,IF(+All!$H805="Duke",+All!S805,0))</f>
        <v>Wake Forest</v>
      </c>
      <c r="T44" s="460" t="str">
        <f>IF(+All!$F805="Duke",+All!T805,IF(+All!$H805="Duke",+All!T805,0))</f>
        <v>Duke</v>
      </c>
      <c r="U44" s="462" t="str">
        <f>IF(+All!$F805="Duke",+All!U805,IF(+All!$H805="Duke",+All!U805,0))</f>
        <v>W</v>
      </c>
    </row>
    <row r="45" spans="1:21" ht="15.9" customHeight="1" x14ac:dyDescent="0.8">
      <c r="A45" s="38"/>
      <c r="B45" s="39"/>
      <c r="C45" s="40"/>
      <c r="D45" s="41"/>
      <c r="E45" s="463"/>
      <c r="F45" s="897" t="str">
        <f>H46</f>
        <v>Florida State</v>
      </c>
      <c r="G45" s="901"/>
      <c r="H45" s="901"/>
      <c r="I45" s="902"/>
      <c r="J45" s="459"/>
      <c r="K45" s="463"/>
      <c r="L45" s="44"/>
      <c r="M45" s="45"/>
      <c r="N45" s="459"/>
      <c r="O45" s="5"/>
      <c r="P45" s="5"/>
      <c r="Q45" s="463"/>
      <c r="R45" s="459"/>
      <c r="S45" s="5"/>
      <c r="T45" s="459"/>
      <c r="U45" s="463"/>
    </row>
    <row r="46" spans="1:21" ht="15.75" customHeight="1" x14ac:dyDescent="0.8">
      <c r="A46" s="46">
        <f>IF(+All!$F4="Florida State",+All!A4,IF(+All!$H4="Florida State",+All!A4,0))</f>
        <v>0</v>
      </c>
      <c r="B46" s="348" t="str">
        <f>IF(+All!$F4="Florida State",+All!B4,IF(+All!$H4="Florida State",+All!B4,0))</f>
        <v>Sat</v>
      </c>
      <c r="C46" s="72">
        <f>IF(+All!$F4="Florida State",+All!C4,IF(+All!$H4="Florida State",+All!C4,0))</f>
        <v>44793</v>
      </c>
      <c r="D46" s="73">
        <f>IF(+All!$F4="Florida State",+All!D4,IF(+All!$H4="Florida State",+All!D4,0))</f>
        <v>0.70833333333333337</v>
      </c>
      <c r="E46" s="461" t="str">
        <f>IF(+All!$F4="Florida State",+All!E4,IF(+All!$H4="Florida State",+All!E4,0))</f>
        <v>ACC</v>
      </c>
      <c r="F46" s="460" t="str">
        <f>IF(+All!$F4="Florida State",+All!F4,IF(+All!$H4="Florida State",+All!F4,0))</f>
        <v>1AA Duquesne</v>
      </c>
      <c r="G46" s="461" t="str">
        <f>IF(+All!$F4="Florida State",+All!G4,IF(+All!$H4="Florida State",+All!G4,0))</f>
        <v>1AA</v>
      </c>
      <c r="H46" s="460" t="str">
        <f>IF(+All!$F4="Florida State",+All!H4,IF(+All!$H4="Florida State",+All!H4,0))</f>
        <v>Florida State</v>
      </c>
      <c r="I46" s="461" t="str">
        <f>IF(+All!$F4="Florida State",+All!I4,IF(+All!$H4="Florida State",+All!I4,0))</f>
        <v>ACC</v>
      </c>
      <c r="J46" s="460">
        <f>IF(+All!$F4="Florida State",+All!J4,IF(+All!$H4="Florida State",+All!J4,0))</f>
        <v>0</v>
      </c>
      <c r="K46" s="461">
        <f>IF(+All!$F4="Florida State",+All!K4,IF(+All!$H4="Florida State",+All!K4,0))</f>
        <v>0</v>
      </c>
      <c r="L46" s="60">
        <f>IF(+All!$F4="Florida State",+All!L4,IF(+All!$H4="Florida State",+All!L4,0))</f>
        <v>0</v>
      </c>
      <c r="M46" s="61">
        <f>IF(+All!$F4="Florida State",+All!M4,IF(+All!$H4="Florida State",+All!M4,0))</f>
        <v>0</v>
      </c>
      <c r="N46" s="460" t="str">
        <f>IF(+All!$F4="Florida State",+All!N4,IF(+All!$H4="Florida State",+All!N4,0))</f>
        <v>Florida State</v>
      </c>
      <c r="O46" s="462">
        <f>IF(+All!$F4="Florida State",+All!O4,IF(+All!$H4="Florida State",+All!O4,0))</f>
        <v>47</v>
      </c>
      <c r="P46" s="462" t="str">
        <f>IF(+All!$F4="Florida State",+All!P4,IF(+All!$H4="Florida State",+All!P4,0))</f>
        <v>1AA Duquesne</v>
      </c>
      <c r="Q46" s="461">
        <f>IF(+All!$F4="Florida State",+All!Q4,IF(+All!$H4="Florida State",+All!Q4,0))</f>
        <v>7</v>
      </c>
      <c r="R46" s="460">
        <f>IF(+All!$F4="Florida State",+All!R4,IF(+All!$H4="Florida State",+All!R4,0))</f>
        <v>0</v>
      </c>
      <c r="S46" s="462">
        <f>IF(+All!$F4="Florida State",+All!S4,IF(+All!$H4="Florida State",+All!S4,0))</f>
        <v>0</v>
      </c>
      <c r="T46" s="460">
        <f>IF(+All!$F4="Florida State",+All!T4,IF(+All!$H4="Florida State",+All!T4,0))</f>
        <v>0</v>
      </c>
      <c r="U46" s="461">
        <f>IF(+All!$F4="Florida State",+All!U4,IF(+All!$H4="Florida State",+All!U4,0))</f>
        <v>0</v>
      </c>
    </row>
    <row r="47" spans="1:21" ht="15.75" customHeight="1" x14ac:dyDescent="0.8">
      <c r="A47" s="46">
        <f>IF(+All!$F94="Florida State",+All!A94,IF(+All!$H94="Florida State",+All!A94,0))</f>
        <v>1</v>
      </c>
      <c r="B47" s="348" t="str">
        <f>IF(+All!$F94="Florida State",+All!B94,IF(+All!$H94="Florida State",+All!B94,0))</f>
        <v>Sun</v>
      </c>
      <c r="C47" s="72">
        <f>IF(+All!$F94="Florida State",+All!C94,IF(+All!$H94="Florida State",+All!C94,0))</f>
        <v>44808</v>
      </c>
      <c r="D47" s="73">
        <f>IF(+All!$F94="Florida State",+All!D94,IF(+All!$H94="Florida State",+All!D94,0))</f>
        <v>0.8125</v>
      </c>
      <c r="E47" s="461" t="str">
        <f>IF(+All!$F94="Florida State",+All!E94,IF(+All!$H94="Florida State",+All!E94,0))</f>
        <v>ABC</v>
      </c>
      <c r="F47" s="460" t="str">
        <f>IF(+All!$F94="Florida State",+All!F94,IF(+All!$H94="Florida State",+All!F94,0))</f>
        <v>LSU</v>
      </c>
      <c r="G47" s="461" t="str">
        <f>IF(+All!$F94="Florida State",+All!G94,IF(+All!$H94="Florida State",+All!G94,0))</f>
        <v>SEC</v>
      </c>
      <c r="H47" s="460" t="str">
        <f>IF(+All!$F94="Florida State",+All!H94,IF(+All!$H94="Florida State",+All!H94,0))</f>
        <v>Florida State</v>
      </c>
      <c r="I47" s="461" t="str">
        <f>IF(+All!$F94="Florida State",+All!I94,IF(+All!$H94="Florida State",+All!I94,0))</f>
        <v>ACC</v>
      </c>
      <c r="J47" s="460" t="str">
        <f>IF(+All!$F94="Florida State",+All!J94,IF(+All!$H94="Florida State",+All!J94,0))</f>
        <v>LSU</v>
      </c>
      <c r="K47" s="461" t="str">
        <f>IF(+All!$F94="Florida State",+All!K94,IF(+All!$H94="Florida State",+All!K94,0))</f>
        <v>Florida State</v>
      </c>
      <c r="L47" s="60">
        <f>IF(+All!$F94="Florida State",+All!L94,IF(+All!$H94="Florida State",+All!L94,0))</f>
        <v>3</v>
      </c>
      <c r="M47" s="61">
        <f>IF(+All!$F94="Florida State",+All!M94,IF(+All!$H94="Florida State",+All!M94,0))</f>
        <v>51.5</v>
      </c>
      <c r="N47" s="460" t="str">
        <f>IF(+All!$F94="Florida State",+All!N94,IF(+All!$H94="Florida State",+All!N94,0))</f>
        <v>Florida State</v>
      </c>
      <c r="O47" s="462">
        <f>IF(+All!$F94="Florida State",+All!O94,IF(+All!$H94="Florida State",+All!O94,0))</f>
        <v>24</v>
      </c>
      <c r="P47" s="462" t="str">
        <f>IF(+All!$F94="Florida State",+All!P94,IF(+All!$H94="Florida State",+All!P94,0))</f>
        <v>LSU</v>
      </c>
      <c r="Q47" s="461">
        <f>IF(+All!$F94="Florida State",+All!Q94,IF(+All!$H94="Florida State",+All!Q94,0))</f>
        <v>23</v>
      </c>
      <c r="R47" s="460" t="str">
        <f>IF(+All!$F94="Florida State",+All!R94,IF(+All!$H94="Florida State",+All!R94,0))</f>
        <v>Florida State</v>
      </c>
      <c r="S47" s="462" t="str">
        <f>IF(+All!$F94="Florida State",+All!S94,IF(+All!$H94="Florida State",+All!S94,0))</f>
        <v>LSU</v>
      </c>
      <c r="T47" s="460" t="str">
        <f>IF(+All!$F94="Florida State",+All!T94,IF(+All!$H94="Florida State",+All!T94,0))</f>
        <v>LSU</v>
      </c>
      <c r="U47" s="461" t="str">
        <f>IF(+All!$F94="Florida State",+All!U94,IF(+All!$H94="Florida State",+All!U94,0))</f>
        <v>L</v>
      </c>
    </row>
    <row r="48" spans="1:21" ht="15.75" customHeight="1" x14ac:dyDescent="0.8">
      <c r="A48" s="46" t="e">
        <f>IF(+All!#REF!="Florida State",+All!#REF!,IF(+All!#REF!="Florida State",+All!#REF!,0))</f>
        <v>#REF!</v>
      </c>
      <c r="B48" s="348" t="e">
        <f>IF(+All!#REF!="Florida State",+All!#REF!,IF(+All!#REF!="Florida State",+All!#REF!,0))</f>
        <v>#REF!</v>
      </c>
      <c r="C48" s="72" t="e">
        <f>IF(+All!#REF!="Florida State",+All!#REF!,IF(+All!#REF!="Florida State",+All!#REF!,0))</f>
        <v>#REF!</v>
      </c>
      <c r="D48" s="73" t="e">
        <f>IF(+All!#REF!="Florida State",+All!#REF!,IF(+All!#REF!="Florida State",+All!#REF!,0))</f>
        <v>#REF!</v>
      </c>
      <c r="E48" s="461" t="e">
        <f>IF(+All!#REF!="Florida State",+All!#REF!,IF(+All!#REF!="Florida State",+All!#REF!,0))</f>
        <v>#REF!</v>
      </c>
      <c r="F48" s="460" t="e">
        <f>IF(+All!#REF!="Florida State",+All!#REF!,IF(+All!#REF!="Florida State",+All!#REF!,0))</f>
        <v>#REF!</v>
      </c>
      <c r="G48" s="461" t="e">
        <f>IF(+All!#REF!="Florida State",+All!#REF!,IF(+All!#REF!="Florida State",+All!#REF!,0))</f>
        <v>#REF!</v>
      </c>
      <c r="H48" s="460" t="e">
        <f>IF(+All!#REF!="Florida State",+All!#REF!,IF(+All!#REF!="Florida State",+All!#REF!,0))</f>
        <v>#REF!</v>
      </c>
      <c r="I48" s="461" t="e">
        <f>IF(+All!#REF!="Florida State",+All!#REF!,IF(+All!#REF!="Florida State",+All!#REF!,0))</f>
        <v>#REF!</v>
      </c>
      <c r="J48" s="460" t="e">
        <f>IF(+All!#REF!="Florida State",+All!#REF!,IF(+All!#REF!="Florida State",+All!#REF!,0))</f>
        <v>#REF!</v>
      </c>
      <c r="K48" s="461" t="e">
        <f>IF(+All!#REF!="Florida State",+All!#REF!,IF(+All!#REF!="Florida State",+All!#REF!,0))</f>
        <v>#REF!</v>
      </c>
      <c r="L48" s="60" t="e">
        <f>IF(+All!#REF!="Florida State",+All!#REF!,IF(+All!#REF!="Florida State",+All!#REF!,0))</f>
        <v>#REF!</v>
      </c>
      <c r="M48" s="61" t="e">
        <f>IF(+All!#REF!="Florida State",+All!#REF!,IF(+All!#REF!="Florida State",+All!#REF!,0))</f>
        <v>#REF!</v>
      </c>
      <c r="N48" s="460" t="e">
        <f>IF(+All!#REF!="Florida State",+All!#REF!,IF(+All!#REF!="Florida State",+All!#REF!,0))</f>
        <v>#REF!</v>
      </c>
      <c r="O48" s="462" t="e">
        <f>IF(+All!#REF!="Florida State",+All!#REF!,IF(+All!#REF!="Florida State",+All!#REF!,0))</f>
        <v>#REF!</v>
      </c>
      <c r="P48" s="462" t="e">
        <f>IF(+All!#REF!="Florida State",+All!#REF!,IF(+All!#REF!="Florida State",+All!#REF!,0))</f>
        <v>#REF!</v>
      </c>
      <c r="Q48" s="461" t="e">
        <f>IF(+All!#REF!="Florida State",+All!#REF!,IF(+All!#REF!="Florida State",+All!#REF!,0))</f>
        <v>#REF!</v>
      </c>
      <c r="R48" s="460" t="e">
        <f>IF(+All!#REF!="Florida State",+All!#REF!,IF(+All!#REF!="Florida State",+All!#REF!,0))</f>
        <v>#REF!</v>
      </c>
      <c r="S48" s="462" t="e">
        <f>IF(+All!#REF!="Florida State",+All!#REF!,IF(+All!#REF!="Florida State",+All!#REF!,0))</f>
        <v>#REF!</v>
      </c>
      <c r="T48" s="460" t="e">
        <f>IF(+All!#REF!="Florida State",+All!#REF!,IF(+All!#REF!="Florida State",+All!#REF!,0))</f>
        <v>#REF!</v>
      </c>
      <c r="U48" s="461" t="e">
        <f>IF(+All!#REF!="Florida State",+All!#REF!,IF(+All!#REF!="Florida State",+All!#REF!,0))</f>
        <v>#REF!</v>
      </c>
    </row>
    <row r="49" spans="1:21" ht="15.75" customHeight="1" x14ac:dyDescent="0.8">
      <c r="A49" s="46">
        <f>IF(+All!$F180="Florida State",+All!A180,IF(+All!$H180="Florida State",+All!A180,0))</f>
        <v>3</v>
      </c>
      <c r="B49" s="348" t="str">
        <f>IF(+All!$F180="Florida State",+All!B180,IF(+All!$H180="Florida State",+All!B180,0))</f>
        <v>Fri</v>
      </c>
      <c r="C49" s="72">
        <f>IF(+All!$F180="Florida State",+All!C180,IF(+All!$H180="Florida State",+All!C180,0))</f>
        <v>44820</v>
      </c>
      <c r="D49" s="73">
        <f>IF(+All!$F180="Florida State",+All!D180,IF(+All!$H180="Florida State",+All!D180,0))</f>
        <v>0.8125</v>
      </c>
      <c r="E49" s="461" t="str">
        <f>IF(+All!$F180="Florida State",+All!E180,IF(+All!$H180="Florida State",+All!E180,0))</f>
        <v>ESPN</v>
      </c>
      <c r="F49" s="460" t="str">
        <f>IF(+All!$F180="Florida State",+All!F180,IF(+All!$H180="Florida State",+All!F180,0))</f>
        <v>Florida State</v>
      </c>
      <c r="G49" s="461" t="str">
        <f>IF(+All!$F180="Florida State",+All!G180,IF(+All!$H180="Florida State",+All!G180,0))</f>
        <v>ACC</v>
      </c>
      <c r="H49" s="460" t="str">
        <f>IF(+All!$F180="Florida State",+All!H180,IF(+All!$H180="Florida State",+All!H180,0))</f>
        <v>Louisville</v>
      </c>
      <c r="I49" s="461" t="str">
        <f>IF(+All!$F180="Florida State",+All!I180,IF(+All!$H180="Florida State",+All!I180,0))</f>
        <v>ACC</v>
      </c>
      <c r="J49" s="460" t="str">
        <f>IF(+All!$F180="Florida State",+All!J180,IF(+All!$H180="Florida State",+All!J180,0))</f>
        <v>Florida State</v>
      </c>
      <c r="K49" s="461" t="str">
        <f>IF(+All!$F180="Florida State",+All!K180,IF(+All!$H180="Florida State",+All!K180,0))</f>
        <v>Louisville</v>
      </c>
      <c r="L49" s="60">
        <f>IF(+All!$F180="Florida State",+All!L180,IF(+All!$H180="Florida State",+All!L180,0))</f>
        <v>2.5</v>
      </c>
      <c r="M49" s="61">
        <f>IF(+All!$F180="Florida State",+All!M180,IF(+All!$H180="Florida State",+All!M180,0))</f>
        <v>57</v>
      </c>
      <c r="N49" s="460" t="str">
        <f>IF(+All!$F180="Florida State",+All!N180,IF(+All!$H180="Florida State",+All!N180,0))</f>
        <v>Florida State</v>
      </c>
      <c r="O49" s="462">
        <f>IF(+All!$F180="Florida State",+All!O180,IF(+All!$H180="Florida State",+All!O180,0))</f>
        <v>35</v>
      </c>
      <c r="P49" s="462" t="str">
        <f>IF(+All!$F180="Florida State",+All!P180,IF(+All!$H180="Florida State",+All!P180,0))</f>
        <v>Louisville</v>
      </c>
      <c r="Q49" s="461">
        <f>IF(+All!$F180="Florida State",+All!Q180,IF(+All!$H180="Florida State",+All!Q180,0))</f>
        <v>31</v>
      </c>
      <c r="R49" s="460" t="str">
        <f>IF(+All!$F180="Florida State",+All!R180,IF(+All!$H180="Florida State",+All!R180,0))</f>
        <v>Florida State</v>
      </c>
      <c r="S49" s="462" t="str">
        <f>IF(+All!$F180="Florida State",+All!S180,IF(+All!$H180="Florida State",+All!S180,0))</f>
        <v>Louisville</v>
      </c>
      <c r="T49" s="460" t="str">
        <f>IF(+All!$F180="Florida State",+All!T180,IF(+All!$H180="Florida State",+All!T180,0))</f>
        <v>Louisville</v>
      </c>
      <c r="U49" s="461" t="str">
        <f>IF(+All!$F180="Florida State",+All!U180,IF(+All!$H180="Florida State",+All!U180,0))</f>
        <v>L</v>
      </c>
    </row>
    <row r="50" spans="1:21" ht="15.75" customHeight="1" x14ac:dyDescent="0.8">
      <c r="A50" s="46">
        <f>IF(+All!$F266="Florida State",+All!A266,IF(+All!$H266="Florida State",+All!A266,0))</f>
        <v>4</v>
      </c>
      <c r="B50" s="348" t="str">
        <f>IF(+All!$F266="Florida State",+All!B266,IF(+All!$H266="Florida State",+All!B266,0))</f>
        <v>Sat</v>
      </c>
      <c r="C50" s="72">
        <f>IF(+All!$F266="Florida State",+All!C266,IF(+All!$H266="Florida State",+All!C266,0))</f>
        <v>44828</v>
      </c>
      <c r="D50" s="73">
        <f>IF(+All!$F266="Florida State",+All!D266,IF(+All!$H266="Florida State",+All!D266,0))</f>
        <v>0.83333333333333337</v>
      </c>
      <c r="E50" s="461" t="str">
        <f>IF(+All!$F266="Florida State",+All!E266,IF(+All!$H266="Florida State",+All!E266,0))</f>
        <v>ACC</v>
      </c>
      <c r="F50" s="460" t="str">
        <f>IF(+All!$F266="Florida State",+All!F266,IF(+All!$H266="Florida State",+All!F266,0))</f>
        <v>Boston College</v>
      </c>
      <c r="G50" s="461" t="str">
        <f>IF(+All!$F266="Florida State",+All!G266,IF(+All!$H266="Florida State",+All!G266,0))</f>
        <v>ACC</v>
      </c>
      <c r="H50" s="460" t="str">
        <f>IF(+All!$F266="Florida State",+All!H266,IF(+All!$H266="Florida State",+All!H266,0))</f>
        <v>Florida State</v>
      </c>
      <c r="I50" s="461" t="str">
        <f>IF(+All!$F266="Florida State",+All!I266,IF(+All!$H266="Florida State",+All!I266,0))</f>
        <v>ACC</v>
      </c>
      <c r="J50" s="460" t="str">
        <f>IF(+All!$F266="Florida State",+All!J266,IF(+All!$H266="Florida State",+All!J266,0))</f>
        <v>Florida State</v>
      </c>
      <c r="K50" s="461" t="str">
        <f>IF(+All!$F266="Florida State",+All!K266,IF(+All!$H266="Florida State",+All!K266,0))</f>
        <v>Boston College</v>
      </c>
      <c r="L50" s="60">
        <f>IF(+All!$F266="Florida State",+All!L266,IF(+All!$H266="Florida State",+All!L266,0))</f>
        <v>16.5</v>
      </c>
      <c r="M50" s="61">
        <f>IF(+All!$F266="Florida State",+All!M266,IF(+All!$H266="Florida State",+All!M266,0))</f>
        <v>46.5</v>
      </c>
      <c r="N50" s="460" t="str">
        <f>IF(+All!$F266="Florida State",+All!N266,IF(+All!$H266="Florida State",+All!N266,0))</f>
        <v>Florida State</v>
      </c>
      <c r="O50" s="462">
        <f>IF(+All!$F266="Florida State",+All!O266,IF(+All!$H266="Florida State",+All!O266,0))</f>
        <v>44</v>
      </c>
      <c r="P50" s="462" t="str">
        <f>IF(+All!$F266="Florida State",+All!P266,IF(+All!$H266="Florida State",+All!P266,0))</f>
        <v>Boston College</v>
      </c>
      <c r="Q50" s="461">
        <f>IF(+All!$F266="Florida State",+All!Q266,IF(+All!$H266="Florida State",+All!Q266,0))</f>
        <v>14</v>
      </c>
      <c r="R50" s="460" t="str">
        <f>IF(+All!$F266="Florida State",+All!R266,IF(+All!$H266="Florida State",+All!R266,0))</f>
        <v>Florida State</v>
      </c>
      <c r="S50" s="462" t="str">
        <f>IF(+All!$F266="Florida State",+All!S266,IF(+All!$H266="Florida State",+All!S266,0))</f>
        <v>Boston College</v>
      </c>
      <c r="T50" s="460" t="str">
        <f>IF(+All!$F266="Florida State",+All!T266,IF(+All!$H266="Florida State",+All!T266,0))</f>
        <v>Boston College</v>
      </c>
      <c r="U50" s="461" t="str">
        <f>IF(+All!$F266="Florida State",+All!U266,IF(+All!$H266="Florida State",+All!U266,0))</f>
        <v>L</v>
      </c>
    </row>
    <row r="51" spans="1:21" ht="15.75" customHeight="1" x14ac:dyDescent="0.8">
      <c r="A51" s="46">
        <f>IF(+All!$F331="Florida State",+All!A331,IF(+All!$H331="Florida State",+All!A331,0))</f>
        <v>5</v>
      </c>
      <c r="B51" s="348" t="str">
        <f>IF(+All!$F331="Florida State",+All!B331,IF(+All!$H331="Florida State",+All!B331,0))</f>
        <v>Sat</v>
      </c>
      <c r="C51" s="72">
        <f>IF(+All!$F331="Florida State",+All!C331,IF(+All!$H331="Florida State",+All!C331,0))</f>
        <v>44835</v>
      </c>
      <c r="D51" s="73">
        <f>IF(+All!$F331="Florida State",+All!D331,IF(+All!$H331="Florida State",+All!D331,0))</f>
        <v>0.64583333333333337</v>
      </c>
      <c r="E51" s="461" t="str">
        <f>IF(+All!$F331="Florida State",+All!E331,IF(+All!$H331="Florida State",+All!E331,0))</f>
        <v>ABC</v>
      </c>
      <c r="F51" s="460" t="str">
        <f>IF(+All!$F331="Florida State",+All!F331,IF(+All!$H331="Florida State",+All!F331,0))</f>
        <v>Wake Forest</v>
      </c>
      <c r="G51" s="461" t="str">
        <f>IF(+All!$F331="Florida State",+All!G331,IF(+All!$H331="Florida State",+All!G331,0))</f>
        <v>ACC</v>
      </c>
      <c r="H51" s="460" t="str">
        <f>IF(+All!$F331="Florida State",+All!H331,IF(+All!$H331="Florida State",+All!H331,0))</f>
        <v>Florida State</v>
      </c>
      <c r="I51" s="461" t="str">
        <f>IF(+All!$F331="Florida State",+All!I331,IF(+All!$H331="Florida State",+All!I331,0))</f>
        <v>ACC</v>
      </c>
      <c r="J51" s="460" t="str">
        <f>IF(+All!$F331="Florida State",+All!J331,IF(+All!$H331="Florida State",+All!J331,0))</f>
        <v>Florida State</v>
      </c>
      <c r="K51" s="461" t="str">
        <f>IF(+All!$F331="Florida State",+All!K331,IF(+All!$H331="Florida State",+All!K331,0))</f>
        <v>Wake Forest</v>
      </c>
      <c r="L51" s="60">
        <f>IF(+All!$F331="Florida State",+All!L331,IF(+All!$H331="Florida State",+All!L331,0))</f>
        <v>6.5</v>
      </c>
      <c r="M51" s="61">
        <f>IF(+All!$F331="Florida State",+All!M331,IF(+All!$H331="Florida State",+All!M331,0))</f>
        <v>64</v>
      </c>
      <c r="N51" s="460" t="str">
        <f>IF(+All!$F331="Florida State",+All!N331,IF(+All!$H331="Florida State",+All!N331,0))</f>
        <v>Wake Forest</v>
      </c>
      <c r="O51" s="462">
        <f>IF(+All!$F331="Florida State",+All!O331,IF(+All!$H331="Florida State",+All!O331,0))</f>
        <v>31</v>
      </c>
      <c r="P51" s="462" t="str">
        <f>IF(+All!$F331="Florida State",+All!P331,IF(+All!$H331="Florida State",+All!P331,0))</f>
        <v>Florida State</v>
      </c>
      <c r="Q51" s="461">
        <f>IF(+All!$F331="Florida State",+All!Q331,IF(+All!$H331="Florida State",+All!Q331,0))</f>
        <v>21</v>
      </c>
      <c r="R51" s="460" t="str">
        <f>IF(+All!$F331="Florida State",+All!R331,IF(+All!$H331="Florida State",+All!R331,0))</f>
        <v>Wake Forest</v>
      </c>
      <c r="S51" s="462" t="str">
        <f>IF(+All!$F331="Florida State",+All!S331,IF(+All!$H331="Florida State",+All!S331,0))</f>
        <v>Florida State</v>
      </c>
      <c r="T51" s="460" t="str">
        <f>IF(+All!$F331="Florida State",+All!T331,IF(+All!$H331="Florida State",+All!T331,0))</f>
        <v>Wake Forest</v>
      </c>
      <c r="U51" s="461" t="str">
        <f>IF(+All!$F331="Florida State",+All!U331,IF(+All!$H331="Florida State",+All!U331,0))</f>
        <v>W</v>
      </c>
    </row>
    <row r="52" spans="1:21" ht="15.75" customHeight="1" x14ac:dyDescent="0.8">
      <c r="A52" s="46">
        <f>IF(+All!$F392="Florida State",+All!A392,IF(+All!$H392="Florida State",+All!A392,0))</f>
        <v>6</v>
      </c>
      <c r="B52" s="348" t="str">
        <f>IF(+All!$F392="Florida State",+All!B392,IF(+All!$H392="Florida State",+All!B392,0))</f>
        <v>Sat</v>
      </c>
      <c r="C52" s="72">
        <f>IF(+All!$F392="Florida State",+All!C392,IF(+All!$H392="Florida State",+All!C392,0))</f>
        <v>44842</v>
      </c>
      <c r="D52" s="73">
        <f>IF(+All!$F392="Florida State",+All!D392,IF(+All!$H392="Florida State",+All!D392,0))</f>
        <v>0.83333333333333337</v>
      </c>
      <c r="E52" s="461" t="str">
        <f>IF(+All!$F392="Florida State",+All!E392,IF(+All!$H392="Florida State",+All!E392,0))</f>
        <v>ACC</v>
      </c>
      <c r="F52" s="460" t="str">
        <f>IF(+All!$F392="Florida State",+All!F392,IF(+All!$H392="Florida State",+All!F392,0))</f>
        <v>Florida State</v>
      </c>
      <c r="G52" s="461" t="str">
        <f>IF(+All!$F392="Florida State",+All!G392,IF(+All!$H392="Florida State",+All!G392,0))</f>
        <v>ACC</v>
      </c>
      <c r="H52" s="460" t="str">
        <f>IF(+All!$F392="Florida State",+All!H392,IF(+All!$H392="Florida State",+All!H392,0))</f>
        <v>North Carolina St</v>
      </c>
      <c r="I52" s="461" t="str">
        <f>IF(+All!$F392="Florida State",+All!I392,IF(+All!$H392="Florida State",+All!I392,0))</f>
        <v>ACC</v>
      </c>
      <c r="J52" s="460" t="str">
        <f>IF(+All!$F392="Florida State",+All!J392,IF(+All!$H392="Florida State",+All!J392,0))</f>
        <v>North Carolina St</v>
      </c>
      <c r="K52" s="461" t="str">
        <f>IF(+All!$F392="Florida State",+All!K392,IF(+All!$H392="Florida State",+All!K392,0))</f>
        <v>Florida State</v>
      </c>
      <c r="L52" s="60">
        <f>IF(+All!$F392="Florida State",+All!L392,IF(+All!$H392="Florida State",+All!L392,0))</f>
        <v>3</v>
      </c>
      <c r="M52" s="61">
        <f>IF(+All!$F392="Florida State",+All!M392,IF(+All!$H392="Florida State",+All!M392,0))</f>
        <v>48.5</v>
      </c>
      <c r="N52" s="460" t="str">
        <f>IF(+All!$F392="Florida State",+All!N392,IF(+All!$H392="Florida State",+All!N392,0))</f>
        <v>North Carolina St</v>
      </c>
      <c r="O52" s="462">
        <f>IF(+All!$F392="Florida State",+All!O392,IF(+All!$H392="Florida State",+All!O392,0))</f>
        <v>19</v>
      </c>
      <c r="P52" s="462" t="str">
        <f>IF(+All!$F392="Florida State",+All!P392,IF(+All!$H392="Florida State",+All!P392,0))</f>
        <v>Florida State</v>
      </c>
      <c r="Q52" s="461">
        <f>IF(+All!$F392="Florida State",+All!Q392,IF(+All!$H392="Florida State",+All!Q392,0))</f>
        <v>7</v>
      </c>
      <c r="R52" s="460" t="str">
        <f>IF(+All!$F392="Florida State",+All!R392,IF(+All!$H392="Florida State",+All!R392,0))</f>
        <v>North Carolina St</v>
      </c>
      <c r="S52" s="462" t="str">
        <f>IF(+All!$F392="Florida State",+All!S392,IF(+All!$H392="Florida State",+All!S392,0))</f>
        <v>Florida State</v>
      </c>
      <c r="T52" s="460" t="str">
        <f>IF(+All!$F392="Florida State",+All!T392,IF(+All!$H392="Florida State",+All!T392,0))</f>
        <v>North Carolina St</v>
      </c>
      <c r="U52" s="461" t="str">
        <f>IF(+All!$F392="Florida State",+All!U392,IF(+All!$H392="Florida State",+All!U392,0))</f>
        <v>W</v>
      </c>
    </row>
    <row r="53" spans="1:21" ht="15.75" customHeight="1" x14ac:dyDescent="0.8">
      <c r="A53" s="46">
        <f>IF(+All!$F446="Florida State",+All!A446,IF(+All!$H446="Florida State",+All!A446,0))</f>
        <v>7</v>
      </c>
      <c r="B53" s="348" t="str">
        <f>IF(+All!$F446="Florida State",+All!B446,IF(+All!$H446="Florida State",+All!B446,0))</f>
        <v>Sat</v>
      </c>
      <c r="C53" s="72">
        <f>IF(+All!$F446="Florida State",+All!C446,IF(+All!$H446="Florida State",+All!C446,0))</f>
        <v>44849</v>
      </c>
      <c r="D53" s="73">
        <f>IF(+All!$F446="Florida State",+All!D446,IF(+All!$H446="Florida State",+All!D446,0))</f>
        <v>0.8125</v>
      </c>
      <c r="E53" s="461" t="str">
        <f>IF(+All!$F446="Florida State",+All!E446,IF(+All!$H446="Florida State",+All!E446,0))</f>
        <v>ABC</v>
      </c>
      <c r="F53" s="460" t="str">
        <f>IF(+All!$F446="Florida State",+All!F446,IF(+All!$H446="Florida State",+All!F446,0))</f>
        <v>Clemson</v>
      </c>
      <c r="G53" s="461" t="str">
        <f>IF(+All!$F446="Florida State",+All!G446,IF(+All!$H446="Florida State",+All!G446,0))</f>
        <v>ACC</v>
      </c>
      <c r="H53" s="460" t="str">
        <f>IF(+All!$F446="Florida State",+All!H446,IF(+All!$H446="Florida State",+All!H446,0))</f>
        <v>Florida State</v>
      </c>
      <c r="I53" s="461" t="str">
        <f>IF(+All!$F446="Florida State",+All!I446,IF(+All!$H446="Florida State",+All!I446,0))</f>
        <v>ACC</v>
      </c>
      <c r="J53" s="460" t="str">
        <f>IF(+All!$F446="Florida State",+All!J446,IF(+All!$H446="Florida State",+All!J446,0))</f>
        <v>Clemson</v>
      </c>
      <c r="K53" s="461" t="str">
        <f>IF(+All!$F446="Florida State",+All!K446,IF(+All!$H446="Florida State",+All!K446,0))</f>
        <v>Florida State</v>
      </c>
      <c r="L53" s="60">
        <f>IF(+All!$F446="Florida State",+All!L446,IF(+All!$H446="Florida State",+All!L446,0))</f>
        <v>3.5</v>
      </c>
      <c r="M53" s="61">
        <f>IF(+All!$F446="Florida State",+All!M446,IF(+All!$H446="Florida State",+All!M446,0))</f>
        <v>51</v>
      </c>
      <c r="N53" s="460" t="str">
        <f>IF(+All!$F446="Florida State",+All!N446,IF(+All!$H446="Florida State",+All!N446,0))</f>
        <v>Clemson</v>
      </c>
      <c r="O53" s="462">
        <f>IF(+All!$F446="Florida State",+All!O446,IF(+All!$H446="Florida State",+All!O446,0))</f>
        <v>34</v>
      </c>
      <c r="P53" s="462" t="str">
        <f>IF(+All!$F446="Florida State",+All!P446,IF(+All!$H446="Florida State",+All!P446,0))</f>
        <v>Florida State</v>
      </c>
      <c r="Q53" s="461">
        <f>IF(+All!$F446="Florida State",+All!Q446,IF(+All!$H446="Florida State",+All!Q446,0))</f>
        <v>28</v>
      </c>
      <c r="R53" s="460" t="str">
        <f>IF(+All!$F446="Florida State",+All!R446,IF(+All!$H446="Florida State",+All!R446,0))</f>
        <v>Clemson</v>
      </c>
      <c r="S53" s="462" t="str">
        <f>IF(+All!$F446="Florida State",+All!S446,IF(+All!$H446="Florida State",+All!S446,0))</f>
        <v>Florida State</v>
      </c>
      <c r="T53" s="460" t="str">
        <f>IF(+All!$F446="Florida State",+All!T446,IF(+All!$H446="Florida State",+All!T446,0))</f>
        <v>Clemson</v>
      </c>
      <c r="U53" s="461" t="str">
        <f>IF(+All!$F446="Florida State",+All!U446,IF(+All!$H446="Florida State",+All!U446,0))</f>
        <v>W</v>
      </c>
    </row>
    <row r="54" spans="1:21" ht="15.75" customHeight="1" x14ac:dyDescent="0.8">
      <c r="A54" s="46" t="e">
        <f>IF(+All!#REF!="Florida State",+All!#REF!,IF(+All!#REF!="Florida State",+All!#REF!,0))</f>
        <v>#REF!</v>
      </c>
      <c r="B54" s="348" t="e">
        <f>IF(+All!#REF!="Florida State",+All!#REF!,IF(+All!#REF!="Florida State",+All!#REF!,0))</f>
        <v>#REF!</v>
      </c>
      <c r="C54" s="72" t="e">
        <f>IF(+All!#REF!="Florida State",+All!#REF!,IF(+All!#REF!="Florida State",+All!#REF!,0))</f>
        <v>#REF!</v>
      </c>
      <c r="D54" s="73" t="e">
        <f>IF(+All!#REF!="Florida State",+All!#REF!,IF(+All!#REF!="Florida State",+All!#REF!,0))</f>
        <v>#REF!</v>
      </c>
      <c r="E54" s="461" t="e">
        <f>IF(+All!#REF!="Florida State",+All!#REF!,IF(+All!#REF!="Florida State",+All!#REF!,0))</f>
        <v>#REF!</v>
      </c>
      <c r="F54" s="460" t="e">
        <f>IF(+All!#REF!="Florida State",+All!#REF!,IF(+All!#REF!="Florida State",+All!#REF!,0))</f>
        <v>#REF!</v>
      </c>
      <c r="G54" s="461" t="e">
        <f>IF(+All!#REF!="Florida State",+All!#REF!,IF(+All!#REF!="Florida State",+All!#REF!,0))</f>
        <v>#REF!</v>
      </c>
      <c r="H54" s="460" t="e">
        <f>IF(+All!#REF!="Florida State",+All!#REF!,IF(+All!#REF!="Florida State",+All!#REF!,0))</f>
        <v>#REF!</v>
      </c>
      <c r="I54" s="461" t="e">
        <f>IF(+All!#REF!="Florida State",+All!#REF!,IF(+All!#REF!="Florida State",+All!#REF!,0))</f>
        <v>#REF!</v>
      </c>
      <c r="J54" s="460" t="e">
        <f>IF(+All!#REF!="Florida State",+All!#REF!,IF(+All!#REF!="Florida State",+All!#REF!,0))</f>
        <v>#REF!</v>
      </c>
      <c r="K54" s="461" t="e">
        <f>IF(+All!#REF!="Florida State",+All!#REF!,IF(+All!#REF!="Florida State",+All!#REF!,0))</f>
        <v>#REF!</v>
      </c>
      <c r="L54" s="60" t="e">
        <f>IF(+All!#REF!="Florida State",+All!#REF!,IF(+All!#REF!="Florida State",+All!#REF!,0))</f>
        <v>#REF!</v>
      </c>
      <c r="M54" s="61" t="e">
        <f>IF(+All!#REF!="Florida State",+All!#REF!,IF(+All!#REF!="Florida State",+All!#REF!,0))</f>
        <v>#REF!</v>
      </c>
      <c r="N54" s="460" t="e">
        <f>IF(+All!#REF!="Florida State",+All!#REF!,IF(+All!#REF!="Florida State",+All!#REF!,0))</f>
        <v>#REF!</v>
      </c>
      <c r="O54" s="462" t="e">
        <f>IF(+All!#REF!="Florida State",+All!#REF!,IF(+All!#REF!="Florida State",+All!#REF!,0))</f>
        <v>#REF!</v>
      </c>
      <c r="P54" s="462" t="e">
        <f>IF(+All!#REF!="Florida State",+All!#REF!,IF(+All!#REF!="Florida State",+All!#REF!,0))</f>
        <v>#REF!</v>
      </c>
      <c r="Q54" s="461" t="e">
        <f>IF(+All!#REF!="Florida State",+All!#REF!,IF(+All!#REF!="Florida State",+All!#REF!,0))</f>
        <v>#REF!</v>
      </c>
      <c r="R54" s="460" t="e">
        <f>IF(+All!#REF!="Florida State",+All!#REF!,IF(+All!#REF!="Florida State",+All!#REF!,0))</f>
        <v>#REF!</v>
      </c>
      <c r="S54" s="462" t="e">
        <f>IF(+All!#REF!="Florida State",+All!#REF!,IF(+All!#REF!="Florida State",+All!#REF!,0))</f>
        <v>#REF!</v>
      </c>
      <c r="T54" s="460" t="e">
        <f>IF(+All!#REF!="Florida State",+All!#REF!,IF(+All!#REF!="Florida State",+All!#REF!,0))</f>
        <v>#REF!</v>
      </c>
      <c r="U54" s="461" t="e">
        <f>IF(+All!#REF!="Florida State",+All!#REF!,IF(+All!#REF!="Florida State",+All!#REF!,0))</f>
        <v>#REF!</v>
      </c>
    </row>
    <row r="55" spans="1:21" ht="15.75" customHeight="1" x14ac:dyDescent="0.8">
      <c r="A55" s="46">
        <f>IF(+All!$F554="Florida State",+All!A554,IF(+All!$H554="Florida State",+All!A554,0))</f>
        <v>9</v>
      </c>
      <c r="B55" s="348" t="str">
        <f>IF(+All!$F554="Florida State",+All!B554,IF(+All!$H554="Florida State",+All!B554,0))</f>
        <v>Sat</v>
      </c>
      <c r="C55" s="72">
        <f>IF(+All!$F554="Florida State",+All!C554,IF(+All!$H554="Florida State",+All!C554,0))</f>
        <v>44863</v>
      </c>
      <c r="D55" s="73">
        <f>IF(+All!$F554="Florida State",+All!D554,IF(+All!$H554="Florida State",+All!D554,0))</f>
        <v>0.5</v>
      </c>
      <c r="E55" s="461" t="str">
        <f>IF(+All!$F554="Florida State",+All!E554,IF(+All!$H554="Florida State",+All!E554,0))</f>
        <v>ACC</v>
      </c>
      <c r="F55" s="460" t="str">
        <f>IF(+All!$F554="Florida State",+All!F554,IF(+All!$H554="Florida State",+All!F554,0))</f>
        <v>Georgia Tech</v>
      </c>
      <c r="G55" s="461" t="str">
        <f>IF(+All!$F554="Florida State",+All!G554,IF(+All!$H554="Florida State",+All!G554,0))</f>
        <v>ACC</v>
      </c>
      <c r="H55" s="460" t="str">
        <f>IF(+All!$F554="Florida State",+All!H554,IF(+All!$H554="Florida State",+All!H554,0))</f>
        <v>Florida State</v>
      </c>
      <c r="I55" s="461" t="str">
        <f>IF(+All!$F554="Florida State",+All!I554,IF(+All!$H554="Florida State",+All!I554,0))</f>
        <v>ACC</v>
      </c>
      <c r="J55" s="460" t="str">
        <f>IF(+All!$F554="Florida State",+All!J554,IF(+All!$H554="Florida State",+All!J554,0))</f>
        <v>Florida State</v>
      </c>
      <c r="K55" s="461" t="str">
        <f>IF(+All!$F554="Florida State",+All!K554,IF(+All!$H554="Florida State",+All!K554,0))</f>
        <v>Georgia Tech</v>
      </c>
      <c r="L55" s="60">
        <f>IF(+All!$F554="Florida State",+All!L554,IF(+All!$H554="Florida State",+All!L554,0))</f>
        <v>23</v>
      </c>
      <c r="M55" s="61">
        <f>IF(+All!$F554="Florida State",+All!M554,IF(+All!$H554="Florida State",+All!M554,0))</f>
        <v>48</v>
      </c>
      <c r="N55" s="460" t="str">
        <f>IF(+All!$F554="Florida State",+All!N554,IF(+All!$H554="Florida State",+All!N554,0))</f>
        <v>Florida State</v>
      </c>
      <c r="O55" s="462">
        <f>IF(+All!$F554="Florida State",+All!O554,IF(+All!$H554="Florida State",+All!O554,0))</f>
        <v>41</v>
      </c>
      <c r="P55" s="462" t="str">
        <f>IF(+All!$F554="Florida State",+All!P554,IF(+All!$H554="Florida State",+All!P554,0))</f>
        <v>Georgia Tech</v>
      </c>
      <c r="Q55" s="461">
        <f>IF(+All!$F554="Florida State",+All!Q554,IF(+All!$H554="Florida State",+All!Q554,0))</f>
        <v>26</v>
      </c>
      <c r="R55" s="460" t="str">
        <f>IF(+All!$F554="Florida State",+All!R554,IF(+All!$H554="Florida State",+All!R554,0))</f>
        <v>Georgia Tech</v>
      </c>
      <c r="S55" s="462" t="str">
        <f>IF(+All!$F554="Florida State",+All!S554,IF(+All!$H554="Florida State",+All!S554,0))</f>
        <v>Florida State</v>
      </c>
      <c r="T55" s="460" t="str">
        <f>IF(+All!$F554="Florida State",+All!T554,IF(+All!$H554="Florida State",+All!T554,0))</f>
        <v>Florida State</v>
      </c>
      <c r="U55" s="461" t="str">
        <f>IF(+All!$F554="Florida State",+All!U554,IF(+All!$H554="Florida State",+All!U554,0))</f>
        <v>L</v>
      </c>
    </row>
    <row r="56" spans="1:21" ht="15.75" customHeight="1" x14ac:dyDescent="0.8">
      <c r="A56" s="46">
        <f>IF(+All!$F608="Florida State",+All!A608,IF(+All!$H608="Florida State",+All!A608,0))</f>
        <v>10</v>
      </c>
      <c r="B56" s="348" t="str">
        <f>IF(+All!$F608="Florida State",+All!B608,IF(+All!$H608="Florida State",+All!B608,0))</f>
        <v>Sat</v>
      </c>
      <c r="C56" s="72">
        <f>IF(+All!$F608="Florida State",+All!C608,IF(+All!$H608="Florida State",+All!C608,0))</f>
        <v>44870</v>
      </c>
      <c r="D56" s="73">
        <f>IF(+All!$F608="Florida State",+All!D608,IF(+All!$H608="Florida State",+All!D608,0))</f>
        <v>0.8125</v>
      </c>
      <c r="E56" s="461" t="str">
        <f>IF(+All!$F608="Florida State",+All!E608,IF(+All!$H608="Florida State",+All!E608,0))</f>
        <v>ABC</v>
      </c>
      <c r="F56" s="460" t="str">
        <f>IF(+All!$F608="Florida State",+All!F608,IF(+All!$H608="Florida State",+All!F608,0))</f>
        <v>Florida State</v>
      </c>
      <c r="G56" s="461" t="str">
        <f>IF(+All!$F608="Florida State",+All!G608,IF(+All!$H608="Florida State",+All!G608,0))</f>
        <v>ACC</v>
      </c>
      <c r="H56" s="460" t="str">
        <f>IF(+All!$F608="Florida State",+All!H608,IF(+All!$H608="Florida State",+All!H608,0))</f>
        <v>Miami (FL)</v>
      </c>
      <c r="I56" s="461" t="str">
        <f>IF(+All!$F608="Florida State",+All!I608,IF(+All!$H608="Florida State",+All!I608,0))</f>
        <v>ACC</v>
      </c>
      <c r="J56" s="460" t="str">
        <f>IF(+All!$F608="Florida State",+All!J608,IF(+All!$H608="Florida State",+All!J608,0))</f>
        <v>Florida State</v>
      </c>
      <c r="K56" s="461" t="str">
        <f>IF(+All!$F608="Florida State",+All!K608,IF(+All!$H608="Florida State",+All!K608,0))</f>
        <v>Miami (FL)</v>
      </c>
      <c r="L56" s="60">
        <f>IF(+All!$F608="Florida State",+All!L608,IF(+All!$H608="Florida State",+All!L608,0))</f>
        <v>7.5</v>
      </c>
      <c r="M56" s="61">
        <f>IF(+All!$F608="Florida State",+All!M608,IF(+All!$H608="Florida State",+All!M608,0))</f>
        <v>53</v>
      </c>
      <c r="N56" s="460" t="str">
        <f>IF(+All!$F608="Florida State",+All!N608,IF(+All!$H608="Florida State",+All!N608,0))</f>
        <v>Florida State</v>
      </c>
      <c r="O56" s="462">
        <f>IF(+All!$F608="Florida State",+All!O608,IF(+All!$H608="Florida State",+All!O608,0))</f>
        <v>45</v>
      </c>
      <c r="P56" s="462" t="str">
        <f>IF(+All!$F608="Florida State",+All!P608,IF(+All!$H608="Florida State",+All!P608,0))</f>
        <v>Miami (FL)</v>
      </c>
      <c r="Q56" s="461">
        <f>IF(+All!$F608="Florida State",+All!Q608,IF(+All!$H608="Florida State",+All!Q608,0))</f>
        <v>3</v>
      </c>
      <c r="R56" s="460" t="str">
        <f>IF(+All!$F608="Florida State",+All!R608,IF(+All!$H608="Florida State",+All!R608,0))</f>
        <v>Florida State</v>
      </c>
      <c r="S56" s="462" t="str">
        <f>IF(+All!$F608="Florida State",+All!S608,IF(+All!$H608="Florida State",+All!S608,0))</f>
        <v>Miami (FL)</v>
      </c>
      <c r="T56" s="460" t="str">
        <f>IF(+All!$F608="Florida State",+All!T608,IF(+All!$H608="Florida State",+All!T608,0))</f>
        <v>Miami (FL)</v>
      </c>
      <c r="U56" s="461" t="str">
        <f>IF(+All!$F608="Florida State",+All!U608,IF(+All!$H608="Florida State",+All!U608,0))</f>
        <v>L</v>
      </c>
    </row>
    <row r="57" spans="1:21" ht="15.75" customHeight="1" x14ac:dyDescent="0.8">
      <c r="A57" s="46">
        <f>IF(+All!$F672="Florida State",+All!A672,IF(+All!$H672="Florida State",+All!A672,0))</f>
        <v>11</v>
      </c>
      <c r="B57" s="348" t="str">
        <f>IF(+All!$F672="Florida State",+All!B672,IF(+All!$H672="Florida State",+All!B672,0))</f>
        <v>Sat</v>
      </c>
      <c r="C57" s="72">
        <f>IF(+All!$F672="Florida State",+All!C672,IF(+All!$H672="Florida State",+All!C672,0))</f>
        <v>44877</v>
      </c>
      <c r="D57" s="73">
        <f>IF(+All!$F672="Florida State",+All!D672,IF(+All!$H672="Florida State",+All!D672,0))</f>
        <v>0.83333333333333337</v>
      </c>
      <c r="E57" s="461" t="str">
        <f>IF(+All!$F672="Florida State",+All!E672,IF(+All!$H672="Florida State",+All!E672,0))</f>
        <v>ACC</v>
      </c>
      <c r="F57" s="460" t="str">
        <f>IF(+All!$F672="Florida State",+All!F672,IF(+All!$H672="Florida State",+All!F672,0))</f>
        <v>Florida State</v>
      </c>
      <c r="G57" s="461" t="str">
        <f>IF(+All!$F672="Florida State",+All!G672,IF(+All!$H672="Florida State",+All!G672,0))</f>
        <v>ACC</v>
      </c>
      <c r="H57" s="460" t="str">
        <f>IF(+All!$F672="Florida State",+All!H672,IF(+All!$H672="Florida State",+All!H672,0))</f>
        <v>Syracuse</v>
      </c>
      <c r="I57" s="461" t="str">
        <f>IF(+All!$F672="Florida State",+All!I672,IF(+All!$H672="Florida State",+All!I672,0))</f>
        <v>ACC</v>
      </c>
      <c r="J57" s="460" t="str">
        <f>IF(+All!$F672="Florida State",+All!J672,IF(+All!$H672="Florida State",+All!J672,0))</f>
        <v>Florida State</v>
      </c>
      <c r="K57" s="461" t="str">
        <f>IF(+All!$F672="Florida State",+All!K672,IF(+All!$H672="Florida State",+All!K672,0))</f>
        <v>Syracuse</v>
      </c>
      <c r="L57" s="60">
        <f>IF(+All!$F672="Florida State",+All!L672,IF(+All!$H672="Florida State",+All!L672,0))</f>
        <v>6.5</v>
      </c>
      <c r="M57" s="61">
        <f>IF(+All!$F672="Florida State",+All!M672,IF(+All!$H672="Florida State",+All!M672,0))</f>
        <v>51</v>
      </c>
      <c r="N57" s="460" t="str">
        <f>IF(+All!$F672="Florida State",+All!N672,IF(+All!$H672="Florida State",+All!N672,0))</f>
        <v>Florida State</v>
      </c>
      <c r="O57" s="462">
        <f>IF(+All!$F672="Florida State",+All!O672,IF(+All!$H672="Florida State",+All!O672,0))</f>
        <v>38</v>
      </c>
      <c r="P57" s="462" t="str">
        <f>IF(+All!$F672="Florida State",+All!P672,IF(+All!$H672="Florida State",+All!P672,0))</f>
        <v>Syracuse</v>
      </c>
      <c r="Q57" s="461">
        <f>IF(+All!$F672="Florida State",+All!Q672,IF(+All!$H672="Florida State",+All!Q672,0))</f>
        <v>3</v>
      </c>
      <c r="R57" s="460" t="str">
        <f>IF(+All!$F672="Florida State",+All!R672,IF(+All!$H672="Florida State",+All!R672,0))</f>
        <v>Florida State</v>
      </c>
      <c r="S57" s="462" t="str">
        <f>IF(+All!$F672="Florida State",+All!S672,IF(+All!$H672="Florida State",+All!S672,0))</f>
        <v>Syracuse</v>
      </c>
      <c r="T57" s="460" t="str">
        <f>IF(+All!$F672="Florida State",+All!T672,IF(+All!$H672="Florida State",+All!T672,0))</f>
        <v>Syracuse</v>
      </c>
      <c r="U57" s="461" t="str">
        <f>IF(+All!$F672="Florida State",+All!U672,IF(+All!$H672="Florida State",+All!U672,0))</f>
        <v>L</v>
      </c>
    </row>
    <row r="58" spans="1:21" ht="15.75" customHeight="1" x14ac:dyDescent="0.8">
      <c r="A58" s="46">
        <f>IF(+All!$F731="Florida State",+All!A731,IF(+All!$H731="Florida State",+All!A731,0))</f>
        <v>12</v>
      </c>
      <c r="B58" s="348" t="str">
        <f>IF(+All!$F731="Florida State",+All!B731,IF(+All!$H731="Florida State",+All!B731,0))</f>
        <v>Sat</v>
      </c>
      <c r="C58" s="72">
        <f>IF(+All!$F731="Florida State",+All!C731,IF(+All!$H731="Florida State",+All!C731,0))</f>
        <v>44884</v>
      </c>
      <c r="D58" s="73">
        <f>IF(+All!$F731="Florida State",+All!D731,IF(+All!$H731="Florida State",+All!D731,0))</f>
        <v>0.5</v>
      </c>
      <c r="E58" s="461" t="str">
        <f>IF(+All!$F731="Florida State",+All!E731,IF(+All!$H731="Florida State",+All!E731,0))</f>
        <v>espn3</v>
      </c>
      <c r="F58" s="460" t="str">
        <f>IF(+All!$F731="Florida State",+All!F731,IF(+All!$H731="Florida State",+All!F731,0))</f>
        <v>UL Lafayette</v>
      </c>
      <c r="G58" s="461" t="str">
        <f>IF(+All!$F731="Florida State",+All!G731,IF(+All!$H731="Florida State",+All!G731,0))</f>
        <v>SB</v>
      </c>
      <c r="H58" s="460" t="str">
        <f>IF(+All!$F731="Florida State",+All!H731,IF(+All!$H731="Florida State",+All!H731,0))</f>
        <v>Florida State</v>
      </c>
      <c r="I58" s="461" t="str">
        <f>IF(+All!$F731="Florida State",+All!I731,IF(+All!$H731="Florida State",+All!I731,0))</f>
        <v>ACC</v>
      </c>
      <c r="J58" s="460" t="str">
        <f>IF(+All!$F731="Florida State",+All!J731,IF(+All!$H731="Florida State",+All!J731,0))</f>
        <v>Florida State</v>
      </c>
      <c r="K58" s="461" t="str">
        <f>IF(+All!$F731="Florida State",+All!K731,IF(+All!$H731="Florida State",+All!K731,0))</f>
        <v>UL Lafayette</v>
      </c>
      <c r="L58" s="60">
        <f>IF(+All!$F731="Florida State",+All!L731,IF(+All!$H731="Florida State",+All!L731,0))</f>
        <v>24</v>
      </c>
      <c r="M58" s="61">
        <f>IF(+All!$F731="Florida State",+All!M731,IF(+All!$H731="Florida State",+All!M731,0))</f>
        <v>52</v>
      </c>
      <c r="N58" s="460" t="str">
        <f>IF(+All!$F731="Florida State",+All!N731,IF(+All!$H731="Florida State",+All!N731,0))</f>
        <v>Florida State</v>
      </c>
      <c r="O58" s="462">
        <f>IF(+All!$F731="Florida State",+All!O731,IF(+All!$H731="Florida State",+All!O731,0))</f>
        <v>49</v>
      </c>
      <c r="P58" s="462" t="str">
        <f>IF(+All!$F731="Florida State",+All!P731,IF(+All!$H731="Florida State",+All!P731,0))</f>
        <v>UL Lafayette</v>
      </c>
      <c r="Q58" s="461">
        <f>IF(+All!$F731="Florida State",+All!Q731,IF(+All!$H731="Florida State",+All!Q731,0))</f>
        <v>17</v>
      </c>
      <c r="R58" s="460" t="str">
        <f>IF(+All!$F731="Florida State",+All!R731,IF(+All!$H731="Florida State",+All!R731,0))</f>
        <v>Florida State</v>
      </c>
      <c r="S58" s="462" t="str">
        <f>IF(+All!$F731="Florida State",+All!S731,IF(+All!$H731="Florida State",+All!S731,0))</f>
        <v>UL Lafayette</v>
      </c>
      <c r="T58" s="460" t="str">
        <f>IF(+All!$F731="Florida State",+All!T731,IF(+All!$H731="Florida State",+All!T731,0))</f>
        <v>UL Lafayette</v>
      </c>
      <c r="U58" s="461" t="str">
        <f>IF(+All!$F731="Florida State",+All!U731,IF(+All!$H731="Florida State",+All!U731,0))</f>
        <v>L</v>
      </c>
    </row>
    <row r="59" spans="1:21" ht="15.75" customHeight="1" x14ac:dyDescent="0.8">
      <c r="A59" s="46">
        <f>IF(+All!$F797="Florida State",+All!A797,IF(+All!$H797="Florida State",+All!A797,0))</f>
        <v>13</v>
      </c>
      <c r="B59" s="348" t="str">
        <f>IF(+All!$F797="Florida State",+All!B797,IF(+All!$H797="Florida State",+All!B797,0))</f>
        <v>Fri</v>
      </c>
      <c r="C59" s="72">
        <f>IF(+All!$F797="Florida State",+All!C797,IF(+All!$H797="Florida State",+All!C797,0))</f>
        <v>44890</v>
      </c>
      <c r="D59" s="73">
        <f>IF(+All!$F797="Florida State",+All!D797,IF(+All!$H797="Florida State",+All!D797,0))</f>
        <v>0.8125</v>
      </c>
      <c r="E59" s="461" t="str">
        <f>IF(+All!$F797="Florida State",+All!E797,IF(+All!$H797="Florida State",+All!E797,0))</f>
        <v>ABC</v>
      </c>
      <c r="F59" s="460" t="str">
        <f>IF(+All!$F797="Florida State",+All!F797,IF(+All!$H797="Florida State",+All!F797,0))</f>
        <v>Florida</v>
      </c>
      <c r="G59" s="461" t="str">
        <f>IF(+All!$F797="Florida State",+All!G797,IF(+All!$H797="Florida State",+All!G797,0))</f>
        <v>SEC</v>
      </c>
      <c r="H59" s="460" t="str">
        <f>IF(+All!$F797="Florida State",+All!H797,IF(+All!$H797="Florida State",+All!H797,0))</f>
        <v>Florida State</v>
      </c>
      <c r="I59" s="461" t="str">
        <f>IF(+All!$F797="Florida State",+All!I797,IF(+All!$H797="Florida State",+All!I797,0))</f>
        <v>ACC</v>
      </c>
      <c r="J59" s="460" t="str">
        <f>IF(+All!$F797="Florida State",+All!J797,IF(+All!$H797="Florida State",+All!J797,0))</f>
        <v>Florida State</v>
      </c>
      <c r="K59" s="461" t="str">
        <f>IF(+All!$F797="Florida State",+All!K797,IF(+All!$H797="Florida State",+All!K797,0))</f>
        <v>Florida</v>
      </c>
      <c r="L59" s="60">
        <f>IF(+All!$F797="Florida State",+All!L797,IF(+All!$H797="Florida State",+All!L797,0))</f>
        <v>10</v>
      </c>
      <c r="M59" s="61">
        <f>IF(+All!$F797="Florida State",+All!M797,IF(+All!$H797="Florida State",+All!M797,0))</f>
        <v>58</v>
      </c>
      <c r="N59" s="460" t="str">
        <f>IF(+All!$F797="Florida State",+All!N797,IF(+All!$H797="Florida State",+All!N797,0))</f>
        <v>Florida State</v>
      </c>
      <c r="O59" s="462">
        <f>IF(+All!$F797="Florida State",+All!O797,IF(+All!$H797="Florida State",+All!O797,0))</f>
        <v>45</v>
      </c>
      <c r="P59" s="462" t="str">
        <f>IF(+All!$F797="Florida State",+All!P797,IF(+All!$H797="Florida State",+All!P797,0))</f>
        <v>Florida</v>
      </c>
      <c r="Q59" s="461">
        <f>IF(+All!$F797="Florida State",+All!Q797,IF(+All!$H797="Florida State",+All!Q797,0))</f>
        <v>38</v>
      </c>
      <c r="R59" s="460" t="str">
        <f>IF(+All!$F797="Florida State",+All!R797,IF(+All!$H797="Florida State",+All!R797,0))</f>
        <v>Florida</v>
      </c>
      <c r="S59" s="462" t="str">
        <f>IF(+All!$F797="Florida State",+All!S797,IF(+All!$H797="Florida State",+All!S797,0))</f>
        <v>Florida State</v>
      </c>
      <c r="T59" s="460" t="str">
        <f>IF(+All!$F797="Florida State",+All!T797,IF(+All!$H797="Florida State",+All!T797,0))</f>
        <v>Florida</v>
      </c>
      <c r="U59" s="461" t="str">
        <f>IF(+All!$F797="Florida State",+All!U797,IF(+All!$H797="Florida State",+All!U797,0))</f>
        <v>W</v>
      </c>
    </row>
    <row r="60" spans="1:21" ht="15.9" customHeight="1" x14ac:dyDescent="0.8">
      <c r="A60" s="38"/>
      <c r="B60" s="39"/>
      <c r="C60" s="40"/>
      <c r="D60" s="41"/>
      <c r="E60" s="463"/>
      <c r="F60" s="897" t="str">
        <f>H62</f>
        <v>Georgia Tech</v>
      </c>
      <c r="G60" s="901"/>
      <c r="H60" s="901"/>
      <c r="I60" s="902"/>
      <c r="J60" s="459"/>
      <c r="K60" s="463"/>
      <c r="L60" s="44"/>
      <c r="M60" s="45"/>
      <c r="N60" s="459"/>
      <c r="O60" s="5"/>
      <c r="P60" s="5"/>
      <c r="Q60" s="463"/>
      <c r="R60" s="459"/>
      <c r="S60" s="5"/>
      <c r="T60" s="459"/>
      <c r="U60" s="463"/>
    </row>
    <row r="61" spans="1:21" ht="15.75" customHeight="1" x14ac:dyDescent="0.8">
      <c r="A61" s="46">
        <f>IF(+All!$F95="Georgia Tech",+All!A95,IF(+All!$H95="Georgia Tech",+All!A95,0))</f>
        <v>1</v>
      </c>
      <c r="B61" s="348" t="str">
        <f>IF(+All!$F95="Georgia Tech",+All!B95,IF(+All!$H95="Georgia Tech",+All!B95,0))</f>
        <v>Mon</v>
      </c>
      <c r="C61" s="72">
        <f>IF(+All!$F95="Georgia Tech",+All!C95,IF(+All!$H95="Georgia Tech",+All!C95,0))</f>
        <v>44809</v>
      </c>
      <c r="D61" s="73">
        <f>IF(+All!$F95="Georgia Tech",+All!D95,IF(+All!$H95="Georgia Tech",+All!D95,0))</f>
        <v>0.83333333333333337</v>
      </c>
      <c r="E61" s="461" t="str">
        <f>IF(+All!$F95="Georgia Tech",+All!E95,IF(+All!$H95="Georgia Tech",+All!E95,0))</f>
        <v>ESPN</v>
      </c>
      <c r="F61" s="460" t="str">
        <f>IF(+All!$F95="Georgia Tech",+All!F95,IF(+All!$H95="Georgia Tech",+All!F95,0))</f>
        <v>Clemson</v>
      </c>
      <c r="G61" s="462" t="str">
        <f>IF(+All!$F95="Georgia Tech",+All!G95,IF(+All!$H95="Georgia Tech",+All!G95,0))</f>
        <v>ACC</v>
      </c>
      <c r="H61" s="462" t="str">
        <f>IF(+All!$F95="Georgia Tech",+All!H95,IF(+All!$H95="Georgia Tech",+All!H95,0))</f>
        <v>Georgia Tech</v>
      </c>
      <c r="I61" s="461" t="str">
        <f>IF(+All!$F95="Georgia Tech",+All!I95,IF(+All!$H95="Georgia Tech",+All!I95,0))</f>
        <v>ACC</v>
      </c>
      <c r="J61" s="460" t="str">
        <f>IF(+All!$F95="Georgia Tech",+All!J95,IF(+All!$H95="Georgia Tech",+All!J95,0))</f>
        <v>Clemson</v>
      </c>
      <c r="K61" s="461" t="str">
        <f>IF(+All!$F95="Georgia Tech",+All!K95,IF(+All!$H95="Georgia Tech",+All!K95,0))</f>
        <v>Georgia Tech</v>
      </c>
      <c r="L61" s="60">
        <f>IF(+All!$F95="Georgia Tech",+All!L95,IF(+All!$H95="Georgia Tech",+All!L95,0))</f>
        <v>21.5</v>
      </c>
      <c r="M61" s="61">
        <f>IF(+All!$F95="Georgia Tech",+All!M95,IF(+All!$H95="Georgia Tech",+All!M95,0))</f>
        <v>48.5</v>
      </c>
      <c r="N61" s="460" t="str">
        <f>IF(+All!$F95="Georgia Tech",+All!N95,IF(+All!$H95="Georgia Tech",+All!N95,0))</f>
        <v>Clemson</v>
      </c>
      <c r="O61" s="462">
        <f>IF(+All!$F95="Georgia Tech",+All!O95,IF(+All!$H95="Georgia Tech",+All!O95,0))</f>
        <v>41</v>
      </c>
      <c r="P61" s="462" t="str">
        <f>IF(+All!$F95="Georgia Tech",+All!P95,IF(+All!$H95="Georgia Tech",+All!P95,0))</f>
        <v>Georgia Tech</v>
      </c>
      <c r="Q61" s="461">
        <f>IF(+All!$F95="Georgia Tech",+All!Q95,IF(+All!$H95="Georgia Tech",+All!Q95,0))</f>
        <v>10</v>
      </c>
      <c r="R61" s="460" t="str">
        <f>IF(+All!$F95="Georgia Tech",+All!R95,IF(+All!$H95="Georgia Tech",+All!R95,0))</f>
        <v>Clemson</v>
      </c>
      <c r="S61" s="462" t="str">
        <f>IF(+All!$F95="Georgia Tech",+All!S95,IF(+All!$H95="Georgia Tech",+All!S95,0))</f>
        <v>Georgia Tech</v>
      </c>
      <c r="T61" s="460">
        <f>IF(+All!$F23="Georgia Tech",+All!T23,IF(+All!$H23="Georgia Tech",+All!T23,0))</f>
        <v>0</v>
      </c>
      <c r="U61" s="461">
        <f>IF(+All!$F23="Georgia Tech",+All!U23,IF(+All!$H23="Georgia Tech",+All!U23,0))</f>
        <v>0</v>
      </c>
    </row>
    <row r="62" spans="1:21" ht="15.75" customHeight="1" x14ac:dyDescent="0.8">
      <c r="A62" s="46">
        <f>IF(+All!$F109="Georgia Tech",+All!A109,IF(+All!$H109="Georgia Tech",+All!A109,0))</f>
        <v>2</v>
      </c>
      <c r="B62" s="348" t="str">
        <f>IF(+All!$F109="Georgia Tech",+All!B109,IF(+All!$H109="Georgia Tech",+All!B109,0))</f>
        <v>Sat</v>
      </c>
      <c r="C62" s="72">
        <f>IF(+All!$F109="Georgia Tech",+All!C109,IF(+All!$H109="Georgia Tech",+All!C109,0))</f>
        <v>44814</v>
      </c>
      <c r="D62" s="73">
        <f>IF(+All!$F109="Georgia Tech",+All!D109,IF(+All!$H109="Georgia Tech",+All!D109,0))</f>
        <v>0.79166666666666663</v>
      </c>
      <c r="E62" s="461" t="str">
        <f>IF(+All!$F109="Georgia Tech",+All!E109,IF(+All!$H109="Georgia Tech",+All!E109,0))</f>
        <v>ACC</v>
      </c>
      <c r="F62" s="460" t="str">
        <f>IF(+All!$F109="Georgia Tech",+All!F109,IF(+All!$H109="Georgia Tech",+All!F109,0))</f>
        <v>1AA Western Carolina</v>
      </c>
      <c r="G62" s="462" t="str">
        <f>IF(+All!$F109="Georgia Tech",+All!G109,IF(+All!$H109="Georgia Tech",+All!G109,0))</f>
        <v>1AA</v>
      </c>
      <c r="H62" s="462" t="str">
        <f>IF(+All!$F109="Georgia Tech",+All!H109,IF(+All!$H109="Georgia Tech",+All!H109,0))</f>
        <v>Georgia Tech</v>
      </c>
      <c r="I62" s="461" t="str">
        <f>IF(+All!$F109="Georgia Tech",+All!I109,IF(+All!$H109="Georgia Tech",+All!I109,0))</f>
        <v>ACC</v>
      </c>
      <c r="J62" s="460">
        <f>IF(+All!$F109="Georgia Tech",+All!J109,IF(+All!$H109="Georgia Tech",+All!J109,0))</f>
        <v>0</v>
      </c>
      <c r="K62" s="461">
        <f>IF(+All!$F109="Georgia Tech",+All!K109,IF(+All!$H109="Georgia Tech",+All!K109,0))</f>
        <v>0</v>
      </c>
      <c r="L62" s="60">
        <f>IF(+All!$F109="Georgia Tech",+All!L109,IF(+All!$H109="Georgia Tech",+All!L109,0))</f>
        <v>0</v>
      </c>
      <c r="M62" s="61">
        <f>IF(+All!$F109="Georgia Tech",+All!M109,IF(+All!$H109="Georgia Tech",+All!M109,0))</f>
        <v>0</v>
      </c>
      <c r="N62" s="460" t="str">
        <f>IF(+All!$F109="Georgia Tech",+All!N109,IF(+All!$H109="Georgia Tech",+All!N109,0))</f>
        <v>Georgia Tech</v>
      </c>
      <c r="O62" s="462">
        <f>IF(+All!$F109="Georgia Tech",+All!O109,IF(+All!$H109="Georgia Tech",+All!O109,0))</f>
        <v>35</v>
      </c>
      <c r="P62" s="462" t="str">
        <f>IF(+All!$F109="Georgia Tech",+All!P109,IF(+All!$H109="Georgia Tech",+All!P109,0))</f>
        <v>1AA Western Carolina</v>
      </c>
      <c r="Q62" s="461">
        <f>IF(+All!$F109="Georgia Tech",+All!Q109,IF(+All!$H109="Georgia Tech",+All!Q109,0))</f>
        <v>17</v>
      </c>
      <c r="R62" s="460">
        <f>IF(+All!$F109="Georgia Tech",+All!R109,IF(+All!$H109="Georgia Tech",+All!R109,0))</f>
        <v>0</v>
      </c>
      <c r="S62" s="462">
        <f>IF(+All!$F109="Georgia Tech",+All!S109,IF(+All!$H109="Georgia Tech",+All!S109,0))</f>
        <v>0</v>
      </c>
      <c r="T62" s="460">
        <f>IF(+All!$F109="Georgia Tech",+All!T109,IF(+All!$H109="Georgia Tech",+All!T109,0))</f>
        <v>0</v>
      </c>
      <c r="U62" s="461">
        <f>IF(+All!$F109="Georgia Tech",+All!U109,IF(+All!$H109="Georgia Tech",+All!U109,0))</f>
        <v>0</v>
      </c>
    </row>
    <row r="63" spans="1:21" ht="15.75" customHeight="1" x14ac:dyDescent="0.8">
      <c r="A63" s="46">
        <f>IF(+All!$F191="Georgia Tech",+All!A191,IF(+All!$H191="Georgia Tech",+All!A191,0))</f>
        <v>3</v>
      </c>
      <c r="B63" s="348" t="str">
        <f>IF(+All!$F191="Georgia Tech",+All!B191,IF(+All!$H191="Georgia Tech",+All!B191,0))</f>
        <v>Sat</v>
      </c>
      <c r="C63" s="72">
        <f>IF(+All!$F191="Georgia Tech",+All!C191,IF(+All!$H191="Georgia Tech",+All!C191,0))</f>
        <v>44821</v>
      </c>
      <c r="D63" s="73">
        <f>IF(+All!$F191="Georgia Tech",+All!D191,IF(+All!$H191="Georgia Tech",+All!D191,0))</f>
        <v>0.64583333333333337</v>
      </c>
      <c r="E63" s="461" t="str">
        <f>IF(+All!$F191="Georgia Tech",+All!E191,IF(+All!$H191="Georgia Tech",+All!E191,0))</f>
        <v>ABC</v>
      </c>
      <c r="F63" s="460" t="str">
        <f>IF(+All!$F191="Georgia Tech",+All!F191,IF(+All!$H191="Georgia Tech",+All!F191,0))</f>
        <v>Mississippi</v>
      </c>
      <c r="G63" s="462" t="str">
        <f>IF(+All!$F191="Georgia Tech",+All!G191,IF(+All!$H191="Georgia Tech",+All!G191,0))</f>
        <v>SEC</v>
      </c>
      <c r="H63" s="462" t="str">
        <f>IF(+All!$F191="Georgia Tech",+All!H191,IF(+All!$H191="Georgia Tech",+All!H191,0))</f>
        <v>Georgia Tech</v>
      </c>
      <c r="I63" s="461" t="str">
        <f>IF(+All!$F191="Georgia Tech",+All!I191,IF(+All!$H191="Georgia Tech",+All!I191,0))</f>
        <v>ACC</v>
      </c>
      <c r="J63" s="460" t="str">
        <f>IF(+All!$F191="Georgia Tech",+All!J191,IF(+All!$H191="Georgia Tech",+All!J191,0))</f>
        <v>Mississippi</v>
      </c>
      <c r="K63" s="461" t="str">
        <f>IF(+All!$F191="Georgia Tech",+All!K191,IF(+All!$H191="Georgia Tech",+All!K191,0))</f>
        <v>Georgia Tech</v>
      </c>
      <c r="L63" s="60">
        <f>IF(+All!$F191="Georgia Tech",+All!L191,IF(+All!$H191="Georgia Tech",+All!L191,0))</f>
        <v>17</v>
      </c>
      <c r="M63" s="61">
        <f>IF(+All!$F191="Georgia Tech",+All!M191,IF(+All!$H191="Georgia Tech",+All!M191,0))</f>
        <v>64</v>
      </c>
      <c r="N63" s="460" t="str">
        <f>IF(+All!$F191="Georgia Tech",+All!N191,IF(+All!$H191="Georgia Tech",+All!N191,0))</f>
        <v>Mississippi</v>
      </c>
      <c r="O63" s="462">
        <f>IF(+All!$F191="Georgia Tech",+All!O191,IF(+All!$H191="Georgia Tech",+All!O191,0))</f>
        <v>42</v>
      </c>
      <c r="P63" s="462" t="str">
        <f>IF(+All!$F191="Georgia Tech",+All!P191,IF(+All!$H191="Georgia Tech",+All!P191,0))</f>
        <v>Georgia Tech</v>
      </c>
      <c r="Q63" s="461">
        <f>IF(+All!$F191="Georgia Tech",+All!Q191,IF(+All!$H191="Georgia Tech",+All!Q191,0))</f>
        <v>0</v>
      </c>
      <c r="R63" s="460" t="str">
        <f>IF(+All!$F191="Georgia Tech",+All!R191,IF(+All!$H191="Georgia Tech",+All!R191,0))</f>
        <v>Mississippi</v>
      </c>
      <c r="S63" s="462" t="str">
        <f>IF(+All!$F191="Georgia Tech",+All!S191,IF(+All!$H191="Georgia Tech",+All!S191,0))</f>
        <v>Georgia Tech</v>
      </c>
      <c r="T63" s="460" t="str">
        <f>IF(+All!$F191="Georgia Tech",+All!T191,IF(+All!$H191="Georgia Tech",+All!T191,0))</f>
        <v>Mississippi</v>
      </c>
      <c r="U63" s="461" t="str">
        <f>IF(+All!$F191="Georgia Tech",+All!U191,IF(+All!$H191="Georgia Tech",+All!U191,0))</f>
        <v>W</v>
      </c>
    </row>
    <row r="64" spans="1:21" ht="15.75" customHeight="1" x14ac:dyDescent="0.8">
      <c r="A64" s="46">
        <f>IF(+All!$F258="Georgia Tech",+All!A258,IF(+All!$H258="Georgia Tech",+All!A258,0))</f>
        <v>4</v>
      </c>
      <c r="B64" s="348" t="str">
        <f>IF(+All!$F258="Georgia Tech",+All!B258,IF(+All!$H258="Georgia Tech",+All!B258,0))</f>
        <v>Sat</v>
      </c>
      <c r="C64" s="72">
        <f>IF(+All!$F258="Georgia Tech",+All!C258,IF(+All!$H258="Georgia Tech",+All!C258,0))</f>
        <v>44828</v>
      </c>
      <c r="D64" s="73">
        <f>IF(+All!$F258="Georgia Tech",+All!D258,IF(+All!$H258="Georgia Tech",+All!D258,0))</f>
        <v>0.66666666666666663</v>
      </c>
      <c r="E64" s="461" t="str">
        <f>IF(+All!$F258="Georgia Tech",+All!E258,IF(+All!$H258="Georgia Tech",+All!E258,0))</f>
        <v>ESPNU</v>
      </c>
      <c r="F64" s="460" t="str">
        <f>IF(+All!$F258="Georgia Tech",+All!F258,IF(+All!$H258="Georgia Tech",+All!F258,0))</f>
        <v>Georgia Tech</v>
      </c>
      <c r="G64" s="462" t="str">
        <f>IF(+All!$F258="Georgia Tech",+All!G258,IF(+All!$H258="Georgia Tech",+All!G258,0))</f>
        <v>ACC</v>
      </c>
      <c r="H64" s="462" t="str">
        <f>IF(+All!$F258="Georgia Tech",+All!H258,IF(+All!$H258="Georgia Tech",+All!H258,0))</f>
        <v>Central Florida</v>
      </c>
      <c r="I64" s="461" t="str">
        <f>IF(+All!$F258="Georgia Tech",+All!I258,IF(+All!$H258="Georgia Tech",+All!I258,0))</f>
        <v>AAC</v>
      </c>
      <c r="J64" s="460" t="str">
        <f>IF(+All!$F258="Georgia Tech",+All!J258,IF(+All!$H258="Georgia Tech",+All!J258,0))</f>
        <v>Central Florida</v>
      </c>
      <c r="K64" s="461" t="str">
        <f>IF(+All!$F258="Georgia Tech",+All!K258,IF(+All!$H258="Georgia Tech",+All!K258,0))</f>
        <v>Georgia Tech</v>
      </c>
      <c r="L64" s="60">
        <f>IF(+All!$F258="Georgia Tech",+All!L258,IF(+All!$H258="Georgia Tech",+All!L258,0))</f>
        <v>20.5</v>
      </c>
      <c r="M64" s="61">
        <f>IF(+All!$F258="Georgia Tech",+All!M258,IF(+All!$H258="Georgia Tech",+All!M258,0))</f>
        <v>56</v>
      </c>
      <c r="N64" s="460" t="str">
        <f>IF(+All!$F258="Georgia Tech",+All!N258,IF(+All!$H258="Georgia Tech",+All!N258,0))</f>
        <v>Central Florida</v>
      </c>
      <c r="O64" s="462">
        <f>IF(+All!$F258="Georgia Tech",+All!O258,IF(+All!$H258="Georgia Tech",+All!O258,0))</f>
        <v>27</v>
      </c>
      <c r="P64" s="462" t="str">
        <f>IF(+All!$F258="Georgia Tech",+All!P258,IF(+All!$H258="Georgia Tech",+All!P258,0))</f>
        <v>Georgia Tech</v>
      </c>
      <c r="Q64" s="461">
        <f>IF(+All!$F258="Georgia Tech",+All!Q258,IF(+All!$H258="Georgia Tech",+All!Q258,0))</f>
        <v>10</v>
      </c>
      <c r="R64" s="460" t="str">
        <f>IF(+All!$F258="Georgia Tech",+All!R258,IF(+All!$H258="Georgia Tech",+All!R258,0))</f>
        <v>Georgia Tech</v>
      </c>
      <c r="S64" s="462" t="str">
        <f>IF(+All!$F258="Georgia Tech",+All!S258,IF(+All!$H258="Georgia Tech",+All!S258,0))</f>
        <v>Central Florida</v>
      </c>
      <c r="T64" s="460" t="str">
        <f>IF(+All!$F258="Georgia Tech",+All!T258,IF(+All!$H258="Georgia Tech",+All!T258,0))</f>
        <v>Georgia Tech</v>
      </c>
      <c r="U64" s="461" t="str">
        <f>IF(+All!$F258="Georgia Tech",+All!U258,IF(+All!$H258="Georgia Tech",+All!U258,0))</f>
        <v>W</v>
      </c>
    </row>
    <row r="65" spans="1:21" ht="15.75" customHeight="1" x14ac:dyDescent="0.8">
      <c r="A65" s="46">
        <f>IF(+All!$F333="Georgia Tech",+All!A333,IF(+All!$H333="Georgia Tech",+All!A333,0))</f>
        <v>5</v>
      </c>
      <c r="B65" s="348" t="str">
        <f>IF(+All!$F333="Georgia Tech",+All!B333,IF(+All!$H333="Georgia Tech",+All!B333,0))</f>
        <v>Sat</v>
      </c>
      <c r="C65" s="72">
        <f>IF(+All!$F333="Georgia Tech",+All!C333,IF(+All!$H333="Georgia Tech",+All!C333,0))</f>
        <v>44835</v>
      </c>
      <c r="D65" s="73">
        <f>IF(+All!$F333="Georgia Tech",+All!D333,IF(+All!$H333="Georgia Tech",+All!D333,0))</f>
        <v>0.83333333333333337</v>
      </c>
      <c r="E65" s="461" t="str">
        <f>IF(+All!$F333="Georgia Tech",+All!E333,IF(+All!$H333="Georgia Tech",+All!E333,0))</f>
        <v>ACC</v>
      </c>
      <c r="F65" s="460" t="str">
        <f>IF(+All!$F333="Georgia Tech",+All!F333,IF(+All!$H333="Georgia Tech",+All!F333,0))</f>
        <v>Georgia Tech</v>
      </c>
      <c r="G65" s="462" t="str">
        <f>IF(+All!$F333="Georgia Tech",+All!G333,IF(+All!$H333="Georgia Tech",+All!G333,0))</f>
        <v>ACC</v>
      </c>
      <c r="H65" s="462" t="str">
        <f>IF(+All!$F333="Georgia Tech",+All!H333,IF(+All!$H333="Georgia Tech",+All!H333,0))</f>
        <v>Pittsburgh</v>
      </c>
      <c r="I65" s="461" t="str">
        <f>IF(+All!$F333="Georgia Tech",+All!I333,IF(+All!$H333="Georgia Tech",+All!I333,0))</f>
        <v>ACC</v>
      </c>
      <c r="J65" s="460" t="str">
        <f>IF(+All!$F333="Georgia Tech",+All!J333,IF(+All!$H333="Georgia Tech",+All!J333,0))</f>
        <v>Pittsburgh</v>
      </c>
      <c r="K65" s="461" t="str">
        <f>IF(+All!$F333="Georgia Tech",+All!K333,IF(+All!$H333="Georgia Tech",+All!K333,0))</f>
        <v>Georgia Tech</v>
      </c>
      <c r="L65" s="60">
        <f>IF(+All!$F333="Georgia Tech",+All!L333,IF(+All!$H333="Georgia Tech",+All!L333,0))</f>
        <v>23</v>
      </c>
      <c r="M65" s="61">
        <f>IF(+All!$F333="Georgia Tech",+All!M333,IF(+All!$H333="Georgia Tech",+All!M333,0))</f>
        <v>48</v>
      </c>
      <c r="N65" s="460" t="str">
        <f>IF(+All!$F333="Georgia Tech",+All!N333,IF(+All!$H333="Georgia Tech",+All!N333,0))</f>
        <v>Georgia Tech</v>
      </c>
      <c r="O65" s="462">
        <f>IF(+All!$F333="Georgia Tech",+All!O333,IF(+All!$H333="Georgia Tech",+All!O333,0))</f>
        <v>26</v>
      </c>
      <c r="P65" s="462" t="str">
        <f>IF(+All!$F333="Georgia Tech",+All!P333,IF(+All!$H333="Georgia Tech",+All!P333,0))</f>
        <v>Pittsburgh</v>
      </c>
      <c r="Q65" s="461">
        <f>IF(+All!$F333="Georgia Tech",+All!Q333,IF(+All!$H333="Georgia Tech",+All!Q333,0))</f>
        <v>21</v>
      </c>
      <c r="R65" s="460" t="str">
        <f>IF(+All!$F333="Georgia Tech",+All!R333,IF(+All!$H333="Georgia Tech",+All!R333,0))</f>
        <v>Georgia Tech</v>
      </c>
      <c r="S65" s="462" t="str">
        <f>IF(+All!$F333="Georgia Tech",+All!S333,IF(+All!$H333="Georgia Tech",+All!S333,0))</f>
        <v>Pittsburgh</v>
      </c>
      <c r="T65" s="460" t="str">
        <f>IF(+All!$F333="Georgia Tech",+All!T333,IF(+All!$H333="Georgia Tech",+All!T333,0))</f>
        <v>Georgia Tech</v>
      </c>
      <c r="U65" s="461" t="str">
        <f>IF(+All!$F333="Georgia Tech",+All!U333,IF(+All!$H333="Georgia Tech",+All!U333,0))</f>
        <v>W</v>
      </c>
    </row>
    <row r="66" spans="1:21" ht="15.75" customHeight="1" x14ac:dyDescent="0.8">
      <c r="A66" s="46">
        <f>IF(+All!$F390="Georgia Tech",+All!A390,IF(+All!$H390="Georgia Tech",+All!A390,0))</f>
        <v>6</v>
      </c>
      <c r="B66" s="348" t="str">
        <f>IF(+All!$F390="Georgia Tech",+All!B390,IF(+All!$H390="Georgia Tech",+All!B390,0))</f>
        <v>Sat</v>
      </c>
      <c r="C66" s="72">
        <f>IF(+All!$F390="Georgia Tech",+All!C390,IF(+All!$H390="Georgia Tech",+All!C390,0))</f>
        <v>44842</v>
      </c>
      <c r="D66" s="73">
        <f>IF(+All!$F390="Georgia Tech",+All!D390,IF(+All!$H390="Georgia Tech",+All!D390,0))</f>
        <v>0.66666666666666663</v>
      </c>
      <c r="E66" s="461" t="str">
        <f>IF(+All!$F390="Georgia Tech",+All!E390,IF(+All!$H390="Georgia Tech",+All!E390,0))</f>
        <v>espn3</v>
      </c>
      <c r="F66" s="460" t="str">
        <f>IF(+All!$F390="Georgia Tech",+All!F390,IF(+All!$H390="Georgia Tech",+All!F390,0))</f>
        <v>Duke</v>
      </c>
      <c r="G66" s="462" t="str">
        <f>IF(+All!$F390="Georgia Tech",+All!G390,IF(+All!$H390="Georgia Tech",+All!G390,0))</f>
        <v>ACC</v>
      </c>
      <c r="H66" s="462" t="str">
        <f>IF(+All!$F390="Georgia Tech",+All!H390,IF(+All!$H390="Georgia Tech",+All!H390,0))</f>
        <v>Georgia Tech</v>
      </c>
      <c r="I66" s="461" t="str">
        <f>IF(+All!$F390="Georgia Tech",+All!I390,IF(+All!$H390="Georgia Tech",+All!I390,0))</f>
        <v>ACC</v>
      </c>
      <c r="J66" s="460" t="str">
        <f>IF(+All!$F390="Georgia Tech",+All!J390,IF(+All!$H390="Georgia Tech",+All!J390,0))</f>
        <v>Duke</v>
      </c>
      <c r="K66" s="461" t="str">
        <f>IF(+All!$F390="Georgia Tech",+All!K390,IF(+All!$H390="Georgia Tech",+All!K390,0))</f>
        <v>Georgia Tech</v>
      </c>
      <c r="L66" s="60">
        <f>IF(+All!$F390="Georgia Tech",+All!L390,IF(+All!$H390="Georgia Tech",+All!L390,0))</f>
        <v>3</v>
      </c>
      <c r="M66" s="61">
        <f>IF(+All!$F390="Georgia Tech",+All!M390,IF(+All!$H390="Georgia Tech",+All!M390,0))</f>
        <v>54</v>
      </c>
      <c r="N66" s="460" t="str">
        <f>IF(+All!$F390="Georgia Tech",+All!N390,IF(+All!$H390="Georgia Tech",+All!N390,0))</f>
        <v>Georgia Tech</v>
      </c>
      <c r="O66" s="462">
        <f>IF(+All!$F390="Georgia Tech",+All!O390,IF(+All!$H390="Georgia Tech",+All!O390,0))</f>
        <v>23</v>
      </c>
      <c r="P66" s="462" t="str">
        <f>IF(+All!$F390="Georgia Tech",+All!P390,IF(+All!$H390="Georgia Tech",+All!P390,0))</f>
        <v>Duke</v>
      </c>
      <c r="Q66" s="461">
        <f>IF(+All!$F390="Georgia Tech",+All!Q390,IF(+All!$H390="Georgia Tech",+All!Q390,0))</f>
        <v>20</v>
      </c>
      <c r="R66" s="460" t="str">
        <f>IF(+All!$F390="Georgia Tech",+All!R390,IF(+All!$H390="Georgia Tech",+All!R390,0))</f>
        <v>Georgia Tech</v>
      </c>
      <c r="S66" s="462" t="str">
        <f>IF(+All!$F390="Georgia Tech",+All!S390,IF(+All!$H390="Georgia Tech",+All!S390,0))</f>
        <v>Duke</v>
      </c>
      <c r="T66" s="460" t="str">
        <f>IF(+All!$F390="Georgia Tech",+All!T390,IF(+All!$H390="Georgia Tech",+All!T390,0))</f>
        <v>Duke</v>
      </c>
      <c r="U66" s="461" t="str">
        <f>IF(+All!$F390="Georgia Tech",+All!U390,IF(+All!$H390="Georgia Tech",+All!U390,0))</f>
        <v>L</v>
      </c>
    </row>
    <row r="67" spans="1:21" ht="15.75" customHeight="1" x14ac:dyDescent="0.8">
      <c r="A67" s="46" t="e">
        <f>IF(+All!#REF!="Georgia Tech",+All!#REF!,IF(+All!#REF!="Georgia Tech",+All!#REF!,0))</f>
        <v>#REF!</v>
      </c>
      <c r="B67" s="348" t="e">
        <f>IF(+All!#REF!="Georgia Tech",+All!#REF!,IF(+All!#REF!="Georgia Tech",+All!#REF!,0))</f>
        <v>#REF!</v>
      </c>
      <c r="C67" s="72" t="e">
        <f>IF(+All!#REF!="Georgia Tech",+All!#REF!,IF(+All!#REF!="Georgia Tech",+All!#REF!,0))</f>
        <v>#REF!</v>
      </c>
      <c r="D67" s="73" t="e">
        <f>IF(+All!#REF!="Georgia Tech",+All!#REF!,IF(+All!#REF!="Georgia Tech",+All!#REF!,0))</f>
        <v>#REF!</v>
      </c>
      <c r="E67" s="461" t="e">
        <f>IF(+All!#REF!="Georgia Tech",+All!#REF!,IF(+All!#REF!="Georgia Tech",+All!#REF!,0))</f>
        <v>#REF!</v>
      </c>
      <c r="F67" s="460" t="e">
        <f>IF(+All!#REF!="Georgia Tech",+All!#REF!,IF(+All!#REF!="Georgia Tech",+All!#REF!,0))</f>
        <v>#REF!</v>
      </c>
      <c r="G67" s="462" t="e">
        <f>IF(+All!#REF!="Georgia Tech",+All!#REF!,IF(+All!#REF!="Georgia Tech",+All!#REF!,0))</f>
        <v>#REF!</v>
      </c>
      <c r="H67" s="462" t="e">
        <f>IF(+All!#REF!="Georgia Tech",+All!#REF!,IF(+All!#REF!="Georgia Tech",+All!#REF!,0))</f>
        <v>#REF!</v>
      </c>
      <c r="I67" s="461" t="e">
        <f>IF(+All!#REF!="Georgia Tech",+All!#REF!,IF(+All!#REF!="Georgia Tech",+All!#REF!,0))</f>
        <v>#REF!</v>
      </c>
      <c r="J67" s="460" t="e">
        <f>IF(+All!#REF!="Georgia Tech",+All!#REF!,IF(+All!#REF!="Georgia Tech",+All!#REF!,0))</f>
        <v>#REF!</v>
      </c>
      <c r="K67" s="461" t="e">
        <f>IF(+All!#REF!="Georgia Tech",+All!#REF!,IF(+All!#REF!="Georgia Tech",+All!#REF!,0))</f>
        <v>#REF!</v>
      </c>
      <c r="L67" s="60" t="e">
        <f>IF(+All!#REF!="Georgia Tech",+All!#REF!,IF(+All!#REF!="Georgia Tech",+All!#REF!,0))</f>
        <v>#REF!</v>
      </c>
      <c r="M67" s="61" t="e">
        <f>IF(+All!#REF!="Georgia Tech",+All!#REF!,IF(+All!#REF!="Georgia Tech",+All!#REF!,0))</f>
        <v>#REF!</v>
      </c>
      <c r="N67" s="460" t="e">
        <f>IF(+All!#REF!="Georgia Tech",+All!#REF!,IF(+All!#REF!="Georgia Tech",+All!#REF!,0))</f>
        <v>#REF!</v>
      </c>
      <c r="O67" s="462" t="e">
        <f>IF(+All!#REF!="Georgia Tech",+All!#REF!,IF(+All!#REF!="Georgia Tech",+All!#REF!,0))</f>
        <v>#REF!</v>
      </c>
      <c r="P67" s="462" t="e">
        <f>IF(+All!#REF!="Georgia Tech",+All!#REF!,IF(+All!#REF!="Georgia Tech",+All!#REF!,0))</f>
        <v>#REF!</v>
      </c>
      <c r="Q67" s="461" t="e">
        <f>IF(+All!#REF!="Georgia Tech",+All!#REF!,IF(+All!#REF!="Georgia Tech",+All!#REF!,0))</f>
        <v>#REF!</v>
      </c>
      <c r="R67" s="460" t="e">
        <f>IF(+All!#REF!="Georgia Tech",+All!#REF!,IF(+All!#REF!="Georgia Tech",+All!#REF!,0))</f>
        <v>#REF!</v>
      </c>
      <c r="S67" s="462" t="e">
        <f>IF(+All!#REF!="Georgia Tech",+All!#REF!,IF(+All!#REF!="Georgia Tech",+All!#REF!,0))</f>
        <v>#REF!</v>
      </c>
      <c r="T67" s="460" t="e">
        <f>IF(+All!#REF!="Georgia Tech",+All!#REF!,IF(+All!#REF!="Georgia Tech",+All!#REF!,0))</f>
        <v>#REF!</v>
      </c>
      <c r="U67" s="461" t="e">
        <f>IF(+All!#REF!="Georgia Tech",+All!#REF!,IF(+All!#REF!="Georgia Tech",+All!#REF!,0))</f>
        <v>#REF!</v>
      </c>
    </row>
    <row r="68" spans="1:21" ht="15.75" customHeight="1" x14ac:dyDescent="0.8">
      <c r="A68" s="46">
        <f>IF(+All!$F492="Georgia Tech",+All!A492,IF(+All!$H492="Georgia Tech",+All!A492,0))</f>
        <v>8</v>
      </c>
      <c r="B68" s="348" t="str">
        <f>IF(+All!$F492="Georgia Tech",+All!B492,IF(+All!$H492="Georgia Tech",+All!B492,0))</f>
        <v>Thurs</v>
      </c>
      <c r="C68" s="72">
        <f>IF(+All!$F492="Georgia Tech",+All!C492,IF(+All!$H492="Georgia Tech",+All!C492,0))</f>
        <v>44854</v>
      </c>
      <c r="D68" s="73">
        <f>IF(+All!$F492="Georgia Tech",+All!D492,IF(+All!$H492="Georgia Tech",+All!D492,0))</f>
        <v>0.8125</v>
      </c>
      <c r="E68" s="461" t="str">
        <f>IF(+All!$F492="Georgia Tech",+All!E492,IF(+All!$H492="Georgia Tech",+All!E492,0))</f>
        <v>ESPN</v>
      </c>
      <c r="F68" s="460" t="str">
        <f>IF(+All!$F492="Georgia Tech",+All!F492,IF(+All!$H492="Georgia Tech",+All!F492,0))</f>
        <v>Virginia</v>
      </c>
      <c r="G68" s="462" t="str">
        <f>IF(+All!$F492="Georgia Tech",+All!G492,IF(+All!$H492="Georgia Tech",+All!G492,0))</f>
        <v>ACC</v>
      </c>
      <c r="H68" s="462" t="str">
        <f>IF(+All!$F492="Georgia Tech",+All!H492,IF(+All!$H492="Georgia Tech",+All!H492,0))</f>
        <v>Georgia Tech</v>
      </c>
      <c r="I68" s="461" t="str">
        <f>IF(+All!$F492="Georgia Tech",+All!I492,IF(+All!$H492="Georgia Tech",+All!I492,0))</f>
        <v>ACC</v>
      </c>
      <c r="J68" s="460" t="str">
        <f>IF(+All!$F492="Georgia Tech",+All!J492,IF(+All!$H492="Georgia Tech",+All!J492,0))</f>
        <v>Georgia Tech</v>
      </c>
      <c r="K68" s="461" t="str">
        <f>IF(+All!$F492="Georgia Tech",+All!K492,IF(+All!$H492="Georgia Tech",+All!K492,0))</f>
        <v>Virginia</v>
      </c>
      <c r="L68" s="60">
        <f>IF(+All!$F492="Georgia Tech",+All!L492,IF(+All!$H492="Georgia Tech",+All!L492,0))</f>
        <v>3</v>
      </c>
      <c r="M68" s="61">
        <f>IF(+All!$F492="Georgia Tech",+All!M492,IF(+All!$H492="Georgia Tech",+All!M492,0))</f>
        <v>47</v>
      </c>
      <c r="N68" s="460" t="str">
        <f>IF(+All!$F492="Georgia Tech",+All!N492,IF(+All!$H492="Georgia Tech",+All!N492,0))</f>
        <v>Virginia</v>
      </c>
      <c r="O68" s="462">
        <f>IF(+All!$F492="Georgia Tech",+All!O492,IF(+All!$H492="Georgia Tech",+All!O492,0))</f>
        <v>16</v>
      </c>
      <c r="P68" s="462" t="str">
        <f>IF(+All!$F492="Georgia Tech",+All!P492,IF(+All!$H492="Georgia Tech",+All!P492,0))</f>
        <v>Georgia Tech</v>
      </c>
      <c r="Q68" s="461">
        <f>IF(+All!$F492="Georgia Tech",+All!Q492,IF(+All!$H492="Georgia Tech",+All!Q492,0))</f>
        <v>9</v>
      </c>
      <c r="R68" s="460" t="str">
        <f>IF(+All!$F492="Georgia Tech",+All!R492,IF(+All!$H492="Georgia Tech",+All!R492,0))</f>
        <v>Virginia</v>
      </c>
      <c r="S68" s="462" t="str">
        <f>IF(+All!$F492="Georgia Tech",+All!S492,IF(+All!$H492="Georgia Tech",+All!S492,0))</f>
        <v>Georgia Tech</v>
      </c>
      <c r="T68" s="460" t="str">
        <f>IF(+All!$F492="Georgia Tech",+All!T492,IF(+All!$H492="Georgia Tech",+All!T492,0))</f>
        <v>Georgia Tech</v>
      </c>
      <c r="U68" s="461" t="str">
        <f>IF(+All!$F492="Georgia Tech",+All!U492,IF(+All!$H492="Georgia Tech",+All!U492,0))</f>
        <v>L</v>
      </c>
    </row>
    <row r="69" spans="1:21" ht="15.75" customHeight="1" x14ac:dyDescent="0.8">
      <c r="A69" s="46">
        <f>IF(+All!$F554="Georgia Tech",+All!A554,IF(+All!$H554="Georgia Tech",+All!A554,0))</f>
        <v>9</v>
      </c>
      <c r="B69" s="348" t="str">
        <f>IF(+All!$F554="Georgia Tech",+All!B554,IF(+All!$H554="Georgia Tech",+All!B554,0))</f>
        <v>Sat</v>
      </c>
      <c r="C69" s="72">
        <f>IF(+All!$F554="Georgia Tech",+All!C554,IF(+All!$H554="Georgia Tech",+All!C554,0))</f>
        <v>44863</v>
      </c>
      <c r="D69" s="73">
        <f>IF(+All!$F554="Georgia Tech",+All!D554,IF(+All!$H554="Georgia Tech",+All!D554,0))</f>
        <v>0.5</v>
      </c>
      <c r="E69" s="461" t="str">
        <f>IF(+All!$F554="Georgia Tech",+All!E554,IF(+All!$H554="Georgia Tech",+All!E554,0))</f>
        <v>ACC</v>
      </c>
      <c r="F69" s="460" t="str">
        <f>IF(+All!$F554="Georgia Tech",+All!F554,IF(+All!$H554="Georgia Tech",+All!F554,0))</f>
        <v>Georgia Tech</v>
      </c>
      <c r="G69" s="462" t="str">
        <f>IF(+All!$F554="Georgia Tech",+All!G554,IF(+All!$H554="Georgia Tech",+All!G554,0))</f>
        <v>ACC</v>
      </c>
      <c r="H69" s="462" t="str">
        <f>IF(+All!$F554="Georgia Tech",+All!H554,IF(+All!$H554="Georgia Tech",+All!H554,0))</f>
        <v>Florida State</v>
      </c>
      <c r="I69" s="461" t="str">
        <f>IF(+All!$F554="Georgia Tech",+All!I554,IF(+All!$H554="Georgia Tech",+All!I554,0))</f>
        <v>ACC</v>
      </c>
      <c r="J69" s="460" t="str">
        <f>IF(+All!$F554="Georgia Tech",+All!J554,IF(+All!$H554="Georgia Tech",+All!J554,0))</f>
        <v>Florida State</v>
      </c>
      <c r="K69" s="461" t="str">
        <f>IF(+All!$F554="Georgia Tech",+All!K554,IF(+All!$H554="Georgia Tech",+All!K554,0))</f>
        <v>Georgia Tech</v>
      </c>
      <c r="L69" s="60">
        <f>IF(+All!$F554="Georgia Tech",+All!L554,IF(+All!$H554="Georgia Tech",+All!L554,0))</f>
        <v>23</v>
      </c>
      <c r="M69" s="61">
        <f>IF(+All!$F554="Georgia Tech",+All!M554,IF(+All!$H554="Georgia Tech",+All!M554,0))</f>
        <v>48</v>
      </c>
      <c r="N69" s="460" t="str">
        <f>IF(+All!$F554="Georgia Tech",+All!N554,IF(+All!$H554="Georgia Tech",+All!N554,0))</f>
        <v>Florida State</v>
      </c>
      <c r="O69" s="462">
        <f>IF(+All!$F554="Georgia Tech",+All!O554,IF(+All!$H554="Georgia Tech",+All!O554,0))</f>
        <v>41</v>
      </c>
      <c r="P69" s="462" t="str">
        <f>IF(+All!$F554="Georgia Tech",+All!P554,IF(+All!$H554="Georgia Tech",+All!P554,0))</f>
        <v>Georgia Tech</v>
      </c>
      <c r="Q69" s="461">
        <f>IF(+All!$F554="Georgia Tech",+All!Q554,IF(+All!$H554="Georgia Tech",+All!Q554,0))</f>
        <v>26</v>
      </c>
      <c r="R69" s="460" t="str">
        <f>IF(+All!$F554="Georgia Tech",+All!R554,IF(+All!$H554="Georgia Tech",+All!R554,0))</f>
        <v>Georgia Tech</v>
      </c>
      <c r="S69" s="462" t="str">
        <f>IF(+All!$F554="Georgia Tech",+All!S554,IF(+All!$H554="Georgia Tech",+All!S554,0))</f>
        <v>Florida State</v>
      </c>
      <c r="T69" s="460" t="str">
        <f>IF(+All!$F554="Georgia Tech",+All!T554,IF(+All!$H554="Georgia Tech",+All!T554,0))</f>
        <v>Florida State</v>
      </c>
      <c r="U69" s="461" t="str">
        <f>IF(+All!$F554="Georgia Tech",+All!U554,IF(+All!$H554="Georgia Tech",+All!U554,0))</f>
        <v>L</v>
      </c>
    </row>
    <row r="70" spans="1:21" ht="15.75" customHeight="1" x14ac:dyDescent="0.8">
      <c r="A70" s="46">
        <f>IF(+All!$F612="Georgia Tech",+All!A612,IF(+All!$H612="Georgia Tech",+All!A612,0))</f>
        <v>10</v>
      </c>
      <c r="B70" s="348" t="str">
        <f>IF(+All!$F612="Georgia Tech",+All!B612,IF(+All!$H612="Georgia Tech",+All!B612,0))</f>
        <v>Sat</v>
      </c>
      <c r="C70" s="72">
        <f>IF(+All!$F612="Georgia Tech",+All!C612,IF(+All!$H612="Georgia Tech",+All!C612,0))</f>
        <v>44870</v>
      </c>
      <c r="D70" s="73">
        <f>IF(+All!$F612="Georgia Tech",+All!D612,IF(+All!$H612="Georgia Tech",+All!D612,0))</f>
        <v>0.5</v>
      </c>
      <c r="E70" s="461" t="str">
        <f>IF(+All!$F612="Georgia Tech",+All!E612,IF(+All!$H612="Georgia Tech",+All!E612,0))</f>
        <v>espn3</v>
      </c>
      <c r="F70" s="460" t="str">
        <f>IF(+All!$F612="Georgia Tech",+All!F612,IF(+All!$H612="Georgia Tech",+All!F612,0))</f>
        <v>Georgia Tech</v>
      </c>
      <c r="G70" s="462" t="str">
        <f>IF(+All!$F612="Georgia Tech",+All!G612,IF(+All!$H612="Georgia Tech",+All!G612,0))</f>
        <v>ACC</v>
      </c>
      <c r="H70" s="462" t="str">
        <f>IF(+All!$F612="Georgia Tech",+All!H612,IF(+All!$H612="Georgia Tech",+All!H612,0))</f>
        <v>Virginia Tech</v>
      </c>
      <c r="I70" s="461" t="str">
        <f>IF(+All!$F612="Georgia Tech",+All!I612,IF(+All!$H612="Georgia Tech",+All!I612,0))</f>
        <v>ACC</v>
      </c>
      <c r="J70" s="460" t="str">
        <f>IF(+All!$F612="Georgia Tech",+All!J612,IF(+All!$H612="Georgia Tech",+All!J612,0))</f>
        <v>Virginia Tech</v>
      </c>
      <c r="K70" s="461" t="str">
        <f>IF(+All!$F612="Georgia Tech",+All!K612,IF(+All!$H612="Georgia Tech",+All!K612,0))</f>
        <v>Georgia Tech</v>
      </c>
      <c r="L70" s="60">
        <f>IF(+All!$F612="Georgia Tech",+All!L612,IF(+All!$H612="Georgia Tech",+All!L612,0))</f>
        <v>3</v>
      </c>
      <c r="M70" s="61">
        <f>IF(+All!$F612="Georgia Tech",+All!M612,IF(+All!$H612="Georgia Tech",+All!M612,0))</f>
        <v>40.5</v>
      </c>
      <c r="N70" s="460" t="str">
        <f>IF(+All!$F612="Georgia Tech",+All!N612,IF(+All!$H612="Georgia Tech",+All!N612,0))</f>
        <v>Georgia Tech</v>
      </c>
      <c r="O70" s="462">
        <f>IF(+All!$F612="Georgia Tech",+All!O612,IF(+All!$H612="Georgia Tech",+All!O612,0))</f>
        <v>28</v>
      </c>
      <c r="P70" s="462" t="str">
        <f>IF(+All!$F612="Georgia Tech",+All!P612,IF(+All!$H612="Georgia Tech",+All!P612,0))</f>
        <v>Virginia Tech</v>
      </c>
      <c r="Q70" s="461">
        <f>IF(+All!$F612="Georgia Tech",+All!Q612,IF(+All!$H612="Georgia Tech",+All!Q612,0))</f>
        <v>27</v>
      </c>
      <c r="R70" s="460" t="str">
        <f>IF(+All!$F612="Georgia Tech",+All!R612,IF(+All!$H612="Georgia Tech",+All!R612,0))</f>
        <v>Georgia Tech</v>
      </c>
      <c r="S70" s="462" t="str">
        <f>IF(+All!$F612="Georgia Tech",+All!S612,IF(+All!$H612="Georgia Tech",+All!S612,0))</f>
        <v>Virginia Tech</v>
      </c>
      <c r="T70" s="460" t="str">
        <f>IF(+All!$F612="Georgia Tech",+All!T612,IF(+All!$H612="Georgia Tech",+All!T612,0))</f>
        <v>Virginia Tech</v>
      </c>
      <c r="U70" s="461" t="str">
        <f>IF(+All!$F612="Georgia Tech",+All!U612,IF(+All!$H612="Georgia Tech",+All!U612,0))</f>
        <v>L</v>
      </c>
    </row>
    <row r="71" spans="1:21" ht="15.75" customHeight="1" x14ac:dyDescent="0.8">
      <c r="A71" s="46">
        <f>IF(+All!$F670="Georgia Tech",+All!A670,IF(+All!$H670="Georgia Tech",+All!A670,0))</f>
        <v>11</v>
      </c>
      <c r="B71" s="348" t="str">
        <f>IF(+All!$F670="Georgia Tech",+All!B670,IF(+All!$H670="Georgia Tech",+All!B670,0))</f>
        <v>Sat</v>
      </c>
      <c r="C71" s="72">
        <f>IF(+All!$F670="Georgia Tech",+All!C670,IF(+All!$H670="Georgia Tech",+All!C670,0))</f>
        <v>44877</v>
      </c>
      <c r="D71" s="73">
        <f>IF(+All!$F670="Georgia Tech",+All!D670,IF(+All!$H670="Georgia Tech",+All!D670,0))</f>
        <v>0.64583333333333337</v>
      </c>
      <c r="E71" s="461" t="str">
        <f>IF(+All!$F670="Georgia Tech",+All!E670,IF(+All!$H670="Georgia Tech",+All!E670,0))</f>
        <v>espn3</v>
      </c>
      <c r="F71" s="460" t="str">
        <f>IF(+All!$F670="Georgia Tech",+All!F670,IF(+All!$H670="Georgia Tech",+All!F670,0))</f>
        <v>Miami (FL)</v>
      </c>
      <c r="G71" s="462" t="str">
        <f>IF(+All!$F670="Georgia Tech",+All!G670,IF(+All!$H670="Georgia Tech",+All!G670,0))</f>
        <v>ACC</v>
      </c>
      <c r="H71" s="462" t="str">
        <f>IF(+All!$F670="Georgia Tech",+All!H670,IF(+All!$H670="Georgia Tech",+All!H670,0))</f>
        <v>Georgia Tech</v>
      </c>
      <c r="I71" s="461" t="str">
        <f>IF(+All!$F670="Georgia Tech",+All!I670,IF(+All!$H670="Georgia Tech",+All!I670,0))</f>
        <v>ACC</v>
      </c>
      <c r="J71" s="460" t="str">
        <f>IF(+All!$F670="Georgia Tech",+All!J670,IF(+All!$H670="Georgia Tech",+All!J670,0))</f>
        <v>Georgia Tech</v>
      </c>
      <c r="K71" s="461" t="str">
        <f>IF(+All!$F670="Georgia Tech",+All!K670,IF(+All!$H670="Georgia Tech",+All!K670,0))</f>
        <v>Miami (FL)</v>
      </c>
      <c r="L71" s="60">
        <f>IF(+All!$F670="Georgia Tech",+All!L670,IF(+All!$H670="Georgia Tech",+All!L670,0))</f>
        <v>0</v>
      </c>
      <c r="M71" s="61">
        <f>IF(+All!$F670="Georgia Tech",+All!M670,IF(+All!$H670="Georgia Tech",+All!M670,0))</f>
        <v>44</v>
      </c>
      <c r="N71" s="460" t="str">
        <f>IF(+All!$F670="Georgia Tech",+All!N670,IF(+All!$H670="Georgia Tech",+All!N670,0))</f>
        <v>Miami (FL)</v>
      </c>
      <c r="O71" s="462">
        <f>IF(+All!$F670="Georgia Tech",+All!O670,IF(+All!$H670="Georgia Tech",+All!O670,0))</f>
        <v>35</v>
      </c>
      <c r="P71" s="462" t="str">
        <f>IF(+All!$F670="Georgia Tech",+All!P670,IF(+All!$H670="Georgia Tech",+All!P670,0))</f>
        <v>Georgia Tech</v>
      </c>
      <c r="Q71" s="461">
        <f>IF(+All!$F670="Georgia Tech",+All!Q670,IF(+All!$H670="Georgia Tech",+All!Q670,0))</f>
        <v>14</v>
      </c>
      <c r="R71" s="460" t="str">
        <f>IF(+All!$F670="Georgia Tech",+All!R670,IF(+All!$H670="Georgia Tech",+All!R670,0))</f>
        <v>Miami (FL)</v>
      </c>
      <c r="S71" s="462" t="str">
        <f>IF(+All!$F670="Georgia Tech",+All!S670,IF(+All!$H670="Georgia Tech",+All!S670,0))</f>
        <v>Georgia Tech</v>
      </c>
      <c r="T71" s="460" t="str">
        <f>IF(+All!$F670="Georgia Tech",+All!T670,IF(+All!$H670="Georgia Tech",+All!T670,0))</f>
        <v>Georgia Tech</v>
      </c>
      <c r="U71" s="461" t="str">
        <f>IF(+All!$F670="Georgia Tech",+All!U670,IF(+All!$H670="Georgia Tech",+All!U670,0))</f>
        <v>L</v>
      </c>
    </row>
    <row r="72" spans="1:21" ht="15.75" customHeight="1" x14ac:dyDescent="0.8">
      <c r="A72" s="46">
        <f>IF(+All!$F733="Georgia Tech",+All!A733,IF(+All!$H733="Georgia Tech",+All!A733,0))</f>
        <v>12</v>
      </c>
      <c r="B72" s="348" t="str">
        <f>IF(+All!$F733="Georgia Tech",+All!B733,IF(+All!$H733="Georgia Tech",+All!B733,0))</f>
        <v>Sat</v>
      </c>
      <c r="C72" s="72">
        <f>IF(+All!$F733="Georgia Tech",+All!C733,IF(+All!$H733="Georgia Tech",+All!C733,0))</f>
        <v>44884</v>
      </c>
      <c r="D72" s="73">
        <f>IF(+All!$F733="Georgia Tech",+All!D733,IF(+All!$H733="Georgia Tech",+All!D733,0))</f>
        <v>0.72916666666666663</v>
      </c>
      <c r="E72" s="461" t="str">
        <f>IF(+All!$F733="Georgia Tech",+All!E733,IF(+All!$H733="Georgia Tech",+All!E733,0))</f>
        <v>ESPN2</v>
      </c>
      <c r="F72" s="460" t="str">
        <f>IF(+All!$F733="Georgia Tech",+All!F733,IF(+All!$H733="Georgia Tech",+All!F733,0))</f>
        <v>Georgia Tech</v>
      </c>
      <c r="G72" s="462" t="str">
        <f>IF(+All!$F733="Georgia Tech",+All!G733,IF(+All!$H733="Georgia Tech",+All!G733,0))</f>
        <v>ACC</v>
      </c>
      <c r="H72" s="462" t="str">
        <f>IF(+All!$F733="Georgia Tech",+All!H733,IF(+All!$H733="Georgia Tech",+All!H733,0))</f>
        <v>North Carolina</v>
      </c>
      <c r="I72" s="461" t="str">
        <f>IF(+All!$F733="Georgia Tech",+All!I733,IF(+All!$H733="Georgia Tech",+All!I733,0))</f>
        <v>ACC</v>
      </c>
      <c r="J72" s="460" t="str">
        <f>IF(+All!$F733="Georgia Tech",+All!J733,IF(+All!$H733="Georgia Tech",+All!J733,0))</f>
        <v>North Carolina</v>
      </c>
      <c r="K72" s="461" t="str">
        <f>IF(+All!$F733="Georgia Tech",+All!K733,IF(+All!$H733="Georgia Tech",+All!K733,0))</f>
        <v>Georgia Tech</v>
      </c>
      <c r="L72" s="60">
        <f>IF(+All!$F733="Georgia Tech",+All!L733,IF(+All!$H733="Georgia Tech",+All!L733,0))</f>
        <v>21</v>
      </c>
      <c r="M72" s="61">
        <f>IF(+All!$F733="Georgia Tech",+All!M733,IF(+All!$H733="Georgia Tech",+All!M733,0))</f>
        <v>62.5</v>
      </c>
      <c r="N72" s="460" t="str">
        <f>IF(+All!$F733="Georgia Tech",+All!N733,IF(+All!$H733="Georgia Tech",+All!N733,0))</f>
        <v>Georgia Tech</v>
      </c>
      <c r="O72" s="462">
        <f>IF(+All!$F733="Georgia Tech",+All!O733,IF(+All!$H733="Georgia Tech",+All!O733,0))</f>
        <v>21</v>
      </c>
      <c r="P72" s="462" t="str">
        <f>IF(+All!$F733="Georgia Tech",+All!P733,IF(+All!$H733="Georgia Tech",+All!P733,0))</f>
        <v>North Carolina</v>
      </c>
      <c r="Q72" s="461">
        <f>IF(+All!$F733="Georgia Tech",+All!Q733,IF(+All!$H733="Georgia Tech",+All!Q733,0))</f>
        <v>17</v>
      </c>
      <c r="R72" s="460" t="str">
        <f>IF(+All!$F733="Georgia Tech",+All!R733,IF(+All!$H733="Georgia Tech",+All!R733,0))</f>
        <v>Georgia Tech</v>
      </c>
      <c r="S72" s="462" t="str">
        <f>IF(+All!$F733="Georgia Tech",+All!S733,IF(+All!$H733="Georgia Tech",+All!S733,0))</f>
        <v>North Carolina</v>
      </c>
      <c r="T72" s="460" t="str">
        <f>IF(+All!$F733="Georgia Tech",+All!T733,IF(+All!$H733="Georgia Tech",+All!T733,0))</f>
        <v>Georgia Tech</v>
      </c>
      <c r="U72" s="461" t="str">
        <f>IF(+All!$F733="Georgia Tech",+All!U733,IF(+All!$H733="Georgia Tech",+All!U733,0))</f>
        <v>W</v>
      </c>
    </row>
    <row r="73" spans="1:21" ht="15.75" customHeight="1" x14ac:dyDescent="0.8">
      <c r="A73" s="46">
        <f>IF(+All!$F845="Georgia Tech",+All!A845,IF(+All!$H845="Georgia Tech",+All!A845,0))</f>
        <v>13</v>
      </c>
      <c r="B73" s="348" t="str">
        <f>IF(+All!$F845="Georgia Tech",+All!B845,IF(+All!$H845="Georgia Tech",+All!B845,0))</f>
        <v>Sat</v>
      </c>
      <c r="C73" s="72">
        <f>IF(+All!$F845="Georgia Tech",+All!C845,IF(+All!$H845="Georgia Tech",+All!C845,0))</f>
        <v>44891</v>
      </c>
      <c r="D73" s="73">
        <f>IF(+All!$F845="Georgia Tech",+All!D845,IF(+All!$H845="Georgia Tech",+All!D845,0))</f>
        <v>0.5</v>
      </c>
      <c r="E73" s="461" t="str">
        <f>IF(+All!$F845="Georgia Tech",+All!E845,IF(+All!$H845="Georgia Tech",+All!E845,0))</f>
        <v>ESPN</v>
      </c>
      <c r="F73" s="460" t="str">
        <f>IF(+All!$F845="Georgia Tech",+All!F845,IF(+All!$H845="Georgia Tech",+All!F845,0))</f>
        <v>Georgia Tech</v>
      </c>
      <c r="G73" s="462" t="str">
        <f>IF(+All!$F845="Georgia Tech",+All!G845,IF(+All!$H845="Georgia Tech",+All!G845,0))</f>
        <v>ACC</v>
      </c>
      <c r="H73" s="462" t="str">
        <f>IF(+All!$F845="Georgia Tech",+All!H845,IF(+All!$H845="Georgia Tech",+All!H845,0))</f>
        <v>Georgia</v>
      </c>
      <c r="I73" s="461" t="str">
        <f>IF(+All!$F845="Georgia Tech",+All!I845,IF(+All!$H845="Georgia Tech",+All!I845,0))</f>
        <v>SEC</v>
      </c>
      <c r="J73" s="460" t="str">
        <f>IF(+All!$F845="Georgia Tech",+All!J845,IF(+All!$H845="Georgia Tech",+All!J845,0))</f>
        <v>Georgia</v>
      </c>
      <c r="K73" s="461" t="str">
        <f>IF(+All!$F845="Georgia Tech",+All!K845,IF(+All!$H845="Georgia Tech",+All!K845,0))</f>
        <v>Georgia Tech</v>
      </c>
      <c r="L73" s="60">
        <f>IF(+All!$F845="Georgia Tech",+All!L845,IF(+All!$H845="Georgia Tech",+All!L845,0))</f>
        <v>36</v>
      </c>
      <c r="M73" s="61">
        <f>IF(+All!$F845="Georgia Tech",+All!M845,IF(+All!$H845="Georgia Tech",+All!M845,0))</f>
        <v>49</v>
      </c>
      <c r="N73" s="460" t="str">
        <f>IF(+All!$F845="Georgia Tech",+All!N845,IF(+All!$H845="Georgia Tech",+All!N845,0))</f>
        <v>Georgia</v>
      </c>
      <c r="O73" s="462">
        <f>IF(+All!$F845="Georgia Tech",+All!O845,IF(+All!$H845="Georgia Tech",+All!O845,0))</f>
        <v>37</v>
      </c>
      <c r="P73" s="462" t="str">
        <f>IF(+All!$F845="Georgia Tech",+All!P845,IF(+All!$H845="Georgia Tech",+All!P845,0))</f>
        <v>Georgia Tech</v>
      </c>
      <c r="Q73" s="461">
        <f>IF(+All!$F845="Georgia Tech",+All!Q845,IF(+All!$H845="Georgia Tech",+All!Q845,0))</f>
        <v>14</v>
      </c>
      <c r="R73" s="460" t="str">
        <f>IF(+All!$F845="Georgia Tech",+All!R845,IF(+All!$H845="Georgia Tech",+All!R845,0))</f>
        <v>Georgia Tech</v>
      </c>
      <c r="S73" s="462" t="str">
        <f>IF(+All!$F845="Georgia Tech",+All!S845,IF(+All!$H845="Georgia Tech",+All!S845,0))</f>
        <v>Georgia</v>
      </c>
      <c r="T73" s="460" t="str">
        <f>IF(+All!$F845="Georgia Tech",+All!T845,IF(+All!$H845="Georgia Tech",+All!T845,0))</f>
        <v>Georgia Tech</v>
      </c>
      <c r="U73" s="461" t="str">
        <f>IF(+All!$F845="Georgia Tech",+All!U845,IF(+All!$H845="Georgia Tech",+All!U845,0))</f>
        <v>W</v>
      </c>
    </row>
    <row r="74" spans="1:21" ht="15.9" customHeight="1" x14ac:dyDescent="0.8">
      <c r="A74" s="38"/>
      <c r="B74" s="39"/>
      <c r="C74" s="40"/>
      <c r="D74" s="41"/>
      <c r="E74" s="463"/>
      <c r="F74" s="897" t="str">
        <f>F76</f>
        <v>Louisville</v>
      </c>
      <c r="G74" s="901"/>
      <c r="H74" s="901"/>
      <c r="I74" s="902"/>
      <c r="J74" s="459"/>
      <c r="K74" s="463"/>
      <c r="L74" s="44"/>
      <c r="M74" s="45"/>
      <c r="N74" s="459"/>
      <c r="O74" s="5"/>
      <c r="P74" s="5"/>
      <c r="Q74" s="463"/>
      <c r="R74" s="459"/>
      <c r="S74" s="5"/>
      <c r="T74" s="459"/>
      <c r="U74" s="463"/>
    </row>
    <row r="75" spans="1:21" ht="15.75" customHeight="1" x14ac:dyDescent="0.8">
      <c r="A75" s="46">
        <f>IF(+All!$F89="Louisville",+All!A89,IF(+All!$H89="Louisville",+All!A89,0))</f>
        <v>1</v>
      </c>
      <c r="B75" s="348" t="str">
        <f>IF(+All!$F89="Louisville",+All!B89,IF(+All!$H89="Louisville",+All!B89,0))</f>
        <v>Sat</v>
      </c>
      <c r="C75" s="72">
        <f>IF(+All!$F89="Louisville",+All!C89,IF(+All!$H89="Louisville",+All!C89,0))</f>
        <v>44807</v>
      </c>
      <c r="D75" s="73">
        <f>IF(+All!$F89="Louisville",+All!D89,IF(+All!$H89="Louisville",+All!D89,0))</f>
        <v>0.83333333333333337</v>
      </c>
      <c r="E75" s="461" t="str">
        <f>IF(+All!$F89="Louisville",+All!E89,IF(+All!$H89="Louisville",+All!E89,0))</f>
        <v>ACC</v>
      </c>
      <c r="F75" s="460" t="str">
        <f>IF(+All!$F89="Louisville",+All!F89,IF(+All!$H89="Louisville",+All!F89,0))</f>
        <v>Louisville</v>
      </c>
      <c r="G75" s="462" t="str">
        <f>IF(+All!$F89="Louisville",+All!G89,IF(+All!$H89="Louisville",+All!G89,0))</f>
        <v>ACC</v>
      </c>
      <c r="H75" s="462" t="str">
        <f>IF(+All!$F89="Louisville",+All!H89,IF(+All!$H89="Louisville",+All!H89,0))</f>
        <v>Syracuse</v>
      </c>
      <c r="I75" s="461" t="str">
        <f>IF(+All!$F89="Louisville",+All!I89,IF(+All!$H89="Louisville",+All!I89,0))</f>
        <v>ACC</v>
      </c>
      <c r="J75" s="460" t="str">
        <f>IF(+All!$F89="Louisville",+All!J89,IF(+All!$H89="Louisville",+All!J89,0))</f>
        <v>Louisville</v>
      </c>
      <c r="K75" s="461" t="str">
        <f>IF(+All!$F89="Louisville",+All!K89,IF(+All!$H89="Louisville",+All!K89,0))</f>
        <v>Syracuse</v>
      </c>
      <c r="L75" s="60">
        <f>IF(+All!$F89="Louisville",+All!L89,IF(+All!$H89="Louisville",+All!L89,0))</f>
        <v>5</v>
      </c>
      <c r="M75" s="61">
        <f>IF(+All!$F89="Louisville",+All!M89,IF(+All!$H89="Louisville",+All!M89,0))</f>
        <v>56.5</v>
      </c>
      <c r="N75" s="460" t="str">
        <f>IF(+All!$F89="Louisville",+All!N89,IF(+All!$H89="Louisville",+All!N89,0))</f>
        <v>Syracuse</v>
      </c>
      <c r="O75" s="462">
        <f>IF(+All!$F89="Louisville",+All!O89,IF(+All!$H89="Louisville",+All!O89,0))</f>
        <v>31</v>
      </c>
      <c r="P75" s="462" t="str">
        <f>IF(+All!$F89="Louisville",+All!P89,IF(+All!$H89="Louisville",+All!P89,0))</f>
        <v>Louisville</v>
      </c>
      <c r="Q75" s="461">
        <f>IF(+All!$F89="Louisville",+All!Q89,IF(+All!$H89="Louisville",+All!Q89,0))</f>
        <v>7</v>
      </c>
      <c r="R75" s="460" t="str">
        <f>IF(+All!$F89="Louisville",+All!R89,IF(+All!$H89="Louisville",+All!R89,0))</f>
        <v>Syracuse</v>
      </c>
      <c r="S75" s="462" t="str">
        <f>IF(+All!$F89="Louisville",+All!S89,IF(+All!$H89="Louisville",+All!S89,0))</f>
        <v>Louisville</v>
      </c>
      <c r="T75" s="460" t="str">
        <f>IF(+All!$F89="Louisville",+All!T89,IF(+All!$H89="Louisville",+All!T89,0))</f>
        <v>Louisville</v>
      </c>
      <c r="U75" s="461" t="str">
        <f>IF(+All!$F89="Louisville",+All!U89,IF(+All!$H89="Louisville",+All!U89,0))</f>
        <v>L</v>
      </c>
    </row>
    <row r="76" spans="1:21" ht="15.75" customHeight="1" x14ac:dyDescent="0.8">
      <c r="A76" s="46">
        <f>IF(+All!$F99="Louisville",+All!A99,IF(+All!$H99="Louisville",+All!A99,0))</f>
        <v>2</v>
      </c>
      <c r="B76" s="348" t="str">
        <f>IF(+All!$F99="Louisville",+All!B99,IF(+All!$H99="Louisville",+All!B99,0))</f>
        <v>Fri</v>
      </c>
      <c r="C76" s="72">
        <f>IF(+All!$F99="Louisville",+All!C99,IF(+All!$H99="Louisville",+All!C99,0))</f>
        <v>44813</v>
      </c>
      <c r="D76" s="73">
        <f>IF(+All!$F99="Louisville",+All!D99,IF(+All!$H99="Louisville",+All!D99,0))</f>
        <v>0.8125</v>
      </c>
      <c r="E76" s="461" t="str">
        <f>IF(+All!$F99="Louisville",+All!E99,IF(+All!$H99="Louisville",+All!E99,0))</f>
        <v>ESPN2</v>
      </c>
      <c r="F76" s="460" t="str">
        <f>IF(+All!$F99="Louisville",+All!F99,IF(+All!$H99="Louisville",+All!F99,0))</f>
        <v>Louisville</v>
      </c>
      <c r="G76" s="462" t="str">
        <f>IF(+All!$F99="Louisville",+All!G99,IF(+All!$H99="Louisville",+All!G99,0))</f>
        <v>ACC</v>
      </c>
      <c r="H76" s="462" t="str">
        <f>IF(+All!$F99="Louisville",+All!H99,IF(+All!$H99="Louisville",+All!H99,0))</f>
        <v>Central Florida</v>
      </c>
      <c r="I76" s="461" t="str">
        <f>IF(+All!$F99="Louisville",+All!I99,IF(+All!$H99="Louisville",+All!I99,0))</f>
        <v>AAC</v>
      </c>
      <c r="J76" s="460" t="str">
        <f>IF(+All!$F99="Louisville",+All!J99,IF(+All!$H99="Louisville",+All!J99,0))</f>
        <v>Central Florida</v>
      </c>
      <c r="K76" s="461" t="str">
        <f>IF(+All!$F99="Louisville",+All!K99,IF(+All!$H99="Louisville",+All!K99,0))</f>
        <v>Louisville</v>
      </c>
      <c r="L76" s="60">
        <f>IF(+All!$F99="Louisville",+All!L99,IF(+All!$H99="Louisville",+All!L99,0))</f>
        <v>6.5</v>
      </c>
      <c r="M76" s="61">
        <f>IF(+All!$F99="Louisville",+All!M99,IF(+All!$H99="Louisville",+All!M99,0))</f>
        <v>61.5</v>
      </c>
      <c r="N76" s="460" t="str">
        <f>IF(+All!$F99="Louisville",+All!N99,IF(+All!$H99="Louisville",+All!N99,0))</f>
        <v>Louisville</v>
      </c>
      <c r="O76" s="462">
        <f>IF(+All!$F99="Louisville",+All!O99,IF(+All!$H99="Louisville",+All!O99,0))</f>
        <v>20</v>
      </c>
      <c r="P76" s="462" t="str">
        <f>IF(+All!$F99="Louisville",+All!P99,IF(+All!$H99="Louisville",+All!P99,0))</f>
        <v>Central Florida</v>
      </c>
      <c r="Q76" s="461">
        <f>IF(+All!$F99="Louisville",+All!Q99,IF(+All!$H99="Louisville",+All!Q99,0))</f>
        <v>14</v>
      </c>
      <c r="R76" s="460" t="str">
        <f>IF(+All!$F99="Louisville",+All!R99,IF(+All!$H99="Louisville",+All!R99,0))</f>
        <v>Louisville</v>
      </c>
      <c r="S76" s="462" t="str">
        <f>IF(+All!$F99="Louisville",+All!S99,IF(+All!$H99="Louisville",+All!S99,0))</f>
        <v>Central Florida</v>
      </c>
      <c r="T76" s="460" t="str">
        <f>IF(+All!$F99="Louisville",+All!T99,IF(+All!$H99="Louisville",+All!T99,0))</f>
        <v>Central Florida</v>
      </c>
      <c r="U76" s="461" t="str">
        <f>IF(+All!$F99="Louisville",+All!U99,IF(+All!$H99="Louisville",+All!U99,0))</f>
        <v>L</v>
      </c>
    </row>
    <row r="77" spans="1:21" ht="15.75" customHeight="1" x14ac:dyDescent="0.8">
      <c r="A77" s="46">
        <f>IF(+All!$F180="Louisville",+All!A180,IF(+All!$H180="Louisville",+All!A180,0))</f>
        <v>3</v>
      </c>
      <c r="B77" s="348" t="str">
        <f>IF(+All!$F180="Louisville",+All!B180,IF(+All!$H180="Louisville",+All!B180,0))</f>
        <v>Fri</v>
      </c>
      <c r="C77" s="72">
        <f>IF(+All!$F180="Louisville",+All!C180,IF(+All!$H180="Louisville",+All!C180,0))</f>
        <v>44820</v>
      </c>
      <c r="D77" s="73">
        <f>IF(+All!$F180="Louisville",+All!D180,IF(+All!$H180="Louisville",+All!D180,0))</f>
        <v>0.8125</v>
      </c>
      <c r="E77" s="461" t="str">
        <f>IF(+All!$F180="Louisville",+All!E180,IF(+All!$H180="Louisville",+All!E180,0))</f>
        <v>ESPN</v>
      </c>
      <c r="F77" s="460" t="str">
        <f>IF(+All!$F180="Louisville",+All!F180,IF(+All!$H180="Louisville",+All!F180,0))</f>
        <v>Florida State</v>
      </c>
      <c r="G77" s="462" t="str">
        <f>IF(+All!$F180="Louisville",+All!G180,IF(+All!$H180="Louisville",+All!G180,0))</f>
        <v>ACC</v>
      </c>
      <c r="H77" s="462" t="str">
        <f>IF(+All!$F180="Louisville",+All!H180,IF(+All!$H180="Louisville",+All!H180,0))</f>
        <v>Louisville</v>
      </c>
      <c r="I77" s="461" t="str">
        <f>IF(+All!$F180="Louisville",+All!I180,IF(+All!$H180="Louisville",+All!I180,0))</f>
        <v>ACC</v>
      </c>
      <c r="J77" s="460" t="str">
        <f>IF(+All!$F180="Louisville",+All!J180,IF(+All!$H180="Louisville",+All!J180,0))</f>
        <v>Florida State</v>
      </c>
      <c r="K77" s="461" t="str">
        <f>IF(+All!$F180="Louisville",+All!K180,IF(+All!$H180="Louisville",+All!K180,0))</f>
        <v>Louisville</v>
      </c>
      <c r="L77" s="60">
        <f>IF(+All!$F180="Louisville",+All!L180,IF(+All!$H180="Louisville",+All!L180,0))</f>
        <v>2.5</v>
      </c>
      <c r="M77" s="61">
        <f>IF(+All!$F180="Louisville",+All!M180,IF(+All!$H180="Louisville",+All!M180,0))</f>
        <v>57</v>
      </c>
      <c r="N77" s="460" t="str">
        <f>IF(+All!$F180="Louisville",+All!N180,IF(+All!$H180="Louisville",+All!N180,0))</f>
        <v>Florida State</v>
      </c>
      <c r="O77" s="462">
        <f>IF(+All!$F180="Louisville",+All!O180,IF(+All!$H180="Louisville",+All!O180,0))</f>
        <v>35</v>
      </c>
      <c r="P77" s="462" t="str">
        <f>IF(+All!$F180="Louisville",+All!P180,IF(+All!$H180="Louisville",+All!P180,0))</f>
        <v>Louisville</v>
      </c>
      <c r="Q77" s="461">
        <f>IF(+All!$F180="Louisville",+All!Q180,IF(+All!$H180="Louisville",+All!Q180,0))</f>
        <v>31</v>
      </c>
      <c r="R77" s="460" t="str">
        <f>IF(+All!$F180="Louisville",+All!R180,IF(+All!$H180="Louisville",+All!R180,0))</f>
        <v>Florida State</v>
      </c>
      <c r="S77" s="462" t="str">
        <f>IF(+All!$F180="Louisville",+All!S180,IF(+All!$H180="Louisville",+All!S180,0))</f>
        <v>Louisville</v>
      </c>
      <c r="T77" s="460" t="str">
        <f>IF(+All!$F180="Louisville",+All!T180,IF(+All!$H180="Louisville",+All!T180,0))</f>
        <v>Louisville</v>
      </c>
      <c r="U77" s="461" t="str">
        <f>IF(+All!$F180="Louisville",+All!U180,IF(+All!$H180="Louisville",+All!U180,0))</f>
        <v>L</v>
      </c>
    </row>
    <row r="78" spans="1:21" ht="15.75" customHeight="1" x14ac:dyDescent="0.8">
      <c r="A78" s="46">
        <f>IF(+All!$F267="Louisville",+All!A267,IF(+All!$H267="Louisville",+All!A267,0))</f>
        <v>4</v>
      </c>
      <c r="B78" s="348" t="str">
        <f>IF(+All!$F267="Louisville",+All!B267,IF(+All!$H267="Louisville",+All!B267,0))</f>
        <v>Sat</v>
      </c>
      <c r="C78" s="72">
        <f>IF(+All!$F267="Louisville",+All!C267,IF(+All!$H267="Louisville",+All!C267,0))</f>
        <v>44828</v>
      </c>
      <c r="D78" s="73">
        <f>IF(+All!$F267="Louisville",+All!D267,IF(+All!$H267="Louisville",+All!D267,0))</f>
        <v>0.5</v>
      </c>
      <c r="E78" s="461" t="str">
        <f>IF(+All!$F267="Louisville",+All!E267,IF(+All!$H267="Louisville",+All!E267,0))</f>
        <v>espn3</v>
      </c>
      <c r="F78" s="460" t="str">
        <f>IF(+All!$F267="Louisville",+All!F267,IF(+All!$H267="Louisville",+All!F267,0))</f>
        <v>South Florida</v>
      </c>
      <c r="G78" s="462" t="str">
        <f>IF(+All!$F267="Louisville",+All!G267,IF(+All!$H267="Louisville",+All!G267,0))</f>
        <v>AAC</v>
      </c>
      <c r="H78" s="462" t="str">
        <f>IF(+All!$F267="Louisville",+All!H267,IF(+All!$H267="Louisville",+All!H267,0))</f>
        <v>Louisville</v>
      </c>
      <c r="I78" s="461" t="str">
        <f>IF(+All!$F267="Louisville",+All!I267,IF(+All!$H267="Louisville",+All!I267,0))</f>
        <v>ACC</v>
      </c>
      <c r="J78" s="460" t="str">
        <f>IF(+All!$F267="Louisville",+All!J267,IF(+All!$H267="Louisville",+All!J267,0))</f>
        <v>Louisville</v>
      </c>
      <c r="K78" s="461" t="str">
        <f>IF(+All!$F267="Louisville",+All!K267,IF(+All!$H267="Louisville",+All!K267,0))</f>
        <v>South Florida</v>
      </c>
      <c r="L78" s="60">
        <f>IF(+All!$F267="Louisville",+All!L267,IF(+All!$H267="Louisville",+All!L267,0))</f>
        <v>14</v>
      </c>
      <c r="M78" s="61">
        <f>IF(+All!$F267="Louisville",+All!M267,IF(+All!$H267="Louisville",+All!M267,0))</f>
        <v>64</v>
      </c>
      <c r="N78" s="460" t="str">
        <f>IF(+All!$F267="Louisville",+All!N267,IF(+All!$H267="Louisville",+All!N267,0))</f>
        <v>Louisville</v>
      </c>
      <c r="O78" s="462">
        <f>IF(+All!$F267="Louisville",+All!O267,IF(+All!$H267="Louisville",+All!O267,0))</f>
        <v>41</v>
      </c>
      <c r="P78" s="462" t="str">
        <f>IF(+All!$F267="Louisville",+All!P267,IF(+All!$H267="Louisville",+All!P267,0))</f>
        <v>South Florida</v>
      </c>
      <c r="Q78" s="461">
        <f>IF(+All!$F267="Louisville",+All!Q267,IF(+All!$H267="Louisville",+All!Q267,0))</f>
        <v>3</v>
      </c>
      <c r="R78" s="460" t="str">
        <f>IF(+All!$F267="Louisville",+All!R267,IF(+All!$H267="Louisville",+All!R267,0))</f>
        <v>Louisville</v>
      </c>
      <c r="S78" s="462" t="str">
        <f>IF(+All!$F267="Louisville",+All!S267,IF(+All!$H267="Louisville",+All!S267,0))</f>
        <v>South Florida</v>
      </c>
      <c r="T78" s="460" t="str">
        <f>IF(+All!$F267="Louisville",+All!T267,IF(+All!$H267="Louisville",+All!T267,0))</f>
        <v>Louisville</v>
      </c>
      <c r="U78" s="461" t="str">
        <f>IF(+All!$F267="Louisville",+All!U267,IF(+All!$H267="Louisville",+All!U267,0))</f>
        <v>W</v>
      </c>
    </row>
    <row r="79" spans="1:21" ht="15.75" customHeight="1" x14ac:dyDescent="0.8">
      <c r="A79" s="46">
        <f>IF(+All!$F328="Louisville",+All!A328,IF(+All!$H328="Louisville",+All!A328,0))</f>
        <v>5</v>
      </c>
      <c r="B79" s="348" t="str">
        <f>IF(+All!$F328="Louisville",+All!B328,IF(+All!$H328="Louisville",+All!B328,0))</f>
        <v>Sat</v>
      </c>
      <c r="C79" s="72">
        <f>IF(+All!$F328="Louisville",+All!C328,IF(+All!$H328="Louisville",+All!C328,0))</f>
        <v>44835</v>
      </c>
      <c r="D79" s="73">
        <f>IF(+All!$F328="Louisville",+All!D328,IF(+All!$H328="Louisville",+All!D328,0))</f>
        <v>0.5</v>
      </c>
      <c r="E79" s="461" t="str">
        <f>IF(+All!$F328="Louisville",+All!E328,IF(+All!$H328="Louisville",+All!E328,0))</f>
        <v>ACC</v>
      </c>
      <c r="F79" s="460" t="str">
        <f>IF(+All!$F328="Louisville",+All!F328,IF(+All!$H328="Louisville",+All!F328,0))</f>
        <v>Louisville</v>
      </c>
      <c r="G79" s="462" t="str">
        <f>IF(+All!$F328="Louisville",+All!G328,IF(+All!$H328="Louisville",+All!G328,0))</f>
        <v>ACC</v>
      </c>
      <c r="H79" s="462" t="str">
        <f>IF(+All!$F328="Louisville",+All!H328,IF(+All!$H328="Louisville",+All!H328,0))</f>
        <v>Boston College</v>
      </c>
      <c r="I79" s="461" t="str">
        <f>IF(+All!$F328="Louisville",+All!I328,IF(+All!$H328="Louisville",+All!I328,0))</f>
        <v>ACC</v>
      </c>
      <c r="J79" s="460" t="str">
        <f>IF(+All!$F328="Louisville",+All!J328,IF(+All!$H328="Louisville",+All!J328,0))</f>
        <v>Louisville</v>
      </c>
      <c r="K79" s="461" t="str">
        <f>IF(+All!$F328="Louisville",+All!K328,IF(+All!$H328="Louisville",+All!K328,0))</f>
        <v>Boston College</v>
      </c>
      <c r="L79" s="60">
        <f>IF(+All!$F328="Louisville",+All!L328,IF(+All!$H328="Louisville",+All!L328,0))</f>
        <v>15.5</v>
      </c>
      <c r="M79" s="61">
        <f>IF(+All!$F328="Louisville",+All!M328,IF(+All!$H328="Louisville",+All!M328,0))</f>
        <v>51</v>
      </c>
      <c r="N79" s="460" t="str">
        <f>IF(+All!$F328="Louisville",+All!N328,IF(+All!$H328="Louisville",+All!N328,0))</f>
        <v>Boston College</v>
      </c>
      <c r="O79" s="462">
        <f>IF(+All!$F328="Louisville",+All!O328,IF(+All!$H328="Louisville",+All!O328,0))</f>
        <v>34</v>
      </c>
      <c r="P79" s="462" t="str">
        <f>IF(+All!$F328="Louisville",+All!P328,IF(+All!$H328="Louisville",+All!P328,0))</f>
        <v>Louisville</v>
      </c>
      <c r="Q79" s="461">
        <f>IF(+All!$F328="Louisville",+All!Q328,IF(+All!$H328="Louisville",+All!Q328,0))</f>
        <v>33</v>
      </c>
      <c r="R79" s="460" t="str">
        <f>IF(+All!$F328="Louisville",+All!R328,IF(+All!$H328="Louisville",+All!R328,0))</f>
        <v>Boston College</v>
      </c>
      <c r="S79" s="462" t="str">
        <f>IF(+All!$F328="Louisville",+All!S328,IF(+All!$H328="Louisville",+All!S328,0))</f>
        <v>Louisville</v>
      </c>
      <c r="T79" s="460" t="str">
        <f>IF(+All!$F328="Louisville",+All!T328,IF(+All!$H328="Louisville",+All!T328,0))</f>
        <v>Boston College</v>
      </c>
      <c r="U79" s="461" t="str">
        <f>IF(+All!$F328="Louisville",+All!U328,IF(+All!$H328="Louisville",+All!U328,0))</f>
        <v>W</v>
      </c>
    </row>
    <row r="80" spans="1:21" ht="15.75" customHeight="1" x14ac:dyDescent="0.8">
      <c r="A80" s="46">
        <f>IF(+All!$F394="Louisville",+All!A394,IF(+All!$H394="Louisville",+All!A394,0))</f>
        <v>6</v>
      </c>
      <c r="B80" s="348" t="str">
        <f>IF(+All!$F394="Louisville",+All!B394,IF(+All!$H394="Louisville",+All!B394,0))</f>
        <v>Sat</v>
      </c>
      <c r="C80" s="72">
        <f>IF(+All!$F394="Louisville",+All!C394,IF(+All!$H394="Louisville",+All!C394,0))</f>
        <v>44842</v>
      </c>
      <c r="D80" s="73">
        <f>IF(+All!$F394="Louisville",+All!D394,IF(+All!$H394="Louisville",+All!D394,0))</f>
        <v>0.5</v>
      </c>
      <c r="E80" s="461" t="str">
        <f>IF(+All!$F394="Louisville",+All!E394,IF(+All!$H394="Louisville",+All!E394,0))</f>
        <v>ACC</v>
      </c>
      <c r="F80" s="460" t="str">
        <f>IF(+All!$F394="Louisville",+All!F394,IF(+All!$H394="Louisville",+All!F394,0))</f>
        <v>Louisville</v>
      </c>
      <c r="G80" s="462" t="str">
        <f>IF(+All!$F394="Louisville",+All!G394,IF(+All!$H394="Louisville",+All!G394,0))</f>
        <v>ACC</v>
      </c>
      <c r="H80" s="462" t="str">
        <f>IF(+All!$F394="Louisville",+All!H394,IF(+All!$H394="Louisville",+All!H394,0))</f>
        <v>Virginia</v>
      </c>
      <c r="I80" s="461" t="str">
        <f>IF(+All!$F394="Louisville",+All!I394,IF(+All!$H394="Louisville",+All!I394,0))</f>
        <v>ACC</v>
      </c>
      <c r="J80" s="460" t="str">
        <f>IF(+All!$F394="Louisville",+All!J394,IF(+All!$H394="Louisville",+All!J394,0))</f>
        <v>Louisville</v>
      </c>
      <c r="K80" s="461" t="str">
        <f>IF(+All!$F394="Louisville",+All!K394,IF(+All!$H394="Louisville",+All!K394,0))</f>
        <v>Virginia</v>
      </c>
      <c r="L80" s="60">
        <f>IF(+All!$F394="Louisville",+All!L394,IF(+All!$H394="Louisville",+All!L394,0))</f>
        <v>3</v>
      </c>
      <c r="M80" s="61">
        <f>IF(+All!$F394="Louisville",+All!M394,IF(+All!$H394="Louisville",+All!M394,0))</f>
        <v>50.5</v>
      </c>
      <c r="N80" s="460" t="str">
        <f>IF(+All!$F394="Louisville",+All!N394,IF(+All!$H394="Louisville",+All!N394,0))</f>
        <v>Louisville</v>
      </c>
      <c r="O80" s="462">
        <f>IF(+All!$F394="Louisville",+All!O394,IF(+All!$H394="Louisville",+All!O394,0))</f>
        <v>34</v>
      </c>
      <c r="P80" s="462" t="str">
        <f>IF(+All!$F394="Louisville",+All!P394,IF(+All!$H394="Louisville",+All!P394,0))</f>
        <v>Virginia</v>
      </c>
      <c r="Q80" s="461">
        <f>IF(+All!$F394="Louisville",+All!Q394,IF(+All!$H394="Louisville",+All!Q394,0))</f>
        <v>17</v>
      </c>
      <c r="R80" s="460" t="str">
        <f>IF(+All!$F394="Louisville",+All!R394,IF(+All!$H394="Louisville",+All!R394,0))</f>
        <v>Louisville</v>
      </c>
      <c r="S80" s="462" t="str">
        <f>IF(+All!$F394="Louisville",+All!S394,IF(+All!$H394="Louisville",+All!S394,0))</f>
        <v>Virginia</v>
      </c>
      <c r="T80" s="460" t="str">
        <f>IF(+All!$F394="Louisville",+All!T394,IF(+All!$H394="Louisville",+All!T394,0))</f>
        <v>Virginia</v>
      </c>
      <c r="U80" s="461" t="str">
        <f>IF(+All!$F394="Louisville",+All!U394,IF(+All!$H394="Louisville",+All!U394,0))</f>
        <v>L</v>
      </c>
    </row>
    <row r="81" spans="1:21" ht="15.75" customHeight="1" x14ac:dyDescent="0.8">
      <c r="A81" s="46" t="e">
        <f>IF(+All!#REF!="Louisville",+All!#REF!,IF(+All!#REF!="Louisville",+All!#REF!,0))</f>
        <v>#REF!</v>
      </c>
      <c r="B81" s="348" t="e">
        <f>IF(+All!#REF!="Louisville",+All!#REF!,IF(+All!#REF!="Louisville",+All!#REF!,0))</f>
        <v>#REF!</v>
      </c>
      <c r="C81" s="72" t="e">
        <f>IF(+All!#REF!="Louisville",+All!#REF!,IF(+All!#REF!="Louisville",+All!#REF!,0))</f>
        <v>#REF!</v>
      </c>
      <c r="D81" s="73" t="e">
        <f>IF(+All!#REF!="Louisville",+All!#REF!,IF(+All!#REF!="Louisville",+All!#REF!,0))</f>
        <v>#REF!</v>
      </c>
      <c r="E81" s="461" t="e">
        <f>IF(+All!#REF!="Louisville",+All!#REF!,IF(+All!#REF!="Louisville",+All!#REF!,0))</f>
        <v>#REF!</v>
      </c>
      <c r="F81" s="460" t="e">
        <f>IF(+All!#REF!="Louisville",+All!#REF!,IF(+All!#REF!="Louisville",+All!#REF!,0))</f>
        <v>#REF!</v>
      </c>
      <c r="G81" s="462" t="e">
        <f>IF(+All!#REF!="Louisville",+All!#REF!,IF(+All!#REF!="Louisville",+All!#REF!,0))</f>
        <v>#REF!</v>
      </c>
      <c r="H81" s="462" t="e">
        <f>IF(+All!#REF!="Louisville",+All!#REF!,IF(+All!#REF!="Louisville",+All!#REF!,0))</f>
        <v>#REF!</v>
      </c>
      <c r="I81" s="461" t="e">
        <f>IF(+All!#REF!="Louisville",+All!#REF!,IF(+All!#REF!="Louisville",+All!#REF!,0))</f>
        <v>#REF!</v>
      </c>
      <c r="J81" s="460" t="e">
        <f>IF(+All!#REF!="Louisville",+All!#REF!,IF(+All!#REF!="Louisville",+All!#REF!,0))</f>
        <v>#REF!</v>
      </c>
      <c r="K81" s="461" t="e">
        <f>IF(+All!#REF!="Louisville",+All!#REF!,IF(+All!#REF!="Louisville",+All!#REF!,0))</f>
        <v>#REF!</v>
      </c>
      <c r="L81" s="60" t="e">
        <f>IF(+All!#REF!="Louisville",+All!#REF!,IF(+All!#REF!="Louisville",+All!#REF!,0))</f>
        <v>#REF!</v>
      </c>
      <c r="M81" s="61" t="e">
        <f>IF(+All!#REF!="Louisville",+All!#REF!,IF(+All!#REF!="Louisville",+All!#REF!,0))</f>
        <v>#REF!</v>
      </c>
      <c r="N81" s="460" t="e">
        <f>IF(+All!#REF!="Louisville",+All!#REF!,IF(+All!#REF!="Louisville",+All!#REF!,0))</f>
        <v>#REF!</v>
      </c>
      <c r="O81" s="462" t="e">
        <f>IF(+All!#REF!="Louisville",+All!#REF!,IF(+All!#REF!="Louisville",+All!#REF!,0))</f>
        <v>#REF!</v>
      </c>
      <c r="P81" s="462" t="e">
        <f>IF(+All!#REF!="Louisville",+All!#REF!,IF(+All!#REF!="Louisville",+All!#REF!,0))</f>
        <v>#REF!</v>
      </c>
      <c r="Q81" s="461" t="e">
        <f>IF(+All!#REF!="Louisville",+All!#REF!,IF(+All!#REF!="Louisville",+All!#REF!,0))</f>
        <v>#REF!</v>
      </c>
      <c r="R81" s="460" t="e">
        <f>IF(+All!#REF!="Louisville",+All!#REF!,IF(+All!#REF!="Louisville",+All!#REF!,0))</f>
        <v>#REF!</v>
      </c>
      <c r="S81" s="462" t="e">
        <f>IF(+All!#REF!="Louisville",+All!#REF!,IF(+All!#REF!="Louisville",+All!#REF!,0))</f>
        <v>#REF!</v>
      </c>
      <c r="T81" s="460" t="e">
        <f>IF(+All!#REF!="Louisville",+All!#REF!,IF(+All!#REF!="Louisville",+All!#REF!,0))</f>
        <v>#REF!</v>
      </c>
      <c r="U81" s="461" t="e">
        <f>IF(+All!#REF!="Louisville",+All!#REF!,IF(+All!#REF!="Louisville",+All!#REF!,0))</f>
        <v>#REF!</v>
      </c>
    </row>
    <row r="82" spans="1:21" ht="15.75" customHeight="1" x14ac:dyDescent="0.8">
      <c r="A82" s="46">
        <f>IF(+All!$F501="Louisville",+All!A501,IF(+All!$H501="Louisville",+All!A501,0))</f>
        <v>8</v>
      </c>
      <c r="B82" s="348" t="str">
        <f>IF(+All!$F501="Louisville",+All!B501,IF(+All!$H501="Louisville",+All!B501,0))</f>
        <v>Sat</v>
      </c>
      <c r="C82" s="72">
        <f>IF(+All!$F501="Louisville",+All!C501,IF(+All!$H501="Louisville",+All!C501,0))</f>
        <v>44856</v>
      </c>
      <c r="D82" s="73">
        <f>IF(+All!$F501="Louisville",+All!D501,IF(+All!$H501="Louisville",+All!D501,0))</f>
        <v>0.83333333333333337</v>
      </c>
      <c r="E82" s="461" t="str">
        <f>IF(+All!$F501="Louisville",+All!E501,IF(+All!$H501="Louisville",+All!E501,0))</f>
        <v>ACC</v>
      </c>
      <c r="F82" s="460" t="str">
        <f>IF(+All!$F501="Louisville",+All!F501,IF(+All!$H501="Louisville",+All!F501,0))</f>
        <v>Pittsburgh</v>
      </c>
      <c r="G82" s="462" t="str">
        <f>IF(+All!$F501="Louisville",+All!G501,IF(+All!$H501="Louisville",+All!G501,0))</f>
        <v>ACC</v>
      </c>
      <c r="H82" s="462" t="str">
        <f>IF(+All!$F501="Louisville",+All!H501,IF(+All!$H501="Louisville",+All!H501,0))</f>
        <v>Louisville</v>
      </c>
      <c r="I82" s="461" t="str">
        <f>IF(+All!$F501="Louisville",+All!I501,IF(+All!$H501="Louisville",+All!I501,0))</f>
        <v>ACC</v>
      </c>
      <c r="J82" s="460" t="str">
        <f>IF(+All!$F501="Louisville",+All!J501,IF(+All!$H501="Louisville",+All!J501,0))</f>
        <v>Louisville</v>
      </c>
      <c r="K82" s="461" t="str">
        <f>IF(+All!$F501="Louisville",+All!K501,IF(+All!$H501="Louisville",+All!K501,0))</f>
        <v>Pittsburgh</v>
      </c>
      <c r="L82" s="60">
        <f>IF(+All!$F501="Louisville",+All!L501,IF(+All!$H501="Louisville",+All!L501,0))</f>
        <v>2.5</v>
      </c>
      <c r="M82" s="61">
        <f>IF(+All!$F501="Louisville",+All!M501,IF(+All!$H501="Louisville",+All!M501,0))</f>
        <v>55</v>
      </c>
      <c r="N82" s="460" t="str">
        <f>IF(+All!$F501="Louisville",+All!N501,IF(+All!$H501="Louisville",+All!N501,0))</f>
        <v>Louisville</v>
      </c>
      <c r="O82" s="462">
        <f>IF(+All!$F501="Louisville",+All!O501,IF(+All!$H501="Louisville",+All!O501,0))</f>
        <v>24</v>
      </c>
      <c r="P82" s="462" t="str">
        <f>IF(+All!$F501="Louisville",+All!P501,IF(+All!$H501="Louisville",+All!P501,0))</f>
        <v>Pittsburgh</v>
      </c>
      <c r="Q82" s="461">
        <f>IF(+All!$F501="Louisville",+All!Q501,IF(+All!$H501="Louisville",+All!Q501,0))</f>
        <v>10</v>
      </c>
      <c r="R82" s="460" t="str">
        <f>IF(+All!$F501="Louisville",+All!R501,IF(+All!$H501="Louisville",+All!R501,0))</f>
        <v>Louisville</v>
      </c>
      <c r="S82" s="462" t="str">
        <f>IF(+All!$F501="Louisville",+All!S501,IF(+All!$H501="Louisville",+All!S501,0))</f>
        <v>Pittsburgh</v>
      </c>
      <c r="T82" s="460" t="str">
        <f>IF(+All!$F501="Louisville",+All!T501,IF(+All!$H501="Louisville",+All!T501,0))</f>
        <v>Pittsburgh</v>
      </c>
      <c r="U82" s="461" t="str">
        <f>IF(+All!$F501="Louisville",+All!U501,IF(+All!$H501="Louisville",+All!U501,0))</f>
        <v>L</v>
      </c>
    </row>
    <row r="83" spans="1:21" ht="15.75" customHeight="1" x14ac:dyDescent="0.8">
      <c r="A83" s="46">
        <f>IF(+All!$F555="Louisville",+All!A555,IF(+All!$H555="Louisville",+All!A555,0))</f>
        <v>9</v>
      </c>
      <c r="B83" s="348" t="str">
        <f>IF(+All!$F555="Louisville",+All!B555,IF(+All!$H555="Louisville",+All!B555,0))</f>
        <v>Sat</v>
      </c>
      <c r="C83" s="72">
        <f>IF(+All!$F555="Louisville",+All!C555,IF(+All!$H555="Louisville",+All!C555,0))</f>
        <v>44863</v>
      </c>
      <c r="D83" s="73">
        <f>IF(+All!$F555="Louisville",+All!D555,IF(+All!$H555="Louisville",+All!D555,0))</f>
        <v>0.64583333333333337</v>
      </c>
      <c r="E83" s="461" t="str">
        <f>IF(+All!$F555="Louisville",+All!E555,IF(+All!$H555="Louisville",+All!E555,0))</f>
        <v>ACC</v>
      </c>
      <c r="F83" s="460" t="str">
        <f>IF(+All!$F555="Louisville",+All!F555,IF(+All!$H555="Louisville",+All!F555,0))</f>
        <v>Wake Forest</v>
      </c>
      <c r="G83" s="462" t="str">
        <f>IF(+All!$F555="Louisville",+All!G555,IF(+All!$H555="Louisville",+All!G555,0))</f>
        <v>ACC</v>
      </c>
      <c r="H83" s="462" t="str">
        <f>IF(+All!$F555="Louisville",+All!H555,IF(+All!$H555="Louisville",+All!H555,0))</f>
        <v>Louisville</v>
      </c>
      <c r="I83" s="461" t="str">
        <f>IF(+All!$F555="Louisville",+All!I555,IF(+All!$H555="Louisville",+All!I555,0))</f>
        <v>ACC</v>
      </c>
      <c r="J83" s="460" t="str">
        <f>IF(+All!$F555="Louisville",+All!J555,IF(+All!$H555="Louisville",+All!J555,0))</f>
        <v>Wake Forest</v>
      </c>
      <c r="K83" s="461" t="str">
        <f>IF(+All!$F555="Louisville",+All!K555,IF(+All!$H555="Louisville",+All!K555,0))</f>
        <v>Louisville</v>
      </c>
      <c r="L83" s="60">
        <f>IF(+All!$F555="Louisville",+All!L555,IF(+All!$H555="Louisville",+All!L555,0))</f>
        <v>4</v>
      </c>
      <c r="M83" s="61">
        <f>IF(+All!$F555="Louisville",+All!M555,IF(+All!$H555="Louisville",+All!M555,0))</f>
        <v>62</v>
      </c>
      <c r="N83" s="460" t="str">
        <f>IF(+All!$F555="Louisville",+All!N555,IF(+All!$H555="Louisville",+All!N555,0))</f>
        <v>Louisville</v>
      </c>
      <c r="O83" s="462">
        <f>IF(+All!$F555="Louisville",+All!O555,IF(+All!$H555="Louisville",+All!O555,0))</f>
        <v>41</v>
      </c>
      <c r="P83" s="462" t="str">
        <f>IF(+All!$F555="Louisville",+All!P555,IF(+All!$H555="Louisville",+All!P555,0))</f>
        <v>Wake Forest</v>
      </c>
      <c r="Q83" s="461">
        <f>IF(+All!$F555="Louisville",+All!Q555,IF(+All!$H555="Louisville",+All!Q555,0))</f>
        <v>28</v>
      </c>
      <c r="R83" s="460" t="str">
        <f>IF(+All!$F555="Louisville",+All!R555,IF(+All!$H555="Louisville",+All!R555,0))</f>
        <v>Louisville</v>
      </c>
      <c r="S83" s="462" t="str">
        <f>IF(+All!$F555="Louisville",+All!S555,IF(+All!$H555="Louisville",+All!S555,0))</f>
        <v>Wake Forest</v>
      </c>
      <c r="T83" s="460" t="str">
        <f>IF(+All!$F555="Louisville",+All!T555,IF(+All!$H555="Louisville",+All!T555,0))</f>
        <v>Louisville</v>
      </c>
      <c r="U83" s="461" t="str">
        <f>IF(+All!$F555="Louisville",+All!U555,IF(+All!$H555="Louisville",+All!U555,0))</f>
        <v>W</v>
      </c>
    </row>
    <row r="84" spans="1:21" ht="15.75" customHeight="1" x14ac:dyDescent="0.8">
      <c r="A84" s="46">
        <f>IF(+All!$F607="Louisville",+All!A607,IF(+All!$H607="Louisville",+All!A607,0))</f>
        <v>10</v>
      </c>
      <c r="B84" s="348" t="str">
        <f>IF(+All!$F607="Louisville",+All!B607,IF(+All!$H607="Louisville",+All!B607,0))</f>
        <v>Sat</v>
      </c>
      <c r="C84" s="72">
        <f>IF(+All!$F607="Louisville",+All!C607,IF(+All!$H607="Louisville",+All!C607,0))</f>
        <v>44870</v>
      </c>
      <c r="D84" s="73">
        <f>IF(+All!$F607="Louisville",+All!D607,IF(+All!$H607="Louisville",+All!D607,0))</f>
        <v>0.8125</v>
      </c>
      <c r="E84" s="461" t="str">
        <f>IF(+All!$F607="Louisville",+All!E607,IF(+All!$H607="Louisville",+All!E607,0))</f>
        <v>ESPNU</v>
      </c>
      <c r="F84" s="460" t="str">
        <f>IF(+All!$F607="Louisville",+All!F607,IF(+All!$H607="Louisville",+All!F607,0))</f>
        <v>James Madison</v>
      </c>
      <c r="G84" s="462" t="str">
        <f>IF(+All!$F607="Louisville",+All!G607,IF(+All!$H607="Louisville",+All!G607,0))</f>
        <v>SB</v>
      </c>
      <c r="H84" s="462" t="str">
        <f>IF(+All!$F607="Louisville",+All!H607,IF(+All!$H607="Louisville",+All!H607,0))</f>
        <v>Louisville</v>
      </c>
      <c r="I84" s="461" t="str">
        <f>IF(+All!$F607="Louisville",+All!I607,IF(+All!$H607="Louisville",+All!I607,0))</f>
        <v>ACC</v>
      </c>
      <c r="J84" s="460" t="str">
        <f>IF(+All!$F607="Louisville",+All!J607,IF(+All!$H607="Louisville",+All!J607,0))</f>
        <v>Louisville</v>
      </c>
      <c r="K84" s="461" t="str">
        <f>IF(+All!$F607="Louisville",+All!K607,IF(+All!$H607="Louisville",+All!K607,0))</f>
        <v>James Madison</v>
      </c>
      <c r="L84" s="60">
        <f>IF(+All!$F607="Louisville",+All!L607,IF(+All!$H607="Louisville",+All!L607,0))</f>
        <v>7.5</v>
      </c>
      <c r="M84" s="61">
        <f>IF(+All!$F607="Louisville",+All!M607,IF(+All!$H607="Louisville",+All!M607,0))</f>
        <v>52.5</v>
      </c>
      <c r="N84" s="460" t="str">
        <f>IF(+All!$F607="Louisville",+All!N607,IF(+All!$H607="Louisville",+All!N607,0))</f>
        <v>Louisville</v>
      </c>
      <c r="O84" s="462">
        <f>IF(+All!$F607="Louisville",+All!O607,IF(+All!$H607="Louisville",+All!O607,0))</f>
        <v>34</v>
      </c>
      <c r="P84" s="462" t="str">
        <f>IF(+All!$F607="Louisville",+All!P607,IF(+All!$H607="Louisville",+All!P607,0))</f>
        <v>James Madison</v>
      </c>
      <c r="Q84" s="461">
        <f>IF(+All!$F607="Louisville",+All!Q607,IF(+All!$H607="Louisville",+All!Q607,0))</f>
        <v>10</v>
      </c>
      <c r="R84" s="460" t="str">
        <f>IF(+All!$F607="Louisville",+All!R607,IF(+All!$H607="Louisville",+All!R607,0))</f>
        <v>Louisville</v>
      </c>
      <c r="S84" s="462" t="str">
        <f>IF(+All!$F607="Louisville",+All!S607,IF(+All!$H607="Louisville",+All!S607,0))</f>
        <v>James Madison</v>
      </c>
      <c r="T84" s="460" t="str">
        <f>IF(+All!$F607="Louisville",+All!T607,IF(+All!$H607="Louisville",+All!T607,0))</f>
        <v>James Madison</v>
      </c>
      <c r="U84" s="461" t="str">
        <f>IF(+All!$F607="Louisville",+All!U607,IF(+All!$H607="Louisville",+All!U607,0))</f>
        <v>L</v>
      </c>
    </row>
    <row r="85" spans="1:21" ht="15.75" customHeight="1" x14ac:dyDescent="0.8">
      <c r="A85" s="46">
        <f>IF(+All!$F668="Louisville",+All!A668,IF(+All!$H668="Louisville",+All!A668,0))</f>
        <v>11</v>
      </c>
      <c r="B85" s="348" t="str">
        <f>IF(+All!$F668="Louisville",+All!B668,IF(+All!$H668="Louisville",+All!B668,0))</f>
        <v>Sat</v>
      </c>
      <c r="C85" s="72">
        <f>IF(+All!$F668="Louisville",+All!C668,IF(+All!$H668="Louisville",+All!C668,0))</f>
        <v>44877</v>
      </c>
      <c r="D85" s="73">
        <f>IF(+All!$F668="Louisville",+All!D668,IF(+All!$H668="Louisville",+All!D668,0))</f>
        <v>0.64583333333333337</v>
      </c>
      <c r="E85" s="461" t="str">
        <f>IF(+All!$F668="Louisville",+All!E668,IF(+All!$H668="Louisville",+All!E668,0))</f>
        <v>ESPN</v>
      </c>
      <c r="F85" s="460" t="str">
        <f>IF(+All!$F668="Louisville",+All!F668,IF(+All!$H668="Louisville",+All!F668,0))</f>
        <v>Louisville</v>
      </c>
      <c r="G85" s="462" t="str">
        <f>IF(+All!$F668="Louisville",+All!G668,IF(+All!$H668="Louisville",+All!G668,0))</f>
        <v>ACC</v>
      </c>
      <c r="H85" s="462" t="str">
        <f>IF(+All!$F668="Louisville",+All!H668,IF(+All!$H668="Louisville",+All!H668,0))</f>
        <v>Clemson</v>
      </c>
      <c r="I85" s="461" t="str">
        <f>IF(+All!$F668="Louisville",+All!I668,IF(+All!$H668="Louisville",+All!I668,0))</f>
        <v>ACC</v>
      </c>
      <c r="J85" s="460" t="str">
        <f>IF(+All!$F668="Louisville",+All!J668,IF(+All!$H668="Louisville",+All!J668,0))</f>
        <v>Clemson</v>
      </c>
      <c r="K85" s="461" t="str">
        <f>IF(+All!$F668="Louisville",+All!K668,IF(+All!$H668="Louisville",+All!K668,0))</f>
        <v>Louisville</v>
      </c>
      <c r="L85" s="60">
        <f>IF(+All!$F668="Louisville",+All!L668,IF(+All!$H668="Louisville",+All!L668,0))</f>
        <v>7</v>
      </c>
      <c r="M85" s="61">
        <f>IF(+All!$F668="Louisville",+All!M668,IF(+All!$H668="Louisville",+All!M668,0))</f>
        <v>52</v>
      </c>
      <c r="N85" s="460" t="str">
        <f>IF(+All!$F668="Louisville",+All!N668,IF(+All!$H668="Louisville",+All!N668,0))</f>
        <v>Clemson</v>
      </c>
      <c r="O85" s="462">
        <f>IF(+All!$F668="Louisville",+All!O668,IF(+All!$H668="Louisville",+All!O668,0))</f>
        <v>31</v>
      </c>
      <c r="P85" s="462" t="str">
        <f>IF(+All!$F668="Louisville",+All!P668,IF(+All!$H668="Louisville",+All!P668,0))</f>
        <v>Louisville</v>
      </c>
      <c r="Q85" s="461">
        <f>IF(+All!$F668="Louisville",+All!Q668,IF(+All!$H668="Louisville",+All!Q668,0))</f>
        <v>16</v>
      </c>
      <c r="R85" s="460" t="str">
        <f>IF(+All!$F668="Louisville",+All!R668,IF(+All!$H668="Louisville",+All!R668,0))</f>
        <v>Clemson</v>
      </c>
      <c r="S85" s="462" t="str">
        <f>IF(+All!$F668="Louisville",+All!S668,IF(+All!$H668="Louisville",+All!S668,0))</f>
        <v>Louisville</v>
      </c>
      <c r="T85" s="460" t="str">
        <f>IF(+All!$F668="Louisville",+All!T668,IF(+All!$H668="Louisville",+All!T668,0))</f>
        <v>Clemson</v>
      </c>
      <c r="U85" s="461" t="str">
        <f>IF(+All!$F668="Louisville",+All!U668,IF(+All!$H668="Louisville",+All!U668,0))</f>
        <v>W</v>
      </c>
    </row>
    <row r="86" spans="1:21" ht="15.75" customHeight="1" x14ac:dyDescent="0.8">
      <c r="A86" s="46">
        <f>IF(+All!$F732="Louisville",+All!A732,IF(+All!$H732="Louisville",+All!A732,0))</f>
        <v>12</v>
      </c>
      <c r="B86" s="348" t="str">
        <f>IF(+All!$F732="Louisville",+All!B732,IF(+All!$H732="Louisville",+All!B732,0))</f>
        <v>Sat</v>
      </c>
      <c r="C86" s="72">
        <f>IF(+All!$F732="Louisville",+All!C732,IF(+All!$H732="Louisville",+All!C732,0))</f>
        <v>44884</v>
      </c>
      <c r="D86" s="73">
        <f>IF(+All!$F732="Louisville",+All!D732,IF(+All!$H732="Louisville",+All!D732,0))</f>
        <v>0.64583333333333337</v>
      </c>
      <c r="E86" s="461" t="str">
        <f>IF(+All!$F732="Louisville",+All!E732,IF(+All!$H732="Louisville",+All!E732,0))</f>
        <v>ACC</v>
      </c>
      <c r="F86" s="460" t="str">
        <f>IF(+All!$F732="Louisville",+All!F732,IF(+All!$H732="Louisville",+All!F732,0))</f>
        <v>North Carolina St</v>
      </c>
      <c r="G86" s="462" t="str">
        <f>IF(+All!$F732="Louisville",+All!G732,IF(+All!$H732="Louisville",+All!G732,0))</f>
        <v>ACC</v>
      </c>
      <c r="H86" s="462" t="str">
        <f>IF(+All!$F732="Louisville",+All!H732,IF(+All!$H732="Louisville",+All!H732,0))</f>
        <v>Louisville</v>
      </c>
      <c r="I86" s="461" t="str">
        <f>IF(+All!$F732="Louisville",+All!I732,IF(+All!$H732="Louisville",+All!I732,0))</f>
        <v>ACC</v>
      </c>
      <c r="J86" s="460" t="str">
        <f>IF(+All!$F732="Louisville",+All!J732,IF(+All!$H732="Louisville",+All!J732,0))</f>
        <v>Louisville</v>
      </c>
      <c r="K86" s="461" t="str">
        <f>IF(+All!$F732="Louisville",+All!K732,IF(+All!$H732="Louisville",+All!K732,0))</f>
        <v>North Carolina St</v>
      </c>
      <c r="L86" s="60">
        <f>IF(+All!$F732="Louisville",+All!L732,IF(+All!$H732="Louisville",+All!L732,0))</f>
        <v>4</v>
      </c>
      <c r="M86" s="61">
        <f>IF(+All!$F732="Louisville",+All!M732,IF(+All!$H732="Louisville",+All!M732,0))</f>
        <v>45</v>
      </c>
      <c r="N86" s="460" t="str">
        <f>IF(+All!$F732="Louisville",+All!N732,IF(+All!$H732="Louisville",+All!N732,0))</f>
        <v>Louisville</v>
      </c>
      <c r="O86" s="462">
        <f>IF(+All!$F732="Louisville",+All!O732,IF(+All!$H732="Louisville",+All!O732,0))</f>
        <v>25</v>
      </c>
      <c r="P86" s="462" t="str">
        <f>IF(+All!$F732="Louisville",+All!P732,IF(+All!$H732="Louisville",+All!P732,0))</f>
        <v>North Carolina St</v>
      </c>
      <c r="Q86" s="461">
        <f>IF(+All!$F732="Louisville",+All!Q732,IF(+All!$H732="Louisville",+All!Q732,0))</f>
        <v>10</v>
      </c>
      <c r="R86" s="460" t="str">
        <f>IF(+All!$F732="Louisville",+All!R732,IF(+All!$H732="Louisville",+All!R732,0))</f>
        <v>Louisville</v>
      </c>
      <c r="S86" s="462" t="str">
        <f>IF(+All!$F732="Louisville",+All!S732,IF(+All!$H732="Louisville",+All!S732,0))</f>
        <v>North Carolina St</v>
      </c>
      <c r="T86" s="460" t="str">
        <f>IF(+All!$F732="Louisville",+All!T732,IF(+All!$H732="Louisville",+All!T732,0))</f>
        <v>Louisville</v>
      </c>
      <c r="U86" s="461" t="str">
        <f>IF(+All!$F732="Louisville",+All!U732,IF(+All!$H732="Louisville",+All!U732,0))</f>
        <v>W</v>
      </c>
    </row>
    <row r="87" spans="1:21" ht="15.75" customHeight="1" x14ac:dyDescent="0.8">
      <c r="A87" s="46">
        <f>IF(+All!$F846="Louisville",+All!A846,IF(+All!$H846="Louisville",+All!A846,0))</f>
        <v>13</v>
      </c>
      <c r="B87" s="348" t="str">
        <f>IF(+All!$F846="Louisville",+All!B846,IF(+All!$H846="Louisville",+All!B846,0))</f>
        <v>Sat</v>
      </c>
      <c r="C87" s="72">
        <f>IF(+All!$F846="Louisville",+All!C846,IF(+All!$H846="Louisville",+All!C846,0))</f>
        <v>44891</v>
      </c>
      <c r="D87" s="73">
        <f>IF(+All!$F846="Louisville",+All!D846,IF(+All!$H846="Louisville",+All!D846,0))</f>
        <v>0.625</v>
      </c>
      <c r="E87" s="461" t="str">
        <f>IF(+All!$F846="Louisville",+All!E846,IF(+All!$H846="Louisville",+All!E846,0))</f>
        <v>SEC</v>
      </c>
      <c r="F87" s="460" t="str">
        <f>IF(+All!$F846="Louisville",+All!F846,IF(+All!$H846="Louisville",+All!F846,0))</f>
        <v>Louisville</v>
      </c>
      <c r="G87" s="462" t="str">
        <f>IF(+All!$F846="Louisville",+All!G846,IF(+All!$H846="Louisville",+All!G846,0))</f>
        <v>ACC</v>
      </c>
      <c r="H87" s="462" t="str">
        <f>IF(+All!$F846="Louisville",+All!H846,IF(+All!$H846="Louisville",+All!H846,0))</f>
        <v>Kentucky</v>
      </c>
      <c r="I87" s="461" t="str">
        <f>IF(+All!$F846="Louisville",+All!I846,IF(+All!$H846="Louisville",+All!I846,0))</f>
        <v>SEC</v>
      </c>
      <c r="J87" s="460" t="str">
        <f>IF(+All!$F846="Louisville",+All!J846,IF(+All!$H846="Louisville",+All!J846,0))</f>
        <v>Kentucky</v>
      </c>
      <c r="K87" s="461" t="str">
        <f>IF(+All!$F846="Louisville",+All!K846,IF(+All!$H846="Louisville",+All!K846,0))</f>
        <v>Louisville</v>
      </c>
      <c r="L87" s="60">
        <f>IF(+All!$F846="Louisville",+All!L846,IF(+All!$H846="Louisville",+All!L846,0))</f>
        <v>2.5</v>
      </c>
      <c r="M87" s="61">
        <f>IF(+All!$F846="Louisville",+All!M846,IF(+All!$H846="Louisville",+All!M846,0))</f>
        <v>43</v>
      </c>
      <c r="N87" s="460" t="str">
        <f>IF(+All!$F846="Louisville",+All!N846,IF(+All!$H846="Louisville",+All!N846,0))</f>
        <v>Kentucky</v>
      </c>
      <c r="O87" s="462">
        <f>IF(+All!$F846="Louisville",+All!O846,IF(+All!$H846="Louisville",+All!O846,0))</f>
        <v>26</v>
      </c>
      <c r="P87" s="462" t="str">
        <f>IF(+All!$F846="Louisville",+All!P846,IF(+All!$H846="Louisville",+All!P846,0))</f>
        <v>Louisville</v>
      </c>
      <c r="Q87" s="461">
        <f>IF(+All!$F846="Louisville",+All!Q846,IF(+All!$H846="Louisville",+All!Q846,0))</f>
        <v>13</v>
      </c>
      <c r="R87" s="460" t="str">
        <f>IF(+All!$F846="Louisville",+All!R846,IF(+All!$H846="Louisville",+All!R846,0))</f>
        <v>Kentucky</v>
      </c>
      <c r="S87" s="462" t="str">
        <f>IF(+All!$F846="Louisville",+All!S846,IF(+All!$H846="Louisville",+All!S846,0))</f>
        <v>Louisville</v>
      </c>
      <c r="T87" s="460" t="str">
        <f>IF(+All!$F846="Louisville",+All!T846,IF(+All!$H846="Louisville",+All!T846,0))</f>
        <v>Kentucky</v>
      </c>
      <c r="U87" s="461" t="str">
        <f>IF(+All!$F846="Louisville",+All!U846,IF(+All!$H846="Louisville",+All!U846,0))</f>
        <v>W</v>
      </c>
    </row>
    <row r="88" spans="1:21" ht="15.9" customHeight="1" x14ac:dyDescent="0.8">
      <c r="A88" s="38"/>
      <c r="B88" s="39"/>
      <c r="C88" s="40"/>
      <c r="D88" s="41"/>
      <c r="E88" s="463"/>
      <c r="F88" s="897" t="str">
        <f>H89</f>
        <v>Miami (FL)</v>
      </c>
      <c r="G88" s="901"/>
      <c r="H88" s="901"/>
      <c r="I88" s="902"/>
      <c r="J88" s="459"/>
      <c r="K88" s="463"/>
      <c r="L88" s="44"/>
      <c r="M88" s="45"/>
      <c r="N88" s="459"/>
      <c r="O88" s="5"/>
      <c r="P88" s="5"/>
      <c r="Q88" s="463"/>
      <c r="R88" s="459"/>
      <c r="S88" s="5"/>
      <c r="T88" s="459"/>
      <c r="U88" s="463"/>
    </row>
    <row r="89" spans="1:21" ht="15.75" customHeight="1" x14ac:dyDescent="0.8">
      <c r="A89" s="46">
        <f>IF(+All!$F24="Miami (FL)",+All!A24,IF(+All!$H24="Miami (FL)",+All!A24,0))</f>
        <v>1</v>
      </c>
      <c r="B89" s="348" t="str">
        <f>IF(+All!$F24="Miami (FL)",+All!B24,IF(+All!$H24="Miami (FL)",+All!B24,0))</f>
        <v>Sat</v>
      </c>
      <c r="C89" s="72">
        <f>IF(+All!$F24="Miami (FL)",+All!C24,IF(+All!$H24="Miami (FL)",+All!C24,0))</f>
        <v>44807</v>
      </c>
      <c r="D89" s="73">
        <f>IF(+All!$F24="Miami (FL)",+All!D24,IF(+All!$H24="Miami (FL)",+All!D24,0))</f>
        <v>0.64583333333333337</v>
      </c>
      <c r="E89" s="461" t="str">
        <f>IF(+All!$F24="Miami (FL)",+All!E24,IF(+All!$H24="Miami (FL)",+All!E24,0))</f>
        <v>ACC</v>
      </c>
      <c r="F89" s="460" t="str">
        <f>IF(+All!$F24="Miami (FL)",+All!F24,IF(+All!$H24="Miami (FL)",+All!F24,0))</f>
        <v>1AA Bethune Cookman</v>
      </c>
      <c r="G89" s="461" t="str">
        <f>IF(+All!$F24="Miami (FL)",+All!G24,IF(+All!$H24="Miami (FL)",+All!G24,0))</f>
        <v>1AA</v>
      </c>
      <c r="H89" s="460" t="str">
        <f>IF(+All!$F24="Miami (FL)",+All!H24,IF(+All!$H24="Miami (FL)",+All!H24,0))</f>
        <v>Miami (FL)</v>
      </c>
      <c r="I89" s="461" t="str">
        <f>IF(+All!$F24="Miami (FL)",+All!I24,IF(+All!$H24="Miami (FL)",+All!I24,0))</f>
        <v>ACC</v>
      </c>
      <c r="J89" s="460">
        <f>IF(+All!$F24="Miami (FL)",+All!J24,IF(+All!$H24="Miami (FL)",+All!J24,0))</f>
        <v>0</v>
      </c>
      <c r="K89" s="461">
        <f>IF(+All!$F24="Miami (FL)",+All!K24,IF(+All!$H24="Miami (FL)",+All!K24,0))</f>
        <v>0</v>
      </c>
      <c r="L89" s="60">
        <f>IF(+All!$F24="Miami (FL)",+All!L24,IF(+All!$H24="Miami (FL)",+All!L24,0))</f>
        <v>0</v>
      </c>
      <c r="M89" s="61">
        <f>IF(+All!$F24="Miami (FL)",+All!M24,IF(+All!$H24="Miami (FL)",+All!M24,0))</f>
        <v>0</v>
      </c>
      <c r="N89" s="460" t="str">
        <f>IF(+All!$F24="Miami (FL)",+All!N24,IF(+All!$H24="Miami (FL)",+All!N24,0))</f>
        <v>Miami (FL)</v>
      </c>
      <c r="O89" s="462">
        <f>IF(+All!$F24="Miami (FL)",+All!O24,IF(+All!$H24="Miami (FL)",+All!O24,0))</f>
        <v>70</v>
      </c>
      <c r="P89" s="462" t="str">
        <f>IF(+All!$F24="Miami (FL)",+All!P24,IF(+All!$H24="Miami (FL)",+All!P24,0))</f>
        <v>1AA Bethune Cookman</v>
      </c>
      <c r="Q89" s="461">
        <f>IF(+All!$F24="Miami (FL)",+All!Q24,IF(+All!$H24="Miami (FL)",+All!Q24,0))</f>
        <v>13</v>
      </c>
      <c r="R89" s="460">
        <f>IF(+All!$F24="Miami (FL)",+All!R24,IF(+All!$H24="Miami (FL)",+All!R24,0))</f>
        <v>0</v>
      </c>
      <c r="S89" s="462">
        <f>IF(+All!$F24="Miami (FL)",+All!S24,IF(+All!$H24="Miami (FL)",+All!S24,0))</f>
        <v>0</v>
      </c>
      <c r="T89" s="460">
        <f>IF(+All!$F24="Miami (FL)",+All!T24,IF(+All!$H24="Miami (FL)",+All!T24,0))</f>
        <v>0</v>
      </c>
      <c r="U89" s="461">
        <f>IF(+All!$F24="Miami (FL)",+All!U24,IF(+All!$H24="Miami (FL)",+All!U24,0))</f>
        <v>0</v>
      </c>
    </row>
    <row r="90" spans="1:21" ht="15.75" customHeight="1" x14ac:dyDescent="0.8">
      <c r="A90" s="46">
        <f>IF(+All!$F110="Miami (FL)",+All!A110,IF(+All!$H110="Miami (FL)",+All!A110,0))</f>
        <v>2</v>
      </c>
      <c r="B90" s="348" t="str">
        <f>IF(+All!$F110="Miami (FL)",+All!B110,IF(+All!$H110="Miami (FL)",+All!B110,0))</f>
        <v>Sat</v>
      </c>
      <c r="C90" s="72">
        <f>IF(+All!$F110="Miami (FL)",+All!C110,IF(+All!$H110="Miami (FL)",+All!C110,0))</f>
        <v>44814</v>
      </c>
      <c r="D90" s="73">
        <f>IF(+All!$F110="Miami (FL)",+All!D110,IF(+All!$H110="Miami (FL)",+All!D110,0))</f>
        <v>0.5</v>
      </c>
      <c r="E90" s="461" t="str">
        <f>IF(+All!$F110="Miami (FL)",+All!E110,IF(+All!$H110="Miami (FL)",+All!E110,0))</f>
        <v>ACC</v>
      </c>
      <c r="F90" s="460" t="str">
        <f>IF(+All!$F110="Miami (FL)",+All!F110,IF(+All!$H110="Miami (FL)",+All!F110,0))</f>
        <v>Southern Miss</v>
      </c>
      <c r="G90" s="461" t="str">
        <f>IF(+All!$F110="Miami (FL)",+All!G110,IF(+All!$H110="Miami (FL)",+All!G110,0))</f>
        <v>SB</v>
      </c>
      <c r="H90" s="460" t="str">
        <f>IF(+All!$F110="Miami (FL)",+All!H110,IF(+All!$H110="Miami (FL)",+All!H110,0))</f>
        <v>Miami (FL)</v>
      </c>
      <c r="I90" s="461" t="str">
        <f>IF(+All!$F110="Miami (FL)",+All!I110,IF(+All!$H110="Miami (FL)",+All!I110,0))</f>
        <v>ACC</v>
      </c>
      <c r="J90" s="460" t="str">
        <f>IF(+All!$F110="Miami (FL)",+All!J110,IF(+All!$H110="Miami (FL)",+All!J110,0))</f>
        <v>Miami (FL)</v>
      </c>
      <c r="K90" s="461" t="str">
        <f>IF(+All!$F110="Miami (FL)",+All!K110,IF(+All!$H110="Miami (FL)",+All!K110,0))</f>
        <v>Southern Miss</v>
      </c>
      <c r="L90" s="60">
        <f>IF(+All!$F110="Miami (FL)",+All!L110,IF(+All!$H110="Miami (FL)",+All!L110,0))</f>
        <v>26</v>
      </c>
      <c r="M90" s="61">
        <f>IF(+All!$F110="Miami (FL)",+All!M110,IF(+All!$H110="Miami (FL)",+All!M110,0))</f>
        <v>54.5</v>
      </c>
      <c r="N90" s="460" t="str">
        <f>IF(+All!$F110="Miami (FL)",+All!N110,IF(+All!$H110="Miami (FL)",+All!N110,0))</f>
        <v>Miami (FL)</v>
      </c>
      <c r="O90" s="462">
        <f>IF(+All!$F110="Miami (FL)",+All!O110,IF(+All!$H110="Miami (FL)",+All!O110,0))</f>
        <v>30</v>
      </c>
      <c r="P90" s="462" t="str">
        <f>IF(+All!$F110="Miami (FL)",+All!P110,IF(+All!$H110="Miami (FL)",+All!P110,0))</f>
        <v>Southern Miss</v>
      </c>
      <c r="Q90" s="461">
        <f>IF(+All!$F110="Miami (FL)",+All!Q110,IF(+All!$H110="Miami (FL)",+All!Q110,0))</f>
        <v>7</v>
      </c>
      <c r="R90" s="460" t="str">
        <f>IF(+All!$F110="Miami (FL)",+All!R110,IF(+All!$H110="Miami (FL)",+All!R110,0))</f>
        <v>Southern Miss</v>
      </c>
      <c r="S90" s="462" t="str">
        <f>IF(+All!$F110="Miami (FL)",+All!S110,IF(+All!$H110="Miami (FL)",+All!S110,0))</f>
        <v>Miami (FL)</v>
      </c>
      <c r="T90" s="460" t="str">
        <f>IF(+All!$F110="Miami (FL)",+All!T110,IF(+All!$H110="Miami (FL)",+All!T110,0))</f>
        <v>Miami (FL)</v>
      </c>
      <c r="U90" s="461" t="str">
        <f>IF(+All!$F110="Miami (FL)",+All!U110,IF(+All!$H110="Miami (FL)",+All!U110,0))</f>
        <v>L</v>
      </c>
    </row>
    <row r="91" spans="1:21" ht="15.75" customHeight="1" x14ac:dyDescent="0.8">
      <c r="A91" s="46">
        <f>IF(+All!$F251="Miami (FL)",+All!A251,IF(+All!$H251="Miami (FL)",+All!A251,0))</f>
        <v>3</v>
      </c>
      <c r="B91" s="348" t="str">
        <f>IF(+All!$F251="Miami (FL)",+All!B251,IF(+All!$H251="Miami (FL)",+All!B251,0))</f>
        <v>Sat</v>
      </c>
      <c r="C91" s="72">
        <f>IF(+All!$F251="Miami (FL)",+All!C251,IF(+All!$H251="Miami (FL)",+All!C251,0))</f>
        <v>44821</v>
      </c>
      <c r="D91" s="73">
        <f>IF(+All!$F251="Miami (FL)",+All!D251,IF(+All!$H251="Miami (FL)",+All!D251,0))</f>
        <v>0.875</v>
      </c>
      <c r="E91" s="461" t="str">
        <f>IF(+All!$F251="Miami (FL)",+All!E251,IF(+All!$H251="Miami (FL)",+All!E251,0))</f>
        <v>ESPN</v>
      </c>
      <c r="F91" s="460" t="str">
        <f>IF(+All!$F251="Miami (FL)",+All!F251,IF(+All!$H251="Miami (FL)",+All!F251,0))</f>
        <v>Miami (FL)</v>
      </c>
      <c r="G91" s="461" t="str">
        <f>IF(+All!$F251="Miami (FL)",+All!G251,IF(+All!$H251="Miami (FL)",+All!G251,0))</f>
        <v>ACC</v>
      </c>
      <c r="H91" s="460" t="str">
        <f>IF(+All!$F251="Miami (FL)",+All!H251,IF(+All!$H251="Miami (FL)",+All!H251,0))</f>
        <v>Texas A&amp;M</v>
      </c>
      <c r="I91" s="461" t="str">
        <f>IF(+All!$F251="Miami (FL)",+All!I251,IF(+All!$H251="Miami (FL)",+All!I251,0))</f>
        <v>SEC</v>
      </c>
      <c r="J91" s="460" t="str">
        <f>IF(+All!$F251="Miami (FL)",+All!J251,IF(+All!$H251="Miami (FL)",+All!J251,0))</f>
        <v>Texas A&amp;M</v>
      </c>
      <c r="K91" s="461" t="str">
        <f>IF(+All!$F251="Miami (FL)",+All!K251,IF(+All!$H251="Miami (FL)",+All!K251,0))</f>
        <v>Miami (FL)</v>
      </c>
      <c r="L91" s="60">
        <f>IF(+All!$F251="Miami (FL)",+All!L251,IF(+All!$H251="Miami (FL)",+All!L251,0))</f>
        <v>6.5</v>
      </c>
      <c r="M91" s="61">
        <f>IF(+All!$F251="Miami (FL)",+All!M251,IF(+All!$H251="Miami (FL)",+All!M251,0))</f>
        <v>45</v>
      </c>
      <c r="N91" s="460" t="str">
        <f>IF(+All!$F251="Miami (FL)",+All!N251,IF(+All!$H251="Miami (FL)",+All!N251,0))</f>
        <v>Texas A&amp;M</v>
      </c>
      <c r="O91" s="462">
        <f>IF(+All!$F251="Miami (FL)",+All!O251,IF(+All!$H251="Miami (FL)",+All!O251,0))</f>
        <v>17</v>
      </c>
      <c r="P91" s="462" t="str">
        <f>IF(+All!$F251="Miami (FL)",+All!P251,IF(+All!$H251="Miami (FL)",+All!P251,0))</f>
        <v>Miami (FL)</v>
      </c>
      <c r="Q91" s="461">
        <f>IF(+All!$F251="Miami (FL)",+All!Q251,IF(+All!$H251="Miami (FL)",+All!Q251,0))</f>
        <v>9</v>
      </c>
      <c r="R91" s="460" t="str">
        <f>IF(+All!$F251="Miami (FL)",+All!R251,IF(+All!$H251="Miami (FL)",+All!R251,0))</f>
        <v>Texas A&amp;M</v>
      </c>
      <c r="S91" s="462" t="str">
        <f>IF(+All!$F251="Miami (FL)",+All!S251,IF(+All!$H251="Miami (FL)",+All!S251,0))</f>
        <v>Miami (FL)</v>
      </c>
      <c r="T91" s="460" t="str">
        <f>IF(+All!$F251="Miami (FL)",+All!T251,IF(+All!$H251="Miami (FL)",+All!T251,0))</f>
        <v>Miami (FL)</v>
      </c>
      <c r="U91" s="461" t="str">
        <f>IF(+All!$F251="Miami (FL)",+All!U251,IF(+All!$H251="Miami (FL)",+All!U251,0))</f>
        <v>L</v>
      </c>
    </row>
    <row r="92" spans="1:21" ht="15.75" customHeight="1" x14ac:dyDescent="0.8">
      <c r="A92" s="46">
        <f>IF(+All!$F268="Miami (FL)",+All!A268,IF(+All!$H268="Miami (FL)",+All!A268,0))</f>
        <v>4</v>
      </c>
      <c r="B92" s="348" t="str">
        <f>IF(+All!$F268="Miami (FL)",+All!B268,IF(+All!$H268="Miami (FL)",+All!B268,0))</f>
        <v>Sat</v>
      </c>
      <c r="C92" s="72">
        <f>IF(+All!$F268="Miami (FL)",+All!C268,IF(+All!$H268="Miami (FL)",+All!C268,0))</f>
        <v>44828</v>
      </c>
      <c r="D92" s="73">
        <f>IF(+All!$F268="Miami (FL)",+All!D268,IF(+All!$H268="Miami (FL)",+All!D268,0))</f>
        <v>0.64583333333333337</v>
      </c>
      <c r="E92" s="461" t="str">
        <f>IF(+All!$F268="Miami (FL)",+All!E268,IF(+All!$H268="Miami (FL)",+All!E268,0))</f>
        <v>ACC</v>
      </c>
      <c r="F92" s="460" t="str">
        <f>IF(+All!$F268="Miami (FL)",+All!F268,IF(+All!$H268="Miami (FL)",+All!F268,0))</f>
        <v>Middle Tenn St</v>
      </c>
      <c r="G92" s="461" t="str">
        <f>IF(+All!$F268="Miami (FL)",+All!G268,IF(+All!$H268="Miami (FL)",+All!G268,0))</f>
        <v>CUSA</v>
      </c>
      <c r="H92" s="460" t="str">
        <f>IF(+All!$F268="Miami (FL)",+All!H268,IF(+All!$H268="Miami (FL)",+All!H268,0))</f>
        <v>Miami (FL)</v>
      </c>
      <c r="I92" s="461" t="str">
        <f>IF(+All!$F268="Miami (FL)",+All!I268,IF(+All!$H268="Miami (FL)",+All!I268,0))</f>
        <v>ACC</v>
      </c>
      <c r="J92" s="460" t="str">
        <f>IF(+All!$F268="Miami (FL)",+All!J268,IF(+All!$H268="Miami (FL)",+All!J268,0))</f>
        <v>Miami (FL)</v>
      </c>
      <c r="K92" s="461" t="str">
        <f>IF(+All!$F268="Miami (FL)",+All!K268,IF(+All!$H268="Miami (FL)",+All!K268,0))</f>
        <v>Middle Tenn St</v>
      </c>
      <c r="L92" s="60">
        <f>IF(+All!$F268="Miami (FL)",+All!L268,IF(+All!$H268="Miami (FL)",+All!L268,0))</f>
        <v>26.5</v>
      </c>
      <c r="M92" s="61">
        <f>IF(+All!$F268="Miami (FL)",+All!M268,IF(+All!$H268="Miami (FL)",+All!M268,0))</f>
        <v>52.5</v>
      </c>
      <c r="N92" s="460" t="str">
        <f>IF(+All!$F268="Miami (FL)",+All!N268,IF(+All!$H268="Miami (FL)",+All!N268,0))</f>
        <v>Middle Tenn St</v>
      </c>
      <c r="O92" s="462">
        <f>IF(+All!$F268="Miami (FL)",+All!O268,IF(+All!$H268="Miami (FL)",+All!O268,0))</f>
        <v>45</v>
      </c>
      <c r="P92" s="462" t="str">
        <f>IF(+All!$F268="Miami (FL)",+All!P268,IF(+All!$H268="Miami (FL)",+All!P268,0))</f>
        <v>Miami (FL)</v>
      </c>
      <c r="Q92" s="461">
        <f>IF(+All!$F268="Miami (FL)",+All!Q268,IF(+All!$H268="Miami (FL)",+All!Q268,0))</f>
        <v>31</v>
      </c>
      <c r="R92" s="460" t="str">
        <f>IF(+All!$F268="Miami (FL)",+All!R268,IF(+All!$H268="Miami (FL)",+All!R268,0))</f>
        <v>Middle Tenn St</v>
      </c>
      <c r="S92" s="462" t="str">
        <f>IF(+All!$F268="Miami (FL)",+All!S268,IF(+All!$H268="Miami (FL)",+All!S268,0))</f>
        <v>Miami (FL)</v>
      </c>
      <c r="T92" s="460" t="str">
        <f>IF(+All!$F268="Miami (FL)",+All!T268,IF(+All!$H268="Miami (FL)",+All!T268,0))</f>
        <v>Middle Tenn St</v>
      </c>
      <c r="U92" s="461" t="str">
        <f>IF(+All!$F268="Miami (FL)",+All!U268,IF(+All!$H268="Miami (FL)",+All!U268,0))</f>
        <v>W</v>
      </c>
    </row>
    <row r="93" spans="1:21" ht="15.75" customHeight="1" x14ac:dyDescent="0.8">
      <c r="A93" s="46" t="e">
        <f>IF(+All!#REF!="Miami (FL)",+All!#REF!,IF(+All!#REF!="Miami (FL)",+All!#REF!,0))</f>
        <v>#REF!</v>
      </c>
      <c r="B93" s="348" t="e">
        <f>IF(+All!#REF!="Miami (FL)",+All!#REF!,IF(+All!#REF!="Miami (FL)",+All!#REF!,0))</f>
        <v>#REF!</v>
      </c>
      <c r="C93" s="72" t="e">
        <f>IF(+All!#REF!="Miami (FL)",+All!#REF!,IF(+All!#REF!="Miami (FL)",+All!#REF!,0))</f>
        <v>#REF!</v>
      </c>
      <c r="D93" s="73" t="e">
        <f>IF(+All!#REF!="Miami (FL)",+All!#REF!,IF(+All!#REF!="Miami (FL)",+All!#REF!,0))</f>
        <v>#REF!</v>
      </c>
      <c r="E93" s="461" t="e">
        <f>IF(+All!#REF!="Miami (FL)",+All!#REF!,IF(+All!#REF!="Miami (FL)",+All!#REF!,0))</f>
        <v>#REF!</v>
      </c>
      <c r="F93" s="460" t="e">
        <f>IF(+All!#REF!="Miami (FL)",+All!#REF!,IF(+All!#REF!="Miami (FL)",+All!#REF!,0))</f>
        <v>#REF!</v>
      </c>
      <c r="G93" s="461" t="e">
        <f>IF(+All!#REF!="Miami (FL)",+All!#REF!,IF(+All!#REF!="Miami (FL)",+All!#REF!,0))</f>
        <v>#REF!</v>
      </c>
      <c r="H93" s="460" t="e">
        <f>IF(+All!#REF!="Miami (FL)",+All!#REF!,IF(+All!#REF!="Miami (FL)",+All!#REF!,0))</f>
        <v>#REF!</v>
      </c>
      <c r="I93" s="461" t="e">
        <f>IF(+All!#REF!="Miami (FL)",+All!#REF!,IF(+All!#REF!="Miami (FL)",+All!#REF!,0))</f>
        <v>#REF!</v>
      </c>
      <c r="J93" s="460" t="e">
        <f>IF(+All!#REF!="Miami (FL)",+All!#REF!,IF(+All!#REF!="Miami (FL)",+All!#REF!,0))</f>
        <v>#REF!</v>
      </c>
      <c r="K93" s="461" t="e">
        <f>IF(+All!#REF!="Miami (FL)",+All!#REF!,IF(+All!#REF!="Miami (FL)",+All!#REF!,0))</f>
        <v>#REF!</v>
      </c>
      <c r="L93" s="60" t="e">
        <f>IF(+All!#REF!="Miami (FL)",+All!#REF!,IF(+All!#REF!="Miami (FL)",+All!#REF!,0))</f>
        <v>#REF!</v>
      </c>
      <c r="M93" s="61" t="e">
        <f>IF(+All!#REF!="Miami (FL)",+All!#REF!,IF(+All!#REF!="Miami (FL)",+All!#REF!,0))</f>
        <v>#REF!</v>
      </c>
      <c r="N93" s="460" t="e">
        <f>IF(+All!#REF!="Miami (FL)",+All!#REF!,IF(+All!#REF!="Miami (FL)",+All!#REF!,0))</f>
        <v>#REF!</v>
      </c>
      <c r="O93" s="462" t="e">
        <f>IF(+All!#REF!="Miami (FL)",+All!#REF!,IF(+All!#REF!="Miami (FL)",+All!#REF!,0))</f>
        <v>#REF!</v>
      </c>
      <c r="P93" s="462" t="e">
        <f>IF(+All!#REF!="Miami (FL)",+All!#REF!,IF(+All!#REF!="Miami (FL)",+All!#REF!,0))</f>
        <v>#REF!</v>
      </c>
      <c r="Q93" s="461" t="e">
        <f>IF(+All!#REF!="Miami (FL)",+All!#REF!,IF(+All!#REF!="Miami (FL)",+All!#REF!,0))</f>
        <v>#REF!</v>
      </c>
      <c r="R93" s="460" t="e">
        <f>IF(+All!#REF!="Miami (FL)",+All!#REF!,IF(+All!#REF!="Miami (FL)",+All!#REF!,0))</f>
        <v>#REF!</v>
      </c>
      <c r="S93" s="462" t="e">
        <f>IF(+All!#REF!="Miami (FL)",+All!#REF!,IF(+All!#REF!="Miami (FL)",+All!#REF!,0))</f>
        <v>#REF!</v>
      </c>
      <c r="T93" s="460" t="e">
        <f>IF(+All!#REF!="Miami (FL)",+All!#REF!,IF(+All!#REF!="Miami (FL)",+All!#REF!,0))</f>
        <v>#REF!</v>
      </c>
      <c r="U93" s="461" t="e">
        <f>IF(+All!#REF!="Miami (FL)",+All!#REF!,IF(+All!#REF!="Miami (FL)",+All!#REF!,0))</f>
        <v>#REF!</v>
      </c>
    </row>
    <row r="94" spans="1:21" ht="15.75" customHeight="1" x14ac:dyDescent="0.8">
      <c r="A94" s="46">
        <f>IF(+All!$F391="Miami (FL)",+All!A391,IF(+All!$H391="Miami (FL)",+All!A391,0))</f>
        <v>6</v>
      </c>
      <c r="B94" s="348" t="str">
        <f>IF(+All!$F391="Miami (FL)",+All!B391,IF(+All!$H391="Miami (FL)",+All!B391,0))</f>
        <v>Sat</v>
      </c>
      <c r="C94" s="72">
        <f>IF(+All!$F391="Miami (FL)",+All!C391,IF(+All!$H391="Miami (FL)",+All!C391,0))</f>
        <v>44842</v>
      </c>
      <c r="D94" s="73">
        <f>IF(+All!$F391="Miami (FL)",+All!D391,IF(+All!$H391="Miami (FL)",+All!D391,0))</f>
        <v>0.66666666666666663</v>
      </c>
      <c r="E94" s="461" t="str">
        <f>IF(+All!$F391="Miami (FL)",+All!E391,IF(+All!$H391="Miami (FL)",+All!E391,0))</f>
        <v>ESPN2</v>
      </c>
      <c r="F94" s="460" t="str">
        <f>IF(+All!$F391="Miami (FL)",+All!F391,IF(+All!$H391="Miami (FL)",+All!F391,0))</f>
        <v>North Carolina</v>
      </c>
      <c r="G94" s="461" t="str">
        <f>IF(+All!$F391="Miami (FL)",+All!G391,IF(+All!$H391="Miami (FL)",+All!G391,0))</f>
        <v>ACC</v>
      </c>
      <c r="H94" s="460" t="str">
        <f>IF(+All!$F391="Miami (FL)",+All!H391,IF(+All!$H391="Miami (FL)",+All!H391,0))</f>
        <v>Miami (FL)</v>
      </c>
      <c r="I94" s="461" t="str">
        <f>IF(+All!$F391="Miami (FL)",+All!I391,IF(+All!$H391="Miami (FL)",+All!I391,0))</f>
        <v>ACC</v>
      </c>
      <c r="J94" s="460" t="str">
        <f>IF(+All!$F391="Miami (FL)",+All!J391,IF(+All!$H391="Miami (FL)",+All!J391,0))</f>
        <v>Miami (FL)</v>
      </c>
      <c r="K94" s="461" t="str">
        <f>IF(+All!$F391="Miami (FL)",+All!K391,IF(+All!$H391="Miami (FL)",+All!K391,0))</f>
        <v>North Carolina</v>
      </c>
      <c r="L94" s="60">
        <f>IF(+All!$F391="Miami (FL)",+All!L391,IF(+All!$H391="Miami (FL)",+All!L391,0))</f>
        <v>3.5</v>
      </c>
      <c r="M94" s="61">
        <f>IF(+All!$F391="Miami (FL)",+All!M391,IF(+All!$H391="Miami (FL)",+All!M391,0))</f>
        <v>66</v>
      </c>
      <c r="N94" s="460" t="str">
        <f>IF(+All!$F391="Miami (FL)",+All!N391,IF(+All!$H391="Miami (FL)",+All!N391,0))</f>
        <v>North Carolina</v>
      </c>
      <c r="O94" s="462">
        <f>IF(+All!$F391="Miami (FL)",+All!O391,IF(+All!$H391="Miami (FL)",+All!O391,0))</f>
        <v>27</v>
      </c>
      <c r="P94" s="462" t="str">
        <f>IF(+All!$F391="Miami (FL)",+All!P391,IF(+All!$H391="Miami (FL)",+All!P391,0))</f>
        <v>Miami (FL)</v>
      </c>
      <c r="Q94" s="461">
        <f>IF(+All!$F391="Miami (FL)",+All!Q391,IF(+All!$H391="Miami (FL)",+All!Q391,0))</f>
        <v>24</v>
      </c>
      <c r="R94" s="460" t="str">
        <f>IF(+All!$F391="Miami (FL)",+All!R391,IF(+All!$H391="Miami (FL)",+All!R391,0))</f>
        <v>North Carolina</v>
      </c>
      <c r="S94" s="462" t="str">
        <f>IF(+All!$F391="Miami (FL)",+All!S391,IF(+All!$H391="Miami (FL)",+All!S391,0))</f>
        <v>Miami (FL)</v>
      </c>
      <c r="T94" s="460" t="str">
        <f>IF(+All!$F391="Miami (FL)",+All!T391,IF(+All!$H391="Miami (FL)",+All!T391,0))</f>
        <v>North Carolina</v>
      </c>
      <c r="U94" s="461" t="str">
        <f>IF(+All!$F391="Miami (FL)",+All!U391,IF(+All!$H391="Miami (FL)",+All!U391,0))</f>
        <v>W</v>
      </c>
    </row>
    <row r="95" spans="1:21" ht="15.75" customHeight="1" x14ac:dyDescent="0.8">
      <c r="A95" s="46">
        <f>IF(+All!$F448="Miami (FL)",+All!A448,IF(+All!$H448="Miami (FL)",+All!A448,0))</f>
        <v>7</v>
      </c>
      <c r="B95" s="348" t="str">
        <f>IF(+All!$F448="Miami (FL)",+All!B448,IF(+All!$H448="Miami (FL)",+All!B448,0))</f>
        <v>Sat</v>
      </c>
      <c r="C95" s="72">
        <f>IF(+All!$F448="Miami (FL)",+All!C448,IF(+All!$H448="Miami (FL)",+All!C448,0))</f>
        <v>44849</v>
      </c>
      <c r="D95" s="73">
        <f>IF(+All!$F448="Miami (FL)",+All!D448,IF(+All!$H448="Miami (FL)",+All!D448,0))</f>
        <v>0.52083333333333337</v>
      </c>
      <c r="E95" s="461" t="str">
        <f>IF(+All!$F448="Miami (FL)",+All!E448,IF(+All!$H448="Miami (FL)",+All!E448,0))</f>
        <v>espn3</v>
      </c>
      <c r="F95" s="460" t="str">
        <f>IF(+All!$F448="Miami (FL)",+All!F448,IF(+All!$H448="Miami (FL)",+All!F448,0))</f>
        <v>Miami (FL)</v>
      </c>
      <c r="G95" s="461" t="str">
        <f>IF(+All!$F448="Miami (FL)",+All!G448,IF(+All!$H448="Miami (FL)",+All!G448,0))</f>
        <v>ACC</v>
      </c>
      <c r="H95" s="460" t="str">
        <f>IF(+All!$F448="Miami (FL)",+All!H448,IF(+All!$H448="Miami (FL)",+All!H448,0))</f>
        <v>Virginia Tech</v>
      </c>
      <c r="I95" s="461" t="str">
        <f>IF(+All!$F448="Miami (FL)",+All!I448,IF(+All!$H448="Miami (FL)",+All!I448,0))</f>
        <v>ACC</v>
      </c>
      <c r="J95" s="460" t="str">
        <f>IF(+All!$F448="Miami (FL)",+All!J448,IF(+All!$H448="Miami (FL)",+All!J448,0))</f>
        <v>Miami (FL)</v>
      </c>
      <c r="K95" s="461" t="str">
        <f>IF(+All!$F448="Miami (FL)",+All!K448,IF(+All!$H448="Miami (FL)",+All!K448,0))</f>
        <v>Virginia Tech</v>
      </c>
      <c r="L95" s="60">
        <f>IF(+All!$F448="Miami (FL)",+All!L448,IF(+All!$H448="Miami (FL)",+All!L448,0))</f>
        <v>7</v>
      </c>
      <c r="M95" s="61">
        <f>IF(+All!$F448="Miami (FL)",+All!M448,IF(+All!$H448="Miami (FL)",+All!M448,0))</f>
        <v>46.5</v>
      </c>
      <c r="N95" s="460" t="str">
        <f>IF(+All!$F448="Miami (FL)",+All!N448,IF(+All!$H448="Miami (FL)",+All!N448,0))</f>
        <v>Miami (FL)</v>
      </c>
      <c r="O95" s="462">
        <f>IF(+All!$F448="Miami (FL)",+All!O448,IF(+All!$H448="Miami (FL)",+All!O448,0))</f>
        <v>20</v>
      </c>
      <c r="P95" s="462" t="str">
        <f>IF(+All!$F448="Miami (FL)",+All!P448,IF(+All!$H448="Miami (FL)",+All!P448,0))</f>
        <v>Virginia Tech</v>
      </c>
      <c r="Q95" s="461">
        <f>IF(+All!$F448="Miami (FL)",+All!Q448,IF(+All!$H448="Miami (FL)",+All!Q448,0))</f>
        <v>14</v>
      </c>
      <c r="R95" s="460" t="str">
        <f>IF(+All!$F448="Miami (FL)",+All!R448,IF(+All!$H448="Miami (FL)",+All!R448,0))</f>
        <v>Virginia Tech</v>
      </c>
      <c r="S95" s="462" t="str">
        <f>IF(+All!$F448="Miami (FL)",+All!S448,IF(+All!$H448="Miami (FL)",+All!S448,0))</f>
        <v>Miami (FL)</v>
      </c>
      <c r="T95" s="460" t="str">
        <f>IF(+All!$F448="Miami (FL)",+All!T448,IF(+All!$H448="Miami (FL)",+All!T448,0))</f>
        <v>Miami (FL)</v>
      </c>
      <c r="U95" s="461" t="str">
        <f>IF(+All!$F448="Miami (FL)",+All!U448,IF(+All!$H448="Miami (FL)",+All!U448,0))</f>
        <v>L</v>
      </c>
    </row>
    <row r="96" spans="1:21" ht="15.75" customHeight="1" x14ac:dyDescent="0.8">
      <c r="A96" s="46">
        <f>IF(+All!$F502="Miami (FL)",+All!A502,IF(+All!$H502="Miami (FL)",+All!A502,0))</f>
        <v>8</v>
      </c>
      <c r="B96" s="348" t="str">
        <f>IF(+All!$F502="Miami (FL)",+All!B502,IF(+All!$H502="Miami (FL)",+All!B502,0))</f>
        <v>Sat</v>
      </c>
      <c r="C96" s="72">
        <f>IF(+All!$F502="Miami (FL)",+All!C502,IF(+All!$H502="Miami (FL)",+All!C502,0))</f>
        <v>44856</v>
      </c>
      <c r="D96" s="73">
        <f>IF(+All!$F502="Miami (FL)",+All!D502,IF(+All!$H502="Miami (FL)",+All!D502,0))</f>
        <v>0.52083333333333337</v>
      </c>
      <c r="E96" s="461" t="str">
        <f>IF(+All!$F502="Miami (FL)",+All!E502,IF(+All!$H502="Miami (FL)",+All!E502,0))</f>
        <v>espn3</v>
      </c>
      <c r="F96" s="460" t="str">
        <f>IF(+All!$F502="Miami (FL)",+All!F502,IF(+All!$H502="Miami (FL)",+All!F502,0))</f>
        <v>Duke</v>
      </c>
      <c r="G96" s="461" t="str">
        <f>IF(+All!$F502="Miami (FL)",+All!G502,IF(+All!$H502="Miami (FL)",+All!G502,0))</f>
        <v>ACC</v>
      </c>
      <c r="H96" s="460" t="str">
        <f>IF(+All!$F502="Miami (FL)",+All!H502,IF(+All!$H502="Miami (FL)",+All!H502,0))</f>
        <v>Miami (FL)</v>
      </c>
      <c r="I96" s="461" t="str">
        <f>IF(+All!$F502="Miami (FL)",+All!I502,IF(+All!$H502="Miami (FL)",+All!I502,0))</f>
        <v>ACC</v>
      </c>
      <c r="J96" s="460" t="str">
        <f>IF(+All!$F502="Miami (FL)",+All!J502,IF(+All!$H502="Miami (FL)",+All!J502,0))</f>
        <v>Miami (FL)</v>
      </c>
      <c r="K96" s="461" t="str">
        <f>IF(+All!$F502="Miami (FL)",+All!K502,IF(+All!$H502="Miami (FL)",+All!K502,0))</f>
        <v>Duke</v>
      </c>
      <c r="L96" s="60">
        <f>IF(+All!$F502="Miami (FL)",+All!L502,IF(+All!$H502="Miami (FL)",+All!L502,0))</f>
        <v>9</v>
      </c>
      <c r="M96" s="61">
        <f>IF(+All!$F502="Miami (FL)",+All!M502,IF(+All!$H502="Miami (FL)",+All!M502,0))</f>
        <v>58.5</v>
      </c>
      <c r="N96" s="460" t="str">
        <f>IF(+All!$F502="Miami (FL)",+All!N502,IF(+All!$H502="Miami (FL)",+All!N502,0))</f>
        <v>Duke</v>
      </c>
      <c r="O96" s="462">
        <f>IF(+All!$F502="Miami (FL)",+All!O502,IF(+All!$H502="Miami (FL)",+All!O502,0))</f>
        <v>45</v>
      </c>
      <c r="P96" s="462" t="str">
        <f>IF(+All!$F502="Miami (FL)",+All!P502,IF(+All!$H502="Miami (FL)",+All!P502,0))</f>
        <v>Miami (FL)</v>
      </c>
      <c r="Q96" s="461">
        <f>IF(+All!$F502="Miami (FL)",+All!Q502,IF(+All!$H502="Miami (FL)",+All!Q502,0))</f>
        <v>21</v>
      </c>
      <c r="R96" s="460" t="str">
        <f>IF(+All!$F502="Miami (FL)",+All!R502,IF(+All!$H502="Miami (FL)",+All!R502,0))</f>
        <v>Duke</v>
      </c>
      <c r="S96" s="462" t="str">
        <f>IF(+All!$F502="Miami (FL)",+All!S502,IF(+All!$H502="Miami (FL)",+All!S502,0))</f>
        <v>Miami (FL)</v>
      </c>
      <c r="T96" s="460" t="str">
        <f>IF(+All!$F502="Miami (FL)",+All!T502,IF(+All!$H502="Miami (FL)",+All!T502,0))</f>
        <v>Duke</v>
      </c>
      <c r="U96" s="461" t="str">
        <f>IF(+All!$F502="Miami (FL)",+All!U502,IF(+All!$H502="Miami (FL)",+All!U502,0))</f>
        <v>W</v>
      </c>
    </row>
    <row r="97" spans="1:21" ht="15.75" customHeight="1" x14ac:dyDescent="0.8">
      <c r="A97" s="46">
        <f>IF(+All!$F558="Miami (FL)",+All!A558,IF(+All!$H558="Miami (FL)",+All!A558,0))</f>
        <v>9</v>
      </c>
      <c r="B97" s="348" t="str">
        <f>IF(+All!$F558="Miami (FL)",+All!B558,IF(+All!$H558="Miami (FL)",+All!B558,0))</f>
        <v>Sat</v>
      </c>
      <c r="C97" s="72">
        <f>IF(+All!$F558="Miami (FL)",+All!C558,IF(+All!$H558="Miami (FL)",+All!C558,0))</f>
        <v>44863</v>
      </c>
      <c r="D97" s="73">
        <f>IF(+All!$F558="Miami (FL)",+All!D558,IF(+All!$H558="Miami (FL)",+All!D558,0))</f>
        <v>0.52083333333333337</v>
      </c>
      <c r="E97" s="461" t="str">
        <f>IF(+All!$F558="Miami (FL)",+All!E558,IF(+All!$H558="Miami (FL)",+All!E558,0))</f>
        <v>espn3</v>
      </c>
      <c r="F97" s="460" t="str">
        <f>IF(+All!$F558="Miami (FL)",+All!F558,IF(+All!$H558="Miami (FL)",+All!F558,0))</f>
        <v>Miami (FL)</v>
      </c>
      <c r="G97" s="461" t="str">
        <f>IF(+All!$F558="Miami (FL)",+All!G558,IF(+All!$H558="Miami (FL)",+All!G558,0))</f>
        <v>ACC</v>
      </c>
      <c r="H97" s="460" t="str">
        <f>IF(+All!$F558="Miami (FL)",+All!H558,IF(+All!$H558="Miami (FL)",+All!H558,0))</f>
        <v>Virginia</v>
      </c>
      <c r="I97" s="461" t="str">
        <f>IF(+All!$F558="Miami (FL)",+All!I558,IF(+All!$H558="Miami (FL)",+All!I558,0))</f>
        <v>ACC</v>
      </c>
      <c r="J97" s="460" t="str">
        <f>IF(+All!$F558="Miami (FL)",+All!J558,IF(+All!$H558="Miami (FL)",+All!J558,0))</f>
        <v>Miami (FL)</v>
      </c>
      <c r="K97" s="461" t="str">
        <f>IF(+All!$F558="Miami (FL)",+All!K558,IF(+All!$H558="Miami (FL)",+All!K558,0))</f>
        <v>Virginia</v>
      </c>
      <c r="L97" s="60">
        <f>IF(+All!$F558="Miami (FL)",+All!L558,IF(+All!$H558="Miami (FL)",+All!L558,0))</f>
        <v>2.5</v>
      </c>
      <c r="M97" s="61">
        <f>IF(+All!$F558="Miami (FL)",+All!M558,IF(+All!$H558="Miami (FL)",+All!M558,0))</f>
        <v>47.5</v>
      </c>
      <c r="N97" s="460" t="str">
        <f>IF(+All!$F558="Miami (FL)",+All!N558,IF(+All!$H558="Miami (FL)",+All!N558,0))</f>
        <v>Miami (FL)</v>
      </c>
      <c r="O97" s="462">
        <f>IF(+All!$F558="Miami (FL)",+All!O558,IF(+All!$H558="Miami (FL)",+All!O558,0))</f>
        <v>14</v>
      </c>
      <c r="P97" s="462" t="str">
        <f>IF(+All!$F558="Miami (FL)",+All!P558,IF(+All!$H558="Miami (FL)",+All!P558,0))</f>
        <v>Virginia</v>
      </c>
      <c r="Q97" s="461">
        <f>IF(+All!$F558="Miami (FL)",+All!Q558,IF(+All!$H558="Miami (FL)",+All!Q558,0))</f>
        <v>12</v>
      </c>
      <c r="R97" s="460" t="str">
        <f>IF(+All!$F558="Miami (FL)",+All!R558,IF(+All!$H558="Miami (FL)",+All!R558,0))</f>
        <v>Virginia</v>
      </c>
      <c r="S97" s="462" t="str">
        <f>IF(+All!$F558="Miami (FL)",+All!S558,IF(+All!$H558="Miami (FL)",+All!S558,0))</f>
        <v>Miami (FL)</v>
      </c>
      <c r="T97" s="460" t="str">
        <f>IF(+All!$F558="Miami (FL)",+All!T558,IF(+All!$H558="Miami (FL)",+All!T558,0))</f>
        <v>Miami (FL)</v>
      </c>
      <c r="U97" s="461" t="str">
        <f>IF(+All!$F558="Miami (FL)",+All!U558,IF(+All!$H558="Miami (FL)",+All!U558,0))</f>
        <v>L</v>
      </c>
    </row>
    <row r="98" spans="1:21" ht="15.75" customHeight="1" x14ac:dyDescent="0.8">
      <c r="A98" s="46">
        <f>IF(+All!$F608="Miami (FL)",+All!A608,IF(+All!$H608="Miami (FL)",+All!A608,0))</f>
        <v>10</v>
      </c>
      <c r="B98" s="348" t="str">
        <f>IF(+All!$F608="Miami (FL)",+All!B608,IF(+All!$H608="Miami (FL)",+All!B608,0))</f>
        <v>Sat</v>
      </c>
      <c r="C98" s="72">
        <f>IF(+All!$F608="Miami (FL)",+All!C608,IF(+All!$H608="Miami (FL)",+All!C608,0))</f>
        <v>44870</v>
      </c>
      <c r="D98" s="73">
        <f>IF(+All!$F608="Miami (FL)",+All!D608,IF(+All!$H608="Miami (FL)",+All!D608,0))</f>
        <v>0.8125</v>
      </c>
      <c r="E98" s="461" t="str">
        <f>IF(+All!$F608="Miami (FL)",+All!E608,IF(+All!$H608="Miami (FL)",+All!E608,0))</f>
        <v>ABC</v>
      </c>
      <c r="F98" s="460" t="str">
        <f>IF(+All!$F608="Miami (FL)",+All!F608,IF(+All!$H608="Miami (FL)",+All!F608,0))</f>
        <v>Florida State</v>
      </c>
      <c r="G98" s="461" t="str">
        <f>IF(+All!$F608="Miami (FL)",+All!G608,IF(+All!$H608="Miami (FL)",+All!G608,0))</f>
        <v>ACC</v>
      </c>
      <c r="H98" s="460" t="str">
        <f>IF(+All!$F608="Miami (FL)",+All!H608,IF(+All!$H608="Miami (FL)",+All!H608,0))</f>
        <v>Miami (FL)</v>
      </c>
      <c r="I98" s="461" t="str">
        <f>IF(+All!$F608="Miami (FL)",+All!I608,IF(+All!$H608="Miami (FL)",+All!I608,0))</f>
        <v>ACC</v>
      </c>
      <c r="J98" s="460" t="str">
        <f>IF(+All!$F608="Miami (FL)",+All!J608,IF(+All!$H608="Miami (FL)",+All!J608,0))</f>
        <v>Florida State</v>
      </c>
      <c r="K98" s="461" t="str">
        <f>IF(+All!$F608="Miami (FL)",+All!K608,IF(+All!$H608="Miami (FL)",+All!K608,0))</f>
        <v>Miami (FL)</v>
      </c>
      <c r="L98" s="60">
        <f>IF(+All!$F608="Miami (FL)",+All!L608,IF(+All!$H608="Miami (FL)",+All!L608,0))</f>
        <v>7.5</v>
      </c>
      <c r="M98" s="61">
        <f>IF(+All!$F608="Miami (FL)",+All!M608,IF(+All!$H608="Miami (FL)",+All!M608,0))</f>
        <v>53</v>
      </c>
      <c r="N98" s="460" t="str">
        <f>IF(+All!$F608="Miami (FL)",+All!N608,IF(+All!$H608="Miami (FL)",+All!N608,0))</f>
        <v>Florida State</v>
      </c>
      <c r="O98" s="462">
        <f>IF(+All!$F608="Miami (FL)",+All!O608,IF(+All!$H608="Miami (FL)",+All!O608,0))</f>
        <v>45</v>
      </c>
      <c r="P98" s="462" t="str">
        <f>IF(+All!$F608="Miami (FL)",+All!P608,IF(+All!$H608="Miami (FL)",+All!P608,0))</f>
        <v>Miami (FL)</v>
      </c>
      <c r="Q98" s="461">
        <f>IF(+All!$F608="Miami (FL)",+All!Q608,IF(+All!$H608="Miami (FL)",+All!Q608,0))</f>
        <v>3</v>
      </c>
      <c r="R98" s="460" t="str">
        <f>IF(+All!$F608="Miami (FL)",+All!R608,IF(+All!$H608="Miami (FL)",+All!R608,0))</f>
        <v>Florida State</v>
      </c>
      <c r="S98" s="462" t="str">
        <f>IF(+All!$F608="Miami (FL)",+All!S608,IF(+All!$H608="Miami (FL)",+All!S608,0))</f>
        <v>Miami (FL)</v>
      </c>
      <c r="T98" s="460" t="str">
        <f>IF(+All!$F608="Miami (FL)",+All!T608,IF(+All!$H608="Miami (FL)",+All!T608,0))</f>
        <v>Miami (FL)</v>
      </c>
      <c r="U98" s="461" t="str">
        <f>IF(+All!$F608="Miami (FL)",+All!U608,IF(+All!$H608="Miami (FL)",+All!U608,0))</f>
        <v>L</v>
      </c>
    </row>
    <row r="99" spans="1:21" ht="15.75" customHeight="1" x14ac:dyDescent="0.8">
      <c r="A99" s="46">
        <f>IF(+All!$F670="Miami (FL)",+All!A670,IF(+All!$H670="Miami (FL)",+All!A670,0))</f>
        <v>11</v>
      </c>
      <c r="B99" s="348" t="str">
        <f>IF(+All!$F670="Miami (FL)",+All!B670,IF(+All!$H670="Miami (FL)",+All!B670,0))</f>
        <v>Sat</v>
      </c>
      <c r="C99" s="72">
        <f>IF(+All!$F670="Miami (FL)",+All!C670,IF(+All!$H670="Miami (FL)",+All!C670,0))</f>
        <v>44877</v>
      </c>
      <c r="D99" s="73">
        <f>IF(+All!$F670="Miami (FL)",+All!D670,IF(+All!$H670="Miami (FL)",+All!D670,0))</f>
        <v>0.64583333333333337</v>
      </c>
      <c r="E99" s="461" t="str">
        <f>IF(+All!$F670="Miami (FL)",+All!E670,IF(+All!$H670="Miami (FL)",+All!E670,0))</f>
        <v>espn3</v>
      </c>
      <c r="F99" s="460" t="str">
        <f>IF(+All!$F670="Miami (FL)",+All!F670,IF(+All!$H670="Miami (FL)",+All!F670,0))</f>
        <v>Miami (FL)</v>
      </c>
      <c r="G99" s="461" t="str">
        <f>IF(+All!$F670="Miami (FL)",+All!G670,IF(+All!$H670="Miami (FL)",+All!G670,0))</f>
        <v>ACC</v>
      </c>
      <c r="H99" s="460" t="str">
        <f>IF(+All!$F670="Miami (FL)",+All!H670,IF(+All!$H670="Miami (FL)",+All!H670,0))</f>
        <v>Georgia Tech</v>
      </c>
      <c r="I99" s="461" t="str">
        <f>IF(+All!$F670="Miami (FL)",+All!I670,IF(+All!$H670="Miami (FL)",+All!I670,0))</f>
        <v>ACC</v>
      </c>
      <c r="J99" s="460" t="str">
        <f>IF(+All!$F670="Miami (FL)",+All!J670,IF(+All!$H670="Miami (FL)",+All!J670,0))</f>
        <v>Georgia Tech</v>
      </c>
      <c r="K99" s="461" t="str">
        <f>IF(+All!$F670="Miami (FL)",+All!K670,IF(+All!$H670="Miami (FL)",+All!K670,0))</f>
        <v>Miami (FL)</v>
      </c>
      <c r="L99" s="60">
        <f>IF(+All!$F670="Miami (FL)",+All!L670,IF(+All!$H670="Miami (FL)",+All!L670,0))</f>
        <v>0</v>
      </c>
      <c r="M99" s="61">
        <f>IF(+All!$F670="Miami (FL)",+All!M670,IF(+All!$H670="Miami (FL)",+All!M670,0))</f>
        <v>44</v>
      </c>
      <c r="N99" s="460" t="str">
        <f>IF(+All!$F670="Miami (FL)",+All!N670,IF(+All!$H670="Miami (FL)",+All!N670,0))</f>
        <v>Miami (FL)</v>
      </c>
      <c r="O99" s="462">
        <f>IF(+All!$F670="Miami (FL)",+All!O670,IF(+All!$H670="Miami (FL)",+All!O670,0))</f>
        <v>35</v>
      </c>
      <c r="P99" s="462" t="str">
        <f>IF(+All!$F670="Miami (FL)",+All!P670,IF(+All!$H670="Miami (FL)",+All!P670,0))</f>
        <v>Georgia Tech</v>
      </c>
      <c r="Q99" s="461">
        <f>IF(+All!$F670="Miami (FL)",+All!Q670,IF(+All!$H670="Miami (FL)",+All!Q670,0))</f>
        <v>14</v>
      </c>
      <c r="R99" s="460" t="str">
        <f>IF(+All!$F670="Miami (FL)",+All!R670,IF(+All!$H670="Miami (FL)",+All!R670,0))</f>
        <v>Miami (FL)</v>
      </c>
      <c r="S99" s="462" t="str">
        <f>IF(+All!$F670="Miami (FL)",+All!S670,IF(+All!$H670="Miami (FL)",+All!S670,0))</f>
        <v>Georgia Tech</v>
      </c>
      <c r="T99" s="460" t="str">
        <f>IF(+All!$F670="Miami (FL)",+All!T670,IF(+All!$H670="Miami (FL)",+All!T670,0))</f>
        <v>Georgia Tech</v>
      </c>
      <c r="U99" s="461" t="str">
        <f>IF(+All!$F670="Miami (FL)",+All!U670,IF(+All!$H670="Miami (FL)",+All!U670,0))</f>
        <v>L</v>
      </c>
    </row>
    <row r="100" spans="1:21" ht="15.75" customHeight="1" x14ac:dyDescent="0.8">
      <c r="A100" s="46">
        <f>IF(+All!$F730="Miami (FL)",+All!A730,IF(+All!$H730="Miami (FL)",+All!A730,0))</f>
        <v>12</v>
      </c>
      <c r="B100" s="348" t="str">
        <f>IF(+All!$F730="Miami (FL)",+All!B730,IF(+All!$H730="Miami (FL)",+All!B730,0))</f>
        <v>Sat</v>
      </c>
      <c r="C100" s="72">
        <f>IF(+All!$F730="Miami (FL)",+All!C730,IF(+All!$H730="Miami (FL)",+All!C730,0))</f>
        <v>44884</v>
      </c>
      <c r="D100" s="73">
        <f>IF(+All!$F730="Miami (FL)",+All!D730,IF(+All!$H730="Miami (FL)",+All!D730,0))</f>
        <v>0.64583333333333337</v>
      </c>
      <c r="E100" s="461" t="str">
        <f>IF(+All!$F730="Miami (FL)",+All!E730,IF(+All!$H730="Miami (FL)",+All!E730,0))</f>
        <v>ESPN</v>
      </c>
      <c r="F100" s="460" t="str">
        <f>IF(+All!$F730="Miami (FL)",+All!F730,IF(+All!$H730="Miami (FL)",+All!F730,0))</f>
        <v>Miami (FL)</v>
      </c>
      <c r="G100" s="461" t="str">
        <f>IF(+All!$F730="Miami (FL)",+All!G730,IF(+All!$H730="Miami (FL)",+All!G730,0))</f>
        <v>ACC</v>
      </c>
      <c r="H100" s="460" t="str">
        <f>IF(+All!$F730="Miami (FL)",+All!H730,IF(+All!$H730="Miami (FL)",+All!H730,0))</f>
        <v>Clemson</v>
      </c>
      <c r="I100" s="461" t="str">
        <f>IF(+All!$F730="Miami (FL)",+All!I730,IF(+All!$H730="Miami (FL)",+All!I730,0))</f>
        <v>ACC</v>
      </c>
      <c r="J100" s="460" t="str">
        <f>IF(+All!$F730="Miami (FL)",+All!J730,IF(+All!$H730="Miami (FL)",+All!J730,0))</f>
        <v>Clemson</v>
      </c>
      <c r="K100" s="461" t="str">
        <f>IF(+All!$F730="Miami (FL)",+All!K730,IF(+All!$H730="Miami (FL)",+All!K730,0))</f>
        <v>Miami (FL)</v>
      </c>
      <c r="L100" s="60">
        <f>IF(+All!$F730="Miami (FL)",+All!L730,IF(+All!$H730="Miami (FL)",+All!L730,0))</f>
        <v>19</v>
      </c>
      <c r="M100" s="61">
        <f>IF(+All!$F730="Miami (FL)",+All!M730,IF(+All!$H730="Miami (FL)",+All!M730,0))</f>
        <v>48</v>
      </c>
      <c r="N100" s="460" t="str">
        <f>IF(+All!$F730="Miami (FL)",+All!N730,IF(+All!$H730="Miami (FL)",+All!N730,0))</f>
        <v>Clemson</v>
      </c>
      <c r="O100" s="462">
        <f>IF(+All!$F730="Miami (FL)",+All!O730,IF(+All!$H730="Miami (FL)",+All!O730,0))</f>
        <v>40</v>
      </c>
      <c r="P100" s="462" t="str">
        <f>IF(+All!$F730="Miami (FL)",+All!P730,IF(+All!$H730="Miami (FL)",+All!P730,0))</f>
        <v>Miami (FL)</v>
      </c>
      <c r="Q100" s="461">
        <f>IF(+All!$F730="Miami (FL)",+All!Q730,IF(+All!$H730="Miami (FL)",+All!Q730,0))</f>
        <v>10</v>
      </c>
      <c r="R100" s="460" t="str">
        <f>IF(+All!$F730="Miami (FL)",+All!R730,IF(+All!$H730="Miami (FL)",+All!R730,0))</f>
        <v>Clemson</v>
      </c>
      <c r="S100" s="462" t="str">
        <f>IF(+All!$F730="Miami (FL)",+All!S730,IF(+All!$H730="Miami (FL)",+All!S730,0))</f>
        <v>Miami (FL)</v>
      </c>
      <c r="T100" s="460" t="str">
        <f>IF(+All!$F730="Miami (FL)",+All!T730,IF(+All!$H730="Miami (FL)",+All!T730,0))</f>
        <v>Clemson</v>
      </c>
      <c r="U100" s="461" t="str">
        <f>IF(+All!$F730="Miami (FL)",+All!U730,IF(+All!$H730="Miami (FL)",+All!U730,0))</f>
        <v>W</v>
      </c>
    </row>
    <row r="101" spans="1:21" ht="15.75" customHeight="1" x14ac:dyDescent="0.8">
      <c r="A101" s="46">
        <f>IF(+All!$F806="Miami (FL)",+All!A806,IF(+All!$H806="Miami (FL)",+All!A806,0))</f>
        <v>13</v>
      </c>
      <c r="B101" s="348" t="str">
        <f>IF(+All!$F806="Miami (FL)",+All!B806,IF(+All!$H806="Miami (FL)",+All!B806,0))</f>
        <v>Sat</v>
      </c>
      <c r="C101" s="72">
        <f>IF(+All!$F806="Miami (FL)",+All!C806,IF(+All!$H806="Miami (FL)",+All!C806,0))</f>
        <v>44891</v>
      </c>
      <c r="D101" s="73">
        <f>IF(+All!$F806="Miami (FL)",+All!D806,IF(+All!$H806="Miami (FL)",+All!D806,0))</f>
        <v>0.83333333333333337</v>
      </c>
      <c r="E101" s="461" t="str">
        <f>IF(+All!$F806="Miami (FL)",+All!E806,IF(+All!$H806="Miami (FL)",+All!E806,0))</f>
        <v>ACC</v>
      </c>
      <c r="F101" s="460" t="str">
        <f>IF(+All!$F806="Miami (FL)",+All!F806,IF(+All!$H806="Miami (FL)",+All!F806,0))</f>
        <v>Pittsburgh</v>
      </c>
      <c r="G101" s="461" t="str">
        <f>IF(+All!$F806="Miami (FL)",+All!G806,IF(+All!$H806="Miami (FL)",+All!G806,0))</f>
        <v>ACC</v>
      </c>
      <c r="H101" s="460" t="str">
        <f>IF(+All!$F806="Miami (FL)",+All!H806,IF(+All!$H806="Miami (FL)",+All!H806,0))</f>
        <v>Miami (FL)</v>
      </c>
      <c r="I101" s="461" t="str">
        <f>IF(+All!$F806="Miami (FL)",+All!I806,IF(+All!$H806="Miami (FL)",+All!I806,0))</f>
        <v>ACC</v>
      </c>
      <c r="J101" s="460" t="str">
        <f>IF(+All!$F806="Miami (FL)",+All!J806,IF(+All!$H806="Miami (FL)",+All!J806,0))</f>
        <v>Pittsburgh</v>
      </c>
      <c r="K101" s="461" t="str">
        <f>IF(+All!$F806="Miami (FL)",+All!K806,IF(+All!$H806="Miami (FL)",+All!K806,0))</f>
        <v>Miami (FL)</v>
      </c>
      <c r="L101" s="60">
        <f>IF(+All!$F806="Miami (FL)",+All!L806,IF(+All!$H806="Miami (FL)",+All!L806,0))</f>
        <v>6.5</v>
      </c>
      <c r="M101" s="61">
        <f>IF(+All!$F806="Miami (FL)",+All!M806,IF(+All!$H806="Miami (FL)",+All!M806,0))</f>
        <v>43</v>
      </c>
      <c r="N101" s="460" t="str">
        <f>IF(+All!$F806="Miami (FL)",+All!N806,IF(+All!$H806="Miami (FL)",+All!N806,0))</f>
        <v>Pittsburgh</v>
      </c>
      <c r="O101" s="462">
        <f>IF(+All!$F806="Miami (FL)",+All!O806,IF(+All!$H806="Miami (FL)",+All!O806,0))</f>
        <v>42</v>
      </c>
      <c r="P101" s="462" t="str">
        <f>IF(+All!$F806="Miami (FL)",+All!P806,IF(+All!$H806="Miami (FL)",+All!P806,0))</f>
        <v>Miami (FL)</v>
      </c>
      <c r="Q101" s="461">
        <f>IF(+All!$F806="Miami (FL)",+All!Q806,IF(+All!$H806="Miami (FL)",+All!Q806,0))</f>
        <v>16</v>
      </c>
      <c r="R101" s="460" t="str">
        <f>IF(+All!$F806="Miami (FL)",+All!R806,IF(+All!$H806="Miami (FL)",+All!R806,0))</f>
        <v>Pittsburgh</v>
      </c>
      <c r="S101" s="462" t="str">
        <f>IF(+All!$F806="Miami (FL)",+All!S806,IF(+All!$H806="Miami (FL)",+All!S806,0))</f>
        <v>Miami (FL)</v>
      </c>
      <c r="T101" s="460" t="str">
        <f>IF(+All!$F806="Miami (FL)",+All!T806,IF(+All!$H806="Miami (FL)",+All!T806,0))</f>
        <v>Pittsburgh</v>
      </c>
      <c r="U101" s="461" t="str">
        <f>IF(+All!$F806="Miami (FL)",+All!U806,IF(+All!$H806="Miami (FL)",+All!U806,0))</f>
        <v>W</v>
      </c>
    </row>
    <row r="102" spans="1:21" ht="15.75" customHeight="1" x14ac:dyDescent="0.8">
      <c r="A102" s="38"/>
      <c r="B102" s="39"/>
      <c r="C102" s="40"/>
      <c r="D102" s="41"/>
      <c r="E102" s="463"/>
      <c r="F102" s="897" t="str">
        <f>F106</f>
        <v>North Carolina</v>
      </c>
      <c r="G102" s="901"/>
      <c r="H102" s="901"/>
      <c r="I102" s="902"/>
      <c r="J102" s="459"/>
      <c r="K102" s="463"/>
      <c r="L102" s="44"/>
      <c r="M102" s="45"/>
      <c r="N102" s="459"/>
      <c r="O102" s="5"/>
      <c r="P102" s="5"/>
      <c r="Q102" s="463"/>
      <c r="R102" s="459"/>
      <c r="S102" s="5"/>
      <c r="T102" s="459"/>
      <c r="U102" s="463"/>
    </row>
    <row r="103" spans="1:21" ht="15.75" customHeight="1" x14ac:dyDescent="0.8">
      <c r="A103" s="38"/>
      <c r="B103" s="39"/>
      <c r="C103" s="40"/>
      <c r="D103" s="41"/>
      <c r="E103" s="463"/>
      <c r="F103" s="459"/>
      <c r="G103" s="5"/>
      <c r="H103" s="5"/>
      <c r="I103" s="463"/>
      <c r="J103" s="459"/>
      <c r="K103" s="463"/>
      <c r="L103" s="44"/>
      <c r="M103" s="45"/>
      <c r="N103" s="459"/>
      <c r="O103" s="5"/>
      <c r="P103" s="5"/>
      <c r="Q103" s="463"/>
      <c r="R103" s="459"/>
      <c r="S103" s="5"/>
      <c r="T103" s="459"/>
      <c r="U103" s="463"/>
    </row>
    <row r="104" spans="1:21" ht="15.75" customHeight="1" x14ac:dyDescent="0.8">
      <c r="A104" s="46">
        <f>IF(+All!$F5="North Carolina",+All!A5,IF(+All!$H5="North Carolina",+All!A5,0))</f>
        <v>0</v>
      </c>
      <c r="B104" s="348" t="str">
        <f>IF(+All!$F5="North Carolina",+All!B5,IF(+All!$H5="North Carolina",+All!B5,0))</f>
        <v>Sat</v>
      </c>
      <c r="C104" s="72">
        <f>IF(+All!$F5="North Carolina",+All!C5,IF(+All!$H5="North Carolina",+All!C5,0))</f>
        <v>44793</v>
      </c>
      <c r="D104" s="73">
        <f>IF(+All!$F5="North Carolina",+All!D5,IF(+All!$H5="North Carolina",+All!D5,0))</f>
        <v>0.84375</v>
      </c>
      <c r="E104" s="461" t="str">
        <f>IF(+All!$F5="North Carolina",+All!E5,IF(+All!$H5="North Carolina",+All!E5,0))</f>
        <v>ACC</v>
      </c>
      <c r="F104" s="460" t="str">
        <f>IF(+All!$F5="North Carolina",+All!F5,IF(+All!$H5="North Carolina",+All!F5,0))</f>
        <v>1AA Florida A&amp;M</v>
      </c>
      <c r="G104" s="461" t="str">
        <f>IF(+All!$F5="North Carolina",+All!G5,IF(+All!$H5="North Carolina",+All!G5,0))</f>
        <v>1AA</v>
      </c>
      <c r="H104" s="460" t="str">
        <f>IF(+All!$F5="North Carolina",+All!H5,IF(+All!$H5="North Carolina",+All!H5,0))</f>
        <v>North Carolina</v>
      </c>
      <c r="I104" s="461" t="str">
        <f>IF(+All!$F5="North Carolina",+All!I5,IF(+All!$H5="North Carolina",+All!I5,0))</f>
        <v>ACC</v>
      </c>
      <c r="J104" s="460">
        <f>IF(+All!$F5="North Carolina",+All!J5,IF(+All!$H5="North Carolina",+All!J5,0))</f>
        <v>0</v>
      </c>
      <c r="K104" s="461">
        <f>IF(+All!$F5="North Carolina",+All!K5,IF(+All!$H5="North Carolina",+All!K5,0))</f>
        <v>0</v>
      </c>
      <c r="L104" s="60">
        <f>IF(+All!$F5="North Carolina",+All!L5,IF(+All!$H5="North Carolina",+All!L5,0))</f>
        <v>0</v>
      </c>
      <c r="M104" s="61">
        <f>IF(+All!$F5="North Carolina",+All!M5,IF(+All!$H5="North Carolina",+All!M5,0))</f>
        <v>0</v>
      </c>
      <c r="N104" s="460" t="str">
        <f>IF(+All!$F5="North Carolina",+All!N5,IF(+All!$H5="North Carolina",+All!N5,0))</f>
        <v>North Carolina</v>
      </c>
      <c r="O104" s="462">
        <f>IF(+All!$F5="North Carolina",+All!O5,IF(+All!$H5="North Carolina",+All!O5,0))</f>
        <v>56</v>
      </c>
      <c r="P104" s="462" t="str">
        <f>IF(+All!$F5="North Carolina",+All!P5,IF(+All!$H5="North Carolina",+All!P5,0))</f>
        <v>1AA Florida A&amp;M</v>
      </c>
      <c r="Q104" s="461">
        <f>IF(+All!$F5="North Carolina",+All!Q5,IF(+All!$H5="North Carolina",+All!Q5,0))</f>
        <v>24</v>
      </c>
      <c r="R104" s="460">
        <f>IF(+All!$F5="North Carolina",+All!R5,IF(+All!$H5="North Carolina",+All!R5,0))</f>
        <v>0</v>
      </c>
      <c r="S104" s="462">
        <f>IF(+All!$F5="North Carolina",+All!S5,IF(+All!$H5="North Carolina",+All!S5,0))</f>
        <v>0</v>
      </c>
      <c r="T104" s="460">
        <f>IF(+All!$F5="North Carolina",+All!T5,IF(+All!$H5="North Carolina",+All!T5,0))</f>
        <v>0</v>
      </c>
      <c r="U104" s="461">
        <f>IF(+All!$F5="North Carolina",+All!U5,IF(+All!$H5="North Carolina",+All!U5,0))</f>
        <v>0</v>
      </c>
    </row>
    <row r="105" spans="1:21" ht="15.75" customHeight="1" x14ac:dyDescent="0.8">
      <c r="A105" s="46">
        <f>IF(+All!$F37="North Carolina",+All!A37,IF(+All!$H37="North Carolina",+All!A37,0))</f>
        <v>1</v>
      </c>
      <c r="B105" s="348" t="str">
        <f>IF(+All!$F37="North Carolina",+All!B37,IF(+All!$H37="North Carolina",+All!B37,0))</f>
        <v>Sat</v>
      </c>
      <c r="C105" s="72">
        <f>IF(+All!$F37="North Carolina",+All!C37,IF(+All!$H37="North Carolina",+All!C37,0))</f>
        <v>44807</v>
      </c>
      <c r="D105" s="73">
        <f>IF(+All!$F37="North Carolina",+All!D37,IF(+All!$H37="North Carolina",+All!D37,0))</f>
        <v>0.5</v>
      </c>
      <c r="E105" s="461" t="str">
        <f>IF(+All!$F37="North Carolina",+All!E37,IF(+All!$H37="North Carolina",+All!E37,0))</f>
        <v>ESPNU</v>
      </c>
      <c r="F105" s="460" t="str">
        <f>IF(+All!$F37="North Carolina",+All!F37,IF(+All!$H37="North Carolina",+All!F37,0))</f>
        <v>North Carolina</v>
      </c>
      <c r="G105" s="461" t="str">
        <f>IF(+All!$F37="North Carolina",+All!G37,IF(+All!$H37="North Carolina",+All!G37,0))</f>
        <v>ACC</v>
      </c>
      <c r="H105" s="460" t="str">
        <f>IF(+All!$F37="North Carolina",+All!H37,IF(+All!$H37="North Carolina",+All!H37,0))</f>
        <v>Appalachian State</v>
      </c>
      <c r="I105" s="461" t="str">
        <f>IF(+All!$F37="North Carolina",+All!I37,IF(+All!$H37="North Carolina",+All!I37,0))</f>
        <v>SB</v>
      </c>
      <c r="J105" s="460" t="str">
        <f>IF(+All!$F37="North Carolina",+All!J37,IF(+All!$H37="North Carolina",+All!J37,0))</f>
        <v>North Carolina</v>
      </c>
      <c r="K105" s="461" t="str">
        <f>IF(+All!$F37="North Carolina",+All!K37,IF(+All!$H37="North Carolina",+All!K37,0))</f>
        <v>Appalachian State</v>
      </c>
      <c r="L105" s="60">
        <f>IF(+All!$F37="North Carolina",+All!L37,IF(+All!$H37="North Carolina",+All!L37,0))</f>
        <v>1</v>
      </c>
      <c r="M105" s="61">
        <f>IF(+All!$F37="North Carolina",+All!M37,IF(+All!$H37="North Carolina",+All!M37,0))</f>
        <v>55.5</v>
      </c>
      <c r="N105" s="460" t="str">
        <f>IF(+All!$F37="North Carolina",+All!N37,IF(+All!$H37="North Carolina",+All!N37,0))</f>
        <v>North Carolina</v>
      </c>
      <c r="O105" s="462">
        <f>IF(+All!$F37="North Carolina",+All!O37,IF(+All!$H37="North Carolina",+All!O37,0))</f>
        <v>63</v>
      </c>
      <c r="P105" s="462" t="str">
        <f>IF(+All!$F37="North Carolina",+All!P37,IF(+All!$H37="North Carolina",+All!P37,0))</f>
        <v>Appalachian State</v>
      </c>
      <c r="Q105" s="461">
        <f>IF(+All!$F37="North Carolina",+All!Q37,IF(+All!$H37="North Carolina",+All!Q37,0))</f>
        <v>61</v>
      </c>
      <c r="R105" s="460" t="str">
        <f>IF(+All!$F37="North Carolina",+All!R37,IF(+All!$H37="North Carolina",+All!R37,0))</f>
        <v>North Carolina</v>
      </c>
      <c r="S105" s="462" t="str">
        <f>IF(+All!$F37="North Carolina",+All!S37,IF(+All!$H37="North Carolina",+All!S37,0))</f>
        <v>Appalachian State</v>
      </c>
      <c r="T105" s="460" t="str">
        <f>IF(+All!$F37="North Carolina",+All!T37,IF(+All!$H37="North Carolina",+All!T37,0))</f>
        <v>North Carolina</v>
      </c>
      <c r="U105" s="461" t="str">
        <f>IF(+All!$F37="North Carolina",+All!U37,IF(+All!$H37="North Carolina",+All!U37,0))</f>
        <v>W</v>
      </c>
    </row>
    <row r="106" spans="1:21" ht="15.75" customHeight="1" x14ac:dyDescent="0.8">
      <c r="A106" s="46">
        <f>IF(+All!$F166="North Carolina",+All!A166,IF(+All!$H166="North Carolina",+All!A166,0))</f>
        <v>2</v>
      </c>
      <c r="B106" s="348" t="str">
        <f>IF(+All!$F166="North Carolina",+All!B166,IF(+All!$H166="North Carolina",+All!B166,0))</f>
        <v>Sat</v>
      </c>
      <c r="C106" s="72">
        <f>IF(+All!$F166="North Carolina",+All!C166,IF(+All!$H166="North Carolina",+All!C166,0))</f>
        <v>44814</v>
      </c>
      <c r="D106" s="73">
        <f>IF(+All!$F166="North Carolina",+All!D166,IF(+All!$H166="North Carolina",+All!D166,0))</f>
        <v>0.5</v>
      </c>
      <c r="E106" s="461" t="str">
        <f>IF(+All!$F166="North Carolina",+All!E166,IF(+All!$H166="North Carolina",+All!E166,0))</f>
        <v>ESPNU</v>
      </c>
      <c r="F106" s="460" t="str">
        <f>IF(+All!$F166="North Carolina",+All!F166,IF(+All!$H166="North Carolina",+All!F166,0))</f>
        <v>North Carolina</v>
      </c>
      <c r="G106" s="461" t="str">
        <f>IF(+All!$F166="North Carolina",+All!G166,IF(+All!$H166="North Carolina",+All!G166,0))</f>
        <v>ACC</v>
      </c>
      <c r="H106" s="460" t="str">
        <f>IF(+All!$F166="North Carolina",+All!H166,IF(+All!$H166="North Carolina",+All!H166,0))</f>
        <v>Georgia State</v>
      </c>
      <c r="I106" s="461" t="str">
        <f>IF(+All!$F166="North Carolina",+All!I166,IF(+All!$H166="North Carolina",+All!I166,0))</f>
        <v>SB</v>
      </c>
      <c r="J106" s="460" t="str">
        <f>IF(+All!$F166="North Carolina",+All!J166,IF(+All!$H166="North Carolina",+All!J166,0))</f>
        <v>North Carolina</v>
      </c>
      <c r="K106" s="461" t="str">
        <f>IF(+All!$F166="North Carolina",+All!K166,IF(+All!$H166="North Carolina",+All!K166,0))</f>
        <v>Georgia State</v>
      </c>
      <c r="L106" s="60">
        <f>IF(+All!$F166="North Carolina",+All!L166,IF(+All!$H166="North Carolina",+All!L166,0))</f>
        <v>7.5</v>
      </c>
      <c r="M106" s="61">
        <f>IF(+All!$F166="North Carolina",+All!M166,IF(+All!$H166="North Carolina",+All!M166,0))</f>
        <v>65.5</v>
      </c>
      <c r="N106" s="460" t="str">
        <f>IF(+All!$F166="North Carolina",+All!N166,IF(+All!$H166="North Carolina",+All!N166,0))</f>
        <v>North Carolina</v>
      </c>
      <c r="O106" s="462">
        <f>IF(+All!$F166="North Carolina",+All!O166,IF(+All!$H166="North Carolina",+All!O166,0))</f>
        <v>35</v>
      </c>
      <c r="P106" s="462" t="str">
        <f>IF(+All!$F166="North Carolina",+All!P166,IF(+All!$H166="North Carolina",+All!P166,0))</f>
        <v>Georgia State</v>
      </c>
      <c r="Q106" s="461">
        <f>IF(+All!$F166="North Carolina",+All!Q166,IF(+All!$H166="North Carolina",+All!Q166,0))</f>
        <v>28</v>
      </c>
      <c r="R106" s="460" t="str">
        <f>IF(+All!$F166="North Carolina",+All!R166,IF(+All!$H166="North Carolina",+All!R166,0))</f>
        <v>Georgia State</v>
      </c>
      <c r="S106" s="462" t="str">
        <f>IF(+All!$F166="North Carolina",+All!S166,IF(+All!$H166="North Carolina",+All!S166,0))</f>
        <v>North Carolina</v>
      </c>
      <c r="T106" s="460" t="str">
        <f>IF(+All!$F166="North Carolina",+All!T166,IF(+All!$H166="North Carolina",+All!T166,0))</f>
        <v>North Carolina</v>
      </c>
      <c r="U106" s="461" t="str">
        <f>IF(+All!$F166="North Carolina",+All!U166,IF(+All!$H166="North Carolina",+All!U166,0))</f>
        <v>L</v>
      </c>
    </row>
    <row r="107" spans="1:21" ht="15.75" customHeight="1" x14ac:dyDescent="0.8">
      <c r="A107" s="46" t="e">
        <f>IF(+All!#REF!="North Carolina",+All!#REF!,IF(+All!#REF!="North Carolina",+All!#REF!,0))</f>
        <v>#REF!</v>
      </c>
      <c r="B107" s="348" t="e">
        <f>IF(+All!#REF!="North Carolina",+All!#REF!,IF(+All!#REF!="North Carolina",+All!#REF!,0))</f>
        <v>#REF!</v>
      </c>
      <c r="C107" s="72" t="e">
        <f>IF(+All!#REF!="North Carolina",+All!#REF!,IF(+All!#REF!="North Carolina",+All!#REF!,0))</f>
        <v>#REF!</v>
      </c>
      <c r="D107" s="73" t="e">
        <f>IF(+All!#REF!="North Carolina",+All!#REF!,IF(+All!#REF!="North Carolina",+All!#REF!,0))</f>
        <v>#REF!</v>
      </c>
      <c r="E107" s="461" t="e">
        <f>IF(+All!#REF!="North Carolina",+All!#REF!,IF(+All!#REF!="North Carolina",+All!#REF!,0))</f>
        <v>#REF!</v>
      </c>
      <c r="F107" s="460" t="e">
        <f>IF(+All!#REF!="North Carolina",+All!#REF!,IF(+All!#REF!="North Carolina",+All!#REF!,0))</f>
        <v>#REF!</v>
      </c>
      <c r="G107" s="461" t="e">
        <f>IF(+All!#REF!="North Carolina",+All!#REF!,IF(+All!#REF!="North Carolina",+All!#REF!,0))</f>
        <v>#REF!</v>
      </c>
      <c r="H107" s="460" t="e">
        <f>IF(+All!#REF!="North Carolina",+All!#REF!,IF(+All!#REF!="North Carolina",+All!#REF!,0))</f>
        <v>#REF!</v>
      </c>
      <c r="I107" s="461" t="e">
        <f>IF(+All!#REF!="North Carolina",+All!#REF!,IF(+All!#REF!="North Carolina",+All!#REF!,0))</f>
        <v>#REF!</v>
      </c>
      <c r="J107" s="460" t="e">
        <f>IF(+All!#REF!="North Carolina",+All!#REF!,IF(+All!#REF!="North Carolina",+All!#REF!,0))</f>
        <v>#REF!</v>
      </c>
      <c r="K107" s="461" t="e">
        <f>IF(+All!#REF!="North Carolina",+All!#REF!,IF(+All!#REF!="North Carolina",+All!#REF!,0))</f>
        <v>#REF!</v>
      </c>
      <c r="L107" s="60" t="e">
        <f>IF(+All!#REF!="North Carolina",+All!#REF!,IF(+All!#REF!="North Carolina",+All!#REF!,0))</f>
        <v>#REF!</v>
      </c>
      <c r="M107" s="61" t="e">
        <f>IF(+All!#REF!="North Carolina",+All!#REF!,IF(+All!#REF!="North Carolina",+All!#REF!,0))</f>
        <v>#REF!</v>
      </c>
      <c r="N107" s="460" t="e">
        <f>IF(+All!#REF!="North Carolina",+All!#REF!,IF(+All!#REF!="North Carolina",+All!#REF!,0))</f>
        <v>#REF!</v>
      </c>
      <c r="O107" s="462" t="e">
        <f>IF(+All!#REF!="North Carolina",+All!#REF!,IF(+All!#REF!="North Carolina",+All!#REF!,0))</f>
        <v>#REF!</v>
      </c>
      <c r="P107" s="462" t="e">
        <f>IF(+All!#REF!="North Carolina",+All!#REF!,IF(+All!#REF!="North Carolina",+All!#REF!,0))</f>
        <v>#REF!</v>
      </c>
      <c r="Q107" s="461" t="e">
        <f>IF(+All!#REF!="North Carolina",+All!#REF!,IF(+All!#REF!="North Carolina",+All!#REF!,0))</f>
        <v>#REF!</v>
      </c>
      <c r="R107" s="460" t="e">
        <f>IF(+All!#REF!="North Carolina",+All!#REF!,IF(+All!#REF!="North Carolina",+All!#REF!,0))</f>
        <v>#REF!</v>
      </c>
      <c r="S107" s="462" t="e">
        <f>IF(+All!#REF!="North Carolina",+All!#REF!,IF(+All!#REF!="North Carolina",+All!#REF!,0))</f>
        <v>#REF!</v>
      </c>
      <c r="T107" s="460" t="e">
        <f>IF(+All!#REF!="North Carolina",+All!#REF!,IF(+All!#REF!="North Carolina",+All!#REF!,0))</f>
        <v>#REF!</v>
      </c>
      <c r="U107" s="461" t="e">
        <f>IF(+All!#REF!="North Carolina",+All!#REF!,IF(+All!#REF!="North Carolina",+All!#REF!,0))</f>
        <v>#REF!</v>
      </c>
    </row>
    <row r="108" spans="1:21" ht="15.75" customHeight="1" x14ac:dyDescent="0.8">
      <c r="A108" s="46">
        <f>IF(+All!$F269="North Carolina",+All!A269,IF(+All!$H269="North Carolina",+All!A269,0))</f>
        <v>4</v>
      </c>
      <c r="B108" s="348" t="str">
        <f>IF(+All!$F269="North Carolina",+All!B269,IF(+All!$H269="North Carolina",+All!B269,0))</f>
        <v>Sat</v>
      </c>
      <c r="C108" s="72">
        <f>IF(+All!$F269="North Carolina",+All!C269,IF(+All!$H269="North Carolina",+All!C269,0))</f>
        <v>44828</v>
      </c>
      <c r="D108" s="73">
        <f>IF(+All!$F269="North Carolina",+All!D269,IF(+All!$H269="North Carolina",+All!D269,0))</f>
        <v>0.64583333333333337</v>
      </c>
      <c r="E108" s="461" t="str">
        <f>IF(+All!$F269="North Carolina",+All!E269,IF(+All!$H269="North Carolina",+All!E269,0))</f>
        <v>ABC</v>
      </c>
      <c r="F108" s="460" t="str">
        <f>IF(+All!$F269="North Carolina",+All!F269,IF(+All!$H269="North Carolina",+All!F269,0))</f>
        <v>Notre Dame</v>
      </c>
      <c r="G108" s="461" t="str">
        <f>IF(+All!$F269="North Carolina",+All!G269,IF(+All!$H269="North Carolina",+All!G269,0))</f>
        <v>Ind</v>
      </c>
      <c r="H108" s="460" t="str">
        <f>IF(+All!$F269="North Carolina",+All!H269,IF(+All!$H269="North Carolina",+All!H269,0))</f>
        <v>North Carolina</v>
      </c>
      <c r="I108" s="461" t="str">
        <f>IF(+All!$F269="North Carolina",+All!I269,IF(+All!$H269="North Carolina",+All!I269,0))</f>
        <v>ACC</v>
      </c>
      <c r="J108" s="460" t="str">
        <f>IF(+All!$F269="North Carolina",+All!J269,IF(+All!$H269="North Carolina",+All!J269,0))</f>
        <v>North Carolina</v>
      </c>
      <c r="K108" s="461" t="str">
        <f>IF(+All!$F269="North Carolina",+All!K269,IF(+All!$H269="North Carolina",+All!K269,0))</f>
        <v>Notre Dame</v>
      </c>
      <c r="L108" s="60">
        <f>IF(+All!$F269="North Carolina",+All!L269,IF(+All!$H269="North Carolina",+All!L269,0))</f>
        <v>2</v>
      </c>
      <c r="M108" s="61">
        <f>IF(+All!$F269="North Carolina",+All!M269,IF(+All!$H269="North Carolina",+All!M269,0))</f>
        <v>56</v>
      </c>
      <c r="N108" s="460" t="str">
        <f>IF(+All!$F269="North Carolina",+All!N269,IF(+All!$H269="North Carolina",+All!N269,0))</f>
        <v>Notre Dame</v>
      </c>
      <c r="O108" s="462">
        <f>IF(+All!$F269="North Carolina",+All!O269,IF(+All!$H269="North Carolina",+All!O269,0))</f>
        <v>45</v>
      </c>
      <c r="P108" s="462" t="str">
        <f>IF(+All!$F269="North Carolina",+All!P269,IF(+All!$H269="North Carolina",+All!P269,0))</f>
        <v>North Carolina</v>
      </c>
      <c r="Q108" s="461">
        <f>IF(+All!$F269="North Carolina",+All!Q269,IF(+All!$H269="North Carolina",+All!Q269,0))</f>
        <v>32</v>
      </c>
      <c r="R108" s="460" t="str">
        <f>IF(+All!$F269="North Carolina",+All!R269,IF(+All!$H269="North Carolina",+All!R269,0))</f>
        <v>Notre Dame</v>
      </c>
      <c r="S108" s="462" t="str">
        <f>IF(+All!$F269="North Carolina",+All!S269,IF(+All!$H269="North Carolina",+All!S269,0))</f>
        <v>North Carolina</v>
      </c>
      <c r="T108" s="460" t="str">
        <f>IF(+All!$F269="North Carolina",+All!T269,IF(+All!$H269="North Carolina",+All!T269,0))</f>
        <v>North Carolina</v>
      </c>
      <c r="U108" s="461" t="str">
        <f>IF(+All!$F269="North Carolina",+All!U269,IF(+All!$H269="North Carolina",+All!U269,0))</f>
        <v>L</v>
      </c>
    </row>
    <row r="109" spans="1:21" ht="15.75" customHeight="1" x14ac:dyDescent="0.8">
      <c r="A109" s="46">
        <f>IF(+All!$F332="North Carolina",+All!A332,IF(+All!$H332="North Carolina",+All!A332,0))</f>
        <v>5</v>
      </c>
      <c r="B109" s="348" t="str">
        <f>IF(+All!$F332="North Carolina",+All!B332,IF(+All!$H332="North Carolina",+All!B332,0))</f>
        <v>Sat</v>
      </c>
      <c r="C109" s="72">
        <f>IF(+All!$F332="North Carolina",+All!C332,IF(+All!$H332="North Carolina",+All!C332,0))</f>
        <v>44835</v>
      </c>
      <c r="D109" s="73">
        <f>IF(+All!$F332="North Carolina",+All!D332,IF(+All!$H332="North Carolina",+All!D332,0))</f>
        <v>0.64583333333333337</v>
      </c>
      <c r="E109" s="461" t="str">
        <f>IF(+All!$F332="North Carolina",+All!E332,IF(+All!$H332="North Carolina",+All!E332,0))</f>
        <v>ABC</v>
      </c>
      <c r="F109" s="460" t="str">
        <f>IF(+All!$F332="North Carolina",+All!F332,IF(+All!$H332="North Carolina",+All!F332,0))</f>
        <v>Virginia Tech</v>
      </c>
      <c r="G109" s="461" t="str">
        <f>IF(+All!$F332="North Carolina",+All!G332,IF(+All!$H332="North Carolina",+All!G332,0))</f>
        <v>ACC</v>
      </c>
      <c r="H109" s="460" t="str">
        <f>IF(+All!$F332="North Carolina",+All!H332,IF(+All!$H332="North Carolina",+All!H332,0))</f>
        <v>North Carolina</v>
      </c>
      <c r="I109" s="461" t="str">
        <f>IF(+All!$F332="North Carolina",+All!I332,IF(+All!$H332="North Carolina",+All!I332,0))</f>
        <v>ACC</v>
      </c>
      <c r="J109" s="460" t="str">
        <f>IF(+All!$F332="North Carolina",+All!J332,IF(+All!$H332="North Carolina",+All!J332,0))</f>
        <v>North Carolina</v>
      </c>
      <c r="K109" s="461" t="str">
        <f>IF(+All!$F332="North Carolina",+All!K332,IF(+All!$H332="North Carolina",+All!K332,0))</f>
        <v>Virginia Tech</v>
      </c>
      <c r="L109" s="60">
        <f>IF(+All!$F332="North Carolina",+All!L332,IF(+All!$H332="North Carolina",+All!L332,0))</f>
        <v>9</v>
      </c>
      <c r="M109" s="61">
        <f>IF(+All!$F332="North Carolina",+All!M332,IF(+All!$H332="North Carolina",+All!M332,0))</f>
        <v>51.5</v>
      </c>
      <c r="N109" s="460" t="str">
        <f>IF(+All!$F332="North Carolina",+All!N332,IF(+All!$H332="North Carolina",+All!N332,0))</f>
        <v>North Carolina</v>
      </c>
      <c r="O109" s="462">
        <f>IF(+All!$F332="North Carolina",+All!O332,IF(+All!$H332="North Carolina",+All!O332,0))</f>
        <v>41</v>
      </c>
      <c r="P109" s="462" t="str">
        <f>IF(+All!$F332="North Carolina",+All!P332,IF(+All!$H332="North Carolina",+All!P332,0))</f>
        <v>Virginia Tech</v>
      </c>
      <c r="Q109" s="461">
        <f>IF(+All!$F332="North Carolina",+All!Q332,IF(+All!$H332="North Carolina",+All!Q332,0))</f>
        <v>10</v>
      </c>
      <c r="R109" s="460" t="str">
        <f>IF(+All!$F332="North Carolina",+All!R332,IF(+All!$H332="North Carolina",+All!R332,0))</f>
        <v>North Carolina</v>
      </c>
      <c r="S109" s="462" t="str">
        <f>IF(+All!$F332="North Carolina",+All!S332,IF(+All!$H332="North Carolina",+All!S332,0))</f>
        <v>Virginia Tech</v>
      </c>
      <c r="T109" s="460" t="str">
        <f>IF(+All!$F332="North Carolina",+All!T332,IF(+All!$H332="North Carolina",+All!T332,0))</f>
        <v>North Carolina</v>
      </c>
      <c r="U109" s="461" t="str">
        <f>IF(+All!$F332="North Carolina",+All!U332,IF(+All!$H332="North Carolina",+All!U332,0))</f>
        <v>W</v>
      </c>
    </row>
    <row r="110" spans="1:21" ht="15.75" customHeight="1" x14ac:dyDescent="0.8">
      <c r="A110" s="46">
        <f>IF(+All!$F391="North Carolina",+All!A391,IF(+All!$H391="North Carolina",+All!A391,0))</f>
        <v>6</v>
      </c>
      <c r="B110" s="348" t="str">
        <f>IF(+All!$F391="North Carolina",+All!B391,IF(+All!$H391="North Carolina",+All!B391,0))</f>
        <v>Sat</v>
      </c>
      <c r="C110" s="72">
        <f>IF(+All!$F391="North Carolina",+All!C391,IF(+All!$H391="North Carolina",+All!C391,0))</f>
        <v>44842</v>
      </c>
      <c r="D110" s="73">
        <f>IF(+All!$F391="North Carolina",+All!D391,IF(+All!$H391="North Carolina",+All!D391,0))</f>
        <v>0.66666666666666663</v>
      </c>
      <c r="E110" s="461" t="str">
        <f>IF(+All!$F391="North Carolina",+All!E391,IF(+All!$H391="North Carolina",+All!E391,0))</f>
        <v>ESPN2</v>
      </c>
      <c r="F110" s="460" t="str">
        <f>IF(+All!$F391="North Carolina",+All!F391,IF(+All!$H391="North Carolina",+All!F391,0))</f>
        <v>North Carolina</v>
      </c>
      <c r="G110" s="461" t="str">
        <f>IF(+All!$F391="North Carolina",+All!G391,IF(+All!$H391="North Carolina",+All!G391,0))</f>
        <v>ACC</v>
      </c>
      <c r="H110" s="460" t="str">
        <f>IF(+All!$F391="North Carolina",+All!H391,IF(+All!$H391="North Carolina",+All!H391,0))</f>
        <v>Miami (FL)</v>
      </c>
      <c r="I110" s="461" t="str">
        <f>IF(+All!$F391="North Carolina",+All!I391,IF(+All!$H391="North Carolina",+All!I391,0))</f>
        <v>ACC</v>
      </c>
      <c r="J110" s="460" t="str">
        <f>IF(+All!$F391="North Carolina",+All!J391,IF(+All!$H391="North Carolina",+All!J391,0))</f>
        <v>Miami (FL)</v>
      </c>
      <c r="K110" s="461" t="str">
        <f>IF(+All!$F391="North Carolina",+All!K391,IF(+All!$H391="North Carolina",+All!K391,0))</f>
        <v>North Carolina</v>
      </c>
      <c r="L110" s="60">
        <f>IF(+All!$F391="North Carolina",+All!L391,IF(+All!$H391="North Carolina",+All!L391,0))</f>
        <v>3.5</v>
      </c>
      <c r="M110" s="61">
        <f>IF(+All!$F391="North Carolina",+All!M391,IF(+All!$H391="North Carolina",+All!M391,0))</f>
        <v>66</v>
      </c>
      <c r="N110" s="460" t="str">
        <f>IF(+All!$F391="North Carolina",+All!N391,IF(+All!$H391="North Carolina",+All!N391,0))</f>
        <v>North Carolina</v>
      </c>
      <c r="O110" s="462">
        <f>IF(+All!$F391="North Carolina",+All!O391,IF(+All!$H391="North Carolina",+All!O391,0))</f>
        <v>27</v>
      </c>
      <c r="P110" s="462" t="str">
        <f>IF(+All!$F391="North Carolina",+All!P391,IF(+All!$H391="North Carolina",+All!P391,0))</f>
        <v>Miami (FL)</v>
      </c>
      <c r="Q110" s="461">
        <f>IF(+All!$F391="North Carolina",+All!Q391,IF(+All!$H391="North Carolina",+All!Q391,0))</f>
        <v>24</v>
      </c>
      <c r="R110" s="460" t="str">
        <f>IF(+All!$F391="North Carolina",+All!R391,IF(+All!$H391="North Carolina",+All!R391,0))</f>
        <v>North Carolina</v>
      </c>
      <c r="S110" s="462" t="str">
        <f>IF(+All!$F391="North Carolina",+All!S391,IF(+All!$H391="North Carolina",+All!S391,0))</f>
        <v>Miami (FL)</v>
      </c>
      <c r="T110" s="460" t="str">
        <f>IF(+All!$F391="North Carolina",+All!T391,IF(+All!$H391="North Carolina",+All!T391,0))</f>
        <v>North Carolina</v>
      </c>
      <c r="U110" s="461" t="str">
        <f>IF(+All!$F391="North Carolina",+All!U391,IF(+All!$H391="North Carolina",+All!U391,0))</f>
        <v>W</v>
      </c>
    </row>
    <row r="111" spans="1:21" ht="15.75" customHeight="1" x14ac:dyDescent="0.8">
      <c r="A111" s="46">
        <f>IF(+All!$F445="North Carolina",+All!A445,IF(+All!$H445="North Carolina",+All!A445,0))</f>
        <v>7</v>
      </c>
      <c r="B111" s="348" t="str">
        <f>IF(+All!$F445="North Carolina",+All!B445,IF(+All!$H445="North Carolina",+All!B445,0))</f>
        <v>Sat</v>
      </c>
      <c r="C111" s="72">
        <f>IF(+All!$F445="North Carolina",+All!C445,IF(+All!$H445="North Carolina",+All!C445,0))</f>
        <v>44849</v>
      </c>
      <c r="D111" s="73">
        <f>IF(+All!$F445="North Carolina",+All!D445,IF(+All!$H445="North Carolina",+All!D445,0))</f>
        <v>0.83333333333333337</v>
      </c>
      <c r="E111" s="461" t="str">
        <f>IF(+All!$F445="North Carolina",+All!E445,IF(+All!$H445="North Carolina",+All!E445,0))</f>
        <v>ACC</v>
      </c>
      <c r="F111" s="460" t="str">
        <f>IF(+All!$F445="North Carolina",+All!F445,IF(+All!$H445="North Carolina",+All!F445,0))</f>
        <v>North Carolina</v>
      </c>
      <c r="G111" s="461" t="str">
        <f>IF(+All!$F445="North Carolina",+All!G445,IF(+All!$H445="North Carolina",+All!G445,0))</f>
        <v>ACC</v>
      </c>
      <c r="H111" s="460" t="str">
        <f>IF(+All!$F445="North Carolina",+All!H445,IF(+All!$H445="North Carolina",+All!H445,0))</f>
        <v>Duke</v>
      </c>
      <c r="I111" s="461" t="str">
        <f>IF(+All!$F445="North Carolina",+All!I445,IF(+All!$H445="North Carolina",+All!I445,0))</f>
        <v>ACC</v>
      </c>
      <c r="J111" s="460" t="str">
        <f>IF(+All!$F445="North Carolina",+All!J445,IF(+All!$H445="North Carolina",+All!J445,0))</f>
        <v>North Carolina</v>
      </c>
      <c r="K111" s="461" t="str">
        <f>IF(+All!$F445="North Carolina",+All!K445,IF(+All!$H445="North Carolina",+All!K445,0))</f>
        <v>Duke</v>
      </c>
      <c r="L111" s="60">
        <f>IF(+All!$F445="North Carolina",+All!L445,IF(+All!$H445="North Carolina",+All!L445,0))</f>
        <v>7</v>
      </c>
      <c r="M111" s="61">
        <f>IF(+All!$F445="North Carolina",+All!M445,IF(+All!$H445="North Carolina",+All!M445,0))</f>
        <v>67.5</v>
      </c>
      <c r="N111" s="460" t="str">
        <f>IF(+All!$F445="North Carolina",+All!N445,IF(+All!$H445="North Carolina",+All!N445,0))</f>
        <v>North Carolina</v>
      </c>
      <c r="O111" s="462">
        <f>IF(+All!$F445="North Carolina",+All!O445,IF(+All!$H445="North Carolina",+All!O445,0))</f>
        <v>38</v>
      </c>
      <c r="P111" s="462" t="str">
        <f>IF(+All!$F445="North Carolina",+All!P445,IF(+All!$H445="North Carolina",+All!P445,0))</f>
        <v>Duke</v>
      </c>
      <c r="Q111" s="461">
        <f>IF(+All!$F445="North Carolina",+All!Q445,IF(+All!$H445="North Carolina",+All!Q445,0))</f>
        <v>35</v>
      </c>
      <c r="R111" s="460" t="str">
        <f>IF(+All!$F445="North Carolina",+All!R445,IF(+All!$H445="North Carolina",+All!R445,0))</f>
        <v>Duke</v>
      </c>
      <c r="S111" s="462" t="str">
        <f>IF(+All!$F445="North Carolina",+All!S445,IF(+All!$H445="North Carolina",+All!S445,0))</f>
        <v>North Carolina</v>
      </c>
      <c r="T111" s="460" t="str">
        <f>IF(+All!$F445="North Carolina",+All!T445,IF(+All!$H445="North Carolina",+All!T445,0))</f>
        <v>North Carolina</v>
      </c>
      <c r="U111" s="461" t="str">
        <f>IF(+All!$F445="North Carolina",+All!U445,IF(+All!$H445="North Carolina",+All!U445,0))</f>
        <v>L</v>
      </c>
    </row>
    <row r="112" spans="1:21" ht="15.75" customHeight="1" x14ac:dyDescent="0.8">
      <c r="A112" s="46" t="e">
        <f>IF(+All!#REF!="North Carolina",+All!#REF!,IF(+All!#REF!="North Carolina",+All!#REF!,0))</f>
        <v>#REF!</v>
      </c>
      <c r="B112" s="348" t="e">
        <f>IF(+All!#REF!="North Carolina",+All!#REF!,IF(+All!#REF!="North Carolina",+All!#REF!,0))</f>
        <v>#REF!</v>
      </c>
      <c r="C112" s="72" t="e">
        <f>IF(+All!#REF!="North Carolina",+All!#REF!,IF(+All!#REF!="North Carolina",+All!#REF!,0))</f>
        <v>#REF!</v>
      </c>
      <c r="D112" s="73" t="e">
        <f>IF(+All!#REF!="North Carolina",+All!#REF!,IF(+All!#REF!="North Carolina",+All!#REF!,0))</f>
        <v>#REF!</v>
      </c>
      <c r="E112" s="461" t="e">
        <f>IF(+All!#REF!="North Carolina",+All!#REF!,IF(+All!#REF!="North Carolina",+All!#REF!,0))</f>
        <v>#REF!</v>
      </c>
      <c r="F112" s="460" t="e">
        <f>IF(+All!#REF!="North Carolina",+All!#REF!,IF(+All!#REF!="North Carolina",+All!#REF!,0))</f>
        <v>#REF!</v>
      </c>
      <c r="G112" s="461" t="e">
        <f>IF(+All!#REF!="North Carolina",+All!#REF!,IF(+All!#REF!="North Carolina",+All!#REF!,0))</f>
        <v>#REF!</v>
      </c>
      <c r="H112" s="460" t="e">
        <f>IF(+All!#REF!="North Carolina",+All!#REF!,IF(+All!#REF!="North Carolina",+All!#REF!,0))</f>
        <v>#REF!</v>
      </c>
      <c r="I112" s="461" t="e">
        <f>IF(+All!#REF!="North Carolina",+All!#REF!,IF(+All!#REF!="North Carolina",+All!#REF!,0))</f>
        <v>#REF!</v>
      </c>
      <c r="J112" s="460" t="e">
        <f>IF(+All!#REF!="North Carolina",+All!#REF!,IF(+All!#REF!="North Carolina",+All!#REF!,0))</f>
        <v>#REF!</v>
      </c>
      <c r="K112" s="461" t="e">
        <f>IF(+All!#REF!="North Carolina",+All!#REF!,IF(+All!#REF!="North Carolina",+All!#REF!,0))</f>
        <v>#REF!</v>
      </c>
      <c r="L112" s="60" t="e">
        <f>IF(+All!#REF!="North Carolina",+All!#REF!,IF(+All!#REF!="North Carolina",+All!#REF!,0))</f>
        <v>#REF!</v>
      </c>
      <c r="M112" s="61" t="e">
        <f>IF(+All!#REF!="North Carolina",+All!#REF!,IF(+All!#REF!="North Carolina",+All!#REF!,0))</f>
        <v>#REF!</v>
      </c>
      <c r="N112" s="460" t="e">
        <f>IF(+All!#REF!="North Carolina",+All!#REF!,IF(+All!#REF!="North Carolina",+All!#REF!,0))</f>
        <v>#REF!</v>
      </c>
      <c r="O112" s="462" t="e">
        <f>IF(+All!#REF!="North Carolina",+All!#REF!,IF(+All!#REF!="North Carolina",+All!#REF!,0))</f>
        <v>#REF!</v>
      </c>
      <c r="P112" s="462" t="e">
        <f>IF(+All!#REF!="North Carolina",+All!#REF!,IF(+All!#REF!="North Carolina",+All!#REF!,0))</f>
        <v>#REF!</v>
      </c>
      <c r="Q112" s="461" t="e">
        <f>IF(+All!#REF!="North Carolina",+All!#REF!,IF(+All!#REF!="North Carolina",+All!#REF!,0))</f>
        <v>#REF!</v>
      </c>
      <c r="R112" s="460" t="e">
        <f>IF(+All!#REF!="North Carolina",+All!#REF!,IF(+All!#REF!="North Carolina",+All!#REF!,0))</f>
        <v>#REF!</v>
      </c>
      <c r="S112" s="462" t="e">
        <f>IF(+All!#REF!="North Carolina",+All!#REF!,IF(+All!#REF!="North Carolina",+All!#REF!,0))</f>
        <v>#REF!</v>
      </c>
      <c r="T112" s="460" t="e">
        <f>IF(+All!#REF!="North Carolina",+All!#REF!,IF(+All!#REF!="North Carolina",+All!#REF!,0))</f>
        <v>#REF!</v>
      </c>
      <c r="U112" s="461" t="e">
        <f>IF(+All!#REF!="North Carolina",+All!#REF!,IF(+All!#REF!="North Carolina",+All!#REF!,0))</f>
        <v>#REF!</v>
      </c>
    </row>
    <row r="113" spans="1:21" ht="15.75" customHeight="1" x14ac:dyDescent="0.8">
      <c r="A113" s="46">
        <f>IF(+All!$F556="North Carolina",+All!A556,IF(+All!$H556="North Carolina",+All!A556,0))</f>
        <v>9</v>
      </c>
      <c r="B113" s="348" t="str">
        <f>IF(+All!$F556="North Carolina",+All!B556,IF(+All!$H556="North Carolina",+All!B556,0))</f>
        <v>Sat</v>
      </c>
      <c r="C113" s="72">
        <f>IF(+All!$F556="North Carolina",+All!C556,IF(+All!$H556="North Carolina",+All!C556,0))</f>
        <v>44863</v>
      </c>
      <c r="D113" s="73">
        <f>IF(+All!$F556="North Carolina",+All!D556,IF(+All!$H556="North Carolina",+All!D556,0))</f>
        <v>0.83333333333333337</v>
      </c>
      <c r="E113" s="461" t="str">
        <f>IF(+All!$F556="North Carolina",+All!E556,IF(+All!$H556="North Carolina",+All!E556,0))</f>
        <v>ACC</v>
      </c>
      <c r="F113" s="460" t="str">
        <f>IF(+All!$F556="North Carolina",+All!F556,IF(+All!$H556="North Carolina",+All!F556,0))</f>
        <v>Pittsburgh</v>
      </c>
      <c r="G113" s="461" t="str">
        <f>IF(+All!$F556="North Carolina",+All!G556,IF(+All!$H556="North Carolina",+All!G556,0))</f>
        <v>ACC</v>
      </c>
      <c r="H113" s="460" t="str">
        <f>IF(+All!$F556="North Carolina",+All!H556,IF(+All!$H556="North Carolina",+All!H556,0))</f>
        <v>North Carolina</v>
      </c>
      <c r="I113" s="461" t="str">
        <f>IF(+All!$F556="North Carolina",+All!I556,IF(+All!$H556="North Carolina",+All!I556,0))</f>
        <v>ACC</v>
      </c>
      <c r="J113" s="460" t="str">
        <f>IF(+All!$F556="North Carolina",+All!J556,IF(+All!$H556="North Carolina",+All!J556,0))</f>
        <v>North Carolina</v>
      </c>
      <c r="K113" s="461" t="str">
        <f>IF(+All!$F556="North Carolina",+All!K556,IF(+All!$H556="North Carolina",+All!K556,0))</f>
        <v>Pittsburgh</v>
      </c>
      <c r="L113" s="60">
        <f>IF(+All!$F556="North Carolina",+All!L556,IF(+All!$H556="North Carolina",+All!L556,0))</f>
        <v>3</v>
      </c>
      <c r="M113" s="61">
        <f>IF(+All!$F556="North Carolina",+All!M556,IF(+All!$H556="North Carolina",+All!M556,0))</f>
        <v>64.5</v>
      </c>
      <c r="N113" s="460" t="str">
        <f>IF(+All!$F556="North Carolina",+All!N556,IF(+All!$H556="North Carolina",+All!N556,0))</f>
        <v>North Carolina</v>
      </c>
      <c r="O113" s="462">
        <f>IF(+All!$F556="North Carolina",+All!O556,IF(+All!$H556="North Carolina",+All!O556,0))</f>
        <v>42</v>
      </c>
      <c r="P113" s="462" t="str">
        <f>IF(+All!$F556="North Carolina",+All!P556,IF(+All!$H556="North Carolina",+All!P556,0))</f>
        <v>Pittsburgh</v>
      </c>
      <c r="Q113" s="461">
        <f>IF(+All!$F556="North Carolina",+All!Q556,IF(+All!$H556="North Carolina",+All!Q556,0))</f>
        <v>24</v>
      </c>
      <c r="R113" s="460" t="str">
        <f>IF(+All!$F556="North Carolina",+All!R556,IF(+All!$H556="North Carolina",+All!R556,0))</f>
        <v>North Carolina</v>
      </c>
      <c r="S113" s="462" t="str">
        <f>IF(+All!$F556="North Carolina",+All!S556,IF(+All!$H556="North Carolina",+All!S556,0))</f>
        <v>Pittsburgh</v>
      </c>
      <c r="T113" s="460" t="str">
        <f>IF(+All!$F556="North Carolina",+All!T556,IF(+All!$H556="North Carolina",+All!T556,0))</f>
        <v>North Carolina</v>
      </c>
      <c r="U113" s="461" t="str">
        <f>IF(+All!$F556="North Carolina",+All!U556,IF(+All!$H556="North Carolina",+All!U556,0))</f>
        <v>W</v>
      </c>
    </row>
    <row r="114" spans="1:21" ht="15.75" customHeight="1" x14ac:dyDescent="0.8">
      <c r="A114" s="46">
        <f>IF(+All!$F611="North Carolina",+All!A611,IF(+All!$H611="North Carolina",+All!A611,0))</f>
        <v>10</v>
      </c>
      <c r="B114" s="348" t="str">
        <f>IF(+All!$F611="North Carolina",+All!B611,IF(+All!$H611="North Carolina",+All!B611,0))</f>
        <v>Sat</v>
      </c>
      <c r="C114" s="72">
        <f>IF(+All!$F611="North Carolina",+All!C611,IF(+All!$H611="North Carolina",+All!C611,0))</f>
        <v>44870</v>
      </c>
      <c r="D114" s="73">
        <f>IF(+All!$F611="North Carolina",+All!D611,IF(+All!$H611="North Carolina",+All!D611,0))</f>
        <v>0.5</v>
      </c>
      <c r="E114" s="461" t="str">
        <f>IF(+All!$F611="North Carolina",+All!E611,IF(+All!$H611="North Carolina",+All!E611,0))</f>
        <v>ACC</v>
      </c>
      <c r="F114" s="460" t="str">
        <f>IF(+All!$F611="North Carolina",+All!F611,IF(+All!$H611="North Carolina",+All!F611,0))</f>
        <v>North Carolina</v>
      </c>
      <c r="G114" s="461" t="str">
        <f>IF(+All!$F611="North Carolina",+All!G611,IF(+All!$H611="North Carolina",+All!G611,0))</f>
        <v>ACC</v>
      </c>
      <c r="H114" s="460" t="str">
        <f>IF(+All!$F611="North Carolina",+All!H611,IF(+All!$H611="North Carolina",+All!H611,0))</f>
        <v>Virginia</v>
      </c>
      <c r="I114" s="461" t="str">
        <f>IF(+All!$F611="North Carolina",+All!I611,IF(+All!$H611="North Carolina",+All!I611,0))</f>
        <v>ACC</v>
      </c>
      <c r="J114" s="460" t="str">
        <f>IF(+All!$F611="North Carolina",+All!J611,IF(+All!$H611="North Carolina",+All!J611,0))</f>
        <v>North Carolina</v>
      </c>
      <c r="K114" s="461" t="str">
        <f>IF(+All!$F611="North Carolina",+All!K611,IF(+All!$H611="North Carolina",+All!K611,0))</f>
        <v>Virginia</v>
      </c>
      <c r="L114" s="60">
        <f>IF(+All!$F611="North Carolina",+All!L611,IF(+All!$H611="North Carolina",+All!L611,0))</f>
        <v>7.5</v>
      </c>
      <c r="M114" s="61">
        <f>IF(+All!$F611="North Carolina",+All!M611,IF(+All!$H611="North Carolina",+All!M611,0))</f>
        <v>59</v>
      </c>
      <c r="N114" s="460" t="str">
        <f>IF(+All!$F611="North Carolina",+All!N611,IF(+All!$H611="North Carolina",+All!N611,0))</f>
        <v>North Carolina</v>
      </c>
      <c r="O114" s="462">
        <f>IF(+All!$F611="North Carolina",+All!O611,IF(+All!$H611="North Carolina",+All!O611,0))</f>
        <v>31</v>
      </c>
      <c r="P114" s="462" t="str">
        <f>IF(+All!$F611="North Carolina",+All!P611,IF(+All!$H611="North Carolina",+All!P611,0))</f>
        <v>Virginia</v>
      </c>
      <c r="Q114" s="461">
        <f>IF(+All!$F611="North Carolina",+All!Q611,IF(+All!$H611="North Carolina",+All!Q611,0))</f>
        <v>28</v>
      </c>
      <c r="R114" s="460" t="str">
        <f>IF(+All!$F611="North Carolina",+All!R611,IF(+All!$H611="North Carolina",+All!R611,0))</f>
        <v>Virginia</v>
      </c>
      <c r="S114" s="462" t="str">
        <f>IF(+All!$F611="North Carolina",+All!S611,IF(+All!$H611="North Carolina",+All!S611,0))</f>
        <v>North Carolina</v>
      </c>
      <c r="T114" s="460" t="str">
        <f>IF(+All!$F611="North Carolina",+All!T611,IF(+All!$H611="North Carolina",+All!T611,0))</f>
        <v>Virginia</v>
      </c>
      <c r="U114" s="461" t="str">
        <f>IF(+All!$F611="North Carolina",+All!U611,IF(+All!$H611="North Carolina",+All!U611,0))</f>
        <v>W</v>
      </c>
    </row>
    <row r="115" spans="1:21" ht="15.75" customHeight="1" x14ac:dyDescent="0.8">
      <c r="A115" s="46">
        <f>IF(+All!$F674="North Carolina",+All!A674,IF(+All!$H674="North Carolina",+All!A674,0))</f>
        <v>11</v>
      </c>
      <c r="B115" s="348" t="str">
        <f>IF(+All!$F674="North Carolina",+All!B674,IF(+All!$H674="North Carolina",+All!B674,0))</f>
        <v>Sat</v>
      </c>
      <c r="C115" s="72">
        <f>IF(+All!$F674="North Carolina",+All!C674,IF(+All!$H674="North Carolina",+All!C674,0))</f>
        <v>44877</v>
      </c>
      <c r="D115" s="73">
        <f>IF(+All!$F674="North Carolina",+All!D674,IF(+All!$H674="North Carolina",+All!D674,0))</f>
        <v>0.8125</v>
      </c>
      <c r="E115" s="461" t="str">
        <f>IF(+All!$F674="North Carolina",+All!E674,IF(+All!$H674="North Carolina",+All!E674,0))</f>
        <v>ESPN2</v>
      </c>
      <c r="F115" s="460" t="str">
        <f>IF(+All!$F674="North Carolina",+All!F674,IF(+All!$H674="North Carolina",+All!F674,0))</f>
        <v>North Carolina</v>
      </c>
      <c r="G115" s="461" t="str">
        <f>IF(+All!$F674="North Carolina",+All!G674,IF(+All!$H674="North Carolina",+All!G674,0))</f>
        <v>ACC</v>
      </c>
      <c r="H115" s="460" t="str">
        <f>IF(+All!$F674="North Carolina",+All!H674,IF(+All!$H674="North Carolina",+All!H674,0))</f>
        <v>Wake Forest</v>
      </c>
      <c r="I115" s="461" t="str">
        <f>IF(+All!$F674="North Carolina",+All!I674,IF(+All!$H674="North Carolina",+All!I674,0))</f>
        <v>ACC</v>
      </c>
      <c r="J115" s="460" t="str">
        <f>IF(+All!$F674="North Carolina",+All!J674,IF(+All!$H674="North Carolina",+All!J674,0))</f>
        <v>Wake Forest</v>
      </c>
      <c r="K115" s="461" t="str">
        <f>IF(+All!$F674="North Carolina",+All!K674,IF(+All!$H674="North Carolina",+All!K674,0))</f>
        <v>North Carolina</v>
      </c>
      <c r="L115" s="60">
        <f>IF(+All!$F674="North Carolina",+All!L674,IF(+All!$H674="North Carolina",+All!L674,0))</f>
        <v>3.5</v>
      </c>
      <c r="M115" s="61">
        <f>IF(+All!$F674="North Carolina",+All!M674,IF(+All!$H674="North Carolina",+All!M674,0))</f>
        <v>77</v>
      </c>
      <c r="N115" s="460" t="str">
        <f>IF(+All!$F674="North Carolina",+All!N674,IF(+All!$H674="North Carolina",+All!N674,0))</f>
        <v>North Carolina</v>
      </c>
      <c r="O115" s="462">
        <f>IF(+All!$F674="North Carolina",+All!O674,IF(+All!$H674="North Carolina",+All!O674,0))</f>
        <v>36</v>
      </c>
      <c r="P115" s="462" t="str">
        <f>IF(+All!$F674="North Carolina",+All!P674,IF(+All!$H674="North Carolina",+All!P674,0))</f>
        <v>Wake Forest</v>
      </c>
      <c r="Q115" s="461">
        <f>IF(+All!$F674="North Carolina",+All!Q674,IF(+All!$H674="North Carolina",+All!Q674,0))</f>
        <v>34</v>
      </c>
      <c r="R115" s="460" t="str">
        <f>IF(+All!$F674="North Carolina",+All!R674,IF(+All!$H674="North Carolina",+All!R674,0))</f>
        <v>North Carolina</v>
      </c>
      <c r="S115" s="462" t="str">
        <f>IF(+All!$F674="North Carolina",+All!S674,IF(+All!$H674="North Carolina",+All!S674,0))</f>
        <v>Wake Forest</v>
      </c>
      <c r="T115" s="460" t="str">
        <f>IF(+All!$F674="North Carolina",+All!T674,IF(+All!$H674="North Carolina",+All!T674,0))</f>
        <v>North Carolina</v>
      </c>
      <c r="U115" s="461" t="str">
        <f>IF(+All!$F674="North Carolina",+All!U674,IF(+All!$H674="North Carolina",+All!U674,0))</f>
        <v>W</v>
      </c>
    </row>
    <row r="116" spans="1:21" ht="15.75" customHeight="1" x14ac:dyDescent="0.8">
      <c r="A116" s="46">
        <f>IF(+All!$F733="North Carolina",+All!A733,IF(+All!$H733="North Carolina",+All!A733,0))</f>
        <v>12</v>
      </c>
      <c r="B116" s="348" t="str">
        <f>IF(+All!$F733="North Carolina",+All!B733,IF(+All!$H733="North Carolina",+All!B733,0))</f>
        <v>Sat</v>
      </c>
      <c r="C116" s="72">
        <f>IF(+All!$F733="North Carolina",+All!C733,IF(+All!$H733="North Carolina",+All!C733,0))</f>
        <v>44884</v>
      </c>
      <c r="D116" s="73">
        <f>IF(+All!$F733="North Carolina",+All!D733,IF(+All!$H733="North Carolina",+All!D733,0))</f>
        <v>0.72916666666666663</v>
      </c>
      <c r="E116" s="461" t="str">
        <f>IF(+All!$F733="North Carolina",+All!E733,IF(+All!$H733="North Carolina",+All!E733,0))</f>
        <v>ESPN2</v>
      </c>
      <c r="F116" s="460" t="str">
        <f>IF(+All!$F733="North Carolina",+All!F733,IF(+All!$H733="North Carolina",+All!F733,0))</f>
        <v>Georgia Tech</v>
      </c>
      <c r="G116" s="461" t="str">
        <f>IF(+All!$F733="North Carolina",+All!G733,IF(+All!$H733="North Carolina",+All!G733,0))</f>
        <v>ACC</v>
      </c>
      <c r="H116" s="460" t="str">
        <f>IF(+All!$F733="North Carolina",+All!H733,IF(+All!$H733="North Carolina",+All!H733,0))</f>
        <v>North Carolina</v>
      </c>
      <c r="I116" s="461" t="str">
        <f>IF(+All!$F733="North Carolina",+All!I733,IF(+All!$H733="North Carolina",+All!I733,0))</f>
        <v>ACC</v>
      </c>
      <c r="J116" s="460" t="str">
        <f>IF(+All!$F733="North Carolina",+All!J733,IF(+All!$H733="North Carolina",+All!J733,0))</f>
        <v>North Carolina</v>
      </c>
      <c r="K116" s="461" t="str">
        <f>IF(+All!$F733="North Carolina",+All!K733,IF(+All!$H733="North Carolina",+All!K733,0))</f>
        <v>Georgia Tech</v>
      </c>
      <c r="L116" s="60">
        <f>IF(+All!$F733="North Carolina",+All!L733,IF(+All!$H733="North Carolina",+All!L733,0))</f>
        <v>21</v>
      </c>
      <c r="M116" s="61">
        <f>IF(+All!$F733="North Carolina",+All!M733,IF(+All!$H733="North Carolina",+All!M733,0))</f>
        <v>62.5</v>
      </c>
      <c r="N116" s="460" t="str">
        <f>IF(+All!$F733="North Carolina",+All!N733,IF(+All!$H733="North Carolina",+All!N733,0))</f>
        <v>Georgia Tech</v>
      </c>
      <c r="O116" s="462">
        <f>IF(+All!$F733="North Carolina",+All!O733,IF(+All!$H733="North Carolina",+All!O733,0))</f>
        <v>21</v>
      </c>
      <c r="P116" s="462" t="str">
        <f>IF(+All!$F733="North Carolina",+All!P733,IF(+All!$H733="North Carolina",+All!P733,0))</f>
        <v>North Carolina</v>
      </c>
      <c r="Q116" s="461">
        <f>IF(+All!$F733="North Carolina",+All!Q733,IF(+All!$H733="North Carolina",+All!Q733,0))</f>
        <v>17</v>
      </c>
      <c r="R116" s="460" t="str">
        <f>IF(+All!$F733="North Carolina",+All!R733,IF(+All!$H733="North Carolina",+All!R733,0))</f>
        <v>Georgia Tech</v>
      </c>
      <c r="S116" s="462" t="str">
        <f>IF(+All!$F733="North Carolina",+All!S733,IF(+All!$H733="North Carolina",+All!S733,0))</f>
        <v>North Carolina</v>
      </c>
      <c r="T116" s="460" t="str">
        <f>IF(+All!$F733="North Carolina",+All!T733,IF(+All!$H733="North Carolina",+All!T733,0))</f>
        <v>Georgia Tech</v>
      </c>
      <c r="U116" s="461" t="str">
        <f>IF(+All!$F733="North Carolina",+All!U733,IF(+All!$H733="North Carolina",+All!U733,0))</f>
        <v>W</v>
      </c>
    </row>
    <row r="117" spans="1:21" ht="15.75" customHeight="1" x14ac:dyDescent="0.8">
      <c r="A117" s="46">
        <f>IF(+All!$F792="North Carolina",+All!A792,IF(+All!$H792="North Carolina",+All!A792,0))</f>
        <v>13</v>
      </c>
      <c r="B117" s="348" t="str">
        <f>IF(+All!$F792="North Carolina",+All!B792,IF(+All!$H792="North Carolina",+All!B792,0))</f>
        <v>Fri</v>
      </c>
      <c r="C117" s="72">
        <f>IF(+All!$F792="North Carolina",+All!C792,IF(+All!$H792="North Carolina",+All!C792,0))</f>
        <v>44890</v>
      </c>
      <c r="D117" s="73">
        <f>IF(+All!$F792="North Carolina",+All!D792,IF(+All!$H792="North Carolina",+All!D792,0))</f>
        <v>0.64583333333333337</v>
      </c>
      <c r="E117" s="461" t="str">
        <f>IF(+All!$F792="North Carolina",+All!E792,IF(+All!$H792="North Carolina",+All!E792,0))</f>
        <v>ABC</v>
      </c>
      <c r="F117" s="460" t="str">
        <f>IF(+All!$F792="North Carolina",+All!F792,IF(+All!$H792="North Carolina",+All!F792,0))</f>
        <v>North Carolina St</v>
      </c>
      <c r="G117" s="461" t="str">
        <f>IF(+All!$F792="North Carolina",+All!G792,IF(+All!$H792="North Carolina",+All!G792,0))</f>
        <v>ACC</v>
      </c>
      <c r="H117" s="460" t="str">
        <f>IF(+All!$F792="North Carolina",+All!H792,IF(+All!$H792="North Carolina",+All!H792,0))</f>
        <v>North Carolina</v>
      </c>
      <c r="I117" s="461" t="str">
        <f>IF(+All!$F792="North Carolina",+All!I792,IF(+All!$H792="North Carolina",+All!I792,0))</f>
        <v>ACC</v>
      </c>
      <c r="J117" s="460" t="str">
        <f>IF(+All!$F792="North Carolina",+All!J792,IF(+All!$H792="North Carolina",+All!J792,0))</f>
        <v>North Carolina</v>
      </c>
      <c r="K117" s="461" t="str">
        <f>IF(+All!$F792="North Carolina",+All!K792,IF(+All!$H792="North Carolina",+All!K792,0))</f>
        <v>North Carolina St</v>
      </c>
      <c r="L117" s="60">
        <f>IF(+All!$F792="North Carolina",+All!L792,IF(+All!$H792="North Carolina",+All!L792,0))</f>
        <v>6.5</v>
      </c>
      <c r="M117" s="61">
        <f>IF(+All!$F792="North Carolina",+All!M792,IF(+All!$H792="North Carolina",+All!M792,0))</f>
        <v>55.5</v>
      </c>
      <c r="N117" s="460" t="str">
        <f>IF(+All!$F792="North Carolina",+All!N792,IF(+All!$H792="North Carolina",+All!N792,0))</f>
        <v>North Carolina St</v>
      </c>
      <c r="O117" s="462">
        <f>IF(+All!$F792="North Carolina",+All!O792,IF(+All!$H792="North Carolina",+All!O792,0))</f>
        <v>30</v>
      </c>
      <c r="P117" s="462" t="str">
        <f>IF(+All!$F792="North Carolina",+All!P792,IF(+All!$H792="North Carolina",+All!P792,0))</f>
        <v>North Carolina</v>
      </c>
      <c r="Q117" s="461">
        <f>IF(+All!$F792="North Carolina",+All!Q792,IF(+All!$H792="North Carolina",+All!Q792,0))</f>
        <v>27</v>
      </c>
      <c r="R117" s="460" t="str">
        <f>IF(+All!$F792="North Carolina",+All!R792,IF(+All!$H792="North Carolina",+All!R792,0))</f>
        <v>North Carolina St</v>
      </c>
      <c r="S117" s="462" t="str">
        <f>IF(+All!$F792="North Carolina",+All!S792,IF(+All!$H792="North Carolina",+All!S792,0))</f>
        <v>North Carolina</v>
      </c>
      <c r="T117" s="460" t="str">
        <f>IF(+All!$F792="North Carolina",+All!T792,IF(+All!$H792="North Carolina",+All!T792,0))</f>
        <v>North Carolina</v>
      </c>
      <c r="U117" s="461" t="str">
        <f>IF(+All!$F792="North Carolina",+All!U792,IF(+All!$H792="North Carolina",+All!U792,0))</f>
        <v>L</v>
      </c>
    </row>
    <row r="118" spans="1:21" ht="15.75" customHeight="1" x14ac:dyDescent="0.8">
      <c r="A118" s="38"/>
      <c r="B118" s="39"/>
      <c r="C118" s="40"/>
      <c r="D118" s="41"/>
      <c r="E118" s="463"/>
      <c r="F118" s="897" t="str">
        <f>H120</f>
        <v>North Carolina St</v>
      </c>
      <c r="G118" s="901"/>
      <c r="H118" s="901"/>
      <c r="I118" s="902"/>
      <c r="J118" s="459"/>
      <c r="K118" s="463"/>
      <c r="L118" s="44"/>
      <c r="M118" s="45"/>
      <c r="N118" s="459"/>
      <c r="O118" s="5"/>
      <c r="P118" s="5"/>
      <c r="Q118" s="463"/>
      <c r="R118" s="459"/>
      <c r="S118" s="5"/>
      <c r="T118" s="459"/>
      <c r="U118" s="463"/>
    </row>
    <row r="119" spans="1:21" ht="15.75" customHeight="1" x14ac:dyDescent="0.8">
      <c r="A119" s="46">
        <f>IF(+All!$F32="North Carolina St",+All!A32,IF(+All!$H32="North Carolina St",+All!A32,0))</f>
        <v>1</v>
      </c>
      <c r="B119" s="348" t="str">
        <f>IF(+All!$F32="North Carolina St",+All!B32,IF(+All!$H32="North Carolina St",+All!B32,0))</f>
        <v>Sat</v>
      </c>
      <c r="C119" s="72">
        <f>IF(+All!$F32="North Carolina St",+All!C32,IF(+All!$H32="North Carolina St",+All!C32,0))</f>
        <v>44807</v>
      </c>
      <c r="D119" s="73">
        <f>IF(+All!$F32="North Carolina St",+All!D32,IF(+All!$H32="North Carolina St",+All!D32,0))</f>
        <v>0.5</v>
      </c>
      <c r="E119" s="461" t="str">
        <f>IF(+All!$F32="North Carolina St",+All!E32,IF(+All!$H32="North Carolina St",+All!E32,0))</f>
        <v>ESPN</v>
      </c>
      <c r="F119" s="460" t="str">
        <f>IF(+All!$F32="North Carolina St",+All!F32,IF(+All!$H32="North Carolina St",+All!F32,0))</f>
        <v>North Carolina St</v>
      </c>
      <c r="G119" s="461" t="str">
        <f>IF(+All!$F32="North Carolina St",+All!G32,IF(+All!$H32="North Carolina St",+All!G32,0))</f>
        <v>ACC</v>
      </c>
      <c r="H119" s="460" t="str">
        <f>IF(+All!$F32="North Carolina St",+All!H32,IF(+All!$H32="North Carolina St",+All!H32,0))</f>
        <v>East Carolina</v>
      </c>
      <c r="I119" s="461" t="str">
        <f>IF(+All!$F32="North Carolina St",+All!I32,IF(+All!$H32="North Carolina St",+All!I32,0))</f>
        <v>AAC</v>
      </c>
      <c r="J119" s="460" t="str">
        <f>IF(+All!$F32="North Carolina St",+All!J32,IF(+All!$H32="North Carolina St",+All!J32,0))</f>
        <v>North Carolina St</v>
      </c>
      <c r="K119" s="461" t="str">
        <f>IF(+All!$F32="North Carolina St",+All!K32,IF(+All!$H32="North Carolina St",+All!K32,0))</f>
        <v>East Carolina</v>
      </c>
      <c r="L119" s="60">
        <f>IF(+All!$F32="North Carolina St",+All!L32,IF(+All!$H32="North Carolina St",+All!L32,0))</f>
        <v>11</v>
      </c>
      <c r="M119" s="61">
        <f>IF(+All!$F32="North Carolina St",+All!M32,IF(+All!$H32="North Carolina St",+All!M32,0))</f>
        <v>55</v>
      </c>
      <c r="N119" s="460" t="str">
        <f>IF(+All!$F32="North Carolina St",+All!N32,IF(+All!$H32="North Carolina St",+All!N32,0))</f>
        <v>North Carolina St</v>
      </c>
      <c r="O119" s="462">
        <f>IF(+All!$F32="North Carolina St",+All!O32,IF(+All!$H32="North Carolina St",+All!O32,0))</f>
        <v>21</v>
      </c>
      <c r="P119" s="462" t="str">
        <f>IF(+All!$F32="North Carolina St",+All!P32,IF(+All!$H32="North Carolina St",+All!P32,0))</f>
        <v>East Carolina</v>
      </c>
      <c r="Q119" s="461">
        <f>IF(+All!$F32="North Carolina St",+All!Q32,IF(+All!$H32="North Carolina St",+All!Q32,0))</f>
        <v>20</v>
      </c>
      <c r="R119" s="460" t="str">
        <f>IF(+All!$F32="North Carolina St",+All!R32,IF(+All!$H32="North Carolina St",+All!R32,0))</f>
        <v>East Carolina</v>
      </c>
      <c r="S119" s="462" t="str">
        <f>IF(+All!$F32="North Carolina St",+All!S32,IF(+All!$H32="North Carolina St",+All!S32,0))</f>
        <v>North Carolina St</v>
      </c>
      <c r="T119" s="460" t="str">
        <f>IF(+All!$F32="North Carolina St",+All!T32,IF(+All!$H32="North Carolina St",+All!T32,0))</f>
        <v>North Carolina St</v>
      </c>
      <c r="U119" s="461" t="str">
        <f>IF(+All!$F32="North Carolina St",+All!U32,IF(+All!$H32="North Carolina St",+All!U32,0))</f>
        <v>L</v>
      </c>
    </row>
    <row r="120" spans="1:21" ht="15.75" customHeight="1" x14ac:dyDescent="0.8">
      <c r="A120" s="46">
        <f>IF(+All!$F111="North Carolina St",+All!A111,IF(+All!$H111="North Carolina St",+All!A111,0))</f>
        <v>2</v>
      </c>
      <c r="B120" s="348" t="str">
        <f>IF(+All!$F111="North Carolina St",+All!B111,IF(+All!$H111="North Carolina St",+All!B111,0))</f>
        <v>Sat</v>
      </c>
      <c r="C120" s="72">
        <f>IF(+All!$F111="North Carolina St",+All!C111,IF(+All!$H111="North Carolina St",+All!C111,0))</f>
        <v>44814</v>
      </c>
      <c r="D120" s="73">
        <f>IF(+All!$F111="North Carolina St",+All!D111,IF(+All!$H111="North Carolina St",+All!D111,0))</f>
        <v>0.52083333333333337</v>
      </c>
      <c r="E120" s="461" t="str">
        <f>IF(+All!$F111="North Carolina St",+All!E111,IF(+All!$H111="North Carolina St",+All!E111,0))</f>
        <v>espn3</v>
      </c>
      <c r="F120" s="460" t="str">
        <f>IF(+All!$F111="North Carolina St",+All!F111,IF(+All!$H111="North Carolina St",+All!F111,0))</f>
        <v>1AA Charleston Southern</v>
      </c>
      <c r="G120" s="461" t="str">
        <f>IF(+All!$F111="North Carolina St",+All!G111,IF(+All!$H111="North Carolina St",+All!G111,0))</f>
        <v>1AA</v>
      </c>
      <c r="H120" s="460" t="str">
        <f>IF(+All!$F111="North Carolina St",+All!H111,IF(+All!$H111="North Carolina St",+All!H111,0))</f>
        <v>North Carolina St</v>
      </c>
      <c r="I120" s="461" t="str">
        <f>IF(+All!$F111="North Carolina St",+All!I111,IF(+All!$H111="North Carolina St",+All!I111,0))</f>
        <v>ACC</v>
      </c>
      <c r="J120" s="460">
        <f>IF(+All!$F111="North Carolina St",+All!J111,IF(+All!$H111="North Carolina St",+All!J111,0))</f>
        <v>0</v>
      </c>
      <c r="K120" s="461">
        <f>IF(+All!$F111="North Carolina St",+All!K111,IF(+All!$H111="North Carolina St",+All!K111,0))</f>
        <v>0</v>
      </c>
      <c r="L120" s="60">
        <f>IF(+All!$F111="North Carolina St",+All!L111,IF(+All!$H111="North Carolina St",+All!L111,0))</f>
        <v>0</v>
      </c>
      <c r="M120" s="61">
        <f>IF(+All!$F111="North Carolina St",+All!M111,IF(+All!$H111="North Carolina St",+All!M111,0))</f>
        <v>0</v>
      </c>
      <c r="N120" s="460" t="str">
        <f>IF(+All!$F111="North Carolina St",+All!N111,IF(+All!$H111="North Carolina St",+All!N111,0))</f>
        <v>North Carolina St</v>
      </c>
      <c r="O120" s="462">
        <f>IF(+All!$F111="North Carolina St",+All!O111,IF(+All!$H111="North Carolina St",+All!O111,0))</f>
        <v>55</v>
      </c>
      <c r="P120" s="462" t="str">
        <f>IF(+All!$F111="North Carolina St",+All!P111,IF(+All!$H111="North Carolina St",+All!P111,0))</f>
        <v>1AA Charleston Southern</v>
      </c>
      <c r="Q120" s="461">
        <f>IF(+All!$F111="North Carolina St",+All!Q111,IF(+All!$H111="North Carolina St",+All!Q111,0))</f>
        <v>3</v>
      </c>
      <c r="R120" s="460">
        <f>IF(+All!$F111="North Carolina St",+All!R111,IF(+All!$H111="North Carolina St",+All!R111,0))</f>
        <v>0</v>
      </c>
      <c r="S120" s="462">
        <f>IF(+All!$F111="North Carolina St",+All!S111,IF(+All!$H111="North Carolina St",+All!S111,0))</f>
        <v>0</v>
      </c>
      <c r="T120" s="460">
        <f>IF(+All!$F111="North Carolina St",+All!T111,IF(+All!$H111="North Carolina St",+All!T111,0))</f>
        <v>0</v>
      </c>
      <c r="U120" s="461">
        <f>IF(+All!$F111="North Carolina St",+All!U111,IF(+All!$H111="North Carolina St",+All!U111,0))</f>
        <v>0</v>
      </c>
    </row>
    <row r="121" spans="1:21" ht="15.75" customHeight="1" x14ac:dyDescent="0.8">
      <c r="A121" s="46">
        <f>IF(+All!$F192="North Carolina St",+All!A192,IF(+All!$H192="North Carolina St",+All!A192,0))</f>
        <v>3</v>
      </c>
      <c r="B121" s="348" t="str">
        <f>IF(+All!$F192="North Carolina St",+All!B192,IF(+All!$H192="North Carolina St",+All!B192,0))</f>
        <v>Sat</v>
      </c>
      <c r="C121" s="72">
        <f>IF(+All!$F192="North Carolina St",+All!C192,IF(+All!$H192="North Carolina St",+All!C192,0))</f>
        <v>44821</v>
      </c>
      <c r="D121" s="73">
        <f>IF(+All!$F192="North Carolina St",+All!D192,IF(+All!$H192="North Carolina St",+All!D192,0))</f>
        <v>0.79166666666666663</v>
      </c>
      <c r="E121" s="461">
        <f>IF(+All!$F192="North Carolina St",+All!E192,IF(+All!$H192="North Carolina St",+All!E192,0))</f>
        <v>0</v>
      </c>
      <c r="F121" s="460" t="str">
        <f>IF(+All!$F192="North Carolina St",+All!F192,IF(+All!$H192="North Carolina St",+All!F192,0))</f>
        <v>Texas Tech</v>
      </c>
      <c r="G121" s="461" t="str">
        <f>IF(+All!$F192="North Carolina St",+All!G192,IF(+All!$H192="North Carolina St",+All!G192,0))</f>
        <v>B12</v>
      </c>
      <c r="H121" s="460" t="str">
        <f>IF(+All!$F192="North Carolina St",+All!H192,IF(+All!$H192="North Carolina St",+All!H192,0))</f>
        <v>North Carolina St</v>
      </c>
      <c r="I121" s="461" t="str">
        <f>IF(+All!$F192="North Carolina St",+All!I192,IF(+All!$H192="North Carolina St",+All!I192,0))</f>
        <v>ACC</v>
      </c>
      <c r="J121" s="460" t="str">
        <f>IF(+All!$F192="North Carolina St",+All!J192,IF(+All!$H192="North Carolina St",+All!J192,0))</f>
        <v>North Carolina St</v>
      </c>
      <c r="K121" s="461" t="str">
        <f>IF(+All!$F192="North Carolina St",+All!K192,IF(+All!$H192="North Carolina St",+All!K192,0))</f>
        <v>Texas Tech</v>
      </c>
      <c r="L121" s="60">
        <f>IF(+All!$F192="North Carolina St",+All!L192,IF(+All!$H192="North Carolina St",+All!L192,0))</f>
        <v>10</v>
      </c>
      <c r="M121" s="61">
        <f>IF(+All!$F192="North Carolina St",+All!M192,IF(+All!$H192="North Carolina St",+All!M192,0))</f>
        <v>55.5</v>
      </c>
      <c r="N121" s="460" t="str">
        <f>IF(+All!$F192="North Carolina St",+All!N192,IF(+All!$H192="North Carolina St",+All!N192,0))</f>
        <v>North Carolina St</v>
      </c>
      <c r="O121" s="462">
        <f>IF(+All!$F192="North Carolina St",+All!O192,IF(+All!$H192="North Carolina St",+All!O192,0))</f>
        <v>27</v>
      </c>
      <c r="P121" s="462" t="str">
        <f>IF(+All!$F192="North Carolina St",+All!P192,IF(+All!$H192="North Carolina St",+All!P192,0))</f>
        <v>Texas Tech</v>
      </c>
      <c r="Q121" s="461">
        <f>IF(+All!$F192="North Carolina St",+All!Q192,IF(+All!$H192="North Carolina St",+All!Q192,0))</f>
        <v>14</v>
      </c>
      <c r="R121" s="460" t="str">
        <f>IF(+All!$F192="North Carolina St",+All!R192,IF(+All!$H192="North Carolina St",+All!R192,0))</f>
        <v>North Carolina St</v>
      </c>
      <c r="S121" s="462" t="str">
        <f>IF(+All!$F192="North Carolina St",+All!S192,IF(+All!$H192="North Carolina St",+All!S192,0))</f>
        <v>Texas Tech</v>
      </c>
      <c r="T121" s="460" t="str">
        <f>IF(+All!$F192="North Carolina St",+All!T192,IF(+All!$H192="North Carolina St",+All!T192,0))</f>
        <v>North Carolina St</v>
      </c>
      <c r="U121" s="461" t="str">
        <f>IF(+All!$F192="North Carolina St",+All!U192,IF(+All!$H192="North Carolina St",+All!U192,0))</f>
        <v>W</v>
      </c>
    </row>
    <row r="122" spans="1:21" ht="15.75" customHeight="1" x14ac:dyDescent="0.8">
      <c r="A122" s="46">
        <f>IF(+All!$F270="North Carolina St",+All!A270,IF(+All!$H270="North Carolina St",+All!A270,0))</f>
        <v>4</v>
      </c>
      <c r="B122" s="348" t="str">
        <f>IF(+All!$F270="North Carolina St",+All!B270,IF(+All!$H270="North Carolina St",+All!B270,0))</f>
        <v>Sat</v>
      </c>
      <c r="C122" s="72">
        <f>IF(+All!$F270="North Carolina St",+All!C270,IF(+All!$H270="North Carolina St",+All!C270,0))</f>
        <v>44828</v>
      </c>
      <c r="D122" s="73">
        <f>IF(+All!$F270="North Carolina St",+All!D270,IF(+All!$H270="North Carolina St",+All!D270,0))</f>
        <v>0.8125</v>
      </c>
      <c r="E122" s="461" t="str">
        <f>IF(+All!$F270="North Carolina St",+All!E270,IF(+All!$H270="North Carolina St",+All!E270,0))</f>
        <v>espn3</v>
      </c>
      <c r="F122" s="460" t="str">
        <f>IF(+All!$F270="North Carolina St",+All!F270,IF(+All!$H270="North Carolina St",+All!F270,0))</f>
        <v>Connecticut</v>
      </c>
      <c r="G122" s="461" t="str">
        <f>IF(+All!$F270="North Carolina St",+All!G270,IF(+All!$H270="North Carolina St",+All!G270,0))</f>
        <v>Ind</v>
      </c>
      <c r="H122" s="460" t="str">
        <f>IF(+All!$F270="North Carolina St",+All!H270,IF(+All!$H270="North Carolina St",+All!H270,0))</f>
        <v>North Carolina St</v>
      </c>
      <c r="I122" s="461" t="str">
        <f>IF(+All!$F270="North Carolina St",+All!I270,IF(+All!$H270="North Carolina St",+All!I270,0))</f>
        <v>ACC</v>
      </c>
      <c r="J122" s="460" t="str">
        <f>IF(+All!$F270="North Carolina St",+All!J270,IF(+All!$H270="North Carolina St",+All!J270,0))</f>
        <v>North Carolina St</v>
      </c>
      <c r="K122" s="461" t="str">
        <f>IF(+All!$F270="North Carolina St",+All!K270,IF(+All!$H270="North Carolina St",+All!K270,0))</f>
        <v>Connecticut</v>
      </c>
      <c r="L122" s="60">
        <f>IF(+All!$F270="North Carolina St",+All!L270,IF(+All!$H270="North Carolina St",+All!L270,0))</f>
        <v>39</v>
      </c>
      <c r="M122" s="61">
        <f>IF(+All!$F270="North Carolina St",+All!M270,IF(+All!$H270="North Carolina St",+All!M270,0))</f>
        <v>49.5</v>
      </c>
      <c r="N122" s="460" t="str">
        <f>IF(+All!$F270="North Carolina St",+All!N270,IF(+All!$H270="North Carolina St",+All!N270,0))</f>
        <v>North Carolina St</v>
      </c>
      <c r="O122" s="462">
        <f>IF(+All!$F270="North Carolina St",+All!O270,IF(+All!$H270="North Carolina St",+All!O270,0))</f>
        <v>41</v>
      </c>
      <c r="P122" s="462" t="str">
        <f>IF(+All!$F270="North Carolina St",+All!P270,IF(+All!$H270="North Carolina St",+All!P270,0))</f>
        <v>Connecticut</v>
      </c>
      <c r="Q122" s="461">
        <f>IF(+All!$F270="North Carolina St",+All!Q270,IF(+All!$H270="North Carolina St",+All!Q270,0))</f>
        <v>0</v>
      </c>
      <c r="R122" s="460" t="str">
        <f>IF(+All!$F270="North Carolina St",+All!R270,IF(+All!$H270="North Carolina St",+All!R270,0))</f>
        <v>North Carolina St</v>
      </c>
      <c r="S122" s="462" t="str">
        <f>IF(+All!$F270="North Carolina St",+All!S270,IF(+All!$H270="North Carolina St",+All!S270,0))</f>
        <v>Connecticut</v>
      </c>
      <c r="T122" s="460" t="str">
        <f>IF(+All!$F270="North Carolina St",+All!T270,IF(+All!$H270="North Carolina St",+All!T270,0))</f>
        <v>Connecticut</v>
      </c>
      <c r="U122" s="461" t="str">
        <f>IF(+All!$F270="North Carolina St",+All!U270,IF(+All!$H270="North Carolina St",+All!U270,0))</f>
        <v>L</v>
      </c>
    </row>
    <row r="123" spans="1:21" ht="15.75" customHeight="1" x14ac:dyDescent="0.8">
      <c r="A123" s="46">
        <f>IF(+All!$F329="North Carolina St",+All!A329,IF(+All!$H329="North Carolina St",+All!A329,0))</f>
        <v>5</v>
      </c>
      <c r="B123" s="348" t="str">
        <f>IF(+All!$F329="North Carolina St",+All!B329,IF(+All!$H329="North Carolina St",+All!B329,0))</f>
        <v>Sat</v>
      </c>
      <c r="C123" s="72">
        <f>IF(+All!$F329="North Carolina St",+All!C329,IF(+All!$H329="North Carolina St",+All!C329,0))</f>
        <v>44835</v>
      </c>
      <c r="D123" s="73">
        <f>IF(+All!$F329="North Carolina St",+All!D329,IF(+All!$H329="North Carolina St",+All!D329,0))</f>
        <v>0.8125</v>
      </c>
      <c r="E123" s="461" t="str">
        <f>IF(+All!$F329="North Carolina St",+All!E329,IF(+All!$H329="North Carolina St",+All!E329,0))</f>
        <v>ABC</v>
      </c>
      <c r="F123" s="460" t="str">
        <f>IF(+All!$F329="North Carolina St",+All!F329,IF(+All!$H329="North Carolina St",+All!F329,0))</f>
        <v>North Carolina St</v>
      </c>
      <c r="G123" s="461" t="str">
        <f>IF(+All!$F329="North Carolina St",+All!G329,IF(+All!$H329="North Carolina St",+All!G329,0))</f>
        <v>ACC</v>
      </c>
      <c r="H123" s="460" t="str">
        <f>IF(+All!$F329="North Carolina St",+All!H329,IF(+All!$H329="North Carolina St",+All!H329,0))</f>
        <v>Clemson</v>
      </c>
      <c r="I123" s="461" t="str">
        <f>IF(+All!$F329="North Carolina St",+All!I329,IF(+All!$H329="North Carolina St",+All!I329,0))</f>
        <v>ACC</v>
      </c>
      <c r="J123" s="460" t="str">
        <f>IF(+All!$F329="North Carolina St",+All!J329,IF(+All!$H329="North Carolina St",+All!J329,0))</f>
        <v>Clemson</v>
      </c>
      <c r="K123" s="461" t="str">
        <f>IF(+All!$F329="North Carolina St",+All!K329,IF(+All!$H329="North Carolina St",+All!K329,0))</f>
        <v>North Carolina St</v>
      </c>
      <c r="L123" s="60">
        <f>IF(+All!$F329="North Carolina St",+All!L329,IF(+All!$H329="North Carolina St",+All!L329,0))</f>
        <v>6.5</v>
      </c>
      <c r="M123" s="61">
        <f>IF(+All!$F329="North Carolina St",+All!M329,IF(+All!$H329="North Carolina St",+All!M329,0))</f>
        <v>40</v>
      </c>
      <c r="N123" s="460" t="str">
        <f>IF(+All!$F329="North Carolina St",+All!N329,IF(+All!$H329="North Carolina St",+All!N329,0))</f>
        <v>Clemson</v>
      </c>
      <c r="O123" s="462">
        <f>IF(+All!$F329="North Carolina St",+All!O329,IF(+All!$H329="North Carolina St",+All!O329,0))</f>
        <v>30</v>
      </c>
      <c r="P123" s="462" t="str">
        <f>IF(+All!$F329="North Carolina St",+All!P329,IF(+All!$H329="North Carolina St",+All!P329,0))</f>
        <v>North Carolina St</v>
      </c>
      <c r="Q123" s="461">
        <f>IF(+All!$F329="North Carolina St",+All!Q329,IF(+All!$H329="North Carolina St",+All!Q329,0))</f>
        <v>20</v>
      </c>
      <c r="R123" s="460" t="str">
        <f>IF(+All!$F329="North Carolina St",+All!R329,IF(+All!$H329="North Carolina St",+All!R329,0))</f>
        <v>Clemson</v>
      </c>
      <c r="S123" s="462" t="str">
        <f>IF(+All!$F329="North Carolina St",+All!S329,IF(+All!$H329="North Carolina St",+All!S329,0))</f>
        <v>North Carolina St</v>
      </c>
      <c r="T123" s="460" t="str">
        <f>IF(+All!$F329="North Carolina St",+All!T329,IF(+All!$H329="North Carolina St",+All!T329,0))</f>
        <v>Clemson</v>
      </c>
      <c r="U123" s="461" t="str">
        <f>IF(+All!$F329="North Carolina St",+All!U329,IF(+All!$H329="North Carolina St",+All!U329,0))</f>
        <v>W</v>
      </c>
    </row>
    <row r="124" spans="1:21" ht="15.75" customHeight="1" x14ac:dyDescent="0.8">
      <c r="A124" s="46">
        <f>IF(+All!$F392="North Carolina St",+All!A392,IF(+All!$H392="North Carolina St",+All!A392,0))</f>
        <v>6</v>
      </c>
      <c r="B124" s="348" t="str">
        <f>IF(+All!$F392="North Carolina St",+All!B392,IF(+All!$H392="North Carolina St",+All!B392,0))</f>
        <v>Sat</v>
      </c>
      <c r="C124" s="72">
        <f>IF(+All!$F392="North Carolina St",+All!C392,IF(+All!$H392="North Carolina St",+All!C392,0))</f>
        <v>44842</v>
      </c>
      <c r="D124" s="73">
        <f>IF(+All!$F392="North Carolina St",+All!D392,IF(+All!$H392="North Carolina St",+All!D392,0))</f>
        <v>0.83333333333333337</v>
      </c>
      <c r="E124" s="461" t="str">
        <f>IF(+All!$F392="North Carolina St",+All!E392,IF(+All!$H392="North Carolina St",+All!E392,0))</f>
        <v>ACC</v>
      </c>
      <c r="F124" s="460" t="str">
        <f>IF(+All!$F392="North Carolina St",+All!F392,IF(+All!$H392="North Carolina St",+All!F392,0))</f>
        <v>Florida State</v>
      </c>
      <c r="G124" s="461" t="str">
        <f>IF(+All!$F392="North Carolina St",+All!G392,IF(+All!$H392="North Carolina St",+All!G392,0))</f>
        <v>ACC</v>
      </c>
      <c r="H124" s="460" t="str">
        <f>IF(+All!$F392="North Carolina St",+All!H392,IF(+All!$H392="North Carolina St",+All!H392,0))</f>
        <v>North Carolina St</v>
      </c>
      <c r="I124" s="461" t="str">
        <f>IF(+All!$F392="North Carolina St",+All!I392,IF(+All!$H392="North Carolina St",+All!I392,0))</f>
        <v>ACC</v>
      </c>
      <c r="J124" s="460" t="str">
        <f>IF(+All!$F392="North Carolina St",+All!J392,IF(+All!$H392="North Carolina St",+All!J392,0))</f>
        <v>North Carolina St</v>
      </c>
      <c r="K124" s="461" t="str">
        <f>IF(+All!$F392="North Carolina St",+All!K392,IF(+All!$H392="North Carolina St",+All!K392,0))</f>
        <v>Florida State</v>
      </c>
      <c r="L124" s="60">
        <f>IF(+All!$F392="North Carolina St",+All!L392,IF(+All!$H392="North Carolina St",+All!L392,0))</f>
        <v>3</v>
      </c>
      <c r="M124" s="61">
        <f>IF(+All!$F392="North Carolina St",+All!M392,IF(+All!$H392="North Carolina St",+All!M392,0))</f>
        <v>48.5</v>
      </c>
      <c r="N124" s="460" t="str">
        <f>IF(+All!$F392="North Carolina St",+All!N392,IF(+All!$H392="North Carolina St",+All!N392,0))</f>
        <v>North Carolina St</v>
      </c>
      <c r="O124" s="462">
        <f>IF(+All!$F392="North Carolina St",+All!O392,IF(+All!$H392="North Carolina St",+All!O392,0))</f>
        <v>19</v>
      </c>
      <c r="P124" s="462" t="str">
        <f>IF(+All!$F392="North Carolina St",+All!P392,IF(+All!$H392="North Carolina St",+All!P392,0))</f>
        <v>Florida State</v>
      </c>
      <c r="Q124" s="461">
        <f>IF(+All!$F392="North Carolina St",+All!Q392,IF(+All!$H392="North Carolina St",+All!Q392,0))</f>
        <v>7</v>
      </c>
      <c r="R124" s="460" t="str">
        <f>IF(+All!$F392="North Carolina St",+All!R392,IF(+All!$H392="North Carolina St",+All!R392,0))</f>
        <v>North Carolina St</v>
      </c>
      <c r="S124" s="462" t="str">
        <f>IF(+All!$F392="North Carolina St",+All!S392,IF(+All!$H392="North Carolina St",+All!S392,0))</f>
        <v>Florida State</v>
      </c>
      <c r="T124" s="460" t="str">
        <f>IF(+All!$F392="North Carolina St",+All!T392,IF(+All!$H392="North Carolina St",+All!T392,0))</f>
        <v>North Carolina St</v>
      </c>
      <c r="U124" s="461" t="str">
        <f>IF(+All!$F392="North Carolina St",+All!U392,IF(+All!$H392="North Carolina St",+All!U392,0))</f>
        <v>W</v>
      </c>
    </row>
    <row r="125" spans="1:21" ht="15.75" customHeight="1" x14ac:dyDescent="0.8">
      <c r="A125" s="46">
        <f>IF(+All!$F447="North Carolina St",+All!A447,IF(+All!$H447="North Carolina St",+All!A447,0))</f>
        <v>7</v>
      </c>
      <c r="B125" s="348" t="str">
        <f>IF(+All!$F447="North Carolina St",+All!B447,IF(+All!$H447="North Carolina St",+All!B447,0))</f>
        <v>Sat</v>
      </c>
      <c r="C125" s="72">
        <f>IF(+All!$F447="North Carolina St",+All!C447,IF(+All!$H447="North Carolina St",+All!C447,0))</f>
        <v>44849</v>
      </c>
      <c r="D125" s="73">
        <f>IF(+All!$F447="North Carolina St",+All!D447,IF(+All!$H447="North Carolina St",+All!D447,0))</f>
        <v>0.64583333333333337</v>
      </c>
      <c r="E125" s="461" t="str">
        <f>IF(+All!$F447="North Carolina St",+All!E447,IF(+All!$H447="North Carolina St",+All!E447,0))</f>
        <v>ACC</v>
      </c>
      <c r="F125" s="460" t="str">
        <f>IF(+All!$F447="North Carolina St",+All!F447,IF(+All!$H447="North Carolina St",+All!F447,0))</f>
        <v>North Carolina St</v>
      </c>
      <c r="G125" s="461" t="str">
        <f>IF(+All!$F447="North Carolina St",+All!G447,IF(+All!$H447="North Carolina St",+All!G447,0))</f>
        <v>ACC</v>
      </c>
      <c r="H125" s="460" t="str">
        <f>IF(+All!$F447="North Carolina St",+All!H447,IF(+All!$H447="North Carolina St",+All!H447,0))</f>
        <v>Syracuse</v>
      </c>
      <c r="I125" s="461" t="str">
        <f>IF(+All!$F447="North Carolina St",+All!I447,IF(+All!$H447="North Carolina St",+All!I447,0))</f>
        <v>ACC</v>
      </c>
      <c r="J125" s="460" t="str">
        <f>IF(+All!$F447="North Carolina St",+All!J447,IF(+All!$H447="North Carolina St",+All!J447,0))</f>
        <v>Syracuse</v>
      </c>
      <c r="K125" s="461" t="str">
        <f>IF(+All!$F447="North Carolina St",+All!K447,IF(+All!$H447="North Carolina St",+All!K447,0))</f>
        <v>North Carolina St</v>
      </c>
      <c r="L125" s="60">
        <f>IF(+All!$F447="North Carolina St",+All!L447,IF(+All!$H447="North Carolina St",+All!L447,0))</f>
        <v>3.5</v>
      </c>
      <c r="M125" s="61">
        <f>IF(+All!$F447="North Carolina St",+All!M447,IF(+All!$H447="North Carolina St",+All!M447,0))</f>
        <v>44</v>
      </c>
      <c r="N125" s="460" t="str">
        <f>IF(+All!$F447="North Carolina St",+All!N447,IF(+All!$H447="North Carolina St",+All!N447,0))</f>
        <v>Syracuse</v>
      </c>
      <c r="O125" s="462">
        <f>IF(+All!$F447="North Carolina St",+All!O447,IF(+All!$H447="North Carolina St",+All!O447,0))</f>
        <v>24</v>
      </c>
      <c r="P125" s="462" t="str">
        <f>IF(+All!$F447="North Carolina St",+All!P447,IF(+All!$H447="North Carolina St",+All!P447,0))</f>
        <v>North Carolina St</v>
      </c>
      <c r="Q125" s="461">
        <f>IF(+All!$F447="North Carolina St",+All!Q447,IF(+All!$H447="North Carolina St",+All!Q447,0))</f>
        <v>9</v>
      </c>
      <c r="R125" s="460" t="str">
        <f>IF(+All!$F447="North Carolina St",+All!R447,IF(+All!$H447="North Carolina St",+All!R447,0))</f>
        <v>Syracuse</v>
      </c>
      <c r="S125" s="462" t="str">
        <f>IF(+All!$F447="North Carolina St",+All!S447,IF(+All!$H447="North Carolina St",+All!S447,0))</f>
        <v>North Carolina St</v>
      </c>
      <c r="T125" s="460" t="str">
        <f>IF(+All!$F447="North Carolina St",+All!T447,IF(+All!$H447="North Carolina St",+All!T447,0))</f>
        <v>North Carolina St</v>
      </c>
      <c r="U125" s="461" t="str">
        <f>IF(+All!$F447="North Carolina St",+All!U447,IF(+All!$H447="North Carolina St",+All!U447,0))</f>
        <v>L</v>
      </c>
    </row>
    <row r="126" spans="1:21" ht="15.75" customHeight="1" x14ac:dyDescent="0.8">
      <c r="A126" s="46" t="e">
        <f>IF(+All!#REF!="North Carolina St",+All!#REF!,IF(+All!#REF!="North Carolina St",+All!#REF!,0))</f>
        <v>#REF!</v>
      </c>
      <c r="B126" s="348" t="e">
        <f>IF(+All!#REF!="North Carolina St",+All!#REF!,IF(+All!#REF!="North Carolina St",+All!#REF!,0))</f>
        <v>#REF!</v>
      </c>
      <c r="C126" s="72" t="e">
        <f>IF(+All!#REF!="North Carolina St",+All!#REF!,IF(+All!#REF!="North Carolina St",+All!#REF!,0))</f>
        <v>#REF!</v>
      </c>
      <c r="D126" s="73" t="e">
        <f>IF(+All!#REF!="North Carolina St",+All!#REF!,IF(+All!#REF!="North Carolina St",+All!#REF!,0))</f>
        <v>#REF!</v>
      </c>
      <c r="E126" s="461" t="e">
        <f>IF(+All!#REF!="North Carolina St",+All!#REF!,IF(+All!#REF!="North Carolina St",+All!#REF!,0))</f>
        <v>#REF!</v>
      </c>
      <c r="F126" s="460" t="e">
        <f>IF(+All!#REF!="North Carolina St",+All!#REF!,IF(+All!#REF!="North Carolina St",+All!#REF!,0))</f>
        <v>#REF!</v>
      </c>
      <c r="G126" s="461" t="e">
        <f>IF(+All!#REF!="North Carolina St",+All!#REF!,IF(+All!#REF!="North Carolina St",+All!#REF!,0))</f>
        <v>#REF!</v>
      </c>
      <c r="H126" s="460" t="e">
        <f>IF(+All!#REF!="North Carolina St",+All!#REF!,IF(+All!#REF!="North Carolina St",+All!#REF!,0))</f>
        <v>#REF!</v>
      </c>
      <c r="I126" s="461" t="e">
        <f>IF(+All!#REF!="North Carolina St",+All!#REF!,IF(+All!#REF!="North Carolina St",+All!#REF!,0))</f>
        <v>#REF!</v>
      </c>
      <c r="J126" s="460" t="e">
        <f>IF(+All!#REF!="North Carolina St",+All!#REF!,IF(+All!#REF!="North Carolina St",+All!#REF!,0))</f>
        <v>#REF!</v>
      </c>
      <c r="K126" s="461" t="e">
        <f>IF(+All!#REF!="North Carolina St",+All!#REF!,IF(+All!#REF!="North Carolina St",+All!#REF!,0))</f>
        <v>#REF!</v>
      </c>
      <c r="L126" s="60" t="e">
        <f>IF(+All!#REF!="North Carolina St",+All!#REF!,IF(+All!#REF!="North Carolina St",+All!#REF!,0))</f>
        <v>#REF!</v>
      </c>
      <c r="M126" s="61" t="e">
        <f>IF(+All!#REF!="North Carolina St",+All!#REF!,IF(+All!#REF!="North Carolina St",+All!#REF!,0))</f>
        <v>#REF!</v>
      </c>
      <c r="N126" s="460" t="e">
        <f>IF(+All!#REF!="North Carolina St",+All!#REF!,IF(+All!#REF!="North Carolina St",+All!#REF!,0))</f>
        <v>#REF!</v>
      </c>
      <c r="O126" s="462" t="e">
        <f>IF(+All!#REF!="North Carolina St",+All!#REF!,IF(+All!#REF!="North Carolina St",+All!#REF!,0))</f>
        <v>#REF!</v>
      </c>
      <c r="P126" s="462" t="e">
        <f>IF(+All!#REF!="North Carolina St",+All!#REF!,IF(+All!#REF!="North Carolina St",+All!#REF!,0))</f>
        <v>#REF!</v>
      </c>
      <c r="Q126" s="461" t="e">
        <f>IF(+All!#REF!="North Carolina St",+All!#REF!,IF(+All!#REF!="North Carolina St",+All!#REF!,0))</f>
        <v>#REF!</v>
      </c>
      <c r="R126" s="460" t="e">
        <f>IF(+All!#REF!="North Carolina St",+All!#REF!,IF(+All!#REF!="North Carolina St",+All!#REF!,0))</f>
        <v>#REF!</v>
      </c>
      <c r="S126" s="462" t="e">
        <f>IF(+All!#REF!="North Carolina St",+All!#REF!,IF(+All!#REF!="North Carolina St",+All!#REF!,0))</f>
        <v>#REF!</v>
      </c>
      <c r="T126" s="460" t="e">
        <f>IF(+All!#REF!="North Carolina St",+All!#REF!,IF(+All!#REF!="North Carolina St",+All!#REF!,0))</f>
        <v>#REF!</v>
      </c>
      <c r="U126" s="461" t="e">
        <f>IF(+All!#REF!="North Carolina St",+All!#REF!,IF(+All!#REF!="North Carolina St",+All!#REF!,0))</f>
        <v>#REF!</v>
      </c>
    </row>
    <row r="127" spans="1:21" ht="15.75" customHeight="1" x14ac:dyDescent="0.8">
      <c r="A127" s="46">
        <f>IF(+All!$F545="North Carolina St",+All!A545,IF(+All!$H545="North Carolina St",+All!A545,0))</f>
        <v>9</v>
      </c>
      <c r="B127" s="348" t="str">
        <f>IF(+All!$F545="North Carolina St",+All!B545,IF(+All!$H545="North Carolina St",+All!B545,0))</f>
        <v>Thurs</v>
      </c>
      <c r="C127" s="72">
        <f>IF(+All!$F545="North Carolina St",+All!C545,IF(+All!$H545="North Carolina St",+All!C545,0))</f>
        <v>44861</v>
      </c>
      <c r="D127" s="73">
        <f>IF(+All!$F545="North Carolina St",+All!D545,IF(+All!$H545="North Carolina St",+All!D545,0))</f>
        <v>0.8125</v>
      </c>
      <c r="E127" s="461" t="str">
        <f>IF(+All!$F545="North Carolina St",+All!E545,IF(+All!$H545="North Carolina St",+All!E545,0))</f>
        <v>ESPN</v>
      </c>
      <c r="F127" s="460" t="str">
        <f>IF(+All!$F545="North Carolina St",+All!F545,IF(+All!$H545="North Carolina St",+All!F545,0))</f>
        <v>Virginia Tech</v>
      </c>
      <c r="G127" s="461" t="str">
        <f>IF(+All!$F545="North Carolina St",+All!G545,IF(+All!$H545="North Carolina St",+All!G545,0))</f>
        <v>ACC</v>
      </c>
      <c r="H127" s="460" t="str">
        <f>IF(+All!$F545="North Carolina St",+All!H545,IF(+All!$H545="North Carolina St",+All!H545,0))</f>
        <v>North Carolina St</v>
      </c>
      <c r="I127" s="461" t="str">
        <f>IF(+All!$F545="North Carolina St",+All!I545,IF(+All!$H545="North Carolina St",+All!I545,0))</f>
        <v>ACC</v>
      </c>
      <c r="J127" s="460" t="str">
        <f>IF(+All!$F545="North Carolina St",+All!J545,IF(+All!$H545="North Carolina St",+All!J545,0))</f>
        <v>North Carolina St</v>
      </c>
      <c r="K127" s="461" t="str">
        <f>IF(+All!$F545="North Carolina St",+All!K545,IF(+All!$H545="North Carolina St",+All!K545,0))</f>
        <v>Virginia Tech</v>
      </c>
      <c r="L127" s="60">
        <f>IF(+All!$F545="North Carolina St",+All!L545,IF(+All!$H545="North Carolina St",+All!L545,0))</f>
        <v>13.5</v>
      </c>
      <c r="M127" s="61">
        <f>IF(+All!$F545="North Carolina St",+All!M545,IF(+All!$H545="North Carolina St",+All!M545,0))</f>
        <v>40</v>
      </c>
      <c r="N127" s="460" t="str">
        <f>IF(+All!$F545="North Carolina St",+All!N545,IF(+All!$H545="North Carolina St",+All!N545,0))</f>
        <v>North Carolina St</v>
      </c>
      <c r="O127" s="462">
        <f>IF(+All!$F545="North Carolina St",+All!O545,IF(+All!$H545="North Carolina St",+All!O545,0))</f>
        <v>22</v>
      </c>
      <c r="P127" s="462" t="str">
        <f>IF(+All!$F545="North Carolina St",+All!P545,IF(+All!$H545="North Carolina St",+All!P545,0))</f>
        <v>Virginia Tech</v>
      </c>
      <c r="Q127" s="461">
        <f>IF(+All!$F545="North Carolina St",+All!Q545,IF(+All!$H545="North Carolina St",+All!Q545,0))</f>
        <v>21</v>
      </c>
      <c r="R127" s="460" t="str">
        <f>IF(+All!$F545="North Carolina St",+All!R545,IF(+All!$H545="North Carolina St",+All!R545,0))</f>
        <v>Virginia Tech</v>
      </c>
      <c r="S127" s="462" t="str">
        <f>IF(+All!$F545="North Carolina St",+All!S545,IF(+All!$H545="North Carolina St",+All!S545,0))</f>
        <v>North Carolina St</v>
      </c>
      <c r="T127" s="460" t="str">
        <f>IF(+All!$F545="North Carolina St",+All!T545,IF(+All!$H545="North Carolina St",+All!T545,0))</f>
        <v>North Carolina St</v>
      </c>
      <c r="U127" s="461" t="str">
        <f>IF(+All!$F545="North Carolina St",+All!U545,IF(+All!$H545="North Carolina St",+All!U545,0))</f>
        <v>L</v>
      </c>
    </row>
    <row r="128" spans="1:21" ht="15.75" customHeight="1" x14ac:dyDescent="0.8">
      <c r="A128" s="46">
        <f>IF(+All!$F609="North Carolina St",+All!A609,IF(+All!$H609="North Carolina St",+All!A609,0))</f>
        <v>10</v>
      </c>
      <c r="B128" s="348" t="str">
        <f>IF(+All!$F609="North Carolina St",+All!B609,IF(+All!$H609="North Carolina St",+All!B609,0))</f>
        <v>Sat</v>
      </c>
      <c r="C128" s="72">
        <f>IF(+All!$F609="North Carolina St",+All!C609,IF(+All!$H609="North Carolina St",+All!C609,0))</f>
        <v>44870</v>
      </c>
      <c r="D128" s="73">
        <f>IF(+All!$F609="North Carolina St",+All!D609,IF(+All!$H609="North Carolina St",+All!D609,0))</f>
        <v>0.83333333333333337</v>
      </c>
      <c r="E128" s="461" t="str">
        <f>IF(+All!$F609="North Carolina St",+All!E609,IF(+All!$H609="North Carolina St",+All!E609,0))</f>
        <v>ACC</v>
      </c>
      <c r="F128" s="460" t="str">
        <f>IF(+All!$F609="North Carolina St",+All!F609,IF(+All!$H609="North Carolina St",+All!F609,0))</f>
        <v>Wake Forest</v>
      </c>
      <c r="G128" s="461" t="str">
        <f>IF(+All!$F609="North Carolina St",+All!G609,IF(+All!$H609="North Carolina St",+All!G609,0))</f>
        <v>ACC</v>
      </c>
      <c r="H128" s="460" t="str">
        <f>IF(+All!$F609="North Carolina St",+All!H609,IF(+All!$H609="North Carolina St",+All!H609,0))</f>
        <v>North Carolina St</v>
      </c>
      <c r="I128" s="461" t="str">
        <f>IF(+All!$F609="North Carolina St",+All!I609,IF(+All!$H609="North Carolina St",+All!I609,0))</f>
        <v>ACC</v>
      </c>
      <c r="J128" s="460" t="str">
        <f>IF(+All!$F609="North Carolina St",+All!J609,IF(+All!$H609="North Carolina St",+All!J609,0))</f>
        <v>Wake Forest</v>
      </c>
      <c r="K128" s="461" t="str">
        <f>IF(+All!$F609="North Carolina St",+All!K609,IF(+All!$H609="North Carolina St",+All!K609,0))</f>
        <v>North Carolina St</v>
      </c>
      <c r="L128" s="60">
        <f>IF(+All!$F609="North Carolina St",+All!L609,IF(+All!$H609="North Carolina St",+All!L609,0))</f>
        <v>4.5</v>
      </c>
      <c r="M128" s="61">
        <f>IF(+All!$F609="North Carolina St",+All!M609,IF(+All!$H609="North Carolina St",+All!M609,0))</f>
        <v>54</v>
      </c>
      <c r="N128" s="460" t="str">
        <f>IF(+All!$F609="North Carolina St",+All!N609,IF(+All!$H609="North Carolina St",+All!N609,0))</f>
        <v>North Carolina St</v>
      </c>
      <c r="O128" s="462">
        <f>IF(+All!$F609="North Carolina St",+All!O609,IF(+All!$H609="North Carolina St",+All!O609,0))</f>
        <v>30</v>
      </c>
      <c r="P128" s="462" t="str">
        <f>IF(+All!$F609="North Carolina St",+All!P609,IF(+All!$H609="North Carolina St",+All!P609,0))</f>
        <v>Wake Forest</v>
      </c>
      <c r="Q128" s="461">
        <f>IF(+All!$F609="North Carolina St",+All!Q609,IF(+All!$H609="North Carolina St",+All!Q609,0))</f>
        <v>21</v>
      </c>
      <c r="R128" s="460" t="str">
        <f>IF(+All!$F609="North Carolina St",+All!R609,IF(+All!$H609="North Carolina St",+All!R609,0))</f>
        <v>North Carolina St</v>
      </c>
      <c r="S128" s="462" t="str">
        <f>IF(+All!$F609="North Carolina St",+All!S609,IF(+All!$H609="North Carolina St",+All!S609,0))</f>
        <v>Wake Forest</v>
      </c>
      <c r="T128" s="460" t="str">
        <f>IF(+All!$F609="North Carolina St",+All!T609,IF(+All!$H609="North Carolina St",+All!T609,0))</f>
        <v>Wake Forest</v>
      </c>
      <c r="U128" s="461" t="str">
        <f>IF(+All!$F609="North Carolina St",+All!U609,IF(+All!$H609="North Carolina St",+All!U609,0))</f>
        <v>L</v>
      </c>
    </row>
    <row r="129" spans="1:21" ht="15.75" customHeight="1" x14ac:dyDescent="0.8">
      <c r="A129" s="46">
        <f>IF(+All!$F671="North Carolina St",+All!A671,IF(+All!$H671="North Carolina St",+All!A671,0))</f>
        <v>11</v>
      </c>
      <c r="B129" s="348" t="str">
        <f>IF(+All!$F671="North Carolina St",+All!B671,IF(+All!$H671="North Carolina St",+All!B671,0))</f>
        <v>Sat</v>
      </c>
      <c r="C129" s="72">
        <f>IF(+All!$F671="North Carolina St",+All!C671,IF(+All!$H671="North Carolina St",+All!C671,0))</f>
        <v>44877</v>
      </c>
      <c r="D129" s="73">
        <f>IF(+All!$F671="North Carolina St",+All!D671,IF(+All!$H671="North Carolina St",+All!D671,0))</f>
        <v>0.64583333333333337</v>
      </c>
      <c r="E129" s="461" t="str">
        <f>IF(+All!$F671="North Carolina St",+All!E671,IF(+All!$H671="North Carolina St",+All!E671,0))</f>
        <v>ACC</v>
      </c>
      <c r="F129" s="460" t="str">
        <f>IF(+All!$F671="North Carolina St",+All!F671,IF(+All!$H671="North Carolina St",+All!F671,0))</f>
        <v>Boston College</v>
      </c>
      <c r="G129" s="461" t="str">
        <f>IF(+All!$F671="North Carolina St",+All!G671,IF(+All!$H671="North Carolina St",+All!G671,0))</f>
        <v>ACC</v>
      </c>
      <c r="H129" s="460" t="str">
        <f>IF(+All!$F671="North Carolina St",+All!H671,IF(+All!$H671="North Carolina St",+All!H671,0))</f>
        <v>North Carolina St</v>
      </c>
      <c r="I129" s="461" t="str">
        <f>IF(+All!$F671="North Carolina St",+All!I671,IF(+All!$H671="North Carolina St",+All!I671,0))</f>
        <v>ACC</v>
      </c>
      <c r="J129" s="460" t="str">
        <f>IF(+All!$F671="North Carolina St",+All!J671,IF(+All!$H671="North Carolina St",+All!J671,0))</f>
        <v>North Carolina St</v>
      </c>
      <c r="K129" s="461" t="str">
        <f>IF(+All!$F671="North Carolina St",+All!K671,IF(+All!$H671="North Carolina St",+All!K671,0))</f>
        <v>Boston College</v>
      </c>
      <c r="L129" s="60">
        <f>IF(+All!$F671="North Carolina St",+All!L671,IF(+All!$H671="North Carolina St",+All!L671,0))</f>
        <v>18</v>
      </c>
      <c r="M129" s="61">
        <f>IF(+All!$F671="North Carolina St",+All!M671,IF(+All!$H671="North Carolina St",+All!M671,0))</f>
        <v>42</v>
      </c>
      <c r="N129" s="460" t="str">
        <f>IF(+All!$F671="North Carolina St",+All!N671,IF(+All!$H671="North Carolina St",+All!N671,0))</f>
        <v>Boston College</v>
      </c>
      <c r="O129" s="462">
        <f>IF(+All!$F671="North Carolina St",+All!O671,IF(+All!$H671="North Carolina St",+All!O671,0))</f>
        <v>21</v>
      </c>
      <c r="P129" s="462" t="str">
        <f>IF(+All!$F671="North Carolina St",+All!P671,IF(+All!$H671="North Carolina St",+All!P671,0))</f>
        <v>North Carolina St</v>
      </c>
      <c r="Q129" s="461">
        <f>IF(+All!$F671="North Carolina St",+All!Q671,IF(+All!$H671="North Carolina St",+All!Q671,0))</f>
        <v>20</v>
      </c>
      <c r="R129" s="460" t="str">
        <f>IF(+All!$F671="North Carolina St",+All!R671,IF(+All!$H671="North Carolina St",+All!R671,0))</f>
        <v>Boston College</v>
      </c>
      <c r="S129" s="462" t="str">
        <f>IF(+All!$F671="North Carolina St",+All!S671,IF(+All!$H671="North Carolina St",+All!S671,0))</f>
        <v>North Carolina St</v>
      </c>
      <c r="T129" s="460" t="str">
        <f>IF(+All!$F671="North Carolina St",+All!T671,IF(+All!$H671="North Carolina St",+All!T671,0))</f>
        <v>North Carolina St</v>
      </c>
      <c r="U129" s="461" t="str">
        <f>IF(+All!$F671="North Carolina St",+All!U671,IF(+All!$H671="North Carolina St",+All!U671,0))</f>
        <v>L</v>
      </c>
    </row>
    <row r="130" spans="1:21" ht="15.75" customHeight="1" x14ac:dyDescent="0.8">
      <c r="A130" s="46">
        <f>IF(+All!$F732="North Carolina St",+All!A732,IF(+All!$H732="North Carolina St",+All!A732,0))</f>
        <v>12</v>
      </c>
      <c r="B130" s="348" t="str">
        <f>IF(+All!$F732="North Carolina St",+All!B732,IF(+All!$H732="North Carolina St",+All!B732,0))</f>
        <v>Sat</v>
      </c>
      <c r="C130" s="72">
        <f>IF(+All!$F732="North Carolina St",+All!C732,IF(+All!$H732="North Carolina St",+All!C732,0))</f>
        <v>44884</v>
      </c>
      <c r="D130" s="73">
        <f>IF(+All!$F732="North Carolina St",+All!D732,IF(+All!$H732="North Carolina St",+All!D732,0))</f>
        <v>0.64583333333333337</v>
      </c>
      <c r="E130" s="461" t="str">
        <f>IF(+All!$F732="North Carolina St",+All!E732,IF(+All!$H732="North Carolina St",+All!E732,0))</f>
        <v>ACC</v>
      </c>
      <c r="F130" s="460" t="str">
        <f>IF(+All!$F732="North Carolina St",+All!F732,IF(+All!$H732="North Carolina St",+All!F732,0))</f>
        <v>North Carolina St</v>
      </c>
      <c r="G130" s="461" t="str">
        <f>IF(+All!$F732="North Carolina St",+All!G732,IF(+All!$H732="North Carolina St",+All!G732,0))</f>
        <v>ACC</v>
      </c>
      <c r="H130" s="460" t="str">
        <f>IF(+All!$F732="North Carolina St",+All!H732,IF(+All!$H732="North Carolina St",+All!H732,0))</f>
        <v>Louisville</v>
      </c>
      <c r="I130" s="461" t="str">
        <f>IF(+All!$F732="North Carolina St",+All!I732,IF(+All!$H732="North Carolina St",+All!I732,0))</f>
        <v>ACC</v>
      </c>
      <c r="J130" s="460" t="str">
        <f>IF(+All!$F732="North Carolina St",+All!J732,IF(+All!$H732="North Carolina St",+All!J732,0))</f>
        <v>Louisville</v>
      </c>
      <c r="K130" s="461" t="str">
        <f>IF(+All!$F732="North Carolina St",+All!K732,IF(+All!$H732="North Carolina St",+All!K732,0))</f>
        <v>North Carolina St</v>
      </c>
      <c r="L130" s="60">
        <f>IF(+All!$F732="North Carolina St",+All!L732,IF(+All!$H732="North Carolina St",+All!L732,0))</f>
        <v>4</v>
      </c>
      <c r="M130" s="61">
        <f>IF(+All!$F732="North Carolina St",+All!M732,IF(+All!$H732="North Carolina St",+All!M732,0))</f>
        <v>45</v>
      </c>
      <c r="N130" s="460" t="str">
        <f>IF(+All!$F732="North Carolina St",+All!N732,IF(+All!$H732="North Carolina St",+All!N732,0))</f>
        <v>Louisville</v>
      </c>
      <c r="O130" s="462">
        <f>IF(+All!$F732="North Carolina St",+All!O732,IF(+All!$H732="North Carolina St",+All!O732,0))</f>
        <v>25</v>
      </c>
      <c r="P130" s="462" t="str">
        <f>IF(+All!$F732="North Carolina St",+All!P732,IF(+All!$H732="North Carolina St",+All!P732,0))</f>
        <v>North Carolina St</v>
      </c>
      <c r="Q130" s="461">
        <f>IF(+All!$F732="North Carolina St",+All!Q732,IF(+All!$H732="North Carolina St",+All!Q732,0))</f>
        <v>10</v>
      </c>
      <c r="R130" s="460" t="str">
        <f>IF(+All!$F732="North Carolina St",+All!R732,IF(+All!$H732="North Carolina St",+All!R732,0))</f>
        <v>Louisville</v>
      </c>
      <c r="S130" s="462" t="str">
        <f>IF(+All!$F732="North Carolina St",+All!S732,IF(+All!$H732="North Carolina St",+All!S732,0))</f>
        <v>North Carolina St</v>
      </c>
      <c r="T130" s="460" t="str">
        <f>IF(+All!$F732="North Carolina St",+All!T732,IF(+All!$H732="North Carolina St",+All!T732,0))</f>
        <v>Louisville</v>
      </c>
      <c r="U130" s="461" t="str">
        <f>IF(+All!$F732="North Carolina St",+All!U732,IF(+All!$H732="North Carolina St",+All!U732,0))</f>
        <v>W</v>
      </c>
    </row>
    <row r="131" spans="1:21" ht="15.75" customHeight="1" x14ac:dyDescent="0.8">
      <c r="A131" s="46">
        <f>IF(+All!$F792="North Carolina St",+All!A792,IF(+All!$H792="North Carolina St",+All!A792,0))</f>
        <v>13</v>
      </c>
      <c r="B131" s="348" t="str">
        <f>IF(+All!$F792="North Carolina St",+All!B792,IF(+All!$H792="North Carolina St",+All!B792,0))</f>
        <v>Fri</v>
      </c>
      <c r="C131" s="72">
        <f>IF(+All!$F792="North Carolina St",+All!C792,IF(+All!$H792="North Carolina St",+All!C792,0))</f>
        <v>44890</v>
      </c>
      <c r="D131" s="73">
        <f>IF(+All!$F792="North Carolina St",+All!D792,IF(+All!$H792="North Carolina St",+All!D792,0))</f>
        <v>0.64583333333333337</v>
      </c>
      <c r="E131" s="461" t="str">
        <f>IF(+All!$F792="North Carolina St",+All!E792,IF(+All!$H792="North Carolina St",+All!E792,0))</f>
        <v>ABC</v>
      </c>
      <c r="F131" s="460" t="str">
        <f>IF(+All!$F792="North Carolina St",+All!F792,IF(+All!$H792="North Carolina St",+All!F792,0))</f>
        <v>North Carolina St</v>
      </c>
      <c r="G131" s="461" t="str">
        <f>IF(+All!$F792="North Carolina St",+All!G792,IF(+All!$H792="North Carolina St",+All!G792,0))</f>
        <v>ACC</v>
      </c>
      <c r="H131" s="460" t="str">
        <f>IF(+All!$F792="North Carolina St",+All!H792,IF(+All!$H792="North Carolina St",+All!H792,0))</f>
        <v>North Carolina</v>
      </c>
      <c r="I131" s="461" t="str">
        <f>IF(+All!$F792="North Carolina St",+All!I792,IF(+All!$H792="North Carolina St",+All!I792,0))</f>
        <v>ACC</v>
      </c>
      <c r="J131" s="460" t="str">
        <f>IF(+All!$F792="North Carolina St",+All!J792,IF(+All!$H792="North Carolina St",+All!J792,0))</f>
        <v>North Carolina</v>
      </c>
      <c r="K131" s="461" t="str">
        <f>IF(+All!$F792="North Carolina St",+All!K792,IF(+All!$H792="North Carolina St",+All!K792,0))</f>
        <v>North Carolina St</v>
      </c>
      <c r="L131" s="60">
        <f>IF(+All!$F792="North Carolina St",+All!L792,IF(+All!$H792="North Carolina St",+All!L792,0))</f>
        <v>6.5</v>
      </c>
      <c r="M131" s="61">
        <f>IF(+All!$F792="North Carolina St",+All!M792,IF(+All!$H792="North Carolina St",+All!M792,0))</f>
        <v>55.5</v>
      </c>
      <c r="N131" s="460" t="str">
        <f>IF(+All!$F792="North Carolina St",+All!N792,IF(+All!$H792="North Carolina St",+All!N792,0))</f>
        <v>North Carolina St</v>
      </c>
      <c r="O131" s="462">
        <f>IF(+All!$F792="North Carolina St",+All!O792,IF(+All!$H792="North Carolina St",+All!O792,0))</f>
        <v>30</v>
      </c>
      <c r="P131" s="462" t="str">
        <f>IF(+All!$F792="North Carolina St",+All!P792,IF(+All!$H792="North Carolina St",+All!P792,0))</f>
        <v>North Carolina</v>
      </c>
      <c r="Q131" s="461">
        <f>IF(+All!$F792="North Carolina St",+All!Q792,IF(+All!$H792="North Carolina St",+All!Q792,0))</f>
        <v>27</v>
      </c>
      <c r="R131" s="460" t="str">
        <f>IF(+All!$F792="North Carolina St",+All!R792,IF(+All!$H792="North Carolina St",+All!R792,0))</f>
        <v>North Carolina St</v>
      </c>
      <c r="S131" s="462" t="str">
        <f>IF(+All!$F792="North Carolina St",+All!S792,IF(+All!$H792="North Carolina St",+All!S792,0))</f>
        <v>North Carolina</v>
      </c>
      <c r="T131" s="460" t="str">
        <f>IF(+All!$F792="North Carolina St",+All!T792,IF(+All!$H792="North Carolina St",+All!T792,0))</f>
        <v>North Carolina</v>
      </c>
      <c r="U131" s="461" t="str">
        <f>IF(+All!$F792="North Carolina St",+All!U792,IF(+All!$H792="North Carolina St",+All!U792,0))</f>
        <v>L</v>
      </c>
    </row>
    <row r="132" spans="1:21" ht="15.75" customHeight="1" x14ac:dyDescent="0.8">
      <c r="A132" s="38"/>
      <c r="B132" s="39"/>
      <c r="C132" s="40"/>
      <c r="D132" s="41"/>
      <c r="E132" s="463"/>
      <c r="F132" s="897" t="str">
        <f>H134</f>
        <v>Pittsburgh</v>
      </c>
      <c r="G132" s="901"/>
      <c r="H132" s="901"/>
      <c r="I132" s="902"/>
      <c r="J132" s="459"/>
      <c r="K132" s="463"/>
      <c r="L132" s="44"/>
      <c r="M132" s="45"/>
      <c r="N132" s="459"/>
      <c r="O132" s="5"/>
      <c r="P132" s="5"/>
      <c r="Q132" s="463"/>
      <c r="R132" s="459"/>
      <c r="S132" s="5"/>
      <c r="T132" s="459"/>
      <c r="U132" s="463"/>
    </row>
    <row r="133" spans="1:21" ht="15.75" customHeight="1" x14ac:dyDescent="0.8">
      <c r="A133" s="46">
        <f>IF(+All!$F16="Pittsburgh",+All!A16,IF(+All!$H16="Pittsburgh",+All!A16,0))</f>
        <v>1</v>
      </c>
      <c r="B133" s="348" t="str">
        <f>IF(+All!$F16="Pittsburgh",+All!B16,IF(+All!$H16="Pittsburgh",+All!B16,0))</f>
        <v>Thurs</v>
      </c>
      <c r="C133" s="72">
        <f>IF(+All!$F16="Pittsburgh",+All!C16,IF(+All!$H16="Pittsburgh",+All!C16,0))</f>
        <v>44805</v>
      </c>
      <c r="D133" s="73">
        <f>IF(+All!$F16="Pittsburgh",+All!D16,IF(+All!$H16="Pittsburgh",+All!D16,0))</f>
        <v>0.79166666666666663</v>
      </c>
      <c r="E133" s="461" t="str">
        <f>IF(+All!$F16="Pittsburgh",+All!E16,IF(+All!$H16="Pittsburgh",+All!E16,0))</f>
        <v>ESPN</v>
      </c>
      <c r="F133" s="460" t="str">
        <f>IF(+All!$F16="Pittsburgh",+All!F16,IF(+All!$H16="Pittsburgh",+All!F16,0))</f>
        <v>West Virginia</v>
      </c>
      <c r="G133" s="461" t="str">
        <f>IF(+All!$F16="Pittsburgh",+All!G16,IF(+All!$H16="Pittsburgh",+All!G16,0))</f>
        <v>B12</v>
      </c>
      <c r="H133" s="460" t="str">
        <f>IF(+All!$F16="Pittsburgh",+All!H16,IF(+All!$H16="Pittsburgh",+All!H16,0))</f>
        <v>Pittsburgh</v>
      </c>
      <c r="I133" s="461" t="str">
        <f>IF(+All!$F16="Pittsburgh",+All!I16,IF(+All!$H16="Pittsburgh",+All!I16,0))</f>
        <v>ACC</v>
      </c>
      <c r="J133" s="460" t="str">
        <f>IF(+All!$F16="Pittsburgh",+All!J16,IF(+All!$H16="Pittsburgh",+All!J16,0))</f>
        <v>Pittsburgh</v>
      </c>
      <c r="K133" s="461" t="str">
        <f>IF(+All!$F16="Pittsburgh",+All!K16,IF(+All!$H16="Pittsburgh",+All!K16,0))</f>
        <v>West Virginia</v>
      </c>
      <c r="L133" s="60">
        <f>IF(+All!$F16="Pittsburgh",+All!L16,IF(+All!$H16="Pittsburgh",+All!L16,0))</f>
        <v>7.5</v>
      </c>
      <c r="M133" s="61">
        <f>IF(+All!$F16="Pittsburgh",+All!M16,IF(+All!$H16="Pittsburgh",+All!M16,0))</f>
        <v>50.5</v>
      </c>
      <c r="N133" s="460" t="str">
        <f>IF(+All!$F16="Pittsburgh",+All!N16,IF(+All!$H16="Pittsburgh",+All!N16,0))</f>
        <v>Pittsburgh</v>
      </c>
      <c r="O133" s="462">
        <f>IF(+All!$F16="Pittsburgh",+All!O16,IF(+All!$H16="Pittsburgh",+All!O16,0))</f>
        <v>38</v>
      </c>
      <c r="P133" s="462" t="str">
        <f>IF(+All!$F16="Pittsburgh",+All!P16,IF(+All!$H16="Pittsburgh",+All!P16,0))</f>
        <v>West Virginia</v>
      </c>
      <c r="Q133" s="461">
        <f>IF(+All!$F16="Pittsburgh",+All!Q16,IF(+All!$H16="Pittsburgh",+All!Q16,0))</f>
        <v>31</v>
      </c>
      <c r="R133" s="460" t="str">
        <f>IF(+All!$F16="Pittsburgh",+All!R16,IF(+All!$H16="Pittsburgh",+All!R16,0))</f>
        <v>West Virginia</v>
      </c>
      <c r="S133" s="462" t="str">
        <f>IF(+All!$F16="Pittsburgh",+All!S16,IF(+All!$H16="Pittsburgh",+All!S16,0))</f>
        <v>Pittsburgh</v>
      </c>
      <c r="T133" s="460" t="str">
        <f>IF(+All!$F16="Pittsburgh",+All!T16,IF(+All!$H16="Pittsburgh",+All!T16,0))</f>
        <v>West Virginia</v>
      </c>
      <c r="U133" s="461" t="str">
        <f>IF(+All!$F16="Pittsburgh",+All!U16,IF(+All!$H16="Pittsburgh",+All!U16,0))</f>
        <v>W</v>
      </c>
    </row>
    <row r="134" spans="1:21" ht="15.75" customHeight="1" x14ac:dyDescent="0.8">
      <c r="A134" s="46">
        <f>IF(+All!$F112="Pittsburgh",+All!A112,IF(+All!$H112="Pittsburgh",+All!A112,0))</f>
        <v>2</v>
      </c>
      <c r="B134" s="348" t="str">
        <f>IF(+All!$F112="Pittsburgh",+All!B112,IF(+All!$H112="Pittsburgh",+All!B112,0))</f>
        <v>Sat</v>
      </c>
      <c r="C134" s="72">
        <f>IF(+All!$F112="Pittsburgh",+All!C112,IF(+All!$H112="Pittsburgh",+All!C112,0))</f>
        <v>44814</v>
      </c>
      <c r="D134" s="73">
        <f>IF(+All!$F112="Pittsburgh",+All!D112,IF(+All!$H112="Pittsburgh",+All!D112,0))</f>
        <v>0.64583333333333337</v>
      </c>
      <c r="E134" s="461" t="str">
        <f>IF(+All!$F112="Pittsburgh",+All!E112,IF(+All!$H112="Pittsburgh",+All!E112,0))</f>
        <v>ABC</v>
      </c>
      <c r="F134" s="460" t="str">
        <f>IF(+All!$F112="Pittsburgh",+All!F112,IF(+All!$H112="Pittsburgh",+All!F112,0))</f>
        <v>Tennessee</v>
      </c>
      <c r="G134" s="461" t="str">
        <f>IF(+All!$F112="Pittsburgh",+All!G112,IF(+All!$H112="Pittsburgh",+All!G112,0))</f>
        <v>SEC</v>
      </c>
      <c r="H134" s="460" t="str">
        <f>IF(+All!$F112="Pittsburgh",+All!H112,IF(+All!$H112="Pittsburgh",+All!H112,0))</f>
        <v>Pittsburgh</v>
      </c>
      <c r="I134" s="461" t="str">
        <f>IF(+All!$F112="Pittsburgh",+All!I112,IF(+All!$H112="Pittsburgh",+All!I112,0))</f>
        <v>ACC</v>
      </c>
      <c r="J134" s="460" t="str">
        <f>IF(+All!$F112="Pittsburgh",+All!J112,IF(+All!$H112="Pittsburgh",+All!J112,0))</f>
        <v>Tennessee</v>
      </c>
      <c r="K134" s="461" t="str">
        <f>IF(+All!$F112="Pittsburgh",+All!K112,IF(+All!$H112="Pittsburgh",+All!K112,0))</f>
        <v>Pittsburgh</v>
      </c>
      <c r="L134" s="60">
        <f>IF(+All!$F112="Pittsburgh",+All!L112,IF(+All!$H112="Pittsburgh",+All!L112,0))</f>
        <v>6.5</v>
      </c>
      <c r="M134" s="61">
        <f>IF(+All!$F112="Pittsburgh",+All!M112,IF(+All!$H112="Pittsburgh",+All!M112,0))</f>
        <v>66</v>
      </c>
      <c r="N134" s="460" t="str">
        <f>IF(+All!$F112="Pittsburgh",+All!N112,IF(+All!$H112="Pittsburgh",+All!N112,0))</f>
        <v>Tennessee</v>
      </c>
      <c r="O134" s="462">
        <f>IF(+All!$F112="Pittsburgh",+All!O112,IF(+All!$H112="Pittsburgh",+All!O112,0))</f>
        <v>34</v>
      </c>
      <c r="P134" s="462" t="str">
        <f>IF(+All!$F112="Pittsburgh",+All!P112,IF(+All!$H112="Pittsburgh",+All!P112,0))</f>
        <v>Pittsburgh</v>
      </c>
      <c r="Q134" s="461">
        <f>IF(+All!$F112="Pittsburgh",+All!Q112,IF(+All!$H112="Pittsburgh",+All!Q112,0))</f>
        <v>27</v>
      </c>
      <c r="R134" s="460" t="str">
        <f>IF(+All!$F112="Pittsburgh",+All!R112,IF(+All!$H112="Pittsburgh",+All!R112,0))</f>
        <v>Tennessee</v>
      </c>
      <c r="S134" s="462" t="str">
        <f>IF(+All!$F112="Pittsburgh",+All!S112,IF(+All!$H112="Pittsburgh",+All!S112,0))</f>
        <v>Pittsburgh</v>
      </c>
      <c r="T134" s="460" t="str">
        <f>IF(+All!$F112="Pittsburgh",+All!T112,IF(+All!$H112="Pittsburgh",+All!T112,0))</f>
        <v>Tennessee</v>
      </c>
      <c r="U134" s="461" t="str">
        <f>IF(+All!$F112="Pittsburgh",+All!U112,IF(+All!$H112="Pittsburgh",+All!U112,0))</f>
        <v>W</v>
      </c>
    </row>
    <row r="135" spans="1:21" ht="15.75" customHeight="1" x14ac:dyDescent="0.8">
      <c r="A135" s="46">
        <f>IF(+All!$F224="Pittsburgh",+All!A224,IF(+All!$H224="Pittsburgh",+All!A224,0))</f>
        <v>3</v>
      </c>
      <c r="B135" s="348" t="str">
        <f>IF(+All!$F224="Pittsburgh",+All!B224,IF(+All!$H224="Pittsburgh",+All!B224,0))</f>
        <v>Sat</v>
      </c>
      <c r="C135" s="72">
        <f>IF(+All!$F224="Pittsburgh",+All!C224,IF(+All!$H224="Pittsburgh",+All!C224,0))</f>
        <v>44821</v>
      </c>
      <c r="D135" s="73">
        <f>IF(+All!$F224="Pittsburgh",+All!D224,IF(+All!$H224="Pittsburgh",+All!D224,0))</f>
        <v>0.8125</v>
      </c>
      <c r="E135" s="461" t="str">
        <f>IF(+All!$F224="Pittsburgh",+All!E224,IF(+All!$H224="Pittsburgh",+All!E224,0))</f>
        <v>ESPNU</v>
      </c>
      <c r="F135" s="460" t="str">
        <f>IF(+All!$F224="Pittsburgh",+All!F224,IF(+All!$H224="Pittsburgh",+All!F224,0))</f>
        <v>Pittsburgh</v>
      </c>
      <c r="G135" s="461" t="str">
        <f>IF(+All!$F224="Pittsburgh",+All!G224,IF(+All!$H224="Pittsburgh",+All!G224,0))</f>
        <v>ACC</v>
      </c>
      <c r="H135" s="460" t="str">
        <f>IF(+All!$F224="Pittsburgh",+All!H224,IF(+All!$H224="Pittsburgh",+All!H224,0))</f>
        <v>Western Michigan</v>
      </c>
      <c r="I135" s="461" t="str">
        <f>IF(+All!$F224="Pittsburgh",+All!I224,IF(+All!$H224="Pittsburgh",+All!I224,0))</f>
        <v>MAC</v>
      </c>
      <c r="J135" s="460" t="str">
        <f>IF(+All!$F224="Pittsburgh",+All!J224,IF(+All!$H224="Pittsburgh",+All!J224,0))</f>
        <v>Pittsburgh</v>
      </c>
      <c r="K135" s="461" t="str">
        <f>IF(+All!$F224="Pittsburgh",+All!K224,IF(+All!$H224="Pittsburgh",+All!K224,0))</f>
        <v>Western Michigan</v>
      </c>
      <c r="L135" s="60">
        <f>IF(+All!$F224="Pittsburgh",+All!L224,IF(+All!$H224="Pittsburgh",+All!L224,0))</f>
        <v>10.5</v>
      </c>
      <c r="M135" s="61">
        <f>IF(+All!$F224="Pittsburgh",+All!M224,IF(+All!$H224="Pittsburgh",+All!M224,0))</f>
        <v>49.5</v>
      </c>
      <c r="N135" s="460" t="str">
        <f>IF(+All!$F224="Pittsburgh",+All!N224,IF(+All!$H224="Pittsburgh",+All!N224,0))</f>
        <v>Pittsburgh</v>
      </c>
      <c r="O135" s="462">
        <f>IF(+All!$F224="Pittsburgh",+All!O224,IF(+All!$H224="Pittsburgh",+All!O224,0))</f>
        <v>34</v>
      </c>
      <c r="P135" s="462" t="str">
        <f>IF(+All!$F224="Pittsburgh",+All!P224,IF(+All!$H224="Pittsburgh",+All!P224,0))</f>
        <v>Western Michigan</v>
      </c>
      <c r="Q135" s="461">
        <f>IF(+All!$F224="Pittsburgh",+All!Q224,IF(+All!$H224="Pittsburgh",+All!Q224,0))</f>
        <v>13</v>
      </c>
      <c r="R135" s="460" t="str">
        <f>IF(+All!$F224="Pittsburgh",+All!R224,IF(+All!$H224="Pittsburgh",+All!R224,0))</f>
        <v>Pittsburgh</v>
      </c>
      <c r="S135" s="462" t="str">
        <f>IF(+All!$F224="Pittsburgh",+All!S224,IF(+All!$H224="Pittsburgh",+All!S224,0))</f>
        <v>Western Michigan</v>
      </c>
      <c r="T135" s="460" t="str">
        <f>IF(+All!$F224="Pittsburgh",+All!T224,IF(+All!$H224="Pittsburgh",+All!T224,0))</f>
        <v>Pittsburgh</v>
      </c>
      <c r="U135" s="461" t="str">
        <f>IF(+All!$F224="Pittsburgh",+All!U224,IF(+All!$H224="Pittsburgh",+All!U224,0))</f>
        <v>W</v>
      </c>
    </row>
    <row r="136" spans="1:21" ht="15.75" customHeight="1" x14ac:dyDescent="0.8">
      <c r="A136" s="46">
        <f>IF(+All!$F271="Pittsburgh",+All!A271,IF(+All!$H271="Pittsburgh",+All!A271,0))</f>
        <v>4</v>
      </c>
      <c r="B136" s="348" t="str">
        <f>IF(+All!$F271="Pittsburgh",+All!B271,IF(+All!$H271="Pittsburgh",+All!B271,0))</f>
        <v>Sat</v>
      </c>
      <c r="C136" s="72">
        <f>IF(+All!$F271="Pittsburgh",+All!C271,IF(+All!$H271="Pittsburgh",+All!C271,0))</f>
        <v>44828</v>
      </c>
      <c r="D136" s="73">
        <f>IF(+All!$F271="Pittsburgh",+All!D271,IF(+All!$H271="Pittsburgh",+All!D271,0))</f>
        <v>0.5</v>
      </c>
      <c r="E136" s="461" t="str">
        <f>IF(+All!$F271="Pittsburgh",+All!E271,IF(+All!$H271="Pittsburgh",+All!E271,0))</f>
        <v>ACC</v>
      </c>
      <c r="F136" s="460" t="str">
        <f>IF(+All!$F271="Pittsburgh",+All!F271,IF(+All!$H271="Pittsburgh",+All!F271,0))</f>
        <v>1AA Rhode Island</v>
      </c>
      <c r="G136" s="461" t="str">
        <f>IF(+All!$F271="Pittsburgh",+All!G271,IF(+All!$H271="Pittsburgh",+All!G271,0))</f>
        <v>1AA</v>
      </c>
      <c r="H136" s="460" t="str">
        <f>IF(+All!$F271="Pittsburgh",+All!H271,IF(+All!$H271="Pittsburgh",+All!H271,0))</f>
        <v>Pittsburgh</v>
      </c>
      <c r="I136" s="461" t="str">
        <f>IF(+All!$F271="Pittsburgh",+All!I271,IF(+All!$H271="Pittsburgh",+All!I271,0))</f>
        <v>ACC</v>
      </c>
      <c r="J136" s="460">
        <f>IF(+All!$F271="Pittsburgh",+All!J271,IF(+All!$H271="Pittsburgh",+All!J271,0))</f>
        <v>0</v>
      </c>
      <c r="K136" s="461">
        <f>IF(+All!$F271="Pittsburgh",+All!K271,IF(+All!$H271="Pittsburgh",+All!K271,0))</f>
        <v>0</v>
      </c>
      <c r="L136" s="60">
        <f>IF(+All!$F271="Pittsburgh",+All!L271,IF(+All!$H271="Pittsburgh",+All!L271,0))</f>
        <v>0</v>
      </c>
      <c r="M136" s="61">
        <f>IF(+All!$F271="Pittsburgh",+All!M271,IF(+All!$H271="Pittsburgh",+All!M271,0))</f>
        <v>0</v>
      </c>
      <c r="N136" s="460" t="str">
        <f>IF(+All!$F271="Pittsburgh",+All!N271,IF(+All!$H271="Pittsburgh",+All!N271,0))</f>
        <v>Pittsburgh</v>
      </c>
      <c r="O136" s="462">
        <f>IF(+All!$F271="Pittsburgh",+All!O271,IF(+All!$H271="Pittsburgh",+All!O271,0))</f>
        <v>45</v>
      </c>
      <c r="P136" s="462" t="str">
        <f>IF(+All!$F271="Pittsburgh",+All!P271,IF(+All!$H271="Pittsburgh",+All!P271,0))</f>
        <v>1AA Rhode Island</v>
      </c>
      <c r="Q136" s="461">
        <f>IF(+All!$F271="Pittsburgh",+All!Q271,IF(+All!$H271="Pittsburgh",+All!Q271,0))</f>
        <v>24</v>
      </c>
      <c r="R136" s="460">
        <f>IF(+All!$F271="Pittsburgh",+All!R271,IF(+All!$H271="Pittsburgh",+All!R271,0))</f>
        <v>0</v>
      </c>
      <c r="S136" s="462">
        <f>IF(+All!$F271="Pittsburgh",+All!S271,IF(+All!$H271="Pittsburgh",+All!S271,0))</f>
        <v>0</v>
      </c>
      <c r="T136" s="460">
        <f>IF(+All!$F271="Pittsburgh",+All!T271,IF(+All!$H271="Pittsburgh",+All!T271,0))</f>
        <v>0</v>
      </c>
      <c r="U136" s="461">
        <f>IF(+All!$F271="Pittsburgh",+All!U271,IF(+All!$H271="Pittsburgh",+All!U271,0))</f>
        <v>0</v>
      </c>
    </row>
    <row r="137" spans="1:21" ht="15.75" customHeight="1" x14ac:dyDescent="0.8">
      <c r="A137" s="46">
        <f>IF(+All!$F333="Pittsburgh",+All!A333,IF(+All!$H333="Pittsburgh",+All!A333,0))</f>
        <v>5</v>
      </c>
      <c r="B137" s="348" t="str">
        <f>IF(+All!$F333="Pittsburgh",+All!B333,IF(+All!$H333="Pittsburgh",+All!B333,0))</f>
        <v>Sat</v>
      </c>
      <c r="C137" s="72">
        <f>IF(+All!$F333="Pittsburgh",+All!C333,IF(+All!$H333="Pittsburgh",+All!C333,0))</f>
        <v>44835</v>
      </c>
      <c r="D137" s="73">
        <f>IF(+All!$F333="Pittsburgh",+All!D333,IF(+All!$H333="Pittsburgh",+All!D333,0))</f>
        <v>0.83333333333333337</v>
      </c>
      <c r="E137" s="461" t="str">
        <f>IF(+All!$F333="Pittsburgh",+All!E333,IF(+All!$H333="Pittsburgh",+All!E333,0))</f>
        <v>ACC</v>
      </c>
      <c r="F137" s="460" t="str">
        <f>IF(+All!$F333="Pittsburgh",+All!F333,IF(+All!$H333="Pittsburgh",+All!F333,0))</f>
        <v>Georgia Tech</v>
      </c>
      <c r="G137" s="461" t="str">
        <f>IF(+All!$F333="Pittsburgh",+All!G333,IF(+All!$H333="Pittsburgh",+All!G333,0))</f>
        <v>ACC</v>
      </c>
      <c r="H137" s="460" t="str">
        <f>IF(+All!$F333="Pittsburgh",+All!H333,IF(+All!$H333="Pittsburgh",+All!H333,0))</f>
        <v>Pittsburgh</v>
      </c>
      <c r="I137" s="461" t="str">
        <f>IF(+All!$F333="Pittsburgh",+All!I333,IF(+All!$H333="Pittsburgh",+All!I333,0))</f>
        <v>ACC</v>
      </c>
      <c r="J137" s="460" t="str">
        <f>IF(+All!$F333="Pittsburgh",+All!J333,IF(+All!$H333="Pittsburgh",+All!J333,0))</f>
        <v>Pittsburgh</v>
      </c>
      <c r="K137" s="461" t="str">
        <f>IF(+All!$F333="Pittsburgh",+All!K333,IF(+All!$H333="Pittsburgh",+All!K333,0))</f>
        <v>Georgia Tech</v>
      </c>
      <c r="L137" s="60">
        <f>IF(+All!$F333="Pittsburgh",+All!L333,IF(+All!$H333="Pittsburgh",+All!L333,0))</f>
        <v>23</v>
      </c>
      <c r="M137" s="61">
        <f>IF(+All!$F333="Pittsburgh",+All!M333,IF(+All!$H333="Pittsburgh",+All!M333,0))</f>
        <v>48</v>
      </c>
      <c r="N137" s="460" t="str">
        <f>IF(+All!$F333="Pittsburgh",+All!N333,IF(+All!$H333="Pittsburgh",+All!N333,0))</f>
        <v>Georgia Tech</v>
      </c>
      <c r="O137" s="462">
        <f>IF(+All!$F333="Pittsburgh",+All!O333,IF(+All!$H333="Pittsburgh",+All!O333,0))</f>
        <v>26</v>
      </c>
      <c r="P137" s="462" t="str">
        <f>IF(+All!$F333="Pittsburgh",+All!P333,IF(+All!$H333="Pittsburgh",+All!P333,0))</f>
        <v>Pittsburgh</v>
      </c>
      <c r="Q137" s="461">
        <f>IF(+All!$F333="Pittsburgh",+All!Q333,IF(+All!$H333="Pittsburgh",+All!Q333,0))</f>
        <v>21</v>
      </c>
      <c r="R137" s="460" t="str">
        <f>IF(+All!$F333="Pittsburgh",+All!R333,IF(+All!$H333="Pittsburgh",+All!R333,0))</f>
        <v>Georgia Tech</v>
      </c>
      <c r="S137" s="462" t="str">
        <f>IF(+All!$F333="Pittsburgh",+All!S333,IF(+All!$H333="Pittsburgh",+All!S333,0))</f>
        <v>Pittsburgh</v>
      </c>
      <c r="T137" s="460" t="str">
        <f>IF(+All!$F333="Pittsburgh",+All!T333,IF(+All!$H333="Pittsburgh",+All!T333,0))</f>
        <v>Georgia Tech</v>
      </c>
      <c r="U137" s="461" t="str">
        <f>IF(+All!$F333="Pittsburgh",+All!U333,IF(+All!$H333="Pittsburgh",+All!U333,0))</f>
        <v>W</v>
      </c>
    </row>
    <row r="138" spans="1:21" ht="15.75" customHeight="1" x14ac:dyDescent="0.8">
      <c r="A138" s="46">
        <f>IF(+All!$F393="Pittsburgh",+All!A393,IF(+All!$H393="Pittsburgh",+All!A393,0))</f>
        <v>6</v>
      </c>
      <c r="B138" s="348" t="str">
        <f>IF(+All!$F393="Pittsburgh",+All!B393,IF(+All!$H393="Pittsburgh",+All!B393,0))</f>
        <v>Sat</v>
      </c>
      <c r="C138" s="72">
        <f>IF(+All!$F393="Pittsburgh",+All!C393,IF(+All!$H393="Pittsburgh",+All!C393,0))</f>
        <v>44842</v>
      </c>
      <c r="D138" s="73">
        <f>IF(+All!$F393="Pittsburgh",+All!D393,IF(+All!$H393="Pittsburgh",+All!D393,0))</f>
        <v>0.64583333333333337</v>
      </c>
      <c r="E138" s="461" t="str">
        <f>IF(+All!$F393="Pittsburgh",+All!E393,IF(+All!$H393="Pittsburgh",+All!E393,0))</f>
        <v>ACC</v>
      </c>
      <c r="F138" s="460" t="str">
        <f>IF(+All!$F393="Pittsburgh",+All!F393,IF(+All!$H393="Pittsburgh",+All!F393,0))</f>
        <v>Virginia Tech</v>
      </c>
      <c r="G138" s="461" t="str">
        <f>IF(+All!$F393="Pittsburgh",+All!G393,IF(+All!$H393="Pittsburgh",+All!G393,0))</f>
        <v>ACC</v>
      </c>
      <c r="H138" s="460" t="str">
        <f>IF(+All!$F393="Pittsburgh",+All!H393,IF(+All!$H393="Pittsburgh",+All!H393,0))</f>
        <v>Pittsburgh</v>
      </c>
      <c r="I138" s="461" t="str">
        <f>IF(+All!$F393="Pittsburgh",+All!I393,IF(+All!$H393="Pittsburgh",+All!I393,0))</f>
        <v>ACC</v>
      </c>
      <c r="J138" s="460" t="str">
        <f>IF(+All!$F393="Pittsburgh",+All!J393,IF(+All!$H393="Pittsburgh",+All!J393,0))</f>
        <v>Pittsburgh</v>
      </c>
      <c r="K138" s="461" t="str">
        <f>IF(+All!$F393="Pittsburgh",+All!K393,IF(+All!$H393="Pittsburgh",+All!K393,0))</f>
        <v>Virginia Tech</v>
      </c>
      <c r="L138" s="60">
        <f>IF(+All!$F393="Pittsburgh",+All!L393,IF(+All!$H393="Pittsburgh",+All!L393,0))</f>
        <v>14.5</v>
      </c>
      <c r="M138" s="61">
        <f>IF(+All!$F393="Pittsburgh",+All!M393,IF(+All!$H393="Pittsburgh",+All!M393,0))</f>
        <v>41.5</v>
      </c>
      <c r="N138" s="460" t="str">
        <f>IF(+All!$F393="Pittsburgh",+All!N393,IF(+All!$H393="Pittsburgh",+All!N393,0))</f>
        <v>Pittsburgh</v>
      </c>
      <c r="O138" s="462">
        <f>IF(+All!$F393="Pittsburgh",+All!O393,IF(+All!$H393="Pittsburgh",+All!O393,0))</f>
        <v>45</v>
      </c>
      <c r="P138" s="462" t="str">
        <f>IF(+All!$F393="Pittsburgh",+All!P393,IF(+All!$H393="Pittsburgh",+All!P393,0))</f>
        <v>Virginia Tech</v>
      </c>
      <c r="Q138" s="461">
        <f>IF(+All!$F393="Pittsburgh",+All!Q393,IF(+All!$H393="Pittsburgh",+All!Q393,0))</f>
        <v>29</v>
      </c>
      <c r="R138" s="460" t="str">
        <f>IF(+All!$F393="Pittsburgh",+All!R393,IF(+All!$H393="Pittsburgh",+All!R393,0))</f>
        <v>Pittsburgh</v>
      </c>
      <c r="S138" s="462" t="str">
        <f>IF(+All!$F393="Pittsburgh",+All!S393,IF(+All!$H393="Pittsburgh",+All!S393,0))</f>
        <v>Virginia Tech</v>
      </c>
      <c r="T138" s="460" t="str">
        <f>IF(+All!$F393="Pittsburgh",+All!T393,IF(+All!$H393="Pittsburgh",+All!T393,0))</f>
        <v>Pittsburgh</v>
      </c>
      <c r="U138" s="461" t="str">
        <f>IF(+All!$F393="Pittsburgh",+All!U393,IF(+All!$H393="Pittsburgh",+All!U393,0))</f>
        <v>W</v>
      </c>
    </row>
    <row r="139" spans="1:21" ht="15.75" customHeight="1" x14ac:dyDescent="0.8">
      <c r="A139" s="46" t="e">
        <f>IF(+All!#REF!="Pittsburgh",+All!#REF!,IF(+All!#REF!="Pittsburgh",+All!#REF!,0))</f>
        <v>#REF!</v>
      </c>
      <c r="B139" s="348" t="e">
        <f>IF(+All!#REF!="Pittsburgh",+All!#REF!,IF(+All!#REF!="Pittsburgh",+All!#REF!,0))</f>
        <v>#REF!</v>
      </c>
      <c r="C139" s="72" t="e">
        <f>IF(+All!#REF!="Pittsburgh",+All!#REF!,IF(+All!#REF!="Pittsburgh",+All!#REF!,0))</f>
        <v>#REF!</v>
      </c>
      <c r="D139" s="73" t="e">
        <f>IF(+All!#REF!="Pittsburgh",+All!#REF!,IF(+All!#REF!="Pittsburgh",+All!#REF!,0))</f>
        <v>#REF!</v>
      </c>
      <c r="E139" s="461" t="e">
        <f>IF(+All!#REF!="Pittsburgh",+All!#REF!,IF(+All!#REF!="Pittsburgh",+All!#REF!,0))</f>
        <v>#REF!</v>
      </c>
      <c r="F139" s="460" t="e">
        <f>IF(+All!#REF!="Pittsburgh",+All!#REF!,IF(+All!#REF!="Pittsburgh",+All!#REF!,0))</f>
        <v>#REF!</v>
      </c>
      <c r="G139" s="461" t="e">
        <f>IF(+All!#REF!="Pittsburgh",+All!#REF!,IF(+All!#REF!="Pittsburgh",+All!#REF!,0))</f>
        <v>#REF!</v>
      </c>
      <c r="H139" s="460" t="e">
        <f>IF(+All!#REF!="Pittsburgh",+All!#REF!,IF(+All!#REF!="Pittsburgh",+All!#REF!,0))</f>
        <v>#REF!</v>
      </c>
      <c r="I139" s="461" t="e">
        <f>IF(+All!#REF!="Pittsburgh",+All!#REF!,IF(+All!#REF!="Pittsburgh",+All!#REF!,0))</f>
        <v>#REF!</v>
      </c>
      <c r="J139" s="460" t="e">
        <f>IF(+All!#REF!="Pittsburgh",+All!#REF!,IF(+All!#REF!="Pittsburgh",+All!#REF!,0))</f>
        <v>#REF!</v>
      </c>
      <c r="K139" s="461" t="e">
        <f>IF(+All!#REF!="Pittsburgh",+All!#REF!,IF(+All!#REF!="Pittsburgh",+All!#REF!,0))</f>
        <v>#REF!</v>
      </c>
      <c r="L139" s="60" t="e">
        <f>IF(+All!#REF!="Pittsburgh",+All!#REF!,IF(+All!#REF!="Pittsburgh",+All!#REF!,0))</f>
        <v>#REF!</v>
      </c>
      <c r="M139" s="61" t="e">
        <f>IF(+All!#REF!="Pittsburgh",+All!#REF!,IF(+All!#REF!="Pittsburgh",+All!#REF!,0))</f>
        <v>#REF!</v>
      </c>
      <c r="N139" s="460" t="e">
        <f>IF(+All!#REF!="Pittsburgh",+All!#REF!,IF(+All!#REF!="Pittsburgh",+All!#REF!,0))</f>
        <v>#REF!</v>
      </c>
      <c r="O139" s="462" t="e">
        <f>IF(+All!#REF!="Pittsburgh",+All!#REF!,IF(+All!#REF!="Pittsburgh",+All!#REF!,0))</f>
        <v>#REF!</v>
      </c>
      <c r="P139" s="462" t="e">
        <f>IF(+All!#REF!="Pittsburgh",+All!#REF!,IF(+All!#REF!="Pittsburgh",+All!#REF!,0))</f>
        <v>#REF!</v>
      </c>
      <c r="Q139" s="461" t="e">
        <f>IF(+All!#REF!="Pittsburgh",+All!#REF!,IF(+All!#REF!="Pittsburgh",+All!#REF!,0))</f>
        <v>#REF!</v>
      </c>
      <c r="R139" s="460" t="e">
        <f>IF(+All!#REF!="Pittsburgh",+All!#REF!,IF(+All!#REF!="Pittsburgh",+All!#REF!,0))</f>
        <v>#REF!</v>
      </c>
      <c r="S139" s="462" t="e">
        <f>IF(+All!#REF!="Pittsburgh",+All!#REF!,IF(+All!#REF!="Pittsburgh",+All!#REF!,0))</f>
        <v>#REF!</v>
      </c>
      <c r="T139" s="460" t="e">
        <f>IF(+All!#REF!="Pittsburgh",+All!#REF!,IF(+All!#REF!="Pittsburgh",+All!#REF!,0))</f>
        <v>#REF!</v>
      </c>
      <c r="U139" s="461" t="e">
        <f>IF(+All!#REF!="Pittsburgh",+All!#REF!,IF(+All!#REF!="Pittsburgh",+All!#REF!,0))</f>
        <v>#REF!</v>
      </c>
    </row>
    <row r="140" spans="1:21" ht="15.75" customHeight="1" x14ac:dyDescent="0.8">
      <c r="A140" s="46">
        <f>IF(+All!$F501="Pittsburgh",+All!A501,IF(+All!$H501="Pittsburgh",+All!A501,0))</f>
        <v>8</v>
      </c>
      <c r="B140" s="348" t="str">
        <f>IF(+All!$F501="Pittsburgh",+All!B501,IF(+All!$H501="Pittsburgh",+All!B501,0))</f>
        <v>Sat</v>
      </c>
      <c r="C140" s="72">
        <f>IF(+All!$F501="Pittsburgh",+All!C501,IF(+All!$H501="Pittsburgh",+All!C501,0))</f>
        <v>44856</v>
      </c>
      <c r="D140" s="73">
        <f>IF(+All!$F501="Pittsburgh",+All!D501,IF(+All!$H501="Pittsburgh",+All!D501,0))</f>
        <v>0.83333333333333337</v>
      </c>
      <c r="E140" s="461" t="str">
        <f>IF(+All!$F501="Pittsburgh",+All!E501,IF(+All!$H501="Pittsburgh",+All!E501,0))</f>
        <v>ACC</v>
      </c>
      <c r="F140" s="460" t="str">
        <f>IF(+All!$F501="Pittsburgh",+All!F501,IF(+All!$H501="Pittsburgh",+All!F501,0))</f>
        <v>Pittsburgh</v>
      </c>
      <c r="G140" s="461" t="str">
        <f>IF(+All!$F501="Pittsburgh",+All!G501,IF(+All!$H501="Pittsburgh",+All!G501,0))</f>
        <v>ACC</v>
      </c>
      <c r="H140" s="460" t="str">
        <f>IF(+All!$F501="Pittsburgh",+All!H501,IF(+All!$H501="Pittsburgh",+All!H501,0))</f>
        <v>Louisville</v>
      </c>
      <c r="I140" s="461" t="str">
        <f>IF(+All!$F501="Pittsburgh",+All!I501,IF(+All!$H501="Pittsburgh",+All!I501,0))</f>
        <v>ACC</v>
      </c>
      <c r="J140" s="460" t="str">
        <f>IF(+All!$F501="Pittsburgh",+All!J501,IF(+All!$H501="Pittsburgh",+All!J501,0))</f>
        <v>Louisville</v>
      </c>
      <c r="K140" s="461" t="str">
        <f>IF(+All!$F501="Pittsburgh",+All!K501,IF(+All!$H501="Pittsburgh",+All!K501,0))</f>
        <v>Pittsburgh</v>
      </c>
      <c r="L140" s="60">
        <f>IF(+All!$F501="Pittsburgh",+All!L501,IF(+All!$H501="Pittsburgh",+All!L501,0))</f>
        <v>2.5</v>
      </c>
      <c r="M140" s="61">
        <f>IF(+All!$F501="Pittsburgh",+All!M501,IF(+All!$H501="Pittsburgh",+All!M501,0))</f>
        <v>55</v>
      </c>
      <c r="N140" s="460" t="str">
        <f>IF(+All!$F501="Pittsburgh",+All!N501,IF(+All!$H501="Pittsburgh",+All!N501,0))</f>
        <v>Louisville</v>
      </c>
      <c r="O140" s="462">
        <f>IF(+All!$F501="Pittsburgh",+All!O501,IF(+All!$H501="Pittsburgh",+All!O501,0))</f>
        <v>24</v>
      </c>
      <c r="P140" s="462" t="str">
        <f>IF(+All!$F501="Pittsburgh",+All!P501,IF(+All!$H501="Pittsburgh",+All!P501,0))</f>
        <v>Pittsburgh</v>
      </c>
      <c r="Q140" s="461">
        <f>IF(+All!$F501="Pittsburgh",+All!Q501,IF(+All!$H501="Pittsburgh",+All!Q501,0))</f>
        <v>10</v>
      </c>
      <c r="R140" s="460" t="str">
        <f>IF(+All!$F501="Pittsburgh",+All!R501,IF(+All!$H501="Pittsburgh",+All!R501,0))</f>
        <v>Louisville</v>
      </c>
      <c r="S140" s="462" t="str">
        <f>IF(+All!$F501="Pittsburgh",+All!S501,IF(+All!$H501="Pittsburgh",+All!S501,0))</f>
        <v>Pittsburgh</v>
      </c>
      <c r="T140" s="460" t="str">
        <f>IF(+All!$F501="Pittsburgh",+All!T501,IF(+All!$H501="Pittsburgh",+All!T501,0))</f>
        <v>Pittsburgh</v>
      </c>
      <c r="U140" s="461" t="str">
        <f>IF(+All!$F501="Pittsburgh",+All!U501,IF(+All!$H501="Pittsburgh",+All!U501,0))</f>
        <v>L</v>
      </c>
    </row>
    <row r="141" spans="1:21" ht="15.75" customHeight="1" x14ac:dyDescent="0.8">
      <c r="A141" s="46">
        <f>IF(+All!$F556="Pittsburgh",+All!A556,IF(+All!$H556="Pittsburgh",+All!A556,0))</f>
        <v>9</v>
      </c>
      <c r="B141" s="348" t="str">
        <f>IF(+All!$F556="Pittsburgh",+All!B556,IF(+All!$H556="Pittsburgh",+All!B556,0))</f>
        <v>Sat</v>
      </c>
      <c r="C141" s="72">
        <f>IF(+All!$F556="Pittsburgh",+All!C556,IF(+All!$H556="Pittsburgh",+All!C556,0))</f>
        <v>44863</v>
      </c>
      <c r="D141" s="73">
        <f>IF(+All!$F556="Pittsburgh",+All!D556,IF(+All!$H556="Pittsburgh",+All!D556,0))</f>
        <v>0.83333333333333337</v>
      </c>
      <c r="E141" s="461" t="str">
        <f>IF(+All!$F556="Pittsburgh",+All!E556,IF(+All!$H556="Pittsburgh",+All!E556,0))</f>
        <v>ACC</v>
      </c>
      <c r="F141" s="460" t="str">
        <f>IF(+All!$F556="Pittsburgh",+All!F556,IF(+All!$H556="Pittsburgh",+All!F556,0))</f>
        <v>Pittsburgh</v>
      </c>
      <c r="G141" s="461" t="str">
        <f>IF(+All!$F556="Pittsburgh",+All!G556,IF(+All!$H556="Pittsburgh",+All!G556,0))</f>
        <v>ACC</v>
      </c>
      <c r="H141" s="460" t="str">
        <f>IF(+All!$F556="Pittsburgh",+All!H556,IF(+All!$H556="Pittsburgh",+All!H556,0))</f>
        <v>North Carolina</v>
      </c>
      <c r="I141" s="461" t="str">
        <f>IF(+All!$F556="Pittsburgh",+All!I556,IF(+All!$H556="Pittsburgh",+All!I556,0))</f>
        <v>ACC</v>
      </c>
      <c r="J141" s="460" t="str">
        <f>IF(+All!$F556="Pittsburgh",+All!J556,IF(+All!$H556="Pittsburgh",+All!J556,0))</f>
        <v>North Carolina</v>
      </c>
      <c r="K141" s="461" t="str">
        <f>IF(+All!$F556="Pittsburgh",+All!K556,IF(+All!$H556="Pittsburgh",+All!K556,0))</f>
        <v>Pittsburgh</v>
      </c>
      <c r="L141" s="60">
        <f>IF(+All!$F556="Pittsburgh",+All!L556,IF(+All!$H556="Pittsburgh",+All!L556,0))</f>
        <v>3</v>
      </c>
      <c r="M141" s="61">
        <f>IF(+All!$F556="Pittsburgh",+All!M556,IF(+All!$H556="Pittsburgh",+All!M556,0))</f>
        <v>64.5</v>
      </c>
      <c r="N141" s="460" t="str">
        <f>IF(+All!$F556="Pittsburgh",+All!N556,IF(+All!$H556="Pittsburgh",+All!N556,0))</f>
        <v>North Carolina</v>
      </c>
      <c r="O141" s="462">
        <f>IF(+All!$F556="Pittsburgh",+All!O556,IF(+All!$H556="Pittsburgh",+All!O556,0))</f>
        <v>42</v>
      </c>
      <c r="P141" s="462" t="str">
        <f>IF(+All!$F556="Pittsburgh",+All!P556,IF(+All!$H556="Pittsburgh",+All!P556,0))</f>
        <v>Pittsburgh</v>
      </c>
      <c r="Q141" s="461">
        <f>IF(+All!$F556="Pittsburgh",+All!Q556,IF(+All!$H556="Pittsburgh",+All!Q556,0))</f>
        <v>24</v>
      </c>
      <c r="R141" s="460" t="str">
        <f>IF(+All!$F556="Pittsburgh",+All!R556,IF(+All!$H556="Pittsburgh",+All!R556,0))</f>
        <v>North Carolina</v>
      </c>
      <c r="S141" s="462" t="str">
        <f>IF(+All!$F556="Pittsburgh",+All!S556,IF(+All!$H556="Pittsburgh",+All!S556,0))</f>
        <v>Pittsburgh</v>
      </c>
      <c r="T141" s="460" t="str">
        <f>IF(+All!$F556="Pittsburgh",+All!T556,IF(+All!$H556="Pittsburgh",+All!T556,0))</f>
        <v>North Carolina</v>
      </c>
      <c r="U141" s="461" t="str">
        <f>IF(+All!$F556="Pittsburgh",+All!U556,IF(+All!$H556="Pittsburgh",+All!U556,0))</f>
        <v>W</v>
      </c>
    </row>
    <row r="142" spans="1:21" ht="15.75" customHeight="1" x14ac:dyDescent="0.8">
      <c r="A142" s="46">
        <f>IF(+All!$F610="Pittsburgh",+All!A610,IF(+All!$H610="Pittsburgh",+All!A610,0))</f>
        <v>10</v>
      </c>
      <c r="B142" s="348" t="str">
        <f>IF(+All!$F610="Pittsburgh",+All!B610,IF(+All!$H610="Pittsburgh",+All!B610,0))</f>
        <v>Sat</v>
      </c>
      <c r="C142" s="72">
        <f>IF(+All!$F610="Pittsburgh",+All!C610,IF(+All!$H610="Pittsburgh",+All!C610,0))</f>
        <v>44870</v>
      </c>
      <c r="D142" s="73">
        <f>IF(+All!$F610="Pittsburgh",+All!D610,IF(+All!$H610="Pittsburgh",+All!D610,0))</f>
        <v>0.64583333333333337</v>
      </c>
      <c r="E142" s="461" t="str">
        <f>IF(+All!$F610="Pittsburgh",+All!E610,IF(+All!$H610="Pittsburgh",+All!E610,0))</f>
        <v>ACC</v>
      </c>
      <c r="F142" s="460" t="str">
        <f>IF(+All!$F610="Pittsburgh",+All!F610,IF(+All!$H610="Pittsburgh",+All!F610,0))</f>
        <v>Syracuse</v>
      </c>
      <c r="G142" s="461" t="str">
        <f>IF(+All!$F610="Pittsburgh",+All!G610,IF(+All!$H610="Pittsburgh",+All!G610,0))</f>
        <v>ACC</v>
      </c>
      <c r="H142" s="460" t="str">
        <f>IF(+All!$F610="Pittsburgh",+All!H610,IF(+All!$H610="Pittsburgh",+All!H610,0))</f>
        <v>Pittsburgh</v>
      </c>
      <c r="I142" s="461" t="str">
        <f>IF(+All!$F610="Pittsburgh",+All!I610,IF(+All!$H610="Pittsburgh",+All!I610,0))</f>
        <v>ACC</v>
      </c>
      <c r="J142" s="460" t="str">
        <f>IF(+All!$F610="Pittsburgh",+All!J610,IF(+All!$H610="Pittsburgh",+All!J610,0))</f>
        <v>Pittsburgh</v>
      </c>
      <c r="K142" s="461" t="str">
        <f>IF(+All!$F610="Pittsburgh",+All!K610,IF(+All!$H610="Pittsburgh",+All!K610,0))</f>
        <v>Syracuse</v>
      </c>
      <c r="L142" s="60">
        <f>IF(+All!$F610="Pittsburgh",+All!L610,IF(+All!$H610="Pittsburgh",+All!L610,0))</f>
        <v>3</v>
      </c>
      <c r="M142" s="61">
        <f>IF(+All!$F610="Pittsburgh",+All!M610,IF(+All!$H610="Pittsburgh",+All!M610,0))</f>
        <v>48</v>
      </c>
      <c r="N142" s="460" t="str">
        <f>IF(+All!$F610="Pittsburgh",+All!N610,IF(+All!$H610="Pittsburgh",+All!N610,0))</f>
        <v>Pittsburgh</v>
      </c>
      <c r="O142" s="462">
        <f>IF(+All!$F610="Pittsburgh",+All!O610,IF(+All!$H610="Pittsburgh",+All!O610,0))</f>
        <v>19</v>
      </c>
      <c r="P142" s="462" t="str">
        <f>IF(+All!$F610="Pittsburgh",+All!P610,IF(+All!$H610="Pittsburgh",+All!P610,0))</f>
        <v>Syracuse</v>
      </c>
      <c r="Q142" s="461">
        <f>IF(+All!$F610="Pittsburgh",+All!Q610,IF(+All!$H610="Pittsburgh",+All!Q610,0))</f>
        <v>9</v>
      </c>
      <c r="R142" s="460" t="str">
        <f>IF(+All!$F610="Pittsburgh",+All!R610,IF(+All!$H610="Pittsburgh",+All!R610,0))</f>
        <v>Pittsburgh</v>
      </c>
      <c r="S142" s="462" t="str">
        <f>IF(+All!$F610="Pittsburgh",+All!S610,IF(+All!$H610="Pittsburgh",+All!S610,0))</f>
        <v>Syracuse</v>
      </c>
      <c r="T142" s="460" t="str">
        <f>IF(+All!$F610="Pittsburgh",+All!T610,IF(+All!$H610="Pittsburgh",+All!T610,0))</f>
        <v>Syracuse</v>
      </c>
      <c r="U142" s="461" t="str">
        <f>IF(+All!$F610="Pittsburgh",+All!U610,IF(+All!$H610="Pittsburgh",+All!U610,0))</f>
        <v>L</v>
      </c>
    </row>
    <row r="143" spans="1:21" ht="15.75" customHeight="1" x14ac:dyDescent="0.8">
      <c r="A143" s="46">
        <f>IF(+All!$F673="Pittsburgh",+All!A673,IF(+All!$H673="Pittsburgh",+All!A673,0))</f>
        <v>11</v>
      </c>
      <c r="B143" s="348" t="str">
        <f>IF(+All!$F673="Pittsburgh",+All!B673,IF(+All!$H673="Pittsburgh",+All!B673,0))</f>
        <v>Sat</v>
      </c>
      <c r="C143" s="72">
        <f>IF(+All!$F673="Pittsburgh",+All!C673,IF(+All!$H673="Pittsburgh",+All!C673,0))</f>
        <v>44877</v>
      </c>
      <c r="D143" s="73">
        <f>IF(+All!$F673="Pittsburgh",+All!D673,IF(+All!$H673="Pittsburgh",+All!D673,0))</f>
        <v>0.5</v>
      </c>
      <c r="E143" s="461" t="str">
        <f>IF(+All!$F673="Pittsburgh",+All!E673,IF(+All!$H673="Pittsburgh",+All!E673,0))</f>
        <v>ACC</v>
      </c>
      <c r="F143" s="460" t="str">
        <f>IF(+All!$F673="Pittsburgh",+All!F673,IF(+All!$H673="Pittsburgh",+All!F673,0))</f>
        <v>Pittsburgh</v>
      </c>
      <c r="G143" s="461" t="str">
        <f>IF(+All!$F673="Pittsburgh",+All!G673,IF(+All!$H673="Pittsburgh",+All!G673,0))</f>
        <v>ACC</v>
      </c>
      <c r="H143" s="460" t="str">
        <f>IF(+All!$F673="Pittsburgh",+All!H673,IF(+All!$H673="Pittsburgh",+All!H673,0))</f>
        <v>Virginia</v>
      </c>
      <c r="I143" s="461" t="str">
        <f>IF(+All!$F673="Pittsburgh",+All!I673,IF(+All!$H673="Pittsburgh",+All!I673,0))</f>
        <v>ACC</v>
      </c>
      <c r="J143" s="460" t="str">
        <f>IF(+All!$F673="Pittsburgh",+All!J673,IF(+All!$H673="Pittsburgh",+All!J673,0))</f>
        <v>Pittsburgh</v>
      </c>
      <c r="K143" s="461" t="str">
        <f>IF(+All!$F673="Pittsburgh",+All!K673,IF(+All!$H673="Pittsburgh",+All!K673,0))</f>
        <v>Virginia</v>
      </c>
      <c r="L143" s="60">
        <f>IF(+All!$F673="Pittsburgh",+All!L673,IF(+All!$H673="Pittsburgh",+All!L673,0))</f>
        <v>4</v>
      </c>
      <c r="M143" s="61">
        <f>IF(+All!$F673="Pittsburgh",+All!M673,IF(+All!$H673="Pittsburgh",+All!M673,0))</f>
        <v>40</v>
      </c>
      <c r="N143" s="460" t="str">
        <f>IF(+All!$F673="Pittsburgh",+All!N673,IF(+All!$H673="Pittsburgh",+All!N673,0))</f>
        <v>Pittsburgh</v>
      </c>
      <c r="O143" s="462">
        <f>IF(+All!$F673="Pittsburgh",+All!O673,IF(+All!$H673="Pittsburgh",+All!O673,0))</f>
        <v>37</v>
      </c>
      <c r="P143" s="462" t="str">
        <f>IF(+All!$F673="Pittsburgh",+All!P673,IF(+All!$H673="Pittsburgh",+All!P673,0))</f>
        <v>Virginia</v>
      </c>
      <c r="Q143" s="461">
        <f>IF(+All!$F673="Pittsburgh",+All!Q673,IF(+All!$H673="Pittsburgh",+All!Q673,0))</f>
        <v>7</v>
      </c>
      <c r="R143" s="460" t="str">
        <f>IF(+All!$F673="Pittsburgh",+All!R673,IF(+All!$H673="Pittsburgh",+All!R673,0))</f>
        <v>Pittsburgh</v>
      </c>
      <c r="S143" s="462" t="str">
        <f>IF(+All!$F673="Pittsburgh",+All!S673,IF(+All!$H673="Pittsburgh",+All!S673,0))</f>
        <v>Virginia</v>
      </c>
      <c r="T143" s="460" t="str">
        <f>IF(+All!$F673="Pittsburgh",+All!T673,IF(+All!$H673="Pittsburgh",+All!T673,0))</f>
        <v>Pittsburgh</v>
      </c>
      <c r="U143" s="461" t="str">
        <f>IF(+All!$F673="Pittsburgh",+All!U673,IF(+All!$H673="Pittsburgh",+All!U673,0))</f>
        <v>W</v>
      </c>
    </row>
    <row r="144" spans="1:21" ht="15.75" customHeight="1" x14ac:dyDescent="0.8">
      <c r="A144" s="46">
        <f>IF(+All!$F734="Pittsburgh",+All!A734,IF(+All!$H734="Pittsburgh",+All!A734,0))</f>
        <v>12</v>
      </c>
      <c r="B144" s="348" t="str">
        <f>IF(+All!$F734="Pittsburgh",+All!B734,IF(+All!$H734="Pittsburgh",+All!B734,0))</f>
        <v>Sat</v>
      </c>
      <c r="C144" s="72">
        <f>IF(+All!$F734="Pittsburgh",+All!C734,IF(+All!$H734="Pittsburgh",+All!C734,0))</f>
        <v>44884</v>
      </c>
      <c r="D144" s="73">
        <f>IF(+All!$F734="Pittsburgh",+All!D734,IF(+All!$H734="Pittsburgh",+All!D734,0))</f>
        <v>0.5</v>
      </c>
      <c r="E144" s="461" t="str">
        <f>IF(+All!$F734="Pittsburgh",+All!E734,IF(+All!$H734="Pittsburgh",+All!E734,0))</f>
        <v>ACC</v>
      </c>
      <c r="F144" s="460" t="str">
        <f>IF(+All!$F734="Pittsburgh",+All!F734,IF(+All!$H734="Pittsburgh",+All!F734,0))</f>
        <v>Duke</v>
      </c>
      <c r="G144" s="461" t="str">
        <f>IF(+All!$F734="Pittsburgh",+All!G734,IF(+All!$H734="Pittsburgh",+All!G734,0))</f>
        <v>ACC</v>
      </c>
      <c r="H144" s="460" t="str">
        <f>IF(+All!$F734="Pittsburgh",+All!H734,IF(+All!$H734="Pittsburgh",+All!H734,0))</f>
        <v>Pittsburgh</v>
      </c>
      <c r="I144" s="461" t="str">
        <f>IF(+All!$F734="Pittsburgh",+All!I734,IF(+All!$H734="Pittsburgh",+All!I734,0))</f>
        <v>ACC</v>
      </c>
      <c r="J144" s="460" t="str">
        <f>IF(+All!$F734="Pittsburgh",+All!J734,IF(+All!$H734="Pittsburgh",+All!J734,0))</f>
        <v>Pittsburgh</v>
      </c>
      <c r="K144" s="461" t="str">
        <f>IF(+All!$F734="Pittsburgh",+All!K734,IF(+All!$H734="Pittsburgh",+All!K734,0))</f>
        <v>Duke</v>
      </c>
      <c r="L144" s="60">
        <f>IF(+All!$F734="Pittsburgh",+All!L734,IF(+All!$H734="Pittsburgh",+All!L734,0))</f>
        <v>7.5</v>
      </c>
      <c r="M144" s="61">
        <f>IF(+All!$F734="Pittsburgh",+All!M734,IF(+All!$H734="Pittsburgh",+All!M734,0))</f>
        <v>52</v>
      </c>
      <c r="N144" s="460" t="str">
        <f>IF(+All!$F734="Pittsburgh",+All!N734,IF(+All!$H734="Pittsburgh",+All!N734,0))</f>
        <v>Pittsburgh</v>
      </c>
      <c r="O144" s="462">
        <f>IF(+All!$F734="Pittsburgh",+All!O734,IF(+All!$H734="Pittsburgh",+All!O734,0))</f>
        <v>28</v>
      </c>
      <c r="P144" s="462" t="str">
        <f>IF(+All!$F734="Pittsburgh",+All!P734,IF(+All!$H734="Pittsburgh",+All!P734,0))</f>
        <v>Duke</v>
      </c>
      <c r="Q144" s="461">
        <f>IF(+All!$F734="Pittsburgh",+All!Q734,IF(+All!$H734="Pittsburgh",+All!Q734,0))</f>
        <v>26</v>
      </c>
      <c r="R144" s="460" t="str">
        <f>IF(+All!$F734="Pittsburgh",+All!R734,IF(+All!$H734="Pittsburgh",+All!R734,0))</f>
        <v>Duke</v>
      </c>
      <c r="S144" s="462" t="str">
        <f>IF(+All!$F734="Pittsburgh",+All!S734,IF(+All!$H734="Pittsburgh",+All!S734,0))</f>
        <v>Pittsburgh</v>
      </c>
      <c r="T144" s="460" t="str">
        <f>IF(+All!$F734="Pittsburgh",+All!T734,IF(+All!$H734="Pittsburgh",+All!T734,0))</f>
        <v>Duke</v>
      </c>
      <c r="U144" s="461" t="str">
        <f>IF(+All!$F734="Pittsburgh",+All!U734,IF(+All!$H734="Pittsburgh",+All!U734,0))</f>
        <v>W</v>
      </c>
    </row>
    <row r="145" spans="1:21" ht="15.75" customHeight="1" x14ac:dyDescent="0.8">
      <c r="A145" s="46">
        <f>IF(+All!$F806="Pittsburgh",+All!A806,IF(+All!$H806="Pittsburgh",+All!A806,0))</f>
        <v>13</v>
      </c>
      <c r="B145" s="348" t="str">
        <f>IF(+All!$F806="Pittsburgh",+All!B806,IF(+All!$H806="Pittsburgh",+All!B806,0))</f>
        <v>Sat</v>
      </c>
      <c r="C145" s="72">
        <f>IF(+All!$F806="Pittsburgh",+All!C806,IF(+All!$H806="Pittsburgh",+All!C806,0))</f>
        <v>44891</v>
      </c>
      <c r="D145" s="73">
        <f>IF(+All!$F806="Pittsburgh",+All!D806,IF(+All!$H806="Pittsburgh",+All!D806,0))</f>
        <v>0.83333333333333337</v>
      </c>
      <c r="E145" s="461" t="str">
        <f>IF(+All!$F806="Pittsburgh",+All!E806,IF(+All!$H806="Pittsburgh",+All!E806,0))</f>
        <v>ACC</v>
      </c>
      <c r="F145" s="460" t="str">
        <f>IF(+All!$F806="Pittsburgh",+All!F806,IF(+All!$H806="Pittsburgh",+All!F806,0))</f>
        <v>Pittsburgh</v>
      </c>
      <c r="G145" s="461" t="str">
        <f>IF(+All!$F806="Pittsburgh",+All!G806,IF(+All!$H806="Pittsburgh",+All!G806,0))</f>
        <v>ACC</v>
      </c>
      <c r="H145" s="460" t="str">
        <f>IF(+All!$F806="Pittsburgh",+All!H806,IF(+All!$H806="Pittsburgh",+All!H806,0))</f>
        <v>Miami (FL)</v>
      </c>
      <c r="I145" s="461" t="str">
        <f>IF(+All!$F806="Pittsburgh",+All!I806,IF(+All!$H806="Pittsburgh",+All!I806,0))</f>
        <v>ACC</v>
      </c>
      <c r="J145" s="460" t="str">
        <f>IF(+All!$F806="Pittsburgh",+All!J806,IF(+All!$H806="Pittsburgh",+All!J806,0))</f>
        <v>Pittsburgh</v>
      </c>
      <c r="K145" s="461" t="str">
        <f>IF(+All!$F806="Pittsburgh",+All!K806,IF(+All!$H806="Pittsburgh",+All!K806,0))</f>
        <v>Miami (FL)</v>
      </c>
      <c r="L145" s="60">
        <f>IF(+All!$F806="Pittsburgh",+All!L806,IF(+All!$H806="Pittsburgh",+All!L806,0))</f>
        <v>6.5</v>
      </c>
      <c r="M145" s="61">
        <f>IF(+All!$F806="Pittsburgh",+All!M806,IF(+All!$H806="Pittsburgh",+All!M806,0))</f>
        <v>43</v>
      </c>
      <c r="N145" s="460" t="str">
        <f>IF(+All!$F806="Pittsburgh",+All!N806,IF(+All!$H806="Pittsburgh",+All!N806,0))</f>
        <v>Pittsburgh</v>
      </c>
      <c r="O145" s="462">
        <f>IF(+All!$F806="Pittsburgh",+All!O806,IF(+All!$H806="Pittsburgh",+All!O806,0))</f>
        <v>42</v>
      </c>
      <c r="P145" s="462" t="str">
        <f>IF(+All!$F806="Pittsburgh",+All!P806,IF(+All!$H806="Pittsburgh",+All!P806,0))</f>
        <v>Miami (FL)</v>
      </c>
      <c r="Q145" s="461">
        <f>IF(+All!$F806="Pittsburgh",+All!Q806,IF(+All!$H806="Pittsburgh",+All!Q806,0))</f>
        <v>16</v>
      </c>
      <c r="R145" s="460" t="str">
        <f>IF(+All!$F806="Pittsburgh",+All!R806,IF(+All!$H806="Pittsburgh",+All!R806,0))</f>
        <v>Pittsburgh</v>
      </c>
      <c r="S145" s="462" t="str">
        <f>IF(+All!$F806="Pittsburgh",+All!S806,IF(+All!$H806="Pittsburgh",+All!S806,0))</f>
        <v>Miami (FL)</v>
      </c>
      <c r="T145" s="460" t="str">
        <f>IF(+All!$F806="Pittsburgh",+All!T806,IF(+All!$H806="Pittsburgh",+All!T806,0))</f>
        <v>Pittsburgh</v>
      </c>
      <c r="U145" s="461" t="str">
        <f>IF(+All!$F806="Pittsburgh",+All!U806,IF(+All!$H806="Pittsburgh",+All!U806,0))</f>
        <v>W</v>
      </c>
    </row>
    <row r="146" spans="1:21" ht="15.75" customHeight="1" x14ac:dyDescent="0.8">
      <c r="A146" s="38"/>
      <c r="B146" s="39"/>
      <c r="C146" s="40"/>
      <c r="D146" s="41"/>
      <c r="E146" s="463"/>
      <c r="F146" s="897" t="str">
        <f>F148</f>
        <v>Syracuse</v>
      </c>
      <c r="G146" s="901"/>
      <c r="H146" s="901"/>
      <c r="I146" s="902"/>
      <c r="J146" s="459"/>
      <c r="K146" s="463"/>
      <c r="L146" s="44"/>
      <c r="M146" s="45"/>
      <c r="N146" s="459"/>
      <c r="O146" s="5"/>
      <c r="P146" s="5"/>
      <c r="Q146" s="463"/>
      <c r="R146" s="459"/>
      <c r="S146" s="5"/>
      <c r="T146" s="459"/>
      <c r="U146" s="463"/>
    </row>
    <row r="147" spans="1:21" ht="15.75" customHeight="1" x14ac:dyDescent="0.8">
      <c r="A147" s="46">
        <f>IF(+All!$F89="Syracuse",+All!A89,IF(+All!$H89="Syracuse",+All!A89,0))</f>
        <v>1</v>
      </c>
      <c r="B147" s="348" t="str">
        <f>IF(+All!$F89="Syracuse",+All!B89,IF(+All!$H89="Syracuse",+All!B89,0))</f>
        <v>Sat</v>
      </c>
      <c r="C147" s="72">
        <f>IF(+All!$F89="Syracuse",+All!C89,IF(+All!$H89="Syracuse",+All!C89,0))</f>
        <v>44807</v>
      </c>
      <c r="D147" s="73">
        <f>IF(+All!$F89="Syracuse",+All!D89,IF(+All!$H89="Syracuse",+All!D89,0))</f>
        <v>0.83333333333333337</v>
      </c>
      <c r="E147" s="461" t="str">
        <f>IF(+All!$F89="Syracuse",+All!E89,IF(+All!$H89="Syracuse",+All!E89,0))</f>
        <v>ACC</v>
      </c>
      <c r="F147" s="460" t="str">
        <f>IF(+All!$F89="Syracuse",+All!F89,IF(+All!$H89="Syracuse",+All!F89,0))</f>
        <v>Louisville</v>
      </c>
      <c r="G147" s="462" t="str">
        <f>IF(+All!$F89="Syracuse",+All!G89,IF(+All!$H89="Syracuse",+All!G89,0))</f>
        <v>ACC</v>
      </c>
      <c r="H147" s="462" t="str">
        <f>IF(+All!$F89="Syracuse",+All!H89,IF(+All!$H89="Syracuse",+All!H89,0))</f>
        <v>Syracuse</v>
      </c>
      <c r="I147" s="461" t="str">
        <f>IF(+All!$F89="Syracuse",+All!I89,IF(+All!$H89="Syracuse",+All!I89,0))</f>
        <v>ACC</v>
      </c>
      <c r="J147" s="460" t="str">
        <f>IF(+All!$F89="Syracuse",+All!J89,IF(+All!$H89="Syracuse",+All!J89,0))</f>
        <v>Louisville</v>
      </c>
      <c r="K147" s="461" t="str">
        <f>IF(+All!$F89="Syracuse",+All!K89,IF(+All!$H89="Syracuse",+All!K89,0))</f>
        <v>Syracuse</v>
      </c>
      <c r="L147" s="60">
        <f>IF(+All!$F89="Syracuse",+All!L89,IF(+All!$H89="Syracuse",+All!L89,0))</f>
        <v>5</v>
      </c>
      <c r="M147" s="61">
        <f>IF(+All!$F89="Syracuse",+All!M89,IF(+All!$H89="Syracuse",+All!M89,0))</f>
        <v>56.5</v>
      </c>
      <c r="N147" s="460" t="str">
        <f>IF(+All!$F89="Syracuse",+All!N89,IF(+All!$H89="Syracuse",+All!N89,0))</f>
        <v>Syracuse</v>
      </c>
      <c r="O147" s="462">
        <f>IF(+All!$F89="Syracuse",+All!O89,IF(+All!$H89="Syracuse",+All!O89,0))</f>
        <v>31</v>
      </c>
      <c r="P147" s="462" t="str">
        <f>IF(+All!$F89="Syracuse",+All!P89,IF(+All!$H89="Syracuse",+All!P89,0))</f>
        <v>Louisville</v>
      </c>
      <c r="Q147" s="461">
        <f>IF(+All!$F89="Syracuse",+All!Q89,IF(+All!$H89="Syracuse",+All!Q89,0))</f>
        <v>7</v>
      </c>
      <c r="R147" s="460" t="str">
        <f>IF(+All!$F89="Syracuse",+All!R89,IF(+All!$H89="Syracuse",+All!R89,0))</f>
        <v>Syracuse</v>
      </c>
      <c r="S147" s="462" t="str">
        <f>IF(+All!$F89="Syracuse",+All!S89,IF(+All!$H89="Syracuse",+All!S89,0))</f>
        <v>Louisville</v>
      </c>
      <c r="T147" s="460" t="str">
        <f>IF(+All!$F89="Syracuse",+All!T89,IF(+All!$H89="Syracuse",+All!T89,0))</f>
        <v>Louisville</v>
      </c>
      <c r="U147" s="461" t="str">
        <f>IF(+All!$F89="Syracuse",+All!U89,IF(+All!$H89="Syracuse",+All!U89,0))</f>
        <v>L</v>
      </c>
    </row>
    <row r="148" spans="1:21" ht="15.75" customHeight="1" x14ac:dyDescent="0.8">
      <c r="A148" s="46">
        <f>IF(+All!$F142="Syracuse",+All!A142,IF(+All!$H142="Syracuse",+All!A142,0))</f>
        <v>2</v>
      </c>
      <c r="B148" s="348" t="str">
        <f>IF(+All!$F142="Syracuse",+All!B142,IF(+All!$H142="Syracuse",+All!B142,0))</f>
        <v>Sat</v>
      </c>
      <c r="C148" s="72">
        <f>IF(+All!$F142="Syracuse",+All!C142,IF(+All!$H142="Syracuse",+All!C142,0))</f>
        <v>44814</v>
      </c>
      <c r="D148" s="73">
        <f>IF(+All!$F142="Syracuse",+All!D142,IF(+All!$H142="Syracuse",+All!D142,0))</f>
        <v>0.79166666666666663</v>
      </c>
      <c r="E148" s="461" t="str">
        <f>IF(+All!$F142="Syracuse",+All!E142,IF(+All!$H142="Syracuse",+All!E142,0))</f>
        <v>CBSSN</v>
      </c>
      <c r="F148" s="460" t="str">
        <f>IF(+All!$F142="Syracuse",+All!F142,IF(+All!$H142="Syracuse",+All!F142,0))</f>
        <v>Syracuse</v>
      </c>
      <c r="G148" s="462" t="str">
        <f>IF(+All!$F142="Syracuse",+All!G142,IF(+All!$H142="Syracuse",+All!G142,0))</f>
        <v>ACC</v>
      </c>
      <c r="H148" s="462" t="str">
        <f>IF(+All!$F142="Syracuse",+All!H142,IF(+All!$H142="Syracuse",+All!H142,0))</f>
        <v>Connecticut</v>
      </c>
      <c r="I148" s="461" t="str">
        <f>IF(+All!$F142="Syracuse",+All!I142,IF(+All!$H142="Syracuse",+All!I142,0))</f>
        <v>Ind</v>
      </c>
      <c r="J148" s="460" t="str">
        <f>IF(+All!$F142="Syracuse",+All!J142,IF(+All!$H142="Syracuse",+All!J142,0))</f>
        <v>Syracuse</v>
      </c>
      <c r="K148" s="461" t="str">
        <f>IF(+All!$F142="Syracuse",+All!K142,IF(+All!$H142="Syracuse",+All!K142,0))</f>
        <v>Connecticut</v>
      </c>
      <c r="L148" s="60">
        <f>IF(+All!$F142="Syracuse",+All!L142,IF(+All!$H142="Syracuse",+All!L142,0))</f>
        <v>22.5</v>
      </c>
      <c r="M148" s="61">
        <f>IF(+All!$F142="Syracuse",+All!M142,IF(+All!$H142="Syracuse",+All!M142,0))</f>
        <v>49</v>
      </c>
      <c r="N148" s="460" t="str">
        <f>IF(+All!$F142="Syracuse",+All!N142,IF(+All!$H142="Syracuse",+All!N142,0))</f>
        <v>Syracuse</v>
      </c>
      <c r="O148" s="462">
        <f>IF(+All!$F142="Syracuse",+All!O142,IF(+All!$H142="Syracuse",+All!O142,0))</f>
        <v>48</v>
      </c>
      <c r="P148" s="462" t="str">
        <f>IF(+All!$F142="Syracuse",+All!P142,IF(+All!$H142="Syracuse",+All!P142,0))</f>
        <v>Connecticut</v>
      </c>
      <c r="Q148" s="461">
        <f>IF(+All!$F142="Syracuse",+All!Q142,IF(+All!$H142="Syracuse",+All!Q142,0))</f>
        <v>14</v>
      </c>
      <c r="R148" s="460" t="str">
        <f>IF(+All!$F142="Syracuse",+All!R142,IF(+All!$H142="Syracuse",+All!R142,0))</f>
        <v>Syracuse</v>
      </c>
      <c r="S148" s="462" t="str">
        <f>IF(+All!$F142="Syracuse",+All!S142,IF(+All!$H142="Syracuse",+All!S142,0))</f>
        <v>Connecticut</v>
      </c>
      <c r="T148" s="460" t="str">
        <f>IF(+All!$F142="Syracuse",+All!T142,IF(+All!$H142="Syracuse",+All!T142,0))</f>
        <v>Syracuse</v>
      </c>
      <c r="U148" s="461" t="str">
        <f>IF(+All!$F142="Syracuse",+All!U142,IF(+All!$H142="Syracuse",+All!U142,0))</f>
        <v>W</v>
      </c>
    </row>
    <row r="149" spans="1:21" ht="15.75" customHeight="1" x14ac:dyDescent="0.8">
      <c r="A149" s="46">
        <f>IF(+All!$F193="Syracuse",+All!A193,IF(+All!$H193="Syracuse",+All!A193,0))</f>
        <v>3</v>
      </c>
      <c r="B149" s="348" t="str">
        <f>IF(+All!$F193="Syracuse",+All!B193,IF(+All!$H193="Syracuse",+All!B193,0))</f>
        <v>Sat</v>
      </c>
      <c r="C149" s="72">
        <f>IF(+All!$F193="Syracuse",+All!C193,IF(+All!$H193="Syracuse",+All!C193,0))</f>
        <v>44821</v>
      </c>
      <c r="D149" s="73">
        <f>IF(+All!$F193="Syracuse",+All!D193,IF(+All!$H193="Syracuse",+All!D193,0))</f>
        <v>0.5</v>
      </c>
      <c r="E149" s="461" t="str">
        <f>IF(+All!$F193="Syracuse",+All!E193,IF(+All!$H193="Syracuse",+All!E193,0))</f>
        <v>ESPN2</v>
      </c>
      <c r="F149" s="460" t="str">
        <f>IF(+All!$F193="Syracuse",+All!F193,IF(+All!$H193="Syracuse",+All!F193,0))</f>
        <v>Purdue</v>
      </c>
      <c r="G149" s="462" t="str">
        <f>IF(+All!$F193="Syracuse",+All!G193,IF(+All!$H193="Syracuse",+All!G193,0))</f>
        <v>B10</v>
      </c>
      <c r="H149" s="462" t="str">
        <f>IF(+All!$F193="Syracuse",+All!H193,IF(+All!$H193="Syracuse",+All!H193,0))</f>
        <v>Syracuse</v>
      </c>
      <c r="I149" s="461" t="str">
        <f>IF(+All!$F193="Syracuse",+All!I193,IF(+All!$H193="Syracuse",+All!I193,0))</f>
        <v>ACC</v>
      </c>
      <c r="J149" s="460" t="str">
        <f>IF(+All!$F193="Syracuse",+All!J193,IF(+All!$H193="Syracuse",+All!J193,0))</f>
        <v>Purdue</v>
      </c>
      <c r="K149" s="461" t="str">
        <f>IF(+All!$F193="Syracuse",+All!K193,IF(+All!$H193="Syracuse",+All!K193,0))</f>
        <v>Syracuse</v>
      </c>
      <c r="L149" s="60">
        <f>IF(+All!$F193="Syracuse",+All!L193,IF(+All!$H193="Syracuse",+All!L193,0))</f>
        <v>0</v>
      </c>
      <c r="M149" s="61">
        <f>IF(+All!$F193="Syracuse",+All!M193,IF(+All!$H193="Syracuse",+All!M193,0))</f>
        <v>58.5</v>
      </c>
      <c r="N149" s="460" t="str">
        <f>IF(+All!$F193="Syracuse",+All!N193,IF(+All!$H193="Syracuse",+All!N193,0))</f>
        <v>Syracuse</v>
      </c>
      <c r="O149" s="462">
        <f>IF(+All!$F193="Syracuse",+All!O193,IF(+All!$H193="Syracuse",+All!O193,0))</f>
        <v>32</v>
      </c>
      <c r="P149" s="462" t="str">
        <f>IF(+All!$F193="Syracuse",+All!P193,IF(+All!$H193="Syracuse",+All!P193,0))</f>
        <v>Purdue</v>
      </c>
      <c r="Q149" s="461">
        <f>IF(+All!$F193="Syracuse",+All!Q193,IF(+All!$H193="Syracuse",+All!Q193,0))</f>
        <v>29</v>
      </c>
      <c r="R149" s="460" t="str">
        <f>IF(+All!$F193="Syracuse",+All!R193,IF(+All!$H193="Syracuse",+All!R193,0))</f>
        <v>Syracuse</v>
      </c>
      <c r="S149" s="462" t="str">
        <f>IF(+All!$F193="Syracuse",+All!S193,IF(+All!$H193="Syracuse",+All!S193,0))</f>
        <v>Purdue</v>
      </c>
      <c r="T149" s="460" t="str">
        <f>IF(+All!$F193="Syracuse",+All!T193,IF(+All!$H193="Syracuse",+All!T193,0))</f>
        <v>Purdue</v>
      </c>
      <c r="U149" s="461" t="str">
        <f>IF(+All!$F193="Syracuse",+All!U193,IF(+All!$H193="Syracuse",+All!U193,0))</f>
        <v>L</v>
      </c>
    </row>
    <row r="150" spans="1:21" ht="15.75" customHeight="1" x14ac:dyDescent="0.8">
      <c r="A150" s="46">
        <f>IF(+All!$F255="Syracuse",+All!A255,IF(+All!$H255="Syracuse",+All!A255,0))</f>
        <v>4</v>
      </c>
      <c r="B150" s="348" t="str">
        <f>IF(+All!$F255="Syracuse",+All!B255,IF(+All!$H255="Syracuse",+All!B255,0))</f>
        <v>Fri</v>
      </c>
      <c r="C150" s="72">
        <f>IF(+All!$F255="Syracuse",+All!C255,IF(+All!$H255="Syracuse",+All!C255,0))</f>
        <v>44827</v>
      </c>
      <c r="D150" s="73">
        <f>IF(+All!$F255="Syracuse",+All!D255,IF(+All!$H255="Syracuse",+All!D255,0))</f>
        <v>0.79166666666666663</v>
      </c>
      <c r="E150" s="461" t="str">
        <f>IF(+All!$F255="Syracuse",+All!E255,IF(+All!$H255="Syracuse",+All!E255,0))</f>
        <v>ESPN</v>
      </c>
      <c r="F150" s="460" t="str">
        <f>IF(+All!$F255="Syracuse",+All!F255,IF(+All!$H255="Syracuse",+All!F255,0))</f>
        <v>Virginia</v>
      </c>
      <c r="G150" s="462" t="str">
        <f>IF(+All!$F255="Syracuse",+All!G255,IF(+All!$H255="Syracuse",+All!G255,0))</f>
        <v>ACC</v>
      </c>
      <c r="H150" s="462" t="str">
        <f>IF(+All!$F255="Syracuse",+All!H255,IF(+All!$H255="Syracuse",+All!H255,0))</f>
        <v>Syracuse</v>
      </c>
      <c r="I150" s="461" t="str">
        <f>IF(+All!$F255="Syracuse",+All!I255,IF(+All!$H255="Syracuse",+All!I255,0))</f>
        <v>ACC</v>
      </c>
      <c r="J150" s="460" t="str">
        <f>IF(+All!$F255="Syracuse",+All!J255,IF(+All!$H255="Syracuse",+All!J255,0))</f>
        <v>Syracuse</v>
      </c>
      <c r="K150" s="461" t="str">
        <f>IF(+All!$F255="Syracuse",+All!K255,IF(+All!$H255="Syracuse",+All!K255,0))</f>
        <v>Virginia</v>
      </c>
      <c r="L150" s="60">
        <f>IF(+All!$F255="Syracuse",+All!L255,IF(+All!$H255="Syracuse",+All!L255,0))</f>
        <v>11</v>
      </c>
      <c r="M150" s="61">
        <f>IF(+All!$F255="Syracuse",+All!M255,IF(+All!$H255="Syracuse",+All!M255,0))</f>
        <v>53</v>
      </c>
      <c r="N150" s="460" t="str">
        <f>IF(+All!$F255="Syracuse",+All!N255,IF(+All!$H255="Syracuse",+All!N255,0))</f>
        <v>Syracuse</v>
      </c>
      <c r="O150" s="462">
        <f>IF(+All!$F255="Syracuse",+All!O255,IF(+All!$H255="Syracuse",+All!O255,0))</f>
        <v>22</v>
      </c>
      <c r="P150" s="462" t="str">
        <f>IF(+All!$F255="Syracuse",+All!P255,IF(+All!$H255="Syracuse",+All!P255,0))</f>
        <v>Virginia</v>
      </c>
      <c r="Q150" s="461">
        <f>IF(+All!$F255="Syracuse",+All!Q255,IF(+All!$H255="Syracuse",+All!Q255,0))</f>
        <v>20</v>
      </c>
      <c r="R150" s="460" t="str">
        <f>IF(+All!$F255="Syracuse",+All!R255,IF(+All!$H255="Syracuse",+All!R255,0))</f>
        <v>Virginia</v>
      </c>
      <c r="S150" s="462" t="str">
        <f>IF(+All!$F255="Syracuse",+All!S255,IF(+All!$H255="Syracuse",+All!S255,0))</f>
        <v>Syracuse</v>
      </c>
      <c r="T150" s="460" t="str">
        <f>IF(+All!$F255="Syracuse",+All!T255,IF(+All!$H255="Syracuse",+All!T255,0))</f>
        <v>Virginia</v>
      </c>
      <c r="U150" s="461" t="str">
        <f>IF(+All!$F255="Syracuse",+All!U255,IF(+All!$H255="Syracuse",+All!U255,0))</f>
        <v>W</v>
      </c>
    </row>
    <row r="151" spans="1:21" ht="15.75" customHeight="1" x14ac:dyDescent="0.8">
      <c r="A151" s="46">
        <f>IF(+All!$F334="Syracuse",+All!A334,IF(+All!$H334="Syracuse",+All!A334,0))</f>
        <v>5</v>
      </c>
      <c r="B151" s="348" t="str">
        <f>IF(+All!$F334="Syracuse",+All!B334,IF(+All!$H334="Syracuse",+All!B334,0))</f>
        <v>Sat</v>
      </c>
      <c r="C151" s="72">
        <f>IF(+All!$F334="Syracuse",+All!C334,IF(+All!$H334="Syracuse",+All!C334,0))</f>
        <v>44835</v>
      </c>
      <c r="D151" s="73">
        <f>IF(+All!$F334="Syracuse",+All!D334,IF(+All!$H334="Syracuse",+All!D334,0))</f>
        <v>0.70833333333333337</v>
      </c>
      <c r="E151" s="461">
        <f>IF(+All!$F334="Syracuse",+All!E334,IF(+All!$H334="Syracuse",+All!E334,0))</f>
        <v>0</v>
      </c>
      <c r="F151" s="460" t="str">
        <f>IF(+All!$F334="Syracuse",+All!F334,IF(+All!$H334="Syracuse",+All!F334,0))</f>
        <v>1AA Wagner</v>
      </c>
      <c r="G151" s="462" t="str">
        <f>IF(+All!$F334="Syracuse",+All!G334,IF(+All!$H334="Syracuse",+All!G334,0))</f>
        <v>1AA</v>
      </c>
      <c r="H151" s="462" t="str">
        <f>IF(+All!$F334="Syracuse",+All!H334,IF(+All!$H334="Syracuse",+All!H334,0))</f>
        <v>Syracuse</v>
      </c>
      <c r="I151" s="461" t="str">
        <f>IF(+All!$F334="Syracuse",+All!I334,IF(+All!$H334="Syracuse",+All!I334,0))</f>
        <v>ACC</v>
      </c>
      <c r="J151" s="460">
        <f>IF(+All!$F334="Syracuse",+All!J334,IF(+All!$H334="Syracuse",+All!J334,0))</f>
        <v>0</v>
      </c>
      <c r="K151" s="461">
        <f>IF(+All!$F334="Syracuse",+All!K334,IF(+All!$H334="Syracuse",+All!K334,0))</f>
        <v>0</v>
      </c>
      <c r="L151" s="60">
        <f>IF(+All!$F334="Syracuse",+All!L334,IF(+All!$H334="Syracuse",+All!L334,0))</f>
        <v>0</v>
      </c>
      <c r="M151" s="61">
        <f>IF(+All!$F334="Syracuse",+All!M334,IF(+All!$H334="Syracuse",+All!M334,0))</f>
        <v>0</v>
      </c>
      <c r="N151" s="460" t="str">
        <f>IF(+All!$F334="Syracuse",+All!N334,IF(+All!$H334="Syracuse",+All!N334,0))</f>
        <v>Syracuse</v>
      </c>
      <c r="O151" s="462">
        <f>IF(+All!$F334="Syracuse",+All!O334,IF(+All!$H334="Syracuse",+All!O334,0))</f>
        <v>59</v>
      </c>
      <c r="P151" s="462" t="str">
        <f>IF(+All!$F334="Syracuse",+All!P334,IF(+All!$H334="Syracuse",+All!P334,0))</f>
        <v>1AA Wagner</v>
      </c>
      <c r="Q151" s="461">
        <f>IF(+All!$F334="Syracuse",+All!Q334,IF(+All!$H334="Syracuse",+All!Q334,0))</f>
        <v>0</v>
      </c>
      <c r="R151" s="460">
        <f>IF(+All!$F334="Syracuse",+All!R334,IF(+All!$H334="Syracuse",+All!R334,0))</f>
        <v>0</v>
      </c>
      <c r="S151" s="462">
        <f>IF(+All!$F334="Syracuse",+All!S334,IF(+All!$H334="Syracuse",+All!S334,0))</f>
        <v>0</v>
      </c>
      <c r="T151" s="460">
        <f>IF(+All!$F334="Syracuse",+All!T334,IF(+All!$H334="Syracuse",+All!T334,0))</f>
        <v>0</v>
      </c>
      <c r="U151" s="461">
        <f>IF(+All!$F334="Syracuse",+All!U334,IF(+All!$H334="Syracuse",+All!U334,0))</f>
        <v>0</v>
      </c>
    </row>
    <row r="152" spans="1:21" ht="15.75" customHeight="1" x14ac:dyDescent="0.8">
      <c r="A152" s="46" t="e">
        <f>IF(+All!#REF!="Syracuse",+All!#REF!,IF(+All!#REF!="Syracuse",+All!#REF!,0))</f>
        <v>#REF!</v>
      </c>
      <c r="B152" s="348" t="e">
        <f>IF(+All!#REF!="Syracuse",+All!#REF!,IF(+All!#REF!="Syracuse",+All!#REF!,0))</f>
        <v>#REF!</v>
      </c>
      <c r="C152" s="72" t="e">
        <f>IF(+All!#REF!="Syracuse",+All!#REF!,IF(+All!#REF!="Syracuse",+All!#REF!,0))</f>
        <v>#REF!</v>
      </c>
      <c r="D152" s="73" t="e">
        <f>IF(+All!#REF!="Syracuse",+All!#REF!,IF(+All!#REF!="Syracuse",+All!#REF!,0))</f>
        <v>#REF!</v>
      </c>
      <c r="E152" s="461" t="e">
        <f>IF(+All!#REF!="Syracuse",+All!#REF!,IF(+All!#REF!="Syracuse",+All!#REF!,0))</f>
        <v>#REF!</v>
      </c>
      <c r="F152" s="460" t="e">
        <f>IF(+All!#REF!="Syracuse",+All!#REF!,IF(+All!#REF!="Syracuse",+All!#REF!,0))</f>
        <v>#REF!</v>
      </c>
      <c r="G152" s="462" t="e">
        <f>IF(+All!#REF!="Syracuse",+All!#REF!,IF(+All!#REF!="Syracuse",+All!#REF!,0))</f>
        <v>#REF!</v>
      </c>
      <c r="H152" s="462" t="e">
        <f>IF(+All!#REF!="Syracuse",+All!#REF!,IF(+All!#REF!="Syracuse",+All!#REF!,0))</f>
        <v>#REF!</v>
      </c>
      <c r="I152" s="461" t="e">
        <f>IF(+All!#REF!="Syracuse",+All!#REF!,IF(+All!#REF!="Syracuse",+All!#REF!,0))</f>
        <v>#REF!</v>
      </c>
      <c r="J152" s="460" t="e">
        <f>IF(+All!#REF!="Syracuse",+All!#REF!,IF(+All!#REF!="Syracuse",+All!#REF!,0))</f>
        <v>#REF!</v>
      </c>
      <c r="K152" s="461" t="e">
        <f>IF(+All!#REF!="Syracuse",+All!#REF!,IF(+All!#REF!="Syracuse",+All!#REF!,0))</f>
        <v>#REF!</v>
      </c>
      <c r="L152" s="60" t="e">
        <f>IF(+All!#REF!="Syracuse",+All!#REF!,IF(+All!#REF!="Syracuse",+All!#REF!,0))</f>
        <v>#REF!</v>
      </c>
      <c r="M152" s="61" t="e">
        <f>IF(+All!#REF!="Syracuse",+All!#REF!,IF(+All!#REF!="Syracuse",+All!#REF!,0))</f>
        <v>#REF!</v>
      </c>
      <c r="N152" s="460" t="e">
        <f>IF(+All!#REF!="Syracuse",+All!#REF!,IF(+All!#REF!="Syracuse",+All!#REF!,0))</f>
        <v>#REF!</v>
      </c>
      <c r="O152" s="462" t="e">
        <f>IF(+All!#REF!="Syracuse",+All!#REF!,IF(+All!#REF!="Syracuse",+All!#REF!,0))</f>
        <v>#REF!</v>
      </c>
      <c r="P152" s="462" t="e">
        <f>IF(+All!#REF!="Syracuse",+All!#REF!,IF(+All!#REF!="Syracuse",+All!#REF!,0))</f>
        <v>#REF!</v>
      </c>
      <c r="Q152" s="461" t="e">
        <f>IF(+All!#REF!="Syracuse",+All!#REF!,IF(+All!#REF!="Syracuse",+All!#REF!,0))</f>
        <v>#REF!</v>
      </c>
      <c r="R152" s="460" t="e">
        <f>IF(+All!#REF!="Syracuse",+All!#REF!,IF(+All!#REF!="Syracuse",+All!#REF!,0))</f>
        <v>#REF!</v>
      </c>
      <c r="S152" s="462" t="e">
        <f>IF(+All!#REF!="Syracuse",+All!#REF!,IF(+All!#REF!="Syracuse",+All!#REF!,0))</f>
        <v>#REF!</v>
      </c>
      <c r="T152" s="460" t="e">
        <f>IF(+All!#REF!="Syracuse",+All!#REF!,IF(+All!#REF!="Syracuse",+All!#REF!,0))</f>
        <v>#REF!</v>
      </c>
      <c r="U152" s="461" t="e">
        <f>IF(+All!#REF!="Syracuse",+All!#REF!,IF(+All!#REF!="Syracuse",+All!#REF!,0))</f>
        <v>#REF!</v>
      </c>
    </row>
    <row r="153" spans="1:21" ht="15.75" customHeight="1" x14ac:dyDescent="0.8">
      <c r="A153" s="46">
        <f>IF(+All!$F447="Syracuse",+All!A447,IF(+All!$H447="Syracuse",+All!A447,0))</f>
        <v>7</v>
      </c>
      <c r="B153" s="348" t="str">
        <f>IF(+All!$F447="Syracuse",+All!B447,IF(+All!$H447="Syracuse",+All!B447,0))</f>
        <v>Sat</v>
      </c>
      <c r="C153" s="72">
        <f>IF(+All!$F447="Syracuse",+All!C447,IF(+All!$H447="Syracuse",+All!C447,0))</f>
        <v>44849</v>
      </c>
      <c r="D153" s="73">
        <f>IF(+All!$F447="Syracuse",+All!D447,IF(+All!$H447="Syracuse",+All!D447,0))</f>
        <v>0.64583333333333337</v>
      </c>
      <c r="E153" s="461" t="str">
        <f>IF(+All!$F447="Syracuse",+All!E447,IF(+All!$H447="Syracuse",+All!E447,0))</f>
        <v>ACC</v>
      </c>
      <c r="F153" s="460" t="str">
        <f>IF(+All!$F447="Syracuse",+All!F447,IF(+All!$H447="Syracuse",+All!F447,0))</f>
        <v>North Carolina St</v>
      </c>
      <c r="G153" s="462" t="str">
        <f>IF(+All!$F447="Syracuse",+All!G447,IF(+All!$H447="Syracuse",+All!G447,0))</f>
        <v>ACC</v>
      </c>
      <c r="H153" s="462" t="str">
        <f>IF(+All!$F447="Syracuse",+All!H447,IF(+All!$H447="Syracuse",+All!H447,0))</f>
        <v>Syracuse</v>
      </c>
      <c r="I153" s="461" t="str">
        <f>IF(+All!$F447="Syracuse",+All!I447,IF(+All!$H447="Syracuse",+All!I447,0))</f>
        <v>ACC</v>
      </c>
      <c r="J153" s="460" t="str">
        <f>IF(+All!$F447="Syracuse",+All!J447,IF(+All!$H447="Syracuse",+All!J447,0))</f>
        <v>Syracuse</v>
      </c>
      <c r="K153" s="461" t="str">
        <f>IF(+All!$F447="Syracuse",+All!K447,IF(+All!$H447="Syracuse",+All!K447,0))</f>
        <v>North Carolina St</v>
      </c>
      <c r="L153" s="60">
        <f>IF(+All!$F447="Syracuse",+All!L447,IF(+All!$H447="Syracuse",+All!L447,0))</f>
        <v>3.5</v>
      </c>
      <c r="M153" s="61">
        <f>IF(+All!$F447="Syracuse",+All!M447,IF(+All!$H447="Syracuse",+All!M447,0))</f>
        <v>44</v>
      </c>
      <c r="N153" s="460" t="str">
        <f>IF(+All!$F447="Syracuse",+All!N447,IF(+All!$H447="Syracuse",+All!N447,0))</f>
        <v>Syracuse</v>
      </c>
      <c r="O153" s="462">
        <f>IF(+All!$F447="Syracuse",+All!O447,IF(+All!$H447="Syracuse",+All!O447,0))</f>
        <v>24</v>
      </c>
      <c r="P153" s="462" t="str">
        <f>IF(+All!$F447="Syracuse",+All!P447,IF(+All!$H447="Syracuse",+All!P447,0))</f>
        <v>North Carolina St</v>
      </c>
      <c r="Q153" s="461">
        <f>IF(+All!$F447="Syracuse",+All!Q447,IF(+All!$H447="Syracuse",+All!Q447,0))</f>
        <v>9</v>
      </c>
      <c r="R153" s="460" t="str">
        <f>IF(+All!$F447="Syracuse",+All!R447,IF(+All!$H447="Syracuse",+All!R447,0))</f>
        <v>Syracuse</v>
      </c>
      <c r="S153" s="462" t="str">
        <f>IF(+All!$F447="Syracuse",+All!S447,IF(+All!$H447="Syracuse",+All!S447,0))</f>
        <v>North Carolina St</v>
      </c>
      <c r="T153" s="460" t="str">
        <f>IF(+All!$F447="Syracuse",+All!T447,IF(+All!$H447="Syracuse",+All!T447,0))</f>
        <v>North Carolina St</v>
      </c>
      <c r="U153" s="461" t="str">
        <f>IF(+All!$F447="Syracuse",+All!U447,IF(+All!$H447="Syracuse",+All!U447,0))</f>
        <v>L</v>
      </c>
    </row>
    <row r="154" spans="1:21" ht="15.75" customHeight="1" x14ac:dyDescent="0.8">
      <c r="A154" s="46">
        <f>IF(+All!$F500="Syracuse",+All!A500,IF(+All!$H500="Syracuse",+All!A500,0))</f>
        <v>8</v>
      </c>
      <c r="B154" s="348" t="str">
        <f>IF(+All!$F500="Syracuse",+All!B500,IF(+All!$H500="Syracuse",+All!B500,0))</f>
        <v>Sat</v>
      </c>
      <c r="C154" s="72">
        <f>IF(+All!$F500="Syracuse",+All!C500,IF(+All!$H500="Syracuse",+All!C500,0))</f>
        <v>44856</v>
      </c>
      <c r="D154" s="73">
        <f>IF(+All!$F500="Syracuse",+All!D500,IF(+All!$H500="Syracuse",+All!D500,0))</f>
        <v>0.5</v>
      </c>
      <c r="E154" s="461" t="str">
        <f>IF(+All!$F500="Syracuse",+All!E500,IF(+All!$H500="Syracuse",+All!E500,0))</f>
        <v>ABC</v>
      </c>
      <c r="F154" s="460" t="str">
        <f>IF(+All!$F500="Syracuse",+All!F500,IF(+All!$H500="Syracuse",+All!F500,0))</f>
        <v>Syracuse</v>
      </c>
      <c r="G154" s="462" t="str">
        <f>IF(+All!$F500="Syracuse",+All!G500,IF(+All!$H500="Syracuse",+All!G500,0))</f>
        <v>ACC</v>
      </c>
      <c r="H154" s="462" t="str">
        <f>IF(+All!$F500="Syracuse",+All!H500,IF(+All!$H500="Syracuse",+All!H500,0))</f>
        <v>Clemson</v>
      </c>
      <c r="I154" s="461" t="str">
        <f>IF(+All!$F500="Syracuse",+All!I500,IF(+All!$H500="Syracuse",+All!I500,0))</f>
        <v>ACC</v>
      </c>
      <c r="J154" s="460" t="str">
        <f>IF(+All!$F500="Syracuse",+All!J500,IF(+All!$H500="Syracuse",+All!J500,0))</f>
        <v>Clemson</v>
      </c>
      <c r="K154" s="461" t="str">
        <f>IF(+All!$F500="Syracuse",+All!K500,IF(+All!$H500="Syracuse",+All!K500,0))</f>
        <v>Syracuse</v>
      </c>
      <c r="L154" s="60">
        <f>IF(+All!$F500="Syracuse",+All!L500,IF(+All!$H500="Syracuse",+All!L500,0))</f>
        <v>14</v>
      </c>
      <c r="M154" s="61">
        <f>IF(+All!$F500="Syracuse",+All!M500,IF(+All!$H500="Syracuse",+All!M500,0))</f>
        <v>49.5</v>
      </c>
      <c r="N154" s="460" t="str">
        <f>IF(+All!$F500="Syracuse",+All!N500,IF(+All!$H500="Syracuse",+All!N500,0))</f>
        <v>Clemson</v>
      </c>
      <c r="O154" s="462">
        <f>IF(+All!$F500="Syracuse",+All!O500,IF(+All!$H500="Syracuse",+All!O500,0))</f>
        <v>27</v>
      </c>
      <c r="P154" s="462" t="str">
        <f>IF(+All!$F500="Syracuse",+All!P500,IF(+All!$H500="Syracuse",+All!P500,0))</f>
        <v>Syracuse</v>
      </c>
      <c r="Q154" s="461">
        <f>IF(+All!$F500="Syracuse",+All!Q500,IF(+All!$H500="Syracuse",+All!Q500,0))</f>
        <v>21</v>
      </c>
      <c r="R154" s="460" t="str">
        <f>IF(+All!$F500="Syracuse",+All!R500,IF(+All!$H500="Syracuse",+All!R500,0))</f>
        <v>Syracuse</v>
      </c>
      <c r="S154" s="462" t="str">
        <f>IF(+All!$F500="Syracuse",+All!S500,IF(+All!$H500="Syracuse",+All!S500,0))</f>
        <v>Clemson</v>
      </c>
      <c r="T154" s="460" t="str">
        <f>IF(+All!$F500="Syracuse",+All!T500,IF(+All!$H500="Syracuse",+All!T500,0))</f>
        <v>Syracuse</v>
      </c>
      <c r="U154" s="461" t="str">
        <f>IF(+All!$F500="Syracuse",+All!U500,IF(+All!$H500="Syracuse",+All!U500,0))</f>
        <v>W</v>
      </c>
    </row>
    <row r="155" spans="1:21" ht="15.75" customHeight="1" x14ac:dyDescent="0.8">
      <c r="A155" s="46">
        <f>IF(+All!$F557="Syracuse",+All!A557,IF(+All!$H557="Syracuse",+All!A557,0))</f>
        <v>9</v>
      </c>
      <c r="B155" s="348" t="str">
        <f>IF(+All!$F557="Syracuse",+All!B557,IF(+All!$H557="Syracuse",+All!B557,0))</f>
        <v>Sat</v>
      </c>
      <c r="C155" s="72">
        <f>IF(+All!$F557="Syracuse",+All!C557,IF(+All!$H557="Syracuse",+All!C557,0))</f>
        <v>44863</v>
      </c>
      <c r="D155" s="73">
        <f>IF(+All!$F557="Syracuse",+All!D557,IF(+All!$H557="Syracuse",+All!D557,0))</f>
        <v>0.5</v>
      </c>
      <c r="E155" s="461" t="str">
        <f>IF(+All!$F557="Syracuse",+All!E557,IF(+All!$H557="Syracuse",+All!E557,0))</f>
        <v>ABC</v>
      </c>
      <c r="F155" s="460" t="str">
        <f>IF(+All!$F557="Syracuse",+All!F557,IF(+All!$H557="Syracuse",+All!F557,0))</f>
        <v>Notre Dame</v>
      </c>
      <c r="G155" s="462" t="str">
        <f>IF(+All!$F557="Syracuse",+All!G557,IF(+All!$H557="Syracuse",+All!G557,0))</f>
        <v>Ind</v>
      </c>
      <c r="H155" s="462" t="str">
        <f>IF(+All!$F557="Syracuse",+All!H557,IF(+All!$H557="Syracuse",+All!H557,0))</f>
        <v>Syracuse</v>
      </c>
      <c r="I155" s="461" t="str">
        <f>IF(+All!$F557="Syracuse",+All!I557,IF(+All!$H557="Syracuse",+All!I557,0))</f>
        <v>ACC</v>
      </c>
      <c r="J155" s="460" t="str">
        <f>IF(+All!$F557="Syracuse",+All!J557,IF(+All!$H557="Syracuse",+All!J557,0))</f>
        <v>Syracuse</v>
      </c>
      <c r="K155" s="461" t="str">
        <f>IF(+All!$F557="Syracuse",+All!K557,IF(+All!$H557="Syracuse",+All!K557,0))</f>
        <v>Notre Dame</v>
      </c>
      <c r="L155" s="60">
        <f>IF(+All!$F557="Syracuse",+All!L557,IF(+All!$H557="Syracuse",+All!L557,0))</f>
        <v>3</v>
      </c>
      <c r="M155" s="61">
        <f>IF(+All!$F557="Syracuse",+All!M557,IF(+All!$H557="Syracuse",+All!M557,0))</f>
        <v>47.5</v>
      </c>
      <c r="N155" s="460" t="str">
        <f>IF(+All!$F557="Syracuse",+All!N557,IF(+All!$H557="Syracuse",+All!N557,0))</f>
        <v>Notre Dame</v>
      </c>
      <c r="O155" s="462">
        <f>IF(+All!$F557="Syracuse",+All!O557,IF(+All!$H557="Syracuse",+All!O557,0))</f>
        <v>41</v>
      </c>
      <c r="P155" s="462" t="str">
        <f>IF(+All!$F557="Syracuse",+All!P557,IF(+All!$H557="Syracuse",+All!P557,0))</f>
        <v>Syracuse</v>
      </c>
      <c r="Q155" s="461">
        <f>IF(+All!$F557="Syracuse",+All!Q557,IF(+All!$H557="Syracuse",+All!Q557,0))</f>
        <v>24</v>
      </c>
      <c r="R155" s="460" t="str">
        <f>IF(+All!$F557="Syracuse",+All!R557,IF(+All!$H557="Syracuse",+All!R557,0))</f>
        <v>Notre Dame</v>
      </c>
      <c r="S155" s="462" t="str">
        <f>IF(+All!$F557="Syracuse",+All!S557,IF(+All!$H557="Syracuse",+All!S557,0))</f>
        <v>Syracuse</v>
      </c>
      <c r="T155" s="460" t="str">
        <f>IF(+All!$F557="Syracuse",+All!T557,IF(+All!$H557="Syracuse",+All!T557,0))</f>
        <v>Syracuse</v>
      </c>
      <c r="U155" s="461" t="str">
        <f>IF(+All!$F557="Syracuse",+All!U557,IF(+All!$H557="Syracuse",+All!U557,0))</f>
        <v>L</v>
      </c>
    </row>
    <row r="156" spans="1:21" ht="15.75" customHeight="1" x14ac:dyDescent="0.8">
      <c r="A156" s="46">
        <f>IF(+All!$F610="Syracuse",+All!A610,IF(+All!$H610="Syracuse",+All!A610,0))</f>
        <v>10</v>
      </c>
      <c r="B156" s="348" t="str">
        <f>IF(+All!$F610="Syracuse",+All!B610,IF(+All!$H610="Syracuse",+All!B610,0))</f>
        <v>Sat</v>
      </c>
      <c r="C156" s="72">
        <f>IF(+All!$F610="Syracuse",+All!C610,IF(+All!$H610="Syracuse",+All!C610,0))</f>
        <v>44870</v>
      </c>
      <c r="D156" s="73">
        <f>IF(+All!$F610="Syracuse",+All!D610,IF(+All!$H610="Syracuse",+All!D610,0))</f>
        <v>0.64583333333333337</v>
      </c>
      <c r="E156" s="461" t="str">
        <f>IF(+All!$F610="Syracuse",+All!E610,IF(+All!$H610="Syracuse",+All!E610,0))</f>
        <v>ACC</v>
      </c>
      <c r="F156" s="460" t="str">
        <f>IF(+All!$F610="Syracuse",+All!F610,IF(+All!$H610="Syracuse",+All!F610,0))</f>
        <v>Syracuse</v>
      </c>
      <c r="G156" s="462" t="str">
        <f>IF(+All!$F610="Syracuse",+All!G610,IF(+All!$H610="Syracuse",+All!G610,0))</f>
        <v>ACC</v>
      </c>
      <c r="H156" s="462" t="str">
        <f>IF(+All!$F610="Syracuse",+All!H610,IF(+All!$H610="Syracuse",+All!H610,0))</f>
        <v>Pittsburgh</v>
      </c>
      <c r="I156" s="461" t="str">
        <f>IF(+All!$F610="Syracuse",+All!I610,IF(+All!$H610="Syracuse",+All!I610,0))</f>
        <v>ACC</v>
      </c>
      <c r="J156" s="460" t="str">
        <f>IF(+All!$F610="Syracuse",+All!J610,IF(+All!$H610="Syracuse",+All!J610,0))</f>
        <v>Pittsburgh</v>
      </c>
      <c r="K156" s="461" t="str">
        <f>IF(+All!$F610="Syracuse",+All!K610,IF(+All!$H610="Syracuse",+All!K610,0))</f>
        <v>Syracuse</v>
      </c>
      <c r="L156" s="60">
        <f>IF(+All!$F610="Syracuse",+All!L610,IF(+All!$H610="Syracuse",+All!L610,0))</f>
        <v>3</v>
      </c>
      <c r="M156" s="61">
        <f>IF(+All!$F610="Syracuse",+All!M610,IF(+All!$H610="Syracuse",+All!M610,0))</f>
        <v>48</v>
      </c>
      <c r="N156" s="460" t="str">
        <f>IF(+All!$F610="Syracuse",+All!N610,IF(+All!$H610="Syracuse",+All!N610,0))</f>
        <v>Pittsburgh</v>
      </c>
      <c r="O156" s="462">
        <f>IF(+All!$F610="Syracuse",+All!O610,IF(+All!$H610="Syracuse",+All!O610,0))</f>
        <v>19</v>
      </c>
      <c r="P156" s="462" t="str">
        <f>IF(+All!$F610="Syracuse",+All!P610,IF(+All!$H610="Syracuse",+All!P610,0))</f>
        <v>Syracuse</v>
      </c>
      <c r="Q156" s="461">
        <f>IF(+All!$F610="Syracuse",+All!Q610,IF(+All!$H610="Syracuse",+All!Q610,0))</f>
        <v>9</v>
      </c>
      <c r="R156" s="460" t="str">
        <f>IF(+All!$F610="Syracuse",+All!R610,IF(+All!$H610="Syracuse",+All!R610,0))</f>
        <v>Pittsburgh</v>
      </c>
      <c r="S156" s="462" t="str">
        <f>IF(+All!$F610="Syracuse",+All!S610,IF(+All!$H610="Syracuse",+All!S610,0))</f>
        <v>Syracuse</v>
      </c>
      <c r="T156" s="460" t="str">
        <f>IF(+All!$F610="Syracuse",+All!T610,IF(+All!$H610="Syracuse",+All!T610,0))</f>
        <v>Syracuse</v>
      </c>
      <c r="U156" s="461" t="str">
        <f>IF(+All!$F610="Syracuse",+All!U610,IF(+All!$H610="Syracuse",+All!U610,0))</f>
        <v>L</v>
      </c>
    </row>
    <row r="157" spans="1:21" ht="15.75" customHeight="1" x14ac:dyDescent="0.8">
      <c r="A157" s="46">
        <f>IF(+All!$F672="Syracuse",+All!A672,IF(+All!$H672="Syracuse",+All!A672,0))</f>
        <v>11</v>
      </c>
      <c r="B157" s="348" t="str">
        <f>IF(+All!$F672="Syracuse",+All!B672,IF(+All!$H672="Syracuse",+All!B672,0))</f>
        <v>Sat</v>
      </c>
      <c r="C157" s="72">
        <f>IF(+All!$F672="Syracuse",+All!C672,IF(+All!$H672="Syracuse",+All!C672,0))</f>
        <v>44877</v>
      </c>
      <c r="D157" s="73">
        <f>IF(+All!$F672="Syracuse",+All!D672,IF(+All!$H672="Syracuse",+All!D672,0))</f>
        <v>0.83333333333333337</v>
      </c>
      <c r="E157" s="461" t="str">
        <f>IF(+All!$F672="Syracuse",+All!E672,IF(+All!$H672="Syracuse",+All!E672,0))</f>
        <v>ACC</v>
      </c>
      <c r="F157" s="460" t="str">
        <f>IF(+All!$F672="Syracuse",+All!F672,IF(+All!$H672="Syracuse",+All!F672,0))</f>
        <v>Florida State</v>
      </c>
      <c r="G157" s="462" t="str">
        <f>IF(+All!$F672="Syracuse",+All!G672,IF(+All!$H672="Syracuse",+All!G672,0))</f>
        <v>ACC</v>
      </c>
      <c r="H157" s="462" t="str">
        <f>IF(+All!$F672="Syracuse",+All!H672,IF(+All!$H672="Syracuse",+All!H672,0))</f>
        <v>Syracuse</v>
      </c>
      <c r="I157" s="461" t="str">
        <f>IF(+All!$F672="Syracuse",+All!I672,IF(+All!$H672="Syracuse",+All!I672,0))</f>
        <v>ACC</v>
      </c>
      <c r="J157" s="460" t="str">
        <f>IF(+All!$F672="Syracuse",+All!J672,IF(+All!$H672="Syracuse",+All!J672,0))</f>
        <v>Florida State</v>
      </c>
      <c r="K157" s="461" t="str">
        <f>IF(+All!$F672="Syracuse",+All!K672,IF(+All!$H672="Syracuse",+All!K672,0))</f>
        <v>Syracuse</v>
      </c>
      <c r="L157" s="60">
        <f>IF(+All!$F672="Syracuse",+All!L672,IF(+All!$H672="Syracuse",+All!L672,0))</f>
        <v>6.5</v>
      </c>
      <c r="M157" s="61">
        <f>IF(+All!$F672="Syracuse",+All!M672,IF(+All!$H672="Syracuse",+All!M672,0))</f>
        <v>51</v>
      </c>
      <c r="N157" s="460" t="str">
        <f>IF(+All!$F672="Syracuse",+All!N672,IF(+All!$H672="Syracuse",+All!N672,0))</f>
        <v>Florida State</v>
      </c>
      <c r="O157" s="462">
        <f>IF(+All!$F672="Syracuse",+All!O672,IF(+All!$H672="Syracuse",+All!O672,0))</f>
        <v>38</v>
      </c>
      <c r="P157" s="462" t="str">
        <f>IF(+All!$F672="Syracuse",+All!P672,IF(+All!$H672="Syracuse",+All!P672,0))</f>
        <v>Syracuse</v>
      </c>
      <c r="Q157" s="461">
        <f>IF(+All!$F672="Syracuse",+All!Q672,IF(+All!$H672="Syracuse",+All!Q672,0))</f>
        <v>3</v>
      </c>
      <c r="R157" s="460" t="str">
        <f>IF(+All!$F672="Syracuse",+All!R672,IF(+All!$H672="Syracuse",+All!R672,0))</f>
        <v>Florida State</v>
      </c>
      <c r="S157" s="462" t="str">
        <f>IF(+All!$F672="Syracuse",+All!S672,IF(+All!$H672="Syracuse",+All!S672,0))</f>
        <v>Syracuse</v>
      </c>
      <c r="T157" s="460" t="str">
        <f>IF(+All!$F672="Syracuse",+All!T672,IF(+All!$H672="Syracuse",+All!T672,0))</f>
        <v>Syracuse</v>
      </c>
      <c r="U157" s="461" t="str">
        <f>IF(+All!$F672="Syracuse",+All!U672,IF(+All!$H672="Syracuse",+All!U672,0))</f>
        <v>L</v>
      </c>
    </row>
    <row r="158" spans="1:21" ht="15.75" customHeight="1" x14ac:dyDescent="0.8">
      <c r="A158" s="46">
        <f>IF(+All!$F736="Syracuse",+All!A736,IF(+All!$H736="Syracuse",+All!A736,0))</f>
        <v>12</v>
      </c>
      <c r="B158" s="348" t="str">
        <f>IF(+All!$F736="Syracuse",+All!B736,IF(+All!$H736="Syracuse",+All!B736,0))</f>
        <v>Sat</v>
      </c>
      <c r="C158" s="72">
        <f>IF(+All!$F736="Syracuse",+All!C736,IF(+All!$H736="Syracuse",+All!C736,0))</f>
        <v>44884</v>
      </c>
      <c r="D158" s="73">
        <f>IF(+All!$F736="Syracuse",+All!D736,IF(+All!$H736="Syracuse",+All!D736,0))</f>
        <v>0.83333333333333337</v>
      </c>
      <c r="E158" s="461" t="str">
        <f>IF(+All!$F736="Syracuse",+All!E736,IF(+All!$H736="Syracuse",+All!E736,0))</f>
        <v>ACC</v>
      </c>
      <c r="F158" s="460" t="str">
        <f>IF(+All!$F736="Syracuse",+All!F736,IF(+All!$H736="Syracuse",+All!F736,0))</f>
        <v>Syracuse</v>
      </c>
      <c r="G158" s="462" t="str">
        <f>IF(+All!$F736="Syracuse",+All!G736,IF(+All!$H736="Syracuse",+All!G736,0))</f>
        <v>ACC</v>
      </c>
      <c r="H158" s="462" t="str">
        <f>IF(+All!$F736="Syracuse",+All!H736,IF(+All!$H736="Syracuse",+All!H736,0))</f>
        <v>Wake Forest</v>
      </c>
      <c r="I158" s="461" t="str">
        <f>IF(+All!$F736="Syracuse",+All!I736,IF(+All!$H736="Syracuse",+All!I736,0))</f>
        <v>ACC</v>
      </c>
      <c r="J158" s="460" t="str">
        <f>IF(+All!$F736="Syracuse",+All!J736,IF(+All!$H736="Syracuse",+All!J736,0))</f>
        <v>Wake Forest</v>
      </c>
      <c r="K158" s="461" t="str">
        <f>IF(+All!$F736="Syracuse",+All!K736,IF(+All!$H736="Syracuse",+All!K736,0))</f>
        <v>Syracuse</v>
      </c>
      <c r="L158" s="60">
        <f>IF(+All!$F736="Syracuse",+All!L736,IF(+All!$H736="Syracuse",+All!L736,0))</f>
        <v>10</v>
      </c>
      <c r="M158" s="61">
        <f>IF(+All!$F736="Syracuse",+All!M736,IF(+All!$H736="Syracuse",+All!M736,0))</f>
        <v>56</v>
      </c>
      <c r="N158" s="460" t="str">
        <f>IF(+All!$F736="Syracuse",+All!N736,IF(+All!$H736="Syracuse",+All!N736,0))</f>
        <v>Wake Forest</v>
      </c>
      <c r="O158" s="462">
        <f>IF(+All!$F736="Syracuse",+All!O736,IF(+All!$H736="Syracuse",+All!O736,0))</f>
        <v>45</v>
      </c>
      <c r="P158" s="462" t="str">
        <f>IF(+All!$F736="Syracuse",+All!P736,IF(+All!$H736="Syracuse",+All!P736,0))</f>
        <v>Syracuse</v>
      </c>
      <c r="Q158" s="461">
        <f>IF(+All!$F736="Syracuse",+All!Q736,IF(+All!$H736="Syracuse",+All!Q736,0))</f>
        <v>35</v>
      </c>
      <c r="R158" s="460" t="str">
        <f>IF(+All!$F736="Syracuse",+All!R736,IF(+All!$H736="Syracuse",+All!R736,0))</f>
        <v>Wake Forest</v>
      </c>
      <c r="S158" s="462" t="str">
        <f>IF(+All!$F736="Syracuse",+All!S736,IF(+All!$H736="Syracuse",+All!S736,0))</f>
        <v>Syracuse</v>
      </c>
      <c r="T158" s="460" t="str">
        <f>IF(+All!$F736="Syracuse",+All!T736,IF(+All!$H736="Syracuse",+All!T736,0))</f>
        <v>Wake Forest</v>
      </c>
      <c r="U158" s="461" t="str">
        <f>IF(+All!$F736="Syracuse",+All!U736,IF(+All!$H736="Syracuse",+All!U736,0))</f>
        <v>T</v>
      </c>
    </row>
    <row r="159" spans="1:21" ht="15.75" customHeight="1" x14ac:dyDescent="0.8">
      <c r="A159" s="46">
        <f>IF(+All!$F803="Syracuse",+All!A803,IF(+All!$H803="Syracuse",+All!A803,0))</f>
        <v>13</v>
      </c>
      <c r="B159" s="348" t="str">
        <f>IF(+All!$F803="Syracuse",+All!B803,IF(+All!$H803="Syracuse",+All!B803,0))</f>
        <v>Sat</v>
      </c>
      <c r="C159" s="72">
        <f>IF(+All!$F803="Syracuse",+All!C803,IF(+All!$H803="Syracuse",+All!C803,0))</f>
        <v>44891</v>
      </c>
      <c r="D159" s="73">
        <f>IF(+All!$F803="Syracuse",+All!D803,IF(+All!$H803="Syracuse",+All!D803,0))</f>
        <v>0.8125</v>
      </c>
      <c r="E159" s="461">
        <f>IF(+All!$F803="Syracuse",+All!E803,IF(+All!$H803="Syracuse",+All!E803,0))</f>
        <v>0</v>
      </c>
      <c r="F159" s="460" t="str">
        <f>IF(+All!$F803="Syracuse",+All!F803,IF(+All!$H803="Syracuse",+All!F803,0))</f>
        <v>Syracuse</v>
      </c>
      <c r="G159" s="462" t="str">
        <f>IF(+All!$F803="Syracuse",+All!G803,IF(+All!$H803="Syracuse",+All!G803,0))</f>
        <v>ACC</v>
      </c>
      <c r="H159" s="462" t="str">
        <f>IF(+All!$F803="Syracuse",+All!H803,IF(+All!$H803="Syracuse",+All!H803,0))</f>
        <v>Boston College</v>
      </c>
      <c r="I159" s="461" t="str">
        <f>IF(+All!$F803="Syracuse",+All!I803,IF(+All!$H803="Syracuse",+All!I803,0))</f>
        <v>ACC</v>
      </c>
      <c r="J159" s="460" t="str">
        <f>IF(+All!$F803="Syracuse",+All!J803,IF(+All!$H803="Syracuse",+All!J803,0))</f>
        <v>Syracuse</v>
      </c>
      <c r="K159" s="461" t="str">
        <f>IF(+All!$F803="Syracuse",+All!K803,IF(+All!$H803="Syracuse",+All!K803,0))</f>
        <v>Boston College</v>
      </c>
      <c r="L159" s="60">
        <f>IF(+All!$F803="Syracuse",+All!L803,IF(+All!$H803="Syracuse",+All!L803,0))</f>
        <v>10.5</v>
      </c>
      <c r="M159" s="61">
        <f>IF(+All!$F803="Syracuse",+All!M803,IF(+All!$H803="Syracuse",+All!M803,0))</f>
        <v>47</v>
      </c>
      <c r="N159" s="460" t="str">
        <f>IF(+All!$F803="Syracuse",+All!N803,IF(+All!$H803="Syracuse",+All!N803,0))</f>
        <v>Syracuse</v>
      </c>
      <c r="O159" s="462">
        <f>IF(+All!$F803="Syracuse",+All!O803,IF(+All!$H803="Syracuse",+All!O803,0))</f>
        <v>32</v>
      </c>
      <c r="P159" s="462" t="str">
        <f>IF(+All!$F803="Syracuse",+All!P803,IF(+All!$H803="Syracuse",+All!P803,0))</f>
        <v>Boston College</v>
      </c>
      <c r="Q159" s="461">
        <f>IF(+All!$F803="Syracuse",+All!Q803,IF(+All!$H803="Syracuse",+All!Q803,0))</f>
        <v>23</v>
      </c>
      <c r="R159" s="460" t="str">
        <f>IF(+All!$F803="Syracuse",+All!R803,IF(+All!$H803="Syracuse",+All!R803,0))</f>
        <v>Boston College</v>
      </c>
      <c r="S159" s="462" t="str">
        <f>IF(+All!$F803="Syracuse",+All!S803,IF(+All!$H803="Syracuse",+All!S803,0))</f>
        <v>Syracuse</v>
      </c>
      <c r="T159" s="460" t="str">
        <f>IF(+All!$F803="Syracuse",+All!T803,IF(+All!$H803="Syracuse",+All!T803,0))</f>
        <v>Boston College</v>
      </c>
      <c r="U159" s="461" t="str">
        <f>IF(+All!$F803="Syracuse",+All!U803,IF(+All!$H803="Syracuse",+All!U803,0))</f>
        <v>W</v>
      </c>
    </row>
    <row r="160" spans="1:21" ht="15.75" customHeight="1" x14ac:dyDescent="0.8">
      <c r="A160" s="38"/>
      <c r="B160" s="39"/>
      <c r="C160" s="40"/>
      <c r="D160" s="41"/>
      <c r="E160" s="463"/>
      <c r="F160" s="897" t="str">
        <f>H161</f>
        <v>Virginia</v>
      </c>
      <c r="G160" s="901"/>
      <c r="H160" s="901"/>
      <c r="I160" s="902"/>
      <c r="J160" s="459"/>
      <c r="K160" s="463"/>
      <c r="L160" s="44"/>
      <c r="M160" s="45"/>
      <c r="N160" s="459"/>
      <c r="O160" s="5"/>
      <c r="P160" s="5"/>
      <c r="Q160" s="463"/>
      <c r="R160" s="459"/>
      <c r="S160" s="5"/>
      <c r="T160" s="459"/>
      <c r="U160" s="463"/>
    </row>
    <row r="161" spans="1:21" ht="15.75" customHeight="1" x14ac:dyDescent="0.8">
      <c r="A161" s="46">
        <f>IF(+All!$F27="Virginia",+All!A27,IF(+All!$H27="Virginia",+All!A27,0))</f>
        <v>1</v>
      </c>
      <c r="B161" s="348" t="str">
        <f>IF(+All!$F27="Virginia",+All!B27,IF(+All!$H27="Virginia",+All!B27,0))</f>
        <v>Sat</v>
      </c>
      <c r="C161" s="72">
        <f>IF(+All!$F27="Virginia",+All!C27,IF(+All!$H27="Virginia",+All!C27,0))</f>
        <v>44807</v>
      </c>
      <c r="D161" s="73">
        <f>IF(+All!$F27="Virginia",+All!D27,IF(+All!$H27="Virginia",+All!D27,0))</f>
        <v>0.52083333333333337</v>
      </c>
      <c r="E161" s="461" t="str">
        <f>IF(+All!$F27="Virginia",+All!E27,IF(+All!$H27="Virginia",+All!E27,0))</f>
        <v>espn3</v>
      </c>
      <c r="F161" s="460" t="str">
        <f>IF(+All!$F27="Virginia",+All!F27,IF(+All!$H27="Virginia",+All!F27,0))</f>
        <v>1AA Richmond</v>
      </c>
      <c r="G161" s="461" t="str">
        <f>IF(+All!$F27="Virginia",+All!G27,IF(+All!$H27="Virginia",+All!G27,0))</f>
        <v>1AA</v>
      </c>
      <c r="H161" s="460" t="str">
        <f>IF(+All!$F27="Virginia",+All!H27,IF(+All!$H27="Virginia",+All!H27,0))</f>
        <v>Virginia</v>
      </c>
      <c r="I161" s="461" t="str">
        <f>IF(+All!$F27="Virginia",+All!I27,IF(+All!$H27="Virginia",+All!I27,0))</f>
        <v>ACC</v>
      </c>
      <c r="J161" s="460">
        <f>IF(+All!$F27="Virginia",+All!J27,IF(+All!$H27="Virginia",+All!J27,0))</f>
        <v>0</v>
      </c>
      <c r="K161" s="461">
        <f>IF(+All!$F27="Virginia",+All!K27,IF(+All!$H27="Virginia",+All!K27,0))</f>
        <v>0</v>
      </c>
      <c r="L161" s="60">
        <f>IF(+All!$F27="Virginia",+All!L27,IF(+All!$H27="Virginia",+All!L27,0))</f>
        <v>0</v>
      </c>
      <c r="M161" s="61">
        <f>IF(+All!$F27="Virginia",+All!M27,IF(+All!$H27="Virginia",+All!M27,0))</f>
        <v>0</v>
      </c>
      <c r="N161" s="460" t="str">
        <f>IF(+All!$F27="Virginia",+All!N27,IF(+All!$H27="Virginia",+All!N27,0))</f>
        <v>Virginia</v>
      </c>
      <c r="O161" s="462">
        <f>IF(+All!$F27="Virginia",+All!O27,IF(+All!$H27="Virginia",+All!O27,0))</f>
        <v>34</v>
      </c>
      <c r="P161" s="462" t="str">
        <f>IF(+All!$F27="Virginia",+All!P27,IF(+All!$H27="Virginia",+All!P27,0))</f>
        <v>1AA Richmond</v>
      </c>
      <c r="Q161" s="461">
        <f>IF(+All!$F27="Virginia",+All!Q27,IF(+All!$H27="Virginia",+All!Q27,0))</f>
        <v>17</v>
      </c>
      <c r="R161" s="460">
        <f>IF(+All!$F27="Virginia",+All!R27,IF(+All!$H27="Virginia",+All!R27,0))</f>
        <v>0</v>
      </c>
      <c r="S161" s="462">
        <f>IF(+All!$F27="Virginia",+All!S27,IF(+All!$H27="Virginia",+All!S27,0))</f>
        <v>0</v>
      </c>
      <c r="T161" s="460">
        <f>IF(+All!$F27="Virginia",+All!T27,IF(+All!$H27="Virginia",+All!T27,0))</f>
        <v>0</v>
      </c>
      <c r="U161" s="461">
        <f>IF(+All!$F27="Virginia",+All!U27,IF(+All!$H27="Virginia",+All!U27,0))</f>
        <v>0</v>
      </c>
    </row>
    <row r="162" spans="1:21" ht="15.75" customHeight="1" x14ac:dyDescent="0.8">
      <c r="A162" s="46">
        <f>IF(+All!$F114="Virginia",+All!A114,IF(+All!$H114="Virginia",+All!A114,0))</f>
        <v>2</v>
      </c>
      <c r="B162" s="348" t="str">
        <f>IF(+All!$F114="Virginia",+All!B114,IF(+All!$H114="Virginia",+All!B114,0))</f>
        <v>Sat</v>
      </c>
      <c r="C162" s="72">
        <f>IF(+All!$F114="Virginia",+All!C114,IF(+All!$H114="Virginia",+All!C114,0))</f>
        <v>44814</v>
      </c>
      <c r="D162" s="73">
        <f>IF(+All!$F114="Virginia",+All!D114,IF(+All!$H114="Virginia",+All!D114,0))</f>
        <v>0.66666666666666663</v>
      </c>
      <c r="E162" s="461" t="str">
        <f>IF(+All!$F114="Virginia",+All!E114,IF(+All!$H114="Virginia",+All!E114,0))</f>
        <v>ESPNU</v>
      </c>
      <c r="F162" s="460" t="str">
        <f>IF(+All!$F114="Virginia",+All!F114,IF(+All!$H114="Virginia",+All!F114,0))</f>
        <v>Virginia</v>
      </c>
      <c r="G162" s="461" t="str">
        <f>IF(+All!$F114="Virginia",+All!G114,IF(+All!$H114="Virginia",+All!G114,0))</f>
        <v>ACC</v>
      </c>
      <c r="H162" s="460" t="str">
        <f>IF(+All!$F114="Virginia",+All!H114,IF(+All!$H114="Virginia",+All!H114,0))</f>
        <v>Illinois</v>
      </c>
      <c r="I162" s="461" t="str">
        <f>IF(+All!$F114="Virginia",+All!I114,IF(+All!$H114="Virginia",+All!I114,0))</f>
        <v>B10</v>
      </c>
      <c r="J162" s="460" t="str">
        <f>IF(+All!$F114="Virginia",+All!J114,IF(+All!$H114="Virginia",+All!J114,0))</f>
        <v>Illinois</v>
      </c>
      <c r="K162" s="461" t="str">
        <f>IF(+All!$F114="Virginia",+All!K114,IF(+All!$H114="Virginia",+All!K114,0))</f>
        <v>Virginia</v>
      </c>
      <c r="L162" s="60">
        <f>IF(+All!$F114="Virginia",+All!L114,IF(+All!$H114="Virginia",+All!L114,0))</f>
        <v>4.5</v>
      </c>
      <c r="M162" s="61">
        <f>IF(+All!$F114="Virginia",+All!M114,IF(+All!$H114="Virginia",+All!M114,0))</f>
        <v>57</v>
      </c>
      <c r="N162" s="460" t="str">
        <f>IF(+All!$F114="Virginia",+All!N114,IF(+All!$H114="Virginia",+All!N114,0))</f>
        <v>Illinois</v>
      </c>
      <c r="O162" s="462">
        <f>IF(+All!$F114="Virginia",+All!O114,IF(+All!$H114="Virginia",+All!O114,0))</f>
        <v>24</v>
      </c>
      <c r="P162" s="462" t="str">
        <f>IF(+All!$F114="Virginia",+All!P114,IF(+All!$H114="Virginia",+All!P114,0))</f>
        <v>Virginia</v>
      </c>
      <c r="Q162" s="461">
        <f>IF(+All!$F114="Virginia",+All!Q114,IF(+All!$H114="Virginia",+All!Q114,0))</f>
        <v>3</v>
      </c>
      <c r="R162" s="460" t="str">
        <f>IF(+All!$F114="Virginia",+All!R114,IF(+All!$H114="Virginia",+All!R114,0))</f>
        <v>Illinois</v>
      </c>
      <c r="S162" s="462" t="str">
        <f>IF(+All!$F114="Virginia",+All!S114,IF(+All!$H114="Virginia",+All!S114,0))</f>
        <v>Virginia</v>
      </c>
      <c r="T162" s="460" t="str">
        <f>IF(+All!$F114="Virginia",+All!T114,IF(+All!$H114="Virginia",+All!T114,0))</f>
        <v>Illinois</v>
      </c>
      <c r="U162" s="461" t="str">
        <f>IF(+All!$F114="Virginia",+All!U114,IF(+All!$H114="Virginia",+All!U114,0))</f>
        <v>W</v>
      </c>
    </row>
    <row r="163" spans="1:21" ht="15.75" customHeight="1" x14ac:dyDescent="0.8">
      <c r="A163" s="46">
        <f>IF(+All!$F194="Virginia",+All!A194,IF(+All!$H194="Virginia",+All!A194,0))</f>
        <v>3</v>
      </c>
      <c r="B163" s="348" t="str">
        <f>IF(+All!$F194="Virginia",+All!B194,IF(+All!$H194="Virginia",+All!B194,0))</f>
        <v>Sat</v>
      </c>
      <c r="C163" s="72">
        <f>IF(+All!$F194="Virginia",+All!C194,IF(+All!$H194="Virginia",+All!C194,0))</f>
        <v>44821</v>
      </c>
      <c r="D163" s="73">
        <f>IF(+All!$F194="Virginia",+All!D194,IF(+All!$H194="Virginia",+All!D194,0))</f>
        <v>0.58333333333333337</v>
      </c>
      <c r="E163" s="461" t="str">
        <f>IF(+All!$F194="Virginia",+All!E194,IF(+All!$H194="Virginia",+All!E194,0))</f>
        <v>ACC</v>
      </c>
      <c r="F163" s="460" t="str">
        <f>IF(+All!$F194="Virginia",+All!F194,IF(+All!$H194="Virginia",+All!F194,0))</f>
        <v>Old Dominion</v>
      </c>
      <c r="G163" s="461" t="str">
        <f>IF(+All!$F194="Virginia",+All!G194,IF(+All!$H194="Virginia",+All!G194,0))</f>
        <v>SB</v>
      </c>
      <c r="H163" s="460" t="str">
        <f>IF(+All!$F194="Virginia",+All!H194,IF(+All!$H194="Virginia",+All!H194,0))</f>
        <v>Virginia</v>
      </c>
      <c r="I163" s="461" t="str">
        <f>IF(+All!$F194="Virginia",+All!I194,IF(+All!$H194="Virginia",+All!I194,0))</f>
        <v>ACC</v>
      </c>
      <c r="J163" s="460" t="str">
        <f>IF(+All!$F194="Virginia",+All!J194,IF(+All!$H194="Virginia",+All!J194,0))</f>
        <v>Virginia</v>
      </c>
      <c r="K163" s="461" t="str">
        <f>IF(+All!$F194="Virginia",+All!K194,IF(+All!$H194="Virginia",+All!K194,0))</f>
        <v>Old Dominion</v>
      </c>
      <c r="L163" s="60">
        <f>IF(+All!$F194="Virginia",+All!L194,IF(+All!$H194="Virginia",+All!L194,0))</f>
        <v>9.5</v>
      </c>
      <c r="M163" s="61">
        <f>IF(+All!$F194="Virginia",+All!M194,IF(+All!$H194="Virginia",+All!M194,0))</f>
        <v>52.5</v>
      </c>
      <c r="N163" s="460" t="str">
        <f>IF(+All!$F194="Virginia",+All!N194,IF(+All!$H194="Virginia",+All!N194,0))</f>
        <v>Virginia</v>
      </c>
      <c r="O163" s="462">
        <f>IF(+All!$F194="Virginia",+All!O194,IF(+All!$H194="Virginia",+All!O194,0))</f>
        <v>16</v>
      </c>
      <c r="P163" s="462" t="str">
        <f>IF(+All!$F194="Virginia",+All!P194,IF(+All!$H194="Virginia",+All!P194,0))</f>
        <v>Old Dominion</v>
      </c>
      <c r="Q163" s="461">
        <f>IF(+All!$F194="Virginia",+All!Q194,IF(+All!$H194="Virginia",+All!Q194,0))</f>
        <v>14</v>
      </c>
      <c r="R163" s="460" t="str">
        <f>IF(+All!$F194="Virginia",+All!R194,IF(+All!$H194="Virginia",+All!R194,0))</f>
        <v>Old Dominion</v>
      </c>
      <c r="S163" s="462" t="str">
        <f>IF(+All!$F194="Virginia",+All!S194,IF(+All!$H194="Virginia",+All!S194,0))</f>
        <v>Virginia</v>
      </c>
      <c r="T163" s="460" t="str">
        <f>IF(+All!$F194="Virginia",+All!T194,IF(+All!$H194="Virginia",+All!T194,0))</f>
        <v>Old Dominion</v>
      </c>
      <c r="U163" s="461" t="str">
        <f>IF(+All!$F194="Virginia",+All!U194,IF(+All!$H194="Virginia",+All!U194,0))</f>
        <v>W</v>
      </c>
    </row>
    <row r="164" spans="1:21" ht="15.75" customHeight="1" x14ac:dyDescent="0.8">
      <c r="A164" s="46">
        <f>IF(+All!$F255="Virginia",+All!A255,IF(+All!$H255="Virginia",+All!A255,0))</f>
        <v>4</v>
      </c>
      <c r="B164" s="348" t="str">
        <f>IF(+All!$F255="Virginia",+All!B255,IF(+All!$H255="Virginia",+All!B255,0))</f>
        <v>Fri</v>
      </c>
      <c r="C164" s="72">
        <f>IF(+All!$F255="Virginia",+All!C255,IF(+All!$H255="Virginia",+All!C255,0))</f>
        <v>44827</v>
      </c>
      <c r="D164" s="73">
        <f>IF(+All!$F255="Virginia",+All!D255,IF(+All!$H255="Virginia",+All!D255,0))</f>
        <v>0.79166666666666663</v>
      </c>
      <c r="E164" s="461" t="str">
        <f>IF(+All!$F255="Virginia",+All!E255,IF(+All!$H255="Virginia",+All!E255,0))</f>
        <v>ESPN</v>
      </c>
      <c r="F164" s="460" t="str">
        <f>IF(+All!$F255="Virginia",+All!F255,IF(+All!$H255="Virginia",+All!F255,0))</f>
        <v>Virginia</v>
      </c>
      <c r="G164" s="461" t="str">
        <f>IF(+All!$F255="Virginia",+All!G255,IF(+All!$H255="Virginia",+All!G255,0))</f>
        <v>ACC</v>
      </c>
      <c r="H164" s="460" t="str">
        <f>IF(+All!$F255="Virginia",+All!H255,IF(+All!$H255="Virginia",+All!H255,0))</f>
        <v>Syracuse</v>
      </c>
      <c r="I164" s="461" t="str">
        <f>IF(+All!$F255="Virginia",+All!I255,IF(+All!$H255="Virginia",+All!I255,0))</f>
        <v>ACC</v>
      </c>
      <c r="J164" s="460" t="str">
        <f>IF(+All!$F255="Virginia",+All!J255,IF(+All!$H255="Virginia",+All!J255,0))</f>
        <v>Syracuse</v>
      </c>
      <c r="K164" s="461" t="str">
        <f>IF(+All!$F255="Virginia",+All!K255,IF(+All!$H255="Virginia",+All!K255,0))</f>
        <v>Virginia</v>
      </c>
      <c r="L164" s="60">
        <f>IF(+All!$F255="Virginia",+All!L255,IF(+All!$H255="Virginia",+All!L255,0))</f>
        <v>11</v>
      </c>
      <c r="M164" s="61">
        <f>IF(+All!$F255="Virginia",+All!M255,IF(+All!$H255="Virginia",+All!M255,0))</f>
        <v>53</v>
      </c>
      <c r="N164" s="460" t="str">
        <f>IF(+All!$F255="Virginia",+All!N255,IF(+All!$H255="Virginia",+All!N255,0))</f>
        <v>Syracuse</v>
      </c>
      <c r="O164" s="462">
        <f>IF(+All!$F255="Virginia",+All!O255,IF(+All!$H255="Virginia",+All!O255,0))</f>
        <v>22</v>
      </c>
      <c r="P164" s="462" t="str">
        <f>IF(+All!$F255="Virginia",+All!P255,IF(+All!$H255="Virginia",+All!P255,0))</f>
        <v>Virginia</v>
      </c>
      <c r="Q164" s="461">
        <f>IF(+All!$F255="Virginia",+All!Q255,IF(+All!$H255="Virginia",+All!Q255,0))</f>
        <v>20</v>
      </c>
      <c r="R164" s="460" t="str">
        <f>IF(+All!$F255="Virginia",+All!R255,IF(+All!$H255="Virginia",+All!R255,0))</f>
        <v>Virginia</v>
      </c>
      <c r="S164" s="462" t="str">
        <f>IF(+All!$F255="Virginia",+All!S255,IF(+All!$H255="Virginia",+All!S255,0))</f>
        <v>Syracuse</v>
      </c>
      <c r="T164" s="460" t="str">
        <f>IF(+All!$F255="Virginia",+All!T255,IF(+All!$H255="Virginia",+All!T255,0))</f>
        <v>Virginia</v>
      </c>
      <c r="U164" s="461" t="str">
        <f>IF(+All!$F255="Virginia",+All!U255,IF(+All!$H255="Virginia",+All!U255,0))</f>
        <v>W</v>
      </c>
    </row>
    <row r="165" spans="1:21" ht="15.75" customHeight="1" x14ac:dyDescent="0.8">
      <c r="A165" s="46">
        <f>IF(+All!$F330="Virginia",+All!A330,IF(+All!$H330="Virginia",+All!A330,0))</f>
        <v>5</v>
      </c>
      <c r="B165" s="348" t="str">
        <f>IF(+All!$F330="Virginia",+All!B330,IF(+All!$H330="Virginia",+All!B330,0))</f>
        <v>Sat</v>
      </c>
      <c r="C165" s="72">
        <f>IF(+All!$F330="Virginia",+All!C330,IF(+All!$H330="Virginia",+All!C330,0))</f>
        <v>44835</v>
      </c>
      <c r="D165" s="73">
        <f>IF(+All!$F330="Virginia",+All!D330,IF(+All!$H330="Virginia",+All!D330,0))</f>
        <v>0.8125</v>
      </c>
      <c r="E165" s="461" t="str">
        <f>IF(+All!$F330="Virginia",+All!E330,IF(+All!$H330="Virginia",+All!E330,0))</f>
        <v>espn3</v>
      </c>
      <c r="F165" s="460" t="str">
        <f>IF(+All!$F330="Virginia",+All!F330,IF(+All!$H330="Virginia",+All!F330,0))</f>
        <v>Virginia</v>
      </c>
      <c r="G165" s="461" t="str">
        <f>IF(+All!$F330="Virginia",+All!G330,IF(+All!$H330="Virginia",+All!G330,0))</f>
        <v>ACC</v>
      </c>
      <c r="H165" s="460" t="str">
        <f>IF(+All!$F330="Virginia",+All!H330,IF(+All!$H330="Virginia",+All!H330,0))</f>
        <v>Duke</v>
      </c>
      <c r="I165" s="461" t="str">
        <f>IF(+All!$F330="Virginia",+All!I330,IF(+All!$H330="Virginia",+All!I330,0))</f>
        <v>ACC</v>
      </c>
      <c r="J165" s="460" t="str">
        <f>IF(+All!$F330="Virginia",+All!J330,IF(+All!$H330="Virginia",+All!J330,0))</f>
        <v>Duke</v>
      </c>
      <c r="K165" s="461" t="str">
        <f>IF(+All!$F330="Virginia",+All!K330,IF(+All!$H330="Virginia",+All!K330,0))</f>
        <v>Virginia</v>
      </c>
      <c r="L165" s="60">
        <f>IF(+All!$F330="Virginia",+All!L330,IF(+All!$H330="Virginia",+All!L330,0))</f>
        <v>2.5</v>
      </c>
      <c r="M165" s="61">
        <f>IF(+All!$F330="Virginia",+All!M330,IF(+All!$H330="Virginia",+All!M330,0))</f>
        <v>49</v>
      </c>
      <c r="N165" s="460" t="str">
        <f>IF(+All!$F330="Virginia",+All!N330,IF(+All!$H330="Virginia",+All!N330,0))</f>
        <v>Duke</v>
      </c>
      <c r="O165" s="462">
        <f>IF(+All!$F330="Virginia",+All!O330,IF(+All!$H330="Virginia",+All!O330,0))</f>
        <v>38</v>
      </c>
      <c r="P165" s="462" t="str">
        <f>IF(+All!$F330="Virginia",+All!P330,IF(+All!$H330="Virginia",+All!P330,0))</f>
        <v>Virginia</v>
      </c>
      <c r="Q165" s="461">
        <f>IF(+All!$F330="Virginia",+All!Q330,IF(+All!$H330="Virginia",+All!Q330,0))</f>
        <v>17</v>
      </c>
      <c r="R165" s="460" t="str">
        <f>IF(+All!$F330="Virginia",+All!R330,IF(+All!$H330="Virginia",+All!R330,0))</f>
        <v>Duke</v>
      </c>
      <c r="S165" s="462" t="str">
        <f>IF(+All!$F330="Virginia",+All!S330,IF(+All!$H330="Virginia",+All!S330,0))</f>
        <v>Virginia</v>
      </c>
      <c r="T165" s="460" t="str">
        <f>IF(+All!$F330="Virginia",+All!T330,IF(+All!$H330="Virginia",+All!T330,0))</f>
        <v>Duke</v>
      </c>
      <c r="U165" s="461" t="str">
        <f>IF(+All!$F330="Virginia",+All!U330,IF(+All!$H330="Virginia",+All!U330,0))</f>
        <v>W</v>
      </c>
    </row>
    <row r="166" spans="1:21" ht="15.75" customHeight="1" x14ac:dyDescent="0.8">
      <c r="A166" s="46">
        <f>IF(+All!$F394="Virginia",+All!A394,IF(+All!$H394="Virginia",+All!A394,0))</f>
        <v>6</v>
      </c>
      <c r="B166" s="348" t="str">
        <f>IF(+All!$F394="Virginia",+All!B394,IF(+All!$H394="Virginia",+All!B394,0))</f>
        <v>Sat</v>
      </c>
      <c r="C166" s="72">
        <f>IF(+All!$F394="Virginia",+All!C394,IF(+All!$H394="Virginia",+All!C394,0))</f>
        <v>44842</v>
      </c>
      <c r="D166" s="73">
        <f>IF(+All!$F394="Virginia",+All!D394,IF(+All!$H394="Virginia",+All!D394,0))</f>
        <v>0.5</v>
      </c>
      <c r="E166" s="461" t="str">
        <f>IF(+All!$F394="Virginia",+All!E394,IF(+All!$H394="Virginia",+All!E394,0))</f>
        <v>ACC</v>
      </c>
      <c r="F166" s="460" t="str">
        <f>IF(+All!$F394="Virginia",+All!F394,IF(+All!$H394="Virginia",+All!F394,0))</f>
        <v>Louisville</v>
      </c>
      <c r="G166" s="461" t="str">
        <f>IF(+All!$F394="Virginia",+All!G394,IF(+All!$H394="Virginia",+All!G394,0))</f>
        <v>ACC</v>
      </c>
      <c r="H166" s="460" t="str">
        <f>IF(+All!$F394="Virginia",+All!H394,IF(+All!$H394="Virginia",+All!H394,0))</f>
        <v>Virginia</v>
      </c>
      <c r="I166" s="461" t="str">
        <f>IF(+All!$F394="Virginia",+All!I394,IF(+All!$H394="Virginia",+All!I394,0))</f>
        <v>ACC</v>
      </c>
      <c r="J166" s="460" t="str">
        <f>IF(+All!$F394="Virginia",+All!J394,IF(+All!$H394="Virginia",+All!J394,0))</f>
        <v>Louisville</v>
      </c>
      <c r="K166" s="461" t="str">
        <f>IF(+All!$F394="Virginia",+All!K394,IF(+All!$H394="Virginia",+All!K394,0))</f>
        <v>Virginia</v>
      </c>
      <c r="L166" s="60">
        <f>IF(+All!$F394="Virginia",+All!L394,IF(+All!$H394="Virginia",+All!L394,0))</f>
        <v>3</v>
      </c>
      <c r="M166" s="61">
        <f>IF(+All!$F394="Virginia",+All!M394,IF(+All!$H394="Virginia",+All!M394,0))</f>
        <v>50.5</v>
      </c>
      <c r="N166" s="460" t="str">
        <f>IF(+All!$F394="Virginia",+All!N394,IF(+All!$H394="Virginia",+All!N394,0))</f>
        <v>Louisville</v>
      </c>
      <c r="O166" s="462">
        <f>IF(+All!$F394="Virginia",+All!O394,IF(+All!$H394="Virginia",+All!O394,0))</f>
        <v>34</v>
      </c>
      <c r="P166" s="462" t="str">
        <f>IF(+All!$F394="Virginia",+All!P394,IF(+All!$H394="Virginia",+All!P394,0))</f>
        <v>Virginia</v>
      </c>
      <c r="Q166" s="461">
        <f>IF(+All!$F394="Virginia",+All!Q394,IF(+All!$H394="Virginia",+All!Q394,0))</f>
        <v>17</v>
      </c>
      <c r="R166" s="460" t="str">
        <f>IF(+All!$F394="Virginia",+All!R394,IF(+All!$H394="Virginia",+All!R394,0))</f>
        <v>Louisville</v>
      </c>
      <c r="S166" s="462" t="str">
        <f>IF(+All!$F394="Virginia",+All!S394,IF(+All!$H394="Virginia",+All!S394,0))</f>
        <v>Virginia</v>
      </c>
      <c r="T166" s="460" t="str">
        <f>IF(+All!$F394="Virginia",+All!T394,IF(+All!$H394="Virginia",+All!T394,0))</f>
        <v>Virginia</v>
      </c>
      <c r="U166" s="461" t="str">
        <f>IF(+All!$F394="Virginia",+All!U394,IF(+All!$H394="Virginia",+All!U394,0))</f>
        <v>L</v>
      </c>
    </row>
    <row r="167" spans="1:21" ht="15.75" customHeight="1" x14ac:dyDescent="0.8">
      <c r="A167" s="46" t="e">
        <f>IF(+All!#REF!="Virginia",+All!#REF!,IF(+All!#REF!="Virginia",+All!#REF!,0))</f>
        <v>#REF!</v>
      </c>
      <c r="B167" s="348" t="e">
        <f>IF(+All!#REF!="Virginia",+All!#REF!,IF(+All!#REF!="Virginia",+All!#REF!,0))</f>
        <v>#REF!</v>
      </c>
      <c r="C167" s="72" t="e">
        <f>IF(+All!#REF!="Virginia",+All!#REF!,IF(+All!#REF!="Virginia",+All!#REF!,0))</f>
        <v>#REF!</v>
      </c>
      <c r="D167" s="73" t="e">
        <f>IF(+All!#REF!="Virginia",+All!#REF!,IF(+All!#REF!="Virginia",+All!#REF!,0))</f>
        <v>#REF!</v>
      </c>
      <c r="E167" s="461" t="e">
        <f>IF(+All!#REF!="Virginia",+All!#REF!,IF(+All!#REF!="Virginia",+All!#REF!,0))</f>
        <v>#REF!</v>
      </c>
      <c r="F167" s="460" t="e">
        <f>IF(+All!#REF!="Virginia",+All!#REF!,IF(+All!#REF!="Virginia",+All!#REF!,0))</f>
        <v>#REF!</v>
      </c>
      <c r="G167" s="461" t="e">
        <f>IF(+All!#REF!="Virginia",+All!#REF!,IF(+All!#REF!="Virginia",+All!#REF!,0))</f>
        <v>#REF!</v>
      </c>
      <c r="H167" s="460" t="e">
        <f>IF(+All!#REF!="Virginia",+All!#REF!,IF(+All!#REF!="Virginia",+All!#REF!,0))</f>
        <v>#REF!</v>
      </c>
      <c r="I167" s="461" t="e">
        <f>IF(+All!#REF!="Virginia",+All!#REF!,IF(+All!#REF!="Virginia",+All!#REF!,0))</f>
        <v>#REF!</v>
      </c>
      <c r="J167" s="460" t="e">
        <f>IF(+All!#REF!="Virginia",+All!#REF!,IF(+All!#REF!="Virginia",+All!#REF!,0))</f>
        <v>#REF!</v>
      </c>
      <c r="K167" s="461" t="e">
        <f>IF(+All!#REF!="Virginia",+All!#REF!,IF(+All!#REF!="Virginia",+All!#REF!,0))</f>
        <v>#REF!</v>
      </c>
      <c r="L167" s="60" t="e">
        <f>IF(+All!#REF!="Virginia",+All!#REF!,IF(+All!#REF!="Virginia",+All!#REF!,0))</f>
        <v>#REF!</v>
      </c>
      <c r="M167" s="61" t="e">
        <f>IF(+All!#REF!="Virginia",+All!#REF!,IF(+All!#REF!="Virginia",+All!#REF!,0))</f>
        <v>#REF!</v>
      </c>
      <c r="N167" s="460" t="e">
        <f>IF(+All!#REF!="Virginia",+All!#REF!,IF(+All!#REF!="Virginia",+All!#REF!,0))</f>
        <v>#REF!</v>
      </c>
      <c r="O167" s="462" t="e">
        <f>IF(+All!#REF!="Virginia",+All!#REF!,IF(+All!#REF!="Virginia",+All!#REF!,0))</f>
        <v>#REF!</v>
      </c>
      <c r="P167" s="462" t="e">
        <f>IF(+All!#REF!="Virginia",+All!#REF!,IF(+All!#REF!="Virginia",+All!#REF!,0))</f>
        <v>#REF!</v>
      </c>
      <c r="Q167" s="461" t="e">
        <f>IF(+All!#REF!="Virginia",+All!#REF!,IF(+All!#REF!="Virginia",+All!#REF!,0))</f>
        <v>#REF!</v>
      </c>
      <c r="R167" s="460" t="e">
        <f>IF(+All!#REF!="Virginia",+All!#REF!,IF(+All!#REF!="Virginia",+All!#REF!,0))</f>
        <v>#REF!</v>
      </c>
      <c r="S167" s="462" t="e">
        <f>IF(+All!#REF!="Virginia",+All!#REF!,IF(+All!#REF!="Virginia",+All!#REF!,0))</f>
        <v>#REF!</v>
      </c>
      <c r="T167" s="460" t="e">
        <f>IF(+All!#REF!="Virginia",+All!#REF!,IF(+All!#REF!="Virginia",+All!#REF!,0))</f>
        <v>#REF!</v>
      </c>
      <c r="U167" s="461" t="e">
        <f>IF(+All!#REF!="Virginia",+All!#REF!,IF(+All!#REF!="Virginia",+All!#REF!,0))</f>
        <v>#REF!</v>
      </c>
    </row>
    <row r="168" spans="1:21" ht="15.75" customHeight="1" x14ac:dyDescent="0.8">
      <c r="A168" s="46">
        <f>IF(+All!$F492="Virginia",+All!A492,IF(+All!$H492="Virginia",+All!A492,0))</f>
        <v>8</v>
      </c>
      <c r="B168" s="348" t="str">
        <f>IF(+All!$F492="Virginia",+All!B492,IF(+All!$H492="Virginia",+All!B492,0))</f>
        <v>Thurs</v>
      </c>
      <c r="C168" s="72">
        <f>IF(+All!$F492="Virginia",+All!C492,IF(+All!$H492="Virginia",+All!C492,0))</f>
        <v>44854</v>
      </c>
      <c r="D168" s="73">
        <f>IF(+All!$F492="Virginia",+All!D492,IF(+All!$H492="Virginia",+All!D492,0))</f>
        <v>0.8125</v>
      </c>
      <c r="E168" s="461" t="str">
        <f>IF(+All!$F492="Virginia",+All!E492,IF(+All!$H492="Virginia",+All!E492,0))</f>
        <v>ESPN</v>
      </c>
      <c r="F168" s="460" t="str">
        <f>IF(+All!$F492="Virginia",+All!F492,IF(+All!$H492="Virginia",+All!F492,0))</f>
        <v>Virginia</v>
      </c>
      <c r="G168" s="461" t="str">
        <f>IF(+All!$F492="Virginia",+All!G492,IF(+All!$H492="Virginia",+All!G492,0))</f>
        <v>ACC</v>
      </c>
      <c r="H168" s="460" t="str">
        <f>IF(+All!$F492="Virginia",+All!H492,IF(+All!$H492="Virginia",+All!H492,0))</f>
        <v>Georgia Tech</v>
      </c>
      <c r="I168" s="461" t="str">
        <f>IF(+All!$F492="Virginia",+All!I492,IF(+All!$H492="Virginia",+All!I492,0))</f>
        <v>ACC</v>
      </c>
      <c r="J168" s="460" t="str">
        <f>IF(+All!$F492="Virginia",+All!J492,IF(+All!$H492="Virginia",+All!J492,0))</f>
        <v>Georgia Tech</v>
      </c>
      <c r="K168" s="461" t="str">
        <f>IF(+All!$F492="Virginia",+All!K492,IF(+All!$H492="Virginia",+All!K492,0))</f>
        <v>Virginia</v>
      </c>
      <c r="L168" s="60">
        <f>IF(+All!$F492="Virginia",+All!L492,IF(+All!$H492="Virginia",+All!L492,0))</f>
        <v>3</v>
      </c>
      <c r="M168" s="61">
        <f>IF(+All!$F492="Virginia",+All!M492,IF(+All!$H492="Virginia",+All!M492,0))</f>
        <v>47</v>
      </c>
      <c r="N168" s="460" t="str">
        <f>IF(+All!$F492="Virginia",+All!N492,IF(+All!$H492="Virginia",+All!N492,0))</f>
        <v>Virginia</v>
      </c>
      <c r="O168" s="462">
        <f>IF(+All!$F492="Virginia",+All!O492,IF(+All!$H492="Virginia",+All!O492,0))</f>
        <v>16</v>
      </c>
      <c r="P168" s="462" t="str">
        <f>IF(+All!$F492="Virginia",+All!P492,IF(+All!$H492="Virginia",+All!P492,0))</f>
        <v>Georgia Tech</v>
      </c>
      <c r="Q168" s="461">
        <f>IF(+All!$F492="Virginia",+All!Q492,IF(+All!$H492="Virginia",+All!Q492,0))</f>
        <v>9</v>
      </c>
      <c r="R168" s="460" t="str">
        <f>IF(+All!$F492="Virginia",+All!R492,IF(+All!$H492="Virginia",+All!R492,0))</f>
        <v>Virginia</v>
      </c>
      <c r="S168" s="462" t="str">
        <f>IF(+All!$F492="Virginia",+All!S492,IF(+All!$H492="Virginia",+All!S492,0))</f>
        <v>Georgia Tech</v>
      </c>
      <c r="T168" s="460" t="str">
        <f>IF(+All!$F492="Virginia",+All!T492,IF(+All!$H492="Virginia",+All!T492,0))</f>
        <v>Georgia Tech</v>
      </c>
      <c r="U168" s="461" t="str">
        <f>IF(+All!$F492="Virginia",+All!U492,IF(+All!$H492="Virginia",+All!U492,0))</f>
        <v>L</v>
      </c>
    </row>
    <row r="169" spans="1:21" ht="15.75" customHeight="1" x14ac:dyDescent="0.8">
      <c r="A169" s="46">
        <f>IF(+All!$F558="Virginia",+All!A558,IF(+All!$H558="Virginia",+All!A558,0))</f>
        <v>9</v>
      </c>
      <c r="B169" s="348" t="str">
        <f>IF(+All!$F558="Virginia",+All!B558,IF(+All!$H558="Virginia",+All!B558,0))</f>
        <v>Sat</v>
      </c>
      <c r="C169" s="72">
        <f>IF(+All!$F558="Virginia",+All!C558,IF(+All!$H558="Virginia",+All!C558,0))</f>
        <v>44863</v>
      </c>
      <c r="D169" s="73">
        <f>IF(+All!$F558="Virginia",+All!D558,IF(+All!$H558="Virginia",+All!D558,0))</f>
        <v>0.52083333333333337</v>
      </c>
      <c r="E169" s="461" t="str">
        <f>IF(+All!$F558="Virginia",+All!E558,IF(+All!$H558="Virginia",+All!E558,0))</f>
        <v>espn3</v>
      </c>
      <c r="F169" s="460" t="str">
        <f>IF(+All!$F558="Virginia",+All!F558,IF(+All!$H558="Virginia",+All!F558,0))</f>
        <v>Miami (FL)</v>
      </c>
      <c r="G169" s="461" t="str">
        <f>IF(+All!$F558="Virginia",+All!G558,IF(+All!$H558="Virginia",+All!G558,0))</f>
        <v>ACC</v>
      </c>
      <c r="H169" s="460" t="str">
        <f>IF(+All!$F558="Virginia",+All!H558,IF(+All!$H558="Virginia",+All!H558,0))</f>
        <v>Virginia</v>
      </c>
      <c r="I169" s="461" t="str">
        <f>IF(+All!$F558="Virginia",+All!I558,IF(+All!$H558="Virginia",+All!I558,0))</f>
        <v>ACC</v>
      </c>
      <c r="J169" s="460" t="str">
        <f>IF(+All!$F558="Virginia",+All!J558,IF(+All!$H558="Virginia",+All!J558,0))</f>
        <v>Miami (FL)</v>
      </c>
      <c r="K169" s="461" t="str">
        <f>IF(+All!$F558="Virginia",+All!K558,IF(+All!$H558="Virginia",+All!K558,0))</f>
        <v>Virginia</v>
      </c>
      <c r="L169" s="60">
        <f>IF(+All!$F558="Virginia",+All!L558,IF(+All!$H558="Virginia",+All!L558,0))</f>
        <v>2.5</v>
      </c>
      <c r="M169" s="61">
        <f>IF(+All!$F558="Virginia",+All!M558,IF(+All!$H558="Virginia",+All!M558,0))</f>
        <v>47.5</v>
      </c>
      <c r="N169" s="460" t="str">
        <f>IF(+All!$F558="Virginia",+All!N558,IF(+All!$H558="Virginia",+All!N558,0))</f>
        <v>Miami (FL)</v>
      </c>
      <c r="O169" s="462">
        <f>IF(+All!$F558="Virginia",+All!O558,IF(+All!$H558="Virginia",+All!O558,0))</f>
        <v>14</v>
      </c>
      <c r="P169" s="462" t="str">
        <f>IF(+All!$F558="Virginia",+All!P558,IF(+All!$H558="Virginia",+All!P558,0))</f>
        <v>Virginia</v>
      </c>
      <c r="Q169" s="461">
        <f>IF(+All!$F558="Virginia",+All!Q558,IF(+All!$H558="Virginia",+All!Q558,0))</f>
        <v>12</v>
      </c>
      <c r="R169" s="460" t="str">
        <f>IF(+All!$F558="Virginia",+All!R558,IF(+All!$H558="Virginia",+All!R558,0))</f>
        <v>Virginia</v>
      </c>
      <c r="S169" s="462" t="str">
        <f>IF(+All!$F558="Virginia",+All!S558,IF(+All!$H558="Virginia",+All!S558,0))</f>
        <v>Miami (FL)</v>
      </c>
      <c r="T169" s="460" t="str">
        <f>IF(+All!$F558="Virginia",+All!T558,IF(+All!$H558="Virginia",+All!T558,0))</f>
        <v>Miami (FL)</v>
      </c>
      <c r="U169" s="461" t="str">
        <f>IF(+All!$F558="Virginia",+All!U558,IF(+All!$H558="Virginia",+All!U558,0))</f>
        <v>L</v>
      </c>
    </row>
    <row r="170" spans="1:21" ht="15.75" customHeight="1" x14ac:dyDescent="0.8">
      <c r="A170" s="46">
        <f>IF(+All!$F611="Virginia",+All!A611,IF(+All!$H611="Virginia",+All!A611,0))</f>
        <v>10</v>
      </c>
      <c r="B170" s="348" t="str">
        <f>IF(+All!$F611="Virginia",+All!B611,IF(+All!$H611="Virginia",+All!B611,0))</f>
        <v>Sat</v>
      </c>
      <c r="C170" s="72">
        <f>IF(+All!$F611="Virginia",+All!C611,IF(+All!$H611="Virginia",+All!C611,0))</f>
        <v>44870</v>
      </c>
      <c r="D170" s="73">
        <f>IF(+All!$F611="Virginia",+All!D611,IF(+All!$H611="Virginia",+All!D611,0))</f>
        <v>0.5</v>
      </c>
      <c r="E170" s="461" t="str">
        <f>IF(+All!$F611="Virginia",+All!E611,IF(+All!$H611="Virginia",+All!E611,0))</f>
        <v>ACC</v>
      </c>
      <c r="F170" s="460" t="str">
        <f>IF(+All!$F611="Virginia",+All!F611,IF(+All!$H611="Virginia",+All!F611,0))</f>
        <v>North Carolina</v>
      </c>
      <c r="G170" s="461" t="str">
        <f>IF(+All!$F611="Virginia",+All!G611,IF(+All!$H611="Virginia",+All!G611,0))</f>
        <v>ACC</v>
      </c>
      <c r="H170" s="460" t="str">
        <f>IF(+All!$F611="Virginia",+All!H611,IF(+All!$H611="Virginia",+All!H611,0))</f>
        <v>Virginia</v>
      </c>
      <c r="I170" s="461" t="str">
        <f>IF(+All!$F611="Virginia",+All!I611,IF(+All!$H611="Virginia",+All!I611,0))</f>
        <v>ACC</v>
      </c>
      <c r="J170" s="460" t="str">
        <f>IF(+All!$F611="Virginia",+All!J611,IF(+All!$H611="Virginia",+All!J611,0))</f>
        <v>North Carolina</v>
      </c>
      <c r="K170" s="461" t="str">
        <f>IF(+All!$F611="Virginia",+All!K611,IF(+All!$H611="Virginia",+All!K611,0))</f>
        <v>Virginia</v>
      </c>
      <c r="L170" s="60">
        <f>IF(+All!$F611="Virginia",+All!L611,IF(+All!$H611="Virginia",+All!L611,0))</f>
        <v>7.5</v>
      </c>
      <c r="M170" s="61">
        <f>IF(+All!$F611="Virginia",+All!M611,IF(+All!$H611="Virginia",+All!M611,0))</f>
        <v>59</v>
      </c>
      <c r="N170" s="460" t="str">
        <f>IF(+All!$F611="Virginia",+All!N611,IF(+All!$H611="Virginia",+All!N611,0))</f>
        <v>North Carolina</v>
      </c>
      <c r="O170" s="462">
        <f>IF(+All!$F611="Virginia",+All!O611,IF(+All!$H611="Virginia",+All!O611,0))</f>
        <v>31</v>
      </c>
      <c r="P170" s="462" t="str">
        <f>IF(+All!$F611="Virginia",+All!P611,IF(+All!$H611="Virginia",+All!P611,0))</f>
        <v>Virginia</v>
      </c>
      <c r="Q170" s="461">
        <f>IF(+All!$F611="Virginia",+All!Q611,IF(+All!$H611="Virginia",+All!Q611,0))</f>
        <v>28</v>
      </c>
      <c r="R170" s="460" t="str">
        <f>IF(+All!$F611="Virginia",+All!R611,IF(+All!$H611="Virginia",+All!R611,0))</f>
        <v>Virginia</v>
      </c>
      <c r="S170" s="462" t="str">
        <f>IF(+All!$F611="Virginia",+All!S611,IF(+All!$H611="Virginia",+All!S611,0))</f>
        <v>North Carolina</v>
      </c>
      <c r="T170" s="460" t="str">
        <f>IF(+All!$F611="Virginia",+All!T611,IF(+All!$H611="Virginia",+All!T611,0))</f>
        <v>Virginia</v>
      </c>
      <c r="U170" s="461" t="str">
        <f>IF(+All!$F611="Virginia",+All!U611,IF(+All!$H611="Virginia",+All!U611,0))</f>
        <v>W</v>
      </c>
    </row>
    <row r="171" spans="1:21" ht="15.75" customHeight="1" x14ac:dyDescent="0.8">
      <c r="A171" s="46">
        <f>IF(+All!$F673="Virginia",+All!A673,IF(+All!$H673="Virginia",+All!A673,0))</f>
        <v>11</v>
      </c>
      <c r="B171" s="348" t="str">
        <f>IF(+All!$F673="Virginia",+All!B673,IF(+All!$H673="Virginia",+All!B673,0))</f>
        <v>Sat</v>
      </c>
      <c r="C171" s="72">
        <f>IF(+All!$F673="Virginia",+All!C673,IF(+All!$H673="Virginia",+All!C673,0))</f>
        <v>44877</v>
      </c>
      <c r="D171" s="73">
        <f>IF(+All!$F673="Virginia",+All!D673,IF(+All!$H673="Virginia",+All!D673,0))</f>
        <v>0.5</v>
      </c>
      <c r="E171" s="461" t="str">
        <f>IF(+All!$F673="Virginia",+All!E673,IF(+All!$H673="Virginia",+All!E673,0))</f>
        <v>ACC</v>
      </c>
      <c r="F171" s="460" t="str">
        <f>IF(+All!$F673="Virginia",+All!F673,IF(+All!$H673="Virginia",+All!F673,0))</f>
        <v>Pittsburgh</v>
      </c>
      <c r="G171" s="461" t="str">
        <f>IF(+All!$F673="Virginia",+All!G673,IF(+All!$H673="Virginia",+All!G673,0))</f>
        <v>ACC</v>
      </c>
      <c r="H171" s="460" t="str">
        <f>IF(+All!$F673="Virginia",+All!H673,IF(+All!$H673="Virginia",+All!H673,0))</f>
        <v>Virginia</v>
      </c>
      <c r="I171" s="461" t="str">
        <f>IF(+All!$F673="Virginia",+All!I673,IF(+All!$H673="Virginia",+All!I673,0))</f>
        <v>ACC</v>
      </c>
      <c r="J171" s="460" t="str">
        <f>IF(+All!$F673="Virginia",+All!J673,IF(+All!$H673="Virginia",+All!J673,0))</f>
        <v>Pittsburgh</v>
      </c>
      <c r="K171" s="461" t="str">
        <f>IF(+All!$F673="Virginia",+All!K673,IF(+All!$H673="Virginia",+All!K673,0))</f>
        <v>Virginia</v>
      </c>
      <c r="L171" s="60">
        <f>IF(+All!$F673="Virginia",+All!L673,IF(+All!$H673="Virginia",+All!L673,0))</f>
        <v>4</v>
      </c>
      <c r="M171" s="61">
        <f>IF(+All!$F673="Virginia",+All!M673,IF(+All!$H673="Virginia",+All!M673,0))</f>
        <v>40</v>
      </c>
      <c r="N171" s="460" t="str">
        <f>IF(+All!$F673="Virginia",+All!N673,IF(+All!$H673="Virginia",+All!N673,0))</f>
        <v>Pittsburgh</v>
      </c>
      <c r="O171" s="462">
        <f>IF(+All!$F673="Virginia",+All!O673,IF(+All!$H673="Virginia",+All!O673,0))</f>
        <v>37</v>
      </c>
      <c r="P171" s="462" t="str">
        <f>IF(+All!$F673="Virginia",+All!P673,IF(+All!$H673="Virginia",+All!P673,0))</f>
        <v>Virginia</v>
      </c>
      <c r="Q171" s="461">
        <f>IF(+All!$F673="Virginia",+All!Q673,IF(+All!$H673="Virginia",+All!Q673,0))</f>
        <v>7</v>
      </c>
      <c r="R171" s="460" t="str">
        <f>IF(+All!$F673="Virginia",+All!R673,IF(+All!$H673="Virginia",+All!R673,0))</f>
        <v>Pittsburgh</v>
      </c>
      <c r="S171" s="462" t="str">
        <f>IF(+All!$F673="Virginia",+All!S673,IF(+All!$H673="Virginia",+All!S673,0))</f>
        <v>Virginia</v>
      </c>
      <c r="T171" s="460" t="str">
        <f>IF(+All!$F673="Virginia",+All!T673,IF(+All!$H673="Virginia",+All!T673,0))</f>
        <v>Pittsburgh</v>
      </c>
      <c r="U171" s="461" t="str">
        <f>IF(+All!$F673="Virginia",+All!U673,IF(+All!$H673="Virginia",+All!U673,0))</f>
        <v>W</v>
      </c>
    </row>
    <row r="172" spans="1:21" ht="15.75" customHeight="1" x14ac:dyDescent="0.8">
      <c r="A172" s="46">
        <f>IF(+All!$F735="Virginia",+All!A735,IF(+All!$H735="Virginia",+All!A735,0))</f>
        <v>12</v>
      </c>
      <c r="B172" s="348" t="str">
        <f>IF(+All!$F735="Virginia",+All!B735,IF(+All!$H735="Virginia",+All!B735,0))</f>
        <v>Sat</v>
      </c>
      <c r="C172" s="72">
        <f>IF(+All!$F735="Virginia",+All!C735,IF(+All!$H735="Virginia",+All!C735,0))</f>
        <v>44884</v>
      </c>
      <c r="D172" s="73">
        <f>IF(+All!$F735="Virginia",+All!D735,IF(+All!$H735="Virginia",+All!D735,0))</f>
        <v>0.64583333333333337</v>
      </c>
      <c r="E172" s="461" t="str">
        <f>IF(+All!$F735="Virginia",+All!E735,IF(+All!$H735="Virginia",+All!E735,0))</f>
        <v>espn3</v>
      </c>
      <c r="F172" s="460" t="str">
        <f>IF(+All!$F735="Virginia",+All!F735,IF(+All!$H735="Virginia",+All!F735,0))</f>
        <v>Coastal Carolina</v>
      </c>
      <c r="G172" s="461" t="str">
        <f>IF(+All!$F735="Virginia",+All!G735,IF(+All!$H735="Virginia",+All!G735,0))</f>
        <v>SB</v>
      </c>
      <c r="H172" s="460" t="str">
        <f>IF(+All!$F735="Virginia",+All!H735,IF(+All!$H735="Virginia",+All!H735,0))</f>
        <v>Virginia</v>
      </c>
      <c r="I172" s="461" t="str">
        <f>IF(+All!$F735="Virginia",+All!I735,IF(+All!$H735="Virginia",+All!I735,0))</f>
        <v>ACC</v>
      </c>
      <c r="J172" s="460">
        <f>IF(+All!$F735="Virginia",+All!J735,IF(+All!$H735="Virginia",+All!J735,0))</f>
        <v>0</v>
      </c>
      <c r="K172" s="461" t="str">
        <f>IF(+All!$F735="Virginia",+All!K735,IF(+All!$H735="Virginia",+All!K735,0))</f>
        <v>PPD</v>
      </c>
      <c r="L172" s="60">
        <f>IF(+All!$F735="Virginia",+All!L735,IF(+All!$H735="Virginia",+All!L735,0))</f>
        <v>0</v>
      </c>
      <c r="M172" s="61">
        <f>IF(+All!$F735="Virginia",+All!M735,IF(+All!$H735="Virginia",+All!M735,0))</f>
        <v>0</v>
      </c>
      <c r="N172" s="460">
        <f>IF(+All!$F735="Virginia",+All!N735,IF(+All!$H735="Virginia",+All!N735,0))</f>
        <v>0</v>
      </c>
      <c r="O172" s="462">
        <f>IF(+All!$F735="Virginia",+All!O735,IF(+All!$H735="Virginia",+All!O735,0))</f>
        <v>0</v>
      </c>
      <c r="P172" s="462" t="str">
        <f>IF(+All!$F735="Virginia",+All!P735,IF(+All!$H735="Virginia",+All!P735,0))</f>
        <v>PPD</v>
      </c>
      <c r="Q172" s="461">
        <f>IF(+All!$F735="Virginia",+All!Q735,IF(+All!$H735="Virginia",+All!Q735,0))</f>
        <v>0</v>
      </c>
      <c r="R172" s="460">
        <f>IF(+All!$F735="Virginia",+All!R735,IF(+All!$H735="Virginia",+All!R735,0))</f>
        <v>0</v>
      </c>
      <c r="S172" s="462" t="str">
        <f>IF(+All!$F735="Virginia",+All!S735,IF(+All!$H735="Virginia",+All!S735,0))</f>
        <v>PPD</v>
      </c>
      <c r="T172" s="460">
        <f>IF(+All!$F735="Virginia",+All!T735,IF(+All!$H735="Virginia",+All!T735,0))</f>
        <v>0</v>
      </c>
      <c r="U172" s="461">
        <f>IF(+All!$F735="Virginia",+All!U735,IF(+All!$H735="Virginia",+All!U735,0))</f>
        <v>0</v>
      </c>
    </row>
    <row r="173" spans="1:21" ht="15.75" customHeight="1" x14ac:dyDescent="0.8">
      <c r="A173" s="46">
        <f>IF(+All!$F807="Virginia",+All!A807,IF(+All!$H807="Virginia",+All!A807,0))</f>
        <v>13</v>
      </c>
      <c r="B173" s="348" t="str">
        <f>IF(+All!$F807="Virginia",+All!B807,IF(+All!$H807="Virginia",+All!B807,0))</f>
        <v>Sat</v>
      </c>
      <c r="C173" s="72">
        <f>IF(+All!$F807="Virginia",+All!C807,IF(+All!$H807="Virginia",+All!C807,0))</f>
        <v>44891</v>
      </c>
      <c r="D173" s="73">
        <f>IF(+All!$F807="Virginia",+All!D807,IF(+All!$H807="Virginia",+All!D807,0))</f>
        <v>0</v>
      </c>
      <c r="E173" s="461">
        <f>IF(+All!$F807="Virginia",+All!E807,IF(+All!$H807="Virginia",+All!E807,0))</f>
        <v>0</v>
      </c>
      <c r="F173" s="460" t="str">
        <f>IF(+All!$F807="Virginia",+All!F807,IF(+All!$H807="Virginia",+All!F807,0))</f>
        <v>Virginia</v>
      </c>
      <c r="G173" s="461" t="str">
        <f>IF(+All!$F807="Virginia",+All!G807,IF(+All!$H807="Virginia",+All!G807,0))</f>
        <v>ACC</v>
      </c>
      <c r="H173" s="460" t="str">
        <f>IF(+All!$F807="Virginia",+All!H807,IF(+All!$H807="Virginia",+All!H807,0))</f>
        <v>Virginia Tech</v>
      </c>
      <c r="I173" s="461" t="str">
        <f>IF(+All!$F807="Virginia",+All!I807,IF(+All!$H807="Virginia",+All!I807,0))</f>
        <v>ACC</v>
      </c>
      <c r="J173" s="460">
        <f>IF(+All!$F807="Virginia",+All!J807,IF(+All!$H807="Virginia",+All!J807,0))</f>
        <v>0</v>
      </c>
      <c r="K173" s="461" t="str">
        <f>IF(+All!$F807="Virginia",+All!K807,IF(+All!$H807="Virginia",+All!K807,0))</f>
        <v>CANCELED</v>
      </c>
      <c r="L173" s="60">
        <f>IF(+All!$F807="Virginia",+All!L807,IF(+All!$H807="Virginia",+All!L807,0))</f>
        <v>0</v>
      </c>
      <c r="M173" s="61">
        <f>IF(+All!$F807="Virginia",+All!M807,IF(+All!$H807="Virginia",+All!M807,0))</f>
        <v>0</v>
      </c>
      <c r="N173" s="460">
        <f>IF(+All!$F807="Virginia",+All!N807,IF(+All!$H807="Virginia",+All!N807,0))</f>
        <v>0</v>
      </c>
      <c r="O173" s="462">
        <f>IF(+All!$F807="Virginia",+All!O807,IF(+All!$H807="Virginia",+All!O807,0))</f>
        <v>0</v>
      </c>
      <c r="P173" s="462" t="str">
        <f>IF(+All!$F807="Virginia",+All!P807,IF(+All!$H807="Virginia",+All!P807,0))</f>
        <v>CANCELLED</v>
      </c>
      <c r="Q173" s="461">
        <f>IF(+All!$F807="Virginia",+All!Q807,IF(+All!$H807="Virginia",+All!Q807,0))</f>
        <v>0</v>
      </c>
      <c r="R173" s="460">
        <f>IF(+All!$F807="Virginia",+All!R807,IF(+All!$H807="Virginia",+All!R807,0))</f>
        <v>0</v>
      </c>
      <c r="S173" s="462" t="str">
        <f>IF(+All!$F807="Virginia",+All!S807,IF(+All!$H807="Virginia",+All!S807,0))</f>
        <v>CANCELED</v>
      </c>
      <c r="T173" s="460">
        <f>IF(+All!$F807="Virginia",+All!T807,IF(+All!$H807="Virginia",+All!T807,0))</f>
        <v>0</v>
      </c>
      <c r="U173" s="461">
        <f>IF(+All!$F807="Virginia",+All!U807,IF(+All!$H807="Virginia",+All!U807,0))</f>
        <v>0</v>
      </c>
    </row>
    <row r="174" spans="1:21" ht="15.75" customHeight="1" x14ac:dyDescent="0.8">
      <c r="A174" s="38"/>
      <c r="B174" s="39"/>
      <c r="C174" s="40"/>
      <c r="D174" s="41"/>
      <c r="E174" s="463"/>
      <c r="F174" s="897" t="str">
        <f>H176</f>
        <v>Virginia Tech</v>
      </c>
      <c r="G174" s="901"/>
      <c r="H174" s="901"/>
      <c r="I174" s="902"/>
      <c r="J174" s="459"/>
      <c r="K174" s="463"/>
      <c r="L174" s="44"/>
      <c r="M174" s="45"/>
      <c r="N174" s="459"/>
      <c r="O174" s="5"/>
      <c r="P174" s="5"/>
      <c r="Q174" s="463"/>
      <c r="R174" s="459"/>
      <c r="S174" s="5"/>
      <c r="T174" s="459"/>
      <c r="U174" s="463"/>
    </row>
    <row r="175" spans="1:21" ht="15.75" customHeight="1" x14ac:dyDescent="0.8">
      <c r="A175" s="46">
        <f>IF(+All!$F25="Virginia Tech",+All!A25,IF(+All!$H25="Virginia Tech",+All!A25,0))</f>
        <v>1</v>
      </c>
      <c r="B175" s="348" t="str">
        <f>IF(+All!$F25="Virginia Tech",+All!B25,IF(+All!$H25="Virginia Tech",+All!B25,0))</f>
        <v>Fri</v>
      </c>
      <c r="C175" s="72">
        <f>IF(+All!$F25="Virginia Tech",+All!C25,IF(+All!$H25="Virginia Tech",+All!C25,0))</f>
        <v>44806</v>
      </c>
      <c r="D175" s="73">
        <f>IF(+All!$F25="Virginia Tech",+All!D25,IF(+All!$H25="Virginia Tech",+All!D25,0))</f>
        <v>0.79166666666666663</v>
      </c>
      <c r="E175" s="461" t="str">
        <f>IF(+All!$F25="Virginia Tech",+All!E25,IF(+All!$H25="Virginia Tech",+All!E25,0))</f>
        <v>ESPNU</v>
      </c>
      <c r="F175" s="460" t="str">
        <f>IF(+All!$F25="Virginia Tech",+All!F25,IF(+All!$H25="Virginia Tech",+All!F25,0))</f>
        <v>Virginia Tech</v>
      </c>
      <c r="G175" s="461" t="str">
        <f>IF(+All!$F25="Virginia Tech",+All!G25,IF(+All!$H25="Virginia Tech",+All!G25,0))</f>
        <v>ACC</v>
      </c>
      <c r="H175" s="460" t="str">
        <f>IF(+All!$F25="Virginia Tech",+All!H25,IF(+All!$H25="Virginia Tech",+All!H25,0))</f>
        <v>Old Dominion</v>
      </c>
      <c r="I175" s="461" t="str">
        <f>IF(+All!$F25="Virginia Tech",+All!I25,IF(+All!$H25="Virginia Tech",+All!I25,0))</f>
        <v>SB</v>
      </c>
      <c r="J175" s="460" t="str">
        <f>IF(+All!$F25="Virginia Tech",+All!J25,IF(+All!$H25="Virginia Tech",+All!J25,0))</f>
        <v>Virginia Tech</v>
      </c>
      <c r="K175" s="461" t="str">
        <f>IF(+All!$F25="Virginia Tech",+All!K25,IF(+All!$H25="Virginia Tech",+All!K25,0))</f>
        <v>Old Dominion</v>
      </c>
      <c r="L175" s="60">
        <f>IF(+All!$F25="Virginia Tech",+All!L25,IF(+All!$H25="Virginia Tech",+All!L25,0))</f>
        <v>7.5</v>
      </c>
      <c r="M175" s="61">
        <f>IF(+All!$F25="Virginia Tech",+All!M25,IF(+All!$H25="Virginia Tech",+All!M25,0))</f>
        <v>49</v>
      </c>
      <c r="N175" s="460" t="str">
        <f>IF(+All!$F25="Virginia Tech",+All!N25,IF(+All!$H25="Virginia Tech",+All!N25,0))</f>
        <v>Old Dominion</v>
      </c>
      <c r="O175" s="462">
        <f>IF(+All!$F25="Virginia Tech",+All!O25,IF(+All!$H25="Virginia Tech",+All!O25,0))</f>
        <v>20</v>
      </c>
      <c r="P175" s="462" t="str">
        <f>IF(+All!$F25="Virginia Tech",+All!P25,IF(+All!$H25="Virginia Tech",+All!P25,0))</f>
        <v>Virginia Tech</v>
      </c>
      <c r="Q175" s="461">
        <f>IF(+All!$F25="Virginia Tech",+All!Q25,IF(+All!$H25="Virginia Tech",+All!Q25,0))</f>
        <v>17</v>
      </c>
      <c r="R175" s="460" t="str">
        <f>IF(+All!$F25="Virginia Tech",+All!R25,IF(+All!$H25="Virginia Tech",+All!R25,0))</f>
        <v>Old Dominion</v>
      </c>
      <c r="S175" s="462" t="str">
        <f>IF(+All!$F25="Virginia Tech",+All!S25,IF(+All!$H25="Virginia Tech",+All!S25,0))</f>
        <v>Virginia Tech</v>
      </c>
      <c r="T175" s="460" t="str">
        <f>IF(+All!$F25="Virginia Tech",+All!T25,IF(+All!$H25="Virginia Tech",+All!T25,0))</f>
        <v>Virginia Tech</v>
      </c>
      <c r="U175" s="461" t="str">
        <f>IF(+All!$F25="Virginia Tech",+All!U25,IF(+All!$H25="Virginia Tech",+All!U25,0))</f>
        <v>L</v>
      </c>
    </row>
    <row r="176" spans="1:21" ht="15.75" customHeight="1" x14ac:dyDescent="0.8">
      <c r="A176" s="46">
        <f>IF(+All!$F113="Virginia Tech",+All!A113,IF(+All!$H113="Virginia Tech",+All!A113,0))</f>
        <v>2</v>
      </c>
      <c r="B176" s="348" t="str">
        <f>IF(+All!$F113="Virginia Tech",+All!B113,IF(+All!$H113="Virginia Tech",+All!B113,0))</f>
        <v>Sat</v>
      </c>
      <c r="C176" s="72">
        <f>IF(+All!$F113="Virginia Tech",+All!C113,IF(+All!$H113="Virginia Tech",+All!C113,0))</f>
        <v>44814</v>
      </c>
      <c r="D176" s="73">
        <f>IF(+All!$F113="Virginia Tech",+All!D113,IF(+All!$H113="Virginia Tech",+All!D113,0))</f>
        <v>0.83333333333333337</v>
      </c>
      <c r="E176" s="461" t="str">
        <f>IF(+All!$F113="Virginia Tech",+All!E113,IF(+All!$H113="Virginia Tech",+All!E113,0))</f>
        <v>ACC</v>
      </c>
      <c r="F176" s="460" t="str">
        <f>IF(+All!$F113="Virginia Tech",+All!F113,IF(+All!$H113="Virginia Tech",+All!F113,0))</f>
        <v>Boston College</v>
      </c>
      <c r="G176" s="461" t="str">
        <f>IF(+All!$F113="Virginia Tech",+All!G113,IF(+All!$H113="Virginia Tech",+All!G113,0))</f>
        <v>ACC</v>
      </c>
      <c r="H176" s="460" t="str">
        <f>IF(+All!$F113="Virginia Tech",+All!H113,IF(+All!$H113="Virginia Tech",+All!H113,0))</f>
        <v>Virginia Tech</v>
      </c>
      <c r="I176" s="461" t="str">
        <f>IF(+All!$F113="Virginia Tech",+All!I113,IF(+All!$H113="Virginia Tech",+All!I113,0))</f>
        <v>ACC</v>
      </c>
      <c r="J176" s="460" t="str">
        <f>IF(+All!$F113="Virginia Tech",+All!J113,IF(+All!$H113="Virginia Tech",+All!J113,0))</f>
        <v>Virginia Tech</v>
      </c>
      <c r="K176" s="461" t="str">
        <f>IF(+All!$F113="Virginia Tech",+All!K113,IF(+All!$H113="Virginia Tech",+All!K113,0))</f>
        <v>Boston College</v>
      </c>
      <c r="L176" s="60">
        <f>IF(+All!$F113="Virginia Tech",+All!L113,IF(+All!$H113="Virginia Tech",+All!L113,0))</f>
        <v>3</v>
      </c>
      <c r="M176" s="61">
        <f>IF(+All!$F113="Virginia Tech",+All!M113,IF(+All!$H113="Virginia Tech",+All!M113,0))</f>
        <v>46</v>
      </c>
      <c r="N176" s="460" t="str">
        <f>IF(+All!$F113="Virginia Tech",+All!N113,IF(+All!$H113="Virginia Tech",+All!N113,0))</f>
        <v>Virginia Tech</v>
      </c>
      <c r="O176" s="462">
        <f>IF(+All!$F113="Virginia Tech",+All!O113,IF(+All!$H113="Virginia Tech",+All!O113,0))</f>
        <v>27</v>
      </c>
      <c r="P176" s="462" t="str">
        <f>IF(+All!$F113="Virginia Tech",+All!P113,IF(+All!$H113="Virginia Tech",+All!P113,0))</f>
        <v>Boston College</v>
      </c>
      <c r="Q176" s="461">
        <f>IF(+All!$F113="Virginia Tech",+All!Q113,IF(+All!$H113="Virginia Tech",+All!Q113,0))</f>
        <v>10</v>
      </c>
      <c r="R176" s="460" t="str">
        <f>IF(+All!$F113="Virginia Tech",+All!R113,IF(+All!$H113="Virginia Tech",+All!R113,0))</f>
        <v>Virginia Tech</v>
      </c>
      <c r="S176" s="462" t="str">
        <f>IF(+All!$F113="Virginia Tech",+All!S113,IF(+All!$H113="Virginia Tech",+All!S113,0))</f>
        <v>Boston College</v>
      </c>
      <c r="T176" s="460" t="str">
        <f>IF(+All!$F113="Virginia Tech",+All!T113,IF(+All!$H113="Virginia Tech",+All!T113,0))</f>
        <v>Virginia Tech</v>
      </c>
      <c r="U176" s="461" t="str">
        <f>IF(+All!$F113="Virginia Tech",+All!U113,IF(+All!$H113="Virginia Tech",+All!U113,0))</f>
        <v>W</v>
      </c>
    </row>
    <row r="177" spans="1:21" ht="15.75" customHeight="1" x14ac:dyDescent="0.8">
      <c r="A177" s="46">
        <f>IF(+All!$F195="Virginia Tech",+All!A195,IF(+All!$H195="Virginia Tech",+All!A195,0))</f>
        <v>3</v>
      </c>
      <c r="B177" s="348" t="str">
        <f>IF(+All!$F195="Virginia Tech",+All!B195,IF(+All!$H195="Virginia Tech",+All!B195,0))</f>
        <v>Sat</v>
      </c>
      <c r="C177" s="72">
        <f>IF(+All!$F195="Virginia Tech",+All!C195,IF(+All!$H195="Virginia Tech",+All!C195,0))</f>
        <v>44821</v>
      </c>
      <c r="D177" s="73">
        <f>IF(+All!$F195="Virginia Tech",+All!D195,IF(+All!$H195="Virginia Tech",+All!D195,0))</f>
        <v>0.45833333333333331</v>
      </c>
      <c r="E177" s="461" t="str">
        <f>IF(+All!$F195="Virginia Tech",+All!E195,IF(+All!$H195="Virginia Tech",+All!E195,0))</f>
        <v>ACC</v>
      </c>
      <c r="F177" s="460" t="str">
        <f>IF(+All!$F195="Virginia Tech",+All!F195,IF(+All!$H195="Virginia Tech",+All!F195,0))</f>
        <v>1AA Wofford</v>
      </c>
      <c r="G177" s="461" t="str">
        <f>IF(+All!$F195="Virginia Tech",+All!G195,IF(+All!$H195="Virginia Tech",+All!G195,0))</f>
        <v>1AA</v>
      </c>
      <c r="H177" s="460" t="str">
        <f>IF(+All!$F195="Virginia Tech",+All!H195,IF(+All!$H195="Virginia Tech",+All!H195,0))</f>
        <v>Virginia Tech</v>
      </c>
      <c r="I177" s="461" t="str">
        <f>IF(+All!$F195="Virginia Tech",+All!I195,IF(+All!$H195="Virginia Tech",+All!I195,0))</f>
        <v>ACC</v>
      </c>
      <c r="J177" s="460">
        <f>IF(+All!$F195="Virginia Tech",+All!J195,IF(+All!$H195="Virginia Tech",+All!J195,0))</f>
        <v>0</v>
      </c>
      <c r="K177" s="461">
        <f>IF(+All!$F195="Virginia Tech",+All!K195,IF(+All!$H195="Virginia Tech",+All!K195,0))</f>
        <v>0</v>
      </c>
      <c r="L177" s="60">
        <f>IF(+All!$F195="Virginia Tech",+All!L195,IF(+All!$H195="Virginia Tech",+All!L195,0))</f>
        <v>0</v>
      </c>
      <c r="M177" s="61">
        <f>IF(+All!$F195="Virginia Tech",+All!M195,IF(+All!$H195="Virginia Tech",+All!M195,0))</f>
        <v>0</v>
      </c>
      <c r="N177" s="460" t="str">
        <f>IF(+All!$F195="Virginia Tech",+All!N195,IF(+All!$H195="Virginia Tech",+All!N195,0))</f>
        <v>Virginia Tech</v>
      </c>
      <c r="O177" s="462">
        <f>IF(+All!$F195="Virginia Tech",+All!O195,IF(+All!$H195="Virginia Tech",+All!O195,0))</f>
        <v>27</v>
      </c>
      <c r="P177" s="462" t="str">
        <f>IF(+All!$F195="Virginia Tech",+All!P195,IF(+All!$H195="Virginia Tech",+All!P195,0))</f>
        <v>1AA Wofford</v>
      </c>
      <c r="Q177" s="461">
        <f>IF(+All!$F195="Virginia Tech",+All!Q195,IF(+All!$H195="Virginia Tech",+All!Q195,0))</f>
        <v>7</v>
      </c>
      <c r="R177" s="460">
        <f>IF(+All!$F195="Virginia Tech",+All!R195,IF(+All!$H195="Virginia Tech",+All!R195,0))</f>
        <v>0</v>
      </c>
      <c r="S177" s="462">
        <f>IF(+All!$F195="Virginia Tech",+All!S195,IF(+All!$H195="Virginia Tech",+All!S195,0))</f>
        <v>0</v>
      </c>
      <c r="T177" s="460">
        <f>IF(+All!$F195="Virginia Tech",+All!T195,IF(+All!$H195="Virginia Tech",+All!T195,0))</f>
        <v>0</v>
      </c>
      <c r="U177" s="461">
        <f>IF(+All!$F195="Virginia Tech",+All!U195,IF(+All!$H195="Virginia Tech",+All!U195,0))</f>
        <v>0</v>
      </c>
    </row>
    <row r="178" spans="1:21" ht="15.75" customHeight="1" x14ac:dyDescent="0.8">
      <c r="A178" s="46">
        <f>IF(+All!$F252="Virginia Tech",+All!A252,IF(+All!$H252="Virginia Tech",+All!A252,0))</f>
        <v>4</v>
      </c>
      <c r="B178" s="348" t="str">
        <f>IF(+All!$F252="Virginia Tech",+All!B252,IF(+All!$H252="Virginia Tech",+All!B252,0))</f>
        <v>Thurs</v>
      </c>
      <c r="C178" s="72">
        <f>IF(+All!$F252="Virginia Tech",+All!C252,IF(+All!$H252="Virginia Tech",+All!C252,0))</f>
        <v>44826</v>
      </c>
      <c r="D178" s="73">
        <f>IF(+All!$F252="Virginia Tech",+All!D252,IF(+All!$H252="Virginia Tech",+All!D252,0))</f>
        <v>0.8125</v>
      </c>
      <c r="E178" s="461" t="str">
        <f>IF(+All!$F252="Virginia Tech",+All!E252,IF(+All!$H252="Virginia Tech",+All!E252,0))</f>
        <v>ESPN</v>
      </c>
      <c r="F178" s="460" t="str">
        <f>IF(+All!$F252="Virginia Tech",+All!F252,IF(+All!$H252="Virginia Tech",+All!F252,0))</f>
        <v>West Virginia</v>
      </c>
      <c r="G178" s="461" t="str">
        <f>IF(+All!$F252="Virginia Tech",+All!G252,IF(+All!$H252="Virginia Tech",+All!G252,0))</f>
        <v>B12</v>
      </c>
      <c r="H178" s="460" t="str">
        <f>IF(+All!$F252="Virginia Tech",+All!H252,IF(+All!$H252="Virginia Tech",+All!H252,0))</f>
        <v>Virginia Tech</v>
      </c>
      <c r="I178" s="461" t="str">
        <f>IF(+All!$F252="Virginia Tech",+All!I252,IF(+All!$H252="Virginia Tech",+All!I252,0))</f>
        <v>ACC</v>
      </c>
      <c r="J178" s="460" t="str">
        <f>IF(+All!$F252="Virginia Tech",+All!J252,IF(+All!$H252="Virginia Tech",+All!J252,0))</f>
        <v>West Virginia</v>
      </c>
      <c r="K178" s="461" t="str">
        <f>IF(+All!$F252="Virginia Tech",+All!K252,IF(+All!$H252="Virginia Tech",+All!K252,0))</f>
        <v>Virginia Tech</v>
      </c>
      <c r="L178" s="60">
        <f>IF(+All!$F252="Virginia Tech",+All!L252,IF(+All!$H252="Virginia Tech",+All!L252,0))</f>
        <v>1.5</v>
      </c>
      <c r="M178" s="61">
        <f>IF(+All!$F252="Virginia Tech",+All!M252,IF(+All!$H252="Virginia Tech",+All!M252,0))</f>
        <v>50.5</v>
      </c>
      <c r="N178" s="460" t="str">
        <f>IF(+All!$F252="Virginia Tech",+All!N252,IF(+All!$H252="Virginia Tech",+All!N252,0))</f>
        <v>West Virginia</v>
      </c>
      <c r="O178" s="462">
        <f>IF(+All!$F252="Virginia Tech",+All!O252,IF(+All!$H252="Virginia Tech",+All!O252,0))</f>
        <v>33</v>
      </c>
      <c r="P178" s="462" t="str">
        <f>IF(+All!$F252="Virginia Tech",+All!P252,IF(+All!$H252="Virginia Tech",+All!P252,0))</f>
        <v>Virginia Tech</v>
      </c>
      <c r="Q178" s="461">
        <f>IF(+All!$F252="Virginia Tech",+All!Q252,IF(+All!$H252="Virginia Tech",+All!Q252,0))</f>
        <v>10</v>
      </c>
      <c r="R178" s="460" t="str">
        <f>IF(+All!$F252="Virginia Tech",+All!R252,IF(+All!$H252="Virginia Tech",+All!R252,0))</f>
        <v>West Virginia</v>
      </c>
      <c r="S178" s="462" t="str">
        <f>IF(+All!$F252="Virginia Tech",+All!S252,IF(+All!$H252="Virginia Tech",+All!S252,0))</f>
        <v>Virginia Tech</v>
      </c>
      <c r="T178" s="460" t="str">
        <f>IF(+All!$F252="Virginia Tech",+All!T252,IF(+All!$H252="Virginia Tech",+All!T252,0))</f>
        <v>West Virginia</v>
      </c>
      <c r="U178" s="461" t="str">
        <f>IF(+All!$F252="Virginia Tech",+All!U252,IF(+All!$H252="Virginia Tech",+All!U252,0))</f>
        <v>W</v>
      </c>
    </row>
    <row r="179" spans="1:21" ht="15.75" customHeight="1" x14ac:dyDescent="0.8">
      <c r="A179" s="46">
        <f>IF(+All!$F332="Virginia Tech",+All!A332,IF(+All!$H332="Virginia Tech",+All!A332,0))</f>
        <v>5</v>
      </c>
      <c r="B179" s="348" t="str">
        <f>IF(+All!$F332="Virginia Tech",+All!B332,IF(+All!$H332="Virginia Tech",+All!B332,0))</f>
        <v>Sat</v>
      </c>
      <c r="C179" s="72">
        <f>IF(+All!$F332="Virginia Tech",+All!C332,IF(+All!$H332="Virginia Tech",+All!C332,0))</f>
        <v>44835</v>
      </c>
      <c r="D179" s="73">
        <f>IF(+All!$F332="Virginia Tech",+All!D332,IF(+All!$H332="Virginia Tech",+All!D332,0))</f>
        <v>0.64583333333333337</v>
      </c>
      <c r="E179" s="461" t="str">
        <f>IF(+All!$F332="Virginia Tech",+All!E332,IF(+All!$H332="Virginia Tech",+All!E332,0))</f>
        <v>ABC</v>
      </c>
      <c r="F179" s="460" t="str">
        <f>IF(+All!$F332="Virginia Tech",+All!F332,IF(+All!$H332="Virginia Tech",+All!F332,0))</f>
        <v>Virginia Tech</v>
      </c>
      <c r="G179" s="461" t="str">
        <f>IF(+All!$F332="Virginia Tech",+All!G332,IF(+All!$H332="Virginia Tech",+All!G332,0))</f>
        <v>ACC</v>
      </c>
      <c r="H179" s="460" t="str">
        <f>IF(+All!$F332="Virginia Tech",+All!H332,IF(+All!$H332="Virginia Tech",+All!H332,0))</f>
        <v>North Carolina</v>
      </c>
      <c r="I179" s="461" t="str">
        <f>IF(+All!$F332="Virginia Tech",+All!I332,IF(+All!$H332="Virginia Tech",+All!I332,0))</f>
        <v>ACC</v>
      </c>
      <c r="J179" s="460" t="str">
        <f>IF(+All!$F332="Virginia Tech",+All!J332,IF(+All!$H332="Virginia Tech",+All!J332,0))</f>
        <v>North Carolina</v>
      </c>
      <c r="K179" s="461" t="str">
        <f>IF(+All!$F332="Virginia Tech",+All!K332,IF(+All!$H332="Virginia Tech",+All!K332,0))</f>
        <v>Virginia Tech</v>
      </c>
      <c r="L179" s="60">
        <f>IF(+All!$F332="Virginia Tech",+All!L332,IF(+All!$H332="Virginia Tech",+All!L332,0))</f>
        <v>9</v>
      </c>
      <c r="M179" s="61">
        <f>IF(+All!$F332="Virginia Tech",+All!M332,IF(+All!$H332="Virginia Tech",+All!M332,0))</f>
        <v>51.5</v>
      </c>
      <c r="N179" s="460" t="str">
        <f>IF(+All!$F332="Virginia Tech",+All!N332,IF(+All!$H332="Virginia Tech",+All!N332,0))</f>
        <v>North Carolina</v>
      </c>
      <c r="O179" s="462">
        <f>IF(+All!$F332="Virginia Tech",+All!O332,IF(+All!$H332="Virginia Tech",+All!O332,0))</f>
        <v>41</v>
      </c>
      <c r="P179" s="462" t="str">
        <f>IF(+All!$F332="Virginia Tech",+All!P332,IF(+All!$H332="Virginia Tech",+All!P332,0))</f>
        <v>Virginia Tech</v>
      </c>
      <c r="Q179" s="461">
        <f>IF(+All!$F332="Virginia Tech",+All!Q332,IF(+All!$H332="Virginia Tech",+All!Q332,0))</f>
        <v>10</v>
      </c>
      <c r="R179" s="460" t="str">
        <f>IF(+All!$F332="Virginia Tech",+All!R332,IF(+All!$H332="Virginia Tech",+All!R332,0))</f>
        <v>North Carolina</v>
      </c>
      <c r="S179" s="462" t="str">
        <f>IF(+All!$F332="Virginia Tech",+All!S332,IF(+All!$H332="Virginia Tech",+All!S332,0))</f>
        <v>Virginia Tech</v>
      </c>
      <c r="T179" s="460" t="str">
        <f>IF(+All!$F332="Virginia Tech",+All!T332,IF(+All!$H332="Virginia Tech",+All!T332,0))</f>
        <v>North Carolina</v>
      </c>
      <c r="U179" s="461" t="str">
        <f>IF(+All!$F332="Virginia Tech",+All!U332,IF(+All!$H332="Virginia Tech",+All!U332,0))</f>
        <v>W</v>
      </c>
    </row>
    <row r="180" spans="1:21" ht="15.75" customHeight="1" x14ac:dyDescent="0.8">
      <c r="A180" s="46">
        <f>IF(+All!$F393="Virginia Tech",+All!A393,IF(+All!$H393="Virginia Tech",+All!A393,0))</f>
        <v>6</v>
      </c>
      <c r="B180" s="348" t="str">
        <f>IF(+All!$F393="Virginia Tech",+All!B393,IF(+All!$H393="Virginia Tech",+All!B393,0))</f>
        <v>Sat</v>
      </c>
      <c r="C180" s="72">
        <f>IF(+All!$F393="Virginia Tech",+All!C393,IF(+All!$H393="Virginia Tech",+All!C393,0))</f>
        <v>44842</v>
      </c>
      <c r="D180" s="73">
        <f>IF(+All!$F393="Virginia Tech",+All!D393,IF(+All!$H393="Virginia Tech",+All!D393,0))</f>
        <v>0.64583333333333337</v>
      </c>
      <c r="E180" s="461" t="str">
        <f>IF(+All!$F393="Virginia Tech",+All!E393,IF(+All!$H393="Virginia Tech",+All!E393,0))</f>
        <v>ACC</v>
      </c>
      <c r="F180" s="460" t="str">
        <f>IF(+All!$F393="Virginia Tech",+All!F393,IF(+All!$H393="Virginia Tech",+All!F393,0))</f>
        <v>Virginia Tech</v>
      </c>
      <c r="G180" s="461" t="str">
        <f>IF(+All!$F393="Virginia Tech",+All!G393,IF(+All!$H393="Virginia Tech",+All!G393,0))</f>
        <v>ACC</v>
      </c>
      <c r="H180" s="460" t="str">
        <f>IF(+All!$F393="Virginia Tech",+All!H393,IF(+All!$H393="Virginia Tech",+All!H393,0))</f>
        <v>Pittsburgh</v>
      </c>
      <c r="I180" s="461" t="str">
        <f>IF(+All!$F393="Virginia Tech",+All!I393,IF(+All!$H393="Virginia Tech",+All!I393,0))</f>
        <v>ACC</v>
      </c>
      <c r="J180" s="460" t="str">
        <f>IF(+All!$F393="Virginia Tech",+All!J393,IF(+All!$H393="Virginia Tech",+All!J393,0))</f>
        <v>Pittsburgh</v>
      </c>
      <c r="K180" s="461" t="str">
        <f>IF(+All!$F393="Virginia Tech",+All!K393,IF(+All!$H393="Virginia Tech",+All!K393,0))</f>
        <v>Virginia Tech</v>
      </c>
      <c r="L180" s="60">
        <f>IF(+All!$F393="Virginia Tech",+All!L393,IF(+All!$H393="Virginia Tech",+All!L393,0))</f>
        <v>14.5</v>
      </c>
      <c r="M180" s="61">
        <f>IF(+All!$F393="Virginia Tech",+All!M393,IF(+All!$H393="Virginia Tech",+All!M393,0))</f>
        <v>41.5</v>
      </c>
      <c r="N180" s="460" t="str">
        <f>IF(+All!$F393="Virginia Tech",+All!N393,IF(+All!$H393="Virginia Tech",+All!N393,0))</f>
        <v>Pittsburgh</v>
      </c>
      <c r="O180" s="462">
        <f>IF(+All!$F393="Virginia Tech",+All!O393,IF(+All!$H393="Virginia Tech",+All!O393,0))</f>
        <v>45</v>
      </c>
      <c r="P180" s="462" t="str">
        <f>IF(+All!$F393="Virginia Tech",+All!P393,IF(+All!$H393="Virginia Tech",+All!P393,0))</f>
        <v>Virginia Tech</v>
      </c>
      <c r="Q180" s="461">
        <f>IF(+All!$F393="Virginia Tech",+All!Q393,IF(+All!$H393="Virginia Tech",+All!Q393,0))</f>
        <v>29</v>
      </c>
      <c r="R180" s="460" t="str">
        <f>IF(+All!$F393="Virginia Tech",+All!R393,IF(+All!$H393="Virginia Tech",+All!R393,0))</f>
        <v>Pittsburgh</v>
      </c>
      <c r="S180" s="462" t="str">
        <f>IF(+All!$F393="Virginia Tech",+All!S393,IF(+All!$H393="Virginia Tech",+All!S393,0))</f>
        <v>Virginia Tech</v>
      </c>
      <c r="T180" s="460" t="str">
        <f>IF(+All!$F393="Virginia Tech",+All!T393,IF(+All!$H393="Virginia Tech",+All!T393,0))</f>
        <v>Pittsburgh</v>
      </c>
      <c r="U180" s="461" t="str">
        <f>IF(+All!$F393="Virginia Tech",+All!U393,IF(+All!$H393="Virginia Tech",+All!U393,0))</f>
        <v>W</v>
      </c>
    </row>
    <row r="181" spans="1:21" ht="15.75" customHeight="1" x14ac:dyDescent="0.8">
      <c r="A181" s="46">
        <f>IF(+All!$F448="Virginia Tech",+All!A448,IF(+All!$H448="Virginia Tech",+All!A448,0))</f>
        <v>7</v>
      </c>
      <c r="B181" s="348" t="str">
        <f>IF(+All!$F448="Virginia Tech",+All!B448,IF(+All!$H448="Virginia Tech",+All!B448,0))</f>
        <v>Sat</v>
      </c>
      <c r="C181" s="72">
        <f>IF(+All!$F448="Virginia Tech",+All!C448,IF(+All!$H448="Virginia Tech",+All!C448,0))</f>
        <v>44849</v>
      </c>
      <c r="D181" s="73">
        <f>IF(+All!$F448="Virginia Tech",+All!D448,IF(+All!$H448="Virginia Tech",+All!D448,0))</f>
        <v>0.52083333333333337</v>
      </c>
      <c r="E181" s="461" t="str">
        <f>IF(+All!$F448="Virginia Tech",+All!E448,IF(+All!$H448="Virginia Tech",+All!E448,0))</f>
        <v>espn3</v>
      </c>
      <c r="F181" s="460" t="str">
        <f>IF(+All!$F448="Virginia Tech",+All!F448,IF(+All!$H448="Virginia Tech",+All!F448,0))</f>
        <v>Miami (FL)</v>
      </c>
      <c r="G181" s="461" t="str">
        <f>IF(+All!$F448="Virginia Tech",+All!G448,IF(+All!$H448="Virginia Tech",+All!G448,0))</f>
        <v>ACC</v>
      </c>
      <c r="H181" s="460" t="str">
        <f>IF(+All!$F448="Virginia Tech",+All!H448,IF(+All!$H448="Virginia Tech",+All!H448,0))</f>
        <v>Virginia Tech</v>
      </c>
      <c r="I181" s="461" t="str">
        <f>IF(+All!$F448="Virginia Tech",+All!I448,IF(+All!$H448="Virginia Tech",+All!I448,0))</f>
        <v>ACC</v>
      </c>
      <c r="J181" s="460" t="str">
        <f>IF(+All!$F448="Virginia Tech",+All!J448,IF(+All!$H448="Virginia Tech",+All!J448,0))</f>
        <v>Miami (FL)</v>
      </c>
      <c r="K181" s="461" t="str">
        <f>IF(+All!$F448="Virginia Tech",+All!K448,IF(+All!$H448="Virginia Tech",+All!K448,0))</f>
        <v>Virginia Tech</v>
      </c>
      <c r="L181" s="60">
        <f>IF(+All!$F448="Virginia Tech",+All!L448,IF(+All!$H448="Virginia Tech",+All!L448,0))</f>
        <v>7</v>
      </c>
      <c r="M181" s="61">
        <f>IF(+All!$F448="Virginia Tech",+All!M448,IF(+All!$H448="Virginia Tech",+All!M448,0))</f>
        <v>46.5</v>
      </c>
      <c r="N181" s="460" t="str">
        <f>IF(+All!$F448="Virginia Tech",+All!N448,IF(+All!$H448="Virginia Tech",+All!N448,0))</f>
        <v>Miami (FL)</v>
      </c>
      <c r="O181" s="462">
        <f>IF(+All!$F448="Virginia Tech",+All!O448,IF(+All!$H448="Virginia Tech",+All!O448,0))</f>
        <v>20</v>
      </c>
      <c r="P181" s="462" t="str">
        <f>IF(+All!$F448="Virginia Tech",+All!P448,IF(+All!$H448="Virginia Tech",+All!P448,0))</f>
        <v>Virginia Tech</v>
      </c>
      <c r="Q181" s="461">
        <f>IF(+All!$F448="Virginia Tech",+All!Q448,IF(+All!$H448="Virginia Tech",+All!Q448,0))</f>
        <v>14</v>
      </c>
      <c r="R181" s="460" t="str">
        <f>IF(+All!$F448="Virginia Tech",+All!R448,IF(+All!$H448="Virginia Tech",+All!R448,0))</f>
        <v>Virginia Tech</v>
      </c>
      <c r="S181" s="462" t="str">
        <f>IF(+All!$F448="Virginia Tech",+All!S448,IF(+All!$H448="Virginia Tech",+All!S448,0))</f>
        <v>Miami (FL)</v>
      </c>
      <c r="T181" s="460" t="str">
        <f>IF(+All!$F448="Virginia Tech",+All!T448,IF(+All!$H448="Virginia Tech",+All!T448,0))</f>
        <v>Miami (FL)</v>
      </c>
      <c r="U181" s="461" t="str">
        <f>IF(+All!$F448="Virginia Tech",+All!U448,IF(+All!$H448="Virginia Tech",+All!U448,0))</f>
        <v>L</v>
      </c>
    </row>
    <row r="182" spans="1:21" ht="15.75" customHeight="1" x14ac:dyDescent="0.8">
      <c r="A182" s="46" t="e">
        <f>IF(+All!#REF!="Virginia Tech",+All!#REF!,IF(+All!#REF!="Virginia Tech",+All!#REF!,0))</f>
        <v>#REF!</v>
      </c>
      <c r="B182" s="348" t="e">
        <f>IF(+All!#REF!="Virginia Tech",+All!#REF!,IF(+All!#REF!="Virginia Tech",+All!#REF!,0))</f>
        <v>#REF!</v>
      </c>
      <c r="C182" s="72" t="e">
        <f>IF(+All!#REF!="Virginia Tech",+All!#REF!,IF(+All!#REF!="Virginia Tech",+All!#REF!,0))</f>
        <v>#REF!</v>
      </c>
      <c r="D182" s="73" t="e">
        <f>IF(+All!#REF!="Virginia Tech",+All!#REF!,IF(+All!#REF!="Virginia Tech",+All!#REF!,0))</f>
        <v>#REF!</v>
      </c>
      <c r="E182" s="461" t="e">
        <f>IF(+All!#REF!="Virginia Tech",+All!#REF!,IF(+All!#REF!="Virginia Tech",+All!#REF!,0))</f>
        <v>#REF!</v>
      </c>
      <c r="F182" s="460" t="e">
        <f>IF(+All!#REF!="Virginia Tech",+All!#REF!,IF(+All!#REF!="Virginia Tech",+All!#REF!,0))</f>
        <v>#REF!</v>
      </c>
      <c r="G182" s="461" t="e">
        <f>IF(+All!#REF!="Virginia Tech",+All!#REF!,IF(+All!#REF!="Virginia Tech",+All!#REF!,0))</f>
        <v>#REF!</v>
      </c>
      <c r="H182" s="460" t="e">
        <f>IF(+All!#REF!="Virginia Tech",+All!#REF!,IF(+All!#REF!="Virginia Tech",+All!#REF!,0))</f>
        <v>#REF!</v>
      </c>
      <c r="I182" s="461" t="e">
        <f>IF(+All!#REF!="Virginia Tech",+All!#REF!,IF(+All!#REF!="Virginia Tech",+All!#REF!,0))</f>
        <v>#REF!</v>
      </c>
      <c r="J182" s="460" t="e">
        <f>IF(+All!#REF!="Virginia Tech",+All!#REF!,IF(+All!#REF!="Virginia Tech",+All!#REF!,0))</f>
        <v>#REF!</v>
      </c>
      <c r="K182" s="461" t="e">
        <f>IF(+All!#REF!="Virginia Tech",+All!#REF!,IF(+All!#REF!="Virginia Tech",+All!#REF!,0))</f>
        <v>#REF!</v>
      </c>
      <c r="L182" s="60" t="e">
        <f>IF(+All!#REF!="Virginia Tech",+All!#REF!,IF(+All!#REF!="Virginia Tech",+All!#REF!,0))</f>
        <v>#REF!</v>
      </c>
      <c r="M182" s="61" t="e">
        <f>IF(+All!#REF!="Virginia Tech",+All!#REF!,IF(+All!#REF!="Virginia Tech",+All!#REF!,0))</f>
        <v>#REF!</v>
      </c>
      <c r="N182" s="460" t="e">
        <f>IF(+All!#REF!="Virginia Tech",+All!#REF!,IF(+All!#REF!="Virginia Tech",+All!#REF!,0))</f>
        <v>#REF!</v>
      </c>
      <c r="O182" s="462" t="e">
        <f>IF(+All!#REF!="Virginia Tech",+All!#REF!,IF(+All!#REF!="Virginia Tech",+All!#REF!,0))</f>
        <v>#REF!</v>
      </c>
      <c r="P182" s="462" t="e">
        <f>IF(+All!#REF!="Virginia Tech",+All!#REF!,IF(+All!#REF!="Virginia Tech",+All!#REF!,0))</f>
        <v>#REF!</v>
      </c>
      <c r="Q182" s="461" t="e">
        <f>IF(+All!#REF!="Virginia Tech",+All!#REF!,IF(+All!#REF!="Virginia Tech",+All!#REF!,0))</f>
        <v>#REF!</v>
      </c>
      <c r="R182" s="460" t="e">
        <f>IF(+All!#REF!="Virginia Tech",+All!#REF!,IF(+All!#REF!="Virginia Tech",+All!#REF!,0))</f>
        <v>#REF!</v>
      </c>
      <c r="S182" s="462" t="e">
        <f>IF(+All!#REF!="Virginia Tech",+All!#REF!,IF(+All!#REF!="Virginia Tech",+All!#REF!,0))</f>
        <v>#REF!</v>
      </c>
      <c r="T182" s="460" t="e">
        <f>IF(+All!#REF!="Virginia Tech",+All!#REF!,IF(+All!#REF!="Virginia Tech",+All!#REF!,0))</f>
        <v>#REF!</v>
      </c>
      <c r="U182" s="461" t="e">
        <f>IF(+All!#REF!="Virginia Tech",+All!#REF!,IF(+All!#REF!="Virginia Tech",+All!#REF!,0))</f>
        <v>#REF!</v>
      </c>
    </row>
    <row r="183" spans="1:21" ht="15.75" customHeight="1" x14ac:dyDescent="0.8">
      <c r="A183" s="46">
        <f>IF(+All!$F545="Virginia Tech",+All!A545,IF(+All!$H545="Virginia Tech",+All!A545,0))</f>
        <v>9</v>
      </c>
      <c r="B183" s="348" t="str">
        <f>IF(+All!$F545="Virginia Tech",+All!B545,IF(+All!$H545="Virginia Tech",+All!B545,0))</f>
        <v>Thurs</v>
      </c>
      <c r="C183" s="72">
        <f>IF(+All!$F545="Virginia Tech",+All!C545,IF(+All!$H545="Virginia Tech",+All!C545,0))</f>
        <v>44861</v>
      </c>
      <c r="D183" s="73">
        <f>IF(+All!$F545="Virginia Tech",+All!D545,IF(+All!$H545="Virginia Tech",+All!D545,0))</f>
        <v>0.8125</v>
      </c>
      <c r="E183" s="461" t="str">
        <f>IF(+All!$F545="Virginia Tech",+All!E545,IF(+All!$H545="Virginia Tech",+All!E545,0))</f>
        <v>ESPN</v>
      </c>
      <c r="F183" s="460" t="str">
        <f>IF(+All!$F545="Virginia Tech",+All!F545,IF(+All!$H545="Virginia Tech",+All!F545,0))</f>
        <v>Virginia Tech</v>
      </c>
      <c r="G183" s="461" t="str">
        <f>IF(+All!$F545="Virginia Tech",+All!G545,IF(+All!$H545="Virginia Tech",+All!G545,0))</f>
        <v>ACC</v>
      </c>
      <c r="H183" s="460" t="str">
        <f>IF(+All!$F545="Virginia Tech",+All!H545,IF(+All!$H545="Virginia Tech",+All!H545,0))</f>
        <v>North Carolina St</v>
      </c>
      <c r="I183" s="461" t="str">
        <f>IF(+All!$F545="Virginia Tech",+All!I545,IF(+All!$H545="Virginia Tech",+All!I545,0))</f>
        <v>ACC</v>
      </c>
      <c r="J183" s="460" t="str">
        <f>IF(+All!$F545="Virginia Tech",+All!J545,IF(+All!$H545="Virginia Tech",+All!J545,0))</f>
        <v>North Carolina St</v>
      </c>
      <c r="K183" s="461" t="str">
        <f>IF(+All!$F545="Virginia Tech",+All!K545,IF(+All!$H545="Virginia Tech",+All!K545,0))</f>
        <v>Virginia Tech</v>
      </c>
      <c r="L183" s="60">
        <f>IF(+All!$F545="Virginia Tech",+All!L545,IF(+All!$H545="Virginia Tech",+All!L545,0))</f>
        <v>13.5</v>
      </c>
      <c r="M183" s="61">
        <f>IF(+All!$F545="Virginia Tech",+All!M545,IF(+All!$H545="Virginia Tech",+All!M545,0))</f>
        <v>40</v>
      </c>
      <c r="N183" s="460" t="str">
        <f>IF(+All!$F545="Virginia Tech",+All!N545,IF(+All!$H545="Virginia Tech",+All!N545,0))</f>
        <v>North Carolina St</v>
      </c>
      <c r="O183" s="462">
        <f>IF(+All!$F545="Virginia Tech",+All!O545,IF(+All!$H545="Virginia Tech",+All!O545,0))</f>
        <v>22</v>
      </c>
      <c r="P183" s="462" t="str">
        <f>IF(+All!$F545="Virginia Tech",+All!P545,IF(+All!$H545="Virginia Tech",+All!P545,0))</f>
        <v>Virginia Tech</v>
      </c>
      <c r="Q183" s="461">
        <f>IF(+All!$F545="Virginia Tech",+All!Q545,IF(+All!$H545="Virginia Tech",+All!Q545,0))</f>
        <v>21</v>
      </c>
      <c r="R183" s="460" t="str">
        <f>IF(+All!$F545="Virginia Tech",+All!R545,IF(+All!$H545="Virginia Tech",+All!R545,0))</f>
        <v>Virginia Tech</v>
      </c>
      <c r="S183" s="462" t="str">
        <f>IF(+All!$F545="Virginia Tech",+All!S545,IF(+All!$H545="Virginia Tech",+All!S545,0))</f>
        <v>North Carolina St</v>
      </c>
      <c r="T183" s="460" t="str">
        <f>IF(+All!$F545="Virginia Tech",+All!T545,IF(+All!$H545="Virginia Tech",+All!T545,0))</f>
        <v>North Carolina St</v>
      </c>
      <c r="U183" s="461" t="str">
        <f>IF(+All!$F545="Virginia Tech",+All!U545,IF(+All!$H545="Virginia Tech",+All!U545,0))</f>
        <v>L</v>
      </c>
    </row>
    <row r="184" spans="1:21" ht="15.75" customHeight="1" x14ac:dyDescent="0.8">
      <c r="A184" s="46">
        <f>IF(+All!$F612="Virginia Tech",+All!A612,IF(+All!$H612="Virginia Tech",+All!A612,0))</f>
        <v>10</v>
      </c>
      <c r="B184" s="348" t="str">
        <f>IF(+All!$F612="Virginia Tech",+All!B612,IF(+All!$H612="Virginia Tech",+All!B612,0))</f>
        <v>Sat</v>
      </c>
      <c r="C184" s="72">
        <f>IF(+All!$F612="Virginia Tech",+All!C612,IF(+All!$H612="Virginia Tech",+All!C612,0))</f>
        <v>44870</v>
      </c>
      <c r="D184" s="73">
        <f>IF(+All!$F612="Virginia Tech",+All!D612,IF(+All!$H612="Virginia Tech",+All!D612,0))</f>
        <v>0.5</v>
      </c>
      <c r="E184" s="461" t="str">
        <f>IF(+All!$F612="Virginia Tech",+All!E612,IF(+All!$H612="Virginia Tech",+All!E612,0))</f>
        <v>espn3</v>
      </c>
      <c r="F184" s="460" t="str">
        <f>IF(+All!$F612="Virginia Tech",+All!F612,IF(+All!$H612="Virginia Tech",+All!F612,0))</f>
        <v>Georgia Tech</v>
      </c>
      <c r="G184" s="461" t="str">
        <f>IF(+All!$F612="Virginia Tech",+All!G612,IF(+All!$H612="Virginia Tech",+All!G612,0))</f>
        <v>ACC</v>
      </c>
      <c r="H184" s="460" t="str">
        <f>IF(+All!$F612="Virginia Tech",+All!H612,IF(+All!$H612="Virginia Tech",+All!H612,0))</f>
        <v>Virginia Tech</v>
      </c>
      <c r="I184" s="461" t="str">
        <f>IF(+All!$F612="Virginia Tech",+All!I612,IF(+All!$H612="Virginia Tech",+All!I612,0))</f>
        <v>ACC</v>
      </c>
      <c r="J184" s="460" t="str">
        <f>IF(+All!$F612="Virginia Tech",+All!J612,IF(+All!$H612="Virginia Tech",+All!J612,0))</f>
        <v>Virginia Tech</v>
      </c>
      <c r="K184" s="461" t="str">
        <f>IF(+All!$F612="Virginia Tech",+All!K612,IF(+All!$H612="Virginia Tech",+All!K612,0))</f>
        <v>Georgia Tech</v>
      </c>
      <c r="L184" s="60">
        <f>IF(+All!$F612="Virginia Tech",+All!L612,IF(+All!$H612="Virginia Tech",+All!L612,0))</f>
        <v>3</v>
      </c>
      <c r="M184" s="61">
        <f>IF(+All!$F612="Virginia Tech",+All!M612,IF(+All!$H612="Virginia Tech",+All!M612,0))</f>
        <v>40.5</v>
      </c>
      <c r="N184" s="460" t="str">
        <f>IF(+All!$F612="Virginia Tech",+All!N612,IF(+All!$H612="Virginia Tech",+All!N612,0))</f>
        <v>Georgia Tech</v>
      </c>
      <c r="O184" s="462">
        <f>IF(+All!$F612="Virginia Tech",+All!O612,IF(+All!$H612="Virginia Tech",+All!O612,0))</f>
        <v>28</v>
      </c>
      <c r="P184" s="462" t="str">
        <f>IF(+All!$F612="Virginia Tech",+All!P612,IF(+All!$H612="Virginia Tech",+All!P612,0))</f>
        <v>Virginia Tech</v>
      </c>
      <c r="Q184" s="461">
        <f>IF(+All!$F612="Virginia Tech",+All!Q612,IF(+All!$H612="Virginia Tech",+All!Q612,0))</f>
        <v>27</v>
      </c>
      <c r="R184" s="460" t="str">
        <f>IF(+All!$F612="Virginia Tech",+All!R612,IF(+All!$H612="Virginia Tech",+All!R612,0))</f>
        <v>Georgia Tech</v>
      </c>
      <c r="S184" s="462" t="str">
        <f>IF(+All!$F612="Virginia Tech",+All!S612,IF(+All!$H612="Virginia Tech",+All!S612,0))</f>
        <v>Virginia Tech</v>
      </c>
      <c r="T184" s="460" t="str">
        <f>IF(+All!$F612="Virginia Tech",+All!T612,IF(+All!$H612="Virginia Tech",+All!T612,0))</f>
        <v>Virginia Tech</v>
      </c>
      <c r="U184" s="461" t="str">
        <f>IF(+All!$F612="Virginia Tech",+All!U612,IF(+All!$H612="Virginia Tech",+All!U612,0))</f>
        <v>L</v>
      </c>
    </row>
    <row r="185" spans="1:21" ht="15.75" customHeight="1" x14ac:dyDescent="0.8">
      <c r="A185" s="46">
        <f>IF(+All!$F669="Virginia Tech",+All!A669,IF(+All!$H669="Virginia Tech",+All!A669,0))</f>
        <v>11</v>
      </c>
      <c r="B185" s="348" t="str">
        <f>IF(+All!$F669="Virginia Tech",+All!B669,IF(+All!$H669="Virginia Tech",+All!B669,0))</f>
        <v>Sat</v>
      </c>
      <c r="C185" s="72">
        <f>IF(+All!$F669="Virginia Tech",+All!C669,IF(+All!$H669="Virginia Tech",+All!C669,0))</f>
        <v>44877</v>
      </c>
      <c r="D185" s="73">
        <f>IF(+All!$F669="Virginia Tech",+All!D669,IF(+All!$H669="Virginia Tech",+All!D669,0))</f>
        <v>0.5</v>
      </c>
      <c r="E185" s="461" t="str">
        <f>IF(+All!$F669="Virginia Tech",+All!E669,IF(+All!$H669="Virginia Tech",+All!E669,0))</f>
        <v>espn3</v>
      </c>
      <c r="F185" s="460" t="str">
        <f>IF(+All!$F669="Virginia Tech",+All!F669,IF(+All!$H669="Virginia Tech",+All!F669,0))</f>
        <v>Virginia Tech</v>
      </c>
      <c r="G185" s="461" t="str">
        <f>IF(+All!$F669="Virginia Tech",+All!G669,IF(+All!$H669="Virginia Tech",+All!G669,0))</f>
        <v>ACC</v>
      </c>
      <c r="H185" s="460" t="str">
        <f>IF(+All!$F669="Virginia Tech",+All!H669,IF(+All!$H669="Virginia Tech",+All!H669,0))</f>
        <v>Duke</v>
      </c>
      <c r="I185" s="461" t="str">
        <f>IF(+All!$F669="Virginia Tech",+All!I669,IF(+All!$H669="Virginia Tech",+All!I669,0))</f>
        <v>ACC</v>
      </c>
      <c r="J185" s="460" t="str">
        <f>IF(+All!$F669="Virginia Tech",+All!J669,IF(+All!$H669="Virginia Tech",+All!J669,0))</f>
        <v>Duke</v>
      </c>
      <c r="K185" s="461" t="str">
        <f>IF(+All!$F669="Virginia Tech",+All!K669,IF(+All!$H669="Virginia Tech",+All!K669,0))</f>
        <v>Virginia Tech</v>
      </c>
      <c r="L185" s="60">
        <f>IF(+All!$F669="Virginia Tech",+All!L669,IF(+All!$H669="Virginia Tech",+All!L669,0))</f>
        <v>9.5</v>
      </c>
      <c r="M185" s="61">
        <f>IF(+All!$F669="Virginia Tech",+All!M669,IF(+All!$H669="Virginia Tech",+All!M669,0))</f>
        <v>49.5</v>
      </c>
      <c r="N185" s="460" t="str">
        <f>IF(+All!$F669="Virginia Tech",+All!N669,IF(+All!$H669="Virginia Tech",+All!N669,0))</f>
        <v>Duke</v>
      </c>
      <c r="O185" s="462">
        <f>IF(+All!$F669="Virginia Tech",+All!O669,IF(+All!$H669="Virginia Tech",+All!O669,0))</f>
        <v>24</v>
      </c>
      <c r="P185" s="462" t="str">
        <f>IF(+All!$F669="Virginia Tech",+All!P669,IF(+All!$H669="Virginia Tech",+All!P669,0))</f>
        <v>Virginia Tech</v>
      </c>
      <c r="Q185" s="461">
        <f>IF(+All!$F669="Virginia Tech",+All!Q669,IF(+All!$H669="Virginia Tech",+All!Q669,0))</f>
        <v>7</v>
      </c>
      <c r="R185" s="460" t="str">
        <f>IF(+All!$F669="Virginia Tech",+All!R669,IF(+All!$H669="Virginia Tech",+All!R669,0))</f>
        <v>Duke</v>
      </c>
      <c r="S185" s="462" t="str">
        <f>IF(+All!$F669="Virginia Tech",+All!S669,IF(+All!$H669="Virginia Tech",+All!S669,0))</f>
        <v>Virginia Tech</v>
      </c>
      <c r="T185" s="460" t="str">
        <f>IF(+All!$F669="Virginia Tech",+All!T669,IF(+All!$H669="Virginia Tech",+All!T669,0))</f>
        <v>Duke</v>
      </c>
      <c r="U185" s="461" t="str">
        <f>IF(+All!$F669="Virginia Tech",+All!U669,IF(+All!$H669="Virginia Tech",+All!U669,0))</f>
        <v>W</v>
      </c>
    </row>
    <row r="186" spans="1:21" ht="15.75" customHeight="1" x14ac:dyDescent="0.8">
      <c r="A186" s="46">
        <f>IF(+All!$F755="Virginia Tech",+All!A755,IF(+All!$H755="Virginia Tech",+All!A755,0))</f>
        <v>12</v>
      </c>
      <c r="B186" s="348" t="str">
        <f>IF(+All!$F755="Virginia Tech",+All!B755,IF(+All!$H755="Virginia Tech",+All!B755,0))</f>
        <v>Sat</v>
      </c>
      <c r="C186" s="72">
        <f>IF(+All!$F755="Virginia Tech",+All!C755,IF(+All!$H755="Virginia Tech",+All!C755,0))</f>
        <v>44884</v>
      </c>
      <c r="D186" s="73">
        <f>IF(+All!$F755="Virginia Tech",+All!D755,IF(+All!$H755="Virginia Tech",+All!D755,0))</f>
        <v>0.5</v>
      </c>
      <c r="E186" s="461">
        <f>IF(+All!$F755="Virginia Tech",+All!E755,IF(+All!$H755="Virginia Tech",+All!E755,0))</f>
        <v>0</v>
      </c>
      <c r="F186" s="460" t="str">
        <f>IF(+All!$F755="Virginia Tech",+All!F755,IF(+All!$H755="Virginia Tech",+All!F755,0))</f>
        <v>Virginia Tech</v>
      </c>
      <c r="G186" s="461" t="str">
        <f>IF(+All!$F755="Virginia Tech",+All!G755,IF(+All!$H755="Virginia Tech",+All!G755,0))</f>
        <v>ACC</v>
      </c>
      <c r="H186" s="460" t="str">
        <f>IF(+All!$F755="Virginia Tech",+All!H755,IF(+All!$H755="Virginia Tech",+All!H755,0))</f>
        <v>Liberty</v>
      </c>
      <c r="I186" s="461" t="str">
        <f>IF(+All!$F755="Virginia Tech",+All!I755,IF(+All!$H755="Virginia Tech",+All!I755,0))</f>
        <v>Ind</v>
      </c>
      <c r="J186" s="460" t="str">
        <f>IF(+All!$F755="Virginia Tech",+All!J755,IF(+All!$H755="Virginia Tech",+All!J755,0))</f>
        <v>Liberty</v>
      </c>
      <c r="K186" s="461" t="str">
        <f>IF(+All!$F755="Virginia Tech",+All!K755,IF(+All!$H755="Virginia Tech",+All!K755,0))</f>
        <v>Virginia Tech</v>
      </c>
      <c r="L186" s="60">
        <f>IF(+All!$F755="Virginia Tech",+All!L755,IF(+All!$H755="Virginia Tech",+All!L755,0))</f>
        <v>10</v>
      </c>
      <c r="M186" s="61">
        <f>IF(+All!$F755="Virginia Tech",+All!M755,IF(+All!$H755="Virginia Tech",+All!M755,0))</f>
        <v>46.5</v>
      </c>
      <c r="N186" s="460" t="str">
        <f>IF(+All!$F755="Virginia Tech",+All!N755,IF(+All!$H755="Virginia Tech",+All!N755,0))</f>
        <v>Virginia Tech</v>
      </c>
      <c r="O186" s="462">
        <f>IF(+All!$F755="Virginia Tech",+All!O755,IF(+All!$H755="Virginia Tech",+All!O755,0))</f>
        <v>23</v>
      </c>
      <c r="P186" s="462" t="str">
        <f>IF(+All!$F755="Virginia Tech",+All!P755,IF(+All!$H755="Virginia Tech",+All!P755,0))</f>
        <v>Liberty</v>
      </c>
      <c r="Q186" s="461">
        <f>IF(+All!$F755="Virginia Tech",+All!Q755,IF(+All!$H755="Virginia Tech",+All!Q755,0))</f>
        <v>22</v>
      </c>
      <c r="R186" s="460" t="str">
        <f>IF(+All!$F755="Virginia Tech",+All!R755,IF(+All!$H755="Virginia Tech",+All!R755,0))</f>
        <v>Virginia Tech</v>
      </c>
      <c r="S186" s="462" t="str">
        <f>IF(+All!$F755="Virginia Tech",+All!S755,IF(+All!$H755="Virginia Tech",+All!S755,0))</f>
        <v>Liberty</v>
      </c>
      <c r="T186" s="460" t="str">
        <f>IF(+All!$F755="Virginia Tech",+All!T755,IF(+All!$H755="Virginia Tech",+All!T755,0))</f>
        <v>Liberty</v>
      </c>
      <c r="U186" s="461" t="str">
        <f>IF(+All!$F755="Virginia Tech",+All!U755,IF(+All!$H755="Virginia Tech",+All!U755,0))</f>
        <v>L</v>
      </c>
    </row>
    <row r="187" spans="1:21" ht="15.75" customHeight="1" x14ac:dyDescent="0.8">
      <c r="A187" s="46">
        <f>IF(+All!$F807="Virginia Tech",+All!A807,IF(+All!$H807="Virginia Tech",+All!A807,0))</f>
        <v>13</v>
      </c>
      <c r="B187" s="348" t="str">
        <f>IF(+All!$F807="Virginia Tech",+All!B807,IF(+All!$H807="Virginia Tech",+All!B807,0))</f>
        <v>Sat</v>
      </c>
      <c r="C187" s="72">
        <f>IF(+All!$F807="Virginia Tech",+All!C807,IF(+All!$H807="Virginia Tech",+All!C807,0))</f>
        <v>44891</v>
      </c>
      <c r="D187" s="73">
        <f>IF(+All!$F807="Virginia Tech",+All!D807,IF(+All!$H807="Virginia Tech",+All!D807,0))</f>
        <v>0</v>
      </c>
      <c r="E187" s="461">
        <f>IF(+All!$F807="Virginia Tech",+All!E807,IF(+All!$H807="Virginia Tech",+All!E807,0))</f>
        <v>0</v>
      </c>
      <c r="F187" s="460" t="str">
        <f>IF(+All!$F807="Virginia Tech",+All!F807,IF(+All!$H807="Virginia Tech",+All!F807,0))</f>
        <v>Virginia</v>
      </c>
      <c r="G187" s="461" t="str">
        <f>IF(+All!$F807="Virginia Tech",+All!G807,IF(+All!$H807="Virginia Tech",+All!G807,0))</f>
        <v>ACC</v>
      </c>
      <c r="H187" s="460" t="str">
        <f>IF(+All!$F807="Virginia Tech",+All!H807,IF(+All!$H807="Virginia Tech",+All!H807,0))</f>
        <v>Virginia Tech</v>
      </c>
      <c r="I187" s="461" t="str">
        <f>IF(+All!$F807="Virginia Tech",+All!I807,IF(+All!$H807="Virginia Tech",+All!I807,0))</f>
        <v>ACC</v>
      </c>
      <c r="J187" s="460">
        <f>IF(+All!$F807="Virginia Tech",+All!J807,IF(+All!$H807="Virginia Tech",+All!J807,0))</f>
        <v>0</v>
      </c>
      <c r="K187" s="461" t="str">
        <f>IF(+All!$F807="Virginia Tech",+All!K807,IF(+All!$H807="Virginia Tech",+All!K807,0))</f>
        <v>CANCELED</v>
      </c>
      <c r="L187" s="60">
        <f>IF(+All!$F807="Virginia Tech",+All!L807,IF(+All!$H807="Virginia Tech",+All!L807,0))</f>
        <v>0</v>
      </c>
      <c r="M187" s="61">
        <f>IF(+All!$F807="Virginia Tech",+All!M807,IF(+All!$H807="Virginia Tech",+All!M807,0))</f>
        <v>0</v>
      </c>
      <c r="N187" s="460">
        <f>IF(+All!$F807="Virginia Tech",+All!N807,IF(+All!$H807="Virginia Tech",+All!N807,0))</f>
        <v>0</v>
      </c>
      <c r="O187" s="462">
        <f>IF(+All!$F807="Virginia Tech",+All!O807,IF(+All!$H807="Virginia Tech",+All!O807,0))</f>
        <v>0</v>
      </c>
      <c r="P187" s="462" t="str">
        <f>IF(+All!$F807="Virginia Tech",+All!P807,IF(+All!$H807="Virginia Tech",+All!P807,0))</f>
        <v>CANCELLED</v>
      </c>
      <c r="Q187" s="461">
        <f>IF(+All!$F807="Virginia Tech",+All!Q807,IF(+All!$H807="Virginia Tech",+All!Q807,0))</f>
        <v>0</v>
      </c>
      <c r="R187" s="460">
        <f>IF(+All!$F807="Virginia Tech",+All!R807,IF(+All!$H807="Virginia Tech",+All!R807,0))</f>
        <v>0</v>
      </c>
      <c r="S187" s="462" t="str">
        <f>IF(+All!$F807="Virginia Tech",+All!S807,IF(+All!$H807="Virginia Tech",+All!S807,0))</f>
        <v>CANCELED</v>
      </c>
      <c r="T187" s="460">
        <f>IF(+All!$F807="Virginia Tech",+All!T807,IF(+All!$H807="Virginia Tech",+All!T807,0))</f>
        <v>0</v>
      </c>
      <c r="U187" s="461">
        <f>IF(+All!$F807="Virginia Tech",+All!U807,IF(+All!$H807="Virginia Tech",+All!U807,0))</f>
        <v>0</v>
      </c>
    </row>
    <row r="188" spans="1:21" ht="15.75" customHeight="1" x14ac:dyDescent="0.8">
      <c r="A188" s="38"/>
      <c r="B188" s="39"/>
      <c r="C188" s="40"/>
      <c r="D188" s="41"/>
      <c r="E188" s="463"/>
      <c r="F188" s="897" t="str">
        <f>H189</f>
        <v>Wake Forest</v>
      </c>
      <c r="G188" s="901"/>
      <c r="H188" s="901"/>
      <c r="I188" s="902"/>
      <c r="J188" s="459"/>
      <c r="K188" s="463"/>
      <c r="L188" s="44"/>
      <c r="M188" s="45"/>
      <c r="N188" s="459"/>
      <c r="O188" s="5"/>
      <c r="P188" s="5"/>
      <c r="Q188" s="463"/>
      <c r="R188" s="459"/>
      <c r="S188" s="5"/>
      <c r="T188" s="459"/>
      <c r="U188" s="463"/>
    </row>
    <row r="189" spans="1:21" ht="15.75" customHeight="1" x14ac:dyDescent="0.8">
      <c r="A189" s="46">
        <f>IF(+All!$F28="Wake Forest",+All!A28,IF(+All!$H28="Wake Forest",+All!A28,0))</f>
        <v>1</v>
      </c>
      <c r="B189" s="348" t="str">
        <f>IF(+All!$F28="Wake Forest",+All!B28,IF(+All!$H28="Wake Forest",+All!B28,0))</f>
        <v>Thurs</v>
      </c>
      <c r="C189" s="72">
        <f>IF(+All!$F28="Wake Forest",+All!C28,IF(+All!$H28="Wake Forest",+All!C28,0))</f>
        <v>44805</v>
      </c>
      <c r="D189" s="73">
        <f>IF(+All!$F28="Wake Forest",+All!D28,IF(+All!$H28="Wake Forest",+All!D28,0))</f>
        <v>0.8125</v>
      </c>
      <c r="E189" s="461" t="str">
        <f>IF(+All!$F28="Wake Forest",+All!E28,IF(+All!$H28="Wake Forest",+All!E28,0))</f>
        <v>ACC</v>
      </c>
      <c r="F189" s="460" t="str">
        <f>IF(+All!$F28="Wake Forest",+All!F28,IF(+All!$H28="Wake Forest",+All!F28,0))</f>
        <v>1AA VMI</v>
      </c>
      <c r="G189" s="461" t="str">
        <f>IF(+All!$F28="Wake Forest",+All!G28,IF(+All!$H28="Wake Forest",+All!G28,0))</f>
        <v>1AA</v>
      </c>
      <c r="H189" s="460" t="str">
        <f>IF(+All!$F28="Wake Forest",+All!H28,IF(+All!$H28="Wake Forest",+All!H28,0))</f>
        <v>Wake Forest</v>
      </c>
      <c r="I189" s="461" t="str">
        <f>IF(+All!$F28="Wake Forest",+All!I28,IF(+All!$H28="Wake Forest",+All!I28,0))</f>
        <v>ACC</v>
      </c>
      <c r="J189" s="460">
        <f>IF(+All!$F28="Wake Forest",+All!J28,IF(+All!$H28="Wake Forest",+All!J28,0))</f>
        <v>0</v>
      </c>
      <c r="K189" s="461">
        <f>IF(+All!$F28="Wake Forest",+All!K28,IF(+All!$H28="Wake Forest",+All!K28,0))</f>
        <v>0</v>
      </c>
      <c r="L189" s="60">
        <f>IF(+All!$F28="Wake Forest",+All!L28,IF(+All!$H28="Wake Forest",+All!L28,0))</f>
        <v>0</v>
      </c>
      <c r="M189" s="61">
        <f>IF(+All!$F28="Wake Forest",+All!M28,IF(+All!$H28="Wake Forest",+All!M28,0))</f>
        <v>0</v>
      </c>
      <c r="N189" s="460" t="str">
        <f>IF(+All!$F28="Wake Forest",+All!N28,IF(+All!$H28="Wake Forest",+All!N28,0))</f>
        <v>Wake Forest</v>
      </c>
      <c r="O189" s="462">
        <f>IF(+All!$F28="Wake Forest",+All!O28,IF(+All!$H28="Wake Forest",+All!O28,0))</f>
        <v>44</v>
      </c>
      <c r="P189" s="462" t="str">
        <f>IF(+All!$F28="Wake Forest",+All!P28,IF(+All!$H28="Wake Forest",+All!P28,0))</f>
        <v>1AA VMI</v>
      </c>
      <c r="Q189" s="461">
        <f>IF(+All!$F28="Wake Forest",+All!Q28,IF(+All!$H28="Wake Forest",+All!Q28,0))</f>
        <v>10</v>
      </c>
      <c r="R189" s="460">
        <f>IF(+All!$F28="Wake Forest",+All!R28,IF(+All!$H28="Wake Forest",+All!R28,0))</f>
        <v>0</v>
      </c>
      <c r="S189" s="462">
        <f>IF(+All!$F28="Wake Forest",+All!S28,IF(+All!$H28="Wake Forest",+All!S28,0))</f>
        <v>0</v>
      </c>
      <c r="T189" s="460">
        <f>IF(+All!$F28="Wake Forest",+All!T28,IF(+All!$H28="Wake Forest",+All!T28,0))</f>
        <v>0</v>
      </c>
      <c r="U189" s="461">
        <f>IF(+All!$F28="Wake Forest",+All!U28,IF(+All!$H28="Wake Forest",+All!U28,0))</f>
        <v>0</v>
      </c>
    </row>
    <row r="190" spans="1:21" ht="15.75" customHeight="1" x14ac:dyDescent="0.8">
      <c r="A190" s="46">
        <f>IF(+All!$F179="Wake Forest",+All!A179,IF(+All!$H179="Wake Forest",+All!A179,0))</f>
        <v>2</v>
      </c>
      <c r="B190" s="348" t="str">
        <f>IF(+All!$F179="Wake Forest",+All!B179,IF(+All!$H179="Wake Forest",+All!B179,0))</f>
        <v>Sat</v>
      </c>
      <c r="C190" s="72">
        <f>IF(+All!$F179="Wake Forest",+All!C179,IF(+All!$H179="Wake Forest",+All!C179,0))</f>
        <v>44814</v>
      </c>
      <c r="D190" s="73">
        <f>IF(+All!$F179="Wake Forest",+All!D179,IF(+All!$H179="Wake Forest",+All!D179,0))</f>
        <v>0.5</v>
      </c>
      <c r="E190" s="461" t="str">
        <f>IF(+All!$F179="Wake Forest",+All!E179,IF(+All!$H179="Wake Forest",+All!E179,0))</f>
        <v>SEC</v>
      </c>
      <c r="F190" s="460" t="str">
        <f>IF(+All!$F179="Wake Forest",+All!F179,IF(+All!$H179="Wake Forest",+All!F179,0))</f>
        <v>Wake Forest</v>
      </c>
      <c r="G190" s="461" t="str">
        <f>IF(+All!$F179="Wake Forest",+All!G179,IF(+All!$H179="Wake Forest",+All!G179,0))</f>
        <v>ACC</v>
      </c>
      <c r="H190" s="460" t="str">
        <f>IF(+All!$F179="Wake Forest",+All!H179,IF(+All!$H179="Wake Forest",+All!H179,0))</f>
        <v>Vanderbilt</v>
      </c>
      <c r="I190" s="461" t="str">
        <f>IF(+All!$F179="Wake Forest",+All!I179,IF(+All!$H179="Wake Forest",+All!I179,0))</f>
        <v>SEC</v>
      </c>
      <c r="J190" s="460" t="str">
        <f>IF(+All!$F179="Wake Forest",+All!J179,IF(+All!$H179="Wake Forest",+All!J179,0))</f>
        <v>Wake Forest</v>
      </c>
      <c r="K190" s="461" t="str">
        <f>IF(+All!$F179="Wake Forest",+All!K179,IF(+All!$H179="Wake Forest",+All!K179,0))</f>
        <v>Vanderbilt</v>
      </c>
      <c r="L190" s="60">
        <f>IF(+All!$F179="Wake Forest",+All!L179,IF(+All!$H179="Wake Forest",+All!L179,0))</f>
        <v>13.5</v>
      </c>
      <c r="M190" s="61">
        <f>IF(+All!$F179="Wake Forest",+All!M179,IF(+All!$H179="Wake Forest",+All!M179,0))</f>
        <v>66</v>
      </c>
      <c r="N190" s="460" t="str">
        <f>IF(+All!$F179="Wake Forest",+All!N179,IF(+All!$H179="Wake Forest",+All!N179,0))</f>
        <v>Wake Forest</v>
      </c>
      <c r="O190" s="462">
        <f>IF(+All!$F179="Wake Forest",+All!O179,IF(+All!$H179="Wake Forest",+All!O179,0))</f>
        <v>45</v>
      </c>
      <c r="P190" s="462" t="str">
        <f>IF(+All!$F179="Wake Forest",+All!P179,IF(+All!$H179="Wake Forest",+All!P179,0))</f>
        <v>Vanderbilt</v>
      </c>
      <c r="Q190" s="461">
        <f>IF(+All!$F179="Wake Forest",+All!Q179,IF(+All!$H179="Wake Forest",+All!Q179,0))</f>
        <v>25</v>
      </c>
      <c r="R190" s="460" t="str">
        <f>IF(+All!$F179="Wake Forest",+All!R179,IF(+All!$H179="Wake Forest",+All!R179,0))</f>
        <v>Wake Forest</v>
      </c>
      <c r="S190" s="462" t="str">
        <f>IF(+All!$F179="Wake Forest",+All!S179,IF(+All!$H179="Wake Forest",+All!S179,0))</f>
        <v>Vanderbilt</v>
      </c>
      <c r="T190" s="460" t="str">
        <f>IF(+All!$F179="Wake Forest",+All!T179,IF(+All!$H179="Wake Forest",+All!T179,0))</f>
        <v>Wake Forest</v>
      </c>
      <c r="U190" s="461" t="str">
        <f>IF(+All!$F179="Wake Forest",+All!U179,IF(+All!$H179="Wake Forest",+All!U179,0))</f>
        <v>W</v>
      </c>
    </row>
    <row r="191" spans="1:21" ht="15.75" customHeight="1" x14ac:dyDescent="0.8">
      <c r="A191" s="46">
        <f>IF(+All!$F196="Wake Forest",+All!A196,IF(+All!$H196="Wake Forest",+All!A196,0))</f>
        <v>3</v>
      </c>
      <c r="B191" s="348" t="str">
        <f>IF(+All!$F196="Wake Forest",+All!B196,IF(+All!$H196="Wake Forest",+All!B196,0))</f>
        <v>Sat</v>
      </c>
      <c r="C191" s="72">
        <f>IF(+All!$F196="Wake Forest",+All!C196,IF(+All!$H196="Wake Forest",+All!C196,0))</f>
        <v>44821</v>
      </c>
      <c r="D191" s="73">
        <f>IF(+All!$F196="Wake Forest",+All!D196,IF(+All!$H196="Wake Forest",+All!D196,0))</f>
        <v>0.70833333333333337</v>
      </c>
      <c r="E191" s="461" t="str">
        <f>IF(+All!$F196="Wake Forest",+All!E196,IF(+All!$H196="Wake Forest",+All!E196,0))</f>
        <v>ACC</v>
      </c>
      <c r="F191" s="460" t="str">
        <f>IF(+All!$F196="Wake Forest",+All!F196,IF(+All!$H196="Wake Forest",+All!F196,0))</f>
        <v>Liberty</v>
      </c>
      <c r="G191" s="461" t="str">
        <f>IF(+All!$F196="Wake Forest",+All!G196,IF(+All!$H196="Wake Forest",+All!G196,0))</f>
        <v>Ind</v>
      </c>
      <c r="H191" s="460" t="str">
        <f>IF(+All!$F196="Wake Forest",+All!H196,IF(+All!$H196="Wake Forest",+All!H196,0))</f>
        <v>Wake Forest</v>
      </c>
      <c r="I191" s="461" t="str">
        <f>IF(+All!$F196="Wake Forest",+All!I196,IF(+All!$H196="Wake Forest",+All!I196,0))</f>
        <v>ACC</v>
      </c>
      <c r="J191" s="460" t="str">
        <f>IF(+All!$F196="Wake Forest",+All!J196,IF(+All!$H196="Wake Forest",+All!J196,0))</f>
        <v>Wake Forest</v>
      </c>
      <c r="K191" s="461" t="str">
        <f>IF(+All!$F196="Wake Forest",+All!K196,IF(+All!$H196="Wake Forest",+All!K196,0))</f>
        <v>Liberty</v>
      </c>
      <c r="L191" s="60">
        <f>IF(+All!$F196="Wake Forest",+All!L196,IF(+All!$H196="Wake Forest",+All!L196,0))</f>
        <v>16.5</v>
      </c>
      <c r="M191" s="61">
        <f>IF(+All!$F196="Wake Forest",+All!M196,IF(+All!$H196="Wake Forest",+All!M196,0))</f>
        <v>63.5</v>
      </c>
      <c r="N191" s="460" t="str">
        <f>IF(+All!$F196="Wake Forest",+All!N196,IF(+All!$H196="Wake Forest",+All!N196,0))</f>
        <v>Wake Forest</v>
      </c>
      <c r="O191" s="462">
        <f>IF(+All!$F196="Wake Forest",+All!O196,IF(+All!$H196="Wake Forest",+All!O196,0))</f>
        <v>37</v>
      </c>
      <c r="P191" s="462" t="str">
        <f>IF(+All!$F196="Wake Forest",+All!P196,IF(+All!$H196="Wake Forest",+All!P196,0))</f>
        <v>Liberty</v>
      </c>
      <c r="Q191" s="461">
        <f>IF(+All!$F196="Wake Forest",+All!Q196,IF(+All!$H196="Wake Forest",+All!Q196,0))</f>
        <v>36</v>
      </c>
      <c r="R191" s="460" t="str">
        <f>IF(+All!$F196="Wake Forest",+All!R196,IF(+All!$H196="Wake Forest",+All!R196,0))</f>
        <v>Liberty</v>
      </c>
      <c r="S191" s="462" t="str">
        <f>IF(+All!$F196="Wake Forest",+All!S196,IF(+All!$H196="Wake Forest",+All!S196,0))</f>
        <v>Wake Forest</v>
      </c>
      <c r="T191" s="460" t="str">
        <f>IF(+All!$F196="Wake Forest",+All!T196,IF(+All!$H196="Wake Forest",+All!T196,0))</f>
        <v>Liberty</v>
      </c>
      <c r="U191" s="461" t="str">
        <f>IF(+All!$F196="Wake Forest",+All!U196,IF(+All!$H196="Wake Forest",+All!U196,0))</f>
        <v>W</v>
      </c>
    </row>
    <row r="192" spans="1:21" ht="15.75" customHeight="1" x14ac:dyDescent="0.8">
      <c r="A192" s="46">
        <f>IF(+All!$F272="Wake Forest",+All!A272,IF(+All!$H272="Wake Forest",+All!A272,0))</f>
        <v>4</v>
      </c>
      <c r="B192" s="348" t="str">
        <f>IF(+All!$F272="Wake Forest",+All!B272,IF(+All!$H272="Wake Forest",+All!B272,0))</f>
        <v>Sat</v>
      </c>
      <c r="C192" s="72">
        <f>IF(+All!$F272="Wake Forest",+All!C272,IF(+All!$H272="Wake Forest",+All!C272,0))</f>
        <v>44828</v>
      </c>
      <c r="D192" s="73">
        <f>IF(+All!$F272="Wake Forest",+All!D272,IF(+All!$H272="Wake Forest",+All!D272,0))</f>
        <v>0.5</v>
      </c>
      <c r="E192" s="461" t="str">
        <f>IF(+All!$F272="Wake Forest",+All!E272,IF(+All!$H272="Wake Forest",+All!E272,0))</f>
        <v>ABC</v>
      </c>
      <c r="F192" s="460" t="str">
        <f>IF(+All!$F272="Wake Forest",+All!F272,IF(+All!$H272="Wake Forest",+All!F272,0))</f>
        <v>Clemson</v>
      </c>
      <c r="G192" s="461" t="str">
        <f>IF(+All!$F272="Wake Forest",+All!G272,IF(+All!$H272="Wake Forest",+All!G272,0))</f>
        <v>ACC</v>
      </c>
      <c r="H192" s="460" t="str">
        <f>IF(+All!$F272="Wake Forest",+All!H272,IF(+All!$H272="Wake Forest",+All!H272,0))</f>
        <v>Wake Forest</v>
      </c>
      <c r="I192" s="461" t="str">
        <f>IF(+All!$F272="Wake Forest",+All!I272,IF(+All!$H272="Wake Forest",+All!I272,0))</f>
        <v>ACC</v>
      </c>
      <c r="J192" s="460" t="str">
        <f>IF(+All!$F272="Wake Forest",+All!J272,IF(+All!$H272="Wake Forest",+All!J272,0))</f>
        <v>Clemson</v>
      </c>
      <c r="K192" s="461" t="str">
        <f>IF(+All!$F272="Wake Forest",+All!K272,IF(+All!$H272="Wake Forest",+All!K272,0))</f>
        <v>Wake Forest</v>
      </c>
      <c r="L192" s="60">
        <f>IF(+All!$F272="Wake Forest",+All!L272,IF(+All!$H272="Wake Forest",+All!L272,0))</f>
        <v>7</v>
      </c>
      <c r="M192" s="61">
        <f>IF(+All!$F272="Wake Forest",+All!M272,IF(+All!$H272="Wake Forest",+All!M272,0))</f>
        <v>55.5</v>
      </c>
      <c r="N192" s="460" t="str">
        <f>IF(+All!$F272="Wake Forest",+All!N272,IF(+All!$H272="Wake Forest",+All!N272,0))</f>
        <v>Clemson</v>
      </c>
      <c r="O192" s="462">
        <f>IF(+All!$F272="Wake Forest",+All!O272,IF(+All!$H272="Wake Forest",+All!O272,0))</f>
        <v>51</v>
      </c>
      <c r="P192" s="462" t="str">
        <f>IF(+All!$F272="Wake Forest",+All!P272,IF(+All!$H272="Wake Forest",+All!P272,0))</f>
        <v>Wake Forest</v>
      </c>
      <c r="Q192" s="461">
        <f>IF(+All!$F272="Wake Forest",+All!Q272,IF(+All!$H272="Wake Forest",+All!Q272,0))</f>
        <v>45</v>
      </c>
      <c r="R192" s="460" t="str">
        <f>IF(+All!$F272="Wake Forest",+All!R272,IF(+All!$H272="Wake Forest",+All!R272,0))</f>
        <v>Wake Forest</v>
      </c>
      <c r="S192" s="462" t="str">
        <f>IF(+All!$F272="Wake Forest",+All!S272,IF(+All!$H272="Wake Forest",+All!S272,0))</f>
        <v>Clemson</v>
      </c>
      <c r="T192" s="460" t="str">
        <f>IF(+All!$F272="Wake Forest",+All!T272,IF(+All!$H272="Wake Forest",+All!T272,0))</f>
        <v>Clemson</v>
      </c>
      <c r="U192" s="461" t="str">
        <f>IF(+All!$F272="Wake Forest",+All!U272,IF(+All!$H272="Wake Forest",+All!U272,0))</f>
        <v>L</v>
      </c>
    </row>
    <row r="193" spans="1:21" ht="15.75" customHeight="1" x14ac:dyDescent="0.8">
      <c r="A193" s="46">
        <f>IF(+All!$F331="Wake Forest",+All!A331,IF(+All!$H331="Wake Forest",+All!A331,0))</f>
        <v>5</v>
      </c>
      <c r="B193" s="348" t="str">
        <f>IF(+All!$F331="Wake Forest",+All!B331,IF(+All!$H331="Wake Forest",+All!B331,0))</f>
        <v>Sat</v>
      </c>
      <c r="C193" s="72">
        <f>IF(+All!$F331="Wake Forest",+All!C331,IF(+All!$H331="Wake Forest",+All!C331,0))</f>
        <v>44835</v>
      </c>
      <c r="D193" s="73">
        <f>IF(+All!$F331="Wake Forest",+All!D331,IF(+All!$H331="Wake Forest",+All!D331,0))</f>
        <v>0.64583333333333337</v>
      </c>
      <c r="E193" s="461" t="str">
        <f>IF(+All!$F331="Wake Forest",+All!E331,IF(+All!$H331="Wake Forest",+All!E331,0))</f>
        <v>ABC</v>
      </c>
      <c r="F193" s="460" t="str">
        <f>IF(+All!$F331="Wake Forest",+All!F331,IF(+All!$H331="Wake Forest",+All!F331,0))</f>
        <v>Wake Forest</v>
      </c>
      <c r="G193" s="461" t="str">
        <f>IF(+All!$F331="Wake Forest",+All!G331,IF(+All!$H331="Wake Forest",+All!G331,0))</f>
        <v>ACC</v>
      </c>
      <c r="H193" s="460" t="str">
        <f>IF(+All!$F331="Wake Forest",+All!H331,IF(+All!$H331="Wake Forest",+All!H331,0))</f>
        <v>Florida State</v>
      </c>
      <c r="I193" s="461" t="str">
        <f>IF(+All!$F331="Wake Forest",+All!I331,IF(+All!$H331="Wake Forest",+All!I331,0))</f>
        <v>ACC</v>
      </c>
      <c r="J193" s="460" t="str">
        <f>IF(+All!$F331="Wake Forest",+All!J331,IF(+All!$H331="Wake Forest",+All!J331,0))</f>
        <v>Florida State</v>
      </c>
      <c r="K193" s="461" t="str">
        <f>IF(+All!$F331="Wake Forest",+All!K331,IF(+All!$H331="Wake Forest",+All!K331,0))</f>
        <v>Wake Forest</v>
      </c>
      <c r="L193" s="60">
        <f>IF(+All!$F331="Wake Forest",+All!L331,IF(+All!$H331="Wake Forest",+All!L331,0))</f>
        <v>6.5</v>
      </c>
      <c r="M193" s="61">
        <f>IF(+All!$F331="Wake Forest",+All!M331,IF(+All!$H331="Wake Forest",+All!M331,0))</f>
        <v>64</v>
      </c>
      <c r="N193" s="460" t="str">
        <f>IF(+All!$F331="Wake Forest",+All!N331,IF(+All!$H331="Wake Forest",+All!N331,0))</f>
        <v>Wake Forest</v>
      </c>
      <c r="O193" s="462">
        <f>IF(+All!$F331="Wake Forest",+All!O331,IF(+All!$H331="Wake Forest",+All!O331,0))</f>
        <v>31</v>
      </c>
      <c r="P193" s="462" t="str">
        <f>IF(+All!$F331="Wake Forest",+All!P331,IF(+All!$H331="Wake Forest",+All!P331,0))</f>
        <v>Florida State</v>
      </c>
      <c r="Q193" s="461">
        <f>IF(+All!$F331="Wake Forest",+All!Q331,IF(+All!$H331="Wake Forest",+All!Q331,0))</f>
        <v>21</v>
      </c>
      <c r="R193" s="460" t="str">
        <f>IF(+All!$F331="Wake Forest",+All!R331,IF(+All!$H331="Wake Forest",+All!R331,0))</f>
        <v>Wake Forest</v>
      </c>
      <c r="S193" s="462" t="str">
        <f>IF(+All!$F331="Wake Forest",+All!S331,IF(+All!$H331="Wake Forest",+All!S331,0))</f>
        <v>Florida State</v>
      </c>
      <c r="T193" s="460" t="str">
        <f>IF(+All!$F331="Wake Forest",+All!T331,IF(+All!$H331="Wake Forest",+All!T331,0))</f>
        <v>Wake Forest</v>
      </c>
      <c r="U193" s="461" t="str">
        <f>IF(+All!$F331="Wake Forest",+All!U331,IF(+All!$H331="Wake Forest",+All!U331,0))</f>
        <v>W</v>
      </c>
    </row>
    <row r="194" spans="1:21" ht="15.75" customHeight="1" x14ac:dyDescent="0.8">
      <c r="A194" s="46">
        <f>IF(+All!$F395="Wake Forest",+All!A395,IF(+All!$H395="Wake Forest",+All!A395,0))</f>
        <v>6</v>
      </c>
      <c r="B194" s="348" t="str">
        <f>IF(+All!$F395="Wake Forest",+All!B395,IF(+All!$H395="Wake Forest",+All!B395,0))</f>
        <v>Sat</v>
      </c>
      <c r="C194" s="72">
        <f>IF(+All!$F395="Wake Forest",+All!C395,IF(+All!$H395="Wake Forest",+All!C395,0))</f>
        <v>44842</v>
      </c>
      <c r="D194" s="73">
        <f>IF(+All!$F395="Wake Forest",+All!D395,IF(+All!$H395="Wake Forest",+All!D395,0))</f>
        <v>0.8125</v>
      </c>
      <c r="E194" s="461" t="str">
        <f>IF(+All!$F395="Wake Forest",+All!E395,IF(+All!$H395="Wake Forest",+All!E395,0))</f>
        <v>espn3</v>
      </c>
      <c r="F194" s="460" t="str">
        <f>IF(+All!$F395="Wake Forest",+All!F395,IF(+All!$H395="Wake Forest",+All!F395,0))</f>
        <v>Army</v>
      </c>
      <c r="G194" s="461" t="str">
        <f>IF(+All!$F395="Wake Forest",+All!G395,IF(+All!$H395="Wake Forest",+All!G395,0))</f>
        <v>Ind</v>
      </c>
      <c r="H194" s="460" t="str">
        <f>IF(+All!$F395="Wake Forest",+All!H395,IF(+All!$H395="Wake Forest",+All!H395,0))</f>
        <v>Wake Forest</v>
      </c>
      <c r="I194" s="461" t="str">
        <f>IF(+All!$F395="Wake Forest",+All!I395,IF(+All!$H395="Wake Forest",+All!I395,0))</f>
        <v>ACC</v>
      </c>
      <c r="J194" s="460" t="str">
        <f>IF(+All!$F395="Wake Forest",+All!J395,IF(+All!$H395="Wake Forest",+All!J395,0))</f>
        <v>Wake Forest</v>
      </c>
      <c r="K194" s="461" t="str">
        <f>IF(+All!$F395="Wake Forest",+All!K395,IF(+All!$H395="Wake Forest",+All!K395,0))</f>
        <v>Army</v>
      </c>
      <c r="L194" s="60">
        <f>IF(+All!$F395="Wake Forest",+All!L395,IF(+All!$H395="Wake Forest",+All!L395,0))</f>
        <v>17</v>
      </c>
      <c r="M194" s="61">
        <f>IF(+All!$F395="Wake Forest",+All!M395,IF(+All!$H395="Wake Forest",+All!M395,0))</f>
        <v>66</v>
      </c>
      <c r="N194" s="460" t="str">
        <f>IF(+All!$F395="Wake Forest",+All!N395,IF(+All!$H395="Wake Forest",+All!N395,0))</f>
        <v>Wake Forest</v>
      </c>
      <c r="O194" s="462">
        <f>IF(+All!$F395="Wake Forest",+All!O395,IF(+All!$H395="Wake Forest",+All!O395,0))</f>
        <v>45</v>
      </c>
      <c r="P194" s="462" t="str">
        <f>IF(+All!$F395="Wake Forest",+All!P395,IF(+All!$H395="Wake Forest",+All!P395,0))</f>
        <v>Army</v>
      </c>
      <c r="Q194" s="461">
        <f>IF(+All!$F395="Wake Forest",+All!Q395,IF(+All!$H395="Wake Forest",+All!Q395,0))</f>
        <v>10</v>
      </c>
      <c r="R194" s="460" t="str">
        <f>IF(+All!$F395="Wake Forest",+All!R395,IF(+All!$H395="Wake Forest",+All!R395,0))</f>
        <v>Wake Forest</v>
      </c>
      <c r="S194" s="462" t="str">
        <f>IF(+All!$F395="Wake Forest",+All!S395,IF(+All!$H395="Wake Forest",+All!S395,0))</f>
        <v>Army</v>
      </c>
      <c r="T194" s="460" t="str">
        <f>IF(+All!$F395="Wake Forest",+All!T395,IF(+All!$H395="Wake Forest",+All!T395,0))</f>
        <v>Wake Forest</v>
      </c>
      <c r="U194" s="461" t="str">
        <f>IF(+All!$F395="Wake Forest",+All!U395,IF(+All!$H395="Wake Forest",+All!U395,0))</f>
        <v>W</v>
      </c>
    </row>
    <row r="195" spans="1:21" ht="15.75" customHeight="1" x14ac:dyDescent="0.8">
      <c r="A195" s="46" t="e">
        <f>IF(+All!#REF!="Wake Forest",+All!#REF!,IF(+All!#REF!="Wake Forest",+All!#REF!,0))</f>
        <v>#REF!</v>
      </c>
      <c r="B195" s="348" t="e">
        <f>IF(+All!#REF!="Wake Forest",+All!#REF!,IF(+All!#REF!="Wake Forest",+All!#REF!,0))</f>
        <v>#REF!</v>
      </c>
      <c r="C195" s="72" t="e">
        <f>IF(+All!#REF!="Wake Forest",+All!#REF!,IF(+All!#REF!="Wake Forest",+All!#REF!,0))</f>
        <v>#REF!</v>
      </c>
      <c r="D195" s="73" t="e">
        <f>IF(+All!#REF!="Wake Forest",+All!#REF!,IF(+All!#REF!="Wake Forest",+All!#REF!,0))</f>
        <v>#REF!</v>
      </c>
      <c r="E195" s="461" t="e">
        <f>IF(+All!#REF!="Wake Forest",+All!#REF!,IF(+All!#REF!="Wake Forest",+All!#REF!,0))</f>
        <v>#REF!</v>
      </c>
      <c r="F195" s="460" t="e">
        <f>IF(+All!#REF!="Wake Forest",+All!#REF!,IF(+All!#REF!="Wake Forest",+All!#REF!,0))</f>
        <v>#REF!</v>
      </c>
      <c r="G195" s="461" t="e">
        <f>IF(+All!#REF!="Wake Forest",+All!#REF!,IF(+All!#REF!="Wake Forest",+All!#REF!,0))</f>
        <v>#REF!</v>
      </c>
      <c r="H195" s="460" t="e">
        <f>IF(+All!#REF!="Wake Forest",+All!#REF!,IF(+All!#REF!="Wake Forest",+All!#REF!,0))</f>
        <v>#REF!</v>
      </c>
      <c r="I195" s="461" t="e">
        <f>IF(+All!#REF!="Wake Forest",+All!#REF!,IF(+All!#REF!="Wake Forest",+All!#REF!,0))</f>
        <v>#REF!</v>
      </c>
      <c r="J195" s="460" t="e">
        <f>IF(+All!#REF!="Wake Forest",+All!#REF!,IF(+All!#REF!="Wake Forest",+All!#REF!,0))</f>
        <v>#REF!</v>
      </c>
      <c r="K195" s="461" t="e">
        <f>IF(+All!#REF!="Wake Forest",+All!#REF!,IF(+All!#REF!="Wake Forest",+All!#REF!,0))</f>
        <v>#REF!</v>
      </c>
      <c r="L195" s="60" t="e">
        <f>IF(+All!#REF!="Wake Forest",+All!#REF!,IF(+All!#REF!="Wake Forest",+All!#REF!,0))</f>
        <v>#REF!</v>
      </c>
      <c r="M195" s="61" t="e">
        <f>IF(+All!#REF!="Wake Forest",+All!#REF!,IF(+All!#REF!="Wake Forest",+All!#REF!,0))</f>
        <v>#REF!</v>
      </c>
      <c r="N195" s="460" t="e">
        <f>IF(+All!#REF!="Wake Forest",+All!#REF!,IF(+All!#REF!="Wake Forest",+All!#REF!,0))</f>
        <v>#REF!</v>
      </c>
      <c r="O195" s="462" t="e">
        <f>IF(+All!#REF!="Wake Forest",+All!#REF!,IF(+All!#REF!="Wake Forest",+All!#REF!,0))</f>
        <v>#REF!</v>
      </c>
      <c r="P195" s="462" t="e">
        <f>IF(+All!#REF!="Wake Forest",+All!#REF!,IF(+All!#REF!="Wake Forest",+All!#REF!,0))</f>
        <v>#REF!</v>
      </c>
      <c r="Q195" s="461" t="e">
        <f>IF(+All!#REF!="Wake Forest",+All!#REF!,IF(+All!#REF!="Wake Forest",+All!#REF!,0))</f>
        <v>#REF!</v>
      </c>
      <c r="R195" s="460" t="e">
        <f>IF(+All!#REF!="Wake Forest",+All!#REF!,IF(+All!#REF!="Wake Forest",+All!#REF!,0))</f>
        <v>#REF!</v>
      </c>
      <c r="S195" s="462" t="e">
        <f>IF(+All!#REF!="Wake Forest",+All!#REF!,IF(+All!#REF!="Wake Forest",+All!#REF!,0))</f>
        <v>#REF!</v>
      </c>
      <c r="T195" s="460" t="e">
        <f>IF(+All!#REF!="Wake Forest",+All!#REF!,IF(+All!#REF!="Wake Forest",+All!#REF!,0))</f>
        <v>#REF!</v>
      </c>
      <c r="U195" s="461" t="e">
        <f>IF(+All!#REF!="Wake Forest",+All!#REF!,IF(+All!#REF!="Wake Forest",+All!#REF!,0))</f>
        <v>#REF!</v>
      </c>
    </row>
    <row r="196" spans="1:21" ht="15.75" customHeight="1" x14ac:dyDescent="0.8">
      <c r="A196" s="46">
        <f>IF(+All!$F503="Wake Forest",+All!A503,IF(+All!$H503="Wake Forest",+All!A503,0))</f>
        <v>8</v>
      </c>
      <c r="B196" s="348" t="str">
        <f>IF(+All!$F503="Wake Forest",+All!B503,IF(+All!$H503="Wake Forest",+All!B503,0))</f>
        <v>Sat</v>
      </c>
      <c r="C196" s="72">
        <f>IF(+All!$F503="Wake Forest",+All!C503,IF(+All!$H503="Wake Forest",+All!C503,0))</f>
        <v>44856</v>
      </c>
      <c r="D196" s="73">
        <f>IF(+All!$F503="Wake Forest",+All!D503,IF(+All!$H503="Wake Forest",+All!D503,0))</f>
        <v>0.64583333333333337</v>
      </c>
      <c r="E196" s="461" t="str">
        <f>IF(+All!$F503="Wake Forest",+All!E503,IF(+All!$H503="Wake Forest",+All!E503,0))</f>
        <v>ACC</v>
      </c>
      <c r="F196" s="460" t="str">
        <f>IF(+All!$F503="Wake Forest",+All!F503,IF(+All!$H503="Wake Forest",+All!F503,0))</f>
        <v>Boston College</v>
      </c>
      <c r="G196" s="461" t="str">
        <f>IF(+All!$F503="Wake Forest",+All!G503,IF(+All!$H503="Wake Forest",+All!G503,0))</f>
        <v>ACC</v>
      </c>
      <c r="H196" s="460" t="str">
        <f>IF(+All!$F503="Wake Forest",+All!H503,IF(+All!$H503="Wake Forest",+All!H503,0))</f>
        <v>Wake Forest</v>
      </c>
      <c r="I196" s="461" t="str">
        <f>IF(+All!$F503="Wake Forest",+All!I503,IF(+All!$H503="Wake Forest",+All!I503,0))</f>
        <v>ACC</v>
      </c>
      <c r="J196" s="460" t="str">
        <f>IF(+All!$F503="Wake Forest",+All!J503,IF(+All!$H503="Wake Forest",+All!J503,0))</f>
        <v>Wake Forest</v>
      </c>
      <c r="K196" s="461" t="str">
        <f>IF(+All!$F503="Wake Forest",+All!K503,IF(+All!$H503="Wake Forest",+All!K503,0))</f>
        <v>Boston College</v>
      </c>
      <c r="L196" s="60">
        <f>IF(+All!$F503="Wake Forest",+All!L503,IF(+All!$H503="Wake Forest",+All!L503,0))</f>
        <v>21</v>
      </c>
      <c r="M196" s="61">
        <f>IF(+All!$F503="Wake Forest",+All!M503,IF(+All!$H503="Wake Forest",+All!M503,0))</f>
        <v>60.5</v>
      </c>
      <c r="N196" s="460" t="str">
        <f>IF(+All!$F503="Wake Forest",+All!N503,IF(+All!$H503="Wake Forest",+All!N503,0))</f>
        <v>Wake Forest</v>
      </c>
      <c r="O196" s="462">
        <f>IF(+All!$F503="Wake Forest",+All!O503,IF(+All!$H503="Wake Forest",+All!O503,0))</f>
        <v>43</v>
      </c>
      <c r="P196" s="462" t="str">
        <f>IF(+All!$F503="Wake Forest",+All!P503,IF(+All!$H503="Wake Forest",+All!P503,0))</f>
        <v>Boston College</v>
      </c>
      <c r="Q196" s="461">
        <f>IF(+All!$F503="Wake Forest",+All!Q503,IF(+All!$H503="Wake Forest",+All!Q503,0))</f>
        <v>15</v>
      </c>
      <c r="R196" s="460" t="str">
        <f>IF(+All!$F503="Wake Forest",+All!R503,IF(+All!$H503="Wake Forest",+All!R503,0))</f>
        <v>Wake Forest</v>
      </c>
      <c r="S196" s="462" t="str">
        <f>IF(+All!$F503="Wake Forest",+All!S503,IF(+All!$H503="Wake Forest",+All!S503,0))</f>
        <v>Boston College</v>
      </c>
      <c r="T196" s="460" t="str">
        <f>IF(+All!$F503="Wake Forest",+All!T503,IF(+All!$H503="Wake Forest",+All!T503,0))</f>
        <v>Wake Forest</v>
      </c>
      <c r="U196" s="461" t="str">
        <f>IF(+All!$F503="Wake Forest",+All!U503,IF(+All!$H503="Wake Forest",+All!U503,0))</f>
        <v>W</v>
      </c>
    </row>
    <row r="197" spans="1:21" ht="15.75" customHeight="1" x14ac:dyDescent="0.8">
      <c r="A197" s="46">
        <f>IF(+All!$F555="Wake Forest",+All!A555,IF(+All!$H555="Wake Forest",+All!A555,0))</f>
        <v>9</v>
      </c>
      <c r="B197" s="348" t="str">
        <f>IF(+All!$F555="Wake Forest",+All!B555,IF(+All!$H555="Wake Forest",+All!B555,0))</f>
        <v>Sat</v>
      </c>
      <c r="C197" s="72">
        <f>IF(+All!$F555="Wake Forest",+All!C555,IF(+All!$H555="Wake Forest",+All!C555,0))</f>
        <v>44863</v>
      </c>
      <c r="D197" s="73">
        <f>IF(+All!$F555="Wake Forest",+All!D555,IF(+All!$H555="Wake Forest",+All!D555,0))</f>
        <v>0.64583333333333337</v>
      </c>
      <c r="E197" s="461" t="str">
        <f>IF(+All!$F555="Wake Forest",+All!E555,IF(+All!$H555="Wake Forest",+All!E555,0))</f>
        <v>ACC</v>
      </c>
      <c r="F197" s="460" t="str">
        <f>IF(+All!$F555="Wake Forest",+All!F555,IF(+All!$H555="Wake Forest",+All!F555,0))</f>
        <v>Wake Forest</v>
      </c>
      <c r="G197" s="461" t="str">
        <f>IF(+All!$F555="Wake Forest",+All!G555,IF(+All!$H555="Wake Forest",+All!G555,0))</f>
        <v>ACC</v>
      </c>
      <c r="H197" s="460" t="str">
        <f>IF(+All!$F555="Wake Forest",+All!H555,IF(+All!$H555="Wake Forest",+All!H555,0))</f>
        <v>Louisville</v>
      </c>
      <c r="I197" s="461" t="str">
        <f>IF(+All!$F555="Wake Forest",+All!I555,IF(+All!$H555="Wake Forest",+All!I555,0))</f>
        <v>ACC</v>
      </c>
      <c r="J197" s="460" t="str">
        <f>IF(+All!$F555="Wake Forest",+All!J555,IF(+All!$H555="Wake Forest",+All!J555,0))</f>
        <v>Wake Forest</v>
      </c>
      <c r="K197" s="461" t="str">
        <f>IF(+All!$F555="Wake Forest",+All!K555,IF(+All!$H555="Wake Forest",+All!K555,0))</f>
        <v>Louisville</v>
      </c>
      <c r="L197" s="60">
        <f>IF(+All!$F555="Wake Forest",+All!L555,IF(+All!$H555="Wake Forest",+All!L555,0))</f>
        <v>4</v>
      </c>
      <c r="M197" s="61">
        <f>IF(+All!$F555="Wake Forest",+All!M555,IF(+All!$H555="Wake Forest",+All!M555,0))</f>
        <v>62</v>
      </c>
      <c r="N197" s="460" t="str">
        <f>IF(+All!$F555="Wake Forest",+All!N555,IF(+All!$H555="Wake Forest",+All!N555,0))</f>
        <v>Louisville</v>
      </c>
      <c r="O197" s="462">
        <f>IF(+All!$F555="Wake Forest",+All!O555,IF(+All!$H555="Wake Forest",+All!O555,0))</f>
        <v>41</v>
      </c>
      <c r="P197" s="462" t="str">
        <f>IF(+All!$F555="Wake Forest",+All!P555,IF(+All!$H555="Wake Forest",+All!P555,0))</f>
        <v>Wake Forest</v>
      </c>
      <c r="Q197" s="461">
        <f>IF(+All!$F555="Wake Forest",+All!Q555,IF(+All!$H555="Wake Forest",+All!Q555,0))</f>
        <v>28</v>
      </c>
      <c r="R197" s="460" t="str">
        <f>IF(+All!$F555="Wake Forest",+All!R555,IF(+All!$H555="Wake Forest",+All!R555,0))</f>
        <v>Louisville</v>
      </c>
      <c r="S197" s="462" t="str">
        <f>IF(+All!$F555="Wake Forest",+All!S555,IF(+All!$H555="Wake Forest",+All!S555,0))</f>
        <v>Wake Forest</v>
      </c>
      <c r="T197" s="460" t="str">
        <f>IF(+All!$F555="Wake Forest",+All!T555,IF(+All!$H555="Wake Forest",+All!T555,0))</f>
        <v>Louisville</v>
      </c>
      <c r="U197" s="461" t="str">
        <f>IF(+All!$F555="Wake Forest",+All!U555,IF(+All!$H555="Wake Forest",+All!U555,0))</f>
        <v>W</v>
      </c>
    </row>
    <row r="198" spans="1:21" ht="15.75" customHeight="1" x14ac:dyDescent="0.8">
      <c r="A198" s="46">
        <f>IF(+All!$F609="Wake Forest",+All!A609,IF(+All!$H609="Wake Forest",+All!A609,0))</f>
        <v>10</v>
      </c>
      <c r="B198" s="348" t="str">
        <f>IF(+All!$F609="Wake Forest",+All!B609,IF(+All!$H609="Wake Forest",+All!B609,0))</f>
        <v>Sat</v>
      </c>
      <c r="C198" s="72">
        <f>IF(+All!$F609="Wake Forest",+All!C609,IF(+All!$H609="Wake Forest",+All!C609,0))</f>
        <v>44870</v>
      </c>
      <c r="D198" s="73">
        <f>IF(+All!$F609="Wake Forest",+All!D609,IF(+All!$H609="Wake Forest",+All!D609,0))</f>
        <v>0.83333333333333337</v>
      </c>
      <c r="E198" s="461" t="str">
        <f>IF(+All!$F609="Wake Forest",+All!E609,IF(+All!$H609="Wake Forest",+All!E609,0))</f>
        <v>ACC</v>
      </c>
      <c r="F198" s="460" t="str">
        <f>IF(+All!$F609="Wake Forest",+All!F609,IF(+All!$H609="Wake Forest",+All!F609,0))</f>
        <v>Wake Forest</v>
      </c>
      <c r="G198" s="461" t="str">
        <f>IF(+All!$F609="Wake Forest",+All!G609,IF(+All!$H609="Wake Forest",+All!G609,0))</f>
        <v>ACC</v>
      </c>
      <c r="H198" s="460" t="str">
        <f>IF(+All!$F609="Wake Forest",+All!H609,IF(+All!$H609="Wake Forest",+All!H609,0))</f>
        <v>North Carolina St</v>
      </c>
      <c r="I198" s="461" t="str">
        <f>IF(+All!$F609="Wake Forest",+All!I609,IF(+All!$H609="Wake Forest",+All!I609,0))</f>
        <v>ACC</v>
      </c>
      <c r="J198" s="460" t="str">
        <f>IF(+All!$F609="Wake Forest",+All!J609,IF(+All!$H609="Wake Forest",+All!J609,0))</f>
        <v>Wake Forest</v>
      </c>
      <c r="K198" s="461" t="str">
        <f>IF(+All!$F609="Wake Forest",+All!K609,IF(+All!$H609="Wake Forest",+All!K609,0))</f>
        <v>North Carolina St</v>
      </c>
      <c r="L198" s="60">
        <f>IF(+All!$F609="Wake Forest",+All!L609,IF(+All!$H609="Wake Forest",+All!L609,0))</f>
        <v>4.5</v>
      </c>
      <c r="M198" s="61">
        <f>IF(+All!$F609="Wake Forest",+All!M609,IF(+All!$H609="Wake Forest",+All!M609,0))</f>
        <v>54</v>
      </c>
      <c r="N198" s="460" t="str">
        <f>IF(+All!$F609="Wake Forest",+All!N609,IF(+All!$H609="Wake Forest",+All!N609,0))</f>
        <v>North Carolina St</v>
      </c>
      <c r="O198" s="462">
        <f>IF(+All!$F609="Wake Forest",+All!O609,IF(+All!$H609="Wake Forest",+All!O609,0))</f>
        <v>30</v>
      </c>
      <c r="P198" s="462" t="str">
        <f>IF(+All!$F609="Wake Forest",+All!P609,IF(+All!$H609="Wake Forest",+All!P609,0))</f>
        <v>Wake Forest</v>
      </c>
      <c r="Q198" s="461">
        <f>IF(+All!$F609="Wake Forest",+All!Q609,IF(+All!$H609="Wake Forest",+All!Q609,0))</f>
        <v>21</v>
      </c>
      <c r="R198" s="460" t="str">
        <f>IF(+All!$F609="Wake Forest",+All!R609,IF(+All!$H609="Wake Forest",+All!R609,0))</f>
        <v>North Carolina St</v>
      </c>
      <c r="S198" s="462" t="str">
        <f>IF(+All!$F609="Wake Forest",+All!S609,IF(+All!$H609="Wake Forest",+All!S609,0))</f>
        <v>Wake Forest</v>
      </c>
      <c r="T198" s="460" t="str">
        <f>IF(+All!$F609="Wake Forest",+All!T609,IF(+All!$H609="Wake Forest",+All!T609,0))</f>
        <v>Wake Forest</v>
      </c>
      <c r="U198" s="461" t="str">
        <f>IF(+All!$F609="Wake Forest",+All!U609,IF(+All!$H609="Wake Forest",+All!U609,0))</f>
        <v>L</v>
      </c>
    </row>
    <row r="199" spans="1:21" ht="15.75" customHeight="1" x14ac:dyDescent="0.8">
      <c r="A199" s="46">
        <f>IF(+All!$F674="Wake Forest",+All!A674,IF(+All!$H674="Wake Forest",+All!A674,0))</f>
        <v>11</v>
      </c>
      <c r="B199" s="348" t="str">
        <f>IF(+All!$F674="Wake Forest",+All!B674,IF(+All!$H674="Wake Forest",+All!B674,0))</f>
        <v>Sat</v>
      </c>
      <c r="C199" s="72">
        <f>IF(+All!$F674="Wake Forest",+All!C674,IF(+All!$H674="Wake Forest",+All!C674,0))</f>
        <v>44877</v>
      </c>
      <c r="D199" s="73">
        <f>IF(+All!$F674="Wake Forest",+All!D674,IF(+All!$H674="Wake Forest",+All!D674,0))</f>
        <v>0.8125</v>
      </c>
      <c r="E199" s="461" t="str">
        <f>IF(+All!$F674="Wake Forest",+All!E674,IF(+All!$H674="Wake Forest",+All!E674,0))</f>
        <v>ESPN2</v>
      </c>
      <c r="F199" s="460" t="str">
        <f>IF(+All!$F674="Wake Forest",+All!F674,IF(+All!$H674="Wake Forest",+All!F674,0))</f>
        <v>North Carolina</v>
      </c>
      <c r="G199" s="461" t="str">
        <f>IF(+All!$F674="Wake Forest",+All!G674,IF(+All!$H674="Wake Forest",+All!G674,0))</f>
        <v>ACC</v>
      </c>
      <c r="H199" s="460" t="str">
        <f>IF(+All!$F674="Wake Forest",+All!H674,IF(+All!$H674="Wake Forest",+All!H674,0))</f>
        <v>Wake Forest</v>
      </c>
      <c r="I199" s="461" t="str">
        <f>IF(+All!$F674="Wake Forest",+All!I674,IF(+All!$H674="Wake Forest",+All!I674,0))</f>
        <v>ACC</v>
      </c>
      <c r="J199" s="460" t="str">
        <f>IF(+All!$F674="Wake Forest",+All!J674,IF(+All!$H674="Wake Forest",+All!J674,0))</f>
        <v>Wake Forest</v>
      </c>
      <c r="K199" s="461" t="str">
        <f>IF(+All!$F674="Wake Forest",+All!K674,IF(+All!$H674="Wake Forest",+All!K674,0))</f>
        <v>North Carolina</v>
      </c>
      <c r="L199" s="60">
        <f>IF(+All!$F674="Wake Forest",+All!L674,IF(+All!$H674="Wake Forest",+All!L674,0))</f>
        <v>3.5</v>
      </c>
      <c r="M199" s="61">
        <f>IF(+All!$F674="Wake Forest",+All!M674,IF(+All!$H674="Wake Forest",+All!M674,0))</f>
        <v>77</v>
      </c>
      <c r="N199" s="460" t="str">
        <f>IF(+All!$F674="Wake Forest",+All!N674,IF(+All!$H674="Wake Forest",+All!N674,0))</f>
        <v>North Carolina</v>
      </c>
      <c r="O199" s="462">
        <f>IF(+All!$F674="Wake Forest",+All!O674,IF(+All!$H674="Wake Forest",+All!O674,0))</f>
        <v>36</v>
      </c>
      <c r="P199" s="462" t="str">
        <f>IF(+All!$F674="Wake Forest",+All!P674,IF(+All!$H674="Wake Forest",+All!P674,0))</f>
        <v>Wake Forest</v>
      </c>
      <c r="Q199" s="461">
        <f>IF(+All!$F674="Wake Forest",+All!Q674,IF(+All!$H674="Wake Forest",+All!Q674,0))</f>
        <v>34</v>
      </c>
      <c r="R199" s="460" t="str">
        <f>IF(+All!$F674="Wake Forest",+All!R674,IF(+All!$H674="Wake Forest",+All!R674,0))</f>
        <v>North Carolina</v>
      </c>
      <c r="S199" s="462" t="str">
        <f>IF(+All!$F674="Wake Forest",+All!S674,IF(+All!$H674="Wake Forest",+All!S674,0))</f>
        <v>Wake Forest</v>
      </c>
      <c r="T199" s="460" t="str">
        <f>IF(+All!$F674="Wake Forest",+All!T674,IF(+All!$H674="Wake Forest",+All!T674,0))</f>
        <v>North Carolina</v>
      </c>
      <c r="U199" s="461" t="str">
        <f>IF(+All!$F674="Wake Forest",+All!U674,IF(+All!$H674="Wake Forest",+All!U674,0))</f>
        <v>W</v>
      </c>
    </row>
    <row r="200" spans="1:21" ht="15.75" customHeight="1" x14ac:dyDescent="0.8">
      <c r="A200" s="46">
        <f>IF(+All!$F736="Wake Forest",+All!A736,IF(+All!$H736="Wake Forest",+All!A736,0))</f>
        <v>12</v>
      </c>
      <c r="B200" s="348" t="str">
        <f>IF(+All!$F736="Wake Forest",+All!B736,IF(+All!$H736="Wake Forest",+All!B736,0))</f>
        <v>Sat</v>
      </c>
      <c r="C200" s="72">
        <f>IF(+All!$F736="Wake Forest",+All!C736,IF(+All!$H736="Wake Forest",+All!C736,0))</f>
        <v>44884</v>
      </c>
      <c r="D200" s="73">
        <f>IF(+All!$F736="Wake Forest",+All!D736,IF(+All!$H736="Wake Forest",+All!D736,0))</f>
        <v>0.83333333333333337</v>
      </c>
      <c r="E200" s="461" t="str">
        <f>IF(+All!$F736="Wake Forest",+All!E736,IF(+All!$H736="Wake Forest",+All!E736,0))</f>
        <v>ACC</v>
      </c>
      <c r="F200" s="460" t="str">
        <f>IF(+All!$F736="Wake Forest",+All!F736,IF(+All!$H736="Wake Forest",+All!F736,0))</f>
        <v>Syracuse</v>
      </c>
      <c r="G200" s="461" t="str">
        <f>IF(+All!$F736="Wake Forest",+All!G736,IF(+All!$H736="Wake Forest",+All!G736,0))</f>
        <v>ACC</v>
      </c>
      <c r="H200" s="460" t="str">
        <f>IF(+All!$F736="Wake Forest",+All!H736,IF(+All!$H736="Wake Forest",+All!H736,0))</f>
        <v>Wake Forest</v>
      </c>
      <c r="I200" s="461" t="str">
        <f>IF(+All!$F736="Wake Forest",+All!I736,IF(+All!$H736="Wake Forest",+All!I736,0))</f>
        <v>ACC</v>
      </c>
      <c r="J200" s="460" t="str">
        <f>IF(+All!$F736="Wake Forest",+All!J736,IF(+All!$H736="Wake Forest",+All!J736,0))</f>
        <v>Wake Forest</v>
      </c>
      <c r="K200" s="461" t="str">
        <f>IF(+All!$F736="Wake Forest",+All!K736,IF(+All!$H736="Wake Forest",+All!K736,0))</f>
        <v>Syracuse</v>
      </c>
      <c r="L200" s="60">
        <f>IF(+All!$F736="Wake Forest",+All!L736,IF(+All!$H736="Wake Forest",+All!L736,0))</f>
        <v>10</v>
      </c>
      <c r="M200" s="61">
        <f>IF(+All!$F736="Wake Forest",+All!M736,IF(+All!$H736="Wake Forest",+All!M736,0))</f>
        <v>56</v>
      </c>
      <c r="N200" s="460" t="str">
        <f>IF(+All!$F736="Wake Forest",+All!N736,IF(+All!$H736="Wake Forest",+All!N736,0))</f>
        <v>Wake Forest</v>
      </c>
      <c r="O200" s="462">
        <f>IF(+All!$F736="Wake Forest",+All!O736,IF(+All!$H736="Wake Forest",+All!O736,0))</f>
        <v>45</v>
      </c>
      <c r="P200" s="462" t="str">
        <f>IF(+All!$F736="Wake Forest",+All!P736,IF(+All!$H736="Wake Forest",+All!P736,0))</f>
        <v>Syracuse</v>
      </c>
      <c r="Q200" s="461">
        <f>IF(+All!$F736="Wake Forest",+All!Q736,IF(+All!$H736="Wake Forest",+All!Q736,0))</f>
        <v>35</v>
      </c>
      <c r="R200" s="460" t="str">
        <f>IF(+All!$F736="Wake Forest",+All!R736,IF(+All!$H736="Wake Forest",+All!R736,0))</f>
        <v>Wake Forest</v>
      </c>
      <c r="S200" s="462" t="str">
        <f>IF(+All!$F736="Wake Forest",+All!S736,IF(+All!$H736="Wake Forest",+All!S736,0))</f>
        <v>Syracuse</v>
      </c>
      <c r="T200" s="460" t="str">
        <f>IF(+All!$F736="Wake Forest",+All!T736,IF(+All!$H736="Wake Forest",+All!T736,0))</f>
        <v>Wake Forest</v>
      </c>
      <c r="U200" s="461" t="str">
        <f>IF(+All!$F736="Wake Forest",+All!U736,IF(+All!$H736="Wake Forest",+All!U736,0))</f>
        <v>T</v>
      </c>
    </row>
    <row r="201" spans="1:21" ht="15.75" customHeight="1" x14ac:dyDescent="0.8">
      <c r="A201" s="46">
        <f>IF(+All!$F805="Wake Forest",+All!A805,IF(+All!$H805="Wake Forest",+All!A805,0))</f>
        <v>13</v>
      </c>
      <c r="B201" s="348" t="str">
        <f>IF(+All!$F805="Wake Forest",+All!B805,IF(+All!$H805="Wake Forest",+All!B805,0))</f>
        <v>Sat</v>
      </c>
      <c r="C201" s="72">
        <f>IF(+All!$F805="Wake Forest",+All!C805,IF(+All!$H805="Wake Forest",+All!C805,0))</f>
        <v>44891</v>
      </c>
      <c r="D201" s="73">
        <f>IF(+All!$F805="Wake Forest",+All!D805,IF(+All!$H805="Wake Forest",+All!D805,0))</f>
        <v>0.64583333333333337</v>
      </c>
      <c r="E201" s="461" t="str">
        <f>IF(+All!$F805="Wake Forest",+All!E805,IF(+All!$H805="Wake Forest",+All!E805,0))</f>
        <v>ACC</v>
      </c>
      <c r="F201" s="460" t="str">
        <f>IF(+All!$F805="Wake Forest",+All!F805,IF(+All!$H805="Wake Forest",+All!F805,0))</f>
        <v>Wake Forest</v>
      </c>
      <c r="G201" s="461" t="str">
        <f>IF(+All!$F805="Wake Forest",+All!G805,IF(+All!$H805="Wake Forest",+All!G805,0))</f>
        <v>ACC</v>
      </c>
      <c r="H201" s="460" t="str">
        <f>IF(+All!$F805="Wake Forest",+All!H805,IF(+All!$H805="Wake Forest",+All!H805,0))</f>
        <v>Duke</v>
      </c>
      <c r="I201" s="461" t="str">
        <f>IF(+All!$F805="Wake Forest",+All!I805,IF(+All!$H805="Wake Forest",+All!I805,0))</f>
        <v>ACC</v>
      </c>
      <c r="J201" s="460" t="str">
        <f>IF(+All!$F805="Wake Forest",+All!J805,IF(+All!$H805="Wake Forest",+All!J805,0))</f>
        <v>Wake Forest</v>
      </c>
      <c r="K201" s="461" t="str">
        <f>IF(+All!$F805="Wake Forest",+All!K805,IF(+All!$H805="Wake Forest",+All!K805,0))</f>
        <v>Duke</v>
      </c>
      <c r="L201" s="60">
        <f>IF(+All!$F805="Wake Forest",+All!L805,IF(+All!$H805="Wake Forest",+All!L805,0))</f>
        <v>3.5</v>
      </c>
      <c r="M201" s="61">
        <f>IF(+All!$F805="Wake Forest",+All!M805,IF(+All!$H805="Wake Forest",+All!M805,0))</f>
        <v>66.5</v>
      </c>
      <c r="N201" s="460" t="str">
        <f>IF(+All!$F805="Wake Forest",+All!N805,IF(+All!$H805="Wake Forest",+All!N805,0))</f>
        <v>Duke</v>
      </c>
      <c r="O201" s="462">
        <f>IF(+All!$F805="Wake Forest",+All!O805,IF(+All!$H805="Wake Forest",+All!O805,0))</f>
        <v>34</v>
      </c>
      <c r="P201" s="462" t="str">
        <f>IF(+All!$F805="Wake Forest",+All!P805,IF(+All!$H805="Wake Forest",+All!P805,0))</f>
        <v>Wake Forest</v>
      </c>
      <c r="Q201" s="461">
        <f>IF(+All!$F805="Wake Forest",+All!Q805,IF(+All!$H805="Wake Forest",+All!Q805,0))</f>
        <v>31</v>
      </c>
      <c r="R201" s="460" t="str">
        <f>IF(+All!$F805="Wake Forest",+All!R805,IF(+All!$H805="Wake Forest",+All!R805,0))</f>
        <v>Duke</v>
      </c>
      <c r="S201" s="462" t="str">
        <f>IF(+All!$F805="Wake Forest",+All!S805,IF(+All!$H805="Wake Forest",+All!S805,0))</f>
        <v>Wake Forest</v>
      </c>
      <c r="T201" s="460" t="str">
        <f>IF(+All!$F805="Wake Forest",+All!T805,IF(+All!$H805="Wake Forest",+All!T805,0))</f>
        <v>Duke</v>
      </c>
      <c r="U201" s="461" t="str">
        <f>IF(+All!$F805="Wake Forest",+All!U805,IF(+All!$H805="Wake Forest",+All!U805,0))</f>
        <v>W</v>
      </c>
    </row>
  </sheetData>
  <autoFilter ref="A2:U3" xr:uid="{403E029A-637A-4A28-BE5B-DAF837DBAC5F}"/>
  <sortState xmlns:xlrd2="http://schemas.microsoft.com/office/spreadsheetml/2017/richdata2" ref="A32:U44">
    <sortCondition ref="A32:A44"/>
    <sortCondition ref="H32:H44"/>
  </sortState>
  <mergeCells count="17">
    <mergeCell ref="F3:I3"/>
    <mergeCell ref="N1:Q1"/>
    <mergeCell ref="R1:S1"/>
    <mergeCell ref="F1:I1"/>
    <mergeCell ref="F188:I188"/>
    <mergeCell ref="F146:I146"/>
    <mergeCell ref="F102:I102"/>
    <mergeCell ref="F118:I118"/>
    <mergeCell ref="F132:I132"/>
    <mergeCell ref="F160:I160"/>
    <mergeCell ref="F174:I174"/>
    <mergeCell ref="F60:I60"/>
    <mergeCell ref="F88:I88"/>
    <mergeCell ref="F74:I74"/>
    <mergeCell ref="F17:I17"/>
    <mergeCell ref="F31:I31"/>
    <mergeCell ref="F45:I45"/>
  </mergeCells>
  <pageMargins left="0.25" right="0.25" top="0.25" bottom="0.25" header="0" footer="0"/>
  <pageSetup scale="58" fitToHeight="0" orientation="landscape" r:id="rId1"/>
  <headerFooter alignWithMargins="0">
    <oddFooter>&amp;C&amp;36ACC</oddFooter>
  </headerFooter>
  <rowBreaks count="3" manualBreakCount="3">
    <brk id="59" max="18" man="1"/>
    <brk id="117" max="18" man="1"/>
    <brk id="159" max="18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U201"/>
  <sheetViews>
    <sheetView view="pageBreakPreview" topLeftCell="A116" zoomScale="75" zoomScaleNormal="75" zoomScaleSheetLayoutView="75" workbookViewId="0">
      <selection activeCell="J131" sqref="J131"/>
    </sheetView>
  </sheetViews>
  <sheetFormatPr defaultColWidth="8.86328125" defaultRowHeight="16" x14ac:dyDescent="0.8"/>
  <cols>
    <col min="1" max="1" width="5.6796875" style="46" customWidth="1"/>
    <col min="2" max="2" width="5.6796875" style="47" hidden="1" customWidth="1"/>
    <col min="3" max="3" width="13" style="72" hidden="1" customWidth="1"/>
    <col min="4" max="4" width="11.6796875" style="73" hidden="1" customWidth="1"/>
    <col min="5" max="5" width="9.1328125" style="50" hidden="1" customWidth="1"/>
    <col min="6" max="6" width="24.453125" style="53" customWidth="1"/>
    <col min="7" max="7" width="8.6796875" style="50" hidden="1" customWidth="1"/>
    <col min="8" max="8" width="24.453125" style="53" customWidth="1"/>
    <col min="9" max="9" width="8.6796875" style="50" hidden="1" customWidth="1"/>
    <col min="10" max="10" width="24.453125" style="53" customWidth="1"/>
    <col min="11" max="11" width="24.453125" style="50" customWidth="1"/>
    <col min="12" max="12" width="8" style="60" customWidth="1"/>
    <col min="13" max="13" width="8" style="61" customWidth="1"/>
    <col min="14" max="14" width="24.453125" style="53" customWidth="1"/>
    <col min="15" max="15" width="5.6796875" style="56" customWidth="1"/>
    <col min="16" max="16" width="24.453125" style="56" customWidth="1"/>
    <col min="17" max="17" width="5.6796875" style="50" customWidth="1"/>
    <col min="18" max="18" width="24.453125" style="53" customWidth="1"/>
    <col min="19" max="19" width="24.453125" style="56" customWidth="1"/>
    <col min="20" max="20" width="27.6796875" style="53" customWidth="1"/>
    <col min="21" max="21" width="6.54296875" style="50" customWidth="1"/>
    <col min="22" max="16384" width="8.86328125" style="9"/>
  </cols>
  <sheetData>
    <row r="1" spans="1:21" s="21" customFormat="1" ht="16" customHeight="1" x14ac:dyDescent="0.8">
      <c r="A1" s="10"/>
      <c r="B1" s="10"/>
      <c r="C1" s="11"/>
      <c r="D1" s="12"/>
      <c r="E1" s="13"/>
      <c r="F1" s="895" t="s">
        <v>2</v>
      </c>
      <c r="G1" s="900"/>
      <c r="H1" s="900"/>
      <c r="I1" s="896"/>
      <c r="J1" s="14"/>
      <c r="K1" s="13"/>
      <c r="L1" s="15"/>
      <c r="M1" s="16"/>
      <c r="N1" s="895" t="s">
        <v>3</v>
      </c>
      <c r="O1" s="900"/>
      <c r="P1" s="900"/>
      <c r="Q1" s="896"/>
      <c r="R1" s="895" t="s">
        <v>4</v>
      </c>
      <c r="S1" s="896"/>
      <c r="T1" s="14"/>
      <c r="U1" s="13"/>
    </row>
    <row r="2" spans="1:21" s="21" customFormat="1" ht="16" customHeight="1" x14ac:dyDescent="0.8">
      <c r="A2" s="22" t="s">
        <v>10</v>
      </c>
      <c r="B2" s="23" t="s">
        <v>11</v>
      </c>
      <c r="C2" s="24" t="s">
        <v>12</v>
      </c>
      <c r="D2" s="25" t="s">
        <v>13</v>
      </c>
      <c r="E2" s="26" t="s">
        <v>14</v>
      </c>
      <c r="F2" s="27" t="s">
        <v>6</v>
      </c>
      <c r="G2" s="26" t="s">
        <v>15</v>
      </c>
      <c r="H2" s="27" t="s">
        <v>8</v>
      </c>
      <c r="I2" s="26" t="s">
        <v>15</v>
      </c>
      <c r="J2" s="27" t="s">
        <v>16</v>
      </c>
      <c r="K2" s="26" t="s">
        <v>17</v>
      </c>
      <c r="L2" s="28" t="s">
        <v>18</v>
      </c>
      <c r="M2" s="29" t="s">
        <v>19</v>
      </c>
      <c r="N2" s="27" t="s">
        <v>20</v>
      </c>
      <c r="O2" s="30"/>
      <c r="P2" s="30" t="s">
        <v>21</v>
      </c>
      <c r="Q2" s="31"/>
      <c r="R2" s="27" t="s">
        <v>20</v>
      </c>
      <c r="S2" s="30" t="s">
        <v>21</v>
      </c>
      <c r="T2" s="27" t="s">
        <v>22</v>
      </c>
      <c r="U2" s="26" t="s">
        <v>23</v>
      </c>
    </row>
    <row r="3" spans="1:21" x14ac:dyDescent="0.8">
      <c r="A3" s="38"/>
      <c r="B3" s="39"/>
      <c r="C3" s="40"/>
      <c r="D3" s="41"/>
      <c r="E3" s="42"/>
      <c r="F3" s="897" t="str">
        <f>H6</f>
        <v>Illinois</v>
      </c>
      <c r="G3" s="903"/>
      <c r="H3" s="903"/>
      <c r="I3" s="904"/>
      <c r="J3" s="43"/>
      <c r="K3" s="42"/>
      <c r="L3" s="44"/>
      <c r="M3" s="45"/>
      <c r="N3" s="43"/>
      <c r="O3" s="5"/>
      <c r="P3" s="5"/>
      <c r="Q3" s="42"/>
      <c r="R3" s="43"/>
      <c r="S3" s="5"/>
      <c r="T3" s="43"/>
      <c r="U3" s="42"/>
    </row>
    <row r="4" spans="1:21" x14ac:dyDescent="0.8">
      <c r="A4" s="46">
        <f>IF(+All!$F6="Illinois",+All!A6,IF(+All!$H6="Illinois",+All!A6,0))</f>
        <v>0</v>
      </c>
      <c r="B4" s="348" t="str">
        <f>IF(+All!$F6="Illinois",+All!B6,IF(+All!$H6="Illinois",+All!B6,0))</f>
        <v>Sat</v>
      </c>
      <c r="C4" s="48">
        <f>IF(+All!$F6="Illinois",+All!C6,IF(+All!$H6="Illinois",+All!C6,0))</f>
        <v>44800</v>
      </c>
      <c r="D4" s="490">
        <f>IF(+All!$F6="Illinois",+All!D6,IF(+All!$H6="Illinois",+All!D6,0))</f>
        <v>0.66666666666666663</v>
      </c>
      <c r="E4" s="461" t="str">
        <f>IF(+All!$F6="Illinois",+All!E6,IF(+All!$H6="Illinois",+All!E6,0))</f>
        <v>BTN</v>
      </c>
      <c r="F4" s="51" t="str">
        <f>IF(+All!$F6="Illinois",+All!F6,IF(+All!$H6="Illinois",+All!F6,0))</f>
        <v>Wyoming</v>
      </c>
      <c r="G4" s="52" t="str">
        <f>IF(+All!$F6="Illinois",+All!G6,IF(+All!$H6="Illinois",+All!G6,0))</f>
        <v>MWC</v>
      </c>
      <c r="H4" s="51" t="str">
        <f>IF(+All!$F6="Illinois",+All!H6,IF(+All!$H6="Illinois",+All!H6,0))</f>
        <v>Illinois</v>
      </c>
      <c r="I4" s="52" t="str">
        <f>IF(+All!$F6="Illinois",+All!I6,IF(+All!$H6="Illinois",+All!I6,0))</f>
        <v>B10</v>
      </c>
      <c r="J4" s="460" t="str">
        <f>IF(+All!$F6="Illinois",+All!J6,IF(+All!$H6="Illinois",+All!J6,0))</f>
        <v>Illinois</v>
      </c>
      <c r="K4" s="461" t="str">
        <f>IF(+All!$F6="Illinois",+All!K6,IF(+All!$H6="Illinois",+All!K6,0))</f>
        <v>Wyoming</v>
      </c>
      <c r="L4" s="54">
        <f>IF(+All!$F6="Illinois",+All!L6,IF(+All!$H6="Illinois",+All!L6,0))</f>
        <v>14</v>
      </c>
      <c r="M4" s="55">
        <f>IF(+All!$F6="Illinois",+All!M6,IF(+All!$H6="Illinois",+All!M6,0))</f>
        <v>42.5</v>
      </c>
      <c r="N4" s="460" t="str">
        <f>IF(+All!$F6="Illinois",+All!N6,IF(+All!$H6="Illinois",+All!N6,0))</f>
        <v>Illinois</v>
      </c>
      <c r="O4" s="462">
        <f>IF(+All!$F6="Illinois",+All!O6,IF(+All!$H6="Illinois",+All!O6,0))</f>
        <v>38</v>
      </c>
      <c r="P4" s="462" t="str">
        <f>IF(+All!$F6="Illinois",+All!P6,IF(+All!$H6="Illinois",+All!P6,0))</f>
        <v>Wyoming</v>
      </c>
      <c r="Q4" s="461">
        <f>IF(+All!$F6="Illinois",+All!Q6,IF(+All!$H6="Illinois",+All!Q6,0))</f>
        <v>6</v>
      </c>
      <c r="R4" s="460" t="str">
        <f>IF(+All!$F6="Illinois",+All!R6,IF(+All!$H6="Illinois",+All!R6,0))</f>
        <v>Illinois</v>
      </c>
      <c r="S4" s="462" t="str">
        <f>IF(+All!$F6="Illinois",+All!S6,IF(+All!$H6="Illinois",+All!S6,0))</f>
        <v>Wyoming</v>
      </c>
      <c r="T4" s="460" t="str">
        <f>IF(+All!$F6="Illinois",+All!T6,IF(+All!$H6="Illinois",+All!T6,0))</f>
        <v>Wyoming</v>
      </c>
      <c r="U4" s="461" t="str">
        <f>IF(+All!$F6="Illinois",+All!U6,IF(+All!$H6="Illinois",+All!U6,0))</f>
        <v>L</v>
      </c>
    </row>
    <row r="5" spans="1:21" x14ac:dyDescent="0.8">
      <c r="A5" s="46">
        <f>IF(+All!$F29="Illinois",+All!A29,IF(+All!$H29="Illinois",+All!A29,0))</f>
        <v>1</v>
      </c>
      <c r="B5" s="348" t="str">
        <f>IF(+All!$F29="Illinois",+All!B29,IF(+All!$H29="Illinois",+All!B29,0))</f>
        <v>Fri</v>
      </c>
      <c r="C5" s="48">
        <f>IF(+All!$F29="Illinois",+All!C29,IF(+All!$H29="Illinois",+All!C29,0))</f>
        <v>44806</v>
      </c>
      <c r="D5" s="490">
        <f>IF(+All!$F29="Illinois",+All!D29,IF(+All!$H29="Illinois",+All!D29,0))</f>
        <v>0.83333333333333337</v>
      </c>
      <c r="E5" s="461" t="str">
        <f>IF(+All!$F29="Illinois",+All!E29,IF(+All!$H29="Illinois",+All!E29,0))</f>
        <v>FS1</v>
      </c>
      <c r="F5" s="51" t="str">
        <f>IF(+All!$F29="Illinois",+All!F29,IF(+All!$H29="Illinois",+All!F29,0))</f>
        <v>Illinois</v>
      </c>
      <c r="G5" s="52" t="str">
        <f>IF(+All!$F29="Illinois",+All!G29,IF(+All!$H29="Illinois",+All!G29,0))</f>
        <v>B10</v>
      </c>
      <c r="H5" s="51" t="str">
        <f>IF(+All!$F29="Illinois",+All!H29,IF(+All!$H29="Illinois",+All!H29,0))</f>
        <v>Indiana</v>
      </c>
      <c r="I5" s="52" t="str">
        <f>IF(+All!$F29="Illinois",+All!I29,IF(+All!$H29="Illinois",+All!I29,0))</f>
        <v>B10</v>
      </c>
      <c r="J5" s="460" t="str">
        <f>IF(+All!$F29="Illinois",+All!J29,IF(+All!$H29="Illinois",+All!J29,0))</f>
        <v>Illinois</v>
      </c>
      <c r="K5" s="461" t="str">
        <f>IF(+All!$F29="Illinois",+All!K29,IF(+All!$H29="Illinois",+All!K29,0))</f>
        <v>Indiana</v>
      </c>
      <c r="L5" s="54">
        <f>IF(+All!$F29="Illinois",+All!L29,IF(+All!$H29="Illinois",+All!L29,0))</f>
        <v>3</v>
      </c>
      <c r="M5" s="55">
        <f>IF(+All!$F29="Illinois",+All!M29,IF(+All!$H29="Illinois",+All!M29,0))</f>
        <v>45</v>
      </c>
      <c r="N5" s="460" t="str">
        <f>IF(+All!$F29="Illinois",+All!N29,IF(+All!$H29="Illinois",+All!N29,0))</f>
        <v>Indiana</v>
      </c>
      <c r="O5" s="462">
        <f>IF(+All!$F29="Illinois",+All!O29,IF(+All!$H29="Illinois",+All!O29,0))</f>
        <v>23</v>
      </c>
      <c r="P5" s="462" t="str">
        <f>IF(+All!$F29="Illinois",+All!P29,IF(+All!$H29="Illinois",+All!P29,0))</f>
        <v>Illinois</v>
      </c>
      <c r="Q5" s="461">
        <f>IF(+All!$F29="Illinois",+All!Q29,IF(+All!$H29="Illinois",+All!Q29,0))</f>
        <v>20</v>
      </c>
      <c r="R5" s="460" t="str">
        <f>IF(+All!$F29="Illinois",+All!R29,IF(+All!$H29="Illinois",+All!R29,0))</f>
        <v>Indiana</v>
      </c>
      <c r="S5" s="462" t="str">
        <f>IF(+All!$F29="Illinois",+All!S29,IF(+All!$H29="Illinois",+All!S29,0))</f>
        <v>Illinois</v>
      </c>
      <c r="T5" s="460" t="str">
        <f>IF(+All!$F29="Illinois",+All!T29,IF(+All!$H29="Illinois",+All!T29,0))</f>
        <v>Illinois</v>
      </c>
      <c r="U5" s="461" t="str">
        <f>IF(+All!$F29="Illinois",+All!U29,IF(+All!$H29="Illinois",+All!U29,0))</f>
        <v>L</v>
      </c>
    </row>
    <row r="6" spans="1:21" ht="15.9" customHeight="1" x14ac:dyDescent="0.8">
      <c r="A6" s="46">
        <f>IF(+All!$F114="Illinois",+All!A114,IF(+All!$H114="Illinois",+All!A114,0))</f>
        <v>2</v>
      </c>
      <c r="B6" s="348" t="str">
        <f>IF(+All!$F114="Illinois",+All!B114,IF(+All!$H114="Illinois",+All!B114,0))</f>
        <v>Sat</v>
      </c>
      <c r="C6" s="48">
        <f>IF(+All!$F114="Illinois",+All!C114,IF(+All!$H114="Illinois",+All!C114,0))</f>
        <v>44814</v>
      </c>
      <c r="D6" s="490">
        <f>IF(+All!$F114="Illinois",+All!D114,IF(+All!$H114="Illinois",+All!D114,0))</f>
        <v>0.66666666666666663</v>
      </c>
      <c r="E6" s="461" t="str">
        <f>IF(+All!$F114="Illinois",+All!E114,IF(+All!$H114="Illinois",+All!E114,0))</f>
        <v>ESPNU</v>
      </c>
      <c r="F6" s="51" t="str">
        <f>IF(+All!$F114="Illinois",+All!F114,IF(+All!$H114="Illinois",+All!F114,0))</f>
        <v>Virginia</v>
      </c>
      <c r="G6" s="52" t="str">
        <f>IF(+All!$F114="Illinois",+All!G114,IF(+All!$H114="Illinois",+All!G114,0))</f>
        <v>ACC</v>
      </c>
      <c r="H6" s="51" t="str">
        <f>IF(+All!$F114="Illinois",+All!H114,IF(+All!$H114="Illinois",+All!H114,0))</f>
        <v>Illinois</v>
      </c>
      <c r="I6" s="52" t="str">
        <f>IF(+All!$F114="Illinois",+All!I114,IF(+All!$H114="Illinois",+All!I114,0))</f>
        <v>B10</v>
      </c>
      <c r="J6" s="460" t="str">
        <f>IF(+All!$F114="Illinois",+All!J114,IF(+All!$H114="Illinois",+All!J114,0))</f>
        <v>Illinois</v>
      </c>
      <c r="K6" s="461" t="str">
        <f>IF(+All!$F114="Illinois",+All!K114,IF(+All!$H114="Illinois",+All!K114,0))</f>
        <v>Virginia</v>
      </c>
      <c r="L6" s="54">
        <f>IF(+All!$F114="Illinois",+All!L114,IF(+All!$H114="Illinois",+All!L114,0))</f>
        <v>4.5</v>
      </c>
      <c r="M6" s="55">
        <f>IF(+All!$F114="Illinois",+All!M114,IF(+All!$H114="Illinois",+All!M114,0))</f>
        <v>57</v>
      </c>
      <c r="N6" s="460" t="str">
        <f>IF(+All!$F114="Illinois",+All!N114,IF(+All!$H114="Illinois",+All!N114,0))</f>
        <v>Illinois</v>
      </c>
      <c r="O6" s="462">
        <f>IF(+All!$F114="Illinois",+All!O114,IF(+All!$H114="Illinois",+All!O114,0))</f>
        <v>24</v>
      </c>
      <c r="P6" s="462" t="str">
        <f>IF(+All!$F114="Illinois",+All!P114,IF(+All!$H114="Illinois",+All!P114,0))</f>
        <v>Virginia</v>
      </c>
      <c r="Q6" s="461">
        <f>IF(+All!$F114="Illinois",+All!Q114,IF(+All!$H114="Illinois",+All!Q114,0))</f>
        <v>3</v>
      </c>
      <c r="R6" s="460" t="str">
        <f>IF(+All!$F114="Illinois",+All!R114,IF(+All!$H114="Illinois",+All!R114,0))</f>
        <v>Illinois</v>
      </c>
      <c r="S6" s="462" t="str">
        <f>IF(+All!$F114="Illinois",+All!S114,IF(+All!$H114="Illinois",+All!S114,0))</f>
        <v>Virginia</v>
      </c>
      <c r="T6" s="460" t="str">
        <f>IF(+All!$F114="Illinois",+All!T114,IF(+All!$H114="Illinois",+All!T114,0))</f>
        <v>Illinois</v>
      </c>
      <c r="U6" s="461" t="str">
        <f>IF(+All!$F114="Illinois",+All!U114,IF(+All!$H114="Illinois",+All!U114,0))</f>
        <v>W</v>
      </c>
    </row>
    <row r="7" spans="1:21" x14ac:dyDescent="0.8">
      <c r="A7" s="46" t="e">
        <f>IF(+All!#REF!="Illinois",+All!#REF!,IF(+All!#REF!="Illinois",+All!#REF!,0))</f>
        <v>#REF!</v>
      </c>
      <c r="B7" s="348" t="e">
        <f>IF(+All!#REF!="Illinois",+All!#REF!,IF(+All!#REF!="Illinois",+All!#REF!,0))</f>
        <v>#REF!</v>
      </c>
      <c r="C7" s="48" t="e">
        <f>IF(+All!#REF!="Illinois",+All!#REF!,IF(+All!#REF!="Illinois",+All!#REF!,0))</f>
        <v>#REF!</v>
      </c>
      <c r="D7" s="490" t="e">
        <f>IF(+All!#REF!="Illinois",+All!#REF!,IF(+All!#REF!="Illinois",+All!#REF!,0))</f>
        <v>#REF!</v>
      </c>
      <c r="E7" s="461" t="e">
        <f>IF(+All!#REF!="Illinois",+All!#REF!,IF(+All!#REF!="Illinois",+All!#REF!,0))</f>
        <v>#REF!</v>
      </c>
      <c r="F7" s="51" t="e">
        <f>IF(+All!#REF!="Illinois",+All!#REF!,IF(+All!#REF!="Illinois",+All!#REF!,0))</f>
        <v>#REF!</v>
      </c>
      <c r="G7" s="52" t="e">
        <f>IF(+All!#REF!="Illinois",+All!#REF!,IF(+All!#REF!="Illinois",+All!#REF!,0))</f>
        <v>#REF!</v>
      </c>
      <c r="H7" s="51" t="e">
        <f>IF(+All!#REF!="Illinois",+All!#REF!,IF(+All!#REF!="Illinois",+All!#REF!,0))</f>
        <v>#REF!</v>
      </c>
      <c r="I7" s="52" t="e">
        <f>IF(+All!#REF!="Illinois",+All!#REF!,IF(+All!#REF!="Illinois",+All!#REF!,0))</f>
        <v>#REF!</v>
      </c>
      <c r="J7" s="460" t="e">
        <f>IF(+All!#REF!="Illinois",+All!#REF!,IF(+All!#REF!="Illinois",+All!#REF!,0))</f>
        <v>#REF!</v>
      </c>
      <c r="K7" s="461" t="e">
        <f>IF(+All!#REF!="Illinois",+All!#REF!,IF(+All!#REF!="Illinois",+All!#REF!,0))</f>
        <v>#REF!</v>
      </c>
      <c r="L7" s="54" t="e">
        <f>IF(+All!#REF!="Illinois",+All!#REF!,IF(+All!#REF!="Illinois",+All!#REF!,0))</f>
        <v>#REF!</v>
      </c>
      <c r="M7" s="55" t="e">
        <f>IF(+All!#REF!="Illinois",+All!#REF!,IF(+All!#REF!="Illinois",+All!#REF!,0))</f>
        <v>#REF!</v>
      </c>
      <c r="N7" s="460" t="e">
        <f>IF(+All!#REF!="Illinois",+All!#REF!,IF(+All!#REF!="Illinois",+All!#REF!,0))</f>
        <v>#REF!</v>
      </c>
      <c r="O7" s="462" t="e">
        <f>IF(+All!#REF!="Illinois",+All!#REF!,IF(+All!#REF!="Illinois",+All!#REF!,0))</f>
        <v>#REF!</v>
      </c>
      <c r="P7" s="462" t="e">
        <f>IF(+All!#REF!="Illinois",+All!#REF!,IF(+All!#REF!="Illinois",+All!#REF!,0))</f>
        <v>#REF!</v>
      </c>
      <c r="Q7" s="461" t="e">
        <f>IF(+All!#REF!="Illinois",+All!#REF!,IF(+All!#REF!="Illinois",+All!#REF!,0))</f>
        <v>#REF!</v>
      </c>
      <c r="R7" s="460" t="e">
        <f>IF(+All!#REF!="Illinois",+All!#REF!,IF(+All!#REF!="Illinois",+All!#REF!,0))</f>
        <v>#REF!</v>
      </c>
      <c r="S7" s="462" t="e">
        <f>IF(+All!#REF!="Illinois",+All!#REF!,IF(+All!#REF!="Illinois",+All!#REF!,0))</f>
        <v>#REF!</v>
      </c>
      <c r="T7" s="460" t="e">
        <f>IF(+All!#REF!="Illinois",+All!#REF!,IF(+All!#REF!="Illinois",+All!#REF!,0))</f>
        <v>#REF!</v>
      </c>
      <c r="U7" s="461" t="e">
        <f>IF(+All!#REF!="Illinois",+All!#REF!,IF(+All!#REF!="Illinois",+All!#REF!,0))</f>
        <v>#REF!</v>
      </c>
    </row>
    <row r="8" spans="1:21" ht="15.9" customHeight="1" x14ac:dyDescent="0.8">
      <c r="A8" s="46">
        <f>IF(+All!$F253="Illinois",+All!A253,IF(+All!$H253="Illinois",+All!A253,0))</f>
        <v>4</v>
      </c>
      <c r="B8" s="348" t="str">
        <f>IF(+All!$F253="Illinois",+All!B253,IF(+All!$H253="Illinois",+All!B253,0))</f>
        <v>Thurs</v>
      </c>
      <c r="C8" s="48">
        <f>IF(+All!$F253="Illinois",+All!C253,IF(+All!$H253="Illinois",+All!C253,0))</f>
        <v>44826</v>
      </c>
      <c r="D8" s="490">
        <f>IF(+All!$F253="Illinois",+All!D253,IF(+All!$H253="Illinois",+All!D253,0))</f>
        <v>0.85416666666666663</v>
      </c>
      <c r="E8" s="461" t="str">
        <f>IF(+All!$F253="Illinois",+All!E253,IF(+All!$H253="Illinois",+All!E253,0))</f>
        <v>BTN</v>
      </c>
      <c r="F8" s="51" t="str">
        <f>IF(+All!$F253="Illinois",+All!F253,IF(+All!$H253="Illinois",+All!F253,0))</f>
        <v>1AA Chattanooga</v>
      </c>
      <c r="G8" s="52" t="str">
        <f>IF(+All!$F253="Illinois",+All!G253,IF(+All!$H253="Illinois",+All!G253,0))</f>
        <v>1AA</v>
      </c>
      <c r="H8" s="51" t="str">
        <f>IF(+All!$F253="Illinois",+All!H253,IF(+All!$H253="Illinois",+All!H253,0))</f>
        <v>Illinois</v>
      </c>
      <c r="I8" s="52" t="str">
        <f>IF(+All!$F253="Illinois",+All!I253,IF(+All!$H253="Illinois",+All!I253,0))</f>
        <v>B10</v>
      </c>
      <c r="J8" s="460">
        <f>IF(+All!$F253="Illinois",+All!J253,IF(+All!$H253="Illinois",+All!J253,0))</f>
        <v>0</v>
      </c>
      <c r="K8" s="461">
        <f>IF(+All!$F253="Illinois",+All!K253,IF(+All!$H253="Illinois",+All!K253,0))</f>
        <v>0</v>
      </c>
      <c r="L8" s="54">
        <f>IF(+All!$F253="Illinois",+All!L253,IF(+All!$H253="Illinois",+All!L253,0))</f>
        <v>0</v>
      </c>
      <c r="M8" s="55">
        <f>IF(+All!$F253="Illinois",+All!M253,IF(+All!$H253="Illinois",+All!M253,0))</f>
        <v>0</v>
      </c>
      <c r="N8" s="460" t="str">
        <f>IF(+All!$F253="Illinois",+All!N253,IF(+All!$H253="Illinois",+All!N253,0))</f>
        <v>Illinois</v>
      </c>
      <c r="O8" s="462">
        <f>IF(+All!$F253="Illinois",+All!O253,IF(+All!$H253="Illinois",+All!O253,0))</f>
        <v>31</v>
      </c>
      <c r="P8" s="462" t="str">
        <f>IF(+All!$F253="Illinois",+All!P253,IF(+All!$H253="Illinois",+All!P253,0))</f>
        <v>1AA Chattanooga</v>
      </c>
      <c r="Q8" s="461">
        <f>IF(+All!$F253="Illinois",+All!Q253,IF(+All!$H253="Illinois",+All!Q253,0))</f>
        <v>0</v>
      </c>
      <c r="R8" s="460">
        <f>IF(+All!$F253="Illinois",+All!R253,IF(+All!$H253="Illinois",+All!R253,0))</f>
        <v>0</v>
      </c>
      <c r="S8" s="462">
        <f>IF(+All!$F253="Illinois",+All!S253,IF(+All!$H253="Illinois",+All!S253,0))</f>
        <v>0</v>
      </c>
      <c r="T8" s="460">
        <f>IF(+All!$F253="Illinois",+All!T253,IF(+All!$H253="Illinois",+All!T253,0))</f>
        <v>0</v>
      </c>
      <c r="U8" s="461">
        <f>IF(+All!$F253="Illinois",+All!U253,IF(+All!$H253="Illinois",+All!U253,0))</f>
        <v>0</v>
      </c>
    </row>
    <row r="9" spans="1:21" x14ac:dyDescent="0.8">
      <c r="A9" s="46">
        <f>IF(+All!$F341="Illinois",+All!A341,IF(+All!$H341="Illinois",+All!A341,0))</f>
        <v>5</v>
      </c>
      <c r="B9" s="348" t="str">
        <f>IF(+All!$F341="Illinois",+All!B341,IF(+All!$H341="Illinois",+All!B341,0))</f>
        <v>Sat</v>
      </c>
      <c r="C9" s="48">
        <f>IF(+All!$F341="Illinois",+All!C341,IF(+All!$H341="Illinois",+All!C341,0))</f>
        <v>44835</v>
      </c>
      <c r="D9" s="490">
        <f>IF(+All!$F341="Illinois",+All!D341,IF(+All!$H341="Illinois",+All!D341,0))</f>
        <v>0.5</v>
      </c>
      <c r="E9" s="461" t="str">
        <f>IF(+All!$F341="Illinois",+All!E341,IF(+All!$H341="Illinois",+All!E341,0))</f>
        <v>BTN</v>
      </c>
      <c r="F9" s="51" t="str">
        <f>IF(+All!$F341="Illinois",+All!F341,IF(+All!$H341="Illinois",+All!F341,0))</f>
        <v>Illinois</v>
      </c>
      <c r="G9" s="52" t="str">
        <f>IF(+All!$F341="Illinois",+All!G341,IF(+All!$H341="Illinois",+All!G341,0))</f>
        <v>B10</v>
      </c>
      <c r="H9" s="51" t="str">
        <f>IF(+All!$F341="Illinois",+All!H341,IF(+All!$H341="Illinois",+All!H341,0))</f>
        <v>Wisconsin</v>
      </c>
      <c r="I9" s="52" t="str">
        <f>IF(+All!$F341="Illinois",+All!I341,IF(+All!$H341="Illinois",+All!I341,0))</f>
        <v>B10</v>
      </c>
      <c r="J9" s="460" t="str">
        <f>IF(+All!$F341="Illinois",+All!J341,IF(+All!$H341="Illinois",+All!J341,0))</f>
        <v>Wisconsin</v>
      </c>
      <c r="K9" s="461" t="str">
        <f>IF(+All!$F341="Illinois",+All!K341,IF(+All!$H341="Illinois",+All!K341,0))</f>
        <v>Illinois</v>
      </c>
      <c r="L9" s="54">
        <f>IF(+All!$F341="Illinois",+All!L341,IF(+All!$H341="Illinois",+All!L341,0))</f>
        <v>7</v>
      </c>
      <c r="M9" s="55">
        <f>IF(+All!$F341="Illinois",+All!M341,IF(+All!$H341="Illinois",+All!M341,0))</f>
        <v>43.5</v>
      </c>
      <c r="N9" s="460" t="str">
        <f>IF(+All!$F341="Illinois",+All!N341,IF(+All!$H341="Illinois",+All!N341,0))</f>
        <v>Illinois</v>
      </c>
      <c r="O9" s="462">
        <f>IF(+All!$F341="Illinois",+All!O341,IF(+All!$H341="Illinois",+All!O341,0))</f>
        <v>34</v>
      </c>
      <c r="P9" s="462" t="str">
        <f>IF(+All!$F341="Illinois",+All!P341,IF(+All!$H341="Illinois",+All!P341,0))</f>
        <v>Wisconsin</v>
      </c>
      <c r="Q9" s="461">
        <f>IF(+All!$F341="Illinois",+All!Q341,IF(+All!$H341="Illinois",+All!Q341,0))</f>
        <v>10</v>
      </c>
      <c r="R9" s="460" t="str">
        <f>IF(+All!$F341="Illinois",+All!R341,IF(+All!$H341="Illinois",+All!R341,0))</f>
        <v>Illinois</v>
      </c>
      <c r="S9" s="462" t="str">
        <f>IF(+All!$F341="Illinois",+All!S341,IF(+All!$H341="Illinois",+All!S341,0))</f>
        <v>Wisconsin</v>
      </c>
      <c r="T9" s="460" t="str">
        <f>IF(+All!$F341="Illinois",+All!T341,IF(+All!$H341="Illinois",+All!T341,0))</f>
        <v>Illinois</v>
      </c>
      <c r="U9" s="461" t="str">
        <f>IF(+All!$F341="Illinois",+All!U341,IF(+All!$H341="Illinois",+All!U341,0))</f>
        <v>W</v>
      </c>
    </row>
    <row r="10" spans="1:21" x14ac:dyDescent="0.8">
      <c r="A10" s="46">
        <f>IF(+All!$F396="Illinois",+All!A396,IF(+All!$H396="Illinois",+All!A396,0))</f>
        <v>6</v>
      </c>
      <c r="B10" s="348" t="str">
        <f>IF(+All!$F396="Illinois",+All!B396,IF(+All!$H396="Illinois",+All!B396,0))</f>
        <v>Sat</v>
      </c>
      <c r="C10" s="48">
        <f>IF(+All!$F396="Illinois",+All!C396,IF(+All!$H396="Illinois",+All!C396,0))</f>
        <v>44842</v>
      </c>
      <c r="D10" s="490">
        <f>IF(+All!$F396="Illinois",+All!D396,IF(+All!$H396="Illinois",+All!D396,0))</f>
        <v>0.8125</v>
      </c>
      <c r="E10" s="461" t="str">
        <f>IF(+All!$F396="Illinois",+All!E396,IF(+All!$H396="Illinois",+All!E396,0))</f>
        <v>BTN</v>
      </c>
      <c r="F10" s="51" t="str">
        <f>IF(+All!$F396="Illinois",+All!F396,IF(+All!$H396="Illinois",+All!F396,0))</f>
        <v>Iowa</v>
      </c>
      <c r="G10" s="52" t="str">
        <f>IF(+All!$F396="Illinois",+All!G396,IF(+All!$H396="Illinois",+All!G396,0))</f>
        <v>B10</v>
      </c>
      <c r="H10" s="51" t="str">
        <f>IF(+All!$F396="Illinois",+All!H396,IF(+All!$H396="Illinois",+All!H396,0))</f>
        <v>Illinois</v>
      </c>
      <c r="I10" s="52" t="str">
        <f>IF(+All!$F396="Illinois",+All!I396,IF(+All!$H396="Illinois",+All!I396,0))</f>
        <v>B10</v>
      </c>
      <c r="J10" s="460" t="str">
        <f>IF(+All!$F396="Illinois",+All!J396,IF(+All!$H396="Illinois",+All!J396,0))</f>
        <v>Illinois</v>
      </c>
      <c r="K10" s="461" t="str">
        <f>IF(+All!$F396="Illinois",+All!K396,IF(+All!$H396="Illinois",+All!K396,0))</f>
        <v>Iowa</v>
      </c>
      <c r="L10" s="54">
        <f>IF(+All!$F396="Illinois",+All!L396,IF(+All!$H396="Illinois",+All!L396,0))</f>
        <v>3.5</v>
      </c>
      <c r="M10" s="55">
        <f>IF(+All!$F396="Illinois",+All!M396,IF(+All!$H396="Illinois",+All!M396,0))</f>
        <v>35.5</v>
      </c>
      <c r="N10" s="460" t="str">
        <f>IF(+All!$F396="Illinois",+All!N396,IF(+All!$H396="Illinois",+All!N396,0))</f>
        <v>Illinois</v>
      </c>
      <c r="O10" s="462">
        <f>IF(+All!$F396="Illinois",+All!O396,IF(+All!$H396="Illinois",+All!O396,0))</f>
        <v>9</v>
      </c>
      <c r="P10" s="462" t="str">
        <f>IF(+All!$F396="Illinois",+All!P396,IF(+All!$H396="Illinois",+All!P396,0))</f>
        <v>Iowa</v>
      </c>
      <c r="Q10" s="461">
        <f>IF(+All!$F396="Illinois",+All!Q396,IF(+All!$H396="Illinois",+All!Q396,0))</f>
        <v>6</v>
      </c>
      <c r="R10" s="460" t="str">
        <f>IF(+All!$F396="Illinois",+All!R396,IF(+All!$H396="Illinois",+All!R396,0))</f>
        <v>Iowa</v>
      </c>
      <c r="S10" s="462" t="str">
        <f>IF(+All!$F396="Illinois",+All!S396,IF(+All!$H396="Illinois",+All!S396,0))</f>
        <v>Illinois</v>
      </c>
      <c r="T10" s="460" t="str">
        <f>IF(+All!$F396="Illinois",+All!T396,IF(+All!$H396="Illinois",+All!T396,0))</f>
        <v>Iowa</v>
      </c>
      <c r="U10" s="461" t="str">
        <f>IF(+All!$F396="Illinois",+All!U396,IF(+All!$H396="Illinois",+All!U396,0))</f>
        <v>W</v>
      </c>
    </row>
    <row r="11" spans="1:21" x14ac:dyDescent="0.8">
      <c r="A11" s="46">
        <f>IF(+All!$F449="Illinois",+All!A449,IF(+All!$H449="Illinois",+All!A449,0))</f>
        <v>7</v>
      </c>
      <c r="B11" s="348" t="str">
        <f>IF(+All!$F449="Illinois",+All!B449,IF(+All!$H449="Illinois",+All!B449,0))</f>
        <v>Sat</v>
      </c>
      <c r="C11" s="48">
        <f>IF(+All!$F449="Illinois",+All!C449,IF(+All!$H449="Illinois",+All!C449,0))</f>
        <v>44849</v>
      </c>
      <c r="D11" s="490">
        <f>IF(+All!$F449="Illinois",+All!D449,IF(+All!$H449="Illinois",+All!D449,0))</f>
        <v>0.5</v>
      </c>
      <c r="E11" s="461" t="str">
        <f>IF(+All!$F449="Illinois",+All!E449,IF(+All!$H449="Illinois",+All!E449,0))</f>
        <v>BTN</v>
      </c>
      <c r="F11" s="51" t="str">
        <f>IF(+All!$F449="Illinois",+All!F449,IF(+All!$H449="Illinois",+All!F449,0))</f>
        <v>Minnesota</v>
      </c>
      <c r="G11" s="52" t="str">
        <f>IF(+All!$F449="Illinois",+All!G449,IF(+All!$H449="Illinois",+All!G449,0))</f>
        <v>B10</v>
      </c>
      <c r="H11" s="51" t="str">
        <f>IF(+All!$F449="Illinois",+All!H449,IF(+All!$H449="Illinois",+All!H449,0))</f>
        <v>Illinois</v>
      </c>
      <c r="I11" s="52" t="str">
        <f>IF(+All!$F449="Illinois",+All!I449,IF(+All!$H449="Illinois",+All!I449,0))</f>
        <v>B10</v>
      </c>
      <c r="J11" s="460" t="str">
        <f>IF(+All!$F449="Illinois",+All!J449,IF(+All!$H449="Illinois",+All!J449,0))</f>
        <v>Minnesota</v>
      </c>
      <c r="K11" s="461" t="str">
        <f>IF(+All!$F449="Illinois",+All!K449,IF(+All!$H449="Illinois",+All!K449,0))</f>
        <v>Illinois</v>
      </c>
      <c r="L11" s="54">
        <f>IF(+All!$F449="Illinois",+All!L449,IF(+All!$H449="Illinois",+All!L449,0))</f>
        <v>6.5</v>
      </c>
      <c r="M11" s="55">
        <f>IF(+All!$F449="Illinois",+All!M449,IF(+All!$H449="Illinois",+All!M449,0))</f>
        <v>39.5</v>
      </c>
      <c r="N11" s="460" t="str">
        <f>IF(+All!$F449="Illinois",+All!N449,IF(+All!$H449="Illinois",+All!N449,0))</f>
        <v>Illinois</v>
      </c>
      <c r="O11" s="462">
        <f>IF(+All!$F449="Illinois",+All!O449,IF(+All!$H449="Illinois",+All!O449,0))</f>
        <v>26</v>
      </c>
      <c r="P11" s="462" t="str">
        <f>IF(+All!$F449="Illinois",+All!P449,IF(+All!$H449="Illinois",+All!P449,0))</f>
        <v>Minnesota</v>
      </c>
      <c r="Q11" s="461">
        <f>IF(+All!$F449="Illinois",+All!Q449,IF(+All!$H449="Illinois",+All!Q449,0))</f>
        <v>14</v>
      </c>
      <c r="R11" s="460" t="str">
        <f>IF(+All!$F449="Illinois",+All!R449,IF(+All!$H449="Illinois",+All!R449,0))</f>
        <v>Illinois</v>
      </c>
      <c r="S11" s="462" t="str">
        <f>IF(+All!$F449="Illinois",+All!S449,IF(+All!$H449="Illinois",+All!S449,0))</f>
        <v>Minnesota</v>
      </c>
      <c r="T11" s="460" t="str">
        <f>IF(+All!$F449="Illinois",+All!T449,IF(+All!$H449="Illinois",+All!T449,0))</f>
        <v>Illinois</v>
      </c>
      <c r="U11" s="461" t="str">
        <f>IF(+All!$F449="Illinois",+All!U449,IF(+All!$H449="Illinois",+All!U449,0))</f>
        <v>W</v>
      </c>
    </row>
    <row r="12" spans="1:21" x14ac:dyDescent="0.8">
      <c r="A12" s="46" t="e">
        <f>IF(+All!#REF!="Illinois",+All!#REF!,IF(+All!#REF!="Illinois",+All!#REF!,0))</f>
        <v>#REF!</v>
      </c>
      <c r="B12" s="348" t="e">
        <f>IF(+All!#REF!="Illinois",+All!#REF!,IF(+All!#REF!="Illinois",+All!#REF!,0))</f>
        <v>#REF!</v>
      </c>
      <c r="C12" s="48" t="e">
        <f>IF(+All!#REF!="Illinois",+All!#REF!,IF(+All!#REF!="Illinois",+All!#REF!,0))</f>
        <v>#REF!</v>
      </c>
      <c r="D12" s="490" t="e">
        <f>IF(+All!#REF!="Illinois",+All!#REF!,IF(+All!#REF!="Illinois",+All!#REF!,0))</f>
        <v>#REF!</v>
      </c>
      <c r="E12" s="461" t="e">
        <f>IF(+All!#REF!="Illinois",+All!#REF!,IF(+All!#REF!="Illinois",+All!#REF!,0))</f>
        <v>#REF!</v>
      </c>
      <c r="F12" s="51" t="e">
        <f>IF(+All!#REF!="Illinois",+All!#REF!,IF(+All!#REF!="Illinois",+All!#REF!,0))</f>
        <v>#REF!</v>
      </c>
      <c r="G12" s="52" t="e">
        <f>IF(+All!#REF!="Illinois",+All!#REF!,IF(+All!#REF!="Illinois",+All!#REF!,0))</f>
        <v>#REF!</v>
      </c>
      <c r="H12" s="51" t="e">
        <f>IF(+All!#REF!="Illinois",+All!#REF!,IF(+All!#REF!="Illinois",+All!#REF!,0))</f>
        <v>#REF!</v>
      </c>
      <c r="I12" s="52" t="e">
        <f>IF(+All!#REF!="Illinois",+All!#REF!,IF(+All!#REF!="Illinois",+All!#REF!,0))</f>
        <v>#REF!</v>
      </c>
      <c r="J12" s="460" t="e">
        <f>IF(+All!#REF!="Illinois",+All!#REF!,IF(+All!#REF!="Illinois",+All!#REF!,0))</f>
        <v>#REF!</v>
      </c>
      <c r="K12" s="461" t="e">
        <f>IF(+All!#REF!="Illinois",+All!#REF!,IF(+All!#REF!="Illinois",+All!#REF!,0))</f>
        <v>#REF!</v>
      </c>
      <c r="L12" s="54" t="e">
        <f>IF(+All!#REF!="Illinois",+All!#REF!,IF(+All!#REF!="Illinois",+All!#REF!,0))</f>
        <v>#REF!</v>
      </c>
      <c r="M12" s="55" t="e">
        <f>IF(+All!#REF!="Illinois",+All!#REF!,IF(+All!#REF!="Illinois",+All!#REF!,0))</f>
        <v>#REF!</v>
      </c>
      <c r="N12" s="460" t="e">
        <f>IF(+All!#REF!="Illinois",+All!#REF!,IF(+All!#REF!="Illinois",+All!#REF!,0))</f>
        <v>#REF!</v>
      </c>
      <c r="O12" s="462" t="e">
        <f>IF(+All!#REF!="Illinois",+All!#REF!,IF(+All!#REF!="Illinois",+All!#REF!,0))</f>
        <v>#REF!</v>
      </c>
      <c r="P12" s="462" t="e">
        <f>IF(+All!#REF!="Illinois",+All!#REF!,IF(+All!#REF!="Illinois",+All!#REF!,0))</f>
        <v>#REF!</v>
      </c>
      <c r="Q12" s="461" t="e">
        <f>IF(+All!#REF!="Illinois",+All!#REF!,IF(+All!#REF!="Illinois",+All!#REF!,0))</f>
        <v>#REF!</v>
      </c>
      <c r="R12" s="460" t="e">
        <f>IF(+All!#REF!="Illinois",+All!#REF!,IF(+All!#REF!="Illinois",+All!#REF!,0))</f>
        <v>#REF!</v>
      </c>
      <c r="S12" s="462" t="e">
        <f>IF(+All!#REF!="Illinois",+All!#REF!,IF(+All!#REF!="Illinois",+All!#REF!,0))</f>
        <v>#REF!</v>
      </c>
      <c r="T12" s="460" t="e">
        <f>IF(+All!#REF!="Illinois",+All!#REF!,IF(+All!#REF!="Illinois",+All!#REF!,0))</f>
        <v>#REF!</v>
      </c>
      <c r="U12" s="461" t="e">
        <f>IF(+All!#REF!="Illinois",+All!#REF!,IF(+All!#REF!="Illinois",+All!#REF!,0))</f>
        <v>#REF!</v>
      </c>
    </row>
    <row r="13" spans="1:21" x14ac:dyDescent="0.8">
      <c r="A13" s="46">
        <f>IF(+All!$F562="Illinois",+All!A562,IF(+All!$H562="Illinois",+All!A562,0))</f>
        <v>9</v>
      </c>
      <c r="B13" s="348" t="str">
        <f>IF(+All!$F562="Illinois",+All!B562,IF(+All!$H562="Illinois",+All!B562,0))</f>
        <v>Sat</v>
      </c>
      <c r="C13" s="48">
        <f>IF(+All!$F562="Illinois",+All!C562,IF(+All!$H562="Illinois",+All!C562,0))</f>
        <v>44863</v>
      </c>
      <c r="D13" s="490">
        <f>IF(+All!$F562="Illinois",+All!D562,IF(+All!$H562="Illinois",+All!D562,0))</f>
        <v>0.64583333333333337</v>
      </c>
      <c r="E13" s="461">
        <f>IF(+All!$F562="Illinois",+All!E562,IF(+All!$H562="Illinois",+All!E562,0))</f>
        <v>0</v>
      </c>
      <c r="F13" s="51" t="str">
        <f>IF(+All!$F562="Illinois",+All!F562,IF(+All!$H562="Illinois",+All!F562,0))</f>
        <v>Illinois</v>
      </c>
      <c r="G13" s="52" t="str">
        <f>IF(+All!$F562="Illinois",+All!G562,IF(+All!$H562="Illinois",+All!G562,0))</f>
        <v>B10</v>
      </c>
      <c r="H13" s="51" t="str">
        <f>IF(+All!$F562="Illinois",+All!H562,IF(+All!$H562="Illinois",+All!H562,0))</f>
        <v>Nebraska</v>
      </c>
      <c r="I13" s="52" t="str">
        <f>IF(+All!$F562="Illinois",+All!I562,IF(+All!$H562="Illinois",+All!I562,0))</f>
        <v>B10</v>
      </c>
      <c r="J13" s="460" t="str">
        <f>IF(+All!$F562="Illinois",+All!J562,IF(+All!$H562="Illinois",+All!J562,0))</f>
        <v>Illinois</v>
      </c>
      <c r="K13" s="461" t="str">
        <f>IF(+All!$F562="Illinois",+All!K562,IF(+All!$H562="Illinois",+All!K562,0))</f>
        <v>Nebraska</v>
      </c>
      <c r="L13" s="54">
        <f>IF(+All!$F562="Illinois",+All!L562,IF(+All!$H562="Illinois",+All!L562,0))</f>
        <v>7.5</v>
      </c>
      <c r="M13" s="55">
        <f>IF(+All!$F562="Illinois",+All!M562,IF(+All!$H562="Illinois",+All!M562,0))</f>
        <v>50.5</v>
      </c>
      <c r="N13" s="460" t="str">
        <f>IF(+All!$F562="Illinois",+All!N562,IF(+All!$H562="Illinois",+All!N562,0))</f>
        <v>Illinois</v>
      </c>
      <c r="O13" s="462">
        <f>IF(+All!$F562="Illinois",+All!O562,IF(+All!$H562="Illinois",+All!O562,0))</f>
        <v>26</v>
      </c>
      <c r="P13" s="462" t="str">
        <f>IF(+All!$F562="Illinois",+All!P562,IF(+All!$H562="Illinois",+All!P562,0))</f>
        <v>Nebraska</v>
      </c>
      <c r="Q13" s="461">
        <f>IF(+All!$F562="Illinois",+All!Q562,IF(+All!$H562="Illinois",+All!Q562,0))</f>
        <v>9</v>
      </c>
      <c r="R13" s="460" t="str">
        <f>IF(+All!$F562="Illinois",+All!R562,IF(+All!$H562="Illinois",+All!R562,0))</f>
        <v>Illinois</v>
      </c>
      <c r="S13" s="462" t="str">
        <f>IF(+All!$F562="Illinois",+All!S562,IF(+All!$H562="Illinois",+All!S562,0))</f>
        <v>Nebraska</v>
      </c>
      <c r="T13" s="460" t="str">
        <f>IF(+All!$F562="Illinois",+All!T562,IF(+All!$H562="Illinois",+All!T562,0))</f>
        <v>Illinois</v>
      </c>
      <c r="U13" s="461" t="str">
        <f>IF(+All!$F562="Illinois",+All!U562,IF(+All!$H562="Illinois",+All!U562,0))</f>
        <v>W</v>
      </c>
    </row>
    <row r="14" spans="1:21" x14ac:dyDescent="0.8">
      <c r="A14" s="46">
        <f>IF(+All!$F613="Illinois",+All!A613,IF(+All!$H613="Illinois",+All!A613,0))</f>
        <v>10</v>
      </c>
      <c r="B14" s="348" t="str">
        <f>IF(+All!$F613="Illinois",+All!B613,IF(+All!$H613="Illinois",+All!B613,0))</f>
        <v>Sat</v>
      </c>
      <c r="C14" s="48">
        <f>IF(+All!$F613="Illinois",+All!C613,IF(+All!$H613="Illinois",+All!C613,0))</f>
        <v>44870</v>
      </c>
      <c r="D14" s="490">
        <f>IF(+All!$F613="Illinois",+All!D613,IF(+All!$H613="Illinois",+All!D613,0))</f>
        <v>0.64583333333333337</v>
      </c>
      <c r="E14" s="461" t="str">
        <f>IF(+All!$F613="Illinois",+All!E613,IF(+All!$H613="Illinois",+All!E613,0))</f>
        <v>BTN</v>
      </c>
      <c r="F14" s="51" t="str">
        <f>IF(+All!$F613="Illinois",+All!F613,IF(+All!$H613="Illinois",+All!F613,0))</f>
        <v>Michigan State</v>
      </c>
      <c r="G14" s="52" t="str">
        <f>IF(+All!$F613="Illinois",+All!G613,IF(+All!$H613="Illinois",+All!G613,0))</f>
        <v>B10</v>
      </c>
      <c r="H14" s="51" t="str">
        <f>IF(+All!$F613="Illinois",+All!H613,IF(+All!$H613="Illinois",+All!H613,0))</f>
        <v>Illinois</v>
      </c>
      <c r="I14" s="52" t="str">
        <f>IF(+All!$F613="Illinois",+All!I613,IF(+All!$H613="Illinois",+All!I613,0))</f>
        <v>B10</v>
      </c>
      <c r="J14" s="460" t="str">
        <f>IF(+All!$F613="Illinois",+All!J613,IF(+All!$H613="Illinois",+All!J613,0))</f>
        <v>Illinois</v>
      </c>
      <c r="K14" s="461" t="str">
        <f>IF(+All!$F613="Illinois",+All!K613,IF(+All!$H613="Illinois",+All!K613,0))</f>
        <v>Michigan State</v>
      </c>
      <c r="L14" s="54">
        <f>IF(+All!$F613="Illinois",+All!L613,IF(+All!$H613="Illinois",+All!L613,0))</f>
        <v>16</v>
      </c>
      <c r="M14" s="55">
        <f>IF(+All!$F613="Illinois",+All!M613,IF(+All!$H613="Illinois",+All!M613,0))</f>
        <v>41.5</v>
      </c>
      <c r="N14" s="460" t="str">
        <f>IF(+All!$F613="Illinois",+All!N613,IF(+All!$H613="Illinois",+All!N613,0))</f>
        <v>Michigan State</v>
      </c>
      <c r="O14" s="462">
        <f>IF(+All!$F613="Illinois",+All!O613,IF(+All!$H613="Illinois",+All!O613,0))</f>
        <v>23</v>
      </c>
      <c r="P14" s="462" t="str">
        <f>IF(+All!$F613="Illinois",+All!P613,IF(+All!$H613="Illinois",+All!P613,0))</f>
        <v>Illinois</v>
      </c>
      <c r="Q14" s="461">
        <f>IF(+All!$F613="Illinois",+All!Q613,IF(+All!$H613="Illinois",+All!Q613,0))</f>
        <v>15</v>
      </c>
      <c r="R14" s="460" t="str">
        <f>IF(+All!$F613="Illinois",+All!R613,IF(+All!$H613="Illinois",+All!R613,0))</f>
        <v>Michigan State</v>
      </c>
      <c r="S14" s="462" t="str">
        <f>IF(+All!$F613="Illinois",+All!S613,IF(+All!$H613="Illinois",+All!S613,0))</f>
        <v>Illinois</v>
      </c>
      <c r="T14" s="460" t="str">
        <f>IF(+All!$F613="Illinois",+All!T613,IF(+All!$H613="Illinois",+All!T613,0))</f>
        <v>Michigan State</v>
      </c>
      <c r="U14" s="461" t="str">
        <f>IF(+All!$F613="Illinois",+All!U613,IF(+All!$H613="Illinois",+All!U613,0))</f>
        <v>W</v>
      </c>
    </row>
    <row r="15" spans="1:21" x14ac:dyDescent="0.8">
      <c r="A15" s="46">
        <f>IF(+All!$F675="Illinois",+All!A675,IF(+All!$H675="Illinois",+All!A675,0))</f>
        <v>11</v>
      </c>
      <c r="B15" s="348" t="str">
        <f>IF(+All!$F675="Illinois",+All!B675,IF(+All!$H675="Illinois",+All!B675,0))</f>
        <v>Sat</v>
      </c>
      <c r="C15" s="48">
        <f>IF(+All!$F675="Illinois",+All!C675,IF(+All!$H675="Illinois",+All!C675,0))</f>
        <v>44877</v>
      </c>
      <c r="D15" s="490">
        <f>IF(+All!$F675="Illinois",+All!D675,IF(+All!$H675="Illinois",+All!D675,0))</f>
        <v>0.5</v>
      </c>
      <c r="E15" s="461" t="str">
        <f>IF(+All!$F675="Illinois",+All!E675,IF(+All!$H675="Illinois",+All!E675,0))</f>
        <v>ESPN2</v>
      </c>
      <c r="F15" s="51" t="str">
        <f>IF(+All!$F675="Illinois",+All!F675,IF(+All!$H675="Illinois",+All!F675,0))</f>
        <v>Purdue</v>
      </c>
      <c r="G15" s="52" t="str">
        <f>IF(+All!$F675="Illinois",+All!G675,IF(+All!$H675="Illinois",+All!G675,0))</f>
        <v>B10</v>
      </c>
      <c r="H15" s="51" t="str">
        <f>IF(+All!$F675="Illinois",+All!H675,IF(+All!$H675="Illinois",+All!H675,0))</f>
        <v>Illinois</v>
      </c>
      <c r="I15" s="52" t="str">
        <f>IF(+All!$F675="Illinois",+All!I675,IF(+All!$H675="Illinois",+All!I675,0))</f>
        <v>B10</v>
      </c>
      <c r="J15" s="460" t="str">
        <f>IF(+All!$F675="Illinois",+All!J675,IF(+All!$H675="Illinois",+All!J675,0))</f>
        <v>Illinois</v>
      </c>
      <c r="K15" s="461" t="str">
        <f>IF(+All!$F675="Illinois",+All!K675,IF(+All!$H675="Illinois",+All!K675,0))</f>
        <v>Purdue</v>
      </c>
      <c r="L15" s="54">
        <f>IF(+All!$F675="Illinois",+All!L675,IF(+All!$H675="Illinois",+All!L675,0))</f>
        <v>6.5</v>
      </c>
      <c r="M15" s="55">
        <f>IF(+All!$F675="Illinois",+All!M675,IF(+All!$H675="Illinois",+All!M675,0))</f>
        <v>44</v>
      </c>
      <c r="N15" s="460" t="str">
        <f>IF(+All!$F675="Illinois",+All!N675,IF(+All!$H675="Illinois",+All!N675,0))</f>
        <v>Purdue</v>
      </c>
      <c r="O15" s="462">
        <f>IF(+All!$F675="Illinois",+All!O675,IF(+All!$H675="Illinois",+All!O675,0))</f>
        <v>31</v>
      </c>
      <c r="P15" s="462" t="str">
        <f>IF(+All!$F675="Illinois",+All!P675,IF(+All!$H675="Illinois",+All!P675,0))</f>
        <v>Illinois</v>
      </c>
      <c r="Q15" s="461">
        <f>IF(+All!$F675="Illinois",+All!Q675,IF(+All!$H675="Illinois",+All!Q675,0))</f>
        <v>24</v>
      </c>
      <c r="R15" s="460" t="str">
        <f>IF(+All!$F675="Illinois",+All!R675,IF(+All!$H675="Illinois",+All!R675,0))</f>
        <v>Purdue</v>
      </c>
      <c r="S15" s="462" t="str">
        <f>IF(+All!$F675="Illinois",+All!S675,IF(+All!$H675="Illinois",+All!S675,0))</f>
        <v>Illinois</v>
      </c>
      <c r="T15" s="460" t="str">
        <f>IF(+All!$F675="Illinois",+All!T675,IF(+All!$H675="Illinois",+All!T675,0))</f>
        <v>Illinois</v>
      </c>
      <c r="U15" s="461" t="str">
        <f>IF(+All!$F675="Illinois",+All!U675,IF(+All!$H675="Illinois",+All!U675,0))</f>
        <v>L</v>
      </c>
    </row>
    <row r="16" spans="1:21" x14ac:dyDescent="0.8">
      <c r="A16" s="46">
        <f>IF(+All!$F738="Illinois",+All!A738,IF(+All!$H738="Illinois",+All!A738,0))</f>
        <v>12</v>
      </c>
      <c r="B16" s="348" t="str">
        <f>IF(+All!$F738="Illinois",+All!B738,IF(+All!$H738="Illinois",+All!B738,0))</f>
        <v>Sat</v>
      </c>
      <c r="C16" s="48">
        <f>IF(+All!$F738="Illinois",+All!C738,IF(+All!$H738="Illinois",+All!C738,0))</f>
        <v>44884</v>
      </c>
      <c r="D16" s="490">
        <f>IF(+All!$F738="Illinois",+All!D738,IF(+All!$H738="Illinois",+All!D738,0))</f>
        <v>0.5</v>
      </c>
      <c r="E16" s="461" t="str">
        <f>IF(+All!$F738="Illinois",+All!E738,IF(+All!$H738="Illinois",+All!E738,0))</f>
        <v>ABC</v>
      </c>
      <c r="F16" s="51" t="str">
        <f>IF(+All!$F738="Illinois",+All!F738,IF(+All!$H738="Illinois",+All!F738,0))</f>
        <v>Illinois</v>
      </c>
      <c r="G16" s="52" t="str">
        <f>IF(+All!$F738="Illinois",+All!G738,IF(+All!$H738="Illinois",+All!G738,0))</f>
        <v>B10</v>
      </c>
      <c r="H16" s="51" t="str">
        <f>IF(+All!$F738="Illinois",+All!H738,IF(+All!$H738="Illinois",+All!H738,0))</f>
        <v>Michigan</v>
      </c>
      <c r="I16" s="52" t="str">
        <f>IF(+All!$F738="Illinois",+All!I738,IF(+All!$H738="Illinois",+All!I738,0))</f>
        <v>B10</v>
      </c>
      <c r="J16" s="460" t="str">
        <f>IF(+All!$F738="Illinois",+All!J738,IF(+All!$H738="Illinois",+All!J738,0))</f>
        <v>Michigan</v>
      </c>
      <c r="K16" s="461" t="str">
        <f>IF(+All!$F738="Illinois",+All!K738,IF(+All!$H738="Illinois",+All!K738,0))</f>
        <v>Illinois</v>
      </c>
      <c r="L16" s="54">
        <f>IF(+All!$F738="Illinois",+All!L738,IF(+All!$H738="Illinois",+All!L738,0))</f>
        <v>18</v>
      </c>
      <c r="M16" s="55">
        <f>IF(+All!$F738="Illinois",+All!M738,IF(+All!$H738="Illinois",+All!M738,0))</f>
        <v>42</v>
      </c>
      <c r="N16" s="460" t="str">
        <f>IF(+All!$F738="Illinois",+All!N738,IF(+All!$H738="Illinois",+All!N738,0))</f>
        <v>Michigan</v>
      </c>
      <c r="O16" s="462">
        <f>IF(+All!$F738="Illinois",+All!O738,IF(+All!$H738="Illinois",+All!O738,0))</f>
        <v>19</v>
      </c>
      <c r="P16" s="462" t="str">
        <f>IF(+All!$F738="Illinois",+All!P738,IF(+All!$H738="Illinois",+All!P738,0))</f>
        <v>Illinois</v>
      </c>
      <c r="Q16" s="461">
        <f>IF(+All!$F738="Illinois",+All!Q738,IF(+All!$H738="Illinois",+All!Q738,0))</f>
        <v>17</v>
      </c>
      <c r="R16" s="460" t="str">
        <f>IF(+All!$F738="Illinois",+All!R738,IF(+All!$H738="Illinois",+All!R738,0))</f>
        <v>Illinois</v>
      </c>
      <c r="S16" s="462" t="str">
        <f>IF(+All!$F738="Illinois",+All!S738,IF(+All!$H738="Illinois",+All!S738,0))</f>
        <v>Michigan</v>
      </c>
      <c r="T16" s="460" t="str">
        <f>IF(+All!$F738="Illinois",+All!T738,IF(+All!$H738="Illinois",+All!T738,0))</f>
        <v>Illinois</v>
      </c>
      <c r="U16" s="461" t="str">
        <f>IF(+All!$F738="Illinois",+All!U738,IF(+All!$H738="Illinois",+All!U738,0))</f>
        <v>W</v>
      </c>
    </row>
    <row r="17" spans="1:21" ht="16.75" customHeight="1" x14ac:dyDescent="0.8">
      <c r="A17" s="46">
        <f>IF(+All!$F810="Illinois",+All!A810,IF(+All!$H810="Illinois",+All!A810,0))</f>
        <v>13</v>
      </c>
      <c r="B17" s="348" t="str">
        <f>IF(+All!$F810="Illinois",+All!B810,IF(+All!$H810="Illinois",+All!B810,0))</f>
        <v>Sat</v>
      </c>
      <c r="C17" s="48">
        <f>IF(+All!$F810="Illinois",+All!C810,IF(+All!$H810="Illinois",+All!C810,0))</f>
        <v>44891</v>
      </c>
      <c r="D17" s="490">
        <f>IF(+All!$F810="Illinois",+All!D810,IF(+All!$H810="Illinois",+All!D810,0))</f>
        <v>0.64583333333333337</v>
      </c>
      <c r="E17" s="461">
        <f>IF(+All!$F810="Illinois",+All!E810,IF(+All!$H810="Illinois",+All!E810,0))</f>
        <v>0</v>
      </c>
      <c r="F17" s="51" t="str">
        <f>IF(+All!$F810="Illinois",+All!F810,IF(+All!$H810="Illinois",+All!F810,0))</f>
        <v>Illinois</v>
      </c>
      <c r="G17" s="52" t="str">
        <f>IF(+All!$F810="Illinois",+All!G810,IF(+All!$H810="Illinois",+All!G810,0))</f>
        <v>B10</v>
      </c>
      <c r="H17" s="51" t="str">
        <f>IF(+All!$F810="Illinois",+All!H810,IF(+All!$H810="Illinois",+All!H810,0))</f>
        <v>Northwestern</v>
      </c>
      <c r="I17" s="52" t="str">
        <f>IF(+All!$F810="Illinois",+All!I810,IF(+All!$H810="Illinois",+All!I810,0))</f>
        <v>B10</v>
      </c>
      <c r="J17" s="460" t="str">
        <f>IF(+All!$F810="Illinois",+All!J810,IF(+All!$H810="Illinois",+All!J810,0))</f>
        <v>Illinois</v>
      </c>
      <c r="K17" s="461" t="str">
        <f>IF(+All!$F810="Illinois",+All!K810,IF(+All!$H810="Illinois",+All!K810,0))</f>
        <v>Northwestern</v>
      </c>
      <c r="L17" s="54">
        <f>IF(+All!$F810="Illinois",+All!L810,IF(+All!$H810="Illinois",+All!L810,0))</f>
        <v>14.5</v>
      </c>
      <c r="M17" s="55">
        <f>IF(+All!$F810="Illinois",+All!M810,IF(+All!$H810="Illinois",+All!M810,0))</f>
        <v>38</v>
      </c>
      <c r="N17" s="460" t="str">
        <f>IF(+All!$F810="Illinois",+All!N810,IF(+All!$H810="Illinois",+All!N810,0))</f>
        <v>Illinois</v>
      </c>
      <c r="O17" s="462">
        <f>IF(+All!$F810="Illinois",+All!O810,IF(+All!$H810="Illinois",+All!O810,0))</f>
        <v>41</v>
      </c>
      <c r="P17" s="462" t="str">
        <f>IF(+All!$F810="Illinois",+All!P810,IF(+All!$H810="Illinois",+All!P810,0))</f>
        <v>Northwestern</v>
      </c>
      <c r="Q17" s="461">
        <f>IF(+All!$F810="Illinois",+All!Q810,IF(+All!$H810="Illinois",+All!Q810,0))</f>
        <v>3</v>
      </c>
      <c r="R17" s="460" t="str">
        <f>IF(+All!$F810="Illinois",+All!R810,IF(+All!$H810="Illinois",+All!R810,0))</f>
        <v>Illinois</v>
      </c>
      <c r="S17" s="462" t="str">
        <f>IF(+All!$F810="Illinois",+All!S810,IF(+All!$H810="Illinois",+All!S810,0))</f>
        <v>Northwestern</v>
      </c>
      <c r="T17" s="460" t="str">
        <f>IF(+All!$F810="Illinois",+All!T810,IF(+All!$H810="Illinois",+All!T810,0))</f>
        <v>Illinois</v>
      </c>
      <c r="U17" s="461" t="str">
        <f>IF(+All!$F810="Illinois",+All!U810,IF(+All!$H810="Illinois",+All!U810,0))</f>
        <v>W</v>
      </c>
    </row>
    <row r="18" spans="1:21" x14ac:dyDescent="0.8">
      <c r="A18" s="38"/>
      <c r="B18" s="39"/>
      <c r="C18" s="40"/>
      <c r="D18" s="41"/>
      <c r="E18" s="463"/>
      <c r="F18" s="897" t="str">
        <f>H19</f>
        <v>Indiana</v>
      </c>
      <c r="G18" s="903"/>
      <c r="H18" s="903"/>
      <c r="I18" s="904"/>
      <c r="J18" s="459"/>
      <c r="K18" s="463"/>
      <c r="L18" s="44"/>
      <c r="M18" s="45"/>
      <c r="N18" s="459"/>
      <c r="O18" s="5"/>
      <c r="P18" s="5"/>
      <c r="Q18" s="463"/>
      <c r="R18" s="459"/>
      <c r="S18" s="5"/>
      <c r="T18" s="459"/>
      <c r="U18" s="463"/>
    </row>
    <row r="19" spans="1:21" x14ac:dyDescent="0.8">
      <c r="A19" s="46">
        <f>IF(+All!$F29="Indiana",+All!A29,IF(+All!$H29="Indiana",+All!A29,0))</f>
        <v>1</v>
      </c>
      <c r="B19" s="348" t="str">
        <f>IF(+All!$F29="Indiana",+All!B29,IF(+All!$H29="Indiana",+All!B29,0))</f>
        <v>Fri</v>
      </c>
      <c r="C19" s="48">
        <f>IF(+All!$F29="Indiana",+All!C29,IF(+All!$H29="Indiana",+All!C29,0))</f>
        <v>44806</v>
      </c>
      <c r="D19" s="490">
        <f>IF(+All!$F29="Indiana",+All!D29,IF(+All!$H29="Indiana",+All!D29,0))</f>
        <v>0.83333333333333337</v>
      </c>
      <c r="E19" s="461" t="str">
        <f>IF(+All!$F29="Indiana",+All!E29,IF(+All!$H29="Indiana",+All!E29,0))</f>
        <v>FS1</v>
      </c>
      <c r="F19" s="51" t="str">
        <f>IF(+All!$F29="Indiana",+All!F29,IF(+All!$H29="Indiana",+All!F29,0))</f>
        <v>Illinois</v>
      </c>
      <c r="G19" s="63" t="str">
        <f>IF(+All!$F29="Indiana",+All!G29,IF(+All!$H29="Indiana",+All!G29,0))</f>
        <v>B10</v>
      </c>
      <c r="H19" s="63" t="str">
        <f>IF(+All!$F29="Indiana",+All!H29,IF(+All!$H29="Indiana",+All!H29,0))</f>
        <v>Indiana</v>
      </c>
      <c r="I19" s="52" t="str">
        <f>IF(+All!$F29="Indiana",+All!I29,IF(+All!$H29="Indiana",+All!I29,0))</f>
        <v>B10</v>
      </c>
      <c r="J19" s="460" t="str">
        <f>IF(+All!$F29="Indiana",+All!J29,IF(+All!$H29="Indiana",+All!J29,0))</f>
        <v>Illinois</v>
      </c>
      <c r="K19" s="461" t="str">
        <f>IF(+All!$F29="Indiana",+All!K29,IF(+All!$H29="Indiana",+All!K29,0))</f>
        <v>Indiana</v>
      </c>
      <c r="L19" s="54">
        <f>IF(+All!$F29="Indiana",+All!L29,IF(+All!$H29="Indiana",+All!L29,0))</f>
        <v>3</v>
      </c>
      <c r="M19" s="55">
        <f>IF(+All!$F29="Indiana",+All!M29,IF(+All!$H29="Indiana",+All!M29,0))</f>
        <v>45</v>
      </c>
      <c r="N19" s="460" t="str">
        <f>IF(+All!$F29="Indiana",+All!N29,IF(+All!$H29="Indiana",+All!N29,0))</f>
        <v>Indiana</v>
      </c>
      <c r="O19" s="462">
        <f>IF(+All!$F29="Indiana",+All!O29,IF(+All!$H29="Indiana",+All!O29,0))</f>
        <v>23</v>
      </c>
      <c r="P19" s="462" t="str">
        <f>IF(+All!$F29="Indiana",+All!P29,IF(+All!$H29="Indiana",+All!P29,0))</f>
        <v>Illinois</v>
      </c>
      <c r="Q19" s="461">
        <f>IF(+All!$F29="Indiana",+All!Q29,IF(+All!$H29="Indiana",+All!Q29,0))</f>
        <v>20</v>
      </c>
      <c r="R19" s="460" t="str">
        <f>IF(+All!$F29="Indiana",+All!R29,IF(+All!$H29="Indiana",+All!R29,0))</f>
        <v>Indiana</v>
      </c>
      <c r="S19" s="462" t="str">
        <f>IF(+All!$F29="Indiana",+All!S29,IF(+All!$H29="Indiana",+All!S29,0))</f>
        <v>Illinois</v>
      </c>
      <c r="T19" s="460" t="str">
        <f>IF(+All!$F29="Indiana",+All!T29,IF(+All!$H29="Indiana",+All!T29,0))</f>
        <v>Illinois</v>
      </c>
      <c r="U19" s="461" t="str">
        <f>IF(+All!$F29="Indiana",+All!U29,IF(+All!$H29="Indiana",+All!U29,0))</f>
        <v>L</v>
      </c>
    </row>
    <row r="20" spans="1:21" x14ac:dyDescent="0.8">
      <c r="A20" s="46">
        <f>IF(+All!$F115="Indiana",+All!A115,IF(+All!$H115="Indiana",+All!A115,0))</f>
        <v>2</v>
      </c>
      <c r="B20" s="348" t="str">
        <f>IF(+All!$F115="Indiana",+All!B115,IF(+All!$H115="Indiana",+All!B115,0))</f>
        <v>Sat</v>
      </c>
      <c r="C20" s="48">
        <f>IF(+All!$F115="Indiana",+All!C115,IF(+All!$H115="Indiana",+All!C115,0))</f>
        <v>44814</v>
      </c>
      <c r="D20" s="490">
        <f>IF(+All!$F115="Indiana",+All!D115,IF(+All!$H115="Indiana",+All!D115,0))</f>
        <v>0.83333333333333337</v>
      </c>
      <c r="E20" s="461" t="str">
        <f>IF(+All!$F115="Indiana",+All!E115,IF(+All!$H115="Indiana",+All!E115,0))</f>
        <v>BTN</v>
      </c>
      <c r="F20" s="51" t="str">
        <f>IF(+All!$F115="Indiana",+All!F115,IF(+All!$H115="Indiana",+All!F115,0))</f>
        <v>1AA Idaho</v>
      </c>
      <c r="G20" s="63" t="str">
        <f>IF(+All!$F115="Indiana",+All!G115,IF(+All!$H115="Indiana",+All!G115,0))</f>
        <v>1AA</v>
      </c>
      <c r="H20" s="63" t="str">
        <f>IF(+All!$F115="Indiana",+All!H115,IF(+All!$H115="Indiana",+All!H115,0))</f>
        <v>Indiana</v>
      </c>
      <c r="I20" s="52" t="str">
        <f>IF(+All!$F115="Indiana",+All!I115,IF(+All!$H115="Indiana",+All!I115,0))</f>
        <v>B10</v>
      </c>
      <c r="J20" s="460">
        <f>IF(+All!$F115="Indiana",+All!J115,IF(+All!$H115="Indiana",+All!J115,0))</f>
        <v>0</v>
      </c>
      <c r="K20" s="461">
        <f>IF(+All!$F115="Indiana",+All!K115,IF(+All!$H115="Indiana",+All!K115,0))</f>
        <v>0</v>
      </c>
      <c r="L20" s="54">
        <f>IF(+All!$F115="Indiana",+All!L115,IF(+All!$H115="Indiana",+All!L115,0))</f>
        <v>0</v>
      </c>
      <c r="M20" s="55">
        <f>IF(+All!$F115="Indiana",+All!M115,IF(+All!$H115="Indiana",+All!M115,0))</f>
        <v>0</v>
      </c>
      <c r="N20" s="460" t="str">
        <f>IF(+All!$F115="Indiana",+All!N115,IF(+All!$H115="Indiana",+All!N115,0))</f>
        <v>Indiana</v>
      </c>
      <c r="O20" s="462">
        <f>IF(+All!$F115="Indiana",+All!O115,IF(+All!$H115="Indiana",+All!O115,0))</f>
        <v>35</v>
      </c>
      <c r="P20" s="462" t="str">
        <f>IF(+All!$F115="Indiana",+All!P115,IF(+All!$H115="Indiana",+All!P115,0))</f>
        <v>1AA Idaho</v>
      </c>
      <c r="Q20" s="461">
        <f>IF(+All!$F115="Indiana",+All!Q115,IF(+All!$H115="Indiana",+All!Q115,0))</f>
        <v>22</v>
      </c>
      <c r="R20" s="460">
        <f>IF(+All!$F115="Indiana",+All!R115,IF(+All!$H115="Indiana",+All!R115,0))</f>
        <v>0</v>
      </c>
      <c r="S20" s="462">
        <f>IF(+All!$F115="Indiana",+All!S115,IF(+All!$H115="Indiana",+All!S115,0))</f>
        <v>0</v>
      </c>
      <c r="T20" s="460">
        <f>IF(+All!$F115="Indiana",+All!T115,IF(+All!$H115="Indiana",+All!T115,0))</f>
        <v>0</v>
      </c>
      <c r="U20" s="461">
        <f>IF(+All!$F115="Indiana",+All!U115,IF(+All!$H115="Indiana",+All!U115,0))</f>
        <v>0</v>
      </c>
    </row>
    <row r="21" spans="1:21" x14ac:dyDescent="0.8">
      <c r="A21" s="46">
        <f>IF(+All!$F197="Indiana",+All!A197,IF(+All!$H197="Indiana",+All!A197,0))</f>
        <v>3</v>
      </c>
      <c r="B21" s="348" t="str">
        <f>IF(+All!$F197="Indiana",+All!B197,IF(+All!$H197="Indiana",+All!B197,0))</f>
        <v>Sat</v>
      </c>
      <c r="C21" s="48">
        <f>IF(+All!$F197="Indiana",+All!C197,IF(+All!$H197="Indiana",+All!C197,0))</f>
        <v>44821</v>
      </c>
      <c r="D21" s="490">
        <f>IF(+All!$F197="Indiana",+All!D197,IF(+All!$H197="Indiana",+All!D197,0))</f>
        <v>0.5</v>
      </c>
      <c r="E21" s="461" t="str">
        <f>IF(+All!$F197="Indiana",+All!E197,IF(+All!$H197="Indiana",+All!E197,0))</f>
        <v>BTN</v>
      </c>
      <c r="F21" s="51" t="str">
        <f>IF(+All!$F197="Indiana",+All!F197,IF(+All!$H197="Indiana",+All!F197,0))</f>
        <v>Western Kentucky</v>
      </c>
      <c r="G21" s="63" t="str">
        <f>IF(+All!$F197="Indiana",+All!G197,IF(+All!$H197="Indiana",+All!G197,0))</f>
        <v>CUSA</v>
      </c>
      <c r="H21" s="63" t="str">
        <f>IF(+All!$F197="Indiana",+All!H197,IF(+All!$H197="Indiana",+All!H197,0))</f>
        <v>Indiana</v>
      </c>
      <c r="I21" s="52" t="str">
        <f>IF(+All!$F197="Indiana",+All!I197,IF(+All!$H197="Indiana",+All!I197,0))</f>
        <v>B10</v>
      </c>
      <c r="J21" s="460" t="str">
        <f>IF(+All!$F197="Indiana",+All!J197,IF(+All!$H197="Indiana",+All!J197,0))</f>
        <v>Indiana</v>
      </c>
      <c r="K21" s="461" t="str">
        <f>IF(+All!$F197="Indiana",+All!K197,IF(+All!$H197="Indiana",+All!K197,0))</f>
        <v>Western Kentucky</v>
      </c>
      <c r="L21" s="54">
        <f>IF(+All!$F197="Indiana",+All!L197,IF(+All!$H197="Indiana",+All!L197,0))</f>
        <v>6.5</v>
      </c>
      <c r="M21" s="55">
        <f>IF(+All!$F197="Indiana",+All!M197,IF(+All!$H197="Indiana",+All!M197,0))</f>
        <v>61.5</v>
      </c>
      <c r="N21" s="460" t="str">
        <f>IF(+All!$F197="Indiana",+All!N197,IF(+All!$H197="Indiana",+All!N197,0))</f>
        <v>Indiana</v>
      </c>
      <c r="O21" s="462">
        <f>IF(+All!$F197="Indiana",+All!O197,IF(+All!$H197="Indiana",+All!O197,0))</f>
        <v>33</v>
      </c>
      <c r="P21" s="462" t="str">
        <f>IF(+All!$F197="Indiana",+All!P197,IF(+All!$H197="Indiana",+All!P197,0))</f>
        <v>Western Kentucky</v>
      </c>
      <c r="Q21" s="461">
        <f>IF(+All!$F197="Indiana",+All!Q197,IF(+All!$H197="Indiana",+All!Q197,0))</f>
        <v>30</v>
      </c>
      <c r="R21" s="460" t="str">
        <f>IF(+All!$F197="Indiana",+All!R197,IF(+All!$H197="Indiana",+All!R197,0))</f>
        <v>Western Kentucky</v>
      </c>
      <c r="S21" s="462" t="str">
        <f>IF(+All!$F197="Indiana",+All!S197,IF(+All!$H197="Indiana",+All!S197,0))</f>
        <v>Indiana</v>
      </c>
      <c r="T21" s="460" t="str">
        <f>IF(+All!$F197="Indiana",+All!T197,IF(+All!$H197="Indiana",+All!T197,0))</f>
        <v>Indiana</v>
      </c>
      <c r="U21" s="461" t="str">
        <f>IF(+All!$F197="Indiana",+All!U197,IF(+All!$H197="Indiana",+All!U197,0))</f>
        <v>L</v>
      </c>
    </row>
    <row r="22" spans="1:21" x14ac:dyDescent="0.8">
      <c r="A22" s="46">
        <f>IF(+All!$F259="Indiana",+All!A259,IF(+All!$H259="Indiana",+All!A259,0))</f>
        <v>4</v>
      </c>
      <c r="B22" s="348" t="str">
        <f>IF(+All!$F259="Indiana",+All!B259,IF(+All!$H259="Indiana",+All!B259,0))</f>
        <v>Sat</v>
      </c>
      <c r="C22" s="48">
        <f>IF(+All!$F259="Indiana",+All!C259,IF(+All!$H259="Indiana",+All!C259,0))</f>
        <v>44828</v>
      </c>
      <c r="D22" s="490">
        <f>IF(+All!$F259="Indiana",+All!D259,IF(+All!$H259="Indiana",+All!D259,0))</f>
        <v>0.64583333333333337</v>
      </c>
      <c r="E22" s="461" t="str">
        <f>IF(+All!$F259="Indiana",+All!E259,IF(+All!$H259="Indiana",+All!E259,0))</f>
        <v>ESPN2</v>
      </c>
      <c r="F22" s="51" t="str">
        <f>IF(+All!$F259="Indiana",+All!F259,IF(+All!$H259="Indiana",+All!F259,0))</f>
        <v>Indiana</v>
      </c>
      <c r="G22" s="63" t="str">
        <f>IF(+All!$F259="Indiana",+All!G259,IF(+All!$H259="Indiana",+All!G259,0))</f>
        <v>B10</v>
      </c>
      <c r="H22" s="63" t="str">
        <f>IF(+All!$F259="Indiana",+All!H259,IF(+All!$H259="Indiana",+All!H259,0))</f>
        <v>Cincinnati</v>
      </c>
      <c r="I22" s="52" t="str">
        <f>IF(+All!$F259="Indiana",+All!I259,IF(+All!$H259="Indiana",+All!I259,0))</f>
        <v>AAC</v>
      </c>
      <c r="J22" s="460" t="str">
        <f>IF(+All!$F259="Indiana",+All!J259,IF(+All!$H259="Indiana",+All!J259,0))</f>
        <v>Cincinnati</v>
      </c>
      <c r="K22" s="461" t="str">
        <f>IF(+All!$F259="Indiana",+All!K259,IF(+All!$H259="Indiana",+All!K259,0))</f>
        <v>Indiana</v>
      </c>
      <c r="L22" s="54">
        <f>IF(+All!$F259="Indiana",+All!L259,IF(+All!$H259="Indiana",+All!L259,0))</f>
        <v>17</v>
      </c>
      <c r="M22" s="55">
        <f>IF(+All!$F259="Indiana",+All!M259,IF(+All!$H259="Indiana",+All!M259,0))</f>
        <v>57.5</v>
      </c>
      <c r="N22" s="460" t="str">
        <f>IF(+All!$F259="Indiana",+All!N259,IF(+All!$H259="Indiana",+All!N259,0))</f>
        <v>Cincinnati</v>
      </c>
      <c r="O22" s="462">
        <f>IF(+All!$F259="Indiana",+All!O259,IF(+All!$H259="Indiana",+All!O259,0))</f>
        <v>45</v>
      </c>
      <c r="P22" s="462" t="str">
        <f>IF(+All!$F259="Indiana",+All!P259,IF(+All!$H259="Indiana",+All!P259,0))</f>
        <v>Indiana</v>
      </c>
      <c r="Q22" s="461">
        <f>IF(+All!$F259="Indiana",+All!Q259,IF(+All!$H259="Indiana",+All!Q259,0))</f>
        <v>24</v>
      </c>
      <c r="R22" s="460" t="str">
        <f>IF(+All!$F259="Indiana",+All!R259,IF(+All!$H259="Indiana",+All!R259,0))</f>
        <v>Cincinnati</v>
      </c>
      <c r="S22" s="462" t="str">
        <f>IF(+All!$F259="Indiana",+All!S259,IF(+All!$H259="Indiana",+All!S259,0))</f>
        <v>Indiana</v>
      </c>
      <c r="T22" s="460" t="str">
        <f>IF(+All!$F259="Indiana",+All!T259,IF(+All!$H259="Indiana",+All!T259,0))</f>
        <v>Indiana</v>
      </c>
      <c r="U22" s="461" t="str">
        <f>IF(+All!$F259="Indiana",+All!U259,IF(+All!$H259="Indiana",+All!U259,0))</f>
        <v>L</v>
      </c>
    </row>
    <row r="23" spans="1:21" x14ac:dyDescent="0.8">
      <c r="A23" s="46">
        <f>IF(+All!$F338="Indiana",+All!A338,IF(+All!$H338="Indiana",+All!A338,0))</f>
        <v>5</v>
      </c>
      <c r="B23" s="348" t="str">
        <f>IF(+All!$F338="Indiana",+All!B338,IF(+All!$H338="Indiana",+All!B338,0))</f>
        <v>Sat</v>
      </c>
      <c r="C23" s="48">
        <f>IF(+All!$F338="Indiana",+All!C338,IF(+All!$H338="Indiana",+All!C338,0))</f>
        <v>44835</v>
      </c>
      <c r="D23" s="490">
        <f>IF(+All!$F338="Indiana",+All!D338,IF(+All!$H338="Indiana",+All!D338,0))</f>
        <v>0.8125</v>
      </c>
      <c r="E23" s="461" t="str">
        <f>IF(+All!$F338="Indiana",+All!E338,IF(+All!$H338="Indiana",+All!E338,0))</f>
        <v>BTN</v>
      </c>
      <c r="F23" s="51" t="str">
        <f>IF(+All!$F338="Indiana",+All!F338,IF(+All!$H338="Indiana",+All!F338,0))</f>
        <v>Indiana</v>
      </c>
      <c r="G23" s="63" t="str">
        <f>IF(+All!$F338="Indiana",+All!G338,IF(+All!$H338="Indiana",+All!G338,0))</f>
        <v>B10</v>
      </c>
      <c r="H23" s="63" t="str">
        <f>IF(+All!$F338="Indiana",+All!H338,IF(+All!$H338="Indiana",+All!H338,0))</f>
        <v>Nebraska</v>
      </c>
      <c r="I23" s="52" t="str">
        <f>IF(+All!$F338="Indiana",+All!I338,IF(+All!$H338="Indiana",+All!I338,0))</f>
        <v>B10</v>
      </c>
      <c r="J23" s="460" t="str">
        <f>IF(+All!$F338="Indiana",+All!J338,IF(+All!$H338="Indiana",+All!J338,0))</f>
        <v>Nebraska</v>
      </c>
      <c r="K23" s="461" t="str">
        <f>IF(+All!$F338="Indiana",+All!K338,IF(+All!$H338="Indiana",+All!K338,0))</f>
        <v>Indiana</v>
      </c>
      <c r="L23" s="54">
        <f>IF(+All!$F338="Indiana",+All!L338,IF(+All!$H338="Indiana",+All!L338,0))</f>
        <v>5.5</v>
      </c>
      <c r="M23" s="55">
        <f>IF(+All!$F338="Indiana",+All!M338,IF(+All!$H338="Indiana",+All!M338,0))</f>
        <v>60</v>
      </c>
      <c r="N23" s="460" t="str">
        <f>IF(+All!$F338="Indiana",+All!N338,IF(+All!$H338="Indiana",+All!N338,0))</f>
        <v>Nebraska</v>
      </c>
      <c r="O23" s="462">
        <f>IF(+All!$F338="Indiana",+All!O338,IF(+All!$H338="Indiana",+All!O338,0))</f>
        <v>35</v>
      </c>
      <c r="P23" s="462" t="str">
        <f>IF(+All!$F338="Indiana",+All!P338,IF(+All!$H338="Indiana",+All!P338,0))</f>
        <v>Indiana</v>
      </c>
      <c r="Q23" s="461">
        <f>IF(+All!$F338="Indiana",+All!Q338,IF(+All!$H338="Indiana",+All!Q338,0))</f>
        <v>21</v>
      </c>
      <c r="R23" s="460" t="str">
        <f>IF(+All!$F338="Indiana",+All!R338,IF(+All!$H338="Indiana",+All!R338,0))</f>
        <v>Nebraska</v>
      </c>
      <c r="S23" s="462" t="str">
        <f>IF(+All!$F338="Indiana",+All!S338,IF(+All!$H338="Indiana",+All!S338,0))</f>
        <v>Indiana</v>
      </c>
      <c r="T23" s="460" t="str">
        <f>IF(+All!$F338="Indiana",+All!T338,IF(+All!$H338="Indiana",+All!T338,0))</f>
        <v>Indiana</v>
      </c>
      <c r="U23" s="461" t="str">
        <f>IF(+All!$F338="Indiana",+All!U338,IF(+All!$H338="Indiana",+All!U338,0))</f>
        <v>L</v>
      </c>
    </row>
    <row r="24" spans="1:21" x14ac:dyDescent="0.8">
      <c r="A24" s="46">
        <f>IF(+All!$F397="Indiana",+All!A397,IF(+All!$H397="Indiana",+All!A397,0))</f>
        <v>6</v>
      </c>
      <c r="B24" s="348" t="str">
        <f>IF(+All!$F397="Indiana",+All!B397,IF(+All!$H397="Indiana",+All!B397,0))</f>
        <v>Sat</v>
      </c>
      <c r="C24" s="48">
        <f>IF(+All!$F397="Indiana",+All!C397,IF(+All!$H397="Indiana",+All!C397,0))</f>
        <v>44842</v>
      </c>
      <c r="D24" s="490">
        <f>IF(+All!$F397="Indiana",+All!D397,IF(+All!$H397="Indiana",+All!D397,0))</f>
        <v>0.5</v>
      </c>
      <c r="E24" s="461" t="str">
        <f>IF(+All!$F397="Indiana",+All!E397,IF(+All!$H397="Indiana",+All!E397,0))</f>
        <v>Fox</v>
      </c>
      <c r="F24" s="51" t="str">
        <f>IF(+All!$F397="Indiana",+All!F397,IF(+All!$H397="Indiana",+All!F397,0))</f>
        <v>Michigan</v>
      </c>
      <c r="G24" s="63" t="str">
        <f>IF(+All!$F397="Indiana",+All!G397,IF(+All!$H397="Indiana",+All!G397,0))</f>
        <v>B10</v>
      </c>
      <c r="H24" s="63" t="str">
        <f>IF(+All!$F397="Indiana",+All!H397,IF(+All!$H397="Indiana",+All!H397,0))</f>
        <v>Indiana</v>
      </c>
      <c r="I24" s="52" t="str">
        <f>IF(+All!$F397="Indiana",+All!I397,IF(+All!$H397="Indiana",+All!I397,0))</f>
        <v>B10</v>
      </c>
      <c r="J24" s="460" t="str">
        <f>IF(+All!$F397="Indiana",+All!J397,IF(+All!$H397="Indiana",+All!J397,0))</f>
        <v>Michigan</v>
      </c>
      <c r="K24" s="461" t="str">
        <f>IF(+All!$F397="Indiana",+All!K397,IF(+All!$H397="Indiana",+All!K397,0))</f>
        <v>Indiana</v>
      </c>
      <c r="L24" s="54">
        <f>IF(+All!$F397="Indiana",+All!L397,IF(+All!$H397="Indiana",+All!L397,0))</f>
        <v>22</v>
      </c>
      <c r="M24" s="55">
        <f>IF(+All!$F397="Indiana",+All!M397,IF(+All!$H397="Indiana",+All!M397,0))</f>
        <v>59</v>
      </c>
      <c r="N24" s="460" t="str">
        <f>IF(+All!$F397="Indiana",+All!N397,IF(+All!$H397="Indiana",+All!N397,0))</f>
        <v>Michigan</v>
      </c>
      <c r="O24" s="462">
        <f>IF(+All!$F397="Indiana",+All!O397,IF(+All!$H397="Indiana",+All!O397,0))</f>
        <v>31</v>
      </c>
      <c r="P24" s="462" t="str">
        <f>IF(+All!$F397="Indiana",+All!P397,IF(+All!$H397="Indiana",+All!P397,0))</f>
        <v>Indiana</v>
      </c>
      <c r="Q24" s="461">
        <f>IF(+All!$F397="Indiana",+All!Q397,IF(+All!$H397="Indiana",+All!Q397,0))</f>
        <v>10</v>
      </c>
      <c r="R24" s="460" t="str">
        <f>IF(+All!$F397="Indiana",+All!R397,IF(+All!$H397="Indiana",+All!R397,0))</f>
        <v>Indiana</v>
      </c>
      <c r="S24" s="462" t="str">
        <f>IF(+All!$F397="Indiana",+All!S397,IF(+All!$H397="Indiana",+All!S397,0))</f>
        <v>Michigan</v>
      </c>
      <c r="T24" s="460" t="str">
        <f>IF(+All!$F397="Indiana",+All!T397,IF(+All!$H397="Indiana",+All!T397,0))</f>
        <v>Indiana</v>
      </c>
      <c r="U24" s="461" t="str">
        <f>IF(+All!$F397="Indiana",+All!U397,IF(+All!$H397="Indiana",+All!U397,0))</f>
        <v>W</v>
      </c>
    </row>
    <row r="25" spans="1:21" x14ac:dyDescent="0.8">
      <c r="A25" s="46">
        <f>IF(+All!$F450="Indiana",+All!A450,IF(+All!$H450="Indiana",+All!A450,0))</f>
        <v>7</v>
      </c>
      <c r="B25" s="348" t="str">
        <f>IF(+All!$F450="Indiana",+All!B450,IF(+All!$H450="Indiana",+All!B450,0))</f>
        <v>Sat</v>
      </c>
      <c r="C25" s="48">
        <f>IF(+All!$F450="Indiana",+All!C450,IF(+All!$H450="Indiana",+All!C450,0))</f>
        <v>44849</v>
      </c>
      <c r="D25" s="490">
        <f>IF(+All!$F450="Indiana",+All!D450,IF(+All!$H450="Indiana",+All!D450,0))</f>
        <v>0.64583333333333337</v>
      </c>
      <c r="E25" s="461" t="str">
        <f>IF(+All!$F450="Indiana",+All!E450,IF(+All!$H450="Indiana",+All!E450,0))</f>
        <v>ESPN2</v>
      </c>
      <c r="F25" s="51" t="str">
        <f>IF(+All!$F450="Indiana",+All!F450,IF(+All!$H450="Indiana",+All!F450,0))</f>
        <v>Maryland</v>
      </c>
      <c r="G25" s="63" t="str">
        <f>IF(+All!$F450="Indiana",+All!G450,IF(+All!$H450="Indiana",+All!G450,0))</f>
        <v>B10</v>
      </c>
      <c r="H25" s="63" t="str">
        <f>IF(+All!$F450="Indiana",+All!H450,IF(+All!$H450="Indiana",+All!H450,0))</f>
        <v>Indiana</v>
      </c>
      <c r="I25" s="52" t="str">
        <f>IF(+All!$F450="Indiana",+All!I450,IF(+All!$H450="Indiana",+All!I450,0))</f>
        <v>B10</v>
      </c>
      <c r="J25" s="460" t="str">
        <f>IF(+All!$F450="Indiana",+All!J450,IF(+All!$H450="Indiana",+All!J450,0))</f>
        <v>Maryland</v>
      </c>
      <c r="K25" s="461" t="str">
        <f>IF(+All!$F450="Indiana",+All!K450,IF(+All!$H450="Indiana",+All!K450,0))</f>
        <v>Indiana</v>
      </c>
      <c r="L25" s="54">
        <f>IF(+All!$F450="Indiana",+All!L450,IF(+All!$H450="Indiana",+All!L450,0))</f>
        <v>11.5</v>
      </c>
      <c r="M25" s="55">
        <f>IF(+All!$F450="Indiana",+All!M450,IF(+All!$H450="Indiana",+All!M450,0))</f>
        <v>61.5</v>
      </c>
      <c r="N25" s="460" t="str">
        <f>IF(+All!$F450="Indiana",+All!N450,IF(+All!$H450="Indiana",+All!N450,0))</f>
        <v>Maryland</v>
      </c>
      <c r="O25" s="462">
        <f>IF(+All!$F450="Indiana",+All!O450,IF(+All!$H450="Indiana",+All!O450,0))</f>
        <v>38</v>
      </c>
      <c r="P25" s="462" t="str">
        <f>IF(+All!$F450="Indiana",+All!P450,IF(+All!$H450="Indiana",+All!P450,0))</f>
        <v>Indiana</v>
      </c>
      <c r="Q25" s="461">
        <f>IF(+All!$F450="Indiana",+All!Q450,IF(+All!$H450="Indiana",+All!Q450,0))</f>
        <v>33</v>
      </c>
      <c r="R25" s="460" t="str">
        <f>IF(+All!$F450="Indiana",+All!R450,IF(+All!$H450="Indiana",+All!R450,0))</f>
        <v>Indiana</v>
      </c>
      <c r="S25" s="462" t="str">
        <f>IF(+All!$F450="Indiana",+All!S450,IF(+All!$H450="Indiana",+All!S450,0))</f>
        <v>Maryland</v>
      </c>
      <c r="T25" s="460" t="str">
        <f>IF(+All!$F450="Indiana",+All!T450,IF(+All!$H450="Indiana",+All!T450,0))</f>
        <v>Maryland</v>
      </c>
      <c r="U25" s="461" t="str">
        <f>IF(+All!$F450="Indiana",+All!U450,IF(+All!$H450="Indiana",+All!U450,0))</f>
        <v>L</v>
      </c>
    </row>
    <row r="26" spans="1:21" x14ac:dyDescent="0.8">
      <c r="A26" s="46">
        <f>IF(+All!$F507="Indiana",+All!A507,IF(+All!$H507="Indiana",+All!A507,0))</f>
        <v>8</v>
      </c>
      <c r="B26" s="348" t="str">
        <f>IF(+All!$F507="Indiana",+All!B507,IF(+All!$H507="Indiana",+All!B507,0))</f>
        <v>Sat</v>
      </c>
      <c r="C26" s="48">
        <f>IF(+All!$F507="Indiana",+All!C507,IF(+All!$H507="Indiana",+All!C507,0))</f>
        <v>44856</v>
      </c>
      <c r="D26" s="490">
        <f>IF(+All!$F507="Indiana",+All!D507,IF(+All!$H507="Indiana",+All!D507,0))</f>
        <v>0.5</v>
      </c>
      <c r="E26" s="461" t="str">
        <f>IF(+All!$F507="Indiana",+All!E507,IF(+All!$H507="Indiana",+All!E507,0))</f>
        <v>BTN</v>
      </c>
      <c r="F26" s="51" t="str">
        <f>IF(+All!$F507="Indiana",+All!F507,IF(+All!$H507="Indiana",+All!F507,0))</f>
        <v>Indiana</v>
      </c>
      <c r="G26" s="63" t="str">
        <f>IF(+All!$F507="Indiana",+All!G507,IF(+All!$H507="Indiana",+All!G507,0))</f>
        <v>B10</v>
      </c>
      <c r="H26" s="63" t="str">
        <f>IF(+All!$F507="Indiana",+All!H507,IF(+All!$H507="Indiana",+All!H507,0))</f>
        <v>Rutgers</v>
      </c>
      <c r="I26" s="52" t="str">
        <f>IF(+All!$F507="Indiana",+All!I507,IF(+All!$H507="Indiana",+All!I507,0))</f>
        <v>B10</v>
      </c>
      <c r="J26" s="460" t="str">
        <f>IF(+All!$F507="Indiana",+All!J507,IF(+All!$H507="Indiana",+All!J507,0))</f>
        <v>Rutgers</v>
      </c>
      <c r="K26" s="461" t="str">
        <f>IF(+All!$F507="Indiana",+All!K507,IF(+All!$H507="Indiana",+All!K507,0))</f>
        <v>Indiana</v>
      </c>
      <c r="L26" s="54">
        <f>IF(+All!$F507="Indiana",+All!L507,IF(+All!$H507="Indiana",+All!L507,0))</f>
        <v>3</v>
      </c>
      <c r="M26" s="55">
        <f>IF(+All!$F507="Indiana",+All!M507,IF(+All!$H507="Indiana",+All!M507,0))</f>
        <v>47</v>
      </c>
      <c r="N26" s="460" t="str">
        <f>IF(+All!$F507="Indiana",+All!N507,IF(+All!$H507="Indiana",+All!N507,0))</f>
        <v>Rutgers</v>
      </c>
      <c r="O26" s="462">
        <f>IF(+All!$F507="Indiana",+All!O507,IF(+All!$H507="Indiana",+All!O507,0))</f>
        <v>24</v>
      </c>
      <c r="P26" s="462" t="str">
        <f>IF(+All!$F507="Indiana",+All!P507,IF(+All!$H507="Indiana",+All!P507,0))</f>
        <v>Indiana</v>
      </c>
      <c r="Q26" s="461">
        <f>IF(+All!$F507="Indiana",+All!Q507,IF(+All!$H507="Indiana",+All!Q507,0))</f>
        <v>17</v>
      </c>
      <c r="R26" s="460" t="str">
        <f>IF(+All!$F507="Indiana",+All!R507,IF(+All!$H507="Indiana",+All!R507,0))</f>
        <v>Rutgers</v>
      </c>
      <c r="S26" s="462" t="str">
        <f>IF(+All!$F507="Indiana",+All!S507,IF(+All!$H507="Indiana",+All!S507,0))</f>
        <v>Indiana</v>
      </c>
      <c r="T26" s="460" t="str">
        <f>IF(+All!$F507="Indiana",+All!T507,IF(+All!$H507="Indiana",+All!T507,0))</f>
        <v>Rutgers</v>
      </c>
      <c r="U26" s="461" t="str">
        <f>IF(+All!$F507="Indiana",+All!U507,IF(+All!$H507="Indiana",+All!U507,0))</f>
        <v>W</v>
      </c>
    </row>
    <row r="27" spans="1:21" x14ac:dyDescent="0.8">
      <c r="A27" s="46" t="e">
        <f>IF(+All!#REF!="Indiana",+All!#REF!,IF(+All!#REF!="Indiana",+All!#REF!,0))</f>
        <v>#REF!</v>
      </c>
      <c r="B27" s="348" t="e">
        <f>IF(+All!#REF!="Indiana",+All!#REF!,IF(+All!#REF!="Indiana",+All!#REF!,0))</f>
        <v>#REF!</v>
      </c>
      <c r="C27" s="48" t="e">
        <f>IF(+All!#REF!="Indiana",+All!#REF!,IF(+All!#REF!="Indiana",+All!#REF!,0))</f>
        <v>#REF!</v>
      </c>
      <c r="D27" s="490" t="e">
        <f>IF(+All!#REF!="Indiana",+All!#REF!,IF(+All!#REF!="Indiana",+All!#REF!,0))</f>
        <v>#REF!</v>
      </c>
      <c r="E27" s="461" t="e">
        <f>IF(+All!#REF!="Indiana",+All!#REF!,IF(+All!#REF!="Indiana",+All!#REF!,0))</f>
        <v>#REF!</v>
      </c>
      <c r="F27" s="51" t="e">
        <f>IF(+All!#REF!="Indiana",+All!#REF!,IF(+All!#REF!="Indiana",+All!#REF!,0))</f>
        <v>#REF!</v>
      </c>
      <c r="G27" s="63" t="e">
        <f>IF(+All!#REF!="Indiana",+All!#REF!,IF(+All!#REF!="Indiana",+All!#REF!,0))</f>
        <v>#REF!</v>
      </c>
      <c r="H27" s="63" t="e">
        <f>IF(+All!#REF!="Indiana",+All!#REF!,IF(+All!#REF!="Indiana",+All!#REF!,0))</f>
        <v>#REF!</v>
      </c>
      <c r="I27" s="52" t="e">
        <f>IF(+All!#REF!="Indiana",+All!#REF!,IF(+All!#REF!="Indiana",+All!#REF!,0))</f>
        <v>#REF!</v>
      </c>
      <c r="J27" s="460" t="e">
        <f>IF(+All!#REF!="Indiana",+All!#REF!,IF(+All!#REF!="Indiana",+All!#REF!,0))</f>
        <v>#REF!</v>
      </c>
      <c r="K27" s="461" t="e">
        <f>IF(+All!#REF!="Indiana",+All!#REF!,IF(+All!#REF!="Indiana",+All!#REF!,0))</f>
        <v>#REF!</v>
      </c>
      <c r="L27" s="54" t="e">
        <f>IF(+All!#REF!="Indiana",+All!#REF!,IF(+All!#REF!="Indiana",+All!#REF!,0))</f>
        <v>#REF!</v>
      </c>
      <c r="M27" s="55" t="e">
        <f>IF(+All!#REF!="Indiana",+All!#REF!,IF(+All!#REF!="Indiana",+All!#REF!,0))</f>
        <v>#REF!</v>
      </c>
      <c r="N27" s="460" t="e">
        <f>IF(+All!#REF!="Indiana",+All!#REF!,IF(+All!#REF!="Indiana",+All!#REF!,0))</f>
        <v>#REF!</v>
      </c>
      <c r="O27" s="462" t="e">
        <f>IF(+All!#REF!="Indiana",+All!#REF!,IF(+All!#REF!="Indiana",+All!#REF!,0))</f>
        <v>#REF!</v>
      </c>
      <c r="P27" s="462" t="e">
        <f>IF(+All!#REF!="Indiana",+All!#REF!,IF(+All!#REF!="Indiana",+All!#REF!,0))</f>
        <v>#REF!</v>
      </c>
      <c r="Q27" s="461" t="e">
        <f>IF(+All!#REF!="Indiana",+All!#REF!,IF(+All!#REF!="Indiana",+All!#REF!,0))</f>
        <v>#REF!</v>
      </c>
      <c r="R27" s="460" t="e">
        <f>IF(+All!#REF!="Indiana",+All!#REF!,IF(+All!#REF!="Indiana",+All!#REF!,0))</f>
        <v>#REF!</v>
      </c>
      <c r="S27" s="462" t="e">
        <f>IF(+All!#REF!="Indiana",+All!#REF!,IF(+All!#REF!="Indiana",+All!#REF!,0))</f>
        <v>#REF!</v>
      </c>
      <c r="T27" s="460" t="e">
        <f>IF(+All!#REF!="Indiana",+All!#REF!,IF(+All!#REF!="Indiana",+All!#REF!,0))</f>
        <v>#REF!</v>
      </c>
      <c r="U27" s="461" t="e">
        <f>IF(+All!#REF!="Indiana",+All!#REF!,IF(+All!#REF!="Indiana",+All!#REF!,0))</f>
        <v>#REF!</v>
      </c>
    </row>
    <row r="28" spans="1:21" x14ac:dyDescent="0.8">
      <c r="A28" s="46">
        <f>IF(+All!$F614="Indiana",+All!A614,IF(+All!$H614="Indiana",+All!A614,0))</f>
        <v>10</v>
      </c>
      <c r="B28" s="348" t="str">
        <f>IF(+All!$F614="Indiana",+All!B614,IF(+All!$H614="Indiana",+All!B614,0))</f>
        <v>Sat</v>
      </c>
      <c r="C28" s="48">
        <f>IF(+All!$F614="Indiana",+All!C614,IF(+All!$H614="Indiana",+All!C614,0))</f>
        <v>44870</v>
      </c>
      <c r="D28" s="490">
        <f>IF(+All!$F614="Indiana",+All!D614,IF(+All!$H614="Indiana",+All!D614,0))</f>
        <v>0.64583333333333337</v>
      </c>
      <c r="E28" s="461" t="str">
        <f>IF(+All!$F614="Indiana",+All!E614,IF(+All!$H614="Indiana",+All!E614,0))</f>
        <v>ABC</v>
      </c>
      <c r="F28" s="51" t="str">
        <f>IF(+All!$F614="Indiana",+All!F614,IF(+All!$H614="Indiana",+All!F614,0))</f>
        <v>Penn State</v>
      </c>
      <c r="G28" s="63" t="str">
        <f>IF(+All!$F614="Indiana",+All!G614,IF(+All!$H614="Indiana",+All!G614,0))</f>
        <v>B10</v>
      </c>
      <c r="H28" s="63" t="str">
        <f>IF(+All!$F614="Indiana",+All!H614,IF(+All!$H614="Indiana",+All!H614,0))</f>
        <v>Indiana</v>
      </c>
      <c r="I28" s="52" t="str">
        <f>IF(+All!$F614="Indiana",+All!I614,IF(+All!$H614="Indiana",+All!I614,0))</f>
        <v>B10</v>
      </c>
      <c r="J28" s="460" t="str">
        <f>IF(+All!$F614="Indiana",+All!J614,IF(+All!$H614="Indiana",+All!J614,0))</f>
        <v>Penn State</v>
      </c>
      <c r="K28" s="461" t="str">
        <f>IF(+All!$F614="Indiana",+All!K614,IF(+All!$H614="Indiana",+All!K614,0))</f>
        <v>Indiana</v>
      </c>
      <c r="L28" s="54">
        <f>IF(+All!$F614="Indiana",+All!L614,IF(+All!$H614="Indiana",+All!L614,0))</f>
        <v>14</v>
      </c>
      <c r="M28" s="55">
        <f>IF(+All!$F614="Indiana",+All!M614,IF(+All!$H614="Indiana",+All!M614,0))</f>
        <v>51</v>
      </c>
      <c r="N28" s="460" t="str">
        <f>IF(+All!$F614="Indiana",+All!N614,IF(+All!$H614="Indiana",+All!N614,0))</f>
        <v>Penn State</v>
      </c>
      <c r="O28" s="462">
        <f>IF(+All!$F614="Indiana",+All!O614,IF(+All!$H614="Indiana",+All!O614,0))</f>
        <v>45</v>
      </c>
      <c r="P28" s="462" t="str">
        <f>IF(+All!$F614="Indiana",+All!P614,IF(+All!$H614="Indiana",+All!P614,0))</f>
        <v>Indiana</v>
      </c>
      <c r="Q28" s="461">
        <f>IF(+All!$F614="Indiana",+All!Q614,IF(+All!$H614="Indiana",+All!Q614,0))</f>
        <v>14</v>
      </c>
      <c r="R28" s="460" t="str">
        <f>IF(+All!$F614="Indiana",+All!R614,IF(+All!$H614="Indiana",+All!R614,0))</f>
        <v>Penn State</v>
      </c>
      <c r="S28" s="462" t="str">
        <f>IF(+All!$F614="Indiana",+All!S614,IF(+All!$H614="Indiana",+All!S614,0))</f>
        <v>Indiana</v>
      </c>
      <c r="T28" s="460" t="str">
        <f>IF(+All!$F614="Indiana",+All!T614,IF(+All!$H614="Indiana",+All!T614,0))</f>
        <v>Penn State</v>
      </c>
      <c r="U28" s="461" t="str">
        <f>IF(+All!$F614="Indiana",+All!U614,IF(+All!$H614="Indiana",+All!U614,0))</f>
        <v>W</v>
      </c>
    </row>
    <row r="29" spans="1:21" x14ac:dyDescent="0.8">
      <c r="A29" s="46">
        <f>IF(+All!$F680="Indiana",+All!A680,IF(+All!$H680="Indiana",+All!A680,0))</f>
        <v>11</v>
      </c>
      <c r="B29" s="348" t="str">
        <f>IF(+All!$F680="Indiana",+All!B680,IF(+All!$H680="Indiana",+All!B680,0))</f>
        <v>Sat</v>
      </c>
      <c r="C29" s="48">
        <f>IF(+All!$F680="Indiana",+All!C680,IF(+All!$H680="Indiana",+All!C680,0))</f>
        <v>44877</v>
      </c>
      <c r="D29" s="490">
        <f>IF(+All!$F680="Indiana",+All!D680,IF(+All!$H680="Indiana",+All!D680,0))</f>
        <v>0.5</v>
      </c>
      <c r="E29" s="461" t="str">
        <f>IF(+All!$F680="Indiana",+All!E680,IF(+All!$H680="Indiana",+All!E680,0))</f>
        <v>Fox</v>
      </c>
      <c r="F29" s="51" t="str">
        <f>IF(+All!$F680="Indiana",+All!F680,IF(+All!$H680="Indiana",+All!F680,0))</f>
        <v>Indiana</v>
      </c>
      <c r="G29" s="63" t="str">
        <f>IF(+All!$F680="Indiana",+All!G680,IF(+All!$H680="Indiana",+All!G680,0))</f>
        <v>B10</v>
      </c>
      <c r="H29" s="63" t="str">
        <f>IF(+All!$F680="Indiana",+All!H680,IF(+All!$H680="Indiana",+All!H680,0))</f>
        <v>Ohio State</v>
      </c>
      <c r="I29" s="52" t="str">
        <f>IF(+All!$F680="Indiana",+All!I680,IF(+All!$H680="Indiana",+All!I680,0))</f>
        <v>B10</v>
      </c>
      <c r="J29" s="460" t="str">
        <f>IF(+All!$F680="Indiana",+All!J680,IF(+All!$H680="Indiana",+All!J680,0))</f>
        <v>Ohio State</v>
      </c>
      <c r="K29" s="461" t="str">
        <f>IF(+All!$F680="Indiana",+All!K680,IF(+All!$H680="Indiana",+All!K680,0))</f>
        <v>Indiana</v>
      </c>
      <c r="L29" s="54">
        <f>IF(+All!$F680="Indiana",+All!L680,IF(+All!$H680="Indiana",+All!L680,0))</f>
        <v>40</v>
      </c>
      <c r="M29" s="55">
        <f>IF(+All!$F680="Indiana",+All!M680,IF(+All!$H680="Indiana",+All!M680,0))</f>
        <v>57.5</v>
      </c>
      <c r="N29" s="460" t="str">
        <f>IF(+All!$F680="Indiana",+All!N680,IF(+All!$H680="Indiana",+All!N680,0))</f>
        <v>Ohio State</v>
      </c>
      <c r="O29" s="462">
        <f>IF(+All!$F680="Indiana",+All!O680,IF(+All!$H680="Indiana",+All!O680,0))</f>
        <v>56</v>
      </c>
      <c r="P29" s="462" t="str">
        <f>IF(+All!$F680="Indiana",+All!P680,IF(+All!$H680="Indiana",+All!P680,0))</f>
        <v>Indiana</v>
      </c>
      <c r="Q29" s="461">
        <f>IF(+All!$F680="Indiana",+All!Q680,IF(+All!$H680="Indiana",+All!Q680,0))</f>
        <v>14</v>
      </c>
      <c r="R29" s="460" t="str">
        <f>IF(+All!$F680="Indiana",+All!R680,IF(+All!$H680="Indiana",+All!R680,0))</f>
        <v>Ohio State</v>
      </c>
      <c r="S29" s="462" t="str">
        <f>IF(+All!$F680="Indiana",+All!S680,IF(+All!$H680="Indiana",+All!S680,0))</f>
        <v>Indiana</v>
      </c>
      <c r="T29" s="460" t="str">
        <f>IF(+All!$F680="Indiana",+All!T680,IF(+All!$H680="Indiana",+All!T680,0))</f>
        <v>Indiana</v>
      </c>
      <c r="U29" s="461" t="str">
        <f>IF(+All!$F680="Indiana",+All!U680,IF(+All!$H680="Indiana",+All!U680,0))</f>
        <v>L</v>
      </c>
    </row>
    <row r="30" spans="1:21" x14ac:dyDescent="0.8">
      <c r="A30" s="46">
        <f>IF(+All!$F739="Indiana",+All!A739,IF(+All!$H739="Indiana",+All!A739,0))</f>
        <v>12</v>
      </c>
      <c r="B30" s="348" t="str">
        <f>IF(+All!$F739="Indiana",+All!B739,IF(+All!$H739="Indiana",+All!B739,0))</f>
        <v>Sat</v>
      </c>
      <c r="C30" s="48">
        <f>IF(+All!$F739="Indiana",+All!C739,IF(+All!$H739="Indiana",+All!C739,0))</f>
        <v>44884</v>
      </c>
      <c r="D30" s="490">
        <f>IF(+All!$F739="Indiana",+All!D739,IF(+All!$H739="Indiana",+All!D739,0))</f>
        <v>0.5</v>
      </c>
      <c r="E30" s="461" t="str">
        <f>IF(+All!$F739="Indiana",+All!E739,IF(+All!$H739="Indiana",+All!E739,0))</f>
        <v>BTN</v>
      </c>
      <c r="F30" s="51" t="str">
        <f>IF(+All!$F739="Indiana",+All!F739,IF(+All!$H739="Indiana",+All!F739,0))</f>
        <v>Indiana</v>
      </c>
      <c r="G30" s="63" t="str">
        <f>IF(+All!$F739="Indiana",+All!G739,IF(+All!$H739="Indiana",+All!G739,0))</f>
        <v>B10</v>
      </c>
      <c r="H30" s="63" t="str">
        <f>IF(+All!$F739="Indiana",+All!H739,IF(+All!$H739="Indiana",+All!H739,0))</f>
        <v>Michigan State</v>
      </c>
      <c r="I30" s="52" t="str">
        <f>IF(+All!$F739="Indiana",+All!I739,IF(+All!$H739="Indiana",+All!I739,0))</f>
        <v>B10</v>
      </c>
      <c r="J30" s="460" t="str">
        <f>IF(+All!$F739="Indiana",+All!J739,IF(+All!$H739="Indiana",+All!J739,0))</f>
        <v>Michigan State</v>
      </c>
      <c r="K30" s="461" t="str">
        <f>IF(+All!$F739="Indiana",+All!K739,IF(+All!$H739="Indiana",+All!K739,0))</f>
        <v>Indiana</v>
      </c>
      <c r="L30" s="54">
        <f>IF(+All!$F739="Indiana",+All!L739,IF(+All!$H739="Indiana",+All!L739,0))</f>
        <v>10</v>
      </c>
      <c r="M30" s="55">
        <f>IF(+All!$F739="Indiana",+All!M739,IF(+All!$H739="Indiana",+All!M739,0))</f>
        <v>47.5</v>
      </c>
      <c r="N30" s="460" t="str">
        <f>IF(+All!$F739="Indiana",+All!N739,IF(+All!$H739="Indiana",+All!N739,0))</f>
        <v>Indiana</v>
      </c>
      <c r="O30" s="462">
        <f>IF(+All!$F739="Indiana",+All!O739,IF(+All!$H739="Indiana",+All!O739,0))</f>
        <v>39</v>
      </c>
      <c r="P30" s="462" t="str">
        <f>IF(+All!$F739="Indiana",+All!P739,IF(+All!$H739="Indiana",+All!P739,0))</f>
        <v>Michigan State</v>
      </c>
      <c r="Q30" s="461">
        <f>IF(+All!$F739="Indiana",+All!Q739,IF(+All!$H739="Indiana",+All!Q739,0))</f>
        <v>31</v>
      </c>
      <c r="R30" s="460" t="str">
        <f>IF(+All!$F739="Indiana",+All!R739,IF(+All!$H739="Indiana",+All!R739,0))</f>
        <v>Indiana</v>
      </c>
      <c r="S30" s="462" t="str">
        <f>IF(+All!$F739="Indiana",+All!S739,IF(+All!$H739="Indiana",+All!S739,0))</f>
        <v>Michigan State</v>
      </c>
      <c r="T30" s="460" t="str">
        <f>IF(+All!$F739="Indiana",+All!T739,IF(+All!$H739="Indiana",+All!T739,0))</f>
        <v>Michigan State</v>
      </c>
      <c r="U30" s="461" t="str">
        <f>IF(+All!$F739="Indiana",+All!U739,IF(+All!$H739="Indiana",+All!U739,0))</f>
        <v>L</v>
      </c>
    </row>
    <row r="31" spans="1:21" x14ac:dyDescent="0.8">
      <c r="A31" s="46">
        <f>IF(+All!$F808="Indiana",+All!A808,IF(+All!$H808="Indiana",+All!A808,0))</f>
        <v>13</v>
      </c>
      <c r="B31" s="348" t="str">
        <f>IF(+All!$F808="Indiana",+All!B808,IF(+All!$H808="Indiana",+All!B808,0))</f>
        <v>Sat</v>
      </c>
      <c r="C31" s="48">
        <f>IF(+All!$F808="Indiana",+All!C808,IF(+All!$H808="Indiana",+All!C808,0))</f>
        <v>44891</v>
      </c>
      <c r="D31" s="490">
        <f>IF(+All!$F808="Indiana",+All!D808,IF(+All!$H808="Indiana",+All!D808,0))</f>
        <v>0.64583333333333337</v>
      </c>
      <c r="E31" s="461" t="str">
        <f>IF(+All!$F808="Indiana",+All!E808,IF(+All!$H808="Indiana",+All!E808,0))</f>
        <v>BTN</v>
      </c>
      <c r="F31" s="51" t="str">
        <f>IF(+All!$F808="Indiana",+All!F808,IF(+All!$H808="Indiana",+All!F808,0))</f>
        <v>Purdue</v>
      </c>
      <c r="G31" s="63" t="str">
        <f>IF(+All!$F808="Indiana",+All!G808,IF(+All!$H808="Indiana",+All!G808,0))</f>
        <v>B10</v>
      </c>
      <c r="H31" s="63" t="str">
        <f>IF(+All!$F808="Indiana",+All!H808,IF(+All!$H808="Indiana",+All!H808,0))</f>
        <v>Indiana</v>
      </c>
      <c r="I31" s="52" t="str">
        <f>IF(+All!$F808="Indiana",+All!I808,IF(+All!$H808="Indiana",+All!I808,0))</f>
        <v>B10</v>
      </c>
      <c r="J31" s="460" t="str">
        <f>IF(+All!$F808="Indiana",+All!J808,IF(+All!$H808="Indiana",+All!J808,0))</f>
        <v>Purdue</v>
      </c>
      <c r="K31" s="461" t="str">
        <f>IF(+All!$F808="Indiana",+All!K808,IF(+All!$H808="Indiana",+All!K808,0))</f>
        <v>Indiana</v>
      </c>
      <c r="L31" s="54">
        <f>IF(+All!$F808="Indiana",+All!L808,IF(+All!$H808="Indiana",+All!L808,0))</f>
        <v>10.5</v>
      </c>
      <c r="M31" s="55">
        <f>IF(+All!$F808="Indiana",+All!M808,IF(+All!$H808="Indiana",+All!M808,0))</f>
        <v>53.5</v>
      </c>
      <c r="N31" s="460" t="str">
        <f>IF(+All!$F808="Indiana",+All!N808,IF(+All!$H808="Indiana",+All!N808,0))</f>
        <v>Purdue</v>
      </c>
      <c r="O31" s="462">
        <f>IF(+All!$F808="Indiana",+All!O808,IF(+All!$H808="Indiana",+All!O808,0))</f>
        <v>30</v>
      </c>
      <c r="P31" s="462" t="str">
        <f>IF(+All!$F808="Indiana",+All!P808,IF(+All!$H808="Indiana",+All!P808,0))</f>
        <v>Indiana</v>
      </c>
      <c r="Q31" s="461">
        <f>IF(+All!$F808="Indiana",+All!Q808,IF(+All!$H808="Indiana",+All!Q808,0))</f>
        <v>16</v>
      </c>
      <c r="R31" s="460" t="str">
        <f>IF(+All!$F808="Indiana",+All!R808,IF(+All!$H808="Indiana",+All!R808,0))</f>
        <v>Purdue</v>
      </c>
      <c r="S31" s="462" t="str">
        <f>IF(+All!$F808="Indiana",+All!S808,IF(+All!$H808="Indiana",+All!S808,0))</f>
        <v>Indiana</v>
      </c>
      <c r="T31" s="460" t="str">
        <f>IF(+All!$F808="Indiana",+All!T808,IF(+All!$H808="Indiana",+All!T808,0))</f>
        <v>Indiana</v>
      </c>
      <c r="U31" s="461" t="str">
        <f>IF(+All!$F808="Indiana",+All!U808,IF(+All!$H808="Indiana",+All!U808,0))</f>
        <v>L</v>
      </c>
    </row>
    <row r="32" spans="1:21" x14ac:dyDescent="0.8">
      <c r="A32" s="38"/>
      <c r="B32" s="39"/>
      <c r="C32" s="40"/>
      <c r="D32" s="41"/>
      <c r="E32" s="463"/>
      <c r="F32" s="897" t="str">
        <f>H33</f>
        <v>Iowa</v>
      </c>
      <c r="G32" s="903"/>
      <c r="H32" s="903"/>
      <c r="I32" s="904"/>
      <c r="J32" s="459"/>
      <c r="K32" s="463"/>
      <c r="L32" s="44"/>
      <c r="M32" s="45"/>
      <c r="N32" s="459"/>
      <c r="O32" s="5"/>
      <c r="P32" s="5"/>
      <c r="Q32" s="463"/>
      <c r="R32" s="459"/>
      <c r="S32" s="5"/>
      <c r="T32" s="459"/>
      <c r="U32" s="463"/>
    </row>
    <row r="33" spans="1:21" x14ac:dyDescent="0.8">
      <c r="A33" s="46">
        <f>IF(+All!$F30="Iowa",+All!A30,IF(+All!$H30="Iowa",+All!A30,0))</f>
        <v>1</v>
      </c>
      <c r="B33" s="348" t="str">
        <f>IF(+All!$F30="Iowa",+All!B30,IF(+All!$H30="Iowa",+All!B30,0))</f>
        <v>Sat</v>
      </c>
      <c r="C33" s="48">
        <f>IF(+All!$F30="Iowa",+All!C30,IF(+All!$H30="Iowa",+All!C30,0))</f>
        <v>44807</v>
      </c>
      <c r="D33" s="490">
        <f>IF(+All!$F30="Iowa",+All!D30,IF(+All!$H30="Iowa",+All!D30,0))</f>
        <v>0.5</v>
      </c>
      <c r="E33" s="461" t="str">
        <f>IF(+All!$F30="Iowa",+All!E30,IF(+All!$H30="Iowa",+All!E30,0))</f>
        <v>FS1</v>
      </c>
      <c r="F33" s="51" t="str">
        <f>IF(+All!$F30="Iowa",+All!F30,IF(+All!$H30="Iowa",+All!F30,0))</f>
        <v>1AA South Dakota St</v>
      </c>
      <c r="G33" s="63" t="str">
        <f>IF(+All!$F30="Iowa",+All!G30,IF(+All!$H30="Iowa",+All!G30,0))</f>
        <v>1AA</v>
      </c>
      <c r="H33" s="63" t="str">
        <f>IF(+All!$F30="Iowa",+All!H30,IF(+All!$H30="Iowa",+All!H30,0))</f>
        <v>Iowa</v>
      </c>
      <c r="I33" s="52" t="str">
        <f>IF(+All!$F30="Iowa",+All!I30,IF(+All!$H30="Iowa",+All!I30,0))</f>
        <v>B10</v>
      </c>
      <c r="J33" s="460">
        <f>IF(+All!$F30="Iowa",+All!J30,IF(+All!$H30="Iowa",+All!J30,0))</f>
        <v>0</v>
      </c>
      <c r="K33" s="461">
        <f>IF(+All!$F30="Iowa",+All!K30,IF(+All!$H30="Iowa",+All!K30,0))</f>
        <v>0</v>
      </c>
      <c r="L33" s="54">
        <f>IF(+All!$F30="Iowa",+All!L30,IF(+All!$H30="Iowa",+All!L30,0))</f>
        <v>0</v>
      </c>
      <c r="M33" s="55">
        <f>IF(+All!$F30="Iowa",+All!M30,IF(+All!$H30="Iowa",+All!M30,0))</f>
        <v>0</v>
      </c>
      <c r="N33" s="460" t="str">
        <f>IF(+All!$F30="Iowa",+All!N30,IF(+All!$H30="Iowa",+All!N30,0))</f>
        <v>Iowa</v>
      </c>
      <c r="O33" s="462">
        <f>IF(+All!$F30="Iowa",+All!O30,IF(+All!$H30="Iowa",+All!O30,0))</f>
        <v>7</v>
      </c>
      <c r="P33" s="462" t="str">
        <f>IF(+All!$F30="Iowa",+All!P30,IF(+All!$H30="Iowa",+All!P30,0))</f>
        <v>1AA South Dakota St</v>
      </c>
      <c r="Q33" s="461">
        <f>IF(+All!$F30="Iowa",+All!Q30,IF(+All!$H30="Iowa",+All!Q30,0))</f>
        <v>3</v>
      </c>
      <c r="R33" s="460">
        <f>IF(+All!$F30="Iowa",+All!R30,IF(+All!$H30="Iowa",+All!R30,0))</f>
        <v>0</v>
      </c>
      <c r="S33" s="462">
        <f>IF(+All!$F30="Iowa",+All!S30,IF(+All!$H30="Iowa",+All!S30,0))</f>
        <v>0</v>
      </c>
      <c r="T33" s="460">
        <f>IF(+All!$F30="Iowa",+All!T30,IF(+All!$H30="Iowa",+All!T30,0))</f>
        <v>0</v>
      </c>
      <c r="U33" s="461">
        <f>IF(+All!$F30="Iowa",+All!U30,IF(+All!$H30="Iowa",+All!U30,0))</f>
        <v>0</v>
      </c>
    </row>
    <row r="34" spans="1:21" x14ac:dyDescent="0.8">
      <c r="A34" s="46">
        <f>IF(+All!$F116="Iowa",+All!A116,IF(+All!$H116="Iowa",+All!A116,0))</f>
        <v>2</v>
      </c>
      <c r="B34" s="348" t="str">
        <f>IF(+All!$F116="Iowa",+All!B116,IF(+All!$H116="Iowa",+All!B116,0))</f>
        <v>Sat</v>
      </c>
      <c r="C34" s="48">
        <f>IF(+All!$F116="Iowa",+All!C116,IF(+All!$H116="Iowa",+All!C116,0))</f>
        <v>44814</v>
      </c>
      <c r="D34" s="490">
        <f>IF(+All!$F116="Iowa",+All!D116,IF(+All!$H116="Iowa",+All!D116,0))</f>
        <v>0.66666666666666663</v>
      </c>
      <c r="E34" s="461" t="str">
        <f>IF(+All!$F116="Iowa",+All!E116,IF(+All!$H116="Iowa",+All!E116,0))</f>
        <v>BTN</v>
      </c>
      <c r="F34" s="51" t="str">
        <f>IF(+All!$F116="Iowa",+All!F116,IF(+All!$H116="Iowa",+All!F116,0))</f>
        <v>Iowa State</v>
      </c>
      <c r="G34" s="63" t="str">
        <f>IF(+All!$F116="Iowa",+All!G116,IF(+All!$H116="Iowa",+All!G116,0))</f>
        <v>B12</v>
      </c>
      <c r="H34" s="63" t="str">
        <f>IF(+All!$F116="Iowa",+All!H116,IF(+All!$H116="Iowa",+All!H116,0))</f>
        <v>Iowa</v>
      </c>
      <c r="I34" s="52" t="str">
        <f>IF(+All!$F116="Iowa",+All!I116,IF(+All!$H116="Iowa",+All!I116,0))</f>
        <v>B10</v>
      </c>
      <c r="J34" s="460" t="str">
        <f>IF(+All!$F116="Iowa",+All!J116,IF(+All!$H116="Iowa",+All!J116,0))</f>
        <v>Iowa</v>
      </c>
      <c r="K34" s="461" t="str">
        <f>IF(+All!$F116="Iowa",+All!K116,IF(+All!$H116="Iowa",+All!K116,0))</f>
        <v>Iowa State</v>
      </c>
      <c r="L34" s="54">
        <f>IF(+All!$F116="Iowa",+All!L116,IF(+All!$H116="Iowa",+All!L116,0))</f>
        <v>3.5</v>
      </c>
      <c r="M34" s="55">
        <f>IF(+All!$F116="Iowa",+All!M116,IF(+All!$H116="Iowa",+All!M116,0))</f>
        <v>40</v>
      </c>
      <c r="N34" s="460" t="str">
        <f>IF(+All!$F116="Iowa",+All!N116,IF(+All!$H116="Iowa",+All!N116,0))</f>
        <v>Iowa State</v>
      </c>
      <c r="O34" s="462">
        <f>IF(+All!$F116="Iowa",+All!O116,IF(+All!$H116="Iowa",+All!O116,0))</f>
        <v>10</v>
      </c>
      <c r="P34" s="462" t="str">
        <f>IF(+All!$F116="Iowa",+All!P116,IF(+All!$H116="Iowa",+All!P116,0))</f>
        <v>Iowa</v>
      </c>
      <c r="Q34" s="461">
        <f>IF(+All!$F116="Iowa",+All!Q116,IF(+All!$H116="Iowa",+All!Q116,0))</f>
        <v>7</v>
      </c>
      <c r="R34" s="460" t="str">
        <f>IF(+All!$F116="Iowa",+All!R116,IF(+All!$H116="Iowa",+All!R116,0))</f>
        <v>Iowa State</v>
      </c>
      <c r="S34" s="462" t="str">
        <f>IF(+All!$F116="Iowa",+All!S116,IF(+All!$H116="Iowa",+All!S116,0))</f>
        <v>Iowa</v>
      </c>
      <c r="T34" s="460" t="str">
        <f>IF(+All!$F116="Iowa",+All!T116,IF(+All!$H116="Iowa",+All!T116,0))</f>
        <v>Iowa State</v>
      </c>
      <c r="U34" s="461" t="str">
        <f>IF(+All!$F116="Iowa",+All!U116,IF(+All!$H116="Iowa",+All!U116,0))</f>
        <v>W</v>
      </c>
    </row>
    <row r="35" spans="1:21" x14ac:dyDescent="0.8">
      <c r="A35" s="46">
        <f>IF(+All!$F198="Iowa",+All!A198,IF(+All!$H198="Iowa",+All!A198,0))</f>
        <v>3</v>
      </c>
      <c r="B35" s="348" t="str">
        <f>IF(+All!$F198="Iowa",+All!B198,IF(+All!$H198="Iowa",+All!B198,0))</f>
        <v>Sat</v>
      </c>
      <c r="C35" s="48">
        <f>IF(+All!$F198="Iowa",+All!C198,IF(+All!$H198="Iowa",+All!C198,0))</f>
        <v>44821</v>
      </c>
      <c r="D35" s="490">
        <f>IF(+All!$F198="Iowa",+All!D198,IF(+All!$H198="Iowa",+All!D198,0))</f>
        <v>0.8125</v>
      </c>
      <c r="E35" s="461" t="str">
        <f>IF(+All!$F198="Iowa",+All!E198,IF(+All!$H198="Iowa",+All!E198,0))</f>
        <v>BTN</v>
      </c>
      <c r="F35" s="51" t="str">
        <f>IF(+All!$F198="Iowa",+All!F198,IF(+All!$H198="Iowa",+All!F198,0))</f>
        <v>Nevada</v>
      </c>
      <c r="G35" s="63" t="str">
        <f>IF(+All!$F198="Iowa",+All!G198,IF(+All!$H198="Iowa",+All!G198,0))</f>
        <v>MWC</v>
      </c>
      <c r="H35" s="63" t="str">
        <f>IF(+All!$F198="Iowa",+All!H198,IF(+All!$H198="Iowa",+All!H198,0))</f>
        <v>Iowa</v>
      </c>
      <c r="I35" s="52" t="str">
        <f>IF(+All!$F198="Iowa",+All!I198,IF(+All!$H198="Iowa",+All!I198,0))</f>
        <v>B10</v>
      </c>
      <c r="J35" s="460" t="str">
        <f>IF(+All!$F198="Iowa",+All!J198,IF(+All!$H198="Iowa",+All!J198,0))</f>
        <v>Iowa</v>
      </c>
      <c r="K35" s="461" t="str">
        <f>IF(+All!$F198="Iowa",+All!K198,IF(+All!$H198="Iowa",+All!K198,0))</f>
        <v>Nevada</v>
      </c>
      <c r="L35" s="54">
        <f>IF(+All!$F198="Iowa",+All!L198,IF(+All!$H198="Iowa",+All!L198,0))</f>
        <v>23</v>
      </c>
      <c r="M35" s="55">
        <f>IF(+All!$F198="Iowa",+All!M198,IF(+All!$H198="Iowa",+All!M198,0))</f>
        <v>39</v>
      </c>
      <c r="N35" s="460" t="str">
        <f>IF(+All!$F198="Iowa",+All!N198,IF(+All!$H198="Iowa",+All!N198,0))</f>
        <v>Iowa</v>
      </c>
      <c r="O35" s="462">
        <f>IF(+All!$F198="Iowa",+All!O198,IF(+All!$H198="Iowa",+All!O198,0))</f>
        <v>27</v>
      </c>
      <c r="P35" s="462" t="str">
        <f>IF(+All!$F198="Iowa",+All!P198,IF(+All!$H198="Iowa",+All!P198,0))</f>
        <v>Nevada</v>
      </c>
      <c r="Q35" s="461">
        <f>IF(+All!$F198="Iowa",+All!Q198,IF(+All!$H198="Iowa",+All!Q198,0))</f>
        <v>0</v>
      </c>
      <c r="R35" s="460" t="str">
        <f>IF(+All!$F198="Iowa",+All!R198,IF(+All!$H198="Iowa",+All!R198,0))</f>
        <v>Iowa</v>
      </c>
      <c r="S35" s="462" t="str">
        <f>IF(+All!$F198="Iowa",+All!S198,IF(+All!$H198="Iowa",+All!S198,0))</f>
        <v>Nevada</v>
      </c>
      <c r="T35" s="460" t="str">
        <f>IF(+All!$F198="Iowa",+All!T198,IF(+All!$H198="Iowa",+All!T198,0))</f>
        <v>Nevada</v>
      </c>
      <c r="U35" s="461" t="str">
        <f>IF(+All!$F198="Iowa",+All!U198,IF(+All!$H198="Iowa",+All!U198,0))</f>
        <v>L</v>
      </c>
    </row>
    <row r="36" spans="1:21" x14ac:dyDescent="0.8">
      <c r="A36" s="46">
        <f>IF(+All!$F279="Iowa",+All!A279,IF(+All!$H279="Iowa",+All!A279,0))</f>
        <v>4</v>
      </c>
      <c r="B36" s="348" t="str">
        <f>IF(+All!$F279="Iowa",+All!B279,IF(+All!$H279="Iowa",+All!B279,0))</f>
        <v>Sat</v>
      </c>
      <c r="C36" s="48">
        <f>IF(+All!$F279="Iowa",+All!C279,IF(+All!$H279="Iowa",+All!C279,0))</f>
        <v>44828</v>
      </c>
      <c r="D36" s="490">
        <f>IF(+All!$F279="Iowa",+All!D279,IF(+All!$H279="Iowa",+All!D279,0))</f>
        <v>0.79166666666666663</v>
      </c>
      <c r="E36" s="461" t="str">
        <f>IF(+All!$F279="Iowa",+All!E279,IF(+All!$H279="Iowa",+All!E279,0))</f>
        <v>FS1</v>
      </c>
      <c r="F36" s="51" t="str">
        <f>IF(+All!$F279="Iowa",+All!F279,IF(+All!$H279="Iowa",+All!F279,0))</f>
        <v>Iowa</v>
      </c>
      <c r="G36" s="63" t="str">
        <f>IF(+All!$F279="Iowa",+All!G279,IF(+All!$H279="Iowa",+All!G279,0))</f>
        <v>B10</v>
      </c>
      <c r="H36" s="63" t="str">
        <f>IF(+All!$F279="Iowa",+All!H279,IF(+All!$H279="Iowa",+All!H279,0))</f>
        <v>Rutgers</v>
      </c>
      <c r="I36" s="52" t="str">
        <f>IF(+All!$F279="Iowa",+All!I279,IF(+All!$H279="Iowa",+All!I279,0))</f>
        <v>B10</v>
      </c>
      <c r="J36" s="460" t="str">
        <f>IF(+All!$F279="Iowa",+All!J279,IF(+All!$H279="Iowa",+All!J279,0))</f>
        <v>Iowa</v>
      </c>
      <c r="K36" s="461" t="str">
        <f>IF(+All!$F279="Iowa",+All!K279,IF(+All!$H279="Iowa",+All!K279,0))</f>
        <v>Rutgers</v>
      </c>
      <c r="L36" s="54">
        <f>IF(+All!$F279="Iowa",+All!L279,IF(+All!$H279="Iowa",+All!L279,0))</f>
        <v>7.5</v>
      </c>
      <c r="M36" s="55">
        <f>IF(+All!$F279="Iowa",+All!M279,IF(+All!$H279="Iowa",+All!M279,0))</f>
        <v>34.5</v>
      </c>
      <c r="N36" s="460" t="str">
        <f>IF(+All!$F279="Iowa",+All!N279,IF(+All!$H279="Iowa",+All!N279,0))</f>
        <v>Iowa</v>
      </c>
      <c r="O36" s="462">
        <f>IF(+All!$F279="Iowa",+All!O279,IF(+All!$H279="Iowa",+All!O279,0))</f>
        <v>27</v>
      </c>
      <c r="P36" s="462" t="str">
        <f>IF(+All!$F279="Iowa",+All!P279,IF(+All!$H279="Iowa",+All!P279,0))</f>
        <v>Rutgers</v>
      </c>
      <c r="Q36" s="461">
        <f>IF(+All!$F279="Iowa",+All!Q279,IF(+All!$H279="Iowa",+All!Q279,0))</f>
        <v>10</v>
      </c>
      <c r="R36" s="460" t="str">
        <f>IF(+All!$F279="Iowa",+All!R279,IF(+All!$H279="Iowa",+All!R279,0))</f>
        <v>Iowa</v>
      </c>
      <c r="S36" s="462" t="str">
        <f>IF(+All!$F279="Iowa",+All!S279,IF(+All!$H279="Iowa",+All!S279,0))</f>
        <v>Rutgers</v>
      </c>
      <c r="T36" s="460" t="str">
        <f>IF(+All!$F279="Iowa",+All!T279,IF(+All!$H279="Iowa",+All!T279,0))</f>
        <v>Rutgers</v>
      </c>
      <c r="U36" s="461" t="str">
        <f>IF(+All!$F279="Iowa",+All!U279,IF(+All!$H279="Iowa",+All!U279,0))</f>
        <v>L</v>
      </c>
    </row>
    <row r="37" spans="1:21" x14ac:dyDescent="0.8">
      <c r="A37" s="46">
        <f>IF(+All!$F335="Iowa",+All!A335,IF(+All!$H335="Iowa",+All!A335,0))</f>
        <v>5</v>
      </c>
      <c r="B37" s="348" t="str">
        <f>IF(+All!$F335="Iowa",+All!B335,IF(+All!$H335="Iowa",+All!B335,0))</f>
        <v>Sat</v>
      </c>
      <c r="C37" s="48">
        <f>IF(+All!$F335="Iowa",+All!C335,IF(+All!$H335="Iowa",+All!C335,0))</f>
        <v>44835</v>
      </c>
      <c r="D37" s="490">
        <f>IF(+All!$F335="Iowa",+All!D335,IF(+All!$H335="Iowa",+All!D335,0))</f>
        <v>0.5</v>
      </c>
      <c r="E37" s="461" t="str">
        <f>IF(+All!$F335="Iowa",+All!E335,IF(+All!$H335="Iowa",+All!E335,0))</f>
        <v>Fox</v>
      </c>
      <c r="F37" s="51" t="str">
        <f>IF(+All!$F335="Iowa",+All!F335,IF(+All!$H335="Iowa",+All!F335,0))</f>
        <v>Michigan</v>
      </c>
      <c r="G37" s="63" t="str">
        <f>IF(+All!$F335="Iowa",+All!G335,IF(+All!$H335="Iowa",+All!G335,0))</f>
        <v>B10</v>
      </c>
      <c r="H37" s="63" t="str">
        <f>IF(+All!$F335="Iowa",+All!H335,IF(+All!$H335="Iowa",+All!H335,0))</f>
        <v>Iowa</v>
      </c>
      <c r="I37" s="52" t="str">
        <f>IF(+All!$F335="Iowa",+All!I335,IF(+All!$H335="Iowa",+All!I335,0))</f>
        <v>B10</v>
      </c>
      <c r="J37" s="460" t="str">
        <f>IF(+All!$F335="Iowa",+All!J335,IF(+All!$H335="Iowa",+All!J335,0))</f>
        <v>Michigan</v>
      </c>
      <c r="K37" s="461" t="str">
        <f>IF(+All!$F335="Iowa",+All!K335,IF(+All!$H335="Iowa",+All!K335,0))</f>
        <v>Iowa</v>
      </c>
      <c r="L37" s="54">
        <f>IF(+All!$F335="Iowa",+All!L335,IF(+All!$H335="Iowa",+All!L335,0))</f>
        <v>11</v>
      </c>
      <c r="M37" s="55">
        <f>IF(+All!$F335="Iowa",+All!M335,IF(+All!$H335="Iowa",+All!M335,0))</f>
        <v>42</v>
      </c>
      <c r="N37" s="460" t="str">
        <f>IF(+All!$F335="Iowa",+All!N335,IF(+All!$H335="Iowa",+All!N335,0))</f>
        <v>Michigan</v>
      </c>
      <c r="O37" s="462">
        <f>IF(+All!$F335="Iowa",+All!O335,IF(+All!$H335="Iowa",+All!O335,0))</f>
        <v>27</v>
      </c>
      <c r="P37" s="462" t="str">
        <f>IF(+All!$F335="Iowa",+All!P335,IF(+All!$H335="Iowa",+All!P335,0))</f>
        <v>Iowa</v>
      </c>
      <c r="Q37" s="461">
        <f>IF(+All!$F335="Iowa",+All!Q335,IF(+All!$H335="Iowa",+All!Q335,0))</f>
        <v>24</v>
      </c>
      <c r="R37" s="460" t="str">
        <f>IF(+All!$F335="Iowa",+All!R335,IF(+All!$H335="Iowa",+All!R335,0))</f>
        <v>Iowa</v>
      </c>
      <c r="S37" s="462" t="str">
        <f>IF(+All!$F335="Iowa",+All!S335,IF(+All!$H335="Iowa",+All!S335,0))</f>
        <v>Michigan</v>
      </c>
      <c r="T37" s="460" t="str">
        <f>IF(+All!$F335="Iowa",+All!T335,IF(+All!$H335="Iowa",+All!T335,0))</f>
        <v>Iowa</v>
      </c>
      <c r="U37" s="461" t="str">
        <f>IF(+All!$F335="Iowa",+All!U335,IF(+All!$H335="Iowa",+All!U335,0))</f>
        <v>W</v>
      </c>
    </row>
    <row r="38" spans="1:21" x14ac:dyDescent="0.8">
      <c r="A38" s="46">
        <f>IF(+All!$F396="Iowa",+All!A396,IF(+All!$H396="Iowa",+All!A396,0))</f>
        <v>6</v>
      </c>
      <c r="B38" s="348" t="str">
        <f>IF(+All!$F396="Iowa",+All!B396,IF(+All!$H396="Iowa",+All!B396,0))</f>
        <v>Sat</v>
      </c>
      <c r="C38" s="48">
        <f>IF(+All!$F396="Iowa",+All!C396,IF(+All!$H396="Iowa",+All!C396,0))</f>
        <v>44842</v>
      </c>
      <c r="D38" s="490">
        <f>IF(+All!$F396="Iowa",+All!D396,IF(+All!$H396="Iowa",+All!D396,0))</f>
        <v>0.8125</v>
      </c>
      <c r="E38" s="461" t="str">
        <f>IF(+All!$F396="Iowa",+All!E396,IF(+All!$H396="Iowa",+All!E396,0))</f>
        <v>BTN</v>
      </c>
      <c r="F38" s="51" t="str">
        <f>IF(+All!$F396="Iowa",+All!F396,IF(+All!$H396="Iowa",+All!F396,0))</f>
        <v>Iowa</v>
      </c>
      <c r="G38" s="63" t="str">
        <f>IF(+All!$F396="Iowa",+All!G396,IF(+All!$H396="Iowa",+All!G396,0))</f>
        <v>B10</v>
      </c>
      <c r="H38" s="63" t="str">
        <f>IF(+All!$F396="Iowa",+All!H396,IF(+All!$H396="Iowa",+All!H396,0))</f>
        <v>Illinois</v>
      </c>
      <c r="I38" s="52" t="str">
        <f>IF(+All!$F396="Iowa",+All!I396,IF(+All!$H396="Iowa",+All!I396,0))</f>
        <v>B10</v>
      </c>
      <c r="J38" s="460" t="str">
        <f>IF(+All!$F396="Iowa",+All!J396,IF(+All!$H396="Iowa",+All!J396,0))</f>
        <v>Illinois</v>
      </c>
      <c r="K38" s="461" t="str">
        <f>IF(+All!$F396="Iowa",+All!K396,IF(+All!$H396="Iowa",+All!K396,0))</f>
        <v>Iowa</v>
      </c>
      <c r="L38" s="54">
        <f>IF(+All!$F396="Iowa",+All!L396,IF(+All!$H396="Iowa",+All!L396,0))</f>
        <v>3.5</v>
      </c>
      <c r="M38" s="55">
        <f>IF(+All!$F396="Iowa",+All!M396,IF(+All!$H396="Iowa",+All!M396,0))</f>
        <v>35.5</v>
      </c>
      <c r="N38" s="460" t="str">
        <f>IF(+All!$F396="Iowa",+All!N396,IF(+All!$H396="Iowa",+All!N396,0))</f>
        <v>Illinois</v>
      </c>
      <c r="O38" s="462">
        <f>IF(+All!$F396="Iowa",+All!O396,IF(+All!$H396="Iowa",+All!O396,0))</f>
        <v>9</v>
      </c>
      <c r="P38" s="462" t="str">
        <f>IF(+All!$F396="Iowa",+All!P396,IF(+All!$H396="Iowa",+All!P396,0))</f>
        <v>Iowa</v>
      </c>
      <c r="Q38" s="461">
        <f>IF(+All!$F396="Iowa",+All!Q396,IF(+All!$H396="Iowa",+All!Q396,0))</f>
        <v>6</v>
      </c>
      <c r="R38" s="460" t="str">
        <f>IF(+All!$F396="Iowa",+All!R396,IF(+All!$H396="Iowa",+All!R396,0))</f>
        <v>Iowa</v>
      </c>
      <c r="S38" s="462" t="str">
        <f>IF(+All!$F396="Iowa",+All!S396,IF(+All!$H396="Iowa",+All!S396,0))</f>
        <v>Illinois</v>
      </c>
      <c r="T38" s="460" t="str">
        <f>IF(+All!$F396="Iowa",+All!T396,IF(+All!$H396="Iowa",+All!T396,0))</f>
        <v>Iowa</v>
      </c>
      <c r="U38" s="461" t="str">
        <f>IF(+All!$F396="Iowa",+All!U396,IF(+All!$H396="Iowa",+All!U396,0))</f>
        <v>W</v>
      </c>
    </row>
    <row r="39" spans="1:21" x14ac:dyDescent="0.8">
      <c r="A39" s="46" t="e">
        <f>IF(+All!#REF!="Iowa",+All!#REF!,IF(+All!#REF!="Iowa",+All!#REF!,0))</f>
        <v>#REF!</v>
      </c>
      <c r="B39" s="348" t="e">
        <f>IF(+All!#REF!="Iowa",+All!#REF!,IF(+All!#REF!="Iowa",+All!#REF!,0))</f>
        <v>#REF!</v>
      </c>
      <c r="C39" s="48" t="e">
        <f>IF(+All!#REF!="Iowa",+All!#REF!,IF(+All!#REF!="Iowa",+All!#REF!,0))</f>
        <v>#REF!</v>
      </c>
      <c r="D39" s="490" t="e">
        <f>IF(+All!#REF!="Iowa",+All!#REF!,IF(+All!#REF!="Iowa",+All!#REF!,0))</f>
        <v>#REF!</v>
      </c>
      <c r="E39" s="461" t="e">
        <f>IF(+All!#REF!="Iowa",+All!#REF!,IF(+All!#REF!="Iowa",+All!#REF!,0))</f>
        <v>#REF!</v>
      </c>
      <c r="F39" s="51" t="e">
        <f>IF(+All!#REF!="Iowa",+All!#REF!,IF(+All!#REF!="Iowa",+All!#REF!,0))</f>
        <v>#REF!</v>
      </c>
      <c r="G39" s="63" t="e">
        <f>IF(+All!#REF!="Iowa",+All!#REF!,IF(+All!#REF!="Iowa",+All!#REF!,0))</f>
        <v>#REF!</v>
      </c>
      <c r="H39" s="63" t="e">
        <f>IF(+All!#REF!="Iowa",+All!#REF!,IF(+All!#REF!="Iowa",+All!#REF!,0))</f>
        <v>#REF!</v>
      </c>
      <c r="I39" s="52" t="e">
        <f>IF(+All!#REF!="Iowa",+All!#REF!,IF(+All!#REF!="Iowa",+All!#REF!,0))</f>
        <v>#REF!</v>
      </c>
      <c r="J39" s="460" t="e">
        <f>IF(+All!#REF!="Iowa",+All!#REF!,IF(+All!#REF!="Iowa",+All!#REF!,0))</f>
        <v>#REF!</v>
      </c>
      <c r="K39" s="461" t="e">
        <f>IF(+All!#REF!="Iowa",+All!#REF!,IF(+All!#REF!="Iowa",+All!#REF!,0))</f>
        <v>#REF!</v>
      </c>
      <c r="L39" s="54" t="e">
        <f>IF(+All!#REF!="Iowa",+All!#REF!,IF(+All!#REF!="Iowa",+All!#REF!,0))</f>
        <v>#REF!</v>
      </c>
      <c r="M39" s="55" t="e">
        <f>IF(+All!#REF!="Iowa",+All!#REF!,IF(+All!#REF!="Iowa",+All!#REF!,0))</f>
        <v>#REF!</v>
      </c>
      <c r="N39" s="460" t="e">
        <f>IF(+All!#REF!="Iowa",+All!#REF!,IF(+All!#REF!="Iowa",+All!#REF!,0))</f>
        <v>#REF!</v>
      </c>
      <c r="O39" s="462" t="e">
        <f>IF(+All!#REF!="Iowa",+All!#REF!,IF(+All!#REF!="Iowa",+All!#REF!,0))</f>
        <v>#REF!</v>
      </c>
      <c r="P39" s="462" t="e">
        <f>IF(+All!#REF!="Iowa",+All!#REF!,IF(+All!#REF!="Iowa",+All!#REF!,0))</f>
        <v>#REF!</v>
      </c>
      <c r="Q39" s="461" t="e">
        <f>IF(+All!#REF!="Iowa",+All!#REF!,IF(+All!#REF!="Iowa",+All!#REF!,0))</f>
        <v>#REF!</v>
      </c>
      <c r="R39" s="460" t="e">
        <f>IF(+All!#REF!="Iowa",+All!#REF!,IF(+All!#REF!="Iowa",+All!#REF!,0))</f>
        <v>#REF!</v>
      </c>
      <c r="S39" s="462" t="e">
        <f>IF(+All!#REF!="Iowa",+All!#REF!,IF(+All!#REF!="Iowa",+All!#REF!,0))</f>
        <v>#REF!</v>
      </c>
      <c r="T39" s="460" t="e">
        <f>IF(+All!#REF!="Iowa",+All!#REF!,IF(+All!#REF!="Iowa",+All!#REF!,0))</f>
        <v>#REF!</v>
      </c>
      <c r="U39" s="461" t="e">
        <f>IF(+All!#REF!="Iowa",+All!#REF!,IF(+All!#REF!="Iowa",+All!#REF!,0))</f>
        <v>#REF!</v>
      </c>
    </row>
    <row r="40" spans="1:21" x14ac:dyDescent="0.8">
      <c r="A40" s="46">
        <f>IF(+All!$F505="Iowa",+All!A505,IF(+All!$H505="Iowa",+All!A505,0))</f>
        <v>8</v>
      </c>
      <c r="B40" s="348" t="str">
        <f>IF(+All!$F505="Iowa",+All!B505,IF(+All!$H505="Iowa",+All!B505,0))</f>
        <v>Sat</v>
      </c>
      <c r="C40" s="48">
        <f>IF(+All!$F505="Iowa",+All!C505,IF(+All!$H505="Iowa",+All!C505,0))</f>
        <v>44856</v>
      </c>
      <c r="D40" s="490">
        <f>IF(+All!$F505="Iowa",+All!D505,IF(+All!$H505="Iowa",+All!D505,0))</f>
        <v>0.5</v>
      </c>
      <c r="E40" s="461" t="str">
        <f>IF(+All!$F505="Iowa",+All!E505,IF(+All!$H505="Iowa",+All!E505,0))</f>
        <v>Fox</v>
      </c>
      <c r="F40" s="51" t="str">
        <f>IF(+All!$F505="Iowa",+All!F505,IF(+All!$H505="Iowa",+All!F505,0))</f>
        <v>Iowa</v>
      </c>
      <c r="G40" s="63" t="str">
        <f>IF(+All!$F505="Iowa",+All!G505,IF(+All!$H505="Iowa",+All!G505,0))</f>
        <v>B10</v>
      </c>
      <c r="H40" s="63" t="str">
        <f>IF(+All!$F505="Iowa",+All!H505,IF(+All!$H505="Iowa",+All!H505,0))</f>
        <v>Ohio State</v>
      </c>
      <c r="I40" s="52" t="str">
        <f>IF(+All!$F505="Iowa",+All!I505,IF(+All!$H505="Iowa",+All!I505,0))</f>
        <v>B10</v>
      </c>
      <c r="J40" s="460" t="str">
        <f>IF(+All!$F505="Iowa",+All!J505,IF(+All!$H505="Iowa",+All!J505,0))</f>
        <v>Ohio State</v>
      </c>
      <c r="K40" s="461" t="str">
        <f>IF(+All!$F505="Iowa",+All!K505,IF(+All!$H505="Iowa",+All!K505,0))</f>
        <v>Iowa</v>
      </c>
      <c r="L40" s="54">
        <f>IF(+All!$F505="Iowa",+All!L505,IF(+All!$H505="Iowa",+All!L505,0))</f>
        <v>29</v>
      </c>
      <c r="M40" s="55">
        <f>IF(+All!$F505="Iowa",+All!M505,IF(+All!$H505="Iowa",+All!M505,0))</f>
        <v>49</v>
      </c>
      <c r="N40" s="460" t="str">
        <f>IF(+All!$F505="Iowa",+All!N505,IF(+All!$H505="Iowa",+All!N505,0))</f>
        <v>Ohio State</v>
      </c>
      <c r="O40" s="462">
        <f>IF(+All!$F505="Iowa",+All!O505,IF(+All!$H505="Iowa",+All!O505,0))</f>
        <v>54</v>
      </c>
      <c r="P40" s="462" t="str">
        <f>IF(+All!$F505="Iowa",+All!P505,IF(+All!$H505="Iowa",+All!P505,0))</f>
        <v>Iowa</v>
      </c>
      <c r="Q40" s="461">
        <f>IF(+All!$F505="Iowa",+All!Q505,IF(+All!$H505="Iowa",+All!Q505,0))</f>
        <v>10</v>
      </c>
      <c r="R40" s="460" t="str">
        <f>IF(+All!$F505="Iowa",+All!R505,IF(+All!$H505="Iowa",+All!R505,0))</f>
        <v>Ohio State</v>
      </c>
      <c r="S40" s="462" t="str">
        <f>IF(+All!$F505="Iowa",+All!S505,IF(+All!$H505="Iowa",+All!S505,0))</f>
        <v>Iowa</v>
      </c>
      <c r="T40" s="460" t="str">
        <f>IF(+All!$F505="Iowa",+All!T505,IF(+All!$H505="Iowa",+All!T505,0))</f>
        <v>Iowa</v>
      </c>
      <c r="U40" s="461" t="str">
        <f>IF(+All!$F505="Iowa",+All!U505,IF(+All!$H505="Iowa",+All!U505,0))</f>
        <v>L</v>
      </c>
    </row>
    <row r="41" spans="1:21" x14ac:dyDescent="0.8">
      <c r="A41" s="46">
        <f>IF(+All!$F559="Iowa",+All!A559,IF(+All!$H559="Iowa",+All!A559,0))</f>
        <v>9</v>
      </c>
      <c r="B41" s="348" t="str">
        <f>IF(+All!$F559="Iowa",+All!B559,IF(+All!$H559="Iowa",+All!B559,0))</f>
        <v>Sat</v>
      </c>
      <c r="C41" s="48">
        <f>IF(+All!$F559="Iowa",+All!C559,IF(+All!$H559="Iowa",+All!C559,0))</f>
        <v>44863</v>
      </c>
      <c r="D41" s="490">
        <f>IF(+All!$F559="Iowa",+All!D559,IF(+All!$H559="Iowa",+All!D559,0))</f>
        <v>0.64583333333333337</v>
      </c>
      <c r="E41" s="461" t="str">
        <f>IF(+All!$F559="Iowa",+All!E559,IF(+All!$H559="Iowa",+All!E559,0))</f>
        <v>ESPN2</v>
      </c>
      <c r="F41" s="51" t="str">
        <f>IF(+All!$F559="Iowa",+All!F559,IF(+All!$H559="Iowa",+All!F559,0))</f>
        <v>Northwestern</v>
      </c>
      <c r="G41" s="63" t="str">
        <f>IF(+All!$F559="Iowa",+All!G559,IF(+All!$H559="Iowa",+All!G559,0))</f>
        <v>B10</v>
      </c>
      <c r="H41" s="63" t="str">
        <f>IF(+All!$F559="Iowa",+All!H559,IF(+All!$H559="Iowa",+All!H559,0))</f>
        <v>Iowa</v>
      </c>
      <c r="I41" s="52" t="str">
        <f>IF(+All!$F559="Iowa",+All!I559,IF(+All!$H559="Iowa",+All!I559,0))</f>
        <v>B10</v>
      </c>
      <c r="J41" s="460" t="str">
        <f>IF(+All!$F559="Iowa",+All!J559,IF(+All!$H559="Iowa",+All!J559,0))</f>
        <v>Iowa</v>
      </c>
      <c r="K41" s="461" t="str">
        <f>IF(+All!$F559="Iowa",+All!K559,IF(+All!$H559="Iowa",+All!K559,0))</f>
        <v>Northwestern</v>
      </c>
      <c r="L41" s="54">
        <f>IF(+All!$F559="Iowa",+All!L559,IF(+All!$H559="Iowa",+All!L559,0))</f>
        <v>11</v>
      </c>
      <c r="M41" s="55">
        <f>IF(+All!$F559="Iowa",+All!M559,IF(+All!$H559="Iowa",+All!M559,0))</f>
        <v>37.5</v>
      </c>
      <c r="N41" s="460" t="str">
        <f>IF(+All!$F559="Iowa",+All!N559,IF(+All!$H559="Iowa",+All!N559,0))</f>
        <v>Iowa</v>
      </c>
      <c r="O41" s="462">
        <f>IF(+All!$F559="Iowa",+All!O559,IF(+All!$H559="Iowa",+All!O559,0))</f>
        <v>33</v>
      </c>
      <c r="P41" s="462" t="str">
        <f>IF(+All!$F559="Iowa",+All!P559,IF(+All!$H559="Iowa",+All!P559,0))</f>
        <v>Northwestern</v>
      </c>
      <c r="Q41" s="461">
        <f>IF(+All!$F559="Iowa",+All!Q559,IF(+All!$H559="Iowa",+All!Q559,0))</f>
        <v>13</v>
      </c>
      <c r="R41" s="460" t="str">
        <f>IF(+All!$F559="Iowa",+All!R559,IF(+All!$H559="Iowa",+All!R559,0))</f>
        <v>Iowa</v>
      </c>
      <c r="S41" s="462" t="str">
        <f>IF(+All!$F559="Iowa",+All!S559,IF(+All!$H559="Iowa",+All!S559,0))</f>
        <v>Northwestern</v>
      </c>
      <c r="T41" s="460" t="str">
        <f>IF(+All!$F559="Iowa",+All!T559,IF(+All!$H559="Iowa",+All!T559,0))</f>
        <v>Northwestern</v>
      </c>
      <c r="U41" s="461" t="str">
        <f>IF(+All!$F559="Iowa",+All!U559,IF(+All!$H559="Iowa",+All!U559,0))</f>
        <v>L</v>
      </c>
    </row>
    <row r="42" spans="1:21" x14ac:dyDescent="0.8">
      <c r="A42" s="46">
        <f>IF(+All!$F617="Iowa",+All!A617,IF(+All!$H617="Iowa",+All!A617,0))</f>
        <v>10</v>
      </c>
      <c r="B42" s="348" t="str">
        <f>IF(+All!$F617="Iowa",+All!B617,IF(+All!$H617="Iowa",+All!B617,0))</f>
        <v>Sat</v>
      </c>
      <c r="C42" s="48">
        <f>IF(+All!$F617="Iowa",+All!C617,IF(+All!$H617="Iowa",+All!C617,0))</f>
        <v>44870</v>
      </c>
      <c r="D42" s="490">
        <f>IF(+All!$F617="Iowa",+All!D617,IF(+All!$H617="Iowa",+All!D617,0))</f>
        <v>0.5</v>
      </c>
      <c r="E42" s="461" t="str">
        <f>IF(+All!$F617="Iowa",+All!E617,IF(+All!$H617="Iowa",+All!E617,0))</f>
        <v>FS1</v>
      </c>
      <c r="F42" s="51" t="str">
        <f>IF(+All!$F617="Iowa",+All!F617,IF(+All!$H617="Iowa",+All!F617,0))</f>
        <v>Iowa</v>
      </c>
      <c r="G42" s="63" t="str">
        <f>IF(+All!$F617="Iowa",+All!G617,IF(+All!$H617="Iowa",+All!G617,0))</f>
        <v>B10</v>
      </c>
      <c r="H42" s="63" t="str">
        <f>IF(+All!$F617="Iowa",+All!H617,IF(+All!$H617="Iowa",+All!H617,0))</f>
        <v>Purdue</v>
      </c>
      <c r="I42" s="52" t="str">
        <f>IF(+All!$F617="Iowa",+All!I617,IF(+All!$H617="Iowa",+All!I617,0))</f>
        <v>B10</v>
      </c>
      <c r="J42" s="460" t="str">
        <f>IF(+All!$F617="Iowa",+All!J617,IF(+All!$H617="Iowa",+All!J617,0))</f>
        <v>Purdue</v>
      </c>
      <c r="K42" s="461" t="str">
        <f>IF(+All!$F617="Iowa",+All!K617,IF(+All!$H617="Iowa",+All!K617,0))</f>
        <v>Iowa</v>
      </c>
      <c r="L42" s="54">
        <f>IF(+All!$F617="Iowa",+All!L617,IF(+All!$H617="Iowa",+All!L617,0))</f>
        <v>4.5</v>
      </c>
      <c r="M42" s="55">
        <f>IF(+All!$F617="Iowa",+All!M617,IF(+All!$H617="Iowa",+All!M617,0))</f>
        <v>41.5</v>
      </c>
      <c r="N42" s="460" t="str">
        <f>IF(+All!$F617="Iowa",+All!N617,IF(+All!$H617="Iowa",+All!N617,0))</f>
        <v>Iowa</v>
      </c>
      <c r="O42" s="462">
        <f>IF(+All!$F617="Iowa",+All!O617,IF(+All!$H617="Iowa",+All!O617,0))</f>
        <v>24</v>
      </c>
      <c r="P42" s="462" t="str">
        <f>IF(+All!$F617="Iowa",+All!P617,IF(+All!$H617="Iowa",+All!P617,0))</f>
        <v>Purdue</v>
      </c>
      <c r="Q42" s="461">
        <f>IF(+All!$F617="Iowa",+All!Q617,IF(+All!$H617="Iowa",+All!Q617,0))</f>
        <v>3</v>
      </c>
      <c r="R42" s="460" t="str">
        <f>IF(+All!$F617="Iowa",+All!R617,IF(+All!$H617="Iowa",+All!R617,0))</f>
        <v>Iowa</v>
      </c>
      <c r="S42" s="462" t="str">
        <f>IF(+All!$F617="Iowa",+All!S617,IF(+All!$H617="Iowa",+All!S617,0))</f>
        <v>Purdue</v>
      </c>
      <c r="T42" s="460" t="str">
        <f>IF(+All!$F617="Iowa",+All!T617,IF(+All!$H617="Iowa",+All!T617,0))</f>
        <v>Iowa</v>
      </c>
      <c r="U42" s="461" t="str">
        <f>IF(+All!$F617="Iowa",+All!U617,IF(+All!$H617="Iowa",+All!U617,0))</f>
        <v>W</v>
      </c>
    </row>
    <row r="43" spans="1:21" x14ac:dyDescent="0.8">
      <c r="A43" s="46">
        <f>IF(+All!$F676="Iowa",+All!A676,IF(+All!$H676="Iowa",+All!A676,0))</f>
        <v>11</v>
      </c>
      <c r="B43" s="348" t="str">
        <f>IF(+All!$F676="Iowa",+All!B676,IF(+All!$H676="Iowa",+All!B676,0))</f>
        <v>Sat</v>
      </c>
      <c r="C43" s="48">
        <f>IF(+All!$F676="Iowa",+All!C676,IF(+All!$H676="Iowa",+All!C676,0))</f>
        <v>44877</v>
      </c>
      <c r="D43" s="490">
        <f>IF(+All!$F676="Iowa",+All!D676,IF(+All!$H676="Iowa",+All!D676,0))</f>
        <v>0.64583333333333337</v>
      </c>
      <c r="E43" s="461" t="str">
        <f>IF(+All!$F676="Iowa",+All!E676,IF(+All!$H676="Iowa",+All!E676,0))</f>
        <v>FS1</v>
      </c>
      <c r="F43" s="51" t="str">
        <f>IF(+All!$F676="Iowa",+All!F676,IF(+All!$H676="Iowa",+All!F676,0))</f>
        <v>Wisconsin</v>
      </c>
      <c r="G43" s="63" t="str">
        <f>IF(+All!$F676="Iowa",+All!G676,IF(+All!$H676="Iowa",+All!G676,0))</f>
        <v>B10</v>
      </c>
      <c r="H43" s="63" t="str">
        <f>IF(+All!$F676="Iowa",+All!H676,IF(+All!$H676="Iowa",+All!H676,0))</f>
        <v>Iowa</v>
      </c>
      <c r="I43" s="52" t="str">
        <f>IF(+All!$F676="Iowa",+All!I676,IF(+All!$H676="Iowa",+All!I676,0))</f>
        <v>B10</v>
      </c>
      <c r="J43" s="460" t="str">
        <f>IF(+All!$F676="Iowa",+All!J676,IF(+All!$H676="Iowa",+All!J676,0))</f>
        <v>Wisconsin</v>
      </c>
      <c r="K43" s="461" t="str">
        <f>IF(+All!$F676="Iowa",+All!K676,IF(+All!$H676="Iowa",+All!K676,0))</f>
        <v>Iowa</v>
      </c>
      <c r="L43" s="54">
        <f>IF(+All!$F676="Iowa",+All!L676,IF(+All!$H676="Iowa",+All!L676,0))</f>
        <v>1.5</v>
      </c>
      <c r="M43" s="55">
        <f>IF(+All!$F676="Iowa",+All!M676,IF(+All!$H676="Iowa",+All!M676,0))</f>
        <v>35</v>
      </c>
      <c r="N43" s="460" t="str">
        <f>IF(+All!$F676="Iowa",+All!N676,IF(+All!$H676="Iowa",+All!N676,0))</f>
        <v>Iowa</v>
      </c>
      <c r="O43" s="462">
        <f>IF(+All!$F676="Iowa",+All!O676,IF(+All!$H676="Iowa",+All!O676,0))</f>
        <v>24</v>
      </c>
      <c r="P43" s="462" t="str">
        <f>IF(+All!$F676="Iowa",+All!P676,IF(+All!$H676="Iowa",+All!P676,0))</f>
        <v>Wisconsin</v>
      </c>
      <c r="Q43" s="461">
        <f>IF(+All!$F676="Iowa",+All!Q676,IF(+All!$H676="Iowa",+All!Q676,0))</f>
        <v>10</v>
      </c>
      <c r="R43" s="460" t="str">
        <f>IF(+All!$F676="Iowa",+All!R676,IF(+All!$H676="Iowa",+All!R676,0))</f>
        <v>Iowa</v>
      </c>
      <c r="S43" s="462" t="str">
        <f>IF(+All!$F676="Iowa",+All!S676,IF(+All!$H676="Iowa",+All!S676,0))</f>
        <v>Wisconsin</v>
      </c>
      <c r="T43" s="460" t="str">
        <f>IF(+All!$F676="Iowa",+All!T676,IF(+All!$H676="Iowa",+All!T676,0))</f>
        <v>Iowa</v>
      </c>
      <c r="U43" s="461" t="str">
        <f>IF(+All!$F676="Iowa",+All!U676,IF(+All!$H676="Iowa",+All!U676,0))</f>
        <v>W</v>
      </c>
    </row>
    <row r="44" spans="1:21" x14ac:dyDescent="0.8">
      <c r="A44" s="46">
        <f>IF(+All!$F740="Iowa",+All!A740,IF(+All!$H740="Iowa",+All!A740,0))</f>
        <v>12</v>
      </c>
      <c r="B44" s="348" t="str">
        <f>IF(+All!$F740="Iowa",+All!B740,IF(+All!$H740="Iowa",+All!B740,0))</f>
        <v>Sat</v>
      </c>
      <c r="C44" s="48">
        <f>IF(+All!$F740="Iowa",+All!C740,IF(+All!$H740="Iowa",+All!C740,0))</f>
        <v>44884</v>
      </c>
      <c r="D44" s="490">
        <f>IF(+All!$F740="Iowa",+All!D740,IF(+All!$H740="Iowa",+All!D740,0))</f>
        <v>0.66666666666666663</v>
      </c>
      <c r="E44" s="461" t="str">
        <f>IF(+All!$F740="Iowa",+All!E740,IF(+All!$H740="Iowa",+All!E740,0))</f>
        <v>Fox</v>
      </c>
      <c r="F44" s="51" t="str">
        <f>IF(+All!$F740="Iowa",+All!F740,IF(+All!$H740="Iowa",+All!F740,0))</f>
        <v>Iowa</v>
      </c>
      <c r="G44" s="63" t="str">
        <f>IF(+All!$F740="Iowa",+All!G740,IF(+All!$H740="Iowa",+All!G740,0))</f>
        <v>B10</v>
      </c>
      <c r="H44" s="63" t="str">
        <f>IF(+All!$F740="Iowa",+All!H740,IF(+All!$H740="Iowa",+All!H740,0))</f>
        <v>Minnesota</v>
      </c>
      <c r="I44" s="52" t="str">
        <f>IF(+All!$F740="Iowa",+All!I740,IF(+All!$H740="Iowa",+All!I740,0))</f>
        <v>B10</v>
      </c>
      <c r="J44" s="460" t="str">
        <f>IF(+All!$F740="Iowa",+All!J740,IF(+All!$H740="Iowa",+All!J740,0))</f>
        <v>Minnesota</v>
      </c>
      <c r="K44" s="461" t="str">
        <f>IF(+All!$F740="Iowa",+All!K740,IF(+All!$H740="Iowa",+All!K740,0))</f>
        <v>Iowa</v>
      </c>
      <c r="L44" s="54">
        <f>IF(+All!$F740="Iowa",+All!L740,IF(+All!$H740="Iowa",+All!L740,0))</f>
        <v>3</v>
      </c>
      <c r="M44" s="55">
        <f>IF(+All!$F740="Iowa",+All!M740,IF(+All!$H740="Iowa",+All!M740,0))</f>
        <v>32.5</v>
      </c>
      <c r="N44" s="460" t="str">
        <f>IF(+All!$F740="Iowa",+All!N740,IF(+All!$H740="Iowa",+All!N740,0))</f>
        <v>Iowa</v>
      </c>
      <c r="O44" s="462">
        <f>IF(+All!$F740="Iowa",+All!O740,IF(+All!$H740="Iowa",+All!O740,0))</f>
        <v>13</v>
      </c>
      <c r="P44" s="462" t="str">
        <f>IF(+All!$F740="Iowa",+All!P740,IF(+All!$H740="Iowa",+All!P740,0))</f>
        <v>Minnesota</v>
      </c>
      <c r="Q44" s="461">
        <f>IF(+All!$F740="Iowa",+All!Q740,IF(+All!$H740="Iowa",+All!Q740,0))</f>
        <v>10</v>
      </c>
      <c r="R44" s="460" t="str">
        <f>IF(+All!$F740="Iowa",+All!R740,IF(+All!$H740="Iowa",+All!R740,0))</f>
        <v>Iowa</v>
      </c>
      <c r="S44" s="462" t="str">
        <f>IF(+All!$F740="Iowa",+All!S740,IF(+All!$H740="Iowa",+All!S740,0))</f>
        <v>Minnesota</v>
      </c>
      <c r="T44" s="460" t="str">
        <f>IF(+All!$F740="Iowa",+All!T740,IF(+All!$H740="Iowa",+All!T740,0))</f>
        <v>Iowa</v>
      </c>
      <c r="U44" s="461" t="str">
        <f>IF(+All!$F740="Iowa",+All!U740,IF(+All!$H740="Iowa",+All!U740,0))</f>
        <v>W</v>
      </c>
    </row>
    <row r="45" spans="1:21" x14ac:dyDescent="0.8">
      <c r="A45" s="46">
        <f>IF(+All!$F795="Iowa",+All!A795,IF(+All!$H795="Iowa",+All!A795,0))</f>
        <v>13</v>
      </c>
      <c r="B45" s="348" t="str">
        <f>IF(+All!$F795="Iowa",+All!B795,IF(+All!$H795="Iowa",+All!B795,0))</f>
        <v>Fri</v>
      </c>
      <c r="C45" s="48">
        <f>IF(+All!$F795="Iowa",+All!C795,IF(+All!$H795="Iowa",+All!C795,0))</f>
        <v>44890</v>
      </c>
      <c r="D45" s="490">
        <f>IF(+All!$F795="Iowa",+All!D795,IF(+All!$H795="Iowa",+All!D795,0))</f>
        <v>0.66666666666666663</v>
      </c>
      <c r="E45" s="461" t="str">
        <f>IF(+All!$F795="Iowa",+All!E795,IF(+All!$H795="Iowa",+All!E795,0))</f>
        <v>BTN</v>
      </c>
      <c r="F45" s="51" t="str">
        <f>IF(+All!$F795="Iowa",+All!F795,IF(+All!$H795="Iowa",+All!F795,0))</f>
        <v>Nebraska</v>
      </c>
      <c r="G45" s="63" t="str">
        <f>IF(+All!$F795="Iowa",+All!G795,IF(+All!$H795="Iowa",+All!G795,0))</f>
        <v>B10</v>
      </c>
      <c r="H45" s="63" t="str">
        <f>IF(+All!$F795="Iowa",+All!H795,IF(+All!$H795="Iowa",+All!H795,0))</f>
        <v>Iowa</v>
      </c>
      <c r="I45" s="52" t="str">
        <f>IF(+All!$F795="Iowa",+All!I795,IF(+All!$H795="Iowa",+All!I795,0))</f>
        <v>B10</v>
      </c>
      <c r="J45" s="460" t="str">
        <f>IF(+All!$F795="Iowa",+All!J795,IF(+All!$H795="Iowa",+All!J795,0))</f>
        <v>Iowa</v>
      </c>
      <c r="K45" s="461" t="str">
        <f>IF(+All!$F795="Iowa",+All!K795,IF(+All!$H795="Iowa",+All!K795,0))</f>
        <v>Nebraska</v>
      </c>
      <c r="L45" s="54">
        <f>IF(+All!$F795="Iowa",+All!L795,IF(+All!$H795="Iowa",+All!L795,0))</f>
        <v>10.5</v>
      </c>
      <c r="M45" s="55">
        <f>IF(+All!$F795="Iowa",+All!M795,IF(+All!$H795="Iowa",+All!M795,0))</f>
        <v>38.5</v>
      </c>
      <c r="N45" s="460" t="str">
        <f>IF(+All!$F795="Iowa",+All!N795,IF(+All!$H795="Iowa",+All!N795,0))</f>
        <v>Nebraska</v>
      </c>
      <c r="O45" s="462">
        <f>IF(+All!$F795="Iowa",+All!O795,IF(+All!$H795="Iowa",+All!O795,0))</f>
        <v>24</v>
      </c>
      <c r="P45" s="462" t="str">
        <f>IF(+All!$F795="Iowa",+All!P795,IF(+All!$H795="Iowa",+All!P795,0))</f>
        <v>Iowa</v>
      </c>
      <c r="Q45" s="461">
        <f>IF(+All!$F795="Iowa",+All!Q795,IF(+All!$H795="Iowa",+All!Q795,0))</f>
        <v>17</v>
      </c>
      <c r="R45" s="460" t="str">
        <f>IF(+All!$F795="Iowa",+All!R795,IF(+All!$H795="Iowa",+All!R795,0))</f>
        <v>Nebraska</v>
      </c>
      <c r="S45" s="462" t="str">
        <f>IF(+All!$F795="Iowa",+All!S795,IF(+All!$H795="Iowa",+All!S795,0))</f>
        <v>Iowa</v>
      </c>
      <c r="T45" s="460" t="str">
        <f>IF(+All!$F795="Iowa",+All!T795,IF(+All!$H795="Iowa",+All!T795,0))</f>
        <v>Nebraska</v>
      </c>
      <c r="U45" s="461" t="str">
        <f>IF(+All!$F795="Iowa",+All!U795,IF(+All!$H795="Iowa",+All!U795,0))</f>
        <v>W</v>
      </c>
    </row>
    <row r="46" spans="1:21" x14ac:dyDescent="0.8">
      <c r="A46" s="38"/>
      <c r="B46" s="39"/>
      <c r="C46" s="40"/>
      <c r="D46" s="41"/>
      <c r="E46" s="463"/>
      <c r="F46" s="897" t="str">
        <f>F48</f>
        <v>Maryland</v>
      </c>
      <c r="G46" s="903"/>
      <c r="H46" s="903"/>
      <c r="I46" s="904"/>
      <c r="J46" s="459"/>
      <c r="K46" s="463"/>
      <c r="L46" s="44"/>
      <c r="M46" s="45"/>
      <c r="N46" s="459"/>
      <c r="O46" s="5"/>
      <c r="P46" s="5"/>
      <c r="Q46" s="463"/>
      <c r="R46" s="459"/>
      <c r="S46" s="5"/>
      <c r="T46" s="459"/>
      <c r="U46" s="463"/>
    </row>
    <row r="47" spans="1:21" ht="16.5" customHeight="1" x14ac:dyDescent="0.8">
      <c r="A47" s="46">
        <f>IF(+All!$F34="Maryland",+All!A34,IF(+All!$H34="Maryland",+All!A34,0))</f>
        <v>1</v>
      </c>
      <c r="B47" s="46" t="str">
        <f>IF(+All!$F34="Maryland",+All!B34,IF(+All!$H34="Maryland",+All!B34,0))</f>
        <v>Sat</v>
      </c>
      <c r="C47" s="62">
        <f>IF(+All!$F34="Maryland",+All!C34,IF(+All!$H34="Maryland",+All!C34,0))</f>
        <v>44807</v>
      </c>
      <c r="D47" s="490">
        <f>IF(+All!$F34="Maryland",+All!D34,IF(+All!$H34="Maryland",+All!D34,0))</f>
        <v>0.5</v>
      </c>
      <c r="E47" s="461" t="str">
        <f>IF(+All!$F34="Maryland",+All!E34,IF(+All!$H34="Maryland",+All!E34,0))</f>
        <v>BTN</v>
      </c>
      <c r="F47" s="51" t="str">
        <f>IF(+All!$F34="Maryland",+All!F34,IF(+All!$H34="Maryland",+All!F34,0))</f>
        <v>Buffalo</v>
      </c>
      <c r="G47" s="63" t="str">
        <f>IF(+All!$F34="Maryland",+All!G34,IF(+All!$H34="Maryland",+All!G34,0))</f>
        <v>MAC</v>
      </c>
      <c r="H47" s="63" t="str">
        <f>IF(+All!$F34="Maryland",+All!H34,IF(+All!$H34="Maryland",+All!H34,0))</f>
        <v>Maryland</v>
      </c>
      <c r="I47" s="52" t="str">
        <f>IF(+All!$F34="Maryland",+All!I34,IF(+All!$H34="Maryland",+All!I34,0))</f>
        <v>B10</v>
      </c>
      <c r="J47" s="460" t="str">
        <f>IF(+All!$F34="Maryland",+All!J34,IF(+All!$H34="Maryland",+All!J34,0))</f>
        <v>Maryland</v>
      </c>
      <c r="K47" s="461" t="str">
        <f>IF(+All!$F34="Maryland",+All!K34,IF(+All!$H34="Maryland",+All!K34,0))</f>
        <v>Buffalo</v>
      </c>
      <c r="L47" s="54">
        <f>IF(+All!$F34="Maryland",+All!L34,IF(+All!$H34="Maryland",+All!L34,0))</f>
        <v>24</v>
      </c>
      <c r="M47" s="55">
        <f>IF(+All!$F34="Maryland",+All!M34,IF(+All!$H34="Maryland",+All!M34,0))</f>
        <v>63.5</v>
      </c>
      <c r="N47" s="460" t="str">
        <f>IF(+All!$F34="Maryland",+All!N34,IF(+All!$H34="Maryland",+All!N34,0))</f>
        <v>Maryland</v>
      </c>
      <c r="O47" s="462">
        <f>IF(+All!$F34="Maryland",+All!O34,IF(+All!$H34="Maryland",+All!O34,0))</f>
        <v>31</v>
      </c>
      <c r="P47" s="462" t="str">
        <f>IF(+All!$F34="Maryland",+All!P34,IF(+All!$H34="Maryland",+All!P34,0))</f>
        <v>Buffalo</v>
      </c>
      <c r="Q47" s="461">
        <f>IF(+All!$F34="Maryland",+All!Q34,IF(+All!$H34="Maryland",+All!Q34,0))</f>
        <v>10</v>
      </c>
      <c r="R47" s="460" t="str">
        <f>IF(+All!$F34="Maryland",+All!R34,IF(+All!$H34="Maryland",+All!R34,0))</f>
        <v>Buffalo</v>
      </c>
      <c r="S47" s="462" t="str">
        <f>IF(+All!$F34="Maryland",+All!S34,IF(+All!$H34="Maryland",+All!S34,0))</f>
        <v>Maryland</v>
      </c>
      <c r="T47" s="460" t="str">
        <f>IF(+All!$F34="Maryland",+All!T34,IF(+All!$H34="Maryland",+All!T34,0))</f>
        <v>Maryland</v>
      </c>
      <c r="U47" s="461" t="str">
        <f>IF(+All!$F34="Maryland",+All!U34,IF(+All!$H34="Maryland",+All!U34,0))</f>
        <v>L</v>
      </c>
    </row>
    <row r="48" spans="1:21" ht="16.5" customHeight="1" x14ac:dyDescent="0.8">
      <c r="A48" s="46">
        <f>IF(+All!$F138="Maryland",+All!A138,IF(+All!$H138="Maryland",+All!A138,0))</f>
        <v>2</v>
      </c>
      <c r="B48" s="46" t="str">
        <f>IF(+All!$F138="Maryland",+All!B138,IF(+All!$H138="Maryland",+All!B138,0))</f>
        <v>Sat</v>
      </c>
      <c r="C48" s="62">
        <f>IF(+All!$F138="Maryland",+All!C138,IF(+All!$H138="Maryland",+All!C138,0))</f>
        <v>44814</v>
      </c>
      <c r="D48" s="490">
        <f>IF(+All!$F138="Maryland",+All!D138,IF(+All!$H138="Maryland",+All!D138,0))</f>
        <v>0.64583333333333337</v>
      </c>
      <c r="E48" s="461">
        <f>IF(+All!$F138="Maryland",+All!E138,IF(+All!$H138="Maryland",+All!E138,0))</f>
        <v>0</v>
      </c>
      <c r="F48" s="51" t="str">
        <f>IF(+All!$F138="Maryland",+All!F138,IF(+All!$H138="Maryland",+All!F138,0))</f>
        <v>Maryland</v>
      </c>
      <c r="G48" s="63" t="str">
        <f>IF(+All!$F138="Maryland",+All!G138,IF(+All!$H138="Maryland",+All!G138,0))</f>
        <v>B10</v>
      </c>
      <c r="H48" s="63" t="str">
        <f>IF(+All!$F138="Maryland",+All!H138,IF(+All!$H138="Maryland",+All!H138,0))</f>
        <v>UNC Charlotte</v>
      </c>
      <c r="I48" s="52" t="str">
        <f>IF(+All!$F138="Maryland",+All!I138,IF(+All!$H138="Maryland",+All!I138,0))</f>
        <v>CUSA</v>
      </c>
      <c r="J48" s="460" t="str">
        <f>IF(+All!$F138="Maryland",+All!J138,IF(+All!$H138="Maryland",+All!J138,0))</f>
        <v>Maryland</v>
      </c>
      <c r="K48" s="461" t="str">
        <f>IF(+All!$F138="Maryland",+All!K138,IF(+All!$H138="Maryland",+All!K138,0))</f>
        <v>UNC Charlotte</v>
      </c>
      <c r="L48" s="54">
        <f>IF(+All!$F138="Maryland",+All!L138,IF(+All!$H138="Maryland",+All!L138,0))</f>
        <v>27</v>
      </c>
      <c r="M48" s="55">
        <f>IF(+All!$F138="Maryland",+All!M138,IF(+All!$H138="Maryland",+All!M138,0))</f>
        <v>65.5</v>
      </c>
      <c r="N48" s="460" t="str">
        <f>IF(+All!$F138="Maryland",+All!N138,IF(+All!$H138="Maryland",+All!N138,0))</f>
        <v>Maryland</v>
      </c>
      <c r="O48" s="462">
        <f>IF(+All!$F138="Maryland",+All!O138,IF(+All!$H138="Maryland",+All!O138,0))</f>
        <v>56</v>
      </c>
      <c r="P48" s="462" t="str">
        <f>IF(+All!$F138="Maryland",+All!P138,IF(+All!$H138="Maryland",+All!P138,0))</f>
        <v>UNC Charlotte</v>
      </c>
      <c r="Q48" s="461">
        <f>IF(+All!$F138="Maryland",+All!Q138,IF(+All!$H138="Maryland",+All!Q138,0))</f>
        <v>21</v>
      </c>
      <c r="R48" s="460" t="str">
        <f>IF(+All!$F138="Maryland",+All!R138,IF(+All!$H138="Maryland",+All!R138,0))</f>
        <v>Maryland</v>
      </c>
      <c r="S48" s="462" t="str">
        <f>IF(+All!$F138="Maryland",+All!S138,IF(+All!$H138="Maryland",+All!S138,0))</f>
        <v>UNC Charlotte</v>
      </c>
      <c r="T48" s="460" t="str">
        <f>IF(+All!$F138="Maryland",+All!T138,IF(+All!$H138="Maryland",+All!T138,0))</f>
        <v>Maryland</v>
      </c>
      <c r="U48" s="461" t="str">
        <f>IF(+All!$F138="Maryland",+All!U138,IF(+All!$H138="Maryland",+All!U138,0))</f>
        <v>W</v>
      </c>
    </row>
    <row r="49" spans="1:21" ht="16.5" customHeight="1" x14ac:dyDescent="0.8">
      <c r="A49" s="46">
        <f>IF(+All!$F199="Maryland",+All!A199,IF(+All!$H199="Maryland",+All!A199,0))</f>
        <v>3</v>
      </c>
      <c r="B49" s="46" t="str">
        <f>IF(+All!$F199="Maryland",+All!B199,IF(+All!$H199="Maryland",+All!B199,0))</f>
        <v>Sat</v>
      </c>
      <c r="C49" s="62">
        <f>IF(+All!$F199="Maryland",+All!C199,IF(+All!$H199="Maryland",+All!C199,0))</f>
        <v>44821</v>
      </c>
      <c r="D49" s="490">
        <f>IF(+All!$F199="Maryland",+All!D199,IF(+All!$H199="Maryland",+All!D199,0))</f>
        <v>0.8125</v>
      </c>
      <c r="E49" s="461" t="str">
        <f>IF(+All!$F199="Maryland",+All!E199,IF(+All!$H199="Maryland",+All!E199,0))</f>
        <v>FS1</v>
      </c>
      <c r="F49" s="51" t="str">
        <f>IF(+All!$F199="Maryland",+All!F199,IF(+All!$H199="Maryland",+All!F199,0))</f>
        <v>SMU</v>
      </c>
      <c r="G49" s="63" t="str">
        <f>IF(+All!$F199="Maryland",+All!G199,IF(+All!$H199="Maryland",+All!G199,0))</f>
        <v>AAC</v>
      </c>
      <c r="H49" s="63" t="str">
        <f>IF(+All!$F199="Maryland",+All!H199,IF(+All!$H199="Maryland",+All!H199,0))</f>
        <v>Maryland</v>
      </c>
      <c r="I49" s="52" t="str">
        <f>IF(+All!$F199="Maryland",+All!I199,IF(+All!$H199="Maryland",+All!I199,0))</f>
        <v>B10</v>
      </c>
      <c r="J49" s="460" t="str">
        <f>IF(+All!$F199="Maryland",+All!J199,IF(+All!$H199="Maryland",+All!J199,0))</f>
        <v>Maryland</v>
      </c>
      <c r="K49" s="461" t="str">
        <f>IF(+All!$F199="Maryland",+All!K199,IF(+All!$H199="Maryland",+All!K199,0))</f>
        <v>SMU</v>
      </c>
      <c r="L49" s="54">
        <f>IF(+All!$F199="Maryland",+All!L199,IF(+All!$H199="Maryland",+All!L199,0))</f>
        <v>3.5</v>
      </c>
      <c r="M49" s="55">
        <f>IF(+All!$F199="Maryland",+All!M199,IF(+All!$H199="Maryland",+All!M199,0))</f>
        <v>73</v>
      </c>
      <c r="N49" s="460" t="str">
        <f>IF(+All!$F199="Maryland",+All!N199,IF(+All!$H199="Maryland",+All!N199,0))</f>
        <v>Maryland</v>
      </c>
      <c r="O49" s="462">
        <f>IF(+All!$F199="Maryland",+All!O199,IF(+All!$H199="Maryland",+All!O199,0))</f>
        <v>34</v>
      </c>
      <c r="P49" s="462" t="str">
        <f>IF(+All!$F199="Maryland",+All!P199,IF(+All!$H199="Maryland",+All!P199,0))</f>
        <v>SMU</v>
      </c>
      <c r="Q49" s="461">
        <f>IF(+All!$F199="Maryland",+All!Q199,IF(+All!$H199="Maryland",+All!Q199,0))</f>
        <v>27</v>
      </c>
      <c r="R49" s="460" t="str">
        <f>IF(+All!$F199="Maryland",+All!R199,IF(+All!$H199="Maryland",+All!R199,0))</f>
        <v>Maryland</v>
      </c>
      <c r="S49" s="462" t="str">
        <f>IF(+All!$F199="Maryland",+All!S199,IF(+All!$H199="Maryland",+All!S199,0))</f>
        <v>SMU</v>
      </c>
      <c r="T49" s="460" t="str">
        <f>IF(+All!$F199="Maryland",+All!T199,IF(+All!$H199="Maryland",+All!T199,0))</f>
        <v>Maryland</v>
      </c>
      <c r="U49" s="461" t="str">
        <f>IF(+All!$F199="Maryland",+All!U199,IF(+All!$H199="Maryland",+All!U199,0))</f>
        <v>W</v>
      </c>
    </row>
    <row r="50" spans="1:21" ht="16.5" customHeight="1" x14ac:dyDescent="0.8">
      <c r="A50" s="46">
        <f>IF(+All!$F273="Maryland",+All!A273,IF(+All!$H273="Maryland",+All!A273,0))</f>
        <v>4</v>
      </c>
      <c r="B50" s="46" t="str">
        <f>IF(+All!$F273="Maryland",+All!B273,IF(+All!$H273="Maryland",+All!B273,0))</f>
        <v>Sat</v>
      </c>
      <c r="C50" s="62">
        <f>IF(+All!$F273="Maryland",+All!C273,IF(+All!$H273="Maryland",+All!C273,0))</f>
        <v>44828</v>
      </c>
      <c r="D50" s="490">
        <f>IF(+All!$F273="Maryland",+All!D273,IF(+All!$H273="Maryland",+All!D273,0))</f>
        <v>0.5</v>
      </c>
      <c r="E50" s="461" t="str">
        <f>IF(+All!$F273="Maryland",+All!E273,IF(+All!$H273="Maryland",+All!E273,0))</f>
        <v>Fox</v>
      </c>
      <c r="F50" s="51" t="str">
        <f>IF(+All!$F273="Maryland",+All!F273,IF(+All!$H273="Maryland",+All!F273,0))</f>
        <v>Maryland</v>
      </c>
      <c r="G50" s="63" t="str">
        <f>IF(+All!$F273="Maryland",+All!G273,IF(+All!$H273="Maryland",+All!G273,0))</f>
        <v>B10</v>
      </c>
      <c r="H50" s="63" t="str">
        <f>IF(+All!$F273="Maryland",+All!H273,IF(+All!$H273="Maryland",+All!H273,0))</f>
        <v>Michigan</v>
      </c>
      <c r="I50" s="52" t="str">
        <f>IF(+All!$F273="Maryland",+All!I273,IF(+All!$H273="Maryland",+All!I273,0))</f>
        <v>B10</v>
      </c>
      <c r="J50" s="460" t="str">
        <f>IF(+All!$F273="Maryland",+All!J273,IF(+All!$H273="Maryland",+All!J273,0))</f>
        <v>Michigan</v>
      </c>
      <c r="K50" s="461" t="str">
        <f>IF(+All!$F273="Maryland",+All!K273,IF(+All!$H273="Maryland",+All!K273,0))</f>
        <v>Maryland</v>
      </c>
      <c r="L50" s="54">
        <f>IF(+All!$F273="Maryland",+All!L273,IF(+All!$H273="Maryland",+All!L273,0))</f>
        <v>17</v>
      </c>
      <c r="M50" s="55">
        <f>IF(+All!$F273="Maryland",+All!M273,IF(+All!$H273="Maryland",+All!M273,0))</f>
        <v>65.5</v>
      </c>
      <c r="N50" s="460" t="str">
        <f>IF(+All!$F273="Maryland",+All!N273,IF(+All!$H273="Maryland",+All!N273,0))</f>
        <v>Michigan</v>
      </c>
      <c r="O50" s="462">
        <f>IF(+All!$F273="Maryland",+All!O273,IF(+All!$H273="Maryland",+All!O273,0))</f>
        <v>34</v>
      </c>
      <c r="P50" s="462" t="str">
        <f>IF(+All!$F273="Maryland",+All!P273,IF(+All!$H273="Maryland",+All!P273,0))</f>
        <v>Maryland</v>
      </c>
      <c r="Q50" s="461">
        <f>IF(+All!$F273="Maryland",+All!Q273,IF(+All!$H273="Maryland",+All!Q273,0))</f>
        <v>27</v>
      </c>
      <c r="R50" s="460" t="str">
        <f>IF(+All!$F273="Maryland",+All!R273,IF(+All!$H273="Maryland",+All!R273,0))</f>
        <v>Maryland</v>
      </c>
      <c r="S50" s="462" t="str">
        <f>IF(+All!$F273="Maryland",+All!S273,IF(+All!$H273="Maryland",+All!S273,0))</f>
        <v>Michigan</v>
      </c>
      <c r="T50" s="460" t="str">
        <f>IF(+All!$F273="Maryland",+All!T273,IF(+All!$H273="Maryland",+All!T273,0))</f>
        <v>Maryland</v>
      </c>
      <c r="U50" s="461" t="str">
        <f>IF(+All!$F273="Maryland",+All!U273,IF(+All!$H273="Maryland",+All!U273,0))</f>
        <v>W</v>
      </c>
    </row>
    <row r="51" spans="1:21" ht="16.5" customHeight="1" x14ac:dyDescent="0.8">
      <c r="A51" s="46">
        <f>IF(+All!$F336="Maryland",+All!A336,IF(+All!$H336="Maryland",+All!A336,0))</f>
        <v>5</v>
      </c>
      <c r="B51" s="46" t="str">
        <f>IF(+All!$F336="Maryland",+All!B336,IF(+All!$H336="Maryland",+All!B336,0))</f>
        <v>Sat</v>
      </c>
      <c r="C51" s="62">
        <f>IF(+All!$F336="Maryland",+All!C336,IF(+All!$H336="Maryland",+All!C336,0))</f>
        <v>44835</v>
      </c>
      <c r="D51" s="490">
        <f>IF(+All!$F336="Maryland",+All!D336,IF(+All!$H336="Maryland",+All!D336,0))</f>
        <v>0.64583333333333337</v>
      </c>
      <c r="E51" s="461" t="str">
        <f>IF(+All!$F336="Maryland",+All!E336,IF(+All!$H336="Maryland",+All!E336,0))</f>
        <v>FS1</v>
      </c>
      <c r="F51" s="51" t="str">
        <f>IF(+All!$F336="Maryland",+All!F336,IF(+All!$H336="Maryland",+All!F336,0))</f>
        <v>Michigan State</v>
      </c>
      <c r="G51" s="63" t="str">
        <f>IF(+All!$F336="Maryland",+All!G336,IF(+All!$H336="Maryland",+All!G336,0))</f>
        <v>B10</v>
      </c>
      <c r="H51" s="63" t="str">
        <f>IF(+All!$F336="Maryland",+All!H336,IF(+All!$H336="Maryland",+All!H336,0))</f>
        <v>Maryland</v>
      </c>
      <c r="I51" s="52" t="str">
        <f>IF(+All!$F336="Maryland",+All!I336,IF(+All!$H336="Maryland",+All!I336,0))</f>
        <v>B10</v>
      </c>
      <c r="J51" s="460" t="str">
        <f>IF(+All!$F336="Maryland",+All!J336,IF(+All!$H336="Maryland",+All!J336,0))</f>
        <v>Maryland</v>
      </c>
      <c r="K51" s="461" t="str">
        <f>IF(+All!$F336="Maryland",+All!K336,IF(+All!$H336="Maryland",+All!K336,0))</f>
        <v>Michigan State</v>
      </c>
      <c r="L51" s="54">
        <f>IF(+All!$F336="Maryland",+All!L336,IF(+All!$H336="Maryland",+All!L336,0))</f>
        <v>7.5</v>
      </c>
      <c r="M51" s="55">
        <f>IF(+All!$F336="Maryland",+All!M336,IF(+All!$H336="Maryland",+All!M336,0))</f>
        <v>60.5</v>
      </c>
      <c r="N51" s="460" t="str">
        <f>IF(+All!$F336="Maryland",+All!N336,IF(+All!$H336="Maryland",+All!N336,0))</f>
        <v>Maryland</v>
      </c>
      <c r="O51" s="462">
        <f>IF(+All!$F336="Maryland",+All!O336,IF(+All!$H336="Maryland",+All!O336,0))</f>
        <v>27</v>
      </c>
      <c r="P51" s="462" t="str">
        <f>IF(+All!$F336="Maryland",+All!P336,IF(+All!$H336="Maryland",+All!P336,0))</f>
        <v>Michigan State</v>
      </c>
      <c r="Q51" s="461">
        <f>IF(+All!$F336="Maryland",+All!Q336,IF(+All!$H336="Maryland",+All!Q336,0))</f>
        <v>13</v>
      </c>
      <c r="R51" s="460" t="str">
        <f>IF(+All!$F336="Maryland",+All!R336,IF(+All!$H336="Maryland",+All!R336,0))</f>
        <v>Maryland</v>
      </c>
      <c r="S51" s="462" t="str">
        <f>IF(+All!$F336="Maryland",+All!S336,IF(+All!$H336="Maryland",+All!S336,0))</f>
        <v>Michigan State</v>
      </c>
      <c r="T51" s="460" t="str">
        <f>IF(+All!$F336="Maryland",+All!T336,IF(+All!$H336="Maryland",+All!T336,0))</f>
        <v>Michigan State</v>
      </c>
      <c r="U51" s="461" t="str">
        <f>IF(+All!$F336="Maryland",+All!U336,IF(+All!$H336="Maryland",+All!U336,0))</f>
        <v>L</v>
      </c>
    </row>
    <row r="52" spans="1:21" ht="16.5" customHeight="1" x14ac:dyDescent="0.8">
      <c r="A52" s="46">
        <f>IF(+All!$F398="Maryland",+All!A398,IF(+All!$H398="Maryland",+All!A398,0))</f>
        <v>6</v>
      </c>
      <c r="B52" s="46" t="str">
        <f>IF(+All!$F398="Maryland",+All!B398,IF(+All!$H398="Maryland",+All!B398,0))</f>
        <v>Sat</v>
      </c>
      <c r="C52" s="62">
        <f>IF(+All!$F398="Maryland",+All!C398,IF(+All!$H398="Maryland",+All!C398,0))</f>
        <v>44842</v>
      </c>
      <c r="D52" s="490">
        <f>IF(+All!$F398="Maryland",+All!D398,IF(+All!$H398="Maryland",+All!D398,0))</f>
        <v>0.5</v>
      </c>
      <c r="E52" s="461" t="str">
        <f>IF(+All!$F398="Maryland",+All!E398,IF(+All!$H398="Maryland",+All!E398,0))</f>
        <v>BTN</v>
      </c>
      <c r="F52" s="51" t="str">
        <f>IF(+All!$F398="Maryland",+All!F398,IF(+All!$H398="Maryland",+All!F398,0))</f>
        <v>Purdue</v>
      </c>
      <c r="G52" s="63" t="str">
        <f>IF(+All!$F398="Maryland",+All!G398,IF(+All!$H398="Maryland",+All!G398,0))</f>
        <v>B10</v>
      </c>
      <c r="H52" s="63" t="str">
        <f>IF(+All!$F398="Maryland",+All!H398,IF(+All!$H398="Maryland",+All!H398,0))</f>
        <v>Maryland</v>
      </c>
      <c r="I52" s="52" t="str">
        <f>IF(+All!$F398="Maryland",+All!I398,IF(+All!$H398="Maryland",+All!I398,0))</f>
        <v>B10</v>
      </c>
      <c r="J52" s="460" t="str">
        <f>IF(+All!$F398="Maryland",+All!J398,IF(+All!$H398="Maryland",+All!J398,0))</f>
        <v>Maryland</v>
      </c>
      <c r="K52" s="461" t="str">
        <f>IF(+All!$F398="Maryland",+All!K398,IF(+All!$H398="Maryland",+All!K398,0))</f>
        <v>Purdue</v>
      </c>
      <c r="L52" s="54">
        <f>IF(+All!$F398="Maryland",+All!L398,IF(+All!$H398="Maryland",+All!L398,0))</f>
        <v>3</v>
      </c>
      <c r="M52" s="55">
        <f>IF(+All!$F398="Maryland",+All!M398,IF(+All!$H398="Maryland",+All!M398,0))</f>
        <v>59.5</v>
      </c>
      <c r="N52" s="460" t="str">
        <f>IF(+All!$F398="Maryland",+All!N398,IF(+All!$H398="Maryland",+All!N398,0))</f>
        <v>Purdue</v>
      </c>
      <c r="O52" s="462">
        <f>IF(+All!$F398="Maryland",+All!O398,IF(+All!$H398="Maryland",+All!O398,0))</f>
        <v>31</v>
      </c>
      <c r="P52" s="462" t="str">
        <f>IF(+All!$F398="Maryland",+All!P398,IF(+All!$H398="Maryland",+All!P398,0))</f>
        <v>Maryland</v>
      </c>
      <c r="Q52" s="461">
        <f>IF(+All!$F398="Maryland",+All!Q398,IF(+All!$H398="Maryland",+All!Q398,0))</f>
        <v>29</v>
      </c>
      <c r="R52" s="460" t="str">
        <f>IF(+All!$F398="Maryland",+All!R398,IF(+All!$H398="Maryland",+All!R398,0))</f>
        <v>Purdue</v>
      </c>
      <c r="S52" s="462" t="str">
        <f>IF(+All!$F398="Maryland",+All!S398,IF(+All!$H398="Maryland",+All!S398,0))</f>
        <v>Maryland</v>
      </c>
      <c r="T52" s="460" t="str">
        <f>IF(+All!$F398="Maryland",+All!T398,IF(+All!$H398="Maryland",+All!T398,0))</f>
        <v>Purdue</v>
      </c>
      <c r="U52" s="461" t="str">
        <f>IF(+All!$F398="Maryland",+All!U398,IF(+All!$H398="Maryland",+All!U398,0))</f>
        <v>W</v>
      </c>
    </row>
    <row r="53" spans="1:21" ht="16.5" customHeight="1" x14ac:dyDescent="0.8">
      <c r="A53" s="46">
        <f>IF(+All!$F450="Maryland",+All!A450,IF(+All!$H450="Maryland",+All!A450,0))</f>
        <v>7</v>
      </c>
      <c r="B53" s="46" t="str">
        <f>IF(+All!$F450="Maryland",+All!B450,IF(+All!$H450="Maryland",+All!B450,0))</f>
        <v>Sat</v>
      </c>
      <c r="C53" s="62">
        <f>IF(+All!$F450="Maryland",+All!C450,IF(+All!$H450="Maryland",+All!C450,0))</f>
        <v>44849</v>
      </c>
      <c r="D53" s="490">
        <f>IF(+All!$F450="Maryland",+All!D450,IF(+All!$H450="Maryland",+All!D450,0))</f>
        <v>0.64583333333333337</v>
      </c>
      <c r="E53" s="461" t="str">
        <f>IF(+All!$F450="Maryland",+All!E450,IF(+All!$H450="Maryland",+All!E450,0))</f>
        <v>ESPN2</v>
      </c>
      <c r="F53" s="51" t="str">
        <f>IF(+All!$F450="Maryland",+All!F450,IF(+All!$H450="Maryland",+All!F450,0))</f>
        <v>Maryland</v>
      </c>
      <c r="G53" s="63" t="str">
        <f>IF(+All!$F450="Maryland",+All!G450,IF(+All!$H450="Maryland",+All!G450,0))</f>
        <v>B10</v>
      </c>
      <c r="H53" s="63" t="str">
        <f>IF(+All!$F450="Maryland",+All!H450,IF(+All!$H450="Maryland",+All!H450,0))</f>
        <v>Indiana</v>
      </c>
      <c r="I53" s="52" t="str">
        <f>IF(+All!$F450="Maryland",+All!I450,IF(+All!$H450="Maryland",+All!I450,0))</f>
        <v>B10</v>
      </c>
      <c r="J53" s="460" t="str">
        <f>IF(+All!$F450="Maryland",+All!J450,IF(+All!$H450="Maryland",+All!J450,0))</f>
        <v>Maryland</v>
      </c>
      <c r="K53" s="461" t="str">
        <f>IF(+All!$F450="Maryland",+All!K450,IF(+All!$H450="Maryland",+All!K450,0))</f>
        <v>Indiana</v>
      </c>
      <c r="L53" s="54">
        <f>IF(+All!$F450="Maryland",+All!L450,IF(+All!$H450="Maryland",+All!L450,0))</f>
        <v>11.5</v>
      </c>
      <c r="M53" s="55">
        <f>IF(+All!$F450="Maryland",+All!M450,IF(+All!$H450="Maryland",+All!M450,0))</f>
        <v>61.5</v>
      </c>
      <c r="N53" s="460" t="str">
        <f>IF(+All!$F450="Maryland",+All!N450,IF(+All!$H450="Maryland",+All!N450,0))</f>
        <v>Maryland</v>
      </c>
      <c r="O53" s="462">
        <f>IF(+All!$F450="Maryland",+All!O450,IF(+All!$H450="Maryland",+All!O450,0))</f>
        <v>38</v>
      </c>
      <c r="P53" s="462" t="str">
        <f>IF(+All!$F450="Maryland",+All!P450,IF(+All!$H450="Maryland",+All!P450,0))</f>
        <v>Indiana</v>
      </c>
      <c r="Q53" s="461">
        <f>IF(+All!$F450="Maryland",+All!Q450,IF(+All!$H450="Maryland",+All!Q450,0))</f>
        <v>33</v>
      </c>
      <c r="R53" s="460" t="str">
        <f>IF(+All!$F450="Maryland",+All!R450,IF(+All!$H450="Maryland",+All!R450,0))</f>
        <v>Indiana</v>
      </c>
      <c r="S53" s="462" t="str">
        <f>IF(+All!$F450="Maryland",+All!S450,IF(+All!$H450="Maryland",+All!S450,0))</f>
        <v>Maryland</v>
      </c>
      <c r="T53" s="460" t="str">
        <f>IF(+All!$F450="Maryland",+All!T450,IF(+All!$H450="Maryland",+All!T450,0))</f>
        <v>Maryland</v>
      </c>
      <c r="U53" s="461" t="str">
        <f>IF(+All!$F450="Maryland",+All!U450,IF(+All!$H450="Maryland",+All!U450,0))</f>
        <v>L</v>
      </c>
    </row>
    <row r="54" spans="1:21" ht="16.5" customHeight="1" x14ac:dyDescent="0.8">
      <c r="A54" s="46">
        <f>IF(+All!$F504="Maryland",+All!A504,IF(+All!$H504="Maryland",+All!A504,0))</f>
        <v>8</v>
      </c>
      <c r="B54" s="46" t="str">
        <f>IF(+All!$F504="Maryland",+All!B504,IF(+All!$H504="Maryland",+All!B504,0))</f>
        <v>Sat</v>
      </c>
      <c r="C54" s="62">
        <f>IF(+All!$F504="Maryland",+All!C504,IF(+All!$H504="Maryland",+All!C504,0))</f>
        <v>44856</v>
      </c>
      <c r="D54" s="490">
        <f>IF(+All!$F504="Maryland",+All!D504,IF(+All!$H504="Maryland",+All!D504,0))</f>
        <v>0.64583333333333337</v>
      </c>
      <c r="E54" s="461" t="str">
        <f>IF(+All!$F504="Maryland",+All!E504,IF(+All!$H504="Maryland",+All!E504,0))</f>
        <v>BTN</v>
      </c>
      <c r="F54" s="51" t="str">
        <f>IF(+All!$F504="Maryland",+All!F504,IF(+All!$H504="Maryland",+All!F504,0))</f>
        <v>Northwestern</v>
      </c>
      <c r="G54" s="63" t="str">
        <f>IF(+All!$F504="Maryland",+All!G504,IF(+All!$H504="Maryland",+All!G504,0))</f>
        <v>B10</v>
      </c>
      <c r="H54" s="63" t="str">
        <f>IF(+All!$F504="Maryland",+All!H504,IF(+All!$H504="Maryland",+All!H504,0))</f>
        <v>Maryland</v>
      </c>
      <c r="I54" s="52" t="str">
        <f>IF(+All!$F504="Maryland",+All!I504,IF(+All!$H504="Maryland",+All!I504,0))</f>
        <v>B10</v>
      </c>
      <c r="J54" s="460" t="str">
        <f>IF(+All!$F504="Maryland",+All!J504,IF(+All!$H504="Maryland",+All!J504,0))</f>
        <v>Maryland</v>
      </c>
      <c r="K54" s="461" t="str">
        <f>IF(+All!$F504="Maryland",+All!K504,IF(+All!$H504="Maryland",+All!K504,0))</f>
        <v>Northwestern</v>
      </c>
      <c r="L54" s="54">
        <f>IF(+All!$F504="Maryland",+All!L504,IF(+All!$H504="Maryland",+All!L504,0))</f>
        <v>13.5</v>
      </c>
      <c r="M54" s="55">
        <f>IF(+All!$F504="Maryland",+All!M504,IF(+All!$H504="Maryland",+All!M504,0))</f>
        <v>51</v>
      </c>
      <c r="N54" s="460" t="str">
        <f>IF(+All!$F504="Maryland",+All!N504,IF(+All!$H504="Maryland",+All!N504,0))</f>
        <v>Maryland</v>
      </c>
      <c r="O54" s="462">
        <f>IF(+All!$F504="Maryland",+All!O504,IF(+All!$H504="Maryland",+All!O504,0))</f>
        <v>31</v>
      </c>
      <c r="P54" s="462" t="str">
        <f>IF(+All!$F504="Maryland",+All!P504,IF(+All!$H504="Maryland",+All!P504,0))</f>
        <v>Northwestern</v>
      </c>
      <c r="Q54" s="461">
        <f>IF(+All!$F504="Maryland",+All!Q504,IF(+All!$H504="Maryland",+All!Q504,0))</f>
        <v>24</v>
      </c>
      <c r="R54" s="460" t="str">
        <f>IF(+All!$F504="Maryland",+All!R504,IF(+All!$H504="Maryland",+All!R504,0))</f>
        <v>Northwestern</v>
      </c>
      <c r="S54" s="462" t="str">
        <f>IF(+All!$F504="Maryland",+All!S504,IF(+All!$H504="Maryland",+All!S504,0))</f>
        <v>Maryland</v>
      </c>
      <c r="T54" s="460" t="str">
        <f>IF(+All!$F504="Maryland",+All!T504,IF(+All!$H504="Maryland",+All!T504,0))</f>
        <v>Maryland</v>
      </c>
      <c r="U54" s="461" t="str">
        <f>IF(+All!$F504="Maryland",+All!U504,IF(+All!$H504="Maryland",+All!U504,0))</f>
        <v>L</v>
      </c>
    </row>
    <row r="55" spans="1:21" ht="16.5" customHeight="1" x14ac:dyDescent="0.8">
      <c r="A55" s="46" t="e">
        <f>IF(+All!#REF!="Maryland",+All!#REF!,IF(+All!#REF!="Maryland",+All!#REF!,0))</f>
        <v>#REF!</v>
      </c>
      <c r="B55" s="46" t="e">
        <f>IF(+All!#REF!="Maryland",+All!#REF!,IF(+All!#REF!="Maryland",+All!#REF!,0))</f>
        <v>#REF!</v>
      </c>
      <c r="C55" s="62" t="e">
        <f>IF(+All!#REF!="Maryland",+All!#REF!,IF(+All!#REF!="Maryland",+All!#REF!,0))</f>
        <v>#REF!</v>
      </c>
      <c r="D55" s="490" t="e">
        <f>IF(+All!#REF!="Maryland",+All!#REF!,IF(+All!#REF!="Maryland",+All!#REF!,0))</f>
        <v>#REF!</v>
      </c>
      <c r="E55" s="461" t="e">
        <f>IF(+All!#REF!="Maryland",+All!#REF!,IF(+All!#REF!="Maryland",+All!#REF!,0))</f>
        <v>#REF!</v>
      </c>
      <c r="F55" s="51" t="e">
        <f>IF(+All!#REF!="Maryland",+All!#REF!,IF(+All!#REF!="Maryland",+All!#REF!,0))</f>
        <v>#REF!</v>
      </c>
      <c r="G55" s="63" t="e">
        <f>IF(+All!#REF!="Maryland",+All!#REF!,IF(+All!#REF!="Maryland",+All!#REF!,0))</f>
        <v>#REF!</v>
      </c>
      <c r="H55" s="63" t="e">
        <f>IF(+All!#REF!="Maryland",+All!#REF!,IF(+All!#REF!="Maryland",+All!#REF!,0))</f>
        <v>#REF!</v>
      </c>
      <c r="I55" s="52" t="e">
        <f>IF(+All!#REF!="Maryland",+All!#REF!,IF(+All!#REF!="Maryland",+All!#REF!,0))</f>
        <v>#REF!</v>
      </c>
      <c r="J55" s="460" t="e">
        <f>IF(+All!#REF!="Maryland",+All!#REF!,IF(+All!#REF!="Maryland",+All!#REF!,0))</f>
        <v>#REF!</v>
      </c>
      <c r="K55" s="461" t="e">
        <f>IF(+All!#REF!="Maryland",+All!#REF!,IF(+All!#REF!="Maryland",+All!#REF!,0))</f>
        <v>#REF!</v>
      </c>
      <c r="L55" s="54" t="e">
        <f>IF(+All!#REF!="Maryland",+All!#REF!,IF(+All!#REF!="Maryland",+All!#REF!,0))</f>
        <v>#REF!</v>
      </c>
      <c r="M55" s="55" t="e">
        <f>IF(+All!#REF!="Maryland",+All!#REF!,IF(+All!#REF!="Maryland",+All!#REF!,0))</f>
        <v>#REF!</v>
      </c>
      <c r="N55" s="460" t="e">
        <f>IF(+All!#REF!="Maryland",+All!#REF!,IF(+All!#REF!="Maryland",+All!#REF!,0))</f>
        <v>#REF!</v>
      </c>
      <c r="O55" s="462" t="e">
        <f>IF(+All!#REF!="Maryland",+All!#REF!,IF(+All!#REF!="Maryland",+All!#REF!,0))</f>
        <v>#REF!</v>
      </c>
      <c r="P55" s="462" t="e">
        <f>IF(+All!#REF!="Maryland",+All!#REF!,IF(+All!#REF!="Maryland",+All!#REF!,0))</f>
        <v>#REF!</v>
      </c>
      <c r="Q55" s="461" t="e">
        <f>IF(+All!#REF!="Maryland",+All!#REF!,IF(+All!#REF!="Maryland",+All!#REF!,0))</f>
        <v>#REF!</v>
      </c>
      <c r="R55" s="460" t="e">
        <f>IF(+All!#REF!="Maryland",+All!#REF!,IF(+All!#REF!="Maryland",+All!#REF!,0))</f>
        <v>#REF!</v>
      </c>
      <c r="S55" s="462" t="e">
        <f>IF(+All!#REF!="Maryland",+All!#REF!,IF(+All!#REF!="Maryland",+All!#REF!,0))</f>
        <v>#REF!</v>
      </c>
      <c r="T55" s="460" t="e">
        <f>IF(+All!#REF!="Maryland",+All!#REF!,IF(+All!#REF!="Maryland",+All!#REF!,0))</f>
        <v>#REF!</v>
      </c>
      <c r="U55" s="461" t="e">
        <f>IF(+All!#REF!="Maryland",+All!#REF!,IF(+All!#REF!="Maryland",+All!#REF!,0))</f>
        <v>#REF!</v>
      </c>
    </row>
    <row r="56" spans="1:21" ht="16.5" customHeight="1" x14ac:dyDescent="0.8">
      <c r="A56" s="46">
        <f>IF(+All!$F619="Maryland",+All!A619,IF(+All!$H619="Maryland",+All!A619,0))</f>
        <v>10</v>
      </c>
      <c r="B56" s="46" t="str">
        <f>IF(+All!$F619="Maryland",+All!B619,IF(+All!$H619="Maryland",+All!B619,0))</f>
        <v>Sat</v>
      </c>
      <c r="C56" s="62">
        <f>IF(+All!$F619="Maryland",+All!C619,IF(+All!$H619="Maryland",+All!C619,0))</f>
        <v>44870</v>
      </c>
      <c r="D56" s="490">
        <f>IF(+All!$F619="Maryland",+All!D619,IF(+All!$H619="Maryland",+All!D619,0))</f>
        <v>0.5</v>
      </c>
      <c r="E56" s="461" t="str">
        <f>IF(+All!$F619="Maryland",+All!E619,IF(+All!$H619="Maryland",+All!E619,0))</f>
        <v>BTN</v>
      </c>
      <c r="F56" s="51" t="str">
        <f>IF(+All!$F619="Maryland",+All!F619,IF(+All!$H619="Maryland",+All!F619,0))</f>
        <v>Maryland</v>
      </c>
      <c r="G56" s="63" t="str">
        <f>IF(+All!$F619="Maryland",+All!G619,IF(+All!$H619="Maryland",+All!G619,0))</f>
        <v>B10</v>
      </c>
      <c r="H56" s="63" t="str">
        <f>IF(+All!$F619="Maryland",+All!H619,IF(+All!$H619="Maryland",+All!H619,0))</f>
        <v>Wisconsin</v>
      </c>
      <c r="I56" s="52" t="str">
        <f>IF(+All!$F619="Maryland",+All!I619,IF(+All!$H619="Maryland",+All!I619,0))</f>
        <v>B10</v>
      </c>
      <c r="J56" s="460" t="str">
        <f>IF(+All!$F619="Maryland",+All!J619,IF(+All!$H619="Maryland",+All!J619,0))</f>
        <v>Wisconsin</v>
      </c>
      <c r="K56" s="461" t="str">
        <f>IF(+All!$F619="Maryland",+All!K619,IF(+All!$H619="Maryland",+All!K619,0))</f>
        <v>Maryland</v>
      </c>
      <c r="L56" s="54">
        <f>IF(+All!$F619="Maryland",+All!L619,IF(+All!$H619="Maryland",+All!L619,0))</f>
        <v>5</v>
      </c>
      <c r="M56" s="55">
        <f>IF(+All!$F619="Maryland",+All!M619,IF(+All!$H619="Maryland",+All!M619,0))</f>
        <v>52</v>
      </c>
      <c r="N56" s="460" t="str">
        <f>IF(+All!$F619="Maryland",+All!N619,IF(+All!$H619="Maryland",+All!N619,0))</f>
        <v>Wisconsin</v>
      </c>
      <c r="O56" s="462">
        <f>IF(+All!$F619="Maryland",+All!O619,IF(+All!$H619="Maryland",+All!O619,0))</f>
        <v>23</v>
      </c>
      <c r="P56" s="462" t="str">
        <f>IF(+All!$F619="Maryland",+All!P619,IF(+All!$H619="Maryland",+All!P619,0))</f>
        <v>Maryland</v>
      </c>
      <c r="Q56" s="461">
        <f>IF(+All!$F619="Maryland",+All!Q619,IF(+All!$H619="Maryland",+All!Q619,0))</f>
        <v>10</v>
      </c>
      <c r="R56" s="460" t="str">
        <f>IF(+All!$F619="Maryland",+All!R619,IF(+All!$H619="Maryland",+All!R619,0))</f>
        <v>Wisconsin</v>
      </c>
      <c r="S56" s="462" t="str">
        <f>IF(+All!$F619="Maryland",+All!S619,IF(+All!$H619="Maryland",+All!S619,0))</f>
        <v>Maryland</v>
      </c>
      <c r="T56" s="460" t="str">
        <f>IF(+All!$F619="Maryland",+All!T619,IF(+All!$H619="Maryland",+All!T619,0))</f>
        <v>Wisconsin</v>
      </c>
      <c r="U56" s="461" t="str">
        <f>IF(+All!$F619="Maryland",+All!U619,IF(+All!$H619="Maryland",+All!U619,0))</f>
        <v>W</v>
      </c>
    </row>
    <row r="57" spans="1:21" ht="16.5" customHeight="1" x14ac:dyDescent="0.8">
      <c r="A57" s="46">
        <f>IF(+All!$F681="Maryland",+All!A681,IF(+All!$H681="Maryland",+All!A681,0))</f>
        <v>11</v>
      </c>
      <c r="B57" s="46" t="str">
        <f>IF(+All!$F681="Maryland",+All!B681,IF(+All!$H681="Maryland",+All!B681,0))</f>
        <v>Sat</v>
      </c>
      <c r="C57" s="62">
        <f>IF(+All!$F681="Maryland",+All!C681,IF(+All!$H681="Maryland",+All!C681,0))</f>
        <v>44877</v>
      </c>
      <c r="D57" s="490">
        <f>IF(+All!$F681="Maryland",+All!D681,IF(+All!$H681="Maryland",+All!D681,0))</f>
        <v>0.64583333333333337</v>
      </c>
      <c r="E57" s="461" t="str">
        <f>IF(+All!$F681="Maryland",+All!E681,IF(+All!$H681="Maryland",+All!E681,0))</f>
        <v>Fox</v>
      </c>
      <c r="F57" s="51" t="str">
        <f>IF(+All!$F681="Maryland",+All!F681,IF(+All!$H681="Maryland",+All!F681,0))</f>
        <v>Maryland</v>
      </c>
      <c r="G57" s="63" t="str">
        <f>IF(+All!$F681="Maryland",+All!G681,IF(+All!$H681="Maryland",+All!G681,0))</f>
        <v>B10</v>
      </c>
      <c r="H57" s="63" t="str">
        <f>IF(+All!$F681="Maryland",+All!H681,IF(+All!$H681="Maryland",+All!H681,0))</f>
        <v>Penn State</v>
      </c>
      <c r="I57" s="52" t="str">
        <f>IF(+All!$F681="Maryland",+All!I681,IF(+All!$H681="Maryland",+All!I681,0))</f>
        <v>B10</v>
      </c>
      <c r="J57" s="460" t="str">
        <f>IF(+All!$F681="Maryland",+All!J681,IF(+All!$H681="Maryland",+All!J681,0))</f>
        <v>Penn State</v>
      </c>
      <c r="K57" s="461" t="str">
        <f>IF(+All!$F681="Maryland",+All!K681,IF(+All!$H681="Maryland",+All!K681,0))</f>
        <v>Maryland</v>
      </c>
      <c r="L57" s="54">
        <f>IF(+All!$F681="Maryland",+All!L681,IF(+All!$H681="Maryland",+All!L681,0))</f>
        <v>10</v>
      </c>
      <c r="M57" s="55">
        <f>IF(+All!$F681="Maryland",+All!M681,IF(+All!$H681="Maryland",+All!M681,0))</f>
        <v>59</v>
      </c>
      <c r="N57" s="460" t="str">
        <f>IF(+All!$F681="Maryland",+All!N681,IF(+All!$H681="Maryland",+All!N681,0))</f>
        <v>Penn State</v>
      </c>
      <c r="O57" s="462">
        <f>IF(+All!$F681="Maryland",+All!O681,IF(+All!$H681="Maryland",+All!O681,0))</f>
        <v>30</v>
      </c>
      <c r="P57" s="462" t="str">
        <f>IF(+All!$F681="Maryland",+All!P681,IF(+All!$H681="Maryland",+All!P681,0))</f>
        <v>Maryland</v>
      </c>
      <c r="Q57" s="461">
        <f>IF(+All!$F681="Maryland",+All!Q681,IF(+All!$H681="Maryland",+All!Q681,0))</f>
        <v>0</v>
      </c>
      <c r="R57" s="460" t="str">
        <f>IF(+All!$F681="Maryland",+All!R681,IF(+All!$H681="Maryland",+All!R681,0))</f>
        <v>Penn State</v>
      </c>
      <c r="S57" s="462" t="str">
        <f>IF(+All!$F681="Maryland",+All!S681,IF(+All!$H681="Maryland",+All!S681,0))</f>
        <v>Maryland</v>
      </c>
      <c r="T57" s="460" t="str">
        <f>IF(+All!$F681="Maryland",+All!T681,IF(+All!$H681="Maryland",+All!T681,0))</f>
        <v>Penn State</v>
      </c>
      <c r="U57" s="461" t="str">
        <f>IF(+All!$F681="Maryland",+All!U681,IF(+All!$H681="Maryland",+All!U681,0))</f>
        <v>W</v>
      </c>
    </row>
    <row r="58" spans="1:21" ht="16.5" customHeight="1" x14ac:dyDescent="0.8">
      <c r="A58" s="46">
        <f>IF(+All!$F737="Maryland",+All!A737,IF(+All!$H737="Maryland",+All!A737,0))</f>
        <v>12</v>
      </c>
      <c r="B58" s="46" t="str">
        <f>IF(+All!$F737="Maryland",+All!B737,IF(+All!$H737="Maryland",+All!B737,0))</f>
        <v>Sat</v>
      </c>
      <c r="C58" s="62">
        <f>IF(+All!$F737="Maryland",+All!C737,IF(+All!$H737="Maryland",+All!C737,0))</f>
        <v>44884</v>
      </c>
      <c r="D58" s="490">
        <f>IF(+All!$F737="Maryland",+All!D737,IF(+All!$H737="Maryland",+All!D737,0))</f>
        <v>0.64583333333333337</v>
      </c>
      <c r="E58" s="461" t="str">
        <f>IF(+All!$F737="Maryland",+All!E737,IF(+All!$H737="Maryland",+All!E737,0))</f>
        <v>ABC</v>
      </c>
      <c r="F58" s="51" t="str">
        <f>IF(+All!$F737="Maryland",+All!F737,IF(+All!$H737="Maryland",+All!F737,0))</f>
        <v>Ohio State</v>
      </c>
      <c r="G58" s="63" t="str">
        <f>IF(+All!$F737="Maryland",+All!G737,IF(+All!$H737="Maryland",+All!G737,0))</f>
        <v>B10</v>
      </c>
      <c r="H58" s="63" t="str">
        <f>IF(+All!$F737="Maryland",+All!H737,IF(+All!$H737="Maryland",+All!H737,0))</f>
        <v>Maryland</v>
      </c>
      <c r="I58" s="52" t="str">
        <f>IF(+All!$F737="Maryland",+All!I737,IF(+All!$H737="Maryland",+All!I737,0))</f>
        <v>B10</v>
      </c>
      <c r="J58" s="460" t="str">
        <f>IF(+All!$F737="Maryland",+All!J737,IF(+All!$H737="Maryland",+All!J737,0))</f>
        <v>Ohio State</v>
      </c>
      <c r="K58" s="461" t="str">
        <f>IF(+All!$F737="Maryland",+All!K737,IF(+All!$H737="Maryland",+All!K737,0))</f>
        <v>Maryland</v>
      </c>
      <c r="L58" s="54">
        <f>IF(+All!$F737="Maryland",+All!L737,IF(+All!$H737="Maryland",+All!L737,0))</f>
        <v>27.5</v>
      </c>
      <c r="M58" s="55">
        <f>IF(+All!$F737="Maryland",+All!M737,IF(+All!$H737="Maryland",+All!M737,0))</f>
        <v>65</v>
      </c>
      <c r="N58" s="460" t="str">
        <f>IF(+All!$F737="Maryland",+All!N737,IF(+All!$H737="Maryland",+All!N737,0))</f>
        <v>Ohio State</v>
      </c>
      <c r="O58" s="462">
        <f>IF(+All!$F737="Maryland",+All!O737,IF(+All!$H737="Maryland",+All!O737,0))</f>
        <v>43</v>
      </c>
      <c r="P58" s="462" t="str">
        <f>IF(+All!$F737="Maryland",+All!P737,IF(+All!$H737="Maryland",+All!P737,0))</f>
        <v>Maryland</v>
      </c>
      <c r="Q58" s="461">
        <f>IF(+All!$F737="Maryland",+All!Q737,IF(+All!$H737="Maryland",+All!Q737,0))</f>
        <v>30</v>
      </c>
      <c r="R58" s="460" t="str">
        <f>IF(+All!$F737="Maryland",+All!R737,IF(+All!$H737="Maryland",+All!R737,0))</f>
        <v>Maryland</v>
      </c>
      <c r="S58" s="462" t="str">
        <f>IF(+All!$F737="Maryland",+All!S737,IF(+All!$H737="Maryland",+All!S737,0))</f>
        <v>Ohio State</v>
      </c>
      <c r="T58" s="460" t="str">
        <f>IF(+All!$F737="Maryland",+All!T737,IF(+All!$H737="Maryland",+All!T737,0))</f>
        <v>Maryland</v>
      </c>
      <c r="U58" s="461" t="str">
        <f>IF(+All!$F737="Maryland",+All!U737,IF(+All!$H737="Maryland",+All!U737,0))</f>
        <v>W</v>
      </c>
    </row>
    <row r="59" spans="1:21" x14ac:dyDescent="0.8">
      <c r="A59" s="46">
        <f>IF(+All!$F809="Maryland",+All!A809,IF(+All!$H809="Maryland",+All!A809,0))</f>
        <v>13</v>
      </c>
      <c r="B59" s="46" t="str">
        <f>IF(+All!$F809="Maryland",+All!B809,IF(+All!$H809="Maryland",+All!B809,0))</f>
        <v>Sat</v>
      </c>
      <c r="C59" s="62">
        <f>IF(+All!$F809="Maryland",+All!C809,IF(+All!$H809="Maryland",+All!C809,0))</f>
        <v>44891</v>
      </c>
      <c r="D59" s="490">
        <f>IF(+All!$F809="Maryland",+All!D809,IF(+All!$H809="Maryland",+All!D809,0))</f>
        <v>0.5</v>
      </c>
      <c r="E59" s="461" t="str">
        <f>IF(+All!$F809="Maryland",+All!E809,IF(+All!$H809="Maryland",+All!E809,0))</f>
        <v>BTN</v>
      </c>
      <c r="F59" s="51" t="str">
        <f>IF(+All!$F809="Maryland",+All!F809,IF(+All!$H809="Maryland",+All!F809,0))</f>
        <v>Rutgers</v>
      </c>
      <c r="G59" s="63" t="str">
        <f>IF(+All!$F809="Maryland",+All!G809,IF(+All!$H809="Maryland",+All!G809,0))</f>
        <v>B10</v>
      </c>
      <c r="H59" s="63" t="str">
        <f>IF(+All!$F809="Maryland",+All!H809,IF(+All!$H809="Maryland",+All!H809,0))</f>
        <v>Maryland</v>
      </c>
      <c r="I59" s="52" t="str">
        <f>IF(+All!$F809="Maryland",+All!I809,IF(+All!$H809="Maryland",+All!I809,0))</f>
        <v>B10</v>
      </c>
      <c r="J59" s="460" t="str">
        <f>IF(+All!$F809="Maryland",+All!J809,IF(+All!$H809="Maryland",+All!J809,0))</f>
        <v>Maryland</v>
      </c>
      <c r="K59" s="461" t="str">
        <f>IF(+All!$F809="Maryland",+All!K809,IF(+All!$H809="Maryland",+All!K809,0))</f>
        <v>Rutgers</v>
      </c>
      <c r="L59" s="54">
        <f>IF(+All!$F809="Maryland",+All!L809,IF(+All!$H809="Maryland",+All!L809,0))</f>
        <v>14</v>
      </c>
      <c r="M59" s="55">
        <f>IF(+All!$F809="Maryland",+All!M809,IF(+All!$H809="Maryland",+All!M809,0))</f>
        <v>49.5</v>
      </c>
      <c r="N59" s="460" t="str">
        <f>IF(+All!$F809="Maryland",+All!N809,IF(+All!$H809="Maryland",+All!N809,0))</f>
        <v>Maryland</v>
      </c>
      <c r="O59" s="462">
        <f>IF(+All!$F809="Maryland",+All!O809,IF(+All!$H809="Maryland",+All!O809,0))</f>
        <v>37</v>
      </c>
      <c r="P59" s="462" t="str">
        <f>IF(+All!$F809="Maryland",+All!P809,IF(+All!$H809="Maryland",+All!P809,0))</f>
        <v>Rutgers</v>
      </c>
      <c r="Q59" s="461">
        <f>IF(+All!$F809="Maryland",+All!Q809,IF(+All!$H809="Maryland",+All!Q809,0))</f>
        <v>0</v>
      </c>
      <c r="R59" s="460" t="str">
        <f>IF(+All!$F809="Maryland",+All!R809,IF(+All!$H809="Maryland",+All!R809,0))</f>
        <v>Maryland</v>
      </c>
      <c r="S59" s="462" t="str">
        <f>IF(+All!$F809="Maryland",+All!S809,IF(+All!$H809="Maryland",+All!S809,0))</f>
        <v>Rutgers</v>
      </c>
      <c r="T59" s="460" t="str">
        <f>IF(+All!$F809="Maryland",+All!T809,IF(+All!$H809="Maryland",+All!T809,0))</f>
        <v>Rutgers</v>
      </c>
      <c r="U59" s="461" t="str">
        <f>IF(+All!$F809="Maryland",+All!U809,IF(+All!$H809="Maryland",+All!U809,0))</f>
        <v>L</v>
      </c>
    </row>
    <row r="60" spans="1:21" x14ac:dyDescent="0.8">
      <c r="A60" s="38"/>
      <c r="B60" s="39"/>
      <c r="C60" s="40"/>
      <c r="D60" s="41"/>
      <c r="E60" s="463"/>
      <c r="F60" s="897" t="str">
        <f>H62</f>
        <v>Michigan</v>
      </c>
      <c r="G60" s="903"/>
      <c r="H60" s="903"/>
      <c r="I60" s="904"/>
      <c r="J60" s="459"/>
      <c r="K60" s="463"/>
      <c r="L60" s="44"/>
      <c r="M60" s="45"/>
      <c r="N60" s="459"/>
      <c r="O60" s="5"/>
      <c r="P60" s="5"/>
      <c r="Q60" s="463"/>
      <c r="R60" s="459"/>
      <c r="S60" s="5"/>
      <c r="T60" s="459"/>
      <c r="U60" s="463"/>
    </row>
    <row r="61" spans="1:21" x14ac:dyDescent="0.8">
      <c r="A61" s="46">
        <f>IF(+All!$F36="Michigan",+All!A36,IF(+All!$H36="Michigan",+All!A36,0))</f>
        <v>1</v>
      </c>
      <c r="B61" s="348" t="str">
        <f>IF(+All!$F36="Michigan",+All!B36,IF(+All!$H36="Michigan",+All!B36,0))</f>
        <v>Sat</v>
      </c>
      <c r="C61" s="48">
        <f>IF(+All!$F36="Michigan",+All!C36,IF(+All!$H36="Michigan",+All!C36,0))</f>
        <v>44807</v>
      </c>
      <c r="D61" s="490">
        <f>IF(+All!$F36="Michigan",+All!D36,IF(+All!$H36="Michigan",+All!D36,0))</f>
        <v>0.5</v>
      </c>
      <c r="E61" s="461" t="str">
        <f>IF(+All!$F36="Michigan",+All!E36,IF(+All!$H36="Michigan",+All!E36,0))</f>
        <v>ABC</v>
      </c>
      <c r="F61" s="51" t="str">
        <f>IF(+All!$F36="Michigan",+All!F36,IF(+All!$H36="Michigan",+All!F36,0))</f>
        <v>Colorado State</v>
      </c>
      <c r="G61" s="52" t="str">
        <f>IF(+All!$F36="Michigan",+All!G36,IF(+All!$H36="Michigan",+All!G36,0))</f>
        <v>MWC</v>
      </c>
      <c r="H61" s="51" t="str">
        <f>IF(+All!$F36="Michigan",+All!H36,IF(+All!$H36="Michigan",+All!H36,0))</f>
        <v>Michigan</v>
      </c>
      <c r="I61" s="52" t="str">
        <f>IF(+All!$F36="Michigan",+All!I36,IF(+All!$H36="Michigan",+All!I36,0))</f>
        <v>B10</v>
      </c>
      <c r="J61" s="460" t="str">
        <f>IF(+All!$F36="Michigan",+All!J36,IF(+All!$H36="Michigan",+All!J36,0))</f>
        <v>Michigan</v>
      </c>
      <c r="K61" s="461" t="str">
        <f>IF(+All!$F36="Michigan",+All!K36,IF(+All!$H36="Michigan",+All!K36,0))</f>
        <v>Colorado State</v>
      </c>
      <c r="L61" s="54">
        <f>IF(+All!$F36="Michigan",+All!L36,IF(+All!$H36="Michigan",+All!L36,0))</f>
        <v>30.5</v>
      </c>
      <c r="M61" s="55">
        <f>IF(+All!$F36="Michigan",+All!M36,IF(+All!$H36="Michigan",+All!M36,0))</f>
        <v>61.5</v>
      </c>
      <c r="N61" s="460" t="str">
        <f>IF(+All!$F36="Michigan",+All!N36,IF(+All!$H36="Michigan",+All!N36,0))</f>
        <v>Michigan</v>
      </c>
      <c r="O61" s="462">
        <f>IF(+All!$F36="Michigan",+All!O36,IF(+All!$H36="Michigan",+All!O36,0))</f>
        <v>51</v>
      </c>
      <c r="P61" s="462" t="str">
        <f>IF(+All!$F36="Michigan",+All!P36,IF(+All!$H36="Michigan",+All!P36,0))</f>
        <v>Colorado State</v>
      </c>
      <c r="Q61" s="461">
        <f>IF(+All!$F36="Michigan",+All!Q36,IF(+All!$H36="Michigan",+All!Q36,0))</f>
        <v>7</v>
      </c>
      <c r="R61" s="460" t="str">
        <f>IF(+All!$F36="Michigan",+All!R36,IF(+All!$H36="Michigan",+All!R36,0))</f>
        <v>Michigan</v>
      </c>
      <c r="S61" s="462" t="str">
        <f>IF(+All!$F36="Michigan",+All!S36,IF(+All!$H36="Michigan",+All!S36,0))</f>
        <v>Colorado State</v>
      </c>
      <c r="T61" s="460" t="str">
        <f>IF(+All!$F36="Michigan",+All!T36,IF(+All!$H36="Michigan",+All!T36,0))</f>
        <v>Colorado State</v>
      </c>
      <c r="U61" s="461" t="str">
        <f>IF(+All!$F36="Michigan",+All!U36,IF(+All!$H36="Michigan",+All!U36,0))</f>
        <v>L</v>
      </c>
    </row>
    <row r="62" spans="1:21" x14ac:dyDescent="0.8">
      <c r="A62" s="46">
        <f>IF(+All!$F117="Michigan",+All!A117,IF(+All!$H117="Michigan",+All!A117,0))</f>
        <v>2</v>
      </c>
      <c r="B62" s="348" t="str">
        <f>IF(+All!$F117="Michigan",+All!B117,IF(+All!$H117="Michigan",+All!B117,0))</f>
        <v>Sat</v>
      </c>
      <c r="C62" s="48">
        <f>IF(+All!$F117="Michigan",+All!C117,IF(+All!$H117="Michigan",+All!C117,0))</f>
        <v>44814</v>
      </c>
      <c r="D62" s="490">
        <f>IF(+All!$F117="Michigan",+All!D117,IF(+All!$H117="Michigan",+All!D117,0))</f>
        <v>0.83333333333333337</v>
      </c>
      <c r="E62" s="461" t="str">
        <f>IF(+All!$F117="Michigan",+All!E117,IF(+All!$H117="Michigan",+All!E117,0))</f>
        <v>BTN</v>
      </c>
      <c r="F62" s="51" t="str">
        <f>IF(+All!$F117="Michigan",+All!F117,IF(+All!$H117="Michigan",+All!F117,0))</f>
        <v>Hawaii</v>
      </c>
      <c r="G62" s="52" t="str">
        <f>IF(+All!$F117="Michigan",+All!G117,IF(+All!$H117="Michigan",+All!G117,0))</f>
        <v>MWC</v>
      </c>
      <c r="H62" s="51" t="str">
        <f>IF(+All!$F117="Michigan",+All!H117,IF(+All!$H117="Michigan",+All!H117,0))</f>
        <v>Michigan</v>
      </c>
      <c r="I62" s="52" t="str">
        <f>IF(+All!$F117="Michigan",+All!I117,IF(+All!$H117="Michigan",+All!I117,0))</f>
        <v>B10</v>
      </c>
      <c r="J62" s="460" t="str">
        <f>IF(+All!$F117="Michigan",+All!J117,IF(+All!$H117="Michigan",+All!J117,0))</f>
        <v>Michigan</v>
      </c>
      <c r="K62" s="461" t="str">
        <f>IF(+All!$F117="Michigan",+All!K117,IF(+All!$H117="Michigan",+All!K117,0))</f>
        <v>Hawaii</v>
      </c>
      <c r="L62" s="54">
        <f>IF(+All!$F117="Michigan",+All!L117,IF(+All!$H117="Michigan",+All!L117,0))</f>
        <v>51.5</v>
      </c>
      <c r="M62" s="55">
        <f>IF(+All!$F117="Michigan",+All!M117,IF(+All!$H117="Michigan",+All!M117,0))</f>
        <v>67</v>
      </c>
      <c r="N62" s="460" t="str">
        <f>IF(+All!$F117="Michigan",+All!N117,IF(+All!$H117="Michigan",+All!N117,0))</f>
        <v>Michigan</v>
      </c>
      <c r="O62" s="462">
        <f>IF(+All!$F117="Michigan",+All!O117,IF(+All!$H117="Michigan",+All!O117,0))</f>
        <v>56</v>
      </c>
      <c r="P62" s="462" t="str">
        <f>IF(+All!$F117="Michigan",+All!P117,IF(+All!$H117="Michigan",+All!P117,0))</f>
        <v>Hawaii</v>
      </c>
      <c r="Q62" s="461">
        <f>IF(+All!$F117="Michigan",+All!Q117,IF(+All!$H117="Michigan",+All!Q117,0))</f>
        <v>10</v>
      </c>
      <c r="R62" s="460" t="str">
        <f>IF(+All!$F117="Michigan",+All!R117,IF(+All!$H117="Michigan",+All!R117,0))</f>
        <v>Hawaii</v>
      </c>
      <c r="S62" s="462" t="str">
        <f>IF(+All!$F117="Michigan",+All!S117,IF(+All!$H117="Michigan",+All!S117,0))</f>
        <v>Michigan</v>
      </c>
      <c r="T62" s="460" t="str">
        <f>IF(+All!$F117="Michigan",+All!T117,IF(+All!$H117="Michigan",+All!T117,0))</f>
        <v>Hawaii</v>
      </c>
      <c r="U62" s="461" t="str">
        <f>IF(+All!$F117="Michigan",+All!U117,IF(+All!$H117="Michigan",+All!U117,0))</f>
        <v>W</v>
      </c>
    </row>
    <row r="63" spans="1:21" x14ac:dyDescent="0.8">
      <c r="A63" s="46">
        <f>IF(+All!$F200="Michigan",+All!A200,IF(+All!$H200="Michigan",+All!A200,0))</f>
        <v>3</v>
      </c>
      <c r="B63" s="348" t="str">
        <f>IF(+All!$F200="Michigan",+All!B200,IF(+All!$H200="Michigan",+All!B200,0))</f>
        <v>Sat</v>
      </c>
      <c r="C63" s="48">
        <f>IF(+All!$F200="Michigan",+All!C200,IF(+All!$H200="Michigan",+All!C200,0))</f>
        <v>44821</v>
      </c>
      <c r="D63" s="490">
        <f>IF(+All!$F200="Michigan",+All!D200,IF(+All!$H200="Michigan",+All!D200,0))</f>
        <v>0.5</v>
      </c>
      <c r="E63" s="461" t="str">
        <f>IF(+All!$F200="Michigan",+All!E200,IF(+All!$H200="Michigan",+All!E200,0))</f>
        <v>ABC</v>
      </c>
      <c r="F63" s="51" t="str">
        <f>IF(+All!$F200="Michigan",+All!F200,IF(+All!$H200="Michigan",+All!F200,0))</f>
        <v>Connecticut</v>
      </c>
      <c r="G63" s="52" t="str">
        <f>IF(+All!$F200="Michigan",+All!G200,IF(+All!$H200="Michigan",+All!G200,0))</f>
        <v>Ind</v>
      </c>
      <c r="H63" s="51" t="str">
        <f>IF(+All!$F200="Michigan",+All!H200,IF(+All!$H200="Michigan",+All!H200,0))</f>
        <v>Michigan</v>
      </c>
      <c r="I63" s="52" t="str">
        <f>IF(+All!$F200="Michigan",+All!I200,IF(+All!$H200="Michigan",+All!I200,0))</f>
        <v>B10</v>
      </c>
      <c r="J63" s="460" t="str">
        <f>IF(+All!$F200="Michigan",+All!J200,IF(+All!$H200="Michigan",+All!J200,0))</f>
        <v>Michigan</v>
      </c>
      <c r="K63" s="461" t="str">
        <f>IF(+All!$F200="Michigan",+All!K200,IF(+All!$H200="Michigan",+All!K200,0))</f>
        <v>Connecticut</v>
      </c>
      <c r="L63" s="54">
        <f>IF(+All!$F200="Michigan",+All!L200,IF(+All!$H200="Michigan",+All!L200,0))</f>
        <v>46.5</v>
      </c>
      <c r="M63" s="55">
        <f>IF(+All!$F200="Michigan",+All!M200,IF(+All!$H200="Michigan",+All!M200,0))</f>
        <v>60</v>
      </c>
      <c r="N63" s="460" t="str">
        <f>IF(+All!$F200="Michigan",+All!N200,IF(+All!$H200="Michigan",+All!N200,0))</f>
        <v>Michigan</v>
      </c>
      <c r="O63" s="462">
        <f>IF(+All!$F200="Michigan",+All!O200,IF(+All!$H200="Michigan",+All!O200,0))</f>
        <v>59</v>
      </c>
      <c r="P63" s="462" t="str">
        <f>IF(+All!$F200="Michigan",+All!P200,IF(+All!$H200="Michigan",+All!P200,0))</f>
        <v>Connecticut</v>
      </c>
      <c r="Q63" s="461">
        <f>IF(+All!$F200="Michigan",+All!Q200,IF(+All!$H200="Michigan",+All!Q200,0))</f>
        <v>0</v>
      </c>
      <c r="R63" s="460" t="str">
        <f>IF(+All!$F200="Michigan",+All!R200,IF(+All!$H200="Michigan",+All!R200,0))</f>
        <v>Michigan</v>
      </c>
      <c r="S63" s="462" t="str">
        <f>IF(+All!$F200="Michigan",+All!S200,IF(+All!$H200="Michigan",+All!S200,0))</f>
        <v>Connecticut</v>
      </c>
      <c r="T63" s="460" t="str">
        <f>IF(+All!$F200="Michigan",+All!T200,IF(+All!$H200="Michigan",+All!T200,0))</f>
        <v>Connecticut</v>
      </c>
      <c r="U63" s="461" t="str">
        <f>IF(+All!$F200="Michigan",+All!U200,IF(+All!$H200="Michigan",+All!U200,0))</f>
        <v>L</v>
      </c>
    </row>
    <row r="64" spans="1:21" x14ac:dyDescent="0.8">
      <c r="A64" s="46">
        <f>IF(+All!$F273="Michigan",+All!A273,IF(+All!$H273="Michigan",+All!A273,0))</f>
        <v>4</v>
      </c>
      <c r="B64" s="348" t="str">
        <f>IF(+All!$F273="Michigan",+All!B273,IF(+All!$H273="Michigan",+All!B273,0))</f>
        <v>Sat</v>
      </c>
      <c r="C64" s="48">
        <f>IF(+All!$F273="Michigan",+All!C273,IF(+All!$H273="Michigan",+All!C273,0))</f>
        <v>44828</v>
      </c>
      <c r="D64" s="490">
        <f>IF(+All!$F273="Michigan",+All!D273,IF(+All!$H273="Michigan",+All!D273,0))</f>
        <v>0.5</v>
      </c>
      <c r="E64" s="461" t="str">
        <f>IF(+All!$F273="Michigan",+All!E273,IF(+All!$H273="Michigan",+All!E273,0))</f>
        <v>Fox</v>
      </c>
      <c r="F64" s="51" t="str">
        <f>IF(+All!$F273="Michigan",+All!F273,IF(+All!$H273="Michigan",+All!F273,0))</f>
        <v>Maryland</v>
      </c>
      <c r="G64" s="52" t="str">
        <f>IF(+All!$F273="Michigan",+All!G273,IF(+All!$H273="Michigan",+All!G273,0))</f>
        <v>B10</v>
      </c>
      <c r="H64" s="51" t="str">
        <f>IF(+All!$F273="Michigan",+All!H273,IF(+All!$H273="Michigan",+All!H273,0))</f>
        <v>Michigan</v>
      </c>
      <c r="I64" s="52" t="str">
        <f>IF(+All!$F273="Michigan",+All!I273,IF(+All!$H273="Michigan",+All!I273,0))</f>
        <v>B10</v>
      </c>
      <c r="J64" s="460" t="str">
        <f>IF(+All!$F273="Michigan",+All!J273,IF(+All!$H273="Michigan",+All!J273,0))</f>
        <v>Michigan</v>
      </c>
      <c r="K64" s="461" t="str">
        <f>IF(+All!$F273="Michigan",+All!K273,IF(+All!$H273="Michigan",+All!K273,0))</f>
        <v>Maryland</v>
      </c>
      <c r="L64" s="54">
        <f>IF(+All!$F273="Michigan",+All!L273,IF(+All!$H273="Michigan",+All!L273,0))</f>
        <v>17</v>
      </c>
      <c r="M64" s="55">
        <f>IF(+All!$F273="Michigan",+All!M273,IF(+All!$H273="Michigan",+All!M273,0))</f>
        <v>65.5</v>
      </c>
      <c r="N64" s="460" t="str">
        <f>IF(+All!$F273="Michigan",+All!N273,IF(+All!$H273="Michigan",+All!N273,0))</f>
        <v>Michigan</v>
      </c>
      <c r="O64" s="462">
        <f>IF(+All!$F273="Michigan",+All!O273,IF(+All!$H273="Michigan",+All!O273,0))</f>
        <v>34</v>
      </c>
      <c r="P64" s="462" t="str">
        <f>IF(+All!$F273="Michigan",+All!P273,IF(+All!$H273="Michigan",+All!P273,0))</f>
        <v>Maryland</v>
      </c>
      <c r="Q64" s="461">
        <f>IF(+All!$F273="Michigan",+All!Q273,IF(+All!$H273="Michigan",+All!Q273,0))</f>
        <v>27</v>
      </c>
      <c r="R64" s="460" t="str">
        <f>IF(+All!$F273="Michigan",+All!R273,IF(+All!$H273="Michigan",+All!R273,0))</f>
        <v>Maryland</v>
      </c>
      <c r="S64" s="462" t="str">
        <f>IF(+All!$F273="Michigan",+All!S273,IF(+All!$H273="Michigan",+All!S273,0))</f>
        <v>Michigan</v>
      </c>
      <c r="T64" s="460" t="str">
        <f>IF(+All!$F273="Michigan",+All!T273,IF(+All!$H273="Michigan",+All!T273,0))</f>
        <v>Maryland</v>
      </c>
      <c r="U64" s="461" t="str">
        <f>IF(+All!$F273="Michigan",+All!U273,IF(+All!$H273="Michigan",+All!U273,0))</f>
        <v>W</v>
      </c>
    </row>
    <row r="65" spans="1:21" x14ac:dyDescent="0.8">
      <c r="A65" s="46">
        <f>IF(+All!$F335="Michigan",+All!A335,IF(+All!$H335="Michigan",+All!A335,0))</f>
        <v>5</v>
      </c>
      <c r="B65" s="348" t="str">
        <f>IF(+All!$F335="Michigan",+All!B335,IF(+All!$H335="Michigan",+All!B335,0))</f>
        <v>Sat</v>
      </c>
      <c r="C65" s="48">
        <f>IF(+All!$F335="Michigan",+All!C335,IF(+All!$H335="Michigan",+All!C335,0))</f>
        <v>44835</v>
      </c>
      <c r="D65" s="490">
        <f>IF(+All!$F335="Michigan",+All!D335,IF(+All!$H335="Michigan",+All!D335,0))</f>
        <v>0.5</v>
      </c>
      <c r="E65" s="461" t="str">
        <f>IF(+All!$F335="Michigan",+All!E335,IF(+All!$H335="Michigan",+All!E335,0))</f>
        <v>Fox</v>
      </c>
      <c r="F65" s="51" t="str">
        <f>IF(+All!$F335="Michigan",+All!F335,IF(+All!$H335="Michigan",+All!F335,0))</f>
        <v>Michigan</v>
      </c>
      <c r="G65" s="52" t="str">
        <f>IF(+All!$F335="Michigan",+All!G335,IF(+All!$H335="Michigan",+All!G335,0))</f>
        <v>B10</v>
      </c>
      <c r="H65" s="51" t="str">
        <f>IF(+All!$F335="Michigan",+All!H335,IF(+All!$H335="Michigan",+All!H335,0))</f>
        <v>Iowa</v>
      </c>
      <c r="I65" s="52" t="str">
        <f>IF(+All!$F335="Michigan",+All!I335,IF(+All!$H335="Michigan",+All!I335,0))</f>
        <v>B10</v>
      </c>
      <c r="J65" s="460" t="str">
        <f>IF(+All!$F335="Michigan",+All!J335,IF(+All!$H335="Michigan",+All!J335,0))</f>
        <v>Michigan</v>
      </c>
      <c r="K65" s="461" t="str">
        <f>IF(+All!$F335="Michigan",+All!K335,IF(+All!$H335="Michigan",+All!K335,0))</f>
        <v>Iowa</v>
      </c>
      <c r="L65" s="54">
        <f>IF(+All!$F335="Michigan",+All!L335,IF(+All!$H335="Michigan",+All!L335,0))</f>
        <v>11</v>
      </c>
      <c r="M65" s="55">
        <f>IF(+All!$F335="Michigan",+All!M335,IF(+All!$H335="Michigan",+All!M335,0))</f>
        <v>42</v>
      </c>
      <c r="N65" s="460" t="str">
        <f>IF(+All!$F335="Michigan",+All!N335,IF(+All!$H335="Michigan",+All!N335,0))</f>
        <v>Michigan</v>
      </c>
      <c r="O65" s="462">
        <f>IF(+All!$F335="Michigan",+All!O335,IF(+All!$H335="Michigan",+All!O335,0))</f>
        <v>27</v>
      </c>
      <c r="P65" s="462" t="str">
        <f>IF(+All!$F335="Michigan",+All!P335,IF(+All!$H335="Michigan",+All!P335,0))</f>
        <v>Iowa</v>
      </c>
      <c r="Q65" s="461">
        <f>IF(+All!$F335="Michigan",+All!Q335,IF(+All!$H335="Michigan",+All!Q335,0))</f>
        <v>24</v>
      </c>
      <c r="R65" s="460" t="str">
        <f>IF(+All!$F335="Michigan",+All!R335,IF(+All!$H335="Michigan",+All!R335,0))</f>
        <v>Iowa</v>
      </c>
      <c r="S65" s="462" t="str">
        <f>IF(+All!$F335="Michigan",+All!S335,IF(+All!$H335="Michigan",+All!S335,0))</f>
        <v>Michigan</v>
      </c>
      <c r="T65" s="460" t="str">
        <f>IF(+All!$F335="Michigan",+All!T335,IF(+All!$H335="Michigan",+All!T335,0))</f>
        <v>Iowa</v>
      </c>
      <c r="U65" s="461" t="str">
        <f>IF(+All!$F335="Michigan",+All!U335,IF(+All!$H335="Michigan",+All!U335,0))</f>
        <v>W</v>
      </c>
    </row>
    <row r="66" spans="1:21" x14ac:dyDescent="0.8">
      <c r="A66" s="46">
        <f>IF(+All!$F397="Michigan",+All!A397,IF(+All!$H397="Michigan",+All!A397,0))</f>
        <v>6</v>
      </c>
      <c r="B66" s="348" t="str">
        <f>IF(+All!$F397="Michigan",+All!B397,IF(+All!$H397="Michigan",+All!B397,0))</f>
        <v>Sat</v>
      </c>
      <c r="C66" s="48">
        <f>IF(+All!$F397="Michigan",+All!C397,IF(+All!$H397="Michigan",+All!C397,0))</f>
        <v>44842</v>
      </c>
      <c r="D66" s="490">
        <f>IF(+All!$F397="Michigan",+All!D397,IF(+All!$H397="Michigan",+All!D397,0))</f>
        <v>0.5</v>
      </c>
      <c r="E66" s="461" t="str">
        <f>IF(+All!$F397="Michigan",+All!E397,IF(+All!$H397="Michigan",+All!E397,0))</f>
        <v>Fox</v>
      </c>
      <c r="F66" s="51" t="str">
        <f>IF(+All!$F397="Michigan",+All!F397,IF(+All!$H397="Michigan",+All!F397,0))</f>
        <v>Michigan</v>
      </c>
      <c r="G66" s="52" t="str">
        <f>IF(+All!$F397="Michigan",+All!G397,IF(+All!$H397="Michigan",+All!G397,0))</f>
        <v>B10</v>
      </c>
      <c r="H66" s="51" t="str">
        <f>IF(+All!$F397="Michigan",+All!H397,IF(+All!$H397="Michigan",+All!H397,0))</f>
        <v>Indiana</v>
      </c>
      <c r="I66" s="52" t="str">
        <f>IF(+All!$F397="Michigan",+All!I397,IF(+All!$H397="Michigan",+All!I397,0))</f>
        <v>B10</v>
      </c>
      <c r="J66" s="460" t="str">
        <f>IF(+All!$F397="Michigan",+All!J397,IF(+All!$H397="Michigan",+All!J397,0))</f>
        <v>Michigan</v>
      </c>
      <c r="K66" s="461" t="str">
        <f>IF(+All!$F397="Michigan",+All!K397,IF(+All!$H397="Michigan",+All!K397,0))</f>
        <v>Indiana</v>
      </c>
      <c r="L66" s="54">
        <f>IF(+All!$F397="Michigan",+All!L397,IF(+All!$H397="Michigan",+All!L397,0))</f>
        <v>22</v>
      </c>
      <c r="M66" s="55">
        <f>IF(+All!$F397="Michigan",+All!M397,IF(+All!$H397="Michigan",+All!M397,0))</f>
        <v>59</v>
      </c>
      <c r="N66" s="460" t="str">
        <f>IF(+All!$F397="Michigan",+All!N397,IF(+All!$H397="Michigan",+All!N397,0))</f>
        <v>Michigan</v>
      </c>
      <c r="O66" s="462">
        <f>IF(+All!$F397="Michigan",+All!O397,IF(+All!$H397="Michigan",+All!O397,0))</f>
        <v>31</v>
      </c>
      <c r="P66" s="462" t="str">
        <f>IF(+All!$F397="Michigan",+All!P397,IF(+All!$H397="Michigan",+All!P397,0))</f>
        <v>Indiana</v>
      </c>
      <c r="Q66" s="461">
        <f>IF(+All!$F397="Michigan",+All!Q397,IF(+All!$H397="Michigan",+All!Q397,0))</f>
        <v>10</v>
      </c>
      <c r="R66" s="460" t="str">
        <f>IF(+All!$F397="Michigan",+All!R397,IF(+All!$H397="Michigan",+All!R397,0))</f>
        <v>Indiana</v>
      </c>
      <c r="S66" s="462" t="str">
        <f>IF(+All!$F397="Michigan",+All!S397,IF(+All!$H397="Michigan",+All!S397,0))</f>
        <v>Michigan</v>
      </c>
      <c r="T66" s="460" t="str">
        <f>IF(+All!$F397="Michigan",+All!T397,IF(+All!$H397="Michigan",+All!T397,0))</f>
        <v>Indiana</v>
      </c>
      <c r="U66" s="461" t="str">
        <f>IF(+All!$F397="Michigan",+All!U397,IF(+All!$H397="Michigan",+All!U397,0))</f>
        <v>W</v>
      </c>
    </row>
    <row r="67" spans="1:21" x14ac:dyDescent="0.8">
      <c r="A67" s="46">
        <f>IF(+All!$F451="Michigan",+All!A451,IF(+All!$H451="Michigan",+All!A451,0))</f>
        <v>7</v>
      </c>
      <c r="B67" s="348" t="str">
        <f>IF(+All!$F451="Michigan",+All!B451,IF(+All!$H451="Michigan",+All!B451,0))</f>
        <v>Sat</v>
      </c>
      <c r="C67" s="48">
        <f>IF(+All!$F451="Michigan",+All!C451,IF(+All!$H451="Michigan",+All!C451,0))</f>
        <v>44849</v>
      </c>
      <c r="D67" s="490">
        <f>IF(+All!$F451="Michigan",+All!D451,IF(+All!$H451="Michigan",+All!D451,0))</f>
        <v>0.5</v>
      </c>
      <c r="E67" s="461" t="str">
        <f>IF(+All!$F451="Michigan",+All!E451,IF(+All!$H451="Michigan",+All!E451,0))</f>
        <v>Fox</v>
      </c>
      <c r="F67" s="51" t="str">
        <f>IF(+All!$F451="Michigan",+All!F451,IF(+All!$H451="Michigan",+All!F451,0))</f>
        <v>Penn State</v>
      </c>
      <c r="G67" s="52" t="str">
        <f>IF(+All!$F451="Michigan",+All!G451,IF(+All!$H451="Michigan",+All!G451,0))</f>
        <v>B10</v>
      </c>
      <c r="H67" s="51" t="str">
        <f>IF(+All!$F451="Michigan",+All!H451,IF(+All!$H451="Michigan",+All!H451,0))</f>
        <v>Michigan</v>
      </c>
      <c r="I67" s="52" t="str">
        <f>IF(+All!$F451="Michigan",+All!I451,IF(+All!$H451="Michigan",+All!I451,0))</f>
        <v>B10</v>
      </c>
      <c r="J67" s="460" t="str">
        <f>IF(+All!$F451="Michigan",+All!J451,IF(+All!$H451="Michigan",+All!J451,0))</f>
        <v>Michigan</v>
      </c>
      <c r="K67" s="461" t="str">
        <f>IF(+All!$F451="Michigan",+All!K451,IF(+All!$H451="Michigan",+All!K451,0))</f>
        <v>Penn State</v>
      </c>
      <c r="L67" s="54">
        <f>IF(+All!$F451="Michigan",+All!L451,IF(+All!$H451="Michigan",+All!L451,0))</f>
        <v>7</v>
      </c>
      <c r="M67" s="55">
        <f>IF(+All!$F451="Michigan",+All!M451,IF(+All!$H451="Michigan",+All!M451,0))</f>
        <v>52.5</v>
      </c>
      <c r="N67" s="460" t="str">
        <f>IF(+All!$F451="Michigan",+All!N451,IF(+All!$H451="Michigan",+All!N451,0))</f>
        <v>Michigan</v>
      </c>
      <c r="O67" s="462">
        <f>IF(+All!$F451="Michigan",+All!O451,IF(+All!$H451="Michigan",+All!O451,0))</f>
        <v>41</v>
      </c>
      <c r="P67" s="462" t="str">
        <f>IF(+All!$F451="Michigan",+All!P451,IF(+All!$H451="Michigan",+All!P451,0))</f>
        <v>Penn State</v>
      </c>
      <c r="Q67" s="461">
        <f>IF(+All!$F451="Michigan",+All!Q451,IF(+All!$H451="Michigan",+All!Q451,0))</f>
        <v>17</v>
      </c>
      <c r="R67" s="460" t="str">
        <f>IF(+All!$F451="Michigan",+All!R451,IF(+All!$H451="Michigan",+All!R451,0))</f>
        <v>Michigan</v>
      </c>
      <c r="S67" s="462" t="str">
        <f>IF(+All!$F451="Michigan",+All!S451,IF(+All!$H451="Michigan",+All!S451,0))</f>
        <v>Penn State</v>
      </c>
      <c r="T67" s="460" t="str">
        <f>IF(+All!$F451="Michigan",+All!T451,IF(+All!$H451="Michigan",+All!T451,0))</f>
        <v>Penn State</v>
      </c>
      <c r="U67" s="461" t="str">
        <f>IF(+All!$F451="Michigan",+All!U451,IF(+All!$H451="Michigan",+All!U451,0))</f>
        <v>L</v>
      </c>
    </row>
    <row r="68" spans="1:21" x14ac:dyDescent="0.8">
      <c r="A68" s="46" t="e">
        <f>IF(+All!#REF!="Michigan",+All!#REF!,IF(+All!#REF!="Michigan",+All!#REF!,0))</f>
        <v>#REF!</v>
      </c>
      <c r="B68" s="348" t="e">
        <f>IF(+All!#REF!="Michigan",+All!#REF!,IF(+All!#REF!="Michigan",+All!#REF!,0))</f>
        <v>#REF!</v>
      </c>
      <c r="C68" s="48" t="e">
        <f>IF(+All!#REF!="Michigan",+All!#REF!,IF(+All!#REF!="Michigan",+All!#REF!,0))</f>
        <v>#REF!</v>
      </c>
      <c r="D68" s="490" t="e">
        <f>IF(+All!#REF!="Michigan",+All!#REF!,IF(+All!#REF!="Michigan",+All!#REF!,0))</f>
        <v>#REF!</v>
      </c>
      <c r="E68" s="461" t="e">
        <f>IF(+All!#REF!="Michigan",+All!#REF!,IF(+All!#REF!="Michigan",+All!#REF!,0))</f>
        <v>#REF!</v>
      </c>
      <c r="F68" s="51" t="e">
        <f>IF(+All!#REF!="Michigan",+All!#REF!,IF(+All!#REF!="Michigan",+All!#REF!,0))</f>
        <v>#REF!</v>
      </c>
      <c r="G68" s="52" t="e">
        <f>IF(+All!#REF!="Michigan",+All!#REF!,IF(+All!#REF!="Michigan",+All!#REF!,0))</f>
        <v>#REF!</v>
      </c>
      <c r="H68" s="51" t="e">
        <f>IF(+All!#REF!="Michigan",+All!#REF!,IF(+All!#REF!="Michigan",+All!#REF!,0))</f>
        <v>#REF!</v>
      </c>
      <c r="I68" s="52" t="e">
        <f>IF(+All!#REF!="Michigan",+All!#REF!,IF(+All!#REF!="Michigan",+All!#REF!,0))</f>
        <v>#REF!</v>
      </c>
      <c r="J68" s="460" t="e">
        <f>IF(+All!#REF!="Michigan",+All!#REF!,IF(+All!#REF!="Michigan",+All!#REF!,0))</f>
        <v>#REF!</v>
      </c>
      <c r="K68" s="461" t="e">
        <f>IF(+All!#REF!="Michigan",+All!#REF!,IF(+All!#REF!="Michigan",+All!#REF!,0))</f>
        <v>#REF!</v>
      </c>
      <c r="L68" s="54" t="e">
        <f>IF(+All!#REF!="Michigan",+All!#REF!,IF(+All!#REF!="Michigan",+All!#REF!,0))</f>
        <v>#REF!</v>
      </c>
      <c r="M68" s="55" t="e">
        <f>IF(+All!#REF!="Michigan",+All!#REF!,IF(+All!#REF!="Michigan",+All!#REF!,0))</f>
        <v>#REF!</v>
      </c>
      <c r="N68" s="460" t="e">
        <f>IF(+All!#REF!="Michigan",+All!#REF!,IF(+All!#REF!="Michigan",+All!#REF!,0))</f>
        <v>#REF!</v>
      </c>
      <c r="O68" s="462" t="e">
        <f>IF(+All!#REF!="Michigan",+All!#REF!,IF(+All!#REF!="Michigan",+All!#REF!,0))</f>
        <v>#REF!</v>
      </c>
      <c r="P68" s="462" t="e">
        <f>IF(+All!#REF!="Michigan",+All!#REF!,IF(+All!#REF!="Michigan",+All!#REF!,0))</f>
        <v>#REF!</v>
      </c>
      <c r="Q68" s="461" t="e">
        <f>IF(+All!#REF!="Michigan",+All!#REF!,IF(+All!#REF!="Michigan",+All!#REF!,0))</f>
        <v>#REF!</v>
      </c>
      <c r="R68" s="460" t="e">
        <f>IF(+All!#REF!="Michigan",+All!#REF!,IF(+All!#REF!="Michigan",+All!#REF!,0))</f>
        <v>#REF!</v>
      </c>
      <c r="S68" s="462" t="e">
        <f>IF(+All!#REF!="Michigan",+All!#REF!,IF(+All!#REF!="Michigan",+All!#REF!,0))</f>
        <v>#REF!</v>
      </c>
      <c r="T68" s="460" t="e">
        <f>IF(+All!#REF!="Michigan",+All!#REF!,IF(+All!#REF!="Michigan",+All!#REF!,0))</f>
        <v>#REF!</v>
      </c>
      <c r="U68" s="461" t="e">
        <f>IF(+All!#REF!="Michigan",+All!#REF!,IF(+All!#REF!="Michigan",+All!#REF!,0))</f>
        <v>#REF!</v>
      </c>
    </row>
    <row r="69" spans="1:21" x14ac:dyDescent="0.8">
      <c r="A69" s="46">
        <f>IF(+All!$F560="Michigan",+All!A560,IF(+All!$H560="Michigan",+All!A560,0))</f>
        <v>9</v>
      </c>
      <c r="B69" s="348" t="str">
        <f>IF(+All!$F560="Michigan",+All!B560,IF(+All!$H560="Michigan",+All!B560,0))</f>
        <v>Sat</v>
      </c>
      <c r="C69" s="48">
        <f>IF(+All!$F560="Michigan",+All!C560,IF(+All!$H560="Michigan",+All!C560,0))</f>
        <v>44863</v>
      </c>
      <c r="D69" s="490">
        <f>IF(+All!$F560="Michigan",+All!D560,IF(+All!$H560="Michigan",+All!D560,0))</f>
        <v>0.8125</v>
      </c>
      <c r="E69" s="461" t="str">
        <f>IF(+All!$F560="Michigan",+All!E560,IF(+All!$H560="Michigan",+All!E560,0))</f>
        <v>ABC</v>
      </c>
      <c r="F69" s="51" t="str">
        <f>IF(+All!$F560="Michigan",+All!F560,IF(+All!$H560="Michigan",+All!F560,0))</f>
        <v>Michigan State</v>
      </c>
      <c r="G69" s="52" t="str">
        <f>IF(+All!$F560="Michigan",+All!G560,IF(+All!$H560="Michigan",+All!G560,0))</f>
        <v>B10</v>
      </c>
      <c r="H69" s="51" t="str">
        <f>IF(+All!$F560="Michigan",+All!H560,IF(+All!$H560="Michigan",+All!H560,0))</f>
        <v>Michigan</v>
      </c>
      <c r="I69" s="52" t="str">
        <f>IF(+All!$F560="Michigan",+All!I560,IF(+All!$H560="Michigan",+All!I560,0))</f>
        <v>B10</v>
      </c>
      <c r="J69" s="460" t="str">
        <f>IF(+All!$F560="Michigan",+All!J560,IF(+All!$H560="Michigan",+All!J560,0))</f>
        <v>Michigan</v>
      </c>
      <c r="K69" s="461" t="str">
        <f>IF(+All!$F560="Michigan",+All!K560,IF(+All!$H560="Michigan",+All!K560,0))</f>
        <v>Michigan State</v>
      </c>
      <c r="L69" s="54">
        <f>IF(+All!$F560="Michigan",+All!L560,IF(+All!$H560="Michigan",+All!L560,0))</f>
        <v>21.5</v>
      </c>
      <c r="M69" s="55">
        <f>IF(+All!$F560="Michigan",+All!M560,IF(+All!$H560="Michigan",+All!M560,0))</f>
        <v>54.5</v>
      </c>
      <c r="N69" s="460" t="str">
        <f>IF(+All!$F560="Michigan",+All!N560,IF(+All!$H560="Michigan",+All!N560,0))</f>
        <v>Michigan</v>
      </c>
      <c r="O69" s="462">
        <f>IF(+All!$F560="Michigan",+All!O560,IF(+All!$H560="Michigan",+All!O560,0))</f>
        <v>29</v>
      </c>
      <c r="P69" s="462" t="str">
        <f>IF(+All!$F560="Michigan",+All!P560,IF(+All!$H560="Michigan",+All!P560,0))</f>
        <v>Michigan State</v>
      </c>
      <c r="Q69" s="461">
        <f>IF(+All!$F560="Michigan",+All!Q560,IF(+All!$H560="Michigan",+All!Q560,0))</f>
        <v>7</v>
      </c>
      <c r="R69" s="460" t="str">
        <f>IF(+All!$F560="Michigan",+All!R560,IF(+All!$H560="Michigan",+All!R560,0))</f>
        <v>Michigan</v>
      </c>
      <c r="S69" s="462" t="str">
        <f>IF(+All!$F560="Michigan",+All!S560,IF(+All!$H560="Michigan",+All!S560,0))</f>
        <v>Michigan State</v>
      </c>
      <c r="T69" s="460" t="str">
        <f>IF(+All!$F560="Michigan",+All!T560,IF(+All!$H560="Michigan",+All!T560,0))</f>
        <v>Michigan State</v>
      </c>
      <c r="U69" s="461" t="str">
        <f>IF(+All!$F560="Michigan",+All!U560,IF(+All!$H560="Michigan",+All!U560,0))</f>
        <v>L</v>
      </c>
    </row>
    <row r="70" spans="1:21" x14ac:dyDescent="0.8">
      <c r="A70" s="46">
        <f>IF(+All!$F618="Michigan",+All!A618,IF(+All!$H618="Michigan",+All!A618,0))</f>
        <v>10</v>
      </c>
      <c r="B70" s="348" t="str">
        <f>IF(+All!$F618="Michigan",+All!B618,IF(+All!$H618="Michigan",+All!B618,0))</f>
        <v>Sat</v>
      </c>
      <c r="C70" s="48">
        <f>IF(+All!$F618="Michigan",+All!C618,IF(+All!$H618="Michigan",+All!C618,0))</f>
        <v>44870</v>
      </c>
      <c r="D70" s="490">
        <f>IF(+All!$F618="Michigan",+All!D618,IF(+All!$H618="Michigan",+All!D618,0))</f>
        <v>0.8125</v>
      </c>
      <c r="E70" s="461" t="str">
        <f>IF(+All!$F618="Michigan",+All!E618,IF(+All!$H618="Michigan",+All!E618,0))</f>
        <v>BTN</v>
      </c>
      <c r="F70" s="51" t="str">
        <f>IF(+All!$F618="Michigan",+All!F618,IF(+All!$H618="Michigan",+All!F618,0))</f>
        <v>Michigan</v>
      </c>
      <c r="G70" s="52" t="str">
        <f>IF(+All!$F618="Michigan",+All!G618,IF(+All!$H618="Michigan",+All!G618,0))</f>
        <v>B10</v>
      </c>
      <c r="H70" s="51" t="str">
        <f>IF(+All!$F618="Michigan",+All!H618,IF(+All!$H618="Michigan",+All!H618,0))</f>
        <v>Rutgers</v>
      </c>
      <c r="I70" s="52" t="str">
        <f>IF(+All!$F618="Michigan",+All!I618,IF(+All!$H618="Michigan",+All!I618,0))</f>
        <v>B10</v>
      </c>
      <c r="J70" s="460" t="str">
        <f>IF(+All!$F618="Michigan",+All!J618,IF(+All!$H618="Michigan",+All!J618,0))</f>
        <v>Michigan</v>
      </c>
      <c r="K70" s="461" t="str">
        <f>IF(+All!$F618="Michigan",+All!K618,IF(+All!$H618="Michigan",+All!K618,0))</f>
        <v>Rutgers</v>
      </c>
      <c r="L70" s="54">
        <f>IF(+All!$F618="Michigan",+All!L618,IF(+All!$H618="Michigan",+All!L618,0))</f>
        <v>26</v>
      </c>
      <c r="M70" s="55">
        <f>IF(+All!$F618="Michigan",+All!M618,IF(+All!$H618="Michigan",+All!M618,0))</f>
        <v>45.5</v>
      </c>
      <c r="N70" s="460" t="str">
        <f>IF(+All!$F618="Michigan",+All!N618,IF(+All!$H618="Michigan",+All!N618,0))</f>
        <v>Michigan</v>
      </c>
      <c r="O70" s="462">
        <f>IF(+All!$F618="Michigan",+All!O618,IF(+All!$H618="Michigan",+All!O618,0))</f>
        <v>52</v>
      </c>
      <c r="P70" s="462" t="str">
        <f>IF(+All!$F618="Michigan",+All!P618,IF(+All!$H618="Michigan",+All!P618,0))</f>
        <v>Rutgers</v>
      </c>
      <c r="Q70" s="461">
        <f>IF(+All!$F618="Michigan",+All!Q618,IF(+All!$H618="Michigan",+All!Q618,0))</f>
        <v>17</v>
      </c>
      <c r="R70" s="460" t="str">
        <f>IF(+All!$F618="Michigan",+All!R618,IF(+All!$H618="Michigan",+All!R618,0))</f>
        <v>Michigan</v>
      </c>
      <c r="S70" s="462" t="str">
        <f>IF(+All!$F618="Michigan",+All!S618,IF(+All!$H618="Michigan",+All!S618,0))</f>
        <v>Rutgers</v>
      </c>
      <c r="T70" s="460" t="str">
        <f>IF(+All!$F618="Michigan",+All!T618,IF(+All!$H618="Michigan",+All!T618,0))</f>
        <v>Rutgers</v>
      </c>
      <c r="U70" s="461" t="str">
        <f>IF(+All!$F618="Michigan",+All!U618,IF(+All!$H618="Michigan",+All!U618,0))</f>
        <v>L</v>
      </c>
    </row>
    <row r="71" spans="1:21" x14ac:dyDescent="0.8">
      <c r="A71" s="46">
        <f>IF(+All!$F677="Michigan",+All!A677,IF(+All!$H677="Michigan",+All!A677,0))</f>
        <v>11</v>
      </c>
      <c r="B71" s="348" t="str">
        <f>IF(+All!$F677="Michigan",+All!B677,IF(+All!$H677="Michigan",+All!B677,0))</f>
        <v>Sat</v>
      </c>
      <c r="C71" s="48">
        <f>IF(+All!$F677="Michigan",+All!C677,IF(+All!$H677="Michigan",+All!C677,0))</f>
        <v>44877</v>
      </c>
      <c r="D71" s="490">
        <f>IF(+All!$F677="Michigan",+All!D677,IF(+All!$H677="Michigan",+All!D677,0))</f>
        <v>0.64583333333333337</v>
      </c>
      <c r="E71" s="461" t="str">
        <f>IF(+All!$F677="Michigan",+All!E677,IF(+All!$H677="Michigan",+All!E677,0))</f>
        <v>ABC</v>
      </c>
      <c r="F71" s="51" t="str">
        <f>IF(+All!$F677="Michigan",+All!F677,IF(+All!$H677="Michigan",+All!F677,0))</f>
        <v>Nebraska</v>
      </c>
      <c r="G71" s="52" t="str">
        <f>IF(+All!$F677="Michigan",+All!G677,IF(+All!$H677="Michigan",+All!G677,0))</f>
        <v>B10</v>
      </c>
      <c r="H71" s="51" t="str">
        <f>IF(+All!$F677="Michigan",+All!H677,IF(+All!$H677="Michigan",+All!H677,0))</f>
        <v>Michigan</v>
      </c>
      <c r="I71" s="52" t="str">
        <f>IF(+All!$F677="Michigan",+All!I677,IF(+All!$H677="Michigan",+All!I677,0))</f>
        <v>B10</v>
      </c>
      <c r="J71" s="460" t="str">
        <f>IF(+All!$F677="Michigan",+All!J677,IF(+All!$H677="Michigan",+All!J677,0))</f>
        <v>Michigan</v>
      </c>
      <c r="K71" s="461" t="str">
        <f>IF(+All!$F677="Michigan",+All!K677,IF(+All!$H677="Michigan",+All!K677,0))</f>
        <v>Nebraska</v>
      </c>
      <c r="L71" s="54">
        <f>IF(+All!$F677="Michigan",+All!L677,IF(+All!$H677="Michigan",+All!L677,0))</f>
        <v>29.5</v>
      </c>
      <c r="M71" s="55">
        <f>IF(+All!$F677="Michigan",+All!M677,IF(+All!$H677="Michigan",+All!M677,0))</f>
        <v>49</v>
      </c>
      <c r="N71" s="460" t="str">
        <f>IF(+All!$F677="Michigan",+All!N677,IF(+All!$H677="Michigan",+All!N677,0))</f>
        <v>Michigan</v>
      </c>
      <c r="O71" s="462">
        <f>IF(+All!$F677="Michigan",+All!O677,IF(+All!$H677="Michigan",+All!O677,0))</f>
        <v>34</v>
      </c>
      <c r="P71" s="462" t="str">
        <f>IF(+All!$F677="Michigan",+All!P677,IF(+All!$H677="Michigan",+All!P677,0))</f>
        <v>Nebraska</v>
      </c>
      <c r="Q71" s="461">
        <f>IF(+All!$F677="Michigan",+All!Q677,IF(+All!$H677="Michigan",+All!Q677,0))</f>
        <v>3</v>
      </c>
      <c r="R71" s="460" t="str">
        <f>IF(+All!$F677="Michigan",+All!R677,IF(+All!$H677="Michigan",+All!R677,0))</f>
        <v>Michigan</v>
      </c>
      <c r="S71" s="462" t="str">
        <f>IF(+All!$F677="Michigan",+All!S677,IF(+All!$H677="Michigan",+All!S677,0))</f>
        <v>Nebraska</v>
      </c>
      <c r="T71" s="460" t="str">
        <f>IF(+All!$F677="Michigan",+All!T677,IF(+All!$H677="Michigan",+All!T677,0))</f>
        <v>Nebraska</v>
      </c>
      <c r="U71" s="461" t="str">
        <f>IF(+All!$F677="Michigan",+All!U677,IF(+All!$H677="Michigan",+All!U677,0))</f>
        <v>L</v>
      </c>
    </row>
    <row r="72" spans="1:21" x14ac:dyDescent="0.8">
      <c r="A72" s="46">
        <f>IF(+All!$F738="Michigan",+All!A738,IF(+All!$H738="Michigan",+All!A738,0))</f>
        <v>12</v>
      </c>
      <c r="B72" s="348" t="str">
        <f>IF(+All!$F738="Michigan",+All!B738,IF(+All!$H738="Michigan",+All!B738,0))</f>
        <v>Sat</v>
      </c>
      <c r="C72" s="48">
        <f>IF(+All!$F738="Michigan",+All!C738,IF(+All!$H738="Michigan",+All!C738,0))</f>
        <v>44884</v>
      </c>
      <c r="D72" s="490">
        <f>IF(+All!$F738="Michigan",+All!D738,IF(+All!$H738="Michigan",+All!D738,0))</f>
        <v>0.5</v>
      </c>
      <c r="E72" s="461" t="str">
        <f>IF(+All!$F738="Michigan",+All!E738,IF(+All!$H738="Michigan",+All!E738,0))</f>
        <v>ABC</v>
      </c>
      <c r="F72" s="51" t="str">
        <f>IF(+All!$F738="Michigan",+All!F738,IF(+All!$H738="Michigan",+All!F738,0))</f>
        <v>Illinois</v>
      </c>
      <c r="G72" s="52" t="str">
        <f>IF(+All!$F738="Michigan",+All!G738,IF(+All!$H738="Michigan",+All!G738,0))</f>
        <v>B10</v>
      </c>
      <c r="H72" s="51" t="str">
        <f>IF(+All!$F738="Michigan",+All!H738,IF(+All!$H738="Michigan",+All!H738,0))</f>
        <v>Michigan</v>
      </c>
      <c r="I72" s="52" t="str">
        <f>IF(+All!$F738="Michigan",+All!I738,IF(+All!$H738="Michigan",+All!I738,0))</f>
        <v>B10</v>
      </c>
      <c r="J72" s="460" t="str">
        <f>IF(+All!$F738="Michigan",+All!J738,IF(+All!$H738="Michigan",+All!J738,0))</f>
        <v>Michigan</v>
      </c>
      <c r="K72" s="461" t="str">
        <f>IF(+All!$F738="Michigan",+All!K738,IF(+All!$H738="Michigan",+All!K738,0))</f>
        <v>Illinois</v>
      </c>
      <c r="L72" s="54">
        <f>IF(+All!$F738="Michigan",+All!L738,IF(+All!$H738="Michigan",+All!L738,0))</f>
        <v>18</v>
      </c>
      <c r="M72" s="55">
        <f>IF(+All!$F738="Michigan",+All!M738,IF(+All!$H738="Michigan",+All!M738,0))</f>
        <v>42</v>
      </c>
      <c r="N72" s="460" t="str">
        <f>IF(+All!$F738="Michigan",+All!N738,IF(+All!$H738="Michigan",+All!N738,0))</f>
        <v>Michigan</v>
      </c>
      <c r="O72" s="462">
        <f>IF(+All!$F738="Michigan",+All!O738,IF(+All!$H738="Michigan",+All!O738,0))</f>
        <v>19</v>
      </c>
      <c r="P72" s="462" t="str">
        <f>IF(+All!$F738="Michigan",+All!P738,IF(+All!$H738="Michigan",+All!P738,0))</f>
        <v>Illinois</v>
      </c>
      <c r="Q72" s="461">
        <f>IF(+All!$F738="Michigan",+All!Q738,IF(+All!$H738="Michigan",+All!Q738,0))</f>
        <v>17</v>
      </c>
      <c r="R72" s="460" t="str">
        <f>IF(+All!$F738="Michigan",+All!R738,IF(+All!$H738="Michigan",+All!R738,0))</f>
        <v>Illinois</v>
      </c>
      <c r="S72" s="462" t="str">
        <f>IF(+All!$F738="Michigan",+All!S738,IF(+All!$H738="Michigan",+All!S738,0))</f>
        <v>Michigan</v>
      </c>
      <c r="T72" s="460" t="str">
        <f>IF(+All!$F738="Michigan",+All!T738,IF(+All!$H738="Michigan",+All!T738,0))</f>
        <v>Illinois</v>
      </c>
      <c r="U72" s="461" t="str">
        <f>IF(+All!$F738="Michigan",+All!U738,IF(+All!$H738="Michigan",+All!U738,0))</f>
        <v>W</v>
      </c>
    </row>
    <row r="73" spans="1:21" x14ac:dyDescent="0.8">
      <c r="A73" s="46">
        <f>IF(+All!$F811="Michigan",+All!A811,IF(+All!$H811="Michigan",+All!A811,0))</f>
        <v>13</v>
      </c>
      <c r="B73" s="348" t="str">
        <f>IF(+All!$F811="Michigan",+All!B811,IF(+All!$H811="Michigan",+All!B811,0))</f>
        <v>Sat</v>
      </c>
      <c r="C73" s="48">
        <f>IF(+All!$F811="Michigan",+All!C811,IF(+All!$H811="Michigan",+All!C811,0))</f>
        <v>44891</v>
      </c>
      <c r="D73" s="490">
        <f>IF(+All!$F811="Michigan",+All!D811,IF(+All!$H811="Michigan",+All!D811,0))</f>
        <v>0.5</v>
      </c>
      <c r="E73" s="461" t="str">
        <f>IF(+All!$F811="Michigan",+All!E811,IF(+All!$H811="Michigan",+All!E811,0))</f>
        <v>ABC</v>
      </c>
      <c r="F73" s="51" t="str">
        <f>IF(+All!$F811="Michigan",+All!F811,IF(+All!$H811="Michigan",+All!F811,0))</f>
        <v>Michigan</v>
      </c>
      <c r="G73" s="52" t="str">
        <f>IF(+All!$F811="Michigan",+All!G811,IF(+All!$H811="Michigan",+All!G811,0))</f>
        <v>B10</v>
      </c>
      <c r="H73" s="51" t="str">
        <f>IF(+All!$F811="Michigan",+All!H811,IF(+All!$H811="Michigan",+All!H811,0))</f>
        <v>Ohio State</v>
      </c>
      <c r="I73" s="52" t="str">
        <f>IF(+All!$F811="Michigan",+All!I811,IF(+All!$H811="Michigan",+All!I811,0))</f>
        <v>B10</v>
      </c>
      <c r="J73" s="460" t="str">
        <f>IF(+All!$F811="Michigan",+All!J811,IF(+All!$H811="Michigan",+All!J811,0))</f>
        <v>Ohio State</v>
      </c>
      <c r="K73" s="461" t="str">
        <f>IF(+All!$F811="Michigan",+All!K811,IF(+All!$H811="Michigan",+All!K811,0))</f>
        <v>Michigan</v>
      </c>
      <c r="L73" s="54">
        <f>IF(+All!$F811="Michigan",+All!L811,IF(+All!$H811="Michigan",+All!L811,0))</f>
        <v>8</v>
      </c>
      <c r="M73" s="55">
        <f>IF(+All!$F811="Michigan",+All!M811,IF(+All!$H811="Michigan",+All!M811,0))</f>
        <v>55.5</v>
      </c>
      <c r="N73" s="460" t="str">
        <f>IF(+All!$F811="Michigan",+All!N811,IF(+All!$H811="Michigan",+All!N811,0))</f>
        <v>Michigan</v>
      </c>
      <c r="O73" s="462">
        <f>IF(+All!$F811="Michigan",+All!O811,IF(+All!$H811="Michigan",+All!O811,0))</f>
        <v>45</v>
      </c>
      <c r="P73" s="462" t="str">
        <f>IF(+All!$F811="Michigan",+All!P811,IF(+All!$H811="Michigan",+All!P811,0))</f>
        <v>Ohio State</v>
      </c>
      <c r="Q73" s="461">
        <f>IF(+All!$F811="Michigan",+All!Q811,IF(+All!$H811="Michigan",+All!Q811,0))</f>
        <v>23</v>
      </c>
      <c r="R73" s="460" t="str">
        <f>IF(+All!$F811="Michigan",+All!R811,IF(+All!$H811="Michigan",+All!R811,0))</f>
        <v>Michigan</v>
      </c>
      <c r="S73" s="462" t="str">
        <f>IF(+All!$F811="Michigan",+All!S811,IF(+All!$H811="Michigan",+All!S811,0))</f>
        <v>Ohio State</v>
      </c>
      <c r="T73" s="460" t="str">
        <f>IF(+All!$F811="Michigan",+All!T811,IF(+All!$H811="Michigan",+All!T811,0))</f>
        <v>Ohio State</v>
      </c>
      <c r="U73" s="461" t="str">
        <f>IF(+All!$F811="Michigan",+All!U811,IF(+All!$H811="Michigan",+All!U811,0))</f>
        <v>L</v>
      </c>
    </row>
    <row r="74" spans="1:21" x14ac:dyDescent="0.8">
      <c r="A74" s="38"/>
      <c r="B74" s="39"/>
      <c r="C74" s="40"/>
      <c r="D74" s="41"/>
      <c r="E74" s="463"/>
      <c r="F74" s="897" t="str">
        <f>H76</f>
        <v>Michigan State</v>
      </c>
      <c r="G74" s="903"/>
      <c r="H74" s="903"/>
      <c r="I74" s="904"/>
      <c r="J74" s="459"/>
      <c r="K74" s="463"/>
      <c r="L74" s="44"/>
      <c r="M74" s="45"/>
      <c r="N74" s="459"/>
      <c r="O74" s="5"/>
      <c r="P74" s="5"/>
      <c r="Q74" s="463"/>
      <c r="R74" s="459"/>
      <c r="S74" s="5"/>
      <c r="T74" s="459"/>
      <c r="U74" s="463"/>
    </row>
    <row r="75" spans="1:21" x14ac:dyDescent="0.8">
      <c r="A75" s="46">
        <f>IF(+All!$F23="Michigan State",+All!A23,IF(+All!$H23="Michigan State",+All!A23,0))</f>
        <v>1</v>
      </c>
      <c r="B75" s="348" t="str">
        <f>IF(+All!$F23="Michigan State",+All!B23,IF(+All!$H23="Michigan State",+All!B23,0))</f>
        <v>Fri</v>
      </c>
      <c r="C75" s="48">
        <f>IF(+All!$F23="Michigan State",+All!C23,IF(+All!$H23="Michigan State",+All!C23,0))</f>
        <v>44806</v>
      </c>
      <c r="D75" s="490">
        <f>IF(+All!$F23="Michigan State",+All!D23,IF(+All!$H23="Michigan State",+All!D23,0))</f>
        <v>0.79166666666666663</v>
      </c>
      <c r="E75" s="461" t="str">
        <f>IF(+All!$F23="Michigan State",+All!E23,IF(+All!$H23="Michigan State",+All!E23,0))</f>
        <v>ESPN</v>
      </c>
      <c r="F75" s="51" t="str">
        <f>IF(+All!$F23="Michigan State",+All!F23,IF(+All!$H23="Michigan State",+All!F23,0))</f>
        <v>Western Michigan</v>
      </c>
      <c r="G75" s="52" t="str">
        <f>IF(+All!$F23="Michigan State",+All!G23,IF(+All!$H23="Michigan State",+All!G23,0))</f>
        <v>MAC</v>
      </c>
      <c r="H75" s="51" t="str">
        <f>IF(+All!$F23="Michigan State",+All!H23,IF(+All!$H23="Michigan State",+All!H23,0))</f>
        <v>Michigan State</v>
      </c>
      <c r="I75" s="52" t="str">
        <f>IF(+All!$F23="Michigan State",+All!I23,IF(+All!$H23="Michigan State",+All!I23,0))</f>
        <v>B10</v>
      </c>
      <c r="J75" s="460" t="str">
        <f>IF(+All!$F23="Michigan State",+All!J23,IF(+All!$H23="Michigan State",+All!J23,0))</f>
        <v>Michigan State</v>
      </c>
      <c r="K75" s="461" t="str">
        <f>IF(+All!$F23="Michigan State",+All!K23,IF(+All!$H23="Michigan State",+All!K23,0))</f>
        <v>Western Michigan</v>
      </c>
      <c r="L75" s="54">
        <f>IF(+All!$F23="Michigan State",+All!L23,IF(+All!$H23="Michigan State",+All!L23,0))</f>
        <v>22.5</v>
      </c>
      <c r="M75" s="55">
        <f>IF(+All!$F23="Michigan State",+All!M23,IF(+All!$H23="Michigan State",+All!M23,0))</f>
        <v>54</v>
      </c>
      <c r="N75" s="460" t="str">
        <f>IF(+All!$F23="Michigan State",+All!N23,IF(+All!$H23="Michigan State",+All!N23,0))</f>
        <v>Michigan State</v>
      </c>
      <c r="O75" s="462">
        <f>IF(+All!$F23="Michigan State",+All!O23,IF(+All!$H23="Michigan State",+All!O23,0))</f>
        <v>35</v>
      </c>
      <c r="P75" s="462" t="str">
        <f>IF(+All!$F23="Michigan State",+All!P23,IF(+All!$H23="Michigan State",+All!P23,0))</f>
        <v>Western Michigan</v>
      </c>
      <c r="Q75" s="461">
        <f>IF(+All!$F23="Michigan State",+All!Q23,IF(+All!$H23="Michigan State",+All!Q23,0))</f>
        <v>13</v>
      </c>
      <c r="R75" s="460" t="str">
        <f>IF(+All!$F23="Michigan State",+All!R23,IF(+All!$H23="Michigan State",+All!R23,0))</f>
        <v>Western Michigan</v>
      </c>
      <c r="S75" s="462" t="str">
        <f>IF(+All!$F23="Michigan State",+All!S23,IF(+All!$H23="Michigan State",+All!S23,0))</f>
        <v>Michigan State</v>
      </c>
      <c r="T75" s="460" t="str">
        <f>IF(+All!$F23="Michigan State",+All!T23,IF(+All!$H23="Michigan State",+All!T23,0))</f>
        <v>Michigan State</v>
      </c>
      <c r="U75" s="461" t="str">
        <f>IF(+All!$F23="Michigan State",+All!U23,IF(+All!$H23="Michigan State",+All!U23,0))</f>
        <v>L</v>
      </c>
    </row>
    <row r="76" spans="1:21" x14ac:dyDescent="0.8">
      <c r="A76" s="46">
        <f>IF(+All!$F118="Michigan State",+All!A118,IF(+All!$H118="Michigan State",+All!A118,0))</f>
        <v>2</v>
      </c>
      <c r="B76" s="348" t="str">
        <f>IF(+All!$F118="Michigan State",+All!B118,IF(+All!$H118="Michigan State",+All!B118,0))</f>
        <v>Sat</v>
      </c>
      <c r="C76" s="48">
        <f>IF(+All!$F118="Michigan State",+All!C118,IF(+All!$H118="Michigan State",+All!C118,0))</f>
        <v>44814</v>
      </c>
      <c r="D76" s="490">
        <f>IF(+All!$F118="Michigan State",+All!D118,IF(+All!$H118="Michigan State",+All!D118,0))</f>
        <v>0.66666666666666663</v>
      </c>
      <c r="E76" s="461" t="str">
        <f>IF(+All!$F118="Michigan State",+All!E118,IF(+All!$H118="Michigan State",+All!E118,0))</f>
        <v>BTN</v>
      </c>
      <c r="F76" s="51" t="str">
        <f>IF(+All!$F118="Michigan State",+All!F118,IF(+All!$H118="Michigan State",+All!F118,0))</f>
        <v>Akron</v>
      </c>
      <c r="G76" s="52" t="str">
        <f>IF(+All!$F118="Michigan State",+All!G118,IF(+All!$H118="Michigan State",+All!G118,0))</f>
        <v>MAC</v>
      </c>
      <c r="H76" s="51" t="str">
        <f>IF(+All!$F118="Michigan State",+All!H118,IF(+All!$H118="Michigan State",+All!H118,0))</f>
        <v>Michigan State</v>
      </c>
      <c r="I76" s="52" t="str">
        <f>IF(+All!$F118="Michigan State",+All!I118,IF(+All!$H118="Michigan State",+All!I118,0))</f>
        <v>B10</v>
      </c>
      <c r="J76" s="460" t="str">
        <f>IF(+All!$F118="Michigan State",+All!J118,IF(+All!$H118="Michigan State",+All!J118,0))</f>
        <v>Michigan State</v>
      </c>
      <c r="K76" s="461" t="str">
        <f>IF(+All!$F118="Michigan State",+All!K118,IF(+All!$H118="Michigan State",+All!K118,0))</f>
        <v>Akron</v>
      </c>
      <c r="L76" s="54">
        <f>IF(+All!$F118="Michigan State",+All!L118,IF(+All!$H118="Michigan State",+All!L118,0))</f>
        <v>34</v>
      </c>
      <c r="M76" s="55">
        <f>IF(+All!$F118="Michigan State",+All!M118,IF(+All!$H118="Michigan State",+All!M118,0))</f>
        <v>56</v>
      </c>
      <c r="N76" s="460" t="str">
        <f>IF(+All!$F118="Michigan State",+All!N118,IF(+All!$H118="Michigan State",+All!N118,0))</f>
        <v>Michigan State</v>
      </c>
      <c r="O76" s="462">
        <f>IF(+All!$F118="Michigan State",+All!O118,IF(+All!$H118="Michigan State",+All!O118,0))</f>
        <v>52</v>
      </c>
      <c r="P76" s="462" t="str">
        <f>IF(+All!$F118="Michigan State",+All!P118,IF(+All!$H118="Michigan State",+All!P118,0))</f>
        <v>Akron</v>
      </c>
      <c r="Q76" s="461">
        <f>IF(+All!$F118="Michigan State",+All!Q118,IF(+All!$H118="Michigan State",+All!Q118,0))</f>
        <v>0</v>
      </c>
      <c r="R76" s="460" t="str">
        <f>IF(+All!$F118="Michigan State",+All!R118,IF(+All!$H118="Michigan State",+All!R118,0))</f>
        <v>Michigan State</v>
      </c>
      <c r="S76" s="462" t="str">
        <f>IF(+All!$F118="Michigan State",+All!S118,IF(+All!$H118="Michigan State",+All!S118,0))</f>
        <v>Akron</v>
      </c>
      <c r="T76" s="460" t="str">
        <f>IF(+All!$F118="Michigan State",+All!T118,IF(+All!$H118="Michigan State",+All!T118,0))</f>
        <v>Michigan State</v>
      </c>
      <c r="U76" s="461" t="str">
        <f>IF(+All!$F118="Michigan State",+All!U118,IF(+All!$H118="Michigan State",+All!U118,0))</f>
        <v>W</v>
      </c>
    </row>
    <row r="77" spans="1:21" x14ac:dyDescent="0.8">
      <c r="A77" s="46">
        <f>IF(+All!$F236="Michigan State",+All!A236,IF(+All!$H236="Michigan State",+All!A236,0))</f>
        <v>3</v>
      </c>
      <c r="B77" s="348" t="str">
        <f>IF(+All!$F236="Michigan State",+All!B236,IF(+All!$H236="Michigan State",+All!B236,0))</f>
        <v>Sat</v>
      </c>
      <c r="C77" s="48">
        <f>IF(+All!$F236="Michigan State",+All!C236,IF(+All!$H236="Michigan State",+All!C236,0))</f>
        <v>44821</v>
      </c>
      <c r="D77" s="490">
        <f>IF(+All!$F236="Michigan State",+All!D236,IF(+All!$H236="Michigan State",+All!D236,0))</f>
        <v>0.8125</v>
      </c>
      <c r="E77" s="461" t="str">
        <f>IF(+All!$F236="Michigan State",+All!E236,IF(+All!$H236="Michigan State",+All!E236,0))</f>
        <v>ABC</v>
      </c>
      <c r="F77" s="51" t="str">
        <f>IF(+All!$F236="Michigan State",+All!F236,IF(+All!$H236="Michigan State",+All!F236,0))</f>
        <v>Michigan State</v>
      </c>
      <c r="G77" s="52" t="str">
        <f>IF(+All!$F236="Michigan State",+All!G236,IF(+All!$H236="Michigan State",+All!G236,0))</f>
        <v>B10</v>
      </c>
      <c r="H77" s="51" t="str">
        <f>IF(+All!$F236="Michigan State",+All!H236,IF(+All!$H236="Michigan State",+All!H236,0))</f>
        <v>Washington</v>
      </c>
      <c r="I77" s="52" t="str">
        <f>IF(+All!$F236="Michigan State",+All!I236,IF(+All!$H236="Michigan State",+All!I236,0))</f>
        <v>P12</v>
      </c>
      <c r="J77" s="460" t="str">
        <f>IF(+All!$F236="Michigan State",+All!J236,IF(+All!$H236="Michigan State",+All!J236,0))</f>
        <v>Washington</v>
      </c>
      <c r="K77" s="461" t="str">
        <f>IF(+All!$F236="Michigan State",+All!K236,IF(+All!$H236="Michigan State",+All!K236,0))</f>
        <v>Michigan State</v>
      </c>
      <c r="L77" s="54">
        <f>IF(+All!$F236="Michigan State",+All!L236,IF(+All!$H236="Michigan State",+All!L236,0))</f>
        <v>3</v>
      </c>
      <c r="M77" s="55">
        <f>IF(+All!$F236="Michigan State",+All!M236,IF(+All!$H236="Michigan State",+All!M236,0))</f>
        <v>56.5</v>
      </c>
      <c r="N77" s="460" t="str">
        <f>IF(+All!$F236="Michigan State",+All!N236,IF(+All!$H236="Michigan State",+All!N236,0))</f>
        <v>Washington</v>
      </c>
      <c r="O77" s="462">
        <f>IF(+All!$F236="Michigan State",+All!O236,IF(+All!$H236="Michigan State",+All!O236,0))</f>
        <v>39</v>
      </c>
      <c r="P77" s="462" t="str">
        <f>IF(+All!$F236="Michigan State",+All!P236,IF(+All!$H236="Michigan State",+All!P236,0))</f>
        <v>Michigan State</v>
      </c>
      <c r="Q77" s="461">
        <f>IF(+All!$F236="Michigan State",+All!Q236,IF(+All!$H236="Michigan State",+All!Q236,0))</f>
        <v>28</v>
      </c>
      <c r="R77" s="460" t="str">
        <f>IF(+All!$F236="Michigan State",+All!R236,IF(+All!$H236="Michigan State",+All!R236,0))</f>
        <v>Washington</v>
      </c>
      <c r="S77" s="462" t="str">
        <f>IF(+All!$F236="Michigan State",+All!S236,IF(+All!$H236="Michigan State",+All!S236,0))</f>
        <v>Michigan State</v>
      </c>
      <c r="T77" s="460" t="str">
        <f>IF(+All!$F236="Michigan State",+All!T236,IF(+All!$H236="Michigan State",+All!T236,0))</f>
        <v>Michigan State</v>
      </c>
      <c r="U77" s="461" t="str">
        <f>IF(+All!$F236="Michigan State",+All!U236,IF(+All!$H236="Michigan State",+All!U236,0))</f>
        <v>L</v>
      </c>
    </row>
    <row r="78" spans="1:21" x14ac:dyDescent="0.8">
      <c r="A78" s="46">
        <f>IF(+All!$F274="Michigan State",+All!A274,IF(+All!$H274="Michigan State",+All!A274,0))</f>
        <v>4</v>
      </c>
      <c r="B78" s="348" t="str">
        <f>IF(+All!$F274="Michigan State",+All!B274,IF(+All!$H274="Michigan State",+All!B274,0))</f>
        <v>Sat</v>
      </c>
      <c r="C78" s="48">
        <f>IF(+All!$F274="Michigan State",+All!C274,IF(+All!$H274="Michigan State",+All!C274,0))</f>
        <v>44828</v>
      </c>
      <c r="D78" s="490">
        <f>IF(+All!$F274="Michigan State",+All!D274,IF(+All!$H274="Michigan State",+All!D274,0))</f>
        <v>0.64583333333333337</v>
      </c>
      <c r="E78" s="461" t="str">
        <f>IF(+All!$F274="Michigan State",+All!E274,IF(+All!$H274="Michigan State",+All!E274,0))</f>
        <v>BTN</v>
      </c>
      <c r="F78" s="51" t="str">
        <f>IF(+All!$F274="Michigan State",+All!F274,IF(+All!$H274="Michigan State",+All!F274,0))</f>
        <v>Minnesota</v>
      </c>
      <c r="G78" s="52" t="str">
        <f>IF(+All!$F274="Michigan State",+All!G274,IF(+All!$H274="Michigan State",+All!G274,0))</f>
        <v>B10</v>
      </c>
      <c r="H78" s="51" t="str">
        <f>IF(+All!$F274="Michigan State",+All!H274,IF(+All!$H274="Michigan State",+All!H274,0))</f>
        <v>Michigan State</v>
      </c>
      <c r="I78" s="52" t="str">
        <f>IF(+All!$F274="Michigan State",+All!I274,IF(+All!$H274="Michigan State",+All!I274,0))</f>
        <v>B10</v>
      </c>
      <c r="J78" s="460" t="str">
        <f>IF(+All!$F274="Michigan State",+All!J274,IF(+All!$H274="Michigan State",+All!J274,0))</f>
        <v>Minnesota</v>
      </c>
      <c r="K78" s="461" t="str">
        <f>IF(+All!$F274="Michigan State",+All!K274,IF(+All!$H274="Michigan State",+All!K274,0))</f>
        <v>Michigan State</v>
      </c>
      <c r="L78" s="54">
        <f>IF(+All!$F274="Michigan State",+All!L274,IF(+All!$H274="Michigan State",+All!L274,0))</f>
        <v>2.5</v>
      </c>
      <c r="M78" s="55">
        <f>IF(+All!$F274="Michigan State",+All!M274,IF(+All!$H274="Michigan State",+All!M274,0))</f>
        <v>51</v>
      </c>
      <c r="N78" s="460" t="str">
        <f>IF(+All!$F274="Michigan State",+All!N274,IF(+All!$H274="Michigan State",+All!N274,0))</f>
        <v>Minnesota</v>
      </c>
      <c r="O78" s="462">
        <f>IF(+All!$F274="Michigan State",+All!O274,IF(+All!$H274="Michigan State",+All!O274,0))</f>
        <v>34</v>
      </c>
      <c r="P78" s="462" t="str">
        <f>IF(+All!$F274="Michigan State",+All!P274,IF(+All!$H274="Michigan State",+All!P274,0))</f>
        <v>Michigan State</v>
      </c>
      <c r="Q78" s="461">
        <f>IF(+All!$F274="Michigan State",+All!Q274,IF(+All!$H274="Michigan State",+All!Q274,0))</f>
        <v>7</v>
      </c>
      <c r="R78" s="460" t="str">
        <f>IF(+All!$F274="Michigan State",+All!R274,IF(+All!$H274="Michigan State",+All!R274,0))</f>
        <v>Minnesota</v>
      </c>
      <c r="S78" s="462" t="str">
        <f>IF(+All!$F274="Michigan State",+All!S274,IF(+All!$H274="Michigan State",+All!S274,0))</f>
        <v>Michigan State</v>
      </c>
      <c r="T78" s="460" t="str">
        <f>IF(+All!$F274="Michigan State",+All!T274,IF(+All!$H274="Michigan State",+All!T274,0))</f>
        <v>Michigan State</v>
      </c>
      <c r="U78" s="461" t="str">
        <f>IF(+All!$F274="Michigan State",+All!U274,IF(+All!$H274="Michigan State",+All!U274,0))</f>
        <v>L</v>
      </c>
    </row>
    <row r="79" spans="1:21" x14ac:dyDescent="0.8">
      <c r="A79" s="46">
        <f>IF(+All!$F336="Michigan State",+All!A336,IF(+All!$H336="Michigan State",+All!A336,0))</f>
        <v>5</v>
      </c>
      <c r="B79" s="348" t="str">
        <f>IF(+All!$F336="Michigan State",+All!B336,IF(+All!$H336="Michigan State",+All!B336,0))</f>
        <v>Sat</v>
      </c>
      <c r="C79" s="48">
        <f>IF(+All!$F336="Michigan State",+All!C336,IF(+All!$H336="Michigan State",+All!C336,0))</f>
        <v>44835</v>
      </c>
      <c r="D79" s="490">
        <f>IF(+All!$F336="Michigan State",+All!D336,IF(+All!$H336="Michigan State",+All!D336,0))</f>
        <v>0.64583333333333337</v>
      </c>
      <c r="E79" s="461" t="str">
        <f>IF(+All!$F336="Michigan State",+All!E336,IF(+All!$H336="Michigan State",+All!E336,0))</f>
        <v>FS1</v>
      </c>
      <c r="F79" s="51" t="str">
        <f>IF(+All!$F336="Michigan State",+All!F336,IF(+All!$H336="Michigan State",+All!F336,0))</f>
        <v>Michigan State</v>
      </c>
      <c r="G79" s="52" t="str">
        <f>IF(+All!$F336="Michigan State",+All!G336,IF(+All!$H336="Michigan State",+All!G336,0))</f>
        <v>B10</v>
      </c>
      <c r="H79" s="51" t="str">
        <f>IF(+All!$F336="Michigan State",+All!H336,IF(+All!$H336="Michigan State",+All!H336,0))</f>
        <v>Maryland</v>
      </c>
      <c r="I79" s="52" t="str">
        <f>IF(+All!$F336="Michigan State",+All!I336,IF(+All!$H336="Michigan State",+All!I336,0))</f>
        <v>B10</v>
      </c>
      <c r="J79" s="460" t="str">
        <f>IF(+All!$F336="Michigan State",+All!J336,IF(+All!$H336="Michigan State",+All!J336,0))</f>
        <v>Maryland</v>
      </c>
      <c r="K79" s="461" t="str">
        <f>IF(+All!$F336="Michigan State",+All!K336,IF(+All!$H336="Michigan State",+All!K336,0))</f>
        <v>Michigan State</v>
      </c>
      <c r="L79" s="54">
        <f>IF(+All!$F336="Michigan State",+All!L336,IF(+All!$H336="Michigan State",+All!L336,0))</f>
        <v>7.5</v>
      </c>
      <c r="M79" s="55">
        <f>IF(+All!$F336="Michigan State",+All!M336,IF(+All!$H336="Michigan State",+All!M336,0))</f>
        <v>60.5</v>
      </c>
      <c r="N79" s="460" t="str">
        <f>IF(+All!$F336="Michigan State",+All!N336,IF(+All!$H336="Michigan State",+All!N336,0))</f>
        <v>Maryland</v>
      </c>
      <c r="O79" s="462">
        <f>IF(+All!$F336="Michigan State",+All!O336,IF(+All!$H336="Michigan State",+All!O336,0))</f>
        <v>27</v>
      </c>
      <c r="P79" s="462" t="str">
        <f>IF(+All!$F336="Michigan State",+All!P336,IF(+All!$H336="Michigan State",+All!P336,0))</f>
        <v>Michigan State</v>
      </c>
      <c r="Q79" s="461">
        <f>IF(+All!$F336="Michigan State",+All!Q336,IF(+All!$H336="Michigan State",+All!Q336,0))</f>
        <v>13</v>
      </c>
      <c r="R79" s="460" t="str">
        <f>IF(+All!$F336="Michigan State",+All!R336,IF(+All!$H336="Michigan State",+All!R336,0))</f>
        <v>Maryland</v>
      </c>
      <c r="S79" s="462" t="str">
        <f>IF(+All!$F336="Michigan State",+All!S336,IF(+All!$H336="Michigan State",+All!S336,0))</f>
        <v>Michigan State</v>
      </c>
      <c r="T79" s="460" t="str">
        <f>IF(+All!$F336="Michigan State",+All!T336,IF(+All!$H336="Michigan State",+All!T336,0))</f>
        <v>Michigan State</v>
      </c>
      <c r="U79" s="461" t="str">
        <f>IF(+All!$F336="Michigan State",+All!U336,IF(+All!$H336="Michigan State",+All!U336,0))</f>
        <v>L</v>
      </c>
    </row>
    <row r="80" spans="1:21" x14ac:dyDescent="0.8">
      <c r="A80" s="46">
        <f>IF(+All!$F399="Michigan State",+All!A399,IF(+All!$H399="Michigan State",+All!A399,0))</f>
        <v>6</v>
      </c>
      <c r="B80" s="348" t="str">
        <f>IF(+All!$F399="Michigan State",+All!B399,IF(+All!$H399="Michigan State",+All!B399,0))</f>
        <v>Sat</v>
      </c>
      <c r="C80" s="48">
        <f>IF(+All!$F399="Michigan State",+All!C399,IF(+All!$H399="Michigan State",+All!C399,0))</f>
        <v>44842</v>
      </c>
      <c r="D80" s="490">
        <f>IF(+All!$F399="Michigan State",+All!D399,IF(+All!$H399="Michigan State",+All!D399,0))</f>
        <v>0.66666666666666663</v>
      </c>
      <c r="E80" s="461" t="str">
        <f>IF(+All!$F399="Michigan State",+All!E399,IF(+All!$H399="Michigan State",+All!E399,0))</f>
        <v>ABC</v>
      </c>
      <c r="F80" s="51" t="str">
        <f>IF(+All!$F399="Michigan State",+All!F399,IF(+All!$H399="Michigan State",+All!F399,0))</f>
        <v>Ohio State</v>
      </c>
      <c r="G80" s="52" t="str">
        <f>IF(+All!$F399="Michigan State",+All!G399,IF(+All!$H399="Michigan State",+All!G399,0))</f>
        <v>B10</v>
      </c>
      <c r="H80" s="51" t="str">
        <f>IF(+All!$F399="Michigan State",+All!H399,IF(+All!$H399="Michigan State",+All!H399,0))</f>
        <v>Michigan State</v>
      </c>
      <c r="I80" s="52" t="str">
        <f>IF(+All!$F399="Michigan State",+All!I399,IF(+All!$H399="Michigan State",+All!I399,0))</f>
        <v>B10</v>
      </c>
      <c r="J80" s="460" t="str">
        <f>IF(+All!$F399="Michigan State",+All!J399,IF(+All!$H399="Michigan State",+All!J399,0))</f>
        <v>Ohio State</v>
      </c>
      <c r="K80" s="461" t="str">
        <f>IF(+All!$F399="Michigan State",+All!K399,IF(+All!$H399="Michigan State",+All!K399,0))</f>
        <v>Michigan State</v>
      </c>
      <c r="L80" s="54">
        <f>IF(+All!$F399="Michigan State",+All!L399,IF(+All!$H399="Michigan State",+All!L399,0))</f>
        <v>26.5</v>
      </c>
      <c r="M80" s="55">
        <f>IF(+All!$F399="Michigan State",+All!M399,IF(+All!$H399="Michigan State",+All!M399,0))</f>
        <v>64.5</v>
      </c>
      <c r="N80" s="460" t="str">
        <f>IF(+All!$F399="Michigan State",+All!N399,IF(+All!$H399="Michigan State",+All!N399,0))</f>
        <v>Ohio State</v>
      </c>
      <c r="O80" s="462">
        <f>IF(+All!$F399="Michigan State",+All!O399,IF(+All!$H399="Michigan State",+All!O399,0))</f>
        <v>49</v>
      </c>
      <c r="P80" s="462" t="str">
        <f>IF(+All!$F399="Michigan State",+All!P399,IF(+All!$H399="Michigan State",+All!P399,0))</f>
        <v>Michigan State</v>
      </c>
      <c r="Q80" s="461">
        <f>IF(+All!$F399="Michigan State",+All!Q399,IF(+All!$H399="Michigan State",+All!Q399,0))</f>
        <v>20</v>
      </c>
      <c r="R80" s="460" t="str">
        <f>IF(+All!$F399="Michigan State",+All!R399,IF(+All!$H399="Michigan State",+All!R399,0))</f>
        <v>Ohio State</v>
      </c>
      <c r="S80" s="462" t="str">
        <f>IF(+All!$F399="Michigan State",+All!S399,IF(+All!$H399="Michigan State",+All!S399,0))</f>
        <v>Michigan State</v>
      </c>
      <c r="T80" s="460" t="str">
        <f>IF(+All!$F399="Michigan State",+All!T399,IF(+All!$H399="Michigan State",+All!T399,0))</f>
        <v>Michigan State</v>
      </c>
      <c r="U80" s="461" t="str">
        <f>IF(+All!$F399="Michigan State",+All!U399,IF(+All!$H399="Michigan State",+All!U399,0))</f>
        <v>L</v>
      </c>
    </row>
    <row r="81" spans="1:21" x14ac:dyDescent="0.8">
      <c r="A81" s="46">
        <f>IF(+All!$F452="Michigan State",+All!A452,IF(+All!$H452="Michigan State",+All!A452,0))</f>
        <v>7</v>
      </c>
      <c r="B81" s="348" t="str">
        <f>IF(+All!$F452="Michigan State",+All!B452,IF(+All!$H452="Michigan State",+All!B452,0))</f>
        <v>Sat</v>
      </c>
      <c r="C81" s="48">
        <f>IF(+All!$F452="Michigan State",+All!C452,IF(+All!$H452="Michigan State",+All!C452,0))</f>
        <v>44849</v>
      </c>
      <c r="D81" s="490">
        <f>IF(+All!$F452="Michigan State",+All!D452,IF(+All!$H452="Michigan State",+All!D452,0))</f>
        <v>0.66666666666666663</v>
      </c>
      <c r="E81" s="461" t="str">
        <f>IF(+All!$F452="Michigan State",+All!E452,IF(+All!$H452="Michigan State",+All!E452,0))</f>
        <v>Fox</v>
      </c>
      <c r="F81" s="51" t="str">
        <f>IF(+All!$F452="Michigan State",+All!F452,IF(+All!$H452="Michigan State",+All!F452,0))</f>
        <v>Wisconsin</v>
      </c>
      <c r="G81" s="52" t="str">
        <f>IF(+All!$F452="Michigan State",+All!G452,IF(+All!$H452="Michigan State",+All!G452,0))</f>
        <v>B10</v>
      </c>
      <c r="H81" s="51" t="str">
        <f>IF(+All!$F452="Michigan State",+All!H452,IF(+All!$H452="Michigan State",+All!H452,0))</f>
        <v>Michigan State</v>
      </c>
      <c r="I81" s="52" t="str">
        <f>IF(+All!$F452="Michigan State",+All!I452,IF(+All!$H452="Michigan State",+All!I452,0))</f>
        <v>B10</v>
      </c>
      <c r="J81" s="460" t="str">
        <f>IF(+All!$F452="Michigan State",+All!J452,IF(+All!$H452="Michigan State",+All!J452,0))</f>
        <v>Wisconsin</v>
      </c>
      <c r="K81" s="461" t="str">
        <f>IF(+All!$F452="Michigan State",+All!K452,IF(+All!$H452="Michigan State",+All!K452,0))</f>
        <v>Michigan State</v>
      </c>
      <c r="L81" s="54">
        <f>IF(+All!$F452="Michigan State",+All!L452,IF(+All!$H452="Michigan State",+All!L452,0))</f>
        <v>7</v>
      </c>
      <c r="M81" s="55">
        <f>IF(+All!$F452="Michigan State",+All!M452,IF(+All!$H452="Michigan State",+All!M452,0))</f>
        <v>49</v>
      </c>
      <c r="N81" s="460" t="str">
        <f>IF(+All!$F452="Michigan State",+All!N452,IF(+All!$H452="Michigan State",+All!N452,0))</f>
        <v>Michigan State</v>
      </c>
      <c r="O81" s="462">
        <f>IF(+All!$F452="Michigan State",+All!O452,IF(+All!$H452="Michigan State",+All!O452,0))</f>
        <v>34</v>
      </c>
      <c r="P81" s="462" t="str">
        <f>IF(+All!$F452="Michigan State",+All!P452,IF(+All!$H452="Michigan State",+All!P452,0))</f>
        <v>Wisconsin</v>
      </c>
      <c r="Q81" s="461">
        <f>IF(+All!$F452="Michigan State",+All!Q452,IF(+All!$H452="Michigan State",+All!Q452,0))</f>
        <v>28</v>
      </c>
      <c r="R81" s="460" t="str">
        <f>IF(+All!$F452="Michigan State",+All!R452,IF(+All!$H452="Michigan State",+All!R452,0))</f>
        <v>Michigan State</v>
      </c>
      <c r="S81" s="462" t="str">
        <f>IF(+All!$F452="Michigan State",+All!S452,IF(+All!$H452="Michigan State",+All!S452,0))</f>
        <v>Wisconsin</v>
      </c>
      <c r="T81" s="460" t="str">
        <f>IF(+All!$F452="Michigan State",+All!T452,IF(+All!$H452="Michigan State",+All!T452,0))</f>
        <v>Michigan State</v>
      </c>
      <c r="U81" s="461" t="str">
        <f>IF(+All!$F452="Michigan State",+All!U452,IF(+All!$H452="Michigan State",+All!U452,0))</f>
        <v>W</v>
      </c>
    </row>
    <row r="82" spans="1:21" x14ac:dyDescent="0.8">
      <c r="A82" s="46" t="e">
        <f>IF(+All!#REF!="Michigan State",+All!#REF!,IF(+All!#REF!="Michigan State",+All!#REF!,0))</f>
        <v>#REF!</v>
      </c>
      <c r="B82" s="348" t="e">
        <f>IF(+All!#REF!="Michigan State",+All!#REF!,IF(+All!#REF!="Michigan State",+All!#REF!,0))</f>
        <v>#REF!</v>
      </c>
      <c r="C82" s="48" t="e">
        <f>IF(+All!#REF!="Michigan State",+All!#REF!,IF(+All!#REF!="Michigan State",+All!#REF!,0))</f>
        <v>#REF!</v>
      </c>
      <c r="D82" s="490" t="e">
        <f>IF(+All!#REF!="Michigan State",+All!#REF!,IF(+All!#REF!="Michigan State",+All!#REF!,0))</f>
        <v>#REF!</v>
      </c>
      <c r="E82" s="461" t="e">
        <f>IF(+All!#REF!="Michigan State",+All!#REF!,IF(+All!#REF!="Michigan State",+All!#REF!,0))</f>
        <v>#REF!</v>
      </c>
      <c r="F82" s="51" t="e">
        <f>IF(+All!#REF!="Michigan State",+All!#REF!,IF(+All!#REF!="Michigan State",+All!#REF!,0))</f>
        <v>#REF!</v>
      </c>
      <c r="G82" s="52" t="e">
        <f>IF(+All!#REF!="Michigan State",+All!#REF!,IF(+All!#REF!="Michigan State",+All!#REF!,0))</f>
        <v>#REF!</v>
      </c>
      <c r="H82" s="51" t="e">
        <f>IF(+All!#REF!="Michigan State",+All!#REF!,IF(+All!#REF!="Michigan State",+All!#REF!,0))</f>
        <v>#REF!</v>
      </c>
      <c r="I82" s="52" t="e">
        <f>IF(+All!#REF!="Michigan State",+All!#REF!,IF(+All!#REF!="Michigan State",+All!#REF!,0))</f>
        <v>#REF!</v>
      </c>
      <c r="J82" s="460" t="e">
        <f>IF(+All!#REF!="Michigan State",+All!#REF!,IF(+All!#REF!="Michigan State",+All!#REF!,0))</f>
        <v>#REF!</v>
      </c>
      <c r="K82" s="461" t="e">
        <f>IF(+All!#REF!="Michigan State",+All!#REF!,IF(+All!#REF!="Michigan State",+All!#REF!,0))</f>
        <v>#REF!</v>
      </c>
      <c r="L82" s="54" t="e">
        <f>IF(+All!#REF!="Michigan State",+All!#REF!,IF(+All!#REF!="Michigan State",+All!#REF!,0))</f>
        <v>#REF!</v>
      </c>
      <c r="M82" s="55" t="e">
        <f>IF(+All!#REF!="Michigan State",+All!#REF!,IF(+All!#REF!="Michigan State",+All!#REF!,0))</f>
        <v>#REF!</v>
      </c>
      <c r="N82" s="460" t="e">
        <f>IF(+All!#REF!="Michigan State",+All!#REF!,IF(+All!#REF!="Michigan State",+All!#REF!,0))</f>
        <v>#REF!</v>
      </c>
      <c r="O82" s="462" t="e">
        <f>IF(+All!#REF!="Michigan State",+All!#REF!,IF(+All!#REF!="Michigan State",+All!#REF!,0))</f>
        <v>#REF!</v>
      </c>
      <c r="P82" s="462" t="e">
        <f>IF(+All!#REF!="Michigan State",+All!#REF!,IF(+All!#REF!="Michigan State",+All!#REF!,0))</f>
        <v>#REF!</v>
      </c>
      <c r="Q82" s="461" t="e">
        <f>IF(+All!#REF!="Michigan State",+All!#REF!,IF(+All!#REF!="Michigan State",+All!#REF!,0))</f>
        <v>#REF!</v>
      </c>
      <c r="R82" s="460" t="e">
        <f>IF(+All!#REF!="Michigan State",+All!#REF!,IF(+All!#REF!="Michigan State",+All!#REF!,0))</f>
        <v>#REF!</v>
      </c>
      <c r="S82" s="462" t="e">
        <f>IF(+All!#REF!="Michigan State",+All!#REF!,IF(+All!#REF!="Michigan State",+All!#REF!,0))</f>
        <v>#REF!</v>
      </c>
      <c r="T82" s="460" t="e">
        <f>IF(+All!#REF!="Michigan State",+All!#REF!,IF(+All!#REF!="Michigan State",+All!#REF!,0))</f>
        <v>#REF!</v>
      </c>
      <c r="U82" s="461" t="e">
        <f>IF(+All!#REF!="Michigan State",+All!#REF!,IF(+All!#REF!="Michigan State",+All!#REF!,0))</f>
        <v>#REF!</v>
      </c>
    </row>
    <row r="83" spans="1:21" x14ac:dyDescent="0.8">
      <c r="A83" s="46">
        <f>IF(+All!$F560="Michigan State",+All!A560,IF(+All!$H560="Michigan State",+All!A560,0))</f>
        <v>9</v>
      </c>
      <c r="B83" s="348" t="str">
        <f>IF(+All!$F560="Michigan State",+All!B560,IF(+All!$H560="Michigan State",+All!B560,0))</f>
        <v>Sat</v>
      </c>
      <c r="C83" s="48">
        <f>IF(+All!$F560="Michigan State",+All!C560,IF(+All!$H560="Michigan State",+All!C560,0))</f>
        <v>44863</v>
      </c>
      <c r="D83" s="490">
        <f>IF(+All!$F560="Michigan State",+All!D560,IF(+All!$H560="Michigan State",+All!D560,0))</f>
        <v>0.8125</v>
      </c>
      <c r="E83" s="461" t="str">
        <f>IF(+All!$F560="Michigan State",+All!E560,IF(+All!$H560="Michigan State",+All!E560,0))</f>
        <v>ABC</v>
      </c>
      <c r="F83" s="51" t="str">
        <f>IF(+All!$F560="Michigan State",+All!F560,IF(+All!$H560="Michigan State",+All!F560,0))</f>
        <v>Michigan State</v>
      </c>
      <c r="G83" s="52" t="str">
        <f>IF(+All!$F560="Michigan State",+All!G560,IF(+All!$H560="Michigan State",+All!G560,0))</f>
        <v>B10</v>
      </c>
      <c r="H83" s="51" t="str">
        <f>IF(+All!$F560="Michigan State",+All!H560,IF(+All!$H560="Michigan State",+All!H560,0))</f>
        <v>Michigan</v>
      </c>
      <c r="I83" s="52" t="str">
        <f>IF(+All!$F560="Michigan State",+All!I560,IF(+All!$H560="Michigan State",+All!I560,0))</f>
        <v>B10</v>
      </c>
      <c r="J83" s="460" t="str">
        <f>IF(+All!$F560="Michigan State",+All!J560,IF(+All!$H560="Michigan State",+All!J560,0))</f>
        <v>Michigan</v>
      </c>
      <c r="K83" s="461" t="str">
        <f>IF(+All!$F560="Michigan State",+All!K560,IF(+All!$H560="Michigan State",+All!K560,0))</f>
        <v>Michigan State</v>
      </c>
      <c r="L83" s="54">
        <f>IF(+All!$F560="Michigan State",+All!L560,IF(+All!$H560="Michigan State",+All!L560,0))</f>
        <v>21.5</v>
      </c>
      <c r="M83" s="55">
        <f>IF(+All!$F560="Michigan State",+All!M560,IF(+All!$H560="Michigan State",+All!M560,0))</f>
        <v>54.5</v>
      </c>
      <c r="N83" s="460" t="str">
        <f>IF(+All!$F560="Michigan State",+All!N560,IF(+All!$H560="Michigan State",+All!N560,0))</f>
        <v>Michigan</v>
      </c>
      <c r="O83" s="462">
        <f>IF(+All!$F560="Michigan State",+All!O560,IF(+All!$H560="Michigan State",+All!O560,0))</f>
        <v>29</v>
      </c>
      <c r="P83" s="462" t="str">
        <f>IF(+All!$F560="Michigan State",+All!P560,IF(+All!$H560="Michigan State",+All!P560,0))</f>
        <v>Michigan State</v>
      </c>
      <c r="Q83" s="461">
        <f>IF(+All!$F560="Michigan State",+All!Q560,IF(+All!$H560="Michigan State",+All!Q560,0))</f>
        <v>7</v>
      </c>
      <c r="R83" s="460" t="str">
        <f>IF(+All!$F560="Michigan State",+All!R560,IF(+All!$H560="Michigan State",+All!R560,0))</f>
        <v>Michigan</v>
      </c>
      <c r="S83" s="462" t="str">
        <f>IF(+All!$F560="Michigan State",+All!S560,IF(+All!$H560="Michigan State",+All!S560,0))</f>
        <v>Michigan State</v>
      </c>
      <c r="T83" s="460" t="str">
        <f>IF(+All!$F560="Michigan State",+All!T560,IF(+All!$H560="Michigan State",+All!T560,0))</f>
        <v>Michigan State</v>
      </c>
      <c r="U83" s="461" t="str">
        <f>IF(+All!$F560="Michigan State",+All!U560,IF(+All!$H560="Michigan State",+All!U560,0))</f>
        <v>L</v>
      </c>
    </row>
    <row r="84" spans="1:21" x14ac:dyDescent="0.8">
      <c r="A84" s="46">
        <f>IF(+All!$F613="Michigan State",+All!A613,IF(+All!$H613="Michigan State",+All!A613,0))</f>
        <v>10</v>
      </c>
      <c r="B84" s="348" t="str">
        <f>IF(+All!$F613="Michigan State",+All!B613,IF(+All!$H613="Michigan State",+All!B613,0))</f>
        <v>Sat</v>
      </c>
      <c r="C84" s="48">
        <f>IF(+All!$F613="Michigan State",+All!C613,IF(+All!$H613="Michigan State",+All!C613,0))</f>
        <v>44870</v>
      </c>
      <c r="D84" s="490">
        <f>IF(+All!$F613="Michigan State",+All!D613,IF(+All!$H613="Michigan State",+All!D613,0))</f>
        <v>0.64583333333333337</v>
      </c>
      <c r="E84" s="461" t="str">
        <f>IF(+All!$F613="Michigan State",+All!E613,IF(+All!$H613="Michigan State",+All!E613,0))</f>
        <v>BTN</v>
      </c>
      <c r="F84" s="51" t="str">
        <f>IF(+All!$F613="Michigan State",+All!F613,IF(+All!$H613="Michigan State",+All!F613,0))</f>
        <v>Michigan State</v>
      </c>
      <c r="G84" s="52" t="str">
        <f>IF(+All!$F613="Michigan State",+All!G613,IF(+All!$H613="Michigan State",+All!G613,0))</f>
        <v>B10</v>
      </c>
      <c r="H84" s="51" t="str">
        <f>IF(+All!$F613="Michigan State",+All!H613,IF(+All!$H613="Michigan State",+All!H613,0))</f>
        <v>Illinois</v>
      </c>
      <c r="I84" s="52" t="str">
        <f>IF(+All!$F613="Michigan State",+All!I613,IF(+All!$H613="Michigan State",+All!I613,0))</f>
        <v>B10</v>
      </c>
      <c r="J84" s="460" t="str">
        <f>IF(+All!$F613="Michigan State",+All!J613,IF(+All!$H613="Michigan State",+All!J613,0))</f>
        <v>Illinois</v>
      </c>
      <c r="K84" s="461" t="str">
        <f>IF(+All!$F613="Michigan State",+All!K613,IF(+All!$H613="Michigan State",+All!K613,0))</f>
        <v>Michigan State</v>
      </c>
      <c r="L84" s="54">
        <f>IF(+All!$F613="Michigan State",+All!L613,IF(+All!$H613="Michigan State",+All!L613,0))</f>
        <v>16</v>
      </c>
      <c r="M84" s="55">
        <f>IF(+All!$F613="Michigan State",+All!M613,IF(+All!$H613="Michigan State",+All!M613,0))</f>
        <v>41.5</v>
      </c>
      <c r="N84" s="460" t="str">
        <f>IF(+All!$F613="Michigan State",+All!N613,IF(+All!$H613="Michigan State",+All!N613,0))</f>
        <v>Michigan State</v>
      </c>
      <c r="O84" s="462">
        <f>IF(+All!$F613="Michigan State",+All!O613,IF(+All!$H613="Michigan State",+All!O613,0))</f>
        <v>23</v>
      </c>
      <c r="P84" s="462" t="str">
        <f>IF(+All!$F613="Michigan State",+All!P613,IF(+All!$H613="Michigan State",+All!P613,0))</f>
        <v>Illinois</v>
      </c>
      <c r="Q84" s="461">
        <f>IF(+All!$F613="Michigan State",+All!Q613,IF(+All!$H613="Michigan State",+All!Q613,0))</f>
        <v>15</v>
      </c>
      <c r="R84" s="460" t="str">
        <f>IF(+All!$F613="Michigan State",+All!R613,IF(+All!$H613="Michigan State",+All!R613,0))</f>
        <v>Michigan State</v>
      </c>
      <c r="S84" s="462" t="str">
        <f>IF(+All!$F613="Michigan State",+All!S613,IF(+All!$H613="Michigan State",+All!S613,0))</f>
        <v>Illinois</v>
      </c>
      <c r="T84" s="460" t="str">
        <f>IF(+All!$F613="Michigan State",+All!T613,IF(+All!$H613="Michigan State",+All!T613,0))</f>
        <v>Michigan State</v>
      </c>
      <c r="U84" s="461" t="str">
        <f>IF(+All!$F613="Michigan State",+All!U613,IF(+All!$H613="Michigan State",+All!U613,0))</f>
        <v>W</v>
      </c>
    </row>
    <row r="85" spans="1:21" x14ac:dyDescent="0.8">
      <c r="A85" s="46">
        <f>IF(+All!$F678="Michigan State",+All!A678,IF(+All!$H678="Michigan State",+All!A678,0))</f>
        <v>11</v>
      </c>
      <c r="B85" s="348" t="str">
        <f>IF(+All!$F678="Michigan State",+All!B678,IF(+All!$H678="Michigan State",+All!B678,0))</f>
        <v>Sat</v>
      </c>
      <c r="C85" s="48">
        <f>IF(+All!$F678="Michigan State",+All!C678,IF(+All!$H678="Michigan State",+All!C678,0))</f>
        <v>44877</v>
      </c>
      <c r="D85" s="490">
        <f>IF(+All!$F678="Michigan State",+All!D678,IF(+All!$H678="Michigan State",+All!D678,0))</f>
        <v>0.5</v>
      </c>
      <c r="E85" s="461" t="str">
        <f>IF(+All!$F678="Michigan State",+All!E678,IF(+All!$H678="Michigan State",+All!E678,0))</f>
        <v>BTN</v>
      </c>
      <c r="F85" s="51" t="str">
        <f>IF(+All!$F678="Michigan State",+All!F678,IF(+All!$H678="Michigan State",+All!F678,0))</f>
        <v>Rutgers</v>
      </c>
      <c r="G85" s="52" t="str">
        <f>IF(+All!$F678="Michigan State",+All!G678,IF(+All!$H678="Michigan State",+All!G678,0))</f>
        <v>B10</v>
      </c>
      <c r="H85" s="51" t="str">
        <f>IF(+All!$F678="Michigan State",+All!H678,IF(+All!$H678="Michigan State",+All!H678,0))</f>
        <v>Michigan State</v>
      </c>
      <c r="I85" s="52" t="str">
        <f>IF(+All!$F678="Michigan State",+All!I678,IF(+All!$H678="Michigan State",+All!I678,0))</f>
        <v>B10</v>
      </c>
      <c r="J85" s="460" t="str">
        <f>IF(+All!$F678="Michigan State",+All!J678,IF(+All!$H678="Michigan State",+All!J678,0))</f>
        <v>Michigan State</v>
      </c>
      <c r="K85" s="461" t="str">
        <f>IF(+All!$F678="Michigan State",+All!K678,IF(+All!$H678="Michigan State",+All!K678,0))</f>
        <v>Rutgers</v>
      </c>
      <c r="L85" s="54">
        <f>IF(+All!$F678="Michigan State",+All!L678,IF(+All!$H678="Michigan State",+All!L678,0))</f>
        <v>10</v>
      </c>
      <c r="M85" s="55">
        <f>IF(+All!$F678="Michigan State",+All!M678,IF(+All!$H678="Michigan State",+All!M678,0))</f>
        <v>41</v>
      </c>
      <c r="N85" s="460" t="str">
        <f>IF(+All!$F678="Michigan State",+All!N678,IF(+All!$H678="Michigan State",+All!N678,0))</f>
        <v>Michigan State</v>
      </c>
      <c r="O85" s="462">
        <f>IF(+All!$F678="Michigan State",+All!O678,IF(+All!$H678="Michigan State",+All!O678,0))</f>
        <v>27</v>
      </c>
      <c r="P85" s="462" t="str">
        <f>IF(+All!$F678="Michigan State",+All!P678,IF(+All!$H678="Michigan State",+All!P678,0))</f>
        <v>Rutgers</v>
      </c>
      <c r="Q85" s="461">
        <f>IF(+All!$F678="Michigan State",+All!Q678,IF(+All!$H678="Michigan State",+All!Q678,0))</f>
        <v>21</v>
      </c>
      <c r="R85" s="460" t="str">
        <f>IF(+All!$F678="Michigan State",+All!R678,IF(+All!$H678="Michigan State",+All!R678,0))</f>
        <v>Rutgers</v>
      </c>
      <c r="S85" s="462" t="str">
        <f>IF(+All!$F678="Michigan State",+All!S678,IF(+All!$H678="Michigan State",+All!S678,0))</f>
        <v>Michigan State</v>
      </c>
      <c r="T85" s="460" t="str">
        <f>IF(+All!$F678="Michigan State",+All!T678,IF(+All!$H678="Michigan State",+All!T678,0))</f>
        <v>Michigan State</v>
      </c>
      <c r="U85" s="461" t="str">
        <f>IF(+All!$F678="Michigan State",+All!U678,IF(+All!$H678="Michigan State",+All!U678,0))</f>
        <v>L</v>
      </c>
    </row>
    <row r="86" spans="1:21" x14ac:dyDescent="0.8">
      <c r="A86" s="46">
        <f>IF(+All!$F739="Michigan State",+All!A739,IF(+All!$H739="Michigan State",+All!A739,0))</f>
        <v>12</v>
      </c>
      <c r="B86" s="348" t="str">
        <f>IF(+All!$F739="Michigan State",+All!B739,IF(+All!$H739="Michigan State",+All!B739,0))</f>
        <v>Sat</v>
      </c>
      <c r="C86" s="48">
        <f>IF(+All!$F739="Michigan State",+All!C739,IF(+All!$H739="Michigan State",+All!C739,0))</f>
        <v>44884</v>
      </c>
      <c r="D86" s="490">
        <f>IF(+All!$F739="Michigan State",+All!D739,IF(+All!$H739="Michigan State",+All!D739,0))</f>
        <v>0.5</v>
      </c>
      <c r="E86" s="461" t="str">
        <f>IF(+All!$F739="Michigan State",+All!E739,IF(+All!$H739="Michigan State",+All!E739,0))</f>
        <v>BTN</v>
      </c>
      <c r="F86" s="51" t="str">
        <f>IF(+All!$F739="Michigan State",+All!F739,IF(+All!$H739="Michigan State",+All!F739,0))</f>
        <v>Indiana</v>
      </c>
      <c r="G86" s="52" t="str">
        <f>IF(+All!$F739="Michigan State",+All!G739,IF(+All!$H739="Michigan State",+All!G739,0))</f>
        <v>B10</v>
      </c>
      <c r="H86" s="51" t="str">
        <f>IF(+All!$F739="Michigan State",+All!H739,IF(+All!$H739="Michigan State",+All!H739,0))</f>
        <v>Michigan State</v>
      </c>
      <c r="I86" s="52" t="str">
        <f>IF(+All!$F739="Michigan State",+All!I739,IF(+All!$H739="Michigan State",+All!I739,0))</f>
        <v>B10</v>
      </c>
      <c r="J86" s="460" t="str">
        <f>IF(+All!$F739="Michigan State",+All!J739,IF(+All!$H739="Michigan State",+All!J739,0))</f>
        <v>Michigan State</v>
      </c>
      <c r="K86" s="461" t="str">
        <f>IF(+All!$F739="Michigan State",+All!K739,IF(+All!$H739="Michigan State",+All!K739,0))</f>
        <v>Indiana</v>
      </c>
      <c r="L86" s="54">
        <f>IF(+All!$F739="Michigan State",+All!L739,IF(+All!$H739="Michigan State",+All!L739,0))</f>
        <v>10</v>
      </c>
      <c r="M86" s="55">
        <f>IF(+All!$F739="Michigan State",+All!M739,IF(+All!$H739="Michigan State",+All!M739,0))</f>
        <v>47.5</v>
      </c>
      <c r="N86" s="460" t="str">
        <f>IF(+All!$F739="Michigan State",+All!N739,IF(+All!$H739="Michigan State",+All!N739,0))</f>
        <v>Indiana</v>
      </c>
      <c r="O86" s="462">
        <f>IF(+All!$F739="Michigan State",+All!O739,IF(+All!$H739="Michigan State",+All!O739,0))</f>
        <v>39</v>
      </c>
      <c r="P86" s="462" t="str">
        <f>IF(+All!$F739="Michigan State",+All!P739,IF(+All!$H739="Michigan State",+All!P739,0))</f>
        <v>Michigan State</v>
      </c>
      <c r="Q86" s="461">
        <f>IF(+All!$F739="Michigan State",+All!Q739,IF(+All!$H739="Michigan State",+All!Q739,0))</f>
        <v>31</v>
      </c>
      <c r="R86" s="460" t="str">
        <f>IF(+All!$F739="Michigan State",+All!R739,IF(+All!$H739="Michigan State",+All!R739,0))</f>
        <v>Indiana</v>
      </c>
      <c r="S86" s="462" t="str">
        <f>IF(+All!$F739="Michigan State",+All!S739,IF(+All!$H739="Michigan State",+All!S739,0))</f>
        <v>Michigan State</v>
      </c>
      <c r="T86" s="460" t="str">
        <f>IF(+All!$F739="Michigan State",+All!T739,IF(+All!$H739="Michigan State",+All!T739,0))</f>
        <v>Michigan State</v>
      </c>
      <c r="U86" s="461" t="str">
        <f>IF(+All!$F739="Michigan State",+All!U739,IF(+All!$H739="Michigan State",+All!U739,0))</f>
        <v>L</v>
      </c>
    </row>
    <row r="87" spans="1:21" x14ac:dyDescent="0.8">
      <c r="A87" s="46">
        <f>IF(+All!$F812="Michigan State",+All!A812,IF(+All!$H812="Michigan State",+All!A812,0))</f>
        <v>13</v>
      </c>
      <c r="B87" s="348" t="str">
        <f>IF(+All!$F812="Michigan State",+All!B812,IF(+All!$H812="Michigan State",+All!B812,0))</f>
        <v>Sat</v>
      </c>
      <c r="C87" s="48">
        <f>IF(+All!$F812="Michigan State",+All!C812,IF(+All!$H812="Michigan State",+All!C812,0))</f>
        <v>44891</v>
      </c>
      <c r="D87" s="490">
        <f>IF(+All!$F812="Michigan State",+All!D812,IF(+All!$H812="Michigan State",+All!D812,0))</f>
        <v>0.66666666666666663</v>
      </c>
      <c r="E87" s="461" t="str">
        <f>IF(+All!$F812="Michigan State",+All!E812,IF(+All!$H812="Michigan State",+All!E812,0))</f>
        <v>FS1</v>
      </c>
      <c r="F87" s="51" t="str">
        <f>IF(+All!$F812="Michigan State",+All!F812,IF(+All!$H812="Michigan State",+All!F812,0))</f>
        <v>Michigan State</v>
      </c>
      <c r="G87" s="52" t="str">
        <f>IF(+All!$F812="Michigan State",+All!G812,IF(+All!$H812="Michigan State",+All!G812,0))</f>
        <v>B10</v>
      </c>
      <c r="H87" s="51" t="str">
        <f>IF(+All!$F812="Michigan State",+All!H812,IF(+All!$H812="Michigan State",+All!H812,0))</f>
        <v>Penn State</v>
      </c>
      <c r="I87" s="52" t="str">
        <f>IF(+All!$F812="Michigan State",+All!I812,IF(+All!$H812="Michigan State",+All!I812,0))</f>
        <v>B10</v>
      </c>
      <c r="J87" s="460" t="str">
        <f>IF(+All!$F812="Michigan State",+All!J812,IF(+All!$H812="Michigan State",+All!J812,0))</f>
        <v>Penn State</v>
      </c>
      <c r="K87" s="461" t="str">
        <f>IF(+All!$F812="Michigan State",+All!K812,IF(+All!$H812="Michigan State",+All!K812,0))</f>
        <v>Michigan State</v>
      </c>
      <c r="L87" s="54">
        <f>IF(+All!$F812="Michigan State",+All!L812,IF(+All!$H812="Michigan State",+All!L812,0))</f>
        <v>19</v>
      </c>
      <c r="M87" s="55">
        <f>IF(+All!$F812="Michigan State",+All!M812,IF(+All!$H812="Michigan State",+All!M812,0))</f>
        <v>53</v>
      </c>
      <c r="N87" s="460" t="str">
        <f>IF(+All!$F812="Michigan State",+All!N812,IF(+All!$H812="Michigan State",+All!N812,0))</f>
        <v>Penn State</v>
      </c>
      <c r="O87" s="462">
        <f>IF(+All!$F812="Michigan State",+All!O812,IF(+All!$H812="Michigan State",+All!O812,0))</f>
        <v>35</v>
      </c>
      <c r="P87" s="462" t="str">
        <f>IF(+All!$F812="Michigan State",+All!P812,IF(+All!$H812="Michigan State",+All!P812,0))</f>
        <v>Michigan State</v>
      </c>
      <c r="Q87" s="461">
        <f>IF(+All!$F812="Michigan State",+All!Q812,IF(+All!$H812="Michigan State",+All!Q812,0))</f>
        <v>16</v>
      </c>
      <c r="R87" s="460" t="str">
        <f>IF(+All!$F812="Michigan State",+All!R812,IF(+All!$H812="Michigan State",+All!R812,0))</f>
        <v>Penn State</v>
      </c>
      <c r="S87" s="462" t="str">
        <f>IF(+All!$F812="Michigan State",+All!S812,IF(+All!$H812="Michigan State",+All!S812,0))</f>
        <v>Michigan State</v>
      </c>
      <c r="T87" s="460" t="str">
        <f>IF(+All!$F812="Michigan State",+All!T812,IF(+All!$H812="Michigan State",+All!T812,0))</f>
        <v>Michigan State</v>
      </c>
      <c r="U87" s="461" t="str">
        <f>IF(+All!$F812="Michigan State",+All!U812,IF(+All!$H812="Michigan State",+All!U812,0))</f>
        <v>T</v>
      </c>
    </row>
    <row r="88" spans="1:21" x14ac:dyDescent="0.8">
      <c r="A88" s="38"/>
      <c r="B88" s="39"/>
      <c r="C88" s="40"/>
      <c r="D88" s="41"/>
      <c r="E88" s="463"/>
      <c r="F88" s="897" t="str">
        <f>H90</f>
        <v>Minnesota</v>
      </c>
      <c r="G88" s="903"/>
      <c r="H88" s="903"/>
      <c r="I88" s="904"/>
      <c r="J88" s="459"/>
      <c r="K88" s="463"/>
      <c r="L88" s="44"/>
      <c r="M88" s="45"/>
      <c r="N88" s="459"/>
      <c r="O88" s="5"/>
      <c r="P88" s="5"/>
      <c r="Q88" s="463"/>
      <c r="R88" s="459"/>
      <c r="S88" s="5"/>
      <c r="T88" s="459"/>
      <c r="U88" s="463"/>
    </row>
    <row r="89" spans="1:21" x14ac:dyDescent="0.8">
      <c r="A89" s="46">
        <f>IF(+All!$F22="Minnesota",+All!A22,IF(+All!$H22="Minnesota",+All!A22,0))</f>
        <v>1</v>
      </c>
      <c r="B89" s="348" t="str">
        <f>IF(+All!$F22="Minnesota",+All!B22,IF(+All!$H22="Minnesota",+All!B22,0))</f>
        <v>Thurs</v>
      </c>
      <c r="C89" s="48">
        <f>IF(+All!$F22="Minnesota",+All!C22,IF(+All!$H22="Minnesota",+All!C22,0))</f>
        <v>44805</v>
      </c>
      <c r="D89" s="490">
        <f>IF(+All!$F22="Minnesota",+All!D22,IF(+All!$H22="Minnesota",+All!D22,0))</f>
        <v>0.875</v>
      </c>
      <c r="E89" s="461" t="str">
        <f>IF(+All!$F22="Minnesota",+All!E22,IF(+All!$H22="Minnesota",+All!E22,0))</f>
        <v>BTN</v>
      </c>
      <c r="F89" s="51" t="str">
        <f>IF(+All!$F22="Minnesota",+All!F22,IF(+All!$H22="Minnesota",+All!F22,0))</f>
        <v>New Mexico State</v>
      </c>
      <c r="G89" s="63" t="str">
        <f>IF(+All!$F22="Minnesota",+All!G22,IF(+All!$H22="Minnesota",+All!G22,0))</f>
        <v>Ind</v>
      </c>
      <c r="H89" s="63" t="str">
        <f>IF(+All!$F22="Minnesota",+All!H22,IF(+All!$H22="Minnesota",+All!H22,0))</f>
        <v>Minnesota</v>
      </c>
      <c r="I89" s="52" t="str">
        <f>IF(+All!$F22="Minnesota",+All!I22,IF(+All!$H22="Minnesota",+All!I22,0))</f>
        <v>B10</v>
      </c>
      <c r="J89" s="460" t="str">
        <f>IF(+All!$F22="Minnesota",+All!J22,IF(+All!$H22="Minnesota",+All!J22,0))</f>
        <v>Minnesota</v>
      </c>
      <c r="K89" s="461" t="str">
        <f>IF(+All!$F22="Minnesota",+All!K22,IF(+All!$H22="Minnesota",+All!K22,0))</f>
        <v>New Mexico State</v>
      </c>
      <c r="L89" s="54">
        <f>IF(+All!$F22="Minnesota",+All!L22,IF(+All!$H22="Minnesota",+All!L22,0))</f>
        <v>36.5</v>
      </c>
      <c r="M89" s="55">
        <f>IF(+All!$F22="Minnesota",+All!M22,IF(+All!$H22="Minnesota",+All!M22,0))</f>
        <v>52.5</v>
      </c>
      <c r="N89" s="460" t="str">
        <f>IF(+All!$F22="Minnesota",+All!N22,IF(+All!$H22="Minnesota",+All!N22,0))</f>
        <v>Minnesota</v>
      </c>
      <c r="O89" s="462">
        <f>IF(+All!$F22="Minnesota",+All!O22,IF(+All!$H22="Minnesota",+All!O22,0))</f>
        <v>38</v>
      </c>
      <c r="P89" s="462" t="str">
        <f>IF(+All!$F22="Minnesota",+All!P22,IF(+All!$H22="Minnesota",+All!P22,0))</f>
        <v>New Mexico State</v>
      </c>
      <c r="Q89" s="461">
        <f>IF(+All!$F22="Minnesota",+All!Q22,IF(+All!$H22="Minnesota",+All!Q22,0))</f>
        <v>0</v>
      </c>
      <c r="R89" s="460" t="str">
        <f>IF(+All!$F22="Minnesota",+All!R22,IF(+All!$H22="Minnesota",+All!R22,0))</f>
        <v>Minnesota</v>
      </c>
      <c r="S89" s="462" t="str">
        <f>IF(+All!$F22="Minnesota",+All!S22,IF(+All!$H22="Minnesota",+All!S22,0))</f>
        <v>New Mexico State</v>
      </c>
      <c r="T89" s="460" t="str">
        <f>IF(+All!$F22="Minnesota",+All!T22,IF(+All!$H22="Minnesota",+All!T22,0))</f>
        <v>New Mexico State</v>
      </c>
      <c r="U89" s="461" t="str">
        <f>IF(+All!$F22="Minnesota",+All!U22,IF(+All!$H22="Minnesota",+All!U22,0))</f>
        <v>L</v>
      </c>
    </row>
    <row r="90" spans="1:21" x14ac:dyDescent="0.8">
      <c r="A90" s="46">
        <f>IF(+All!$F119="Minnesota",+All!A119,IF(+All!$H119="Minnesota",+All!A119,0))</f>
        <v>2</v>
      </c>
      <c r="B90" s="348" t="str">
        <f>IF(+All!$F119="Minnesota",+All!B119,IF(+All!$H119="Minnesota",+All!B119,0))</f>
        <v>Sat</v>
      </c>
      <c r="C90" s="48">
        <f>IF(+All!$F119="Minnesota",+All!C119,IF(+All!$H119="Minnesota",+All!C119,0))</f>
        <v>44814</v>
      </c>
      <c r="D90" s="490">
        <f>IF(+All!$F119="Minnesota",+All!D119,IF(+All!$H119="Minnesota",+All!D119,0))</f>
        <v>0.5</v>
      </c>
      <c r="E90" s="461" t="str">
        <f>IF(+All!$F119="Minnesota",+All!E119,IF(+All!$H119="Minnesota",+All!E119,0))</f>
        <v>BTN</v>
      </c>
      <c r="F90" s="51" t="str">
        <f>IF(+All!$F119="Minnesota",+All!F119,IF(+All!$H119="Minnesota",+All!F119,0))</f>
        <v>1AA Western Illinois</v>
      </c>
      <c r="G90" s="63" t="str">
        <f>IF(+All!$F119="Minnesota",+All!G119,IF(+All!$H119="Minnesota",+All!G119,0))</f>
        <v>1AA</v>
      </c>
      <c r="H90" s="63" t="str">
        <f>IF(+All!$F119="Minnesota",+All!H119,IF(+All!$H119="Minnesota",+All!H119,0))</f>
        <v>Minnesota</v>
      </c>
      <c r="I90" s="52" t="str">
        <f>IF(+All!$F119="Minnesota",+All!I119,IF(+All!$H119="Minnesota",+All!I119,0))</f>
        <v>B10</v>
      </c>
      <c r="J90" s="460">
        <f>IF(+All!$F119="Minnesota",+All!J119,IF(+All!$H119="Minnesota",+All!J119,0))</f>
        <v>0</v>
      </c>
      <c r="K90" s="461">
        <f>IF(+All!$F119="Minnesota",+All!K119,IF(+All!$H119="Minnesota",+All!K119,0))</f>
        <v>0</v>
      </c>
      <c r="L90" s="54">
        <f>IF(+All!$F119="Minnesota",+All!L119,IF(+All!$H119="Minnesota",+All!L119,0))</f>
        <v>0</v>
      </c>
      <c r="M90" s="55">
        <f>IF(+All!$F119="Minnesota",+All!M119,IF(+All!$H119="Minnesota",+All!M119,0))</f>
        <v>0</v>
      </c>
      <c r="N90" s="460" t="str">
        <f>IF(+All!$F119="Minnesota",+All!N119,IF(+All!$H119="Minnesota",+All!N119,0))</f>
        <v>Minnesota</v>
      </c>
      <c r="O90" s="462">
        <f>IF(+All!$F119="Minnesota",+All!O119,IF(+All!$H119="Minnesota",+All!O119,0))</f>
        <v>62</v>
      </c>
      <c r="P90" s="462" t="str">
        <f>IF(+All!$F119="Minnesota",+All!P119,IF(+All!$H119="Minnesota",+All!P119,0))</f>
        <v>1AA Western Illinois</v>
      </c>
      <c r="Q90" s="461">
        <f>IF(+All!$F119="Minnesota",+All!Q119,IF(+All!$H119="Minnesota",+All!Q119,0))</f>
        <v>10</v>
      </c>
      <c r="R90" s="460">
        <f>IF(+All!$F119="Minnesota",+All!R119,IF(+All!$H119="Minnesota",+All!R119,0))</f>
        <v>0</v>
      </c>
      <c r="S90" s="462">
        <f>IF(+All!$F119="Minnesota",+All!S119,IF(+All!$H119="Minnesota",+All!S119,0))</f>
        <v>0</v>
      </c>
      <c r="T90" s="460">
        <f>IF(+All!$F119="Minnesota",+All!T119,IF(+All!$H119="Minnesota",+All!T119,0))</f>
        <v>0</v>
      </c>
      <c r="U90" s="461">
        <f>IF(+All!$F119="Minnesota",+All!U119,IF(+All!$H119="Minnesota",+All!U119,0))</f>
        <v>0</v>
      </c>
    </row>
    <row r="91" spans="1:21" x14ac:dyDescent="0.8">
      <c r="A91" s="46">
        <f>IF(+All!$F201="Minnesota",+All!A201,IF(+All!$H201="Minnesota",+All!A201,0))</f>
        <v>3</v>
      </c>
      <c r="B91" s="348" t="str">
        <f>IF(+All!$F201="Minnesota",+All!B201,IF(+All!$H201="Minnesota",+All!B201,0))</f>
        <v>Sat</v>
      </c>
      <c r="C91" s="48">
        <f>IF(+All!$F201="Minnesota",+All!C201,IF(+All!$H201="Minnesota",+All!C201,0))</f>
        <v>44821</v>
      </c>
      <c r="D91" s="490">
        <f>IF(+All!$F201="Minnesota",+All!D201,IF(+All!$H201="Minnesota",+All!D201,0))</f>
        <v>0.64583333333333337</v>
      </c>
      <c r="E91" s="461" t="str">
        <f>IF(+All!$F201="Minnesota",+All!E201,IF(+All!$H201="Minnesota",+All!E201,0))</f>
        <v>ESPN2</v>
      </c>
      <c r="F91" s="51" t="str">
        <f>IF(+All!$F201="Minnesota",+All!F201,IF(+All!$H201="Minnesota",+All!F201,0))</f>
        <v>Colorado</v>
      </c>
      <c r="G91" s="63" t="str">
        <f>IF(+All!$F201="Minnesota",+All!G201,IF(+All!$H201="Minnesota",+All!G201,0))</f>
        <v>P12</v>
      </c>
      <c r="H91" s="63" t="str">
        <f>IF(+All!$F201="Minnesota",+All!H201,IF(+All!$H201="Minnesota",+All!H201,0))</f>
        <v>Minnesota</v>
      </c>
      <c r="I91" s="52" t="str">
        <f>IF(+All!$F201="Minnesota",+All!I201,IF(+All!$H201="Minnesota",+All!I201,0))</f>
        <v>B10</v>
      </c>
      <c r="J91" s="460" t="str">
        <f>IF(+All!$F201="Minnesota",+All!J201,IF(+All!$H201="Minnesota",+All!J201,0))</f>
        <v>Minnesota</v>
      </c>
      <c r="K91" s="461" t="str">
        <f>IF(+All!$F201="Minnesota",+All!K201,IF(+All!$H201="Minnesota",+All!K201,0))</f>
        <v>Colorado</v>
      </c>
      <c r="L91" s="54">
        <f>IF(+All!$F201="Minnesota",+All!L201,IF(+All!$H201="Minnesota",+All!L201,0))</f>
        <v>27</v>
      </c>
      <c r="M91" s="55">
        <f>IF(+All!$F201="Minnesota",+All!M201,IF(+All!$H201="Minnesota",+All!M201,0))</f>
        <v>46</v>
      </c>
      <c r="N91" s="460" t="str">
        <f>IF(+All!$F201="Minnesota",+All!N201,IF(+All!$H201="Minnesota",+All!N201,0))</f>
        <v>Minnesota</v>
      </c>
      <c r="O91" s="462">
        <f>IF(+All!$F201="Minnesota",+All!O201,IF(+All!$H201="Minnesota",+All!O201,0))</f>
        <v>49</v>
      </c>
      <c r="P91" s="462" t="str">
        <f>IF(+All!$F201="Minnesota",+All!P201,IF(+All!$H201="Minnesota",+All!P201,0))</f>
        <v>Colorado</v>
      </c>
      <c r="Q91" s="461">
        <f>IF(+All!$F201="Minnesota",+All!Q201,IF(+All!$H201="Minnesota",+All!Q201,0))</f>
        <v>7</v>
      </c>
      <c r="R91" s="460" t="str">
        <f>IF(+All!$F201="Minnesota",+All!R201,IF(+All!$H201="Minnesota",+All!R201,0))</f>
        <v>Minnesota</v>
      </c>
      <c r="S91" s="462" t="str">
        <f>IF(+All!$F201="Minnesota",+All!S201,IF(+All!$H201="Minnesota",+All!S201,0))</f>
        <v>Colorado</v>
      </c>
      <c r="T91" s="460" t="str">
        <f>IF(+All!$F201="Minnesota",+All!T201,IF(+All!$H201="Minnesota",+All!T201,0))</f>
        <v>Colorado</v>
      </c>
      <c r="U91" s="461" t="str">
        <f>IF(+All!$F201="Minnesota",+All!U201,IF(+All!$H201="Minnesota",+All!U201,0))</f>
        <v>L</v>
      </c>
    </row>
    <row r="92" spans="1:21" x14ac:dyDescent="0.8">
      <c r="A92" s="46">
        <f>IF(+All!$F274="Minnesota",+All!A274,IF(+All!$H274="Minnesota",+All!A274,0))</f>
        <v>4</v>
      </c>
      <c r="B92" s="348" t="str">
        <f>IF(+All!$F274="Minnesota",+All!B274,IF(+All!$H274="Minnesota",+All!B274,0))</f>
        <v>Sat</v>
      </c>
      <c r="C92" s="48">
        <f>IF(+All!$F274="Minnesota",+All!C274,IF(+All!$H274="Minnesota",+All!C274,0))</f>
        <v>44828</v>
      </c>
      <c r="D92" s="490">
        <f>IF(+All!$F274="Minnesota",+All!D274,IF(+All!$H274="Minnesota",+All!D274,0))</f>
        <v>0.64583333333333337</v>
      </c>
      <c r="E92" s="461" t="str">
        <f>IF(+All!$F274="Minnesota",+All!E274,IF(+All!$H274="Minnesota",+All!E274,0))</f>
        <v>BTN</v>
      </c>
      <c r="F92" s="51" t="str">
        <f>IF(+All!$F274="Minnesota",+All!F274,IF(+All!$H274="Minnesota",+All!F274,0))</f>
        <v>Minnesota</v>
      </c>
      <c r="G92" s="63" t="str">
        <f>IF(+All!$F274="Minnesota",+All!G274,IF(+All!$H274="Minnesota",+All!G274,0))</f>
        <v>B10</v>
      </c>
      <c r="H92" s="63" t="str">
        <f>IF(+All!$F274="Minnesota",+All!H274,IF(+All!$H274="Minnesota",+All!H274,0))</f>
        <v>Michigan State</v>
      </c>
      <c r="I92" s="52" t="str">
        <f>IF(+All!$F274="Minnesota",+All!I274,IF(+All!$H274="Minnesota",+All!I274,0))</f>
        <v>B10</v>
      </c>
      <c r="J92" s="460" t="str">
        <f>IF(+All!$F274="Minnesota",+All!J274,IF(+All!$H274="Minnesota",+All!J274,0))</f>
        <v>Minnesota</v>
      </c>
      <c r="K92" s="461" t="str">
        <f>IF(+All!$F274="Minnesota",+All!K274,IF(+All!$H274="Minnesota",+All!K274,0))</f>
        <v>Michigan State</v>
      </c>
      <c r="L92" s="54">
        <f>IF(+All!$F274="Minnesota",+All!L274,IF(+All!$H274="Minnesota",+All!L274,0))</f>
        <v>2.5</v>
      </c>
      <c r="M92" s="55">
        <f>IF(+All!$F274="Minnesota",+All!M274,IF(+All!$H274="Minnesota",+All!M274,0))</f>
        <v>51</v>
      </c>
      <c r="N92" s="460" t="str">
        <f>IF(+All!$F274="Minnesota",+All!N274,IF(+All!$H274="Minnesota",+All!N274,0))</f>
        <v>Minnesota</v>
      </c>
      <c r="O92" s="462">
        <f>IF(+All!$F274="Minnesota",+All!O274,IF(+All!$H274="Minnesota",+All!O274,0))</f>
        <v>34</v>
      </c>
      <c r="P92" s="462" t="str">
        <f>IF(+All!$F274="Minnesota",+All!P274,IF(+All!$H274="Minnesota",+All!P274,0))</f>
        <v>Michigan State</v>
      </c>
      <c r="Q92" s="461">
        <f>IF(+All!$F274="Minnesota",+All!Q274,IF(+All!$H274="Minnesota",+All!Q274,0))</f>
        <v>7</v>
      </c>
      <c r="R92" s="460" t="str">
        <f>IF(+All!$F274="Minnesota",+All!R274,IF(+All!$H274="Minnesota",+All!R274,0))</f>
        <v>Minnesota</v>
      </c>
      <c r="S92" s="462" t="str">
        <f>IF(+All!$F274="Minnesota",+All!S274,IF(+All!$H274="Minnesota",+All!S274,0))</f>
        <v>Michigan State</v>
      </c>
      <c r="T92" s="460" t="str">
        <f>IF(+All!$F274="Minnesota",+All!T274,IF(+All!$H274="Minnesota",+All!T274,0))</f>
        <v>Michigan State</v>
      </c>
      <c r="U92" s="461" t="str">
        <f>IF(+All!$F274="Minnesota",+All!U274,IF(+All!$H274="Minnesota",+All!U274,0))</f>
        <v>L</v>
      </c>
    </row>
    <row r="93" spans="1:21" x14ac:dyDescent="0.8">
      <c r="A93" s="46">
        <f>IF(+All!$F337="Minnesota",+All!A337,IF(+All!$H337="Minnesota",+All!A337,0))</f>
        <v>5</v>
      </c>
      <c r="B93" s="348" t="str">
        <f>IF(+All!$F337="Minnesota",+All!B337,IF(+All!$H337="Minnesota",+All!B337,0))</f>
        <v>Sat</v>
      </c>
      <c r="C93" s="48">
        <f>IF(+All!$F337="Minnesota",+All!C337,IF(+All!$H337="Minnesota",+All!C337,0))</f>
        <v>44835</v>
      </c>
      <c r="D93" s="490">
        <f>IF(+All!$F337="Minnesota",+All!D337,IF(+All!$H337="Minnesota",+All!D337,0))</f>
        <v>0.5</v>
      </c>
      <c r="E93" s="461" t="str">
        <f>IF(+All!$F337="Minnesota",+All!E337,IF(+All!$H337="Minnesota",+All!E337,0))</f>
        <v>ESPN2</v>
      </c>
      <c r="F93" s="51" t="str">
        <f>IF(+All!$F337="Minnesota",+All!F337,IF(+All!$H337="Minnesota",+All!F337,0))</f>
        <v>Purdue</v>
      </c>
      <c r="G93" s="63" t="str">
        <f>IF(+All!$F337="Minnesota",+All!G337,IF(+All!$H337="Minnesota",+All!G337,0))</f>
        <v>B10</v>
      </c>
      <c r="H93" s="63" t="str">
        <f>IF(+All!$F337="Minnesota",+All!H337,IF(+All!$H337="Minnesota",+All!H337,0))</f>
        <v>Minnesota</v>
      </c>
      <c r="I93" s="52" t="str">
        <f>IF(+All!$F337="Minnesota",+All!I337,IF(+All!$H337="Minnesota",+All!I337,0))</f>
        <v>B10</v>
      </c>
      <c r="J93" s="460" t="str">
        <f>IF(+All!$F337="Minnesota",+All!J337,IF(+All!$H337="Minnesota",+All!J337,0))</f>
        <v>Minnesota</v>
      </c>
      <c r="K93" s="461" t="str">
        <f>IF(+All!$F337="Minnesota",+All!K337,IF(+All!$H337="Minnesota",+All!K337,0))</f>
        <v>Purdue</v>
      </c>
      <c r="L93" s="54">
        <f>IF(+All!$F337="Minnesota",+All!L337,IF(+All!$H337="Minnesota",+All!L337,0))</f>
        <v>12</v>
      </c>
      <c r="M93" s="55">
        <f>IF(+All!$F337="Minnesota",+All!M337,IF(+All!$H337="Minnesota",+All!M337,0))</f>
        <v>52.5</v>
      </c>
      <c r="N93" s="460" t="str">
        <f>IF(+All!$F337="Minnesota",+All!N337,IF(+All!$H337="Minnesota",+All!N337,0))</f>
        <v>Purdue</v>
      </c>
      <c r="O93" s="462">
        <f>IF(+All!$F337="Minnesota",+All!O337,IF(+All!$H337="Minnesota",+All!O337,0))</f>
        <v>20</v>
      </c>
      <c r="P93" s="462" t="str">
        <f>IF(+All!$F337="Minnesota",+All!P337,IF(+All!$H337="Minnesota",+All!P337,0))</f>
        <v>Minnesota</v>
      </c>
      <c r="Q93" s="461">
        <f>IF(+All!$F337="Minnesota",+All!Q337,IF(+All!$H337="Minnesota",+All!Q337,0))</f>
        <v>10</v>
      </c>
      <c r="R93" s="460" t="str">
        <f>IF(+All!$F337="Minnesota",+All!R337,IF(+All!$H337="Minnesota",+All!R337,0))</f>
        <v>Purdue</v>
      </c>
      <c r="S93" s="462" t="str">
        <f>IF(+All!$F337="Minnesota",+All!S337,IF(+All!$H337="Minnesota",+All!S337,0))</f>
        <v>Minnesota</v>
      </c>
      <c r="T93" s="460" t="str">
        <f>IF(+All!$F337="Minnesota",+All!T337,IF(+All!$H337="Minnesota",+All!T337,0))</f>
        <v>Minnesota</v>
      </c>
      <c r="U93" s="461" t="str">
        <f>IF(+All!$F337="Minnesota",+All!U337,IF(+All!$H337="Minnesota",+All!U337,0))</f>
        <v>L</v>
      </c>
    </row>
    <row r="94" spans="1:21" x14ac:dyDescent="0.8">
      <c r="A94" s="46" t="e">
        <f>IF(+All!#REF!="Minnesota",+All!#REF!,IF(+All!#REF!="Minnesota",+All!#REF!,0))</f>
        <v>#REF!</v>
      </c>
      <c r="B94" s="348" t="e">
        <f>IF(+All!#REF!="Minnesota",+All!#REF!,IF(+All!#REF!="Minnesota",+All!#REF!,0))</f>
        <v>#REF!</v>
      </c>
      <c r="C94" s="48" t="e">
        <f>IF(+All!#REF!="Minnesota",+All!#REF!,IF(+All!#REF!="Minnesota",+All!#REF!,0))</f>
        <v>#REF!</v>
      </c>
      <c r="D94" s="490" t="e">
        <f>IF(+All!#REF!="Minnesota",+All!#REF!,IF(+All!#REF!="Minnesota",+All!#REF!,0))</f>
        <v>#REF!</v>
      </c>
      <c r="E94" s="461" t="e">
        <f>IF(+All!#REF!="Minnesota",+All!#REF!,IF(+All!#REF!="Minnesota",+All!#REF!,0))</f>
        <v>#REF!</v>
      </c>
      <c r="F94" s="51" t="e">
        <f>IF(+All!#REF!="Minnesota",+All!#REF!,IF(+All!#REF!="Minnesota",+All!#REF!,0))</f>
        <v>#REF!</v>
      </c>
      <c r="G94" s="63" t="e">
        <f>IF(+All!#REF!="Minnesota",+All!#REF!,IF(+All!#REF!="Minnesota",+All!#REF!,0))</f>
        <v>#REF!</v>
      </c>
      <c r="H94" s="63" t="e">
        <f>IF(+All!#REF!="Minnesota",+All!#REF!,IF(+All!#REF!="Minnesota",+All!#REF!,0))</f>
        <v>#REF!</v>
      </c>
      <c r="I94" s="52" t="e">
        <f>IF(+All!#REF!="Minnesota",+All!#REF!,IF(+All!#REF!="Minnesota",+All!#REF!,0))</f>
        <v>#REF!</v>
      </c>
      <c r="J94" s="460" t="e">
        <f>IF(+All!#REF!="Minnesota",+All!#REF!,IF(+All!#REF!="Minnesota",+All!#REF!,0))</f>
        <v>#REF!</v>
      </c>
      <c r="K94" s="461" t="e">
        <f>IF(+All!#REF!="Minnesota",+All!#REF!,IF(+All!#REF!="Minnesota",+All!#REF!,0))</f>
        <v>#REF!</v>
      </c>
      <c r="L94" s="54" t="e">
        <f>IF(+All!#REF!="Minnesota",+All!#REF!,IF(+All!#REF!="Minnesota",+All!#REF!,0))</f>
        <v>#REF!</v>
      </c>
      <c r="M94" s="55" t="e">
        <f>IF(+All!#REF!="Minnesota",+All!#REF!,IF(+All!#REF!="Minnesota",+All!#REF!,0))</f>
        <v>#REF!</v>
      </c>
      <c r="N94" s="460" t="e">
        <f>IF(+All!#REF!="Minnesota",+All!#REF!,IF(+All!#REF!="Minnesota",+All!#REF!,0))</f>
        <v>#REF!</v>
      </c>
      <c r="O94" s="462" t="e">
        <f>IF(+All!#REF!="Minnesota",+All!#REF!,IF(+All!#REF!="Minnesota",+All!#REF!,0))</f>
        <v>#REF!</v>
      </c>
      <c r="P94" s="462" t="e">
        <f>IF(+All!#REF!="Minnesota",+All!#REF!,IF(+All!#REF!="Minnesota",+All!#REF!,0))</f>
        <v>#REF!</v>
      </c>
      <c r="Q94" s="461" t="e">
        <f>IF(+All!#REF!="Minnesota",+All!#REF!,IF(+All!#REF!="Minnesota",+All!#REF!,0))</f>
        <v>#REF!</v>
      </c>
      <c r="R94" s="460" t="e">
        <f>IF(+All!#REF!="Minnesota",+All!#REF!,IF(+All!#REF!="Minnesota",+All!#REF!,0))</f>
        <v>#REF!</v>
      </c>
      <c r="S94" s="462" t="e">
        <f>IF(+All!#REF!="Minnesota",+All!#REF!,IF(+All!#REF!="Minnesota",+All!#REF!,0))</f>
        <v>#REF!</v>
      </c>
      <c r="T94" s="460" t="e">
        <f>IF(+All!#REF!="Minnesota",+All!#REF!,IF(+All!#REF!="Minnesota",+All!#REF!,0))</f>
        <v>#REF!</v>
      </c>
      <c r="U94" s="461" t="e">
        <f>IF(+All!#REF!="Minnesota",+All!#REF!,IF(+All!#REF!="Minnesota",+All!#REF!,0))</f>
        <v>#REF!</v>
      </c>
    </row>
    <row r="95" spans="1:21" x14ac:dyDescent="0.8">
      <c r="A95" s="46">
        <f>IF(+All!$F449="Minnesota",+All!A449,IF(+All!$H449="Minnesota",+All!A449,0))</f>
        <v>7</v>
      </c>
      <c r="B95" s="348" t="str">
        <f>IF(+All!$F449="Minnesota",+All!B449,IF(+All!$H449="Minnesota",+All!B449,0))</f>
        <v>Sat</v>
      </c>
      <c r="C95" s="48">
        <f>IF(+All!$F449="Minnesota",+All!C449,IF(+All!$H449="Minnesota",+All!C449,0))</f>
        <v>44849</v>
      </c>
      <c r="D95" s="490">
        <f>IF(+All!$F449="Minnesota",+All!D449,IF(+All!$H449="Minnesota",+All!D449,0))</f>
        <v>0.5</v>
      </c>
      <c r="E95" s="461" t="str">
        <f>IF(+All!$F449="Minnesota",+All!E449,IF(+All!$H449="Minnesota",+All!E449,0))</f>
        <v>BTN</v>
      </c>
      <c r="F95" s="51" t="str">
        <f>IF(+All!$F449="Minnesota",+All!F449,IF(+All!$H449="Minnesota",+All!F449,0))</f>
        <v>Minnesota</v>
      </c>
      <c r="G95" s="63" t="str">
        <f>IF(+All!$F449="Minnesota",+All!G449,IF(+All!$H449="Minnesota",+All!G449,0))</f>
        <v>B10</v>
      </c>
      <c r="H95" s="63" t="str">
        <f>IF(+All!$F449="Minnesota",+All!H449,IF(+All!$H449="Minnesota",+All!H449,0))</f>
        <v>Illinois</v>
      </c>
      <c r="I95" s="52" t="str">
        <f>IF(+All!$F449="Minnesota",+All!I449,IF(+All!$H449="Minnesota",+All!I449,0))</f>
        <v>B10</v>
      </c>
      <c r="J95" s="460" t="str">
        <f>IF(+All!$F449="Minnesota",+All!J449,IF(+All!$H449="Minnesota",+All!J449,0))</f>
        <v>Minnesota</v>
      </c>
      <c r="K95" s="461" t="str">
        <f>IF(+All!$F449="Minnesota",+All!K449,IF(+All!$H449="Minnesota",+All!K449,0))</f>
        <v>Illinois</v>
      </c>
      <c r="L95" s="54">
        <f>IF(+All!$F449="Minnesota",+All!L449,IF(+All!$H449="Minnesota",+All!L449,0))</f>
        <v>6.5</v>
      </c>
      <c r="M95" s="55">
        <f>IF(+All!$F449="Minnesota",+All!M449,IF(+All!$H449="Minnesota",+All!M449,0))</f>
        <v>39.5</v>
      </c>
      <c r="N95" s="460" t="str">
        <f>IF(+All!$F449="Minnesota",+All!N449,IF(+All!$H449="Minnesota",+All!N449,0))</f>
        <v>Illinois</v>
      </c>
      <c r="O95" s="462">
        <f>IF(+All!$F449="Minnesota",+All!O449,IF(+All!$H449="Minnesota",+All!O449,0))</f>
        <v>26</v>
      </c>
      <c r="P95" s="462" t="str">
        <f>IF(+All!$F449="Minnesota",+All!P449,IF(+All!$H449="Minnesota",+All!P449,0))</f>
        <v>Minnesota</v>
      </c>
      <c r="Q95" s="461">
        <f>IF(+All!$F449="Minnesota",+All!Q449,IF(+All!$H449="Minnesota",+All!Q449,0))</f>
        <v>14</v>
      </c>
      <c r="R95" s="460" t="str">
        <f>IF(+All!$F449="Minnesota",+All!R449,IF(+All!$H449="Minnesota",+All!R449,0))</f>
        <v>Illinois</v>
      </c>
      <c r="S95" s="462" t="str">
        <f>IF(+All!$F449="Minnesota",+All!S449,IF(+All!$H449="Minnesota",+All!S449,0))</f>
        <v>Minnesota</v>
      </c>
      <c r="T95" s="460" t="str">
        <f>IF(+All!$F449="Minnesota",+All!T449,IF(+All!$H449="Minnesota",+All!T449,0))</f>
        <v>Illinois</v>
      </c>
      <c r="U95" s="461" t="str">
        <f>IF(+All!$F449="Minnesota",+All!U449,IF(+All!$H449="Minnesota",+All!U449,0))</f>
        <v>W</v>
      </c>
    </row>
    <row r="96" spans="1:21" x14ac:dyDescent="0.8">
      <c r="A96" s="46">
        <f>IF(+All!$F506="Minnesota",+All!A506,IF(+All!$H506="Minnesota",+All!A506,0))</f>
        <v>8</v>
      </c>
      <c r="B96" s="348" t="str">
        <f>IF(+All!$F506="Minnesota",+All!B506,IF(+All!$H506="Minnesota",+All!B506,0))</f>
        <v>Sat</v>
      </c>
      <c r="C96" s="48">
        <f>IF(+All!$F506="Minnesota",+All!C506,IF(+All!$H506="Minnesota",+All!C506,0))</f>
        <v>44856</v>
      </c>
      <c r="D96" s="490">
        <f>IF(+All!$F506="Minnesota",+All!D506,IF(+All!$H506="Minnesota",+All!D506,0))</f>
        <v>0.8125</v>
      </c>
      <c r="E96" s="461" t="str">
        <f>IF(+All!$F506="Minnesota",+All!E506,IF(+All!$H506="Minnesota",+All!E506,0))</f>
        <v>ABC</v>
      </c>
      <c r="F96" s="51" t="str">
        <f>IF(+All!$F506="Minnesota",+All!F506,IF(+All!$H506="Minnesota",+All!F506,0))</f>
        <v>Minnesota</v>
      </c>
      <c r="G96" s="63" t="str">
        <f>IF(+All!$F506="Minnesota",+All!G506,IF(+All!$H506="Minnesota",+All!G506,0))</f>
        <v>B10</v>
      </c>
      <c r="H96" s="63" t="str">
        <f>IF(+All!$F506="Minnesota",+All!H506,IF(+All!$H506="Minnesota",+All!H506,0))</f>
        <v>Penn State</v>
      </c>
      <c r="I96" s="52" t="str">
        <f>IF(+All!$F506="Minnesota",+All!I506,IF(+All!$H506="Minnesota",+All!I506,0))</f>
        <v>B10</v>
      </c>
      <c r="J96" s="460" t="str">
        <f>IF(+All!$F506="Minnesota",+All!J506,IF(+All!$H506="Minnesota",+All!J506,0))</f>
        <v>Penn State</v>
      </c>
      <c r="K96" s="461" t="str">
        <f>IF(+All!$F506="Minnesota",+All!K506,IF(+All!$H506="Minnesota",+All!K506,0))</f>
        <v>Minnesota</v>
      </c>
      <c r="L96" s="54">
        <f>IF(+All!$F506="Minnesota",+All!L506,IF(+All!$H506="Minnesota",+All!L506,0))</f>
        <v>5</v>
      </c>
      <c r="M96" s="55">
        <f>IF(+All!$F506="Minnesota",+All!M506,IF(+All!$H506="Minnesota",+All!M506,0))</f>
        <v>44.5</v>
      </c>
      <c r="N96" s="460" t="str">
        <f>IF(+All!$F506="Minnesota",+All!N506,IF(+All!$H506="Minnesota",+All!N506,0))</f>
        <v>Penn State</v>
      </c>
      <c r="O96" s="462">
        <f>IF(+All!$F506="Minnesota",+All!O506,IF(+All!$H506="Minnesota",+All!O506,0))</f>
        <v>45</v>
      </c>
      <c r="P96" s="462" t="str">
        <f>IF(+All!$F506="Minnesota",+All!P506,IF(+All!$H506="Minnesota",+All!P506,0))</f>
        <v>Minnesota</v>
      </c>
      <c r="Q96" s="461">
        <f>IF(+All!$F506="Minnesota",+All!Q506,IF(+All!$H506="Minnesota",+All!Q506,0))</f>
        <v>17</v>
      </c>
      <c r="R96" s="460" t="str">
        <f>IF(+All!$F506="Minnesota",+All!R506,IF(+All!$H506="Minnesota",+All!R506,0))</f>
        <v>Penn State</v>
      </c>
      <c r="S96" s="462" t="str">
        <f>IF(+All!$F506="Minnesota",+All!S506,IF(+All!$H506="Minnesota",+All!S506,0))</f>
        <v>Minnesota</v>
      </c>
      <c r="T96" s="460" t="str">
        <f>IF(+All!$F506="Minnesota",+All!T506,IF(+All!$H506="Minnesota",+All!T506,0))</f>
        <v>Minnesota</v>
      </c>
      <c r="U96" s="461" t="str">
        <f>IF(+All!$F506="Minnesota",+All!U506,IF(+All!$H506="Minnesota",+All!U506,0))</f>
        <v>L</v>
      </c>
    </row>
    <row r="97" spans="1:21" x14ac:dyDescent="0.8">
      <c r="A97" s="46">
        <f>IF(+All!$F561="Minnesota",+All!A561,IF(+All!$H561="Minnesota",+All!A561,0))</f>
        <v>9</v>
      </c>
      <c r="B97" s="348" t="str">
        <f>IF(+All!$F561="Minnesota",+All!B561,IF(+All!$H561="Minnesota",+All!B561,0))</f>
        <v>Sat</v>
      </c>
      <c r="C97" s="48">
        <f>IF(+All!$F561="Minnesota",+All!C561,IF(+All!$H561="Minnesota",+All!C561,0))</f>
        <v>44863</v>
      </c>
      <c r="D97" s="490">
        <f>IF(+All!$F561="Minnesota",+All!D561,IF(+All!$H561="Minnesota",+All!D561,0))</f>
        <v>0.64583333333333337</v>
      </c>
      <c r="E97" s="461">
        <f>IF(+All!$F561="Minnesota",+All!E561,IF(+All!$H561="Minnesota",+All!E561,0))</f>
        <v>0</v>
      </c>
      <c r="F97" s="51" t="str">
        <f>IF(+All!$F561="Minnesota",+All!F561,IF(+All!$H561="Minnesota",+All!F561,0))</f>
        <v>Rutgers</v>
      </c>
      <c r="G97" s="63" t="str">
        <f>IF(+All!$F561="Minnesota",+All!G561,IF(+All!$H561="Minnesota",+All!G561,0))</f>
        <v>B10</v>
      </c>
      <c r="H97" s="63" t="str">
        <f>IF(+All!$F561="Minnesota",+All!H561,IF(+All!$H561="Minnesota",+All!H561,0))</f>
        <v>Minnesota</v>
      </c>
      <c r="I97" s="52" t="str">
        <f>IF(+All!$F561="Minnesota",+All!I561,IF(+All!$H561="Minnesota",+All!I561,0))</f>
        <v>B10</v>
      </c>
      <c r="J97" s="460" t="str">
        <f>IF(+All!$F561="Minnesota",+All!J561,IF(+All!$H561="Minnesota",+All!J561,0))</f>
        <v>Minnesota</v>
      </c>
      <c r="K97" s="461" t="str">
        <f>IF(+All!$F561="Minnesota",+All!K561,IF(+All!$H561="Minnesota",+All!K561,0))</f>
        <v>Rutgers</v>
      </c>
      <c r="L97" s="54">
        <f>IF(+All!$F561="Minnesota",+All!L561,IF(+All!$H561="Minnesota",+All!L561,0))</f>
        <v>14</v>
      </c>
      <c r="M97" s="55">
        <f>IF(+All!$F561="Minnesota",+All!M561,IF(+All!$H561="Minnesota",+All!M561,0))</f>
        <v>41</v>
      </c>
      <c r="N97" s="460" t="str">
        <f>IF(+All!$F561="Minnesota",+All!N561,IF(+All!$H561="Minnesota",+All!N561,0))</f>
        <v>Minnesota</v>
      </c>
      <c r="O97" s="462">
        <f>IF(+All!$F561="Minnesota",+All!O561,IF(+All!$H561="Minnesota",+All!O561,0))</f>
        <v>31</v>
      </c>
      <c r="P97" s="462" t="str">
        <f>IF(+All!$F561="Minnesota",+All!P561,IF(+All!$H561="Minnesota",+All!P561,0))</f>
        <v>Rutgers</v>
      </c>
      <c r="Q97" s="461">
        <f>IF(+All!$F561="Minnesota",+All!Q561,IF(+All!$H561="Minnesota",+All!Q561,0))</f>
        <v>0</v>
      </c>
      <c r="R97" s="460" t="str">
        <f>IF(+All!$F561="Minnesota",+All!R561,IF(+All!$H561="Minnesota",+All!R561,0))</f>
        <v>Minnesota</v>
      </c>
      <c r="S97" s="462" t="str">
        <f>IF(+All!$F561="Minnesota",+All!S561,IF(+All!$H561="Minnesota",+All!S561,0))</f>
        <v>Rutgers</v>
      </c>
      <c r="T97" s="460" t="str">
        <f>IF(+All!$F561="Minnesota",+All!T561,IF(+All!$H561="Minnesota",+All!T561,0))</f>
        <v>Rutgers</v>
      </c>
      <c r="U97" s="461" t="str">
        <f>IF(+All!$F561="Minnesota",+All!U561,IF(+All!$H561="Minnesota",+All!U561,0))</f>
        <v>L</v>
      </c>
    </row>
    <row r="98" spans="1:21" x14ac:dyDescent="0.8">
      <c r="A98" s="46">
        <f>IF(+All!$F615="Minnesota",+All!A615,IF(+All!$H615="Minnesota",+All!A615,0))</f>
        <v>10</v>
      </c>
      <c r="B98" s="348" t="str">
        <f>IF(+All!$F615="Minnesota",+All!B615,IF(+All!$H615="Minnesota",+All!B615,0))</f>
        <v>Sat</v>
      </c>
      <c r="C98" s="48">
        <f>IF(+All!$F615="Minnesota",+All!C615,IF(+All!$H615="Minnesota",+All!C615,0))</f>
        <v>44870</v>
      </c>
      <c r="D98" s="490">
        <f>IF(+All!$F615="Minnesota",+All!D615,IF(+All!$H615="Minnesota",+All!D615,0))</f>
        <v>0.5</v>
      </c>
      <c r="E98" s="461" t="str">
        <f>IF(+All!$F615="Minnesota",+All!E615,IF(+All!$H615="Minnesota",+All!E615,0))</f>
        <v>ESPN2</v>
      </c>
      <c r="F98" s="51" t="str">
        <f>IF(+All!$F615="Minnesota",+All!F615,IF(+All!$H615="Minnesota",+All!F615,0))</f>
        <v>Minnesota</v>
      </c>
      <c r="G98" s="63" t="str">
        <f>IF(+All!$F615="Minnesota",+All!G615,IF(+All!$H615="Minnesota",+All!G615,0))</f>
        <v>B10</v>
      </c>
      <c r="H98" s="63" t="str">
        <f>IF(+All!$F615="Minnesota",+All!H615,IF(+All!$H615="Minnesota",+All!H615,0))</f>
        <v>Nebraska</v>
      </c>
      <c r="I98" s="52" t="str">
        <f>IF(+All!$F615="Minnesota",+All!I615,IF(+All!$H615="Minnesota",+All!I615,0))</f>
        <v>B10</v>
      </c>
      <c r="J98" s="460" t="str">
        <f>IF(+All!$F615="Minnesota",+All!J615,IF(+All!$H615="Minnesota",+All!J615,0))</f>
        <v>Minnesota</v>
      </c>
      <c r="K98" s="461" t="str">
        <f>IF(+All!$F615="Minnesota",+All!K615,IF(+All!$H615="Minnesota",+All!K615,0))</f>
        <v>Nebraska</v>
      </c>
      <c r="L98" s="54">
        <f>IF(+All!$F615="Minnesota",+All!L615,IF(+All!$H615="Minnesota",+All!L615,0))</f>
        <v>16</v>
      </c>
      <c r="M98" s="55">
        <f>IF(+All!$F615="Minnesota",+All!M615,IF(+All!$H615="Minnesota",+All!M615,0))</f>
        <v>46.5</v>
      </c>
      <c r="N98" s="460" t="str">
        <f>IF(+All!$F615="Minnesota",+All!N615,IF(+All!$H615="Minnesota",+All!N615,0))</f>
        <v>Minnesota</v>
      </c>
      <c r="O98" s="462">
        <f>IF(+All!$F615="Minnesota",+All!O615,IF(+All!$H615="Minnesota",+All!O615,0))</f>
        <v>20</v>
      </c>
      <c r="P98" s="462" t="str">
        <f>IF(+All!$F615="Minnesota",+All!P615,IF(+All!$H615="Minnesota",+All!P615,0))</f>
        <v>Nebraska</v>
      </c>
      <c r="Q98" s="461">
        <f>IF(+All!$F615="Minnesota",+All!Q615,IF(+All!$H615="Minnesota",+All!Q615,0))</f>
        <v>13</v>
      </c>
      <c r="R98" s="460" t="str">
        <f>IF(+All!$F615="Minnesota",+All!R615,IF(+All!$H615="Minnesota",+All!R615,0))</f>
        <v>Nebraska</v>
      </c>
      <c r="S98" s="462" t="str">
        <f>IF(+All!$F615="Minnesota",+All!S615,IF(+All!$H615="Minnesota",+All!S615,0))</f>
        <v>Minnesota</v>
      </c>
      <c r="T98" s="460" t="str">
        <f>IF(+All!$F615="Minnesota",+All!T615,IF(+All!$H615="Minnesota",+All!T615,0))</f>
        <v>Nebraska</v>
      </c>
      <c r="U98" s="461" t="str">
        <f>IF(+All!$F615="Minnesota",+All!U615,IF(+All!$H615="Minnesota",+All!U615,0))</f>
        <v>W</v>
      </c>
    </row>
    <row r="99" spans="1:21" x14ac:dyDescent="0.8">
      <c r="A99" s="46">
        <f>IF(+All!$F679="Minnesota",+All!A679,IF(+All!$H679="Minnesota",+All!A679,0))</f>
        <v>11</v>
      </c>
      <c r="B99" s="348" t="str">
        <f>IF(+All!$F679="Minnesota",+All!B679,IF(+All!$H679="Minnesota",+All!B679,0))</f>
        <v>Sat</v>
      </c>
      <c r="C99" s="48">
        <f>IF(+All!$F679="Minnesota",+All!C679,IF(+All!$H679="Minnesota",+All!C679,0))</f>
        <v>44877</v>
      </c>
      <c r="D99" s="490">
        <f>IF(+All!$F679="Minnesota",+All!D679,IF(+All!$H679="Minnesota",+All!D679,0))</f>
        <v>0.64583333333333337</v>
      </c>
      <c r="E99" s="461" t="str">
        <f>IF(+All!$F679="Minnesota",+All!E679,IF(+All!$H679="Minnesota",+All!E679,0))</f>
        <v>BTN</v>
      </c>
      <c r="F99" s="51" t="str">
        <f>IF(+All!$F679="Minnesota",+All!F679,IF(+All!$H679="Minnesota",+All!F679,0))</f>
        <v>Northwestern</v>
      </c>
      <c r="G99" s="63" t="str">
        <f>IF(+All!$F679="Minnesota",+All!G679,IF(+All!$H679="Minnesota",+All!G679,0))</f>
        <v>B10</v>
      </c>
      <c r="H99" s="63" t="str">
        <f>IF(+All!$F679="Minnesota",+All!H679,IF(+All!$H679="Minnesota",+All!H679,0))</f>
        <v>Minnesota</v>
      </c>
      <c r="I99" s="52" t="str">
        <f>IF(+All!$F679="Minnesota",+All!I679,IF(+All!$H679="Minnesota",+All!I679,0))</f>
        <v>B10</v>
      </c>
      <c r="J99" s="460" t="str">
        <f>IF(+All!$F679="Minnesota",+All!J679,IF(+All!$H679="Minnesota",+All!J679,0))</f>
        <v>Minnesota</v>
      </c>
      <c r="K99" s="461" t="str">
        <f>IF(+All!$F679="Minnesota",+All!K679,IF(+All!$H679="Minnesota",+All!K679,0))</f>
        <v>Northwestern</v>
      </c>
      <c r="L99" s="54">
        <f>IF(+All!$F679="Minnesota",+All!L679,IF(+All!$H679="Minnesota",+All!L679,0))</f>
        <v>17.5</v>
      </c>
      <c r="M99" s="55">
        <f>IF(+All!$F679="Minnesota",+All!M679,IF(+All!$H679="Minnesota",+All!M679,0))</f>
        <v>41</v>
      </c>
      <c r="N99" s="460" t="str">
        <f>IF(+All!$F679="Minnesota",+All!N679,IF(+All!$H679="Minnesota",+All!N679,0))</f>
        <v>Minnesota</v>
      </c>
      <c r="O99" s="462">
        <f>IF(+All!$F679="Minnesota",+All!O679,IF(+All!$H679="Minnesota",+All!O679,0))</f>
        <v>31</v>
      </c>
      <c r="P99" s="462" t="str">
        <f>IF(+All!$F679="Minnesota",+All!P679,IF(+All!$H679="Minnesota",+All!P679,0))</f>
        <v>Northwestern</v>
      </c>
      <c r="Q99" s="461">
        <f>IF(+All!$F679="Minnesota",+All!Q679,IF(+All!$H679="Minnesota",+All!Q679,0))</f>
        <v>3</v>
      </c>
      <c r="R99" s="460" t="str">
        <f>IF(+All!$F679="Minnesota",+All!R679,IF(+All!$H679="Minnesota",+All!R679,0))</f>
        <v>Minnesota</v>
      </c>
      <c r="S99" s="462" t="str">
        <f>IF(+All!$F679="Minnesota",+All!S679,IF(+All!$H679="Minnesota",+All!S679,0))</f>
        <v>Northwestern</v>
      </c>
      <c r="T99" s="460" t="str">
        <f>IF(+All!$F679="Minnesota",+All!T679,IF(+All!$H679="Minnesota",+All!T679,0))</f>
        <v>Minnesota</v>
      </c>
      <c r="U99" s="461" t="str">
        <f>IF(+All!$F679="Minnesota",+All!U679,IF(+All!$H679="Minnesota",+All!U679,0))</f>
        <v>W</v>
      </c>
    </row>
    <row r="100" spans="1:21" x14ac:dyDescent="0.8">
      <c r="A100" s="46">
        <f>IF(+All!$F740="Minnesota",+All!A740,IF(+All!$H740="Minnesota",+All!A740,0))</f>
        <v>12</v>
      </c>
      <c r="B100" s="348" t="str">
        <f>IF(+All!$F740="Minnesota",+All!B740,IF(+All!$H740="Minnesota",+All!B740,0))</f>
        <v>Sat</v>
      </c>
      <c r="C100" s="48">
        <f>IF(+All!$F740="Minnesota",+All!C740,IF(+All!$H740="Minnesota",+All!C740,0))</f>
        <v>44884</v>
      </c>
      <c r="D100" s="490">
        <f>IF(+All!$F740="Minnesota",+All!D740,IF(+All!$H740="Minnesota",+All!D740,0))</f>
        <v>0.66666666666666663</v>
      </c>
      <c r="E100" s="461" t="str">
        <f>IF(+All!$F740="Minnesota",+All!E740,IF(+All!$H740="Minnesota",+All!E740,0))</f>
        <v>Fox</v>
      </c>
      <c r="F100" s="51" t="str">
        <f>IF(+All!$F740="Minnesota",+All!F740,IF(+All!$H740="Minnesota",+All!F740,0))</f>
        <v>Iowa</v>
      </c>
      <c r="G100" s="63" t="str">
        <f>IF(+All!$F740="Minnesota",+All!G740,IF(+All!$H740="Minnesota",+All!G740,0))</f>
        <v>B10</v>
      </c>
      <c r="H100" s="63" t="str">
        <f>IF(+All!$F740="Minnesota",+All!H740,IF(+All!$H740="Minnesota",+All!H740,0))</f>
        <v>Minnesota</v>
      </c>
      <c r="I100" s="52" t="str">
        <f>IF(+All!$F740="Minnesota",+All!I740,IF(+All!$H740="Minnesota",+All!I740,0))</f>
        <v>B10</v>
      </c>
      <c r="J100" s="460" t="str">
        <f>IF(+All!$F740="Minnesota",+All!J740,IF(+All!$H740="Minnesota",+All!J740,0))</f>
        <v>Minnesota</v>
      </c>
      <c r="K100" s="461" t="str">
        <f>IF(+All!$F740="Minnesota",+All!K740,IF(+All!$H740="Minnesota",+All!K740,0))</f>
        <v>Iowa</v>
      </c>
      <c r="L100" s="54">
        <f>IF(+All!$F740="Minnesota",+All!L740,IF(+All!$H740="Minnesota",+All!L740,0))</f>
        <v>3</v>
      </c>
      <c r="M100" s="55">
        <f>IF(+All!$F740="Minnesota",+All!M740,IF(+All!$H740="Minnesota",+All!M740,0))</f>
        <v>32.5</v>
      </c>
      <c r="N100" s="460" t="str">
        <f>IF(+All!$F740="Minnesota",+All!N740,IF(+All!$H740="Minnesota",+All!N740,0))</f>
        <v>Iowa</v>
      </c>
      <c r="O100" s="462">
        <f>IF(+All!$F740="Minnesota",+All!O740,IF(+All!$H740="Minnesota",+All!O740,0))</f>
        <v>13</v>
      </c>
      <c r="P100" s="462" t="str">
        <f>IF(+All!$F740="Minnesota",+All!P740,IF(+All!$H740="Minnesota",+All!P740,0))</f>
        <v>Minnesota</v>
      </c>
      <c r="Q100" s="461">
        <f>IF(+All!$F740="Minnesota",+All!Q740,IF(+All!$H740="Minnesota",+All!Q740,0))</f>
        <v>10</v>
      </c>
      <c r="R100" s="460" t="str">
        <f>IF(+All!$F740="Minnesota",+All!R740,IF(+All!$H740="Minnesota",+All!R740,0))</f>
        <v>Iowa</v>
      </c>
      <c r="S100" s="462" t="str">
        <f>IF(+All!$F740="Minnesota",+All!S740,IF(+All!$H740="Minnesota",+All!S740,0))</f>
        <v>Minnesota</v>
      </c>
      <c r="T100" s="460" t="str">
        <f>IF(+All!$F740="Minnesota",+All!T740,IF(+All!$H740="Minnesota",+All!T740,0))</f>
        <v>Iowa</v>
      </c>
      <c r="U100" s="461" t="str">
        <f>IF(+All!$F740="Minnesota",+All!U740,IF(+All!$H740="Minnesota",+All!U740,0))</f>
        <v>W</v>
      </c>
    </row>
    <row r="101" spans="1:21" x14ac:dyDescent="0.8">
      <c r="A101" s="46">
        <f>IF(+All!$F813="Minnesota",+All!A813,IF(+All!$H813="Minnesota",+All!A813,0))</f>
        <v>13</v>
      </c>
      <c r="B101" s="348" t="str">
        <f>IF(+All!$F813="Minnesota",+All!B813,IF(+All!$H813="Minnesota",+All!B813,0))</f>
        <v>Sat</v>
      </c>
      <c r="C101" s="48">
        <f>IF(+All!$F813="Minnesota",+All!C813,IF(+All!$H813="Minnesota",+All!C813,0))</f>
        <v>44891</v>
      </c>
      <c r="D101" s="490">
        <f>IF(+All!$F813="Minnesota",+All!D813,IF(+All!$H813="Minnesota",+All!D813,0))</f>
        <v>0.64583333333333337</v>
      </c>
      <c r="E101" s="461" t="str">
        <f>IF(+All!$F813="Minnesota",+All!E813,IF(+All!$H813="Minnesota",+All!E813,0))</f>
        <v>ESPN</v>
      </c>
      <c r="F101" s="51" t="str">
        <f>IF(+All!$F813="Minnesota",+All!F813,IF(+All!$H813="Minnesota",+All!F813,0))</f>
        <v>Minnesota</v>
      </c>
      <c r="G101" s="63" t="str">
        <f>IF(+All!$F813="Minnesota",+All!G813,IF(+All!$H813="Minnesota",+All!G813,0))</f>
        <v>B10</v>
      </c>
      <c r="H101" s="63" t="str">
        <f>IF(+All!$F813="Minnesota",+All!H813,IF(+All!$H813="Minnesota",+All!H813,0))</f>
        <v>Wisconsin</v>
      </c>
      <c r="I101" s="52" t="str">
        <f>IF(+All!$F813="Minnesota",+All!I813,IF(+All!$H813="Minnesota",+All!I813,0))</f>
        <v>B10</v>
      </c>
      <c r="J101" s="460" t="str">
        <f>IF(+All!$F813="Minnesota",+All!J813,IF(+All!$H813="Minnesota",+All!J813,0))</f>
        <v>Wisconsin</v>
      </c>
      <c r="K101" s="461" t="str">
        <f>IF(+All!$F813="Minnesota",+All!K813,IF(+All!$H813="Minnesota",+All!K813,0))</f>
        <v>Minnesota</v>
      </c>
      <c r="L101" s="54">
        <f>IF(+All!$F813="Minnesota",+All!L813,IF(+All!$H813="Minnesota",+All!L813,0))</f>
        <v>3.5</v>
      </c>
      <c r="M101" s="55">
        <f>IF(+All!$F813="Minnesota",+All!M813,IF(+All!$H813="Minnesota",+All!M813,0))</f>
        <v>36</v>
      </c>
      <c r="N101" s="460" t="str">
        <f>IF(+All!$F813="Minnesota",+All!N813,IF(+All!$H813="Minnesota",+All!N813,0))</f>
        <v>Minnesota</v>
      </c>
      <c r="O101" s="462">
        <f>IF(+All!$F813="Minnesota",+All!O813,IF(+All!$H813="Minnesota",+All!O813,0))</f>
        <v>23</v>
      </c>
      <c r="P101" s="462" t="str">
        <f>IF(+All!$F813="Minnesota",+All!P813,IF(+All!$H813="Minnesota",+All!P813,0))</f>
        <v>Wisconsin</v>
      </c>
      <c r="Q101" s="461">
        <f>IF(+All!$F813="Minnesota",+All!Q813,IF(+All!$H813="Minnesota",+All!Q813,0))</f>
        <v>16</v>
      </c>
      <c r="R101" s="460" t="str">
        <f>IF(+All!$F813="Minnesota",+All!R813,IF(+All!$H813="Minnesota",+All!R813,0))</f>
        <v>Minnesota</v>
      </c>
      <c r="S101" s="462" t="str">
        <f>IF(+All!$F813="Minnesota",+All!S813,IF(+All!$H813="Minnesota",+All!S813,0))</f>
        <v>Wisconsin</v>
      </c>
      <c r="T101" s="460" t="str">
        <f>IF(+All!$F813="Minnesota",+All!T813,IF(+All!$H813="Minnesota",+All!T813,0))</f>
        <v>Wisconsin</v>
      </c>
      <c r="U101" s="461" t="str">
        <f>IF(+All!$F813="Minnesota",+All!U813,IF(+All!$H813="Minnesota",+All!U813,0))</f>
        <v>L</v>
      </c>
    </row>
    <row r="102" spans="1:21" x14ac:dyDescent="0.8">
      <c r="A102" s="38"/>
      <c r="B102" s="39"/>
      <c r="C102" s="40"/>
      <c r="D102" s="41"/>
      <c r="E102" s="463"/>
      <c r="F102" s="897" t="str">
        <f>H104</f>
        <v>Nebraska</v>
      </c>
      <c r="G102" s="903"/>
      <c r="H102" s="903"/>
      <c r="I102" s="904"/>
      <c r="J102" s="459"/>
      <c r="K102" s="463"/>
      <c r="L102" s="44"/>
      <c r="M102" s="45"/>
      <c r="N102" s="459"/>
      <c r="O102" s="5"/>
      <c r="P102" s="5"/>
      <c r="Q102" s="463"/>
      <c r="R102" s="459"/>
      <c r="S102" s="5"/>
      <c r="T102" s="459"/>
      <c r="U102" s="463"/>
    </row>
    <row r="103" spans="1:21" s="21" customFormat="1" ht="15.9" customHeight="1" x14ac:dyDescent="0.8">
      <c r="A103" s="46">
        <f>IF(+All!$F7="Nebraska",+All!A7,IF(+All!$H7="Nebraska",+All!A7,0))</f>
        <v>0</v>
      </c>
      <c r="B103" s="348" t="str">
        <f>IF(+All!$F7="Nebraska",+All!B7,IF(+All!$H7="Nebraska",+All!B7,0))</f>
        <v>Sat</v>
      </c>
      <c r="C103" s="48">
        <f>IF(+All!$F7="Nebraska",+All!C7,IF(+All!$H7="Nebraska",+All!C7,0))</f>
        <v>44800</v>
      </c>
      <c r="D103" s="490">
        <f>IF(+All!$F7="Nebraska",+All!D7,IF(+All!$H7="Nebraska",+All!D7,0))</f>
        <v>0.52083333333333337</v>
      </c>
      <c r="E103" s="461" t="str">
        <f>IF(+All!$F7="Nebraska",+All!E7,IF(+All!$H7="Nebraska",+All!E7,0))</f>
        <v>Fox</v>
      </c>
      <c r="F103" s="51" t="str">
        <f>IF(+All!$F7="Nebraska",+All!F7,IF(+All!$H7="Nebraska",+All!F7,0))</f>
        <v>Northwestern</v>
      </c>
      <c r="G103" s="63" t="str">
        <f>IF(+All!$F7="Nebraska",+All!G7,IF(+All!$H7="Nebraska",+All!G7,0))</f>
        <v>B10</v>
      </c>
      <c r="H103" s="63" t="str">
        <f>IF(+All!$F7="Nebraska",+All!H7,IF(+All!$H7="Nebraska",+All!H7,0))</f>
        <v>Nebraska</v>
      </c>
      <c r="I103" s="52" t="str">
        <f>IF(+All!$F7="Nebraska",+All!I7,IF(+All!$H7="Nebraska",+All!I7,0))</f>
        <v>B10</v>
      </c>
      <c r="J103" s="460" t="str">
        <f>IF(+All!$F7="Nebraska",+All!J7,IF(+All!$H7="Nebraska",+All!J7,0))</f>
        <v>Nebraska</v>
      </c>
      <c r="K103" s="461" t="str">
        <f>IF(+All!$F7="Nebraska",+All!K7,IF(+All!$H7="Nebraska",+All!K7,0))</f>
        <v>Northwestern</v>
      </c>
      <c r="L103" s="54">
        <f>IF(+All!$F7="Nebraska",+All!L7,IF(+All!$H7="Nebraska",+All!L7,0))</f>
        <v>12</v>
      </c>
      <c r="M103" s="55">
        <f>IF(+All!$F7="Nebraska",+All!M7,IF(+All!$H7="Nebraska",+All!M7,0))</f>
        <v>52.5</v>
      </c>
      <c r="N103" s="460" t="str">
        <f>IF(+All!$F7="Nebraska",+All!N7,IF(+All!$H7="Nebraska",+All!N7,0))</f>
        <v>Northwestern</v>
      </c>
      <c r="O103" s="462">
        <f>IF(+All!$F7="Nebraska",+All!O7,IF(+All!$H7="Nebraska",+All!O7,0))</f>
        <v>31</v>
      </c>
      <c r="P103" s="462" t="str">
        <f>IF(+All!$F7="Nebraska",+All!P7,IF(+All!$H7="Nebraska",+All!P7,0))</f>
        <v>Nebraska</v>
      </c>
      <c r="Q103" s="461">
        <f>IF(+All!$F7="Nebraska",+All!Q7,IF(+All!$H7="Nebraska",+All!Q7,0))</f>
        <v>28</v>
      </c>
      <c r="R103" s="460" t="str">
        <f>IF(+All!$F7="Nebraska",+All!R7,IF(+All!$H7="Nebraska",+All!R7,0))</f>
        <v>Northwestern</v>
      </c>
      <c r="S103" s="462" t="str">
        <f>IF(+All!$F7="Nebraska",+All!S7,IF(+All!$H7="Nebraska",+All!S7,0))</f>
        <v>Nebraska</v>
      </c>
      <c r="T103" s="460" t="str">
        <f>IF(+All!$F7="Nebraska",+All!T7,IF(+All!$H7="Nebraska",+All!T7,0))</f>
        <v>Northwestern</v>
      </c>
      <c r="U103" s="461" t="str">
        <f>IF(+All!$F7="Nebraska",+All!U7,IF(+All!$H7="Nebraska",+All!U7,0))</f>
        <v>W</v>
      </c>
    </row>
    <row r="104" spans="1:21" s="21" customFormat="1" ht="15.9" customHeight="1" x14ac:dyDescent="0.8">
      <c r="A104" s="46">
        <f>IF(+All!$F35="Nebraska",+All!A35,IF(+All!$H35="Nebraska",+All!A35,0))</f>
        <v>1</v>
      </c>
      <c r="B104" s="348" t="str">
        <f>IF(+All!$F35="Nebraska",+All!B35,IF(+All!$H35="Nebraska",+All!B35,0))</f>
        <v>Sat</v>
      </c>
      <c r="C104" s="48">
        <f>IF(+All!$F35="Nebraska",+All!C35,IF(+All!$H35="Nebraska",+All!C35,0))</f>
        <v>44807</v>
      </c>
      <c r="D104" s="490">
        <f>IF(+All!$F35="Nebraska",+All!D35,IF(+All!$H35="Nebraska",+All!D35,0))</f>
        <v>0.64583333333333337</v>
      </c>
      <c r="E104" s="461" t="str">
        <f>IF(+All!$F35="Nebraska",+All!E35,IF(+All!$H35="Nebraska",+All!E35,0))</f>
        <v>BTN</v>
      </c>
      <c r="F104" s="51" t="str">
        <f>IF(+All!$F35="Nebraska",+All!F35,IF(+All!$H35="Nebraska",+All!F35,0))</f>
        <v>1AA North Dakota</v>
      </c>
      <c r="G104" s="63" t="str">
        <f>IF(+All!$F35="Nebraska",+All!G35,IF(+All!$H35="Nebraska",+All!G35,0))</f>
        <v>1AA</v>
      </c>
      <c r="H104" s="63" t="str">
        <f>IF(+All!$F35="Nebraska",+All!H35,IF(+All!$H35="Nebraska",+All!H35,0))</f>
        <v>Nebraska</v>
      </c>
      <c r="I104" s="52" t="str">
        <f>IF(+All!$F35="Nebraska",+All!I35,IF(+All!$H35="Nebraska",+All!I35,0))</f>
        <v>B10</v>
      </c>
      <c r="J104" s="460">
        <f>IF(+All!$F35="Nebraska",+All!J35,IF(+All!$H35="Nebraska",+All!J35,0))</f>
        <v>0</v>
      </c>
      <c r="K104" s="461">
        <f>IF(+All!$F35="Nebraska",+All!K35,IF(+All!$H35="Nebraska",+All!K35,0))</f>
        <v>0</v>
      </c>
      <c r="L104" s="54">
        <f>IF(+All!$F35="Nebraska",+All!L35,IF(+All!$H35="Nebraska",+All!L35,0))</f>
        <v>0</v>
      </c>
      <c r="M104" s="55">
        <f>IF(+All!$F35="Nebraska",+All!M35,IF(+All!$H35="Nebraska",+All!M35,0))</f>
        <v>0</v>
      </c>
      <c r="N104" s="460" t="str">
        <f>IF(+All!$F35="Nebraska",+All!N35,IF(+All!$H35="Nebraska",+All!N35,0))</f>
        <v>Nebraska</v>
      </c>
      <c r="O104" s="462">
        <f>IF(+All!$F35="Nebraska",+All!O35,IF(+All!$H35="Nebraska",+All!O35,0))</f>
        <v>38</v>
      </c>
      <c r="P104" s="462" t="str">
        <f>IF(+All!$F35="Nebraska",+All!P35,IF(+All!$H35="Nebraska",+All!P35,0))</f>
        <v>1AA North Dakota</v>
      </c>
      <c r="Q104" s="461">
        <f>IF(+All!$F35="Nebraska",+All!Q35,IF(+All!$H35="Nebraska",+All!Q35,0))</f>
        <v>17</v>
      </c>
      <c r="R104" s="460">
        <f>IF(+All!$F35="Nebraska",+All!R35,IF(+All!$H35="Nebraska",+All!R35,0))</f>
        <v>0</v>
      </c>
      <c r="S104" s="462">
        <f>IF(+All!$F35="Nebraska",+All!S35,IF(+All!$H35="Nebraska",+All!S35,0))</f>
        <v>0</v>
      </c>
      <c r="T104" s="460">
        <f>IF(+All!$F35="Nebraska",+All!T35,IF(+All!$H35="Nebraska",+All!T35,0))</f>
        <v>0</v>
      </c>
      <c r="U104" s="461">
        <f>IF(+All!$F35="Nebraska",+All!U35,IF(+All!$H35="Nebraska",+All!U35,0))</f>
        <v>0</v>
      </c>
    </row>
    <row r="105" spans="1:21" s="21" customFormat="1" ht="15.9" customHeight="1" x14ac:dyDescent="0.8">
      <c r="A105" s="46">
        <f>IF(+All!$F120="Nebraska",+All!A120,IF(+All!$H120="Nebraska",+All!A120,0))</f>
        <v>2</v>
      </c>
      <c r="B105" s="348" t="str">
        <f>IF(+All!$F120="Nebraska",+All!B120,IF(+All!$H120="Nebraska",+All!B120,0))</f>
        <v>Sat</v>
      </c>
      <c r="C105" s="48">
        <f>IF(+All!$F120="Nebraska",+All!C120,IF(+All!$H120="Nebraska",+All!C120,0))</f>
        <v>44814</v>
      </c>
      <c r="D105" s="490">
        <f>IF(+All!$F120="Nebraska",+All!D120,IF(+All!$H120="Nebraska",+All!D120,0))</f>
        <v>0.8125</v>
      </c>
      <c r="E105" s="461" t="str">
        <f>IF(+All!$F120="Nebraska",+All!E120,IF(+All!$H120="Nebraska",+All!E120,0))</f>
        <v>FS1</v>
      </c>
      <c r="F105" s="51" t="str">
        <f>IF(+All!$F120="Nebraska",+All!F120,IF(+All!$H120="Nebraska",+All!F120,0))</f>
        <v>Georgia Southern</v>
      </c>
      <c r="G105" s="63" t="str">
        <f>IF(+All!$F120="Nebraska",+All!G120,IF(+All!$H120="Nebraska",+All!G120,0))</f>
        <v>SB</v>
      </c>
      <c r="H105" s="63" t="str">
        <f>IF(+All!$F120="Nebraska",+All!H120,IF(+All!$H120="Nebraska",+All!H120,0))</f>
        <v>Nebraska</v>
      </c>
      <c r="I105" s="52" t="str">
        <f>IF(+All!$F120="Nebraska",+All!I120,IF(+All!$H120="Nebraska",+All!I120,0))</f>
        <v>B10</v>
      </c>
      <c r="J105" s="460" t="str">
        <f>IF(+All!$F120="Nebraska",+All!J120,IF(+All!$H120="Nebraska",+All!J120,0))</f>
        <v>Nebraska</v>
      </c>
      <c r="K105" s="461" t="str">
        <f>IF(+All!$F120="Nebraska",+All!K120,IF(+All!$H120="Nebraska",+All!K120,0))</f>
        <v>Georgia Southern</v>
      </c>
      <c r="L105" s="54">
        <f>IF(+All!$F120="Nebraska",+All!L120,IF(+All!$H120="Nebraska",+All!L120,0))</f>
        <v>23</v>
      </c>
      <c r="M105" s="55">
        <f>IF(+All!$F120="Nebraska",+All!M120,IF(+All!$H120="Nebraska",+All!M120,0))</f>
        <v>63</v>
      </c>
      <c r="N105" s="460" t="str">
        <f>IF(+All!$F120="Nebraska",+All!N120,IF(+All!$H120="Nebraska",+All!N120,0))</f>
        <v>Georgia Southern</v>
      </c>
      <c r="O105" s="462">
        <f>IF(+All!$F120="Nebraska",+All!O120,IF(+All!$H120="Nebraska",+All!O120,0))</f>
        <v>45</v>
      </c>
      <c r="P105" s="462" t="str">
        <f>IF(+All!$F120="Nebraska",+All!P120,IF(+All!$H120="Nebraska",+All!P120,0))</f>
        <v>Nebraska</v>
      </c>
      <c r="Q105" s="461">
        <f>IF(+All!$F120="Nebraska",+All!Q120,IF(+All!$H120="Nebraska",+All!Q120,0))</f>
        <v>42</v>
      </c>
      <c r="R105" s="460" t="str">
        <f>IF(+All!$F120="Nebraska",+All!R120,IF(+All!$H120="Nebraska",+All!R120,0))</f>
        <v>Georgia Southern</v>
      </c>
      <c r="S105" s="462" t="str">
        <f>IF(+All!$F120="Nebraska",+All!S120,IF(+All!$H120="Nebraska",+All!S120,0))</f>
        <v>Nebraska</v>
      </c>
      <c r="T105" s="460" t="str">
        <f>IF(+All!$F120="Nebraska",+All!T120,IF(+All!$H120="Nebraska",+All!T120,0))</f>
        <v>Georgia Southern</v>
      </c>
      <c r="U105" s="461" t="str">
        <f>IF(+All!$F120="Nebraska",+All!U120,IF(+All!$H120="Nebraska",+All!U120,0))</f>
        <v>W</v>
      </c>
    </row>
    <row r="106" spans="1:21" s="21" customFormat="1" ht="15.9" customHeight="1" x14ac:dyDescent="0.8">
      <c r="A106" s="46">
        <f>IF(+All!$F202="Nebraska",+All!A202,IF(+All!$H202="Nebraska",+All!A202,0))</f>
        <v>3</v>
      </c>
      <c r="B106" s="348" t="str">
        <f>IF(+All!$F202="Nebraska",+All!B202,IF(+All!$H202="Nebraska",+All!B202,0))</f>
        <v>Sat</v>
      </c>
      <c r="C106" s="48">
        <f>IF(+All!$F202="Nebraska",+All!C202,IF(+All!$H202="Nebraska",+All!C202,0))</f>
        <v>44821</v>
      </c>
      <c r="D106" s="490">
        <f>IF(+All!$F202="Nebraska",+All!D202,IF(+All!$H202="Nebraska",+All!D202,0))</f>
        <v>0.5</v>
      </c>
      <c r="E106" s="461" t="str">
        <f>IF(+All!$F202="Nebraska",+All!E202,IF(+All!$H202="Nebraska",+All!E202,0))</f>
        <v>Fox</v>
      </c>
      <c r="F106" s="51" t="str">
        <f>IF(+All!$F202="Nebraska",+All!F202,IF(+All!$H202="Nebraska",+All!F202,0))</f>
        <v>Oklahoma</v>
      </c>
      <c r="G106" s="63" t="str">
        <f>IF(+All!$F202="Nebraska",+All!G202,IF(+All!$H202="Nebraska",+All!G202,0))</f>
        <v>B12</v>
      </c>
      <c r="H106" s="63" t="str">
        <f>IF(+All!$F202="Nebraska",+All!H202,IF(+All!$H202="Nebraska",+All!H202,0))</f>
        <v>Nebraska</v>
      </c>
      <c r="I106" s="52" t="str">
        <f>IF(+All!$F202="Nebraska",+All!I202,IF(+All!$H202="Nebraska",+All!I202,0))</f>
        <v>B10</v>
      </c>
      <c r="J106" s="460" t="str">
        <f>IF(+All!$F202="Nebraska",+All!J202,IF(+All!$H202="Nebraska",+All!J202,0))</f>
        <v>Oklahoma</v>
      </c>
      <c r="K106" s="461" t="str">
        <f>IF(+All!$F202="Nebraska",+All!K202,IF(+All!$H202="Nebraska",+All!K202,0))</f>
        <v>Nebraska</v>
      </c>
      <c r="L106" s="54">
        <f>IF(+All!$F202="Nebraska",+All!L202,IF(+All!$H202="Nebraska",+All!L202,0))</f>
        <v>11</v>
      </c>
      <c r="M106" s="55">
        <f>IF(+All!$F202="Nebraska",+All!M202,IF(+All!$H202="Nebraska",+All!M202,0))</f>
        <v>66.5</v>
      </c>
      <c r="N106" s="460" t="str">
        <f>IF(+All!$F202="Nebraska",+All!N202,IF(+All!$H202="Nebraska",+All!N202,0))</f>
        <v>Oklahoma</v>
      </c>
      <c r="O106" s="462">
        <f>IF(+All!$F202="Nebraska",+All!O202,IF(+All!$H202="Nebraska",+All!O202,0))</f>
        <v>49</v>
      </c>
      <c r="P106" s="462" t="str">
        <f>IF(+All!$F202="Nebraska",+All!P202,IF(+All!$H202="Nebraska",+All!P202,0))</f>
        <v>Nebraska</v>
      </c>
      <c r="Q106" s="461">
        <f>IF(+All!$F202="Nebraska",+All!Q202,IF(+All!$H202="Nebraska",+All!Q202,0))</f>
        <v>14</v>
      </c>
      <c r="R106" s="460" t="str">
        <f>IF(+All!$F202="Nebraska",+All!R202,IF(+All!$H202="Nebraska",+All!R202,0))</f>
        <v>Oklahoma</v>
      </c>
      <c r="S106" s="462" t="str">
        <f>IF(+All!$F202="Nebraska",+All!S202,IF(+All!$H202="Nebraska",+All!S202,0))</f>
        <v>Nebraska</v>
      </c>
      <c r="T106" s="460" t="str">
        <f>IF(+All!$F202="Nebraska",+All!T202,IF(+All!$H202="Nebraska",+All!T202,0))</f>
        <v>Oklahoma</v>
      </c>
      <c r="U106" s="461" t="str">
        <f>IF(+All!$F202="Nebraska",+All!U202,IF(+All!$H202="Nebraska",+All!U202,0))</f>
        <v>W</v>
      </c>
    </row>
    <row r="107" spans="1:21" s="21" customFormat="1" ht="15.9" customHeight="1" x14ac:dyDescent="0.8">
      <c r="A107" s="46" t="e">
        <f>IF(+All!#REF!="Nebraska",+All!#REF!,IF(+All!#REF!="Nebraska",+All!#REF!,0))</f>
        <v>#REF!</v>
      </c>
      <c r="B107" s="348" t="e">
        <f>IF(+All!#REF!="Nebraska",+All!#REF!,IF(+All!#REF!="Nebraska",+All!#REF!,0))</f>
        <v>#REF!</v>
      </c>
      <c r="C107" s="48" t="e">
        <f>IF(+All!#REF!="Nebraska",+All!#REF!,IF(+All!#REF!="Nebraska",+All!#REF!,0))</f>
        <v>#REF!</v>
      </c>
      <c r="D107" s="490" t="e">
        <f>IF(+All!#REF!="Nebraska",+All!#REF!,IF(+All!#REF!="Nebraska",+All!#REF!,0))</f>
        <v>#REF!</v>
      </c>
      <c r="E107" s="461" t="e">
        <f>IF(+All!#REF!="Nebraska",+All!#REF!,IF(+All!#REF!="Nebraska",+All!#REF!,0))</f>
        <v>#REF!</v>
      </c>
      <c r="F107" s="51" t="e">
        <f>IF(+All!#REF!="Nebraska",+All!#REF!,IF(+All!#REF!="Nebraska",+All!#REF!,0))</f>
        <v>#REF!</v>
      </c>
      <c r="G107" s="63" t="e">
        <f>IF(+All!#REF!="Nebraska",+All!#REF!,IF(+All!#REF!="Nebraska",+All!#REF!,0))</f>
        <v>#REF!</v>
      </c>
      <c r="H107" s="63" t="e">
        <f>IF(+All!#REF!="Nebraska",+All!#REF!,IF(+All!#REF!="Nebraska",+All!#REF!,0))</f>
        <v>#REF!</v>
      </c>
      <c r="I107" s="52" t="e">
        <f>IF(+All!#REF!="Nebraska",+All!#REF!,IF(+All!#REF!="Nebraska",+All!#REF!,0))</f>
        <v>#REF!</v>
      </c>
      <c r="J107" s="460" t="e">
        <f>IF(+All!#REF!="Nebraska",+All!#REF!,IF(+All!#REF!="Nebraska",+All!#REF!,0))</f>
        <v>#REF!</v>
      </c>
      <c r="K107" s="461" t="e">
        <f>IF(+All!#REF!="Nebraska",+All!#REF!,IF(+All!#REF!="Nebraska",+All!#REF!,0))</f>
        <v>#REF!</v>
      </c>
      <c r="L107" s="54" t="e">
        <f>IF(+All!#REF!="Nebraska",+All!#REF!,IF(+All!#REF!="Nebraska",+All!#REF!,0))</f>
        <v>#REF!</v>
      </c>
      <c r="M107" s="55" t="e">
        <f>IF(+All!#REF!="Nebraska",+All!#REF!,IF(+All!#REF!="Nebraska",+All!#REF!,0))</f>
        <v>#REF!</v>
      </c>
      <c r="N107" s="460" t="e">
        <f>IF(+All!#REF!="Nebraska",+All!#REF!,IF(+All!#REF!="Nebraska",+All!#REF!,0))</f>
        <v>#REF!</v>
      </c>
      <c r="O107" s="462" t="e">
        <f>IF(+All!#REF!="Nebraska",+All!#REF!,IF(+All!#REF!="Nebraska",+All!#REF!,0))</f>
        <v>#REF!</v>
      </c>
      <c r="P107" s="462" t="e">
        <f>IF(+All!#REF!="Nebraska",+All!#REF!,IF(+All!#REF!="Nebraska",+All!#REF!,0))</f>
        <v>#REF!</v>
      </c>
      <c r="Q107" s="461" t="e">
        <f>IF(+All!#REF!="Nebraska",+All!#REF!,IF(+All!#REF!="Nebraska",+All!#REF!,0))</f>
        <v>#REF!</v>
      </c>
      <c r="R107" s="460" t="e">
        <f>IF(+All!#REF!="Nebraska",+All!#REF!,IF(+All!#REF!="Nebraska",+All!#REF!,0))</f>
        <v>#REF!</v>
      </c>
      <c r="S107" s="462" t="e">
        <f>IF(+All!#REF!="Nebraska",+All!#REF!,IF(+All!#REF!="Nebraska",+All!#REF!,0))</f>
        <v>#REF!</v>
      </c>
      <c r="T107" s="460" t="e">
        <f>IF(+All!#REF!="Nebraska",+All!#REF!,IF(+All!#REF!="Nebraska",+All!#REF!,0))</f>
        <v>#REF!</v>
      </c>
      <c r="U107" s="461" t="e">
        <f>IF(+All!#REF!="Nebraska",+All!#REF!,IF(+All!#REF!="Nebraska",+All!#REF!,0))</f>
        <v>#REF!</v>
      </c>
    </row>
    <row r="108" spans="1:21" s="21" customFormat="1" ht="15.9" customHeight="1" x14ac:dyDescent="0.8">
      <c r="A108" s="46">
        <f>IF(+All!$F338="Nebraska",+All!A338,IF(+All!$H338="Nebraska",+All!A338,0))</f>
        <v>5</v>
      </c>
      <c r="B108" s="348" t="str">
        <f>IF(+All!$F338="Nebraska",+All!B338,IF(+All!$H338="Nebraska",+All!B338,0))</f>
        <v>Sat</v>
      </c>
      <c r="C108" s="48">
        <f>IF(+All!$F338="Nebraska",+All!C338,IF(+All!$H338="Nebraska",+All!C338,0))</f>
        <v>44835</v>
      </c>
      <c r="D108" s="490">
        <f>IF(+All!$F338="Nebraska",+All!D338,IF(+All!$H338="Nebraska",+All!D338,0))</f>
        <v>0.8125</v>
      </c>
      <c r="E108" s="461" t="str">
        <f>IF(+All!$F338="Nebraska",+All!E338,IF(+All!$H338="Nebraska",+All!E338,0))</f>
        <v>BTN</v>
      </c>
      <c r="F108" s="51" t="str">
        <f>IF(+All!$F338="Nebraska",+All!F338,IF(+All!$H338="Nebraska",+All!F338,0))</f>
        <v>Indiana</v>
      </c>
      <c r="G108" s="63" t="str">
        <f>IF(+All!$F338="Nebraska",+All!G338,IF(+All!$H338="Nebraska",+All!G338,0))</f>
        <v>B10</v>
      </c>
      <c r="H108" s="63" t="str">
        <f>IF(+All!$F338="Nebraska",+All!H338,IF(+All!$H338="Nebraska",+All!H338,0))</f>
        <v>Nebraska</v>
      </c>
      <c r="I108" s="52" t="str">
        <f>IF(+All!$F338="Nebraska",+All!I338,IF(+All!$H338="Nebraska",+All!I338,0))</f>
        <v>B10</v>
      </c>
      <c r="J108" s="460" t="str">
        <f>IF(+All!$F338="Nebraska",+All!J338,IF(+All!$H338="Nebraska",+All!J338,0))</f>
        <v>Nebraska</v>
      </c>
      <c r="K108" s="461" t="str">
        <f>IF(+All!$F338="Nebraska",+All!K338,IF(+All!$H338="Nebraska",+All!K338,0))</f>
        <v>Indiana</v>
      </c>
      <c r="L108" s="54">
        <f>IF(+All!$F338="Nebraska",+All!L338,IF(+All!$H338="Nebraska",+All!L338,0))</f>
        <v>5.5</v>
      </c>
      <c r="M108" s="55">
        <f>IF(+All!$F338="Nebraska",+All!M338,IF(+All!$H338="Nebraska",+All!M338,0))</f>
        <v>60</v>
      </c>
      <c r="N108" s="460" t="str">
        <f>IF(+All!$F338="Nebraska",+All!N338,IF(+All!$H338="Nebraska",+All!N338,0))</f>
        <v>Nebraska</v>
      </c>
      <c r="O108" s="462">
        <f>IF(+All!$F338="Nebraska",+All!O338,IF(+All!$H338="Nebraska",+All!O338,0))</f>
        <v>35</v>
      </c>
      <c r="P108" s="462" t="str">
        <f>IF(+All!$F338="Nebraska",+All!P338,IF(+All!$H338="Nebraska",+All!P338,0))</f>
        <v>Indiana</v>
      </c>
      <c r="Q108" s="461">
        <f>IF(+All!$F338="Nebraska",+All!Q338,IF(+All!$H338="Nebraska",+All!Q338,0))</f>
        <v>21</v>
      </c>
      <c r="R108" s="460" t="str">
        <f>IF(+All!$F338="Nebraska",+All!R338,IF(+All!$H338="Nebraska",+All!R338,0))</f>
        <v>Nebraska</v>
      </c>
      <c r="S108" s="462" t="str">
        <f>IF(+All!$F338="Nebraska",+All!S338,IF(+All!$H338="Nebraska",+All!S338,0))</f>
        <v>Indiana</v>
      </c>
      <c r="T108" s="460" t="str">
        <f>IF(+All!$F338="Nebraska",+All!T338,IF(+All!$H338="Nebraska",+All!T338,0))</f>
        <v>Indiana</v>
      </c>
      <c r="U108" s="461" t="str">
        <f>IF(+All!$F338="Nebraska",+All!U338,IF(+All!$H338="Nebraska",+All!U338,0))</f>
        <v>L</v>
      </c>
    </row>
    <row r="109" spans="1:21" s="21" customFormat="1" ht="15.9" customHeight="1" x14ac:dyDescent="0.8">
      <c r="A109" s="46">
        <f>IF(+All!$F383="Nebraska",+All!A383,IF(+All!$H383="Nebraska",+All!A383,0))</f>
        <v>6</v>
      </c>
      <c r="B109" s="348" t="str">
        <f>IF(+All!$F383="Nebraska",+All!B383,IF(+All!$H383="Nebraska",+All!B383,0))</f>
        <v>Fri</v>
      </c>
      <c r="C109" s="48">
        <f>IF(+All!$F383="Nebraska",+All!C383,IF(+All!$H383="Nebraska",+All!C383,0))</f>
        <v>44841</v>
      </c>
      <c r="D109" s="490">
        <f>IF(+All!$F383="Nebraska",+All!D383,IF(+All!$H383="Nebraska",+All!D383,0))</f>
        <v>0.79166666666666663</v>
      </c>
      <c r="E109" s="461" t="str">
        <f>IF(+All!$F383="Nebraska",+All!E383,IF(+All!$H383="Nebraska",+All!E383,0))</f>
        <v>FS1</v>
      </c>
      <c r="F109" s="51" t="str">
        <f>IF(+All!$F383="Nebraska",+All!F383,IF(+All!$H383="Nebraska",+All!F383,0))</f>
        <v>Nebraska</v>
      </c>
      <c r="G109" s="63" t="str">
        <f>IF(+All!$F383="Nebraska",+All!G383,IF(+All!$H383="Nebraska",+All!G383,0))</f>
        <v>B10</v>
      </c>
      <c r="H109" s="63" t="str">
        <f>IF(+All!$F383="Nebraska",+All!H383,IF(+All!$H383="Nebraska",+All!H383,0))</f>
        <v>Rutgers</v>
      </c>
      <c r="I109" s="52" t="str">
        <f>IF(+All!$F383="Nebraska",+All!I383,IF(+All!$H383="Nebraska",+All!I383,0))</f>
        <v>B10</v>
      </c>
      <c r="J109" s="460" t="str">
        <f>IF(+All!$F383="Nebraska",+All!J383,IF(+All!$H383="Nebraska",+All!J383,0))</f>
        <v>Nebraska</v>
      </c>
      <c r="K109" s="461" t="str">
        <f>IF(+All!$F383="Nebraska",+All!K383,IF(+All!$H383="Nebraska",+All!K383,0))</f>
        <v>Rutgers</v>
      </c>
      <c r="L109" s="54">
        <f>IF(+All!$F383="Nebraska",+All!L383,IF(+All!$H383="Nebraska",+All!L383,0))</f>
        <v>3</v>
      </c>
      <c r="M109" s="55">
        <f>IF(+All!$F383="Nebraska",+All!M383,IF(+All!$H383="Nebraska",+All!M383,0))</f>
        <v>48.5</v>
      </c>
      <c r="N109" s="460" t="str">
        <f>IF(+All!$F383="Nebraska",+All!N383,IF(+All!$H383="Nebraska",+All!N383,0))</f>
        <v>Nebraska</v>
      </c>
      <c r="O109" s="462">
        <f>IF(+All!$F383="Nebraska",+All!O383,IF(+All!$H383="Nebraska",+All!O383,0))</f>
        <v>14</v>
      </c>
      <c r="P109" s="462" t="str">
        <f>IF(+All!$F383="Nebraska",+All!P383,IF(+All!$H383="Nebraska",+All!P383,0))</f>
        <v>Rutgers</v>
      </c>
      <c r="Q109" s="461">
        <f>IF(+All!$F383="Nebraska",+All!Q383,IF(+All!$H383="Nebraska",+All!Q383,0))</f>
        <v>13</v>
      </c>
      <c r="R109" s="460" t="str">
        <f>IF(+All!$F383="Nebraska",+All!R383,IF(+All!$H383="Nebraska",+All!R383,0))</f>
        <v>Rutgers</v>
      </c>
      <c r="S109" s="462" t="str">
        <f>IF(+All!$F383="Nebraska",+All!S383,IF(+All!$H383="Nebraska",+All!S383,0))</f>
        <v>Nebraska</v>
      </c>
      <c r="T109" s="460" t="str">
        <f>IF(+All!$F383="Nebraska",+All!T383,IF(+All!$H383="Nebraska",+All!T383,0))</f>
        <v>Rutgers</v>
      </c>
      <c r="U109" s="461" t="str">
        <f>IF(+All!$F383="Nebraska",+All!U383,IF(+All!$H383="Nebraska",+All!U383,0))</f>
        <v>W</v>
      </c>
    </row>
    <row r="110" spans="1:21" s="21" customFormat="1" ht="15.9" customHeight="1" x14ac:dyDescent="0.8">
      <c r="A110" s="46">
        <f>IF(+All!$F453="Nebraska",+All!A453,IF(+All!$H453="Nebraska",+All!A453,0))</f>
        <v>7</v>
      </c>
      <c r="B110" s="348" t="str">
        <f>IF(+All!$F453="Nebraska",+All!B453,IF(+All!$H453="Nebraska",+All!B453,0))</f>
        <v>Sat</v>
      </c>
      <c r="C110" s="48">
        <f>IF(+All!$F453="Nebraska",+All!C453,IF(+All!$H453="Nebraska",+All!C453,0))</f>
        <v>44849</v>
      </c>
      <c r="D110" s="490">
        <f>IF(+All!$F453="Nebraska",+All!D453,IF(+All!$H453="Nebraska",+All!D453,0))</f>
        <v>0.8125</v>
      </c>
      <c r="E110" s="461" t="str">
        <f>IF(+All!$F453="Nebraska",+All!E453,IF(+All!$H453="Nebraska",+All!E453,0))</f>
        <v>BTN</v>
      </c>
      <c r="F110" s="51" t="str">
        <f>IF(+All!$F453="Nebraska",+All!F453,IF(+All!$H453="Nebraska",+All!F453,0))</f>
        <v>Nebraska</v>
      </c>
      <c r="G110" s="63" t="str">
        <f>IF(+All!$F453="Nebraska",+All!G453,IF(+All!$H453="Nebraska",+All!G453,0))</f>
        <v>B10</v>
      </c>
      <c r="H110" s="63" t="str">
        <f>IF(+All!$F453="Nebraska",+All!H453,IF(+All!$H453="Nebraska",+All!H453,0))</f>
        <v>Purdue</v>
      </c>
      <c r="I110" s="52" t="str">
        <f>IF(+All!$F453="Nebraska",+All!I453,IF(+All!$H453="Nebraska",+All!I453,0))</f>
        <v>B10</v>
      </c>
      <c r="J110" s="460" t="str">
        <f>IF(+All!$F453="Nebraska",+All!J453,IF(+All!$H453="Nebraska",+All!J453,0))</f>
        <v>Purdue</v>
      </c>
      <c r="K110" s="461" t="str">
        <f>IF(+All!$F453="Nebraska",+All!K453,IF(+All!$H453="Nebraska",+All!K453,0))</f>
        <v>Nebraska</v>
      </c>
      <c r="L110" s="54">
        <f>IF(+All!$F453="Nebraska",+All!L453,IF(+All!$H453="Nebraska",+All!L453,0))</f>
        <v>13</v>
      </c>
      <c r="M110" s="55">
        <f>IF(+All!$F453="Nebraska",+All!M453,IF(+All!$H453="Nebraska",+All!M453,0))</f>
        <v>58</v>
      </c>
      <c r="N110" s="460" t="str">
        <f>IF(+All!$F453="Nebraska",+All!N453,IF(+All!$H453="Nebraska",+All!N453,0))</f>
        <v>Purdue</v>
      </c>
      <c r="O110" s="462">
        <f>IF(+All!$F453="Nebraska",+All!O453,IF(+All!$H453="Nebraska",+All!O453,0))</f>
        <v>43</v>
      </c>
      <c r="P110" s="462" t="str">
        <f>IF(+All!$F453="Nebraska",+All!P453,IF(+All!$H453="Nebraska",+All!P453,0))</f>
        <v>Nebraska</v>
      </c>
      <c r="Q110" s="461">
        <f>IF(+All!$F453="Nebraska",+All!Q453,IF(+All!$H453="Nebraska",+All!Q453,0))</f>
        <v>37</v>
      </c>
      <c r="R110" s="460" t="str">
        <f>IF(+All!$F453="Nebraska",+All!R453,IF(+All!$H453="Nebraska",+All!R453,0))</f>
        <v>Nebraska</v>
      </c>
      <c r="S110" s="462" t="str">
        <f>IF(+All!$F453="Nebraska",+All!S453,IF(+All!$H453="Nebraska",+All!S453,0))</f>
        <v>Purdue</v>
      </c>
      <c r="T110" s="460" t="str">
        <f>IF(+All!$F453="Nebraska",+All!T453,IF(+All!$H453="Nebraska",+All!T453,0))</f>
        <v>Purdue</v>
      </c>
      <c r="U110" s="461" t="str">
        <f>IF(+All!$F453="Nebraska",+All!U453,IF(+All!$H453="Nebraska",+All!U453,0))</f>
        <v>L</v>
      </c>
    </row>
    <row r="111" spans="1:21" s="21" customFormat="1" ht="15.9" customHeight="1" x14ac:dyDescent="0.8">
      <c r="A111" s="46" t="e">
        <f>IF(+All!#REF!="Nebraska",+All!#REF!,IF(+All!#REF!="Nebraska",+All!#REF!,0))</f>
        <v>#REF!</v>
      </c>
      <c r="B111" s="348" t="e">
        <f>IF(+All!#REF!="Nebraska",+All!#REF!,IF(+All!#REF!="Nebraska",+All!#REF!,0))</f>
        <v>#REF!</v>
      </c>
      <c r="C111" s="48" t="e">
        <f>IF(+All!#REF!="Nebraska",+All!#REF!,IF(+All!#REF!="Nebraska",+All!#REF!,0))</f>
        <v>#REF!</v>
      </c>
      <c r="D111" s="490" t="e">
        <f>IF(+All!#REF!="Nebraska",+All!#REF!,IF(+All!#REF!="Nebraska",+All!#REF!,0))</f>
        <v>#REF!</v>
      </c>
      <c r="E111" s="461" t="e">
        <f>IF(+All!#REF!="Nebraska",+All!#REF!,IF(+All!#REF!="Nebraska",+All!#REF!,0))</f>
        <v>#REF!</v>
      </c>
      <c r="F111" s="51" t="e">
        <f>IF(+All!#REF!="Nebraska",+All!#REF!,IF(+All!#REF!="Nebraska",+All!#REF!,0))</f>
        <v>#REF!</v>
      </c>
      <c r="G111" s="63" t="e">
        <f>IF(+All!#REF!="Nebraska",+All!#REF!,IF(+All!#REF!="Nebraska",+All!#REF!,0))</f>
        <v>#REF!</v>
      </c>
      <c r="H111" s="63" t="e">
        <f>IF(+All!#REF!="Nebraska",+All!#REF!,IF(+All!#REF!="Nebraska",+All!#REF!,0))</f>
        <v>#REF!</v>
      </c>
      <c r="I111" s="52" t="e">
        <f>IF(+All!#REF!="Nebraska",+All!#REF!,IF(+All!#REF!="Nebraska",+All!#REF!,0))</f>
        <v>#REF!</v>
      </c>
      <c r="J111" s="460" t="e">
        <f>IF(+All!#REF!="Nebraska",+All!#REF!,IF(+All!#REF!="Nebraska",+All!#REF!,0))</f>
        <v>#REF!</v>
      </c>
      <c r="K111" s="461" t="e">
        <f>IF(+All!#REF!="Nebraska",+All!#REF!,IF(+All!#REF!="Nebraska",+All!#REF!,0))</f>
        <v>#REF!</v>
      </c>
      <c r="L111" s="54" t="e">
        <f>IF(+All!#REF!="Nebraska",+All!#REF!,IF(+All!#REF!="Nebraska",+All!#REF!,0))</f>
        <v>#REF!</v>
      </c>
      <c r="M111" s="55" t="e">
        <f>IF(+All!#REF!="Nebraska",+All!#REF!,IF(+All!#REF!="Nebraska",+All!#REF!,0))</f>
        <v>#REF!</v>
      </c>
      <c r="N111" s="460" t="e">
        <f>IF(+All!#REF!="Nebraska",+All!#REF!,IF(+All!#REF!="Nebraska",+All!#REF!,0))</f>
        <v>#REF!</v>
      </c>
      <c r="O111" s="462" t="e">
        <f>IF(+All!#REF!="Nebraska",+All!#REF!,IF(+All!#REF!="Nebraska",+All!#REF!,0))</f>
        <v>#REF!</v>
      </c>
      <c r="P111" s="462" t="e">
        <f>IF(+All!#REF!="Nebraska",+All!#REF!,IF(+All!#REF!="Nebraska",+All!#REF!,0))</f>
        <v>#REF!</v>
      </c>
      <c r="Q111" s="461" t="e">
        <f>IF(+All!#REF!="Nebraska",+All!#REF!,IF(+All!#REF!="Nebraska",+All!#REF!,0))</f>
        <v>#REF!</v>
      </c>
      <c r="R111" s="460" t="e">
        <f>IF(+All!#REF!="Nebraska",+All!#REF!,IF(+All!#REF!="Nebraska",+All!#REF!,0))</f>
        <v>#REF!</v>
      </c>
      <c r="S111" s="462" t="e">
        <f>IF(+All!#REF!="Nebraska",+All!#REF!,IF(+All!#REF!="Nebraska",+All!#REF!,0))</f>
        <v>#REF!</v>
      </c>
      <c r="T111" s="460" t="e">
        <f>IF(+All!#REF!="Nebraska",+All!#REF!,IF(+All!#REF!="Nebraska",+All!#REF!,0))</f>
        <v>#REF!</v>
      </c>
      <c r="U111" s="461" t="e">
        <f>IF(+All!#REF!="Nebraska",+All!#REF!,IF(+All!#REF!="Nebraska",+All!#REF!,0))</f>
        <v>#REF!</v>
      </c>
    </row>
    <row r="112" spans="1:21" s="21" customFormat="1" ht="15.9" customHeight="1" x14ac:dyDescent="0.8">
      <c r="A112" s="46">
        <f>IF(+All!$F562="Nebraska",+All!A562,IF(+All!$H562="Nebraska",+All!A562,0))</f>
        <v>9</v>
      </c>
      <c r="B112" s="348" t="str">
        <f>IF(+All!$F562="Nebraska",+All!B562,IF(+All!$H562="Nebraska",+All!B562,0))</f>
        <v>Sat</v>
      </c>
      <c r="C112" s="48">
        <f>IF(+All!$F562="Nebraska",+All!C562,IF(+All!$H562="Nebraska",+All!C562,0))</f>
        <v>44863</v>
      </c>
      <c r="D112" s="490">
        <f>IF(+All!$F562="Nebraska",+All!D562,IF(+All!$H562="Nebraska",+All!D562,0))</f>
        <v>0.64583333333333337</v>
      </c>
      <c r="E112" s="461">
        <f>IF(+All!$F562="Nebraska",+All!E562,IF(+All!$H562="Nebraska",+All!E562,0))</f>
        <v>0</v>
      </c>
      <c r="F112" s="51" t="str">
        <f>IF(+All!$F562="Nebraska",+All!F562,IF(+All!$H562="Nebraska",+All!F562,0))</f>
        <v>Illinois</v>
      </c>
      <c r="G112" s="63" t="str">
        <f>IF(+All!$F562="Nebraska",+All!G562,IF(+All!$H562="Nebraska",+All!G562,0))</f>
        <v>B10</v>
      </c>
      <c r="H112" s="63" t="str">
        <f>IF(+All!$F562="Nebraska",+All!H562,IF(+All!$H562="Nebraska",+All!H562,0))</f>
        <v>Nebraska</v>
      </c>
      <c r="I112" s="52" t="str">
        <f>IF(+All!$F562="Nebraska",+All!I562,IF(+All!$H562="Nebraska",+All!I562,0))</f>
        <v>B10</v>
      </c>
      <c r="J112" s="460" t="str">
        <f>IF(+All!$F562="Nebraska",+All!J562,IF(+All!$H562="Nebraska",+All!J562,0))</f>
        <v>Illinois</v>
      </c>
      <c r="K112" s="461" t="str">
        <f>IF(+All!$F562="Nebraska",+All!K562,IF(+All!$H562="Nebraska",+All!K562,0))</f>
        <v>Nebraska</v>
      </c>
      <c r="L112" s="54">
        <f>IF(+All!$F562="Nebraska",+All!L562,IF(+All!$H562="Nebraska",+All!L562,0))</f>
        <v>7.5</v>
      </c>
      <c r="M112" s="55">
        <f>IF(+All!$F562="Nebraska",+All!M562,IF(+All!$H562="Nebraska",+All!M562,0))</f>
        <v>50.5</v>
      </c>
      <c r="N112" s="460" t="str">
        <f>IF(+All!$F562="Nebraska",+All!N562,IF(+All!$H562="Nebraska",+All!N562,0))</f>
        <v>Illinois</v>
      </c>
      <c r="O112" s="462">
        <f>IF(+All!$F562="Nebraska",+All!O562,IF(+All!$H562="Nebraska",+All!O562,0))</f>
        <v>26</v>
      </c>
      <c r="P112" s="462" t="str">
        <f>IF(+All!$F562="Nebraska",+All!P562,IF(+All!$H562="Nebraska",+All!P562,0))</f>
        <v>Nebraska</v>
      </c>
      <c r="Q112" s="461">
        <f>IF(+All!$F562="Nebraska",+All!Q562,IF(+All!$H562="Nebraska",+All!Q562,0))</f>
        <v>9</v>
      </c>
      <c r="R112" s="460" t="str">
        <f>IF(+All!$F562="Nebraska",+All!R562,IF(+All!$H562="Nebraska",+All!R562,0))</f>
        <v>Illinois</v>
      </c>
      <c r="S112" s="462" t="str">
        <f>IF(+All!$F562="Nebraska",+All!S562,IF(+All!$H562="Nebraska",+All!S562,0))</f>
        <v>Nebraska</v>
      </c>
      <c r="T112" s="460" t="str">
        <f>IF(+All!$F562="Nebraska",+All!T562,IF(+All!$H562="Nebraska",+All!T562,0))</f>
        <v>Illinois</v>
      </c>
      <c r="U112" s="461" t="str">
        <f>IF(+All!$F562="Nebraska",+All!U562,IF(+All!$H562="Nebraska",+All!U562,0))</f>
        <v>W</v>
      </c>
    </row>
    <row r="113" spans="1:21" s="21" customFormat="1" ht="15.9" customHeight="1" x14ac:dyDescent="0.8">
      <c r="A113" s="46">
        <f>IF(+All!$F615="Nebraska",+All!A615,IF(+All!$H615="Nebraska",+All!A615,0))</f>
        <v>10</v>
      </c>
      <c r="B113" s="348" t="str">
        <f>IF(+All!$F615="Nebraska",+All!B615,IF(+All!$H615="Nebraska",+All!B615,0))</f>
        <v>Sat</v>
      </c>
      <c r="C113" s="48">
        <f>IF(+All!$F615="Nebraska",+All!C615,IF(+All!$H615="Nebraska",+All!C615,0))</f>
        <v>44870</v>
      </c>
      <c r="D113" s="490">
        <f>IF(+All!$F615="Nebraska",+All!D615,IF(+All!$H615="Nebraska",+All!D615,0))</f>
        <v>0.5</v>
      </c>
      <c r="E113" s="461" t="str">
        <f>IF(+All!$F615="Nebraska",+All!E615,IF(+All!$H615="Nebraska",+All!E615,0))</f>
        <v>ESPN2</v>
      </c>
      <c r="F113" s="51" t="str">
        <f>IF(+All!$F615="Nebraska",+All!F615,IF(+All!$H615="Nebraska",+All!F615,0))</f>
        <v>Minnesota</v>
      </c>
      <c r="G113" s="63" t="str">
        <f>IF(+All!$F615="Nebraska",+All!G615,IF(+All!$H615="Nebraska",+All!G615,0))</f>
        <v>B10</v>
      </c>
      <c r="H113" s="63" t="str">
        <f>IF(+All!$F615="Nebraska",+All!H615,IF(+All!$H615="Nebraska",+All!H615,0))</f>
        <v>Nebraska</v>
      </c>
      <c r="I113" s="52" t="str">
        <f>IF(+All!$F615="Nebraska",+All!I615,IF(+All!$H615="Nebraska",+All!I615,0))</f>
        <v>B10</v>
      </c>
      <c r="J113" s="460" t="str">
        <f>IF(+All!$F615="Nebraska",+All!J615,IF(+All!$H615="Nebraska",+All!J615,0))</f>
        <v>Minnesota</v>
      </c>
      <c r="K113" s="461" t="str">
        <f>IF(+All!$F615="Nebraska",+All!K615,IF(+All!$H615="Nebraska",+All!K615,0))</f>
        <v>Nebraska</v>
      </c>
      <c r="L113" s="54">
        <f>IF(+All!$F615="Nebraska",+All!L615,IF(+All!$H615="Nebraska",+All!L615,0))</f>
        <v>16</v>
      </c>
      <c r="M113" s="55">
        <f>IF(+All!$F615="Nebraska",+All!M615,IF(+All!$H615="Nebraska",+All!M615,0))</f>
        <v>46.5</v>
      </c>
      <c r="N113" s="460" t="str">
        <f>IF(+All!$F615="Nebraska",+All!N615,IF(+All!$H615="Nebraska",+All!N615,0))</f>
        <v>Minnesota</v>
      </c>
      <c r="O113" s="462">
        <f>IF(+All!$F615="Nebraska",+All!O615,IF(+All!$H615="Nebraska",+All!O615,0))</f>
        <v>20</v>
      </c>
      <c r="P113" s="462" t="str">
        <f>IF(+All!$F615="Nebraska",+All!P615,IF(+All!$H615="Nebraska",+All!P615,0))</f>
        <v>Nebraska</v>
      </c>
      <c r="Q113" s="461">
        <f>IF(+All!$F615="Nebraska",+All!Q615,IF(+All!$H615="Nebraska",+All!Q615,0))</f>
        <v>13</v>
      </c>
      <c r="R113" s="460" t="str">
        <f>IF(+All!$F615="Nebraska",+All!R615,IF(+All!$H615="Nebraska",+All!R615,0))</f>
        <v>Nebraska</v>
      </c>
      <c r="S113" s="462" t="str">
        <f>IF(+All!$F615="Nebraska",+All!S615,IF(+All!$H615="Nebraska",+All!S615,0))</f>
        <v>Minnesota</v>
      </c>
      <c r="T113" s="460" t="str">
        <f>IF(+All!$F615="Nebraska",+All!T615,IF(+All!$H615="Nebraska",+All!T615,0))</f>
        <v>Nebraska</v>
      </c>
      <c r="U113" s="461" t="str">
        <f>IF(+All!$F615="Nebraska",+All!U615,IF(+All!$H615="Nebraska",+All!U615,0))</f>
        <v>W</v>
      </c>
    </row>
    <row r="114" spans="1:21" s="21" customFormat="1" ht="15.9" customHeight="1" x14ac:dyDescent="0.8">
      <c r="A114" s="46">
        <f>IF(+All!$F677="Nebraska",+All!A677,IF(+All!$H677="Nebraska",+All!A677,0))</f>
        <v>11</v>
      </c>
      <c r="B114" s="348" t="str">
        <f>IF(+All!$F677="Nebraska",+All!B677,IF(+All!$H677="Nebraska",+All!B677,0))</f>
        <v>Sat</v>
      </c>
      <c r="C114" s="48">
        <f>IF(+All!$F677="Nebraska",+All!C677,IF(+All!$H677="Nebraska",+All!C677,0))</f>
        <v>44877</v>
      </c>
      <c r="D114" s="490">
        <f>IF(+All!$F677="Nebraska",+All!D677,IF(+All!$H677="Nebraska",+All!D677,0))</f>
        <v>0.64583333333333337</v>
      </c>
      <c r="E114" s="461" t="str">
        <f>IF(+All!$F677="Nebraska",+All!E677,IF(+All!$H677="Nebraska",+All!E677,0))</f>
        <v>ABC</v>
      </c>
      <c r="F114" s="51" t="str">
        <f>IF(+All!$F677="Nebraska",+All!F677,IF(+All!$H677="Nebraska",+All!F677,0))</f>
        <v>Nebraska</v>
      </c>
      <c r="G114" s="63" t="str">
        <f>IF(+All!$F677="Nebraska",+All!G677,IF(+All!$H677="Nebraska",+All!G677,0))</f>
        <v>B10</v>
      </c>
      <c r="H114" s="63" t="str">
        <f>IF(+All!$F677="Nebraska",+All!H677,IF(+All!$H677="Nebraska",+All!H677,0))</f>
        <v>Michigan</v>
      </c>
      <c r="I114" s="52" t="str">
        <f>IF(+All!$F677="Nebraska",+All!I677,IF(+All!$H677="Nebraska",+All!I677,0))</f>
        <v>B10</v>
      </c>
      <c r="J114" s="460" t="str">
        <f>IF(+All!$F677="Nebraska",+All!J677,IF(+All!$H677="Nebraska",+All!J677,0))</f>
        <v>Michigan</v>
      </c>
      <c r="K114" s="461" t="str">
        <f>IF(+All!$F677="Nebraska",+All!K677,IF(+All!$H677="Nebraska",+All!K677,0))</f>
        <v>Nebraska</v>
      </c>
      <c r="L114" s="54">
        <f>IF(+All!$F677="Nebraska",+All!L677,IF(+All!$H677="Nebraska",+All!L677,0))</f>
        <v>29.5</v>
      </c>
      <c r="M114" s="55">
        <f>IF(+All!$F677="Nebraska",+All!M677,IF(+All!$H677="Nebraska",+All!M677,0))</f>
        <v>49</v>
      </c>
      <c r="N114" s="460" t="str">
        <f>IF(+All!$F677="Nebraska",+All!N677,IF(+All!$H677="Nebraska",+All!N677,0))</f>
        <v>Michigan</v>
      </c>
      <c r="O114" s="462">
        <f>IF(+All!$F677="Nebraska",+All!O677,IF(+All!$H677="Nebraska",+All!O677,0))</f>
        <v>34</v>
      </c>
      <c r="P114" s="462" t="str">
        <f>IF(+All!$F677="Nebraska",+All!P677,IF(+All!$H677="Nebraska",+All!P677,0))</f>
        <v>Nebraska</v>
      </c>
      <c r="Q114" s="461">
        <f>IF(+All!$F677="Nebraska",+All!Q677,IF(+All!$H677="Nebraska",+All!Q677,0))</f>
        <v>3</v>
      </c>
      <c r="R114" s="460" t="str">
        <f>IF(+All!$F677="Nebraska",+All!R677,IF(+All!$H677="Nebraska",+All!R677,0))</f>
        <v>Michigan</v>
      </c>
      <c r="S114" s="462" t="str">
        <f>IF(+All!$F677="Nebraska",+All!S677,IF(+All!$H677="Nebraska",+All!S677,0))</f>
        <v>Nebraska</v>
      </c>
      <c r="T114" s="460" t="str">
        <f>IF(+All!$F677="Nebraska",+All!T677,IF(+All!$H677="Nebraska",+All!T677,0))</f>
        <v>Nebraska</v>
      </c>
      <c r="U114" s="461" t="str">
        <f>IF(+All!$F677="Nebraska",+All!U677,IF(+All!$H677="Nebraska",+All!U677,0))</f>
        <v>L</v>
      </c>
    </row>
    <row r="115" spans="1:21" s="21" customFormat="1" ht="15.9" customHeight="1" x14ac:dyDescent="0.8">
      <c r="A115" s="46">
        <f>IF(+All!$F741="Nebraska",+All!A741,IF(+All!$H741="Nebraska",+All!A741,0))</f>
        <v>12</v>
      </c>
      <c r="B115" s="348" t="str">
        <f>IF(+All!$F741="Nebraska",+All!B741,IF(+All!$H741="Nebraska",+All!B741,0))</f>
        <v>Sat</v>
      </c>
      <c r="C115" s="48">
        <f>IF(+All!$F741="Nebraska",+All!C741,IF(+All!$H741="Nebraska",+All!C741,0))</f>
        <v>44884</v>
      </c>
      <c r="D115" s="490">
        <f>IF(+All!$F741="Nebraska",+All!D741,IF(+All!$H741="Nebraska",+All!D741,0))</f>
        <v>0.5</v>
      </c>
      <c r="E115" s="461" t="str">
        <f>IF(+All!$F741="Nebraska",+All!E741,IF(+All!$H741="Nebraska",+All!E741,0))</f>
        <v>ESPN</v>
      </c>
      <c r="F115" s="51" t="str">
        <f>IF(+All!$F741="Nebraska",+All!F741,IF(+All!$H741="Nebraska",+All!F741,0))</f>
        <v>Wisconsin</v>
      </c>
      <c r="G115" s="63" t="str">
        <f>IF(+All!$F741="Nebraska",+All!G741,IF(+All!$H741="Nebraska",+All!G741,0))</f>
        <v>B10</v>
      </c>
      <c r="H115" s="63" t="str">
        <f>IF(+All!$F741="Nebraska",+All!H741,IF(+All!$H741="Nebraska",+All!H741,0))</f>
        <v>Nebraska</v>
      </c>
      <c r="I115" s="52" t="str">
        <f>IF(+All!$F741="Nebraska",+All!I741,IF(+All!$H741="Nebraska",+All!I741,0))</f>
        <v>B10</v>
      </c>
      <c r="J115" s="460" t="str">
        <f>IF(+All!$F741="Nebraska",+All!J741,IF(+All!$H741="Nebraska",+All!J741,0))</f>
        <v>Wisconsin</v>
      </c>
      <c r="K115" s="461" t="str">
        <f>IF(+All!$F741="Nebraska",+All!K741,IF(+All!$H741="Nebraska",+All!K741,0))</f>
        <v>Nebraska</v>
      </c>
      <c r="L115" s="54">
        <f>IF(+All!$F741="Nebraska",+All!L741,IF(+All!$H741="Nebraska",+All!L741,0))</f>
        <v>12.5</v>
      </c>
      <c r="M115" s="55">
        <f>IF(+All!$F741="Nebraska",+All!M741,IF(+All!$H741="Nebraska",+All!M741,0))</f>
        <v>39</v>
      </c>
      <c r="N115" s="460" t="str">
        <f>IF(+All!$F741="Nebraska",+All!N741,IF(+All!$H741="Nebraska",+All!N741,0))</f>
        <v>Wisconsin</v>
      </c>
      <c r="O115" s="462">
        <f>IF(+All!$F741="Nebraska",+All!O741,IF(+All!$H741="Nebraska",+All!O741,0))</f>
        <v>15</v>
      </c>
      <c r="P115" s="462" t="str">
        <f>IF(+All!$F741="Nebraska",+All!P741,IF(+All!$H741="Nebraska",+All!P741,0))</f>
        <v>Nebraska</v>
      </c>
      <c r="Q115" s="461">
        <f>IF(+All!$F741="Nebraska",+All!Q741,IF(+All!$H741="Nebraska",+All!Q741,0))</f>
        <v>14</v>
      </c>
      <c r="R115" s="460" t="str">
        <f>IF(+All!$F741="Nebraska",+All!R741,IF(+All!$H741="Nebraska",+All!R741,0))</f>
        <v>Nebraska</v>
      </c>
      <c r="S115" s="462" t="str">
        <f>IF(+All!$F741="Nebraska",+All!S741,IF(+All!$H741="Nebraska",+All!S741,0))</f>
        <v>Wisconsin</v>
      </c>
      <c r="T115" s="460" t="str">
        <f>IF(+All!$F741="Nebraska",+All!T741,IF(+All!$H741="Nebraska",+All!T741,0))</f>
        <v>Nebraska</v>
      </c>
      <c r="U115" s="461" t="str">
        <f>IF(+All!$F741="Nebraska",+All!U741,IF(+All!$H741="Nebraska",+All!U741,0))</f>
        <v>W</v>
      </c>
    </row>
    <row r="116" spans="1:21" s="21" customFormat="1" ht="15.9" customHeight="1" x14ac:dyDescent="0.8">
      <c r="A116" s="46">
        <f>IF(+All!$F795="Nebraska",+All!A795,IF(+All!$H795="Nebraska",+All!A795,0))</f>
        <v>13</v>
      </c>
      <c r="B116" s="348" t="str">
        <f>IF(+All!$F795="Nebraska",+All!B795,IF(+All!$H795="Nebraska",+All!B795,0))</f>
        <v>Fri</v>
      </c>
      <c r="C116" s="48">
        <f>IF(+All!$F795="Nebraska",+All!C795,IF(+All!$H795="Nebraska",+All!C795,0))</f>
        <v>44890</v>
      </c>
      <c r="D116" s="490">
        <f>IF(+All!$F795="Nebraska",+All!D795,IF(+All!$H795="Nebraska",+All!D795,0))</f>
        <v>0.66666666666666663</v>
      </c>
      <c r="E116" s="461" t="str">
        <f>IF(+All!$F795="Nebraska",+All!E795,IF(+All!$H795="Nebraska",+All!E795,0))</f>
        <v>BTN</v>
      </c>
      <c r="F116" s="51" t="str">
        <f>IF(+All!$F795="Nebraska",+All!F795,IF(+All!$H795="Nebraska",+All!F795,0))</f>
        <v>Nebraska</v>
      </c>
      <c r="G116" s="63" t="str">
        <f>IF(+All!$F795="Nebraska",+All!G795,IF(+All!$H795="Nebraska",+All!G795,0))</f>
        <v>B10</v>
      </c>
      <c r="H116" s="63" t="str">
        <f>IF(+All!$F795="Nebraska",+All!H795,IF(+All!$H795="Nebraska",+All!H795,0))</f>
        <v>Iowa</v>
      </c>
      <c r="I116" s="52" t="str">
        <f>IF(+All!$F795="Nebraska",+All!I795,IF(+All!$H795="Nebraska",+All!I795,0))</f>
        <v>B10</v>
      </c>
      <c r="J116" s="460" t="str">
        <f>IF(+All!$F795="Nebraska",+All!J795,IF(+All!$H795="Nebraska",+All!J795,0))</f>
        <v>Iowa</v>
      </c>
      <c r="K116" s="461" t="str">
        <f>IF(+All!$F795="Nebraska",+All!K795,IF(+All!$H795="Nebraska",+All!K795,0))</f>
        <v>Nebraska</v>
      </c>
      <c r="L116" s="54">
        <f>IF(+All!$F795="Nebraska",+All!L795,IF(+All!$H795="Nebraska",+All!L795,0))</f>
        <v>10.5</v>
      </c>
      <c r="M116" s="55">
        <f>IF(+All!$F795="Nebraska",+All!M795,IF(+All!$H795="Nebraska",+All!M795,0))</f>
        <v>38.5</v>
      </c>
      <c r="N116" s="460" t="str">
        <f>IF(+All!$F795="Nebraska",+All!N795,IF(+All!$H795="Nebraska",+All!N795,0))</f>
        <v>Nebraska</v>
      </c>
      <c r="O116" s="462">
        <f>IF(+All!$F795="Nebraska",+All!O795,IF(+All!$H795="Nebraska",+All!O795,0))</f>
        <v>24</v>
      </c>
      <c r="P116" s="462" t="str">
        <f>IF(+All!$F795="Nebraska",+All!P795,IF(+All!$H795="Nebraska",+All!P795,0))</f>
        <v>Iowa</v>
      </c>
      <c r="Q116" s="461">
        <f>IF(+All!$F795="Nebraska",+All!Q795,IF(+All!$H795="Nebraska",+All!Q795,0))</f>
        <v>17</v>
      </c>
      <c r="R116" s="460" t="str">
        <f>IF(+All!$F795="Nebraska",+All!R795,IF(+All!$H795="Nebraska",+All!R795,0))</f>
        <v>Nebraska</v>
      </c>
      <c r="S116" s="462" t="str">
        <f>IF(+All!$F795="Nebraska",+All!S795,IF(+All!$H795="Nebraska",+All!S795,0))</f>
        <v>Iowa</v>
      </c>
      <c r="T116" s="460" t="str">
        <f>IF(+All!$F795="Nebraska",+All!T795,IF(+All!$H795="Nebraska",+All!T795,0))</f>
        <v>Nebraska</v>
      </c>
      <c r="U116" s="461" t="str">
        <f>IF(+All!$F795="Nebraska",+All!U795,IF(+All!$H795="Nebraska",+All!U795,0))</f>
        <v>W</v>
      </c>
    </row>
    <row r="117" spans="1:21" x14ac:dyDescent="0.8">
      <c r="A117" s="38"/>
      <c r="B117" s="39"/>
      <c r="C117" s="40"/>
      <c r="D117" s="41"/>
      <c r="E117" s="463"/>
      <c r="F117" s="897" t="e">
        <f>F119</f>
        <v>#REF!</v>
      </c>
      <c r="G117" s="903"/>
      <c r="H117" s="903"/>
      <c r="I117" s="904"/>
      <c r="J117" s="459"/>
      <c r="K117" s="463"/>
      <c r="L117" s="44"/>
      <c r="M117" s="45"/>
      <c r="N117" s="459"/>
      <c r="O117" s="5"/>
      <c r="P117" s="5"/>
      <c r="Q117" s="463"/>
      <c r="R117" s="459"/>
      <c r="S117" s="5"/>
      <c r="T117" s="459"/>
      <c r="U117" s="463"/>
    </row>
    <row r="118" spans="1:21" x14ac:dyDescent="0.8">
      <c r="A118" s="46">
        <f>IF(+All!$F7="Northwestern",+All!A7,IF(+All!$H7="Northwestern",+All!A7,0))</f>
        <v>0</v>
      </c>
      <c r="B118" s="348" t="str">
        <f>IF(+All!$F7="Northwestern",+All!B7,IF(+All!$H7="Northwestern",+All!B7,0))</f>
        <v>Sat</v>
      </c>
      <c r="C118" s="48">
        <f>IF(+All!$F7="Northwestern",+All!C7,IF(+All!$H7="Northwestern",+All!C7,0))</f>
        <v>44800</v>
      </c>
      <c r="D118" s="490">
        <f>IF(+All!$F7="Northwestern",+All!D7,IF(+All!$H7="Northwestern",+All!D7,0))</f>
        <v>0.52083333333333337</v>
      </c>
      <c r="E118" s="461" t="str">
        <f>IF(+All!$F7="Northwestern",+All!E7,IF(+All!$H7="Northwestern",+All!E7,0))</f>
        <v>Fox</v>
      </c>
      <c r="F118" s="51" t="str">
        <f>IF(+All!$F7="Northwestern",+All!F7,IF(+All!$H7="Northwestern",+All!F7,0))</f>
        <v>Northwestern</v>
      </c>
      <c r="G118" s="63" t="str">
        <f>IF(+All!$F7="Northwestern",+All!G7,IF(+All!$H7="Northwestern",+All!G7,0))</f>
        <v>B10</v>
      </c>
      <c r="H118" s="63" t="str">
        <f>IF(+All!$F7="Northwestern",+All!H7,IF(+All!$H7="Northwestern",+All!H7,0))</f>
        <v>Nebraska</v>
      </c>
      <c r="I118" s="52" t="str">
        <f>IF(+All!$F7="Northwestern",+All!I7,IF(+All!$H7="Northwestern",+All!I7,0))</f>
        <v>B10</v>
      </c>
      <c r="J118" s="460" t="str">
        <f>IF(+All!$F7="Northwestern",+All!J7,IF(+All!$H7="Northwestern",+All!J7,0))</f>
        <v>Nebraska</v>
      </c>
      <c r="K118" s="461" t="str">
        <f>IF(+All!$F7="Northwestern",+All!K7,IF(+All!$H7="Northwestern",+All!K7,0))</f>
        <v>Northwestern</v>
      </c>
      <c r="L118" s="54">
        <f>IF(+All!$F7="Northwestern",+All!L7,IF(+All!$H7="Northwestern",+All!L7,0))</f>
        <v>12</v>
      </c>
      <c r="M118" s="55">
        <f>IF(+All!$F7="Northwestern",+All!M7,IF(+All!$H7="Northwestern",+All!M7,0))</f>
        <v>52.5</v>
      </c>
      <c r="N118" s="460" t="str">
        <f>IF(+All!$F7="Northwestern",+All!N7,IF(+All!$H7="Northwestern",+All!N7,0))</f>
        <v>Northwestern</v>
      </c>
      <c r="O118" s="462">
        <f>IF(+All!$F7="Northwestern",+All!O7,IF(+All!$H7="Northwestern",+All!O7,0))</f>
        <v>31</v>
      </c>
      <c r="P118" s="462" t="str">
        <f>IF(+All!$F7="Northwestern",+All!P7,IF(+All!$H7="Northwestern",+All!P7,0))</f>
        <v>Nebraska</v>
      </c>
      <c r="Q118" s="461">
        <f>IF(+All!$F7="Northwestern",+All!Q7,IF(+All!$H7="Northwestern",+All!Q7,0))</f>
        <v>28</v>
      </c>
      <c r="R118" s="460" t="str">
        <f>IF(+All!$F7="Northwestern",+All!R7,IF(+All!$H7="Northwestern",+All!R7,0))</f>
        <v>Northwestern</v>
      </c>
      <c r="S118" s="462" t="str">
        <f>IF(+All!$F7="Northwestern",+All!S7,IF(+All!$H7="Northwestern",+All!S7,0))</f>
        <v>Nebraska</v>
      </c>
      <c r="T118" s="460" t="str">
        <f>IF(+All!$F7="Northwestern",+All!T7,IF(+All!$H7="Northwestern",+All!T7,0))</f>
        <v>Northwestern</v>
      </c>
      <c r="U118" s="461" t="str">
        <f>IF(+All!$F7="Northwestern",+All!U7,IF(+All!$H7="Northwestern",+All!U7,0))</f>
        <v>W</v>
      </c>
    </row>
    <row r="119" spans="1:21" x14ac:dyDescent="0.8">
      <c r="A119" s="46" t="e">
        <f>IF(+All!#REF!="Northwestern",+All!#REF!,IF(+All!#REF!="Northwestern",+All!#REF!,0))</f>
        <v>#REF!</v>
      </c>
      <c r="B119" s="348" t="e">
        <f>IF(+All!#REF!="Northwestern",+All!#REF!,IF(+All!#REF!="Northwestern",+All!#REF!,0))</f>
        <v>#REF!</v>
      </c>
      <c r="C119" s="48" t="e">
        <f>IF(+All!#REF!="Northwestern",+All!#REF!,IF(+All!#REF!="Northwestern",+All!#REF!,0))</f>
        <v>#REF!</v>
      </c>
      <c r="D119" s="490" t="e">
        <f>IF(+All!#REF!="Northwestern",+All!#REF!,IF(+All!#REF!="Northwestern",+All!#REF!,0))</f>
        <v>#REF!</v>
      </c>
      <c r="E119" s="461" t="e">
        <f>IF(+All!#REF!="Northwestern",+All!#REF!,IF(+All!#REF!="Northwestern",+All!#REF!,0))</f>
        <v>#REF!</v>
      </c>
      <c r="F119" s="51" t="e">
        <f>IF(+All!#REF!="Northwestern",+All!#REF!,IF(+All!#REF!="Northwestern",+All!#REF!,0))</f>
        <v>#REF!</v>
      </c>
      <c r="G119" s="63" t="e">
        <f>IF(+All!#REF!="Northwestern",+All!#REF!,IF(+All!#REF!="Northwestern",+All!#REF!,0))</f>
        <v>#REF!</v>
      </c>
      <c r="H119" s="63" t="e">
        <f>IF(+All!#REF!="Northwestern",+All!#REF!,IF(+All!#REF!="Northwestern",+All!#REF!,0))</f>
        <v>#REF!</v>
      </c>
      <c r="I119" s="52" t="e">
        <f>IF(+All!#REF!="Northwestern",+All!#REF!,IF(+All!#REF!="Northwestern",+All!#REF!,0))</f>
        <v>#REF!</v>
      </c>
      <c r="J119" s="460" t="e">
        <f>IF(+All!#REF!="Northwestern",+All!#REF!,IF(+All!#REF!="Northwestern",+All!#REF!,0))</f>
        <v>#REF!</v>
      </c>
      <c r="K119" s="461" t="e">
        <f>IF(+All!#REF!="Northwestern",+All!#REF!,IF(+All!#REF!="Northwestern",+All!#REF!,0))</f>
        <v>#REF!</v>
      </c>
      <c r="L119" s="54" t="e">
        <f>IF(+All!#REF!="Northwestern",+All!#REF!,IF(+All!#REF!="Northwestern",+All!#REF!,0))</f>
        <v>#REF!</v>
      </c>
      <c r="M119" s="55" t="e">
        <f>IF(+All!#REF!="Northwestern",+All!#REF!,IF(+All!#REF!="Northwestern",+All!#REF!,0))</f>
        <v>#REF!</v>
      </c>
      <c r="N119" s="460" t="e">
        <f>IF(+All!#REF!="Northwestern",+All!#REF!,IF(+All!#REF!="Northwestern",+All!#REF!,0))</f>
        <v>#REF!</v>
      </c>
      <c r="O119" s="462" t="e">
        <f>IF(+All!#REF!="Northwestern",+All!#REF!,IF(+All!#REF!="Northwestern",+All!#REF!,0))</f>
        <v>#REF!</v>
      </c>
      <c r="P119" s="462" t="e">
        <f>IF(+All!#REF!="Northwestern",+All!#REF!,IF(+All!#REF!="Northwestern",+All!#REF!,0))</f>
        <v>#REF!</v>
      </c>
      <c r="Q119" s="461" t="e">
        <f>IF(+All!#REF!="Northwestern",+All!#REF!,IF(+All!#REF!="Northwestern",+All!#REF!,0))</f>
        <v>#REF!</v>
      </c>
      <c r="R119" s="460" t="e">
        <f>IF(+All!#REF!="Northwestern",+All!#REF!,IF(+All!#REF!="Northwestern",+All!#REF!,0))</f>
        <v>#REF!</v>
      </c>
      <c r="S119" s="462" t="e">
        <f>IF(+All!#REF!="Northwestern",+All!#REF!,IF(+All!#REF!="Northwestern",+All!#REF!,0))</f>
        <v>#REF!</v>
      </c>
      <c r="T119" s="460" t="e">
        <f>IF(+All!#REF!="Northwestern",+All!#REF!,IF(+All!#REF!="Northwestern",+All!#REF!,0))</f>
        <v>#REF!</v>
      </c>
      <c r="U119" s="461" t="e">
        <f>IF(+All!#REF!="Northwestern",+All!#REF!,IF(+All!#REF!="Northwestern",+All!#REF!,0))</f>
        <v>#REF!</v>
      </c>
    </row>
    <row r="120" spans="1:21" x14ac:dyDescent="0.8">
      <c r="A120" s="46">
        <f>IF(+All!$F121="Northwestern",+All!A121,IF(+All!$H121="Northwestern",+All!A121,0))</f>
        <v>2</v>
      </c>
      <c r="B120" s="348" t="str">
        <f>IF(+All!$F121="Northwestern",+All!B121,IF(+All!$H121="Northwestern",+All!B121,0))</f>
        <v>Sat</v>
      </c>
      <c r="C120" s="48">
        <f>IF(+All!$F121="Northwestern",+All!C121,IF(+All!$H121="Northwestern",+All!C121,0))</f>
        <v>44814</v>
      </c>
      <c r="D120" s="490">
        <f>IF(+All!$F121="Northwestern",+All!D121,IF(+All!$H121="Northwestern",+All!D121,0))</f>
        <v>0.5</v>
      </c>
      <c r="E120" s="461" t="str">
        <f>IF(+All!$F121="Northwestern",+All!E121,IF(+All!$H121="Northwestern",+All!E121,0))</f>
        <v>FS1</v>
      </c>
      <c r="F120" s="51" t="str">
        <f>IF(+All!$F121="Northwestern",+All!F121,IF(+All!$H121="Northwestern",+All!F121,0))</f>
        <v>Duke</v>
      </c>
      <c r="G120" s="63" t="str">
        <f>IF(+All!$F121="Northwestern",+All!G121,IF(+All!$H121="Northwestern",+All!G121,0))</f>
        <v>ACC</v>
      </c>
      <c r="H120" s="63" t="str">
        <f>IF(+All!$F121="Northwestern",+All!H121,IF(+All!$H121="Northwestern",+All!H121,0))</f>
        <v>Northwestern</v>
      </c>
      <c r="I120" s="52" t="str">
        <f>IF(+All!$F121="Northwestern",+All!I121,IF(+All!$H121="Northwestern",+All!I121,0))</f>
        <v>B10</v>
      </c>
      <c r="J120" s="460" t="str">
        <f>IF(+All!$F121="Northwestern",+All!J121,IF(+All!$H121="Northwestern",+All!J121,0))</f>
        <v>Northwestern</v>
      </c>
      <c r="K120" s="461" t="str">
        <f>IF(+All!$F121="Northwestern",+All!K121,IF(+All!$H121="Northwestern",+All!K121,0))</f>
        <v>Duke</v>
      </c>
      <c r="L120" s="54">
        <f>IF(+All!$F121="Northwestern",+All!L121,IF(+All!$H121="Northwestern",+All!L121,0))</f>
        <v>10</v>
      </c>
      <c r="M120" s="55">
        <f>IF(+All!$F121="Northwestern",+All!M121,IF(+All!$H121="Northwestern",+All!M121,0))</f>
        <v>58</v>
      </c>
      <c r="N120" s="460" t="str">
        <f>IF(+All!$F121="Northwestern",+All!N121,IF(+All!$H121="Northwestern",+All!N121,0))</f>
        <v>Duke</v>
      </c>
      <c r="O120" s="462">
        <f>IF(+All!$F121="Northwestern",+All!O121,IF(+All!$H121="Northwestern",+All!O121,0))</f>
        <v>31</v>
      </c>
      <c r="P120" s="462" t="str">
        <f>IF(+All!$F121="Northwestern",+All!P121,IF(+All!$H121="Northwestern",+All!P121,0))</f>
        <v>Northwestern</v>
      </c>
      <c r="Q120" s="461">
        <f>IF(+All!$F121="Northwestern",+All!Q121,IF(+All!$H121="Northwestern",+All!Q121,0))</f>
        <v>23</v>
      </c>
      <c r="R120" s="460" t="str">
        <f>IF(+All!$F121="Northwestern",+All!R121,IF(+All!$H121="Northwestern",+All!R121,0))</f>
        <v>Duke</v>
      </c>
      <c r="S120" s="462" t="str">
        <f>IF(+All!$F121="Northwestern",+All!S121,IF(+All!$H121="Northwestern",+All!S121,0))</f>
        <v>Northwestern</v>
      </c>
      <c r="T120" s="460" t="str">
        <f>IF(+All!$F121="Northwestern",+All!T121,IF(+All!$H121="Northwestern",+All!T121,0))</f>
        <v>Duke</v>
      </c>
      <c r="U120" s="461" t="str">
        <f>IF(+All!$F121="Northwestern",+All!U121,IF(+All!$H121="Northwestern",+All!U121,0))</f>
        <v>W</v>
      </c>
    </row>
    <row r="121" spans="1:21" x14ac:dyDescent="0.8">
      <c r="A121" s="46">
        <f>IF(+All!$F203="Northwestern",+All!A203,IF(+All!$H203="Northwestern",+All!A203,0))</f>
        <v>3</v>
      </c>
      <c r="B121" s="348" t="str">
        <f>IF(+All!$F203="Northwestern",+All!B203,IF(+All!$H203="Northwestern",+All!B203,0))</f>
        <v>Sat</v>
      </c>
      <c r="C121" s="48">
        <f>IF(+All!$F203="Northwestern",+All!C203,IF(+All!$H203="Northwestern",+All!C203,0))</f>
        <v>44821</v>
      </c>
      <c r="D121" s="490">
        <f>IF(+All!$F203="Northwestern",+All!D203,IF(+All!$H203="Northwestern",+All!D203,0))</f>
        <v>0.5</v>
      </c>
      <c r="E121" s="461" t="str">
        <f>IF(+All!$F203="Northwestern",+All!E203,IF(+All!$H203="Northwestern",+All!E203,0))</f>
        <v>BTN</v>
      </c>
      <c r="F121" s="51" t="str">
        <f>IF(+All!$F203="Northwestern",+All!F203,IF(+All!$H203="Northwestern",+All!F203,0))</f>
        <v>1AA Southern Illinois</v>
      </c>
      <c r="G121" s="63" t="str">
        <f>IF(+All!$F203="Northwestern",+All!G203,IF(+All!$H203="Northwestern",+All!G203,0))</f>
        <v>1AA</v>
      </c>
      <c r="H121" s="63" t="str">
        <f>IF(+All!$F203="Northwestern",+All!H203,IF(+All!$H203="Northwestern",+All!H203,0))</f>
        <v>Northwestern</v>
      </c>
      <c r="I121" s="52" t="str">
        <f>IF(+All!$F203="Northwestern",+All!I203,IF(+All!$H203="Northwestern",+All!I203,0))</f>
        <v>B10</v>
      </c>
      <c r="J121" s="460">
        <f>IF(+All!$F203="Northwestern",+All!J203,IF(+All!$H203="Northwestern",+All!J203,0))</f>
        <v>0</v>
      </c>
      <c r="K121" s="461">
        <f>IF(+All!$F203="Northwestern",+All!K203,IF(+All!$H203="Northwestern",+All!K203,0))</f>
        <v>0</v>
      </c>
      <c r="L121" s="54">
        <f>IF(+All!$F203="Northwestern",+All!L203,IF(+All!$H203="Northwestern",+All!L203,0))</f>
        <v>0</v>
      </c>
      <c r="M121" s="55">
        <f>IF(+All!$F203="Northwestern",+All!M203,IF(+All!$H203="Northwestern",+All!M203,0))</f>
        <v>0</v>
      </c>
      <c r="N121" s="460" t="str">
        <f>IF(+All!$F203="Northwestern",+All!N203,IF(+All!$H203="Northwestern",+All!N203,0))</f>
        <v>1AA Southern Illinois</v>
      </c>
      <c r="O121" s="462">
        <f>IF(+All!$F203="Northwestern",+All!O203,IF(+All!$H203="Northwestern",+All!O203,0))</f>
        <v>31</v>
      </c>
      <c r="P121" s="462" t="str">
        <f>IF(+All!$F203="Northwestern",+All!P203,IF(+All!$H203="Northwestern",+All!P203,0))</f>
        <v>Northwestern</v>
      </c>
      <c r="Q121" s="461">
        <f>IF(+All!$F203="Northwestern",+All!Q203,IF(+All!$H203="Northwestern",+All!Q203,0))</f>
        <v>24</v>
      </c>
      <c r="R121" s="460">
        <f>IF(+All!$F203="Northwestern",+All!R203,IF(+All!$H203="Northwestern",+All!R203,0))</f>
        <v>0</v>
      </c>
      <c r="S121" s="462">
        <f>IF(+All!$F203="Northwestern",+All!S203,IF(+All!$H203="Northwestern",+All!S203,0))</f>
        <v>0</v>
      </c>
      <c r="T121" s="460">
        <f>IF(+All!$F203="Northwestern",+All!T203,IF(+All!$H203="Northwestern",+All!T203,0))</f>
        <v>0</v>
      </c>
      <c r="U121" s="461">
        <f>IF(+All!$F203="Northwestern",+All!U203,IF(+All!$H203="Northwestern",+All!U203,0))</f>
        <v>0</v>
      </c>
    </row>
    <row r="122" spans="1:21" x14ac:dyDescent="0.8">
      <c r="A122" s="46">
        <f>IF(+All!$F275="Northwestern",+All!A275,IF(+All!$H275="Northwestern",+All!A275,0))</f>
        <v>4</v>
      </c>
      <c r="B122" s="348" t="str">
        <f>IF(+All!$F275="Northwestern",+All!B275,IF(+All!$H275="Northwestern",+All!B275,0))</f>
        <v>Sat</v>
      </c>
      <c r="C122" s="48">
        <f>IF(+All!$F275="Northwestern",+All!C275,IF(+All!$H275="Northwestern",+All!C275,0))</f>
        <v>44828</v>
      </c>
      <c r="D122" s="490">
        <f>IF(+All!$F275="Northwestern",+All!D275,IF(+All!$H275="Northwestern",+All!D275,0))</f>
        <v>0.8125</v>
      </c>
      <c r="E122" s="461" t="str">
        <f>IF(+All!$F275="Northwestern",+All!E275,IF(+All!$H275="Northwestern",+All!E275,0))</f>
        <v>BTN</v>
      </c>
      <c r="F122" s="51" t="str">
        <f>IF(+All!$F275="Northwestern",+All!F275,IF(+All!$H275="Northwestern",+All!F275,0))</f>
        <v>Miami (OH)</v>
      </c>
      <c r="G122" s="63" t="str">
        <f>IF(+All!$F275="Northwestern",+All!G275,IF(+All!$H275="Northwestern",+All!G275,0))</f>
        <v>MAC</v>
      </c>
      <c r="H122" s="63" t="str">
        <f>IF(+All!$F275="Northwestern",+All!H275,IF(+All!$H275="Northwestern",+All!H275,0))</f>
        <v>Northwestern</v>
      </c>
      <c r="I122" s="52" t="str">
        <f>IF(+All!$F275="Northwestern",+All!I275,IF(+All!$H275="Northwestern",+All!I275,0))</f>
        <v>B10</v>
      </c>
      <c r="J122" s="460" t="str">
        <f>IF(+All!$F275="Northwestern",+All!J275,IF(+All!$H275="Northwestern",+All!J275,0))</f>
        <v>Northwestern</v>
      </c>
      <c r="K122" s="461" t="str">
        <f>IF(+All!$F275="Northwestern",+All!K275,IF(+All!$H275="Northwestern",+All!K275,0))</f>
        <v>Miami (OH)</v>
      </c>
      <c r="L122" s="54">
        <f>IF(+All!$F275="Northwestern",+All!L275,IF(+All!$H275="Northwestern",+All!L275,0))</f>
        <v>7</v>
      </c>
      <c r="M122" s="55">
        <f>IF(+All!$F275="Northwestern",+All!M275,IF(+All!$H275="Northwestern",+All!M275,0))</f>
        <v>50</v>
      </c>
      <c r="N122" s="460" t="str">
        <f>IF(+All!$F275="Northwestern",+All!N275,IF(+All!$H275="Northwestern",+All!N275,0))</f>
        <v>Miami (OH)</v>
      </c>
      <c r="O122" s="462">
        <f>IF(+All!$F275="Northwestern",+All!O275,IF(+All!$H275="Northwestern",+All!O275,0))</f>
        <v>17</v>
      </c>
      <c r="P122" s="462" t="str">
        <f>IF(+All!$F275="Northwestern",+All!P275,IF(+All!$H275="Northwestern",+All!P275,0))</f>
        <v>Northwestern</v>
      </c>
      <c r="Q122" s="461">
        <f>IF(+All!$F275="Northwestern",+All!Q275,IF(+All!$H275="Northwestern",+All!Q275,0))</f>
        <v>14</v>
      </c>
      <c r="R122" s="460" t="str">
        <f>IF(+All!$F275="Northwestern",+All!R275,IF(+All!$H275="Northwestern",+All!R275,0))</f>
        <v>Miami (OH)</v>
      </c>
      <c r="S122" s="462" t="str">
        <f>IF(+All!$F275="Northwestern",+All!S275,IF(+All!$H275="Northwestern",+All!S275,0))</f>
        <v>Northwestern</v>
      </c>
      <c r="T122" s="460" t="str">
        <f>IF(+All!$F275="Northwestern",+All!T275,IF(+All!$H275="Northwestern",+All!T275,0))</f>
        <v>Northwestern</v>
      </c>
      <c r="U122" s="461" t="str">
        <f>IF(+All!$F275="Northwestern",+All!U275,IF(+All!$H275="Northwestern",+All!U275,0))</f>
        <v>L</v>
      </c>
    </row>
    <row r="123" spans="1:21" x14ac:dyDescent="0.8">
      <c r="A123" s="46">
        <f>IF(+All!$F340="Northwestern",+All!A340,IF(+All!$H340="Northwestern",+All!A340,0))</f>
        <v>5</v>
      </c>
      <c r="B123" s="348" t="str">
        <f>IF(+All!$F340="Northwestern",+All!B340,IF(+All!$H340="Northwestern",+All!B340,0))</f>
        <v>Sat</v>
      </c>
      <c r="C123" s="48">
        <f>IF(+All!$F340="Northwestern",+All!C340,IF(+All!$H340="Northwestern",+All!C340,0))</f>
        <v>44835</v>
      </c>
      <c r="D123" s="490">
        <f>IF(+All!$F340="Northwestern",+All!D340,IF(+All!$H340="Northwestern",+All!D340,0))</f>
        <v>0.64583333333333337</v>
      </c>
      <c r="E123" s="461" t="str">
        <f>IF(+All!$F340="Northwestern",+All!E340,IF(+All!$H340="Northwestern",+All!E340,0))</f>
        <v>ESPN</v>
      </c>
      <c r="F123" s="51" t="str">
        <f>IF(+All!$F340="Northwestern",+All!F340,IF(+All!$H340="Northwestern",+All!F340,0))</f>
        <v>Northwestern</v>
      </c>
      <c r="G123" s="63" t="str">
        <f>IF(+All!$F340="Northwestern",+All!G340,IF(+All!$H340="Northwestern",+All!G340,0))</f>
        <v>B10</v>
      </c>
      <c r="H123" s="63" t="str">
        <f>IF(+All!$F340="Northwestern",+All!H340,IF(+All!$H340="Northwestern",+All!H340,0))</f>
        <v>Penn State</v>
      </c>
      <c r="I123" s="52" t="str">
        <f>IF(+All!$F340="Northwestern",+All!I340,IF(+All!$H340="Northwestern",+All!I340,0))</f>
        <v>B10</v>
      </c>
      <c r="J123" s="460" t="str">
        <f>IF(+All!$F340="Northwestern",+All!J340,IF(+All!$H340="Northwestern",+All!J340,0))</f>
        <v>Penn State</v>
      </c>
      <c r="K123" s="461" t="str">
        <f>IF(+All!$F340="Northwestern",+All!K340,IF(+All!$H340="Northwestern",+All!K340,0))</f>
        <v>Northwestern</v>
      </c>
      <c r="L123" s="54">
        <f>IF(+All!$F340="Northwestern",+All!L340,IF(+All!$H340="Northwestern",+All!L340,0))</f>
        <v>26.5</v>
      </c>
      <c r="M123" s="55">
        <f>IF(+All!$F340="Northwestern",+All!M340,IF(+All!$H340="Northwestern",+All!M340,0))</f>
        <v>52</v>
      </c>
      <c r="N123" s="460" t="str">
        <f>IF(+All!$F340="Northwestern",+All!N340,IF(+All!$H340="Northwestern",+All!N340,0))</f>
        <v>Penn State</v>
      </c>
      <c r="O123" s="462">
        <f>IF(+All!$F340="Northwestern",+All!O340,IF(+All!$H340="Northwestern",+All!O340,0))</f>
        <v>17</v>
      </c>
      <c r="P123" s="462" t="str">
        <f>IF(+All!$F340="Northwestern",+All!P340,IF(+All!$H340="Northwestern",+All!P340,0))</f>
        <v>Northwestern</v>
      </c>
      <c r="Q123" s="461">
        <f>IF(+All!$F340="Northwestern",+All!Q340,IF(+All!$H340="Northwestern",+All!Q340,0))</f>
        <v>7</v>
      </c>
      <c r="R123" s="460" t="str">
        <f>IF(+All!$F340="Northwestern",+All!R340,IF(+All!$H340="Northwestern",+All!R340,0))</f>
        <v>Northwestern</v>
      </c>
      <c r="S123" s="462" t="str">
        <f>IF(+All!$F340="Northwestern",+All!S340,IF(+All!$H340="Northwestern",+All!S340,0))</f>
        <v>Penn State</v>
      </c>
      <c r="T123" s="460" t="str">
        <f>IF(+All!$F340="Northwestern",+All!T340,IF(+All!$H340="Northwestern",+All!T340,0))</f>
        <v>Northwestern</v>
      </c>
      <c r="U123" s="461" t="str">
        <f>IF(+All!$F340="Northwestern",+All!U340,IF(+All!$H340="Northwestern",+All!U340,0))</f>
        <v>W</v>
      </c>
    </row>
    <row r="124" spans="1:21" x14ac:dyDescent="0.8">
      <c r="A124" s="46">
        <f>IF(+All!$F400="Northwestern",+All!A400,IF(+All!$H400="Northwestern",+All!A400,0))</f>
        <v>6</v>
      </c>
      <c r="B124" s="348" t="str">
        <f>IF(+All!$F400="Northwestern",+All!B400,IF(+All!$H400="Northwestern",+All!B400,0))</f>
        <v>Sat</v>
      </c>
      <c r="C124" s="48">
        <f>IF(+All!$F400="Northwestern",+All!C400,IF(+All!$H400="Northwestern",+All!C400,0))</f>
        <v>44842</v>
      </c>
      <c r="D124" s="490">
        <f>IF(+All!$F400="Northwestern",+All!D400,IF(+All!$H400="Northwestern",+All!D400,0))</f>
        <v>0.64583333333333337</v>
      </c>
      <c r="E124" s="461" t="str">
        <f>IF(+All!$F400="Northwestern",+All!E400,IF(+All!$H400="Northwestern",+All!E400,0))</f>
        <v>BTN</v>
      </c>
      <c r="F124" s="51" t="str">
        <f>IF(+All!$F400="Northwestern",+All!F400,IF(+All!$H400="Northwestern",+All!F400,0))</f>
        <v>Wisconsin</v>
      </c>
      <c r="G124" s="63" t="str">
        <f>IF(+All!$F400="Northwestern",+All!G400,IF(+All!$H400="Northwestern",+All!G400,0))</f>
        <v>B10</v>
      </c>
      <c r="H124" s="63" t="str">
        <f>IF(+All!$F400="Northwestern",+All!H400,IF(+All!$H400="Northwestern",+All!H400,0))</f>
        <v>Northwestern</v>
      </c>
      <c r="I124" s="52" t="str">
        <f>IF(+All!$F400="Northwestern",+All!I400,IF(+All!$H400="Northwestern",+All!I400,0))</f>
        <v>B10</v>
      </c>
      <c r="J124" s="460" t="str">
        <f>IF(+All!$F400="Northwestern",+All!J400,IF(+All!$H400="Northwestern",+All!J400,0))</f>
        <v>Wisconsin</v>
      </c>
      <c r="K124" s="461" t="str">
        <f>IF(+All!$F400="Northwestern",+All!K400,IF(+All!$H400="Northwestern",+All!K400,0))</f>
        <v>Northwestern</v>
      </c>
      <c r="L124" s="54">
        <f>IF(+All!$F400="Northwestern",+All!L400,IF(+All!$H400="Northwestern",+All!L400,0))</f>
        <v>10</v>
      </c>
      <c r="M124" s="55">
        <f>IF(+All!$F400="Northwestern",+All!M400,IF(+All!$H400="Northwestern",+All!M400,0))</f>
        <v>44.5</v>
      </c>
      <c r="N124" s="460" t="str">
        <f>IF(+All!$F400="Northwestern",+All!N400,IF(+All!$H400="Northwestern",+All!N400,0))</f>
        <v>Wisconsin</v>
      </c>
      <c r="O124" s="462">
        <f>IF(+All!$F400="Northwestern",+All!O400,IF(+All!$H400="Northwestern",+All!O400,0))</f>
        <v>42</v>
      </c>
      <c r="P124" s="462" t="str">
        <f>IF(+All!$F400="Northwestern",+All!P400,IF(+All!$H400="Northwestern",+All!P400,0))</f>
        <v>Northwestern</v>
      </c>
      <c r="Q124" s="461">
        <f>IF(+All!$F400="Northwestern",+All!Q400,IF(+All!$H400="Northwestern",+All!Q400,0))</f>
        <v>7</v>
      </c>
      <c r="R124" s="460" t="str">
        <f>IF(+All!$F400="Northwestern",+All!R400,IF(+All!$H400="Northwestern",+All!R400,0))</f>
        <v>Wisconsin</v>
      </c>
      <c r="S124" s="462" t="str">
        <f>IF(+All!$F400="Northwestern",+All!S400,IF(+All!$H400="Northwestern",+All!S400,0))</f>
        <v>Northwestern</v>
      </c>
      <c r="T124" s="460" t="str">
        <f>IF(+All!$F400="Northwestern",+All!T400,IF(+All!$H400="Northwestern",+All!T400,0))</f>
        <v>Wisconsin</v>
      </c>
      <c r="U124" s="461" t="str">
        <f>IF(+All!$F400="Northwestern",+All!U400,IF(+All!$H400="Northwestern",+All!U400,0))</f>
        <v>W</v>
      </c>
    </row>
    <row r="125" spans="1:21" x14ac:dyDescent="0.8">
      <c r="A125" s="46" t="e">
        <f>IF(+All!#REF!="Northwestern",+All!#REF!,IF(+All!#REF!="Northwestern",+All!#REF!,0))</f>
        <v>#REF!</v>
      </c>
      <c r="B125" s="348" t="e">
        <f>IF(+All!#REF!="Northwestern",+All!#REF!,IF(+All!#REF!="Northwestern",+All!#REF!,0))</f>
        <v>#REF!</v>
      </c>
      <c r="C125" s="48" t="e">
        <f>IF(+All!#REF!="Northwestern",+All!#REF!,IF(+All!#REF!="Northwestern",+All!#REF!,0))</f>
        <v>#REF!</v>
      </c>
      <c r="D125" s="490" t="e">
        <f>IF(+All!#REF!="Northwestern",+All!#REF!,IF(+All!#REF!="Northwestern",+All!#REF!,0))</f>
        <v>#REF!</v>
      </c>
      <c r="E125" s="461" t="e">
        <f>IF(+All!#REF!="Northwestern",+All!#REF!,IF(+All!#REF!="Northwestern",+All!#REF!,0))</f>
        <v>#REF!</v>
      </c>
      <c r="F125" s="51" t="e">
        <f>IF(+All!#REF!="Northwestern",+All!#REF!,IF(+All!#REF!="Northwestern",+All!#REF!,0))</f>
        <v>#REF!</v>
      </c>
      <c r="G125" s="63" t="e">
        <f>IF(+All!#REF!="Northwestern",+All!#REF!,IF(+All!#REF!="Northwestern",+All!#REF!,0))</f>
        <v>#REF!</v>
      </c>
      <c r="H125" s="63" t="e">
        <f>IF(+All!#REF!="Northwestern",+All!#REF!,IF(+All!#REF!="Northwestern",+All!#REF!,0))</f>
        <v>#REF!</v>
      </c>
      <c r="I125" s="52" t="e">
        <f>IF(+All!#REF!="Northwestern",+All!#REF!,IF(+All!#REF!="Northwestern",+All!#REF!,0))</f>
        <v>#REF!</v>
      </c>
      <c r="J125" s="460" t="e">
        <f>IF(+All!#REF!="Northwestern",+All!#REF!,IF(+All!#REF!="Northwestern",+All!#REF!,0))</f>
        <v>#REF!</v>
      </c>
      <c r="K125" s="461" t="e">
        <f>IF(+All!#REF!="Northwestern",+All!#REF!,IF(+All!#REF!="Northwestern",+All!#REF!,0))</f>
        <v>#REF!</v>
      </c>
      <c r="L125" s="54" t="e">
        <f>IF(+All!#REF!="Northwestern",+All!#REF!,IF(+All!#REF!="Northwestern",+All!#REF!,0))</f>
        <v>#REF!</v>
      </c>
      <c r="M125" s="55" t="e">
        <f>IF(+All!#REF!="Northwestern",+All!#REF!,IF(+All!#REF!="Northwestern",+All!#REF!,0))</f>
        <v>#REF!</v>
      </c>
      <c r="N125" s="460" t="e">
        <f>IF(+All!#REF!="Northwestern",+All!#REF!,IF(+All!#REF!="Northwestern",+All!#REF!,0))</f>
        <v>#REF!</v>
      </c>
      <c r="O125" s="462" t="e">
        <f>IF(+All!#REF!="Northwestern",+All!#REF!,IF(+All!#REF!="Northwestern",+All!#REF!,0))</f>
        <v>#REF!</v>
      </c>
      <c r="P125" s="462" t="e">
        <f>IF(+All!#REF!="Northwestern",+All!#REF!,IF(+All!#REF!="Northwestern",+All!#REF!,0))</f>
        <v>#REF!</v>
      </c>
      <c r="Q125" s="461" t="e">
        <f>IF(+All!#REF!="Northwestern",+All!#REF!,IF(+All!#REF!="Northwestern",+All!#REF!,0))</f>
        <v>#REF!</v>
      </c>
      <c r="R125" s="460" t="e">
        <f>IF(+All!#REF!="Northwestern",+All!#REF!,IF(+All!#REF!="Northwestern",+All!#REF!,0))</f>
        <v>#REF!</v>
      </c>
      <c r="S125" s="462" t="e">
        <f>IF(+All!#REF!="Northwestern",+All!#REF!,IF(+All!#REF!="Northwestern",+All!#REF!,0))</f>
        <v>#REF!</v>
      </c>
      <c r="T125" s="460" t="e">
        <f>IF(+All!#REF!="Northwestern",+All!#REF!,IF(+All!#REF!="Northwestern",+All!#REF!,0))</f>
        <v>#REF!</v>
      </c>
      <c r="U125" s="461" t="e">
        <f>IF(+All!#REF!="Northwestern",+All!#REF!,IF(+All!#REF!="Northwestern",+All!#REF!,0))</f>
        <v>#REF!</v>
      </c>
    </row>
    <row r="126" spans="1:21" x14ac:dyDescent="0.8">
      <c r="A126" s="46">
        <f>IF(+All!$F504="Northwestern",+All!A504,IF(+All!$H504="Northwestern",+All!A504,0))</f>
        <v>8</v>
      </c>
      <c r="B126" s="348" t="str">
        <f>IF(+All!$F504="Northwestern",+All!B504,IF(+All!$H504="Northwestern",+All!B504,0))</f>
        <v>Sat</v>
      </c>
      <c r="C126" s="48">
        <f>IF(+All!$F504="Northwestern",+All!C504,IF(+All!$H504="Northwestern",+All!C504,0))</f>
        <v>44856</v>
      </c>
      <c r="D126" s="490">
        <f>IF(+All!$F504="Northwestern",+All!D504,IF(+All!$H504="Northwestern",+All!D504,0))</f>
        <v>0.64583333333333337</v>
      </c>
      <c r="E126" s="461" t="str">
        <f>IF(+All!$F504="Northwestern",+All!E504,IF(+All!$H504="Northwestern",+All!E504,0))</f>
        <v>BTN</v>
      </c>
      <c r="F126" s="51" t="str">
        <f>IF(+All!$F504="Northwestern",+All!F504,IF(+All!$H504="Northwestern",+All!F504,0))</f>
        <v>Northwestern</v>
      </c>
      <c r="G126" s="63" t="str">
        <f>IF(+All!$F504="Northwestern",+All!G504,IF(+All!$H504="Northwestern",+All!G504,0))</f>
        <v>B10</v>
      </c>
      <c r="H126" s="63" t="str">
        <f>IF(+All!$F504="Northwestern",+All!H504,IF(+All!$H504="Northwestern",+All!H504,0))</f>
        <v>Maryland</v>
      </c>
      <c r="I126" s="52" t="str">
        <f>IF(+All!$F504="Northwestern",+All!I504,IF(+All!$H504="Northwestern",+All!I504,0))</f>
        <v>B10</v>
      </c>
      <c r="J126" s="460" t="str">
        <f>IF(+All!$F504="Northwestern",+All!J504,IF(+All!$H504="Northwestern",+All!J504,0))</f>
        <v>Maryland</v>
      </c>
      <c r="K126" s="461" t="str">
        <f>IF(+All!$F504="Northwestern",+All!K504,IF(+All!$H504="Northwestern",+All!K504,0))</f>
        <v>Northwestern</v>
      </c>
      <c r="L126" s="54">
        <f>IF(+All!$F504="Northwestern",+All!L504,IF(+All!$H504="Northwestern",+All!L504,0))</f>
        <v>13.5</v>
      </c>
      <c r="M126" s="55">
        <f>IF(+All!$F504="Northwestern",+All!M504,IF(+All!$H504="Northwestern",+All!M504,0))</f>
        <v>51</v>
      </c>
      <c r="N126" s="460" t="str">
        <f>IF(+All!$F504="Northwestern",+All!N504,IF(+All!$H504="Northwestern",+All!N504,0))</f>
        <v>Maryland</v>
      </c>
      <c r="O126" s="462">
        <f>IF(+All!$F504="Northwestern",+All!O504,IF(+All!$H504="Northwestern",+All!O504,0))</f>
        <v>31</v>
      </c>
      <c r="P126" s="462" t="str">
        <f>IF(+All!$F504="Northwestern",+All!P504,IF(+All!$H504="Northwestern",+All!P504,0))</f>
        <v>Northwestern</v>
      </c>
      <c r="Q126" s="461">
        <f>IF(+All!$F504="Northwestern",+All!Q504,IF(+All!$H504="Northwestern",+All!Q504,0))</f>
        <v>24</v>
      </c>
      <c r="R126" s="460" t="str">
        <f>IF(+All!$F504="Northwestern",+All!R504,IF(+All!$H504="Northwestern",+All!R504,0))</f>
        <v>Northwestern</v>
      </c>
      <c r="S126" s="462" t="str">
        <f>IF(+All!$F504="Northwestern",+All!S504,IF(+All!$H504="Northwestern",+All!S504,0))</f>
        <v>Maryland</v>
      </c>
      <c r="T126" s="460" t="str">
        <f>IF(+All!$F504="Northwestern",+All!T504,IF(+All!$H504="Northwestern",+All!T504,0))</f>
        <v>Maryland</v>
      </c>
      <c r="U126" s="461" t="str">
        <f>IF(+All!$F504="Northwestern",+All!U504,IF(+All!$H504="Northwestern",+All!U504,0))</f>
        <v>L</v>
      </c>
    </row>
    <row r="127" spans="1:21" x14ac:dyDescent="0.8">
      <c r="A127" s="46">
        <f>IF(+All!$F559="Northwestern",+All!A559,IF(+All!$H559="Northwestern",+All!A559,0))</f>
        <v>9</v>
      </c>
      <c r="B127" s="348" t="str">
        <f>IF(+All!$F559="Northwestern",+All!B559,IF(+All!$H559="Northwestern",+All!B559,0))</f>
        <v>Sat</v>
      </c>
      <c r="C127" s="48">
        <f>IF(+All!$F559="Northwestern",+All!C559,IF(+All!$H559="Northwestern",+All!C559,0))</f>
        <v>44863</v>
      </c>
      <c r="D127" s="490">
        <f>IF(+All!$F559="Northwestern",+All!D559,IF(+All!$H559="Northwestern",+All!D559,0))</f>
        <v>0.64583333333333337</v>
      </c>
      <c r="E127" s="461" t="str">
        <f>IF(+All!$F559="Northwestern",+All!E559,IF(+All!$H559="Northwestern",+All!E559,0))</f>
        <v>ESPN2</v>
      </c>
      <c r="F127" s="51" t="str">
        <f>IF(+All!$F559="Northwestern",+All!F559,IF(+All!$H559="Northwestern",+All!F559,0))</f>
        <v>Northwestern</v>
      </c>
      <c r="G127" s="63" t="str">
        <f>IF(+All!$F559="Northwestern",+All!G559,IF(+All!$H559="Northwestern",+All!G559,0))</f>
        <v>B10</v>
      </c>
      <c r="H127" s="63" t="str">
        <f>IF(+All!$F559="Northwestern",+All!H559,IF(+All!$H559="Northwestern",+All!H559,0))</f>
        <v>Iowa</v>
      </c>
      <c r="I127" s="52" t="str">
        <f>IF(+All!$F559="Northwestern",+All!I559,IF(+All!$H559="Northwestern",+All!I559,0))</f>
        <v>B10</v>
      </c>
      <c r="J127" s="460" t="str">
        <f>IF(+All!$F559="Northwestern",+All!J559,IF(+All!$H559="Northwestern",+All!J559,0))</f>
        <v>Iowa</v>
      </c>
      <c r="K127" s="461" t="str">
        <f>IF(+All!$F559="Northwestern",+All!K559,IF(+All!$H559="Northwestern",+All!K559,0))</f>
        <v>Northwestern</v>
      </c>
      <c r="L127" s="54">
        <f>IF(+All!$F559="Northwestern",+All!L559,IF(+All!$H559="Northwestern",+All!L559,0))</f>
        <v>11</v>
      </c>
      <c r="M127" s="55">
        <f>IF(+All!$F559="Northwestern",+All!M559,IF(+All!$H559="Northwestern",+All!M559,0))</f>
        <v>37.5</v>
      </c>
      <c r="N127" s="460" t="str">
        <f>IF(+All!$F559="Northwestern",+All!N559,IF(+All!$H559="Northwestern",+All!N559,0))</f>
        <v>Iowa</v>
      </c>
      <c r="O127" s="462">
        <f>IF(+All!$F559="Northwestern",+All!O559,IF(+All!$H559="Northwestern",+All!O559,0))</f>
        <v>33</v>
      </c>
      <c r="P127" s="462" t="str">
        <f>IF(+All!$F559="Northwestern",+All!P559,IF(+All!$H559="Northwestern",+All!P559,0))</f>
        <v>Northwestern</v>
      </c>
      <c r="Q127" s="461">
        <f>IF(+All!$F559="Northwestern",+All!Q559,IF(+All!$H559="Northwestern",+All!Q559,0))</f>
        <v>13</v>
      </c>
      <c r="R127" s="460" t="str">
        <f>IF(+All!$F559="Northwestern",+All!R559,IF(+All!$H559="Northwestern",+All!R559,0))</f>
        <v>Iowa</v>
      </c>
      <c r="S127" s="462" t="str">
        <f>IF(+All!$F559="Northwestern",+All!S559,IF(+All!$H559="Northwestern",+All!S559,0))</f>
        <v>Northwestern</v>
      </c>
      <c r="T127" s="460" t="str">
        <f>IF(+All!$F559="Northwestern",+All!T559,IF(+All!$H559="Northwestern",+All!T559,0))</f>
        <v>Northwestern</v>
      </c>
      <c r="U127" s="461" t="str">
        <f>IF(+All!$F559="Northwestern",+All!U559,IF(+All!$H559="Northwestern",+All!U559,0))</f>
        <v>L</v>
      </c>
    </row>
    <row r="128" spans="1:21" x14ac:dyDescent="0.8">
      <c r="A128" s="46">
        <f>IF(+All!$F616="Northwestern",+All!A616,IF(+All!$H616="Northwestern",+All!A616,0))</f>
        <v>10</v>
      </c>
      <c r="B128" s="348" t="str">
        <f>IF(+All!$F616="Northwestern",+All!B616,IF(+All!$H616="Northwestern",+All!B616,0))</f>
        <v>Sat</v>
      </c>
      <c r="C128" s="48">
        <f>IF(+All!$F616="Northwestern",+All!C616,IF(+All!$H616="Northwestern",+All!C616,0))</f>
        <v>44870</v>
      </c>
      <c r="D128" s="490">
        <f>IF(+All!$F616="Northwestern",+All!D616,IF(+All!$H616="Northwestern",+All!D616,0))</f>
        <v>0.5</v>
      </c>
      <c r="E128" s="461" t="str">
        <f>IF(+All!$F616="Northwestern",+All!E616,IF(+All!$H616="Northwestern",+All!E616,0))</f>
        <v>ABC</v>
      </c>
      <c r="F128" s="51" t="str">
        <f>IF(+All!$F616="Northwestern",+All!F616,IF(+All!$H616="Northwestern",+All!F616,0))</f>
        <v>Ohio State</v>
      </c>
      <c r="G128" s="63" t="str">
        <f>IF(+All!$F616="Northwestern",+All!G616,IF(+All!$H616="Northwestern",+All!G616,0))</f>
        <v>B10</v>
      </c>
      <c r="H128" s="63" t="str">
        <f>IF(+All!$F616="Northwestern",+All!H616,IF(+All!$H616="Northwestern",+All!H616,0))</f>
        <v>Northwestern</v>
      </c>
      <c r="I128" s="52" t="str">
        <f>IF(+All!$F616="Northwestern",+All!I616,IF(+All!$H616="Northwestern",+All!I616,0))</f>
        <v>B10</v>
      </c>
      <c r="J128" s="460" t="str">
        <f>IF(+All!$F616="Northwestern",+All!J616,IF(+All!$H616="Northwestern",+All!J616,0))</f>
        <v>Ohio State</v>
      </c>
      <c r="K128" s="461" t="str">
        <f>IF(+All!$F616="Northwestern",+All!K616,IF(+All!$H616="Northwestern",+All!K616,0))</f>
        <v>Northwestern</v>
      </c>
      <c r="L128" s="54">
        <f>IF(+All!$F616="Northwestern",+All!L616,IF(+All!$H616="Northwestern",+All!L616,0))</f>
        <v>38.5</v>
      </c>
      <c r="M128" s="55">
        <f>IF(+All!$F616="Northwestern",+All!M616,IF(+All!$H616="Northwestern",+All!M616,0))</f>
        <v>61.5</v>
      </c>
      <c r="N128" s="460" t="str">
        <f>IF(+All!$F616="Northwestern",+All!N616,IF(+All!$H616="Northwestern",+All!N616,0))</f>
        <v>Ohio State</v>
      </c>
      <c r="O128" s="462">
        <f>IF(+All!$F616="Northwestern",+All!O616,IF(+All!$H616="Northwestern",+All!O616,0))</f>
        <v>21</v>
      </c>
      <c r="P128" s="462" t="str">
        <f>IF(+All!$F616="Northwestern",+All!P616,IF(+All!$H616="Northwestern",+All!P616,0))</f>
        <v>Northwestern</v>
      </c>
      <c r="Q128" s="461">
        <f>IF(+All!$F616="Northwestern",+All!Q616,IF(+All!$H616="Northwestern",+All!Q616,0))</f>
        <v>7</v>
      </c>
      <c r="R128" s="460" t="str">
        <f>IF(+All!$F616="Northwestern",+All!R616,IF(+All!$H616="Northwestern",+All!R616,0))</f>
        <v>Northwestern</v>
      </c>
      <c r="S128" s="462" t="str">
        <f>IF(+All!$F616="Northwestern",+All!S616,IF(+All!$H616="Northwestern",+All!S616,0))</f>
        <v>Ohio State</v>
      </c>
      <c r="T128" s="460" t="str">
        <f>IF(+All!$F616="Northwestern",+All!T616,IF(+All!$H616="Northwestern",+All!T616,0))</f>
        <v>Ohio State</v>
      </c>
      <c r="U128" s="461" t="str">
        <f>IF(+All!$F616="Northwestern",+All!U616,IF(+All!$H616="Northwestern",+All!U616,0))</f>
        <v>L</v>
      </c>
    </row>
    <row r="129" spans="1:21" x14ac:dyDescent="0.8">
      <c r="A129" s="46">
        <f>IF(+All!$F679="Northwestern",+All!A679,IF(+All!$H679="Northwestern",+All!A679,0))</f>
        <v>11</v>
      </c>
      <c r="B129" s="348" t="str">
        <f>IF(+All!$F679="Northwestern",+All!B679,IF(+All!$H679="Northwestern",+All!B679,0))</f>
        <v>Sat</v>
      </c>
      <c r="C129" s="48">
        <f>IF(+All!$F679="Northwestern",+All!C679,IF(+All!$H679="Northwestern",+All!C679,0))</f>
        <v>44877</v>
      </c>
      <c r="D129" s="490">
        <f>IF(+All!$F679="Northwestern",+All!D679,IF(+All!$H679="Northwestern",+All!D679,0))</f>
        <v>0.64583333333333337</v>
      </c>
      <c r="E129" s="461" t="str">
        <f>IF(+All!$F679="Northwestern",+All!E679,IF(+All!$H679="Northwestern",+All!E679,0))</f>
        <v>BTN</v>
      </c>
      <c r="F129" s="51" t="str">
        <f>IF(+All!$F679="Northwestern",+All!F679,IF(+All!$H679="Northwestern",+All!F679,0))</f>
        <v>Northwestern</v>
      </c>
      <c r="G129" s="63" t="str">
        <f>IF(+All!$F679="Northwestern",+All!G679,IF(+All!$H679="Northwestern",+All!G679,0))</f>
        <v>B10</v>
      </c>
      <c r="H129" s="63" t="str">
        <f>IF(+All!$F679="Northwestern",+All!H679,IF(+All!$H679="Northwestern",+All!H679,0))</f>
        <v>Minnesota</v>
      </c>
      <c r="I129" s="52" t="str">
        <f>IF(+All!$F679="Northwestern",+All!I679,IF(+All!$H679="Northwestern",+All!I679,0))</f>
        <v>B10</v>
      </c>
      <c r="J129" s="460" t="str">
        <f>IF(+All!$F679="Northwestern",+All!J679,IF(+All!$H679="Northwestern",+All!J679,0))</f>
        <v>Minnesota</v>
      </c>
      <c r="K129" s="461" t="str">
        <f>IF(+All!$F679="Northwestern",+All!K679,IF(+All!$H679="Northwestern",+All!K679,0))</f>
        <v>Northwestern</v>
      </c>
      <c r="L129" s="54">
        <f>IF(+All!$F679="Northwestern",+All!L679,IF(+All!$H679="Northwestern",+All!L679,0))</f>
        <v>17.5</v>
      </c>
      <c r="M129" s="55">
        <f>IF(+All!$F679="Northwestern",+All!M679,IF(+All!$H679="Northwestern",+All!M679,0))</f>
        <v>41</v>
      </c>
      <c r="N129" s="460" t="str">
        <f>IF(+All!$F679="Northwestern",+All!N679,IF(+All!$H679="Northwestern",+All!N679,0))</f>
        <v>Minnesota</v>
      </c>
      <c r="O129" s="462">
        <f>IF(+All!$F679="Northwestern",+All!O679,IF(+All!$H679="Northwestern",+All!O679,0))</f>
        <v>31</v>
      </c>
      <c r="P129" s="462" t="str">
        <f>IF(+All!$F679="Northwestern",+All!P679,IF(+All!$H679="Northwestern",+All!P679,0))</f>
        <v>Northwestern</v>
      </c>
      <c r="Q129" s="461">
        <f>IF(+All!$F679="Northwestern",+All!Q679,IF(+All!$H679="Northwestern",+All!Q679,0))</f>
        <v>3</v>
      </c>
      <c r="R129" s="460" t="str">
        <f>IF(+All!$F679="Northwestern",+All!R679,IF(+All!$H679="Northwestern",+All!R679,0))</f>
        <v>Minnesota</v>
      </c>
      <c r="S129" s="462" t="str">
        <f>IF(+All!$F679="Northwestern",+All!S679,IF(+All!$H679="Northwestern",+All!S679,0))</f>
        <v>Northwestern</v>
      </c>
      <c r="T129" s="460" t="str">
        <f>IF(+All!$F679="Northwestern",+All!T679,IF(+All!$H679="Northwestern",+All!T679,0))</f>
        <v>Minnesota</v>
      </c>
      <c r="U129" s="461" t="str">
        <f>IF(+All!$F679="Northwestern",+All!U679,IF(+All!$H679="Northwestern",+All!U679,0))</f>
        <v>W</v>
      </c>
    </row>
    <row r="130" spans="1:21" x14ac:dyDescent="0.8">
      <c r="A130" s="46">
        <f>IF(+All!$F742="Northwestern",+All!A742,IF(+All!$H742="Northwestern",+All!A742,0))</f>
        <v>12</v>
      </c>
      <c r="B130" s="348" t="str">
        <f>IF(+All!$F742="Northwestern",+All!B742,IF(+All!$H742="Northwestern",+All!B742,0))</f>
        <v>Sat</v>
      </c>
      <c r="C130" s="48">
        <f>IF(+All!$F742="Northwestern",+All!C742,IF(+All!$H742="Northwestern",+All!C742,0))</f>
        <v>44884</v>
      </c>
      <c r="D130" s="490">
        <f>IF(+All!$F742="Northwestern",+All!D742,IF(+All!$H742="Northwestern",+All!D742,0))</f>
        <v>0.5</v>
      </c>
      <c r="E130" s="461" t="str">
        <f>IF(+All!$F742="Northwestern",+All!E742,IF(+All!$H742="Northwestern",+All!E742,0))</f>
        <v>FS1</v>
      </c>
      <c r="F130" s="51" t="str">
        <f>IF(+All!$F742="Northwestern",+All!F742,IF(+All!$H742="Northwestern",+All!F742,0))</f>
        <v>Northwestern</v>
      </c>
      <c r="G130" s="63" t="str">
        <f>IF(+All!$F742="Northwestern",+All!G742,IF(+All!$H742="Northwestern",+All!G742,0))</f>
        <v>B10</v>
      </c>
      <c r="H130" s="63" t="str">
        <f>IF(+All!$F742="Northwestern",+All!H742,IF(+All!$H742="Northwestern",+All!H742,0))</f>
        <v>Purdue</v>
      </c>
      <c r="I130" s="52" t="str">
        <f>IF(+All!$F742="Northwestern",+All!I742,IF(+All!$H742="Northwestern",+All!I742,0))</f>
        <v>B10</v>
      </c>
      <c r="J130" s="460" t="str">
        <f>IF(+All!$F742="Northwestern",+All!J742,IF(+All!$H742="Northwestern",+All!J742,0))</f>
        <v>Purdue</v>
      </c>
      <c r="K130" s="461" t="str">
        <f>IF(+All!$F742="Northwestern",+All!K742,IF(+All!$H742="Northwestern",+All!K742,0))</f>
        <v>Northwestern</v>
      </c>
      <c r="L130" s="54">
        <f>IF(+All!$F742="Northwestern",+All!L742,IF(+All!$H742="Northwestern",+All!L742,0))</f>
        <v>20</v>
      </c>
      <c r="M130" s="55">
        <f>IF(+All!$F742="Northwestern",+All!M742,IF(+All!$H742="Northwestern",+All!M742,0))</f>
        <v>46</v>
      </c>
      <c r="N130" s="460" t="str">
        <f>IF(+All!$F742="Northwestern",+All!N742,IF(+All!$H742="Northwestern",+All!N742,0))</f>
        <v>Purdue</v>
      </c>
      <c r="O130" s="462">
        <f>IF(+All!$F742="Northwestern",+All!O742,IF(+All!$H742="Northwestern",+All!O742,0))</f>
        <v>17</v>
      </c>
      <c r="P130" s="462" t="str">
        <f>IF(+All!$F742="Northwestern",+All!P742,IF(+All!$H742="Northwestern",+All!P742,0))</f>
        <v>Northwestern</v>
      </c>
      <c r="Q130" s="461">
        <f>IF(+All!$F742="Northwestern",+All!Q742,IF(+All!$H742="Northwestern",+All!Q742,0))</f>
        <v>9</v>
      </c>
      <c r="R130" s="460" t="str">
        <f>IF(+All!$F742="Northwestern",+All!R742,IF(+All!$H742="Northwestern",+All!R742,0))</f>
        <v>Northwestern</v>
      </c>
      <c r="S130" s="462" t="str">
        <f>IF(+All!$F742="Northwestern",+All!S742,IF(+All!$H742="Northwestern",+All!S742,0))</f>
        <v>Purdue</v>
      </c>
      <c r="T130" s="460" t="str">
        <f>IF(+All!$F742="Northwestern",+All!T742,IF(+All!$H742="Northwestern",+All!T742,0))</f>
        <v>Northwestern</v>
      </c>
      <c r="U130" s="461" t="str">
        <f>IF(+All!$F742="Northwestern",+All!U742,IF(+All!$H742="Northwestern",+All!U742,0))</f>
        <v>W</v>
      </c>
    </row>
    <row r="131" spans="1:21" x14ac:dyDescent="0.8">
      <c r="A131" s="46">
        <f>IF(+All!$F810="Northwestern",+All!A810,IF(+All!$H810="Northwestern",+All!A810,0))</f>
        <v>13</v>
      </c>
      <c r="B131" s="348" t="str">
        <f>IF(+All!$F810="Northwestern",+All!B810,IF(+All!$H810="Northwestern",+All!B810,0))</f>
        <v>Sat</v>
      </c>
      <c r="C131" s="48">
        <f>IF(+All!$F810="Northwestern",+All!C810,IF(+All!$H810="Northwestern",+All!C810,0))</f>
        <v>44891</v>
      </c>
      <c r="D131" s="490">
        <f>IF(+All!$F810="Northwestern",+All!D810,IF(+All!$H810="Northwestern",+All!D810,0))</f>
        <v>0.64583333333333337</v>
      </c>
      <c r="E131" s="461">
        <f>IF(+All!$F810="Northwestern",+All!E810,IF(+All!$H810="Northwestern",+All!E810,0))</f>
        <v>0</v>
      </c>
      <c r="F131" s="51" t="str">
        <f>IF(+All!$F810="Northwestern",+All!F810,IF(+All!$H810="Northwestern",+All!F810,0))</f>
        <v>Illinois</v>
      </c>
      <c r="G131" s="63" t="str">
        <f>IF(+All!$F810="Northwestern",+All!G810,IF(+All!$H810="Northwestern",+All!G810,0))</f>
        <v>B10</v>
      </c>
      <c r="H131" s="63" t="str">
        <f>IF(+All!$F810="Northwestern",+All!H810,IF(+All!$H810="Northwestern",+All!H810,0))</f>
        <v>Northwestern</v>
      </c>
      <c r="I131" s="52" t="str">
        <f>IF(+All!$F810="Northwestern",+All!I810,IF(+All!$H810="Northwestern",+All!I810,0))</f>
        <v>B10</v>
      </c>
      <c r="J131" s="460" t="str">
        <f>IF(+All!$F810="Northwestern",+All!J810,IF(+All!$H810="Northwestern",+All!J810,0))</f>
        <v>Illinois</v>
      </c>
      <c r="K131" s="461" t="str">
        <f>IF(+All!$F810="Northwestern",+All!K810,IF(+All!$H810="Northwestern",+All!K810,0))</f>
        <v>Northwestern</v>
      </c>
      <c r="L131" s="54">
        <f>IF(+All!$F810="Northwestern",+All!L810,IF(+All!$H810="Northwestern",+All!L810,0))</f>
        <v>14.5</v>
      </c>
      <c r="M131" s="55">
        <f>IF(+All!$F810="Northwestern",+All!M810,IF(+All!$H810="Northwestern",+All!M810,0))</f>
        <v>38</v>
      </c>
      <c r="N131" s="460" t="str">
        <f>IF(+All!$F810="Northwestern",+All!N810,IF(+All!$H810="Northwestern",+All!N810,0))</f>
        <v>Illinois</v>
      </c>
      <c r="O131" s="462">
        <f>IF(+All!$F810="Northwestern",+All!O810,IF(+All!$H810="Northwestern",+All!O810,0))</f>
        <v>41</v>
      </c>
      <c r="P131" s="462" t="str">
        <f>IF(+All!$F810="Northwestern",+All!P810,IF(+All!$H810="Northwestern",+All!P810,0))</f>
        <v>Northwestern</v>
      </c>
      <c r="Q131" s="461">
        <f>IF(+All!$F810="Northwestern",+All!Q810,IF(+All!$H810="Northwestern",+All!Q810,0))</f>
        <v>3</v>
      </c>
      <c r="R131" s="460" t="str">
        <f>IF(+All!$F810="Northwestern",+All!R810,IF(+All!$H810="Northwestern",+All!R810,0))</f>
        <v>Illinois</v>
      </c>
      <c r="S131" s="462" t="str">
        <f>IF(+All!$F810="Northwestern",+All!S810,IF(+All!$H810="Northwestern",+All!S810,0))</f>
        <v>Northwestern</v>
      </c>
      <c r="T131" s="460" t="str">
        <f>IF(+All!$F810="Northwestern",+All!T810,IF(+All!$H810="Northwestern",+All!T810,0))</f>
        <v>Illinois</v>
      </c>
      <c r="U131" s="461" t="str">
        <f>IF(+All!$F810="Northwestern",+All!U810,IF(+All!$H810="Northwestern",+All!U810,0))</f>
        <v>W</v>
      </c>
    </row>
    <row r="132" spans="1:21" x14ac:dyDescent="0.8">
      <c r="A132" s="38"/>
      <c r="B132" s="39"/>
      <c r="C132" s="40"/>
      <c r="D132" s="41"/>
      <c r="E132" s="463"/>
      <c r="F132" s="897" t="str">
        <f>H134</f>
        <v>Ohio State</v>
      </c>
      <c r="G132" s="903"/>
      <c r="H132" s="903"/>
      <c r="I132" s="904"/>
      <c r="J132" s="459"/>
      <c r="K132" s="463"/>
      <c r="L132" s="44"/>
      <c r="M132" s="45"/>
      <c r="N132" s="459"/>
      <c r="O132" s="5"/>
      <c r="P132" s="5"/>
      <c r="Q132" s="463"/>
      <c r="R132" s="459"/>
      <c r="S132" s="5"/>
      <c r="T132" s="459"/>
      <c r="U132" s="463"/>
    </row>
    <row r="133" spans="1:21" x14ac:dyDescent="0.8">
      <c r="A133" s="46">
        <f>IF(+All!$F80="Ohio State",+All!A80,IF(+All!$H80="Ohio State",+All!A80,0))</f>
        <v>1</v>
      </c>
      <c r="B133" s="348" t="str">
        <f>IF(+All!$F80="Ohio State",+All!B80,IF(+All!$H80="Ohio State",+All!B80,0))</f>
        <v>Sat</v>
      </c>
      <c r="C133" s="48">
        <f>IF(+All!$F80="Ohio State",+All!C80,IF(+All!$H80="Ohio State",+All!C80,0))</f>
        <v>44807</v>
      </c>
      <c r="D133" s="490">
        <f>IF(+All!$F80="Ohio State",+All!D80,IF(+All!$H80="Ohio State",+All!D80,0))</f>
        <v>0.8125</v>
      </c>
      <c r="E133" s="461" t="str">
        <f>IF(+All!$F80="Ohio State",+All!E80,IF(+All!$H80="Ohio State",+All!E80,0))</f>
        <v>ABC</v>
      </c>
      <c r="F133" s="51" t="str">
        <f>IF(+All!$F80="Ohio State",+All!F80,IF(+All!$H80="Ohio State",+All!F80,0))</f>
        <v>Notre Dame</v>
      </c>
      <c r="G133" s="63" t="str">
        <f>IF(+All!$F80="Ohio State",+All!G80,IF(+All!$H80="Ohio State",+All!G80,0))</f>
        <v>Ind</v>
      </c>
      <c r="H133" s="63" t="str">
        <f>IF(+All!$F80="Ohio State",+All!H80,IF(+All!$H80="Ohio State",+All!H80,0))</f>
        <v>Ohio State</v>
      </c>
      <c r="I133" s="52" t="str">
        <f>IF(+All!$F80="Ohio State",+All!I80,IF(+All!$H80="Ohio State",+All!I80,0))</f>
        <v>B10</v>
      </c>
      <c r="J133" s="460" t="str">
        <f>IF(+All!$F80="Ohio State",+All!J80,IF(+All!$H80="Ohio State",+All!J80,0))</f>
        <v>Ohio State</v>
      </c>
      <c r="K133" s="461" t="str">
        <f>IF(+All!$F80="Ohio State",+All!K80,IF(+All!$H80="Ohio State",+All!K80,0))</f>
        <v>Notre Dame</v>
      </c>
      <c r="L133" s="54">
        <f>IF(+All!$F80="Ohio State",+All!L80,IF(+All!$H80="Ohio State",+All!L80,0))</f>
        <v>17</v>
      </c>
      <c r="M133" s="55">
        <f>IF(+All!$F80="Ohio State",+All!M80,IF(+All!$H80="Ohio State",+All!M80,0))</f>
        <v>58.5</v>
      </c>
      <c r="N133" s="460" t="str">
        <f>IF(+All!$F80="Ohio State",+All!N80,IF(+All!$H80="Ohio State",+All!N80,0))</f>
        <v>Ohio State</v>
      </c>
      <c r="O133" s="462">
        <f>IF(+All!$F80="Ohio State",+All!O80,IF(+All!$H80="Ohio State",+All!O80,0))</f>
        <v>21</v>
      </c>
      <c r="P133" s="462" t="str">
        <f>IF(+All!$F80="Ohio State",+All!P80,IF(+All!$H80="Ohio State",+All!P80,0))</f>
        <v>Notre Dame</v>
      </c>
      <c r="Q133" s="461">
        <f>IF(+All!$F80="Ohio State",+All!Q80,IF(+All!$H80="Ohio State",+All!Q80,0))</f>
        <v>10</v>
      </c>
      <c r="R133" s="460" t="str">
        <f>IF(+All!$F80="Ohio State",+All!R80,IF(+All!$H80="Ohio State",+All!R80,0))</f>
        <v>Notre Dame</v>
      </c>
      <c r="S133" s="462" t="str">
        <f>IF(+All!$F80="Ohio State",+All!S80,IF(+All!$H80="Ohio State",+All!S80,0))</f>
        <v>Ohio State</v>
      </c>
      <c r="T133" s="460" t="str">
        <f>IF(+All!$F80="Ohio State",+All!T80,IF(+All!$H80="Ohio State",+All!T80,0))</f>
        <v>Notre Dame</v>
      </c>
      <c r="U133" s="461" t="str">
        <f>IF(+All!$F80="Ohio State",+All!U80,IF(+All!$H80="Ohio State",+All!U80,0))</f>
        <v>W</v>
      </c>
    </row>
    <row r="134" spans="1:21" x14ac:dyDescent="0.8">
      <c r="A134" s="46">
        <f>IF(+All!$F122="Ohio State",+All!A122,IF(+All!$H122="Ohio State",+All!A122,0))</f>
        <v>2</v>
      </c>
      <c r="B134" s="348" t="str">
        <f>IF(+All!$F122="Ohio State",+All!B122,IF(+All!$H122="Ohio State",+All!B122,0))</f>
        <v>Sat</v>
      </c>
      <c r="C134" s="48">
        <f>IF(+All!$F122="Ohio State",+All!C122,IF(+All!$H122="Ohio State",+All!C122,0))</f>
        <v>44814</v>
      </c>
      <c r="D134" s="490">
        <f>IF(+All!$F122="Ohio State",+All!D122,IF(+All!$H122="Ohio State",+All!D122,0))</f>
        <v>0.5</v>
      </c>
      <c r="E134" s="461" t="str">
        <f>IF(+All!$F122="Ohio State",+All!E122,IF(+All!$H122="Ohio State",+All!E122,0))</f>
        <v>BTN</v>
      </c>
      <c r="F134" s="51" t="str">
        <f>IF(+All!$F122="Ohio State",+All!F122,IF(+All!$H122="Ohio State",+All!F122,0))</f>
        <v>Arkansas State</v>
      </c>
      <c r="G134" s="63" t="str">
        <f>IF(+All!$F122="Ohio State",+All!G122,IF(+All!$H122="Ohio State",+All!G122,0))</f>
        <v>SB</v>
      </c>
      <c r="H134" s="63" t="str">
        <f>IF(+All!$F122="Ohio State",+All!H122,IF(+All!$H122="Ohio State",+All!H122,0))</f>
        <v>Ohio State</v>
      </c>
      <c r="I134" s="52" t="str">
        <f>IF(+All!$F122="Ohio State",+All!I122,IF(+All!$H122="Ohio State",+All!I122,0))</f>
        <v>B10</v>
      </c>
      <c r="J134" s="460" t="str">
        <f>IF(+All!$F122="Ohio State",+All!J122,IF(+All!$H122="Ohio State",+All!J122,0))</f>
        <v>Ohio State</v>
      </c>
      <c r="K134" s="461" t="str">
        <f>IF(+All!$F122="Ohio State",+All!K122,IF(+All!$H122="Ohio State",+All!K122,0))</f>
        <v>Arkansas State</v>
      </c>
      <c r="L134" s="54">
        <f>IF(+All!$F122="Ohio State",+All!L122,IF(+All!$H122="Ohio State",+All!L122,0))</f>
        <v>43.5</v>
      </c>
      <c r="M134" s="55">
        <f>IF(+All!$F122="Ohio State",+All!M122,IF(+All!$H122="Ohio State",+All!M122,0))</f>
        <v>68.5</v>
      </c>
      <c r="N134" s="460" t="str">
        <f>IF(+All!$F122="Ohio State",+All!N122,IF(+All!$H122="Ohio State",+All!N122,0))</f>
        <v>Ohio State</v>
      </c>
      <c r="O134" s="462">
        <f>IF(+All!$F122="Ohio State",+All!O122,IF(+All!$H122="Ohio State",+All!O122,0))</f>
        <v>45</v>
      </c>
      <c r="P134" s="462" t="str">
        <f>IF(+All!$F122="Ohio State",+All!P122,IF(+All!$H122="Ohio State",+All!P122,0))</f>
        <v>Arkansas State</v>
      </c>
      <c r="Q134" s="461">
        <f>IF(+All!$F122="Ohio State",+All!Q122,IF(+All!$H122="Ohio State",+All!Q122,0))</f>
        <v>12</v>
      </c>
      <c r="R134" s="460" t="str">
        <f>IF(+All!$F122="Ohio State",+All!R122,IF(+All!$H122="Ohio State",+All!R122,0))</f>
        <v>Arkansas State</v>
      </c>
      <c r="S134" s="462" t="str">
        <f>IF(+All!$F122="Ohio State",+All!S122,IF(+All!$H122="Ohio State",+All!S122,0))</f>
        <v>Ohio State</v>
      </c>
      <c r="T134" s="460" t="str">
        <f>IF(+All!$F122="Ohio State",+All!T122,IF(+All!$H122="Ohio State",+All!T122,0))</f>
        <v>Arkansas State</v>
      </c>
      <c r="U134" s="461" t="str">
        <f>IF(+All!$F122="Ohio State",+All!U122,IF(+All!$H122="Ohio State",+All!U122,0))</f>
        <v>W</v>
      </c>
    </row>
    <row r="135" spans="1:21" x14ac:dyDescent="0.8">
      <c r="A135" s="46">
        <f>IF(+All!$F204="Ohio State",+All!A204,IF(+All!$H204="Ohio State",+All!A204,0))</f>
        <v>3</v>
      </c>
      <c r="B135" s="348" t="str">
        <f>IF(+All!$F204="Ohio State",+All!B204,IF(+All!$H204="Ohio State",+All!B204,0))</f>
        <v>Sat</v>
      </c>
      <c r="C135" s="48">
        <f>IF(+All!$F204="Ohio State",+All!C204,IF(+All!$H204="Ohio State",+All!C204,0))</f>
        <v>44821</v>
      </c>
      <c r="D135" s="490">
        <f>IF(+All!$F204="Ohio State",+All!D204,IF(+All!$H204="Ohio State",+All!D204,0))</f>
        <v>0.79166666666666663</v>
      </c>
      <c r="E135" s="461" t="str">
        <f>IF(+All!$F204="Ohio State",+All!E204,IF(+All!$H204="Ohio State",+All!E204,0))</f>
        <v>Fox</v>
      </c>
      <c r="F135" s="51" t="str">
        <f>IF(+All!$F204="Ohio State",+All!F204,IF(+All!$H204="Ohio State",+All!F204,0))</f>
        <v>Toledo</v>
      </c>
      <c r="G135" s="63" t="str">
        <f>IF(+All!$F204="Ohio State",+All!G204,IF(+All!$H204="Ohio State",+All!G204,0))</f>
        <v>MAC</v>
      </c>
      <c r="H135" s="63" t="str">
        <f>IF(+All!$F204="Ohio State",+All!H204,IF(+All!$H204="Ohio State",+All!H204,0))</f>
        <v>Ohio State</v>
      </c>
      <c r="I135" s="52" t="str">
        <f>IF(+All!$F204="Ohio State",+All!I204,IF(+All!$H204="Ohio State",+All!I204,0))</f>
        <v>B10</v>
      </c>
      <c r="J135" s="460" t="str">
        <f>IF(+All!$F204="Ohio State",+All!J204,IF(+All!$H204="Ohio State",+All!J204,0))</f>
        <v>Ohio State</v>
      </c>
      <c r="K135" s="461" t="str">
        <f>IF(+All!$F204="Ohio State",+All!K204,IF(+All!$H204="Ohio State",+All!K204,0))</f>
        <v>Toledo</v>
      </c>
      <c r="L135" s="54">
        <f>IF(+All!$F204="Ohio State",+All!L204,IF(+All!$H204="Ohio State",+All!L204,0))</f>
        <v>32.5</v>
      </c>
      <c r="M135" s="55">
        <f>IF(+All!$F204="Ohio State",+All!M204,IF(+All!$H204="Ohio State",+All!M204,0))</f>
        <v>61</v>
      </c>
      <c r="N135" s="460" t="str">
        <f>IF(+All!$F204="Ohio State",+All!N204,IF(+All!$H204="Ohio State",+All!N204,0))</f>
        <v>Ohio State</v>
      </c>
      <c r="O135" s="462">
        <f>IF(+All!$F204="Ohio State",+All!O204,IF(+All!$H204="Ohio State",+All!O204,0))</f>
        <v>77</v>
      </c>
      <c r="P135" s="462" t="str">
        <f>IF(+All!$F204="Ohio State",+All!P204,IF(+All!$H204="Ohio State",+All!P204,0))</f>
        <v>Toledo</v>
      </c>
      <c r="Q135" s="461">
        <f>IF(+All!$F204="Ohio State",+All!Q204,IF(+All!$H204="Ohio State",+All!Q204,0))</f>
        <v>21</v>
      </c>
      <c r="R135" s="460" t="str">
        <f>IF(+All!$F204="Ohio State",+All!R204,IF(+All!$H204="Ohio State",+All!R204,0))</f>
        <v>Ohio State</v>
      </c>
      <c r="S135" s="462" t="str">
        <f>IF(+All!$F204="Ohio State",+All!S204,IF(+All!$H204="Ohio State",+All!S204,0))</f>
        <v>Toledo</v>
      </c>
      <c r="T135" s="460" t="str">
        <f>IF(+All!$F204="Ohio State",+All!T204,IF(+All!$H204="Ohio State",+All!T204,0))</f>
        <v>Toledo</v>
      </c>
      <c r="U135" s="461" t="str">
        <f>IF(+All!$F204="Ohio State",+All!U204,IF(+All!$H204="Ohio State",+All!U204,0))</f>
        <v>L</v>
      </c>
    </row>
    <row r="136" spans="1:21" x14ac:dyDescent="0.8">
      <c r="A136" s="46">
        <f>IF(+All!$F276="Ohio State",+All!A276,IF(+All!$H276="Ohio State",+All!A276,0))</f>
        <v>4</v>
      </c>
      <c r="B136" s="348" t="str">
        <f>IF(+All!$F276="Ohio State",+All!B276,IF(+All!$H276="Ohio State",+All!B276,0))</f>
        <v>Sat</v>
      </c>
      <c r="C136" s="48">
        <f>IF(+All!$F276="Ohio State",+All!C276,IF(+All!$H276="Ohio State",+All!C276,0))</f>
        <v>44828</v>
      </c>
      <c r="D136" s="490">
        <f>IF(+All!$F276="Ohio State",+All!D276,IF(+All!$H276="Ohio State",+All!D276,0))</f>
        <v>0.79166666666666663</v>
      </c>
      <c r="E136" s="461" t="str">
        <f>IF(+All!$F276="Ohio State",+All!E276,IF(+All!$H276="Ohio State",+All!E276,0))</f>
        <v>ABC</v>
      </c>
      <c r="F136" s="51" t="str">
        <f>IF(+All!$F276="Ohio State",+All!F276,IF(+All!$H276="Ohio State",+All!F276,0))</f>
        <v>Wisconsin</v>
      </c>
      <c r="G136" s="63" t="str">
        <f>IF(+All!$F276="Ohio State",+All!G276,IF(+All!$H276="Ohio State",+All!G276,0))</f>
        <v>B10</v>
      </c>
      <c r="H136" s="63" t="str">
        <f>IF(+All!$F276="Ohio State",+All!H276,IF(+All!$H276="Ohio State",+All!H276,0))</f>
        <v>Ohio State</v>
      </c>
      <c r="I136" s="52" t="str">
        <f>IF(+All!$F276="Ohio State",+All!I276,IF(+All!$H276="Ohio State",+All!I276,0))</f>
        <v>B10</v>
      </c>
      <c r="J136" s="460" t="str">
        <f>IF(+All!$F276="Ohio State",+All!J276,IF(+All!$H276="Ohio State",+All!J276,0))</f>
        <v>Ohio State</v>
      </c>
      <c r="K136" s="461" t="str">
        <f>IF(+All!$F276="Ohio State",+All!K276,IF(+All!$H276="Ohio State",+All!K276,0))</f>
        <v>Wisconsin</v>
      </c>
      <c r="L136" s="54">
        <f>IF(+All!$F276="Ohio State",+All!L276,IF(+All!$H276="Ohio State",+All!L276,0))</f>
        <v>19.5</v>
      </c>
      <c r="M136" s="55">
        <f>IF(+All!$F276="Ohio State",+All!M276,IF(+All!$H276="Ohio State",+All!M276,0))</f>
        <v>57</v>
      </c>
      <c r="N136" s="460" t="str">
        <f>IF(+All!$F276="Ohio State",+All!N276,IF(+All!$H276="Ohio State",+All!N276,0))</f>
        <v>Ohio State</v>
      </c>
      <c r="O136" s="462">
        <f>IF(+All!$F276="Ohio State",+All!O276,IF(+All!$H276="Ohio State",+All!O276,0))</f>
        <v>52</v>
      </c>
      <c r="P136" s="462" t="str">
        <f>IF(+All!$F276="Ohio State",+All!P276,IF(+All!$H276="Ohio State",+All!P276,0))</f>
        <v>Wisconsin</v>
      </c>
      <c r="Q136" s="461">
        <f>IF(+All!$F276="Ohio State",+All!Q276,IF(+All!$H276="Ohio State",+All!Q276,0))</f>
        <v>21</v>
      </c>
      <c r="R136" s="460" t="str">
        <f>IF(+All!$F276="Ohio State",+All!R276,IF(+All!$H276="Ohio State",+All!R276,0))</f>
        <v>Ohio State</v>
      </c>
      <c r="S136" s="462" t="str">
        <f>IF(+All!$F276="Ohio State",+All!S276,IF(+All!$H276="Ohio State",+All!S276,0))</f>
        <v>Wisconsin</v>
      </c>
      <c r="T136" s="460" t="str">
        <f>IF(+All!$F276="Ohio State",+All!T276,IF(+All!$H276="Ohio State",+All!T276,0))</f>
        <v>Ohio State</v>
      </c>
      <c r="U136" s="461" t="str">
        <f>IF(+All!$F276="Ohio State",+All!U276,IF(+All!$H276="Ohio State",+All!U276,0))</f>
        <v>W</v>
      </c>
    </row>
    <row r="137" spans="1:21" x14ac:dyDescent="0.8">
      <c r="A137" s="46">
        <f>IF(+All!$F339="Ohio State",+All!A339,IF(+All!$H339="Ohio State",+All!A339,0))</f>
        <v>5</v>
      </c>
      <c r="B137" s="348" t="str">
        <f>IF(+All!$F339="Ohio State",+All!B339,IF(+All!$H339="Ohio State",+All!B339,0))</f>
        <v>Sat</v>
      </c>
      <c r="C137" s="48">
        <f>IF(+All!$F339="Ohio State",+All!C339,IF(+All!$H339="Ohio State",+All!C339,0))</f>
        <v>44835</v>
      </c>
      <c r="D137" s="490">
        <f>IF(+All!$F339="Ohio State",+All!D339,IF(+All!$H339="Ohio State",+All!D339,0))</f>
        <v>0.64583333333333337</v>
      </c>
      <c r="E137" s="461" t="str">
        <f>IF(+All!$F339="Ohio State",+All!E339,IF(+All!$H339="Ohio State",+All!E339,0))</f>
        <v>BTN</v>
      </c>
      <c r="F137" s="51" t="str">
        <f>IF(+All!$F339="Ohio State",+All!F339,IF(+All!$H339="Ohio State",+All!F339,0))</f>
        <v>Rutgers</v>
      </c>
      <c r="G137" s="63" t="str">
        <f>IF(+All!$F339="Ohio State",+All!G339,IF(+All!$H339="Ohio State",+All!G339,0))</f>
        <v>B10</v>
      </c>
      <c r="H137" s="63" t="str">
        <f>IF(+All!$F339="Ohio State",+All!H339,IF(+All!$H339="Ohio State",+All!H339,0))</f>
        <v>Ohio State</v>
      </c>
      <c r="I137" s="52" t="str">
        <f>IF(+All!$F339="Ohio State",+All!I339,IF(+All!$H339="Ohio State",+All!I339,0))</f>
        <v>B10</v>
      </c>
      <c r="J137" s="460" t="str">
        <f>IF(+All!$F339="Ohio State",+All!J339,IF(+All!$H339="Ohio State",+All!J339,0))</f>
        <v>Ohio State</v>
      </c>
      <c r="K137" s="461" t="str">
        <f>IF(+All!$F339="Ohio State",+All!K339,IF(+All!$H339="Ohio State",+All!K339,0))</f>
        <v>Rutgers</v>
      </c>
      <c r="L137" s="54">
        <f>IF(+All!$F339="Ohio State",+All!L339,IF(+All!$H339="Ohio State",+All!L339,0))</f>
        <v>40.5</v>
      </c>
      <c r="M137" s="55">
        <f>IF(+All!$F339="Ohio State",+All!M339,IF(+All!$H339="Ohio State",+All!M339,0))</f>
        <v>59</v>
      </c>
      <c r="N137" s="460" t="str">
        <f>IF(+All!$F339="Ohio State",+All!N339,IF(+All!$H339="Ohio State",+All!N339,0))</f>
        <v>Ohio State</v>
      </c>
      <c r="O137" s="462">
        <f>IF(+All!$F339="Ohio State",+All!O339,IF(+All!$H339="Ohio State",+All!O339,0))</f>
        <v>49</v>
      </c>
      <c r="P137" s="462" t="str">
        <f>IF(+All!$F339="Ohio State",+All!P339,IF(+All!$H339="Ohio State",+All!P339,0))</f>
        <v>Rutgers</v>
      </c>
      <c r="Q137" s="461">
        <f>IF(+All!$F339="Ohio State",+All!Q339,IF(+All!$H339="Ohio State",+All!Q339,0))</f>
        <v>10</v>
      </c>
      <c r="R137" s="460" t="str">
        <f>IF(+All!$F339="Ohio State",+All!R339,IF(+All!$H339="Ohio State",+All!R339,0))</f>
        <v>Rutgers</v>
      </c>
      <c r="S137" s="462" t="str">
        <f>IF(+All!$F339="Ohio State",+All!S339,IF(+All!$H339="Ohio State",+All!S339,0))</f>
        <v>Ohio State</v>
      </c>
      <c r="T137" s="460" t="str">
        <f>IF(+All!$F339="Ohio State",+All!T339,IF(+All!$H339="Ohio State",+All!T339,0))</f>
        <v>Rutgers</v>
      </c>
      <c r="U137" s="461" t="str">
        <f>IF(+All!$F339="Ohio State",+All!U339,IF(+All!$H339="Ohio State",+All!U339,0))</f>
        <v>W</v>
      </c>
    </row>
    <row r="138" spans="1:21" x14ac:dyDescent="0.8">
      <c r="A138" s="46">
        <f>IF(+All!$F399="Ohio State",+All!A399,IF(+All!$H399="Ohio State",+All!A399,0))</f>
        <v>6</v>
      </c>
      <c r="B138" s="348" t="str">
        <f>IF(+All!$F399="Ohio State",+All!B399,IF(+All!$H399="Ohio State",+All!B399,0))</f>
        <v>Sat</v>
      </c>
      <c r="C138" s="48">
        <f>IF(+All!$F399="Ohio State",+All!C399,IF(+All!$H399="Ohio State",+All!C399,0))</f>
        <v>44842</v>
      </c>
      <c r="D138" s="490">
        <f>IF(+All!$F399="Ohio State",+All!D399,IF(+All!$H399="Ohio State",+All!D399,0))</f>
        <v>0.66666666666666663</v>
      </c>
      <c r="E138" s="461" t="str">
        <f>IF(+All!$F399="Ohio State",+All!E399,IF(+All!$H399="Ohio State",+All!E399,0))</f>
        <v>ABC</v>
      </c>
      <c r="F138" s="51" t="str">
        <f>IF(+All!$F399="Ohio State",+All!F399,IF(+All!$H399="Ohio State",+All!F399,0))</f>
        <v>Ohio State</v>
      </c>
      <c r="G138" s="63" t="str">
        <f>IF(+All!$F399="Ohio State",+All!G399,IF(+All!$H399="Ohio State",+All!G399,0))</f>
        <v>B10</v>
      </c>
      <c r="H138" s="63" t="str">
        <f>IF(+All!$F399="Ohio State",+All!H399,IF(+All!$H399="Ohio State",+All!H399,0))</f>
        <v>Michigan State</v>
      </c>
      <c r="I138" s="52" t="str">
        <f>IF(+All!$F399="Ohio State",+All!I399,IF(+All!$H399="Ohio State",+All!I399,0))</f>
        <v>B10</v>
      </c>
      <c r="J138" s="460" t="str">
        <f>IF(+All!$F399="Ohio State",+All!J399,IF(+All!$H399="Ohio State",+All!J399,0))</f>
        <v>Ohio State</v>
      </c>
      <c r="K138" s="461" t="str">
        <f>IF(+All!$F399="Ohio State",+All!K399,IF(+All!$H399="Ohio State",+All!K399,0))</f>
        <v>Michigan State</v>
      </c>
      <c r="L138" s="54">
        <f>IF(+All!$F399="Ohio State",+All!L399,IF(+All!$H399="Ohio State",+All!L399,0))</f>
        <v>26.5</v>
      </c>
      <c r="M138" s="55">
        <f>IF(+All!$F399="Ohio State",+All!M399,IF(+All!$H399="Ohio State",+All!M399,0))</f>
        <v>64.5</v>
      </c>
      <c r="N138" s="460" t="str">
        <f>IF(+All!$F399="Ohio State",+All!N399,IF(+All!$H399="Ohio State",+All!N399,0))</f>
        <v>Ohio State</v>
      </c>
      <c r="O138" s="462">
        <f>IF(+All!$F399="Ohio State",+All!O399,IF(+All!$H399="Ohio State",+All!O399,0))</f>
        <v>49</v>
      </c>
      <c r="P138" s="462" t="str">
        <f>IF(+All!$F399="Ohio State",+All!P399,IF(+All!$H399="Ohio State",+All!P399,0))</f>
        <v>Michigan State</v>
      </c>
      <c r="Q138" s="461">
        <f>IF(+All!$F399="Ohio State",+All!Q399,IF(+All!$H399="Ohio State",+All!Q399,0))</f>
        <v>20</v>
      </c>
      <c r="R138" s="460" t="str">
        <f>IF(+All!$F399="Ohio State",+All!R399,IF(+All!$H399="Ohio State",+All!R399,0))</f>
        <v>Ohio State</v>
      </c>
      <c r="S138" s="462" t="str">
        <f>IF(+All!$F399="Ohio State",+All!S399,IF(+All!$H399="Ohio State",+All!S399,0))</f>
        <v>Michigan State</v>
      </c>
      <c r="T138" s="460" t="str">
        <f>IF(+All!$F399="Ohio State",+All!T399,IF(+All!$H399="Ohio State",+All!T399,0))</f>
        <v>Michigan State</v>
      </c>
      <c r="U138" s="461" t="str">
        <f>IF(+All!$F399="Ohio State",+All!U399,IF(+All!$H399="Ohio State",+All!U399,0))</f>
        <v>L</v>
      </c>
    </row>
    <row r="139" spans="1:21" x14ac:dyDescent="0.8">
      <c r="A139" s="46" t="e">
        <f>IF(+All!#REF!="Ohio State",+All!#REF!,IF(+All!#REF!="Ohio State",+All!#REF!,0))</f>
        <v>#REF!</v>
      </c>
      <c r="B139" s="348" t="e">
        <f>IF(+All!#REF!="Ohio State",+All!#REF!,IF(+All!#REF!="Ohio State",+All!#REF!,0))</f>
        <v>#REF!</v>
      </c>
      <c r="C139" s="48" t="e">
        <f>IF(+All!#REF!="Ohio State",+All!#REF!,IF(+All!#REF!="Ohio State",+All!#REF!,0))</f>
        <v>#REF!</v>
      </c>
      <c r="D139" s="490" t="e">
        <f>IF(+All!#REF!="Ohio State",+All!#REF!,IF(+All!#REF!="Ohio State",+All!#REF!,0))</f>
        <v>#REF!</v>
      </c>
      <c r="E139" s="461" t="e">
        <f>IF(+All!#REF!="Ohio State",+All!#REF!,IF(+All!#REF!="Ohio State",+All!#REF!,0))</f>
        <v>#REF!</v>
      </c>
      <c r="F139" s="51" t="e">
        <f>IF(+All!#REF!="Ohio State",+All!#REF!,IF(+All!#REF!="Ohio State",+All!#REF!,0))</f>
        <v>#REF!</v>
      </c>
      <c r="G139" s="63" t="e">
        <f>IF(+All!#REF!="Ohio State",+All!#REF!,IF(+All!#REF!="Ohio State",+All!#REF!,0))</f>
        <v>#REF!</v>
      </c>
      <c r="H139" s="63" t="e">
        <f>IF(+All!#REF!="Ohio State",+All!#REF!,IF(+All!#REF!="Ohio State",+All!#REF!,0))</f>
        <v>#REF!</v>
      </c>
      <c r="I139" s="52" t="e">
        <f>IF(+All!#REF!="Ohio State",+All!#REF!,IF(+All!#REF!="Ohio State",+All!#REF!,0))</f>
        <v>#REF!</v>
      </c>
      <c r="J139" s="460" t="e">
        <f>IF(+All!#REF!="Ohio State",+All!#REF!,IF(+All!#REF!="Ohio State",+All!#REF!,0))</f>
        <v>#REF!</v>
      </c>
      <c r="K139" s="461" t="e">
        <f>IF(+All!#REF!="Ohio State",+All!#REF!,IF(+All!#REF!="Ohio State",+All!#REF!,0))</f>
        <v>#REF!</v>
      </c>
      <c r="L139" s="54" t="e">
        <f>IF(+All!#REF!="Ohio State",+All!#REF!,IF(+All!#REF!="Ohio State",+All!#REF!,0))</f>
        <v>#REF!</v>
      </c>
      <c r="M139" s="55" t="e">
        <f>IF(+All!#REF!="Ohio State",+All!#REF!,IF(+All!#REF!="Ohio State",+All!#REF!,0))</f>
        <v>#REF!</v>
      </c>
      <c r="N139" s="460" t="e">
        <f>IF(+All!#REF!="Ohio State",+All!#REF!,IF(+All!#REF!="Ohio State",+All!#REF!,0))</f>
        <v>#REF!</v>
      </c>
      <c r="O139" s="462" t="e">
        <f>IF(+All!#REF!="Ohio State",+All!#REF!,IF(+All!#REF!="Ohio State",+All!#REF!,0))</f>
        <v>#REF!</v>
      </c>
      <c r="P139" s="462" t="e">
        <f>IF(+All!#REF!="Ohio State",+All!#REF!,IF(+All!#REF!="Ohio State",+All!#REF!,0))</f>
        <v>#REF!</v>
      </c>
      <c r="Q139" s="461" t="e">
        <f>IF(+All!#REF!="Ohio State",+All!#REF!,IF(+All!#REF!="Ohio State",+All!#REF!,0))</f>
        <v>#REF!</v>
      </c>
      <c r="R139" s="460" t="e">
        <f>IF(+All!#REF!="Ohio State",+All!#REF!,IF(+All!#REF!="Ohio State",+All!#REF!,0))</f>
        <v>#REF!</v>
      </c>
      <c r="S139" s="462" t="e">
        <f>IF(+All!#REF!="Ohio State",+All!#REF!,IF(+All!#REF!="Ohio State",+All!#REF!,0))</f>
        <v>#REF!</v>
      </c>
      <c r="T139" s="460" t="e">
        <f>IF(+All!#REF!="Ohio State",+All!#REF!,IF(+All!#REF!="Ohio State",+All!#REF!,0))</f>
        <v>#REF!</v>
      </c>
      <c r="U139" s="461" t="e">
        <f>IF(+All!#REF!="Ohio State",+All!#REF!,IF(+All!#REF!="Ohio State",+All!#REF!,0))</f>
        <v>#REF!</v>
      </c>
    </row>
    <row r="140" spans="1:21" x14ac:dyDescent="0.8">
      <c r="A140" s="46">
        <f>IF(+All!$F505="Ohio State",+All!A505,IF(+All!$H505="Ohio State",+All!A505,0))</f>
        <v>8</v>
      </c>
      <c r="B140" s="348" t="str">
        <f>IF(+All!$F505="Ohio State",+All!B505,IF(+All!$H505="Ohio State",+All!B505,0))</f>
        <v>Sat</v>
      </c>
      <c r="C140" s="48">
        <f>IF(+All!$F505="Ohio State",+All!C505,IF(+All!$H505="Ohio State",+All!C505,0))</f>
        <v>44856</v>
      </c>
      <c r="D140" s="490">
        <f>IF(+All!$F505="Ohio State",+All!D505,IF(+All!$H505="Ohio State",+All!D505,0))</f>
        <v>0.5</v>
      </c>
      <c r="E140" s="461" t="str">
        <f>IF(+All!$F505="Ohio State",+All!E505,IF(+All!$H505="Ohio State",+All!E505,0))</f>
        <v>Fox</v>
      </c>
      <c r="F140" s="51" t="str">
        <f>IF(+All!$F505="Ohio State",+All!F505,IF(+All!$H505="Ohio State",+All!F505,0))</f>
        <v>Iowa</v>
      </c>
      <c r="G140" s="63" t="str">
        <f>IF(+All!$F505="Ohio State",+All!G505,IF(+All!$H505="Ohio State",+All!G505,0))</f>
        <v>B10</v>
      </c>
      <c r="H140" s="63" t="str">
        <f>IF(+All!$F505="Ohio State",+All!H505,IF(+All!$H505="Ohio State",+All!H505,0))</f>
        <v>Ohio State</v>
      </c>
      <c r="I140" s="52" t="str">
        <f>IF(+All!$F505="Ohio State",+All!I505,IF(+All!$H505="Ohio State",+All!I505,0))</f>
        <v>B10</v>
      </c>
      <c r="J140" s="460" t="str">
        <f>IF(+All!$F505="Ohio State",+All!J505,IF(+All!$H505="Ohio State",+All!J505,0))</f>
        <v>Ohio State</v>
      </c>
      <c r="K140" s="461" t="str">
        <f>IF(+All!$F505="Ohio State",+All!K505,IF(+All!$H505="Ohio State",+All!K505,0))</f>
        <v>Iowa</v>
      </c>
      <c r="L140" s="54">
        <f>IF(+All!$F505="Ohio State",+All!L505,IF(+All!$H505="Ohio State",+All!L505,0))</f>
        <v>29</v>
      </c>
      <c r="M140" s="55">
        <f>IF(+All!$F505="Ohio State",+All!M505,IF(+All!$H505="Ohio State",+All!M505,0))</f>
        <v>49</v>
      </c>
      <c r="N140" s="460" t="str">
        <f>IF(+All!$F505="Ohio State",+All!N505,IF(+All!$H505="Ohio State",+All!N505,0))</f>
        <v>Ohio State</v>
      </c>
      <c r="O140" s="462">
        <f>IF(+All!$F505="Ohio State",+All!O505,IF(+All!$H505="Ohio State",+All!O505,0))</f>
        <v>54</v>
      </c>
      <c r="P140" s="462" t="str">
        <f>IF(+All!$F505="Ohio State",+All!P505,IF(+All!$H505="Ohio State",+All!P505,0))</f>
        <v>Iowa</v>
      </c>
      <c r="Q140" s="461">
        <f>IF(+All!$F505="Ohio State",+All!Q505,IF(+All!$H505="Ohio State",+All!Q505,0))</f>
        <v>10</v>
      </c>
      <c r="R140" s="460" t="str">
        <f>IF(+All!$F505="Ohio State",+All!R505,IF(+All!$H505="Ohio State",+All!R505,0))</f>
        <v>Ohio State</v>
      </c>
      <c r="S140" s="462" t="str">
        <f>IF(+All!$F505="Ohio State",+All!S505,IF(+All!$H505="Ohio State",+All!S505,0))</f>
        <v>Iowa</v>
      </c>
      <c r="T140" s="460" t="str">
        <f>IF(+All!$F505="Ohio State",+All!T505,IF(+All!$H505="Ohio State",+All!T505,0))</f>
        <v>Iowa</v>
      </c>
      <c r="U140" s="461" t="str">
        <f>IF(+All!$F505="Ohio State",+All!U505,IF(+All!$H505="Ohio State",+All!U505,0))</f>
        <v>L</v>
      </c>
    </row>
    <row r="141" spans="1:21" x14ac:dyDescent="0.8">
      <c r="A141" s="46">
        <f>IF(+All!$F563="Ohio State",+All!A563,IF(+All!$H563="Ohio State",+All!A563,0))</f>
        <v>9</v>
      </c>
      <c r="B141" s="348" t="str">
        <f>IF(+All!$F563="Ohio State",+All!B563,IF(+All!$H563="Ohio State",+All!B563,0))</f>
        <v>Sat</v>
      </c>
      <c r="C141" s="48">
        <f>IF(+All!$F563="Ohio State",+All!C563,IF(+All!$H563="Ohio State",+All!C563,0))</f>
        <v>44863</v>
      </c>
      <c r="D141" s="490">
        <f>IF(+All!$F563="Ohio State",+All!D563,IF(+All!$H563="Ohio State",+All!D563,0))</f>
        <v>0.5</v>
      </c>
      <c r="E141" s="461" t="str">
        <f>IF(+All!$F563="Ohio State",+All!E563,IF(+All!$H563="Ohio State",+All!E563,0))</f>
        <v>Fox</v>
      </c>
      <c r="F141" s="51" t="str">
        <f>IF(+All!$F563="Ohio State",+All!F563,IF(+All!$H563="Ohio State",+All!F563,0))</f>
        <v>Ohio State</v>
      </c>
      <c r="G141" s="63" t="str">
        <f>IF(+All!$F563="Ohio State",+All!G563,IF(+All!$H563="Ohio State",+All!G563,0))</f>
        <v>B10</v>
      </c>
      <c r="H141" s="63" t="str">
        <f>IF(+All!$F563="Ohio State",+All!H563,IF(+All!$H563="Ohio State",+All!H563,0))</f>
        <v>Penn State</v>
      </c>
      <c r="I141" s="52" t="str">
        <f>IF(+All!$F563="Ohio State",+All!I563,IF(+All!$H563="Ohio State",+All!I563,0))</f>
        <v>B10</v>
      </c>
      <c r="J141" s="460" t="str">
        <f>IF(+All!$F563="Ohio State",+All!J563,IF(+All!$H563="Ohio State",+All!J563,0))</f>
        <v>Ohio State</v>
      </c>
      <c r="K141" s="461" t="str">
        <f>IF(+All!$F563="Ohio State",+All!K563,IF(+All!$H563="Ohio State",+All!K563,0))</f>
        <v>Penn State</v>
      </c>
      <c r="L141" s="54">
        <f>IF(+All!$F563="Ohio State",+All!L563,IF(+All!$H563="Ohio State",+All!L563,0))</f>
        <v>15.5</v>
      </c>
      <c r="M141" s="55">
        <f>IF(+All!$F563="Ohio State",+All!M563,IF(+All!$H563="Ohio State",+All!M563,0))</f>
        <v>61</v>
      </c>
      <c r="N141" s="460" t="str">
        <f>IF(+All!$F563="Ohio State",+All!N563,IF(+All!$H563="Ohio State",+All!N563,0))</f>
        <v>Ohio State</v>
      </c>
      <c r="O141" s="462">
        <f>IF(+All!$F563="Ohio State",+All!O563,IF(+All!$H563="Ohio State",+All!O563,0))</f>
        <v>44</v>
      </c>
      <c r="P141" s="462" t="str">
        <f>IF(+All!$F563="Ohio State",+All!P563,IF(+All!$H563="Ohio State",+All!P563,0))</f>
        <v>Penn State</v>
      </c>
      <c r="Q141" s="461">
        <f>IF(+All!$F563="Ohio State",+All!Q563,IF(+All!$H563="Ohio State",+All!Q563,0))</f>
        <v>31</v>
      </c>
      <c r="R141" s="460" t="str">
        <f>IF(+All!$F563="Ohio State",+All!R563,IF(+All!$H563="Ohio State",+All!R563,0))</f>
        <v>Penn State</v>
      </c>
      <c r="S141" s="462" t="str">
        <f>IF(+All!$F563="Ohio State",+All!S563,IF(+All!$H563="Ohio State",+All!S563,0))</f>
        <v>Ohio State</v>
      </c>
      <c r="T141" s="460" t="str">
        <f>IF(+All!$F563="Ohio State",+All!T563,IF(+All!$H563="Ohio State",+All!T563,0))</f>
        <v>Ohio State</v>
      </c>
      <c r="U141" s="461" t="str">
        <f>IF(+All!$F563="Ohio State",+All!U563,IF(+All!$H563="Ohio State",+All!U563,0))</f>
        <v>L</v>
      </c>
    </row>
    <row r="142" spans="1:21" x14ac:dyDescent="0.8">
      <c r="A142" s="46">
        <f>IF(+All!$F616="Ohio State",+All!A616,IF(+All!$H616="Ohio State",+All!A616,0))</f>
        <v>10</v>
      </c>
      <c r="B142" s="348" t="str">
        <f>IF(+All!$F616="Ohio State",+All!B616,IF(+All!$H616="Ohio State",+All!B616,0))</f>
        <v>Sat</v>
      </c>
      <c r="C142" s="48">
        <f>IF(+All!$F616="Ohio State",+All!C616,IF(+All!$H616="Ohio State",+All!C616,0))</f>
        <v>44870</v>
      </c>
      <c r="D142" s="490">
        <f>IF(+All!$F616="Ohio State",+All!D616,IF(+All!$H616="Ohio State",+All!D616,0))</f>
        <v>0.5</v>
      </c>
      <c r="E142" s="461" t="str">
        <f>IF(+All!$F616="Ohio State",+All!E616,IF(+All!$H616="Ohio State",+All!E616,0))</f>
        <v>ABC</v>
      </c>
      <c r="F142" s="51" t="str">
        <f>IF(+All!$F616="Ohio State",+All!F616,IF(+All!$H616="Ohio State",+All!F616,0))</f>
        <v>Ohio State</v>
      </c>
      <c r="G142" s="63" t="str">
        <f>IF(+All!$F616="Ohio State",+All!G616,IF(+All!$H616="Ohio State",+All!G616,0))</f>
        <v>B10</v>
      </c>
      <c r="H142" s="63" t="str">
        <f>IF(+All!$F616="Ohio State",+All!H616,IF(+All!$H616="Ohio State",+All!H616,0))</f>
        <v>Northwestern</v>
      </c>
      <c r="I142" s="52" t="str">
        <f>IF(+All!$F616="Ohio State",+All!I616,IF(+All!$H616="Ohio State",+All!I616,0))</f>
        <v>B10</v>
      </c>
      <c r="J142" s="460" t="str">
        <f>IF(+All!$F616="Ohio State",+All!J616,IF(+All!$H616="Ohio State",+All!J616,0))</f>
        <v>Ohio State</v>
      </c>
      <c r="K142" s="461" t="str">
        <f>IF(+All!$F616="Ohio State",+All!K616,IF(+All!$H616="Ohio State",+All!K616,0))</f>
        <v>Northwestern</v>
      </c>
      <c r="L142" s="54">
        <f>IF(+All!$F616="Ohio State",+All!L616,IF(+All!$H616="Ohio State",+All!L616,0))</f>
        <v>38.5</v>
      </c>
      <c r="M142" s="55">
        <f>IF(+All!$F616="Ohio State",+All!M616,IF(+All!$H616="Ohio State",+All!M616,0))</f>
        <v>61.5</v>
      </c>
      <c r="N142" s="460" t="str">
        <f>IF(+All!$F616="Ohio State",+All!N616,IF(+All!$H616="Ohio State",+All!N616,0))</f>
        <v>Ohio State</v>
      </c>
      <c r="O142" s="462">
        <f>IF(+All!$F616="Ohio State",+All!O616,IF(+All!$H616="Ohio State",+All!O616,0))</f>
        <v>21</v>
      </c>
      <c r="P142" s="462" t="str">
        <f>IF(+All!$F616="Ohio State",+All!P616,IF(+All!$H616="Ohio State",+All!P616,0))</f>
        <v>Northwestern</v>
      </c>
      <c r="Q142" s="461">
        <f>IF(+All!$F616="Ohio State",+All!Q616,IF(+All!$H616="Ohio State",+All!Q616,0))</f>
        <v>7</v>
      </c>
      <c r="R142" s="460" t="str">
        <f>IF(+All!$F616="Ohio State",+All!R616,IF(+All!$H616="Ohio State",+All!R616,0))</f>
        <v>Northwestern</v>
      </c>
      <c r="S142" s="462" t="str">
        <f>IF(+All!$F616="Ohio State",+All!S616,IF(+All!$H616="Ohio State",+All!S616,0))</f>
        <v>Ohio State</v>
      </c>
      <c r="T142" s="460" t="str">
        <f>IF(+All!$F616="Ohio State",+All!T616,IF(+All!$H616="Ohio State",+All!T616,0))</f>
        <v>Ohio State</v>
      </c>
      <c r="U142" s="461" t="str">
        <f>IF(+All!$F616="Ohio State",+All!U616,IF(+All!$H616="Ohio State",+All!U616,0))</f>
        <v>L</v>
      </c>
    </row>
    <row r="143" spans="1:21" x14ac:dyDescent="0.8">
      <c r="A143" s="46">
        <f>IF(+All!$F680="Ohio State",+All!A680,IF(+All!$H680="Ohio State",+All!A680,0))</f>
        <v>11</v>
      </c>
      <c r="B143" s="348" t="str">
        <f>IF(+All!$F680="Ohio State",+All!B680,IF(+All!$H680="Ohio State",+All!B680,0))</f>
        <v>Sat</v>
      </c>
      <c r="C143" s="48">
        <f>IF(+All!$F680="Ohio State",+All!C680,IF(+All!$H680="Ohio State",+All!C680,0))</f>
        <v>44877</v>
      </c>
      <c r="D143" s="490">
        <f>IF(+All!$F680="Ohio State",+All!D680,IF(+All!$H680="Ohio State",+All!D680,0))</f>
        <v>0.5</v>
      </c>
      <c r="E143" s="461" t="str">
        <f>IF(+All!$F680="Ohio State",+All!E680,IF(+All!$H680="Ohio State",+All!E680,0))</f>
        <v>Fox</v>
      </c>
      <c r="F143" s="51" t="str">
        <f>IF(+All!$F680="Ohio State",+All!F680,IF(+All!$H680="Ohio State",+All!F680,0))</f>
        <v>Indiana</v>
      </c>
      <c r="G143" s="63" t="str">
        <f>IF(+All!$F680="Ohio State",+All!G680,IF(+All!$H680="Ohio State",+All!G680,0))</f>
        <v>B10</v>
      </c>
      <c r="H143" s="63" t="str">
        <f>IF(+All!$F680="Ohio State",+All!H680,IF(+All!$H680="Ohio State",+All!H680,0))</f>
        <v>Ohio State</v>
      </c>
      <c r="I143" s="52" t="str">
        <f>IF(+All!$F680="Ohio State",+All!I680,IF(+All!$H680="Ohio State",+All!I680,0))</f>
        <v>B10</v>
      </c>
      <c r="J143" s="460" t="str">
        <f>IF(+All!$F680="Ohio State",+All!J680,IF(+All!$H680="Ohio State",+All!J680,0))</f>
        <v>Ohio State</v>
      </c>
      <c r="K143" s="461" t="str">
        <f>IF(+All!$F680="Ohio State",+All!K680,IF(+All!$H680="Ohio State",+All!K680,0))</f>
        <v>Indiana</v>
      </c>
      <c r="L143" s="54">
        <f>IF(+All!$F680="Ohio State",+All!L680,IF(+All!$H680="Ohio State",+All!L680,0))</f>
        <v>40</v>
      </c>
      <c r="M143" s="55">
        <f>IF(+All!$F680="Ohio State",+All!M680,IF(+All!$H680="Ohio State",+All!M680,0))</f>
        <v>57.5</v>
      </c>
      <c r="N143" s="460" t="str">
        <f>IF(+All!$F680="Ohio State",+All!N680,IF(+All!$H680="Ohio State",+All!N680,0))</f>
        <v>Ohio State</v>
      </c>
      <c r="O143" s="462">
        <f>IF(+All!$F680="Ohio State",+All!O680,IF(+All!$H680="Ohio State",+All!O680,0))</f>
        <v>56</v>
      </c>
      <c r="P143" s="462" t="str">
        <f>IF(+All!$F680="Ohio State",+All!P680,IF(+All!$H680="Ohio State",+All!P680,0))</f>
        <v>Indiana</v>
      </c>
      <c r="Q143" s="461">
        <f>IF(+All!$F680="Ohio State",+All!Q680,IF(+All!$H680="Ohio State",+All!Q680,0))</f>
        <v>14</v>
      </c>
      <c r="R143" s="460" t="str">
        <f>IF(+All!$F680="Ohio State",+All!R680,IF(+All!$H680="Ohio State",+All!R680,0))</f>
        <v>Ohio State</v>
      </c>
      <c r="S143" s="462" t="str">
        <f>IF(+All!$F680="Ohio State",+All!S680,IF(+All!$H680="Ohio State",+All!S680,0))</f>
        <v>Indiana</v>
      </c>
      <c r="T143" s="460" t="str">
        <f>IF(+All!$F680="Ohio State",+All!T680,IF(+All!$H680="Ohio State",+All!T680,0))</f>
        <v>Indiana</v>
      </c>
      <c r="U143" s="461" t="str">
        <f>IF(+All!$F680="Ohio State",+All!U680,IF(+All!$H680="Ohio State",+All!U680,0))</f>
        <v>L</v>
      </c>
    </row>
    <row r="144" spans="1:21" x14ac:dyDescent="0.8">
      <c r="A144" s="46">
        <f>IF(+All!$F737="Ohio State",+All!A737,IF(+All!$H737="Ohio State",+All!A737,0))</f>
        <v>12</v>
      </c>
      <c r="B144" s="348" t="str">
        <f>IF(+All!$F737="Ohio State",+All!B737,IF(+All!$H737="Ohio State",+All!B737,0))</f>
        <v>Sat</v>
      </c>
      <c r="C144" s="48">
        <f>IF(+All!$F737="Ohio State",+All!C737,IF(+All!$H737="Ohio State",+All!C737,0))</f>
        <v>44884</v>
      </c>
      <c r="D144" s="490">
        <f>IF(+All!$F737="Ohio State",+All!D737,IF(+All!$H737="Ohio State",+All!D737,0))</f>
        <v>0.64583333333333337</v>
      </c>
      <c r="E144" s="461" t="str">
        <f>IF(+All!$F737="Ohio State",+All!E737,IF(+All!$H737="Ohio State",+All!E737,0))</f>
        <v>ABC</v>
      </c>
      <c r="F144" s="51" t="str">
        <f>IF(+All!$F737="Ohio State",+All!F737,IF(+All!$H737="Ohio State",+All!F737,0))</f>
        <v>Ohio State</v>
      </c>
      <c r="G144" s="63" t="str">
        <f>IF(+All!$F737="Ohio State",+All!G737,IF(+All!$H737="Ohio State",+All!G737,0))</f>
        <v>B10</v>
      </c>
      <c r="H144" s="63" t="str">
        <f>IF(+All!$F737="Ohio State",+All!H737,IF(+All!$H737="Ohio State",+All!H737,0))</f>
        <v>Maryland</v>
      </c>
      <c r="I144" s="52" t="str">
        <f>IF(+All!$F737="Ohio State",+All!I737,IF(+All!$H737="Ohio State",+All!I737,0))</f>
        <v>B10</v>
      </c>
      <c r="J144" s="460" t="str">
        <f>IF(+All!$F737="Ohio State",+All!J737,IF(+All!$H737="Ohio State",+All!J737,0))</f>
        <v>Ohio State</v>
      </c>
      <c r="K144" s="461" t="str">
        <f>IF(+All!$F737="Ohio State",+All!K737,IF(+All!$H737="Ohio State",+All!K737,0))</f>
        <v>Maryland</v>
      </c>
      <c r="L144" s="54">
        <f>IF(+All!$F737="Ohio State",+All!L737,IF(+All!$H737="Ohio State",+All!L737,0))</f>
        <v>27.5</v>
      </c>
      <c r="M144" s="55">
        <f>IF(+All!$F737="Ohio State",+All!M737,IF(+All!$H737="Ohio State",+All!M737,0))</f>
        <v>65</v>
      </c>
      <c r="N144" s="460" t="str">
        <f>IF(+All!$F737="Ohio State",+All!N737,IF(+All!$H737="Ohio State",+All!N737,0))</f>
        <v>Ohio State</v>
      </c>
      <c r="O144" s="462">
        <f>IF(+All!$F737="Ohio State",+All!O737,IF(+All!$H737="Ohio State",+All!O737,0))</f>
        <v>43</v>
      </c>
      <c r="P144" s="462" t="str">
        <f>IF(+All!$F737="Ohio State",+All!P737,IF(+All!$H737="Ohio State",+All!P737,0))</f>
        <v>Maryland</v>
      </c>
      <c r="Q144" s="461">
        <f>IF(+All!$F737="Ohio State",+All!Q737,IF(+All!$H737="Ohio State",+All!Q737,0))</f>
        <v>30</v>
      </c>
      <c r="R144" s="460" t="str">
        <f>IF(+All!$F737="Ohio State",+All!R737,IF(+All!$H737="Ohio State",+All!R737,0))</f>
        <v>Maryland</v>
      </c>
      <c r="S144" s="462" t="str">
        <f>IF(+All!$F737="Ohio State",+All!S737,IF(+All!$H737="Ohio State",+All!S737,0))</f>
        <v>Ohio State</v>
      </c>
      <c r="T144" s="460" t="str">
        <f>IF(+All!$F737="Ohio State",+All!T737,IF(+All!$H737="Ohio State",+All!T737,0))</f>
        <v>Maryland</v>
      </c>
      <c r="U144" s="461" t="str">
        <f>IF(+All!$F737="Ohio State",+All!U737,IF(+All!$H737="Ohio State",+All!U737,0))</f>
        <v>W</v>
      </c>
    </row>
    <row r="145" spans="1:21" s="21" customFormat="1" ht="15.9" customHeight="1" x14ac:dyDescent="0.8">
      <c r="A145" s="46">
        <f>IF(+All!$F811="Ohio State",+All!A811,IF(+All!$H811="Ohio State",+All!A811,0))</f>
        <v>13</v>
      </c>
      <c r="B145" s="348" t="str">
        <f>IF(+All!$F811="Ohio State",+All!B811,IF(+All!$H811="Ohio State",+All!B811,0))</f>
        <v>Sat</v>
      </c>
      <c r="C145" s="48">
        <f>IF(+All!$F811="Ohio State",+All!C811,IF(+All!$H811="Ohio State",+All!C811,0))</f>
        <v>44891</v>
      </c>
      <c r="D145" s="490">
        <f>IF(+All!$F811="Ohio State",+All!D811,IF(+All!$H811="Ohio State",+All!D811,0))</f>
        <v>0.5</v>
      </c>
      <c r="E145" s="461" t="str">
        <f>IF(+All!$F811="Ohio State",+All!E811,IF(+All!$H811="Ohio State",+All!E811,0))</f>
        <v>ABC</v>
      </c>
      <c r="F145" s="51" t="str">
        <f>IF(+All!$F811="Ohio State",+All!F811,IF(+All!$H811="Ohio State",+All!F811,0))</f>
        <v>Michigan</v>
      </c>
      <c r="G145" s="63" t="str">
        <f>IF(+All!$F811="Ohio State",+All!G811,IF(+All!$H811="Ohio State",+All!G811,0))</f>
        <v>B10</v>
      </c>
      <c r="H145" s="63" t="str">
        <f>IF(+All!$F811="Ohio State",+All!H811,IF(+All!$H811="Ohio State",+All!H811,0))</f>
        <v>Ohio State</v>
      </c>
      <c r="I145" s="52" t="str">
        <f>IF(+All!$F811="Ohio State",+All!I811,IF(+All!$H811="Ohio State",+All!I811,0))</f>
        <v>B10</v>
      </c>
      <c r="J145" s="460" t="str">
        <f>IF(+All!$F811="Ohio State",+All!J811,IF(+All!$H811="Ohio State",+All!J811,0))</f>
        <v>Ohio State</v>
      </c>
      <c r="K145" s="461" t="str">
        <f>IF(+All!$F811="Ohio State",+All!K811,IF(+All!$H811="Ohio State",+All!K811,0))</f>
        <v>Michigan</v>
      </c>
      <c r="L145" s="54">
        <f>IF(+All!$F811="Ohio State",+All!L811,IF(+All!$H811="Ohio State",+All!L811,0))</f>
        <v>8</v>
      </c>
      <c r="M145" s="55">
        <f>IF(+All!$F811="Ohio State",+All!M811,IF(+All!$H811="Ohio State",+All!M811,0))</f>
        <v>55.5</v>
      </c>
      <c r="N145" s="460" t="str">
        <f>IF(+All!$F811="Ohio State",+All!N811,IF(+All!$H811="Ohio State",+All!N811,0))</f>
        <v>Michigan</v>
      </c>
      <c r="O145" s="462">
        <f>IF(+All!$F811="Ohio State",+All!O811,IF(+All!$H811="Ohio State",+All!O811,0))</f>
        <v>45</v>
      </c>
      <c r="P145" s="462" t="str">
        <f>IF(+All!$F811="Ohio State",+All!P811,IF(+All!$H811="Ohio State",+All!P811,0))</f>
        <v>Ohio State</v>
      </c>
      <c r="Q145" s="461">
        <f>IF(+All!$F811="Ohio State",+All!Q811,IF(+All!$H811="Ohio State",+All!Q811,0))</f>
        <v>23</v>
      </c>
      <c r="R145" s="460" t="str">
        <f>IF(+All!$F811="Ohio State",+All!R811,IF(+All!$H811="Ohio State",+All!R811,0))</f>
        <v>Michigan</v>
      </c>
      <c r="S145" s="462" t="str">
        <f>IF(+All!$F811="Ohio State",+All!S811,IF(+All!$H811="Ohio State",+All!S811,0))</f>
        <v>Ohio State</v>
      </c>
      <c r="T145" s="460" t="str">
        <f>IF(+All!$F811="Ohio State",+All!T811,IF(+All!$H811="Ohio State",+All!T811,0))</f>
        <v>Ohio State</v>
      </c>
      <c r="U145" s="461" t="str">
        <f>IF(+All!$F811="Ohio State",+All!U811,IF(+All!$H811="Ohio State",+All!U811,0))</f>
        <v>L</v>
      </c>
    </row>
    <row r="146" spans="1:21" x14ac:dyDescent="0.8">
      <c r="A146" s="38"/>
      <c r="B146" s="39"/>
      <c r="C146" s="40"/>
      <c r="D146" s="41"/>
      <c r="E146" s="463"/>
      <c r="F146" s="897" t="str">
        <f>H148</f>
        <v>Penn State</v>
      </c>
      <c r="G146" s="903"/>
      <c r="H146" s="903"/>
      <c r="I146" s="904"/>
      <c r="J146" s="459"/>
      <c r="K146" s="463"/>
      <c r="L146" s="44"/>
      <c r="M146" s="45"/>
      <c r="N146" s="459"/>
      <c r="O146" s="5"/>
      <c r="P146" s="5"/>
      <c r="Q146" s="463"/>
      <c r="R146" s="459"/>
      <c r="S146" s="5"/>
      <c r="T146" s="459"/>
      <c r="U146" s="463"/>
    </row>
    <row r="147" spans="1:21" x14ac:dyDescent="0.8">
      <c r="A147" s="46">
        <f>IF(+All!$F20="Penn State",+All!A20,IF(+All!$H20="Penn State",+All!A20,0))</f>
        <v>1</v>
      </c>
      <c r="B147" s="348" t="str">
        <f>IF(+All!$F20="Penn State",+All!B20,IF(+All!$H20="Penn State",+All!B20,0))</f>
        <v>Thurs</v>
      </c>
      <c r="C147" s="48">
        <f>IF(+All!$F20="Penn State",+All!C20,IF(+All!$H20="Penn State",+All!C20,0))</f>
        <v>44805</v>
      </c>
      <c r="D147" s="490">
        <f>IF(+All!$F20="Penn State",+All!D20,IF(+All!$H20="Penn State",+All!D20,0))</f>
        <v>0.83333333333333337</v>
      </c>
      <c r="E147" s="461" t="str">
        <f>IF(+All!$F20="Penn State",+All!E20,IF(+All!$H20="Penn State",+All!E20,0))</f>
        <v>Fox</v>
      </c>
      <c r="F147" s="51" t="str">
        <f>IF(+All!$F20="Penn State",+All!F20,IF(+All!$H20="Penn State",+All!F20,0))</f>
        <v>Penn State</v>
      </c>
      <c r="G147" s="52" t="str">
        <f>IF(+All!$F20="Penn State",+All!G20,IF(+All!$H20="Penn State",+All!G20,0))</f>
        <v>B10</v>
      </c>
      <c r="H147" s="51" t="str">
        <f>IF(+All!$F20="Penn State",+All!H20,IF(+All!$H20="Penn State",+All!H20,0))</f>
        <v>Purdue</v>
      </c>
      <c r="I147" s="52" t="str">
        <f>IF(+All!$F20="Penn State",+All!I20,IF(+All!$H20="Penn State",+All!I20,0))</f>
        <v>B10</v>
      </c>
      <c r="J147" s="460" t="str">
        <f>IF(+All!$F20="Penn State",+All!J20,IF(+All!$H20="Penn State",+All!J20,0))</f>
        <v>Penn State</v>
      </c>
      <c r="K147" s="461" t="str">
        <f>IF(+All!$F20="Penn State",+All!K20,IF(+All!$H20="Penn State",+All!K20,0))</f>
        <v>Purdue</v>
      </c>
      <c r="L147" s="54">
        <f>IF(+All!$F20="Penn State",+All!L20,IF(+All!$H20="Penn State",+All!L20,0))</f>
        <v>3.5</v>
      </c>
      <c r="M147" s="55">
        <f>IF(+All!$F20="Penn State",+All!M20,IF(+All!$H20="Penn State",+All!M20,0))</f>
        <v>53.5</v>
      </c>
      <c r="N147" s="460" t="str">
        <f>IF(+All!$F20="Penn State",+All!N20,IF(+All!$H20="Penn State",+All!N20,0))</f>
        <v>Penn State</v>
      </c>
      <c r="O147" s="462">
        <f>IF(+All!$F20="Penn State",+All!O20,IF(+All!$H20="Penn State",+All!O20,0))</f>
        <v>35</v>
      </c>
      <c r="P147" s="462" t="str">
        <f>IF(+All!$F20="Penn State",+All!P20,IF(+All!$H20="Penn State",+All!P20,0))</f>
        <v>Purdue</v>
      </c>
      <c r="Q147" s="461">
        <f>IF(+All!$F20="Penn State",+All!Q20,IF(+All!$H20="Penn State",+All!Q20,0))</f>
        <v>31</v>
      </c>
      <c r="R147" s="460" t="str">
        <f>IF(+All!$F20="Penn State",+All!R20,IF(+All!$H20="Penn State",+All!R20,0))</f>
        <v>Penn State</v>
      </c>
      <c r="S147" s="462" t="str">
        <f>IF(+All!$F20="Penn State",+All!S20,IF(+All!$H20="Penn State",+All!S20,0))</f>
        <v>Purdue</v>
      </c>
      <c r="T147" s="460" t="str">
        <f>IF(+All!$F20="Penn State",+All!T20,IF(+All!$H20="Penn State",+All!T20,0))</f>
        <v>Penn State</v>
      </c>
      <c r="U147" s="461" t="str">
        <f>IF(+All!$F20="Penn State",+All!U20,IF(+All!$H20="Penn State",+All!U20,0))</f>
        <v>W</v>
      </c>
    </row>
    <row r="148" spans="1:21" x14ac:dyDescent="0.8">
      <c r="A148" s="46">
        <f>IF(+All!$F123="Penn State",+All!A123,IF(+All!$H123="Penn State",+All!A123,0))</f>
        <v>2</v>
      </c>
      <c r="B148" s="348" t="str">
        <f>IF(+All!$F123="Penn State",+All!B123,IF(+All!$H123="Penn State",+All!B123,0))</f>
        <v>Sat</v>
      </c>
      <c r="C148" s="48">
        <f>IF(+All!$F123="Penn State",+All!C123,IF(+All!$H123="Penn State",+All!C123,0))</f>
        <v>44814</v>
      </c>
      <c r="D148" s="490">
        <f>IF(+All!$F123="Penn State",+All!D123,IF(+All!$H123="Penn State",+All!D123,0))</f>
        <v>0.5</v>
      </c>
      <c r="E148" s="461" t="str">
        <f>IF(+All!$F123="Penn State",+All!E123,IF(+All!$H123="Penn State",+All!E123,0))</f>
        <v>ABC</v>
      </c>
      <c r="F148" s="51" t="str">
        <f>IF(+All!$F123="Penn State",+All!F123,IF(+All!$H123="Penn State",+All!F123,0))</f>
        <v>Ohio</v>
      </c>
      <c r="G148" s="52" t="str">
        <f>IF(+All!$F123="Penn State",+All!G123,IF(+All!$H123="Penn State",+All!G123,0))</f>
        <v>MAC</v>
      </c>
      <c r="H148" s="51" t="str">
        <f>IF(+All!$F123="Penn State",+All!H123,IF(+All!$H123="Penn State",+All!H123,0))</f>
        <v>Penn State</v>
      </c>
      <c r="I148" s="52" t="str">
        <f>IF(+All!$F123="Penn State",+All!I123,IF(+All!$H123="Penn State",+All!I123,0))</f>
        <v>B10</v>
      </c>
      <c r="J148" s="460" t="str">
        <f>IF(+All!$F123="Penn State",+All!J123,IF(+All!$H123="Penn State",+All!J123,0))</f>
        <v>Penn State</v>
      </c>
      <c r="K148" s="461" t="str">
        <f>IF(+All!$F123="Penn State",+All!K123,IF(+All!$H123="Penn State",+All!K123,0))</f>
        <v>Ohio</v>
      </c>
      <c r="L148" s="54">
        <f>IF(+All!$F123="Penn State",+All!L123,IF(+All!$H123="Penn State",+All!L123,0))</f>
        <v>24.5</v>
      </c>
      <c r="M148" s="55">
        <f>IF(+All!$F123="Penn State",+All!M123,IF(+All!$H123="Penn State",+All!M123,0))</f>
        <v>54</v>
      </c>
      <c r="N148" s="460" t="str">
        <f>IF(+All!$F123="Penn State",+All!N123,IF(+All!$H123="Penn State",+All!N123,0))</f>
        <v>Penn State</v>
      </c>
      <c r="O148" s="462">
        <f>IF(+All!$F123="Penn State",+All!O123,IF(+All!$H123="Penn State",+All!O123,0))</f>
        <v>46</v>
      </c>
      <c r="P148" s="462" t="str">
        <f>IF(+All!$F123="Penn State",+All!P123,IF(+All!$H123="Penn State",+All!P123,0))</f>
        <v>Ohio</v>
      </c>
      <c r="Q148" s="461">
        <f>IF(+All!$F123="Penn State",+All!Q123,IF(+All!$H123="Penn State",+All!Q123,0))</f>
        <v>10</v>
      </c>
      <c r="R148" s="460" t="str">
        <f>IF(+All!$F123="Penn State",+All!R123,IF(+All!$H123="Penn State",+All!R123,0))</f>
        <v>Penn State</v>
      </c>
      <c r="S148" s="462" t="str">
        <f>IF(+All!$F123="Penn State",+All!S123,IF(+All!$H123="Penn State",+All!S123,0))</f>
        <v>Ohio</v>
      </c>
      <c r="T148" s="460" t="str">
        <f>IF(+All!$F123="Penn State",+All!T123,IF(+All!$H123="Penn State",+All!T123,0))</f>
        <v>Ohio</v>
      </c>
      <c r="U148" s="461" t="str">
        <f>IF(+All!$F123="Penn State",+All!U123,IF(+All!$H123="Penn State",+All!U123,0))</f>
        <v>L</v>
      </c>
    </row>
    <row r="149" spans="1:21" x14ac:dyDescent="0.8">
      <c r="A149" s="46">
        <f>IF(+All!$F244="Penn State",+All!A244,IF(+All!$H244="Penn State",+All!A244,0))</f>
        <v>3</v>
      </c>
      <c r="B149" s="348" t="str">
        <f>IF(+All!$F244="Penn State",+All!B244,IF(+All!$H244="Penn State",+All!B244,0))</f>
        <v>Sat</v>
      </c>
      <c r="C149" s="48">
        <f>IF(+All!$F244="Penn State",+All!C244,IF(+All!$H244="Penn State",+All!C244,0))</f>
        <v>44821</v>
      </c>
      <c r="D149" s="490">
        <f>IF(+All!$F244="Penn State",+All!D244,IF(+All!$H244="Penn State",+All!D244,0))</f>
        <v>0.64583333333333337</v>
      </c>
      <c r="E149" s="461" t="str">
        <f>IF(+All!$F244="Penn State",+All!E244,IF(+All!$H244="Penn State",+All!E244,0))</f>
        <v>CBS</v>
      </c>
      <c r="F149" s="51" t="str">
        <f>IF(+All!$F244="Penn State",+All!F244,IF(+All!$H244="Penn State",+All!F244,0))</f>
        <v>Penn State</v>
      </c>
      <c r="G149" s="52" t="str">
        <f>IF(+All!$F244="Penn State",+All!G244,IF(+All!$H244="Penn State",+All!G244,0))</f>
        <v>B10</v>
      </c>
      <c r="H149" s="51" t="str">
        <f>IF(+All!$F244="Penn State",+All!H244,IF(+All!$H244="Penn State",+All!H244,0))</f>
        <v>Auburn</v>
      </c>
      <c r="I149" s="52" t="str">
        <f>IF(+All!$F244="Penn State",+All!I244,IF(+All!$H244="Penn State",+All!I244,0))</f>
        <v>SEC</v>
      </c>
      <c r="J149" s="460" t="str">
        <f>IF(+All!$F244="Penn State",+All!J244,IF(+All!$H244="Penn State",+All!J244,0))</f>
        <v>Penn State</v>
      </c>
      <c r="K149" s="461" t="str">
        <f>IF(+All!$F244="Penn State",+All!K244,IF(+All!$H244="Penn State",+All!K244,0))</f>
        <v>Auburn</v>
      </c>
      <c r="L149" s="54">
        <f>IF(+All!$F244="Penn State",+All!L244,IF(+All!$H244="Penn State",+All!L244,0))</f>
        <v>3</v>
      </c>
      <c r="M149" s="55">
        <f>IF(+All!$F244="Penn State",+All!M244,IF(+All!$H244="Penn State",+All!M244,0))</f>
        <v>47.5</v>
      </c>
      <c r="N149" s="460" t="str">
        <f>IF(+All!$F244="Penn State",+All!N244,IF(+All!$H244="Penn State",+All!N244,0))</f>
        <v>Penn State</v>
      </c>
      <c r="O149" s="462">
        <f>IF(+All!$F244="Penn State",+All!O244,IF(+All!$H244="Penn State",+All!O244,0))</f>
        <v>41</v>
      </c>
      <c r="P149" s="462" t="str">
        <f>IF(+All!$F244="Penn State",+All!P244,IF(+All!$H244="Penn State",+All!P244,0))</f>
        <v>Auburn</v>
      </c>
      <c r="Q149" s="461">
        <f>IF(+All!$F244="Penn State",+All!Q244,IF(+All!$H244="Penn State",+All!Q244,0))</f>
        <v>12</v>
      </c>
      <c r="R149" s="460" t="str">
        <f>IF(+All!$F244="Penn State",+All!R244,IF(+All!$H244="Penn State",+All!R244,0))</f>
        <v>Penn State</v>
      </c>
      <c r="S149" s="462" t="str">
        <f>IF(+All!$F244="Penn State",+All!S244,IF(+All!$H244="Penn State",+All!S244,0))</f>
        <v>Auburn</v>
      </c>
      <c r="T149" s="460" t="str">
        <f>IF(+All!$F244="Penn State",+All!T244,IF(+All!$H244="Penn State",+All!T244,0))</f>
        <v>Penn State</v>
      </c>
      <c r="U149" s="461" t="str">
        <f>IF(+All!$F244="Penn State",+All!U244,IF(+All!$H244="Penn State",+All!U244,0))</f>
        <v>W</v>
      </c>
    </row>
    <row r="150" spans="1:21" x14ac:dyDescent="0.8">
      <c r="A150" s="46">
        <f>IF(+All!$F277="Penn State",+All!A277,IF(+All!$H277="Penn State",+All!A277,0))</f>
        <v>4</v>
      </c>
      <c r="B150" s="348" t="str">
        <f>IF(+All!$F277="Penn State",+All!B277,IF(+All!$H277="Penn State",+All!B277,0))</f>
        <v>Sat</v>
      </c>
      <c r="C150" s="48">
        <f>IF(+All!$F277="Penn State",+All!C277,IF(+All!$H277="Penn State",+All!C277,0))</f>
        <v>44828</v>
      </c>
      <c r="D150" s="490">
        <f>IF(+All!$F277="Penn State",+All!D277,IF(+All!$H277="Penn State",+All!D277,0))</f>
        <v>0.5</v>
      </c>
      <c r="E150" s="461" t="str">
        <f>IF(+All!$F277="Penn State",+All!E277,IF(+All!$H277="Penn State",+All!E277,0))</f>
        <v>BTN</v>
      </c>
      <c r="F150" s="51" t="str">
        <f>IF(+All!$F277="Penn State",+All!F277,IF(+All!$H277="Penn State",+All!F277,0))</f>
        <v>Central Michigan</v>
      </c>
      <c r="G150" s="52" t="str">
        <f>IF(+All!$F277="Penn State",+All!G277,IF(+All!$H277="Penn State",+All!G277,0))</f>
        <v>MAC</v>
      </c>
      <c r="H150" s="51" t="str">
        <f>IF(+All!$F277="Penn State",+All!H277,IF(+All!$H277="Penn State",+All!H277,0))</f>
        <v>Penn State</v>
      </c>
      <c r="I150" s="52" t="str">
        <f>IF(+All!$F277="Penn State",+All!I277,IF(+All!$H277="Penn State",+All!I277,0))</f>
        <v>B10</v>
      </c>
      <c r="J150" s="460" t="str">
        <f>IF(+All!$F277="Penn State",+All!J277,IF(+All!$H277="Penn State",+All!J277,0))</f>
        <v>Penn State</v>
      </c>
      <c r="K150" s="461" t="str">
        <f>IF(+All!$F277="Penn State",+All!K277,IF(+All!$H277="Penn State",+All!K277,0))</f>
        <v>Central Michigan</v>
      </c>
      <c r="L150" s="54">
        <f>IF(+All!$F277="Penn State",+All!L277,IF(+All!$H277="Penn State",+All!L277,0))</f>
        <v>28</v>
      </c>
      <c r="M150" s="55">
        <f>IF(+All!$F277="Penn State",+All!M277,IF(+All!$H277="Penn State",+All!M277,0))</f>
        <v>63</v>
      </c>
      <c r="N150" s="460" t="str">
        <f>IF(+All!$F277="Penn State",+All!N277,IF(+All!$H277="Penn State",+All!N277,0))</f>
        <v>Penn State</v>
      </c>
      <c r="O150" s="462">
        <f>IF(+All!$F277="Penn State",+All!O277,IF(+All!$H277="Penn State",+All!O277,0))</f>
        <v>33</v>
      </c>
      <c r="P150" s="462" t="str">
        <f>IF(+All!$F277="Penn State",+All!P277,IF(+All!$H277="Penn State",+All!P277,0))</f>
        <v>Central Michigan</v>
      </c>
      <c r="Q150" s="461">
        <f>IF(+All!$F277="Penn State",+All!Q277,IF(+All!$H277="Penn State",+All!Q277,0))</f>
        <v>14</v>
      </c>
      <c r="R150" s="460" t="str">
        <f>IF(+All!$F277="Penn State",+All!R277,IF(+All!$H277="Penn State",+All!R277,0))</f>
        <v>Central Michigan</v>
      </c>
      <c r="S150" s="462" t="str">
        <f>IF(+All!$F277="Penn State",+All!S277,IF(+All!$H277="Penn State",+All!S277,0))</f>
        <v>Penn State</v>
      </c>
      <c r="T150" s="460" t="str">
        <f>IF(+All!$F277="Penn State",+All!T277,IF(+All!$H277="Penn State",+All!T277,0))</f>
        <v>Penn State</v>
      </c>
      <c r="U150" s="461" t="str">
        <f>IF(+All!$F277="Penn State",+All!U277,IF(+All!$H277="Penn State",+All!U277,0))</f>
        <v>L</v>
      </c>
    </row>
    <row r="151" spans="1:21" x14ac:dyDescent="0.8">
      <c r="A151" s="46">
        <f>IF(+All!$F340="Penn State",+All!A340,IF(+All!$H340="Penn State",+All!A340,0))</f>
        <v>5</v>
      </c>
      <c r="B151" s="348" t="str">
        <f>IF(+All!$F340="Penn State",+All!B340,IF(+All!$H340="Penn State",+All!B340,0))</f>
        <v>Sat</v>
      </c>
      <c r="C151" s="48">
        <f>IF(+All!$F340="Penn State",+All!C340,IF(+All!$H340="Penn State",+All!C340,0))</f>
        <v>44835</v>
      </c>
      <c r="D151" s="490">
        <f>IF(+All!$F340="Penn State",+All!D340,IF(+All!$H340="Penn State",+All!D340,0))</f>
        <v>0.64583333333333337</v>
      </c>
      <c r="E151" s="461" t="str">
        <f>IF(+All!$F340="Penn State",+All!E340,IF(+All!$H340="Penn State",+All!E340,0))</f>
        <v>ESPN</v>
      </c>
      <c r="F151" s="51" t="str">
        <f>IF(+All!$F340="Penn State",+All!F340,IF(+All!$H340="Penn State",+All!F340,0))</f>
        <v>Northwestern</v>
      </c>
      <c r="G151" s="52" t="str">
        <f>IF(+All!$F340="Penn State",+All!G340,IF(+All!$H340="Penn State",+All!G340,0))</f>
        <v>B10</v>
      </c>
      <c r="H151" s="51" t="str">
        <f>IF(+All!$F340="Penn State",+All!H340,IF(+All!$H340="Penn State",+All!H340,0))</f>
        <v>Penn State</v>
      </c>
      <c r="I151" s="52" t="str">
        <f>IF(+All!$F340="Penn State",+All!I340,IF(+All!$H340="Penn State",+All!I340,0))</f>
        <v>B10</v>
      </c>
      <c r="J151" s="460" t="str">
        <f>IF(+All!$F340="Penn State",+All!J340,IF(+All!$H340="Penn State",+All!J340,0))</f>
        <v>Penn State</v>
      </c>
      <c r="K151" s="461" t="str">
        <f>IF(+All!$F340="Penn State",+All!K340,IF(+All!$H340="Penn State",+All!K340,0))</f>
        <v>Northwestern</v>
      </c>
      <c r="L151" s="54">
        <f>IF(+All!$F340="Penn State",+All!L340,IF(+All!$H340="Penn State",+All!L340,0))</f>
        <v>26.5</v>
      </c>
      <c r="M151" s="55">
        <f>IF(+All!$F340="Penn State",+All!M340,IF(+All!$H340="Penn State",+All!M340,0))</f>
        <v>52</v>
      </c>
      <c r="N151" s="460" t="str">
        <f>IF(+All!$F340="Penn State",+All!N340,IF(+All!$H340="Penn State",+All!N340,0))</f>
        <v>Penn State</v>
      </c>
      <c r="O151" s="462">
        <f>IF(+All!$F340="Penn State",+All!O340,IF(+All!$H340="Penn State",+All!O340,0))</f>
        <v>17</v>
      </c>
      <c r="P151" s="462" t="str">
        <f>IF(+All!$F340="Penn State",+All!P340,IF(+All!$H340="Penn State",+All!P340,0))</f>
        <v>Northwestern</v>
      </c>
      <c r="Q151" s="461">
        <f>IF(+All!$F340="Penn State",+All!Q340,IF(+All!$H340="Penn State",+All!Q340,0))</f>
        <v>7</v>
      </c>
      <c r="R151" s="460" t="str">
        <f>IF(+All!$F340="Penn State",+All!R340,IF(+All!$H340="Penn State",+All!R340,0))</f>
        <v>Northwestern</v>
      </c>
      <c r="S151" s="462" t="str">
        <f>IF(+All!$F340="Penn State",+All!S340,IF(+All!$H340="Penn State",+All!S340,0))</f>
        <v>Penn State</v>
      </c>
      <c r="T151" s="460" t="str">
        <f>IF(+All!$F340="Penn State",+All!T340,IF(+All!$H340="Penn State",+All!T340,0))</f>
        <v>Northwestern</v>
      </c>
      <c r="U151" s="461" t="str">
        <f>IF(+All!$F340="Penn State",+All!U340,IF(+All!$H340="Penn State",+All!U340,0))</f>
        <v>W</v>
      </c>
    </row>
    <row r="152" spans="1:21" x14ac:dyDescent="0.8">
      <c r="A152" s="46" t="e">
        <f>IF(+All!#REF!="Penn State",+All!#REF!,IF(+All!#REF!="Penn State",+All!#REF!,0))</f>
        <v>#REF!</v>
      </c>
      <c r="B152" s="348" t="e">
        <f>IF(+All!#REF!="Penn State",+All!#REF!,IF(+All!#REF!="Penn State",+All!#REF!,0))</f>
        <v>#REF!</v>
      </c>
      <c r="C152" s="48" t="e">
        <f>IF(+All!#REF!="Penn State",+All!#REF!,IF(+All!#REF!="Penn State",+All!#REF!,0))</f>
        <v>#REF!</v>
      </c>
      <c r="D152" s="490" t="e">
        <f>IF(+All!#REF!="Penn State",+All!#REF!,IF(+All!#REF!="Penn State",+All!#REF!,0))</f>
        <v>#REF!</v>
      </c>
      <c r="E152" s="461" t="e">
        <f>IF(+All!#REF!="Penn State",+All!#REF!,IF(+All!#REF!="Penn State",+All!#REF!,0))</f>
        <v>#REF!</v>
      </c>
      <c r="F152" s="51" t="e">
        <f>IF(+All!#REF!="Penn State",+All!#REF!,IF(+All!#REF!="Penn State",+All!#REF!,0))</f>
        <v>#REF!</v>
      </c>
      <c r="G152" s="52" t="e">
        <f>IF(+All!#REF!="Penn State",+All!#REF!,IF(+All!#REF!="Penn State",+All!#REF!,0))</f>
        <v>#REF!</v>
      </c>
      <c r="H152" s="51" t="e">
        <f>IF(+All!#REF!="Penn State",+All!#REF!,IF(+All!#REF!="Penn State",+All!#REF!,0))</f>
        <v>#REF!</v>
      </c>
      <c r="I152" s="52" t="e">
        <f>IF(+All!#REF!="Penn State",+All!#REF!,IF(+All!#REF!="Penn State",+All!#REF!,0))</f>
        <v>#REF!</v>
      </c>
      <c r="J152" s="460" t="e">
        <f>IF(+All!#REF!="Penn State",+All!#REF!,IF(+All!#REF!="Penn State",+All!#REF!,0))</f>
        <v>#REF!</v>
      </c>
      <c r="K152" s="461" t="e">
        <f>IF(+All!#REF!="Penn State",+All!#REF!,IF(+All!#REF!="Penn State",+All!#REF!,0))</f>
        <v>#REF!</v>
      </c>
      <c r="L152" s="54" t="e">
        <f>IF(+All!#REF!="Penn State",+All!#REF!,IF(+All!#REF!="Penn State",+All!#REF!,0))</f>
        <v>#REF!</v>
      </c>
      <c r="M152" s="55" t="e">
        <f>IF(+All!#REF!="Penn State",+All!#REF!,IF(+All!#REF!="Penn State",+All!#REF!,0))</f>
        <v>#REF!</v>
      </c>
      <c r="N152" s="460" t="e">
        <f>IF(+All!#REF!="Penn State",+All!#REF!,IF(+All!#REF!="Penn State",+All!#REF!,0))</f>
        <v>#REF!</v>
      </c>
      <c r="O152" s="462" t="e">
        <f>IF(+All!#REF!="Penn State",+All!#REF!,IF(+All!#REF!="Penn State",+All!#REF!,0))</f>
        <v>#REF!</v>
      </c>
      <c r="P152" s="462" t="e">
        <f>IF(+All!#REF!="Penn State",+All!#REF!,IF(+All!#REF!="Penn State",+All!#REF!,0))</f>
        <v>#REF!</v>
      </c>
      <c r="Q152" s="461" t="e">
        <f>IF(+All!#REF!="Penn State",+All!#REF!,IF(+All!#REF!="Penn State",+All!#REF!,0))</f>
        <v>#REF!</v>
      </c>
      <c r="R152" s="460" t="e">
        <f>IF(+All!#REF!="Penn State",+All!#REF!,IF(+All!#REF!="Penn State",+All!#REF!,0))</f>
        <v>#REF!</v>
      </c>
      <c r="S152" s="462" t="e">
        <f>IF(+All!#REF!="Penn State",+All!#REF!,IF(+All!#REF!="Penn State",+All!#REF!,0))</f>
        <v>#REF!</v>
      </c>
      <c r="T152" s="460" t="e">
        <f>IF(+All!#REF!="Penn State",+All!#REF!,IF(+All!#REF!="Penn State",+All!#REF!,0))</f>
        <v>#REF!</v>
      </c>
      <c r="U152" s="461" t="e">
        <f>IF(+All!#REF!="Penn State",+All!#REF!,IF(+All!#REF!="Penn State",+All!#REF!,0))</f>
        <v>#REF!</v>
      </c>
    </row>
    <row r="153" spans="1:21" x14ac:dyDescent="0.8">
      <c r="A153" s="46">
        <f>IF(+All!$F451="Penn State",+All!A451,IF(+All!$H451="Penn State",+All!A451,0))</f>
        <v>7</v>
      </c>
      <c r="B153" s="348" t="str">
        <f>IF(+All!$F451="Penn State",+All!B451,IF(+All!$H451="Penn State",+All!B451,0))</f>
        <v>Sat</v>
      </c>
      <c r="C153" s="48">
        <f>IF(+All!$F451="Penn State",+All!C451,IF(+All!$H451="Penn State",+All!C451,0))</f>
        <v>44849</v>
      </c>
      <c r="D153" s="490">
        <f>IF(+All!$F451="Penn State",+All!D451,IF(+All!$H451="Penn State",+All!D451,0))</f>
        <v>0.5</v>
      </c>
      <c r="E153" s="461" t="str">
        <f>IF(+All!$F451="Penn State",+All!E451,IF(+All!$H451="Penn State",+All!E451,0))</f>
        <v>Fox</v>
      </c>
      <c r="F153" s="51" t="str">
        <f>IF(+All!$F451="Penn State",+All!F451,IF(+All!$H451="Penn State",+All!F451,0))</f>
        <v>Penn State</v>
      </c>
      <c r="G153" s="52" t="str">
        <f>IF(+All!$F451="Penn State",+All!G451,IF(+All!$H451="Penn State",+All!G451,0))</f>
        <v>B10</v>
      </c>
      <c r="H153" s="51" t="str">
        <f>IF(+All!$F451="Penn State",+All!H451,IF(+All!$H451="Penn State",+All!H451,0))</f>
        <v>Michigan</v>
      </c>
      <c r="I153" s="52" t="str">
        <f>IF(+All!$F451="Penn State",+All!I451,IF(+All!$H451="Penn State",+All!I451,0))</f>
        <v>B10</v>
      </c>
      <c r="J153" s="460" t="str">
        <f>IF(+All!$F451="Penn State",+All!J451,IF(+All!$H451="Penn State",+All!J451,0))</f>
        <v>Michigan</v>
      </c>
      <c r="K153" s="461" t="str">
        <f>IF(+All!$F451="Penn State",+All!K451,IF(+All!$H451="Penn State",+All!K451,0))</f>
        <v>Penn State</v>
      </c>
      <c r="L153" s="54">
        <f>IF(+All!$F451="Penn State",+All!L451,IF(+All!$H451="Penn State",+All!L451,0))</f>
        <v>7</v>
      </c>
      <c r="M153" s="55">
        <f>IF(+All!$F451="Penn State",+All!M451,IF(+All!$H451="Penn State",+All!M451,0))</f>
        <v>52.5</v>
      </c>
      <c r="N153" s="460" t="str">
        <f>IF(+All!$F451="Penn State",+All!N451,IF(+All!$H451="Penn State",+All!N451,0))</f>
        <v>Michigan</v>
      </c>
      <c r="O153" s="462">
        <f>IF(+All!$F451="Penn State",+All!O451,IF(+All!$H451="Penn State",+All!O451,0))</f>
        <v>41</v>
      </c>
      <c r="P153" s="462" t="str">
        <f>IF(+All!$F451="Penn State",+All!P451,IF(+All!$H451="Penn State",+All!P451,0))</f>
        <v>Penn State</v>
      </c>
      <c r="Q153" s="461">
        <f>IF(+All!$F451="Penn State",+All!Q451,IF(+All!$H451="Penn State",+All!Q451,0))</f>
        <v>17</v>
      </c>
      <c r="R153" s="460" t="str">
        <f>IF(+All!$F451="Penn State",+All!R451,IF(+All!$H451="Penn State",+All!R451,0))</f>
        <v>Michigan</v>
      </c>
      <c r="S153" s="462" t="str">
        <f>IF(+All!$F451="Penn State",+All!S451,IF(+All!$H451="Penn State",+All!S451,0))</f>
        <v>Penn State</v>
      </c>
      <c r="T153" s="460" t="str">
        <f>IF(+All!$F451="Penn State",+All!T451,IF(+All!$H451="Penn State",+All!T451,0))</f>
        <v>Penn State</v>
      </c>
      <c r="U153" s="461" t="str">
        <f>IF(+All!$F451="Penn State",+All!U451,IF(+All!$H451="Penn State",+All!U451,0))</f>
        <v>L</v>
      </c>
    </row>
    <row r="154" spans="1:21" x14ac:dyDescent="0.8">
      <c r="A154" s="46">
        <f>IF(+All!$F506="Penn State",+All!A506,IF(+All!$H506="Penn State",+All!A506,0))</f>
        <v>8</v>
      </c>
      <c r="B154" s="348" t="str">
        <f>IF(+All!$F506="Penn State",+All!B506,IF(+All!$H506="Penn State",+All!B506,0))</f>
        <v>Sat</v>
      </c>
      <c r="C154" s="48">
        <f>IF(+All!$F506="Penn State",+All!C506,IF(+All!$H506="Penn State",+All!C506,0))</f>
        <v>44856</v>
      </c>
      <c r="D154" s="490">
        <f>IF(+All!$F506="Penn State",+All!D506,IF(+All!$H506="Penn State",+All!D506,0))</f>
        <v>0.8125</v>
      </c>
      <c r="E154" s="461" t="str">
        <f>IF(+All!$F506="Penn State",+All!E506,IF(+All!$H506="Penn State",+All!E506,0))</f>
        <v>ABC</v>
      </c>
      <c r="F154" s="51" t="str">
        <f>IF(+All!$F506="Penn State",+All!F506,IF(+All!$H506="Penn State",+All!F506,0))</f>
        <v>Minnesota</v>
      </c>
      <c r="G154" s="52" t="str">
        <f>IF(+All!$F506="Penn State",+All!G506,IF(+All!$H506="Penn State",+All!G506,0))</f>
        <v>B10</v>
      </c>
      <c r="H154" s="51" t="str">
        <f>IF(+All!$F506="Penn State",+All!H506,IF(+All!$H506="Penn State",+All!H506,0))</f>
        <v>Penn State</v>
      </c>
      <c r="I154" s="52" t="str">
        <f>IF(+All!$F506="Penn State",+All!I506,IF(+All!$H506="Penn State",+All!I506,0))</f>
        <v>B10</v>
      </c>
      <c r="J154" s="460" t="str">
        <f>IF(+All!$F506="Penn State",+All!J506,IF(+All!$H506="Penn State",+All!J506,0))</f>
        <v>Penn State</v>
      </c>
      <c r="K154" s="461" t="str">
        <f>IF(+All!$F506="Penn State",+All!K506,IF(+All!$H506="Penn State",+All!K506,0))</f>
        <v>Minnesota</v>
      </c>
      <c r="L154" s="54">
        <f>IF(+All!$F506="Penn State",+All!L506,IF(+All!$H506="Penn State",+All!L506,0))</f>
        <v>5</v>
      </c>
      <c r="M154" s="55">
        <f>IF(+All!$F506="Penn State",+All!M506,IF(+All!$H506="Penn State",+All!M506,0))</f>
        <v>44.5</v>
      </c>
      <c r="N154" s="460" t="str">
        <f>IF(+All!$F506="Penn State",+All!N506,IF(+All!$H506="Penn State",+All!N506,0))</f>
        <v>Penn State</v>
      </c>
      <c r="O154" s="462">
        <f>IF(+All!$F506="Penn State",+All!O506,IF(+All!$H506="Penn State",+All!O506,0))</f>
        <v>45</v>
      </c>
      <c r="P154" s="462" t="str">
        <f>IF(+All!$F506="Penn State",+All!P506,IF(+All!$H506="Penn State",+All!P506,0))</f>
        <v>Minnesota</v>
      </c>
      <c r="Q154" s="461">
        <f>IF(+All!$F506="Penn State",+All!Q506,IF(+All!$H506="Penn State",+All!Q506,0))</f>
        <v>17</v>
      </c>
      <c r="R154" s="460" t="str">
        <f>IF(+All!$F506="Penn State",+All!R506,IF(+All!$H506="Penn State",+All!R506,0))</f>
        <v>Penn State</v>
      </c>
      <c r="S154" s="462" t="str">
        <f>IF(+All!$F506="Penn State",+All!S506,IF(+All!$H506="Penn State",+All!S506,0))</f>
        <v>Minnesota</v>
      </c>
      <c r="T154" s="460" t="str">
        <f>IF(+All!$F506="Penn State",+All!T506,IF(+All!$H506="Penn State",+All!T506,0))</f>
        <v>Minnesota</v>
      </c>
      <c r="U154" s="461" t="str">
        <f>IF(+All!$F506="Penn State",+All!U506,IF(+All!$H506="Penn State",+All!U506,0))</f>
        <v>L</v>
      </c>
    </row>
    <row r="155" spans="1:21" x14ac:dyDescent="0.8">
      <c r="A155" s="46">
        <f>IF(+All!$F563="Penn State",+All!A563,IF(+All!$H563="Penn State",+All!A563,0))</f>
        <v>9</v>
      </c>
      <c r="B155" s="348" t="str">
        <f>IF(+All!$F563="Penn State",+All!B563,IF(+All!$H563="Penn State",+All!B563,0))</f>
        <v>Sat</v>
      </c>
      <c r="C155" s="48">
        <f>IF(+All!$F563="Penn State",+All!C563,IF(+All!$H563="Penn State",+All!C563,0))</f>
        <v>44863</v>
      </c>
      <c r="D155" s="490">
        <f>IF(+All!$F563="Penn State",+All!D563,IF(+All!$H563="Penn State",+All!D563,0))</f>
        <v>0.5</v>
      </c>
      <c r="E155" s="461" t="str">
        <f>IF(+All!$F563="Penn State",+All!E563,IF(+All!$H563="Penn State",+All!E563,0))</f>
        <v>Fox</v>
      </c>
      <c r="F155" s="51" t="str">
        <f>IF(+All!$F563="Penn State",+All!F563,IF(+All!$H563="Penn State",+All!F563,0))</f>
        <v>Ohio State</v>
      </c>
      <c r="G155" s="52" t="str">
        <f>IF(+All!$F563="Penn State",+All!G563,IF(+All!$H563="Penn State",+All!G563,0))</f>
        <v>B10</v>
      </c>
      <c r="H155" s="51" t="str">
        <f>IF(+All!$F563="Penn State",+All!H563,IF(+All!$H563="Penn State",+All!H563,0))</f>
        <v>Penn State</v>
      </c>
      <c r="I155" s="52" t="str">
        <f>IF(+All!$F563="Penn State",+All!I563,IF(+All!$H563="Penn State",+All!I563,0))</f>
        <v>B10</v>
      </c>
      <c r="J155" s="460" t="str">
        <f>IF(+All!$F563="Penn State",+All!J563,IF(+All!$H563="Penn State",+All!J563,0))</f>
        <v>Ohio State</v>
      </c>
      <c r="K155" s="461" t="str">
        <f>IF(+All!$F563="Penn State",+All!K563,IF(+All!$H563="Penn State",+All!K563,0))</f>
        <v>Penn State</v>
      </c>
      <c r="L155" s="54">
        <f>IF(+All!$F563="Penn State",+All!L563,IF(+All!$H563="Penn State",+All!L563,0))</f>
        <v>15.5</v>
      </c>
      <c r="M155" s="55">
        <f>IF(+All!$F563="Penn State",+All!M563,IF(+All!$H563="Penn State",+All!M563,0))</f>
        <v>61</v>
      </c>
      <c r="N155" s="460" t="str">
        <f>IF(+All!$F563="Penn State",+All!N563,IF(+All!$H563="Penn State",+All!N563,0))</f>
        <v>Ohio State</v>
      </c>
      <c r="O155" s="462">
        <f>IF(+All!$F563="Penn State",+All!O563,IF(+All!$H563="Penn State",+All!O563,0))</f>
        <v>44</v>
      </c>
      <c r="P155" s="462" t="str">
        <f>IF(+All!$F563="Penn State",+All!P563,IF(+All!$H563="Penn State",+All!P563,0))</f>
        <v>Penn State</v>
      </c>
      <c r="Q155" s="461">
        <f>IF(+All!$F563="Penn State",+All!Q563,IF(+All!$H563="Penn State",+All!Q563,0))</f>
        <v>31</v>
      </c>
      <c r="R155" s="460" t="str">
        <f>IF(+All!$F563="Penn State",+All!R563,IF(+All!$H563="Penn State",+All!R563,0))</f>
        <v>Penn State</v>
      </c>
      <c r="S155" s="462" t="str">
        <f>IF(+All!$F563="Penn State",+All!S563,IF(+All!$H563="Penn State",+All!S563,0))</f>
        <v>Ohio State</v>
      </c>
      <c r="T155" s="460" t="str">
        <f>IF(+All!$F563="Penn State",+All!T563,IF(+All!$H563="Penn State",+All!T563,0))</f>
        <v>Ohio State</v>
      </c>
      <c r="U155" s="461" t="str">
        <f>IF(+All!$F563="Penn State",+All!U563,IF(+All!$H563="Penn State",+All!U563,0))</f>
        <v>L</v>
      </c>
    </row>
    <row r="156" spans="1:21" x14ac:dyDescent="0.8">
      <c r="A156" s="46">
        <f>IF(+All!$F614="Penn State",+All!A614,IF(+All!$H614="Penn State",+All!A614,0))</f>
        <v>10</v>
      </c>
      <c r="B156" s="348" t="str">
        <f>IF(+All!$F614="Penn State",+All!B614,IF(+All!$H614="Penn State",+All!B614,0))</f>
        <v>Sat</v>
      </c>
      <c r="C156" s="48">
        <f>IF(+All!$F614="Penn State",+All!C614,IF(+All!$H614="Penn State",+All!C614,0))</f>
        <v>44870</v>
      </c>
      <c r="D156" s="490">
        <f>IF(+All!$F614="Penn State",+All!D614,IF(+All!$H614="Penn State",+All!D614,0))</f>
        <v>0.64583333333333337</v>
      </c>
      <c r="E156" s="461" t="str">
        <f>IF(+All!$F614="Penn State",+All!E614,IF(+All!$H614="Penn State",+All!E614,0))</f>
        <v>ABC</v>
      </c>
      <c r="F156" s="51" t="str">
        <f>IF(+All!$F614="Penn State",+All!F614,IF(+All!$H614="Penn State",+All!F614,0))</f>
        <v>Penn State</v>
      </c>
      <c r="G156" s="52" t="str">
        <f>IF(+All!$F614="Penn State",+All!G614,IF(+All!$H614="Penn State",+All!G614,0))</f>
        <v>B10</v>
      </c>
      <c r="H156" s="51" t="str">
        <f>IF(+All!$F614="Penn State",+All!H614,IF(+All!$H614="Penn State",+All!H614,0))</f>
        <v>Indiana</v>
      </c>
      <c r="I156" s="52" t="str">
        <f>IF(+All!$F614="Penn State",+All!I614,IF(+All!$H614="Penn State",+All!I614,0))</f>
        <v>B10</v>
      </c>
      <c r="J156" s="460" t="str">
        <f>IF(+All!$F614="Penn State",+All!J614,IF(+All!$H614="Penn State",+All!J614,0))</f>
        <v>Penn State</v>
      </c>
      <c r="K156" s="461" t="str">
        <f>IF(+All!$F614="Penn State",+All!K614,IF(+All!$H614="Penn State",+All!K614,0))</f>
        <v>Indiana</v>
      </c>
      <c r="L156" s="54">
        <f>IF(+All!$F614="Penn State",+All!L614,IF(+All!$H614="Penn State",+All!L614,0))</f>
        <v>14</v>
      </c>
      <c r="M156" s="55">
        <f>IF(+All!$F614="Penn State",+All!M614,IF(+All!$H614="Penn State",+All!M614,0))</f>
        <v>51</v>
      </c>
      <c r="N156" s="460" t="str">
        <f>IF(+All!$F614="Penn State",+All!N614,IF(+All!$H614="Penn State",+All!N614,0))</f>
        <v>Penn State</v>
      </c>
      <c r="O156" s="462">
        <f>IF(+All!$F614="Penn State",+All!O614,IF(+All!$H614="Penn State",+All!O614,0))</f>
        <v>45</v>
      </c>
      <c r="P156" s="462" t="str">
        <f>IF(+All!$F614="Penn State",+All!P614,IF(+All!$H614="Penn State",+All!P614,0))</f>
        <v>Indiana</v>
      </c>
      <c r="Q156" s="461">
        <f>IF(+All!$F614="Penn State",+All!Q614,IF(+All!$H614="Penn State",+All!Q614,0))</f>
        <v>14</v>
      </c>
      <c r="R156" s="460" t="str">
        <f>IF(+All!$F614="Penn State",+All!R614,IF(+All!$H614="Penn State",+All!R614,0))</f>
        <v>Penn State</v>
      </c>
      <c r="S156" s="462" t="str">
        <f>IF(+All!$F614="Penn State",+All!S614,IF(+All!$H614="Penn State",+All!S614,0))</f>
        <v>Indiana</v>
      </c>
      <c r="T156" s="460" t="str">
        <f>IF(+All!$F614="Penn State",+All!T614,IF(+All!$H614="Penn State",+All!T614,0))</f>
        <v>Penn State</v>
      </c>
      <c r="U156" s="461" t="str">
        <f>IF(+All!$F614="Penn State",+All!U614,IF(+All!$H614="Penn State",+All!U614,0))</f>
        <v>W</v>
      </c>
    </row>
    <row r="157" spans="1:21" x14ac:dyDescent="0.8">
      <c r="A157" s="46">
        <f>IF(+All!$F681="Penn State",+All!A681,IF(+All!$H681="Penn State",+All!A681,0))</f>
        <v>11</v>
      </c>
      <c r="B157" s="348" t="str">
        <f>IF(+All!$F681="Penn State",+All!B681,IF(+All!$H681="Penn State",+All!B681,0))</f>
        <v>Sat</v>
      </c>
      <c r="C157" s="48">
        <f>IF(+All!$F681="Penn State",+All!C681,IF(+All!$H681="Penn State",+All!C681,0))</f>
        <v>44877</v>
      </c>
      <c r="D157" s="490">
        <f>IF(+All!$F681="Penn State",+All!D681,IF(+All!$H681="Penn State",+All!D681,0))</f>
        <v>0.64583333333333337</v>
      </c>
      <c r="E157" s="461" t="str">
        <f>IF(+All!$F681="Penn State",+All!E681,IF(+All!$H681="Penn State",+All!E681,0))</f>
        <v>Fox</v>
      </c>
      <c r="F157" s="51" t="str">
        <f>IF(+All!$F681="Penn State",+All!F681,IF(+All!$H681="Penn State",+All!F681,0))</f>
        <v>Maryland</v>
      </c>
      <c r="G157" s="52" t="str">
        <f>IF(+All!$F681="Penn State",+All!G681,IF(+All!$H681="Penn State",+All!G681,0))</f>
        <v>B10</v>
      </c>
      <c r="H157" s="51" t="str">
        <f>IF(+All!$F681="Penn State",+All!H681,IF(+All!$H681="Penn State",+All!H681,0))</f>
        <v>Penn State</v>
      </c>
      <c r="I157" s="52" t="str">
        <f>IF(+All!$F681="Penn State",+All!I681,IF(+All!$H681="Penn State",+All!I681,0))</f>
        <v>B10</v>
      </c>
      <c r="J157" s="460" t="str">
        <f>IF(+All!$F681="Penn State",+All!J681,IF(+All!$H681="Penn State",+All!J681,0))</f>
        <v>Penn State</v>
      </c>
      <c r="K157" s="461" t="str">
        <f>IF(+All!$F681="Penn State",+All!K681,IF(+All!$H681="Penn State",+All!K681,0))</f>
        <v>Maryland</v>
      </c>
      <c r="L157" s="54">
        <f>IF(+All!$F681="Penn State",+All!L681,IF(+All!$H681="Penn State",+All!L681,0))</f>
        <v>10</v>
      </c>
      <c r="M157" s="55">
        <f>IF(+All!$F681="Penn State",+All!M681,IF(+All!$H681="Penn State",+All!M681,0))</f>
        <v>59</v>
      </c>
      <c r="N157" s="460" t="str">
        <f>IF(+All!$F681="Penn State",+All!N681,IF(+All!$H681="Penn State",+All!N681,0))</f>
        <v>Penn State</v>
      </c>
      <c r="O157" s="462">
        <f>IF(+All!$F681="Penn State",+All!O681,IF(+All!$H681="Penn State",+All!O681,0))</f>
        <v>30</v>
      </c>
      <c r="P157" s="462" t="str">
        <f>IF(+All!$F681="Penn State",+All!P681,IF(+All!$H681="Penn State",+All!P681,0))</f>
        <v>Maryland</v>
      </c>
      <c r="Q157" s="461">
        <f>IF(+All!$F681="Penn State",+All!Q681,IF(+All!$H681="Penn State",+All!Q681,0))</f>
        <v>0</v>
      </c>
      <c r="R157" s="460" t="str">
        <f>IF(+All!$F681="Penn State",+All!R681,IF(+All!$H681="Penn State",+All!R681,0))</f>
        <v>Penn State</v>
      </c>
      <c r="S157" s="462" t="str">
        <f>IF(+All!$F681="Penn State",+All!S681,IF(+All!$H681="Penn State",+All!S681,0))</f>
        <v>Maryland</v>
      </c>
      <c r="T157" s="460" t="str">
        <f>IF(+All!$F681="Penn State",+All!T681,IF(+All!$H681="Penn State",+All!T681,0))</f>
        <v>Penn State</v>
      </c>
      <c r="U157" s="461" t="str">
        <f>IF(+All!$F681="Penn State",+All!U681,IF(+All!$H681="Penn State",+All!U681,0))</f>
        <v>W</v>
      </c>
    </row>
    <row r="158" spans="1:21" x14ac:dyDescent="0.8">
      <c r="A158" s="46">
        <f>IF(+All!$F743="Penn State",+All!A743,IF(+All!$H743="Penn State",+All!A743,0))</f>
        <v>12</v>
      </c>
      <c r="B158" s="348" t="str">
        <f>IF(+All!$F743="Penn State",+All!B743,IF(+All!$H743="Penn State",+All!B743,0))</f>
        <v>Sat</v>
      </c>
      <c r="C158" s="48">
        <f>IF(+All!$F743="Penn State",+All!C743,IF(+All!$H743="Penn State",+All!C743,0))</f>
        <v>44884</v>
      </c>
      <c r="D158" s="490">
        <f>IF(+All!$F743="Penn State",+All!D743,IF(+All!$H743="Penn State",+All!D743,0))</f>
        <v>0.64583333333333337</v>
      </c>
      <c r="E158" s="461" t="str">
        <f>IF(+All!$F743="Penn State",+All!E743,IF(+All!$H743="Penn State",+All!E743,0))</f>
        <v>BTN</v>
      </c>
      <c r="F158" s="51" t="str">
        <f>IF(+All!$F743="Penn State",+All!F743,IF(+All!$H743="Penn State",+All!F743,0))</f>
        <v>Penn State</v>
      </c>
      <c r="G158" s="52" t="str">
        <f>IF(+All!$F743="Penn State",+All!G743,IF(+All!$H743="Penn State",+All!G743,0))</f>
        <v>B10</v>
      </c>
      <c r="H158" s="51" t="str">
        <f>IF(+All!$F743="Penn State",+All!H743,IF(+All!$H743="Penn State",+All!H743,0))</f>
        <v>Rutgers</v>
      </c>
      <c r="I158" s="52" t="str">
        <f>IF(+All!$F743="Penn State",+All!I743,IF(+All!$H743="Penn State",+All!I743,0))</f>
        <v>B10</v>
      </c>
      <c r="J158" s="460" t="str">
        <f>IF(+All!$F743="Penn State",+All!J743,IF(+All!$H743="Penn State",+All!J743,0))</f>
        <v>Penn State</v>
      </c>
      <c r="K158" s="461" t="str">
        <f>IF(+All!$F743="Penn State",+All!K743,IF(+All!$H743="Penn State",+All!K743,0))</f>
        <v>Rutgers</v>
      </c>
      <c r="L158" s="54">
        <f>IF(+All!$F743="Penn State",+All!L743,IF(+All!$H743="Penn State",+All!L743,0))</f>
        <v>19</v>
      </c>
      <c r="M158" s="55">
        <f>IF(+All!$F743="Penn State",+All!M743,IF(+All!$H743="Penn State",+All!M743,0))</f>
        <v>45</v>
      </c>
      <c r="N158" s="460" t="str">
        <f>IF(+All!$F743="Penn State",+All!N743,IF(+All!$H743="Penn State",+All!N743,0))</f>
        <v>Penn State</v>
      </c>
      <c r="O158" s="462">
        <f>IF(+All!$F743="Penn State",+All!O743,IF(+All!$H743="Penn State",+All!O743,0))</f>
        <v>55</v>
      </c>
      <c r="P158" s="462" t="str">
        <f>IF(+All!$F743="Penn State",+All!P743,IF(+All!$H743="Penn State",+All!P743,0))</f>
        <v>Rutgers</v>
      </c>
      <c r="Q158" s="461">
        <f>IF(+All!$F743="Penn State",+All!Q743,IF(+All!$H743="Penn State",+All!Q743,0))</f>
        <v>10</v>
      </c>
      <c r="R158" s="460" t="str">
        <f>IF(+All!$F743="Penn State",+All!R743,IF(+All!$H743="Penn State",+All!R743,0))</f>
        <v>Penn State</v>
      </c>
      <c r="S158" s="462" t="str">
        <f>IF(+All!$F743="Penn State",+All!S743,IF(+All!$H743="Penn State",+All!S743,0))</f>
        <v>Rutgers</v>
      </c>
      <c r="T158" s="460" t="str">
        <f>IF(+All!$F743="Penn State",+All!T743,IF(+All!$H743="Penn State",+All!T743,0))</f>
        <v>Penn State</v>
      </c>
      <c r="U158" s="461" t="str">
        <f>IF(+All!$F743="Penn State",+All!U743,IF(+All!$H743="Penn State",+All!U743,0))</f>
        <v>W</v>
      </c>
    </row>
    <row r="159" spans="1:21" x14ac:dyDescent="0.8">
      <c r="A159" s="46">
        <f>IF(+All!$F812="Penn State",+All!A812,IF(+All!$H812="Penn State",+All!A812,0))</f>
        <v>13</v>
      </c>
      <c r="B159" s="348" t="str">
        <f>IF(+All!$F812="Penn State",+All!B812,IF(+All!$H812="Penn State",+All!B812,0))</f>
        <v>Sat</v>
      </c>
      <c r="C159" s="48">
        <f>IF(+All!$F812="Penn State",+All!C812,IF(+All!$H812="Penn State",+All!C812,0))</f>
        <v>44891</v>
      </c>
      <c r="D159" s="490">
        <f>IF(+All!$F812="Penn State",+All!D812,IF(+All!$H812="Penn State",+All!D812,0))</f>
        <v>0.66666666666666663</v>
      </c>
      <c r="E159" s="461" t="str">
        <f>IF(+All!$F812="Penn State",+All!E812,IF(+All!$H812="Penn State",+All!E812,0))</f>
        <v>FS1</v>
      </c>
      <c r="F159" s="51" t="str">
        <f>IF(+All!$F812="Penn State",+All!F812,IF(+All!$H812="Penn State",+All!F812,0))</f>
        <v>Michigan State</v>
      </c>
      <c r="G159" s="52" t="str">
        <f>IF(+All!$F812="Penn State",+All!G812,IF(+All!$H812="Penn State",+All!G812,0))</f>
        <v>B10</v>
      </c>
      <c r="H159" s="51" t="str">
        <f>IF(+All!$F812="Penn State",+All!H812,IF(+All!$H812="Penn State",+All!H812,0))</f>
        <v>Penn State</v>
      </c>
      <c r="I159" s="52" t="str">
        <f>IF(+All!$F812="Penn State",+All!I812,IF(+All!$H812="Penn State",+All!I812,0))</f>
        <v>B10</v>
      </c>
      <c r="J159" s="460" t="str">
        <f>IF(+All!$F812="Penn State",+All!J812,IF(+All!$H812="Penn State",+All!J812,0))</f>
        <v>Penn State</v>
      </c>
      <c r="K159" s="461" t="str">
        <f>IF(+All!$F812="Penn State",+All!K812,IF(+All!$H812="Penn State",+All!K812,0))</f>
        <v>Michigan State</v>
      </c>
      <c r="L159" s="54">
        <f>IF(+All!$F812="Penn State",+All!L812,IF(+All!$H812="Penn State",+All!L812,0))</f>
        <v>19</v>
      </c>
      <c r="M159" s="55">
        <f>IF(+All!$F812="Penn State",+All!M812,IF(+All!$H812="Penn State",+All!M812,0))</f>
        <v>53</v>
      </c>
      <c r="N159" s="460" t="str">
        <f>IF(+All!$F812="Penn State",+All!N812,IF(+All!$H812="Penn State",+All!N812,0))</f>
        <v>Penn State</v>
      </c>
      <c r="O159" s="462">
        <f>IF(+All!$F812="Penn State",+All!O812,IF(+All!$H812="Penn State",+All!O812,0))</f>
        <v>35</v>
      </c>
      <c r="P159" s="462" t="str">
        <f>IF(+All!$F812="Penn State",+All!P812,IF(+All!$H812="Penn State",+All!P812,0))</f>
        <v>Michigan State</v>
      </c>
      <c r="Q159" s="461">
        <f>IF(+All!$F812="Penn State",+All!Q812,IF(+All!$H812="Penn State",+All!Q812,0))</f>
        <v>16</v>
      </c>
      <c r="R159" s="460" t="str">
        <f>IF(+All!$F812="Penn State",+All!R812,IF(+All!$H812="Penn State",+All!R812,0))</f>
        <v>Penn State</v>
      </c>
      <c r="S159" s="462" t="str">
        <f>IF(+All!$F812="Penn State",+All!S812,IF(+All!$H812="Penn State",+All!S812,0))</f>
        <v>Michigan State</v>
      </c>
      <c r="T159" s="460" t="str">
        <f>IF(+All!$F812="Penn State",+All!T812,IF(+All!$H812="Penn State",+All!T812,0))</f>
        <v>Michigan State</v>
      </c>
      <c r="U159" s="461" t="str">
        <f>IF(+All!$F812="Penn State",+All!U812,IF(+All!$H812="Penn State",+All!U812,0))</f>
        <v>T</v>
      </c>
    </row>
    <row r="160" spans="1:21" x14ac:dyDescent="0.8">
      <c r="A160" s="38"/>
      <c r="B160" s="39"/>
      <c r="C160" s="40"/>
      <c r="D160" s="41"/>
      <c r="E160" s="463"/>
      <c r="F160" s="897" t="str">
        <f>H162</f>
        <v>Purdue</v>
      </c>
      <c r="G160" s="903"/>
      <c r="H160" s="903"/>
      <c r="I160" s="904"/>
      <c r="J160" s="459"/>
      <c r="K160" s="463"/>
      <c r="L160" s="44"/>
      <c r="M160" s="45"/>
      <c r="N160" s="459"/>
      <c r="O160" s="5"/>
      <c r="P160" s="5"/>
      <c r="Q160" s="463"/>
      <c r="R160" s="459"/>
      <c r="S160" s="5"/>
      <c r="T160" s="459"/>
      <c r="U160" s="463"/>
    </row>
    <row r="161" spans="1:21" x14ac:dyDescent="0.8">
      <c r="A161" s="46">
        <f>IF(+All!$F20="Purdue",+All!A20,IF(+All!$H20="Purdue",+All!A20,0))</f>
        <v>1</v>
      </c>
      <c r="B161" s="348" t="str">
        <f>IF(+All!$F20="Purdue",+All!B20,IF(+All!$H20="Purdue",+All!B20,0))</f>
        <v>Thurs</v>
      </c>
      <c r="C161" s="48">
        <f>IF(+All!$F20="Purdue",+All!C20,IF(+All!$H20="Purdue",+All!C20,0))</f>
        <v>44805</v>
      </c>
      <c r="D161" s="490">
        <f>IF(+All!$F20="Purdue",+All!D20,IF(+All!$H20="Purdue",+All!D20,0))</f>
        <v>0.83333333333333337</v>
      </c>
      <c r="E161" s="461" t="str">
        <f>IF(+All!$F20="Purdue",+All!E20,IF(+All!$H20="Purdue",+All!E20,0))</f>
        <v>Fox</v>
      </c>
      <c r="F161" s="51" t="str">
        <f>IF(+All!$F20="Purdue",+All!F20,IF(+All!$H20="Purdue",+All!F20,0))</f>
        <v>Penn State</v>
      </c>
      <c r="G161" s="52" t="str">
        <f>IF(+All!$F20="Purdue",+All!G20,IF(+All!$H20="Purdue",+All!G20,0))</f>
        <v>B10</v>
      </c>
      <c r="H161" s="51" t="str">
        <f>IF(+All!$F20="Purdue",+All!H20,IF(+All!$H20="Purdue",+All!H20,0))</f>
        <v>Purdue</v>
      </c>
      <c r="I161" s="52" t="str">
        <f>IF(+All!$F20="Purdue",+All!I20,IF(+All!$H20="Purdue",+All!I20,0))</f>
        <v>B10</v>
      </c>
      <c r="J161" s="460" t="str">
        <f>IF(+All!$F20="Purdue",+All!J20,IF(+All!$H20="Purdue",+All!J20,0))</f>
        <v>Penn State</v>
      </c>
      <c r="K161" s="461" t="str">
        <f>IF(+All!$F20="Purdue",+All!K20,IF(+All!$H20="Purdue",+All!K20,0))</f>
        <v>Purdue</v>
      </c>
      <c r="L161" s="54">
        <f>IF(+All!$F20="Purdue",+All!L20,IF(+All!$H20="Purdue",+All!L20,0))</f>
        <v>3.5</v>
      </c>
      <c r="M161" s="55">
        <f>IF(+All!$F20="Purdue",+All!M20,IF(+All!$H20="Purdue",+All!M20,0))</f>
        <v>53.5</v>
      </c>
      <c r="N161" s="460" t="str">
        <f>IF(+All!$F20="Purdue",+All!N20,IF(+All!$H20="Purdue",+All!N20,0))</f>
        <v>Penn State</v>
      </c>
      <c r="O161" s="462">
        <f>IF(+All!$F20="Purdue",+All!O20,IF(+All!$H20="Purdue",+All!O20,0))</f>
        <v>35</v>
      </c>
      <c r="P161" s="462" t="str">
        <f>IF(+All!$F20="Purdue",+All!P20,IF(+All!$H20="Purdue",+All!P20,0))</f>
        <v>Purdue</v>
      </c>
      <c r="Q161" s="461">
        <f>IF(+All!$F20="Purdue",+All!Q20,IF(+All!$H20="Purdue",+All!Q20,0))</f>
        <v>31</v>
      </c>
      <c r="R161" s="460" t="str">
        <f>IF(+All!$F20="Purdue",+All!R20,IF(+All!$H20="Purdue",+All!R20,0))</f>
        <v>Penn State</v>
      </c>
      <c r="S161" s="462" t="str">
        <f>IF(+All!$F20="Purdue",+All!S20,IF(+All!$H20="Purdue",+All!S20,0))</f>
        <v>Purdue</v>
      </c>
      <c r="T161" s="460" t="str">
        <f>IF(+All!$F20="Purdue",+All!T20,IF(+All!$H20="Purdue",+All!T20,0))</f>
        <v>Penn State</v>
      </c>
      <c r="U161" s="461" t="str">
        <f>IF(+All!$F20="Purdue",+All!U20,IF(+All!$H20="Purdue",+All!U20,0))</f>
        <v>W</v>
      </c>
    </row>
    <row r="162" spans="1:21" x14ac:dyDescent="0.8">
      <c r="A162" s="46">
        <f>IF(+All!$F124="Purdue",+All!A124,IF(+All!$H124="Purdue",+All!A124,0))</f>
        <v>2</v>
      </c>
      <c r="B162" s="348" t="str">
        <f>IF(+All!$F124="Purdue",+All!B124,IF(+All!$H124="Purdue",+All!B124,0))</f>
        <v>Sat</v>
      </c>
      <c r="C162" s="48">
        <f>IF(+All!$F124="Purdue",+All!C124,IF(+All!$H124="Purdue",+All!C124,0))</f>
        <v>44814</v>
      </c>
      <c r="D162" s="490">
        <f>IF(+All!$F124="Purdue",+All!D124,IF(+All!$H124="Purdue",+All!D124,0))</f>
        <v>0.66666666666666663</v>
      </c>
      <c r="E162" s="461" t="str">
        <f>IF(+All!$F124="Purdue",+All!E124,IF(+All!$H124="Purdue",+All!E124,0))</f>
        <v>BTN</v>
      </c>
      <c r="F162" s="51" t="str">
        <f>IF(+All!$F124="Purdue",+All!F124,IF(+All!$H124="Purdue",+All!F124,0))</f>
        <v>1AA Indiana State</v>
      </c>
      <c r="G162" s="52" t="str">
        <f>IF(+All!$F124="Purdue",+All!G124,IF(+All!$H124="Purdue",+All!G124,0))</f>
        <v>1AA</v>
      </c>
      <c r="H162" s="51" t="str">
        <f>IF(+All!$F124="Purdue",+All!H124,IF(+All!$H124="Purdue",+All!H124,0))</f>
        <v>Purdue</v>
      </c>
      <c r="I162" s="52" t="str">
        <f>IF(+All!$F124="Purdue",+All!I124,IF(+All!$H124="Purdue",+All!I124,0))</f>
        <v>B10</v>
      </c>
      <c r="J162" s="460">
        <f>IF(+All!$F124="Purdue",+All!J124,IF(+All!$H124="Purdue",+All!J124,0))</f>
        <v>0</v>
      </c>
      <c r="K162" s="461">
        <f>IF(+All!$F124="Purdue",+All!K124,IF(+All!$H124="Purdue",+All!K124,0))</f>
        <v>0</v>
      </c>
      <c r="L162" s="54">
        <f>IF(+All!$F124="Purdue",+All!L124,IF(+All!$H124="Purdue",+All!L124,0))</f>
        <v>0</v>
      </c>
      <c r="M162" s="55">
        <f>IF(+All!$F124="Purdue",+All!M124,IF(+All!$H124="Purdue",+All!M124,0))</f>
        <v>0</v>
      </c>
      <c r="N162" s="460" t="str">
        <f>IF(+All!$F124="Purdue",+All!N124,IF(+All!$H124="Purdue",+All!N124,0))</f>
        <v>Purdue</v>
      </c>
      <c r="O162" s="462">
        <f>IF(+All!$F124="Purdue",+All!O124,IF(+All!$H124="Purdue",+All!O124,0))</f>
        <v>56</v>
      </c>
      <c r="P162" s="462" t="str">
        <f>IF(+All!$F124="Purdue",+All!P124,IF(+All!$H124="Purdue",+All!P124,0))</f>
        <v>1AA Indiana State</v>
      </c>
      <c r="Q162" s="461">
        <f>IF(+All!$F124="Purdue",+All!Q124,IF(+All!$H124="Purdue",+All!Q124,0))</f>
        <v>0</v>
      </c>
      <c r="R162" s="460">
        <f>IF(+All!$F124="Purdue",+All!R124,IF(+All!$H124="Purdue",+All!R124,0))</f>
        <v>0</v>
      </c>
      <c r="S162" s="462">
        <f>IF(+All!$F124="Purdue",+All!S124,IF(+All!$H124="Purdue",+All!S124,0))</f>
        <v>0</v>
      </c>
      <c r="T162" s="460">
        <f>IF(+All!$F124="Purdue",+All!T124,IF(+All!$H124="Purdue",+All!T124,0))</f>
        <v>0</v>
      </c>
      <c r="U162" s="461">
        <f>IF(+All!$F124="Purdue",+All!U124,IF(+All!$H124="Purdue",+All!U124,0))</f>
        <v>0</v>
      </c>
    </row>
    <row r="163" spans="1:21" x14ac:dyDescent="0.8">
      <c r="A163" s="46">
        <f>IF(+All!$F193="Purdue",+All!A193,IF(+All!$H193="Purdue",+All!A193,0))</f>
        <v>3</v>
      </c>
      <c r="B163" s="348" t="str">
        <f>IF(+All!$F193="Purdue",+All!B193,IF(+All!$H193="Purdue",+All!B193,0))</f>
        <v>Sat</v>
      </c>
      <c r="C163" s="48">
        <f>IF(+All!$F193="Purdue",+All!C193,IF(+All!$H193="Purdue",+All!C193,0))</f>
        <v>44821</v>
      </c>
      <c r="D163" s="490">
        <f>IF(+All!$F193="Purdue",+All!D193,IF(+All!$H193="Purdue",+All!D193,0))</f>
        <v>0.5</v>
      </c>
      <c r="E163" s="461" t="str">
        <f>IF(+All!$F193="Purdue",+All!E193,IF(+All!$H193="Purdue",+All!E193,0))</f>
        <v>ESPN2</v>
      </c>
      <c r="F163" s="51" t="str">
        <f>IF(+All!$F193="Purdue",+All!F193,IF(+All!$H193="Purdue",+All!F193,0))</f>
        <v>Purdue</v>
      </c>
      <c r="G163" s="52" t="str">
        <f>IF(+All!$F193="Purdue",+All!G193,IF(+All!$H193="Purdue",+All!G193,0))</f>
        <v>B10</v>
      </c>
      <c r="H163" s="51" t="str">
        <f>IF(+All!$F193="Purdue",+All!H193,IF(+All!$H193="Purdue",+All!H193,0))</f>
        <v>Syracuse</v>
      </c>
      <c r="I163" s="52" t="str">
        <f>IF(+All!$F193="Purdue",+All!I193,IF(+All!$H193="Purdue",+All!I193,0))</f>
        <v>ACC</v>
      </c>
      <c r="J163" s="460" t="str">
        <f>IF(+All!$F193="Purdue",+All!J193,IF(+All!$H193="Purdue",+All!J193,0))</f>
        <v>Purdue</v>
      </c>
      <c r="K163" s="461" t="str">
        <f>IF(+All!$F193="Purdue",+All!K193,IF(+All!$H193="Purdue",+All!K193,0))</f>
        <v>Syracuse</v>
      </c>
      <c r="L163" s="54">
        <f>IF(+All!$F193="Purdue",+All!L193,IF(+All!$H193="Purdue",+All!L193,0))</f>
        <v>0</v>
      </c>
      <c r="M163" s="55">
        <f>IF(+All!$F193="Purdue",+All!M193,IF(+All!$H193="Purdue",+All!M193,0))</f>
        <v>58.5</v>
      </c>
      <c r="N163" s="460" t="str">
        <f>IF(+All!$F193="Purdue",+All!N193,IF(+All!$H193="Purdue",+All!N193,0))</f>
        <v>Syracuse</v>
      </c>
      <c r="O163" s="462">
        <f>IF(+All!$F193="Purdue",+All!O193,IF(+All!$H193="Purdue",+All!O193,0))</f>
        <v>32</v>
      </c>
      <c r="P163" s="462" t="str">
        <f>IF(+All!$F193="Purdue",+All!P193,IF(+All!$H193="Purdue",+All!P193,0))</f>
        <v>Purdue</v>
      </c>
      <c r="Q163" s="461">
        <f>IF(+All!$F193="Purdue",+All!Q193,IF(+All!$H193="Purdue",+All!Q193,0))</f>
        <v>29</v>
      </c>
      <c r="R163" s="460" t="str">
        <f>IF(+All!$F193="Purdue",+All!R193,IF(+All!$H193="Purdue",+All!R193,0))</f>
        <v>Syracuse</v>
      </c>
      <c r="S163" s="462" t="str">
        <f>IF(+All!$F193="Purdue",+All!S193,IF(+All!$H193="Purdue",+All!S193,0))</f>
        <v>Purdue</v>
      </c>
      <c r="T163" s="460" t="str">
        <f>IF(+All!$F193="Purdue",+All!T193,IF(+All!$H193="Purdue",+All!T193,0))</f>
        <v>Purdue</v>
      </c>
      <c r="U163" s="461" t="str">
        <f>IF(+All!$F193="Purdue",+All!U193,IF(+All!$H193="Purdue",+All!U193,0))</f>
        <v>L</v>
      </c>
    </row>
    <row r="164" spans="1:21" x14ac:dyDescent="0.8">
      <c r="A164" s="46">
        <f>IF(+All!$F278="Purdue",+All!A278,IF(+All!$H278="Purdue",+All!A278,0))</f>
        <v>4</v>
      </c>
      <c r="B164" s="348" t="str">
        <f>IF(+All!$F278="Purdue",+All!B278,IF(+All!$H278="Purdue",+All!B278,0))</f>
        <v>Sat</v>
      </c>
      <c r="C164" s="48">
        <f>IF(+All!$F278="Purdue",+All!C278,IF(+All!$H278="Purdue",+All!C278,0))</f>
        <v>44828</v>
      </c>
      <c r="D164" s="490">
        <f>IF(+All!$F278="Purdue",+All!D278,IF(+All!$H278="Purdue",+All!D278,0))</f>
        <v>0.8125</v>
      </c>
      <c r="E164" s="461" t="str">
        <f>IF(+All!$F278="Purdue",+All!E278,IF(+All!$H278="Purdue",+All!E278,0))</f>
        <v>BTN</v>
      </c>
      <c r="F164" s="51" t="str">
        <f>IF(+All!$F278="Purdue",+All!F278,IF(+All!$H278="Purdue",+All!F278,0))</f>
        <v>Florida Atlantic</v>
      </c>
      <c r="G164" s="52" t="str">
        <f>IF(+All!$F278="Purdue",+All!G278,IF(+All!$H278="Purdue",+All!G278,0))</f>
        <v>CUSA</v>
      </c>
      <c r="H164" s="51" t="str">
        <f>IF(+All!$F278="Purdue",+All!H278,IF(+All!$H278="Purdue",+All!H278,0))</f>
        <v>Purdue</v>
      </c>
      <c r="I164" s="52" t="str">
        <f>IF(+All!$F278="Purdue",+All!I278,IF(+All!$H278="Purdue",+All!I278,0))</f>
        <v>B10</v>
      </c>
      <c r="J164" s="460" t="str">
        <f>IF(+All!$F278="Purdue",+All!J278,IF(+All!$H278="Purdue",+All!J278,0))</f>
        <v>Purdue</v>
      </c>
      <c r="K164" s="461" t="str">
        <f>IF(+All!$F278="Purdue",+All!K278,IF(+All!$H278="Purdue",+All!K278,0))</f>
        <v>Florida Atlantic</v>
      </c>
      <c r="L164" s="54">
        <f>IF(+All!$F278="Purdue",+All!L278,IF(+All!$H278="Purdue",+All!L278,0))</f>
        <v>19.5</v>
      </c>
      <c r="M164" s="55">
        <f>IF(+All!$F278="Purdue",+All!M278,IF(+All!$H278="Purdue",+All!M278,0))</f>
        <v>60.5</v>
      </c>
      <c r="N164" s="460" t="str">
        <f>IF(+All!$F278="Purdue",+All!N278,IF(+All!$H278="Purdue",+All!N278,0))</f>
        <v>Purdue</v>
      </c>
      <c r="O164" s="462">
        <f>IF(+All!$F278="Purdue",+All!O278,IF(+All!$H278="Purdue",+All!O278,0))</f>
        <v>28</v>
      </c>
      <c r="P164" s="462" t="str">
        <f>IF(+All!$F278="Purdue",+All!P278,IF(+All!$H278="Purdue",+All!P278,0))</f>
        <v>Florida Atlantic</v>
      </c>
      <c r="Q164" s="461">
        <f>IF(+All!$F278="Purdue",+All!Q278,IF(+All!$H278="Purdue",+All!Q278,0))</f>
        <v>26</v>
      </c>
      <c r="R164" s="460" t="str">
        <f>IF(+All!$F278="Purdue",+All!R278,IF(+All!$H278="Purdue",+All!R278,0))</f>
        <v>Florida Atlantic</v>
      </c>
      <c r="S164" s="462" t="str">
        <f>IF(+All!$F278="Purdue",+All!S278,IF(+All!$H278="Purdue",+All!S278,0))</f>
        <v>Purdue</v>
      </c>
      <c r="T164" s="460" t="str">
        <f>IF(+All!$F278="Purdue",+All!T278,IF(+All!$H278="Purdue",+All!T278,0))</f>
        <v>Purdue</v>
      </c>
      <c r="U164" s="461" t="str">
        <f>IF(+All!$F278="Purdue",+All!U278,IF(+All!$H278="Purdue",+All!U278,0))</f>
        <v>L</v>
      </c>
    </row>
    <row r="165" spans="1:21" x14ac:dyDescent="0.8">
      <c r="A165" s="46">
        <f>IF(+All!$F337="Purdue",+All!A337,IF(+All!$H337="Purdue",+All!A337,0))</f>
        <v>5</v>
      </c>
      <c r="B165" s="348" t="str">
        <f>IF(+All!$F337="Purdue",+All!B337,IF(+All!$H337="Purdue",+All!B337,0))</f>
        <v>Sat</v>
      </c>
      <c r="C165" s="48">
        <f>IF(+All!$F337="Purdue",+All!C337,IF(+All!$H337="Purdue",+All!C337,0))</f>
        <v>44835</v>
      </c>
      <c r="D165" s="490">
        <f>IF(+All!$F337="Purdue",+All!D337,IF(+All!$H337="Purdue",+All!D337,0))</f>
        <v>0.5</v>
      </c>
      <c r="E165" s="461" t="str">
        <f>IF(+All!$F337="Purdue",+All!E337,IF(+All!$H337="Purdue",+All!E337,0))</f>
        <v>ESPN2</v>
      </c>
      <c r="F165" s="51" t="str">
        <f>IF(+All!$F337="Purdue",+All!F337,IF(+All!$H337="Purdue",+All!F337,0))</f>
        <v>Purdue</v>
      </c>
      <c r="G165" s="52" t="str">
        <f>IF(+All!$F337="Purdue",+All!G337,IF(+All!$H337="Purdue",+All!G337,0))</f>
        <v>B10</v>
      </c>
      <c r="H165" s="51" t="str">
        <f>IF(+All!$F337="Purdue",+All!H337,IF(+All!$H337="Purdue",+All!H337,0))</f>
        <v>Minnesota</v>
      </c>
      <c r="I165" s="52" t="str">
        <f>IF(+All!$F337="Purdue",+All!I337,IF(+All!$H337="Purdue",+All!I337,0))</f>
        <v>B10</v>
      </c>
      <c r="J165" s="460" t="str">
        <f>IF(+All!$F337="Purdue",+All!J337,IF(+All!$H337="Purdue",+All!J337,0))</f>
        <v>Minnesota</v>
      </c>
      <c r="K165" s="461" t="str">
        <f>IF(+All!$F337="Purdue",+All!K337,IF(+All!$H337="Purdue",+All!K337,0))</f>
        <v>Purdue</v>
      </c>
      <c r="L165" s="54">
        <f>IF(+All!$F337="Purdue",+All!L337,IF(+All!$H337="Purdue",+All!L337,0))</f>
        <v>12</v>
      </c>
      <c r="M165" s="55">
        <f>IF(+All!$F337="Purdue",+All!M337,IF(+All!$H337="Purdue",+All!M337,0))</f>
        <v>52.5</v>
      </c>
      <c r="N165" s="460" t="str">
        <f>IF(+All!$F337="Purdue",+All!N337,IF(+All!$H337="Purdue",+All!N337,0))</f>
        <v>Purdue</v>
      </c>
      <c r="O165" s="462">
        <f>IF(+All!$F337="Purdue",+All!O337,IF(+All!$H337="Purdue",+All!O337,0))</f>
        <v>20</v>
      </c>
      <c r="P165" s="462" t="str">
        <f>IF(+All!$F337="Purdue",+All!P337,IF(+All!$H337="Purdue",+All!P337,0))</f>
        <v>Minnesota</v>
      </c>
      <c r="Q165" s="461">
        <f>IF(+All!$F337="Purdue",+All!Q337,IF(+All!$H337="Purdue",+All!Q337,0))</f>
        <v>10</v>
      </c>
      <c r="R165" s="460" t="str">
        <f>IF(+All!$F337="Purdue",+All!R337,IF(+All!$H337="Purdue",+All!R337,0))</f>
        <v>Purdue</v>
      </c>
      <c r="S165" s="462" t="str">
        <f>IF(+All!$F337="Purdue",+All!S337,IF(+All!$H337="Purdue",+All!S337,0))</f>
        <v>Minnesota</v>
      </c>
      <c r="T165" s="460" t="str">
        <f>IF(+All!$F337="Purdue",+All!T337,IF(+All!$H337="Purdue",+All!T337,0))</f>
        <v>Minnesota</v>
      </c>
      <c r="U165" s="461" t="str">
        <f>IF(+All!$F337="Purdue",+All!U337,IF(+All!$H337="Purdue",+All!U337,0))</f>
        <v>L</v>
      </c>
    </row>
    <row r="166" spans="1:21" x14ac:dyDescent="0.8">
      <c r="A166" s="46">
        <f>IF(+All!$F398="Purdue",+All!A398,IF(+All!$H398="Purdue",+All!A398,0))</f>
        <v>6</v>
      </c>
      <c r="B166" s="348" t="str">
        <f>IF(+All!$F398="Purdue",+All!B398,IF(+All!$H398="Purdue",+All!B398,0))</f>
        <v>Sat</v>
      </c>
      <c r="C166" s="48">
        <f>IF(+All!$F398="Purdue",+All!C398,IF(+All!$H398="Purdue",+All!C398,0))</f>
        <v>44842</v>
      </c>
      <c r="D166" s="490">
        <f>IF(+All!$F398="Purdue",+All!D398,IF(+All!$H398="Purdue",+All!D398,0))</f>
        <v>0.5</v>
      </c>
      <c r="E166" s="461" t="str">
        <f>IF(+All!$F398="Purdue",+All!E398,IF(+All!$H398="Purdue",+All!E398,0))</f>
        <v>BTN</v>
      </c>
      <c r="F166" s="51" t="str">
        <f>IF(+All!$F398="Purdue",+All!F398,IF(+All!$H398="Purdue",+All!F398,0))</f>
        <v>Purdue</v>
      </c>
      <c r="G166" s="52" t="str">
        <f>IF(+All!$F398="Purdue",+All!G398,IF(+All!$H398="Purdue",+All!G398,0))</f>
        <v>B10</v>
      </c>
      <c r="H166" s="51" t="str">
        <f>IF(+All!$F398="Purdue",+All!H398,IF(+All!$H398="Purdue",+All!H398,0))</f>
        <v>Maryland</v>
      </c>
      <c r="I166" s="52" t="str">
        <f>IF(+All!$F398="Purdue",+All!I398,IF(+All!$H398="Purdue",+All!I398,0))</f>
        <v>B10</v>
      </c>
      <c r="J166" s="460" t="str">
        <f>IF(+All!$F398="Purdue",+All!J398,IF(+All!$H398="Purdue",+All!J398,0))</f>
        <v>Maryland</v>
      </c>
      <c r="K166" s="461" t="str">
        <f>IF(+All!$F398="Purdue",+All!K398,IF(+All!$H398="Purdue",+All!K398,0))</f>
        <v>Purdue</v>
      </c>
      <c r="L166" s="54">
        <f>IF(+All!$F398="Purdue",+All!L398,IF(+All!$H398="Purdue",+All!L398,0))</f>
        <v>3</v>
      </c>
      <c r="M166" s="55">
        <f>IF(+All!$F398="Purdue",+All!M398,IF(+All!$H398="Purdue",+All!M398,0))</f>
        <v>59.5</v>
      </c>
      <c r="N166" s="460" t="str">
        <f>IF(+All!$F398="Purdue",+All!N398,IF(+All!$H398="Purdue",+All!N398,0))</f>
        <v>Purdue</v>
      </c>
      <c r="O166" s="462">
        <f>IF(+All!$F398="Purdue",+All!O398,IF(+All!$H398="Purdue",+All!O398,0))</f>
        <v>31</v>
      </c>
      <c r="P166" s="462" t="str">
        <f>IF(+All!$F398="Purdue",+All!P398,IF(+All!$H398="Purdue",+All!P398,0))</f>
        <v>Maryland</v>
      </c>
      <c r="Q166" s="461">
        <f>IF(+All!$F398="Purdue",+All!Q398,IF(+All!$H398="Purdue",+All!Q398,0))</f>
        <v>29</v>
      </c>
      <c r="R166" s="460" t="str">
        <f>IF(+All!$F398="Purdue",+All!R398,IF(+All!$H398="Purdue",+All!R398,0))</f>
        <v>Purdue</v>
      </c>
      <c r="S166" s="462" t="str">
        <f>IF(+All!$F398="Purdue",+All!S398,IF(+All!$H398="Purdue",+All!S398,0))</f>
        <v>Maryland</v>
      </c>
      <c r="T166" s="460" t="str">
        <f>IF(+All!$F398="Purdue",+All!T398,IF(+All!$H398="Purdue",+All!T398,0))</f>
        <v>Purdue</v>
      </c>
      <c r="U166" s="461" t="str">
        <f>IF(+All!$F398="Purdue",+All!U398,IF(+All!$H398="Purdue",+All!U398,0))</f>
        <v>W</v>
      </c>
    </row>
    <row r="167" spans="1:21" x14ac:dyDescent="0.8">
      <c r="A167" s="46">
        <f>IF(+All!$F453="Purdue",+All!A453,IF(+All!$H453="Purdue",+All!A453,0))</f>
        <v>7</v>
      </c>
      <c r="B167" s="348" t="str">
        <f>IF(+All!$F453="Purdue",+All!B453,IF(+All!$H453="Purdue",+All!B453,0))</f>
        <v>Sat</v>
      </c>
      <c r="C167" s="48">
        <f>IF(+All!$F453="Purdue",+All!C453,IF(+All!$H453="Purdue",+All!C453,0))</f>
        <v>44849</v>
      </c>
      <c r="D167" s="490">
        <f>IF(+All!$F453="Purdue",+All!D453,IF(+All!$H453="Purdue",+All!D453,0))</f>
        <v>0.8125</v>
      </c>
      <c r="E167" s="461" t="str">
        <f>IF(+All!$F453="Purdue",+All!E453,IF(+All!$H453="Purdue",+All!E453,0))</f>
        <v>BTN</v>
      </c>
      <c r="F167" s="51" t="str">
        <f>IF(+All!$F453="Purdue",+All!F453,IF(+All!$H453="Purdue",+All!F453,0))</f>
        <v>Nebraska</v>
      </c>
      <c r="G167" s="52" t="str">
        <f>IF(+All!$F453="Purdue",+All!G453,IF(+All!$H453="Purdue",+All!G453,0))</f>
        <v>B10</v>
      </c>
      <c r="H167" s="51" t="str">
        <f>IF(+All!$F453="Purdue",+All!H453,IF(+All!$H453="Purdue",+All!H453,0))</f>
        <v>Purdue</v>
      </c>
      <c r="I167" s="52" t="str">
        <f>IF(+All!$F453="Purdue",+All!I453,IF(+All!$H453="Purdue",+All!I453,0))</f>
        <v>B10</v>
      </c>
      <c r="J167" s="460" t="str">
        <f>IF(+All!$F453="Purdue",+All!J453,IF(+All!$H453="Purdue",+All!J453,0))</f>
        <v>Purdue</v>
      </c>
      <c r="K167" s="461" t="str">
        <f>IF(+All!$F453="Purdue",+All!K453,IF(+All!$H453="Purdue",+All!K453,0))</f>
        <v>Nebraska</v>
      </c>
      <c r="L167" s="54">
        <f>IF(+All!$F453="Purdue",+All!L453,IF(+All!$H453="Purdue",+All!L453,0))</f>
        <v>13</v>
      </c>
      <c r="M167" s="55">
        <f>IF(+All!$F453="Purdue",+All!M453,IF(+All!$H453="Purdue",+All!M453,0))</f>
        <v>58</v>
      </c>
      <c r="N167" s="460" t="str">
        <f>IF(+All!$F453="Purdue",+All!N453,IF(+All!$H453="Purdue",+All!N453,0))</f>
        <v>Purdue</v>
      </c>
      <c r="O167" s="462">
        <f>IF(+All!$F453="Purdue",+All!O453,IF(+All!$H453="Purdue",+All!O453,0))</f>
        <v>43</v>
      </c>
      <c r="P167" s="462" t="str">
        <f>IF(+All!$F453="Purdue",+All!P453,IF(+All!$H453="Purdue",+All!P453,0))</f>
        <v>Nebraska</v>
      </c>
      <c r="Q167" s="461">
        <f>IF(+All!$F453="Purdue",+All!Q453,IF(+All!$H453="Purdue",+All!Q453,0))</f>
        <v>37</v>
      </c>
      <c r="R167" s="460" t="str">
        <f>IF(+All!$F453="Purdue",+All!R453,IF(+All!$H453="Purdue",+All!R453,0))</f>
        <v>Nebraska</v>
      </c>
      <c r="S167" s="462" t="str">
        <f>IF(+All!$F453="Purdue",+All!S453,IF(+All!$H453="Purdue",+All!S453,0))</f>
        <v>Purdue</v>
      </c>
      <c r="T167" s="460" t="str">
        <f>IF(+All!$F453="Purdue",+All!T453,IF(+All!$H453="Purdue",+All!T453,0))</f>
        <v>Purdue</v>
      </c>
      <c r="U167" s="461" t="str">
        <f>IF(+All!$F453="Purdue",+All!U453,IF(+All!$H453="Purdue",+All!U453,0))</f>
        <v>L</v>
      </c>
    </row>
    <row r="168" spans="1:21" x14ac:dyDescent="0.8">
      <c r="A168" s="46">
        <f>IF(+All!$F508="Purdue",+All!A508,IF(+All!$H508="Purdue",+All!A508,0))</f>
        <v>8</v>
      </c>
      <c r="B168" s="348" t="str">
        <f>IF(+All!$F508="Purdue",+All!B508,IF(+All!$H508="Purdue",+All!B508,0))</f>
        <v>Sat</v>
      </c>
      <c r="C168" s="48">
        <f>IF(+All!$F508="Purdue",+All!C508,IF(+All!$H508="Purdue",+All!C508,0))</f>
        <v>44856</v>
      </c>
      <c r="D168" s="490">
        <f>IF(+All!$F508="Purdue",+All!D508,IF(+All!$H508="Purdue",+All!D508,0))</f>
        <v>0.64583333333333337</v>
      </c>
      <c r="E168" s="461" t="str">
        <f>IF(+All!$F508="Purdue",+All!E508,IF(+All!$H508="Purdue",+All!E508,0))</f>
        <v>ESPN</v>
      </c>
      <c r="F168" s="51" t="str">
        <f>IF(+All!$F508="Purdue",+All!F508,IF(+All!$H508="Purdue",+All!F508,0))</f>
        <v>Purdue</v>
      </c>
      <c r="G168" s="52" t="str">
        <f>IF(+All!$F508="Purdue",+All!G508,IF(+All!$H508="Purdue",+All!G508,0))</f>
        <v>B10</v>
      </c>
      <c r="H168" s="51" t="str">
        <f>IF(+All!$F508="Purdue",+All!H508,IF(+All!$H508="Purdue",+All!H508,0))</f>
        <v>Wisconsin</v>
      </c>
      <c r="I168" s="52" t="str">
        <f>IF(+All!$F508="Purdue",+All!I508,IF(+All!$H508="Purdue",+All!I508,0))</f>
        <v>B10</v>
      </c>
      <c r="J168" s="460" t="str">
        <f>IF(+All!$F508="Purdue",+All!J508,IF(+All!$H508="Purdue",+All!J508,0))</f>
        <v>Wisconsin</v>
      </c>
      <c r="K168" s="461" t="str">
        <f>IF(+All!$F508="Purdue",+All!K508,IF(+All!$H508="Purdue",+All!K508,0))</f>
        <v>Purdue</v>
      </c>
      <c r="L168" s="54">
        <f>IF(+All!$F508="Purdue",+All!L508,IF(+All!$H508="Purdue",+All!L508,0))</f>
        <v>2.5</v>
      </c>
      <c r="M168" s="55">
        <f>IF(+All!$F508="Purdue",+All!M508,IF(+All!$H508="Purdue",+All!M508,0))</f>
        <v>51.5</v>
      </c>
      <c r="N168" s="460" t="str">
        <f>IF(+All!$F508="Purdue",+All!N508,IF(+All!$H508="Purdue",+All!N508,0))</f>
        <v>Wisconsin</v>
      </c>
      <c r="O168" s="462">
        <f>IF(+All!$F508="Purdue",+All!O508,IF(+All!$H508="Purdue",+All!O508,0))</f>
        <v>35</v>
      </c>
      <c r="P168" s="462" t="str">
        <f>IF(+All!$F508="Purdue",+All!P508,IF(+All!$H508="Purdue",+All!P508,0))</f>
        <v>Purdue</v>
      </c>
      <c r="Q168" s="461">
        <f>IF(+All!$F508="Purdue",+All!Q508,IF(+All!$H508="Purdue",+All!Q508,0))</f>
        <v>24</v>
      </c>
      <c r="R168" s="460" t="str">
        <f>IF(+All!$F508="Purdue",+All!R508,IF(+All!$H508="Purdue",+All!R508,0))</f>
        <v>Wisconsin</v>
      </c>
      <c r="S168" s="462" t="str">
        <f>IF(+All!$F508="Purdue",+All!S508,IF(+All!$H508="Purdue",+All!S508,0))</f>
        <v>Purdue</v>
      </c>
      <c r="T168" s="460" t="str">
        <f>IF(+All!$F508="Purdue",+All!T508,IF(+All!$H508="Purdue",+All!T508,0))</f>
        <v>Purdue</v>
      </c>
      <c r="U168" s="461" t="str">
        <f>IF(+All!$F508="Purdue",+All!U508,IF(+All!$H508="Purdue",+All!U508,0))</f>
        <v>L</v>
      </c>
    </row>
    <row r="169" spans="1:21" x14ac:dyDescent="0.8">
      <c r="A169" s="46" t="e">
        <f>IF(+All!#REF!="Purdue",+All!#REF!,IF(+All!#REF!="Purdue",+All!#REF!,0))</f>
        <v>#REF!</v>
      </c>
      <c r="B169" s="348" t="e">
        <f>IF(+All!#REF!="Purdue",+All!#REF!,IF(+All!#REF!="Purdue",+All!#REF!,0))</f>
        <v>#REF!</v>
      </c>
      <c r="C169" s="48" t="e">
        <f>IF(+All!#REF!="Purdue",+All!#REF!,IF(+All!#REF!="Purdue",+All!#REF!,0))</f>
        <v>#REF!</v>
      </c>
      <c r="D169" s="490" t="e">
        <f>IF(+All!#REF!="Purdue",+All!#REF!,IF(+All!#REF!="Purdue",+All!#REF!,0))</f>
        <v>#REF!</v>
      </c>
      <c r="E169" s="461" t="e">
        <f>IF(+All!#REF!="Purdue",+All!#REF!,IF(+All!#REF!="Purdue",+All!#REF!,0))</f>
        <v>#REF!</v>
      </c>
      <c r="F169" s="51" t="e">
        <f>IF(+All!#REF!="Purdue",+All!#REF!,IF(+All!#REF!="Purdue",+All!#REF!,0))</f>
        <v>#REF!</v>
      </c>
      <c r="G169" s="52" t="e">
        <f>IF(+All!#REF!="Purdue",+All!#REF!,IF(+All!#REF!="Purdue",+All!#REF!,0))</f>
        <v>#REF!</v>
      </c>
      <c r="H169" s="51" t="e">
        <f>IF(+All!#REF!="Purdue",+All!#REF!,IF(+All!#REF!="Purdue",+All!#REF!,0))</f>
        <v>#REF!</v>
      </c>
      <c r="I169" s="52" t="e">
        <f>IF(+All!#REF!="Purdue",+All!#REF!,IF(+All!#REF!="Purdue",+All!#REF!,0))</f>
        <v>#REF!</v>
      </c>
      <c r="J169" s="460" t="e">
        <f>IF(+All!#REF!="Purdue",+All!#REF!,IF(+All!#REF!="Purdue",+All!#REF!,0))</f>
        <v>#REF!</v>
      </c>
      <c r="K169" s="461" t="e">
        <f>IF(+All!#REF!="Purdue",+All!#REF!,IF(+All!#REF!="Purdue",+All!#REF!,0))</f>
        <v>#REF!</v>
      </c>
      <c r="L169" s="54" t="e">
        <f>IF(+All!#REF!="Purdue",+All!#REF!,IF(+All!#REF!="Purdue",+All!#REF!,0))</f>
        <v>#REF!</v>
      </c>
      <c r="M169" s="55" t="e">
        <f>IF(+All!#REF!="Purdue",+All!#REF!,IF(+All!#REF!="Purdue",+All!#REF!,0))</f>
        <v>#REF!</v>
      </c>
      <c r="N169" s="460" t="e">
        <f>IF(+All!#REF!="Purdue",+All!#REF!,IF(+All!#REF!="Purdue",+All!#REF!,0))</f>
        <v>#REF!</v>
      </c>
      <c r="O169" s="462" t="e">
        <f>IF(+All!#REF!="Purdue",+All!#REF!,IF(+All!#REF!="Purdue",+All!#REF!,0))</f>
        <v>#REF!</v>
      </c>
      <c r="P169" s="462" t="e">
        <f>IF(+All!#REF!="Purdue",+All!#REF!,IF(+All!#REF!="Purdue",+All!#REF!,0))</f>
        <v>#REF!</v>
      </c>
      <c r="Q169" s="461" t="e">
        <f>IF(+All!#REF!="Purdue",+All!#REF!,IF(+All!#REF!="Purdue",+All!#REF!,0))</f>
        <v>#REF!</v>
      </c>
      <c r="R169" s="460" t="e">
        <f>IF(+All!#REF!="Purdue",+All!#REF!,IF(+All!#REF!="Purdue",+All!#REF!,0))</f>
        <v>#REF!</v>
      </c>
      <c r="S169" s="462" t="e">
        <f>IF(+All!#REF!="Purdue",+All!#REF!,IF(+All!#REF!="Purdue",+All!#REF!,0))</f>
        <v>#REF!</v>
      </c>
      <c r="T169" s="460" t="e">
        <f>IF(+All!#REF!="Purdue",+All!#REF!,IF(+All!#REF!="Purdue",+All!#REF!,0))</f>
        <v>#REF!</v>
      </c>
      <c r="U169" s="461" t="e">
        <f>IF(+All!#REF!="Purdue",+All!#REF!,IF(+All!#REF!="Purdue",+All!#REF!,0))</f>
        <v>#REF!</v>
      </c>
    </row>
    <row r="170" spans="1:21" x14ac:dyDescent="0.8">
      <c r="A170" s="46">
        <f>IF(+All!$F617="Purdue",+All!A617,IF(+All!$H617="Purdue",+All!A617,0))</f>
        <v>10</v>
      </c>
      <c r="B170" s="348" t="str">
        <f>IF(+All!$F617="Purdue",+All!B617,IF(+All!$H617="Purdue",+All!B617,0))</f>
        <v>Sat</v>
      </c>
      <c r="C170" s="48">
        <f>IF(+All!$F617="Purdue",+All!C617,IF(+All!$H617="Purdue",+All!C617,0))</f>
        <v>44870</v>
      </c>
      <c r="D170" s="490">
        <f>IF(+All!$F617="Purdue",+All!D617,IF(+All!$H617="Purdue",+All!D617,0))</f>
        <v>0.5</v>
      </c>
      <c r="E170" s="461" t="str">
        <f>IF(+All!$F617="Purdue",+All!E617,IF(+All!$H617="Purdue",+All!E617,0))</f>
        <v>FS1</v>
      </c>
      <c r="F170" s="51" t="str">
        <f>IF(+All!$F617="Purdue",+All!F617,IF(+All!$H617="Purdue",+All!F617,0))</f>
        <v>Iowa</v>
      </c>
      <c r="G170" s="52" t="str">
        <f>IF(+All!$F617="Purdue",+All!G617,IF(+All!$H617="Purdue",+All!G617,0))</f>
        <v>B10</v>
      </c>
      <c r="H170" s="51" t="str">
        <f>IF(+All!$F617="Purdue",+All!H617,IF(+All!$H617="Purdue",+All!H617,0))</f>
        <v>Purdue</v>
      </c>
      <c r="I170" s="52" t="str">
        <f>IF(+All!$F617="Purdue",+All!I617,IF(+All!$H617="Purdue",+All!I617,0))</f>
        <v>B10</v>
      </c>
      <c r="J170" s="460" t="str">
        <f>IF(+All!$F617="Purdue",+All!J617,IF(+All!$H617="Purdue",+All!J617,0))</f>
        <v>Purdue</v>
      </c>
      <c r="K170" s="461" t="str">
        <f>IF(+All!$F617="Purdue",+All!K617,IF(+All!$H617="Purdue",+All!K617,0))</f>
        <v>Iowa</v>
      </c>
      <c r="L170" s="54">
        <f>IF(+All!$F617="Purdue",+All!L617,IF(+All!$H617="Purdue",+All!L617,0))</f>
        <v>4.5</v>
      </c>
      <c r="M170" s="55">
        <f>IF(+All!$F617="Purdue",+All!M617,IF(+All!$H617="Purdue",+All!M617,0))</f>
        <v>41.5</v>
      </c>
      <c r="N170" s="460" t="str">
        <f>IF(+All!$F617="Purdue",+All!N617,IF(+All!$H617="Purdue",+All!N617,0))</f>
        <v>Iowa</v>
      </c>
      <c r="O170" s="462">
        <f>IF(+All!$F617="Purdue",+All!O617,IF(+All!$H617="Purdue",+All!O617,0))</f>
        <v>24</v>
      </c>
      <c r="P170" s="462" t="str">
        <f>IF(+All!$F617="Purdue",+All!P617,IF(+All!$H617="Purdue",+All!P617,0))</f>
        <v>Purdue</v>
      </c>
      <c r="Q170" s="461">
        <f>IF(+All!$F617="Purdue",+All!Q617,IF(+All!$H617="Purdue",+All!Q617,0))</f>
        <v>3</v>
      </c>
      <c r="R170" s="460" t="str">
        <f>IF(+All!$F617="Purdue",+All!R617,IF(+All!$H617="Purdue",+All!R617,0))</f>
        <v>Iowa</v>
      </c>
      <c r="S170" s="462" t="str">
        <f>IF(+All!$F617="Purdue",+All!S617,IF(+All!$H617="Purdue",+All!S617,0))</f>
        <v>Purdue</v>
      </c>
      <c r="T170" s="460" t="str">
        <f>IF(+All!$F617="Purdue",+All!T617,IF(+All!$H617="Purdue",+All!T617,0))</f>
        <v>Iowa</v>
      </c>
      <c r="U170" s="461" t="str">
        <f>IF(+All!$F617="Purdue",+All!U617,IF(+All!$H617="Purdue",+All!U617,0))</f>
        <v>W</v>
      </c>
    </row>
    <row r="171" spans="1:21" x14ac:dyDescent="0.8">
      <c r="A171" s="46">
        <f>IF(+All!$F675="Purdue",+All!A675,IF(+All!$H675="Purdue",+All!A675,0))</f>
        <v>11</v>
      </c>
      <c r="B171" s="348" t="str">
        <f>IF(+All!$F675="Purdue",+All!B675,IF(+All!$H675="Purdue",+All!B675,0))</f>
        <v>Sat</v>
      </c>
      <c r="C171" s="48">
        <f>IF(+All!$F675="Purdue",+All!C675,IF(+All!$H675="Purdue",+All!C675,0))</f>
        <v>44877</v>
      </c>
      <c r="D171" s="490">
        <f>IF(+All!$F675="Purdue",+All!D675,IF(+All!$H675="Purdue",+All!D675,0))</f>
        <v>0.5</v>
      </c>
      <c r="E171" s="461" t="str">
        <f>IF(+All!$F675="Purdue",+All!E675,IF(+All!$H675="Purdue",+All!E675,0))</f>
        <v>ESPN2</v>
      </c>
      <c r="F171" s="51" t="str">
        <f>IF(+All!$F675="Purdue",+All!F675,IF(+All!$H675="Purdue",+All!F675,0))</f>
        <v>Purdue</v>
      </c>
      <c r="G171" s="52" t="str">
        <f>IF(+All!$F675="Purdue",+All!G675,IF(+All!$H675="Purdue",+All!G675,0))</f>
        <v>B10</v>
      </c>
      <c r="H171" s="51" t="str">
        <f>IF(+All!$F675="Purdue",+All!H675,IF(+All!$H675="Purdue",+All!H675,0))</f>
        <v>Illinois</v>
      </c>
      <c r="I171" s="52" t="str">
        <f>IF(+All!$F675="Purdue",+All!I675,IF(+All!$H675="Purdue",+All!I675,0))</f>
        <v>B10</v>
      </c>
      <c r="J171" s="460" t="str">
        <f>IF(+All!$F675="Purdue",+All!J675,IF(+All!$H675="Purdue",+All!J675,0))</f>
        <v>Illinois</v>
      </c>
      <c r="K171" s="461" t="str">
        <f>IF(+All!$F675="Purdue",+All!K675,IF(+All!$H675="Purdue",+All!K675,0))</f>
        <v>Purdue</v>
      </c>
      <c r="L171" s="54">
        <f>IF(+All!$F675="Purdue",+All!L675,IF(+All!$H675="Purdue",+All!L675,0))</f>
        <v>6.5</v>
      </c>
      <c r="M171" s="55">
        <f>IF(+All!$F675="Purdue",+All!M675,IF(+All!$H675="Purdue",+All!M675,0))</f>
        <v>44</v>
      </c>
      <c r="N171" s="460" t="str">
        <f>IF(+All!$F675="Purdue",+All!N675,IF(+All!$H675="Purdue",+All!N675,0))</f>
        <v>Purdue</v>
      </c>
      <c r="O171" s="462">
        <f>IF(+All!$F675="Purdue",+All!O675,IF(+All!$H675="Purdue",+All!O675,0))</f>
        <v>31</v>
      </c>
      <c r="P171" s="462" t="str">
        <f>IF(+All!$F675="Purdue",+All!P675,IF(+All!$H675="Purdue",+All!P675,0))</f>
        <v>Illinois</v>
      </c>
      <c r="Q171" s="461">
        <f>IF(+All!$F675="Purdue",+All!Q675,IF(+All!$H675="Purdue",+All!Q675,0))</f>
        <v>24</v>
      </c>
      <c r="R171" s="460" t="str">
        <f>IF(+All!$F675="Purdue",+All!R675,IF(+All!$H675="Purdue",+All!R675,0))</f>
        <v>Purdue</v>
      </c>
      <c r="S171" s="462" t="str">
        <f>IF(+All!$F675="Purdue",+All!S675,IF(+All!$H675="Purdue",+All!S675,0))</f>
        <v>Illinois</v>
      </c>
      <c r="T171" s="460" t="str">
        <f>IF(+All!$F675="Purdue",+All!T675,IF(+All!$H675="Purdue",+All!T675,0))</f>
        <v>Illinois</v>
      </c>
      <c r="U171" s="461" t="str">
        <f>IF(+All!$F675="Purdue",+All!U675,IF(+All!$H675="Purdue",+All!U675,0))</f>
        <v>L</v>
      </c>
    </row>
    <row r="172" spans="1:21" x14ac:dyDescent="0.8">
      <c r="A172" s="46">
        <f>IF(+All!$F742="Purdue",+All!A742,IF(+All!$H742="Purdue",+All!A742,0))</f>
        <v>12</v>
      </c>
      <c r="B172" s="348" t="str">
        <f>IF(+All!$F742="Purdue",+All!B742,IF(+All!$H742="Purdue",+All!B742,0))</f>
        <v>Sat</v>
      </c>
      <c r="C172" s="48">
        <f>IF(+All!$F742="Purdue",+All!C742,IF(+All!$H742="Purdue",+All!C742,0))</f>
        <v>44884</v>
      </c>
      <c r="D172" s="490">
        <f>IF(+All!$F742="Purdue",+All!D742,IF(+All!$H742="Purdue",+All!D742,0))</f>
        <v>0.5</v>
      </c>
      <c r="E172" s="461" t="str">
        <f>IF(+All!$F742="Purdue",+All!E742,IF(+All!$H742="Purdue",+All!E742,0))</f>
        <v>FS1</v>
      </c>
      <c r="F172" s="51" t="str">
        <f>IF(+All!$F742="Purdue",+All!F742,IF(+All!$H742="Purdue",+All!F742,0))</f>
        <v>Northwestern</v>
      </c>
      <c r="G172" s="52" t="str">
        <f>IF(+All!$F742="Purdue",+All!G742,IF(+All!$H742="Purdue",+All!G742,0))</f>
        <v>B10</v>
      </c>
      <c r="H172" s="51" t="str">
        <f>IF(+All!$F742="Purdue",+All!H742,IF(+All!$H742="Purdue",+All!H742,0))</f>
        <v>Purdue</v>
      </c>
      <c r="I172" s="52" t="str">
        <f>IF(+All!$F742="Purdue",+All!I742,IF(+All!$H742="Purdue",+All!I742,0))</f>
        <v>B10</v>
      </c>
      <c r="J172" s="460" t="str">
        <f>IF(+All!$F742="Purdue",+All!J742,IF(+All!$H742="Purdue",+All!J742,0))</f>
        <v>Purdue</v>
      </c>
      <c r="K172" s="461" t="str">
        <f>IF(+All!$F742="Purdue",+All!K742,IF(+All!$H742="Purdue",+All!K742,0))</f>
        <v>Northwestern</v>
      </c>
      <c r="L172" s="54">
        <f>IF(+All!$F742="Purdue",+All!L742,IF(+All!$H742="Purdue",+All!L742,0))</f>
        <v>20</v>
      </c>
      <c r="M172" s="55">
        <f>IF(+All!$F742="Purdue",+All!M742,IF(+All!$H742="Purdue",+All!M742,0))</f>
        <v>46</v>
      </c>
      <c r="N172" s="460" t="str">
        <f>IF(+All!$F742="Purdue",+All!N742,IF(+All!$H742="Purdue",+All!N742,0))</f>
        <v>Purdue</v>
      </c>
      <c r="O172" s="462">
        <f>IF(+All!$F742="Purdue",+All!O742,IF(+All!$H742="Purdue",+All!O742,0))</f>
        <v>17</v>
      </c>
      <c r="P172" s="462" t="str">
        <f>IF(+All!$F742="Purdue",+All!P742,IF(+All!$H742="Purdue",+All!P742,0))</f>
        <v>Northwestern</v>
      </c>
      <c r="Q172" s="461">
        <f>IF(+All!$F742="Purdue",+All!Q742,IF(+All!$H742="Purdue",+All!Q742,0))</f>
        <v>9</v>
      </c>
      <c r="R172" s="460" t="str">
        <f>IF(+All!$F742="Purdue",+All!R742,IF(+All!$H742="Purdue",+All!R742,0))</f>
        <v>Northwestern</v>
      </c>
      <c r="S172" s="462" t="str">
        <f>IF(+All!$F742="Purdue",+All!S742,IF(+All!$H742="Purdue",+All!S742,0))</f>
        <v>Purdue</v>
      </c>
      <c r="T172" s="460" t="str">
        <f>IF(+All!$F742="Purdue",+All!T742,IF(+All!$H742="Purdue",+All!T742,0))</f>
        <v>Northwestern</v>
      </c>
      <c r="U172" s="461" t="str">
        <f>IF(+All!$F742="Purdue",+All!U742,IF(+All!$H742="Purdue",+All!U742,0))</f>
        <v>W</v>
      </c>
    </row>
    <row r="173" spans="1:21" x14ac:dyDescent="0.8">
      <c r="A173" s="46">
        <f>IF(+All!$F808="Purdue",+All!A808,IF(+All!$H808="Purdue",+All!A808,0))</f>
        <v>13</v>
      </c>
      <c r="B173" s="348" t="str">
        <f>IF(+All!$F808="Purdue",+All!B808,IF(+All!$H808="Purdue",+All!B808,0))</f>
        <v>Sat</v>
      </c>
      <c r="C173" s="48">
        <f>IF(+All!$F808="Purdue",+All!C808,IF(+All!$H808="Purdue",+All!C808,0))</f>
        <v>44891</v>
      </c>
      <c r="D173" s="490">
        <f>IF(+All!$F808="Purdue",+All!D808,IF(+All!$H808="Purdue",+All!D808,0))</f>
        <v>0.64583333333333337</v>
      </c>
      <c r="E173" s="461" t="str">
        <f>IF(+All!$F808="Purdue",+All!E808,IF(+All!$H808="Purdue",+All!E808,0))</f>
        <v>BTN</v>
      </c>
      <c r="F173" s="51" t="str">
        <f>IF(+All!$F808="Purdue",+All!F808,IF(+All!$H808="Purdue",+All!F808,0))</f>
        <v>Purdue</v>
      </c>
      <c r="G173" s="52" t="str">
        <f>IF(+All!$F808="Purdue",+All!G808,IF(+All!$H808="Purdue",+All!G808,0))</f>
        <v>B10</v>
      </c>
      <c r="H173" s="51" t="str">
        <f>IF(+All!$F808="Purdue",+All!H808,IF(+All!$H808="Purdue",+All!H808,0))</f>
        <v>Indiana</v>
      </c>
      <c r="I173" s="52" t="str">
        <f>IF(+All!$F808="Purdue",+All!I808,IF(+All!$H808="Purdue",+All!I808,0))</f>
        <v>B10</v>
      </c>
      <c r="J173" s="460" t="str">
        <f>IF(+All!$F808="Purdue",+All!J808,IF(+All!$H808="Purdue",+All!J808,0))</f>
        <v>Purdue</v>
      </c>
      <c r="K173" s="461" t="str">
        <f>IF(+All!$F808="Purdue",+All!K808,IF(+All!$H808="Purdue",+All!K808,0))</f>
        <v>Indiana</v>
      </c>
      <c r="L173" s="54">
        <f>IF(+All!$F808="Purdue",+All!L808,IF(+All!$H808="Purdue",+All!L808,0))</f>
        <v>10.5</v>
      </c>
      <c r="M173" s="55">
        <f>IF(+All!$F808="Purdue",+All!M808,IF(+All!$H808="Purdue",+All!M808,0))</f>
        <v>53.5</v>
      </c>
      <c r="N173" s="460" t="str">
        <f>IF(+All!$F808="Purdue",+All!N808,IF(+All!$H808="Purdue",+All!N808,0))</f>
        <v>Purdue</v>
      </c>
      <c r="O173" s="462">
        <f>IF(+All!$F808="Purdue",+All!O808,IF(+All!$H808="Purdue",+All!O808,0))</f>
        <v>30</v>
      </c>
      <c r="P173" s="462" t="str">
        <f>IF(+All!$F808="Purdue",+All!P808,IF(+All!$H808="Purdue",+All!P808,0))</f>
        <v>Indiana</v>
      </c>
      <c r="Q173" s="461">
        <f>IF(+All!$F808="Purdue",+All!Q808,IF(+All!$H808="Purdue",+All!Q808,0))</f>
        <v>16</v>
      </c>
      <c r="R173" s="460" t="str">
        <f>IF(+All!$F808="Purdue",+All!R808,IF(+All!$H808="Purdue",+All!R808,0))</f>
        <v>Purdue</v>
      </c>
      <c r="S173" s="462" t="str">
        <f>IF(+All!$F808="Purdue",+All!S808,IF(+All!$H808="Purdue",+All!S808,0))</f>
        <v>Indiana</v>
      </c>
      <c r="T173" s="460" t="str">
        <f>IF(+All!$F808="Purdue",+All!T808,IF(+All!$H808="Purdue",+All!T808,0))</f>
        <v>Indiana</v>
      </c>
      <c r="U173" s="461" t="str">
        <f>IF(+All!$F808="Purdue",+All!U808,IF(+All!$H808="Purdue",+All!U808,0))</f>
        <v>L</v>
      </c>
    </row>
    <row r="174" spans="1:21" x14ac:dyDescent="0.8">
      <c r="A174" s="38"/>
      <c r="B174" s="39"/>
      <c r="C174" s="40"/>
      <c r="D174" s="41"/>
      <c r="E174" s="463"/>
      <c r="F174" s="897" t="str">
        <f>H176</f>
        <v>Rutgers</v>
      </c>
      <c r="G174" s="903"/>
      <c r="H174" s="903"/>
      <c r="I174" s="904"/>
      <c r="J174" s="459"/>
      <c r="K174" s="463"/>
      <c r="L174" s="44"/>
      <c r="M174" s="45"/>
      <c r="N174" s="459"/>
      <c r="O174" s="5"/>
      <c r="P174" s="5"/>
      <c r="Q174" s="463"/>
      <c r="R174" s="459"/>
      <c r="S174" s="5"/>
      <c r="T174" s="459"/>
      <c r="U174" s="463"/>
    </row>
    <row r="175" spans="1:21" x14ac:dyDescent="0.8">
      <c r="A175" s="46">
        <f>IF(+All!$F33="Rutgers",+All!A33,IF(+All!$H33="Rutgers",+All!A33,0))</f>
        <v>1</v>
      </c>
      <c r="B175" s="348" t="str">
        <f>IF(+All!$F33="Rutgers",+All!B33,IF(+All!$H33="Rutgers",+All!B33,0))</f>
        <v>Sat</v>
      </c>
      <c r="C175" s="48">
        <f>IF(+All!$F33="Rutgers",+All!C33,IF(+All!$H33="Rutgers",+All!C33,0))</f>
        <v>44807</v>
      </c>
      <c r="D175" s="490">
        <f>IF(+All!$F33="Rutgers",+All!D33,IF(+All!$H33="Rutgers",+All!D33,0))</f>
        <v>0.5</v>
      </c>
      <c r="E175" s="461" t="str">
        <f>IF(+All!$F33="Rutgers",+All!E33,IF(+All!$H33="Rutgers",+All!E33,0))</f>
        <v>ACC</v>
      </c>
      <c r="F175" s="51" t="str">
        <f>IF(+All!$F33="Rutgers",+All!F33,IF(+All!$H33="Rutgers",+All!F33,0))</f>
        <v>Rutgers</v>
      </c>
      <c r="G175" s="52" t="str">
        <f>IF(+All!$F33="Rutgers",+All!G33,IF(+All!$H33="Rutgers",+All!G33,0))</f>
        <v>B10</v>
      </c>
      <c r="H175" s="51" t="str">
        <f>IF(+All!$F33="Rutgers",+All!H33,IF(+All!$H33="Rutgers",+All!H33,0))</f>
        <v>Boston College</v>
      </c>
      <c r="I175" s="52" t="str">
        <f>IF(+All!$F33="Rutgers",+All!I33,IF(+All!$H33="Rutgers",+All!I33,0))</f>
        <v>ACC</v>
      </c>
      <c r="J175" s="460" t="str">
        <f>IF(+All!$F33="Rutgers",+All!J33,IF(+All!$H33="Rutgers",+All!J33,0))</f>
        <v>Boston College</v>
      </c>
      <c r="K175" s="461" t="str">
        <f>IF(+All!$F33="Rutgers",+All!K33,IF(+All!$H33="Rutgers",+All!K33,0))</f>
        <v>Rutgers</v>
      </c>
      <c r="L175" s="54">
        <f>IF(+All!$F33="Rutgers",+All!L33,IF(+All!$H33="Rutgers",+All!L33,0))</f>
        <v>7</v>
      </c>
      <c r="M175" s="55">
        <f>IF(+All!$F33="Rutgers",+All!M33,IF(+All!$H33="Rutgers",+All!M33,0))</f>
        <v>48</v>
      </c>
      <c r="N175" s="460" t="str">
        <f>IF(+All!$F33="Rutgers",+All!N33,IF(+All!$H33="Rutgers",+All!N33,0))</f>
        <v>Rutgers</v>
      </c>
      <c r="O175" s="462">
        <f>IF(+All!$F33="Rutgers",+All!O33,IF(+All!$H33="Rutgers",+All!O33,0))</f>
        <v>22</v>
      </c>
      <c r="P175" s="462" t="str">
        <f>IF(+All!$F33="Rutgers",+All!P33,IF(+All!$H33="Rutgers",+All!P33,0))</f>
        <v>Boston College</v>
      </c>
      <c r="Q175" s="461">
        <f>IF(+All!$F33="Rutgers",+All!Q33,IF(+All!$H33="Rutgers",+All!Q33,0))</f>
        <v>21</v>
      </c>
      <c r="R175" s="460" t="str">
        <f>IF(+All!$F33="Rutgers",+All!R33,IF(+All!$H33="Rutgers",+All!R33,0))</f>
        <v>Rutgers</v>
      </c>
      <c r="S175" s="462" t="str">
        <f>IF(+All!$F33="Rutgers",+All!S33,IF(+All!$H33="Rutgers",+All!S33,0))</f>
        <v>Boston College</v>
      </c>
      <c r="T175" s="460" t="str">
        <f>IF(+All!$F33="Rutgers",+All!T33,IF(+All!$H33="Rutgers",+All!T33,0))</f>
        <v>Rutgers</v>
      </c>
      <c r="U175" s="461" t="str">
        <f>IF(+All!$F33="Rutgers",+All!U33,IF(+All!$H33="Rutgers",+All!U33,0))</f>
        <v>W</v>
      </c>
    </row>
    <row r="176" spans="1:21" x14ac:dyDescent="0.8">
      <c r="A176" s="46">
        <f>IF(+All!$F125="Rutgers",+All!A125,IF(+All!$H125="Rutgers",+All!A125,0))</f>
        <v>2</v>
      </c>
      <c r="B176" s="348" t="str">
        <f>IF(+All!$F125="Rutgers",+All!B125,IF(+All!$H125="Rutgers",+All!B125,0))</f>
        <v>Sat</v>
      </c>
      <c r="C176" s="48">
        <f>IF(+All!$F125="Rutgers",+All!C125,IF(+All!$H125="Rutgers",+All!C125,0))</f>
        <v>44814</v>
      </c>
      <c r="D176" s="490">
        <f>IF(+All!$F125="Rutgers",+All!D125,IF(+All!$H125="Rutgers",+All!D125,0))</f>
        <v>0.66666666666666663</v>
      </c>
      <c r="E176" s="461" t="str">
        <f>IF(+All!$F125="Rutgers",+All!E125,IF(+All!$H125="Rutgers",+All!E125,0))</f>
        <v>BTN</v>
      </c>
      <c r="F176" s="51" t="str">
        <f>IF(+All!$F125="Rutgers",+All!F125,IF(+All!$H125="Rutgers",+All!F125,0))</f>
        <v>1AA Wagner</v>
      </c>
      <c r="G176" s="52" t="str">
        <f>IF(+All!$F125="Rutgers",+All!G125,IF(+All!$H125="Rutgers",+All!G125,0))</f>
        <v>1AA</v>
      </c>
      <c r="H176" s="51" t="str">
        <f>IF(+All!$F125="Rutgers",+All!H125,IF(+All!$H125="Rutgers",+All!H125,0))</f>
        <v>Rutgers</v>
      </c>
      <c r="I176" s="52" t="str">
        <f>IF(+All!$F125="Rutgers",+All!I125,IF(+All!$H125="Rutgers",+All!I125,0))</f>
        <v>B10</v>
      </c>
      <c r="J176" s="460">
        <f>IF(+All!$F125="Rutgers",+All!J125,IF(+All!$H125="Rutgers",+All!J125,0))</f>
        <v>0</v>
      </c>
      <c r="K176" s="461">
        <f>IF(+All!$F125="Rutgers",+All!K125,IF(+All!$H125="Rutgers",+All!K125,0))</f>
        <v>0</v>
      </c>
      <c r="L176" s="54">
        <f>IF(+All!$F125="Rutgers",+All!L125,IF(+All!$H125="Rutgers",+All!L125,0))</f>
        <v>0</v>
      </c>
      <c r="M176" s="55">
        <f>IF(+All!$F125="Rutgers",+All!M125,IF(+All!$H125="Rutgers",+All!M125,0))</f>
        <v>0</v>
      </c>
      <c r="N176" s="460" t="str">
        <f>IF(+All!$F125="Rutgers",+All!N125,IF(+All!$H125="Rutgers",+All!N125,0))</f>
        <v>Rutgers</v>
      </c>
      <c r="O176" s="462">
        <f>IF(+All!$F125="Rutgers",+All!O125,IF(+All!$H125="Rutgers",+All!O125,0))</f>
        <v>66</v>
      </c>
      <c r="P176" s="462" t="str">
        <f>IF(+All!$F125="Rutgers",+All!P125,IF(+All!$H125="Rutgers",+All!P125,0))</f>
        <v>1AA Wagner</v>
      </c>
      <c r="Q176" s="461">
        <f>IF(+All!$F125="Rutgers",+All!Q125,IF(+All!$H125="Rutgers",+All!Q125,0))</f>
        <v>7</v>
      </c>
      <c r="R176" s="460">
        <f>IF(+All!$F125="Rutgers",+All!R125,IF(+All!$H125="Rutgers",+All!R125,0))</f>
        <v>0</v>
      </c>
      <c r="S176" s="462">
        <f>IF(+All!$F125="Rutgers",+All!S125,IF(+All!$H125="Rutgers",+All!S125,0))</f>
        <v>0</v>
      </c>
      <c r="T176" s="460">
        <f>IF(+All!$F125="Rutgers",+All!T125,IF(+All!$H125="Rutgers",+All!T125,0))</f>
        <v>0</v>
      </c>
      <c r="U176" s="461">
        <f>IF(+All!$F125="Rutgers",+All!U125,IF(+All!$H125="Rutgers",+All!U125,0))</f>
        <v>0</v>
      </c>
    </row>
    <row r="177" spans="1:21" x14ac:dyDescent="0.8">
      <c r="A177" s="46">
        <f>IF(+All!$F186="Rutgers",+All!A186,IF(+All!$H186="Rutgers",+All!A186,0))</f>
        <v>3</v>
      </c>
      <c r="B177" s="348" t="str">
        <f>IF(+All!$F186="Rutgers",+All!B186,IF(+All!$H186="Rutgers",+All!B186,0))</f>
        <v>Sat</v>
      </c>
      <c r="C177" s="48">
        <f>IF(+All!$F186="Rutgers",+All!C186,IF(+All!$H186="Rutgers",+All!C186,0))</f>
        <v>44821</v>
      </c>
      <c r="D177" s="490">
        <f>IF(+All!$F186="Rutgers",+All!D186,IF(+All!$H186="Rutgers",+All!D186,0))</f>
        <v>0.58333333333333337</v>
      </c>
      <c r="E177" s="461">
        <f>IF(+All!$F186="Rutgers",+All!E186,IF(+All!$H186="Rutgers",+All!E186,0))</f>
        <v>0</v>
      </c>
      <c r="F177" s="51" t="str">
        <f>IF(+All!$F186="Rutgers",+All!F186,IF(+All!$H186="Rutgers",+All!F186,0))</f>
        <v>Rutgers</v>
      </c>
      <c r="G177" s="52" t="str">
        <f>IF(+All!$F186="Rutgers",+All!G186,IF(+All!$H186="Rutgers",+All!G186,0))</f>
        <v>B10</v>
      </c>
      <c r="H177" s="51" t="str">
        <f>IF(+All!$F186="Rutgers",+All!H186,IF(+All!$H186="Rutgers",+All!H186,0))</f>
        <v>Temple</v>
      </c>
      <c r="I177" s="52" t="str">
        <f>IF(+All!$F186="Rutgers",+All!I186,IF(+All!$H186="Rutgers",+All!I186,0))</f>
        <v>AAC</v>
      </c>
      <c r="J177" s="460" t="str">
        <f>IF(+All!$F186="Rutgers",+All!J186,IF(+All!$H186="Rutgers",+All!J186,0))</f>
        <v>Rutgers</v>
      </c>
      <c r="K177" s="461" t="str">
        <f>IF(+All!$F186="Rutgers",+All!K186,IF(+All!$H186="Rutgers",+All!K186,0))</f>
        <v>Temple</v>
      </c>
      <c r="L177" s="54">
        <f>IF(+All!$F186="Rutgers",+All!L186,IF(+All!$H186="Rutgers",+All!L186,0))</f>
        <v>17.5</v>
      </c>
      <c r="M177" s="55">
        <f>IF(+All!$F186="Rutgers",+All!M186,IF(+All!$H186="Rutgers",+All!M186,0))</f>
        <v>44</v>
      </c>
      <c r="N177" s="460" t="str">
        <f>IF(+All!$F186="Rutgers",+All!N186,IF(+All!$H186="Rutgers",+All!N186,0))</f>
        <v>Rutgers</v>
      </c>
      <c r="O177" s="462">
        <f>IF(+All!$F186="Rutgers",+All!O186,IF(+All!$H186="Rutgers",+All!O186,0))</f>
        <v>16</v>
      </c>
      <c r="P177" s="462" t="str">
        <f>IF(+All!$F186="Rutgers",+All!P186,IF(+All!$H186="Rutgers",+All!P186,0))</f>
        <v>Temple</v>
      </c>
      <c r="Q177" s="461">
        <f>IF(+All!$F186="Rutgers",+All!Q186,IF(+All!$H186="Rutgers",+All!Q186,0))</f>
        <v>14</v>
      </c>
      <c r="R177" s="460" t="str">
        <f>IF(+All!$F186="Rutgers",+All!R186,IF(+All!$H186="Rutgers",+All!R186,0))</f>
        <v>Temple</v>
      </c>
      <c r="S177" s="462" t="str">
        <f>IF(+All!$F186="Rutgers",+All!S186,IF(+All!$H186="Rutgers",+All!S186,0))</f>
        <v>Rutgers</v>
      </c>
      <c r="T177" s="460" t="str">
        <f>IF(+All!$F186="Rutgers",+All!T186,IF(+All!$H186="Rutgers",+All!T186,0))</f>
        <v>Rutgers</v>
      </c>
      <c r="U177" s="461" t="str">
        <f>IF(+All!$F186="Rutgers",+All!U186,IF(+All!$H186="Rutgers",+All!U186,0))</f>
        <v>L</v>
      </c>
    </row>
    <row r="178" spans="1:21" x14ac:dyDescent="0.8">
      <c r="A178" s="46">
        <f>IF(+All!$F279="Rutgers",+All!A279,IF(+All!$H279="Rutgers",+All!A279,0))</f>
        <v>4</v>
      </c>
      <c r="B178" s="348" t="str">
        <f>IF(+All!$F279="Rutgers",+All!B279,IF(+All!$H279="Rutgers",+All!B279,0))</f>
        <v>Sat</v>
      </c>
      <c r="C178" s="48">
        <f>IF(+All!$F279="Rutgers",+All!C279,IF(+All!$H279="Rutgers",+All!C279,0))</f>
        <v>44828</v>
      </c>
      <c r="D178" s="490">
        <f>IF(+All!$F279="Rutgers",+All!D279,IF(+All!$H279="Rutgers",+All!D279,0))</f>
        <v>0.79166666666666663</v>
      </c>
      <c r="E178" s="461" t="str">
        <f>IF(+All!$F279="Rutgers",+All!E279,IF(+All!$H279="Rutgers",+All!E279,0))</f>
        <v>FS1</v>
      </c>
      <c r="F178" s="51" t="str">
        <f>IF(+All!$F279="Rutgers",+All!F279,IF(+All!$H279="Rutgers",+All!F279,0))</f>
        <v>Iowa</v>
      </c>
      <c r="G178" s="52" t="str">
        <f>IF(+All!$F279="Rutgers",+All!G279,IF(+All!$H279="Rutgers",+All!G279,0))</f>
        <v>B10</v>
      </c>
      <c r="H178" s="51" t="str">
        <f>IF(+All!$F279="Rutgers",+All!H279,IF(+All!$H279="Rutgers",+All!H279,0))</f>
        <v>Rutgers</v>
      </c>
      <c r="I178" s="52" t="str">
        <f>IF(+All!$F279="Rutgers",+All!I279,IF(+All!$H279="Rutgers",+All!I279,0))</f>
        <v>B10</v>
      </c>
      <c r="J178" s="460" t="str">
        <f>IF(+All!$F279="Rutgers",+All!J279,IF(+All!$H279="Rutgers",+All!J279,0))</f>
        <v>Iowa</v>
      </c>
      <c r="K178" s="461" t="str">
        <f>IF(+All!$F279="Rutgers",+All!K279,IF(+All!$H279="Rutgers",+All!K279,0))</f>
        <v>Rutgers</v>
      </c>
      <c r="L178" s="54">
        <f>IF(+All!$F279="Rutgers",+All!L279,IF(+All!$H279="Rutgers",+All!L279,0))</f>
        <v>7.5</v>
      </c>
      <c r="M178" s="55">
        <f>IF(+All!$F279="Rutgers",+All!M279,IF(+All!$H279="Rutgers",+All!M279,0))</f>
        <v>34.5</v>
      </c>
      <c r="N178" s="460" t="str">
        <f>IF(+All!$F279="Rutgers",+All!N279,IF(+All!$H279="Rutgers",+All!N279,0))</f>
        <v>Iowa</v>
      </c>
      <c r="O178" s="462">
        <f>IF(+All!$F279="Rutgers",+All!O279,IF(+All!$H279="Rutgers",+All!O279,0))</f>
        <v>27</v>
      </c>
      <c r="P178" s="462" t="str">
        <f>IF(+All!$F279="Rutgers",+All!P279,IF(+All!$H279="Rutgers",+All!P279,0))</f>
        <v>Rutgers</v>
      </c>
      <c r="Q178" s="461">
        <f>IF(+All!$F279="Rutgers",+All!Q279,IF(+All!$H279="Rutgers",+All!Q279,0))</f>
        <v>10</v>
      </c>
      <c r="R178" s="460" t="str">
        <f>IF(+All!$F279="Rutgers",+All!R279,IF(+All!$H279="Rutgers",+All!R279,0))</f>
        <v>Iowa</v>
      </c>
      <c r="S178" s="462" t="str">
        <f>IF(+All!$F279="Rutgers",+All!S279,IF(+All!$H279="Rutgers",+All!S279,0))</f>
        <v>Rutgers</v>
      </c>
      <c r="T178" s="460" t="str">
        <f>IF(+All!$F279="Rutgers",+All!T279,IF(+All!$H279="Rutgers",+All!T279,0))</f>
        <v>Rutgers</v>
      </c>
      <c r="U178" s="461" t="str">
        <f>IF(+All!$F279="Rutgers",+All!U279,IF(+All!$H279="Rutgers",+All!U279,0))</f>
        <v>L</v>
      </c>
    </row>
    <row r="179" spans="1:21" x14ac:dyDescent="0.8">
      <c r="A179" s="46">
        <f>IF(+All!$F339="Rutgers",+All!A339,IF(+All!$H339="Rutgers",+All!A339,0))</f>
        <v>5</v>
      </c>
      <c r="B179" s="348" t="str">
        <f>IF(+All!$F339="Rutgers",+All!B339,IF(+All!$H339="Rutgers",+All!B339,0))</f>
        <v>Sat</v>
      </c>
      <c r="C179" s="48">
        <f>IF(+All!$F339="Rutgers",+All!C339,IF(+All!$H339="Rutgers",+All!C339,0))</f>
        <v>44835</v>
      </c>
      <c r="D179" s="490">
        <f>IF(+All!$F339="Rutgers",+All!D339,IF(+All!$H339="Rutgers",+All!D339,0))</f>
        <v>0.64583333333333337</v>
      </c>
      <c r="E179" s="461" t="str">
        <f>IF(+All!$F339="Rutgers",+All!E339,IF(+All!$H339="Rutgers",+All!E339,0))</f>
        <v>BTN</v>
      </c>
      <c r="F179" s="51" t="str">
        <f>IF(+All!$F339="Rutgers",+All!F339,IF(+All!$H339="Rutgers",+All!F339,0))</f>
        <v>Rutgers</v>
      </c>
      <c r="G179" s="52" t="str">
        <f>IF(+All!$F339="Rutgers",+All!G339,IF(+All!$H339="Rutgers",+All!G339,0))</f>
        <v>B10</v>
      </c>
      <c r="H179" s="51" t="str">
        <f>IF(+All!$F339="Rutgers",+All!H339,IF(+All!$H339="Rutgers",+All!H339,0))</f>
        <v>Ohio State</v>
      </c>
      <c r="I179" s="52" t="str">
        <f>IF(+All!$F339="Rutgers",+All!I339,IF(+All!$H339="Rutgers",+All!I339,0))</f>
        <v>B10</v>
      </c>
      <c r="J179" s="460" t="str">
        <f>IF(+All!$F339="Rutgers",+All!J339,IF(+All!$H339="Rutgers",+All!J339,0))</f>
        <v>Ohio State</v>
      </c>
      <c r="K179" s="461" t="str">
        <f>IF(+All!$F339="Rutgers",+All!K339,IF(+All!$H339="Rutgers",+All!K339,0))</f>
        <v>Rutgers</v>
      </c>
      <c r="L179" s="54">
        <f>IF(+All!$F339="Rutgers",+All!L339,IF(+All!$H339="Rutgers",+All!L339,0))</f>
        <v>40.5</v>
      </c>
      <c r="M179" s="55">
        <f>IF(+All!$F339="Rutgers",+All!M339,IF(+All!$H339="Rutgers",+All!M339,0))</f>
        <v>59</v>
      </c>
      <c r="N179" s="460" t="str">
        <f>IF(+All!$F339="Rutgers",+All!N339,IF(+All!$H339="Rutgers",+All!N339,0))</f>
        <v>Ohio State</v>
      </c>
      <c r="O179" s="462">
        <f>IF(+All!$F339="Rutgers",+All!O339,IF(+All!$H339="Rutgers",+All!O339,0))</f>
        <v>49</v>
      </c>
      <c r="P179" s="462" t="str">
        <f>IF(+All!$F339="Rutgers",+All!P339,IF(+All!$H339="Rutgers",+All!P339,0))</f>
        <v>Rutgers</v>
      </c>
      <c r="Q179" s="461">
        <f>IF(+All!$F339="Rutgers",+All!Q339,IF(+All!$H339="Rutgers",+All!Q339,0))</f>
        <v>10</v>
      </c>
      <c r="R179" s="460" t="str">
        <f>IF(+All!$F339="Rutgers",+All!R339,IF(+All!$H339="Rutgers",+All!R339,0))</f>
        <v>Rutgers</v>
      </c>
      <c r="S179" s="462" t="str">
        <f>IF(+All!$F339="Rutgers",+All!S339,IF(+All!$H339="Rutgers",+All!S339,0))</f>
        <v>Ohio State</v>
      </c>
      <c r="T179" s="460" t="str">
        <f>IF(+All!$F339="Rutgers",+All!T339,IF(+All!$H339="Rutgers",+All!T339,0))</f>
        <v>Rutgers</v>
      </c>
      <c r="U179" s="461" t="str">
        <f>IF(+All!$F339="Rutgers",+All!U339,IF(+All!$H339="Rutgers",+All!U339,0))</f>
        <v>W</v>
      </c>
    </row>
    <row r="180" spans="1:21" x14ac:dyDescent="0.8">
      <c r="A180" s="46">
        <f>IF(+All!$F383="Rutgers",+All!A383,IF(+All!$H383="Rutgers",+All!A383,0))</f>
        <v>6</v>
      </c>
      <c r="B180" s="348" t="str">
        <f>IF(+All!$F383="Rutgers",+All!B383,IF(+All!$H383="Rutgers",+All!B383,0))</f>
        <v>Fri</v>
      </c>
      <c r="C180" s="48">
        <f>IF(+All!$F383="Rutgers",+All!C383,IF(+All!$H383="Rutgers",+All!C383,0))</f>
        <v>44841</v>
      </c>
      <c r="D180" s="490">
        <f>IF(+All!$F383="Rutgers",+All!D383,IF(+All!$H383="Rutgers",+All!D383,0))</f>
        <v>0.79166666666666663</v>
      </c>
      <c r="E180" s="461" t="str">
        <f>IF(+All!$F383="Rutgers",+All!E383,IF(+All!$H383="Rutgers",+All!E383,0))</f>
        <v>FS1</v>
      </c>
      <c r="F180" s="51" t="str">
        <f>IF(+All!$F383="Rutgers",+All!F383,IF(+All!$H383="Rutgers",+All!F383,0))</f>
        <v>Nebraska</v>
      </c>
      <c r="G180" s="52" t="str">
        <f>IF(+All!$F383="Rutgers",+All!G383,IF(+All!$H383="Rutgers",+All!G383,0))</f>
        <v>B10</v>
      </c>
      <c r="H180" s="51" t="str">
        <f>IF(+All!$F383="Rutgers",+All!H383,IF(+All!$H383="Rutgers",+All!H383,0))</f>
        <v>Rutgers</v>
      </c>
      <c r="I180" s="52" t="str">
        <f>IF(+All!$F383="Rutgers",+All!I383,IF(+All!$H383="Rutgers",+All!I383,0))</f>
        <v>B10</v>
      </c>
      <c r="J180" s="460" t="str">
        <f>IF(+All!$F383="Rutgers",+All!J383,IF(+All!$H383="Rutgers",+All!J383,0))</f>
        <v>Nebraska</v>
      </c>
      <c r="K180" s="461" t="str">
        <f>IF(+All!$F383="Rutgers",+All!K383,IF(+All!$H383="Rutgers",+All!K383,0))</f>
        <v>Rutgers</v>
      </c>
      <c r="L180" s="54">
        <f>IF(+All!$F383="Rutgers",+All!L383,IF(+All!$H383="Rutgers",+All!L383,0))</f>
        <v>3</v>
      </c>
      <c r="M180" s="55">
        <f>IF(+All!$F383="Rutgers",+All!M383,IF(+All!$H383="Rutgers",+All!M383,0))</f>
        <v>48.5</v>
      </c>
      <c r="N180" s="460" t="str">
        <f>IF(+All!$F383="Rutgers",+All!N383,IF(+All!$H383="Rutgers",+All!N383,0))</f>
        <v>Nebraska</v>
      </c>
      <c r="O180" s="462">
        <f>IF(+All!$F383="Rutgers",+All!O383,IF(+All!$H383="Rutgers",+All!O383,0))</f>
        <v>14</v>
      </c>
      <c r="P180" s="462" t="str">
        <f>IF(+All!$F383="Rutgers",+All!P383,IF(+All!$H383="Rutgers",+All!P383,0))</f>
        <v>Rutgers</v>
      </c>
      <c r="Q180" s="461">
        <f>IF(+All!$F383="Rutgers",+All!Q383,IF(+All!$H383="Rutgers",+All!Q383,0))</f>
        <v>13</v>
      </c>
      <c r="R180" s="460" t="str">
        <f>IF(+All!$F383="Rutgers",+All!R383,IF(+All!$H383="Rutgers",+All!R383,0))</f>
        <v>Rutgers</v>
      </c>
      <c r="S180" s="462" t="str">
        <f>IF(+All!$F383="Rutgers",+All!S383,IF(+All!$H383="Rutgers",+All!S383,0))</f>
        <v>Nebraska</v>
      </c>
      <c r="T180" s="460" t="str">
        <f>IF(+All!$F383="Rutgers",+All!T383,IF(+All!$H383="Rutgers",+All!T383,0))</f>
        <v>Rutgers</v>
      </c>
      <c r="U180" s="461" t="str">
        <f>IF(+All!$F383="Rutgers",+All!U383,IF(+All!$H383="Rutgers",+All!U383,0))</f>
        <v>W</v>
      </c>
    </row>
    <row r="181" spans="1:21" x14ac:dyDescent="0.8">
      <c r="A181" s="46" t="e">
        <f>IF(+All!#REF!="Rutgers",+All!#REF!,IF(+All!#REF!="Rutgers",+All!#REF!,0))</f>
        <v>#REF!</v>
      </c>
      <c r="B181" s="348" t="e">
        <f>IF(+All!#REF!="Rutgers",+All!#REF!,IF(+All!#REF!="Rutgers",+All!#REF!,0))</f>
        <v>#REF!</v>
      </c>
      <c r="C181" s="48" t="e">
        <f>IF(+All!#REF!="Rutgers",+All!#REF!,IF(+All!#REF!="Rutgers",+All!#REF!,0))</f>
        <v>#REF!</v>
      </c>
      <c r="D181" s="490" t="e">
        <f>IF(+All!#REF!="Rutgers",+All!#REF!,IF(+All!#REF!="Rutgers",+All!#REF!,0))</f>
        <v>#REF!</v>
      </c>
      <c r="E181" s="461" t="e">
        <f>IF(+All!#REF!="Rutgers",+All!#REF!,IF(+All!#REF!="Rutgers",+All!#REF!,0))</f>
        <v>#REF!</v>
      </c>
      <c r="F181" s="51" t="e">
        <f>IF(+All!#REF!="Rutgers",+All!#REF!,IF(+All!#REF!="Rutgers",+All!#REF!,0))</f>
        <v>#REF!</v>
      </c>
      <c r="G181" s="52" t="e">
        <f>IF(+All!#REF!="Rutgers",+All!#REF!,IF(+All!#REF!="Rutgers",+All!#REF!,0))</f>
        <v>#REF!</v>
      </c>
      <c r="H181" s="51" t="e">
        <f>IF(+All!#REF!="Rutgers",+All!#REF!,IF(+All!#REF!="Rutgers",+All!#REF!,0))</f>
        <v>#REF!</v>
      </c>
      <c r="I181" s="52" t="e">
        <f>IF(+All!#REF!="Rutgers",+All!#REF!,IF(+All!#REF!="Rutgers",+All!#REF!,0))</f>
        <v>#REF!</v>
      </c>
      <c r="J181" s="460" t="e">
        <f>IF(+All!#REF!="Rutgers",+All!#REF!,IF(+All!#REF!="Rutgers",+All!#REF!,0))</f>
        <v>#REF!</v>
      </c>
      <c r="K181" s="461" t="e">
        <f>IF(+All!#REF!="Rutgers",+All!#REF!,IF(+All!#REF!="Rutgers",+All!#REF!,0))</f>
        <v>#REF!</v>
      </c>
      <c r="L181" s="54" t="e">
        <f>IF(+All!#REF!="Rutgers",+All!#REF!,IF(+All!#REF!="Rutgers",+All!#REF!,0))</f>
        <v>#REF!</v>
      </c>
      <c r="M181" s="55" t="e">
        <f>IF(+All!#REF!="Rutgers",+All!#REF!,IF(+All!#REF!="Rutgers",+All!#REF!,0))</f>
        <v>#REF!</v>
      </c>
      <c r="N181" s="460" t="e">
        <f>IF(+All!#REF!="Rutgers",+All!#REF!,IF(+All!#REF!="Rutgers",+All!#REF!,0))</f>
        <v>#REF!</v>
      </c>
      <c r="O181" s="462" t="e">
        <f>IF(+All!#REF!="Rutgers",+All!#REF!,IF(+All!#REF!="Rutgers",+All!#REF!,0))</f>
        <v>#REF!</v>
      </c>
      <c r="P181" s="462" t="e">
        <f>IF(+All!#REF!="Rutgers",+All!#REF!,IF(+All!#REF!="Rutgers",+All!#REF!,0))</f>
        <v>#REF!</v>
      </c>
      <c r="Q181" s="461" t="e">
        <f>IF(+All!#REF!="Rutgers",+All!#REF!,IF(+All!#REF!="Rutgers",+All!#REF!,0))</f>
        <v>#REF!</v>
      </c>
      <c r="R181" s="460" t="e">
        <f>IF(+All!#REF!="Rutgers",+All!#REF!,IF(+All!#REF!="Rutgers",+All!#REF!,0))</f>
        <v>#REF!</v>
      </c>
      <c r="S181" s="462" t="e">
        <f>IF(+All!#REF!="Rutgers",+All!#REF!,IF(+All!#REF!="Rutgers",+All!#REF!,0))</f>
        <v>#REF!</v>
      </c>
      <c r="T181" s="460" t="e">
        <f>IF(+All!#REF!="Rutgers",+All!#REF!,IF(+All!#REF!="Rutgers",+All!#REF!,0))</f>
        <v>#REF!</v>
      </c>
      <c r="U181" s="461" t="e">
        <f>IF(+All!#REF!="Rutgers",+All!#REF!,IF(+All!#REF!="Rutgers",+All!#REF!,0))</f>
        <v>#REF!</v>
      </c>
    </row>
    <row r="182" spans="1:21" x14ac:dyDescent="0.8">
      <c r="A182" s="46">
        <f>IF(+All!$F507="Rutgers",+All!A507,IF(+All!$H507="Rutgers",+All!A507,0))</f>
        <v>8</v>
      </c>
      <c r="B182" s="348" t="str">
        <f>IF(+All!$F507="Rutgers",+All!B507,IF(+All!$H507="Rutgers",+All!B507,0))</f>
        <v>Sat</v>
      </c>
      <c r="C182" s="48">
        <f>IF(+All!$F507="Rutgers",+All!C507,IF(+All!$H507="Rutgers",+All!C507,0))</f>
        <v>44856</v>
      </c>
      <c r="D182" s="490">
        <f>IF(+All!$F507="Rutgers",+All!D507,IF(+All!$H507="Rutgers",+All!D507,0))</f>
        <v>0.5</v>
      </c>
      <c r="E182" s="461" t="str">
        <f>IF(+All!$F507="Rutgers",+All!E507,IF(+All!$H507="Rutgers",+All!E507,0))</f>
        <v>BTN</v>
      </c>
      <c r="F182" s="51" t="str">
        <f>IF(+All!$F507="Rutgers",+All!F507,IF(+All!$H507="Rutgers",+All!F507,0))</f>
        <v>Indiana</v>
      </c>
      <c r="G182" s="52" t="str">
        <f>IF(+All!$F507="Rutgers",+All!G507,IF(+All!$H507="Rutgers",+All!G507,0))</f>
        <v>B10</v>
      </c>
      <c r="H182" s="51" t="str">
        <f>IF(+All!$F507="Rutgers",+All!H507,IF(+All!$H507="Rutgers",+All!H507,0))</f>
        <v>Rutgers</v>
      </c>
      <c r="I182" s="52" t="str">
        <f>IF(+All!$F507="Rutgers",+All!I507,IF(+All!$H507="Rutgers",+All!I507,0))</f>
        <v>B10</v>
      </c>
      <c r="J182" s="460" t="str">
        <f>IF(+All!$F507="Rutgers",+All!J507,IF(+All!$H507="Rutgers",+All!J507,0))</f>
        <v>Rutgers</v>
      </c>
      <c r="K182" s="461" t="str">
        <f>IF(+All!$F507="Rutgers",+All!K507,IF(+All!$H507="Rutgers",+All!K507,0))</f>
        <v>Indiana</v>
      </c>
      <c r="L182" s="54">
        <f>IF(+All!$F507="Rutgers",+All!L507,IF(+All!$H507="Rutgers",+All!L507,0))</f>
        <v>3</v>
      </c>
      <c r="M182" s="55">
        <f>IF(+All!$F507="Rutgers",+All!M507,IF(+All!$H507="Rutgers",+All!M507,0))</f>
        <v>47</v>
      </c>
      <c r="N182" s="460" t="str">
        <f>IF(+All!$F507="Rutgers",+All!N507,IF(+All!$H507="Rutgers",+All!N507,0))</f>
        <v>Rutgers</v>
      </c>
      <c r="O182" s="462">
        <f>IF(+All!$F507="Rutgers",+All!O507,IF(+All!$H507="Rutgers",+All!O507,0))</f>
        <v>24</v>
      </c>
      <c r="P182" s="462" t="str">
        <f>IF(+All!$F507="Rutgers",+All!P507,IF(+All!$H507="Rutgers",+All!P507,0))</f>
        <v>Indiana</v>
      </c>
      <c r="Q182" s="461">
        <f>IF(+All!$F507="Rutgers",+All!Q507,IF(+All!$H507="Rutgers",+All!Q507,0))</f>
        <v>17</v>
      </c>
      <c r="R182" s="460" t="str">
        <f>IF(+All!$F507="Rutgers",+All!R507,IF(+All!$H507="Rutgers",+All!R507,0))</f>
        <v>Rutgers</v>
      </c>
      <c r="S182" s="462" t="str">
        <f>IF(+All!$F507="Rutgers",+All!S507,IF(+All!$H507="Rutgers",+All!S507,0))</f>
        <v>Indiana</v>
      </c>
      <c r="T182" s="460" t="str">
        <f>IF(+All!$F507="Rutgers",+All!T507,IF(+All!$H507="Rutgers",+All!T507,0))</f>
        <v>Rutgers</v>
      </c>
      <c r="U182" s="461" t="str">
        <f>IF(+All!$F507="Rutgers",+All!U507,IF(+All!$H507="Rutgers",+All!U507,0))</f>
        <v>W</v>
      </c>
    </row>
    <row r="183" spans="1:21" x14ac:dyDescent="0.8">
      <c r="A183" s="46">
        <f>IF(+All!$F561="Rutgers",+All!A561,IF(+All!$H561="Rutgers",+All!A561,0))</f>
        <v>9</v>
      </c>
      <c r="B183" s="348" t="str">
        <f>IF(+All!$F561="Rutgers",+All!B561,IF(+All!$H561="Rutgers",+All!B561,0))</f>
        <v>Sat</v>
      </c>
      <c r="C183" s="48">
        <f>IF(+All!$F561="Rutgers",+All!C561,IF(+All!$H561="Rutgers",+All!C561,0))</f>
        <v>44863</v>
      </c>
      <c r="D183" s="490">
        <f>IF(+All!$F561="Rutgers",+All!D561,IF(+All!$H561="Rutgers",+All!D561,0))</f>
        <v>0.64583333333333337</v>
      </c>
      <c r="E183" s="461">
        <f>IF(+All!$F561="Rutgers",+All!E561,IF(+All!$H561="Rutgers",+All!E561,0))</f>
        <v>0</v>
      </c>
      <c r="F183" s="51" t="str">
        <f>IF(+All!$F561="Rutgers",+All!F561,IF(+All!$H561="Rutgers",+All!F561,0))</f>
        <v>Rutgers</v>
      </c>
      <c r="G183" s="52" t="str">
        <f>IF(+All!$F561="Rutgers",+All!G561,IF(+All!$H561="Rutgers",+All!G561,0))</f>
        <v>B10</v>
      </c>
      <c r="H183" s="51" t="str">
        <f>IF(+All!$F561="Rutgers",+All!H561,IF(+All!$H561="Rutgers",+All!H561,0))</f>
        <v>Minnesota</v>
      </c>
      <c r="I183" s="52" t="str">
        <f>IF(+All!$F561="Rutgers",+All!I561,IF(+All!$H561="Rutgers",+All!I561,0))</f>
        <v>B10</v>
      </c>
      <c r="J183" s="460" t="str">
        <f>IF(+All!$F561="Rutgers",+All!J561,IF(+All!$H561="Rutgers",+All!J561,0))</f>
        <v>Minnesota</v>
      </c>
      <c r="K183" s="461" t="str">
        <f>IF(+All!$F561="Rutgers",+All!K561,IF(+All!$H561="Rutgers",+All!K561,0))</f>
        <v>Rutgers</v>
      </c>
      <c r="L183" s="54">
        <f>IF(+All!$F561="Rutgers",+All!L561,IF(+All!$H561="Rutgers",+All!L561,0))</f>
        <v>14</v>
      </c>
      <c r="M183" s="55">
        <f>IF(+All!$F561="Rutgers",+All!M561,IF(+All!$H561="Rutgers",+All!M561,0))</f>
        <v>41</v>
      </c>
      <c r="N183" s="460" t="str">
        <f>IF(+All!$F561="Rutgers",+All!N561,IF(+All!$H561="Rutgers",+All!N561,0))</f>
        <v>Minnesota</v>
      </c>
      <c r="O183" s="462">
        <f>IF(+All!$F561="Rutgers",+All!O561,IF(+All!$H561="Rutgers",+All!O561,0))</f>
        <v>31</v>
      </c>
      <c r="P183" s="462" t="str">
        <f>IF(+All!$F561="Rutgers",+All!P561,IF(+All!$H561="Rutgers",+All!P561,0))</f>
        <v>Rutgers</v>
      </c>
      <c r="Q183" s="461">
        <f>IF(+All!$F561="Rutgers",+All!Q561,IF(+All!$H561="Rutgers",+All!Q561,0))</f>
        <v>0</v>
      </c>
      <c r="R183" s="460" t="str">
        <f>IF(+All!$F561="Rutgers",+All!R561,IF(+All!$H561="Rutgers",+All!R561,0))</f>
        <v>Minnesota</v>
      </c>
      <c r="S183" s="462" t="str">
        <f>IF(+All!$F561="Rutgers",+All!S561,IF(+All!$H561="Rutgers",+All!S561,0))</f>
        <v>Rutgers</v>
      </c>
      <c r="T183" s="460" t="str">
        <f>IF(+All!$F561="Rutgers",+All!T561,IF(+All!$H561="Rutgers",+All!T561,0))</f>
        <v>Rutgers</v>
      </c>
      <c r="U183" s="461" t="str">
        <f>IF(+All!$F561="Rutgers",+All!U561,IF(+All!$H561="Rutgers",+All!U561,0))</f>
        <v>L</v>
      </c>
    </row>
    <row r="184" spans="1:21" x14ac:dyDescent="0.8">
      <c r="A184" s="46">
        <f>IF(+All!$F618="Rutgers",+All!A618,IF(+All!$H618="Rutgers",+All!A618,0))</f>
        <v>10</v>
      </c>
      <c r="B184" s="348" t="str">
        <f>IF(+All!$F618="Rutgers",+All!B618,IF(+All!$H618="Rutgers",+All!B618,0))</f>
        <v>Sat</v>
      </c>
      <c r="C184" s="48">
        <f>IF(+All!$F618="Rutgers",+All!C618,IF(+All!$H618="Rutgers",+All!C618,0))</f>
        <v>44870</v>
      </c>
      <c r="D184" s="490">
        <f>IF(+All!$F618="Rutgers",+All!D618,IF(+All!$H618="Rutgers",+All!D618,0))</f>
        <v>0.8125</v>
      </c>
      <c r="E184" s="461" t="str">
        <f>IF(+All!$F618="Rutgers",+All!E618,IF(+All!$H618="Rutgers",+All!E618,0))</f>
        <v>BTN</v>
      </c>
      <c r="F184" s="51" t="str">
        <f>IF(+All!$F618="Rutgers",+All!F618,IF(+All!$H618="Rutgers",+All!F618,0))</f>
        <v>Michigan</v>
      </c>
      <c r="G184" s="52" t="str">
        <f>IF(+All!$F618="Rutgers",+All!G618,IF(+All!$H618="Rutgers",+All!G618,0))</f>
        <v>B10</v>
      </c>
      <c r="H184" s="51" t="str">
        <f>IF(+All!$F618="Rutgers",+All!H618,IF(+All!$H618="Rutgers",+All!H618,0))</f>
        <v>Rutgers</v>
      </c>
      <c r="I184" s="52" t="str">
        <f>IF(+All!$F618="Rutgers",+All!I618,IF(+All!$H618="Rutgers",+All!I618,0))</f>
        <v>B10</v>
      </c>
      <c r="J184" s="460" t="str">
        <f>IF(+All!$F618="Rutgers",+All!J618,IF(+All!$H618="Rutgers",+All!J618,0))</f>
        <v>Michigan</v>
      </c>
      <c r="K184" s="461" t="str">
        <f>IF(+All!$F618="Rutgers",+All!K618,IF(+All!$H618="Rutgers",+All!K618,0))</f>
        <v>Rutgers</v>
      </c>
      <c r="L184" s="54">
        <f>IF(+All!$F618="Rutgers",+All!L618,IF(+All!$H618="Rutgers",+All!L618,0))</f>
        <v>26</v>
      </c>
      <c r="M184" s="55">
        <f>IF(+All!$F618="Rutgers",+All!M618,IF(+All!$H618="Rutgers",+All!M618,0))</f>
        <v>45.5</v>
      </c>
      <c r="N184" s="460" t="str">
        <f>IF(+All!$F618="Rutgers",+All!N618,IF(+All!$H618="Rutgers",+All!N618,0))</f>
        <v>Michigan</v>
      </c>
      <c r="O184" s="462">
        <f>IF(+All!$F618="Rutgers",+All!O618,IF(+All!$H618="Rutgers",+All!O618,0))</f>
        <v>52</v>
      </c>
      <c r="P184" s="462" t="str">
        <f>IF(+All!$F618="Rutgers",+All!P618,IF(+All!$H618="Rutgers",+All!P618,0))</f>
        <v>Rutgers</v>
      </c>
      <c r="Q184" s="461">
        <f>IF(+All!$F618="Rutgers",+All!Q618,IF(+All!$H618="Rutgers",+All!Q618,0))</f>
        <v>17</v>
      </c>
      <c r="R184" s="460" t="str">
        <f>IF(+All!$F618="Rutgers",+All!R618,IF(+All!$H618="Rutgers",+All!R618,0))</f>
        <v>Michigan</v>
      </c>
      <c r="S184" s="462" t="str">
        <f>IF(+All!$F618="Rutgers",+All!S618,IF(+All!$H618="Rutgers",+All!S618,0))</f>
        <v>Rutgers</v>
      </c>
      <c r="T184" s="460" t="str">
        <f>IF(+All!$F618="Rutgers",+All!T618,IF(+All!$H618="Rutgers",+All!T618,0))</f>
        <v>Rutgers</v>
      </c>
      <c r="U184" s="461" t="str">
        <f>IF(+All!$F618="Rutgers",+All!U618,IF(+All!$H618="Rutgers",+All!U618,0))</f>
        <v>L</v>
      </c>
    </row>
    <row r="185" spans="1:21" x14ac:dyDescent="0.8">
      <c r="A185" s="46">
        <f>IF(+All!$F678="Rutgers",+All!A678,IF(+All!$H678="Rutgers",+All!A678,0))</f>
        <v>11</v>
      </c>
      <c r="B185" s="348" t="str">
        <f>IF(+All!$F678="Rutgers",+All!B678,IF(+All!$H678="Rutgers",+All!B678,0))</f>
        <v>Sat</v>
      </c>
      <c r="C185" s="48">
        <f>IF(+All!$F678="Rutgers",+All!C678,IF(+All!$H678="Rutgers",+All!C678,0))</f>
        <v>44877</v>
      </c>
      <c r="D185" s="490">
        <f>IF(+All!$F678="Rutgers",+All!D678,IF(+All!$H678="Rutgers",+All!D678,0))</f>
        <v>0.5</v>
      </c>
      <c r="E185" s="461" t="str">
        <f>IF(+All!$F678="Rutgers",+All!E678,IF(+All!$H678="Rutgers",+All!E678,0))</f>
        <v>BTN</v>
      </c>
      <c r="F185" s="51" t="str">
        <f>IF(+All!$F678="Rutgers",+All!F678,IF(+All!$H678="Rutgers",+All!F678,0))</f>
        <v>Rutgers</v>
      </c>
      <c r="G185" s="52" t="str">
        <f>IF(+All!$F678="Rutgers",+All!G678,IF(+All!$H678="Rutgers",+All!G678,0))</f>
        <v>B10</v>
      </c>
      <c r="H185" s="51" t="str">
        <f>IF(+All!$F678="Rutgers",+All!H678,IF(+All!$H678="Rutgers",+All!H678,0))</f>
        <v>Michigan State</v>
      </c>
      <c r="I185" s="52" t="str">
        <f>IF(+All!$F678="Rutgers",+All!I678,IF(+All!$H678="Rutgers",+All!I678,0))</f>
        <v>B10</v>
      </c>
      <c r="J185" s="460" t="str">
        <f>IF(+All!$F678="Rutgers",+All!J678,IF(+All!$H678="Rutgers",+All!J678,0))</f>
        <v>Michigan State</v>
      </c>
      <c r="K185" s="461" t="str">
        <f>IF(+All!$F678="Rutgers",+All!K678,IF(+All!$H678="Rutgers",+All!K678,0))</f>
        <v>Rutgers</v>
      </c>
      <c r="L185" s="54">
        <f>IF(+All!$F678="Rutgers",+All!L678,IF(+All!$H678="Rutgers",+All!L678,0))</f>
        <v>10</v>
      </c>
      <c r="M185" s="55">
        <f>IF(+All!$F678="Rutgers",+All!M678,IF(+All!$H678="Rutgers",+All!M678,0))</f>
        <v>41</v>
      </c>
      <c r="N185" s="460" t="str">
        <f>IF(+All!$F678="Rutgers",+All!N678,IF(+All!$H678="Rutgers",+All!N678,0))</f>
        <v>Michigan State</v>
      </c>
      <c r="O185" s="462">
        <f>IF(+All!$F678="Rutgers",+All!O678,IF(+All!$H678="Rutgers",+All!O678,0))</f>
        <v>27</v>
      </c>
      <c r="P185" s="462" t="str">
        <f>IF(+All!$F678="Rutgers",+All!P678,IF(+All!$H678="Rutgers",+All!P678,0))</f>
        <v>Rutgers</v>
      </c>
      <c r="Q185" s="461">
        <f>IF(+All!$F678="Rutgers",+All!Q678,IF(+All!$H678="Rutgers",+All!Q678,0))</f>
        <v>21</v>
      </c>
      <c r="R185" s="460" t="str">
        <f>IF(+All!$F678="Rutgers",+All!R678,IF(+All!$H678="Rutgers",+All!R678,0))</f>
        <v>Rutgers</v>
      </c>
      <c r="S185" s="462" t="str">
        <f>IF(+All!$F678="Rutgers",+All!S678,IF(+All!$H678="Rutgers",+All!S678,0))</f>
        <v>Michigan State</v>
      </c>
      <c r="T185" s="460" t="str">
        <f>IF(+All!$F678="Rutgers",+All!T678,IF(+All!$H678="Rutgers",+All!T678,0))</f>
        <v>Michigan State</v>
      </c>
      <c r="U185" s="461" t="str">
        <f>IF(+All!$F678="Rutgers",+All!U678,IF(+All!$H678="Rutgers",+All!U678,0))</f>
        <v>L</v>
      </c>
    </row>
    <row r="186" spans="1:21" s="21" customFormat="1" ht="15.9" customHeight="1" x14ac:dyDescent="0.8">
      <c r="A186" s="46">
        <f>IF(+All!$F743="Rutgers",+All!A743,IF(+All!$H743="Rutgers",+All!A743,0))</f>
        <v>12</v>
      </c>
      <c r="B186" s="348" t="str">
        <f>IF(+All!$F743="Rutgers",+All!B743,IF(+All!$H743="Rutgers",+All!B743,0))</f>
        <v>Sat</v>
      </c>
      <c r="C186" s="48">
        <f>IF(+All!$F743="Rutgers",+All!C743,IF(+All!$H743="Rutgers",+All!C743,0))</f>
        <v>44884</v>
      </c>
      <c r="D186" s="490">
        <f>IF(+All!$F743="Rutgers",+All!D743,IF(+All!$H743="Rutgers",+All!D743,0))</f>
        <v>0.64583333333333337</v>
      </c>
      <c r="E186" s="461" t="str">
        <f>IF(+All!$F743="Rutgers",+All!E743,IF(+All!$H743="Rutgers",+All!E743,0))</f>
        <v>BTN</v>
      </c>
      <c r="F186" s="51" t="str">
        <f>IF(+All!$F743="Rutgers",+All!F743,IF(+All!$H743="Rutgers",+All!F743,0))</f>
        <v>Penn State</v>
      </c>
      <c r="G186" s="52" t="str">
        <f>IF(+All!$F743="Rutgers",+All!G743,IF(+All!$H743="Rutgers",+All!G743,0))</f>
        <v>B10</v>
      </c>
      <c r="H186" s="51" t="str">
        <f>IF(+All!$F743="Rutgers",+All!H743,IF(+All!$H743="Rutgers",+All!H743,0))</f>
        <v>Rutgers</v>
      </c>
      <c r="I186" s="52" t="str">
        <f>IF(+All!$F743="Rutgers",+All!I743,IF(+All!$H743="Rutgers",+All!I743,0))</f>
        <v>B10</v>
      </c>
      <c r="J186" s="460" t="str">
        <f>IF(+All!$F743="Rutgers",+All!J743,IF(+All!$H743="Rutgers",+All!J743,0))</f>
        <v>Penn State</v>
      </c>
      <c r="K186" s="461" t="str">
        <f>IF(+All!$F743="Rutgers",+All!K743,IF(+All!$H743="Rutgers",+All!K743,0))</f>
        <v>Rutgers</v>
      </c>
      <c r="L186" s="54">
        <f>IF(+All!$F743="Rutgers",+All!L743,IF(+All!$H743="Rutgers",+All!L743,0))</f>
        <v>19</v>
      </c>
      <c r="M186" s="55">
        <f>IF(+All!$F743="Rutgers",+All!M743,IF(+All!$H743="Rutgers",+All!M743,0))</f>
        <v>45</v>
      </c>
      <c r="N186" s="460" t="str">
        <f>IF(+All!$F743="Rutgers",+All!N743,IF(+All!$H743="Rutgers",+All!N743,0))</f>
        <v>Penn State</v>
      </c>
      <c r="O186" s="462">
        <f>IF(+All!$F743="Rutgers",+All!O743,IF(+All!$H743="Rutgers",+All!O743,0))</f>
        <v>55</v>
      </c>
      <c r="P186" s="462" t="str">
        <f>IF(+All!$F743="Rutgers",+All!P743,IF(+All!$H743="Rutgers",+All!P743,0))</f>
        <v>Rutgers</v>
      </c>
      <c r="Q186" s="461">
        <f>IF(+All!$F743="Rutgers",+All!Q743,IF(+All!$H743="Rutgers",+All!Q743,0))</f>
        <v>10</v>
      </c>
      <c r="R186" s="460" t="str">
        <f>IF(+All!$F743="Rutgers",+All!R743,IF(+All!$H743="Rutgers",+All!R743,0))</f>
        <v>Penn State</v>
      </c>
      <c r="S186" s="462" t="str">
        <f>IF(+All!$F743="Rutgers",+All!S743,IF(+All!$H743="Rutgers",+All!S743,0))</f>
        <v>Rutgers</v>
      </c>
      <c r="T186" s="460" t="str">
        <f>IF(+All!$F743="Rutgers",+All!T743,IF(+All!$H743="Rutgers",+All!T743,0))</f>
        <v>Penn State</v>
      </c>
      <c r="U186" s="461" t="str">
        <f>IF(+All!$F743="Rutgers",+All!U743,IF(+All!$H743="Rutgers",+All!U743,0))</f>
        <v>W</v>
      </c>
    </row>
    <row r="187" spans="1:21" x14ac:dyDescent="0.8">
      <c r="A187" s="46">
        <f>IF(+All!$F809="Rutgers",+All!A809,IF(+All!$H809="Rutgers",+All!A809,0))</f>
        <v>13</v>
      </c>
      <c r="B187" s="348" t="str">
        <f>IF(+All!$F809="Rutgers",+All!B809,IF(+All!$H809="Rutgers",+All!B809,0))</f>
        <v>Sat</v>
      </c>
      <c r="C187" s="48">
        <f>IF(+All!$F809="Rutgers",+All!C809,IF(+All!$H809="Rutgers",+All!C809,0))</f>
        <v>44891</v>
      </c>
      <c r="D187" s="490">
        <f>IF(+All!$F809="Rutgers",+All!D809,IF(+All!$H809="Rutgers",+All!D809,0))</f>
        <v>0.5</v>
      </c>
      <c r="E187" s="461" t="str">
        <f>IF(+All!$F809="Rutgers",+All!E809,IF(+All!$H809="Rutgers",+All!E809,0))</f>
        <v>BTN</v>
      </c>
      <c r="F187" s="51" t="str">
        <f>IF(+All!$F809="Rutgers",+All!F809,IF(+All!$H809="Rutgers",+All!F809,0))</f>
        <v>Rutgers</v>
      </c>
      <c r="G187" s="52" t="str">
        <f>IF(+All!$F809="Rutgers",+All!G809,IF(+All!$H809="Rutgers",+All!G809,0))</f>
        <v>B10</v>
      </c>
      <c r="H187" s="51" t="str">
        <f>IF(+All!$F809="Rutgers",+All!H809,IF(+All!$H809="Rutgers",+All!H809,0))</f>
        <v>Maryland</v>
      </c>
      <c r="I187" s="52" t="str">
        <f>IF(+All!$F809="Rutgers",+All!I809,IF(+All!$H809="Rutgers",+All!I809,0))</f>
        <v>B10</v>
      </c>
      <c r="J187" s="460" t="str">
        <f>IF(+All!$F809="Rutgers",+All!J809,IF(+All!$H809="Rutgers",+All!J809,0))</f>
        <v>Maryland</v>
      </c>
      <c r="K187" s="461" t="str">
        <f>IF(+All!$F809="Rutgers",+All!K809,IF(+All!$H809="Rutgers",+All!K809,0))</f>
        <v>Rutgers</v>
      </c>
      <c r="L187" s="54">
        <f>IF(+All!$F809="Rutgers",+All!L809,IF(+All!$H809="Rutgers",+All!L809,0))</f>
        <v>14</v>
      </c>
      <c r="M187" s="55">
        <f>IF(+All!$F809="Rutgers",+All!M809,IF(+All!$H809="Rutgers",+All!M809,0))</f>
        <v>49.5</v>
      </c>
      <c r="N187" s="460" t="str">
        <f>IF(+All!$F809="Rutgers",+All!N809,IF(+All!$H809="Rutgers",+All!N809,0))</f>
        <v>Maryland</v>
      </c>
      <c r="O187" s="462">
        <f>IF(+All!$F809="Rutgers",+All!O809,IF(+All!$H809="Rutgers",+All!O809,0))</f>
        <v>37</v>
      </c>
      <c r="P187" s="462" t="str">
        <f>IF(+All!$F809="Rutgers",+All!P809,IF(+All!$H809="Rutgers",+All!P809,0))</f>
        <v>Rutgers</v>
      </c>
      <c r="Q187" s="461">
        <f>IF(+All!$F809="Rutgers",+All!Q809,IF(+All!$H809="Rutgers",+All!Q809,0))</f>
        <v>0</v>
      </c>
      <c r="R187" s="460" t="str">
        <f>IF(+All!$F809="Rutgers",+All!R809,IF(+All!$H809="Rutgers",+All!R809,0))</f>
        <v>Maryland</v>
      </c>
      <c r="S187" s="462" t="str">
        <f>IF(+All!$F809="Rutgers",+All!S809,IF(+All!$H809="Rutgers",+All!S809,0))</f>
        <v>Rutgers</v>
      </c>
      <c r="T187" s="460" t="str">
        <f>IF(+All!$F809="Rutgers",+All!T809,IF(+All!$H809="Rutgers",+All!T809,0))</f>
        <v>Rutgers</v>
      </c>
      <c r="U187" s="461" t="str">
        <f>IF(+All!$F809="Rutgers",+All!U809,IF(+All!$H809="Rutgers",+All!U809,0))</f>
        <v>L</v>
      </c>
    </row>
    <row r="188" spans="1:21" x14ac:dyDescent="0.8">
      <c r="A188" s="38"/>
      <c r="B188" s="39"/>
      <c r="C188" s="40"/>
      <c r="D188" s="41"/>
      <c r="E188" s="463"/>
      <c r="F188" s="897" t="str">
        <f>H189</f>
        <v>Wisconsin</v>
      </c>
      <c r="G188" s="903"/>
      <c r="H188" s="903"/>
      <c r="I188" s="904"/>
      <c r="J188" s="459"/>
      <c r="K188" s="463"/>
      <c r="L188" s="44"/>
      <c r="M188" s="45"/>
      <c r="N188" s="459"/>
      <c r="O188" s="5"/>
      <c r="P188" s="5"/>
      <c r="Q188" s="463"/>
      <c r="R188" s="459"/>
      <c r="S188" s="5"/>
      <c r="T188" s="459"/>
      <c r="U188" s="463"/>
    </row>
    <row r="189" spans="1:21" x14ac:dyDescent="0.8">
      <c r="A189" s="46">
        <f>IF(+All!$F38="Wisconsin",+All!A38,IF(+All!$H38="Wisconsin",+All!A38,0))</f>
        <v>1</v>
      </c>
      <c r="B189" s="348" t="str">
        <f>IF(+All!$F38="Wisconsin",+All!B38,IF(+All!$H38="Wisconsin",+All!B38,0))</f>
        <v>Sat</v>
      </c>
      <c r="C189" s="72">
        <f>IF(+All!$F38="Wisconsin",+All!C38,IF(+All!$H38="Wisconsin",+All!C38,0))</f>
        <v>44807</v>
      </c>
      <c r="D189" s="73">
        <f>IF(+All!$F38="Wisconsin",+All!D38,IF(+All!$H38="Wisconsin",+All!D38,0))</f>
        <v>0.79166666666666663</v>
      </c>
      <c r="E189" s="461" t="str">
        <f>IF(+All!$F38="Wisconsin",+All!E38,IF(+All!$H38="Wisconsin",+All!E38,0))</f>
        <v>FS1</v>
      </c>
      <c r="F189" s="460" t="str">
        <f>IF(+All!$F38="Wisconsin",+All!F38,IF(+All!$H38="Wisconsin",+All!F38,0))</f>
        <v>1AA Illinois State</v>
      </c>
      <c r="G189" s="461" t="str">
        <f>IF(+All!$F38="Wisconsin",+All!G38,IF(+All!$H38="Wisconsin",+All!G38,0))</f>
        <v>1AA</v>
      </c>
      <c r="H189" s="460" t="str">
        <f>IF(+All!$F38="Wisconsin",+All!H38,IF(+All!$H38="Wisconsin",+All!H38,0))</f>
        <v>Wisconsin</v>
      </c>
      <c r="I189" s="461" t="str">
        <f>IF(+All!$F38="Wisconsin",+All!I38,IF(+All!$H38="Wisconsin",+All!I38,0))</f>
        <v>B10</v>
      </c>
      <c r="J189" s="460">
        <f>IF(+All!$F38="Wisconsin",+All!J38,IF(+All!$H38="Wisconsin",+All!J38,0))</f>
        <v>0</v>
      </c>
      <c r="K189" s="461">
        <f>IF(+All!$F38="Wisconsin",+All!K38,IF(+All!$H38="Wisconsin",+All!K38,0))</f>
        <v>0</v>
      </c>
      <c r="L189" s="60">
        <f>IF(+All!$F38="Wisconsin",+All!L38,IF(+All!$H38="Wisconsin",+All!L38,0))</f>
        <v>0</v>
      </c>
      <c r="M189" s="61">
        <f>IF(+All!$F38="Wisconsin",+All!M38,IF(+All!$H38="Wisconsin",+All!M38,0))</f>
        <v>0</v>
      </c>
      <c r="N189" s="460" t="str">
        <f>IF(+All!$F38="Wisconsin",+All!N38,IF(+All!$H38="Wisconsin",+All!N38,0))</f>
        <v>Wisconsin</v>
      </c>
      <c r="O189" s="462">
        <f>IF(+All!$F38="Wisconsin",+All!O38,IF(+All!$H38="Wisconsin",+All!O38,0))</f>
        <v>38</v>
      </c>
      <c r="P189" s="462" t="str">
        <f>IF(+All!$F38="Wisconsin",+All!P38,IF(+All!$H38="Wisconsin",+All!P38,0))</f>
        <v>1AA Illinois State</v>
      </c>
      <c r="Q189" s="461">
        <f>IF(+All!$F38="Wisconsin",+All!Q38,IF(+All!$H38="Wisconsin",+All!Q38,0))</f>
        <v>0</v>
      </c>
      <c r="R189" s="460">
        <f>IF(+All!$F38="Wisconsin",+All!R38,IF(+All!$H38="Wisconsin",+All!R38,0))</f>
        <v>0</v>
      </c>
      <c r="S189" s="462">
        <f>IF(+All!$F38="Wisconsin",+All!S38,IF(+All!$H38="Wisconsin",+All!S38,0))</f>
        <v>0</v>
      </c>
      <c r="T189" s="460">
        <f>IF(+All!$F38="Wisconsin",+All!T38,IF(+All!$H38="Wisconsin",+All!T38,0))</f>
        <v>0</v>
      </c>
      <c r="U189" s="461">
        <f>IF(+All!$F38="Wisconsin",+All!U38,IF(+All!$H38="Wisconsin",+All!U38,0))</f>
        <v>0</v>
      </c>
    </row>
    <row r="190" spans="1:21" x14ac:dyDescent="0.8">
      <c r="A190" s="46">
        <f>IF(+All!$F126="Wisconsin",+All!A126,IF(+All!$H126="Wisconsin",+All!A126,0))</f>
        <v>2</v>
      </c>
      <c r="B190" s="348" t="str">
        <f>IF(+All!$F126="Wisconsin",+All!B126,IF(+All!$H126="Wisconsin",+All!B126,0))</f>
        <v>Sat</v>
      </c>
      <c r="C190" s="72">
        <f>IF(+All!$F126="Wisconsin",+All!C126,IF(+All!$H126="Wisconsin",+All!C126,0))</f>
        <v>44814</v>
      </c>
      <c r="D190" s="73">
        <f>IF(+All!$F126="Wisconsin",+All!D126,IF(+All!$H126="Wisconsin",+All!D126,0))</f>
        <v>0.64583333333333337</v>
      </c>
      <c r="E190" s="461" t="str">
        <f>IF(+All!$F126="Wisconsin",+All!E126,IF(+All!$H126="Wisconsin",+All!E126,0))</f>
        <v>Fox</v>
      </c>
      <c r="F190" s="460" t="str">
        <f>IF(+All!$F126="Wisconsin",+All!F126,IF(+All!$H126="Wisconsin",+All!F126,0))</f>
        <v>Washington State</v>
      </c>
      <c r="G190" s="461" t="str">
        <f>IF(+All!$F126="Wisconsin",+All!G126,IF(+All!$H126="Wisconsin",+All!G126,0))</f>
        <v>P12</v>
      </c>
      <c r="H190" s="460" t="str">
        <f>IF(+All!$F126="Wisconsin",+All!H126,IF(+All!$H126="Wisconsin",+All!H126,0))</f>
        <v>Wisconsin</v>
      </c>
      <c r="I190" s="461" t="str">
        <f>IF(+All!$F126="Wisconsin",+All!I126,IF(+All!$H126="Wisconsin",+All!I126,0))</f>
        <v>B10</v>
      </c>
      <c r="J190" s="460" t="str">
        <f>IF(+All!$F126="Wisconsin",+All!J126,IF(+All!$H126="Wisconsin",+All!J126,0))</f>
        <v>Wisconsin</v>
      </c>
      <c r="K190" s="461" t="str">
        <f>IF(+All!$F126="Wisconsin",+All!K126,IF(+All!$H126="Wisconsin",+All!K126,0))</f>
        <v>Washington State</v>
      </c>
      <c r="L190" s="60">
        <f>IF(+All!$F126="Wisconsin",+All!L126,IF(+All!$H126="Wisconsin",+All!L126,0))</f>
        <v>17</v>
      </c>
      <c r="M190" s="61">
        <f>IF(+All!$F126="Wisconsin",+All!M126,IF(+All!$H126="Wisconsin",+All!M126,0))</f>
        <v>49</v>
      </c>
      <c r="N190" s="460" t="str">
        <f>IF(+All!$F126="Wisconsin",+All!N126,IF(+All!$H126="Wisconsin",+All!N126,0))</f>
        <v>Washington State</v>
      </c>
      <c r="O190" s="462">
        <f>IF(+All!$F126="Wisconsin",+All!O126,IF(+All!$H126="Wisconsin",+All!O126,0))</f>
        <v>17</v>
      </c>
      <c r="P190" s="462" t="str">
        <f>IF(+All!$F126="Wisconsin",+All!P126,IF(+All!$H126="Wisconsin",+All!P126,0))</f>
        <v>Wisconsin</v>
      </c>
      <c r="Q190" s="461">
        <f>IF(+All!$F126="Wisconsin",+All!Q126,IF(+All!$H126="Wisconsin",+All!Q126,0))</f>
        <v>14</v>
      </c>
      <c r="R190" s="460" t="str">
        <f>IF(+All!$F126="Wisconsin",+All!R126,IF(+All!$H126="Wisconsin",+All!R126,0))</f>
        <v>Washington State</v>
      </c>
      <c r="S190" s="462" t="str">
        <f>IF(+All!$F126="Wisconsin",+All!S126,IF(+All!$H126="Wisconsin",+All!S126,0))</f>
        <v>Wisconsin</v>
      </c>
      <c r="T190" s="460" t="str">
        <f>IF(+All!$F126="Wisconsin",+All!T126,IF(+All!$H126="Wisconsin",+All!T126,0))</f>
        <v>Washington State</v>
      </c>
      <c r="U190" s="461" t="str">
        <f>IF(+All!$F126="Wisconsin",+All!U126,IF(+All!$H126="Wisconsin",+All!U126,0))</f>
        <v>W</v>
      </c>
    </row>
    <row r="191" spans="1:21" x14ac:dyDescent="0.8">
      <c r="A191" s="46">
        <f>IF(+All!$F205="Wisconsin",+All!A205,IF(+All!$H205="Wisconsin",+All!A205,0))</f>
        <v>3</v>
      </c>
      <c r="B191" s="348" t="str">
        <f>IF(+All!$F205="Wisconsin",+All!B205,IF(+All!$H205="Wisconsin",+All!B205,0))</f>
        <v>Sat</v>
      </c>
      <c r="C191" s="72">
        <f>IF(+All!$F205="Wisconsin",+All!C205,IF(+All!$H205="Wisconsin",+All!C205,0))</f>
        <v>44821</v>
      </c>
      <c r="D191" s="73">
        <f>IF(+All!$F205="Wisconsin",+All!D205,IF(+All!$H205="Wisconsin",+All!D205,0))</f>
        <v>0.64583333333333337</v>
      </c>
      <c r="E191" s="461" t="str">
        <f>IF(+All!$F205="Wisconsin",+All!E205,IF(+All!$H205="Wisconsin",+All!E205,0))</f>
        <v>espn3</v>
      </c>
      <c r="F191" s="460" t="str">
        <f>IF(+All!$F205="Wisconsin",+All!F205,IF(+All!$H205="Wisconsin",+All!F205,0))</f>
        <v>New Mexico State</v>
      </c>
      <c r="G191" s="461" t="str">
        <f>IF(+All!$F205="Wisconsin",+All!G205,IF(+All!$H205="Wisconsin",+All!G205,0))</f>
        <v>Ind</v>
      </c>
      <c r="H191" s="460" t="str">
        <f>IF(+All!$F205="Wisconsin",+All!H205,IF(+All!$H205="Wisconsin",+All!H205,0))</f>
        <v>Wisconsin</v>
      </c>
      <c r="I191" s="461" t="str">
        <f>IF(+All!$F205="Wisconsin",+All!I205,IF(+All!$H205="Wisconsin",+All!I205,0))</f>
        <v>B10</v>
      </c>
      <c r="J191" s="460" t="e">
        <f>IF(+All!$F205="Wisconsin",+All!#REF!,IF(+All!$H205="Wisconsin",+All!#REF!,0))</f>
        <v>#REF!</v>
      </c>
      <c r="K191" s="461" t="str">
        <f>IF(+All!$F205="Wisconsin",+All!K205,IF(+All!$H205="Wisconsin",+All!K205,0))</f>
        <v>New Mexico State</v>
      </c>
      <c r="L191" s="60">
        <f>IF(+All!$F205="Wisconsin",+All!L205,IF(+All!$H205="Wisconsin",+All!L205,0))</f>
        <v>37</v>
      </c>
      <c r="M191" s="61">
        <f>IF(+All!$F205="Wisconsin",+All!M205,IF(+All!$H205="Wisconsin",+All!M205,0))</f>
        <v>46.5</v>
      </c>
      <c r="N191" s="460" t="str">
        <f>IF(+All!$F205="Wisconsin",+All!N205,IF(+All!$H205="Wisconsin",+All!N205,0))</f>
        <v>Wisconsin</v>
      </c>
      <c r="O191" s="462">
        <f>IF(+All!$F205="Wisconsin",+All!O205,IF(+All!$H205="Wisconsin",+All!O205,0))</f>
        <v>66</v>
      </c>
      <c r="P191" s="462" t="str">
        <f>IF(+All!$F205="Wisconsin",+All!P205,IF(+All!$H205="Wisconsin",+All!P205,0))</f>
        <v>New Mexico State</v>
      </c>
      <c r="Q191" s="461">
        <f>IF(+All!$F205="Wisconsin",+All!Q205,IF(+All!$H205="Wisconsin",+All!Q205,0))</f>
        <v>7</v>
      </c>
      <c r="R191" s="460" t="e">
        <f>IF(+All!$F205="Wisconsin",+All!R205,IF(+All!$H205="Wisconsin",+All!R205,0))</f>
        <v>#REF!</v>
      </c>
      <c r="S191" s="462" t="e">
        <f>IF(+All!$F205="Wisconsin",+All!S205,IF(+All!$H205="Wisconsin",+All!S205,0))</f>
        <v>#REF!</v>
      </c>
      <c r="T191" s="460" t="str">
        <f>IF(+All!$F205="Wisconsin",+All!T205,IF(+All!$H205="Wisconsin",+All!T205,0))</f>
        <v>New Mexico State</v>
      </c>
      <c r="U191" s="461" t="e">
        <f>IF(+All!$F205="Wisconsin",+All!U205,IF(+All!$H205="Wisconsin",+All!U205,0))</f>
        <v>#REF!</v>
      </c>
    </row>
    <row r="192" spans="1:21" x14ac:dyDescent="0.8">
      <c r="A192" s="46">
        <f>IF(+All!$F276="Wisconsin",+All!A276,IF(+All!$H276="Wisconsin",+All!A276,0))</f>
        <v>4</v>
      </c>
      <c r="B192" s="348" t="str">
        <f>IF(+All!$F276="Wisconsin",+All!B276,IF(+All!$H276="Wisconsin",+All!B276,0))</f>
        <v>Sat</v>
      </c>
      <c r="C192" s="72">
        <f>IF(+All!$F276="Wisconsin",+All!C276,IF(+All!$H276="Wisconsin",+All!C276,0))</f>
        <v>44828</v>
      </c>
      <c r="D192" s="73">
        <f>IF(+All!$F276="Wisconsin",+All!D276,IF(+All!$H276="Wisconsin",+All!D276,0))</f>
        <v>0.79166666666666663</v>
      </c>
      <c r="E192" s="461" t="str">
        <f>IF(+All!$F276="Wisconsin",+All!E276,IF(+All!$H276="Wisconsin",+All!E276,0))</f>
        <v>ABC</v>
      </c>
      <c r="F192" s="460" t="str">
        <f>IF(+All!$F276="Wisconsin",+All!F276,IF(+All!$H276="Wisconsin",+All!F276,0))</f>
        <v>Wisconsin</v>
      </c>
      <c r="G192" s="461" t="str">
        <f>IF(+All!$F276="Wisconsin",+All!G276,IF(+All!$H276="Wisconsin",+All!G276,0))</f>
        <v>B10</v>
      </c>
      <c r="H192" s="460" t="str">
        <f>IF(+All!$F276="Wisconsin",+All!H276,IF(+All!$H276="Wisconsin",+All!H276,0))</f>
        <v>Ohio State</v>
      </c>
      <c r="I192" s="461" t="str">
        <f>IF(+All!$F276="Wisconsin",+All!I276,IF(+All!$H276="Wisconsin",+All!I276,0))</f>
        <v>B10</v>
      </c>
      <c r="J192" s="460" t="str">
        <f>IF(+All!$F276="Wisconsin",+All!J276,IF(+All!$H276="Wisconsin",+All!J276,0))</f>
        <v>Ohio State</v>
      </c>
      <c r="K192" s="461" t="str">
        <f>IF(+All!$F276="Wisconsin",+All!K276,IF(+All!$H276="Wisconsin",+All!K276,0))</f>
        <v>Wisconsin</v>
      </c>
      <c r="L192" s="60">
        <f>IF(+All!$F276="Wisconsin",+All!L276,IF(+All!$H276="Wisconsin",+All!L276,0))</f>
        <v>19.5</v>
      </c>
      <c r="M192" s="61">
        <f>IF(+All!$F276="Wisconsin",+All!M276,IF(+All!$H276="Wisconsin",+All!M276,0))</f>
        <v>57</v>
      </c>
      <c r="N192" s="460" t="str">
        <f>IF(+All!$F276="Wisconsin",+All!N276,IF(+All!$H276="Wisconsin",+All!N276,0))</f>
        <v>Ohio State</v>
      </c>
      <c r="O192" s="462">
        <f>IF(+All!$F276="Wisconsin",+All!O276,IF(+All!$H276="Wisconsin",+All!O276,0))</f>
        <v>52</v>
      </c>
      <c r="P192" s="462" t="str">
        <f>IF(+All!$F276="Wisconsin",+All!P276,IF(+All!$H276="Wisconsin",+All!P276,0))</f>
        <v>Wisconsin</v>
      </c>
      <c r="Q192" s="461">
        <f>IF(+All!$F276="Wisconsin",+All!Q276,IF(+All!$H276="Wisconsin",+All!Q276,0))</f>
        <v>21</v>
      </c>
      <c r="R192" s="460" t="str">
        <f>IF(+All!$F276="Wisconsin",+All!R276,IF(+All!$H276="Wisconsin",+All!R276,0))</f>
        <v>Ohio State</v>
      </c>
      <c r="S192" s="462" t="str">
        <f>IF(+All!$F276="Wisconsin",+All!S276,IF(+All!$H276="Wisconsin",+All!S276,0))</f>
        <v>Wisconsin</v>
      </c>
      <c r="T192" s="460" t="str">
        <f>IF(+All!$F276="Wisconsin",+All!T276,IF(+All!$H276="Wisconsin",+All!T276,0))</f>
        <v>Ohio State</v>
      </c>
      <c r="U192" s="461" t="str">
        <f>IF(+All!$F276="Wisconsin",+All!U276,IF(+All!$H276="Wisconsin",+All!U276,0))</f>
        <v>W</v>
      </c>
    </row>
    <row r="193" spans="1:21" x14ac:dyDescent="0.8">
      <c r="A193" s="46">
        <f>IF(+All!$F341="Wisconsin",+All!A341,IF(+All!$H341="Wisconsin",+All!A341,0))</f>
        <v>5</v>
      </c>
      <c r="B193" s="348" t="str">
        <f>IF(+All!$F341="Wisconsin",+All!B341,IF(+All!$H341="Wisconsin",+All!B341,0))</f>
        <v>Sat</v>
      </c>
      <c r="C193" s="72">
        <f>IF(+All!$F341="Wisconsin",+All!C341,IF(+All!$H341="Wisconsin",+All!C341,0))</f>
        <v>44835</v>
      </c>
      <c r="D193" s="73">
        <f>IF(+All!$F341="Wisconsin",+All!D341,IF(+All!$H341="Wisconsin",+All!D341,0))</f>
        <v>0.5</v>
      </c>
      <c r="E193" s="461" t="str">
        <f>IF(+All!$F341="Wisconsin",+All!E341,IF(+All!$H341="Wisconsin",+All!E341,0))</f>
        <v>BTN</v>
      </c>
      <c r="F193" s="460" t="str">
        <f>IF(+All!$F341="Wisconsin",+All!F341,IF(+All!$H341="Wisconsin",+All!F341,0))</f>
        <v>Illinois</v>
      </c>
      <c r="G193" s="461" t="str">
        <f>IF(+All!$F341="Wisconsin",+All!G341,IF(+All!$H341="Wisconsin",+All!G341,0))</f>
        <v>B10</v>
      </c>
      <c r="H193" s="460" t="str">
        <f>IF(+All!$F341="Wisconsin",+All!H341,IF(+All!$H341="Wisconsin",+All!H341,0))</f>
        <v>Wisconsin</v>
      </c>
      <c r="I193" s="461" t="str">
        <f>IF(+All!$F341="Wisconsin",+All!I341,IF(+All!$H341="Wisconsin",+All!I341,0))</f>
        <v>B10</v>
      </c>
      <c r="J193" s="460" t="str">
        <f>IF(+All!$F341="Wisconsin",+All!J341,IF(+All!$H341="Wisconsin",+All!J341,0))</f>
        <v>Wisconsin</v>
      </c>
      <c r="K193" s="461" t="str">
        <f>IF(+All!$F341="Wisconsin",+All!K341,IF(+All!$H341="Wisconsin",+All!K341,0))</f>
        <v>Illinois</v>
      </c>
      <c r="L193" s="60">
        <f>IF(+All!$F341="Wisconsin",+All!L341,IF(+All!$H341="Wisconsin",+All!L341,0))</f>
        <v>7</v>
      </c>
      <c r="M193" s="61">
        <f>IF(+All!$F341="Wisconsin",+All!M341,IF(+All!$H341="Wisconsin",+All!M341,0))</f>
        <v>43.5</v>
      </c>
      <c r="N193" s="460" t="str">
        <f>IF(+All!$F341="Wisconsin",+All!N341,IF(+All!$H341="Wisconsin",+All!N341,0))</f>
        <v>Illinois</v>
      </c>
      <c r="O193" s="462">
        <f>IF(+All!$F341="Wisconsin",+All!O341,IF(+All!$H341="Wisconsin",+All!O341,0))</f>
        <v>34</v>
      </c>
      <c r="P193" s="462" t="str">
        <f>IF(+All!$F341="Wisconsin",+All!P341,IF(+All!$H341="Wisconsin",+All!P341,0))</f>
        <v>Wisconsin</v>
      </c>
      <c r="Q193" s="461">
        <f>IF(+All!$F341="Wisconsin",+All!Q341,IF(+All!$H341="Wisconsin",+All!Q341,0))</f>
        <v>10</v>
      </c>
      <c r="R193" s="460" t="str">
        <f>IF(+All!$F341="Wisconsin",+All!R341,IF(+All!$H341="Wisconsin",+All!R341,0))</f>
        <v>Illinois</v>
      </c>
      <c r="S193" s="462" t="str">
        <f>IF(+All!$F341="Wisconsin",+All!S341,IF(+All!$H341="Wisconsin",+All!S341,0))</f>
        <v>Wisconsin</v>
      </c>
      <c r="T193" s="460" t="str">
        <f>IF(+All!$F341="Wisconsin",+All!T341,IF(+All!$H341="Wisconsin",+All!T341,0))</f>
        <v>Illinois</v>
      </c>
      <c r="U193" s="461" t="str">
        <f>IF(+All!$F341="Wisconsin",+All!U341,IF(+All!$H341="Wisconsin",+All!U341,0))</f>
        <v>W</v>
      </c>
    </row>
    <row r="194" spans="1:21" x14ac:dyDescent="0.8">
      <c r="A194" s="46">
        <f>IF(+All!$F400="Wisconsin",+All!A400,IF(+All!$H400="Wisconsin",+All!A400,0))</f>
        <v>6</v>
      </c>
      <c r="B194" s="348" t="str">
        <f>IF(+All!$F400="Wisconsin",+All!B400,IF(+All!$H400="Wisconsin",+All!B400,0))</f>
        <v>Sat</v>
      </c>
      <c r="C194" s="72">
        <f>IF(+All!$F400="Wisconsin",+All!C400,IF(+All!$H400="Wisconsin",+All!C400,0))</f>
        <v>44842</v>
      </c>
      <c r="D194" s="73">
        <f>IF(+All!$F400="Wisconsin",+All!D400,IF(+All!$H400="Wisconsin",+All!D400,0))</f>
        <v>0.64583333333333337</v>
      </c>
      <c r="E194" s="461" t="str">
        <f>IF(+All!$F400="Wisconsin",+All!E400,IF(+All!$H400="Wisconsin",+All!E400,0))</f>
        <v>BTN</v>
      </c>
      <c r="F194" s="460" t="str">
        <f>IF(+All!$F400="Wisconsin",+All!F400,IF(+All!$H400="Wisconsin",+All!F400,0))</f>
        <v>Wisconsin</v>
      </c>
      <c r="G194" s="461" t="str">
        <f>IF(+All!$F400="Wisconsin",+All!G400,IF(+All!$H400="Wisconsin",+All!G400,0))</f>
        <v>B10</v>
      </c>
      <c r="H194" s="460" t="str">
        <f>IF(+All!$F400="Wisconsin",+All!H400,IF(+All!$H400="Wisconsin",+All!H400,0))</f>
        <v>Northwestern</v>
      </c>
      <c r="I194" s="461" t="str">
        <f>IF(+All!$F400="Wisconsin",+All!I400,IF(+All!$H400="Wisconsin",+All!I400,0))</f>
        <v>B10</v>
      </c>
      <c r="J194" s="460" t="str">
        <f>IF(+All!$F400="Wisconsin",+All!J400,IF(+All!$H400="Wisconsin",+All!J400,0))</f>
        <v>Wisconsin</v>
      </c>
      <c r="K194" s="461" t="str">
        <f>IF(+All!$F400="Wisconsin",+All!K400,IF(+All!$H400="Wisconsin",+All!K400,0))</f>
        <v>Northwestern</v>
      </c>
      <c r="L194" s="60">
        <f>IF(+All!$F400="Wisconsin",+All!L400,IF(+All!$H400="Wisconsin",+All!L400,0))</f>
        <v>10</v>
      </c>
      <c r="M194" s="61">
        <f>IF(+All!$F400="Wisconsin",+All!M400,IF(+All!$H400="Wisconsin",+All!M400,0))</f>
        <v>44.5</v>
      </c>
      <c r="N194" s="460" t="str">
        <f>IF(+All!$F400="Wisconsin",+All!N400,IF(+All!$H400="Wisconsin",+All!N400,0))</f>
        <v>Wisconsin</v>
      </c>
      <c r="O194" s="462">
        <f>IF(+All!$F400="Wisconsin",+All!O400,IF(+All!$H400="Wisconsin",+All!O400,0))</f>
        <v>42</v>
      </c>
      <c r="P194" s="462" t="str">
        <f>IF(+All!$F400="Wisconsin",+All!P400,IF(+All!$H400="Wisconsin",+All!P400,0))</f>
        <v>Northwestern</v>
      </c>
      <c r="Q194" s="461">
        <f>IF(+All!$F400="Wisconsin",+All!Q400,IF(+All!$H400="Wisconsin",+All!Q400,0))</f>
        <v>7</v>
      </c>
      <c r="R194" s="460" t="str">
        <f>IF(+All!$F400="Wisconsin",+All!R400,IF(+All!$H400="Wisconsin",+All!R400,0))</f>
        <v>Wisconsin</v>
      </c>
      <c r="S194" s="462" t="str">
        <f>IF(+All!$F400="Wisconsin",+All!S400,IF(+All!$H400="Wisconsin",+All!S400,0))</f>
        <v>Northwestern</v>
      </c>
      <c r="T194" s="460" t="str">
        <f>IF(+All!$F400="Wisconsin",+All!T400,IF(+All!$H400="Wisconsin",+All!T400,0))</f>
        <v>Wisconsin</v>
      </c>
      <c r="U194" s="461" t="str">
        <f>IF(+All!$F400="Wisconsin",+All!U400,IF(+All!$H400="Wisconsin",+All!U400,0))</f>
        <v>W</v>
      </c>
    </row>
    <row r="195" spans="1:21" x14ac:dyDescent="0.8">
      <c r="A195" s="46">
        <f>IF(+All!$F452="Wisconsin",+All!A452,IF(+All!$H452="Wisconsin",+All!A452,0))</f>
        <v>7</v>
      </c>
      <c r="B195" s="348" t="str">
        <f>IF(+All!$F452="Wisconsin",+All!B452,IF(+All!$H452="Wisconsin",+All!B452,0))</f>
        <v>Sat</v>
      </c>
      <c r="C195" s="72">
        <f>IF(+All!$F452="Wisconsin",+All!C452,IF(+All!$H452="Wisconsin",+All!C452,0))</f>
        <v>44849</v>
      </c>
      <c r="D195" s="73">
        <f>IF(+All!$F452="Wisconsin",+All!D452,IF(+All!$H452="Wisconsin",+All!D452,0))</f>
        <v>0.66666666666666663</v>
      </c>
      <c r="E195" s="461" t="str">
        <f>IF(+All!$F452="Wisconsin",+All!E452,IF(+All!$H452="Wisconsin",+All!E452,0))</f>
        <v>Fox</v>
      </c>
      <c r="F195" s="460" t="str">
        <f>IF(+All!$F452="Wisconsin",+All!F452,IF(+All!$H452="Wisconsin",+All!F452,0))</f>
        <v>Wisconsin</v>
      </c>
      <c r="G195" s="461" t="str">
        <f>IF(+All!$F452="Wisconsin",+All!G452,IF(+All!$H452="Wisconsin",+All!G452,0))</f>
        <v>B10</v>
      </c>
      <c r="H195" s="460" t="str">
        <f>IF(+All!$F452="Wisconsin",+All!H452,IF(+All!$H452="Wisconsin",+All!H452,0))</f>
        <v>Michigan State</v>
      </c>
      <c r="I195" s="461" t="str">
        <f>IF(+All!$F452="Wisconsin",+All!I452,IF(+All!$H452="Wisconsin",+All!I452,0))</f>
        <v>B10</v>
      </c>
      <c r="J195" s="460" t="str">
        <f>IF(+All!$F452="Wisconsin",+All!J452,IF(+All!$H452="Wisconsin",+All!J452,0))</f>
        <v>Wisconsin</v>
      </c>
      <c r="K195" s="461" t="str">
        <f>IF(+All!$F452="Wisconsin",+All!K452,IF(+All!$H452="Wisconsin",+All!K452,0))</f>
        <v>Michigan State</v>
      </c>
      <c r="L195" s="60">
        <f>IF(+All!$F452="Wisconsin",+All!L452,IF(+All!$H452="Wisconsin",+All!L452,0))</f>
        <v>7</v>
      </c>
      <c r="M195" s="61">
        <f>IF(+All!$F452="Wisconsin",+All!M452,IF(+All!$H452="Wisconsin",+All!M452,0))</f>
        <v>49</v>
      </c>
      <c r="N195" s="460" t="str">
        <f>IF(+All!$F452="Wisconsin",+All!N452,IF(+All!$H452="Wisconsin",+All!N452,0))</f>
        <v>Michigan State</v>
      </c>
      <c r="O195" s="462">
        <f>IF(+All!$F452="Wisconsin",+All!O452,IF(+All!$H452="Wisconsin",+All!O452,0))</f>
        <v>34</v>
      </c>
      <c r="P195" s="462" t="str">
        <f>IF(+All!$F452="Wisconsin",+All!P452,IF(+All!$H452="Wisconsin",+All!P452,0))</f>
        <v>Wisconsin</v>
      </c>
      <c r="Q195" s="461">
        <f>IF(+All!$F452="Wisconsin",+All!Q452,IF(+All!$H452="Wisconsin",+All!Q452,0))</f>
        <v>28</v>
      </c>
      <c r="R195" s="460" t="str">
        <f>IF(+All!$F452="Wisconsin",+All!R452,IF(+All!$H452="Wisconsin",+All!R452,0))</f>
        <v>Michigan State</v>
      </c>
      <c r="S195" s="462" t="str">
        <f>IF(+All!$F452="Wisconsin",+All!S452,IF(+All!$H452="Wisconsin",+All!S452,0))</f>
        <v>Wisconsin</v>
      </c>
      <c r="T195" s="460" t="str">
        <f>IF(+All!$F452="Wisconsin",+All!T452,IF(+All!$H452="Wisconsin",+All!T452,0))</f>
        <v>Michigan State</v>
      </c>
      <c r="U195" s="461" t="str">
        <f>IF(+All!$F452="Wisconsin",+All!U452,IF(+All!$H452="Wisconsin",+All!U452,0))</f>
        <v>W</v>
      </c>
    </row>
    <row r="196" spans="1:21" x14ac:dyDescent="0.8">
      <c r="A196" s="46">
        <f>IF(+All!$F508="Wisconsin",+All!A508,IF(+All!$H508="Wisconsin",+All!A508,0))</f>
        <v>8</v>
      </c>
      <c r="B196" s="348" t="str">
        <f>IF(+All!$F508="Wisconsin",+All!B508,IF(+All!$H508="Wisconsin",+All!B508,0))</f>
        <v>Sat</v>
      </c>
      <c r="C196" s="72">
        <f>IF(+All!$F508="Wisconsin",+All!C508,IF(+All!$H508="Wisconsin",+All!C508,0))</f>
        <v>44856</v>
      </c>
      <c r="D196" s="73">
        <f>IF(+All!$F508="Wisconsin",+All!D508,IF(+All!$H508="Wisconsin",+All!D508,0))</f>
        <v>0.64583333333333337</v>
      </c>
      <c r="E196" s="461" t="str">
        <f>IF(+All!$F508="Wisconsin",+All!E508,IF(+All!$H508="Wisconsin",+All!E508,0))</f>
        <v>ESPN</v>
      </c>
      <c r="F196" s="460" t="str">
        <f>IF(+All!$F508="Wisconsin",+All!F508,IF(+All!$H508="Wisconsin",+All!F508,0))</f>
        <v>Purdue</v>
      </c>
      <c r="G196" s="461" t="str">
        <f>IF(+All!$F508="Wisconsin",+All!G508,IF(+All!$H508="Wisconsin",+All!G508,0))</f>
        <v>B10</v>
      </c>
      <c r="H196" s="460" t="str">
        <f>IF(+All!$F508="Wisconsin",+All!H508,IF(+All!$H508="Wisconsin",+All!H508,0))</f>
        <v>Wisconsin</v>
      </c>
      <c r="I196" s="461" t="str">
        <f>IF(+All!$F508="Wisconsin",+All!I508,IF(+All!$H508="Wisconsin",+All!I508,0))</f>
        <v>B10</v>
      </c>
      <c r="J196" s="460" t="str">
        <f>IF(+All!$F508="Wisconsin",+All!J508,IF(+All!$H508="Wisconsin",+All!J508,0))</f>
        <v>Wisconsin</v>
      </c>
      <c r="K196" s="461" t="str">
        <f>IF(+All!$F508="Wisconsin",+All!K508,IF(+All!$H508="Wisconsin",+All!K508,0))</f>
        <v>Purdue</v>
      </c>
      <c r="L196" s="60">
        <f>IF(+All!$F508="Wisconsin",+All!L508,IF(+All!$H508="Wisconsin",+All!L508,0))</f>
        <v>2.5</v>
      </c>
      <c r="M196" s="61">
        <f>IF(+All!$F508="Wisconsin",+All!M508,IF(+All!$H508="Wisconsin",+All!M508,0))</f>
        <v>51.5</v>
      </c>
      <c r="N196" s="460" t="str">
        <f>IF(+All!$F508="Wisconsin",+All!N508,IF(+All!$H508="Wisconsin",+All!N508,0))</f>
        <v>Wisconsin</v>
      </c>
      <c r="O196" s="462">
        <f>IF(+All!$F508="Wisconsin",+All!O508,IF(+All!$H508="Wisconsin",+All!O508,0))</f>
        <v>35</v>
      </c>
      <c r="P196" s="462" t="str">
        <f>IF(+All!$F508="Wisconsin",+All!P508,IF(+All!$H508="Wisconsin",+All!P508,0))</f>
        <v>Purdue</v>
      </c>
      <c r="Q196" s="461">
        <f>IF(+All!$F508="Wisconsin",+All!Q508,IF(+All!$H508="Wisconsin",+All!Q508,0))</f>
        <v>24</v>
      </c>
      <c r="R196" s="460" t="str">
        <f>IF(+All!$F508="Wisconsin",+All!R508,IF(+All!$H508="Wisconsin",+All!R508,0))</f>
        <v>Wisconsin</v>
      </c>
      <c r="S196" s="462" t="str">
        <f>IF(+All!$F508="Wisconsin",+All!S508,IF(+All!$H508="Wisconsin",+All!S508,0))</f>
        <v>Purdue</v>
      </c>
      <c r="T196" s="460" t="str">
        <f>IF(+All!$F508="Wisconsin",+All!T508,IF(+All!$H508="Wisconsin",+All!T508,0))</f>
        <v>Purdue</v>
      </c>
      <c r="U196" s="461" t="str">
        <f>IF(+All!$F508="Wisconsin",+All!U508,IF(+All!$H508="Wisconsin",+All!U508,0))</f>
        <v>L</v>
      </c>
    </row>
    <row r="197" spans="1:21" x14ac:dyDescent="0.8">
      <c r="A197" s="46" t="e">
        <f>IF(+All!#REF!="Wisconsin",+All!#REF!,IF(+All!#REF!="Wisconsin",+All!#REF!,0))</f>
        <v>#REF!</v>
      </c>
      <c r="B197" s="348" t="e">
        <f>IF(+All!#REF!="Wisconsin",+All!#REF!,IF(+All!#REF!="Wisconsin",+All!#REF!,0))</f>
        <v>#REF!</v>
      </c>
      <c r="C197" s="72" t="e">
        <f>IF(+All!#REF!="Wisconsin",+All!#REF!,IF(+All!#REF!="Wisconsin",+All!#REF!,0))</f>
        <v>#REF!</v>
      </c>
      <c r="D197" s="73" t="e">
        <f>IF(+All!#REF!="Wisconsin",+All!#REF!,IF(+All!#REF!="Wisconsin",+All!#REF!,0))</f>
        <v>#REF!</v>
      </c>
      <c r="E197" s="461" t="e">
        <f>IF(+All!#REF!="Wisconsin",+All!#REF!,IF(+All!#REF!="Wisconsin",+All!#REF!,0))</f>
        <v>#REF!</v>
      </c>
      <c r="F197" s="460" t="e">
        <f>IF(+All!#REF!="Wisconsin",+All!#REF!,IF(+All!#REF!="Wisconsin",+All!#REF!,0))</f>
        <v>#REF!</v>
      </c>
      <c r="G197" s="461" t="e">
        <f>IF(+All!#REF!="Wisconsin",+All!#REF!,IF(+All!#REF!="Wisconsin",+All!#REF!,0))</f>
        <v>#REF!</v>
      </c>
      <c r="H197" s="460" t="e">
        <f>IF(+All!#REF!="Wisconsin",+All!#REF!,IF(+All!#REF!="Wisconsin",+All!#REF!,0))</f>
        <v>#REF!</v>
      </c>
      <c r="I197" s="461" t="e">
        <f>IF(+All!#REF!="Wisconsin",+All!#REF!,IF(+All!#REF!="Wisconsin",+All!#REF!,0))</f>
        <v>#REF!</v>
      </c>
      <c r="J197" s="460" t="e">
        <f>IF(+All!#REF!="Wisconsin",+All!#REF!,IF(+All!#REF!="Wisconsin",+All!#REF!,0))</f>
        <v>#REF!</v>
      </c>
      <c r="K197" s="461" t="e">
        <f>IF(+All!#REF!="Wisconsin",+All!#REF!,IF(+All!#REF!="Wisconsin",+All!#REF!,0))</f>
        <v>#REF!</v>
      </c>
      <c r="L197" s="60" t="e">
        <f>IF(+All!#REF!="Wisconsin",+All!#REF!,IF(+All!#REF!="Wisconsin",+All!#REF!,0))</f>
        <v>#REF!</v>
      </c>
      <c r="M197" s="61" t="e">
        <f>IF(+All!#REF!="Wisconsin",+All!#REF!,IF(+All!#REF!="Wisconsin",+All!#REF!,0))</f>
        <v>#REF!</v>
      </c>
      <c r="N197" s="460" t="e">
        <f>IF(+All!#REF!="Wisconsin",+All!#REF!,IF(+All!#REF!="Wisconsin",+All!#REF!,0))</f>
        <v>#REF!</v>
      </c>
      <c r="O197" s="462" t="e">
        <f>IF(+All!#REF!="Wisconsin",+All!#REF!,IF(+All!#REF!="Wisconsin",+All!#REF!,0))</f>
        <v>#REF!</v>
      </c>
      <c r="P197" s="462" t="e">
        <f>IF(+All!#REF!="Wisconsin",+All!#REF!,IF(+All!#REF!="Wisconsin",+All!#REF!,0))</f>
        <v>#REF!</v>
      </c>
      <c r="Q197" s="461" t="e">
        <f>IF(+All!#REF!="Wisconsin",+All!#REF!,IF(+All!#REF!="Wisconsin",+All!#REF!,0))</f>
        <v>#REF!</v>
      </c>
      <c r="R197" s="460" t="e">
        <f>IF(+All!#REF!="Wisconsin",+All!#REF!,IF(+All!#REF!="Wisconsin",+All!#REF!,0))</f>
        <v>#REF!</v>
      </c>
      <c r="S197" s="462" t="e">
        <f>IF(+All!#REF!="Wisconsin",+All!#REF!,IF(+All!#REF!="Wisconsin",+All!#REF!,0))</f>
        <v>#REF!</v>
      </c>
      <c r="T197" s="460" t="e">
        <f>IF(+All!#REF!="Wisconsin",+All!#REF!,IF(+All!#REF!="Wisconsin",+All!#REF!,0))</f>
        <v>#REF!</v>
      </c>
      <c r="U197" s="461" t="e">
        <f>IF(+All!#REF!="Wisconsin",+All!#REF!,IF(+All!#REF!="Wisconsin",+All!#REF!,0))</f>
        <v>#REF!</v>
      </c>
    </row>
    <row r="198" spans="1:21" x14ac:dyDescent="0.8">
      <c r="A198" s="46">
        <f>IF(+All!$F619="Wisconsin",+All!A619,IF(+All!$H619="Wisconsin",+All!A619,0))</f>
        <v>10</v>
      </c>
      <c r="B198" s="348" t="str">
        <f>IF(+All!$F619="Wisconsin",+All!B619,IF(+All!$H619="Wisconsin",+All!B619,0))</f>
        <v>Sat</v>
      </c>
      <c r="C198" s="72">
        <f>IF(+All!$F619="Wisconsin",+All!C619,IF(+All!$H619="Wisconsin",+All!C619,0))</f>
        <v>44870</v>
      </c>
      <c r="D198" s="73">
        <f>IF(+All!$F619="Wisconsin",+All!D619,IF(+All!$H619="Wisconsin",+All!D619,0))</f>
        <v>0.5</v>
      </c>
      <c r="E198" s="461" t="str">
        <f>IF(+All!$F619="Wisconsin",+All!E619,IF(+All!$H619="Wisconsin",+All!E619,0))</f>
        <v>BTN</v>
      </c>
      <c r="F198" s="460" t="str">
        <f>IF(+All!$F619="Wisconsin",+All!F619,IF(+All!$H619="Wisconsin",+All!F619,0))</f>
        <v>Maryland</v>
      </c>
      <c r="G198" s="461" t="str">
        <f>IF(+All!$F619="Wisconsin",+All!G619,IF(+All!$H619="Wisconsin",+All!G619,0))</f>
        <v>B10</v>
      </c>
      <c r="H198" s="460" t="str">
        <f>IF(+All!$F619="Wisconsin",+All!H619,IF(+All!$H619="Wisconsin",+All!H619,0))</f>
        <v>Wisconsin</v>
      </c>
      <c r="I198" s="461" t="str">
        <f>IF(+All!$F619="Wisconsin",+All!I619,IF(+All!$H619="Wisconsin",+All!I619,0))</f>
        <v>B10</v>
      </c>
      <c r="J198" s="460" t="str">
        <f>IF(+All!$F619="Wisconsin",+All!J619,IF(+All!$H619="Wisconsin",+All!J619,0))</f>
        <v>Wisconsin</v>
      </c>
      <c r="K198" s="461" t="str">
        <f>IF(+All!$F619="Wisconsin",+All!K619,IF(+All!$H619="Wisconsin",+All!K619,0))</f>
        <v>Maryland</v>
      </c>
      <c r="L198" s="60">
        <f>IF(+All!$F619="Wisconsin",+All!L619,IF(+All!$H619="Wisconsin",+All!L619,0))</f>
        <v>5</v>
      </c>
      <c r="M198" s="61">
        <f>IF(+All!$F619="Wisconsin",+All!M619,IF(+All!$H619="Wisconsin",+All!M619,0))</f>
        <v>52</v>
      </c>
      <c r="N198" s="460" t="str">
        <f>IF(+All!$F619="Wisconsin",+All!N619,IF(+All!$H619="Wisconsin",+All!N619,0))</f>
        <v>Wisconsin</v>
      </c>
      <c r="O198" s="462">
        <f>IF(+All!$F619="Wisconsin",+All!O619,IF(+All!$H619="Wisconsin",+All!O619,0))</f>
        <v>23</v>
      </c>
      <c r="P198" s="462" t="str">
        <f>IF(+All!$F619="Wisconsin",+All!P619,IF(+All!$H619="Wisconsin",+All!P619,0))</f>
        <v>Maryland</v>
      </c>
      <c r="Q198" s="461">
        <f>IF(+All!$F619="Wisconsin",+All!Q619,IF(+All!$H619="Wisconsin",+All!Q619,0))</f>
        <v>10</v>
      </c>
      <c r="R198" s="460" t="str">
        <f>IF(+All!$F619="Wisconsin",+All!R619,IF(+All!$H619="Wisconsin",+All!R619,0))</f>
        <v>Wisconsin</v>
      </c>
      <c r="S198" s="462" t="str">
        <f>IF(+All!$F619="Wisconsin",+All!S619,IF(+All!$H619="Wisconsin",+All!S619,0))</f>
        <v>Maryland</v>
      </c>
      <c r="T198" s="460" t="str">
        <f>IF(+All!$F619="Wisconsin",+All!T619,IF(+All!$H619="Wisconsin",+All!T619,0))</f>
        <v>Wisconsin</v>
      </c>
      <c r="U198" s="461" t="str">
        <f>IF(+All!$F619="Wisconsin",+All!U619,IF(+All!$H619="Wisconsin",+All!U619,0))</f>
        <v>W</v>
      </c>
    </row>
    <row r="199" spans="1:21" x14ac:dyDescent="0.8">
      <c r="A199" s="46">
        <f>IF(+All!$F676="Wisconsin",+All!A676,IF(+All!$H676="Wisconsin",+All!A676,0))</f>
        <v>11</v>
      </c>
      <c r="B199" s="348" t="str">
        <f>IF(+All!$F676="Wisconsin",+All!B676,IF(+All!$H676="Wisconsin",+All!B676,0))</f>
        <v>Sat</v>
      </c>
      <c r="C199" s="72">
        <f>IF(+All!$F676="Wisconsin",+All!C676,IF(+All!$H676="Wisconsin",+All!C676,0))</f>
        <v>44877</v>
      </c>
      <c r="D199" s="73">
        <f>IF(+All!$F676="Wisconsin",+All!D676,IF(+All!$H676="Wisconsin",+All!D676,0))</f>
        <v>0.64583333333333337</v>
      </c>
      <c r="E199" s="461" t="str">
        <f>IF(+All!$F676="Wisconsin",+All!E676,IF(+All!$H676="Wisconsin",+All!E676,0))</f>
        <v>FS1</v>
      </c>
      <c r="F199" s="460" t="str">
        <f>IF(+All!$F676="Wisconsin",+All!F676,IF(+All!$H676="Wisconsin",+All!F676,0))</f>
        <v>Wisconsin</v>
      </c>
      <c r="G199" s="461" t="str">
        <f>IF(+All!$F676="Wisconsin",+All!G676,IF(+All!$H676="Wisconsin",+All!G676,0))</f>
        <v>B10</v>
      </c>
      <c r="H199" s="460" t="str">
        <f>IF(+All!$F676="Wisconsin",+All!H676,IF(+All!$H676="Wisconsin",+All!H676,0))</f>
        <v>Iowa</v>
      </c>
      <c r="I199" s="461" t="str">
        <f>IF(+All!$F676="Wisconsin",+All!I676,IF(+All!$H676="Wisconsin",+All!I676,0))</f>
        <v>B10</v>
      </c>
      <c r="J199" s="460" t="str">
        <f>IF(+All!$F676="Wisconsin",+All!J676,IF(+All!$H676="Wisconsin",+All!J676,0))</f>
        <v>Wisconsin</v>
      </c>
      <c r="K199" s="461" t="str">
        <f>IF(+All!$F676="Wisconsin",+All!K676,IF(+All!$H676="Wisconsin",+All!K676,0))</f>
        <v>Iowa</v>
      </c>
      <c r="L199" s="60">
        <f>IF(+All!$F676="Wisconsin",+All!L676,IF(+All!$H676="Wisconsin",+All!L676,0))</f>
        <v>1.5</v>
      </c>
      <c r="M199" s="61">
        <f>IF(+All!$F676="Wisconsin",+All!M676,IF(+All!$H676="Wisconsin",+All!M676,0))</f>
        <v>35</v>
      </c>
      <c r="N199" s="460" t="str">
        <f>IF(+All!$F676="Wisconsin",+All!N676,IF(+All!$H676="Wisconsin",+All!N676,0))</f>
        <v>Iowa</v>
      </c>
      <c r="O199" s="462">
        <f>IF(+All!$F676="Wisconsin",+All!O676,IF(+All!$H676="Wisconsin",+All!O676,0))</f>
        <v>24</v>
      </c>
      <c r="P199" s="462" t="str">
        <f>IF(+All!$F676="Wisconsin",+All!P676,IF(+All!$H676="Wisconsin",+All!P676,0))</f>
        <v>Wisconsin</v>
      </c>
      <c r="Q199" s="461">
        <f>IF(+All!$F676="Wisconsin",+All!Q676,IF(+All!$H676="Wisconsin",+All!Q676,0))</f>
        <v>10</v>
      </c>
      <c r="R199" s="460" t="str">
        <f>IF(+All!$F676="Wisconsin",+All!R676,IF(+All!$H676="Wisconsin",+All!R676,0))</f>
        <v>Iowa</v>
      </c>
      <c r="S199" s="462" t="str">
        <f>IF(+All!$F676="Wisconsin",+All!S676,IF(+All!$H676="Wisconsin",+All!S676,0))</f>
        <v>Wisconsin</v>
      </c>
      <c r="T199" s="460" t="str">
        <f>IF(+All!$F676="Wisconsin",+All!T676,IF(+All!$H676="Wisconsin",+All!T676,0))</f>
        <v>Iowa</v>
      </c>
      <c r="U199" s="461" t="str">
        <f>IF(+All!$F676="Wisconsin",+All!U676,IF(+All!$H676="Wisconsin",+All!U676,0))</f>
        <v>W</v>
      </c>
    </row>
    <row r="200" spans="1:21" x14ac:dyDescent="0.8">
      <c r="A200" s="46">
        <f>IF(+All!$F741="Wisconsin",+All!A741,IF(+All!$H741="Wisconsin",+All!A741,0))</f>
        <v>12</v>
      </c>
      <c r="B200" s="348" t="str">
        <f>IF(+All!$F741="Wisconsin",+All!B741,IF(+All!$H741="Wisconsin",+All!B741,0))</f>
        <v>Sat</v>
      </c>
      <c r="C200" s="72">
        <f>IF(+All!$F741="Wisconsin",+All!C741,IF(+All!$H741="Wisconsin",+All!C741,0))</f>
        <v>44884</v>
      </c>
      <c r="D200" s="73">
        <f>IF(+All!$F741="Wisconsin",+All!D741,IF(+All!$H741="Wisconsin",+All!D741,0))</f>
        <v>0.5</v>
      </c>
      <c r="E200" s="461" t="str">
        <f>IF(+All!$F741="Wisconsin",+All!E741,IF(+All!$H741="Wisconsin",+All!E741,0))</f>
        <v>ESPN</v>
      </c>
      <c r="F200" s="460" t="str">
        <f>IF(+All!$F741="Wisconsin",+All!F741,IF(+All!$H741="Wisconsin",+All!F741,0))</f>
        <v>Wisconsin</v>
      </c>
      <c r="G200" s="461" t="str">
        <f>IF(+All!$F741="Wisconsin",+All!G741,IF(+All!$H741="Wisconsin",+All!G741,0))</f>
        <v>B10</v>
      </c>
      <c r="H200" s="460" t="str">
        <f>IF(+All!$F741="Wisconsin",+All!H741,IF(+All!$H741="Wisconsin",+All!H741,0))</f>
        <v>Nebraska</v>
      </c>
      <c r="I200" s="461" t="str">
        <f>IF(+All!$F741="Wisconsin",+All!I741,IF(+All!$H741="Wisconsin",+All!I741,0))</f>
        <v>B10</v>
      </c>
      <c r="J200" s="460" t="str">
        <f>IF(+All!$F741="Wisconsin",+All!J741,IF(+All!$H741="Wisconsin",+All!J741,0))</f>
        <v>Wisconsin</v>
      </c>
      <c r="K200" s="461" t="str">
        <f>IF(+All!$F741="Wisconsin",+All!K741,IF(+All!$H741="Wisconsin",+All!K741,0))</f>
        <v>Nebraska</v>
      </c>
      <c r="L200" s="60">
        <f>IF(+All!$F741="Wisconsin",+All!L741,IF(+All!$H741="Wisconsin",+All!L741,0))</f>
        <v>12.5</v>
      </c>
      <c r="M200" s="61">
        <f>IF(+All!$F741="Wisconsin",+All!M741,IF(+All!$H741="Wisconsin",+All!M741,0))</f>
        <v>39</v>
      </c>
      <c r="N200" s="460" t="str">
        <f>IF(+All!$F741="Wisconsin",+All!N741,IF(+All!$H741="Wisconsin",+All!N741,0))</f>
        <v>Wisconsin</v>
      </c>
      <c r="O200" s="462">
        <f>IF(+All!$F741="Wisconsin",+All!O741,IF(+All!$H741="Wisconsin",+All!O741,0))</f>
        <v>15</v>
      </c>
      <c r="P200" s="462" t="str">
        <f>IF(+All!$F741="Wisconsin",+All!P741,IF(+All!$H741="Wisconsin",+All!P741,0))</f>
        <v>Nebraska</v>
      </c>
      <c r="Q200" s="461">
        <f>IF(+All!$F741="Wisconsin",+All!Q741,IF(+All!$H741="Wisconsin",+All!Q741,0))</f>
        <v>14</v>
      </c>
      <c r="R200" s="460" t="str">
        <f>IF(+All!$F741="Wisconsin",+All!R741,IF(+All!$H741="Wisconsin",+All!R741,0))</f>
        <v>Nebraska</v>
      </c>
      <c r="S200" s="462" t="str">
        <f>IF(+All!$F741="Wisconsin",+All!S741,IF(+All!$H741="Wisconsin",+All!S741,0))</f>
        <v>Wisconsin</v>
      </c>
      <c r="T200" s="460" t="str">
        <f>IF(+All!$F741="Wisconsin",+All!T741,IF(+All!$H741="Wisconsin",+All!T741,0))</f>
        <v>Nebraska</v>
      </c>
      <c r="U200" s="461" t="str">
        <f>IF(+All!$F741="Wisconsin",+All!U741,IF(+All!$H741="Wisconsin",+All!U741,0))</f>
        <v>W</v>
      </c>
    </row>
    <row r="201" spans="1:21" x14ac:dyDescent="0.8">
      <c r="A201" s="46">
        <f>IF(+All!$F813="Wisconsin",+All!A813,IF(+All!$H813="Wisconsin",+All!A813,0))</f>
        <v>13</v>
      </c>
      <c r="B201" s="348" t="str">
        <f>IF(+All!$F813="Wisconsin",+All!B813,IF(+All!$H813="Wisconsin",+All!B813,0))</f>
        <v>Sat</v>
      </c>
      <c r="C201" s="72">
        <f>IF(+All!$F813="Wisconsin",+All!C813,IF(+All!$H813="Wisconsin",+All!C813,0))</f>
        <v>44891</v>
      </c>
      <c r="D201" s="73">
        <f>IF(+All!$F813="Wisconsin",+All!D813,IF(+All!$H813="Wisconsin",+All!D813,0))</f>
        <v>0.64583333333333337</v>
      </c>
      <c r="E201" s="461" t="str">
        <f>IF(+All!$F813="Wisconsin",+All!E813,IF(+All!$H813="Wisconsin",+All!E813,0))</f>
        <v>ESPN</v>
      </c>
      <c r="F201" s="460" t="str">
        <f>IF(+All!$F813="Wisconsin",+All!F813,IF(+All!$H813="Wisconsin",+All!F813,0))</f>
        <v>Minnesota</v>
      </c>
      <c r="G201" s="461" t="str">
        <f>IF(+All!$F813="Wisconsin",+All!G813,IF(+All!$H813="Wisconsin",+All!G813,0))</f>
        <v>B10</v>
      </c>
      <c r="H201" s="460" t="str">
        <f>IF(+All!$F813="Wisconsin",+All!H813,IF(+All!$H813="Wisconsin",+All!H813,0))</f>
        <v>Wisconsin</v>
      </c>
      <c r="I201" s="461" t="str">
        <f>IF(+All!$F813="Wisconsin",+All!I813,IF(+All!$H813="Wisconsin",+All!I813,0))</f>
        <v>B10</v>
      </c>
      <c r="J201" s="460" t="str">
        <f>IF(+All!$F813="Wisconsin",+All!J813,IF(+All!$H813="Wisconsin",+All!J813,0))</f>
        <v>Wisconsin</v>
      </c>
      <c r="K201" s="461" t="str">
        <f>IF(+All!$F813="Wisconsin",+All!K813,IF(+All!$H813="Wisconsin",+All!K813,0))</f>
        <v>Minnesota</v>
      </c>
      <c r="L201" s="60">
        <f>IF(+All!$F813="Wisconsin",+All!L813,IF(+All!$H813="Wisconsin",+All!L813,0))</f>
        <v>3.5</v>
      </c>
      <c r="M201" s="61">
        <f>IF(+All!$F813="Wisconsin",+All!M813,IF(+All!$H813="Wisconsin",+All!M813,0))</f>
        <v>36</v>
      </c>
      <c r="N201" s="460" t="str">
        <f>IF(+All!$F813="Wisconsin",+All!N813,IF(+All!$H813="Wisconsin",+All!N813,0))</f>
        <v>Minnesota</v>
      </c>
      <c r="O201" s="462">
        <f>IF(+All!$F813="Wisconsin",+All!O813,IF(+All!$H813="Wisconsin",+All!O813,0))</f>
        <v>23</v>
      </c>
      <c r="P201" s="462" t="str">
        <f>IF(+All!$F813="Wisconsin",+All!P813,IF(+All!$H813="Wisconsin",+All!P813,0))</f>
        <v>Wisconsin</v>
      </c>
      <c r="Q201" s="461">
        <f>IF(+All!$F813="Wisconsin",+All!Q813,IF(+All!$H813="Wisconsin",+All!Q813,0))</f>
        <v>16</v>
      </c>
      <c r="R201" s="460" t="str">
        <f>IF(+All!$F813="Wisconsin",+All!R813,IF(+All!$H813="Wisconsin",+All!R813,0))</f>
        <v>Minnesota</v>
      </c>
      <c r="S201" s="462" t="str">
        <f>IF(+All!$F813="Wisconsin",+All!S813,IF(+All!$H813="Wisconsin",+All!S813,0))</f>
        <v>Wisconsin</v>
      </c>
      <c r="T201" s="460" t="str">
        <f>IF(+All!$F813="Wisconsin",+All!T813,IF(+All!$H813="Wisconsin",+All!T813,0))</f>
        <v>Wisconsin</v>
      </c>
      <c r="U201" s="461" t="str">
        <f>IF(+All!$F813="Wisconsin",+All!U813,IF(+All!$H813="Wisconsin",+All!U813,0))</f>
        <v>L</v>
      </c>
    </row>
  </sheetData>
  <sortState xmlns:xlrd2="http://schemas.microsoft.com/office/spreadsheetml/2017/richdata2" ref="A189:U201">
    <sortCondition ref="A189:A201"/>
    <sortCondition ref="F189:F201"/>
  </sortState>
  <mergeCells count="17">
    <mergeCell ref="R1:S1"/>
    <mergeCell ref="F160:I160"/>
    <mergeCell ref="F3:I3"/>
    <mergeCell ref="F1:I1"/>
    <mergeCell ref="F117:I117"/>
    <mergeCell ref="F132:I132"/>
    <mergeCell ref="F146:I146"/>
    <mergeCell ref="F18:I18"/>
    <mergeCell ref="F32:I32"/>
    <mergeCell ref="F46:I46"/>
    <mergeCell ref="F60:I60"/>
    <mergeCell ref="F74:I74"/>
    <mergeCell ref="F88:I88"/>
    <mergeCell ref="F102:I102"/>
    <mergeCell ref="F174:I174"/>
    <mergeCell ref="F188:I188"/>
    <mergeCell ref="N1:Q1"/>
  </mergeCells>
  <pageMargins left="0.25" right="0.25" top="0.25" bottom="0.25" header="0" footer="0"/>
  <pageSetup scale="58" fitToHeight="0" orientation="landscape" r:id="rId1"/>
  <headerFooter alignWithMargins="0">
    <oddFooter>&amp;C&amp;36BIG 10</oddFooter>
  </headerFooter>
  <rowBreaks count="3" manualBreakCount="3">
    <brk id="59" max="18" man="1"/>
    <brk id="101" max="18" man="1"/>
    <brk id="145" max="18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U142"/>
  <sheetViews>
    <sheetView view="pageBreakPreview" topLeftCell="A85" zoomScale="75" zoomScaleNormal="75" zoomScaleSheetLayoutView="75" workbookViewId="0">
      <selection activeCell="A14" sqref="A14"/>
    </sheetView>
  </sheetViews>
  <sheetFormatPr defaultColWidth="8.86328125" defaultRowHeight="16" x14ac:dyDescent="0.8"/>
  <cols>
    <col min="1" max="1" width="5.6796875" style="46" customWidth="1"/>
    <col min="2" max="2" width="5.6796875" style="47" hidden="1" customWidth="1"/>
    <col min="3" max="3" width="13" style="72" hidden="1" customWidth="1"/>
    <col min="4" max="4" width="11.6796875" style="73" hidden="1" customWidth="1"/>
    <col min="5" max="5" width="9.1328125" style="50" hidden="1" customWidth="1"/>
    <col min="6" max="6" width="24.453125" style="53" customWidth="1"/>
    <col min="7" max="7" width="8.6796875" style="50" hidden="1" customWidth="1"/>
    <col min="8" max="8" width="24.453125" style="56" customWidth="1"/>
    <col min="9" max="9" width="8.6796875" style="50" hidden="1" customWidth="1"/>
    <col min="10" max="10" width="24.453125" style="53" customWidth="1"/>
    <col min="11" max="11" width="24.453125" style="50" customWidth="1"/>
    <col min="12" max="12" width="8" style="60" customWidth="1"/>
    <col min="13" max="13" width="8" style="61" customWidth="1"/>
    <col min="14" max="14" width="24.453125" style="53" customWidth="1"/>
    <col min="15" max="15" width="5.6796875" style="56" customWidth="1"/>
    <col min="16" max="16" width="24.453125" style="56" customWidth="1"/>
    <col min="17" max="17" width="5.6796875" style="50" customWidth="1"/>
    <col min="18" max="18" width="24.453125" style="53" customWidth="1"/>
    <col min="19" max="19" width="24.453125" style="56" customWidth="1"/>
    <col min="20" max="20" width="27.6796875" style="53" customWidth="1"/>
    <col min="21" max="21" width="6.54296875" style="50" customWidth="1"/>
    <col min="22" max="16384" width="8.86328125" style="9"/>
  </cols>
  <sheetData>
    <row r="1" spans="1:21" s="21" customFormat="1" ht="16" customHeight="1" x14ac:dyDescent="0.8">
      <c r="A1" s="10"/>
      <c r="B1" s="10"/>
      <c r="C1" s="11"/>
      <c r="D1" s="12"/>
      <c r="E1" s="13"/>
      <c r="F1" s="895" t="s">
        <v>2</v>
      </c>
      <c r="G1" s="900"/>
      <c r="H1" s="900"/>
      <c r="I1" s="896"/>
      <c r="J1" s="14"/>
      <c r="K1" s="13"/>
      <c r="L1" s="15"/>
      <c r="M1" s="16"/>
      <c r="N1" s="895" t="s">
        <v>3</v>
      </c>
      <c r="O1" s="900"/>
      <c r="P1" s="900"/>
      <c r="Q1" s="896"/>
      <c r="R1" s="895" t="s">
        <v>4</v>
      </c>
      <c r="S1" s="896"/>
      <c r="T1" s="14"/>
      <c r="U1" s="13"/>
    </row>
    <row r="2" spans="1:21" s="21" customFormat="1" ht="16" customHeight="1" x14ac:dyDescent="0.8">
      <c r="A2" s="22" t="s">
        <v>10</v>
      </c>
      <c r="B2" s="23" t="s">
        <v>11</v>
      </c>
      <c r="C2" s="24" t="s">
        <v>12</v>
      </c>
      <c r="D2" s="25" t="s">
        <v>13</v>
      </c>
      <c r="E2" s="26" t="s">
        <v>14</v>
      </c>
      <c r="F2" s="27" t="s">
        <v>6</v>
      </c>
      <c r="G2" s="456" t="s">
        <v>15</v>
      </c>
      <c r="H2" s="455" t="s">
        <v>8</v>
      </c>
      <c r="I2" s="26" t="s">
        <v>15</v>
      </c>
      <c r="J2" s="27" t="s">
        <v>16</v>
      </c>
      <c r="K2" s="26" t="s">
        <v>17</v>
      </c>
      <c r="L2" s="28" t="s">
        <v>18</v>
      </c>
      <c r="M2" s="29" t="s">
        <v>19</v>
      </c>
      <c r="N2" s="27" t="s">
        <v>20</v>
      </c>
      <c r="O2" s="30"/>
      <c r="P2" s="30" t="s">
        <v>21</v>
      </c>
      <c r="Q2" s="31"/>
      <c r="R2" s="27" t="s">
        <v>20</v>
      </c>
      <c r="S2" s="30" t="s">
        <v>21</v>
      </c>
      <c r="T2" s="27" t="s">
        <v>22</v>
      </c>
      <c r="U2" s="26" t="s">
        <v>23</v>
      </c>
    </row>
    <row r="3" spans="1:21" s="21" customFormat="1" ht="15.75" customHeight="1" x14ac:dyDescent="0.8">
      <c r="A3" s="38"/>
      <c r="B3" s="39"/>
      <c r="C3" s="40"/>
      <c r="D3" s="41"/>
      <c r="E3" s="42"/>
      <c r="F3" s="897" t="str">
        <f>H4</f>
        <v>Baylor</v>
      </c>
      <c r="G3" s="903"/>
      <c r="H3" s="903"/>
      <c r="I3" s="904"/>
      <c r="J3" s="43"/>
      <c r="K3" s="42"/>
      <c r="L3" s="44"/>
      <c r="M3" s="45"/>
      <c r="N3" s="43"/>
      <c r="O3" s="5"/>
      <c r="P3" s="5"/>
      <c r="Q3" s="42"/>
      <c r="R3" s="43"/>
      <c r="S3" s="5"/>
      <c r="T3" s="43"/>
      <c r="U3" s="42"/>
    </row>
    <row r="4" spans="1:21" s="358" customFormat="1" x14ac:dyDescent="0.8">
      <c r="A4" s="46">
        <f>IF(+All!$F39="Baylor",+All!A39,IF(+All!$H39="Baylor",+All!A39,0))</f>
        <v>1</v>
      </c>
      <c r="B4" s="348" t="str">
        <f>IF(+All!$F39="Baylor",+All!B39,IF(+All!$H39="Baylor",+All!B39,0))</f>
        <v>Sat</v>
      </c>
      <c r="C4" s="48">
        <f>IF(+All!$F39="Baylor",+All!C39,IF(+All!$H39="Baylor",+All!C39,0))</f>
        <v>44807</v>
      </c>
      <c r="D4" s="490">
        <f>IF(+All!$F39="Baylor",+All!D39,IF(+All!$H39="Baylor",+All!D39,0))</f>
        <v>0.79166666666666663</v>
      </c>
      <c r="E4" s="461">
        <f>IF(+All!$F39="Baylor",+All!E39,IF(+All!$H39="Baylor",+All!E39,0))</f>
        <v>0</v>
      </c>
      <c r="F4" s="51" t="str">
        <f>IF(+All!$F39="Baylor",+All!F39,IF(+All!$H39="Baylor",+All!F39,0))</f>
        <v>1AA Albany</v>
      </c>
      <c r="G4" s="52" t="str">
        <f>IF(+All!$F39="Baylor",+All!G39,IF(+All!$H39="Baylor",+All!G39,0))</f>
        <v>1AA</v>
      </c>
      <c r="H4" s="63" t="str">
        <f>IF(+All!$F39="Baylor",+All!H39,IF(+All!$H39="Baylor",+All!H39,0))</f>
        <v>Baylor</v>
      </c>
      <c r="I4" s="52" t="str">
        <f>IF(+All!$F39="Baylor",+All!I39,IF(+All!$H39="Baylor",+All!I39,0))</f>
        <v>B12</v>
      </c>
      <c r="J4" s="460">
        <f>IF(+All!$F39="Baylor",+All!J39,IF(+All!$H39="Baylor",+All!J39,0))</f>
        <v>0</v>
      </c>
      <c r="K4" s="461">
        <f>IF(+All!$F39="Baylor",+All!K39,IF(+All!$H39="Baylor",+All!K39,0))</f>
        <v>0</v>
      </c>
      <c r="L4" s="54">
        <f>IF(+All!$F39="Baylor",+All!L39,IF(+All!$H39="Baylor",+All!L39,0))</f>
        <v>0</v>
      </c>
      <c r="M4" s="55">
        <f>IF(+All!$F39="Baylor",+All!M39,IF(+All!$H39="Baylor",+All!M39,0))</f>
        <v>0</v>
      </c>
      <c r="N4" s="460" t="str">
        <f>IF(+All!$F39="Baylor",+All!N39,IF(+All!$H39="Baylor",+All!N39,0))</f>
        <v>Baylor</v>
      </c>
      <c r="O4" s="462">
        <f>IF(+All!$F39="Baylor",+All!O39,IF(+All!$H39="Baylor",+All!O39,0))</f>
        <v>69</v>
      </c>
      <c r="P4" s="462" t="str">
        <f>IF(+All!$F39="Baylor",+All!P39,IF(+All!$H39="Baylor",+All!P39,0))</f>
        <v>1AA Albany</v>
      </c>
      <c r="Q4" s="461">
        <f>IF(+All!$F39="Baylor",+All!Q39,IF(+All!$H39="Baylor",+All!Q39,0))</f>
        <v>10</v>
      </c>
      <c r="R4" s="460">
        <f>IF(+All!$F39="Baylor",+All!R39,IF(+All!$H39="Baylor",+All!R39,0))</f>
        <v>0</v>
      </c>
      <c r="S4" s="462">
        <f>IF(+All!$F39="Baylor",+All!S39,IF(+All!$H39="Baylor",+All!S39,0))</f>
        <v>0</v>
      </c>
      <c r="T4" s="460">
        <f>IF(+All!$F39="Baylor",+All!T39,IF(+All!$H39="Baylor",+All!T39,0))</f>
        <v>0</v>
      </c>
      <c r="U4" s="461">
        <f>IF(+All!$F39="Baylor",+All!U39,IF(+All!$H39="Baylor",+All!U39,0))</f>
        <v>0</v>
      </c>
    </row>
    <row r="5" spans="1:21" s="358" customFormat="1" x14ac:dyDescent="0.8">
      <c r="A5" s="46">
        <f>IF(+All!$F141="Baylor",+All!A141,IF(+All!$H141="Baylor",+All!A141,0))</f>
        <v>2</v>
      </c>
      <c r="B5" s="348" t="str">
        <f>IF(+All!$F141="Baylor",+All!B141,IF(+All!$H141="Baylor",+All!B141,0))</f>
        <v>Sat</v>
      </c>
      <c r="C5" s="48">
        <f>IF(+All!$F141="Baylor",+All!C141,IF(+All!$H141="Baylor",+All!C141,0))</f>
        <v>44814</v>
      </c>
      <c r="D5" s="490">
        <f>IF(+All!$F141="Baylor",+All!D141,IF(+All!$H141="Baylor",+All!D141,0))</f>
        <v>0.92708333333333337</v>
      </c>
      <c r="E5" s="461" t="str">
        <f>IF(+All!$F141="Baylor",+All!E141,IF(+All!$H141="Baylor",+All!E141,0))</f>
        <v>ESPN</v>
      </c>
      <c r="F5" s="51" t="str">
        <f>IF(+All!$F141="Baylor",+All!F141,IF(+All!$H141="Baylor",+All!F141,0))</f>
        <v>Baylor</v>
      </c>
      <c r="G5" s="52" t="str">
        <f>IF(+All!$F141="Baylor",+All!G141,IF(+All!$H141="Baylor",+All!G141,0))</f>
        <v>B12</v>
      </c>
      <c r="H5" s="63" t="str">
        <f>IF(+All!$F141="Baylor",+All!H141,IF(+All!$H141="Baylor",+All!H141,0))</f>
        <v>BYU</v>
      </c>
      <c r="I5" s="52" t="str">
        <f>IF(+All!$F141="Baylor",+All!I141,IF(+All!$H141="Baylor",+All!I141,0))</f>
        <v>Ind</v>
      </c>
      <c r="J5" s="460" t="str">
        <f>IF(+All!$F141="Baylor",+All!J141,IF(+All!$H141="Baylor",+All!J141,0))</f>
        <v>BYU</v>
      </c>
      <c r="K5" s="461" t="str">
        <f>IF(+All!$F141="Baylor",+All!K141,IF(+All!$H141="Baylor",+All!K141,0))</f>
        <v>Baylor</v>
      </c>
      <c r="L5" s="54">
        <f>IF(+All!$F141="Baylor",+All!L141,IF(+All!$H141="Baylor",+All!L141,0))</f>
        <v>3.5</v>
      </c>
      <c r="M5" s="55">
        <f>IF(+All!$F141="Baylor",+All!M141,IF(+All!$H141="Baylor",+All!M141,0))</f>
        <v>53.5</v>
      </c>
      <c r="N5" s="460" t="str">
        <f>IF(+All!$F141="Baylor",+All!N141,IF(+All!$H141="Baylor",+All!N141,0))</f>
        <v>BYU</v>
      </c>
      <c r="O5" s="462">
        <f>IF(+All!$F141="Baylor",+All!O141,IF(+All!$H141="Baylor",+All!O141,0))</f>
        <v>26</v>
      </c>
      <c r="P5" s="462" t="str">
        <f>IF(+All!$F141="Baylor",+All!P141,IF(+All!$H141="Baylor",+All!P141,0))</f>
        <v>Baylor</v>
      </c>
      <c r="Q5" s="461">
        <f>IF(+All!$F141="Baylor",+All!Q141,IF(+All!$H141="Baylor",+All!Q141,0))</f>
        <v>20</v>
      </c>
      <c r="R5" s="460" t="str">
        <f>IF(+All!$F141="Baylor",+All!R141,IF(+All!$H141="Baylor",+All!R141,0))</f>
        <v>BYU</v>
      </c>
      <c r="S5" s="462" t="str">
        <f>IF(+All!$F141="Baylor",+All!S141,IF(+All!$H141="Baylor",+All!S141,0))</f>
        <v>Baylor</v>
      </c>
      <c r="T5" s="460" t="str">
        <f>IF(+All!$F141="Baylor",+All!T141,IF(+All!$H141="Baylor",+All!T141,0))</f>
        <v>Baylor</v>
      </c>
      <c r="U5" s="461" t="str">
        <f>IF(+All!$F141="Baylor",+All!U141,IF(+All!$H141="Baylor",+All!U141,0))</f>
        <v>L</v>
      </c>
    </row>
    <row r="6" spans="1:21" s="358" customFormat="1" x14ac:dyDescent="0.8">
      <c r="A6" s="46">
        <f>IF(+All!$F206="Baylor",+All!A206,IF(+All!$H206="Baylor",+All!A206,0))</f>
        <v>3</v>
      </c>
      <c r="B6" s="348" t="str">
        <f>IF(+All!$F206="Baylor",+All!B206,IF(+All!$H206="Baylor",+All!B206,0))</f>
        <v>Sat</v>
      </c>
      <c r="C6" s="48">
        <f>IF(+All!$F206="Baylor",+All!C206,IF(+All!$H206="Baylor",+All!C206,0))</f>
        <v>44821</v>
      </c>
      <c r="D6" s="490">
        <f>IF(+All!$F206="Baylor",+All!D206,IF(+All!$H206="Baylor",+All!D206,0))</f>
        <v>0.5</v>
      </c>
      <c r="E6" s="461" t="str">
        <f>IF(+All!$F206="Baylor",+All!E206,IF(+All!$H206="Baylor",+All!E206,0))</f>
        <v>FS1</v>
      </c>
      <c r="F6" s="51" t="str">
        <f>IF(+All!$F206="Baylor",+All!F206,IF(+All!$H206="Baylor",+All!F206,0))</f>
        <v>Texas State</v>
      </c>
      <c r="G6" s="52" t="str">
        <f>IF(+All!$F206="Baylor",+All!G206,IF(+All!$H206="Baylor",+All!G206,0))</f>
        <v>SB</v>
      </c>
      <c r="H6" s="63" t="str">
        <f>IF(+All!$F206="Baylor",+All!H206,IF(+All!$H206="Baylor",+All!H206,0))</f>
        <v>Baylor</v>
      </c>
      <c r="I6" s="52" t="str">
        <f>IF(+All!$F206="Baylor",+All!I206,IF(+All!$H206="Baylor",+All!I206,0))</f>
        <v>B12</v>
      </c>
      <c r="J6" s="460" t="str">
        <f>IF(+All!$F206="Baylor",+All!J206,IF(+All!$H206="Baylor",+All!J206,0))</f>
        <v>Baylor</v>
      </c>
      <c r="K6" s="461" t="str">
        <f>IF(+All!$F206="Baylor",+All!K206,IF(+All!$H206="Baylor",+All!K206,0))</f>
        <v>Texas State</v>
      </c>
      <c r="L6" s="54">
        <f>IF(+All!$F206="Baylor",+All!L206,IF(+All!$H206="Baylor",+All!L206,0))</f>
        <v>30</v>
      </c>
      <c r="M6" s="55">
        <f>IF(+All!$F206="Baylor",+All!M206,IF(+All!$H206="Baylor",+All!M206,0))</f>
        <v>53</v>
      </c>
      <c r="N6" s="460" t="str">
        <f>IF(+All!$F206="Baylor",+All!N206,IF(+All!$H206="Baylor",+All!N206,0))</f>
        <v>Baylor</v>
      </c>
      <c r="O6" s="462">
        <f>IF(+All!$F206="Baylor",+All!O206,IF(+All!$H206="Baylor",+All!O206,0))</f>
        <v>42</v>
      </c>
      <c r="P6" s="462" t="str">
        <f>IF(+All!$F206="Baylor",+All!P206,IF(+All!$H206="Baylor",+All!P206,0))</f>
        <v>Texas State</v>
      </c>
      <c r="Q6" s="461">
        <f>IF(+All!$F206="Baylor",+All!Q206,IF(+All!$H206="Baylor",+All!Q206,0))</f>
        <v>7</v>
      </c>
      <c r="R6" s="460" t="str">
        <f>IF(+All!$F206="Baylor",+All!R206,IF(+All!$H206="Baylor",+All!R206,0))</f>
        <v>Baylor</v>
      </c>
      <c r="S6" s="462" t="str">
        <f>IF(+All!$F206="Baylor",+All!S206,IF(+All!$H206="Baylor",+All!S206,0))</f>
        <v>Texas State</v>
      </c>
      <c r="T6" s="460" t="str">
        <f>IF(+All!$F206="Baylor",+All!T206,IF(+All!$H206="Baylor",+All!T206,0))</f>
        <v>Baylor</v>
      </c>
      <c r="U6" s="461" t="str">
        <f>IF(+All!$F206="Baylor",+All!U206,IF(+All!$H206="Baylor",+All!U206,0))</f>
        <v>W</v>
      </c>
    </row>
    <row r="7" spans="1:21" s="358" customFormat="1" x14ac:dyDescent="0.8">
      <c r="A7" s="46">
        <f>IF(+All!$F280="Baylor",+All!A280,IF(+All!$H280="Baylor",+All!A280,0))</f>
        <v>4</v>
      </c>
      <c r="B7" s="348" t="str">
        <f>IF(+All!$F280="Baylor",+All!B280,IF(+All!$H280="Baylor",+All!B280,0))</f>
        <v>Sat</v>
      </c>
      <c r="C7" s="48">
        <f>IF(+All!$F280="Baylor",+All!C280,IF(+All!$H280="Baylor",+All!C280,0))</f>
        <v>44828</v>
      </c>
      <c r="D7" s="490">
        <f>IF(+All!$F280="Baylor",+All!D280,IF(+All!$H280="Baylor",+All!D280,0))</f>
        <v>0.5</v>
      </c>
      <c r="E7" s="461" t="str">
        <f>IF(+All!$F280="Baylor",+All!E280,IF(+All!$H280="Baylor",+All!E280,0))</f>
        <v>ESPN2</v>
      </c>
      <c r="F7" s="51" t="str">
        <f>IF(+All!$F280="Baylor",+All!F280,IF(+All!$H280="Baylor",+All!F280,0))</f>
        <v>Baylor</v>
      </c>
      <c r="G7" s="52" t="str">
        <f>IF(+All!$F280="Baylor",+All!G280,IF(+All!$H280="Baylor",+All!G280,0))</f>
        <v>B12</v>
      </c>
      <c r="H7" s="63" t="str">
        <f>IF(+All!$F280="Baylor",+All!H280,IF(+All!$H280="Baylor",+All!H280,0))</f>
        <v>Iowa State</v>
      </c>
      <c r="I7" s="52" t="str">
        <f>IF(+All!$F280="Baylor",+All!I280,IF(+All!$H280="Baylor",+All!I280,0))</f>
        <v>B12</v>
      </c>
      <c r="J7" s="460" t="str">
        <f>IF(+All!$F280="Baylor",+All!J280,IF(+All!$H280="Baylor",+All!J280,0))</f>
        <v>Iowa State</v>
      </c>
      <c r="K7" s="461" t="str">
        <f>IF(+All!$F280="Baylor",+All!K280,IF(+All!$H280="Baylor",+All!K280,0))</f>
        <v>Baylor</v>
      </c>
      <c r="L7" s="54">
        <f>IF(+All!$F280="Baylor",+All!L280,IF(+All!$H280="Baylor",+All!L280,0))</f>
        <v>2.5</v>
      </c>
      <c r="M7" s="55">
        <f>IF(+All!$F280="Baylor",+All!M280,IF(+All!$H280="Baylor",+All!M280,0))</f>
        <v>46</v>
      </c>
      <c r="N7" s="460" t="str">
        <f>IF(+All!$F280="Baylor",+All!N280,IF(+All!$H280="Baylor",+All!N280,0))</f>
        <v>Baylor</v>
      </c>
      <c r="O7" s="462">
        <f>IF(+All!$F280="Baylor",+All!O280,IF(+All!$H280="Baylor",+All!O280,0))</f>
        <v>31</v>
      </c>
      <c r="P7" s="462" t="str">
        <f>IF(+All!$F280="Baylor",+All!P280,IF(+All!$H280="Baylor",+All!P280,0))</f>
        <v>Iowa State</v>
      </c>
      <c r="Q7" s="461">
        <f>IF(+All!$F280="Baylor",+All!Q280,IF(+All!$H280="Baylor",+All!Q280,0))</f>
        <v>24</v>
      </c>
      <c r="R7" s="460" t="str">
        <f>IF(+All!$F280="Baylor",+All!R280,IF(+All!$H280="Baylor",+All!R280,0))</f>
        <v>Baylor</v>
      </c>
      <c r="S7" s="462" t="str">
        <f>IF(+All!$F280="Baylor",+All!S280,IF(+All!$H280="Baylor",+All!S280,0))</f>
        <v>Iowa State</v>
      </c>
      <c r="T7" s="460" t="str">
        <f>IF(+All!$F280="Baylor",+All!T280,IF(+All!$H280="Baylor",+All!T280,0))</f>
        <v>Baylor</v>
      </c>
      <c r="U7" s="461" t="str">
        <f>IF(+All!$F280="Baylor",+All!U280,IF(+All!$H280="Baylor",+All!U280,0))</f>
        <v>W</v>
      </c>
    </row>
    <row r="8" spans="1:21" s="358" customFormat="1" x14ac:dyDescent="0.8">
      <c r="A8" s="46">
        <f>IF(+All!$F342="Baylor",+All!A342,IF(+All!$H342="Baylor",+All!A342,0))</f>
        <v>5</v>
      </c>
      <c r="B8" s="348" t="str">
        <f>IF(+All!$F342="Baylor",+All!B342,IF(+All!$H342="Baylor",+All!B342,0))</f>
        <v>Sat</v>
      </c>
      <c r="C8" s="48">
        <f>IF(+All!$F342="Baylor",+All!C342,IF(+All!$H342="Baylor",+All!C342,0))</f>
        <v>44835</v>
      </c>
      <c r="D8" s="490">
        <f>IF(+All!$F342="Baylor",+All!D342,IF(+All!$H342="Baylor",+All!D342,0))</f>
        <v>0.64583333333333337</v>
      </c>
      <c r="E8" s="461" t="str">
        <f>IF(+All!$F342="Baylor",+All!E342,IF(+All!$H342="Baylor",+All!E342,0))</f>
        <v>Fox</v>
      </c>
      <c r="F8" s="51" t="str">
        <f>IF(+All!$F342="Baylor",+All!F342,IF(+All!$H342="Baylor",+All!F342,0))</f>
        <v>Oklahoma State</v>
      </c>
      <c r="G8" s="52" t="str">
        <f>IF(+All!$F342="Baylor",+All!G342,IF(+All!$H342="Baylor",+All!G342,0))</f>
        <v>B12</v>
      </c>
      <c r="H8" s="63" t="str">
        <f>IF(+All!$F342="Baylor",+All!H342,IF(+All!$H342="Baylor",+All!H342,0))</f>
        <v>Baylor</v>
      </c>
      <c r="I8" s="52" t="str">
        <f>IF(+All!$F342="Baylor",+All!I342,IF(+All!$H342="Baylor",+All!I342,0))</f>
        <v>B12</v>
      </c>
      <c r="J8" s="460" t="str">
        <f>IF(+All!$F342="Baylor",+All!J342,IF(+All!$H342="Baylor",+All!J342,0))</f>
        <v>Baylor</v>
      </c>
      <c r="K8" s="461" t="str">
        <f>IF(+All!$F342="Baylor",+All!K342,IF(+All!$H342="Baylor",+All!K342,0))</f>
        <v>Oklahoma State</v>
      </c>
      <c r="L8" s="54">
        <f>IF(+All!$F342="Baylor",+All!L342,IF(+All!$H342="Baylor",+All!L342,0))</f>
        <v>2.5</v>
      </c>
      <c r="M8" s="55">
        <f>IF(+All!$F342="Baylor",+All!M342,IF(+All!$H342="Baylor",+All!M342,0))</f>
        <v>55.5</v>
      </c>
      <c r="N8" s="460" t="str">
        <f>IF(+All!$F342="Baylor",+All!N342,IF(+All!$H342="Baylor",+All!N342,0))</f>
        <v>Oklahoma State</v>
      </c>
      <c r="O8" s="462">
        <f>IF(+All!$F342="Baylor",+All!O342,IF(+All!$H342="Baylor",+All!O342,0))</f>
        <v>36</v>
      </c>
      <c r="P8" s="462" t="str">
        <f>IF(+All!$F342="Baylor",+All!P342,IF(+All!$H342="Baylor",+All!P342,0))</f>
        <v>Baylor</v>
      </c>
      <c r="Q8" s="461">
        <f>IF(+All!$F342="Baylor",+All!Q342,IF(+All!$H342="Baylor",+All!Q342,0))</f>
        <v>24</v>
      </c>
      <c r="R8" s="460" t="str">
        <f>IF(+All!$F342="Baylor",+All!R342,IF(+All!$H342="Baylor",+All!R342,0))</f>
        <v>Oklahoma State</v>
      </c>
      <c r="S8" s="462" t="str">
        <f>IF(+All!$F342="Baylor",+All!S342,IF(+All!$H342="Baylor",+All!S342,0))</f>
        <v>Baylor</v>
      </c>
      <c r="T8" s="460" t="str">
        <f>IF(+All!$F342="Baylor",+All!T342,IF(+All!$H342="Baylor",+All!T342,0))</f>
        <v>Oklahoma State</v>
      </c>
      <c r="U8" s="461" t="str">
        <f>IF(+All!$F342="Baylor",+All!U342,IF(+All!$H342="Baylor",+All!U342,0))</f>
        <v>W</v>
      </c>
    </row>
    <row r="9" spans="1:21" s="358" customFormat="1" x14ac:dyDescent="0.8">
      <c r="A9" s="46" t="e">
        <f>IF(+All!#REF!="Baylor",+All!#REF!,IF(+All!#REF!="Baylor",+All!#REF!,0))</f>
        <v>#REF!</v>
      </c>
      <c r="B9" s="348" t="e">
        <f>IF(+All!#REF!="Baylor",+All!#REF!,IF(+All!#REF!="Baylor",+All!#REF!,0))</f>
        <v>#REF!</v>
      </c>
      <c r="C9" s="48" t="e">
        <f>IF(+All!#REF!="Baylor",+All!#REF!,IF(+All!#REF!="Baylor",+All!#REF!,0))</f>
        <v>#REF!</v>
      </c>
      <c r="D9" s="490" t="e">
        <f>IF(+All!#REF!="Baylor",+All!#REF!,IF(+All!#REF!="Baylor",+All!#REF!,0))</f>
        <v>#REF!</v>
      </c>
      <c r="E9" s="461" t="e">
        <f>IF(+All!#REF!="Baylor",+All!#REF!,IF(+All!#REF!="Baylor",+All!#REF!,0))</f>
        <v>#REF!</v>
      </c>
      <c r="F9" s="51" t="e">
        <f>IF(+All!#REF!="Baylor",+All!#REF!,IF(+All!#REF!="Baylor",+All!#REF!,0))</f>
        <v>#REF!</v>
      </c>
      <c r="G9" s="52" t="e">
        <f>IF(+All!#REF!="Baylor",+All!#REF!,IF(+All!#REF!="Baylor",+All!#REF!,0))</f>
        <v>#REF!</v>
      </c>
      <c r="H9" s="63" t="e">
        <f>IF(+All!#REF!="Baylor",+All!#REF!,IF(+All!#REF!="Baylor",+All!#REF!,0))</f>
        <v>#REF!</v>
      </c>
      <c r="I9" s="52" t="e">
        <f>IF(+All!#REF!="Baylor",+All!#REF!,IF(+All!#REF!="Baylor",+All!#REF!,0))</f>
        <v>#REF!</v>
      </c>
      <c r="J9" s="460" t="e">
        <f>IF(+All!#REF!="Baylor",+All!#REF!,IF(+All!#REF!="Baylor",+All!#REF!,0))</f>
        <v>#REF!</v>
      </c>
      <c r="K9" s="461" t="e">
        <f>IF(+All!#REF!="Baylor",+All!#REF!,IF(+All!#REF!="Baylor",+All!#REF!,0))</f>
        <v>#REF!</v>
      </c>
      <c r="L9" s="54" t="e">
        <f>IF(+All!#REF!="Baylor",+All!#REF!,IF(+All!#REF!="Baylor",+All!#REF!,0))</f>
        <v>#REF!</v>
      </c>
      <c r="M9" s="55" t="e">
        <f>IF(+All!#REF!="Baylor",+All!#REF!,IF(+All!#REF!="Baylor",+All!#REF!,0))</f>
        <v>#REF!</v>
      </c>
      <c r="N9" s="460" t="e">
        <f>IF(+All!#REF!="Baylor",+All!#REF!,IF(+All!#REF!="Baylor",+All!#REF!,0))</f>
        <v>#REF!</v>
      </c>
      <c r="O9" s="462" t="e">
        <f>IF(+All!#REF!="Baylor",+All!#REF!,IF(+All!#REF!="Baylor",+All!#REF!,0))</f>
        <v>#REF!</v>
      </c>
      <c r="P9" s="462" t="e">
        <f>IF(+All!#REF!="Baylor",+All!#REF!,IF(+All!#REF!="Baylor",+All!#REF!,0))</f>
        <v>#REF!</v>
      </c>
      <c r="Q9" s="461" t="e">
        <f>IF(+All!#REF!="Baylor",+All!#REF!,IF(+All!#REF!="Baylor",+All!#REF!,0))</f>
        <v>#REF!</v>
      </c>
      <c r="R9" s="460" t="e">
        <f>IF(+All!#REF!="Baylor",+All!#REF!,IF(+All!#REF!="Baylor",+All!#REF!,0))</f>
        <v>#REF!</v>
      </c>
      <c r="S9" s="462" t="e">
        <f>IF(+All!#REF!="Baylor",+All!#REF!,IF(+All!#REF!="Baylor",+All!#REF!,0))</f>
        <v>#REF!</v>
      </c>
      <c r="T9" s="460" t="e">
        <f>IF(+All!#REF!="Baylor",+All!#REF!,IF(+All!#REF!="Baylor",+All!#REF!,0))</f>
        <v>#REF!</v>
      </c>
      <c r="U9" s="461" t="e">
        <f>IF(+All!#REF!="Baylor",+All!#REF!,IF(+All!#REF!="Baylor",+All!#REF!,0))</f>
        <v>#REF!</v>
      </c>
    </row>
    <row r="10" spans="1:21" s="358" customFormat="1" x14ac:dyDescent="0.8">
      <c r="A10" s="46">
        <f>IF(+All!$F440="Baylor",+All!A440,IF(+All!$H440="Baylor",+All!A440,0))</f>
        <v>7</v>
      </c>
      <c r="B10" s="348" t="str">
        <f>IF(+All!$F440="Baylor",+All!B440,IF(+All!$H440="Baylor",+All!B440,0))</f>
        <v>Thurs</v>
      </c>
      <c r="C10" s="48">
        <f>IF(+All!$F440="Baylor",+All!C440,IF(+All!$H440="Baylor",+All!C440,0))</f>
        <v>44847</v>
      </c>
      <c r="D10" s="490">
        <f>IF(+All!$F440="Baylor",+All!D440,IF(+All!$H440="Baylor",+All!D440,0))</f>
        <v>0.79166666666666663</v>
      </c>
      <c r="E10" s="461" t="str">
        <f>IF(+All!$F440="Baylor",+All!E440,IF(+All!$H440="Baylor",+All!E440,0))</f>
        <v>FS1</v>
      </c>
      <c r="F10" s="51" t="str">
        <f>IF(+All!$F440="Baylor",+All!F440,IF(+All!$H440="Baylor",+All!F440,0))</f>
        <v>Baylor</v>
      </c>
      <c r="G10" s="52" t="str">
        <f>IF(+All!$F440="Baylor",+All!G440,IF(+All!$H440="Baylor",+All!G440,0))</f>
        <v>B12</v>
      </c>
      <c r="H10" s="63" t="str">
        <f>IF(+All!$F440="Baylor",+All!H440,IF(+All!$H440="Baylor",+All!H440,0))</f>
        <v>West Virginia</v>
      </c>
      <c r="I10" s="52" t="str">
        <f>IF(+All!$F440="Baylor",+All!I440,IF(+All!$H440="Baylor",+All!I440,0))</f>
        <v>B12</v>
      </c>
      <c r="J10" s="460" t="str">
        <f>IF(+All!$F440="Baylor",+All!J440,IF(+All!$H440="Baylor",+All!J440,0))</f>
        <v>Baylor</v>
      </c>
      <c r="K10" s="461" t="str">
        <f>IF(+All!$F440="Baylor",+All!K440,IF(+All!$H440="Baylor",+All!K440,0))</f>
        <v>West Virginia</v>
      </c>
      <c r="L10" s="54">
        <f>IF(+All!$F440="Baylor",+All!L440,IF(+All!$H440="Baylor",+All!L440,0))</f>
        <v>3.5</v>
      </c>
      <c r="M10" s="55">
        <f>IF(+All!$F440="Baylor",+All!M440,IF(+All!$H440="Baylor",+All!M440,0))</f>
        <v>54.5</v>
      </c>
      <c r="N10" s="460" t="str">
        <f>IF(+All!$F440="Baylor",+All!N440,IF(+All!$H440="Baylor",+All!N440,0))</f>
        <v>West Virginia</v>
      </c>
      <c r="O10" s="462">
        <f>IF(+All!$F440="Baylor",+All!O440,IF(+All!$H440="Baylor",+All!O440,0))</f>
        <v>43</v>
      </c>
      <c r="P10" s="462" t="str">
        <f>IF(+All!$F440="Baylor",+All!P440,IF(+All!$H440="Baylor",+All!P440,0))</f>
        <v>Baylor</v>
      </c>
      <c r="Q10" s="461">
        <f>IF(+All!$F440="Baylor",+All!Q440,IF(+All!$H440="Baylor",+All!Q440,0))</f>
        <v>40</v>
      </c>
      <c r="R10" s="460" t="str">
        <f>IF(+All!$F440="Baylor",+All!R440,IF(+All!$H440="Baylor",+All!R440,0))</f>
        <v>West Virginia</v>
      </c>
      <c r="S10" s="462" t="str">
        <f>IF(+All!$F440="Baylor",+All!S440,IF(+All!$H440="Baylor",+All!S440,0))</f>
        <v>Baylor</v>
      </c>
      <c r="T10" s="460" t="str">
        <f>IF(+All!$F440="Baylor",+All!T440,IF(+All!$H440="Baylor",+All!T440,0))</f>
        <v>Baylor</v>
      </c>
      <c r="U10" s="461" t="str">
        <f>IF(+All!$F440="Baylor",+All!U440,IF(+All!$H440="Baylor",+All!U440,0))</f>
        <v>L</v>
      </c>
    </row>
    <row r="11" spans="1:21" s="358" customFormat="1" x14ac:dyDescent="0.8">
      <c r="A11" s="46">
        <f>IF(+All!$F509="Baylor",+All!A509,IF(+All!$H509="Baylor",+All!A509,0))</f>
        <v>8</v>
      </c>
      <c r="B11" s="348" t="str">
        <f>IF(+All!$F509="Baylor",+All!B509,IF(+All!$H509="Baylor",+All!B509,0))</f>
        <v>Sat</v>
      </c>
      <c r="C11" s="48">
        <f>IF(+All!$F509="Baylor",+All!C509,IF(+All!$H509="Baylor",+All!C509,0))</f>
        <v>44856</v>
      </c>
      <c r="D11" s="490">
        <f>IF(+All!$F509="Baylor",+All!D509,IF(+All!$H509="Baylor",+All!D509,0))</f>
        <v>0.5</v>
      </c>
      <c r="E11" s="461" t="str">
        <f>IF(+All!$F509="Baylor",+All!E509,IF(+All!$H509="Baylor",+All!E509,0))</f>
        <v>ESPN2</v>
      </c>
      <c r="F11" s="51" t="str">
        <f>IF(+All!$F509="Baylor",+All!F509,IF(+All!$H509="Baylor",+All!F509,0))</f>
        <v>Kansas</v>
      </c>
      <c r="G11" s="52" t="str">
        <f>IF(+All!$F509="Baylor",+All!G509,IF(+All!$H509="Baylor",+All!G509,0))</f>
        <v>B12</v>
      </c>
      <c r="H11" s="63" t="str">
        <f>IF(+All!$F509="Baylor",+All!H509,IF(+All!$H509="Baylor",+All!H509,0))</f>
        <v>Baylor</v>
      </c>
      <c r="I11" s="52" t="str">
        <f>IF(+All!$F509="Baylor",+All!I509,IF(+All!$H509="Baylor",+All!I509,0))</f>
        <v>B12</v>
      </c>
      <c r="J11" s="460" t="str">
        <f>IF(+All!$F509="Baylor",+All!J509,IF(+All!$H509="Baylor",+All!J509,0))</f>
        <v>Baylor</v>
      </c>
      <c r="K11" s="461" t="str">
        <f>IF(+All!$F509="Baylor",+All!K509,IF(+All!$H509="Baylor",+All!K509,0))</f>
        <v>Kansas</v>
      </c>
      <c r="L11" s="54">
        <f>IF(+All!$F509="Baylor",+All!L509,IF(+All!$H509="Baylor",+All!L509,0))</f>
        <v>7.5</v>
      </c>
      <c r="M11" s="55">
        <f>IF(+All!$F509="Baylor",+All!M509,IF(+All!$H509="Baylor",+All!M509,0))</f>
        <v>61</v>
      </c>
      <c r="N11" s="460" t="str">
        <f>IF(+All!$F509="Baylor",+All!N509,IF(+All!$H509="Baylor",+All!N509,0))</f>
        <v>Baylor</v>
      </c>
      <c r="O11" s="462">
        <f>IF(+All!$F509="Baylor",+All!O509,IF(+All!$H509="Baylor",+All!O509,0))</f>
        <v>35</v>
      </c>
      <c r="P11" s="462" t="str">
        <f>IF(+All!$F509="Baylor",+All!P509,IF(+All!$H509="Baylor",+All!P509,0))</f>
        <v>Kansas</v>
      </c>
      <c r="Q11" s="461">
        <f>IF(+All!$F509="Baylor",+All!Q509,IF(+All!$H509="Baylor",+All!Q509,0))</f>
        <v>23</v>
      </c>
      <c r="R11" s="460" t="str">
        <f>IF(+All!$F509="Baylor",+All!R509,IF(+All!$H509="Baylor",+All!R509,0))</f>
        <v>Baylor</v>
      </c>
      <c r="S11" s="462" t="str">
        <f>IF(+All!$F509="Baylor",+All!S509,IF(+All!$H509="Baylor",+All!S509,0))</f>
        <v>Kansas</v>
      </c>
      <c r="T11" s="460" t="str">
        <f>IF(+All!$F509="Baylor",+All!T509,IF(+All!$H509="Baylor",+All!T509,0))</f>
        <v>Baylor</v>
      </c>
      <c r="U11" s="461" t="str">
        <f>IF(+All!$F509="Baylor",+All!U509,IF(+All!$H509="Baylor",+All!U509,0))</f>
        <v>W</v>
      </c>
    </row>
    <row r="12" spans="1:21" s="358" customFormat="1" x14ac:dyDescent="0.8">
      <c r="A12" s="46">
        <f>IF(+All!$F566="Baylor",+All!A566,IF(+All!$H566="Baylor",+All!A566,0))</f>
        <v>9</v>
      </c>
      <c r="B12" s="348" t="str">
        <f>IF(+All!$F566="Baylor",+All!B566,IF(+All!$H566="Baylor",+All!B566,0))</f>
        <v>Sat</v>
      </c>
      <c r="C12" s="48">
        <f>IF(+All!$F566="Baylor",+All!C566,IF(+All!$H566="Baylor",+All!C566,0))</f>
        <v>44863</v>
      </c>
      <c r="D12" s="490">
        <f>IF(+All!$F566="Baylor",+All!D566,IF(+All!$H566="Baylor",+All!D566,0))</f>
        <v>0.8125</v>
      </c>
      <c r="E12" s="461" t="str">
        <f>IF(+All!$F566="Baylor",+All!E566,IF(+All!$H566="Baylor",+All!E566,0))</f>
        <v>ESPN2</v>
      </c>
      <c r="F12" s="51" t="str">
        <f>IF(+All!$F566="Baylor",+All!F566,IF(+All!$H566="Baylor",+All!F566,0))</f>
        <v>Baylor</v>
      </c>
      <c r="G12" s="52" t="str">
        <f>IF(+All!$F566="Baylor",+All!G566,IF(+All!$H566="Baylor",+All!G566,0))</f>
        <v>B12</v>
      </c>
      <c r="H12" s="63" t="str">
        <f>IF(+All!$F566="Baylor",+All!H566,IF(+All!$H566="Baylor",+All!H566,0))</f>
        <v>Texas Tech</v>
      </c>
      <c r="I12" s="52" t="str">
        <f>IF(+All!$F566="Baylor",+All!I566,IF(+All!$H566="Baylor",+All!I566,0))</f>
        <v>B12</v>
      </c>
      <c r="J12" s="460" t="str">
        <f>IF(+All!$F566="Baylor",+All!J566,IF(+All!$H566="Baylor",+All!J566,0))</f>
        <v>Texas Tech</v>
      </c>
      <c r="K12" s="461" t="str">
        <f>IF(+All!$F566="Baylor",+All!K566,IF(+All!$H566="Baylor",+All!K566,0))</f>
        <v>Baylor</v>
      </c>
      <c r="L12" s="54">
        <f>IF(+All!$F566="Baylor",+All!L566,IF(+All!$H566="Baylor",+All!L566,0))</f>
        <v>2.5</v>
      </c>
      <c r="M12" s="55">
        <f>IF(+All!$F566="Baylor",+All!M566,IF(+All!$H566="Baylor",+All!M566,0))</f>
        <v>62</v>
      </c>
      <c r="N12" s="460" t="str">
        <f>IF(+All!$F566="Baylor",+All!N566,IF(+All!$H566="Baylor",+All!N566,0))</f>
        <v>Baylor</v>
      </c>
      <c r="O12" s="462">
        <f>IF(+All!$F566="Baylor",+All!O566,IF(+All!$H566="Baylor",+All!O566,0))</f>
        <v>45</v>
      </c>
      <c r="P12" s="462" t="str">
        <f>IF(+All!$F566="Baylor",+All!P566,IF(+All!$H566="Baylor",+All!P566,0))</f>
        <v>Texas Tech</v>
      </c>
      <c r="Q12" s="461">
        <f>IF(+All!$F566="Baylor",+All!Q566,IF(+All!$H566="Baylor",+All!Q566,0))</f>
        <v>17</v>
      </c>
      <c r="R12" s="460" t="str">
        <f>IF(+All!$F566="Baylor",+All!R566,IF(+All!$H566="Baylor",+All!R566,0))</f>
        <v>Baylor</v>
      </c>
      <c r="S12" s="462" t="str">
        <f>IF(+All!$F566="Baylor",+All!S566,IF(+All!$H566="Baylor",+All!S566,0))</f>
        <v>Texas Tech</v>
      </c>
      <c r="T12" s="460" t="str">
        <f>IF(+All!$F566="Baylor",+All!T566,IF(+All!$H566="Baylor",+All!T566,0))</f>
        <v>Baylor</v>
      </c>
      <c r="U12" s="461" t="str">
        <f>IF(+All!$F566="Baylor",+All!U566,IF(+All!$H566="Baylor",+All!U566,0))</f>
        <v>W</v>
      </c>
    </row>
    <row r="13" spans="1:21" s="358" customFormat="1" x14ac:dyDescent="0.8">
      <c r="A13" s="46">
        <f>IF(+All!$F623="Baylor",+All!A623,IF(+All!$H623="Baylor",+All!A623,0))</f>
        <v>10</v>
      </c>
      <c r="B13" s="348" t="str">
        <f>IF(+All!$F623="Baylor",+All!B623,IF(+All!$H623="Baylor",+All!B623,0))</f>
        <v>Sat</v>
      </c>
      <c r="C13" s="48">
        <f>IF(+All!$F623="Baylor",+All!C623,IF(+All!$H623="Baylor",+All!C623,0))</f>
        <v>44870</v>
      </c>
      <c r="D13" s="490">
        <f>IF(+All!$F623="Baylor",+All!D623,IF(+All!$H623="Baylor",+All!D623,0))</f>
        <v>0.625</v>
      </c>
      <c r="E13" s="461">
        <f>IF(+All!$F623="Baylor",+All!E623,IF(+All!$H623="Baylor",+All!E623,0))</f>
        <v>0</v>
      </c>
      <c r="F13" s="51" t="str">
        <f>IF(+All!$F623="Baylor",+All!F623,IF(+All!$H623="Baylor",+All!F623,0))</f>
        <v>Baylor</v>
      </c>
      <c r="G13" s="52" t="str">
        <f>IF(+All!$F623="Baylor",+All!G623,IF(+All!$H623="Baylor",+All!G623,0))</f>
        <v>B12</v>
      </c>
      <c r="H13" s="63" t="str">
        <f>IF(+All!$F623="Baylor",+All!H623,IF(+All!$H623="Baylor",+All!H623,0))</f>
        <v>Oklahoma</v>
      </c>
      <c r="I13" s="52" t="str">
        <f>IF(+All!$F623="Baylor",+All!I623,IF(+All!$H623="Baylor",+All!I623,0))</f>
        <v>B12</v>
      </c>
      <c r="J13" s="460" t="str">
        <f>IF(+All!$F623="Baylor",+All!J623,IF(+All!$H623="Baylor",+All!J623,0))</f>
        <v>Oklahoma</v>
      </c>
      <c r="K13" s="461" t="str">
        <f>IF(+All!$F623="Baylor",+All!K623,IF(+All!$H623="Baylor",+All!K623,0))</f>
        <v>Baylor</v>
      </c>
      <c r="L13" s="54">
        <f>IF(+All!$F623="Baylor",+All!L623,IF(+All!$H623="Baylor",+All!L623,0))</f>
        <v>3.5</v>
      </c>
      <c r="M13" s="55">
        <f>IF(+All!$F623="Baylor",+All!M623,IF(+All!$H623="Baylor",+All!M623,0))</f>
        <v>57.5</v>
      </c>
      <c r="N13" s="460" t="str">
        <f>IF(+All!$F623="Baylor",+All!N623,IF(+All!$H623="Baylor",+All!N623,0))</f>
        <v>Baylor</v>
      </c>
      <c r="O13" s="462">
        <f>IF(+All!$F623="Baylor",+All!O623,IF(+All!$H623="Baylor",+All!O623,0))</f>
        <v>38</v>
      </c>
      <c r="P13" s="462" t="str">
        <f>IF(+All!$F623="Baylor",+All!P623,IF(+All!$H623="Baylor",+All!P623,0))</f>
        <v>Oklahoma</v>
      </c>
      <c r="Q13" s="461">
        <f>IF(+All!$F623="Baylor",+All!Q623,IF(+All!$H623="Baylor",+All!Q623,0))</f>
        <v>35</v>
      </c>
      <c r="R13" s="460" t="str">
        <f>IF(+All!$F623="Baylor",+All!R623,IF(+All!$H623="Baylor",+All!R623,0))</f>
        <v>Baylor</v>
      </c>
      <c r="S13" s="462" t="str">
        <f>IF(+All!$F623="Baylor",+All!S623,IF(+All!$H623="Baylor",+All!S623,0))</f>
        <v>Oklahoma</v>
      </c>
      <c r="T13" s="460" t="str">
        <f>IF(+All!$F623="Baylor",+All!T623,IF(+All!$H623="Baylor",+All!T623,0))</f>
        <v>Oklahoma</v>
      </c>
      <c r="U13" s="461" t="str">
        <f>IF(+All!$F623="Baylor",+All!U623,IF(+All!$H623="Baylor",+All!U623,0))</f>
        <v>L</v>
      </c>
    </row>
    <row r="14" spans="1:21" s="358" customFormat="1" x14ac:dyDescent="0.8">
      <c r="A14" s="46">
        <f>IF(+All!$F682="Baylor",+All!A682,IF(+All!$H682="Baylor",+All!A682,0))</f>
        <v>11</v>
      </c>
      <c r="B14" s="348" t="str">
        <f>IF(+All!$F682="Baylor",+All!B682,IF(+All!$H682="Baylor",+All!B682,0))</f>
        <v>Sat</v>
      </c>
      <c r="C14" s="48">
        <f>IF(+All!$F682="Baylor",+All!C682,IF(+All!$H682="Baylor",+All!C682,0))</f>
        <v>44877</v>
      </c>
      <c r="D14" s="490">
        <f>IF(+All!$F682="Baylor",+All!D682,IF(+All!$H682="Baylor",+All!D682,0))</f>
        <v>0.79166666666666663</v>
      </c>
      <c r="E14" s="461" t="str">
        <f>IF(+All!$F682="Baylor",+All!E682,IF(+All!$H682="Baylor",+All!E682,0))</f>
        <v>FS1</v>
      </c>
      <c r="F14" s="51" t="str">
        <f>IF(+All!$F682="Baylor",+All!F682,IF(+All!$H682="Baylor",+All!F682,0))</f>
        <v>Kansas State</v>
      </c>
      <c r="G14" s="52" t="str">
        <f>IF(+All!$F682="Baylor",+All!G682,IF(+All!$H682="Baylor",+All!G682,0))</f>
        <v>B12</v>
      </c>
      <c r="H14" s="63" t="str">
        <f>IF(+All!$F682="Baylor",+All!H682,IF(+All!$H682="Baylor",+All!H682,0))</f>
        <v>Baylor</v>
      </c>
      <c r="I14" s="52" t="str">
        <f>IF(+All!$F682="Baylor",+All!I682,IF(+All!$H682="Baylor",+All!I682,0))</f>
        <v>B12</v>
      </c>
      <c r="J14" s="460" t="str">
        <f>IF(+All!$F682="Baylor",+All!J682,IF(+All!$H682="Baylor",+All!J682,0))</f>
        <v>Baylor</v>
      </c>
      <c r="K14" s="461" t="str">
        <f>IF(+All!$F682="Baylor",+All!K682,IF(+All!$H682="Baylor",+All!K682,0))</f>
        <v>Kansas State</v>
      </c>
      <c r="L14" s="54">
        <f>IF(+All!$F682="Baylor",+All!L682,IF(+All!$H682="Baylor",+All!L682,0))</f>
        <v>2.5</v>
      </c>
      <c r="M14" s="55">
        <f>IF(+All!$F682="Baylor",+All!M682,IF(+All!$H682="Baylor",+All!M682,0))</f>
        <v>53</v>
      </c>
      <c r="N14" s="460" t="str">
        <f>IF(+All!$F682="Baylor",+All!N682,IF(+All!$H682="Baylor",+All!N682,0))</f>
        <v>Kansas State</v>
      </c>
      <c r="O14" s="462">
        <f>IF(+All!$F682="Baylor",+All!O682,IF(+All!$H682="Baylor",+All!O682,0))</f>
        <v>31</v>
      </c>
      <c r="P14" s="462" t="str">
        <f>IF(+All!$F682="Baylor",+All!P682,IF(+All!$H682="Baylor",+All!P682,0))</f>
        <v>Baylor</v>
      </c>
      <c r="Q14" s="461">
        <f>IF(+All!$F682="Baylor",+All!Q682,IF(+All!$H682="Baylor",+All!Q682,0))</f>
        <v>3</v>
      </c>
      <c r="R14" s="460" t="str">
        <f>IF(+All!$F682="Baylor",+All!R682,IF(+All!$H682="Baylor",+All!R682,0))</f>
        <v>Kansas State</v>
      </c>
      <c r="S14" s="462" t="str">
        <f>IF(+All!$F682="Baylor",+All!S682,IF(+All!$H682="Baylor",+All!S682,0))</f>
        <v>Baylor</v>
      </c>
      <c r="T14" s="460" t="str">
        <f>IF(+All!$F682="Baylor",+All!T682,IF(+All!$H682="Baylor",+All!T682,0))</f>
        <v>Baylor</v>
      </c>
      <c r="U14" s="461" t="str">
        <f>IF(+All!$F682="Baylor",+All!U682,IF(+All!$H682="Baylor",+All!U682,0))</f>
        <v>L</v>
      </c>
    </row>
    <row r="15" spans="1:21" s="358" customFormat="1" x14ac:dyDescent="0.8">
      <c r="A15" s="46">
        <f>IF(+All!$F744="Baylor",+All!A744,IF(+All!$H744="Baylor",+All!A744,0))</f>
        <v>12</v>
      </c>
      <c r="B15" s="348" t="str">
        <f>IF(+All!$F744="Baylor",+All!B744,IF(+All!$H744="Baylor",+All!B744,0))</f>
        <v>Sat</v>
      </c>
      <c r="C15" s="48">
        <f>IF(+All!$F744="Baylor",+All!C744,IF(+All!$H744="Baylor",+All!C744,0))</f>
        <v>44884</v>
      </c>
      <c r="D15" s="490">
        <f>IF(+All!$F744="Baylor",+All!D744,IF(+All!$H744="Baylor",+All!D744,0))</f>
        <v>0.5</v>
      </c>
      <c r="E15" s="461" t="str">
        <f>IF(+All!$F744="Baylor",+All!E744,IF(+All!$H744="Baylor",+All!E744,0))</f>
        <v>Fox</v>
      </c>
      <c r="F15" s="51" t="str">
        <f>IF(+All!$F744="Baylor",+All!F744,IF(+All!$H744="Baylor",+All!F744,0))</f>
        <v>TCU</v>
      </c>
      <c r="G15" s="52" t="str">
        <f>IF(+All!$F744="Baylor",+All!G744,IF(+All!$H744="Baylor",+All!G744,0))</f>
        <v>B12</v>
      </c>
      <c r="H15" s="63" t="str">
        <f>IF(+All!$F744="Baylor",+All!H744,IF(+All!$H744="Baylor",+All!H744,0))</f>
        <v>Baylor</v>
      </c>
      <c r="I15" s="52" t="str">
        <f>IF(+All!$F744="Baylor",+All!I744,IF(+All!$H744="Baylor",+All!I744,0))</f>
        <v>B12</v>
      </c>
      <c r="J15" s="460" t="str">
        <f>IF(+All!$F744="Baylor",+All!J744,IF(+All!$H744="Baylor",+All!J744,0))</f>
        <v>TCU</v>
      </c>
      <c r="K15" s="461" t="str">
        <f>IF(+All!$F744="Baylor",+All!K744,IF(+All!$H744="Baylor",+All!K744,0))</f>
        <v>Baylor</v>
      </c>
      <c r="L15" s="54">
        <f>IF(+All!$F744="Baylor",+All!L744,IF(+All!$H744="Baylor",+All!L744,0))</f>
        <v>2.5</v>
      </c>
      <c r="M15" s="55">
        <f>IF(+All!$F744="Baylor",+All!M744,IF(+All!$H744="Baylor",+All!M744,0))</f>
        <v>58</v>
      </c>
      <c r="N15" s="460" t="str">
        <f>IF(+All!$F744="Baylor",+All!N744,IF(+All!$H744="Baylor",+All!N744,0))</f>
        <v>TCU</v>
      </c>
      <c r="O15" s="462">
        <f>IF(+All!$F744="Baylor",+All!O744,IF(+All!$H744="Baylor",+All!O744,0))</f>
        <v>29</v>
      </c>
      <c r="P15" s="462" t="str">
        <f>IF(+All!$F744="Baylor",+All!P744,IF(+All!$H744="Baylor",+All!P744,0))</f>
        <v>Baylor</v>
      </c>
      <c r="Q15" s="461">
        <f>IF(+All!$F744="Baylor",+All!Q744,IF(+All!$H744="Baylor",+All!Q744,0))</f>
        <v>28</v>
      </c>
      <c r="R15" s="460" t="str">
        <f>IF(+All!$F744="Baylor",+All!R744,IF(+All!$H744="Baylor",+All!R744,0))</f>
        <v>Baylor</v>
      </c>
      <c r="S15" s="462" t="str">
        <f>IF(+All!$F744="Baylor",+All!S744,IF(+All!$H744="Baylor",+All!S744,0))</f>
        <v>TCU</v>
      </c>
      <c r="T15" s="460" t="str">
        <f>IF(+All!$F744="Baylor",+All!T744,IF(+All!$H744="Baylor",+All!T744,0))</f>
        <v>Baylor</v>
      </c>
      <c r="U15" s="461" t="str">
        <f>IF(+All!$F744="Baylor",+All!U744,IF(+All!$H744="Baylor",+All!U744,0))</f>
        <v>W</v>
      </c>
    </row>
    <row r="16" spans="1:21" s="21" customFormat="1" ht="15.75" customHeight="1" x14ac:dyDescent="0.8">
      <c r="A16" s="46">
        <f>IF(+All!$F788="Baylor",+All!A788,IF(+All!$H788="Baylor",+All!A788,0))</f>
        <v>13</v>
      </c>
      <c r="B16" s="348" t="str">
        <f>IF(+All!$F788="Baylor",+All!B788,IF(+All!$H788="Baylor",+All!B788,0))</f>
        <v>Fri</v>
      </c>
      <c r="C16" s="48">
        <f>IF(+All!$F788="Baylor",+All!C788,IF(+All!$H788="Baylor",+All!C788,0))</f>
        <v>44890</v>
      </c>
      <c r="D16" s="490">
        <f>IF(+All!$F788="Baylor",+All!D788,IF(+All!$H788="Baylor",+All!D788,0))</f>
        <v>0.5</v>
      </c>
      <c r="E16" s="461" t="str">
        <f>IF(+All!$F788="Baylor",+All!E788,IF(+All!$H788="Baylor",+All!E788,0))</f>
        <v>ESPN</v>
      </c>
      <c r="F16" s="51" t="str">
        <f>IF(+All!$F788="Baylor",+All!F788,IF(+All!$H788="Baylor",+All!F788,0))</f>
        <v>Baylor</v>
      </c>
      <c r="G16" s="52" t="str">
        <f>IF(+All!$F788="Baylor",+All!G788,IF(+All!$H788="Baylor",+All!G788,0))</f>
        <v>B12</v>
      </c>
      <c r="H16" s="63" t="str">
        <f>IF(+All!$F788="Baylor",+All!H788,IF(+All!$H788="Baylor",+All!H788,0))</f>
        <v>Texas</v>
      </c>
      <c r="I16" s="52" t="str">
        <f>IF(+All!$F788="Baylor",+All!I788,IF(+All!$H788="Baylor",+All!I788,0))</f>
        <v>B12</v>
      </c>
      <c r="J16" s="460" t="str">
        <f>IF(+All!$F788="Baylor",+All!J788,IF(+All!$H788="Baylor",+All!J788,0))</f>
        <v>Texas</v>
      </c>
      <c r="K16" s="461" t="str">
        <f>IF(+All!$F788="Baylor",+All!K788,IF(+All!$H788="Baylor",+All!K788,0))</f>
        <v>Baylor</v>
      </c>
      <c r="L16" s="54">
        <f>IF(+All!$F788="Baylor",+All!L788,IF(+All!$H788="Baylor",+All!L788,0))</f>
        <v>10</v>
      </c>
      <c r="M16" s="55">
        <f>IF(+All!$F788="Baylor",+All!M788,IF(+All!$H788="Baylor",+All!M788,0))</f>
        <v>55.5</v>
      </c>
      <c r="N16" s="460" t="str">
        <f>IF(+All!$F788="Baylor",+All!N788,IF(+All!$H788="Baylor",+All!N788,0))</f>
        <v>Texas</v>
      </c>
      <c r="O16" s="462">
        <f>IF(+All!$F788="Baylor",+All!O788,IF(+All!$H788="Baylor",+All!O788,0))</f>
        <v>38</v>
      </c>
      <c r="P16" s="462" t="str">
        <f>IF(+All!$F788="Baylor",+All!P788,IF(+All!$H788="Baylor",+All!P788,0))</f>
        <v>Baylor</v>
      </c>
      <c r="Q16" s="461">
        <f>IF(+All!$F788="Baylor",+All!Q788,IF(+All!$H788="Baylor",+All!Q788,0))</f>
        <v>27</v>
      </c>
      <c r="R16" s="460" t="str">
        <f>IF(+All!$F788="Baylor",+All!R788,IF(+All!$H788="Baylor",+All!R788,0))</f>
        <v>Texas</v>
      </c>
      <c r="S16" s="462" t="str">
        <f>IF(+All!$F788="Baylor",+All!S788,IF(+All!$H788="Baylor",+All!S788,0))</f>
        <v>Baylor</v>
      </c>
      <c r="T16" s="460" t="str">
        <f>IF(+All!$F788="Baylor",+All!T788,IF(+All!$H788="Baylor",+All!T788,0))</f>
        <v>Baylor</v>
      </c>
      <c r="U16" s="461" t="str">
        <f>IF(+All!$F788="Baylor",+All!U788,IF(+All!$H788="Baylor",+All!U788,0))</f>
        <v>L</v>
      </c>
    </row>
    <row r="17" spans="1:21" s="21" customFormat="1" ht="15.75" customHeight="1" x14ac:dyDescent="0.8">
      <c r="A17" s="38"/>
      <c r="B17" s="39"/>
      <c r="C17" s="40"/>
      <c r="D17" s="41"/>
      <c r="E17" s="42"/>
      <c r="F17" s="897" t="str">
        <f>H18</f>
        <v>Iowa State</v>
      </c>
      <c r="G17" s="903"/>
      <c r="H17" s="903"/>
      <c r="I17" s="904"/>
      <c r="J17" s="43"/>
      <c r="K17" s="42"/>
      <c r="L17" s="44"/>
      <c r="M17" s="45"/>
      <c r="N17" s="43"/>
      <c r="O17" s="5"/>
      <c r="P17" s="5"/>
      <c r="Q17" s="42"/>
      <c r="R17" s="43"/>
      <c r="S17" s="5"/>
      <c r="T17" s="43"/>
      <c r="U17" s="42"/>
    </row>
    <row r="18" spans="1:21" s="21" customFormat="1" ht="15.75" customHeight="1" x14ac:dyDescent="0.8">
      <c r="A18" s="46">
        <f>IF(+All!$F40="Iowa State",+All!A40,IF(+All!$H40="Iowa State",+All!A40,0))</f>
        <v>1</v>
      </c>
      <c r="B18" s="46" t="str">
        <f>IF(+All!$F40="Iowa State",+All!B40,IF(+All!$H40="Iowa State",+All!B40,0))</f>
        <v>Sat</v>
      </c>
      <c r="C18" s="48">
        <f>IF(+All!$F40="Iowa State",+All!C40,IF(+All!$H40="Iowa State",+All!C40,0))</f>
        <v>44807</v>
      </c>
      <c r="D18" s="490">
        <f>IF(+All!$F40="Iowa State",+All!D40,IF(+All!$H40="Iowa State",+All!D40,0))</f>
        <v>0.58333333333333337</v>
      </c>
      <c r="E18" s="461">
        <f>IF(+All!$F40="Iowa State",+All!E40,IF(+All!$H40="Iowa State",+All!E40,0))</f>
        <v>0</v>
      </c>
      <c r="F18" s="52" t="str">
        <f>IF(+All!$F40="Iowa State",+All!F40,IF(+All!$H40="Iowa State",+All!F40,0))</f>
        <v>1AA Southeast Missouri St</v>
      </c>
      <c r="G18" s="52" t="str">
        <f>IF(+All!$F40="Iowa State",+All!G40,IF(+All!$H40="Iowa State",+All!G40,0))</f>
        <v>1AA</v>
      </c>
      <c r="H18" s="52" t="str">
        <f>IF(+All!$F40="Iowa State",+All!H40,IF(+All!$H40="Iowa State",+All!H40,0))</f>
        <v>Iowa State</v>
      </c>
      <c r="I18" s="52" t="str">
        <f>IF(+All!$F40="Iowa State",+All!I40,IF(+All!$H40="Iowa State",+All!I40,0))</f>
        <v>B12</v>
      </c>
      <c r="J18" s="460">
        <f>IF(+All!$F40="Iowa State",+All!J40,IF(+All!$H40="Iowa State",+All!J40,0))</f>
        <v>0</v>
      </c>
      <c r="K18" s="461">
        <f>IF(+All!$F40="Iowa State",+All!K40,IF(+All!$H40="Iowa State",+All!K40,0))</f>
        <v>0</v>
      </c>
      <c r="L18" s="54">
        <f>IF(+All!$F40="Iowa State",+All!L40,IF(+All!$H40="Iowa State",+All!L40,0))</f>
        <v>0</v>
      </c>
      <c r="M18" s="55">
        <f>IF(+All!$F40="Iowa State",+All!M40,IF(+All!$H40="Iowa State",+All!M40,0))</f>
        <v>0</v>
      </c>
      <c r="N18" s="460" t="str">
        <f>IF(+All!$F40="Iowa State",+All!N40,IF(+All!$H40="Iowa State",+All!N40,0))</f>
        <v>Iowa State</v>
      </c>
      <c r="O18" s="462">
        <f>IF(+All!$F40="Iowa State",+All!O40,IF(+All!$H40="Iowa State",+All!O40,0))</f>
        <v>42</v>
      </c>
      <c r="P18" s="462" t="str">
        <f>IF(+All!$F40="Iowa State",+All!P40,IF(+All!$H40="Iowa State",+All!P40,0))</f>
        <v>1AA Southeast Missouri St</v>
      </c>
      <c r="Q18" s="461">
        <f>IF(+All!$F40="Iowa State",+All!Q40,IF(+All!$H40="Iowa State",+All!Q40,0))</f>
        <v>10</v>
      </c>
      <c r="R18" s="460">
        <f>IF(+All!$F40="Iowa State",+All!R40,IF(+All!$H40="Iowa State",+All!R40,0))</f>
        <v>0</v>
      </c>
      <c r="S18" s="462">
        <f>IF(+All!$F40="Iowa State",+All!S40,IF(+All!$H40="Iowa State",+All!S40,0))</f>
        <v>0</v>
      </c>
      <c r="T18" s="460">
        <f>IF(+All!$F40="Iowa State",+All!T40,IF(+All!$H40="Iowa State",+All!T40,0))</f>
        <v>0</v>
      </c>
      <c r="U18" s="461">
        <f>IF(+All!$F40="Iowa State",+All!U40,IF(+All!$H40="Iowa State",+All!U40,0))</f>
        <v>0</v>
      </c>
    </row>
    <row r="19" spans="1:21" s="21" customFormat="1" ht="15.75" customHeight="1" x14ac:dyDescent="0.8">
      <c r="A19" s="46">
        <f>IF(+All!$F116="Iowa State",+All!A116,IF(+All!$H116="Iowa State",+All!A116,0))</f>
        <v>2</v>
      </c>
      <c r="B19" s="46" t="str">
        <f>IF(+All!$F116="Iowa State",+All!B116,IF(+All!$H116="Iowa State",+All!B116,0))</f>
        <v>Sat</v>
      </c>
      <c r="C19" s="48">
        <f>IF(+All!$F116="Iowa State",+All!C116,IF(+All!$H116="Iowa State",+All!C116,0))</f>
        <v>44814</v>
      </c>
      <c r="D19" s="490">
        <f>IF(+All!$F116="Iowa State",+All!D116,IF(+All!$H116="Iowa State",+All!D116,0))</f>
        <v>0.66666666666666663</v>
      </c>
      <c r="E19" s="461" t="str">
        <f>IF(+All!$F116="Iowa State",+All!E116,IF(+All!$H116="Iowa State",+All!E116,0))</f>
        <v>BTN</v>
      </c>
      <c r="F19" s="52" t="str">
        <f>IF(+All!$F116="Iowa State",+All!F116,IF(+All!$H116="Iowa State",+All!F116,0))</f>
        <v>Iowa State</v>
      </c>
      <c r="G19" s="52" t="str">
        <f>IF(+All!$F116="Iowa State",+All!G116,IF(+All!$H116="Iowa State",+All!G116,0))</f>
        <v>B12</v>
      </c>
      <c r="H19" s="52" t="str">
        <f>IF(+All!$F116="Iowa State",+All!H116,IF(+All!$H116="Iowa State",+All!H116,0))</f>
        <v>Iowa</v>
      </c>
      <c r="I19" s="52" t="str">
        <f>IF(+All!$F116="Iowa State",+All!I116,IF(+All!$H116="Iowa State",+All!I116,0))</f>
        <v>B10</v>
      </c>
      <c r="J19" s="460" t="str">
        <f>IF(+All!$F116="Iowa State",+All!J116,IF(+All!$H116="Iowa State",+All!J116,0))</f>
        <v>Iowa</v>
      </c>
      <c r="K19" s="461" t="str">
        <f>IF(+All!$F116="Iowa State",+All!K116,IF(+All!$H116="Iowa State",+All!K116,0))</f>
        <v>Iowa State</v>
      </c>
      <c r="L19" s="54">
        <f>IF(+All!$F116="Iowa State",+All!L116,IF(+All!$H116="Iowa State",+All!L116,0))</f>
        <v>3.5</v>
      </c>
      <c r="M19" s="55">
        <f>IF(+All!$F116="Iowa State",+All!M116,IF(+All!$H116="Iowa State",+All!M116,0))</f>
        <v>40</v>
      </c>
      <c r="N19" s="460" t="str">
        <f>IF(+All!$F116="Iowa State",+All!N116,IF(+All!$H116="Iowa State",+All!N116,0))</f>
        <v>Iowa State</v>
      </c>
      <c r="O19" s="462">
        <f>IF(+All!$F116="Iowa State",+All!O116,IF(+All!$H116="Iowa State",+All!O116,0))</f>
        <v>10</v>
      </c>
      <c r="P19" s="462" t="str">
        <f>IF(+All!$F116="Iowa State",+All!P116,IF(+All!$H116="Iowa State",+All!P116,0))</f>
        <v>Iowa</v>
      </c>
      <c r="Q19" s="461">
        <f>IF(+All!$F116="Iowa State",+All!Q116,IF(+All!$H116="Iowa State",+All!Q116,0))</f>
        <v>7</v>
      </c>
      <c r="R19" s="460" t="str">
        <f>IF(+All!$F116="Iowa State",+All!R116,IF(+All!$H116="Iowa State",+All!R116,0))</f>
        <v>Iowa State</v>
      </c>
      <c r="S19" s="462" t="str">
        <f>IF(+All!$F116="Iowa State",+All!S116,IF(+All!$H116="Iowa State",+All!S116,0))</f>
        <v>Iowa</v>
      </c>
      <c r="T19" s="460" t="str">
        <f>IF(+All!$F116="Iowa State",+All!T116,IF(+All!$H116="Iowa State",+All!T116,0))</f>
        <v>Iowa State</v>
      </c>
      <c r="U19" s="461" t="str">
        <f>IF(+All!$F116="Iowa State",+All!U116,IF(+All!$H116="Iowa State",+All!U116,0))</f>
        <v>W</v>
      </c>
    </row>
    <row r="20" spans="1:21" s="21" customFormat="1" ht="15.75" customHeight="1" x14ac:dyDescent="0.8">
      <c r="A20" s="46">
        <f>IF(+All!$F207="Iowa State",+All!A207,IF(+All!$H207="Iowa State",+All!A207,0))</f>
        <v>3</v>
      </c>
      <c r="B20" s="46" t="str">
        <f>IF(+All!$F207="Iowa State",+All!B207,IF(+All!$H207="Iowa State",+All!B207,0))</f>
        <v>Sat</v>
      </c>
      <c r="C20" s="48">
        <f>IF(+All!$F207="Iowa State",+All!C207,IF(+All!$H207="Iowa State",+All!C207,0))</f>
        <v>44821</v>
      </c>
      <c r="D20" s="490">
        <f>IF(+All!$F207="Iowa State",+All!D207,IF(+All!$H207="Iowa State",+All!D207,0))</f>
        <v>0.58333333333333337</v>
      </c>
      <c r="E20" s="461">
        <f>IF(+All!$F207="Iowa State",+All!E207,IF(+All!$H207="Iowa State",+All!E207,0))</f>
        <v>0</v>
      </c>
      <c r="F20" s="52" t="str">
        <f>IF(+All!$F207="Iowa State",+All!F207,IF(+All!$H207="Iowa State",+All!F207,0))</f>
        <v>Ohio</v>
      </c>
      <c r="G20" s="52" t="str">
        <f>IF(+All!$F207="Iowa State",+All!G207,IF(+All!$H207="Iowa State",+All!G207,0))</f>
        <v>MAC</v>
      </c>
      <c r="H20" s="52" t="str">
        <f>IF(+All!$F207="Iowa State",+All!H207,IF(+All!$H207="Iowa State",+All!H207,0))</f>
        <v>Iowa State</v>
      </c>
      <c r="I20" s="52" t="str">
        <f>IF(+All!$F207="Iowa State",+All!I207,IF(+All!$H207="Iowa State",+All!I207,0))</f>
        <v>B12</v>
      </c>
      <c r="J20" s="460" t="str">
        <f>IF(+All!$F207="Iowa State",+All!J207,IF(+All!$H207="Iowa State",+All!J207,0))</f>
        <v>Iowa State</v>
      </c>
      <c r="K20" s="461" t="str">
        <f>IF(+All!$F207="Iowa State",+All!K207,IF(+All!$H207="Iowa State",+All!K207,0))</f>
        <v>Ohio</v>
      </c>
      <c r="L20" s="54">
        <f>IF(+All!$F207="Iowa State",+All!L207,IF(+All!$H207="Iowa State",+All!L207,0))</f>
        <v>18.5</v>
      </c>
      <c r="M20" s="55">
        <f>IF(+All!$F207="Iowa State",+All!M207,IF(+All!$H207="Iowa State",+All!M207,0))</f>
        <v>49</v>
      </c>
      <c r="N20" s="460" t="str">
        <f>IF(+All!$F207="Iowa State",+All!N207,IF(+All!$H207="Iowa State",+All!N207,0))</f>
        <v>Iowa State</v>
      </c>
      <c r="O20" s="462">
        <f>IF(+All!$F207="Iowa State",+All!O207,IF(+All!$H207="Iowa State",+All!O207,0))</f>
        <v>43</v>
      </c>
      <c r="P20" s="462" t="str">
        <f>IF(+All!$F207="Iowa State",+All!P207,IF(+All!$H207="Iowa State",+All!P207,0))</f>
        <v>Ohio</v>
      </c>
      <c r="Q20" s="461">
        <f>IF(+All!$F207="Iowa State",+All!Q207,IF(+All!$H207="Iowa State",+All!Q207,0))</f>
        <v>10</v>
      </c>
      <c r="R20" s="460" t="str">
        <f>IF(+All!$F207="Iowa State",+All!R207,IF(+All!$H207="Iowa State",+All!R207,0))</f>
        <v>Iowa State</v>
      </c>
      <c r="S20" s="462" t="str">
        <f>IF(+All!$F207="Iowa State",+All!S207,IF(+All!$H207="Iowa State",+All!S207,0))</f>
        <v>Ohio</v>
      </c>
      <c r="T20" s="460" t="str">
        <f>IF(+All!$F207="Iowa State",+All!T207,IF(+All!$H207="Iowa State",+All!T207,0))</f>
        <v>Iowa State</v>
      </c>
      <c r="U20" s="461" t="str">
        <f>IF(+All!$F207="Iowa State",+All!U207,IF(+All!$H207="Iowa State",+All!U207,0))</f>
        <v>W</v>
      </c>
    </row>
    <row r="21" spans="1:21" s="21" customFormat="1" ht="15.75" customHeight="1" x14ac:dyDescent="0.8">
      <c r="A21" s="46">
        <f>IF(+All!$F280="Iowa State",+All!A280,IF(+All!$H280="Iowa State",+All!A280,0))</f>
        <v>4</v>
      </c>
      <c r="B21" s="46" t="str">
        <f>IF(+All!$F280="Iowa State",+All!B280,IF(+All!$H280="Iowa State",+All!B280,0))</f>
        <v>Sat</v>
      </c>
      <c r="C21" s="48">
        <f>IF(+All!$F280="Iowa State",+All!C280,IF(+All!$H280="Iowa State",+All!C280,0))</f>
        <v>44828</v>
      </c>
      <c r="D21" s="490">
        <f>IF(+All!$F280="Iowa State",+All!D280,IF(+All!$H280="Iowa State",+All!D280,0))</f>
        <v>0.5</v>
      </c>
      <c r="E21" s="461" t="str">
        <f>IF(+All!$F280="Iowa State",+All!E280,IF(+All!$H280="Iowa State",+All!E280,0))</f>
        <v>ESPN2</v>
      </c>
      <c r="F21" s="52" t="str">
        <f>IF(+All!$F280="Iowa State",+All!F280,IF(+All!$H280="Iowa State",+All!F280,0))</f>
        <v>Baylor</v>
      </c>
      <c r="G21" s="52" t="str">
        <f>IF(+All!$F280="Iowa State",+All!G280,IF(+All!$H280="Iowa State",+All!G280,0))</f>
        <v>B12</v>
      </c>
      <c r="H21" s="52" t="str">
        <f>IF(+All!$F280="Iowa State",+All!H280,IF(+All!$H280="Iowa State",+All!H280,0))</f>
        <v>Iowa State</v>
      </c>
      <c r="I21" s="52" t="str">
        <f>IF(+All!$F280="Iowa State",+All!I280,IF(+All!$H280="Iowa State",+All!I280,0))</f>
        <v>B12</v>
      </c>
      <c r="J21" s="460" t="str">
        <f>IF(+All!$F280="Iowa State",+All!J280,IF(+All!$H280="Iowa State",+All!J280,0))</f>
        <v>Iowa State</v>
      </c>
      <c r="K21" s="461" t="str">
        <f>IF(+All!$F280="Iowa State",+All!K280,IF(+All!$H280="Iowa State",+All!K280,0))</f>
        <v>Baylor</v>
      </c>
      <c r="L21" s="54">
        <f>IF(+All!$F280="Iowa State",+All!L280,IF(+All!$H280="Iowa State",+All!L280,0))</f>
        <v>2.5</v>
      </c>
      <c r="M21" s="55">
        <f>IF(+All!$F280="Iowa State",+All!M280,IF(+All!$H280="Iowa State",+All!M280,0))</f>
        <v>46</v>
      </c>
      <c r="N21" s="460" t="str">
        <f>IF(+All!$F280="Iowa State",+All!N280,IF(+All!$H280="Iowa State",+All!N280,0))</f>
        <v>Baylor</v>
      </c>
      <c r="O21" s="462">
        <f>IF(+All!$F280="Iowa State",+All!O280,IF(+All!$H280="Iowa State",+All!O280,0))</f>
        <v>31</v>
      </c>
      <c r="P21" s="462" t="str">
        <f>IF(+All!$F280="Iowa State",+All!P280,IF(+All!$H280="Iowa State",+All!P280,0))</f>
        <v>Iowa State</v>
      </c>
      <c r="Q21" s="461">
        <f>IF(+All!$F280="Iowa State",+All!Q280,IF(+All!$H280="Iowa State",+All!Q280,0))</f>
        <v>24</v>
      </c>
      <c r="R21" s="460" t="str">
        <f>IF(+All!$F280="Iowa State",+All!R280,IF(+All!$H280="Iowa State",+All!R280,0))</f>
        <v>Baylor</v>
      </c>
      <c r="S21" s="462" t="str">
        <f>IF(+All!$F280="Iowa State",+All!S280,IF(+All!$H280="Iowa State",+All!S280,0))</f>
        <v>Iowa State</v>
      </c>
      <c r="T21" s="460" t="str">
        <f>IF(+All!$F280="Iowa State",+All!T280,IF(+All!$H280="Iowa State",+All!T280,0))</f>
        <v>Baylor</v>
      </c>
      <c r="U21" s="461" t="str">
        <f>IF(+All!$F280="Iowa State",+All!U280,IF(+All!$H280="Iowa State",+All!U280,0))</f>
        <v>W</v>
      </c>
    </row>
    <row r="22" spans="1:21" s="358" customFormat="1" x14ac:dyDescent="0.8">
      <c r="A22" s="46">
        <f>IF(+All!$F343="Iowa State",+All!A343,IF(+All!$H343="Iowa State",+All!A343,0))</f>
        <v>5</v>
      </c>
      <c r="B22" s="46" t="str">
        <f>IF(+All!$F343="Iowa State",+All!B343,IF(+All!$H343="Iowa State",+All!B343,0))</f>
        <v>Sat</v>
      </c>
      <c r="C22" s="48">
        <f>IF(+All!$F343="Iowa State",+All!C343,IF(+All!$H343="Iowa State",+All!C343,0))</f>
        <v>44835</v>
      </c>
      <c r="D22" s="490">
        <f>IF(+All!$F343="Iowa State",+All!D343,IF(+All!$H343="Iowa State",+All!D343,0))</f>
        <v>0.64583333333333337</v>
      </c>
      <c r="E22" s="461" t="str">
        <f>IF(+All!$F343="Iowa State",+All!E343,IF(+All!$H343="Iowa State",+All!E343,0))</f>
        <v>ESPN2</v>
      </c>
      <c r="F22" s="52" t="str">
        <f>IF(+All!$F343="Iowa State",+All!F343,IF(+All!$H343="Iowa State",+All!F343,0))</f>
        <v>Iowa State</v>
      </c>
      <c r="G22" s="52" t="str">
        <f>IF(+All!$F343="Iowa State",+All!G343,IF(+All!$H343="Iowa State",+All!G343,0))</f>
        <v>B12</v>
      </c>
      <c r="H22" s="52" t="str">
        <f>IF(+All!$F343="Iowa State",+All!H343,IF(+All!$H343="Iowa State",+All!H343,0))</f>
        <v>Kansas</v>
      </c>
      <c r="I22" s="52" t="str">
        <f>IF(+All!$F343="Iowa State",+All!I343,IF(+All!$H343="Iowa State",+All!I343,0))</f>
        <v>B12</v>
      </c>
      <c r="J22" s="460" t="str">
        <f>IF(+All!$F343="Iowa State",+All!J343,IF(+All!$H343="Iowa State",+All!J343,0))</f>
        <v>Iowa State</v>
      </c>
      <c r="K22" s="461" t="str">
        <f>IF(+All!$F343="Iowa State",+All!K343,IF(+All!$H343="Iowa State",+All!K343,0))</f>
        <v>Kansas</v>
      </c>
      <c r="L22" s="54">
        <f>IF(+All!$F343="Iowa State",+All!L343,IF(+All!$H343="Iowa State",+All!L343,0))</f>
        <v>3.5</v>
      </c>
      <c r="M22" s="55">
        <f>IF(+All!$F343="Iowa State",+All!M343,IF(+All!$H343="Iowa State",+All!M343,0))</f>
        <v>57.5</v>
      </c>
      <c r="N22" s="460" t="str">
        <f>IF(+All!$F343="Iowa State",+All!N343,IF(+All!$H343="Iowa State",+All!N343,0))</f>
        <v>Kansas</v>
      </c>
      <c r="O22" s="462">
        <f>IF(+All!$F343="Iowa State",+All!O343,IF(+All!$H343="Iowa State",+All!O343,0))</f>
        <v>14</v>
      </c>
      <c r="P22" s="462" t="str">
        <f>IF(+All!$F343="Iowa State",+All!P343,IF(+All!$H343="Iowa State",+All!P343,0))</f>
        <v>Iowa State</v>
      </c>
      <c r="Q22" s="461">
        <f>IF(+All!$F343="Iowa State",+All!Q343,IF(+All!$H343="Iowa State",+All!Q343,0))</f>
        <v>11</v>
      </c>
      <c r="R22" s="460" t="str">
        <f>IF(+All!$F343="Iowa State",+All!R343,IF(+All!$H343="Iowa State",+All!R343,0))</f>
        <v>Kansas</v>
      </c>
      <c r="S22" s="462" t="str">
        <f>IF(+All!$F343="Iowa State",+All!S343,IF(+All!$H343="Iowa State",+All!S343,0))</f>
        <v>Iowa State</v>
      </c>
      <c r="T22" s="460" t="str">
        <f>IF(+All!$F343="Iowa State",+All!T343,IF(+All!$H343="Iowa State",+All!T343,0))</f>
        <v>Kansas</v>
      </c>
      <c r="U22" s="461" t="str">
        <f>IF(+All!$F343="Iowa State",+All!U343,IF(+All!$H343="Iowa State",+All!U343,0))</f>
        <v>W</v>
      </c>
    </row>
    <row r="23" spans="1:21" s="358" customFormat="1" x14ac:dyDescent="0.8">
      <c r="A23" s="46">
        <f>IF(+All!$F401="Iowa State",+All!A401,IF(+All!$H401="Iowa State",+All!A401,0))</f>
        <v>6</v>
      </c>
      <c r="B23" s="46" t="str">
        <f>IF(+All!$F401="Iowa State",+All!B401,IF(+All!$H401="Iowa State",+All!B401,0))</f>
        <v>Sat</v>
      </c>
      <c r="C23" s="48">
        <f>IF(+All!$F401="Iowa State",+All!C401,IF(+All!$H401="Iowa State",+All!C401,0))</f>
        <v>44842</v>
      </c>
      <c r="D23" s="490">
        <f>IF(+All!$F401="Iowa State",+All!D401,IF(+All!$H401="Iowa State",+All!D401,0))</f>
        <v>0.8125</v>
      </c>
      <c r="E23" s="461" t="str">
        <f>IF(+All!$F401="Iowa State",+All!E401,IF(+All!$H401="Iowa State",+All!E401,0))</f>
        <v>ESPNU</v>
      </c>
      <c r="F23" s="52" t="str">
        <f>IF(+All!$F401="Iowa State",+All!F401,IF(+All!$H401="Iowa State",+All!F401,0))</f>
        <v>Kansas State</v>
      </c>
      <c r="G23" s="52" t="str">
        <f>IF(+All!$F401="Iowa State",+All!G401,IF(+All!$H401="Iowa State",+All!G401,0))</f>
        <v>B12</v>
      </c>
      <c r="H23" s="52" t="str">
        <f>IF(+All!$F401="Iowa State",+All!H401,IF(+All!$H401="Iowa State",+All!H401,0))</f>
        <v>Iowa State</v>
      </c>
      <c r="I23" s="52" t="str">
        <f>IF(+All!$F401="Iowa State",+All!I401,IF(+All!$H401="Iowa State",+All!I401,0))</f>
        <v>B12</v>
      </c>
      <c r="J23" s="460" t="str">
        <f>IF(+All!$F401="Iowa State",+All!J401,IF(+All!$H401="Iowa State",+All!J401,0))</f>
        <v>Kansas State</v>
      </c>
      <c r="K23" s="461" t="str">
        <f>IF(+All!$F401="Iowa State",+All!K401,IF(+All!$H401="Iowa State",+All!K401,0))</f>
        <v>Iowa State</v>
      </c>
      <c r="L23" s="54">
        <f>IF(+All!$F401="Iowa State",+All!L401,IF(+All!$H401="Iowa State",+All!L401,0))</f>
        <v>2</v>
      </c>
      <c r="M23" s="55">
        <f>IF(+All!$F401="Iowa State",+All!M401,IF(+All!$H401="Iowa State",+All!M401,0))</f>
        <v>45</v>
      </c>
      <c r="N23" s="460" t="str">
        <f>IF(+All!$F401="Iowa State",+All!N401,IF(+All!$H401="Iowa State",+All!N401,0))</f>
        <v>Kansas State</v>
      </c>
      <c r="O23" s="462">
        <f>IF(+All!$F401="Iowa State",+All!O401,IF(+All!$H401="Iowa State",+All!O401,0))</f>
        <v>10</v>
      </c>
      <c r="P23" s="462" t="str">
        <f>IF(+All!$F401="Iowa State",+All!P401,IF(+All!$H401="Iowa State",+All!P401,0))</f>
        <v>Iowa State</v>
      </c>
      <c r="Q23" s="461">
        <f>IF(+All!$F401="Iowa State",+All!Q401,IF(+All!$H401="Iowa State",+All!Q401,0))</f>
        <v>9</v>
      </c>
      <c r="R23" s="460" t="str">
        <f>IF(+All!$F401="Iowa State",+All!R401,IF(+All!$H401="Iowa State",+All!R401,0))</f>
        <v>Iowa State</v>
      </c>
      <c r="S23" s="462" t="str">
        <f>IF(+All!$F401="Iowa State",+All!S401,IF(+All!$H401="Iowa State",+All!S401,0))</f>
        <v>Kansas State</v>
      </c>
      <c r="T23" s="460" t="str">
        <f>IF(+All!$F401="Iowa State",+All!T401,IF(+All!$H401="Iowa State",+All!T401,0))</f>
        <v>Kansas State</v>
      </c>
      <c r="U23" s="461" t="str">
        <f>IF(+All!$F401="Iowa State",+All!U401,IF(+All!$H401="Iowa State",+All!U401,0))</f>
        <v>L</v>
      </c>
    </row>
    <row r="24" spans="1:21" s="358" customFormat="1" x14ac:dyDescent="0.8">
      <c r="A24" s="46">
        <f>IF(+All!$F456="Iowa State",+All!A456,IF(+All!$H456="Iowa State",+All!A456,0))</f>
        <v>7</v>
      </c>
      <c r="B24" s="46" t="str">
        <f>IF(+All!$F456="Iowa State",+All!B456,IF(+All!$H456="Iowa State",+All!B456,0))</f>
        <v>Sat</v>
      </c>
      <c r="C24" s="48">
        <f>IF(+All!$F456="Iowa State",+All!C456,IF(+All!$H456="Iowa State",+All!C456,0))</f>
        <v>44849</v>
      </c>
      <c r="D24" s="490">
        <f>IF(+All!$F456="Iowa State",+All!D456,IF(+All!$H456="Iowa State",+All!D456,0))</f>
        <v>0.5</v>
      </c>
      <c r="E24" s="461" t="str">
        <f>IF(+All!$F456="Iowa State",+All!E456,IF(+All!$H456="Iowa State",+All!E456,0))</f>
        <v>ABC</v>
      </c>
      <c r="F24" s="52" t="str">
        <f>IF(+All!$F456="Iowa State",+All!F456,IF(+All!$H456="Iowa State",+All!F456,0))</f>
        <v>Iowa State</v>
      </c>
      <c r="G24" s="52" t="str">
        <f>IF(+All!$F456="Iowa State",+All!G456,IF(+All!$H456="Iowa State",+All!G456,0))</f>
        <v>B12</v>
      </c>
      <c r="H24" s="52" t="str">
        <f>IF(+All!$F456="Iowa State",+All!H456,IF(+All!$H456="Iowa State",+All!H456,0))</f>
        <v>Texas</v>
      </c>
      <c r="I24" s="52" t="str">
        <f>IF(+All!$F456="Iowa State",+All!I456,IF(+All!$H456="Iowa State",+All!I456,0))</f>
        <v>B12</v>
      </c>
      <c r="J24" s="460" t="str">
        <f>IF(+All!$F456="Iowa State",+All!J456,IF(+All!$H456="Iowa State",+All!J456,0))</f>
        <v>Texas</v>
      </c>
      <c r="K24" s="461" t="str">
        <f>IF(+All!$F456="Iowa State",+All!K456,IF(+All!$H456="Iowa State",+All!K456,0))</f>
        <v>Iowa State</v>
      </c>
      <c r="L24" s="54">
        <f>IF(+All!$F456="Iowa State",+All!L456,IF(+All!$H456="Iowa State",+All!L456,0))</f>
        <v>16.5</v>
      </c>
      <c r="M24" s="55">
        <f>IF(+All!$F456="Iowa State",+All!M456,IF(+All!$H456="Iowa State",+All!M456,0))</f>
        <v>49.5</v>
      </c>
      <c r="N24" s="460" t="str">
        <f>IF(+All!$F456="Iowa State",+All!N456,IF(+All!$H456="Iowa State",+All!N456,0))</f>
        <v>Texas</v>
      </c>
      <c r="O24" s="462">
        <f>IF(+All!$F456="Iowa State",+All!O456,IF(+All!$H456="Iowa State",+All!O456,0))</f>
        <v>24</v>
      </c>
      <c r="P24" s="462" t="str">
        <f>IF(+All!$F456="Iowa State",+All!P456,IF(+All!$H456="Iowa State",+All!P456,0))</f>
        <v>Iowa State</v>
      </c>
      <c r="Q24" s="461">
        <f>IF(+All!$F456="Iowa State",+All!Q456,IF(+All!$H456="Iowa State",+All!Q456,0))</f>
        <v>21</v>
      </c>
      <c r="R24" s="460" t="str">
        <f>IF(+All!$F456="Iowa State",+All!R456,IF(+All!$H456="Iowa State",+All!R456,0))</f>
        <v>Iowa State</v>
      </c>
      <c r="S24" s="462" t="str">
        <f>IF(+All!$F456="Iowa State",+All!S456,IF(+All!$H456="Iowa State",+All!S456,0))</f>
        <v>Texas</v>
      </c>
      <c r="T24" s="460" t="str">
        <f>IF(+All!$F456="Iowa State",+All!T456,IF(+All!$H456="Iowa State",+All!T456,0))</f>
        <v>Iowa State</v>
      </c>
      <c r="U24" s="461" t="str">
        <f>IF(+All!$F456="Iowa State",+All!U456,IF(+All!$H456="Iowa State",+All!U456,0))</f>
        <v>W</v>
      </c>
    </row>
    <row r="25" spans="1:21" s="358" customFormat="1" x14ac:dyDescent="0.8">
      <c r="A25" s="46" t="e">
        <f>IF(+All!#REF!="Iowa State",+All!#REF!,IF(+All!#REF!="Iowa State",+All!#REF!,0))</f>
        <v>#REF!</v>
      </c>
      <c r="B25" s="46" t="e">
        <f>IF(+All!#REF!="Iowa State",+All!#REF!,IF(+All!#REF!="Iowa State",+All!#REF!,0))</f>
        <v>#REF!</v>
      </c>
      <c r="C25" s="48" t="e">
        <f>IF(+All!#REF!="Iowa State",+All!#REF!,IF(+All!#REF!="Iowa State",+All!#REF!,0))</f>
        <v>#REF!</v>
      </c>
      <c r="D25" s="490" t="e">
        <f>IF(+All!#REF!="Iowa State",+All!#REF!,IF(+All!#REF!="Iowa State",+All!#REF!,0))</f>
        <v>#REF!</v>
      </c>
      <c r="E25" s="461" t="e">
        <f>IF(+All!#REF!="Iowa State",+All!#REF!,IF(+All!#REF!="Iowa State",+All!#REF!,0))</f>
        <v>#REF!</v>
      </c>
      <c r="F25" s="52" t="e">
        <f>IF(+All!#REF!="Iowa State",+All!#REF!,IF(+All!#REF!="Iowa State",+All!#REF!,0))</f>
        <v>#REF!</v>
      </c>
      <c r="G25" s="52" t="e">
        <f>IF(+All!#REF!="Iowa State",+All!#REF!,IF(+All!#REF!="Iowa State",+All!#REF!,0))</f>
        <v>#REF!</v>
      </c>
      <c r="H25" s="52" t="e">
        <f>IF(+All!#REF!="Iowa State",+All!#REF!,IF(+All!#REF!="Iowa State",+All!#REF!,0))</f>
        <v>#REF!</v>
      </c>
      <c r="I25" s="52" t="e">
        <f>IF(+All!#REF!="Iowa State",+All!#REF!,IF(+All!#REF!="Iowa State",+All!#REF!,0))</f>
        <v>#REF!</v>
      </c>
      <c r="J25" s="460" t="e">
        <f>IF(+All!#REF!="Iowa State",+All!#REF!,IF(+All!#REF!="Iowa State",+All!#REF!,0))</f>
        <v>#REF!</v>
      </c>
      <c r="K25" s="461" t="e">
        <f>IF(+All!#REF!="Iowa State",+All!#REF!,IF(+All!#REF!="Iowa State",+All!#REF!,0))</f>
        <v>#REF!</v>
      </c>
      <c r="L25" s="54" t="e">
        <f>IF(+All!#REF!="Iowa State",+All!#REF!,IF(+All!#REF!="Iowa State",+All!#REF!,0))</f>
        <v>#REF!</v>
      </c>
      <c r="M25" s="55" t="e">
        <f>IF(+All!#REF!="Iowa State",+All!#REF!,IF(+All!#REF!="Iowa State",+All!#REF!,0))</f>
        <v>#REF!</v>
      </c>
      <c r="N25" s="460" t="e">
        <f>IF(+All!#REF!="Iowa State",+All!#REF!,IF(+All!#REF!="Iowa State",+All!#REF!,0))</f>
        <v>#REF!</v>
      </c>
      <c r="O25" s="462" t="e">
        <f>IF(+All!#REF!="Iowa State",+All!#REF!,IF(+All!#REF!="Iowa State",+All!#REF!,0))</f>
        <v>#REF!</v>
      </c>
      <c r="P25" s="462" t="e">
        <f>IF(+All!#REF!="Iowa State",+All!#REF!,IF(+All!#REF!="Iowa State",+All!#REF!,0))</f>
        <v>#REF!</v>
      </c>
      <c r="Q25" s="461" t="e">
        <f>IF(+All!#REF!="Iowa State",+All!#REF!,IF(+All!#REF!="Iowa State",+All!#REF!,0))</f>
        <v>#REF!</v>
      </c>
      <c r="R25" s="460" t="e">
        <f>IF(+All!#REF!="Iowa State",+All!#REF!,IF(+All!#REF!="Iowa State",+All!#REF!,0))</f>
        <v>#REF!</v>
      </c>
      <c r="S25" s="462" t="e">
        <f>IF(+All!#REF!="Iowa State",+All!#REF!,IF(+All!#REF!="Iowa State",+All!#REF!,0))</f>
        <v>#REF!</v>
      </c>
      <c r="T25" s="460" t="e">
        <f>IF(+All!#REF!="Iowa State",+All!#REF!,IF(+All!#REF!="Iowa State",+All!#REF!,0))</f>
        <v>#REF!</v>
      </c>
      <c r="U25" s="461" t="e">
        <f>IF(+All!#REF!="Iowa State",+All!#REF!,IF(+All!#REF!="Iowa State",+All!#REF!,0))</f>
        <v>#REF!</v>
      </c>
    </row>
    <row r="26" spans="1:21" s="358" customFormat="1" x14ac:dyDescent="0.8">
      <c r="A26" s="46">
        <f>IF(+All!$F564="Iowa State",+All!A564,IF(+All!$H564="Iowa State",+All!A564,0))</f>
        <v>9</v>
      </c>
      <c r="B26" s="46" t="str">
        <f>IF(+All!$F564="Iowa State",+All!B564,IF(+All!$H564="Iowa State",+All!B564,0))</f>
        <v>Sat</v>
      </c>
      <c r="C26" s="48">
        <f>IF(+All!$F564="Iowa State",+All!C564,IF(+All!$H564="Iowa State",+All!C564,0))</f>
        <v>44863</v>
      </c>
      <c r="D26" s="490">
        <f>IF(+All!$F564="Iowa State",+All!D564,IF(+All!$H564="Iowa State",+All!D564,0))</f>
        <v>0.5</v>
      </c>
      <c r="E26" s="461" t="str">
        <f>IF(+All!$F564="Iowa State",+All!E564,IF(+All!$H564="Iowa State",+All!E564,0))</f>
        <v>FS1</v>
      </c>
      <c r="F26" s="52" t="str">
        <f>IF(+All!$F564="Iowa State",+All!F564,IF(+All!$H564="Iowa State",+All!F564,0))</f>
        <v>Oklahoma</v>
      </c>
      <c r="G26" s="52" t="str">
        <f>IF(+All!$F564="Iowa State",+All!G564,IF(+All!$H564="Iowa State",+All!G564,0))</f>
        <v>B12</v>
      </c>
      <c r="H26" s="52" t="str">
        <f>IF(+All!$F564="Iowa State",+All!H564,IF(+All!$H564="Iowa State",+All!H564,0))</f>
        <v>Iowa State</v>
      </c>
      <c r="I26" s="52" t="str">
        <f>IF(+All!$F564="Iowa State",+All!I564,IF(+All!$H564="Iowa State",+All!I564,0))</f>
        <v>B12</v>
      </c>
      <c r="J26" s="460" t="str">
        <f>IF(+All!$F564="Iowa State",+All!J564,IF(+All!$H564="Iowa State",+All!J564,0))</f>
        <v>Oklahoma</v>
      </c>
      <c r="K26" s="461" t="str">
        <f>IF(+All!$F564="Iowa State",+All!K564,IF(+All!$H564="Iowa State",+All!K564,0))</f>
        <v>Iowa State</v>
      </c>
      <c r="L26" s="54">
        <f>IF(+All!$F564="Iowa State",+All!L564,IF(+All!$H564="Iowa State",+All!L564,0))</f>
        <v>1.5</v>
      </c>
      <c r="M26" s="55">
        <f>IF(+All!$F564="Iowa State",+All!M564,IF(+All!$H564="Iowa State",+All!M564,0))</f>
        <v>55.5</v>
      </c>
      <c r="N26" s="460" t="str">
        <f>IF(+All!$F564="Iowa State",+All!N564,IF(+All!$H564="Iowa State",+All!N564,0))</f>
        <v>Oklahoma</v>
      </c>
      <c r="O26" s="462">
        <f>IF(+All!$F564="Iowa State",+All!O564,IF(+All!$H564="Iowa State",+All!O564,0))</f>
        <v>27</v>
      </c>
      <c r="P26" s="462" t="str">
        <f>IF(+All!$F564="Iowa State",+All!P564,IF(+All!$H564="Iowa State",+All!P564,0))</f>
        <v>Iowa State</v>
      </c>
      <c r="Q26" s="461">
        <f>IF(+All!$F564="Iowa State",+All!Q564,IF(+All!$H564="Iowa State",+All!Q564,0))</f>
        <v>13</v>
      </c>
      <c r="R26" s="460" t="str">
        <f>IF(+All!$F564="Iowa State",+All!R564,IF(+All!$H564="Iowa State",+All!R564,0))</f>
        <v>Oklahoma</v>
      </c>
      <c r="S26" s="462" t="str">
        <f>IF(+All!$F564="Iowa State",+All!S564,IF(+All!$H564="Iowa State",+All!S564,0))</f>
        <v>Iowa State</v>
      </c>
      <c r="T26" s="460" t="str">
        <f>IF(+All!$F564="Iowa State",+All!T564,IF(+All!$H564="Iowa State",+All!T564,0))</f>
        <v>Oklahoma</v>
      </c>
      <c r="U26" s="461" t="str">
        <f>IF(+All!$F564="Iowa State",+All!U564,IF(+All!$H564="Iowa State",+All!U564,0))</f>
        <v>W</v>
      </c>
    </row>
    <row r="27" spans="1:21" s="358" customFormat="1" x14ac:dyDescent="0.8">
      <c r="A27" s="46">
        <f>IF(+All!$F620="Iowa State",+All!A620,IF(+All!$H620="Iowa State",+All!A620,0))</f>
        <v>10</v>
      </c>
      <c r="B27" s="46" t="str">
        <f>IF(+All!$F620="Iowa State",+All!B620,IF(+All!$H620="Iowa State",+All!B620,0))</f>
        <v>Sat</v>
      </c>
      <c r="C27" s="48">
        <f>IF(+All!$F620="Iowa State",+All!C620,IF(+All!$H620="Iowa State",+All!C620,0))</f>
        <v>44870</v>
      </c>
      <c r="D27" s="490">
        <f>IF(+All!$F620="Iowa State",+All!D620,IF(+All!$H620="Iowa State",+All!D620,0))</f>
        <v>0.64583333333333337</v>
      </c>
      <c r="E27" s="461">
        <f>IF(+All!$F620="Iowa State",+All!E620,IF(+All!$H620="Iowa State",+All!E620,0))</f>
        <v>0</v>
      </c>
      <c r="F27" s="52" t="str">
        <f>IF(+All!$F620="Iowa State",+All!F620,IF(+All!$H620="Iowa State",+All!F620,0))</f>
        <v>West Virginia</v>
      </c>
      <c r="G27" s="52" t="str">
        <f>IF(+All!$F620="Iowa State",+All!G620,IF(+All!$H620="Iowa State",+All!G620,0))</f>
        <v>B12</v>
      </c>
      <c r="H27" s="52" t="str">
        <f>IF(+All!$F620="Iowa State",+All!H620,IF(+All!$H620="Iowa State",+All!H620,0))</f>
        <v>Iowa State</v>
      </c>
      <c r="I27" s="52" t="str">
        <f>IF(+All!$F620="Iowa State",+All!I620,IF(+All!$H620="Iowa State",+All!I620,0))</f>
        <v>B12</v>
      </c>
      <c r="J27" s="460" t="str">
        <f>IF(+All!$F620="Iowa State",+All!J620,IF(+All!$H620="Iowa State",+All!J620,0))</f>
        <v>Iowa State</v>
      </c>
      <c r="K27" s="461" t="str">
        <f>IF(+All!$F620="Iowa State",+All!K620,IF(+All!$H620="Iowa State",+All!K620,0))</f>
        <v>West Virginia</v>
      </c>
      <c r="L27" s="54">
        <f>IF(+All!$F620="Iowa State",+All!L620,IF(+All!$H620="Iowa State",+All!L620,0))</f>
        <v>7</v>
      </c>
      <c r="M27" s="55">
        <f>IF(+All!$F620="Iowa State",+All!M620,IF(+All!$H620="Iowa State",+All!M620,0))</f>
        <v>50.5</v>
      </c>
      <c r="N27" s="460" t="str">
        <f>IF(+All!$F620="Iowa State",+All!N620,IF(+All!$H620="Iowa State",+All!N620,0))</f>
        <v>Iowa State</v>
      </c>
      <c r="O27" s="462">
        <f>IF(+All!$F620="Iowa State",+All!O620,IF(+All!$H620="Iowa State",+All!O620,0))</f>
        <v>31</v>
      </c>
      <c r="P27" s="462" t="str">
        <f>IF(+All!$F620="Iowa State",+All!P620,IF(+All!$H620="Iowa State",+All!P620,0))</f>
        <v>West Virginia</v>
      </c>
      <c r="Q27" s="461">
        <f>IF(+All!$F620="Iowa State",+All!Q620,IF(+All!$H620="Iowa State",+All!Q620,0))</f>
        <v>14</v>
      </c>
      <c r="R27" s="460" t="str">
        <f>IF(+All!$F620="Iowa State",+All!R620,IF(+All!$H620="Iowa State",+All!R620,0))</f>
        <v>Iowa State</v>
      </c>
      <c r="S27" s="462" t="str">
        <f>IF(+All!$F620="Iowa State",+All!S620,IF(+All!$H620="Iowa State",+All!S620,0))</f>
        <v>West Virginia</v>
      </c>
      <c r="T27" s="460" t="str">
        <f>IF(+All!$F620="Iowa State",+All!T620,IF(+All!$H620="Iowa State",+All!T620,0))</f>
        <v>Iowa State</v>
      </c>
      <c r="U27" s="461" t="str">
        <f>IF(+All!$F620="Iowa State",+All!U620,IF(+All!$H620="Iowa State",+All!U620,0))</f>
        <v>W</v>
      </c>
    </row>
    <row r="28" spans="1:21" s="358" customFormat="1" x14ac:dyDescent="0.8">
      <c r="A28" s="46">
        <f>IF(+All!$F683="Iowa State",+All!A683,IF(+All!$H683="Iowa State",+All!A683,0))</f>
        <v>11</v>
      </c>
      <c r="B28" s="46" t="str">
        <f>IF(+All!$F683="Iowa State",+All!B683,IF(+All!$H683="Iowa State",+All!B683,0))</f>
        <v>Sat</v>
      </c>
      <c r="C28" s="48">
        <f>IF(+All!$F683="Iowa State",+All!C683,IF(+All!$H683="Iowa State",+All!C683,0))</f>
        <v>44877</v>
      </c>
      <c r="D28" s="490">
        <f>IF(+All!$F683="Iowa State",+All!D683,IF(+All!$H683="Iowa State",+All!D683,0))</f>
        <v>0.64583333333333337</v>
      </c>
      <c r="E28" s="461" t="str">
        <f>IF(+All!$F683="Iowa State",+All!E683,IF(+All!$H683="Iowa State",+All!E683,0))</f>
        <v>ESPNU</v>
      </c>
      <c r="F28" s="52" t="str">
        <f>IF(+All!$F683="Iowa State",+All!F683,IF(+All!$H683="Iowa State",+All!F683,0))</f>
        <v>Iowa State</v>
      </c>
      <c r="G28" s="52" t="str">
        <f>IF(+All!$F683="Iowa State",+All!G683,IF(+All!$H683="Iowa State",+All!G683,0))</f>
        <v>B12</v>
      </c>
      <c r="H28" s="52" t="str">
        <f>IF(+All!$F683="Iowa State",+All!H683,IF(+All!$H683="Iowa State",+All!H683,0))</f>
        <v>Oklahoma State</v>
      </c>
      <c r="I28" s="52" t="str">
        <f>IF(+All!$F683="Iowa State",+All!I683,IF(+All!$H683="Iowa State",+All!I683,0))</f>
        <v>B12</v>
      </c>
      <c r="J28" s="460" t="str">
        <f>IF(+All!$F683="Iowa State",+All!J683,IF(+All!$H683="Iowa State",+All!J683,0))</f>
        <v>Iowa State</v>
      </c>
      <c r="K28" s="461" t="str">
        <f>IF(+All!$F683="Iowa State",+All!K683,IF(+All!$H683="Iowa State",+All!K683,0))</f>
        <v>Oklahoma State</v>
      </c>
      <c r="L28" s="54">
        <f>IF(+All!$F683="Iowa State",+All!L683,IF(+All!$H683="Iowa State",+All!L683,0))</f>
        <v>1</v>
      </c>
      <c r="M28" s="55">
        <f>IF(+All!$F683="Iowa State",+All!M683,IF(+All!$H683="Iowa State",+All!M683,0))</f>
        <v>48.5</v>
      </c>
      <c r="N28" s="460" t="str">
        <f>IF(+All!$F683="Iowa State",+All!N683,IF(+All!$H683="Iowa State",+All!N683,0))</f>
        <v>Oklahoma State</v>
      </c>
      <c r="O28" s="462">
        <f>IF(+All!$F683="Iowa State",+All!O683,IF(+All!$H683="Iowa State",+All!O683,0))</f>
        <v>20</v>
      </c>
      <c r="P28" s="462" t="str">
        <f>IF(+All!$F683="Iowa State",+All!P683,IF(+All!$H683="Iowa State",+All!P683,0))</f>
        <v>Iowa State</v>
      </c>
      <c r="Q28" s="461">
        <f>IF(+All!$F683="Iowa State",+All!Q683,IF(+All!$H683="Iowa State",+All!Q683,0))</f>
        <v>14</v>
      </c>
      <c r="R28" s="460" t="str">
        <f>IF(+All!$F683="Iowa State",+All!R683,IF(+All!$H683="Iowa State",+All!R683,0))</f>
        <v>Oklahoma State</v>
      </c>
      <c r="S28" s="462" t="str">
        <f>IF(+All!$F683="Iowa State",+All!S683,IF(+All!$H683="Iowa State",+All!S683,0))</f>
        <v>Iowa State</v>
      </c>
      <c r="T28" s="460" t="str">
        <f>IF(+All!$F683="Iowa State",+All!T683,IF(+All!$H683="Iowa State",+All!T683,0))</f>
        <v>Iowa State</v>
      </c>
      <c r="U28" s="461" t="str">
        <f>IF(+All!$F683="Iowa State",+All!U683,IF(+All!$H683="Iowa State",+All!U683,0))</f>
        <v>L</v>
      </c>
    </row>
    <row r="29" spans="1:21" s="358" customFormat="1" x14ac:dyDescent="0.8">
      <c r="A29" s="46">
        <f>IF(+All!$F745="Iowa State",+All!A745,IF(+All!$H745="Iowa State",+All!A745,0))</f>
        <v>12</v>
      </c>
      <c r="B29" s="46" t="str">
        <f>IF(+All!$F745="Iowa State",+All!B745,IF(+All!$H745="Iowa State",+All!B745,0))</f>
        <v>Sat</v>
      </c>
      <c r="C29" s="48">
        <f>IF(+All!$F745="Iowa State",+All!C745,IF(+All!$H745="Iowa State",+All!C745,0))</f>
        <v>44884</v>
      </c>
      <c r="D29" s="490">
        <f>IF(+All!$F745="Iowa State",+All!D745,IF(+All!$H745="Iowa State",+All!D745,0))</f>
        <v>0.79166666666666663</v>
      </c>
      <c r="E29" s="461" t="str">
        <f>IF(+All!$F745="Iowa State",+All!E745,IF(+All!$H745="Iowa State",+All!E745,0))</f>
        <v>FS1</v>
      </c>
      <c r="F29" s="52" t="str">
        <f>IF(+All!$F745="Iowa State",+All!F745,IF(+All!$H745="Iowa State",+All!F745,0))</f>
        <v>Texas Tech</v>
      </c>
      <c r="G29" s="52" t="str">
        <f>IF(+All!$F745="Iowa State",+All!G745,IF(+All!$H745="Iowa State",+All!G745,0))</f>
        <v>B12</v>
      </c>
      <c r="H29" s="52" t="str">
        <f>IF(+All!$F745="Iowa State",+All!H745,IF(+All!$H745="Iowa State",+All!H745,0))</f>
        <v>Iowa State</v>
      </c>
      <c r="I29" s="52" t="str">
        <f>IF(+All!$F745="Iowa State",+All!I745,IF(+All!$H745="Iowa State",+All!I745,0))</f>
        <v>B12</v>
      </c>
      <c r="J29" s="460" t="str">
        <f>IF(+All!$F745="Iowa State",+All!J745,IF(+All!$H745="Iowa State",+All!J745,0))</f>
        <v>Iowa State</v>
      </c>
      <c r="K29" s="461" t="str">
        <f>IF(+All!$F745="Iowa State",+All!K745,IF(+All!$H745="Iowa State",+All!K745,0))</f>
        <v>Texas Tech</v>
      </c>
      <c r="L29" s="54">
        <f>IF(+All!$F745="Iowa State",+All!L745,IF(+All!$H745="Iowa State",+All!L745,0))</f>
        <v>3.5</v>
      </c>
      <c r="M29" s="55">
        <f>IF(+All!$F745="Iowa State",+All!M745,IF(+All!$H745="Iowa State",+All!M745,0))</f>
        <v>47.5</v>
      </c>
      <c r="N29" s="460" t="str">
        <f>IF(+All!$F745="Iowa State",+All!N745,IF(+All!$H745="Iowa State",+All!N745,0))</f>
        <v>Texas Tech</v>
      </c>
      <c r="O29" s="462">
        <f>IF(+All!$F745="Iowa State",+All!O745,IF(+All!$H745="Iowa State",+All!O745,0))</f>
        <v>14</v>
      </c>
      <c r="P29" s="462" t="str">
        <f>IF(+All!$F745="Iowa State",+All!P745,IF(+All!$H745="Iowa State",+All!P745,0))</f>
        <v>Iowa State</v>
      </c>
      <c r="Q29" s="461">
        <f>IF(+All!$F745="Iowa State",+All!Q745,IF(+All!$H745="Iowa State",+All!Q745,0))</f>
        <v>10</v>
      </c>
      <c r="R29" s="460" t="str">
        <f>IF(+All!$F745="Iowa State",+All!R745,IF(+All!$H745="Iowa State",+All!R745,0))</f>
        <v>Texas Tech</v>
      </c>
      <c r="S29" s="462" t="str">
        <f>IF(+All!$F745="Iowa State",+All!S745,IF(+All!$H745="Iowa State",+All!S745,0))</f>
        <v>Iowa State</v>
      </c>
      <c r="T29" s="460" t="str">
        <f>IF(+All!$F745="Iowa State",+All!T745,IF(+All!$H745="Iowa State",+All!T745,0))</f>
        <v>Iowa State</v>
      </c>
      <c r="U29" s="461" t="str">
        <f>IF(+All!$F745="Iowa State",+All!U745,IF(+All!$H745="Iowa State",+All!U745,0))</f>
        <v>L</v>
      </c>
    </row>
    <row r="30" spans="1:21" s="21" customFormat="1" ht="15.75" customHeight="1" x14ac:dyDescent="0.8">
      <c r="A30" s="46">
        <f>IF(+All!$F816="Iowa State",+All!A816,IF(+All!$H816="Iowa State",+All!A816,0))</f>
        <v>13</v>
      </c>
      <c r="B30" s="46" t="str">
        <f>IF(+All!$F816="Iowa State",+All!B816,IF(+All!$H816="Iowa State",+All!B816,0))</f>
        <v>Sat</v>
      </c>
      <c r="C30" s="48">
        <f>IF(+All!$F816="Iowa State",+All!C816,IF(+All!$H816="Iowa State",+All!C816,0))</f>
        <v>44891</v>
      </c>
      <c r="D30" s="490">
        <f>IF(+All!$F816="Iowa State",+All!D816,IF(+All!$H816="Iowa State",+All!D816,0))</f>
        <v>0.66666666666666663</v>
      </c>
      <c r="E30" s="461" t="str">
        <f>IF(+All!$F816="Iowa State",+All!E816,IF(+All!$H816="Iowa State",+All!E816,0))</f>
        <v>Fox</v>
      </c>
      <c r="F30" s="52" t="str">
        <f>IF(+All!$F816="Iowa State",+All!F816,IF(+All!$H816="Iowa State",+All!F816,0))</f>
        <v>Iowa State</v>
      </c>
      <c r="G30" s="52" t="str">
        <f>IF(+All!$F816="Iowa State",+All!G816,IF(+All!$H816="Iowa State",+All!G816,0))</f>
        <v>B12</v>
      </c>
      <c r="H30" s="52" t="str">
        <f>IF(+All!$F816="Iowa State",+All!H816,IF(+All!$H816="Iowa State",+All!H816,0))</f>
        <v>TCU</v>
      </c>
      <c r="I30" s="52" t="str">
        <f>IF(+All!$F816="Iowa State",+All!I816,IF(+All!$H816="Iowa State",+All!I816,0))</f>
        <v>B12</v>
      </c>
      <c r="J30" s="460" t="str">
        <f>IF(+All!$F816="Iowa State",+All!J816,IF(+All!$H816="Iowa State",+All!J816,0))</f>
        <v>TCU</v>
      </c>
      <c r="K30" s="461" t="str">
        <f>IF(+All!$F816="Iowa State",+All!K816,IF(+All!$H816="Iowa State",+All!K816,0))</f>
        <v>Iowa State</v>
      </c>
      <c r="L30" s="54">
        <f>IF(+All!$F816="Iowa State",+All!L816,IF(+All!$H816="Iowa State",+All!L816,0))</f>
        <v>9.5</v>
      </c>
      <c r="M30" s="55">
        <f>IF(+All!$F816="Iowa State",+All!M816,IF(+All!$H816="Iowa State",+All!M816,0))</f>
        <v>46.5</v>
      </c>
      <c r="N30" s="460" t="str">
        <f>IF(+All!$F816="Iowa State",+All!N816,IF(+All!$H816="Iowa State",+All!N816,0))</f>
        <v>TCU</v>
      </c>
      <c r="O30" s="462">
        <f>IF(+All!$F816="Iowa State",+All!O816,IF(+All!$H816="Iowa State",+All!O816,0))</f>
        <v>62</v>
      </c>
      <c r="P30" s="462" t="str">
        <f>IF(+All!$F816="Iowa State",+All!P816,IF(+All!$H816="Iowa State",+All!P816,0))</f>
        <v>Iowa State</v>
      </c>
      <c r="Q30" s="461">
        <f>IF(+All!$F816="Iowa State",+All!Q816,IF(+All!$H816="Iowa State",+All!Q816,0))</f>
        <v>14</v>
      </c>
      <c r="R30" s="460" t="str">
        <f>IF(+All!$F816="Iowa State",+All!R816,IF(+All!$H816="Iowa State",+All!R816,0))</f>
        <v>TCU</v>
      </c>
      <c r="S30" s="462" t="str">
        <f>IF(+All!$F816="Iowa State",+All!S816,IF(+All!$H816="Iowa State",+All!S816,0))</f>
        <v>Iowa State</v>
      </c>
      <c r="T30" s="460" t="str">
        <f>IF(+All!$F816="Iowa State",+All!T816,IF(+All!$H816="Iowa State",+All!T816,0))</f>
        <v>Iowa State</v>
      </c>
      <c r="U30" s="461" t="str">
        <f>IF(+All!$F816="Iowa State",+All!U816,IF(+All!$H816="Iowa State",+All!U816,0))</f>
        <v>L</v>
      </c>
    </row>
    <row r="31" spans="1:21" s="21" customFormat="1" ht="15.75" customHeight="1" x14ac:dyDescent="0.8">
      <c r="A31" s="38"/>
      <c r="B31" s="39"/>
      <c r="C31" s="404"/>
      <c r="D31" s="405"/>
      <c r="E31" s="463"/>
      <c r="F31" s="905" t="str">
        <f>H32</f>
        <v>Kansas</v>
      </c>
      <c r="G31" s="906"/>
      <c r="H31" s="906"/>
      <c r="I31" s="907"/>
      <c r="J31" s="459"/>
      <c r="K31" s="463"/>
      <c r="L31" s="406"/>
      <c r="M31" s="4"/>
      <c r="N31" s="459"/>
      <c r="O31" s="5"/>
      <c r="P31" s="5"/>
      <c r="Q31" s="463"/>
      <c r="R31" s="459"/>
      <c r="S31" s="5"/>
      <c r="T31" s="459"/>
      <c r="U31" s="463"/>
    </row>
    <row r="32" spans="1:21" s="472" customFormat="1" x14ac:dyDescent="0.8">
      <c r="A32" s="46">
        <f>IF(+All!$F41="Kansas",+All!A41,IF(+All!$H41="Kansas",+All!A41,0))</f>
        <v>1</v>
      </c>
      <c r="B32" s="348" t="str">
        <f>IF(+All!$F41="Kansas",+All!B41,IF(+All!$H41="Kansas",+All!B41,0))</f>
        <v>Fri</v>
      </c>
      <c r="C32" s="72">
        <f>IF(+All!$F41="Kansas",+All!C41,IF(+All!$H41="Kansas",+All!C41,0))</f>
        <v>44806</v>
      </c>
      <c r="D32" s="73">
        <f>IF(+All!$F41="Kansas",+All!D41,IF(+All!$H41="Kansas",+All!D41,0))</f>
        <v>0.83333333333333337</v>
      </c>
      <c r="E32" s="461">
        <f>IF(+All!$F41="Kansas",+All!E41,IF(+All!$H41="Kansas",+All!E41,0))</f>
        <v>0</v>
      </c>
      <c r="F32" s="460" t="str">
        <f>IF(+All!$F41="Kansas",+All!F41,IF(+All!$H41="Kansas",+All!F41,0))</f>
        <v>1AA Tennessee Tech</v>
      </c>
      <c r="G32" s="461" t="str">
        <f>IF(+All!$F41="Kansas",+All!G41,IF(+All!$H41="Kansas",+All!G41,0))</f>
        <v>1AA</v>
      </c>
      <c r="H32" s="462" t="str">
        <f>IF(+All!$F41="Kansas",+All!H41,IF(+All!$H41="Kansas",+All!H41,0))</f>
        <v>Kansas</v>
      </c>
      <c r="I32" s="461" t="str">
        <f>IF(+All!$F41="Kansas",+All!I41,IF(+All!$H41="Kansas",+All!I41,0))</f>
        <v>B12</v>
      </c>
      <c r="J32" s="460">
        <f>IF(+All!$F41="Kansas",+All!J41,IF(+All!$H41="Kansas",+All!J41,0))</f>
        <v>0</v>
      </c>
      <c r="K32" s="461">
        <f>IF(+All!$F41="Kansas",+All!K41,IF(+All!$H41="Kansas",+All!K41,0))</f>
        <v>0</v>
      </c>
      <c r="L32" s="60">
        <f>IF(+All!$F41="Kansas",+All!L41,IF(+All!$H41="Kansas",+All!L41,0))</f>
        <v>0</v>
      </c>
      <c r="M32" s="61">
        <f>IF(+All!$F41="Kansas",+All!M41,IF(+All!$H41="Kansas",+All!M41,0))</f>
        <v>0</v>
      </c>
      <c r="N32" s="460" t="str">
        <f>IF(+All!$F41="Kansas",+All!N41,IF(+All!$H41="Kansas",+All!N41,0))</f>
        <v>Kansas</v>
      </c>
      <c r="O32" s="462">
        <f>IF(+All!$F41="Kansas",+All!O41,IF(+All!$H41="Kansas",+All!O41,0))</f>
        <v>56</v>
      </c>
      <c r="P32" s="462" t="str">
        <f>IF(+All!$F41="Kansas",+All!P41,IF(+All!$H41="Kansas",+All!P41,0))</f>
        <v>1AA Tennessee Tech</v>
      </c>
      <c r="Q32" s="461">
        <f>IF(+All!$F41="Kansas",+All!Q41,IF(+All!$H41="Kansas",+All!Q41,0))</f>
        <v>10</v>
      </c>
      <c r="R32" s="460">
        <f>IF(+All!$F41="Kansas",+All!R41,IF(+All!$H41="Kansas",+All!R41,0))</f>
        <v>0</v>
      </c>
      <c r="S32" s="462">
        <f>IF(+All!$F41="Kansas",+All!S41,IF(+All!$H41="Kansas",+All!S41,0))</f>
        <v>0</v>
      </c>
      <c r="T32" s="460">
        <f>IF(+All!$F41="Kansas",+All!T41,IF(+All!$H41="Kansas",+All!T41,0))</f>
        <v>0</v>
      </c>
      <c r="U32" s="461">
        <f>IF(+All!$F41="Kansas",+All!U41,IF(+All!$H41="Kansas",+All!U41,0))</f>
        <v>0</v>
      </c>
    </row>
    <row r="33" spans="1:21" s="472" customFormat="1" x14ac:dyDescent="0.8">
      <c r="A33" s="46">
        <f>IF(+All!$F133="Kansas",+All!A133,IF(+All!$H133="Kansas",+All!A133,0))</f>
        <v>2</v>
      </c>
      <c r="B33" s="348" t="str">
        <f>IF(+All!$F133="Kansas",+All!B133,IF(+All!$H133="Kansas",+All!B133,0))</f>
        <v>Sat</v>
      </c>
      <c r="C33" s="72">
        <f>IF(+All!$F133="Kansas",+All!C133,IF(+All!$H133="Kansas",+All!C133,0))</f>
        <v>44814</v>
      </c>
      <c r="D33" s="73">
        <f>IF(+All!$F133="Kansas",+All!D133,IF(+All!$H133="Kansas",+All!D133,0))</f>
        <v>0.75</v>
      </c>
      <c r="E33" s="461">
        <f>IF(+All!$F133="Kansas",+All!E133,IF(+All!$H133="Kansas",+All!E133,0))</f>
        <v>0</v>
      </c>
      <c r="F33" s="460" t="str">
        <f>IF(+All!$F133="Kansas",+All!F133,IF(+All!$H133="Kansas",+All!F133,0))</f>
        <v>Kansas</v>
      </c>
      <c r="G33" s="461" t="str">
        <f>IF(+All!$F133="Kansas",+All!G133,IF(+All!$H133="Kansas",+All!G133,0))</f>
        <v>B12</v>
      </c>
      <c r="H33" s="462" t="str">
        <f>IF(+All!$F133="Kansas",+All!H133,IF(+All!$H133="Kansas",+All!H133,0))</f>
        <v>West Virginia</v>
      </c>
      <c r="I33" s="461" t="str">
        <f>IF(+All!$F133="Kansas",+All!I133,IF(+All!$H133="Kansas",+All!I133,0))</f>
        <v>B12</v>
      </c>
      <c r="J33" s="460" t="str">
        <f>IF(+All!$F133="Kansas",+All!J133,IF(+All!$H133="Kansas",+All!J133,0))</f>
        <v>West Virginia</v>
      </c>
      <c r="K33" s="461" t="str">
        <f>IF(+All!$F133="Kansas",+All!K133,IF(+All!$H133="Kansas",+All!K133,0))</f>
        <v>Kansas</v>
      </c>
      <c r="L33" s="60">
        <f>IF(+All!$F133="Kansas",+All!L133,IF(+All!$H133="Kansas",+All!L133,0))</f>
        <v>13.5</v>
      </c>
      <c r="M33" s="61">
        <f>IF(+All!$F133="Kansas",+All!M133,IF(+All!$H133="Kansas",+All!M133,0))</f>
        <v>59.5</v>
      </c>
      <c r="N33" s="460" t="str">
        <f>IF(+All!$F133="Kansas",+All!N133,IF(+All!$H133="Kansas",+All!N133,0))</f>
        <v>Kansas</v>
      </c>
      <c r="O33" s="462">
        <f>IF(+All!$F133="Kansas",+All!O133,IF(+All!$H133="Kansas",+All!O133,0))</f>
        <v>55</v>
      </c>
      <c r="P33" s="462" t="str">
        <f>IF(+All!$F133="Kansas",+All!P133,IF(+All!$H133="Kansas",+All!P133,0))</f>
        <v>West Virginia</v>
      </c>
      <c r="Q33" s="461">
        <f>IF(+All!$F133="Kansas",+All!Q133,IF(+All!$H133="Kansas",+All!Q133,0))</f>
        <v>42</v>
      </c>
      <c r="R33" s="460" t="str">
        <f>IF(+All!$F133="Kansas",+All!R133,IF(+All!$H133="Kansas",+All!R133,0))</f>
        <v>Kansas</v>
      </c>
      <c r="S33" s="462" t="str">
        <f>IF(+All!$F133="Kansas",+All!S133,IF(+All!$H133="Kansas",+All!S133,0))</f>
        <v>West Virginia</v>
      </c>
      <c r="T33" s="460" t="str">
        <f>IF(+All!$F133="Kansas",+All!T133,IF(+All!$H133="Kansas",+All!T133,0))</f>
        <v>West Virginia</v>
      </c>
      <c r="U33" s="461" t="str">
        <f>IF(+All!$F133="Kansas",+All!U133,IF(+All!$H133="Kansas",+All!U133,0))</f>
        <v>L</v>
      </c>
    </row>
    <row r="34" spans="1:21" x14ac:dyDescent="0.8">
      <c r="A34" s="46">
        <f>IF(+All!$F184="Kansas",+All!A184,IF(+All!$H184="Kansas",+All!A184,0))</f>
        <v>3</v>
      </c>
      <c r="B34" s="348" t="str">
        <f>IF(+All!$F184="Kansas",+All!B184,IF(+All!$H184="Kansas",+All!B184,0))</f>
        <v>Sat</v>
      </c>
      <c r="C34" s="72">
        <f>IF(+All!$F184="Kansas",+All!C184,IF(+All!$H184="Kansas",+All!C184,0))</f>
        <v>44821</v>
      </c>
      <c r="D34" s="73">
        <f>IF(+All!$F184="Kansas",+All!D184,IF(+All!$H184="Kansas",+All!D184,0))</f>
        <v>0.66666666666666663</v>
      </c>
      <c r="E34" s="461" t="str">
        <f>IF(+All!$F184="Kansas",+All!E184,IF(+All!$H184="Kansas",+All!E184,0))</f>
        <v>ESPNU</v>
      </c>
      <c r="F34" s="460" t="str">
        <f>IF(+All!$F184="Kansas",+All!F184,IF(+All!$H184="Kansas",+All!F184,0))</f>
        <v>Kansas</v>
      </c>
      <c r="G34" s="461" t="str">
        <f>IF(+All!$F184="Kansas",+All!G184,IF(+All!$H184="Kansas",+All!G184,0))</f>
        <v>B12</v>
      </c>
      <c r="H34" s="462" t="str">
        <f>IF(+All!$F184="Kansas",+All!H184,IF(+All!$H184="Kansas",+All!H184,0))</f>
        <v>Houston</v>
      </c>
      <c r="I34" s="461" t="str">
        <f>IF(+All!$F184="Kansas",+All!I184,IF(+All!$H184="Kansas",+All!I184,0))</f>
        <v>AAC</v>
      </c>
      <c r="J34" s="460" t="str">
        <f>IF(+All!$F184="Kansas",+All!J184,IF(+All!$H184="Kansas",+All!J184,0))</f>
        <v>Houston</v>
      </c>
      <c r="K34" s="461" t="str">
        <f>IF(+All!$F184="Kansas",+All!K184,IF(+All!$H184="Kansas",+All!K184,0))</f>
        <v>Kansas</v>
      </c>
      <c r="L34" s="60">
        <f>IF(+All!$F184="Kansas",+All!L184,IF(+All!$H184="Kansas",+All!L184,0))</f>
        <v>8</v>
      </c>
      <c r="M34" s="61">
        <f>IF(+All!$F184="Kansas",+All!M184,IF(+All!$H184="Kansas",+All!M184,0))</f>
        <v>57</v>
      </c>
      <c r="N34" s="460" t="str">
        <f>IF(+All!$F184="Kansas",+All!N184,IF(+All!$H184="Kansas",+All!N184,0))</f>
        <v>Kansas</v>
      </c>
      <c r="O34" s="462">
        <f>IF(+All!$F184="Kansas",+All!O184,IF(+All!$H184="Kansas",+All!O184,0))</f>
        <v>48</v>
      </c>
      <c r="P34" s="462" t="str">
        <f>IF(+All!$F184="Kansas",+All!P184,IF(+All!$H184="Kansas",+All!P184,0))</f>
        <v>Houston</v>
      </c>
      <c r="Q34" s="461">
        <f>IF(+All!$F184="Kansas",+All!Q184,IF(+All!$H184="Kansas",+All!Q184,0))</f>
        <v>30</v>
      </c>
      <c r="R34" s="460" t="str">
        <f>IF(+All!$F184="Kansas",+All!R184,IF(+All!$H184="Kansas",+All!R184,0))</f>
        <v>Kansas</v>
      </c>
      <c r="S34" s="462" t="str">
        <f>IF(+All!$F184="Kansas",+All!S184,IF(+All!$H184="Kansas",+All!S184,0))</f>
        <v>Houston</v>
      </c>
      <c r="T34" s="460" t="str">
        <f>IF(+All!$F184="Kansas",+All!T184,IF(+All!$H184="Kansas",+All!T184,0))</f>
        <v>Kansas</v>
      </c>
      <c r="U34" s="461" t="str">
        <f>IF(+All!$F184="Kansas",+All!U184,IF(+All!$H184="Kansas",+All!U184,0))</f>
        <v>W</v>
      </c>
    </row>
    <row r="35" spans="1:21" s="358" customFormat="1" x14ac:dyDescent="0.8">
      <c r="A35" s="46">
        <f>IF(+All!$F281="Kansas",+All!A281,IF(+All!$H281="Kansas",+All!A281,0))</f>
        <v>4</v>
      </c>
      <c r="B35" s="348" t="str">
        <f>IF(+All!$F281="Kansas",+All!B281,IF(+All!$H281="Kansas",+All!B281,0))</f>
        <v>Sat</v>
      </c>
      <c r="C35" s="72">
        <f>IF(+All!$F281="Kansas",+All!C281,IF(+All!$H281="Kansas",+All!C281,0))</f>
        <v>44828</v>
      </c>
      <c r="D35" s="73">
        <f>IF(+All!$F281="Kansas",+All!D281,IF(+All!$H281="Kansas",+All!D281,0))</f>
        <v>0.5</v>
      </c>
      <c r="E35" s="461" t="str">
        <f>IF(+All!$F281="Kansas",+All!E281,IF(+All!$H281="Kansas",+All!E281,0))</f>
        <v>FS1</v>
      </c>
      <c r="F35" s="460" t="str">
        <f>IF(+All!$F281="Kansas",+All!F281,IF(+All!$H281="Kansas",+All!F281,0))</f>
        <v>Duke</v>
      </c>
      <c r="G35" s="461" t="str">
        <f>IF(+All!$F281="Kansas",+All!G281,IF(+All!$H281="Kansas",+All!G281,0))</f>
        <v>ACC</v>
      </c>
      <c r="H35" s="462" t="str">
        <f>IF(+All!$F281="Kansas",+All!H281,IF(+All!$H281="Kansas",+All!H281,0))</f>
        <v>Kansas</v>
      </c>
      <c r="I35" s="461" t="str">
        <f>IF(+All!$F281="Kansas",+All!I281,IF(+All!$H281="Kansas",+All!I281,0))</f>
        <v>B12</v>
      </c>
      <c r="J35" s="460" t="str">
        <f>IF(+All!$F281="Kansas",+All!J281,IF(+All!$H281="Kansas",+All!J281,0))</f>
        <v>Kansas</v>
      </c>
      <c r="K35" s="461" t="str">
        <f>IF(+All!$F281="Kansas",+All!K281,IF(+All!$H281="Kansas",+All!K281,0))</f>
        <v>Duke</v>
      </c>
      <c r="L35" s="60">
        <f>IF(+All!$F281="Kansas",+All!L281,IF(+All!$H281="Kansas",+All!L281,0))</f>
        <v>7</v>
      </c>
      <c r="M35" s="61">
        <f>IF(+All!$F281="Kansas",+All!M281,IF(+All!$H281="Kansas",+All!M281,0))</f>
        <v>63.5</v>
      </c>
      <c r="N35" s="460" t="str">
        <f>IF(+All!$F281="Kansas",+All!N281,IF(+All!$H281="Kansas",+All!N281,0))</f>
        <v>Kansas</v>
      </c>
      <c r="O35" s="462">
        <f>IF(+All!$F281="Kansas",+All!O281,IF(+All!$H281="Kansas",+All!O281,0))</f>
        <v>35</v>
      </c>
      <c r="P35" s="462" t="str">
        <f>IF(+All!$F281="Kansas",+All!P281,IF(+All!$H281="Kansas",+All!P281,0))</f>
        <v>Duke</v>
      </c>
      <c r="Q35" s="461">
        <f>IF(+All!$F281="Kansas",+All!Q281,IF(+All!$H281="Kansas",+All!Q281,0))</f>
        <v>27</v>
      </c>
      <c r="R35" s="460" t="str">
        <f>IF(+All!$F281="Kansas",+All!R281,IF(+All!$H281="Kansas",+All!R281,0))</f>
        <v>Kansas</v>
      </c>
      <c r="S35" s="462" t="str">
        <f>IF(+All!$F281="Kansas",+All!S281,IF(+All!$H281="Kansas",+All!S281,0))</f>
        <v>Duke</v>
      </c>
      <c r="T35" s="460" t="str">
        <f>IF(+All!$F281="Kansas",+All!T281,IF(+All!$H281="Kansas",+All!T281,0))</f>
        <v>Kansas</v>
      </c>
      <c r="U35" s="461" t="str">
        <f>IF(+All!$F281="Kansas",+All!U281,IF(+All!$H281="Kansas",+All!U281,0))</f>
        <v>W</v>
      </c>
    </row>
    <row r="36" spans="1:21" x14ac:dyDescent="0.8">
      <c r="A36" s="46">
        <f>IF(+All!$F343="Kansas",+All!A343,IF(+All!$H343="Kansas",+All!A343,0))</f>
        <v>5</v>
      </c>
      <c r="B36" s="348" t="str">
        <f>IF(+All!$F343="Kansas",+All!B343,IF(+All!$H343="Kansas",+All!B343,0))</f>
        <v>Sat</v>
      </c>
      <c r="C36" s="72">
        <f>IF(+All!$F343="Kansas",+All!C343,IF(+All!$H343="Kansas",+All!C343,0))</f>
        <v>44835</v>
      </c>
      <c r="D36" s="73">
        <f>IF(+All!$F343="Kansas",+All!D343,IF(+All!$H343="Kansas",+All!D343,0))</f>
        <v>0.64583333333333337</v>
      </c>
      <c r="E36" s="461" t="str">
        <f>IF(+All!$F343="Kansas",+All!E343,IF(+All!$H343="Kansas",+All!E343,0))</f>
        <v>ESPN2</v>
      </c>
      <c r="F36" s="460" t="str">
        <f>IF(+All!$F343="Kansas",+All!F343,IF(+All!$H343="Kansas",+All!F343,0))</f>
        <v>Iowa State</v>
      </c>
      <c r="G36" s="461" t="str">
        <f>IF(+All!$F343="Kansas",+All!G343,IF(+All!$H343="Kansas",+All!G343,0))</f>
        <v>B12</v>
      </c>
      <c r="H36" s="462" t="str">
        <f>IF(+All!$F343="Kansas",+All!H343,IF(+All!$H343="Kansas",+All!H343,0))</f>
        <v>Kansas</v>
      </c>
      <c r="I36" s="461" t="str">
        <f>IF(+All!$F343="Kansas",+All!I343,IF(+All!$H343="Kansas",+All!I343,0))</f>
        <v>B12</v>
      </c>
      <c r="J36" s="460" t="str">
        <f>IF(+All!$F343="Kansas",+All!J343,IF(+All!$H343="Kansas",+All!J343,0))</f>
        <v>Iowa State</v>
      </c>
      <c r="K36" s="461" t="str">
        <f>IF(+All!$F343="Kansas",+All!K343,IF(+All!$H343="Kansas",+All!K343,0))</f>
        <v>Kansas</v>
      </c>
      <c r="L36" s="60">
        <f>IF(+All!$F343="Kansas",+All!L343,IF(+All!$H343="Kansas",+All!L343,0))</f>
        <v>3.5</v>
      </c>
      <c r="M36" s="61">
        <f>IF(+All!$F343="Kansas",+All!M343,IF(+All!$H343="Kansas",+All!M343,0))</f>
        <v>57.5</v>
      </c>
      <c r="N36" s="460" t="str">
        <f>IF(+All!$F343="Kansas",+All!N343,IF(+All!$H343="Kansas",+All!N343,0))</f>
        <v>Kansas</v>
      </c>
      <c r="O36" s="462">
        <f>IF(+All!$F343="Kansas",+All!O343,IF(+All!$H343="Kansas",+All!O343,0))</f>
        <v>14</v>
      </c>
      <c r="P36" s="462" t="str">
        <f>IF(+All!$F343="Kansas",+All!P343,IF(+All!$H343="Kansas",+All!P343,0))</f>
        <v>Iowa State</v>
      </c>
      <c r="Q36" s="461">
        <f>IF(+All!$F343="Kansas",+All!Q343,IF(+All!$H343="Kansas",+All!Q343,0))</f>
        <v>11</v>
      </c>
      <c r="R36" s="460" t="str">
        <f>IF(+All!$F343="Kansas",+All!R343,IF(+All!$H343="Kansas",+All!R343,0))</f>
        <v>Kansas</v>
      </c>
      <c r="S36" s="462" t="str">
        <f>IF(+All!$F343="Kansas",+All!S343,IF(+All!$H343="Kansas",+All!S343,0))</f>
        <v>Iowa State</v>
      </c>
      <c r="T36" s="460" t="str">
        <f>IF(+All!$F343="Kansas",+All!T343,IF(+All!$H343="Kansas",+All!T343,0))</f>
        <v>Kansas</v>
      </c>
      <c r="U36" s="461" t="str">
        <f>IF(+All!$F343="Kansas",+All!U343,IF(+All!$H343="Kansas",+All!U343,0))</f>
        <v>W</v>
      </c>
    </row>
    <row r="37" spans="1:21" x14ac:dyDescent="0.8">
      <c r="A37" s="46">
        <f>IF(+All!$F402="Kansas",+All!A402,IF(+All!$H402="Kansas",+All!A402,0))</f>
        <v>6</v>
      </c>
      <c r="B37" s="348" t="str">
        <f>IF(+All!$F402="Kansas",+All!B402,IF(+All!$H402="Kansas",+All!B402,0))</f>
        <v>Sat</v>
      </c>
      <c r="C37" s="72">
        <f>IF(+All!$F402="Kansas",+All!C402,IF(+All!$H402="Kansas",+All!C402,0))</f>
        <v>44842</v>
      </c>
      <c r="D37" s="73">
        <f>IF(+All!$F402="Kansas",+All!D402,IF(+All!$H402="Kansas",+All!D402,0))</f>
        <v>0.5</v>
      </c>
      <c r="E37" s="461" t="str">
        <f>IF(+All!$F402="Kansas",+All!E402,IF(+All!$H402="Kansas",+All!E402,0))</f>
        <v>FS1</v>
      </c>
      <c r="F37" s="460" t="str">
        <f>IF(+All!$F402="Kansas",+All!F402,IF(+All!$H402="Kansas",+All!F402,0))</f>
        <v>TCU</v>
      </c>
      <c r="G37" s="461" t="str">
        <f>IF(+All!$F402="Kansas",+All!G402,IF(+All!$H402="Kansas",+All!G402,0))</f>
        <v>B12</v>
      </c>
      <c r="H37" s="462" t="str">
        <f>IF(+All!$F402="Kansas",+All!H402,IF(+All!$H402="Kansas",+All!H402,0))</f>
        <v>Kansas</v>
      </c>
      <c r="I37" s="461" t="str">
        <f>IF(+All!$F402="Kansas",+All!I402,IF(+All!$H402="Kansas",+All!I402,0))</f>
        <v>B12</v>
      </c>
      <c r="J37" s="460" t="str">
        <f>IF(+All!$F402="Kansas",+All!J402,IF(+All!$H402="Kansas",+All!J402,0))</f>
        <v>TCU</v>
      </c>
      <c r="K37" s="461" t="str">
        <f>IF(+All!$F402="Kansas",+All!K402,IF(+All!$H402="Kansas",+All!K402,0))</f>
        <v>Kansas</v>
      </c>
      <c r="L37" s="60">
        <f>IF(+All!$F402="Kansas",+All!L402,IF(+All!$H402="Kansas",+All!L402,0))</f>
        <v>7</v>
      </c>
      <c r="M37" s="61">
        <f>IF(+All!$F402="Kansas",+All!M402,IF(+All!$H402="Kansas",+All!M402,0))</f>
        <v>68</v>
      </c>
      <c r="N37" s="460" t="str">
        <f>IF(+All!$F402="Kansas",+All!N402,IF(+All!$H402="Kansas",+All!N402,0))</f>
        <v>TCU</v>
      </c>
      <c r="O37" s="462">
        <f>IF(+All!$F402="Kansas",+All!O402,IF(+All!$H402="Kansas",+All!O402,0))</f>
        <v>38</v>
      </c>
      <c r="P37" s="462" t="str">
        <f>IF(+All!$F402="Kansas",+All!P402,IF(+All!$H402="Kansas",+All!P402,0))</f>
        <v>Kansas</v>
      </c>
      <c r="Q37" s="461">
        <f>IF(+All!$F402="Kansas",+All!Q402,IF(+All!$H402="Kansas",+All!Q402,0))</f>
        <v>31</v>
      </c>
      <c r="R37" s="460" t="str">
        <f>IF(+All!$F402="Kansas",+All!R402,IF(+All!$H402="Kansas",+All!R402,0))</f>
        <v>TCU</v>
      </c>
      <c r="S37" s="462" t="str">
        <f>IF(+All!$F402="Kansas",+All!S402,IF(+All!$H402="Kansas",+All!S402,0))</f>
        <v>Kansas</v>
      </c>
      <c r="T37" s="460" t="str">
        <f>IF(+All!$F402="Kansas",+All!T402,IF(+All!$H402="Kansas",+All!T402,0))</f>
        <v>Kansas</v>
      </c>
      <c r="U37" s="461" t="str">
        <f>IF(+All!$F402="Kansas",+All!U402,IF(+All!$H402="Kansas",+All!U402,0))</f>
        <v>T</v>
      </c>
    </row>
    <row r="38" spans="1:21" x14ac:dyDescent="0.8">
      <c r="A38" s="46">
        <f>IF(+All!$F454="Kansas",+All!A454,IF(+All!$H454="Kansas",+All!A454,0))</f>
        <v>7</v>
      </c>
      <c r="B38" s="348" t="str">
        <f>IF(+All!$F454="Kansas",+All!B454,IF(+All!$H454="Kansas",+All!B454,0))</f>
        <v>Sat</v>
      </c>
      <c r="C38" s="72">
        <f>IF(+All!$F454="Kansas",+All!C454,IF(+All!$H454="Kansas",+All!C454,0))</f>
        <v>44849</v>
      </c>
      <c r="D38" s="73">
        <f>IF(+All!$F454="Kansas",+All!D454,IF(+All!$H454="Kansas",+All!D454,0))</f>
        <v>0.5</v>
      </c>
      <c r="E38" s="461" t="str">
        <f>IF(+All!$F454="Kansas",+All!E454,IF(+All!$H454="Kansas",+All!E454,0))</f>
        <v>ESPN2</v>
      </c>
      <c r="F38" s="460" t="str">
        <f>IF(+All!$F454="Kansas",+All!F454,IF(+All!$H454="Kansas",+All!F454,0))</f>
        <v>Kansas</v>
      </c>
      <c r="G38" s="461" t="str">
        <f>IF(+All!$F454="Kansas",+All!G454,IF(+All!$H454="Kansas",+All!G454,0))</f>
        <v>B12</v>
      </c>
      <c r="H38" s="462" t="str">
        <f>IF(+All!$F454="Kansas",+All!H454,IF(+All!$H454="Kansas",+All!H454,0))</f>
        <v>Oklahoma</v>
      </c>
      <c r="I38" s="461" t="str">
        <f>IF(+All!$F454="Kansas",+All!I454,IF(+All!$H454="Kansas",+All!I454,0))</f>
        <v>B12</v>
      </c>
      <c r="J38" s="460" t="str">
        <f>IF(+All!$F454="Kansas",+All!J454,IF(+All!$H454="Kansas",+All!J454,0))</f>
        <v>Oklahoma</v>
      </c>
      <c r="K38" s="461" t="str">
        <f>IF(+All!$F454="Kansas",+All!K454,IF(+All!$H454="Kansas",+All!K454,0))</f>
        <v>Kansas</v>
      </c>
      <c r="L38" s="60">
        <f>IF(+All!$F454="Kansas",+All!L454,IF(+All!$H454="Kansas",+All!L454,0))</f>
        <v>7.5</v>
      </c>
      <c r="M38" s="61">
        <f>IF(+All!$F454="Kansas",+All!M454,IF(+All!$H454="Kansas",+All!M454,0))</f>
        <v>63.5</v>
      </c>
      <c r="N38" s="460" t="str">
        <f>IF(+All!$F454="Kansas",+All!N454,IF(+All!$H454="Kansas",+All!N454,0))</f>
        <v>Oklahoma</v>
      </c>
      <c r="O38" s="462">
        <f>IF(+All!$F454="Kansas",+All!O454,IF(+All!$H454="Kansas",+All!O454,0))</f>
        <v>52</v>
      </c>
      <c r="P38" s="462" t="str">
        <f>IF(+All!$F454="Kansas",+All!P454,IF(+All!$H454="Kansas",+All!P454,0))</f>
        <v>Kansas</v>
      </c>
      <c r="Q38" s="461">
        <f>IF(+All!$F454="Kansas",+All!Q454,IF(+All!$H454="Kansas",+All!Q454,0))</f>
        <v>42</v>
      </c>
      <c r="R38" s="460" t="str">
        <f>IF(+All!$F454="Kansas",+All!R454,IF(+All!$H454="Kansas",+All!R454,0))</f>
        <v>Oklahoma</v>
      </c>
      <c r="S38" s="462" t="str">
        <f>IF(+All!$F454="Kansas",+All!S454,IF(+All!$H454="Kansas",+All!S454,0))</f>
        <v>Kansas</v>
      </c>
      <c r="T38" s="460" t="str">
        <f>IF(+All!$F454="Kansas",+All!T454,IF(+All!$H454="Kansas",+All!T454,0))</f>
        <v>Kansas</v>
      </c>
      <c r="U38" s="461" t="str">
        <f>IF(+All!$F454="Kansas",+All!U454,IF(+All!$H454="Kansas",+All!U454,0))</f>
        <v>L</v>
      </c>
    </row>
    <row r="39" spans="1:21" x14ac:dyDescent="0.8">
      <c r="A39" s="46">
        <f>IF(+All!$F509="Kansas",+All!A509,IF(+All!$H509="Kansas",+All!A509,0))</f>
        <v>8</v>
      </c>
      <c r="B39" s="348" t="str">
        <f>IF(+All!$F509="Kansas",+All!B509,IF(+All!$H509="Kansas",+All!B509,0))</f>
        <v>Sat</v>
      </c>
      <c r="C39" s="72">
        <f>IF(+All!$F509="Kansas",+All!C509,IF(+All!$H509="Kansas",+All!C509,0))</f>
        <v>44856</v>
      </c>
      <c r="D39" s="73">
        <f>IF(+All!$F509="Kansas",+All!D509,IF(+All!$H509="Kansas",+All!D509,0))</f>
        <v>0.5</v>
      </c>
      <c r="E39" s="461" t="str">
        <f>IF(+All!$F509="Kansas",+All!E509,IF(+All!$H509="Kansas",+All!E509,0))</f>
        <v>ESPN2</v>
      </c>
      <c r="F39" s="460" t="str">
        <f>IF(+All!$F509="Kansas",+All!F509,IF(+All!$H509="Kansas",+All!F509,0))</f>
        <v>Kansas</v>
      </c>
      <c r="G39" s="461" t="str">
        <f>IF(+All!$F509="Kansas",+All!G509,IF(+All!$H509="Kansas",+All!G509,0))</f>
        <v>B12</v>
      </c>
      <c r="H39" s="462" t="str">
        <f>IF(+All!$F509="Kansas",+All!H509,IF(+All!$H509="Kansas",+All!H509,0))</f>
        <v>Baylor</v>
      </c>
      <c r="I39" s="461" t="str">
        <f>IF(+All!$F509="Kansas",+All!I509,IF(+All!$H509="Kansas",+All!I509,0))</f>
        <v>B12</v>
      </c>
      <c r="J39" s="460" t="str">
        <f>IF(+All!$F509="Kansas",+All!J509,IF(+All!$H509="Kansas",+All!J509,0))</f>
        <v>Baylor</v>
      </c>
      <c r="K39" s="461" t="str">
        <f>IF(+All!$F509="Kansas",+All!K509,IF(+All!$H509="Kansas",+All!K509,0))</f>
        <v>Kansas</v>
      </c>
      <c r="L39" s="60">
        <f>IF(+All!$F509="Kansas",+All!L509,IF(+All!$H509="Kansas",+All!L509,0))</f>
        <v>7.5</v>
      </c>
      <c r="M39" s="61">
        <f>IF(+All!$F509="Kansas",+All!M509,IF(+All!$H509="Kansas",+All!M509,0))</f>
        <v>61</v>
      </c>
      <c r="N39" s="460" t="str">
        <f>IF(+All!$F509="Kansas",+All!N509,IF(+All!$H509="Kansas",+All!N509,0))</f>
        <v>Baylor</v>
      </c>
      <c r="O39" s="462">
        <f>IF(+All!$F509="Kansas",+All!O509,IF(+All!$H509="Kansas",+All!O509,0))</f>
        <v>35</v>
      </c>
      <c r="P39" s="462" t="str">
        <f>IF(+All!$F509="Kansas",+All!P509,IF(+All!$H509="Kansas",+All!P509,0))</f>
        <v>Kansas</v>
      </c>
      <c r="Q39" s="461">
        <f>IF(+All!$F509="Kansas",+All!Q509,IF(+All!$H509="Kansas",+All!Q509,0))</f>
        <v>23</v>
      </c>
      <c r="R39" s="460" t="str">
        <f>IF(+All!$F509="Kansas",+All!R509,IF(+All!$H509="Kansas",+All!R509,0))</f>
        <v>Baylor</v>
      </c>
      <c r="S39" s="462" t="str">
        <f>IF(+All!$F509="Kansas",+All!S509,IF(+All!$H509="Kansas",+All!S509,0))</f>
        <v>Kansas</v>
      </c>
      <c r="T39" s="460" t="str">
        <f>IF(+All!$F509="Kansas",+All!T509,IF(+All!$H509="Kansas",+All!T509,0))</f>
        <v>Baylor</v>
      </c>
      <c r="U39" s="461" t="str">
        <f>IF(+All!$F509="Kansas",+All!U509,IF(+All!$H509="Kansas",+All!U509,0))</f>
        <v>W</v>
      </c>
    </row>
    <row r="40" spans="1:21" x14ac:dyDescent="0.8">
      <c r="A40" s="46" t="e">
        <f>IF(+All!#REF!="Kansas",+All!#REF!,IF(+All!#REF!="Kansas",+All!#REF!,0))</f>
        <v>#REF!</v>
      </c>
      <c r="B40" s="348" t="e">
        <f>IF(+All!#REF!="Kansas",+All!#REF!,IF(+All!#REF!="Kansas",+All!#REF!,0))</f>
        <v>#REF!</v>
      </c>
      <c r="C40" s="72" t="e">
        <f>IF(+All!#REF!="Kansas",+All!#REF!,IF(+All!#REF!="Kansas",+All!#REF!,0))</f>
        <v>#REF!</v>
      </c>
      <c r="D40" s="73" t="e">
        <f>IF(+All!#REF!="Kansas",+All!#REF!,IF(+All!#REF!="Kansas",+All!#REF!,0))</f>
        <v>#REF!</v>
      </c>
      <c r="E40" s="461" t="e">
        <f>IF(+All!#REF!="Kansas",+All!#REF!,IF(+All!#REF!="Kansas",+All!#REF!,0))</f>
        <v>#REF!</v>
      </c>
      <c r="F40" s="460" t="e">
        <f>IF(+All!#REF!="Kansas",+All!#REF!,IF(+All!#REF!="Kansas",+All!#REF!,0))</f>
        <v>#REF!</v>
      </c>
      <c r="G40" s="461" t="e">
        <f>IF(+All!#REF!="Kansas",+All!#REF!,IF(+All!#REF!="Kansas",+All!#REF!,0))</f>
        <v>#REF!</v>
      </c>
      <c r="H40" s="462" t="e">
        <f>IF(+All!#REF!="Kansas",+All!#REF!,IF(+All!#REF!="Kansas",+All!#REF!,0))</f>
        <v>#REF!</v>
      </c>
      <c r="I40" s="461" t="e">
        <f>IF(+All!#REF!="Kansas",+All!#REF!,IF(+All!#REF!="Kansas",+All!#REF!,0))</f>
        <v>#REF!</v>
      </c>
      <c r="J40" s="460" t="e">
        <f>IF(+All!#REF!="Kansas",+All!#REF!,IF(+All!#REF!="Kansas",+All!#REF!,0))</f>
        <v>#REF!</v>
      </c>
      <c r="K40" s="461" t="e">
        <f>IF(+All!#REF!="Kansas",+All!#REF!,IF(+All!#REF!="Kansas",+All!#REF!,0))</f>
        <v>#REF!</v>
      </c>
      <c r="L40" s="60" t="e">
        <f>IF(+All!#REF!="Kansas",+All!#REF!,IF(+All!#REF!="Kansas",+All!#REF!,0))</f>
        <v>#REF!</v>
      </c>
      <c r="M40" s="61" t="e">
        <f>IF(+All!#REF!="Kansas",+All!#REF!,IF(+All!#REF!="Kansas",+All!#REF!,0))</f>
        <v>#REF!</v>
      </c>
      <c r="N40" s="460" t="e">
        <f>IF(+All!#REF!="Kansas",+All!#REF!,IF(+All!#REF!="Kansas",+All!#REF!,0))</f>
        <v>#REF!</v>
      </c>
      <c r="O40" s="462" t="e">
        <f>IF(+All!#REF!="Kansas",+All!#REF!,IF(+All!#REF!="Kansas",+All!#REF!,0))</f>
        <v>#REF!</v>
      </c>
      <c r="P40" s="462" t="e">
        <f>IF(+All!#REF!="Kansas",+All!#REF!,IF(+All!#REF!="Kansas",+All!#REF!,0))</f>
        <v>#REF!</v>
      </c>
      <c r="Q40" s="461" t="e">
        <f>IF(+All!#REF!="Kansas",+All!#REF!,IF(+All!#REF!="Kansas",+All!#REF!,0))</f>
        <v>#REF!</v>
      </c>
      <c r="R40" s="460" t="e">
        <f>IF(+All!#REF!="Kansas",+All!#REF!,IF(+All!#REF!="Kansas",+All!#REF!,0))</f>
        <v>#REF!</v>
      </c>
      <c r="S40" s="462" t="e">
        <f>IF(+All!#REF!="Kansas",+All!#REF!,IF(+All!#REF!="Kansas",+All!#REF!,0))</f>
        <v>#REF!</v>
      </c>
      <c r="T40" s="460" t="e">
        <f>IF(+All!#REF!="Kansas",+All!#REF!,IF(+All!#REF!="Kansas",+All!#REF!,0))</f>
        <v>#REF!</v>
      </c>
      <c r="U40" s="461" t="e">
        <f>IF(+All!#REF!="Kansas",+All!#REF!,IF(+All!#REF!="Kansas",+All!#REF!,0))</f>
        <v>#REF!</v>
      </c>
    </row>
    <row r="41" spans="1:21" x14ac:dyDescent="0.8">
      <c r="A41" s="46">
        <f>IF(+All!$F621="Kansas",+All!A621,IF(+All!$H621="Kansas",+All!A621,0))</f>
        <v>10</v>
      </c>
      <c r="B41" s="348" t="str">
        <f>IF(+All!$F621="Kansas",+All!B621,IF(+All!$H621="Kansas",+All!B621,0))</f>
        <v>Sat</v>
      </c>
      <c r="C41" s="72">
        <f>IF(+All!$F621="Kansas",+All!C621,IF(+All!$H621="Kansas",+All!C621,0))</f>
        <v>44870</v>
      </c>
      <c r="D41" s="73">
        <f>IF(+All!$F621="Kansas",+All!D621,IF(+All!$H621="Kansas",+All!D621,0))</f>
        <v>0.64583333333333337</v>
      </c>
      <c r="E41" s="461" t="str">
        <f>IF(+All!$F621="Kansas",+All!E621,IF(+All!$H621="Kansas",+All!E621,0))</f>
        <v>FS1</v>
      </c>
      <c r="F41" s="460" t="str">
        <f>IF(+All!$F621="Kansas",+All!F621,IF(+All!$H621="Kansas",+All!F621,0))</f>
        <v>Oklahoma State</v>
      </c>
      <c r="G41" s="461" t="str">
        <f>IF(+All!$F621="Kansas",+All!G621,IF(+All!$H621="Kansas",+All!G621,0))</f>
        <v>B12</v>
      </c>
      <c r="H41" s="462" t="str">
        <f>IF(+All!$F621="Kansas",+All!H621,IF(+All!$H621="Kansas",+All!H621,0))</f>
        <v>Kansas</v>
      </c>
      <c r="I41" s="461" t="str">
        <f>IF(+All!$F621="Kansas",+All!I621,IF(+All!$H621="Kansas",+All!I621,0))</f>
        <v>B12</v>
      </c>
      <c r="J41" s="460" t="str">
        <f>IF(+All!$F621="Kansas",+All!J621,IF(+All!$H621="Kansas",+All!J621,0))</f>
        <v>Oklahoma State</v>
      </c>
      <c r="K41" s="461" t="str">
        <f>IF(+All!$F621="Kansas",+All!K621,IF(+All!$H621="Kansas",+All!K621,0))</f>
        <v>Kansas</v>
      </c>
      <c r="L41" s="60">
        <f>IF(+All!$F621="Kansas",+All!L621,IF(+All!$H621="Kansas",+All!L621,0))</f>
        <v>2</v>
      </c>
      <c r="M41" s="61">
        <f>IF(+All!$F621="Kansas",+All!M621,IF(+All!$H621="Kansas",+All!M621,0))</f>
        <v>65.5</v>
      </c>
      <c r="N41" s="460" t="str">
        <f>IF(+All!$F621="Kansas",+All!N621,IF(+All!$H621="Kansas",+All!N621,0))</f>
        <v>Kansas</v>
      </c>
      <c r="O41" s="462">
        <f>IF(+All!$F621="Kansas",+All!O621,IF(+All!$H621="Kansas",+All!O621,0))</f>
        <v>37</v>
      </c>
      <c r="P41" s="462" t="str">
        <f>IF(+All!$F621="Kansas",+All!P621,IF(+All!$H621="Kansas",+All!P621,0))</f>
        <v>Oklahoma State</v>
      </c>
      <c r="Q41" s="461">
        <f>IF(+All!$F621="Kansas",+All!Q621,IF(+All!$H621="Kansas",+All!Q621,0))</f>
        <v>16</v>
      </c>
      <c r="R41" s="460" t="str">
        <f>IF(+All!$F621="Kansas",+All!R621,IF(+All!$H621="Kansas",+All!R621,0))</f>
        <v>Kansas</v>
      </c>
      <c r="S41" s="462" t="str">
        <f>IF(+All!$F621="Kansas",+All!S621,IF(+All!$H621="Kansas",+All!S621,0))</f>
        <v>Oklahoma State</v>
      </c>
      <c r="T41" s="460" t="str">
        <f>IF(+All!$F621="Kansas",+All!T621,IF(+All!$H621="Kansas",+All!T621,0))</f>
        <v>Kansas</v>
      </c>
      <c r="U41" s="461" t="str">
        <f>IF(+All!$F621="Kansas",+All!U621,IF(+All!$H621="Kansas",+All!U621,0))</f>
        <v>W</v>
      </c>
    </row>
    <row r="42" spans="1:21" x14ac:dyDescent="0.8">
      <c r="A42" s="46">
        <f>IF(+All!$F685="Kansas",+All!A685,IF(+All!$H685="Kansas",+All!A685,0))</f>
        <v>11</v>
      </c>
      <c r="B42" s="348" t="str">
        <f>IF(+All!$F685="Kansas",+All!B685,IF(+All!$H685="Kansas",+All!B685,0))</f>
        <v>Sat</v>
      </c>
      <c r="C42" s="72">
        <f>IF(+All!$F685="Kansas",+All!C685,IF(+All!$H685="Kansas",+All!C685,0))</f>
        <v>44877</v>
      </c>
      <c r="D42" s="73">
        <f>IF(+All!$F685="Kansas",+All!D685,IF(+All!$H685="Kansas",+All!D685,0))</f>
        <v>0.79166666666666663</v>
      </c>
      <c r="E42" s="461">
        <f>IF(+All!$F685="Kansas",+All!E685,IF(+All!$H685="Kansas",+All!E685,0))</f>
        <v>0</v>
      </c>
      <c r="F42" s="460" t="str">
        <f>IF(+All!$F685="Kansas",+All!F685,IF(+All!$H685="Kansas",+All!F685,0))</f>
        <v>Kansas</v>
      </c>
      <c r="G42" s="461" t="str">
        <f>IF(+All!$F685="Kansas",+All!G685,IF(+All!$H685="Kansas",+All!G685,0))</f>
        <v>B12</v>
      </c>
      <c r="H42" s="462" t="str">
        <f>IF(+All!$F685="Kansas",+All!H685,IF(+All!$H685="Kansas",+All!H685,0))</f>
        <v>Texas Tech</v>
      </c>
      <c r="I42" s="461" t="str">
        <f>IF(+All!$F685="Kansas",+All!I685,IF(+All!$H685="Kansas",+All!I685,0))</f>
        <v>B12</v>
      </c>
      <c r="J42" s="460" t="str">
        <f>IF(+All!$F685="Kansas",+All!J685,IF(+All!$H685="Kansas",+All!J685,0))</f>
        <v>Texas Tech</v>
      </c>
      <c r="K42" s="461" t="str">
        <f>IF(+All!$F685="Kansas",+All!K685,IF(+All!$H685="Kansas",+All!K685,0))</f>
        <v>Kansas</v>
      </c>
      <c r="L42" s="60">
        <f>IF(+All!$F685="Kansas",+All!L685,IF(+All!$H685="Kansas",+All!L685,0))</f>
        <v>3.5</v>
      </c>
      <c r="M42" s="61">
        <f>IF(+All!$F685="Kansas",+All!M685,IF(+All!$H685="Kansas",+All!M685,0))</f>
        <v>64</v>
      </c>
      <c r="N42" s="460" t="str">
        <f>IF(+All!$F685="Kansas",+All!N685,IF(+All!$H685="Kansas",+All!N685,0))</f>
        <v>Texas Tech</v>
      </c>
      <c r="O42" s="462">
        <f>IF(+All!$F685="Kansas",+All!O685,IF(+All!$H685="Kansas",+All!O685,0))</f>
        <v>43</v>
      </c>
      <c r="P42" s="462" t="str">
        <f>IF(+All!$F685="Kansas",+All!P685,IF(+All!$H685="Kansas",+All!P685,0))</f>
        <v>Kansas</v>
      </c>
      <c r="Q42" s="461">
        <f>IF(+All!$F685="Kansas",+All!Q685,IF(+All!$H685="Kansas",+All!Q685,0))</f>
        <v>28</v>
      </c>
      <c r="R42" s="460" t="str">
        <f>IF(+All!$F685="Kansas",+All!R685,IF(+All!$H685="Kansas",+All!R685,0))</f>
        <v>Texas Tech</v>
      </c>
      <c r="S42" s="462" t="str">
        <f>IF(+All!$F685="Kansas",+All!S685,IF(+All!$H685="Kansas",+All!S685,0))</f>
        <v>Kansas</v>
      </c>
      <c r="T42" s="460" t="str">
        <f>IF(+All!$F685="Kansas",+All!T685,IF(+All!$H685="Kansas",+All!T685,0))</f>
        <v>Kansas</v>
      </c>
      <c r="U42" s="461" t="str">
        <f>IF(+All!$F685="Kansas",+All!U685,IF(+All!$H685="Kansas",+All!U685,0))</f>
        <v>L</v>
      </c>
    </row>
    <row r="43" spans="1:21" x14ac:dyDescent="0.8">
      <c r="A43" s="46">
        <f>IF(+All!$F746="Kansas",+All!A746,IF(+All!$H746="Kansas",+All!A746,0))</f>
        <v>12</v>
      </c>
      <c r="B43" s="348" t="str">
        <f>IF(+All!$F746="Kansas",+All!B746,IF(+All!$H746="Kansas",+All!B746,0))</f>
        <v>Sat</v>
      </c>
      <c r="C43" s="72">
        <f>IF(+All!$F746="Kansas",+All!C746,IF(+All!$H746="Kansas",+All!C746,0))</f>
        <v>44884</v>
      </c>
      <c r="D43" s="73">
        <f>IF(+All!$F746="Kansas",+All!D746,IF(+All!$H746="Kansas",+All!D746,0))</f>
        <v>0.64583333333333337</v>
      </c>
      <c r="E43" s="461" t="str">
        <f>IF(+All!$F746="Kansas",+All!E746,IF(+All!$H746="Kansas",+All!E746,0))</f>
        <v>FS1</v>
      </c>
      <c r="F43" s="460" t="str">
        <f>IF(+All!$F746="Kansas",+All!F746,IF(+All!$H746="Kansas",+All!F746,0))</f>
        <v>Texas</v>
      </c>
      <c r="G43" s="461" t="str">
        <f>IF(+All!$F746="Kansas",+All!G746,IF(+All!$H746="Kansas",+All!G746,0))</f>
        <v>B12</v>
      </c>
      <c r="H43" s="462" t="str">
        <f>IF(+All!$F746="Kansas",+All!H746,IF(+All!$H746="Kansas",+All!H746,0))</f>
        <v>Kansas</v>
      </c>
      <c r="I43" s="461" t="str">
        <f>IF(+All!$F746="Kansas",+All!I746,IF(+All!$H746="Kansas",+All!I746,0))</f>
        <v>B12</v>
      </c>
      <c r="J43" s="460" t="str">
        <f>IF(+All!$F746="Kansas",+All!J746,IF(+All!$H746="Kansas",+All!J746,0))</f>
        <v>Texas</v>
      </c>
      <c r="K43" s="461" t="str">
        <f>IF(+All!$F746="Kansas",+All!K746,IF(+All!$H746="Kansas",+All!K746,0))</f>
        <v>Kansas</v>
      </c>
      <c r="L43" s="60">
        <f>IF(+All!$F746="Kansas",+All!L746,IF(+All!$H746="Kansas",+All!L746,0))</f>
        <v>9</v>
      </c>
      <c r="M43" s="61">
        <f>IF(+All!$F746="Kansas",+All!M746,IF(+All!$H746="Kansas",+All!M746,0))</f>
        <v>63.5</v>
      </c>
      <c r="N43" s="460" t="str">
        <f>IF(+All!$F746="Kansas",+All!N746,IF(+All!$H746="Kansas",+All!N746,0))</f>
        <v>Texas</v>
      </c>
      <c r="O43" s="462">
        <f>IF(+All!$F746="Kansas",+All!O746,IF(+All!$H746="Kansas",+All!O746,0))</f>
        <v>55</v>
      </c>
      <c r="P43" s="462" t="str">
        <f>IF(+All!$F746="Kansas",+All!P746,IF(+All!$H746="Kansas",+All!P746,0))</f>
        <v>Kansas</v>
      </c>
      <c r="Q43" s="461">
        <f>IF(+All!$F746="Kansas",+All!Q746,IF(+All!$H746="Kansas",+All!Q746,0))</f>
        <v>14</v>
      </c>
      <c r="R43" s="460" t="str">
        <f>IF(+All!$F746="Kansas",+All!R746,IF(+All!$H746="Kansas",+All!R746,0))</f>
        <v>Texas</v>
      </c>
      <c r="S43" s="462" t="str">
        <f>IF(+All!$F746="Kansas",+All!S746,IF(+All!$H746="Kansas",+All!S746,0))</f>
        <v>Kansas</v>
      </c>
      <c r="T43" s="460" t="str">
        <f>IF(+All!$F746="Kansas",+All!T746,IF(+All!$H746="Kansas",+All!T746,0))</f>
        <v>Kansas</v>
      </c>
      <c r="U43" s="461" t="str">
        <f>IF(+All!$F746="Kansas",+All!U746,IF(+All!$H746="Kansas",+All!U746,0))</f>
        <v>L</v>
      </c>
    </row>
    <row r="44" spans="1:21" x14ac:dyDescent="0.8">
      <c r="A44" s="46">
        <f>IF(+All!$F814="Kansas",+All!A814,IF(+All!$H814="Kansas",+All!A814,0))</f>
        <v>13</v>
      </c>
      <c r="B44" s="348" t="str">
        <f>IF(+All!$F814="Kansas",+All!B814,IF(+All!$H814="Kansas",+All!B814,0))</f>
        <v>Sat</v>
      </c>
      <c r="C44" s="72">
        <f>IF(+All!$F814="Kansas",+All!C814,IF(+All!$H814="Kansas",+All!C814,0))</f>
        <v>44891</v>
      </c>
      <c r="D44" s="73">
        <f>IF(+All!$F814="Kansas",+All!D814,IF(+All!$H814="Kansas",+All!D814,0))</f>
        <v>0.83333333333333337</v>
      </c>
      <c r="E44" s="461" t="str">
        <f>IF(+All!$F814="Kansas",+All!E814,IF(+All!$H814="Kansas",+All!E814,0))</f>
        <v>Fox</v>
      </c>
      <c r="F44" s="460" t="str">
        <f>IF(+All!$F814="Kansas",+All!F814,IF(+All!$H814="Kansas",+All!F814,0))</f>
        <v>Kansas</v>
      </c>
      <c r="G44" s="461" t="str">
        <f>IF(+All!$F814="Kansas",+All!G814,IF(+All!$H814="Kansas",+All!G814,0))</f>
        <v>B12</v>
      </c>
      <c r="H44" s="462" t="str">
        <f>IF(+All!$F814="Kansas",+All!H814,IF(+All!$H814="Kansas",+All!H814,0))</f>
        <v>Kansas State</v>
      </c>
      <c r="I44" s="461" t="str">
        <f>IF(+All!$F814="Kansas",+All!I814,IF(+All!$H814="Kansas",+All!I814,0))</f>
        <v>B12</v>
      </c>
      <c r="J44" s="460" t="str">
        <f>IF(+All!$F814="Kansas",+All!J814,IF(+All!$H814="Kansas",+All!J814,0))</f>
        <v>Kansas State</v>
      </c>
      <c r="K44" s="461" t="str">
        <f>IF(+All!$F814="Kansas",+All!K814,IF(+All!$H814="Kansas",+All!K814,0))</f>
        <v>Kansas</v>
      </c>
      <c r="L44" s="60">
        <f>IF(+All!$F814="Kansas",+All!L814,IF(+All!$H814="Kansas",+All!L814,0))</f>
        <v>11.5</v>
      </c>
      <c r="M44" s="61">
        <f>IF(+All!$F814="Kansas",+All!M814,IF(+All!$H814="Kansas",+All!M814,0))</f>
        <v>62.5</v>
      </c>
      <c r="N44" s="460" t="str">
        <f>IF(+All!$F814="Kansas",+All!N814,IF(+All!$H814="Kansas",+All!N814,0))</f>
        <v>Kansas State</v>
      </c>
      <c r="O44" s="462">
        <f>IF(+All!$F814="Kansas",+All!O814,IF(+All!$H814="Kansas",+All!O814,0))</f>
        <v>47</v>
      </c>
      <c r="P44" s="462" t="str">
        <f>IF(+All!$F814="Kansas",+All!P814,IF(+All!$H814="Kansas",+All!P814,0))</f>
        <v>Kansas</v>
      </c>
      <c r="Q44" s="461">
        <f>IF(+All!$F814="Kansas",+All!Q814,IF(+All!$H814="Kansas",+All!Q814,0))</f>
        <v>27</v>
      </c>
      <c r="R44" s="460" t="str">
        <f>IF(+All!$F814="Kansas",+All!R814,IF(+All!$H814="Kansas",+All!R814,0))</f>
        <v>Kansas State</v>
      </c>
      <c r="S44" s="462" t="str">
        <f>IF(+All!$F814="Kansas",+All!S814,IF(+All!$H814="Kansas",+All!S814,0))</f>
        <v>Kansas</v>
      </c>
      <c r="T44" s="460" t="str">
        <f>IF(+All!$F814="Kansas",+All!T814,IF(+All!$H814="Kansas",+All!T814,0))</f>
        <v>Kansas State</v>
      </c>
      <c r="U44" s="461" t="str">
        <f>IF(+All!$F814="Kansas",+All!U814,IF(+All!$H814="Kansas",+All!U814,0))</f>
        <v>W</v>
      </c>
    </row>
    <row r="45" spans="1:21" s="21" customFormat="1" ht="15.75" customHeight="1" x14ac:dyDescent="0.8">
      <c r="A45" s="38"/>
      <c r="B45" s="39"/>
      <c r="C45" s="404"/>
      <c r="D45" s="405"/>
      <c r="E45" s="463"/>
      <c r="F45" s="905" t="str">
        <f>H46</f>
        <v>Kansas State</v>
      </c>
      <c r="G45" s="906"/>
      <c r="H45" s="906"/>
      <c r="I45" s="907"/>
      <c r="J45" s="459"/>
      <c r="K45" s="463"/>
      <c r="L45" s="406"/>
      <c r="M45" s="4"/>
      <c r="N45" s="459"/>
      <c r="O45" s="5"/>
      <c r="P45" s="5"/>
      <c r="Q45" s="463"/>
      <c r="R45" s="459"/>
      <c r="S45" s="5"/>
      <c r="T45" s="459"/>
      <c r="U45" s="463"/>
    </row>
    <row r="46" spans="1:21" s="21" customFormat="1" ht="15.75" customHeight="1" x14ac:dyDescent="0.8">
      <c r="A46" s="46">
        <f>IF(+All!$F42="Kansas State",+All!A42,IF(+All!$H42="Kansas State",+All!A42,0))</f>
        <v>1</v>
      </c>
      <c r="B46" s="348" t="str">
        <f>IF(+All!$F42="Kansas State",+All!B42,IF(+All!$H42="Kansas State",+All!B42,0))</f>
        <v>Sat</v>
      </c>
      <c r="C46" s="72">
        <f>IF(+All!$F42="Kansas State",+All!C42,IF(+All!$H42="Kansas State",+All!C42,0))</f>
        <v>44807</v>
      </c>
      <c r="D46" s="73">
        <f>IF(+All!$F42="Kansas State",+All!D42,IF(+All!$H42="Kansas State",+All!D42,0))</f>
        <v>0.79166666666666663</v>
      </c>
      <c r="E46" s="461">
        <f>IF(+All!$F42="Kansas State",+All!E42,IF(+All!$H42="Kansas State",+All!E42,0))</f>
        <v>0</v>
      </c>
      <c r="F46" s="460" t="str">
        <f>IF(+All!$F42="Kansas State",+All!F42,IF(+All!$H42="Kansas State",+All!F42,0))</f>
        <v>1AA South Dakota</v>
      </c>
      <c r="G46" s="461" t="str">
        <f>IF(+All!$F42="Kansas State",+All!G42,IF(+All!$H42="Kansas State",+All!G42,0))</f>
        <v>1AA</v>
      </c>
      <c r="H46" s="462" t="str">
        <f>IF(+All!$F42="Kansas State",+All!H42,IF(+All!$H42="Kansas State",+All!H42,0))</f>
        <v>Kansas State</v>
      </c>
      <c r="I46" s="461" t="str">
        <f>IF(+All!$F42="Kansas State",+All!I42,IF(+All!$H42="Kansas State",+All!I42,0))</f>
        <v>B12</v>
      </c>
      <c r="J46" s="460">
        <f>IF(+All!$F42="Kansas State",+All!J42,IF(+All!$H42="Kansas State",+All!J42,0))</f>
        <v>0</v>
      </c>
      <c r="K46" s="461">
        <f>IF(+All!$F42="Kansas State",+All!K42,IF(+All!$H42="Kansas State",+All!K42,0))</f>
        <v>0</v>
      </c>
      <c r="L46" s="60">
        <f>IF(+All!$F42="Kansas State",+All!L42,IF(+All!$H42="Kansas State",+All!L42,0))</f>
        <v>0</v>
      </c>
      <c r="M46" s="61">
        <f>IF(+All!$F42="Kansas State",+All!M42,IF(+All!$H42="Kansas State",+All!M42,0))</f>
        <v>0</v>
      </c>
      <c r="N46" s="460" t="str">
        <f>IF(+All!$F42="Kansas State",+All!N42,IF(+All!$H42="Kansas State",+All!N42,0))</f>
        <v>Kansas State</v>
      </c>
      <c r="O46" s="462">
        <f>IF(+All!$F42="Kansas State",+All!O42,IF(+All!$H42="Kansas State",+All!O42,0))</f>
        <v>34</v>
      </c>
      <c r="P46" s="462" t="str">
        <f>IF(+All!$F42="Kansas State",+All!P42,IF(+All!$H42="Kansas State",+All!P42,0))</f>
        <v>1AA South Dakota</v>
      </c>
      <c r="Q46" s="461">
        <f>IF(+All!$F42="Kansas State",+All!Q42,IF(+All!$H42="Kansas State",+All!Q42,0))</f>
        <v>0</v>
      </c>
      <c r="R46" s="460">
        <f>IF(+All!$F42="Kansas State",+All!R42,IF(+All!$H42="Kansas State",+All!R42,0))</f>
        <v>0</v>
      </c>
      <c r="S46" s="462">
        <f>IF(+All!$F42="Kansas State",+All!S42,IF(+All!$H42="Kansas State",+All!S42,0))</f>
        <v>0</v>
      </c>
      <c r="T46" s="460">
        <f>IF(+All!$F42="Kansas State",+All!T42,IF(+All!$H42="Kansas State",+All!T42,0))</f>
        <v>0</v>
      </c>
      <c r="U46" s="461">
        <f>IF(+All!$F42="Kansas State",+All!U42,IF(+All!$H42="Kansas State",+All!U42,0))</f>
        <v>0</v>
      </c>
    </row>
    <row r="47" spans="1:21" s="358" customFormat="1" x14ac:dyDescent="0.8">
      <c r="A47" s="46">
        <f>IF(+All!$F127="Kansas State",+All!A127,IF(+All!$H127="Kansas State",+All!A127,0))</f>
        <v>2</v>
      </c>
      <c r="B47" s="348" t="str">
        <f>IF(+All!$F127="Kansas State",+All!B127,IF(+All!$H127="Kansas State",+All!B127,0))</f>
        <v>Sat</v>
      </c>
      <c r="C47" s="72">
        <f>IF(+All!$F127="Kansas State",+All!C127,IF(+All!$H127="Kansas State",+All!C127,0))</f>
        <v>44814</v>
      </c>
      <c r="D47" s="73">
        <f>IF(+All!$F127="Kansas State",+All!D127,IF(+All!$H127="Kansas State",+All!D127,0))</f>
        <v>0.5</v>
      </c>
      <c r="E47" s="461" t="str">
        <f>IF(+All!$F127="Kansas State",+All!E127,IF(+All!$H127="Kansas State",+All!E127,0))</f>
        <v>ESPN2</v>
      </c>
      <c r="F47" s="460" t="str">
        <f>IF(+All!$F127="Kansas State",+All!F127,IF(+All!$H127="Kansas State",+All!F127,0))</f>
        <v>Missouri</v>
      </c>
      <c r="G47" s="461" t="str">
        <f>IF(+All!$F127="Kansas State",+All!G127,IF(+All!$H127="Kansas State",+All!G127,0))</f>
        <v>SEC</v>
      </c>
      <c r="H47" s="462" t="str">
        <f>IF(+All!$F127="Kansas State",+All!H127,IF(+All!$H127="Kansas State",+All!H127,0))</f>
        <v>Kansas State</v>
      </c>
      <c r="I47" s="461" t="str">
        <f>IF(+All!$F127="Kansas State",+All!I127,IF(+All!$H127="Kansas State",+All!I127,0))</f>
        <v>B12</v>
      </c>
      <c r="J47" s="460" t="str">
        <f>IF(+All!$F127="Kansas State",+All!J127,IF(+All!$H127="Kansas State",+All!J127,0))</f>
        <v>Kansas State</v>
      </c>
      <c r="K47" s="461" t="str">
        <f>IF(+All!$F127="Kansas State",+All!K127,IF(+All!$H127="Kansas State",+All!K127,0))</f>
        <v>Missouri</v>
      </c>
      <c r="L47" s="60">
        <f>IF(+All!$F127="Kansas State",+All!L127,IF(+All!$H127="Kansas State",+All!L127,0))</f>
        <v>7.5</v>
      </c>
      <c r="M47" s="61">
        <f>IF(+All!$F127="Kansas State",+All!M127,IF(+All!$H127="Kansas State",+All!M127,0))</f>
        <v>57</v>
      </c>
      <c r="N47" s="460" t="str">
        <f>IF(+All!$F127="Kansas State",+All!N127,IF(+All!$H127="Kansas State",+All!N127,0))</f>
        <v>Kansas State</v>
      </c>
      <c r="O47" s="462">
        <f>IF(+All!$F127="Kansas State",+All!O127,IF(+All!$H127="Kansas State",+All!O127,0))</f>
        <v>40</v>
      </c>
      <c r="P47" s="462" t="str">
        <f>IF(+All!$F127="Kansas State",+All!P127,IF(+All!$H127="Kansas State",+All!P127,0))</f>
        <v>Missouri</v>
      </c>
      <c r="Q47" s="461">
        <f>IF(+All!$F127="Kansas State",+All!Q127,IF(+All!$H127="Kansas State",+All!Q127,0))</f>
        <v>12</v>
      </c>
      <c r="R47" s="460" t="str">
        <f>IF(+All!$F127="Kansas State",+All!R127,IF(+All!$H127="Kansas State",+All!R127,0))</f>
        <v>Kansas State</v>
      </c>
      <c r="S47" s="462" t="str">
        <f>IF(+All!$F127="Kansas State",+All!S127,IF(+All!$H127="Kansas State",+All!S127,0))</f>
        <v>Missouri</v>
      </c>
      <c r="T47" s="460" t="str">
        <f>IF(+All!$F127="Kansas State",+All!T127,IF(+All!$H127="Kansas State",+All!T127,0))</f>
        <v>Missouri</v>
      </c>
      <c r="U47" s="461" t="str">
        <f>IF(+All!$F127="Kansas State",+All!U127,IF(+All!$H127="Kansas State",+All!U127,0))</f>
        <v>L</v>
      </c>
    </row>
    <row r="48" spans="1:21" s="358" customFormat="1" x14ac:dyDescent="0.8">
      <c r="A48" s="46">
        <f>IF(+All!$F208="Kansas State",+All!A208,IF(+All!$H208="Kansas State",+All!A208,0))</f>
        <v>3</v>
      </c>
      <c r="B48" s="348" t="str">
        <f>IF(+All!$F208="Kansas State",+All!B208,IF(+All!$H208="Kansas State",+All!B208,0))</f>
        <v>Sat</v>
      </c>
      <c r="C48" s="72">
        <f>IF(+All!$F208="Kansas State",+All!C208,IF(+All!$H208="Kansas State",+All!C208,0))</f>
        <v>44821</v>
      </c>
      <c r="D48" s="73">
        <f>IF(+All!$F208="Kansas State",+All!D208,IF(+All!$H208="Kansas State",+All!D208,0))</f>
        <v>0.625</v>
      </c>
      <c r="E48" s="461">
        <f>IF(+All!$F208="Kansas State",+All!E208,IF(+All!$H208="Kansas State",+All!E208,0))</f>
        <v>0</v>
      </c>
      <c r="F48" s="460" t="str">
        <f>IF(+All!$F208="Kansas State",+All!F208,IF(+All!$H208="Kansas State",+All!F208,0))</f>
        <v>Tulane</v>
      </c>
      <c r="G48" s="461" t="str">
        <f>IF(+All!$F208="Kansas State",+All!G208,IF(+All!$H208="Kansas State",+All!G208,0))</f>
        <v>AAC</v>
      </c>
      <c r="H48" s="462" t="str">
        <f>IF(+All!$F208="Kansas State",+All!H208,IF(+All!$H208="Kansas State",+All!H208,0))</f>
        <v>Kansas State</v>
      </c>
      <c r="I48" s="461" t="str">
        <f>IF(+All!$F208="Kansas State",+All!I208,IF(+All!$H208="Kansas State",+All!I208,0))</f>
        <v>B12</v>
      </c>
      <c r="J48" s="460" t="str">
        <f>IF(+All!$F208="Kansas State",+All!J208,IF(+All!$H208="Kansas State",+All!J208,0))</f>
        <v>Kansas State</v>
      </c>
      <c r="K48" s="461" t="str">
        <f>IF(+All!$F208="Kansas State",+All!K208,IF(+All!$H208="Kansas State",+All!K208,0))</f>
        <v>Tulane</v>
      </c>
      <c r="L48" s="60">
        <f>IF(+All!$F208="Kansas State",+All!L208,IF(+All!$H208="Kansas State",+All!L208,0))</f>
        <v>14.5</v>
      </c>
      <c r="M48" s="61">
        <f>IF(+All!$F208="Kansas State",+All!M208,IF(+All!$H208="Kansas State",+All!M208,0))</f>
        <v>46.5</v>
      </c>
      <c r="N48" s="460" t="str">
        <f>IF(+All!$F208="Kansas State",+All!N208,IF(+All!$H208="Kansas State",+All!N208,0))</f>
        <v>Kansas State</v>
      </c>
      <c r="O48" s="462">
        <f>IF(+All!$F208="Kansas State",+All!O208,IF(+All!$H208="Kansas State",+All!O208,0))</f>
        <v>17</v>
      </c>
      <c r="P48" s="462" t="str">
        <f>IF(+All!$F208="Kansas State",+All!P208,IF(+All!$H208="Kansas State",+All!P208,0))</f>
        <v>Tulane</v>
      </c>
      <c r="Q48" s="461">
        <f>IF(+All!$F208="Kansas State",+All!Q208,IF(+All!$H208="Kansas State",+All!Q208,0))</f>
        <v>10</v>
      </c>
      <c r="R48" s="460" t="str">
        <f>IF(+All!$F208="Kansas State",+All!R208,IF(+All!$H208="Kansas State",+All!R208,0))</f>
        <v>Tulane</v>
      </c>
      <c r="S48" s="462" t="str">
        <f>IF(+All!$F208="Kansas State",+All!S208,IF(+All!$H208="Kansas State",+All!S208,0))</f>
        <v>Kansas State</v>
      </c>
      <c r="T48" s="460" t="str">
        <f>IF(+All!$F208="Kansas State",+All!T208,IF(+All!$H208="Kansas State",+All!T208,0))</f>
        <v>Kansas State</v>
      </c>
      <c r="U48" s="461" t="str">
        <f>IF(+All!$F208="Kansas State",+All!U208,IF(+All!$H208="Kansas State",+All!U208,0))</f>
        <v>L</v>
      </c>
    </row>
    <row r="49" spans="1:21" x14ac:dyDescent="0.8">
      <c r="A49" s="46">
        <f>IF(+All!$F282="Kansas State",+All!A282,IF(+All!$H282="Kansas State",+All!A282,0))</f>
        <v>4</v>
      </c>
      <c r="B49" s="348" t="str">
        <f>IF(+All!$F282="Kansas State",+All!B282,IF(+All!$H282="Kansas State",+All!B282,0))</f>
        <v>Sat</v>
      </c>
      <c r="C49" s="72">
        <f>IF(+All!$F282="Kansas State",+All!C282,IF(+All!$H282="Kansas State",+All!C282,0))</f>
        <v>44828</v>
      </c>
      <c r="D49" s="73">
        <f>IF(+All!$F282="Kansas State",+All!D282,IF(+All!$H282="Kansas State",+All!D282,0))</f>
        <v>0.8125</v>
      </c>
      <c r="E49" s="461" t="str">
        <f>IF(+All!$F282="Kansas State",+All!E282,IF(+All!$H282="Kansas State",+All!E282,0))</f>
        <v>Fox</v>
      </c>
      <c r="F49" s="460" t="str">
        <f>IF(+All!$F282="Kansas State",+All!F282,IF(+All!$H282="Kansas State",+All!F282,0))</f>
        <v>Kansas State</v>
      </c>
      <c r="G49" s="461" t="str">
        <f>IF(+All!$F282="Kansas State",+All!G282,IF(+All!$H282="Kansas State",+All!G282,0))</f>
        <v>B12</v>
      </c>
      <c r="H49" s="462" t="str">
        <f>IF(+All!$F282="Kansas State",+All!H282,IF(+All!$H282="Kansas State",+All!H282,0))</f>
        <v>Oklahoma</v>
      </c>
      <c r="I49" s="461" t="str">
        <f>IF(+All!$F282="Kansas State",+All!I282,IF(+All!$H282="Kansas State",+All!I282,0))</f>
        <v>B12</v>
      </c>
      <c r="J49" s="460" t="str">
        <f>IF(+All!$F282="Kansas State",+All!J282,IF(+All!$H282="Kansas State",+All!J282,0))</f>
        <v>Oklahoma</v>
      </c>
      <c r="K49" s="461" t="str">
        <f>IF(+All!$F282="Kansas State",+All!K282,IF(+All!$H282="Kansas State",+All!K282,0))</f>
        <v>Kansas State</v>
      </c>
      <c r="L49" s="60">
        <f>IF(+All!$F282="Kansas State",+All!L282,IF(+All!$H282="Kansas State",+All!L282,0))</f>
        <v>13</v>
      </c>
      <c r="M49" s="61">
        <f>IF(+All!$F282="Kansas State",+All!M282,IF(+All!$H282="Kansas State",+All!M282,0))</f>
        <v>53</v>
      </c>
      <c r="N49" s="460" t="str">
        <f>IF(+All!$F282="Kansas State",+All!N282,IF(+All!$H282="Kansas State",+All!N282,0))</f>
        <v>Kansas State</v>
      </c>
      <c r="O49" s="462">
        <f>IF(+All!$F282="Kansas State",+All!O282,IF(+All!$H282="Kansas State",+All!O282,0))</f>
        <v>41</v>
      </c>
      <c r="P49" s="462" t="str">
        <f>IF(+All!$F282="Kansas State",+All!P282,IF(+All!$H282="Kansas State",+All!P282,0))</f>
        <v>Oklahoma</v>
      </c>
      <c r="Q49" s="461">
        <f>IF(+All!$F282="Kansas State",+All!Q282,IF(+All!$H282="Kansas State",+All!Q282,0))</f>
        <v>34</v>
      </c>
      <c r="R49" s="460" t="str">
        <f>IF(+All!$F282="Kansas State",+All!R282,IF(+All!$H282="Kansas State",+All!R282,0))</f>
        <v>Kansas State</v>
      </c>
      <c r="S49" s="462" t="str">
        <f>IF(+All!$F282="Kansas State",+All!S282,IF(+All!$H282="Kansas State",+All!S282,0))</f>
        <v>Oklahoma</v>
      </c>
      <c r="T49" s="460" t="str">
        <f>IF(+All!$F282="Kansas State",+All!T282,IF(+All!$H282="Kansas State",+All!T282,0))</f>
        <v>Oklahoma</v>
      </c>
      <c r="U49" s="461" t="str">
        <f>IF(+All!$F282="Kansas State",+All!U282,IF(+All!$H282="Kansas State",+All!U282,0))</f>
        <v>L</v>
      </c>
    </row>
    <row r="50" spans="1:21" s="358" customFormat="1" x14ac:dyDescent="0.8">
      <c r="A50" s="46">
        <f>IF(+All!$F344="Kansas State",+All!A344,IF(+All!$H344="Kansas State",+All!A344,0))</f>
        <v>5</v>
      </c>
      <c r="B50" s="348" t="str">
        <f>IF(+All!$F344="Kansas State",+All!B344,IF(+All!$H344="Kansas State",+All!B344,0))</f>
        <v>Sat</v>
      </c>
      <c r="C50" s="72">
        <f>IF(+All!$F344="Kansas State",+All!C344,IF(+All!$H344="Kansas State",+All!C344,0))</f>
        <v>44835</v>
      </c>
      <c r="D50" s="73">
        <f>IF(+All!$F344="Kansas State",+All!D344,IF(+All!$H344="Kansas State",+All!D344,0))</f>
        <v>0.5</v>
      </c>
      <c r="E50" s="461">
        <f>IF(+All!$F344="Kansas State",+All!E344,IF(+All!$H344="Kansas State",+All!E344,0))</f>
        <v>0</v>
      </c>
      <c r="F50" s="460" t="str">
        <f>IF(+All!$F344="Kansas State",+All!F344,IF(+All!$H344="Kansas State",+All!F344,0))</f>
        <v>Texas Tech</v>
      </c>
      <c r="G50" s="461" t="str">
        <f>IF(+All!$F344="Kansas State",+All!G344,IF(+All!$H344="Kansas State",+All!G344,0))</f>
        <v>B12</v>
      </c>
      <c r="H50" s="462" t="str">
        <f>IF(+All!$F344="Kansas State",+All!H344,IF(+All!$H344="Kansas State",+All!H344,0))</f>
        <v>Kansas State</v>
      </c>
      <c r="I50" s="461" t="str">
        <f>IF(+All!$F344="Kansas State",+All!I344,IF(+All!$H344="Kansas State",+All!I344,0))</f>
        <v>B12</v>
      </c>
      <c r="J50" s="460" t="str">
        <f>IF(+All!$F344="Kansas State",+All!J344,IF(+All!$H344="Kansas State",+All!J344,0))</f>
        <v>Kansas State</v>
      </c>
      <c r="K50" s="461" t="str">
        <f>IF(+All!$F344="Kansas State",+All!K344,IF(+All!$H344="Kansas State",+All!K344,0))</f>
        <v>Texas Tech</v>
      </c>
      <c r="L50" s="60">
        <f>IF(+All!$F344="Kansas State",+All!L344,IF(+All!$H344="Kansas State",+All!L344,0))</f>
        <v>8</v>
      </c>
      <c r="M50" s="61">
        <f>IF(+All!$F344="Kansas State",+All!M344,IF(+All!$H344="Kansas State",+All!M344,0))</f>
        <v>57.5</v>
      </c>
      <c r="N50" s="460" t="str">
        <f>IF(+All!$F344="Kansas State",+All!N344,IF(+All!$H344="Kansas State",+All!N344,0))</f>
        <v>Kansas State</v>
      </c>
      <c r="O50" s="462">
        <f>IF(+All!$F344="Kansas State",+All!O344,IF(+All!$H344="Kansas State",+All!O344,0))</f>
        <v>37</v>
      </c>
      <c r="P50" s="462" t="str">
        <f>IF(+All!$F344="Kansas State",+All!P344,IF(+All!$H344="Kansas State",+All!P344,0))</f>
        <v>Texas Tech</v>
      </c>
      <c r="Q50" s="461">
        <f>IF(+All!$F344="Kansas State",+All!Q344,IF(+All!$H344="Kansas State",+All!Q344,0))</f>
        <v>28</v>
      </c>
      <c r="R50" s="460" t="str">
        <f>IF(+All!$F344="Kansas State",+All!R344,IF(+All!$H344="Kansas State",+All!R344,0))</f>
        <v>Kansas State</v>
      </c>
      <c r="S50" s="462" t="str">
        <f>IF(+All!$F344="Kansas State",+All!S344,IF(+All!$H344="Kansas State",+All!S344,0))</f>
        <v>Texas Tech</v>
      </c>
      <c r="T50" s="460" t="str">
        <f>IF(+All!$F344="Kansas State",+All!T344,IF(+All!$H344="Kansas State",+All!T344,0))</f>
        <v>Texas Tech</v>
      </c>
      <c r="U50" s="461" t="str">
        <f>IF(+All!$F344="Kansas State",+All!U344,IF(+All!$H344="Kansas State",+All!U344,0))</f>
        <v>L</v>
      </c>
    </row>
    <row r="51" spans="1:21" x14ac:dyDescent="0.8">
      <c r="A51" s="46">
        <f>IF(+All!$F401="Kansas State",+All!A401,IF(+All!$H401="Kansas State",+All!A401,0))</f>
        <v>6</v>
      </c>
      <c r="B51" s="348" t="str">
        <f>IF(+All!$F401="Kansas State",+All!B401,IF(+All!$H401="Kansas State",+All!B401,0))</f>
        <v>Sat</v>
      </c>
      <c r="C51" s="72">
        <f>IF(+All!$F401="Kansas State",+All!C401,IF(+All!$H401="Kansas State",+All!C401,0))</f>
        <v>44842</v>
      </c>
      <c r="D51" s="73">
        <f>IF(+All!$F401="Kansas State",+All!D401,IF(+All!$H401="Kansas State",+All!D401,0))</f>
        <v>0.8125</v>
      </c>
      <c r="E51" s="461" t="str">
        <f>IF(+All!$F401="Kansas State",+All!E401,IF(+All!$H401="Kansas State",+All!E401,0))</f>
        <v>ESPNU</v>
      </c>
      <c r="F51" s="460" t="str">
        <f>IF(+All!$F401="Kansas State",+All!F401,IF(+All!$H401="Kansas State",+All!F401,0))</f>
        <v>Kansas State</v>
      </c>
      <c r="G51" s="461" t="str">
        <f>IF(+All!$F401="Kansas State",+All!G401,IF(+All!$H401="Kansas State",+All!G401,0))</f>
        <v>B12</v>
      </c>
      <c r="H51" s="462" t="str">
        <f>IF(+All!$F401="Kansas State",+All!H401,IF(+All!$H401="Kansas State",+All!H401,0))</f>
        <v>Iowa State</v>
      </c>
      <c r="I51" s="461" t="str">
        <f>IF(+All!$F401="Kansas State",+All!I401,IF(+All!$H401="Kansas State",+All!I401,0))</f>
        <v>B12</v>
      </c>
      <c r="J51" s="460" t="str">
        <f>IF(+All!$F401="Kansas State",+All!J401,IF(+All!$H401="Kansas State",+All!J401,0))</f>
        <v>Kansas State</v>
      </c>
      <c r="K51" s="461" t="str">
        <f>IF(+All!$F401="Kansas State",+All!K401,IF(+All!$H401="Kansas State",+All!K401,0))</f>
        <v>Iowa State</v>
      </c>
      <c r="L51" s="60">
        <f>IF(+All!$F401="Kansas State",+All!L401,IF(+All!$H401="Kansas State",+All!L401,0))</f>
        <v>2</v>
      </c>
      <c r="M51" s="61">
        <f>IF(+All!$F401="Kansas State",+All!M401,IF(+All!$H401="Kansas State",+All!M401,0))</f>
        <v>45</v>
      </c>
      <c r="N51" s="460" t="str">
        <f>IF(+All!$F401="Kansas State",+All!N401,IF(+All!$H401="Kansas State",+All!N401,0))</f>
        <v>Kansas State</v>
      </c>
      <c r="O51" s="462">
        <f>IF(+All!$F401="Kansas State",+All!O401,IF(+All!$H401="Kansas State",+All!O401,0))</f>
        <v>10</v>
      </c>
      <c r="P51" s="462" t="str">
        <f>IF(+All!$F401="Kansas State",+All!P401,IF(+All!$H401="Kansas State",+All!P401,0))</f>
        <v>Iowa State</v>
      </c>
      <c r="Q51" s="461">
        <f>IF(+All!$F401="Kansas State",+All!Q401,IF(+All!$H401="Kansas State",+All!Q401,0))</f>
        <v>9</v>
      </c>
      <c r="R51" s="460" t="str">
        <f>IF(+All!$F401="Kansas State",+All!R401,IF(+All!$H401="Kansas State",+All!R401,0))</f>
        <v>Iowa State</v>
      </c>
      <c r="S51" s="462" t="str">
        <f>IF(+All!$F401="Kansas State",+All!S401,IF(+All!$H401="Kansas State",+All!S401,0))</f>
        <v>Kansas State</v>
      </c>
      <c r="T51" s="460" t="str">
        <f>IF(+All!$F401="Kansas State",+All!T401,IF(+All!$H401="Kansas State",+All!T401,0))</f>
        <v>Kansas State</v>
      </c>
      <c r="U51" s="461" t="str">
        <f>IF(+All!$F401="Kansas State",+All!U401,IF(+All!$H401="Kansas State",+All!U401,0))</f>
        <v>L</v>
      </c>
    </row>
    <row r="52" spans="1:21" x14ac:dyDescent="0.8">
      <c r="A52" s="46" t="e">
        <f>IF(+All!#REF!="Kansas State",+All!#REF!,IF(+All!#REF!="Kansas State",+All!#REF!,0))</f>
        <v>#REF!</v>
      </c>
      <c r="B52" s="348" t="e">
        <f>IF(+All!#REF!="Kansas State",+All!#REF!,IF(+All!#REF!="Kansas State",+All!#REF!,0))</f>
        <v>#REF!</v>
      </c>
      <c r="C52" s="72" t="e">
        <f>IF(+All!#REF!="Kansas State",+All!#REF!,IF(+All!#REF!="Kansas State",+All!#REF!,0))</f>
        <v>#REF!</v>
      </c>
      <c r="D52" s="73" t="e">
        <f>IF(+All!#REF!="Kansas State",+All!#REF!,IF(+All!#REF!="Kansas State",+All!#REF!,0))</f>
        <v>#REF!</v>
      </c>
      <c r="E52" s="461" t="e">
        <f>IF(+All!#REF!="Kansas State",+All!#REF!,IF(+All!#REF!="Kansas State",+All!#REF!,0))</f>
        <v>#REF!</v>
      </c>
      <c r="F52" s="460" t="e">
        <f>IF(+All!#REF!="Kansas State",+All!#REF!,IF(+All!#REF!="Kansas State",+All!#REF!,0))</f>
        <v>#REF!</v>
      </c>
      <c r="G52" s="461" t="e">
        <f>IF(+All!#REF!="Kansas State",+All!#REF!,IF(+All!#REF!="Kansas State",+All!#REF!,0))</f>
        <v>#REF!</v>
      </c>
      <c r="H52" s="462" t="e">
        <f>IF(+All!#REF!="Kansas State",+All!#REF!,IF(+All!#REF!="Kansas State",+All!#REF!,0))</f>
        <v>#REF!</v>
      </c>
      <c r="I52" s="461" t="e">
        <f>IF(+All!#REF!="Kansas State",+All!#REF!,IF(+All!#REF!="Kansas State",+All!#REF!,0))</f>
        <v>#REF!</v>
      </c>
      <c r="J52" s="460" t="e">
        <f>IF(+All!#REF!="Kansas State",+All!#REF!,IF(+All!#REF!="Kansas State",+All!#REF!,0))</f>
        <v>#REF!</v>
      </c>
      <c r="K52" s="461" t="e">
        <f>IF(+All!#REF!="Kansas State",+All!#REF!,IF(+All!#REF!="Kansas State",+All!#REF!,0))</f>
        <v>#REF!</v>
      </c>
      <c r="L52" s="60" t="e">
        <f>IF(+All!#REF!="Kansas State",+All!#REF!,IF(+All!#REF!="Kansas State",+All!#REF!,0))</f>
        <v>#REF!</v>
      </c>
      <c r="M52" s="61" t="e">
        <f>IF(+All!#REF!="Kansas State",+All!#REF!,IF(+All!#REF!="Kansas State",+All!#REF!,0))</f>
        <v>#REF!</v>
      </c>
      <c r="N52" s="460" t="e">
        <f>IF(+All!#REF!="Kansas State",+All!#REF!,IF(+All!#REF!="Kansas State",+All!#REF!,0))</f>
        <v>#REF!</v>
      </c>
      <c r="O52" s="462" t="e">
        <f>IF(+All!#REF!="Kansas State",+All!#REF!,IF(+All!#REF!="Kansas State",+All!#REF!,0))</f>
        <v>#REF!</v>
      </c>
      <c r="P52" s="462" t="e">
        <f>IF(+All!#REF!="Kansas State",+All!#REF!,IF(+All!#REF!="Kansas State",+All!#REF!,0))</f>
        <v>#REF!</v>
      </c>
      <c r="Q52" s="461" t="e">
        <f>IF(+All!#REF!="Kansas State",+All!#REF!,IF(+All!#REF!="Kansas State",+All!#REF!,0))</f>
        <v>#REF!</v>
      </c>
      <c r="R52" s="460" t="e">
        <f>IF(+All!#REF!="Kansas State",+All!#REF!,IF(+All!#REF!="Kansas State",+All!#REF!,0))</f>
        <v>#REF!</v>
      </c>
      <c r="S52" s="462" t="e">
        <f>IF(+All!#REF!="Kansas State",+All!#REF!,IF(+All!#REF!="Kansas State",+All!#REF!,0))</f>
        <v>#REF!</v>
      </c>
      <c r="T52" s="460" t="e">
        <f>IF(+All!#REF!="Kansas State",+All!#REF!,IF(+All!#REF!="Kansas State",+All!#REF!,0))</f>
        <v>#REF!</v>
      </c>
      <c r="U52" s="461" t="e">
        <f>IF(+All!#REF!="Kansas State",+All!#REF!,IF(+All!#REF!="Kansas State",+All!#REF!,0))</f>
        <v>#REF!</v>
      </c>
    </row>
    <row r="53" spans="1:21" x14ac:dyDescent="0.8">
      <c r="A53" s="46">
        <f>IF(+All!$F511="Kansas State",+All!A511,IF(+All!$H511="Kansas State",+All!A511,0))</f>
        <v>8</v>
      </c>
      <c r="B53" s="348" t="str">
        <f>IF(+All!$F511="Kansas State",+All!B511,IF(+All!$H511="Kansas State",+All!B511,0))</f>
        <v>Sat</v>
      </c>
      <c r="C53" s="72">
        <f>IF(+All!$F511="Kansas State",+All!C511,IF(+All!$H511="Kansas State",+All!C511,0))</f>
        <v>44856</v>
      </c>
      <c r="D53" s="73">
        <f>IF(+All!$F511="Kansas State",+All!D511,IF(+All!$H511="Kansas State",+All!D511,0))</f>
        <v>0.83333333333333337</v>
      </c>
      <c r="E53" s="461" t="str">
        <f>IF(+All!$F511="Kansas State",+All!E511,IF(+All!$H511="Kansas State",+All!E511,0))</f>
        <v>FS1</v>
      </c>
      <c r="F53" s="460" t="str">
        <f>IF(+All!$F511="Kansas State",+All!F511,IF(+All!$H511="Kansas State",+All!F511,0))</f>
        <v>Kansas State</v>
      </c>
      <c r="G53" s="461" t="str">
        <f>IF(+All!$F511="Kansas State",+All!G511,IF(+All!$H511="Kansas State",+All!G511,0))</f>
        <v>B12</v>
      </c>
      <c r="H53" s="462" t="str">
        <f>IF(+All!$F511="Kansas State",+All!H511,IF(+All!$H511="Kansas State",+All!H511,0))</f>
        <v>TCU</v>
      </c>
      <c r="I53" s="461" t="str">
        <f>IF(+All!$F511="Kansas State",+All!I511,IF(+All!$H511="Kansas State",+All!I511,0))</f>
        <v>B12</v>
      </c>
      <c r="J53" s="460" t="str">
        <f>IF(+All!$F511="Kansas State",+All!J511,IF(+All!$H511="Kansas State",+All!J511,0))</f>
        <v>TCU</v>
      </c>
      <c r="K53" s="461" t="str">
        <f>IF(+All!$F511="Kansas State",+All!K511,IF(+All!$H511="Kansas State",+All!K511,0))</f>
        <v>Kansas State</v>
      </c>
      <c r="L53" s="60">
        <f>IF(+All!$F511="Kansas State",+All!L511,IF(+All!$H511="Kansas State",+All!L511,0))</f>
        <v>3.5</v>
      </c>
      <c r="M53" s="61">
        <f>IF(+All!$F511="Kansas State",+All!M511,IF(+All!$H511="Kansas State",+All!M511,0))</f>
        <v>55.5</v>
      </c>
      <c r="N53" s="460" t="str">
        <f>IF(+All!$F511="Kansas State",+All!N511,IF(+All!$H511="Kansas State",+All!N511,0))</f>
        <v>TCU</v>
      </c>
      <c r="O53" s="462">
        <f>IF(+All!$F511="Kansas State",+All!O511,IF(+All!$H511="Kansas State",+All!O511,0))</f>
        <v>38</v>
      </c>
      <c r="P53" s="462" t="str">
        <f>IF(+All!$F511="Kansas State",+All!P511,IF(+All!$H511="Kansas State",+All!P511,0))</f>
        <v>Kansas State</v>
      </c>
      <c r="Q53" s="461">
        <f>IF(+All!$F511="Kansas State",+All!Q511,IF(+All!$H511="Kansas State",+All!Q511,0))</f>
        <v>28</v>
      </c>
      <c r="R53" s="460" t="str">
        <f>IF(+All!$F511="Kansas State",+All!R511,IF(+All!$H511="Kansas State",+All!R511,0))</f>
        <v>TCU</v>
      </c>
      <c r="S53" s="462" t="str">
        <f>IF(+All!$F511="Kansas State",+All!S511,IF(+All!$H511="Kansas State",+All!S511,0))</f>
        <v>Kansas State</v>
      </c>
      <c r="T53" s="460" t="str">
        <f>IF(+All!$F511="Kansas State",+All!T511,IF(+All!$H511="Kansas State",+All!T511,0))</f>
        <v>Kansas State</v>
      </c>
      <c r="U53" s="461" t="str">
        <f>IF(+All!$F511="Kansas State",+All!U511,IF(+All!$H511="Kansas State",+All!U511,0))</f>
        <v>L</v>
      </c>
    </row>
    <row r="54" spans="1:21" x14ac:dyDescent="0.8">
      <c r="A54" s="46">
        <f>IF(+All!$F565="Kansas State",+All!A565,IF(+All!$H565="Kansas State",+All!A565,0))</f>
        <v>9</v>
      </c>
      <c r="B54" s="348" t="str">
        <f>IF(+All!$F565="Kansas State",+All!B565,IF(+All!$H565="Kansas State",+All!B565,0))</f>
        <v>Sat</v>
      </c>
      <c r="C54" s="72">
        <f>IF(+All!$F565="Kansas State",+All!C565,IF(+All!$H565="Kansas State",+All!C565,0))</f>
        <v>44863</v>
      </c>
      <c r="D54" s="73">
        <f>IF(+All!$F565="Kansas State",+All!D565,IF(+All!$H565="Kansas State",+All!D565,0))</f>
        <v>0.64583333333333337</v>
      </c>
      <c r="E54" s="461" t="str">
        <f>IF(+All!$F565="Kansas State",+All!E565,IF(+All!$H565="Kansas State",+All!E565,0))</f>
        <v>Fox</v>
      </c>
      <c r="F54" s="460" t="str">
        <f>IF(+All!$F565="Kansas State",+All!F565,IF(+All!$H565="Kansas State",+All!F565,0))</f>
        <v>Oklahoma State</v>
      </c>
      <c r="G54" s="461" t="str">
        <f>IF(+All!$F565="Kansas State",+All!G565,IF(+All!$H565="Kansas State",+All!G565,0))</f>
        <v>B12</v>
      </c>
      <c r="H54" s="462" t="str">
        <f>IF(+All!$F565="Kansas State",+All!H565,IF(+All!$H565="Kansas State",+All!H565,0))</f>
        <v>Kansas State</v>
      </c>
      <c r="I54" s="461" t="str">
        <f>IF(+All!$F565="Kansas State",+All!I565,IF(+All!$H565="Kansas State",+All!I565,0))</f>
        <v>B12</v>
      </c>
      <c r="J54" s="460" t="str">
        <f>IF(+All!$F565="Kansas State",+All!J565,IF(+All!$H565="Kansas State",+All!J565,0))</f>
        <v>Kansas State</v>
      </c>
      <c r="K54" s="461" t="str">
        <f>IF(+All!$F565="Kansas State",+All!K565,IF(+All!$H565="Kansas State",+All!K565,0))</f>
        <v>Oklahoma State</v>
      </c>
      <c r="L54" s="60">
        <f>IF(+All!$F565="Kansas State",+All!L565,IF(+All!$H565="Kansas State",+All!L565,0))</f>
        <v>1.5</v>
      </c>
      <c r="M54" s="61">
        <f>IF(+All!$F565="Kansas State",+All!M565,IF(+All!$H565="Kansas State",+All!M565,0))</f>
        <v>56.5</v>
      </c>
      <c r="N54" s="460" t="str">
        <f>IF(+All!$F565="Kansas State",+All!N565,IF(+All!$H565="Kansas State",+All!N565,0))</f>
        <v>Kansas State</v>
      </c>
      <c r="O54" s="462">
        <f>IF(+All!$F565="Kansas State",+All!O565,IF(+All!$H565="Kansas State",+All!O565,0))</f>
        <v>48</v>
      </c>
      <c r="P54" s="462" t="str">
        <f>IF(+All!$F565="Kansas State",+All!P565,IF(+All!$H565="Kansas State",+All!P565,0))</f>
        <v>Oklahoma State</v>
      </c>
      <c r="Q54" s="461">
        <f>IF(+All!$F565="Kansas State",+All!Q565,IF(+All!$H565="Kansas State",+All!Q565,0))</f>
        <v>0</v>
      </c>
      <c r="R54" s="460" t="str">
        <f>IF(+All!$F565="Kansas State",+All!R565,IF(+All!$H565="Kansas State",+All!R565,0))</f>
        <v>Kansas State</v>
      </c>
      <c r="S54" s="462" t="str">
        <f>IF(+All!$F565="Kansas State",+All!S565,IF(+All!$H565="Kansas State",+All!S565,0))</f>
        <v>Oklahoma State</v>
      </c>
      <c r="T54" s="460" t="str">
        <f>IF(+All!$F565="Kansas State",+All!T565,IF(+All!$H565="Kansas State",+All!T565,0))</f>
        <v>Kansas State</v>
      </c>
      <c r="U54" s="461" t="str">
        <f>IF(+All!$F565="Kansas State",+All!U565,IF(+All!$H565="Kansas State",+All!U565,0))</f>
        <v>W</v>
      </c>
    </row>
    <row r="55" spans="1:21" x14ac:dyDescent="0.8">
      <c r="A55" s="46">
        <f>IF(+All!$F622="Kansas State",+All!A622,IF(+All!$H622="Kansas State",+All!A622,0))</f>
        <v>10</v>
      </c>
      <c r="B55" s="348" t="str">
        <f>IF(+All!$F622="Kansas State",+All!B622,IF(+All!$H622="Kansas State",+All!B622,0))</f>
        <v>Sat</v>
      </c>
      <c r="C55" s="72">
        <f>IF(+All!$F622="Kansas State",+All!C622,IF(+All!$H622="Kansas State",+All!C622,0))</f>
        <v>44870</v>
      </c>
      <c r="D55" s="73">
        <f>IF(+All!$F622="Kansas State",+All!D622,IF(+All!$H622="Kansas State",+All!D622,0))</f>
        <v>0.79166666666666663</v>
      </c>
      <c r="E55" s="461" t="str">
        <f>IF(+All!$F622="Kansas State",+All!E622,IF(+All!$H622="Kansas State",+All!E622,0))</f>
        <v>FS1</v>
      </c>
      <c r="F55" s="460" t="str">
        <f>IF(+All!$F622="Kansas State",+All!F622,IF(+All!$H622="Kansas State",+All!F622,0))</f>
        <v>Texas</v>
      </c>
      <c r="G55" s="461" t="str">
        <f>IF(+All!$F622="Kansas State",+All!G622,IF(+All!$H622="Kansas State",+All!G622,0))</f>
        <v>B12</v>
      </c>
      <c r="H55" s="462" t="str">
        <f>IF(+All!$F622="Kansas State",+All!H622,IF(+All!$H622="Kansas State",+All!H622,0))</f>
        <v>Kansas State</v>
      </c>
      <c r="I55" s="461" t="str">
        <f>IF(+All!$F622="Kansas State",+All!I622,IF(+All!$H622="Kansas State",+All!I622,0))</f>
        <v>B12</v>
      </c>
      <c r="J55" s="460" t="str">
        <f>IF(+All!$F622="Kansas State",+All!J622,IF(+All!$H622="Kansas State",+All!J622,0))</f>
        <v>Texas</v>
      </c>
      <c r="K55" s="461" t="str">
        <f>IF(+All!$F622="Kansas State",+All!K622,IF(+All!$H622="Kansas State",+All!K622,0))</f>
        <v>Kansas State</v>
      </c>
      <c r="L55" s="60">
        <f>IF(+All!$F622="Kansas State",+All!L622,IF(+All!$H622="Kansas State",+All!L622,0))</f>
        <v>2.5</v>
      </c>
      <c r="M55" s="61">
        <f>IF(+All!$F622="Kansas State",+All!M622,IF(+All!$H622="Kansas State",+All!M622,0))</f>
        <v>54</v>
      </c>
      <c r="N55" s="460" t="str">
        <f>IF(+All!$F622="Kansas State",+All!N622,IF(+All!$H622="Kansas State",+All!N622,0))</f>
        <v>Texas</v>
      </c>
      <c r="O55" s="462">
        <f>IF(+All!$F622="Kansas State",+All!O622,IF(+All!$H622="Kansas State",+All!O622,0))</f>
        <v>34</v>
      </c>
      <c r="P55" s="462" t="str">
        <f>IF(+All!$F622="Kansas State",+All!P622,IF(+All!$H622="Kansas State",+All!P622,0))</f>
        <v>Kansas State</v>
      </c>
      <c r="Q55" s="461">
        <f>IF(+All!$F622="Kansas State",+All!Q622,IF(+All!$H622="Kansas State",+All!Q622,0))</f>
        <v>27</v>
      </c>
      <c r="R55" s="460" t="str">
        <f>IF(+All!$F622="Kansas State",+All!R622,IF(+All!$H622="Kansas State",+All!R622,0))</f>
        <v>Texas</v>
      </c>
      <c r="S55" s="462" t="str">
        <f>IF(+All!$F622="Kansas State",+All!S622,IF(+All!$H622="Kansas State",+All!S622,0))</f>
        <v>Kansas State</v>
      </c>
      <c r="T55" s="460" t="str">
        <f>IF(+All!$F622="Kansas State",+All!T622,IF(+All!$H622="Kansas State",+All!T622,0))</f>
        <v>Texas</v>
      </c>
      <c r="U55" s="461" t="str">
        <f>IF(+All!$F622="Kansas State",+All!U622,IF(+All!$H622="Kansas State",+All!U622,0))</f>
        <v>W</v>
      </c>
    </row>
    <row r="56" spans="1:21" x14ac:dyDescent="0.8">
      <c r="A56" s="46">
        <f>IF(+All!$F682="Kansas State",+All!A682,IF(+All!$H682="Kansas State",+All!A682,0))</f>
        <v>11</v>
      </c>
      <c r="B56" s="348" t="str">
        <f>IF(+All!$F682="Kansas State",+All!B682,IF(+All!$H682="Kansas State",+All!B682,0))</f>
        <v>Sat</v>
      </c>
      <c r="C56" s="72">
        <f>IF(+All!$F682="Kansas State",+All!C682,IF(+All!$H682="Kansas State",+All!C682,0))</f>
        <v>44877</v>
      </c>
      <c r="D56" s="73">
        <f>IF(+All!$F682="Kansas State",+All!D682,IF(+All!$H682="Kansas State",+All!D682,0))</f>
        <v>0.79166666666666663</v>
      </c>
      <c r="E56" s="461" t="str">
        <f>IF(+All!$F682="Kansas State",+All!E682,IF(+All!$H682="Kansas State",+All!E682,0))</f>
        <v>FS1</v>
      </c>
      <c r="F56" s="460" t="str">
        <f>IF(+All!$F682="Kansas State",+All!F682,IF(+All!$H682="Kansas State",+All!F682,0))</f>
        <v>Kansas State</v>
      </c>
      <c r="G56" s="461" t="str">
        <f>IF(+All!$F682="Kansas State",+All!G682,IF(+All!$H682="Kansas State",+All!G682,0))</f>
        <v>B12</v>
      </c>
      <c r="H56" s="462" t="str">
        <f>IF(+All!$F682="Kansas State",+All!H682,IF(+All!$H682="Kansas State",+All!H682,0))</f>
        <v>Baylor</v>
      </c>
      <c r="I56" s="461" t="str">
        <f>IF(+All!$F682="Kansas State",+All!I682,IF(+All!$H682="Kansas State",+All!I682,0))</f>
        <v>B12</v>
      </c>
      <c r="J56" s="460" t="str">
        <f>IF(+All!$F682="Kansas State",+All!J682,IF(+All!$H682="Kansas State",+All!J682,0))</f>
        <v>Baylor</v>
      </c>
      <c r="K56" s="461" t="str">
        <f>IF(+All!$F682="Kansas State",+All!K682,IF(+All!$H682="Kansas State",+All!K682,0))</f>
        <v>Kansas State</v>
      </c>
      <c r="L56" s="60">
        <f>IF(+All!$F682="Kansas State",+All!L682,IF(+All!$H682="Kansas State",+All!L682,0))</f>
        <v>2.5</v>
      </c>
      <c r="M56" s="61">
        <f>IF(+All!$F682="Kansas State",+All!M682,IF(+All!$H682="Kansas State",+All!M682,0))</f>
        <v>53</v>
      </c>
      <c r="N56" s="460" t="str">
        <f>IF(+All!$F682="Kansas State",+All!N682,IF(+All!$H682="Kansas State",+All!N682,0))</f>
        <v>Kansas State</v>
      </c>
      <c r="O56" s="462">
        <f>IF(+All!$F682="Kansas State",+All!O682,IF(+All!$H682="Kansas State",+All!O682,0))</f>
        <v>31</v>
      </c>
      <c r="P56" s="462" t="str">
        <f>IF(+All!$F682="Kansas State",+All!P682,IF(+All!$H682="Kansas State",+All!P682,0))</f>
        <v>Baylor</v>
      </c>
      <c r="Q56" s="461">
        <f>IF(+All!$F682="Kansas State",+All!Q682,IF(+All!$H682="Kansas State",+All!Q682,0))</f>
        <v>3</v>
      </c>
      <c r="R56" s="460" t="str">
        <f>IF(+All!$F682="Kansas State",+All!R682,IF(+All!$H682="Kansas State",+All!R682,0))</f>
        <v>Kansas State</v>
      </c>
      <c r="S56" s="462" t="str">
        <f>IF(+All!$F682="Kansas State",+All!S682,IF(+All!$H682="Kansas State",+All!S682,0))</f>
        <v>Baylor</v>
      </c>
      <c r="T56" s="460" t="str">
        <f>IF(+All!$F682="Kansas State",+All!T682,IF(+All!$H682="Kansas State",+All!T682,0))</f>
        <v>Baylor</v>
      </c>
      <c r="U56" s="461" t="str">
        <f>IF(+All!$F682="Kansas State",+All!U682,IF(+All!$H682="Kansas State",+All!U682,0))</f>
        <v>L</v>
      </c>
    </row>
    <row r="57" spans="1:21" x14ac:dyDescent="0.8">
      <c r="A57" s="46">
        <f>IF(+All!$F748="Kansas State",+All!A748,IF(+All!$H748="Kansas State",+All!A748,0))</f>
        <v>12</v>
      </c>
      <c r="B57" s="348" t="str">
        <f>IF(+All!$F748="Kansas State",+All!B748,IF(+All!$H748="Kansas State",+All!B748,0))</f>
        <v>Sat</v>
      </c>
      <c r="C57" s="72">
        <f>IF(+All!$F748="Kansas State",+All!C748,IF(+All!$H748="Kansas State",+All!C748,0))</f>
        <v>44884</v>
      </c>
      <c r="D57" s="73" t="e">
        <f>IF(+All!$F748="Kansas State",+All!#REF!,IF(+All!$H748="Kansas State",+All!#REF!,0))</f>
        <v>#REF!</v>
      </c>
      <c r="E57" s="461">
        <f>IF(+All!$F748="Kansas State",+All!E748,IF(+All!$H748="Kansas State",+All!E748,0))</f>
        <v>0</v>
      </c>
      <c r="F57" s="460" t="str">
        <f>IF(+All!$F748="Kansas State",+All!F748,IF(+All!$H748="Kansas State",+All!F748,0))</f>
        <v>Kansas State</v>
      </c>
      <c r="G57" s="461" t="str">
        <f>IF(+All!$F748="Kansas State",+All!G748,IF(+All!$H748="Kansas State",+All!G748,0))</f>
        <v>B12</v>
      </c>
      <c r="H57" s="462" t="str">
        <f>IF(+All!$F748="Kansas State",+All!H748,IF(+All!$H748="Kansas State",+All!H748,0))</f>
        <v>West Virginia</v>
      </c>
      <c r="I57" s="461" t="str">
        <f>IF(+All!$F748="Kansas State",+All!I748,IF(+All!$H748="Kansas State",+All!I748,0))</f>
        <v>B12</v>
      </c>
      <c r="J57" s="460" t="str">
        <f>IF(+All!$F748="Kansas State",+All!J748,IF(+All!$H748="Kansas State",+All!J748,0))</f>
        <v>Kansas State</v>
      </c>
      <c r="K57" s="461" t="str">
        <f>IF(+All!$F748="Kansas State",+All!K748,IF(+All!$H748="Kansas State",+All!K748,0))</f>
        <v>West Virginia</v>
      </c>
      <c r="L57" s="60">
        <f>IF(+All!$F748="Kansas State",+All!L748,IF(+All!$H748="Kansas State",+All!L748,0))</f>
        <v>7.5</v>
      </c>
      <c r="M57" s="61">
        <f>IF(+All!$F748="Kansas State",+All!M748,IF(+All!$H748="Kansas State",+All!M748,0))</f>
        <v>54.5</v>
      </c>
      <c r="N57" s="460" t="str">
        <f>IF(+All!$F748="Kansas State",+All!N748,IF(+All!$H748="Kansas State",+All!N748,0))</f>
        <v>Kansas State</v>
      </c>
      <c r="O57" s="462">
        <f>IF(+All!$F748="Kansas State",+All!O748,IF(+All!$H748="Kansas State",+All!O748,0))</f>
        <v>48</v>
      </c>
      <c r="P57" s="462" t="str">
        <f>IF(+All!$F748="Kansas State",+All!P748,IF(+All!$H748="Kansas State",+All!P748,0))</f>
        <v>West Virginia</v>
      </c>
      <c r="Q57" s="461">
        <f>IF(+All!$F748="Kansas State",+All!Q748,IF(+All!$H748="Kansas State",+All!Q748,0))</f>
        <v>31</v>
      </c>
      <c r="R57" s="460" t="str">
        <f>IF(+All!$F748="Kansas State",+All!R748,IF(+All!$H748="Kansas State",+All!R748,0))</f>
        <v>Kansas State</v>
      </c>
      <c r="S57" s="462" t="str">
        <f>IF(+All!$F748="Kansas State",+All!S748,IF(+All!$H748="Kansas State",+All!S748,0))</f>
        <v>West Virginia</v>
      </c>
      <c r="T57" s="460" t="str">
        <f>IF(+All!$F748="Kansas State",+All!T748,IF(+All!$H748="Kansas State",+All!T748,0))</f>
        <v>West Virginia</v>
      </c>
      <c r="U57" s="461" t="str">
        <f>IF(+All!$F748="Kansas State",+All!U748,IF(+All!$H748="Kansas State",+All!U748,0))</f>
        <v>L</v>
      </c>
    </row>
    <row r="58" spans="1:21" x14ac:dyDescent="0.8">
      <c r="A58" s="46">
        <f>IF(+All!$F814="Kansas State",+All!A814,IF(+All!$H814="Kansas State",+All!A814,0))</f>
        <v>13</v>
      </c>
      <c r="B58" s="348" t="str">
        <f>IF(+All!$F814="Kansas State",+All!B814,IF(+All!$H814="Kansas State",+All!B814,0))</f>
        <v>Sat</v>
      </c>
      <c r="C58" s="72">
        <f>IF(+All!$F814="Kansas State",+All!C814,IF(+All!$H814="Kansas State",+All!C814,0))</f>
        <v>44891</v>
      </c>
      <c r="D58" s="73">
        <f>IF(+All!$F814="Kansas State",+All!D814,IF(+All!$H814="Kansas State",+All!D814,0))</f>
        <v>0.83333333333333337</v>
      </c>
      <c r="E58" s="461" t="str">
        <f>IF(+All!$F814="Kansas State",+All!E814,IF(+All!$H814="Kansas State",+All!E814,0))</f>
        <v>Fox</v>
      </c>
      <c r="F58" s="460" t="str">
        <f>IF(+All!$F814="Kansas State",+All!F814,IF(+All!$H814="Kansas State",+All!F814,0))</f>
        <v>Kansas</v>
      </c>
      <c r="G58" s="461" t="str">
        <f>IF(+All!$F814="Kansas State",+All!G814,IF(+All!$H814="Kansas State",+All!G814,0))</f>
        <v>B12</v>
      </c>
      <c r="H58" s="462" t="str">
        <f>IF(+All!$F814="Kansas State",+All!H814,IF(+All!$H814="Kansas State",+All!H814,0))</f>
        <v>Kansas State</v>
      </c>
      <c r="I58" s="461" t="str">
        <f>IF(+All!$F814="Kansas State",+All!I814,IF(+All!$H814="Kansas State",+All!I814,0))</f>
        <v>B12</v>
      </c>
      <c r="J58" s="460" t="str">
        <f>IF(+All!$F814="Kansas State",+All!J814,IF(+All!$H814="Kansas State",+All!J814,0))</f>
        <v>Kansas State</v>
      </c>
      <c r="K58" s="461" t="str">
        <f>IF(+All!$F814="Kansas State",+All!K814,IF(+All!$H814="Kansas State",+All!K814,0))</f>
        <v>Kansas</v>
      </c>
      <c r="L58" s="60">
        <f>IF(+All!$F814="Kansas State",+All!L814,IF(+All!$H814="Kansas State",+All!L814,0))</f>
        <v>11.5</v>
      </c>
      <c r="M58" s="61">
        <f>IF(+All!$F814="Kansas State",+All!M814,IF(+All!$H814="Kansas State",+All!M814,0))</f>
        <v>62.5</v>
      </c>
      <c r="N58" s="460" t="str">
        <f>IF(+All!$F814="Kansas State",+All!N814,IF(+All!$H814="Kansas State",+All!N814,0))</f>
        <v>Kansas State</v>
      </c>
      <c r="O58" s="462">
        <f>IF(+All!$F814="Kansas State",+All!O814,IF(+All!$H814="Kansas State",+All!O814,0))</f>
        <v>47</v>
      </c>
      <c r="P58" s="462" t="str">
        <f>IF(+All!$F814="Kansas State",+All!P814,IF(+All!$H814="Kansas State",+All!P814,0))</f>
        <v>Kansas</v>
      </c>
      <c r="Q58" s="461">
        <f>IF(+All!$F814="Kansas State",+All!Q814,IF(+All!$H814="Kansas State",+All!Q814,0))</f>
        <v>27</v>
      </c>
      <c r="R58" s="460" t="str">
        <f>IF(+All!$F814="Kansas State",+All!R814,IF(+All!$H814="Kansas State",+All!R814,0))</f>
        <v>Kansas State</v>
      </c>
      <c r="S58" s="462" t="str">
        <f>IF(+All!$F814="Kansas State",+All!S814,IF(+All!$H814="Kansas State",+All!S814,0))</f>
        <v>Kansas</v>
      </c>
      <c r="T58" s="460" t="str">
        <f>IF(+All!$F814="Kansas State",+All!T814,IF(+All!$H814="Kansas State",+All!T814,0))</f>
        <v>Kansas State</v>
      </c>
      <c r="U58" s="461" t="str">
        <f>IF(+All!$F814="Kansas State",+All!U814,IF(+All!$H814="Kansas State",+All!U814,0))</f>
        <v>W</v>
      </c>
    </row>
    <row r="59" spans="1:21" s="21" customFormat="1" ht="15.75" customHeight="1" x14ac:dyDescent="0.8">
      <c r="A59" s="38"/>
      <c r="B59" s="39"/>
      <c r="C59" s="404"/>
      <c r="D59" s="405"/>
      <c r="E59" s="463"/>
      <c r="F59" s="905" t="str">
        <f>H60</f>
        <v>Oklahoma</v>
      </c>
      <c r="G59" s="906"/>
      <c r="H59" s="906"/>
      <c r="I59" s="907"/>
      <c r="J59" s="459"/>
      <c r="K59" s="463"/>
      <c r="L59" s="406"/>
      <c r="M59" s="4"/>
      <c r="N59" s="459"/>
      <c r="O59" s="5"/>
      <c r="P59" s="5"/>
      <c r="Q59" s="463"/>
      <c r="R59" s="459"/>
      <c r="S59" s="5"/>
      <c r="T59" s="459"/>
      <c r="U59" s="463"/>
    </row>
    <row r="60" spans="1:21" s="358" customFormat="1" x14ac:dyDescent="0.8">
      <c r="A60" s="46">
        <f>IF(+All!$F44="Oklahoma",+All!A44,IF(+All!$H44="Oklahoma",+All!A44,0))</f>
        <v>1</v>
      </c>
      <c r="B60" s="348" t="str">
        <f>IF(+All!$F44="Oklahoma",+All!B44,IF(+All!$H44="Oklahoma",+All!B44,0))</f>
        <v>Sat</v>
      </c>
      <c r="C60" s="48">
        <f>IF(+All!$F44="Oklahoma",+All!C44,IF(+All!$H44="Oklahoma",+All!C44,0))</f>
        <v>44807</v>
      </c>
      <c r="D60" s="490">
        <f>IF(+All!$F44="Oklahoma",+All!D44,IF(+All!$H44="Oklahoma",+All!D44,0))</f>
        <v>0.64583333333333337</v>
      </c>
      <c r="E60" s="461" t="str">
        <f>IF(+All!$F44="Oklahoma",+All!E44,IF(+All!$H44="Oklahoma",+All!E44,0))</f>
        <v>Fox</v>
      </c>
      <c r="F60" s="51" t="str">
        <f>IF(+All!$F44="Oklahoma",+All!F44,IF(+All!$H44="Oklahoma",+All!F44,0))</f>
        <v>UTEP</v>
      </c>
      <c r="G60" s="52" t="str">
        <f>IF(+All!$F44="Oklahoma",+All!G44,IF(+All!$H44="Oklahoma",+All!G44,0))</f>
        <v>CUSA</v>
      </c>
      <c r="H60" s="63" t="str">
        <f>IF(+All!$F44="Oklahoma",+All!H44,IF(+All!$H44="Oklahoma",+All!H44,0))</f>
        <v>Oklahoma</v>
      </c>
      <c r="I60" s="52" t="str">
        <f>IF(+All!$F44="Oklahoma",+All!I44,IF(+All!$H44="Oklahoma",+All!I44,0))</f>
        <v>B12</v>
      </c>
      <c r="J60" s="460" t="str">
        <f>IF(+All!$F44="Oklahoma",+All!J44,IF(+All!$H44="Oklahoma",+All!J44,0))</f>
        <v>Oklahoma</v>
      </c>
      <c r="K60" s="461" t="str">
        <f>IF(+All!$F44="Oklahoma",+All!K44,IF(+All!$H44="Oklahoma",+All!K44,0))</f>
        <v>UTEP</v>
      </c>
      <c r="L60" s="54">
        <f>IF(+All!$F44="Oklahoma",+All!L44,IF(+All!$H44="Oklahoma",+All!L44,0))</f>
        <v>30.5</v>
      </c>
      <c r="M60" s="55">
        <f>IF(+All!$F44="Oklahoma",+All!M44,IF(+All!$H44="Oklahoma",+All!M44,0))</f>
        <v>56.5</v>
      </c>
      <c r="N60" s="460" t="str">
        <f>IF(+All!$F44="Oklahoma",+All!N44,IF(+All!$H44="Oklahoma",+All!N44,0))</f>
        <v>Oklahoma</v>
      </c>
      <c r="O60" s="462">
        <f>IF(+All!$F44="Oklahoma",+All!O44,IF(+All!$H44="Oklahoma",+All!O44,0))</f>
        <v>45</v>
      </c>
      <c r="P60" s="462" t="str">
        <f>IF(+All!$F44="Oklahoma",+All!P44,IF(+All!$H44="Oklahoma",+All!P44,0))</f>
        <v>UTEP</v>
      </c>
      <c r="Q60" s="461">
        <f>IF(+All!$F44="Oklahoma",+All!Q44,IF(+All!$H44="Oklahoma",+All!Q44,0))</f>
        <v>13</v>
      </c>
      <c r="R60" s="460" t="str">
        <f>IF(+All!$F44="Oklahoma",+All!R44,IF(+All!$H44="Oklahoma",+All!R44,0))</f>
        <v>Oklahoma</v>
      </c>
      <c r="S60" s="462" t="str">
        <f>IF(+All!$F44="Oklahoma",+All!S44,IF(+All!$H44="Oklahoma",+All!S44,0))</f>
        <v>UTEP</v>
      </c>
      <c r="T60" s="460" t="str">
        <f>IF(+All!$F44="Oklahoma",+All!T44,IF(+All!$H44="Oklahoma",+All!T44,0))</f>
        <v>Oklahoma</v>
      </c>
      <c r="U60" s="461" t="str">
        <f>IF(+All!$F44="Oklahoma",+All!U44,IF(+All!$H44="Oklahoma",+All!U44,0))</f>
        <v>W</v>
      </c>
    </row>
    <row r="61" spans="1:21" s="358" customFormat="1" x14ac:dyDescent="0.8">
      <c r="A61" s="46">
        <f>IF(+All!$F128="Oklahoma",+All!A128,IF(+All!$H128="Oklahoma",+All!A128,0))</f>
        <v>2</v>
      </c>
      <c r="B61" s="348" t="str">
        <f>IF(+All!$F128="Oklahoma",+All!B128,IF(+All!$H128="Oklahoma",+All!B128,0))</f>
        <v>Sat</v>
      </c>
      <c r="C61" s="48">
        <f>IF(+All!$F128="Oklahoma",+All!C128,IF(+All!$H128="Oklahoma",+All!C128,0))</f>
        <v>44814</v>
      </c>
      <c r="D61" s="490">
        <f>IF(+All!$F128="Oklahoma",+All!D128,IF(+All!$H128="Oklahoma",+All!D128,0))</f>
        <v>0.79166666666666663</v>
      </c>
      <c r="E61" s="461">
        <f>IF(+All!$F128="Oklahoma",+All!E128,IF(+All!$H128="Oklahoma",+All!E128,0))</f>
        <v>0</v>
      </c>
      <c r="F61" s="51" t="str">
        <f>IF(+All!$F128="Oklahoma",+All!F128,IF(+All!$H128="Oklahoma",+All!F128,0))</f>
        <v>Kent State</v>
      </c>
      <c r="G61" s="52" t="str">
        <f>IF(+All!$F128="Oklahoma",+All!G128,IF(+All!$H128="Oklahoma",+All!G128,0))</f>
        <v>MAC</v>
      </c>
      <c r="H61" s="63" t="str">
        <f>IF(+All!$F128="Oklahoma",+All!H128,IF(+All!$H128="Oklahoma",+All!H128,0))</f>
        <v>Oklahoma</v>
      </c>
      <c r="I61" s="52" t="str">
        <f>IF(+All!$F128="Oklahoma",+All!I128,IF(+All!$H128="Oklahoma",+All!I128,0))</f>
        <v>B12</v>
      </c>
      <c r="J61" s="460" t="str">
        <f>IF(+All!$F128="Oklahoma",+All!J128,IF(+All!$H128="Oklahoma",+All!J128,0))</f>
        <v>Oklahoma</v>
      </c>
      <c r="K61" s="461" t="str">
        <f>IF(+All!$F128="Oklahoma",+All!K128,IF(+All!$H128="Oklahoma",+All!K128,0))</f>
        <v>Kent State</v>
      </c>
      <c r="L61" s="54">
        <f>IF(+All!$F128="Oklahoma",+All!L128,IF(+All!$H128="Oklahoma",+All!L128,0))</f>
        <v>33.5</v>
      </c>
      <c r="M61" s="55">
        <f>IF(+All!$F128="Oklahoma",+All!M128,IF(+All!$H128="Oklahoma",+All!M128,0))</f>
        <v>71</v>
      </c>
      <c r="N61" s="460" t="str">
        <f>IF(+All!$F128="Oklahoma",+All!N128,IF(+All!$H128="Oklahoma",+All!N128,0))</f>
        <v>Oklahoma</v>
      </c>
      <c r="O61" s="462">
        <f>IF(+All!$F128="Oklahoma",+All!O128,IF(+All!$H128="Oklahoma",+All!O128,0))</f>
        <v>33</v>
      </c>
      <c r="P61" s="462" t="str">
        <f>IF(+All!$F128="Oklahoma",+All!P128,IF(+All!$H128="Oklahoma",+All!P128,0))</f>
        <v>Kent State</v>
      </c>
      <c r="Q61" s="461">
        <f>IF(+All!$F128="Oklahoma",+All!Q128,IF(+All!$H128="Oklahoma",+All!Q128,0))</f>
        <v>3</v>
      </c>
      <c r="R61" s="460" t="str">
        <f>IF(+All!$F128="Oklahoma",+All!R128,IF(+All!$H128="Oklahoma",+All!R128,0))</f>
        <v>Kent State</v>
      </c>
      <c r="S61" s="462" t="str">
        <f>IF(+All!$F128="Oklahoma",+All!S128,IF(+All!$H128="Oklahoma",+All!S128,0))</f>
        <v>Oklahoma</v>
      </c>
      <c r="T61" s="460" t="str">
        <f>IF(+All!$F128="Oklahoma",+All!T128,IF(+All!$H128="Oklahoma",+All!T128,0))</f>
        <v>Kent State</v>
      </c>
      <c r="U61" s="461" t="str">
        <f>IF(+All!$F128="Oklahoma",+All!U128,IF(+All!$H128="Oklahoma",+All!U128,0))</f>
        <v>W</v>
      </c>
    </row>
    <row r="62" spans="1:21" s="358" customFormat="1" x14ac:dyDescent="0.8">
      <c r="A62" s="46">
        <f>IF(+All!$F202="Oklahoma",+All!A202,IF(+All!$H202="Oklahoma",+All!A202,0))</f>
        <v>3</v>
      </c>
      <c r="B62" s="348" t="str">
        <f>IF(+All!$F202="Oklahoma",+All!B202,IF(+All!$H202="Oklahoma",+All!B202,0))</f>
        <v>Sat</v>
      </c>
      <c r="C62" s="48">
        <f>IF(+All!$F202="Oklahoma",+All!C202,IF(+All!$H202="Oklahoma",+All!C202,0))</f>
        <v>44821</v>
      </c>
      <c r="D62" s="490">
        <f>IF(+All!$F202="Oklahoma",+All!D202,IF(+All!$H202="Oklahoma",+All!D202,0))</f>
        <v>0.5</v>
      </c>
      <c r="E62" s="461" t="str">
        <f>IF(+All!$F202="Oklahoma",+All!E202,IF(+All!$H202="Oklahoma",+All!E202,0))</f>
        <v>Fox</v>
      </c>
      <c r="F62" s="51" t="str">
        <f>IF(+All!$F202="Oklahoma",+All!F202,IF(+All!$H202="Oklahoma",+All!F202,0))</f>
        <v>Oklahoma</v>
      </c>
      <c r="G62" s="52" t="str">
        <f>IF(+All!$F202="Oklahoma",+All!G202,IF(+All!$H202="Oklahoma",+All!G202,0))</f>
        <v>B12</v>
      </c>
      <c r="H62" s="63" t="str">
        <f>IF(+All!$F202="Oklahoma",+All!H202,IF(+All!$H202="Oklahoma",+All!H202,0))</f>
        <v>Nebraska</v>
      </c>
      <c r="I62" s="52" t="str">
        <f>IF(+All!$F202="Oklahoma",+All!I202,IF(+All!$H202="Oklahoma",+All!I202,0))</f>
        <v>B10</v>
      </c>
      <c r="J62" s="460" t="str">
        <f>IF(+All!$F202="Oklahoma",+All!J202,IF(+All!$H202="Oklahoma",+All!J202,0))</f>
        <v>Oklahoma</v>
      </c>
      <c r="K62" s="461" t="str">
        <f>IF(+All!$F202="Oklahoma",+All!K202,IF(+All!$H202="Oklahoma",+All!K202,0))</f>
        <v>Nebraska</v>
      </c>
      <c r="L62" s="54">
        <f>IF(+All!$F202="Oklahoma",+All!L202,IF(+All!$H202="Oklahoma",+All!L202,0))</f>
        <v>11</v>
      </c>
      <c r="M62" s="55">
        <f>IF(+All!$F202="Oklahoma",+All!M202,IF(+All!$H202="Oklahoma",+All!M202,0))</f>
        <v>66.5</v>
      </c>
      <c r="N62" s="460" t="str">
        <f>IF(+All!$F202="Oklahoma",+All!N202,IF(+All!$H202="Oklahoma",+All!N202,0))</f>
        <v>Oklahoma</v>
      </c>
      <c r="O62" s="462">
        <f>IF(+All!$F202="Oklahoma",+All!O202,IF(+All!$H202="Oklahoma",+All!O202,0))</f>
        <v>49</v>
      </c>
      <c r="P62" s="462" t="str">
        <f>IF(+All!$F202="Oklahoma",+All!P202,IF(+All!$H202="Oklahoma",+All!P202,0))</f>
        <v>Nebraska</v>
      </c>
      <c r="Q62" s="461">
        <f>IF(+All!$F202="Oklahoma",+All!Q202,IF(+All!$H202="Oklahoma",+All!Q202,0))</f>
        <v>14</v>
      </c>
      <c r="R62" s="460" t="str">
        <f>IF(+All!$F202="Oklahoma",+All!R202,IF(+All!$H202="Oklahoma",+All!R202,0))</f>
        <v>Oklahoma</v>
      </c>
      <c r="S62" s="462" t="str">
        <f>IF(+All!$F202="Oklahoma",+All!S202,IF(+All!$H202="Oklahoma",+All!S202,0))</f>
        <v>Nebraska</v>
      </c>
      <c r="T62" s="460" t="str">
        <f>IF(+All!$F202="Oklahoma",+All!T202,IF(+All!$H202="Oklahoma",+All!T202,0))</f>
        <v>Oklahoma</v>
      </c>
      <c r="U62" s="461" t="str">
        <f>IF(+All!$F202="Oklahoma",+All!U202,IF(+All!$H202="Oklahoma",+All!U202,0))</f>
        <v>W</v>
      </c>
    </row>
    <row r="63" spans="1:21" s="358" customFormat="1" x14ac:dyDescent="0.8">
      <c r="A63" s="46">
        <f>IF(+All!$F282="Oklahoma",+All!A282,IF(+All!$H282="Oklahoma",+All!A282,0))</f>
        <v>4</v>
      </c>
      <c r="B63" s="348" t="str">
        <f>IF(+All!$F282="Oklahoma",+All!B282,IF(+All!$H282="Oklahoma",+All!B282,0))</f>
        <v>Sat</v>
      </c>
      <c r="C63" s="48">
        <f>IF(+All!$F282="Oklahoma",+All!C282,IF(+All!$H282="Oklahoma",+All!C282,0))</f>
        <v>44828</v>
      </c>
      <c r="D63" s="490">
        <f>IF(+All!$F282="Oklahoma",+All!D282,IF(+All!$H282="Oklahoma",+All!D282,0))</f>
        <v>0.8125</v>
      </c>
      <c r="E63" s="461" t="str">
        <f>IF(+All!$F282="Oklahoma",+All!E282,IF(+All!$H282="Oklahoma",+All!E282,0))</f>
        <v>Fox</v>
      </c>
      <c r="F63" s="51" t="str">
        <f>IF(+All!$F282="Oklahoma",+All!F282,IF(+All!$H282="Oklahoma",+All!F282,0))</f>
        <v>Kansas State</v>
      </c>
      <c r="G63" s="52" t="str">
        <f>IF(+All!$F282="Oklahoma",+All!G282,IF(+All!$H282="Oklahoma",+All!G282,0))</f>
        <v>B12</v>
      </c>
      <c r="H63" s="63" t="str">
        <f>IF(+All!$F282="Oklahoma",+All!H282,IF(+All!$H282="Oklahoma",+All!H282,0))</f>
        <v>Oklahoma</v>
      </c>
      <c r="I63" s="52" t="str">
        <f>IF(+All!$F282="Oklahoma",+All!I282,IF(+All!$H282="Oklahoma",+All!I282,0))</f>
        <v>B12</v>
      </c>
      <c r="J63" s="460" t="str">
        <f>IF(+All!$F282="Oklahoma",+All!J282,IF(+All!$H282="Oklahoma",+All!J282,0))</f>
        <v>Oklahoma</v>
      </c>
      <c r="K63" s="461" t="str">
        <f>IF(+All!$F282="Oklahoma",+All!K282,IF(+All!$H282="Oklahoma",+All!K282,0))</f>
        <v>Kansas State</v>
      </c>
      <c r="L63" s="54">
        <f>IF(+All!$F282="Oklahoma",+All!L282,IF(+All!$H282="Oklahoma",+All!L282,0))</f>
        <v>13</v>
      </c>
      <c r="M63" s="55">
        <f>IF(+All!$F282="Oklahoma",+All!M282,IF(+All!$H282="Oklahoma",+All!M282,0))</f>
        <v>53</v>
      </c>
      <c r="N63" s="460" t="str">
        <f>IF(+All!$F282="Oklahoma",+All!N282,IF(+All!$H282="Oklahoma",+All!N282,0))</f>
        <v>Kansas State</v>
      </c>
      <c r="O63" s="462">
        <f>IF(+All!$F282="Oklahoma",+All!O282,IF(+All!$H282="Oklahoma",+All!O282,0))</f>
        <v>41</v>
      </c>
      <c r="P63" s="462" t="str">
        <f>IF(+All!$F282="Oklahoma",+All!P282,IF(+All!$H282="Oklahoma",+All!P282,0))</f>
        <v>Oklahoma</v>
      </c>
      <c r="Q63" s="461">
        <f>IF(+All!$F282="Oklahoma",+All!Q282,IF(+All!$H282="Oklahoma",+All!Q282,0))</f>
        <v>34</v>
      </c>
      <c r="R63" s="460" t="str">
        <f>IF(+All!$F282="Oklahoma",+All!R282,IF(+All!$H282="Oklahoma",+All!R282,0))</f>
        <v>Kansas State</v>
      </c>
      <c r="S63" s="462" t="str">
        <f>IF(+All!$F282="Oklahoma",+All!S282,IF(+All!$H282="Oklahoma",+All!S282,0))</f>
        <v>Oklahoma</v>
      </c>
      <c r="T63" s="460" t="str">
        <f>IF(+All!$F282="Oklahoma",+All!T282,IF(+All!$H282="Oklahoma",+All!T282,0))</f>
        <v>Oklahoma</v>
      </c>
      <c r="U63" s="461" t="str">
        <f>IF(+All!$F282="Oklahoma",+All!U282,IF(+All!$H282="Oklahoma",+All!U282,0))</f>
        <v>L</v>
      </c>
    </row>
    <row r="64" spans="1:21" x14ac:dyDescent="0.8">
      <c r="A64" s="46">
        <f>IF(+All!$F345="Oklahoma",+All!A345,IF(+All!$H345="Oklahoma",+All!A345,0))</f>
        <v>5</v>
      </c>
      <c r="B64" s="348" t="str">
        <f>IF(+All!$F345="Oklahoma",+All!B345,IF(+All!$H345="Oklahoma",+All!B345,0))</f>
        <v>Sat</v>
      </c>
      <c r="C64" s="48">
        <f>IF(+All!$F345="Oklahoma",+All!C345,IF(+All!$H345="Oklahoma",+All!C345,0))</f>
        <v>44835</v>
      </c>
      <c r="D64" s="490">
        <f>IF(+All!$F345="Oklahoma",+All!D345,IF(+All!$H345="Oklahoma",+All!D345,0))</f>
        <v>0.5</v>
      </c>
      <c r="E64" s="461" t="str">
        <f>IF(+All!$F345="Oklahoma",+All!E345,IF(+All!$H345="Oklahoma",+All!E345,0))</f>
        <v>ABC</v>
      </c>
      <c r="F64" s="51" t="str">
        <f>IF(+All!$F345="Oklahoma",+All!F345,IF(+All!$H345="Oklahoma",+All!F345,0))</f>
        <v>Oklahoma</v>
      </c>
      <c r="G64" s="52" t="str">
        <f>IF(+All!$F345="Oklahoma",+All!G345,IF(+All!$H345="Oklahoma",+All!G345,0))</f>
        <v>B12</v>
      </c>
      <c r="H64" s="63" t="str">
        <f>IF(+All!$F345="Oklahoma",+All!H345,IF(+All!$H345="Oklahoma",+All!H345,0))</f>
        <v>TCU</v>
      </c>
      <c r="I64" s="52" t="str">
        <f>IF(+All!$F345="Oklahoma",+All!I345,IF(+All!$H345="Oklahoma",+All!I345,0))</f>
        <v>B12</v>
      </c>
      <c r="J64" s="460" t="str">
        <f>IF(+All!$F345="Oklahoma",+All!J345,IF(+All!$H345="Oklahoma",+All!J345,0))</f>
        <v>Oklahoma</v>
      </c>
      <c r="K64" s="461" t="str">
        <f>IF(+All!$F345="Oklahoma",+All!K345,IF(+All!$H345="Oklahoma",+All!K345,0))</f>
        <v>TCU</v>
      </c>
      <c r="L64" s="54">
        <f>IF(+All!$F345="Oklahoma",+All!L345,IF(+All!$H345="Oklahoma",+All!L345,0))</f>
        <v>6.5</v>
      </c>
      <c r="M64" s="55">
        <f>IF(+All!$F345="Oklahoma",+All!M345,IF(+All!$H345="Oklahoma",+All!M345,0))</f>
        <v>67.5</v>
      </c>
      <c r="N64" s="460" t="str">
        <f>IF(+All!$F345="Oklahoma",+All!N345,IF(+All!$H345="Oklahoma",+All!N345,0))</f>
        <v>TCU</v>
      </c>
      <c r="O64" s="462">
        <f>IF(+All!$F345="Oklahoma",+All!O345,IF(+All!$H345="Oklahoma",+All!O345,0))</f>
        <v>55</v>
      </c>
      <c r="P64" s="462" t="str">
        <f>IF(+All!$F345="Oklahoma",+All!P345,IF(+All!$H345="Oklahoma",+All!P345,0))</f>
        <v>Oklahoma</v>
      </c>
      <c r="Q64" s="461">
        <f>IF(+All!$F345="Oklahoma",+All!Q345,IF(+All!$H345="Oklahoma",+All!Q345,0))</f>
        <v>24</v>
      </c>
      <c r="R64" s="460" t="str">
        <f>IF(+All!$F345="Oklahoma",+All!R345,IF(+All!$H345="Oklahoma",+All!R345,0))</f>
        <v>TCU</v>
      </c>
      <c r="S64" s="462" t="str">
        <f>IF(+All!$F345="Oklahoma",+All!S345,IF(+All!$H345="Oklahoma",+All!S345,0))</f>
        <v>Oklahoma</v>
      </c>
      <c r="T64" s="460" t="str">
        <f>IF(+All!$F345="Oklahoma",+All!T345,IF(+All!$H345="Oklahoma",+All!T345,0))</f>
        <v>Oklahoma</v>
      </c>
      <c r="U64" s="461" t="str">
        <f>IF(+All!$F345="Oklahoma",+All!U345,IF(+All!$H345="Oklahoma",+All!U345,0))</f>
        <v>L</v>
      </c>
    </row>
    <row r="65" spans="1:21" x14ac:dyDescent="0.8">
      <c r="A65" s="46">
        <f>IF(+All!$F403="Oklahoma",+All!A403,IF(+All!$H403="Oklahoma",+All!A403,0))</f>
        <v>6</v>
      </c>
      <c r="B65" s="348" t="str">
        <f>IF(+All!$F403="Oklahoma",+All!B403,IF(+All!$H403="Oklahoma",+All!B403,0))</f>
        <v>Sat</v>
      </c>
      <c r="C65" s="48">
        <f>IF(+All!$F403="Oklahoma",+All!C403,IF(+All!$H403="Oklahoma",+All!C403,0))</f>
        <v>44842</v>
      </c>
      <c r="D65" s="490">
        <f>IF(+All!$F403="Oklahoma",+All!D403,IF(+All!$H403="Oklahoma",+All!D403,0))</f>
        <v>0.5</v>
      </c>
      <c r="E65" s="461" t="str">
        <f>IF(+All!$F403="Oklahoma",+All!E403,IF(+All!$H403="Oklahoma",+All!E403,0))</f>
        <v>ABC</v>
      </c>
      <c r="F65" s="51" t="str">
        <f>IF(+All!$F403="Oklahoma",+All!F403,IF(+All!$H403="Oklahoma",+All!F403,0))</f>
        <v>Texas</v>
      </c>
      <c r="G65" s="52" t="str">
        <f>IF(+All!$F403="Oklahoma",+All!G403,IF(+All!$H403="Oklahoma",+All!G403,0))</f>
        <v>B12</v>
      </c>
      <c r="H65" s="63" t="str">
        <f>IF(+All!$F403="Oklahoma",+All!H403,IF(+All!$H403="Oklahoma",+All!H403,0))</f>
        <v>Oklahoma</v>
      </c>
      <c r="I65" s="52" t="str">
        <f>IF(+All!$F403="Oklahoma",+All!I403,IF(+All!$H403="Oklahoma",+All!I403,0))</f>
        <v>B12</v>
      </c>
      <c r="J65" s="460" t="str">
        <f>IF(+All!$F403="Oklahoma",+All!J403,IF(+All!$H403="Oklahoma",+All!J403,0))</f>
        <v>Texas</v>
      </c>
      <c r="K65" s="461" t="str">
        <f>IF(+All!$F403="Oklahoma",+All!K403,IF(+All!$H403="Oklahoma",+All!K403,0))</f>
        <v>Oklahoma</v>
      </c>
      <c r="L65" s="54">
        <f>IF(+All!$F403="Oklahoma",+All!L403,IF(+All!$H403="Oklahoma",+All!L403,0))</f>
        <v>7</v>
      </c>
      <c r="M65" s="55">
        <f>IF(+All!$F403="Oklahoma",+All!M403,IF(+All!$H403="Oklahoma",+All!M403,0))</f>
        <v>65.5</v>
      </c>
      <c r="N65" s="460" t="str">
        <f>IF(+All!$F403="Oklahoma",+All!N403,IF(+All!$H403="Oklahoma",+All!N403,0))</f>
        <v>Texas</v>
      </c>
      <c r="O65" s="462">
        <f>IF(+All!$F403="Oklahoma",+All!O403,IF(+All!$H403="Oklahoma",+All!O403,0))</f>
        <v>49</v>
      </c>
      <c r="P65" s="462" t="str">
        <f>IF(+All!$F403="Oklahoma",+All!P403,IF(+All!$H403="Oklahoma",+All!P403,0))</f>
        <v>Oklahoma</v>
      </c>
      <c r="Q65" s="461">
        <f>IF(+All!$F403="Oklahoma",+All!Q403,IF(+All!$H403="Oklahoma",+All!Q403,0))</f>
        <v>0</v>
      </c>
      <c r="R65" s="460" t="str">
        <f>IF(+All!$F403="Oklahoma",+All!R403,IF(+All!$H403="Oklahoma",+All!R403,0))</f>
        <v>Texas</v>
      </c>
      <c r="S65" s="462" t="str">
        <f>IF(+All!$F403="Oklahoma",+All!S403,IF(+All!$H403="Oklahoma",+All!S403,0))</f>
        <v>Oklahoma</v>
      </c>
      <c r="T65" s="460" t="str">
        <f>IF(+All!$F403="Oklahoma",+All!T403,IF(+All!$H403="Oklahoma",+All!T403,0))</f>
        <v>Oklahoma</v>
      </c>
      <c r="U65" s="461" t="str">
        <f>IF(+All!$F403="Oklahoma",+All!U403,IF(+All!$H403="Oklahoma",+All!U403,0))</f>
        <v>L</v>
      </c>
    </row>
    <row r="66" spans="1:21" x14ac:dyDescent="0.8">
      <c r="A66" s="46">
        <f>IF(+All!$F454="Oklahoma",+All!A454,IF(+All!$H454="Oklahoma",+All!A454,0))</f>
        <v>7</v>
      </c>
      <c r="B66" s="348" t="str">
        <f>IF(+All!$F454="Oklahoma",+All!B454,IF(+All!$H454="Oklahoma",+All!B454,0))</f>
        <v>Sat</v>
      </c>
      <c r="C66" s="48">
        <f>IF(+All!$F454="Oklahoma",+All!C454,IF(+All!$H454="Oklahoma",+All!C454,0))</f>
        <v>44849</v>
      </c>
      <c r="D66" s="490">
        <f>IF(+All!$F454="Oklahoma",+All!D454,IF(+All!$H454="Oklahoma",+All!D454,0))</f>
        <v>0.5</v>
      </c>
      <c r="E66" s="461" t="str">
        <f>IF(+All!$F454="Oklahoma",+All!E454,IF(+All!$H454="Oklahoma",+All!E454,0))</f>
        <v>ESPN2</v>
      </c>
      <c r="F66" s="51" t="str">
        <f>IF(+All!$F454="Oklahoma",+All!F454,IF(+All!$H454="Oklahoma",+All!F454,0))</f>
        <v>Kansas</v>
      </c>
      <c r="G66" s="52" t="str">
        <f>IF(+All!$F454="Oklahoma",+All!G454,IF(+All!$H454="Oklahoma",+All!G454,0))</f>
        <v>B12</v>
      </c>
      <c r="H66" s="63" t="str">
        <f>IF(+All!$F454="Oklahoma",+All!H454,IF(+All!$H454="Oklahoma",+All!H454,0))</f>
        <v>Oklahoma</v>
      </c>
      <c r="I66" s="52" t="str">
        <f>IF(+All!$F454="Oklahoma",+All!I454,IF(+All!$H454="Oklahoma",+All!I454,0))</f>
        <v>B12</v>
      </c>
      <c r="J66" s="460" t="str">
        <f>IF(+All!$F454="Oklahoma",+All!J454,IF(+All!$H454="Oklahoma",+All!J454,0))</f>
        <v>Oklahoma</v>
      </c>
      <c r="K66" s="461" t="str">
        <f>IF(+All!$F454="Oklahoma",+All!K454,IF(+All!$H454="Oklahoma",+All!K454,0))</f>
        <v>Kansas</v>
      </c>
      <c r="L66" s="54">
        <f>IF(+All!$F454="Oklahoma",+All!L454,IF(+All!$H454="Oklahoma",+All!L454,0))</f>
        <v>7.5</v>
      </c>
      <c r="M66" s="55">
        <f>IF(+All!$F454="Oklahoma",+All!M454,IF(+All!$H454="Oklahoma",+All!M454,0))</f>
        <v>63.5</v>
      </c>
      <c r="N66" s="460" t="str">
        <f>IF(+All!$F454="Oklahoma",+All!N454,IF(+All!$H454="Oklahoma",+All!N454,0))</f>
        <v>Oklahoma</v>
      </c>
      <c r="O66" s="462">
        <f>IF(+All!$F454="Oklahoma",+All!O454,IF(+All!$H454="Oklahoma",+All!O454,0))</f>
        <v>52</v>
      </c>
      <c r="P66" s="462" t="str">
        <f>IF(+All!$F454="Oklahoma",+All!P454,IF(+All!$H454="Oklahoma",+All!P454,0))</f>
        <v>Kansas</v>
      </c>
      <c r="Q66" s="461">
        <f>IF(+All!$F454="Oklahoma",+All!Q454,IF(+All!$H454="Oklahoma",+All!Q454,0))</f>
        <v>42</v>
      </c>
      <c r="R66" s="460" t="str">
        <f>IF(+All!$F454="Oklahoma",+All!R454,IF(+All!$H454="Oklahoma",+All!R454,0))</f>
        <v>Oklahoma</v>
      </c>
      <c r="S66" s="462" t="str">
        <f>IF(+All!$F454="Oklahoma",+All!S454,IF(+All!$H454="Oklahoma",+All!S454,0))</f>
        <v>Kansas</v>
      </c>
      <c r="T66" s="460" t="str">
        <f>IF(+All!$F454="Oklahoma",+All!T454,IF(+All!$H454="Oklahoma",+All!T454,0))</f>
        <v>Kansas</v>
      </c>
      <c r="U66" s="461" t="str">
        <f>IF(+All!$F454="Oklahoma",+All!U454,IF(+All!$H454="Oklahoma",+All!U454,0))</f>
        <v>L</v>
      </c>
    </row>
    <row r="67" spans="1:21" x14ac:dyDescent="0.8">
      <c r="A67" s="46" t="e">
        <f>IF(+All!#REF!="Oklahoma",+All!#REF!,IF(+All!#REF!="Oklahoma",+All!#REF!,0))</f>
        <v>#REF!</v>
      </c>
      <c r="B67" s="348" t="e">
        <f>IF(+All!#REF!="Oklahoma",+All!#REF!,IF(+All!#REF!="Oklahoma",+All!#REF!,0))</f>
        <v>#REF!</v>
      </c>
      <c r="C67" s="48" t="e">
        <f>IF(+All!#REF!="Oklahoma",+All!#REF!,IF(+All!#REF!="Oklahoma",+All!#REF!,0))</f>
        <v>#REF!</v>
      </c>
      <c r="D67" s="490" t="e">
        <f>IF(+All!#REF!="Oklahoma",+All!#REF!,IF(+All!#REF!="Oklahoma",+All!#REF!,0))</f>
        <v>#REF!</v>
      </c>
      <c r="E67" s="461" t="e">
        <f>IF(+All!#REF!="Oklahoma",+All!#REF!,IF(+All!#REF!="Oklahoma",+All!#REF!,0))</f>
        <v>#REF!</v>
      </c>
      <c r="F67" s="51" t="e">
        <f>IF(+All!#REF!="Oklahoma",+All!#REF!,IF(+All!#REF!="Oklahoma",+All!#REF!,0))</f>
        <v>#REF!</v>
      </c>
      <c r="G67" s="52" t="e">
        <f>IF(+All!#REF!="Oklahoma",+All!#REF!,IF(+All!#REF!="Oklahoma",+All!#REF!,0))</f>
        <v>#REF!</v>
      </c>
      <c r="H67" s="63" t="e">
        <f>IF(+All!#REF!="Oklahoma",+All!#REF!,IF(+All!#REF!="Oklahoma",+All!#REF!,0))</f>
        <v>#REF!</v>
      </c>
      <c r="I67" s="52" t="e">
        <f>IF(+All!#REF!="Oklahoma",+All!#REF!,IF(+All!#REF!="Oklahoma",+All!#REF!,0))</f>
        <v>#REF!</v>
      </c>
      <c r="J67" s="460" t="e">
        <f>IF(+All!#REF!="Oklahoma",+All!#REF!,IF(+All!#REF!="Oklahoma",+All!#REF!,0))</f>
        <v>#REF!</v>
      </c>
      <c r="K67" s="461" t="e">
        <f>IF(+All!#REF!="Oklahoma",+All!#REF!,IF(+All!#REF!="Oklahoma",+All!#REF!,0))</f>
        <v>#REF!</v>
      </c>
      <c r="L67" s="54" t="e">
        <f>IF(+All!#REF!="Oklahoma",+All!#REF!,IF(+All!#REF!="Oklahoma",+All!#REF!,0))</f>
        <v>#REF!</v>
      </c>
      <c r="M67" s="55" t="e">
        <f>IF(+All!#REF!="Oklahoma",+All!#REF!,IF(+All!#REF!="Oklahoma",+All!#REF!,0))</f>
        <v>#REF!</v>
      </c>
      <c r="N67" s="460" t="e">
        <f>IF(+All!#REF!="Oklahoma",+All!#REF!,IF(+All!#REF!="Oklahoma",+All!#REF!,0))</f>
        <v>#REF!</v>
      </c>
      <c r="O67" s="462" t="e">
        <f>IF(+All!#REF!="Oklahoma",+All!#REF!,IF(+All!#REF!="Oklahoma",+All!#REF!,0))</f>
        <v>#REF!</v>
      </c>
      <c r="P67" s="462" t="e">
        <f>IF(+All!#REF!="Oklahoma",+All!#REF!,IF(+All!#REF!="Oklahoma",+All!#REF!,0))</f>
        <v>#REF!</v>
      </c>
      <c r="Q67" s="461" t="e">
        <f>IF(+All!#REF!="Oklahoma",+All!#REF!,IF(+All!#REF!="Oklahoma",+All!#REF!,0))</f>
        <v>#REF!</v>
      </c>
      <c r="R67" s="460" t="e">
        <f>IF(+All!#REF!="Oklahoma",+All!#REF!,IF(+All!#REF!="Oklahoma",+All!#REF!,0))</f>
        <v>#REF!</v>
      </c>
      <c r="S67" s="462" t="e">
        <f>IF(+All!#REF!="Oklahoma",+All!#REF!,IF(+All!#REF!="Oklahoma",+All!#REF!,0))</f>
        <v>#REF!</v>
      </c>
      <c r="T67" s="460" t="e">
        <f>IF(+All!#REF!="Oklahoma",+All!#REF!,IF(+All!#REF!="Oklahoma",+All!#REF!,0))</f>
        <v>#REF!</v>
      </c>
      <c r="U67" s="461" t="e">
        <f>IF(+All!#REF!="Oklahoma",+All!#REF!,IF(+All!#REF!="Oklahoma",+All!#REF!,0))</f>
        <v>#REF!</v>
      </c>
    </row>
    <row r="68" spans="1:21" x14ac:dyDescent="0.8">
      <c r="A68" s="46">
        <f>IF(+All!$F564="Oklahoma",+All!A564,IF(+All!$H564="Oklahoma",+All!A564,0))</f>
        <v>9</v>
      </c>
      <c r="B68" s="348" t="str">
        <f>IF(+All!$F564="Oklahoma",+All!B564,IF(+All!$H564="Oklahoma",+All!B564,0))</f>
        <v>Sat</v>
      </c>
      <c r="C68" s="48">
        <f>IF(+All!$F564="Oklahoma",+All!C564,IF(+All!$H564="Oklahoma",+All!C564,0))</f>
        <v>44863</v>
      </c>
      <c r="D68" s="490">
        <f>IF(+All!$F564="Oklahoma",+All!D564,IF(+All!$H564="Oklahoma",+All!D564,0))</f>
        <v>0.5</v>
      </c>
      <c r="E68" s="461" t="str">
        <f>IF(+All!$F564="Oklahoma",+All!E564,IF(+All!$H564="Oklahoma",+All!E564,0))</f>
        <v>FS1</v>
      </c>
      <c r="F68" s="51" t="str">
        <f>IF(+All!$F564="Oklahoma",+All!F564,IF(+All!$H564="Oklahoma",+All!F564,0))</f>
        <v>Oklahoma</v>
      </c>
      <c r="G68" s="52" t="str">
        <f>IF(+All!$F564="Oklahoma",+All!G564,IF(+All!$H564="Oklahoma",+All!G564,0))</f>
        <v>B12</v>
      </c>
      <c r="H68" s="63" t="str">
        <f>IF(+All!$F564="Oklahoma",+All!H564,IF(+All!$H564="Oklahoma",+All!H564,0))</f>
        <v>Iowa State</v>
      </c>
      <c r="I68" s="52" t="str">
        <f>IF(+All!$F564="Oklahoma",+All!I564,IF(+All!$H564="Oklahoma",+All!I564,0))</f>
        <v>B12</v>
      </c>
      <c r="J68" s="460" t="str">
        <f>IF(+All!$F564="Oklahoma",+All!J564,IF(+All!$H564="Oklahoma",+All!J564,0))</f>
        <v>Oklahoma</v>
      </c>
      <c r="K68" s="461" t="str">
        <f>IF(+All!$F564="Oklahoma",+All!K564,IF(+All!$H564="Oklahoma",+All!K564,0))</f>
        <v>Iowa State</v>
      </c>
      <c r="L68" s="54">
        <f>IF(+All!$F564="Oklahoma",+All!L564,IF(+All!$H564="Oklahoma",+All!L564,0))</f>
        <v>1.5</v>
      </c>
      <c r="M68" s="55">
        <f>IF(+All!$F564="Oklahoma",+All!M564,IF(+All!$H564="Oklahoma",+All!M564,0))</f>
        <v>55.5</v>
      </c>
      <c r="N68" s="460" t="str">
        <f>IF(+All!$F564="Oklahoma",+All!N564,IF(+All!$H564="Oklahoma",+All!N564,0))</f>
        <v>Oklahoma</v>
      </c>
      <c r="O68" s="462">
        <f>IF(+All!$F564="Oklahoma",+All!O564,IF(+All!$H564="Oklahoma",+All!O564,0))</f>
        <v>27</v>
      </c>
      <c r="P68" s="462" t="str">
        <f>IF(+All!$F564="Oklahoma",+All!P564,IF(+All!$H564="Oklahoma",+All!P564,0))</f>
        <v>Iowa State</v>
      </c>
      <c r="Q68" s="461">
        <f>IF(+All!$F564="Oklahoma",+All!Q564,IF(+All!$H564="Oklahoma",+All!Q564,0))</f>
        <v>13</v>
      </c>
      <c r="R68" s="460" t="str">
        <f>IF(+All!$F564="Oklahoma",+All!R564,IF(+All!$H564="Oklahoma",+All!R564,0))</f>
        <v>Oklahoma</v>
      </c>
      <c r="S68" s="462" t="str">
        <f>IF(+All!$F564="Oklahoma",+All!S564,IF(+All!$H564="Oklahoma",+All!S564,0))</f>
        <v>Iowa State</v>
      </c>
      <c r="T68" s="460" t="str">
        <f>IF(+All!$F564="Oklahoma",+All!T564,IF(+All!$H564="Oklahoma",+All!T564,0))</f>
        <v>Oklahoma</v>
      </c>
      <c r="U68" s="461" t="str">
        <f>IF(+All!$F564="Oklahoma",+All!U564,IF(+All!$H564="Oklahoma",+All!U564,0))</f>
        <v>W</v>
      </c>
    </row>
    <row r="69" spans="1:21" x14ac:dyDescent="0.8">
      <c r="A69" s="46">
        <f>IF(+All!$F623="Oklahoma",+All!A623,IF(+All!$H623="Oklahoma",+All!A623,0))</f>
        <v>10</v>
      </c>
      <c r="B69" s="348" t="str">
        <f>IF(+All!$F623="Oklahoma",+All!B623,IF(+All!$H623="Oklahoma",+All!B623,0))</f>
        <v>Sat</v>
      </c>
      <c r="C69" s="48">
        <f>IF(+All!$F623="Oklahoma",+All!C623,IF(+All!$H623="Oklahoma",+All!C623,0))</f>
        <v>44870</v>
      </c>
      <c r="D69" s="490">
        <f>IF(+All!$F623="Oklahoma",+All!D623,IF(+All!$H623="Oklahoma",+All!D623,0))</f>
        <v>0.625</v>
      </c>
      <c r="E69" s="461">
        <f>IF(+All!$F623="Oklahoma",+All!E623,IF(+All!$H623="Oklahoma",+All!E623,0))</f>
        <v>0</v>
      </c>
      <c r="F69" s="51" t="str">
        <f>IF(+All!$F623="Oklahoma",+All!F623,IF(+All!$H623="Oklahoma",+All!F623,0))</f>
        <v>Baylor</v>
      </c>
      <c r="G69" s="52" t="str">
        <f>IF(+All!$F623="Oklahoma",+All!G623,IF(+All!$H623="Oklahoma",+All!G623,0))</f>
        <v>B12</v>
      </c>
      <c r="H69" s="63" t="str">
        <f>IF(+All!$F623="Oklahoma",+All!H623,IF(+All!$H623="Oklahoma",+All!H623,0))</f>
        <v>Oklahoma</v>
      </c>
      <c r="I69" s="52" t="str">
        <f>IF(+All!$F623="Oklahoma",+All!I623,IF(+All!$H623="Oklahoma",+All!I623,0))</f>
        <v>B12</v>
      </c>
      <c r="J69" s="460" t="str">
        <f>IF(+All!$F623="Oklahoma",+All!J623,IF(+All!$H623="Oklahoma",+All!J623,0))</f>
        <v>Oklahoma</v>
      </c>
      <c r="K69" s="461" t="str">
        <f>IF(+All!$F623="Oklahoma",+All!K623,IF(+All!$H623="Oklahoma",+All!K623,0))</f>
        <v>Baylor</v>
      </c>
      <c r="L69" s="54">
        <f>IF(+All!$F623="Oklahoma",+All!L623,IF(+All!$H623="Oklahoma",+All!L623,0))</f>
        <v>3.5</v>
      </c>
      <c r="M69" s="55">
        <f>IF(+All!$F623="Oklahoma",+All!M623,IF(+All!$H623="Oklahoma",+All!M623,0))</f>
        <v>57.5</v>
      </c>
      <c r="N69" s="460" t="str">
        <f>IF(+All!$F623="Oklahoma",+All!N623,IF(+All!$H623="Oklahoma",+All!N623,0))</f>
        <v>Baylor</v>
      </c>
      <c r="O69" s="462">
        <f>IF(+All!$F623="Oklahoma",+All!O623,IF(+All!$H623="Oklahoma",+All!O623,0))</f>
        <v>38</v>
      </c>
      <c r="P69" s="462" t="str">
        <f>IF(+All!$F623="Oklahoma",+All!P623,IF(+All!$H623="Oklahoma",+All!P623,0))</f>
        <v>Oklahoma</v>
      </c>
      <c r="Q69" s="461">
        <f>IF(+All!$F623="Oklahoma",+All!Q623,IF(+All!$H623="Oklahoma",+All!Q623,0))</f>
        <v>35</v>
      </c>
      <c r="R69" s="460" t="str">
        <f>IF(+All!$F623="Oklahoma",+All!R623,IF(+All!$H623="Oklahoma",+All!R623,0))</f>
        <v>Baylor</v>
      </c>
      <c r="S69" s="462" t="str">
        <f>IF(+All!$F623="Oklahoma",+All!S623,IF(+All!$H623="Oklahoma",+All!S623,0))</f>
        <v>Oklahoma</v>
      </c>
      <c r="T69" s="460" t="str">
        <f>IF(+All!$F623="Oklahoma",+All!T623,IF(+All!$H623="Oklahoma",+All!T623,0))</f>
        <v>Oklahoma</v>
      </c>
      <c r="U69" s="461" t="str">
        <f>IF(+All!$F623="Oklahoma",+All!U623,IF(+All!$H623="Oklahoma",+All!U623,0))</f>
        <v>L</v>
      </c>
    </row>
    <row r="70" spans="1:21" x14ac:dyDescent="0.8">
      <c r="A70" s="46">
        <f>IF(+All!$F686="Oklahoma",+All!A686,IF(+All!$H686="Oklahoma",+All!A686,0))</f>
        <v>11</v>
      </c>
      <c r="B70" s="348" t="str">
        <f>IF(+All!$F686="Oklahoma",+All!B686,IF(+All!$H686="Oklahoma",+All!B686,0))</f>
        <v>Sat</v>
      </c>
      <c r="C70" s="48">
        <f>IF(+All!$F686="Oklahoma",+All!C686,IF(+All!$H686="Oklahoma",+All!C686,0))</f>
        <v>44877</v>
      </c>
      <c r="D70" s="490">
        <f>IF(+All!$F686="Oklahoma",+All!D686,IF(+All!$H686="Oklahoma",+All!D686,0))</f>
        <v>0.5</v>
      </c>
      <c r="E70" s="461" t="str">
        <f>IF(+All!$F686="Oklahoma",+All!E686,IF(+All!$H686="Oklahoma",+All!E686,0))</f>
        <v>FS1</v>
      </c>
      <c r="F70" s="51" t="str">
        <f>IF(+All!$F686="Oklahoma",+All!F686,IF(+All!$H686="Oklahoma",+All!F686,0))</f>
        <v>Oklahoma</v>
      </c>
      <c r="G70" s="52" t="str">
        <f>IF(+All!$F686="Oklahoma",+All!G686,IF(+All!$H686="Oklahoma",+All!G686,0))</f>
        <v>B12</v>
      </c>
      <c r="H70" s="63" t="str">
        <f>IF(+All!$F686="Oklahoma",+All!H686,IF(+All!$H686="Oklahoma",+All!H686,0))</f>
        <v>West Virginia</v>
      </c>
      <c r="I70" s="52" t="str">
        <f>IF(+All!$F686="Oklahoma",+All!I686,IF(+All!$H686="Oklahoma",+All!I686,0))</f>
        <v>B12</v>
      </c>
      <c r="J70" s="460" t="str">
        <f>IF(+All!$F686="Oklahoma",+All!J686,IF(+All!$H686="Oklahoma",+All!J686,0))</f>
        <v>Oklahoma</v>
      </c>
      <c r="K70" s="461" t="str">
        <f>IF(+All!$F686="Oklahoma",+All!K686,IF(+All!$H686="Oklahoma",+All!K686,0))</f>
        <v>West Virginia</v>
      </c>
      <c r="L70" s="54">
        <f>IF(+All!$F686="Oklahoma",+All!L686,IF(+All!$H686="Oklahoma",+All!L686,0))</f>
        <v>7.5</v>
      </c>
      <c r="M70" s="55">
        <f>IF(+All!$F686="Oklahoma",+All!M686,IF(+All!$H686="Oklahoma",+All!M686,0))</f>
        <v>66.5</v>
      </c>
      <c r="N70" s="460" t="str">
        <f>IF(+All!$F686="Oklahoma",+All!N686,IF(+All!$H686="Oklahoma",+All!N686,0))</f>
        <v>West Virginia</v>
      </c>
      <c r="O70" s="462">
        <f>IF(+All!$F686="Oklahoma",+All!O686,IF(+All!$H686="Oklahoma",+All!O686,0))</f>
        <v>23</v>
      </c>
      <c r="P70" s="462" t="str">
        <f>IF(+All!$F686="Oklahoma",+All!P686,IF(+All!$H686="Oklahoma",+All!P686,0))</f>
        <v>Oklahoma</v>
      </c>
      <c r="Q70" s="461">
        <f>IF(+All!$F686="Oklahoma",+All!Q686,IF(+All!$H686="Oklahoma",+All!Q686,0))</f>
        <v>20</v>
      </c>
      <c r="R70" s="460" t="str">
        <f>IF(+All!$F686="Oklahoma",+All!R686,IF(+All!$H686="Oklahoma",+All!R686,0))</f>
        <v>West Virginia</v>
      </c>
      <c r="S70" s="462" t="str">
        <f>IF(+All!$F686="Oklahoma",+All!S686,IF(+All!$H686="Oklahoma",+All!S686,0))</f>
        <v>Oklahoma</v>
      </c>
      <c r="T70" s="460" t="str">
        <f>IF(+All!$F686="Oklahoma",+All!T686,IF(+All!$H686="Oklahoma",+All!T686,0))</f>
        <v>West Virginia</v>
      </c>
      <c r="U70" s="461" t="str">
        <f>IF(+All!$F686="Oklahoma",+All!U686,IF(+All!$H686="Oklahoma",+All!U686,0))</f>
        <v>W</v>
      </c>
    </row>
    <row r="71" spans="1:21" x14ac:dyDescent="0.8">
      <c r="A71" s="46">
        <f>IF(+All!$F747="Oklahoma",+All!A747,IF(+All!$H747="Oklahoma",+All!A747,0))</f>
        <v>12</v>
      </c>
      <c r="B71" s="348" t="str">
        <f>IF(+All!$F747="Oklahoma",+All!B747,IF(+All!$H747="Oklahoma",+All!B747,0))</f>
        <v>Sat</v>
      </c>
      <c r="C71" s="48">
        <f>IF(+All!$F747="Oklahoma",+All!C747,IF(+All!$H747="Oklahoma",+All!C747,0))</f>
        <v>44884</v>
      </c>
      <c r="D71" s="490">
        <f>IF(+All!$F747="Oklahoma",+All!D748,IF(+All!$H747="Oklahoma",+All!D748,0))</f>
        <v>0.58333333333333337</v>
      </c>
      <c r="E71" s="461" t="str">
        <f>IF(+All!$F747="Oklahoma",+All!E747,IF(+All!$H747="Oklahoma",+All!E747,0))</f>
        <v>ABC</v>
      </c>
      <c r="F71" s="51" t="str">
        <f>IF(+All!$F747="Oklahoma",+All!F747,IF(+All!$H747="Oklahoma",+All!F747,0))</f>
        <v>Oklahoma State</v>
      </c>
      <c r="G71" s="52" t="str">
        <f>IF(+All!$F747="Oklahoma",+All!G747,IF(+All!$H747="Oklahoma",+All!G747,0))</f>
        <v>B12</v>
      </c>
      <c r="H71" s="63" t="str">
        <f>IF(+All!$F747="Oklahoma",+All!H747,IF(+All!$H747="Oklahoma",+All!H747,0))</f>
        <v>Oklahoma</v>
      </c>
      <c r="I71" s="52" t="str">
        <f>IF(+All!$F747="Oklahoma",+All!I747,IF(+All!$H747="Oklahoma",+All!I747,0))</f>
        <v>B12</v>
      </c>
      <c r="J71" s="460" t="str">
        <f>IF(+All!$F747="Oklahoma",+All!J747,IF(+All!$H747="Oklahoma",+All!J747,0))</f>
        <v>Oklahoma</v>
      </c>
      <c r="K71" s="461" t="str">
        <f>IF(+All!$F747="Oklahoma",+All!K747,IF(+All!$H747="Oklahoma",+All!K747,0))</f>
        <v>Oklahoma State</v>
      </c>
      <c r="L71" s="54">
        <f>IF(+All!$F747="Oklahoma",+All!L747,IF(+All!$H747="Oklahoma",+All!L747,0))</f>
        <v>7</v>
      </c>
      <c r="M71" s="55">
        <f>IF(+All!$F747="Oklahoma",+All!M747,IF(+All!$H747="Oklahoma",+All!M747,0))</f>
        <v>66</v>
      </c>
      <c r="N71" s="460" t="str">
        <f>IF(+All!$F747="Oklahoma",+All!N747,IF(+All!$H747="Oklahoma",+All!N747,0))</f>
        <v>Oklahoma</v>
      </c>
      <c r="O71" s="462">
        <f>IF(+All!$F747="Oklahoma",+All!O747,IF(+All!$H747="Oklahoma",+All!O747,0))</f>
        <v>28</v>
      </c>
      <c r="P71" s="462" t="str">
        <f>IF(+All!$F747="Oklahoma",+All!P747,IF(+All!$H747="Oklahoma",+All!P747,0))</f>
        <v>Oklahoma State</v>
      </c>
      <c r="Q71" s="461">
        <f>IF(+All!$F747="Oklahoma",+All!Q747,IF(+All!$H747="Oklahoma",+All!Q747,0))</f>
        <v>13</v>
      </c>
      <c r="R71" s="460" t="str">
        <f>IF(+All!$F747="Oklahoma",+All!R747,IF(+All!$H747="Oklahoma",+All!R747,0))</f>
        <v>Oklahoma</v>
      </c>
      <c r="S71" s="462" t="str">
        <f>IF(+All!$F747="Oklahoma",+All!S747,IF(+All!$H747="Oklahoma",+All!S747,0))</f>
        <v>Oklahoma State</v>
      </c>
      <c r="T71" s="460" t="str">
        <f>IF(+All!$F747="Oklahoma",+All!T747,IF(+All!$H747="Oklahoma",+All!T747,0))</f>
        <v>Oklahoma State</v>
      </c>
      <c r="U71" s="461" t="str">
        <f>IF(+All!$F747="Oklahoma",+All!U747,IF(+All!$H747="Oklahoma",+All!U747,0))</f>
        <v>L</v>
      </c>
    </row>
    <row r="72" spans="1:21" x14ac:dyDescent="0.8">
      <c r="A72" s="46">
        <f>IF(+All!$F817="Oklahoma",+All!A817,IF(+All!$H817="Oklahoma",+All!A817,0))</f>
        <v>13</v>
      </c>
      <c r="B72" s="348" t="str">
        <f>IF(+All!$F817="Oklahoma",+All!B817,IF(+All!$H817="Oklahoma",+All!B817,0))</f>
        <v>Sat</v>
      </c>
      <c r="C72" s="48">
        <f>IF(+All!$F817="Oklahoma",+All!C817,IF(+All!$H817="Oklahoma",+All!C817,0))</f>
        <v>44891</v>
      </c>
      <c r="D72" s="490">
        <f>IF(+All!$F817="Oklahoma",+All!D817,IF(+All!$H817="Oklahoma",+All!D817,0))</f>
        <v>0.8125</v>
      </c>
      <c r="E72" s="461" t="str">
        <f>IF(+All!$F817="Oklahoma",+All!E817,IF(+All!$H817="Oklahoma",+All!E817,0))</f>
        <v>FS1</v>
      </c>
      <c r="F72" s="51" t="str">
        <f>IF(+All!$F817="Oklahoma",+All!F817,IF(+All!$H817="Oklahoma",+All!F817,0))</f>
        <v>Oklahoma</v>
      </c>
      <c r="G72" s="52" t="str">
        <f>IF(+All!$F817="Oklahoma",+All!G817,IF(+All!$H817="Oklahoma",+All!G817,0))</f>
        <v>B12</v>
      </c>
      <c r="H72" s="63" t="str">
        <f>IF(+All!$F817="Oklahoma",+All!H817,IF(+All!$H817="Oklahoma",+All!H817,0))</f>
        <v>Texas Tech</v>
      </c>
      <c r="I72" s="52" t="str">
        <f>IF(+All!$F817="Oklahoma",+All!I817,IF(+All!$H817="Oklahoma",+All!I817,0))</f>
        <v>B12</v>
      </c>
      <c r="J72" s="460" t="str">
        <f>IF(+All!$F817="Oklahoma",+All!J817,IF(+All!$H817="Oklahoma",+All!J817,0))</f>
        <v>Oklahoma</v>
      </c>
      <c r="K72" s="461" t="str">
        <f>IF(+All!$F817="Oklahoma",+All!K817,IF(+All!$H817="Oklahoma",+All!K817,0))</f>
        <v>Texas Tech</v>
      </c>
      <c r="L72" s="54">
        <f>IF(+All!$F817="Oklahoma",+All!L817,IF(+All!$H817="Oklahoma",+All!L817,0))</f>
        <v>2</v>
      </c>
      <c r="M72" s="55">
        <f>IF(+All!$F817="Oklahoma",+All!M817,IF(+All!$H817="Oklahoma",+All!M817,0))</f>
        <v>63.5</v>
      </c>
      <c r="N72" s="460" t="str">
        <f>IF(+All!$F817="Oklahoma",+All!N817,IF(+All!$H817="Oklahoma",+All!N817,0))</f>
        <v>Texas Tech</v>
      </c>
      <c r="O72" s="462">
        <f>IF(+All!$F817="Oklahoma",+All!O817,IF(+All!$H817="Oklahoma",+All!O817,0))</f>
        <v>51</v>
      </c>
      <c r="P72" s="462" t="str">
        <f>IF(+All!$F817="Oklahoma",+All!P817,IF(+All!$H817="Oklahoma",+All!P817,0))</f>
        <v>Oklahoma</v>
      </c>
      <c r="Q72" s="461">
        <f>IF(+All!$F817="Oklahoma",+All!Q817,IF(+All!$H817="Oklahoma",+All!Q817,0))</f>
        <v>48</v>
      </c>
      <c r="R72" s="460" t="str">
        <f>IF(+All!$F817="Oklahoma",+All!R817,IF(+All!$H817="Oklahoma",+All!R817,0))</f>
        <v>Texas Tech</v>
      </c>
      <c r="S72" s="462" t="str">
        <f>IF(+All!$F817="Oklahoma",+All!S817,IF(+All!$H817="Oklahoma",+All!S817,0))</f>
        <v>Oklahoma</v>
      </c>
      <c r="T72" s="460" t="str">
        <f>IF(+All!$F817="Oklahoma",+All!T817,IF(+All!$H817="Oklahoma",+All!T817,0))</f>
        <v>Oklahoma</v>
      </c>
      <c r="U72" s="461" t="str">
        <f>IF(+All!$F817="Oklahoma",+All!U817,IF(+All!$H817="Oklahoma",+All!U817,0))</f>
        <v>L</v>
      </c>
    </row>
    <row r="73" spans="1:21" s="21" customFormat="1" ht="15.75" customHeight="1" x14ac:dyDescent="0.8">
      <c r="A73" s="38"/>
      <c r="B73" s="39"/>
      <c r="C73" s="40"/>
      <c r="D73" s="41"/>
      <c r="E73" s="463"/>
      <c r="F73" s="897" t="str">
        <f>H75</f>
        <v>Oklahoma State</v>
      </c>
      <c r="G73" s="901"/>
      <c r="H73" s="901"/>
      <c r="I73" s="902"/>
      <c r="J73" s="459"/>
      <c r="K73" s="463"/>
      <c r="L73" s="44"/>
      <c r="M73" s="45"/>
      <c r="N73" s="459"/>
      <c r="O73" s="5"/>
      <c r="P73" s="5"/>
      <c r="Q73" s="463"/>
      <c r="R73" s="459"/>
      <c r="S73" s="5"/>
      <c r="T73" s="459"/>
      <c r="U73" s="463"/>
    </row>
    <row r="74" spans="1:21" s="21" customFormat="1" ht="15.75" customHeight="1" x14ac:dyDescent="0.8">
      <c r="A74" s="46">
        <f>IF(+All!$F18="Oklahoma State",+All!A18,IF(+All!$H18="Oklahoma State",+All!A18,0))</f>
        <v>1</v>
      </c>
      <c r="B74" s="348" t="str">
        <f>IF(+All!$F18="Oklahoma State",+All!B18,IF(+All!$H18="Oklahoma State",+All!B18,0))</f>
        <v>Thurs</v>
      </c>
      <c r="C74" s="72">
        <f>IF(+All!$F18="Oklahoma State",+All!C18,IF(+All!$H18="Oklahoma State",+All!C18,0))</f>
        <v>44805</v>
      </c>
      <c r="D74" s="73">
        <f>IF(+All!$F18="Oklahoma State",+All!D18,IF(+All!$H18="Oklahoma State",+All!D18,0))</f>
        <v>0.79166666666666663</v>
      </c>
      <c r="E74" s="461" t="str">
        <f>IF(+All!$F18="Oklahoma State",+All!E18,IF(+All!$H18="Oklahoma State",+All!E18,0))</f>
        <v>FS1</v>
      </c>
      <c r="F74" s="460" t="str">
        <f>IF(+All!$F18="Oklahoma State",+All!F18,IF(+All!$H18="Oklahoma State",+All!F18,0))</f>
        <v>Central Michigan</v>
      </c>
      <c r="G74" s="461" t="str">
        <f>IF(+All!$F18="Oklahoma State",+All!G18,IF(+All!$H18="Oklahoma State",+All!G18,0))</f>
        <v>MAC</v>
      </c>
      <c r="H74" s="462" t="str">
        <f>IF(+All!$F18="Oklahoma State",+All!H18,IF(+All!$H18="Oklahoma State",+All!H18,0))</f>
        <v>Oklahoma State</v>
      </c>
      <c r="I74" s="461" t="str">
        <f>IF(+All!$F18="Oklahoma State",+All!I18,IF(+All!$H18="Oklahoma State",+All!I18,0))</f>
        <v>B12</v>
      </c>
      <c r="J74" s="460" t="str">
        <f>IF(+All!$F18="Oklahoma State",+All!J18,IF(+All!$H18="Oklahoma State",+All!J18,0))</f>
        <v>Oklahoma State</v>
      </c>
      <c r="K74" s="461" t="str">
        <f>IF(+All!$F18="Oklahoma State",+All!K18,IF(+All!$H18="Oklahoma State",+All!K18,0))</f>
        <v>Central Michigan</v>
      </c>
      <c r="L74" s="60">
        <f>IF(+All!$F18="Oklahoma State",+All!L18,IF(+All!$H18="Oklahoma State",+All!L18,0))</f>
        <v>21</v>
      </c>
      <c r="M74" s="61">
        <f>IF(+All!$F18="Oklahoma State",+All!M18,IF(+All!$H18="Oklahoma State",+All!M18,0))</f>
        <v>59.5</v>
      </c>
      <c r="N74" s="460" t="str">
        <f>IF(+All!$F18="Oklahoma State",+All!N18,IF(+All!$H18="Oklahoma State",+All!N18,0))</f>
        <v>Oklahoma State</v>
      </c>
      <c r="O74" s="462">
        <f>IF(+All!$F18="Oklahoma State",+All!O18,IF(+All!$H18="Oklahoma State",+All!O18,0))</f>
        <v>58</v>
      </c>
      <c r="P74" s="462" t="str">
        <f>IF(+All!$F18="Oklahoma State",+All!P18,IF(+All!$H18="Oklahoma State",+All!P18,0))</f>
        <v>Central Michigan</v>
      </c>
      <c r="Q74" s="461">
        <f>IF(+All!$F18="Oklahoma State",+All!Q18,IF(+All!$H18="Oklahoma State",+All!Q18,0))</f>
        <v>44</v>
      </c>
      <c r="R74" s="460" t="str">
        <f>IF(+All!$F18="Oklahoma State",+All!R18,IF(+All!$H18="Oklahoma State",+All!R18,0))</f>
        <v>Central Michigan</v>
      </c>
      <c r="S74" s="462" t="str">
        <f>IF(+All!$F18="Oklahoma State",+All!S18,IF(+All!$H18="Oklahoma State",+All!S18,0))</f>
        <v>Oklahoma State</v>
      </c>
      <c r="T74" s="460" t="str">
        <f>IF(+All!$F18="Oklahoma State",+All!T18,IF(+All!$H18="Oklahoma State",+All!T18,0))</f>
        <v>Central Michigan</v>
      </c>
      <c r="U74" s="461" t="str">
        <f>IF(+All!$F18="Oklahoma State",+All!U18,IF(+All!$H18="Oklahoma State",+All!U18,0))</f>
        <v>W</v>
      </c>
    </row>
    <row r="75" spans="1:21" s="21" customFormat="1" ht="15.75" customHeight="1" x14ac:dyDescent="0.8">
      <c r="A75" s="46">
        <f>IF(+All!$F129="Oklahoma State",+All!A129,IF(+All!$H129="Oklahoma State",+All!A129,0))</f>
        <v>2</v>
      </c>
      <c r="B75" s="348" t="str">
        <f>IF(+All!$F129="Oklahoma State",+All!B129,IF(+All!$H129="Oklahoma State",+All!B129,0))</f>
        <v>Sat</v>
      </c>
      <c r="C75" s="72">
        <f>IF(+All!$F129="Oklahoma State",+All!C129,IF(+All!$H129="Oklahoma State",+All!C129,0))</f>
        <v>44814</v>
      </c>
      <c r="D75" s="73">
        <f>IF(+All!$F129="Oklahoma State",+All!D129,IF(+All!$H129="Oklahoma State",+All!D129,0))</f>
        <v>0.8125</v>
      </c>
      <c r="E75" s="461" t="str">
        <f>IF(+All!$F129="Oklahoma State",+All!E129,IF(+All!$H129="Oklahoma State",+All!E129,0))</f>
        <v>ESPN2</v>
      </c>
      <c r="F75" s="460" t="str">
        <f>IF(+All!$F129="Oklahoma State",+All!F129,IF(+All!$H129="Oklahoma State",+All!F129,0))</f>
        <v>Arizona State</v>
      </c>
      <c r="G75" s="461" t="str">
        <f>IF(+All!$F129="Oklahoma State",+All!G129,IF(+All!$H129="Oklahoma State",+All!G129,0))</f>
        <v>P12</v>
      </c>
      <c r="H75" s="462" t="str">
        <f>IF(+All!$F129="Oklahoma State",+All!H129,IF(+All!$H129="Oklahoma State",+All!H129,0))</f>
        <v>Oklahoma State</v>
      </c>
      <c r="I75" s="461" t="str">
        <f>IF(+All!$F129="Oklahoma State",+All!I129,IF(+All!$H129="Oklahoma State",+All!I129,0))</f>
        <v>B12</v>
      </c>
      <c r="J75" s="460" t="str">
        <f>IF(+All!$F129="Oklahoma State",+All!J129,IF(+All!$H129="Oklahoma State",+All!J129,0))</f>
        <v>Oklahoma State</v>
      </c>
      <c r="K75" s="461" t="str">
        <f>IF(+All!$F129="Oklahoma State",+All!K129,IF(+All!$H129="Oklahoma State",+All!K129,0))</f>
        <v>Arizona State</v>
      </c>
      <c r="L75" s="60">
        <f>IF(+All!$F129="Oklahoma State",+All!L129,IF(+All!$H129="Oklahoma State",+All!L129,0))</f>
        <v>11</v>
      </c>
      <c r="M75" s="61">
        <f>IF(+All!$F129="Oklahoma State",+All!M129,IF(+All!$H129="Oklahoma State",+All!M129,0))</f>
        <v>57.5</v>
      </c>
      <c r="N75" s="460" t="str">
        <f>IF(+All!$F129="Oklahoma State",+All!N129,IF(+All!$H129="Oklahoma State",+All!N129,0))</f>
        <v>Oklahoma State</v>
      </c>
      <c r="O75" s="462">
        <f>IF(+All!$F129="Oklahoma State",+All!O129,IF(+All!$H129="Oklahoma State",+All!O129,0))</f>
        <v>34</v>
      </c>
      <c r="P75" s="462" t="str">
        <f>IF(+All!$F129="Oklahoma State",+All!P129,IF(+All!$H129="Oklahoma State",+All!P129,0))</f>
        <v>Arizona State</v>
      </c>
      <c r="Q75" s="461">
        <f>IF(+All!$F129="Oklahoma State",+All!Q129,IF(+All!$H129="Oklahoma State",+All!Q129,0))</f>
        <v>17</v>
      </c>
      <c r="R75" s="460" t="str">
        <f>IF(+All!$F129="Oklahoma State",+All!R129,IF(+All!$H129="Oklahoma State",+All!R129,0))</f>
        <v>Oklahoma State</v>
      </c>
      <c r="S75" s="462" t="str">
        <f>IF(+All!$F129="Oklahoma State",+All!S129,IF(+All!$H129="Oklahoma State",+All!S129,0))</f>
        <v>Arizona State</v>
      </c>
      <c r="T75" s="460" t="str">
        <f>IF(+All!$F129="Oklahoma State",+All!T129,IF(+All!$H129="Oklahoma State",+All!T129,0))</f>
        <v>Arizona State</v>
      </c>
      <c r="U75" s="461" t="str">
        <f>IF(+All!$F129="Oklahoma State",+All!U129,IF(+All!$H129="Oklahoma State",+All!U129,0))</f>
        <v>L</v>
      </c>
    </row>
    <row r="76" spans="1:21" s="21" customFormat="1" ht="15.75" customHeight="1" x14ac:dyDescent="0.8">
      <c r="A76" s="46">
        <f>IF(+All!$F209="Oklahoma State",+All!A209,IF(+All!$H209="Oklahoma State",+All!A209,0))</f>
        <v>3</v>
      </c>
      <c r="B76" s="348" t="str">
        <f>IF(+All!$F209="Oklahoma State",+All!B209,IF(+All!$H209="Oklahoma State",+All!B209,0))</f>
        <v>Sat</v>
      </c>
      <c r="C76" s="72">
        <f>IF(+All!$F209="Oklahoma State",+All!C209,IF(+All!$H209="Oklahoma State",+All!C209,0))</f>
        <v>44821</v>
      </c>
      <c r="D76" s="73">
        <f>IF(+All!$F209="Oklahoma State",+All!D209,IF(+All!$H209="Oklahoma State",+All!D209,0))</f>
        <v>0.79166666666666663</v>
      </c>
      <c r="E76" s="461">
        <f>IF(+All!$F209="Oklahoma State",+All!E209,IF(+All!$H209="Oklahoma State",+All!E209,0))</f>
        <v>0</v>
      </c>
      <c r="F76" s="460" t="str">
        <f>IF(+All!$F209="Oklahoma State",+All!F209,IF(+All!$H209="Oklahoma State",+All!F209,0))</f>
        <v>1AA Arkansas Pine Bluff</v>
      </c>
      <c r="G76" s="461" t="str">
        <f>IF(+All!$F209="Oklahoma State",+All!G209,IF(+All!$H209="Oklahoma State",+All!G209,0))</f>
        <v>1AA</v>
      </c>
      <c r="H76" s="462" t="str">
        <f>IF(+All!$F209="Oklahoma State",+All!H209,IF(+All!$H209="Oklahoma State",+All!H209,0))</f>
        <v>Oklahoma State</v>
      </c>
      <c r="I76" s="461" t="str">
        <f>IF(+All!$F209="Oklahoma State",+All!I209,IF(+All!$H209="Oklahoma State",+All!I209,0))</f>
        <v>B12</v>
      </c>
      <c r="J76" s="460">
        <f>IF(+All!$F209="Oklahoma State",+All!J209,IF(+All!$H209="Oklahoma State",+All!J209,0))</f>
        <v>0</v>
      </c>
      <c r="K76" s="461">
        <f>IF(+All!$F209="Oklahoma State",+All!K209,IF(+All!$H209="Oklahoma State",+All!K209,0))</f>
        <v>0</v>
      </c>
      <c r="L76" s="60">
        <f>IF(+All!$F209="Oklahoma State",+All!L209,IF(+All!$H209="Oklahoma State",+All!L209,0))</f>
        <v>0</v>
      </c>
      <c r="M76" s="61">
        <f>IF(+All!$F209="Oklahoma State",+All!M209,IF(+All!$H209="Oklahoma State",+All!M209,0))</f>
        <v>0</v>
      </c>
      <c r="N76" s="460" t="str">
        <f>IF(+All!$F209="Oklahoma State",+All!N209,IF(+All!$H209="Oklahoma State",+All!N209,0))</f>
        <v>Oklahoma State</v>
      </c>
      <c r="O76" s="462">
        <f>IF(+All!$F209="Oklahoma State",+All!O209,IF(+All!$H209="Oklahoma State",+All!O209,0))</f>
        <v>63</v>
      </c>
      <c r="P76" s="462" t="str">
        <f>IF(+All!$F209="Oklahoma State",+All!P209,IF(+All!$H209="Oklahoma State",+All!P209,0))</f>
        <v>1AA Arkansas Pine Bluff</v>
      </c>
      <c r="Q76" s="461">
        <f>IF(+All!$F209="Oklahoma State",+All!Q209,IF(+All!$H209="Oklahoma State",+All!Q209,0))</f>
        <v>7</v>
      </c>
      <c r="R76" s="460">
        <f>IF(+All!$F209="Oklahoma State",+All!R209,IF(+All!$H209="Oklahoma State",+All!R209,0))</f>
        <v>0</v>
      </c>
      <c r="S76" s="462">
        <f>IF(+All!$F209="Oklahoma State",+All!S209,IF(+All!$H209="Oklahoma State",+All!S209,0))</f>
        <v>0</v>
      </c>
      <c r="T76" s="460">
        <f>IF(+All!$F209="Oklahoma State",+All!T209,IF(+All!$H209="Oklahoma State",+All!T209,0))</f>
        <v>0</v>
      </c>
      <c r="U76" s="461">
        <f>IF(+All!$F209="Oklahoma State",+All!U209,IF(+All!$H209="Oklahoma State",+All!U209,0))</f>
        <v>0</v>
      </c>
    </row>
    <row r="77" spans="1:21" s="21" customFormat="1" ht="15.75" customHeight="1" x14ac:dyDescent="0.8">
      <c r="A77" s="46" t="e">
        <f>IF(+All!#REF!="Oklahoma State",+All!#REF!,IF(+All!#REF!="Oklahoma State",+All!#REF!,0))</f>
        <v>#REF!</v>
      </c>
      <c r="B77" s="348" t="e">
        <f>IF(+All!#REF!="Oklahoma State",+All!#REF!,IF(+All!#REF!="Oklahoma State",+All!#REF!,0))</f>
        <v>#REF!</v>
      </c>
      <c r="C77" s="72" t="e">
        <f>IF(+All!#REF!="Oklahoma State",+All!#REF!,IF(+All!#REF!="Oklahoma State",+All!#REF!,0))</f>
        <v>#REF!</v>
      </c>
      <c r="D77" s="73" t="e">
        <f>IF(+All!#REF!="Oklahoma State",+All!#REF!,IF(+All!#REF!="Oklahoma State",+All!#REF!,0))</f>
        <v>#REF!</v>
      </c>
      <c r="E77" s="461" t="e">
        <f>IF(+All!#REF!="Oklahoma State",+All!#REF!,IF(+All!#REF!="Oklahoma State",+All!#REF!,0))</f>
        <v>#REF!</v>
      </c>
      <c r="F77" s="460" t="e">
        <f>IF(+All!#REF!="Oklahoma State",+All!#REF!,IF(+All!#REF!="Oklahoma State",+All!#REF!,0))</f>
        <v>#REF!</v>
      </c>
      <c r="G77" s="461" t="e">
        <f>IF(+All!#REF!="Oklahoma State",+All!#REF!,IF(+All!#REF!="Oklahoma State",+All!#REF!,0))</f>
        <v>#REF!</v>
      </c>
      <c r="H77" s="462" t="e">
        <f>IF(+All!#REF!="Oklahoma State",+All!#REF!,IF(+All!#REF!="Oklahoma State",+All!#REF!,0))</f>
        <v>#REF!</v>
      </c>
      <c r="I77" s="461" t="e">
        <f>IF(+All!#REF!="Oklahoma State",+All!#REF!,IF(+All!#REF!="Oklahoma State",+All!#REF!,0))</f>
        <v>#REF!</v>
      </c>
      <c r="J77" s="460" t="e">
        <f>IF(+All!#REF!="Oklahoma State",+All!#REF!,IF(+All!#REF!="Oklahoma State",+All!#REF!,0))</f>
        <v>#REF!</v>
      </c>
      <c r="K77" s="461" t="e">
        <f>IF(+All!#REF!="Oklahoma State",+All!#REF!,IF(+All!#REF!="Oklahoma State",+All!#REF!,0))</f>
        <v>#REF!</v>
      </c>
      <c r="L77" s="60" t="e">
        <f>IF(+All!#REF!="Oklahoma State",+All!#REF!,IF(+All!#REF!="Oklahoma State",+All!#REF!,0))</f>
        <v>#REF!</v>
      </c>
      <c r="M77" s="61" t="e">
        <f>IF(+All!#REF!="Oklahoma State",+All!#REF!,IF(+All!#REF!="Oklahoma State",+All!#REF!,0))</f>
        <v>#REF!</v>
      </c>
      <c r="N77" s="460" t="e">
        <f>IF(+All!#REF!="Oklahoma State",+All!#REF!,IF(+All!#REF!="Oklahoma State",+All!#REF!,0))</f>
        <v>#REF!</v>
      </c>
      <c r="O77" s="462" t="e">
        <f>IF(+All!#REF!="Oklahoma State",+All!#REF!,IF(+All!#REF!="Oklahoma State",+All!#REF!,0))</f>
        <v>#REF!</v>
      </c>
      <c r="P77" s="462" t="e">
        <f>IF(+All!#REF!="Oklahoma State",+All!#REF!,IF(+All!#REF!="Oklahoma State",+All!#REF!,0))</f>
        <v>#REF!</v>
      </c>
      <c r="Q77" s="461" t="e">
        <f>IF(+All!#REF!="Oklahoma State",+All!#REF!,IF(+All!#REF!="Oklahoma State",+All!#REF!,0))</f>
        <v>#REF!</v>
      </c>
      <c r="R77" s="460" t="e">
        <f>IF(+All!#REF!="Oklahoma State",+All!#REF!,IF(+All!#REF!="Oklahoma State",+All!#REF!,0))</f>
        <v>#REF!</v>
      </c>
      <c r="S77" s="462" t="e">
        <f>IF(+All!#REF!="Oklahoma State",+All!#REF!,IF(+All!#REF!="Oklahoma State",+All!#REF!,0))</f>
        <v>#REF!</v>
      </c>
      <c r="T77" s="460" t="e">
        <f>IF(+All!#REF!="Oklahoma State",+All!#REF!,IF(+All!#REF!="Oklahoma State",+All!#REF!,0))</f>
        <v>#REF!</v>
      </c>
      <c r="U77" s="461" t="e">
        <f>IF(+All!#REF!="Oklahoma State",+All!#REF!,IF(+All!#REF!="Oklahoma State",+All!#REF!,0))</f>
        <v>#REF!</v>
      </c>
    </row>
    <row r="78" spans="1:21" s="21" customFormat="1" ht="15.75" customHeight="1" x14ac:dyDescent="0.8">
      <c r="A78" s="46">
        <f>IF(+All!$F342="Oklahoma State",+All!A342,IF(+All!$H342="Oklahoma State",+All!A342,0))</f>
        <v>5</v>
      </c>
      <c r="B78" s="348" t="str">
        <f>IF(+All!$F342="Oklahoma State",+All!B342,IF(+All!$H342="Oklahoma State",+All!B342,0))</f>
        <v>Sat</v>
      </c>
      <c r="C78" s="72">
        <f>IF(+All!$F342="Oklahoma State",+All!C342,IF(+All!$H342="Oklahoma State",+All!C342,0))</f>
        <v>44835</v>
      </c>
      <c r="D78" s="73">
        <f>IF(+All!$F342="Oklahoma State",+All!D342,IF(+All!$H342="Oklahoma State",+All!D342,0))</f>
        <v>0.64583333333333337</v>
      </c>
      <c r="E78" s="461" t="str">
        <f>IF(+All!$F342="Oklahoma State",+All!E342,IF(+All!$H342="Oklahoma State",+All!E342,0))</f>
        <v>Fox</v>
      </c>
      <c r="F78" s="460" t="str">
        <f>IF(+All!$F342="Oklahoma State",+All!F342,IF(+All!$H342="Oklahoma State",+All!F342,0))</f>
        <v>Oklahoma State</v>
      </c>
      <c r="G78" s="461" t="str">
        <f>IF(+All!$F342="Oklahoma State",+All!G342,IF(+All!$H342="Oklahoma State",+All!G342,0))</f>
        <v>B12</v>
      </c>
      <c r="H78" s="462" t="str">
        <f>IF(+All!$F342="Oklahoma State",+All!H342,IF(+All!$H342="Oklahoma State",+All!H342,0))</f>
        <v>Baylor</v>
      </c>
      <c r="I78" s="461" t="str">
        <f>IF(+All!$F342="Oklahoma State",+All!I342,IF(+All!$H342="Oklahoma State",+All!I342,0))</f>
        <v>B12</v>
      </c>
      <c r="J78" s="460" t="str">
        <f>IF(+All!$F342="Oklahoma State",+All!J342,IF(+All!$H342="Oklahoma State",+All!J342,0))</f>
        <v>Baylor</v>
      </c>
      <c r="K78" s="461" t="str">
        <f>IF(+All!$F342="Oklahoma State",+All!K342,IF(+All!$H342="Oklahoma State",+All!K342,0))</f>
        <v>Oklahoma State</v>
      </c>
      <c r="L78" s="60">
        <f>IF(+All!$F342="Oklahoma State",+All!L342,IF(+All!$H342="Oklahoma State",+All!L342,0))</f>
        <v>2.5</v>
      </c>
      <c r="M78" s="61">
        <f>IF(+All!$F342="Oklahoma State",+All!M342,IF(+All!$H342="Oklahoma State",+All!M342,0))</f>
        <v>55.5</v>
      </c>
      <c r="N78" s="460" t="str">
        <f>IF(+All!$F342="Oklahoma State",+All!N342,IF(+All!$H342="Oklahoma State",+All!N342,0))</f>
        <v>Oklahoma State</v>
      </c>
      <c r="O78" s="462">
        <f>IF(+All!$F342="Oklahoma State",+All!O342,IF(+All!$H342="Oklahoma State",+All!O342,0))</f>
        <v>36</v>
      </c>
      <c r="P78" s="462" t="str">
        <f>IF(+All!$F342="Oklahoma State",+All!P342,IF(+All!$H342="Oklahoma State",+All!P342,0))</f>
        <v>Baylor</v>
      </c>
      <c r="Q78" s="461">
        <f>IF(+All!$F342="Oklahoma State",+All!Q342,IF(+All!$H342="Oklahoma State",+All!Q342,0))</f>
        <v>24</v>
      </c>
      <c r="R78" s="460" t="str">
        <f>IF(+All!$F342="Oklahoma State",+All!R342,IF(+All!$H342="Oklahoma State",+All!R342,0))</f>
        <v>Oklahoma State</v>
      </c>
      <c r="S78" s="462" t="str">
        <f>IF(+All!$F342="Oklahoma State",+All!S342,IF(+All!$H342="Oklahoma State",+All!S342,0))</f>
        <v>Baylor</v>
      </c>
      <c r="T78" s="460" t="str">
        <f>IF(+All!$F342="Oklahoma State",+All!T342,IF(+All!$H342="Oklahoma State",+All!T342,0))</f>
        <v>Oklahoma State</v>
      </c>
      <c r="U78" s="461" t="str">
        <f>IF(+All!$F342="Oklahoma State",+All!U342,IF(+All!$H342="Oklahoma State",+All!U342,0))</f>
        <v>W</v>
      </c>
    </row>
    <row r="79" spans="1:21" x14ac:dyDescent="0.8">
      <c r="A79" s="46">
        <f>IF(+All!$F404="Oklahoma State",+All!A404,IF(+All!$H404="Oklahoma State",+All!A404,0))</f>
        <v>6</v>
      </c>
      <c r="B79" s="348" t="str">
        <f>IF(+All!$F404="Oklahoma State",+All!B404,IF(+All!$H404="Oklahoma State",+All!B404,0))</f>
        <v>Sat</v>
      </c>
      <c r="C79" s="72">
        <f>IF(+All!$F404="Oklahoma State",+All!C404,IF(+All!$H404="Oklahoma State",+All!C404,0))</f>
        <v>44842</v>
      </c>
      <c r="D79" s="73">
        <f>IF(+All!$F404="Oklahoma State",+All!D404,IF(+All!$H404="Oklahoma State",+All!D404,0))</f>
        <v>0.64583333333333337</v>
      </c>
      <c r="E79" s="461" t="str">
        <f>IF(+All!$F404="Oklahoma State",+All!E404,IF(+All!$H404="Oklahoma State",+All!E404,0))</f>
        <v>FS1</v>
      </c>
      <c r="F79" s="460" t="str">
        <f>IF(+All!$F404="Oklahoma State",+All!F404,IF(+All!$H404="Oklahoma State",+All!F404,0))</f>
        <v>Texas Tech</v>
      </c>
      <c r="G79" s="461" t="str">
        <f>IF(+All!$F404="Oklahoma State",+All!G404,IF(+All!$H404="Oklahoma State",+All!G404,0))</f>
        <v>B12</v>
      </c>
      <c r="H79" s="462" t="str">
        <f>IF(+All!$F404="Oklahoma State",+All!H404,IF(+All!$H404="Oklahoma State",+All!H404,0))</f>
        <v>Oklahoma State</v>
      </c>
      <c r="I79" s="461" t="str">
        <f>IF(+All!$F404="Oklahoma State",+All!I404,IF(+All!$H404="Oklahoma State",+All!I404,0))</f>
        <v>B12</v>
      </c>
      <c r="J79" s="460" t="str">
        <f>IF(+All!$F404="Oklahoma State",+All!J404,IF(+All!$H404="Oklahoma State",+All!J404,0))</f>
        <v>Oklahoma State</v>
      </c>
      <c r="K79" s="461" t="str">
        <f>IF(+All!$F404="Oklahoma State",+All!K404,IF(+All!$H404="Oklahoma State",+All!K404,0))</f>
        <v>Texas Tech</v>
      </c>
      <c r="L79" s="60">
        <f>IF(+All!$F404="Oklahoma State",+All!L404,IF(+All!$H404="Oklahoma State",+All!L404,0))</f>
        <v>9</v>
      </c>
      <c r="M79" s="61">
        <f>IF(+All!$F404="Oklahoma State",+All!M404,IF(+All!$H404="Oklahoma State",+All!M404,0))</f>
        <v>69.5</v>
      </c>
      <c r="N79" s="460" t="str">
        <f>IF(+All!$F404="Oklahoma State",+All!N404,IF(+All!$H404="Oklahoma State",+All!N404,0))</f>
        <v>Oklahoma State</v>
      </c>
      <c r="O79" s="462">
        <f>IF(+All!$F404="Oklahoma State",+All!O404,IF(+All!$H404="Oklahoma State",+All!O404,0))</f>
        <v>41</v>
      </c>
      <c r="P79" s="462" t="str">
        <f>IF(+All!$F404="Oklahoma State",+All!P404,IF(+All!$H404="Oklahoma State",+All!P404,0))</f>
        <v>Texas Tech</v>
      </c>
      <c r="Q79" s="461">
        <f>IF(+All!$F404="Oklahoma State",+All!Q404,IF(+All!$H404="Oklahoma State",+All!Q404,0))</f>
        <v>31</v>
      </c>
      <c r="R79" s="460" t="str">
        <f>IF(+All!$F404="Oklahoma State",+All!R404,IF(+All!$H404="Oklahoma State",+All!R404,0))</f>
        <v>Oklahoma State</v>
      </c>
      <c r="S79" s="462" t="str">
        <f>IF(+All!$F404="Oklahoma State",+All!S404,IF(+All!$H404="Oklahoma State",+All!S404,0))</f>
        <v>Texas Tech</v>
      </c>
      <c r="T79" s="460" t="str">
        <f>IF(+All!$F404="Oklahoma State",+All!T404,IF(+All!$H404="Oklahoma State",+All!T404,0))</f>
        <v>Oklahoma State</v>
      </c>
      <c r="U79" s="461" t="str">
        <f>IF(+All!$F404="Oklahoma State",+All!U404,IF(+All!$H404="Oklahoma State",+All!U404,0))</f>
        <v>W</v>
      </c>
    </row>
    <row r="80" spans="1:21" s="21" customFormat="1" ht="15.75" customHeight="1" x14ac:dyDescent="0.8">
      <c r="A80" s="46">
        <f>IF(+All!$F455="Oklahoma State",+All!A455,IF(+All!$H455="Oklahoma State",+All!A455,0))</f>
        <v>7</v>
      </c>
      <c r="B80" s="348" t="str">
        <f>IF(+All!$F455="Oklahoma State",+All!B455,IF(+All!$H455="Oklahoma State",+All!B455,0))</f>
        <v>Sat</v>
      </c>
      <c r="C80" s="72">
        <f>IF(+All!$F455="Oklahoma State",+All!C455,IF(+All!$H455="Oklahoma State",+All!C455,0))</f>
        <v>44849</v>
      </c>
      <c r="D80" s="73">
        <f>IF(+All!$F455="Oklahoma State",+All!D455,IF(+All!$H455="Oklahoma State",+All!D455,0))</f>
        <v>0.64583333333333337</v>
      </c>
      <c r="E80" s="461" t="str">
        <f>IF(+All!$F455="Oklahoma State",+All!E455,IF(+All!$H455="Oklahoma State",+All!E455,0))</f>
        <v>ABC</v>
      </c>
      <c r="F80" s="460" t="str">
        <f>IF(+All!$F455="Oklahoma State",+All!F455,IF(+All!$H455="Oklahoma State",+All!F455,0))</f>
        <v>Oklahoma State</v>
      </c>
      <c r="G80" s="461" t="str">
        <f>IF(+All!$F455="Oklahoma State",+All!G455,IF(+All!$H455="Oklahoma State",+All!G455,0))</f>
        <v>B12</v>
      </c>
      <c r="H80" s="462" t="str">
        <f>IF(+All!$F455="Oklahoma State",+All!H455,IF(+All!$H455="Oklahoma State",+All!H455,0))</f>
        <v>TCU</v>
      </c>
      <c r="I80" s="461" t="str">
        <f>IF(+All!$F455="Oklahoma State",+All!I455,IF(+All!$H455="Oklahoma State",+All!I455,0))</f>
        <v>B12</v>
      </c>
      <c r="J80" s="460" t="str">
        <f>IF(+All!$F455="Oklahoma State",+All!J455,IF(+All!$H455="Oklahoma State",+All!J455,0))</f>
        <v>TCU</v>
      </c>
      <c r="K80" s="461" t="str">
        <f>IF(+All!$F455="Oklahoma State",+All!K455,IF(+All!$H455="Oklahoma State",+All!K455,0))</f>
        <v>Oklahoma State</v>
      </c>
      <c r="L80" s="60">
        <f>IF(+All!$F455="Oklahoma State",+All!L455,IF(+All!$H455="Oklahoma State",+All!L455,0))</f>
        <v>4</v>
      </c>
      <c r="M80" s="61">
        <f>IF(+All!$F455="Oklahoma State",+All!M455,IF(+All!$H455="Oklahoma State",+All!M455,0))</f>
        <v>68.5</v>
      </c>
      <c r="N80" s="460" t="str">
        <f>IF(+All!$F455="Oklahoma State",+All!N455,IF(+All!$H455="Oklahoma State",+All!N455,0))</f>
        <v>TCU</v>
      </c>
      <c r="O80" s="462">
        <f>IF(+All!$F455="Oklahoma State",+All!O455,IF(+All!$H455="Oklahoma State",+All!O455,0))</f>
        <v>43</v>
      </c>
      <c r="P80" s="462" t="str">
        <f>IF(+All!$F455="Oklahoma State",+All!P455,IF(+All!$H455="Oklahoma State",+All!P455,0))</f>
        <v>Oklahoma State</v>
      </c>
      <c r="Q80" s="461">
        <f>IF(+All!$F455="Oklahoma State",+All!Q455,IF(+All!$H455="Oklahoma State",+All!Q455,0))</f>
        <v>40</v>
      </c>
      <c r="R80" s="460" t="str">
        <f>IF(+All!$F455="Oklahoma State",+All!R455,IF(+All!$H455="Oklahoma State",+All!R455,0))</f>
        <v>Oklahoma State</v>
      </c>
      <c r="S80" s="462" t="str">
        <f>IF(+All!$F455="Oklahoma State",+All!S455,IF(+All!$H455="Oklahoma State",+All!S455,0))</f>
        <v>TCU</v>
      </c>
      <c r="T80" s="460" t="str">
        <f>IF(+All!$F455="Oklahoma State",+All!T455,IF(+All!$H455="Oklahoma State",+All!T455,0))</f>
        <v>Oklahoma State</v>
      </c>
      <c r="U80" s="461" t="str">
        <f>IF(+All!$F455="Oklahoma State",+All!U455,IF(+All!$H455="Oklahoma State",+All!U455,0))</f>
        <v>W</v>
      </c>
    </row>
    <row r="81" spans="1:21" s="21" customFormat="1" ht="15.75" customHeight="1" x14ac:dyDescent="0.8">
      <c r="A81" s="46">
        <f>IF(+All!$F510="Oklahoma State",+All!A510,IF(+All!$H510="Oklahoma State",+All!A510,0))</f>
        <v>8</v>
      </c>
      <c r="B81" s="348" t="str">
        <f>IF(+All!$F510="Oklahoma State",+All!B510,IF(+All!$H510="Oklahoma State",+All!B510,0))</f>
        <v>Sat</v>
      </c>
      <c r="C81" s="72">
        <f>IF(+All!$F510="Oklahoma State",+All!C510,IF(+All!$H510="Oklahoma State",+All!C510,0))</f>
        <v>44856</v>
      </c>
      <c r="D81" s="73">
        <f>IF(+All!$F510="Oklahoma State",+All!D510,IF(+All!$H510="Oklahoma State",+All!D510,0))</f>
        <v>0.64583333333333337</v>
      </c>
      <c r="E81" s="461" t="str">
        <f>IF(+All!$F510="Oklahoma State",+All!E510,IF(+All!$H510="Oklahoma State",+All!E510,0))</f>
        <v>ABC</v>
      </c>
      <c r="F81" s="460" t="str">
        <f>IF(+All!$F510="Oklahoma State",+All!F510,IF(+All!$H510="Oklahoma State",+All!F510,0))</f>
        <v>Texas</v>
      </c>
      <c r="G81" s="461" t="str">
        <f>IF(+All!$F510="Oklahoma State",+All!G510,IF(+All!$H510="Oklahoma State",+All!G510,0))</f>
        <v>B12</v>
      </c>
      <c r="H81" s="462" t="str">
        <f>IF(+All!$F510="Oklahoma State",+All!H510,IF(+All!$H510="Oklahoma State",+All!H510,0))</f>
        <v>Oklahoma State</v>
      </c>
      <c r="I81" s="461" t="str">
        <f>IF(+All!$F510="Oklahoma State",+All!I510,IF(+All!$H510="Oklahoma State",+All!I510,0))</f>
        <v>B12</v>
      </c>
      <c r="J81" s="460" t="str">
        <f>IF(+All!$F510="Oklahoma State",+All!J510,IF(+All!$H510="Oklahoma State",+All!J510,0))</f>
        <v>Texas</v>
      </c>
      <c r="K81" s="461" t="str">
        <f>IF(+All!$F510="Oklahoma State",+All!K510,IF(+All!$H510="Oklahoma State",+All!K510,0))</f>
        <v>Oklahoma State</v>
      </c>
      <c r="L81" s="60">
        <f>IF(+All!$F510="Oklahoma State",+All!L510,IF(+All!$H510="Oklahoma State",+All!L510,0))</f>
        <v>6.5</v>
      </c>
      <c r="M81" s="61">
        <f>IF(+All!$F510="Oklahoma State",+All!M510,IF(+All!$H510="Oklahoma State",+All!M510,0))</f>
        <v>62</v>
      </c>
      <c r="N81" s="460" t="str">
        <f>IF(+All!$F510="Oklahoma State",+All!N510,IF(+All!$H510="Oklahoma State",+All!N510,0))</f>
        <v>Oklahoma State</v>
      </c>
      <c r="O81" s="462">
        <f>IF(+All!$F510="Oklahoma State",+All!O510,IF(+All!$H510="Oklahoma State",+All!O510,0))</f>
        <v>41</v>
      </c>
      <c r="P81" s="462" t="str">
        <f>IF(+All!$F510="Oklahoma State",+All!P510,IF(+All!$H510="Oklahoma State",+All!P510,0))</f>
        <v>Texas</v>
      </c>
      <c r="Q81" s="461">
        <f>IF(+All!$F510="Oklahoma State",+All!Q510,IF(+All!$H510="Oklahoma State",+All!Q510,0))</f>
        <v>34</v>
      </c>
      <c r="R81" s="460" t="str">
        <f>IF(+All!$F510="Oklahoma State",+All!R510,IF(+All!$H510="Oklahoma State",+All!R510,0))</f>
        <v>Oklahoma State</v>
      </c>
      <c r="S81" s="462" t="str">
        <f>IF(+All!$F510="Oklahoma State",+All!S510,IF(+All!$H510="Oklahoma State",+All!S510,0))</f>
        <v>Texas</v>
      </c>
      <c r="T81" s="460" t="str">
        <f>IF(+All!$F510="Oklahoma State",+All!T510,IF(+All!$H510="Oklahoma State",+All!T510,0))</f>
        <v>Oklahoma State</v>
      </c>
      <c r="U81" s="461" t="str">
        <f>IF(+All!$F510="Oklahoma State",+All!U510,IF(+All!$H510="Oklahoma State",+All!U510,0))</f>
        <v>W</v>
      </c>
    </row>
    <row r="82" spans="1:21" s="21" customFormat="1" ht="15.75" customHeight="1" x14ac:dyDescent="0.8">
      <c r="A82" s="46">
        <f>IF(+All!$F565="Oklahoma State",+All!A565,IF(+All!$H565="Oklahoma State",+All!A565,0))</f>
        <v>9</v>
      </c>
      <c r="B82" s="348" t="str">
        <f>IF(+All!$F565="Oklahoma State",+All!B565,IF(+All!$H565="Oklahoma State",+All!B565,0))</f>
        <v>Sat</v>
      </c>
      <c r="C82" s="72">
        <f>IF(+All!$F565="Oklahoma State",+All!C565,IF(+All!$H565="Oklahoma State",+All!C565,0))</f>
        <v>44863</v>
      </c>
      <c r="D82" s="73">
        <f>IF(+All!$F565="Oklahoma State",+All!D565,IF(+All!$H565="Oklahoma State",+All!D565,0))</f>
        <v>0.64583333333333337</v>
      </c>
      <c r="E82" s="461" t="str">
        <f>IF(+All!$F565="Oklahoma State",+All!E565,IF(+All!$H565="Oklahoma State",+All!E565,0))</f>
        <v>Fox</v>
      </c>
      <c r="F82" s="460" t="str">
        <f>IF(+All!$F565="Oklahoma State",+All!F565,IF(+All!$H565="Oklahoma State",+All!F565,0))</f>
        <v>Oklahoma State</v>
      </c>
      <c r="G82" s="461" t="str">
        <f>IF(+All!$F565="Oklahoma State",+All!G565,IF(+All!$H565="Oklahoma State",+All!G565,0))</f>
        <v>B12</v>
      </c>
      <c r="H82" s="462" t="str">
        <f>IF(+All!$F565="Oklahoma State",+All!H565,IF(+All!$H565="Oklahoma State",+All!H565,0))</f>
        <v>Kansas State</v>
      </c>
      <c r="I82" s="461" t="str">
        <f>IF(+All!$F565="Oklahoma State",+All!I565,IF(+All!$H565="Oklahoma State",+All!I565,0))</f>
        <v>B12</v>
      </c>
      <c r="J82" s="460" t="str">
        <f>IF(+All!$F565="Oklahoma State",+All!J565,IF(+All!$H565="Oklahoma State",+All!J565,0))</f>
        <v>Kansas State</v>
      </c>
      <c r="K82" s="461" t="str">
        <f>IF(+All!$F565="Oklahoma State",+All!K565,IF(+All!$H565="Oklahoma State",+All!K565,0))</f>
        <v>Oklahoma State</v>
      </c>
      <c r="L82" s="60">
        <f>IF(+All!$F565="Oklahoma State",+All!L565,IF(+All!$H565="Oklahoma State",+All!L565,0))</f>
        <v>1.5</v>
      </c>
      <c r="M82" s="61">
        <f>IF(+All!$F565="Oklahoma State",+All!M565,IF(+All!$H565="Oklahoma State",+All!M565,0))</f>
        <v>56.5</v>
      </c>
      <c r="N82" s="460" t="str">
        <f>IF(+All!$F565="Oklahoma State",+All!N565,IF(+All!$H565="Oklahoma State",+All!N565,0))</f>
        <v>Kansas State</v>
      </c>
      <c r="O82" s="462">
        <f>IF(+All!$F565="Oklahoma State",+All!O565,IF(+All!$H565="Oklahoma State",+All!O565,0))</f>
        <v>48</v>
      </c>
      <c r="P82" s="462" t="str">
        <f>IF(+All!$F565="Oklahoma State",+All!P565,IF(+All!$H565="Oklahoma State",+All!P565,0))</f>
        <v>Oklahoma State</v>
      </c>
      <c r="Q82" s="461">
        <f>IF(+All!$F565="Oklahoma State",+All!Q565,IF(+All!$H565="Oklahoma State",+All!Q565,0))</f>
        <v>0</v>
      </c>
      <c r="R82" s="460" t="str">
        <f>IF(+All!$F565="Oklahoma State",+All!R565,IF(+All!$H565="Oklahoma State",+All!R565,0))</f>
        <v>Kansas State</v>
      </c>
      <c r="S82" s="462" t="str">
        <f>IF(+All!$F565="Oklahoma State",+All!S565,IF(+All!$H565="Oklahoma State",+All!S565,0))</f>
        <v>Oklahoma State</v>
      </c>
      <c r="T82" s="460" t="str">
        <f>IF(+All!$F565="Oklahoma State",+All!T565,IF(+All!$H565="Oklahoma State",+All!T565,0))</f>
        <v>Kansas State</v>
      </c>
      <c r="U82" s="461" t="str">
        <f>IF(+All!$F565="Oklahoma State",+All!U565,IF(+All!$H565="Oklahoma State",+All!U565,0))</f>
        <v>W</v>
      </c>
    </row>
    <row r="83" spans="1:21" s="21" customFormat="1" ht="15.75" customHeight="1" x14ac:dyDescent="0.8">
      <c r="A83" s="46">
        <f>IF(+All!$F621="Oklahoma State",+All!A621,IF(+All!$H621="Oklahoma State",+All!A621,0))</f>
        <v>10</v>
      </c>
      <c r="B83" s="348" t="str">
        <f>IF(+All!$F621="Oklahoma State",+All!B621,IF(+All!$H621="Oklahoma State",+All!B621,0))</f>
        <v>Sat</v>
      </c>
      <c r="C83" s="72">
        <f>IF(+All!$F621="Oklahoma State",+All!C621,IF(+All!$H621="Oklahoma State",+All!C621,0))</f>
        <v>44870</v>
      </c>
      <c r="D83" s="73">
        <f>IF(+All!$F621="Oklahoma State",+All!D621,IF(+All!$H621="Oklahoma State",+All!D621,0))</f>
        <v>0.64583333333333337</v>
      </c>
      <c r="E83" s="461" t="str">
        <f>IF(+All!$F621="Oklahoma State",+All!E621,IF(+All!$H621="Oklahoma State",+All!E621,0))</f>
        <v>FS1</v>
      </c>
      <c r="F83" s="460" t="str">
        <f>IF(+All!$F621="Oklahoma State",+All!F621,IF(+All!$H621="Oklahoma State",+All!F621,0))</f>
        <v>Oklahoma State</v>
      </c>
      <c r="G83" s="461" t="str">
        <f>IF(+All!$F621="Oklahoma State",+All!G621,IF(+All!$H621="Oklahoma State",+All!G621,0))</f>
        <v>B12</v>
      </c>
      <c r="H83" s="462" t="str">
        <f>IF(+All!$F621="Oklahoma State",+All!H621,IF(+All!$H621="Oklahoma State",+All!H621,0))</f>
        <v>Kansas</v>
      </c>
      <c r="I83" s="461" t="str">
        <f>IF(+All!$F621="Oklahoma State",+All!I621,IF(+All!$H621="Oklahoma State",+All!I621,0))</f>
        <v>B12</v>
      </c>
      <c r="J83" s="460" t="str">
        <f>IF(+All!$F621="Oklahoma State",+All!J621,IF(+All!$H621="Oklahoma State",+All!J621,0))</f>
        <v>Oklahoma State</v>
      </c>
      <c r="K83" s="461" t="str">
        <f>IF(+All!$F621="Oklahoma State",+All!K621,IF(+All!$H621="Oklahoma State",+All!K621,0))</f>
        <v>Kansas</v>
      </c>
      <c r="L83" s="60">
        <f>IF(+All!$F621="Oklahoma State",+All!L621,IF(+All!$H621="Oklahoma State",+All!L621,0))</f>
        <v>2</v>
      </c>
      <c r="M83" s="61">
        <f>IF(+All!$F621="Oklahoma State",+All!M621,IF(+All!$H621="Oklahoma State",+All!M621,0))</f>
        <v>65.5</v>
      </c>
      <c r="N83" s="460" t="str">
        <f>IF(+All!$F621="Oklahoma State",+All!N621,IF(+All!$H621="Oklahoma State",+All!N621,0))</f>
        <v>Kansas</v>
      </c>
      <c r="O83" s="462">
        <f>IF(+All!$F621="Oklahoma State",+All!O621,IF(+All!$H621="Oklahoma State",+All!O621,0))</f>
        <v>37</v>
      </c>
      <c r="P83" s="462" t="str">
        <f>IF(+All!$F621="Oklahoma State",+All!P621,IF(+All!$H621="Oklahoma State",+All!P621,0))</f>
        <v>Oklahoma State</v>
      </c>
      <c r="Q83" s="461">
        <f>IF(+All!$F621="Oklahoma State",+All!Q621,IF(+All!$H621="Oklahoma State",+All!Q621,0))</f>
        <v>16</v>
      </c>
      <c r="R83" s="460" t="str">
        <f>IF(+All!$F621="Oklahoma State",+All!R621,IF(+All!$H621="Oklahoma State",+All!R621,0))</f>
        <v>Kansas</v>
      </c>
      <c r="S83" s="462" t="str">
        <f>IF(+All!$F621="Oklahoma State",+All!S621,IF(+All!$H621="Oklahoma State",+All!S621,0))</f>
        <v>Oklahoma State</v>
      </c>
      <c r="T83" s="460" t="str">
        <f>IF(+All!$F621="Oklahoma State",+All!T621,IF(+All!$H621="Oklahoma State",+All!T621,0))</f>
        <v>Kansas</v>
      </c>
      <c r="U83" s="461" t="str">
        <f>IF(+All!$F621="Oklahoma State",+All!U621,IF(+All!$H621="Oklahoma State",+All!U621,0))</f>
        <v>W</v>
      </c>
    </row>
    <row r="84" spans="1:21" s="21" customFormat="1" ht="15.75" customHeight="1" x14ac:dyDescent="0.8">
      <c r="A84" s="46">
        <f>IF(+All!$F683="Oklahoma State",+All!A683,IF(+All!$H683="Oklahoma State",+All!A683,0))</f>
        <v>11</v>
      </c>
      <c r="B84" s="348" t="str">
        <f>IF(+All!$F683="Oklahoma State",+All!B683,IF(+All!$H683="Oklahoma State",+All!B683,0))</f>
        <v>Sat</v>
      </c>
      <c r="C84" s="72">
        <f>IF(+All!$F683="Oklahoma State",+All!C683,IF(+All!$H683="Oklahoma State",+All!C683,0))</f>
        <v>44877</v>
      </c>
      <c r="D84" s="73">
        <f>IF(+All!$F683="Oklahoma State",+All!D683,IF(+All!$H683="Oklahoma State",+All!D683,0))</f>
        <v>0.64583333333333337</v>
      </c>
      <c r="E84" s="461" t="str">
        <f>IF(+All!$F683="Oklahoma State",+All!E683,IF(+All!$H683="Oklahoma State",+All!E683,0))</f>
        <v>ESPNU</v>
      </c>
      <c r="F84" s="460" t="str">
        <f>IF(+All!$F683="Oklahoma State",+All!F683,IF(+All!$H683="Oklahoma State",+All!F683,0))</f>
        <v>Iowa State</v>
      </c>
      <c r="G84" s="461" t="str">
        <f>IF(+All!$F683="Oklahoma State",+All!G683,IF(+All!$H683="Oklahoma State",+All!G683,0))</f>
        <v>B12</v>
      </c>
      <c r="H84" s="462" t="str">
        <f>IF(+All!$F683="Oklahoma State",+All!H683,IF(+All!$H683="Oklahoma State",+All!H683,0))</f>
        <v>Oklahoma State</v>
      </c>
      <c r="I84" s="461" t="str">
        <f>IF(+All!$F683="Oklahoma State",+All!I683,IF(+All!$H683="Oklahoma State",+All!I683,0))</f>
        <v>B12</v>
      </c>
      <c r="J84" s="460" t="str">
        <f>IF(+All!$F683="Oklahoma State",+All!J683,IF(+All!$H683="Oklahoma State",+All!J683,0))</f>
        <v>Iowa State</v>
      </c>
      <c r="K84" s="461" t="str">
        <f>IF(+All!$F683="Oklahoma State",+All!K683,IF(+All!$H683="Oklahoma State",+All!K683,0))</f>
        <v>Oklahoma State</v>
      </c>
      <c r="L84" s="60">
        <f>IF(+All!$F683="Oklahoma State",+All!L683,IF(+All!$H683="Oklahoma State",+All!L683,0))</f>
        <v>1</v>
      </c>
      <c r="M84" s="61">
        <f>IF(+All!$F683="Oklahoma State",+All!M683,IF(+All!$H683="Oklahoma State",+All!M683,0))</f>
        <v>48.5</v>
      </c>
      <c r="N84" s="460" t="str">
        <f>IF(+All!$F683="Oklahoma State",+All!N683,IF(+All!$H683="Oklahoma State",+All!N683,0))</f>
        <v>Oklahoma State</v>
      </c>
      <c r="O84" s="462">
        <f>IF(+All!$F683="Oklahoma State",+All!O683,IF(+All!$H683="Oklahoma State",+All!O683,0))</f>
        <v>20</v>
      </c>
      <c r="P84" s="462" t="str">
        <f>IF(+All!$F683="Oklahoma State",+All!P683,IF(+All!$H683="Oklahoma State",+All!P683,0))</f>
        <v>Iowa State</v>
      </c>
      <c r="Q84" s="461">
        <f>IF(+All!$F683="Oklahoma State",+All!Q683,IF(+All!$H683="Oklahoma State",+All!Q683,0))</f>
        <v>14</v>
      </c>
      <c r="R84" s="460" t="str">
        <f>IF(+All!$F683="Oklahoma State",+All!R683,IF(+All!$H683="Oklahoma State",+All!R683,0))</f>
        <v>Oklahoma State</v>
      </c>
      <c r="S84" s="462" t="str">
        <f>IF(+All!$F683="Oklahoma State",+All!S683,IF(+All!$H683="Oklahoma State",+All!S683,0))</f>
        <v>Iowa State</v>
      </c>
      <c r="T84" s="460" t="str">
        <f>IF(+All!$F683="Oklahoma State",+All!T683,IF(+All!$H683="Oklahoma State",+All!T683,0))</f>
        <v>Iowa State</v>
      </c>
      <c r="U84" s="461" t="str">
        <f>IF(+All!$F683="Oklahoma State",+All!U683,IF(+All!$H683="Oklahoma State",+All!U683,0))</f>
        <v>L</v>
      </c>
    </row>
    <row r="85" spans="1:21" s="21" customFormat="1" ht="15.75" customHeight="1" x14ac:dyDescent="0.8">
      <c r="A85" s="46">
        <f>IF(+All!$F747="Oklahoma State",+All!A747,IF(+All!$H747="Oklahoma State",+All!A747,0))</f>
        <v>12</v>
      </c>
      <c r="B85" s="348" t="str">
        <f>IF(+All!$F747="Oklahoma State",+All!B747,IF(+All!$H747="Oklahoma State",+All!B747,0))</f>
        <v>Sat</v>
      </c>
      <c r="C85" s="72">
        <f>IF(+All!$F747="Oklahoma State",+All!C747,IF(+All!$H747="Oklahoma State",+All!C747,0))</f>
        <v>44884</v>
      </c>
      <c r="D85" s="73">
        <f>IF(+All!$F747="Oklahoma State",+All!D748,IF(+All!$H747="Oklahoma State",+All!D748,0))</f>
        <v>0.58333333333333337</v>
      </c>
      <c r="E85" s="461" t="str">
        <f>IF(+All!$F747="Oklahoma State",+All!E747,IF(+All!$H747="Oklahoma State",+All!E747,0))</f>
        <v>ABC</v>
      </c>
      <c r="F85" s="460" t="str">
        <f>IF(+All!$F747="Oklahoma State",+All!F747,IF(+All!$H747="Oklahoma State",+All!F747,0))</f>
        <v>Oklahoma State</v>
      </c>
      <c r="G85" s="461" t="str">
        <f>IF(+All!$F747="Oklahoma State",+All!G747,IF(+All!$H747="Oklahoma State",+All!G747,0))</f>
        <v>B12</v>
      </c>
      <c r="H85" s="462" t="str">
        <f>IF(+All!$F747="Oklahoma State",+All!H747,IF(+All!$H747="Oklahoma State",+All!H747,0))</f>
        <v>Oklahoma</v>
      </c>
      <c r="I85" s="461" t="str">
        <f>IF(+All!$F747="Oklahoma State",+All!I747,IF(+All!$H747="Oklahoma State",+All!I747,0))</f>
        <v>B12</v>
      </c>
      <c r="J85" s="460" t="str">
        <f>IF(+All!$F747="Oklahoma State",+All!J747,IF(+All!$H747="Oklahoma State",+All!J747,0))</f>
        <v>Oklahoma</v>
      </c>
      <c r="K85" s="461" t="str">
        <f>IF(+All!$F747="Oklahoma State",+All!K747,IF(+All!$H747="Oklahoma State",+All!K747,0))</f>
        <v>Oklahoma State</v>
      </c>
      <c r="L85" s="60">
        <f>IF(+All!$F747="Oklahoma State",+All!L747,IF(+All!$H747="Oklahoma State",+All!L747,0))</f>
        <v>7</v>
      </c>
      <c r="M85" s="61">
        <f>IF(+All!$F747="Oklahoma State",+All!M747,IF(+All!$H747="Oklahoma State",+All!M747,0))</f>
        <v>66</v>
      </c>
      <c r="N85" s="460" t="str">
        <f>IF(+All!$F747="Oklahoma State",+All!N747,IF(+All!$H747="Oklahoma State",+All!N747,0))</f>
        <v>Oklahoma</v>
      </c>
      <c r="O85" s="462">
        <f>IF(+All!$F747="Oklahoma State",+All!O747,IF(+All!$H747="Oklahoma State",+All!O747,0))</f>
        <v>28</v>
      </c>
      <c r="P85" s="462" t="str">
        <f>IF(+All!$F747="Oklahoma State",+All!P747,IF(+All!$H747="Oklahoma State",+All!P747,0))</f>
        <v>Oklahoma State</v>
      </c>
      <c r="Q85" s="461">
        <f>IF(+All!$F747="Oklahoma State",+All!Q747,IF(+All!$H747="Oklahoma State",+All!Q747,0))</f>
        <v>13</v>
      </c>
      <c r="R85" s="460" t="str">
        <f>IF(+All!$F747="Oklahoma State",+All!R747,IF(+All!$H747="Oklahoma State",+All!R747,0))</f>
        <v>Oklahoma</v>
      </c>
      <c r="S85" s="462" t="str">
        <f>IF(+All!$F747="Oklahoma State",+All!S747,IF(+All!$H747="Oklahoma State",+All!S747,0))</f>
        <v>Oklahoma State</v>
      </c>
      <c r="T85" s="460" t="str">
        <f>IF(+All!$F747="Oklahoma State",+All!T747,IF(+All!$H747="Oklahoma State",+All!T747,0))</f>
        <v>Oklahoma State</v>
      </c>
      <c r="U85" s="461" t="str">
        <f>IF(+All!$F747="Oklahoma State",+All!U747,IF(+All!$H747="Oklahoma State",+All!U747,0))</f>
        <v>L</v>
      </c>
    </row>
    <row r="86" spans="1:21" s="21" customFormat="1" ht="15.75" customHeight="1" x14ac:dyDescent="0.8">
      <c r="A86" s="46">
        <f>IF(+All!$F815="Oklahoma State",+All!A815,IF(+All!$H815="Oklahoma State",+All!A815,0))</f>
        <v>13</v>
      </c>
      <c r="B86" s="348" t="str">
        <f>IF(+All!$F815="Oklahoma State",+All!B815,IF(+All!$H815="Oklahoma State",+All!B815,0))</f>
        <v>Sat</v>
      </c>
      <c r="C86" s="72">
        <f>IF(+All!$F815="Oklahoma State",+All!C815,IF(+All!$H815="Oklahoma State",+All!C815,0))</f>
        <v>44891</v>
      </c>
      <c r="D86" s="73">
        <f>IF(+All!$F815="Oklahoma State",+All!D815,IF(+All!$H815="Oklahoma State",+All!D815,0))</f>
        <v>0.5</v>
      </c>
      <c r="E86" s="461" t="str">
        <f>IF(+All!$F815="Oklahoma State",+All!E815,IF(+All!$H815="Oklahoma State",+All!E815,0))</f>
        <v>ESPN2</v>
      </c>
      <c r="F86" s="460" t="str">
        <f>IF(+All!$F815="Oklahoma State",+All!F815,IF(+All!$H815="Oklahoma State",+All!F815,0))</f>
        <v>West Virginia</v>
      </c>
      <c r="G86" s="461" t="str">
        <f>IF(+All!$F815="Oklahoma State",+All!G815,IF(+All!$H815="Oklahoma State",+All!G815,0))</f>
        <v>B12</v>
      </c>
      <c r="H86" s="462" t="str">
        <f>IF(+All!$F815="Oklahoma State",+All!H815,IF(+All!$H815="Oklahoma State",+All!H815,0))</f>
        <v>Oklahoma State</v>
      </c>
      <c r="I86" s="461" t="str">
        <f>IF(+All!$F815="Oklahoma State",+All!I815,IF(+All!$H815="Oklahoma State",+All!I815,0))</f>
        <v>B12</v>
      </c>
      <c r="J86" s="460" t="str">
        <f>IF(+All!$F815="Oklahoma State",+All!J815,IF(+All!$H815="Oklahoma State",+All!J815,0))</f>
        <v>Oklahoma State</v>
      </c>
      <c r="K86" s="461" t="str">
        <f>IF(+All!$F815="Oklahoma State",+All!K815,IF(+All!$H815="Oklahoma State",+All!K815,0))</f>
        <v>West Virginia</v>
      </c>
      <c r="L86" s="60">
        <f>IF(+All!$F815="Oklahoma State",+All!L815,IF(+All!$H815="Oklahoma State",+All!L815,0))</f>
        <v>7.5</v>
      </c>
      <c r="M86" s="61">
        <f>IF(+All!$F815="Oklahoma State",+All!M815,IF(+All!$H815="Oklahoma State",+All!M815,0))</f>
        <v>62.5</v>
      </c>
      <c r="N86" s="460" t="str">
        <f>IF(+All!$F815="Oklahoma State",+All!N815,IF(+All!$H815="Oklahoma State",+All!N815,0))</f>
        <v>West Virginia</v>
      </c>
      <c r="O86" s="462">
        <f>IF(+All!$F815="Oklahoma State",+All!O815,IF(+All!$H815="Oklahoma State",+All!O815,0))</f>
        <v>24</v>
      </c>
      <c r="P86" s="462" t="str">
        <f>IF(+All!$F815="Oklahoma State",+All!P815,IF(+All!$H815="Oklahoma State",+All!P815,0))</f>
        <v>Oklahoma State</v>
      </c>
      <c r="Q86" s="461">
        <f>IF(+All!$F815="Oklahoma State",+All!Q815,IF(+All!$H815="Oklahoma State",+All!Q815,0))</f>
        <v>19</v>
      </c>
      <c r="R86" s="460" t="str">
        <f>IF(+All!$F815="Oklahoma State",+All!R815,IF(+All!$H815="Oklahoma State",+All!R815,0))</f>
        <v>West Virginia</v>
      </c>
      <c r="S86" s="462" t="str">
        <f>IF(+All!$F815="Oklahoma State",+All!S815,IF(+All!$H815="Oklahoma State",+All!S815,0))</f>
        <v>Oklahoma State</v>
      </c>
      <c r="T86" s="460" t="str">
        <f>IF(+All!$F815="Oklahoma State",+All!T815,IF(+All!$H815="Oklahoma State",+All!T815,0))</f>
        <v>West Virginia</v>
      </c>
      <c r="U86" s="461" t="str">
        <f>IF(+All!$F815="Oklahoma State",+All!U815,IF(+All!$H815="Oklahoma State",+All!U815,0))</f>
        <v>W</v>
      </c>
    </row>
    <row r="87" spans="1:21" s="21" customFormat="1" ht="15.75" customHeight="1" x14ac:dyDescent="0.8">
      <c r="A87" s="38"/>
      <c r="B87" s="39"/>
      <c r="C87" s="404"/>
      <c r="D87" s="405"/>
      <c r="E87" s="463"/>
      <c r="F87" s="905" t="str">
        <f>H89</f>
        <v>TCU</v>
      </c>
      <c r="G87" s="906"/>
      <c r="H87" s="906"/>
      <c r="I87" s="907"/>
      <c r="J87" s="459"/>
      <c r="K87" s="463"/>
      <c r="L87" s="406"/>
      <c r="M87" s="4"/>
      <c r="N87" s="459"/>
      <c r="O87" s="5"/>
      <c r="P87" s="5"/>
      <c r="Q87" s="463"/>
      <c r="R87" s="459"/>
      <c r="S87" s="5"/>
      <c r="T87" s="459"/>
      <c r="U87" s="463"/>
    </row>
    <row r="88" spans="1:21" s="21" customFormat="1" ht="15.75" customHeight="1" x14ac:dyDescent="0.8">
      <c r="A88" s="46">
        <f>IF(+All!$F31="TCU",+All!A31,IF(+All!$H31="TCU",+All!A31,0))</f>
        <v>1</v>
      </c>
      <c r="B88" s="348" t="str">
        <f>IF(+All!$F31="TCU",+All!B31,IF(+All!$H31="TCU",+All!B31,0))</f>
        <v>Fri</v>
      </c>
      <c r="C88" s="48">
        <f>IF(+All!$F31="TCU",+All!C31,IF(+All!$H31="TCU",+All!C31,0))</f>
        <v>44806</v>
      </c>
      <c r="D88" s="490">
        <f>IF(+All!$F31="TCU",+All!D31,IF(+All!$H31="TCU",+All!D31,0))</f>
        <v>0.91666666666666663</v>
      </c>
      <c r="E88" s="461" t="str">
        <f>IF(+All!$F31="TCU",+All!E31,IF(+All!$H31="TCU",+All!E31,0))</f>
        <v>ESPN</v>
      </c>
      <c r="F88" s="460" t="str">
        <f>IF(+All!$F31="TCU",+All!F31,IF(+All!$H31="TCU",+All!F31,0))</f>
        <v>TCU</v>
      </c>
      <c r="G88" s="461" t="str">
        <f>IF(+All!$F31="TCU",+All!G31,IF(+All!$H31="TCU",+All!G31,0))</f>
        <v>B12</v>
      </c>
      <c r="H88" s="462" t="str">
        <f>IF(+All!$F31="TCU",+All!H31,IF(+All!$H31="TCU",+All!H31,0))</f>
        <v>Colorado</v>
      </c>
      <c r="I88" s="461" t="str">
        <f>IF(+All!$F31="TCU",+All!I31,IF(+All!$H31="TCU",+All!I31,0))</f>
        <v>P12</v>
      </c>
      <c r="J88" s="460" t="str">
        <f>IF(+All!$F31="TCU",+All!J31,IF(+All!$H31="TCU",+All!J31,0))</f>
        <v>TCU</v>
      </c>
      <c r="K88" s="461" t="str">
        <f>IF(+All!$F31="TCU",+All!K31,IF(+All!$H31="TCU",+All!K31,0))</f>
        <v>Colorado</v>
      </c>
      <c r="L88" s="65">
        <f>IF(+All!$F31="TCU",+All!L31,IF(+All!$H31="TCU",+All!L31,0))</f>
        <v>13.5</v>
      </c>
      <c r="M88" s="66">
        <f>IF(+All!$F31="TCU",+All!M31,IF(+All!$H31="TCU",+All!M31,0))</f>
        <v>55.5</v>
      </c>
      <c r="N88" s="460" t="str">
        <f>IF(+All!$F31="TCU",+All!N31,IF(+All!$H31="TCU",+All!N31,0))</f>
        <v>TCU</v>
      </c>
      <c r="O88" s="462">
        <f>IF(+All!$F31="TCU",+All!O31,IF(+All!$H31="TCU",+All!O31,0))</f>
        <v>38</v>
      </c>
      <c r="P88" s="462" t="str">
        <f>IF(+All!$F31="TCU",+All!P31,IF(+All!$H31="TCU",+All!P31,0))</f>
        <v>Colorado</v>
      </c>
      <c r="Q88" s="461">
        <f>IF(+All!$F31="TCU",+All!Q31,IF(+All!$H31="TCU",+All!Q31,0))</f>
        <v>13</v>
      </c>
      <c r="R88" s="460" t="str">
        <f>IF(+All!$F31="TCU",+All!R31,IF(+All!$H31="TCU",+All!R31,0))</f>
        <v>TCU</v>
      </c>
      <c r="S88" s="462" t="str">
        <f>IF(+All!$F31="TCU",+All!S31,IF(+All!$H31="TCU",+All!S31,0))</f>
        <v>Colorado</v>
      </c>
      <c r="T88" s="460" t="str">
        <f>IF(+All!$F31="TCU",+All!T31,IF(+All!$H31="TCU",+All!T31,0))</f>
        <v>Colorado</v>
      </c>
      <c r="U88" s="461" t="str">
        <f>IF(+All!$F31="TCU",+All!U31,IF(+All!$H31="TCU",+All!U31,0))</f>
        <v>L</v>
      </c>
    </row>
    <row r="89" spans="1:21" s="21" customFormat="1" ht="15.75" customHeight="1" x14ac:dyDescent="0.8">
      <c r="A89" s="46">
        <f>IF(+All!$F130="TCU",+All!A130,IF(+All!$H130="TCU",+All!A130,0))</f>
        <v>2</v>
      </c>
      <c r="B89" s="348" t="str">
        <f>IF(+All!$F130="TCU",+All!B130,IF(+All!$H130="TCU",+All!B130,0))</f>
        <v>Sat</v>
      </c>
      <c r="C89" s="48">
        <f>IF(+All!$F130="TCU",+All!C130,IF(+All!$H130="TCU",+All!C130,0))</f>
        <v>44814</v>
      </c>
      <c r="D89" s="490">
        <f>IF(+All!$F130="TCU",+All!D130,IF(+All!$H130="TCU",+All!D130,0))</f>
        <v>0.83333333333333337</v>
      </c>
      <c r="E89" s="461">
        <f>IF(+All!$F130="TCU",+All!E130,IF(+All!$H130="TCU",+All!E130,0))</f>
        <v>0</v>
      </c>
      <c r="F89" s="460" t="str">
        <f>IF(+All!$F130="TCU",+All!F130,IF(+All!$H130="TCU",+All!F130,0))</f>
        <v>1AA Tarleton State</v>
      </c>
      <c r="G89" s="461" t="str">
        <f>IF(+All!$F130="TCU",+All!G130,IF(+All!$H130="TCU",+All!G130,0))</f>
        <v>1AA</v>
      </c>
      <c r="H89" s="462" t="str">
        <f>IF(+All!$F130="TCU",+All!H130,IF(+All!$H130="TCU",+All!H130,0))</f>
        <v>TCU</v>
      </c>
      <c r="I89" s="461" t="str">
        <f>IF(+All!$F130="TCU",+All!I130,IF(+All!$H130="TCU",+All!I130,0))</f>
        <v>B12</v>
      </c>
      <c r="J89" s="460">
        <f>IF(+All!$F130="TCU",+All!J130,IF(+All!$H130="TCU",+All!J130,0))</f>
        <v>0</v>
      </c>
      <c r="K89" s="461">
        <f>IF(+All!$F130="TCU",+All!K130,IF(+All!$H130="TCU",+All!K130,0))</f>
        <v>0</v>
      </c>
      <c r="L89" s="65">
        <f>IF(+All!$F130="TCU",+All!L130,IF(+All!$H130="TCU",+All!L130,0))</f>
        <v>0</v>
      </c>
      <c r="M89" s="66">
        <f>IF(+All!$F130="TCU",+All!M130,IF(+All!$H130="TCU",+All!M130,0))</f>
        <v>0</v>
      </c>
      <c r="N89" s="460" t="str">
        <f>IF(+All!$F130="TCU",+All!N130,IF(+All!$H130="TCU",+All!N130,0))</f>
        <v>TCU</v>
      </c>
      <c r="O89" s="462">
        <f>IF(+All!$F130="TCU",+All!O130,IF(+All!$H130="TCU",+All!O130,0))</f>
        <v>59</v>
      </c>
      <c r="P89" s="462" t="str">
        <f>IF(+All!$F130="TCU",+All!P130,IF(+All!$H130="TCU",+All!P130,0))</f>
        <v>1AA Tarleton State</v>
      </c>
      <c r="Q89" s="461">
        <f>IF(+All!$F130="TCU",+All!Q130,IF(+All!$H130="TCU",+All!Q130,0))</f>
        <v>17</v>
      </c>
      <c r="R89" s="460">
        <f>IF(+All!$F130="TCU",+All!R130,IF(+All!$H130="TCU",+All!R130,0))</f>
        <v>0</v>
      </c>
      <c r="S89" s="462">
        <f>IF(+All!$F130="TCU",+All!S130,IF(+All!$H130="TCU",+All!S130,0))</f>
        <v>0</v>
      </c>
      <c r="T89" s="460">
        <f>IF(+All!$F130="TCU",+All!T130,IF(+All!$H130="TCU",+All!T130,0))</f>
        <v>0</v>
      </c>
      <c r="U89" s="461">
        <f>IF(+All!$F130="TCU",+All!U130,IF(+All!$H130="TCU",+All!U130,0))</f>
        <v>0</v>
      </c>
    </row>
    <row r="90" spans="1:21" s="21" customFormat="1" ht="15.75" customHeight="1" x14ac:dyDescent="0.8">
      <c r="A90" s="46" t="e">
        <f>IF(+All!#REF!="TCU",+All!#REF!,IF(+All!#REF!="TCU",+All!#REF!,0))</f>
        <v>#REF!</v>
      </c>
      <c r="B90" s="348" t="e">
        <f>IF(+All!#REF!="TCU",+All!#REF!,IF(+All!#REF!="TCU",+All!#REF!,0))</f>
        <v>#REF!</v>
      </c>
      <c r="C90" s="48" t="e">
        <f>IF(+All!#REF!="TCU",+All!#REF!,IF(+All!#REF!="TCU",+All!#REF!,0))</f>
        <v>#REF!</v>
      </c>
      <c r="D90" s="490" t="e">
        <f>IF(+All!#REF!="TCU",+All!#REF!,IF(+All!#REF!="TCU",+All!#REF!,0))</f>
        <v>#REF!</v>
      </c>
      <c r="E90" s="461" t="e">
        <f>IF(+All!#REF!="TCU",+All!#REF!,IF(+All!#REF!="TCU",+All!#REF!,0))</f>
        <v>#REF!</v>
      </c>
      <c r="F90" s="460" t="e">
        <f>IF(+All!#REF!="TCU",+All!#REF!,IF(+All!#REF!="TCU",+All!#REF!,0))</f>
        <v>#REF!</v>
      </c>
      <c r="G90" s="461" t="e">
        <f>IF(+All!#REF!="TCU",+All!#REF!,IF(+All!#REF!="TCU",+All!#REF!,0))</f>
        <v>#REF!</v>
      </c>
      <c r="H90" s="462" t="e">
        <f>IF(+All!#REF!="TCU",+All!#REF!,IF(+All!#REF!="TCU",+All!#REF!,0))</f>
        <v>#REF!</v>
      </c>
      <c r="I90" s="461" t="e">
        <f>IF(+All!#REF!="TCU",+All!#REF!,IF(+All!#REF!="TCU",+All!#REF!,0))</f>
        <v>#REF!</v>
      </c>
      <c r="J90" s="460" t="e">
        <f>IF(+All!#REF!="TCU",+All!#REF!,IF(+All!#REF!="TCU",+All!#REF!,0))</f>
        <v>#REF!</v>
      </c>
      <c r="K90" s="461" t="e">
        <f>IF(+All!#REF!="TCU",+All!#REF!,IF(+All!#REF!="TCU",+All!#REF!,0))</f>
        <v>#REF!</v>
      </c>
      <c r="L90" s="65" t="e">
        <f>IF(+All!#REF!="TCU",+All!#REF!,IF(+All!#REF!="TCU",+All!#REF!,0))</f>
        <v>#REF!</v>
      </c>
      <c r="M90" s="66" t="e">
        <f>IF(+All!#REF!="TCU",+All!#REF!,IF(+All!#REF!="TCU",+All!#REF!,0))</f>
        <v>#REF!</v>
      </c>
      <c r="N90" s="460" t="e">
        <f>IF(+All!#REF!="TCU",+All!#REF!,IF(+All!#REF!="TCU",+All!#REF!,0))</f>
        <v>#REF!</v>
      </c>
      <c r="O90" s="462" t="e">
        <f>IF(+All!#REF!="TCU",+All!#REF!,IF(+All!#REF!="TCU",+All!#REF!,0))</f>
        <v>#REF!</v>
      </c>
      <c r="P90" s="462" t="e">
        <f>IF(+All!#REF!="TCU",+All!#REF!,IF(+All!#REF!="TCU",+All!#REF!,0))</f>
        <v>#REF!</v>
      </c>
      <c r="Q90" s="461" t="e">
        <f>IF(+All!#REF!="TCU",+All!#REF!,IF(+All!#REF!="TCU",+All!#REF!,0))</f>
        <v>#REF!</v>
      </c>
      <c r="R90" s="460" t="e">
        <f>IF(+All!#REF!="TCU",+All!#REF!,IF(+All!#REF!="TCU",+All!#REF!,0))</f>
        <v>#REF!</v>
      </c>
      <c r="S90" s="462" t="e">
        <f>IF(+All!#REF!="TCU",+All!#REF!,IF(+All!#REF!="TCU",+All!#REF!,0))</f>
        <v>#REF!</v>
      </c>
      <c r="T90" s="460" t="e">
        <f>IF(+All!#REF!="TCU",+All!#REF!,IF(+All!#REF!="TCU",+All!#REF!,0))</f>
        <v>#REF!</v>
      </c>
      <c r="U90" s="461" t="e">
        <f>IF(+All!#REF!="TCU",+All!#REF!,IF(+All!#REF!="TCU",+All!#REF!,0))</f>
        <v>#REF!</v>
      </c>
    </row>
    <row r="91" spans="1:21" s="21" customFormat="1" ht="15.75" customHeight="1" x14ac:dyDescent="0.8">
      <c r="A91" s="46">
        <f>IF(+All!$F263="TCU",+All!A263,IF(+All!$H263="TCU",+All!A263,0))</f>
        <v>4</v>
      </c>
      <c r="B91" s="348" t="str">
        <f>IF(+All!$F263="TCU",+All!B263,IF(+All!$H263="TCU",+All!B263,0))</f>
        <v>Sat</v>
      </c>
      <c r="C91" s="48">
        <f>IF(+All!$F263="TCU",+All!C263,IF(+All!$H263="TCU",+All!C263,0))</f>
        <v>44828</v>
      </c>
      <c r="D91" s="490">
        <f>IF(+All!$F263="TCU",+All!D263,IF(+All!$H263="TCU",+All!D263,0))</f>
        <v>0.5</v>
      </c>
      <c r="E91" s="461" t="str">
        <f>IF(+All!$F263="TCU",+All!E263,IF(+All!$H263="TCU",+All!E263,0))</f>
        <v>ESPNU</v>
      </c>
      <c r="F91" s="460" t="str">
        <f>IF(+All!$F263="TCU",+All!F263,IF(+All!$H263="TCU",+All!F263,0))</f>
        <v>TCU</v>
      </c>
      <c r="G91" s="461" t="str">
        <f>IF(+All!$F263="TCU",+All!G263,IF(+All!$H263="TCU",+All!G263,0))</f>
        <v>B12</v>
      </c>
      <c r="H91" s="462" t="str">
        <f>IF(+All!$F263="TCU",+All!H263,IF(+All!$H263="TCU",+All!H263,0))</f>
        <v>SMU</v>
      </c>
      <c r="I91" s="461" t="str">
        <f>IF(+All!$F263="TCU",+All!I263,IF(+All!$H263="TCU",+All!I263,0))</f>
        <v>AAC</v>
      </c>
      <c r="J91" s="460" t="str">
        <f>IF(+All!$F263="TCU",+All!J263,IF(+All!$H263="TCU",+All!J263,0))</f>
        <v>TCU</v>
      </c>
      <c r="K91" s="461" t="str">
        <f>IF(+All!$F263="TCU",+All!K263,IF(+All!$H263="TCU",+All!K263,0))</f>
        <v>SMU</v>
      </c>
      <c r="L91" s="65">
        <f>IF(+All!$F263="TCU",+All!L263,IF(+All!$H263="TCU",+All!L263,0))</f>
        <v>2</v>
      </c>
      <c r="M91" s="66">
        <f>IF(+All!$F263="TCU",+All!M263,IF(+All!$H263="TCU",+All!M263,0))</f>
        <v>70.5</v>
      </c>
      <c r="N91" s="460" t="str">
        <f>IF(+All!$F263="TCU",+All!N263,IF(+All!$H263="TCU",+All!N263,0))</f>
        <v>TCU</v>
      </c>
      <c r="O91" s="462">
        <f>IF(+All!$F263="TCU",+All!O263,IF(+All!$H263="TCU",+All!O263,0))</f>
        <v>42</v>
      </c>
      <c r="P91" s="462" t="str">
        <f>IF(+All!$F263="TCU",+All!P263,IF(+All!$H263="TCU",+All!P263,0))</f>
        <v>SMU</v>
      </c>
      <c r="Q91" s="461">
        <f>IF(+All!$F263="TCU",+All!Q263,IF(+All!$H263="TCU",+All!Q263,0))</f>
        <v>34</v>
      </c>
      <c r="R91" s="460" t="str">
        <f>IF(+All!$F263="TCU",+All!R263,IF(+All!$H263="TCU",+All!R263,0))</f>
        <v>TCU</v>
      </c>
      <c r="S91" s="462" t="str">
        <f>IF(+All!$F263="TCU",+All!S263,IF(+All!$H263="TCU",+All!S263,0))</f>
        <v>SMU</v>
      </c>
      <c r="T91" s="460" t="str">
        <f>IF(+All!$F263="TCU",+All!T263,IF(+All!$H263="TCU",+All!T263,0))</f>
        <v>SMU</v>
      </c>
      <c r="U91" s="461" t="str">
        <f>IF(+All!$F263="TCU",+All!U263,IF(+All!$H263="TCU",+All!U263,0))</f>
        <v>L</v>
      </c>
    </row>
    <row r="92" spans="1:21" s="21" customFormat="1" ht="15.75" customHeight="1" x14ac:dyDescent="0.8">
      <c r="A92" s="46">
        <f>IF(+All!$F345="TCU",+All!A345,IF(+All!$H345="TCU",+All!A345,0))</f>
        <v>5</v>
      </c>
      <c r="B92" s="348" t="str">
        <f>IF(+All!$F345="TCU",+All!B345,IF(+All!$H345="TCU",+All!B345,0))</f>
        <v>Sat</v>
      </c>
      <c r="C92" s="48">
        <f>IF(+All!$F345="TCU",+All!C345,IF(+All!$H345="TCU",+All!C345,0))</f>
        <v>44835</v>
      </c>
      <c r="D92" s="490">
        <f>IF(+All!$F345="TCU",+All!D345,IF(+All!$H345="TCU",+All!D345,0))</f>
        <v>0.5</v>
      </c>
      <c r="E92" s="461" t="str">
        <f>IF(+All!$F345="TCU",+All!E345,IF(+All!$H345="TCU",+All!E345,0))</f>
        <v>ABC</v>
      </c>
      <c r="F92" s="460" t="str">
        <f>IF(+All!$F345="TCU",+All!F345,IF(+All!$H345="TCU",+All!F345,0))</f>
        <v>Oklahoma</v>
      </c>
      <c r="G92" s="461" t="str">
        <f>IF(+All!$F345="TCU",+All!G345,IF(+All!$H345="TCU",+All!G345,0))</f>
        <v>B12</v>
      </c>
      <c r="H92" s="462" t="str">
        <f>IF(+All!$F345="TCU",+All!H345,IF(+All!$H345="TCU",+All!H345,0))</f>
        <v>TCU</v>
      </c>
      <c r="I92" s="461" t="str">
        <f>IF(+All!$F345="TCU",+All!I345,IF(+All!$H345="TCU",+All!I345,0))</f>
        <v>B12</v>
      </c>
      <c r="J92" s="460" t="str">
        <f>IF(+All!$F345="TCU",+All!J345,IF(+All!$H345="TCU",+All!J345,0))</f>
        <v>Oklahoma</v>
      </c>
      <c r="K92" s="461" t="str">
        <f>IF(+All!$F345="TCU",+All!K345,IF(+All!$H345="TCU",+All!K345,0))</f>
        <v>TCU</v>
      </c>
      <c r="L92" s="65">
        <f>IF(+All!$F345="TCU",+All!L345,IF(+All!$H345="TCU",+All!L345,0))</f>
        <v>6.5</v>
      </c>
      <c r="M92" s="66">
        <f>IF(+All!$F345="TCU",+All!M345,IF(+All!$H345="TCU",+All!M345,0))</f>
        <v>67.5</v>
      </c>
      <c r="N92" s="460" t="str">
        <f>IF(+All!$F345="TCU",+All!N345,IF(+All!$H345="TCU",+All!N345,0))</f>
        <v>TCU</v>
      </c>
      <c r="O92" s="462">
        <f>IF(+All!$F345="TCU",+All!O345,IF(+All!$H345="TCU",+All!O345,0))</f>
        <v>55</v>
      </c>
      <c r="P92" s="462" t="str">
        <f>IF(+All!$F345="TCU",+All!P345,IF(+All!$H345="TCU",+All!P345,0))</f>
        <v>Oklahoma</v>
      </c>
      <c r="Q92" s="461">
        <f>IF(+All!$F345="TCU",+All!Q345,IF(+All!$H345="TCU",+All!Q345,0))</f>
        <v>24</v>
      </c>
      <c r="R92" s="460" t="str">
        <f>IF(+All!$F345="TCU",+All!R345,IF(+All!$H345="TCU",+All!R345,0))</f>
        <v>TCU</v>
      </c>
      <c r="S92" s="462" t="str">
        <f>IF(+All!$F345="TCU",+All!S345,IF(+All!$H345="TCU",+All!S345,0))</f>
        <v>Oklahoma</v>
      </c>
      <c r="T92" s="460" t="str">
        <f>IF(+All!$F345="TCU",+All!T345,IF(+All!$H345="TCU",+All!T345,0))</f>
        <v>Oklahoma</v>
      </c>
      <c r="U92" s="461" t="str">
        <f>IF(+All!$F345="TCU",+All!U345,IF(+All!$H345="TCU",+All!U345,0))</f>
        <v>L</v>
      </c>
    </row>
    <row r="93" spans="1:21" s="21" customFormat="1" ht="15.75" customHeight="1" x14ac:dyDescent="0.8">
      <c r="A93" s="46">
        <f>IF(+All!$F402="TCU",+All!A402,IF(+All!$H402="TCU",+All!A402,0))</f>
        <v>6</v>
      </c>
      <c r="B93" s="348" t="str">
        <f>IF(+All!$F402="TCU",+All!B402,IF(+All!$H402="TCU",+All!B402,0))</f>
        <v>Sat</v>
      </c>
      <c r="C93" s="48">
        <f>IF(+All!$F402="TCU",+All!C402,IF(+All!$H402="TCU",+All!C402,0))</f>
        <v>44842</v>
      </c>
      <c r="D93" s="490">
        <f>IF(+All!$F402="TCU",+All!D402,IF(+All!$H402="TCU",+All!D402,0))</f>
        <v>0.5</v>
      </c>
      <c r="E93" s="461" t="str">
        <f>IF(+All!$F402="TCU",+All!E402,IF(+All!$H402="TCU",+All!E402,0))</f>
        <v>FS1</v>
      </c>
      <c r="F93" s="460" t="str">
        <f>IF(+All!$F402="TCU",+All!F402,IF(+All!$H402="TCU",+All!F402,0))</f>
        <v>TCU</v>
      </c>
      <c r="G93" s="461" t="str">
        <f>IF(+All!$F402="TCU",+All!G402,IF(+All!$H402="TCU",+All!G402,0))</f>
        <v>B12</v>
      </c>
      <c r="H93" s="462" t="str">
        <f>IF(+All!$F402="TCU",+All!H402,IF(+All!$H402="TCU",+All!H402,0))</f>
        <v>Kansas</v>
      </c>
      <c r="I93" s="461" t="str">
        <f>IF(+All!$F402="TCU",+All!I402,IF(+All!$H402="TCU",+All!I402,0))</f>
        <v>B12</v>
      </c>
      <c r="J93" s="460" t="str">
        <f>IF(+All!$F402="TCU",+All!J402,IF(+All!$H402="TCU",+All!J402,0))</f>
        <v>TCU</v>
      </c>
      <c r="K93" s="461" t="str">
        <f>IF(+All!$F402="TCU",+All!K402,IF(+All!$H402="TCU",+All!K402,0))</f>
        <v>Kansas</v>
      </c>
      <c r="L93" s="65">
        <f>IF(+All!$F402="TCU",+All!L402,IF(+All!$H402="TCU",+All!L402,0))</f>
        <v>7</v>
      </c>
      <c r="M93" s="66">
        <f>IF(+All!$F402="TCU",+All!M402,IF(+All!$H402="TCU",+All!M402,0))</f>
        <v>68</v>
      </c>
      <c r="N93" s="460" t="str">
        <f>IF(+All!$F402="TCU",+All!N402,IF(+All!$H402="TCU",+All!N402,0))</f>
        <v>TCU</v>
      </c>
      <c r="O93" s="462">
        <f>IF(+All!$F402="TCU",+All!O402,IF(+All!$H402="TCU",+All!O402,0))</f>
        <v>38</v>
      </c>
      <c r="P93" s="462" t="str">
        <f>IF(+All!$F402="TCU",+All!P402,IF(+All!$H402="TCU",+All!P402,0))</f>
        <v>Kansas</v>
      </c>
      <c r="Q93" s="461">
        <f>IF(+All!$F402="TCU",+All!Q402,IF(+All!$H402="TCU",+All!Q402,0))</f>
        <v>31</v>
      </c>
      <c r="R93" s="460" t="str">
        <f>IF(+All!$F402="TCU",+All!R402,IF(+All!$H402="TCU",+All!R402,0))</f>
        <v>TCU</v>
      </c>
      <c r="S93" s="462" t="str">
        <f>IF(+All!$F402="TCU",+All!S402,IF(+All!$H402="TCU",+All!S402,0))</f>
        <v>Kansas</v>
      </c>
      <c r="T93" s="460" t="str">
        <f>IF(+All!$F402="TCU",+All!T402,IF(+All!$H402="TCU",+All!T402,0))</f>
        <v>Kansas</v>
      </c>
      <c r="U93" s="461" t="str">
        <f>IF(+All!$F402="TCU",+All!U402,IF(+All!$H402="TCU",+All!U402,0))</f>
        <v>T</v>
      </c>
    </row>
    <row r="94" spans="1:21" s="21" customFormat="1" ht="15.75" customHeight="1" x14ac:dyDescent="0.8">
      <c r="A94" s="46">
        <f>IF(+All!$F455="TCU",+All!A455,IF(+All!$H455="TCU",+All!A455,0))</f>
        <v>7</v>
      </c>
      <c r="B94" s="348" t="str">
        <f>IF(+All!$F455="TCU",+All!B455,IF(+All!$H455="TCU",+All!B455,0))</f>
        <v>Sat</v>
      </c>
      <c r="C94" s="48">
        <f>IF(+All!$F455="TCU",+All!C455,IF(+All!$H455="TCU",+All!C455,0))</f>
        <v>44849</v>
      </c>
      <c r="D94" s="490">
        <f>IF(+All!$F455="TCU",+All!D455,IF(+All!$H455="TCU",+All!D455,0))</f>
        <v>0.64583333333333337</v>
      </c>
      <c r="E94" s="461" t="str">
        <f>IF(+All!$F455="TCU",+All!E455,IF(+All!$H455="TCU",+All!E455,0))</f>
        <v>ABC</v>
      </c>
      <c r="F94" s="460" t="str">
        <f>IF(+All!$F455="TCU",+All!F455,IF(+All!$H455="TCU",+All!F455,0))</f>
        <v>Oklahoma State</v>
      </c>
      <c r="G94" s="461" t="str">
        <f>IF(+All!$F455="TCU",+All!G455,IF(+All!$H455="TCU",+All!G455,0))</f>
        <v>B12</v>
      </c>
      <c r="H94" s="462" t="str">
        <f>IF(+All!$F455="TCU",+All!H455,IF(+All!$H455="TCU",+All!H455,0))</f>
        <v>TCU</v>
      </c>
      <c r="I94" s="461" t="str">
        <f>IF(+All!$F455="TCU",+All!I455,IF(+All!$H455="TCU",+All!I455,0))</f>
        <v>B12</v>
      </c>
      <c r="J94" s="460" t="str">
        <f>IF(+All!$F455="TCU",+All!J455,IF(+All!$H455="TCU",+All!J455,0))</f>
        <v>TCU</v>
      </c>
      <c r="K94" s="461" t="str">
        <f>IF(+All!$F455="TCU",+All!K455,IF(+All!$H455="TCU",+All!K455,0))</f>
        <v>Oklahoma State</v>
      </c>
      <c r="L94" s="65">
        <f>IF(+All!$F455="TCU",+All!L455,IF(+All!$H455="TCU",+All!L455,0))</f>
        <v>4</v>
      </c>
      <c r="M94" s="66">
        <f>IF(+All!$F455="TCU",+All!M455,IF(+All!$H455="TCU",+All!M455,0))</f>
        <v>68.5</v>
      </c>
      <c r="N94" s="460" t="str">
        <f>IF(+All!$F455="TCU",+All!N455,IF(+All!$H455="TCU",+All!N455,0))</f>
        <v>TCU</v>
      </c>
      <c r="O94" s="462">
        <f>IF(+All!$F455="TCU",+All!O455,IF(+All!$H455="TCU",+All!O455,0))</f>
        <v>43</v>
      </c>
      <c r="P94" s="462" t="str">
        <f>IF(+All!$F455="TCU",+All!P455,IF(+All!$H455="TCU",+All!P455,0))</f>
        <v>Oklahoma State</v>
      </c>
      <c r="Q94" s="461">
        <f>IF(+All!$F455="TCU",+All!Q455,IF(+All!$H455="TCU",+All!Q455,0))</f>
        <v>40</v>
      </c>
      <c r="R94" s="460" t="str">
        <f>IF(+All!$F455="TCU",+All!R455,IF(+All!$H455="TCU",+All!R455,0))</f>
        <v>Oklahoma State</v>
      </c>
      <c r="S94" s="462" t="str">
        <f>IF(+All!$F455="TCU",+All!S455,IF(+All!$H455="TCU",+All!S455,0))</f>
        <v>TCU</v>
      </c>
      <c r="T94" s="460" t="str">
        <f>IF(+All!$F455="TCU",+All!T455,IF(+All!$H455="TCU",+All!T455,0))</f>
        <v>Oklahoma State</v>
      </c>
      <c r="U94" s="461" t="str">
        <f>IF(+All!$F455="TCU",+All!U455,IF(+All!$H455="TCU",+All!U455,0))</f>
        <v>W</v>
      </c>
    </row>
    <row r="95" spans="1:21" s="21" customFormat="1" ht="15.75" customHeight="1" x14ac:dyDescent="0.8">
      <c r="A95" s="46">
        <f>IF(+All!$F511="TCU",+All!A511,IF(+All!$H511="TCU",+All!A511,0))</f>
        <v>8</v>
      </c>
      <c r="B95" s="348" t="str">
        <f>IF(+All!$F511="TCU",+All!B511,IF(+All!$H511="TCU",+All!B511,0))</f>
        <v>Sat</v>
      </c>
      <c r="C95" s="48">
        <f>IF(+All!$F511="TCU",+All!C511,IF(+All!$H511="TCU",+All!C511,0))</f>
        <v>44856</v>
      </c>
      <c r="D95" s="490">
        <f>IF(+All!$F511="TCU",+All!D511,IF(+All!$H511="TCU",+All!D511,0))</f>
        <v>0.83333333333333337</v>
      </c>
      <c r="E95" s="461" t="str">
        <f>IF(+All!$F511="TCU",+All!E511,IF(+All!$H511="TCU",+All!E511,0))</f>
        <v>FS1</v>
      </c>
      <c r="F95" s="460" t="str">
        <f>IF(+All!$F511="TCU",+All!F511,IF(+All!$H511="TCU",+All!F511,0))</f>
        <v>Kansas State</v>
      </c>
      <c r="G95" s="461" t="str">
        <f>IF(+All!$F511="TCU",+All!G511,IF(+All!$H511="TCU",+All!G511,0))</f>
        <v>B12</v>
      </c>
      <c r="H95" s="462" t="str">
        <f>IF(+All!$F511="TCU",+All!H511,IF(+All!$H511="TCU",+All!H511,0))</f>
        <v>TCU</v>
      </c>
      <c r="I95" s="461" t="str">
        <f>IF(+All!$F511="TCU",+All!I511,IF(+All!$H511="TCU",+All!I511,0))</f>
        <v>B12</v>
      </c>
      <c r="J95" s="460" t="str">
        <f>IF(+All!$F511="TCU",+All!J511,IF(+All!$H511="TCU",+All!J511,0))</f>
        <v>TCU</v>
      </c>
      <c r="K95" s="461" t="str">
        <f>IF(+All!$F511="TCU",+All!K511,IF(+All!$H511="TCU",+All!K511,0))</f>
        <v>Kansas State</v>
      </c>
      <c r="L95" s="65">
        <f>IF(+All!$F511="TCU",+All!L511,IF(+All!$H511="TCU",+All!L511,0))</f>
        <v>3.5</v>
      </c>
      <c r="M95" s="66">
        <f>IF(+All!$F511="TCU",+All!M511,IF(+All!$H511="TCU",+All!M511,0))</f>
        <v>55.5</v>
      </c>
      <c r="N95" s="460" t="str">
        <f>IF(+All!$F511="TCU",+All!N511,IF(+All!$H511="TCU",+All!N511,0))</f>
        <v>TCU</v>
      </c>
      <c r="O95" s="462">
        <f>IF(+All!$F511="TCU",+All!O511,IF(+All!$H511="TCU",+All!O511,0))</f>
        <v>38</v>
      </c>
      <c r="P95" s="462" t="str">
        <f>IF(+All!$F511="TCU",+All!P511,IF(+All!$H511="TCU",+All!P511,0))</f>
        <v>Kansas State</v>
      </c>
      <c r="Q95" s="461">
        <f>IF(+All!$F511="TCU",+All!Q511,IF(+All!$H511="TCU",+All!Q511,0))</f>
        <v>28</v>
      </c>
      <c r="R95" s="460" t="str">
        <f>IF(+All!$F511="TCU",+All!R511,IF(+All!$H511="TCU",+All!R511,0))</f>
        <v>TCU</v>
      </c>
      <c r="S95" s="462" t="str">
        <f>IF(+All!$F511="TCU",+All!S511,IF(+All!$H511="TCU",+All!S511,0))</f>
        <v>Kansas State</v>
      </c>
      <c r="T95" s="460" t="str">
        <f>IF(+All!$F511="TCU",+All!T511,IF(+All!$H511="TCU",+All!T511,0))</f>
        <v>Kansas State</v>
      </c>
      <c r="U95" s="461" t="str">
        <f>IF(+All!$F511="TCU",+All!U511,IF(+All!$H511="TCU",+All!U511,0))</f>
        <v>L</v>
      </c>
    </row>
    <row r="96" spans="1:21" s="21" customFormat="1" ht="15.75" customHeight="1" x14ac:dyDescent="0.8">
      <c r="A96" s="46">
        <f>IF(+All!$F567="TCU",+All!A567,IF(+All!$H567="TCU",+All!A567,0))</f>
        <v>9</v>
      </c>
      <c r="B96" s="348" t="str">
        <f>IF(+All!$F567="TCU",+All!B567,IF(+All!$H567="TCU",+All!B567,0))</f>
        <v>Sat</v>
      </c>
      <c r="C96" s="48">
        <f>IF(+All!$F567="TCU",+All!C567,IF(+All!$H567="TCU",+All!C567,0))</f>
        <v>44863</v>
      </c>
      <c r="D96" s="490">
        <f>IF(+All!$F567="TCU",+All!D567,IF(+All!$H567="TCU",+All!D567,0))</f>
        <v>0.5</v>
      </c>
      <c r="E96" s="461" t="str">
        <f>IF(+All!$F567="TCU",+All!E567,IF(+All!$H567="TCU",+All!E567,0))</f>
        <v>ESPN</v>
      </c>
      <c r="F96" s="460" t="str">
        <f>IF(+All!$F567="TCU",+All!F567,IF(+All!$H567="TCU",+All!F567,0))</f>
        <v>TCU</v>
      </c>
      <c r="G96" s="461" t="str">
        <f>IF(+All!$F567="TCU",+All!G567,IF(+All!$H567="TCU",+All!G567,0))</f>
        <v>B12</v>
      </c>
      <c r="H96" s="462" t="str">
        <f>IF(+All!$F567="TCU",+All!H567,IF(+All!$H567="TCU",+All!H567,0))</f>
        <v>West Virginia</v>
      </c>
      <c r="I96" s="461" t="str">
        <f>IF(+All!$F567="TCU",+All!I567,IF(+All!$H567="TCU",+All!I567,0))</f>
        <v>B12</v>
      </c>
      <c r="J96" s="460" t="str">
        <f>IF(+All!$F567="TCU",+All!J567,IF(+All!$H567="TCU",+All!J567,0))</f>
        <v>TCU</v>
      </c>
      <c r="K96" s="461" t="str">
        <f>IF(+All!$F567="TCU",+All!K567,IF(+All!$H567="TCU",+All!K567,0))</f>
        <v>West Virginia</v>
      </c>
      <c r="L96" s="65">
        <f>IF(+All!$F567="TCU",+All!L567,IF(+All!$H567="TCU",+All!L567,0))</f>
        <v>7</v>
      </c>
      <c r="M96" s="66">
        <f>IF(+All!$F567="TCU",+All!M567,IF(+All!$H567="TCU",+All!M567,0))</f>
        <v>69</v>
      </c>
      <c r="N96" s="460" t="str">
        <f>IF(+All!$F567="TCU",+All!N567,IF(+All!$H567="TCU",+All!N567,0))</f>
        <v>TCU</v>
      </c>
      <c r="O96" s="462">
        <f>IF(+All!$F567="TCU",+All!O567,IF(+All!$H567="TCU",+All!O567,0))</f>
        <v>41</v>
      </c>
      <c r="P96" s="462" t="str">
        <f>IF(+All!$F567="TCU",+All!P567,IF(+All!$H567="TCU",+All!P567,0))</f>
        <v>West Virginia</v>
      </c>
      <c r="Q96" s="461">
        <f>IF(+All!$F567="TCU",+All!Q567,IF(+All!$H567="TCU",+All!Q567,0))</f>
        <v>31</v>
      </c>
      <c r="R96" s="460" t="str">
        <f>IF(+All!$F567="TCU",+All!R567,IF(+All!$H567="TCU",+All!R567,0))</f>
        <v>TCU</v>
      </c>
      <c r="S96" s="462" t="str">
        <f>IF(+All!$F567="TCU",+All!S567,IF(+All!$H567="TCU",+All!S567,0))</f>
        <v>West Virginia</v>
      </c>
      <c r="T96" s="460" t="str">
        <f>IF(+All!$F567="TCU",+All!T567,IF(+All!$H567="TCU",+All!T567,0))</f>
        <v>West Virginia</v>
      </c>
      <c r="U96" s="461" t="str">
        <f>IF(+All!$F567="TCU",+All!U567,IF(+All!$H567="TCU",+All!U567,0))</f>
        <v>L</v>
      </c>
    </row>
    <row r="97" spans="1:21" s="21" customFormat="1" ht="15.75" customHeight="1" x14ac:dyDescent="0.8">
      <c r="A97" s="46">
        <f>IF(+All!$F624="TCU",+All!A624,IF(+All!$H624="TCU",+All!A624,0))</f>
        <v>10</v>
      </c>
      <c r="B97" s="348" t="str">
        <f>IF(+All!$F624="TCU",+All!B624,IF(+All!$H624="TCU",+All!B624,0))</f>
        <v>Sat</v>
      </c>
      <c r="C97" s="48">
        <f>IF(+All!$F624="TCU",+All!C624,IF(+All!$H624="TCU",+All!C624,0))</f>
        <v>44870</v>
      </c>
      <c r="D97" s="490">
        <f>IF(+All!$F624="TCU",+All!D624,IF(+All!$H624="TCU",+All!D624,0))</f>
        <v>0.5</v>
      </c>
      <c r="E97" s="461" t="str">
        <f>IF(+All!$F624="TCU",+All!E624,IF(+All!$H624="TCU",+All!E624,0))</f>
        <v>Fox</v>
      </c>
      <c r="F97" s="460" t="str">
        <f>IF(+All!$F624="TCU",+All!F624,IF(+All!$H624="TCU",+All!F624,0))</f>
        <v>Texas Tech</v>
      </c>
      <c r="G97" s="461" t="str">
        <f>IF(+All!$F624="TCU",+All!G624,IF(+All!$H624="TCU",+All!G624,0))</f>
        <v>B12</v>
      </c>
      <c r="H97" s="462" t="str">
        <f>IF(+All!$F624="TCU",+All!H624,IF(+All!$H624="TCU",+All!H624,0))</f>
        <v>TCU</v>
      </c>
      <c r="I97" s="461" t="str">
        <f>IF(+All!$F624="TCU",+All!I624,IF(+All!$H624="TCU",+All!I624,0))</f>
        <v>B12</v>
      </c>
      <c r="J97" s="460" t="str">
        <f>IF(+All!$F624="TCU",+All!J624,IF(+All!$H624="TCU",+All!J624,0))</f>
        <v>TCU</v>
      </c>
      <c r="K97" s="461" t="str">
        <f>IF(+All!$F624="TCU",+All!K624,IF(+All!$H624="TCU",+All!K624,0))</f>
        <v>Texas Tech</v>
      </c>
      <c r="L97" s="65">
        <f>IF(+All!$F624="TCU",+All!L624,IF(+All!$H624="TCU",+All!L624,0))</f>
        <v>9.5</v>
      </c>
      <c r="M97" s="66">
        <f>IF(+All!$F624="TCU",+All!M624,IF(+All!$H624="TCU",+All!M624,0))</f>
        <v>69.5</v>
      </c>
      <c r="N97" s="460" t="str">
        <f>IF(+All!$F624="TCU",+All!N624,IF(+All!$H624="TCU",+All!N624,0))</f>
        <v>TCU</v>
      </c>
      <c r="O97" s="462">
        <f>IF(+All!$F624="TCU",+All!O624,IF(+All!$H624="TCU",+All!O624,0))</f>
        <v>34</v>
      </c>
      <c r="P97" s="462" t="str">
        <f>IF(+All!$F624="TCU",+All!P624,IF(+All!$H624="TCU",+All!P624,0))</f>
        <v>Texas Tech</v>
      </c>
      <c r="Q97" s="461">
        <f>IF(+All!$F624="TCU",+All!Q624,IF(+All!$H624="TCU",+All!Q624,0))</f>
        <v>24</v>
      </c>
      <c r="R97" s="460" t="str">
        <f>IF(+All!$F624="TCU",+All!R624,IF(+All!$H624="TCU",+All!R624,0))</f>
        <v>TCU</v>
      </c>
      <c r="S97" s="462" t="str">
        <f>IF(+All!$F624="TCU",+All!S624,IF(+All!$H624="TCU",+All!S624,0))</f>
        <v>Texas Tech</v>
      </c>
      <c r="T97" s="460" t="str">
        <f>IF(+All!$F624="TCU",+All!T624,IF(+All!$H624="TCU",+All!T624,0))</f>
        <v>Texas Tech</v>
      </c>
      <c r="U97" s="461" t="str">
        <f>IF(+All!$F624="TCU",+All!U624,IF(+All!$H624="TCU",+All!U624,0))</f>
        <v>L</v>
      </c>
    </row>
    <row r="98" spans="1:21" s="21" customFormat="1" ht="15.75" customHeight="1" x14ac:dyDescent="0.8">
      <c r="A98" s="46">
        <f>IF(+All!$F684="TCU",+All!A684,IF(+All!$H684="TCU",+All!A684,0))</f>
        <v>11</v>
      </c>
      <c r="B98" s="348" t="str">
        <f>IF(+All!$F684="TCU",+All!B684,IF(+All!$H684="TCU",+All!B684,0))</f>
        <v>Sat</v>
      </c>
      <c r="C98" s="48">
        <f>IF(+All!$F684="TCU",+All!C684,IF(+All!$H684="TCU",+All!C684,0))</f>
        <v>44877</v>
      </c>
      <c r="D98" s="490">
        <f>IF(+All!$F684="TCU",+All!D684,IF(+All!$H684="TCU",+All!D684,0))</f>
        <v>0.8125</v>
      </c>
      <c r="E98" s="461" t="str">
        <f>IF(+All!$F684="TCU",+All!E684,IF(+All!$H684="TCU",+All!E684,0))</f>
        <v>ABC</v>
      </c>
      <c r="F98" s="460" t="str">
        <f>IF(+All!$F684="TCU",+All!F684,IF(+All!$H684="TCU",+All!F684,0))</f>
        <v>TCU</v>
      </c>
      <c r="G98" s="461" t="str">
        <f>IF(+All!$F684="TCU",+All!G684,IF(+All!$H684="TCU",+All!G684,0))</f>
        <v>B12</v>
      </c>
      <c r="H98" s="462" t="str">
        <f>IF(+All!$F684="TCU",+All!H684,IF(+All!$H684="TCU",+All!H684,0))</f>
        <v>Texas</v>
      </c>
      <c r="I98" s="461" t="str">
        <f>IF(+All!$F684="TCU",+All!I684,IF(+All!$H684="TCU",+All!I684,0))</f>
        <v>B12</v>
      </c>
      <c r="J98" s="460" t="str">
        <f>IF(+All!$F684="TCU",+All!J684,IF(+All!$H684="TCU",+All!J684,0))</f>
        <v>Texas</v>
      </c>
      <c r="K98" s="461" t="str">
        <f>IF(+All!$F684="TCU",+All!K684,IF(+All!$H684="TCU",+All!K684,0))</f>
        <v>TCU</v>
      </c>
      <c r="L98" s="65">
        <f>IF(+All!$F684="TCU",+All!L684,IF(+All!$H684="TCU",+All!L684,0))</f>
        <v>7</v>
      </c>
      <c r="M98" s="66">
        <f>IF(+All!$F684="TCU",+All!M684,IF(+All!$H684="TCU",+All!M684,0))</f>
        <v>65.5</v>
      </c>
      <c r="N98" s="460" t="str">
        <f>IF(+All!$F684="TCU",+All!N684,IF(+All!$H684="TCU",+All!N684,0))</f>
        <v>TCU</v>
      </c>
      <c r="O98" s="462">
        <f>IF(+All!$F684="TCU",+All!O684,IF(+All!$H684="TCU",+All!O684,0))</f>
        <v>17</v>
      </c>
      <c r="P98" s="462" t="str">
        <f>IF(+All!$F684="TCU",+All!P684,IF(+All!$H684="TCU",+All!P684,0))</f>
        <v>Texas</v>
      </c>
      <c r="Q98" s="461">
        <f>IF(+All!$F684="TCU",+All!Q684,IF(+All!$H684="TCU",+All!Q684,0))</f>
        <v>10</v>
      </c>
      <c r="R98" s="460" t="str">
        <f>IF(+All!$F684="TCU",+All!R684,IF(+All!$H684="TCU",+All!R684,0))</f>
        <v>TCU</v>
      </c>
      <c r="S98" s="462" t="str">
        <f>IF(+All!$F684="TCU",+All!S684,IF(+All!$H684="TCU",+All!S684,0))</f>
        <v>Texas</v>
      </c>
      <c r="T98" s="460" t="str">
        <f>IF(+All!$F684="TCU",+All!T684,IF(+All!$H684="TCU",+All!T684,0))</f>
        <v>Texas</v>
      </c>
      <c r="U98" s="461" t="str">
        <f>IF(+All!$F684="TCU",+All!U684,IF(+All!$H684="TCU",+All!U684,0))</f>
        <v>L</v>
      </c>
    </row>
    <row r="99" spans="1:21" s="21" customFormat="1" ht="15.75" customHeight="1" x14ac:dyDescent="0.8">
      <c r="A99" s="46">
        <f>IF(+All!$F744="TCU",+All!A744,IF(+All!$H744="TCU",+All!A744,0))</f>
        <v>12</v>
      </c>
      <c r="B99" s="348" t="str">
        <f>IF(+All!$F744="TCU",+All!B744,IF(+All!$H744="TCU",+All!B744,0))</f>
        <v>Sat</v>
      </c>
      <c r="C99" s="48">
        <f>IF(+All!$F744="TCU",+All!C744,IF(+All!$H744="TCU",+All!C744,0))</f>
        <v>44884</v>
      </c>
      <c r="D99" s="490">
        <f>IF(+All!$F744="TCU",+All!D744,IF(+All!$H744="TCU",+All!D744,0))</f>
        <v>0.5</v>
      </c>
      <c r="E99" s="461" t="str">
        <f>IF(+All!$F744="TCU",+All!E744,IF(+All!$H744="TCU",+All!E744,0))</f>
        <v>Fox</v>
      </c>
      <c r="F99" s="460" t="str">
        <f>IF(+All!$F744="TCU",+All!F744,IF(+All!$H744="TCU",+All!F744,0))</f>
        <v>TCU</v>
      </c>
      <c r="G99" s="461" t="str">
        <f>IF(+All!$F744="TCU",+All!G744,IF(+All!$H744="TCU",+All!G744,0))</f>
        <v>B12</v>
      </c>
      <c r="H99" s="462" t="str">
        <f>IF(+All!$F744="TCU",+All!H744,IF(+All!$H744="TCU",+All!H744,0))</f>
        <v>Baylor</v>
      </c>
      <c r="I99" s="461" t="str">
        <f>IF(+All!$F744="TCU",+All!I744,IF(+All!$H744="TCU",+All!I744,0))</f>
        <v>B12</v>
      </c>
      <c r="J99" s="460" t="str">
        <f>IF(+All!$F744="TCU",+All!J744,IF(+All!$H744="TCU",+All!J744,0))</f>
        <v>TCU</v>
      </c>
      <c r="K99" s="461" t="str">
        <f>IF(+All!$F744="TCU",+All!K744,IF(+All!$H744="TCU",+All!K744,0))</f>
        <v>Baylor</v>
      </c>
      <c r="L99" s="65">
        <f>IF(+All!$F744="TCU",+All!L744,IF(+All!$H744="TCU",+All!L744,0))</f>
        <v>2.5</v>
      </c>
      <c r="M99" s="66">
        <f>IF(+All!$F744="TCU",+All!M744,IF(+All!$H744="TCU",+All!M744,0))</f>
        <v>58</v>
      </c>
      <c r="N99" s="460" t="str">
        <f>IF(+All!$F744="TCU",+All!N744,IF(+All!$H744="TCU",+All!N744,0))</f>
        <v>TCU</v>
      </c>
      <c r="O99" s="462">
        <f>IF(+All!$F744="TCU",+All!O744,IF(+All!$H744="TCU",+All!O744,0))</f>
        <v>29</v>
      </c>
      <c r="P99" s="462" t="str">
        <f>IF(+All!$F744="TCU",+All!P744,IF(+All!$H744="TCU",+All!P744,0))</f>
        <v>Baylor</v>
      </c>
      <c r="Q99" s="461">
        <f>IF(+All!$F744="TCU",+All!Q744,IF(+All!$H744="TCU",+All!Q744,0))</f>
        <v>28</v>
      </c>
      <c r="R99" s="460" t="str">
        <f>IF(+All!$F744="TCU",+All!R744,IF(+All!$H744="TCU",+All!R744,0))</f>
        <v>Baylor</v>
      </c>
      <c r="S99" s="462" t="str">
        <f>IF(+All!$F744="TCU",+All!S744,IF(+All!$H744="TCU",+All!S744,0))</f>
        <v>TCU</v>
      </c>
      <c r="T99" s="460" t="str">
        <f>IF(+All!$F744="TCU",+All!T744,IF(+All!$H744="TCU",+All!T744,0))</f>
        <v>Baylor</v>
      </c>
      <c r="U99" s="461" t="str">
        <f>IF(+All!$F744="TCU",+All!U744,IF(+All!$H744="TCU",+All!U744,0))</f>
        <v>W</v>
      </c>
    </row>
    <row r="100" spans="1:21" s="21" customFormat="1" ht="15.75" customHeight="1" x14ac:dyDescent="0.8">
      <c r="A100" s="46">
        <f>IF(+All!$F816="TCU",+All!A816,IF(+All!$H816="TCU",+All!A816,0))</f>
        <v>13</v>
      </c>
      <c r="B100" s="348" t="str">
        <f>IF(+All!$F816="TCU",+All!B816,IF(+All!$H816="TCU",+All!B816,0))</f>
        <v>Sat</v>
      </c>
      <c r="C100" s="48">
        <f>IF(+All!$F816="TCU",+All!C816,IF(+All!$H816="TCU",+All!C816,0))</f>
        <v>44891</v>
      </c>
      <c r="D100" s="490">
        <f>IF(+All!$F816="TCU",+All!D816,IF(+All!$H816="TCU",+All!D816,0))</f>
        <v>0.66666666666666663</v>
      </c>
      <c r="E100" s="461" t="str">
        <f>IF(+All!$F816="TCU",+All!E816,IF(+All!$H816="TCU",+All!E816,0))</f>
        <v>Fox</v>
      </c>
      <c r="F100" s="460" t="str">
        <f>IF(+All!$F816="TCU",+All!F816,IF(+All!$H816="TCU",+All!F816,0))</f>
        <v>Iowa State</v>
      </c>
      <c r="G100" s="461" t="str">
        <f>IF(+All!$F816="TCU",+All!G816,IF(+All!$H816="TCU",+All!G816,0))</f>
        <v>B12</v>
      </c>
      <c r="H100" s="462" t="str">
        <f>IF(+All!$F816="TCU",+All!H816,IF(+All!$H816="TCU",+All!H816,0))</f>
        <v>TCU</v>
      </c>
      <c r="I100" s="461" t="str">
        <f>IF(+All!$F816="TCU",+All!I816,IF(+All!$H816="TCU",+All!I816,0))</f>
        <v>B12</v>
      </c>
      <c r="J100" s="460" t="str">
        <f>IF(+All!$F816="TCU",+All!J816,IF(+All!$H816="TCU",+All!J816,0))</f>
        <v>TCU</v>
      </c>
      <c r="K100" s="461" t="str">
        <f>IF(+All!$F816="TCU",+All!K816,IF(+All!$H816="TCU",+All!K816,0))</f>
        <v>Iowa State</v>
      </c>
      <c r="L100" s="65">
        <f>IF(+All!$F816="TCU",+All!L816,IF(+All!$H816="TCU",+All!L816,0))</f>
        <v>9.5</v>
      </c>
      <c r="M100" s="66">
        <f>IF(+All!$F816="TCU",+All!M816,IF(+All!$H816="TCU",+All!M816,0))</f>
        <v>46.5</v>
      </c>
      <c r="N100" s="460" t="str">
        <f>IF(+All!$F816="TCU",+All!N816,IF(+All!$H816="TCU",+All!N816,0))</f>
        <v>TCU</v>
      </c>
      <c r="O100" s="462">
        <f>IF(+All!$F816="TCU",+All!O816,IF(+All!$H816="TCU",+All!O816,0))</f>
        <v>62</v>
      </c>
      <c r="P100" s="462" t="str">
        <f>IF(+All!$F816="TCU",+All!P816,IF(+All!$H816="TCU",+All!P816,0))</f>
        <v>Iowa State</v>
      </c>
      <c r="Q100" s="461">
        <f>IF(+All!$F816="TCU",+All!Q816,IF(+All!$H816="TCU",+All!Q816,0))</f>
        <v>14</v>
      </c>
      <c r="R100" s="460" t="str">
        <f>IF(+All!$F816="TCU",+All!R816,IF(+All!$H816="TCU",+All!R816,0))</f>
        <v>TCU</v>
      </c>
      <c r="S100" s="462" t="str">
        <f>IF(+All!$F816="TCU",+All!S816,IF(+All!$H816="TCU",+All!S816,0))</f>
        <v>Iowa State</v>
      </c>
      <c r="T100" s="460" t="str">
        <f>IF(+All!$F816="TCU",+All!T816,IF(+All!$H816="TCU",+All!T816,0))</f>
        <v>Iowa State</v>
      </c>
      <c r="U100" s="461" t="str">
        <f>IF(+All!$F816="TCU",+All!U816,IF(+All!$H816="TCU",+All!U816,0))</f>
        <v>L</v>
      </c>
    </row>
    <row r="101" spans="1:21" s="21" customFormat="1" ht="15.75" customHeight="1" x14ac:dyDescent="0.8">
      <c r="A101" s="38"/>
      <c r="B101" s="39"/>
      <c r="C101" s="40"/>
      <c r="D101" s="41"/>
      <c r="E101" s="463"/>
      <c r="F101" s="897" t="str">
        <f>H103</f>
        <v>Texas</v>
      </c>
      <c r="G101" s="901"/>
      <c r="H101" s="901"/>
      <c r="I101" s="902"/>
      <c r="J101" s="459"/>
      <c r="K101" s="463"/>
      <c r="L101" s="44"/>
      <c r="M101" s="45"/>
      <c r="N101" s="459"/>
      <c r="O101" s="5"/>
      <c r="P101" s="5"/>
      <c r="Q101" s="463"/>
      <c r="R101" s="459"/>
      <c r="S101" s="5"/>
      <c r="T101" s="459"/>
      <c r="U101" s="463"/>
    </row>
    <row r="102" spans="1:21" s="358" customFormat="1" x14ac:dyDescent="0.8">
      <c r="A102" s="46">
        <f>IF(+All!$F90="Texas",+All!A90,IF(+All!$H90="Texas",+All!A90,0))</f>
        <v>1</v>
      </c>
      <c r="B102" s="348" t="str">
        <f>IF(+All!$F90="Texas",+All!B90,IF(+All!$H90="Texas",+All!B90,0))</f>
        <v>Sat</v>
      </c>
      <c r="C102" s="72">
        <f>IF(+All!$F90="Texas",+All!C90,IF(+All!$H90="Texas",+All!C90,0))</f>
        <v>44807</v>
      </c>
      <c r="D102" s="73">
        <f>IF(+All!$F90="Texas",+All!D90,IF(+All!$H90="Texas",+All!D90,0))</f>
        <v>0.83333333333333337</v>
      </c>
      <c r="E102" s="461">
        <f>IF(+All!$F90="Texas",+All!E90,IF(+All!$H90="Texas",+All!E90,0))</f>
        <v>0</v>
      </c>
      <c r="F102" s="460" t="str">
        <f>IF(+All!$F90="Texas",+All!F90,IF(+All!$H90="Texas",+All!F90,0))</f>
        <v>UL Monroe</v>
      </c>
      <c r="G102" s="461" t="str">
        <f>IF(+All!$F90="Texas",+All!G90,IF(+All!$H90="Texas",+All!G90,0))</f>
        <v>SB</v>
      </c>
      <c r="H102" s="462" t="str">
        <f>IF(+All!$F90="Texas",+All!H90,IF(+All!$H90="Texas",+All!H90,0))</f>
        <v>Texas</v>
      </c>
      <c r="I102" s="461" t="str">
        <f>IF(+All!$F90="Texas",+All!I90,IF(+All!$H90="Texas",+All!I90,0))</f>
        <v>B12</v>
      </c>
      <c r="J102" s="460" t="str">
        <f>IF(+All!$F90="Texas",+All!J90,IF(+All!$H90="Texas",+All!J90,0))</f>
        <v>Texas</v>
      </c>
      <c r="K102" s="461" t="str">
        <f>IF(+All!$F90="Texas",+All!K90,IF(+All!$H90="Texas",+All!K90,0))</f>
        <v>UL Monroe</v>
      </c>
      <c r="L102" s="60">
        <f>IF(+All!$F90="Texas",+All!L90,IF(+All!$H90="Texas",+All!L90,0))</f>
        <v>37.5</v>
      </c>
      <c r="M102" s="61">
        <f>IF(+All!$F90="Texas",+All!M90,IF(+All!$H90="Texas",+All!M90,0))</f>
        <v>64.5</v>
      </c>
      <c r="N102" s="460" t="str">
        <f>IF(+All!$F90="Texas",+All!N90,IF(+All!$H90="Texas",+All!N90,0))</f>
        <v>Texas</v>
      </c>
      <c r="O102" s="462">
        <f>IF(+All!$F90="Texas",+All!O90,IF(+All!$H90="Texas",+All!O90,0))</f>
        <v>52</v>
      </c>
      <c r="P102" s="462" t="str">
        <f>IF(+All!$F90="Texas",+All!P90,IF(+All!$H90="Texas",+All!P90,0))</f>
        <v>UL Monroe</v>
      </c>
      <c r="Q102" s="461">
        <f>IF(+All!$F90="Texas",+All!Q90,IF(+All!$H90="Texas",+All!Q90,0))</f>
        <v>10</v>
      </c>
      <c r="R102" s="460" t="str">
        <f>IF(+All!$F90="Texas",+All!R90,IF(+All!$H90="Texas",+All!R90,0))</f>
        <v>Texas</v>
      </c>
      <c r="S102" s="462" t="str">
        <f>IF(+All!$F90="Texas",+All!S90,IF(+All!$H90="Texas",+All!S90,0))</f>
        <v>UL Monroe</v>
      </c>
      <c r="T102" s="460" t="str">
        <f>IF(+All!$F90="Texas",+All!T90,IF(+All!$H90="Texas",+All!T90,0))</f>
        <v>Texas</v>
      </c>
      <c r="U102" s="461" t="str">
        <f>IF(+All!$F90="Texas",+All!U90,IF(+All!$H90="Texas",+All!U90,0))</f>
        <v>W</v>
      </c>
    </row>
    <row r="103" spans="1:21" s="358" customFormat="1" x14ac:dyDescent="0.8">
      <c r="A103" s="46">
        <f>IF(+All!$F131="Texas",+All!A131,IF(+All!$H131="Texas",+All!A131,0))</f>
        <v>2</v>
      </c>
      <c r="B103" s="348" t="str">
        <f>IF(+All!$F131="Texas",+All!B131,IF(+All!$H131="Texas",+All!B131,0))</f>
        <v>Sat</v>
      </c>
      <c r="C103" s="72">
        <f>IF(+All!$F131="Texas",+All!C131,IF(+All!$H131="Texas",+All!C131,0))</f>
        <v>44814</v>
      </c>
      <c r="D103" s="73">
        <f>IF(+All!$F131="Texas",+All!D131,IF(+All!$H131="Texas",+All!D131,0))</f>
        <v>0.5</v>
      </c>
      <c r="E103" s="461" t="str">
        <f>IF(+All!$F131="Texas",+All!E131,IF(+All!$H131="Texas",+All!E131,0))</f>
        <v>Fox</v>
      </c>
      <c r="F103" s="460" t="str">
        <f>IF(+All!$F131="Texas",+All!F131,IF(+All!$H131="Texas",+All!F131,0))</f>
        <v>Alabama</v>
      </c>
      <c r="G103" s="461" t="str">
        <f>IF(+All!$F131="Texas",+All!G131,IF(+All!$H131="Texas",+All!G131,0))</f>
        <v>SEC</v>
      </c>
      <c r="H103" s="462" t="str">
        <f>IF(+All!$F131="Texas",+All!H131,IF(+All!$H131="Texas",+All!H131,0))</f>
        <v>Texas</v>
      </c>
      <c r="I103" s="461" t="str">
        <f>IF(+All!$F131="Texas",+All!I131,IF(+All!$H131="Texas",+All!I131,0))</f>
        <v>B12</v>
      </c>
      <c r="J103" s="460" t="str">
        <f>IF(+All!$F131="Texas",+All!J131,IF(+All!$H131="Texas",+All!J131,0))</f>
        <v>Alabama</v>
      </c>
      <c r="K103" s="461" t="str">
        <f>IF(+All!$F131="Texas",+All!K131,IF(+All!$H131="Texas",+All!K131,0))</f>
        <v>Texas</v>
      </c>
      <c r="L103" s="60">
        <f>IF(+All!$F131="Texas",+All!L131,IF(+All!$H131="Texas",+All!L131,0))</f>
        <v>20</v>
      </c>
      <c r="M103" s="61">
        <f>IF(+All!$F131="Texas",+All!M131,IF(+All!$H131="Texas",+All!M131,0))</f>
        <v>64.5</v>
      </c>
      <c r="N103" s="460" t="str">
        <f>IF(+All!$F131="Texas",+All!N131,IF(+All!$H131="Texas",+All!N131,0))</f>
        <v>Alabama</v>
      </c>
      <c r="O103" s="462">
        <f>IF(+All!$F131="Texas",+All!O131,IF(+All!$H131="Texas",+All!O131,0))</f>
        <v>20</v>
      </c>
      <c r="P103" s="462" t="str">
        <f>IF(+All!$F131="Texas",+All!P131,IF(+All!$H131="Texas",+All!P131,0))</f>
        <v>Texas</v>
      </c>
      <c r="Q103" s="461">
        <f>IF(+All!$F131="Texas",+All!Q131,IF(+All!$H131="Texas",+All!Q131,0))</f>
        <v>19</v>
      </c>
      <c r="R103" s="460" t="str">
        <f>IF(+All!$F131="Texas",+All!R131,IF(+All!$H131="Texas",+All!R131,0))</f>
        <v>Texas</v>
      </c>
      <c r="S103" s="462" t="str">
        <f>IF(+All!$F131="Texas",+All!S131,IF(+All!$H131="Texas",+All!S131,0))</f>
        <v>Alabama</v>
      </c>
      <c r="T103" s="460" t="str">
        <f>IF(+All!$F131="Texas",+All!T131,IF(+All!$H131="Texas",+All!T131,0))</f>
        <v>Alabama</v>
      </c>
      <c r="U103" s="461" t="str">
        <f>IF(+All!$F131="Texas",+All!U131,IF(+All!$H131="Texas",+All!U131,0))</f>
        <v>L</v>
      </c>
    </row>
    <row r="104" spans="1:21" s="358" customFormat="1" x14ac:dyDescent="0.8">
      <c r="A104" s="46">
        <f>IF(+All!$F210="Texas",+All!A210,IF(+All!$H210="Texas",+All!A210,0))</f>
        <v>3</v>
      </c>
      <c r="B104" s="348" t="str">
        <f>IF(+All!$F210="Texas",+All!B210,IF(+All!$H210="Texas",+All!B210,0))</f>
        <v>Sat</v>
      </c>
      <c r="C104" s="72">
        <f>IF(+All!$F210="Texas",+All!C210,IF(+All!$H210="Texas",+All!C210,0))</f>
        <v>44821</v>
      </c>
      <c r="D104" s="73">
        <f>IF(+All!$F210="Texas",+All!D210,IF(+All!$H210="Texas",+All!D210,0))</f>
        <v>0.83333333333333337</v>
      </c>
      <c r="E104" s="461" t="str">
        <f>IF(+All!$F210="Texas",+All!E210,IF(+All!$H210="Texas",+All!E210,0))</f>
        <v>LHN</v>
      </c>
      <c r="F104" s="460" t="str">
        <f>IF(+All!$F210="Texas",+All!F210,IF(+All!$H210="Texas",+All!F210,0))</f>
        <v>UT San Antonio</v>
      </c>
      <c r="G104" s="461" t="str">
        <f>IF(+All!$F210="Texas",+All!G210,IF(+All!$H210="Texas",+All!G210,0))</f>
        <v>CUSA</v>
      </c>
      <c r="H104" s="462" t="str">
        <f>IF(+All!$F210="Texas",+All!H210,IF(+All!$H210="Texas",+All!H210,0))</f>
        <v>Texas</v>
      </c>
      <c r="I104" s="461" t="str">
        <f>IF(+All!$F210="Texas",+All!I210,IF(+All!$H210="Texas",+All!I210,0))</f>
        <v>B12</v>
      </c>
      <c r="J104" s="460" t="str">
        <f>IF(+All!$F210="Texas",+All!J210,IF(+All!$H210="Texas",+All!J210,0))</f>
        <v>Texas</v>
      </c>
      <c r="K104" s="461" t="str">
        <f>IF(+All!$F210="Texas",+All!K210,IF(+All!$H210="Texas",+All!K210,0))</f>
        <v>UT San Antonio</v>
      </c>
      <c r="L104" s="60">
        <f>IF(+All!$F210="Texas",+All!L210,IF(+All!$H210="Texas",+All!L210,0))</f>
        <v>12.5</v>
      </c>
      <c r="M104" s="61">
        <f>IF(+All!$F210="Texas",+All!M210,IF(+All!$H210="Texas",+All!M210,0))</f>
        <v>61.5</v>
      </c>
      <c r="N104" s="460" t="str">
        <f>IF(+All!$F210="Texas",+All!N210,IF(+All!$H210="Texas",+All!N210,0))</f>
        <v>Texas</v>
      </c>
      <c r="O104" s="462">
        <f>IF(+All!$F210="Texas",+All!O210,IF(+All!$H210="Texas",+All!O210,0))</f>
        <v>41</v>
      </c>
      <c r="P104" s="462" t="str">
        <f>IF(+All!$F210="Texas",+All!P210,IF(+All!$H210="Texas",+All!P210,0))</f>
        <v>UT San Antonio</v>
      </c>
      <c r="Q104" s="461">
        <f>IF(+All!$F210="Texas",+All!Q210,IF(+All!$H210="Texas",+All!Q210,0))</f>
        <v>20</v>
      </c>
      <c r="R104" s="460" t="str">
        <f>IF(+All!$F210="Texas",+All!R210,IF(+All!$H210="Texas",+All!R210,0))</f>
        <v>Texas</v>
      </c>
      <c r="S104" s="462" t="str">
        <f>IF(+All!$F210="Texas",+All!S210,IF(+All!$H210="Texas",+All!S210,0))</f>
        <v>UT San Antonio</v>
      </c>
      <c r="T104" s="460" t="str">
        <f>IF(+All!$F210="Texas",+All!T210,IF(+All!$H210="Texas",+All!T210,0))</f>
        <v>UT San Antonio</v>
      </c>
      <c r="U104" s="461" t="str">
        <f>IF(+All!$F210="Texas",+All!U210,IF(+All!$H210="Texas",+All!U210,0))</f>
        <v>L</v>
      </c>
    </row>
    <row r="105" spans="1:21" s="358" customFormat="1" x14ac:dyDescent="0.8">
      <c r="A105" s="46">
        <f>IF(+All!$F283="Texas",+All!A283,IF(+All!$H283="Texas",+All!A283,0))</f>
        <v>4</v>
      </c>
      <c r="B105" s="348" t="str">
        <f>IF(+All!$F283="Texas",+All!B283,IF(+All!$H283="Texas",+All!B283,0))</f>
        <v>Sat</v>
      </c>
      <c r="C105" s="72">
        <f>IF(+All!$F283="Texas",+All!C283,IF(+All!$H283="Texas",+All!C283,0))</f>
        <v>44828</v>
      </c>
      <c r="D105" s="73">
        <f>IF(+All!$F283="Texas",+All!D283,IF(+All!$H283="Texas",+All!D283,0))</f>
        <v>0.64583333333333337</v>
      </c>
      <c r="E105" s="461" t="str">
        <f>IF(+All!$F283="Texas",+All!E283,IF(+All!$H283="Texas",+All!E283,0))</f>
        <v>FS1</v>
      </c>
      <c r="F105" s="460" t="str">
        <f>IF(+All!$F283="Texas",+All!F283,IF(+All!$H283="Texas",+All!F283,0))</f>
        <v>Texas</v>
      </c>
      <c r="G105" s="461" t="str">
        <f>IF(+All!$F283="Texas",+All!G283,IF(+All!$H283="Texas",+All!G283,0))</f>
        <v>B12</v>
      </c>
      <c r="H105" s="462" t="str">
        <f>IF(+All!$F283="Texas",+All!H283,IF(+All!$H283="Texas",+All!H283,0))</f>
        <v>Texas Tech</v>
      </c>
      <c r="I105" s="461" t="str">
        <f>IF(+All!$F283="Texas",+All!I283,IF(+All!$H283="Texas",+All!I283,0))</f>
        <v>B12</v>
      </c>
      <c r="J105" s="460" t="str">
        <f>IF(+All!$F283="Texas",+All!J283,IF(+All!$H283="Texas",+All!J283,0))</f>
        <v>Texas</v>
      </c>
      <c r="K105" s="461" t="str">
        <f>IF(+All!$F283="Texas",+All!K283,IF(+All!$H283="Texas",+All!K283,0))</f>
        <v>Texas Tech</v>
      </c>
      <c r="L105" s="60">
        <f>IF(+All!$F283="Texas",+All!L283,IF(+All!$H283="Texas",+All!L283,0))</f>
        <v>6.5</v>
      </c>
      <c r="M105" s="61">
        <f>IF(+All!$F283="Texas",+All!M283,IF(+All!$H283="Texas",+All!M283,0))</f>
        <v>60</v>
      </c>
      <c r="N105" s="460" t="str">
        <f>IF(+All!$F283="Texas",+All!N283,IF(+All!$H283="Texas",+All!N283,0))</f>
        <v>Texas Tech</v>
      </c>
      <c r="O105" s="462">
        <f>IF(+All!$F283="Texas",+All!O283,IF(+All!$H283="Texas",+All!O283,0))</f>
        <v>37</v>
      </c>
      <c r="P105" s="462" t="str">
        <f>IF(+All!$F283="Texas",+All!P283,IF(+All!$H283="Texas",+All!P283,0))</f>
        <v>Texas</v>
      </c>
      <c r="Q105" s="461">
        <f>IF(+All!$F283="Texas",+All!Q283,IF(+All!$H283="Texas",+All!Q283,0))</f>
        <v>34</v>
      </c>
      <c r="R105" s="460" t="str">
        <f>IF(+All!$F283="Texas",+All!R283,IF(+All!$H283="Texas",+All!R283,0))</f>
        <v>Texas Tech</v>
      </c>
      <c r="S105" s="462" t="str">
        <f>IF(+All!$F283="Texas",+All!S283,IF(+All!$H283="Texas",+All!S283,0))</f>
        <v>Texas</v>
      </c>
      <c r="T105" s="460" t="str">
        <f>IF(+All!$F283="Texas",+All!T283,IF(+All!$H283="Texas",+All!T283,0))</f>
        <v>Texas</v>
      </c>
      <c r="U105" s="461" t="str">
        <f>IF(+All!$F283="Texas",+All!U283,IF(+All!$H283="Texas",+All!U283,0))</f>
        <v>L</v>
      </c>
    </row>
    <row r="106" spans="1:21" s="358" customFormat="1" x14ac:dyDescent="0.8">
      <c r="A106" s="46">
        <f>IF(+All!$F346="Texas",+All!A346,IF(+All!$H346="Texas",+All!A346,0))</f>
        <v>5</v>
      </c>
      <c r="B106" s="348" t="str">
        <f>IF(+All!$F346="Texas",+All!B346,IF(+All!$H346="Texas",+All!B346,0))</f>
        <v>Sat</v>
      </c>
      <c r="C106" s="72">
        <f>IF(+All!$F346="Texas",+All!C346,IF(+All!$H346="Texas",+All!C346,0))</f>
        <v>44835</v>
      </c>
      <c r="D106" s="73">
        <f>IF(+All!$F346="Texas",+All!D346,IF(+All!$H346="Texas",+All!D346,0))</f>
        <v>0.8125</v>
      </c>
      <c r="E106" s="461" t="str">
        <f>IF(+All!$F346="Texas",+All!E346,IF(+All!$H346="Texas",+All!E346,0))</f>
        <v>FS1</v>
      </c>
      <c r="F106" s="460" t="str">
        <f>IF(+All!$F346="Texas",+All!F346,IF(+All!$H346="Texas",+All!F346,0))</f>
        <v>West Virginia</v>
      </c>
      <c r="G106" s="461" t="str">
        <f>IF(+All!$F346="Texas",+All!G346,IF(+All!$H346="Texas",+All!G346,0))</f>
        <v>B12</v>
      </c>
      <c r="H106" s="462" t="str">
        <f>IF(+All!$F346="Texas",+All!H346,IF(+All!$H346="Texas",+All!H346,0))</f>
        <v>Texas</v>
      </c>
      <c r="I106" s="461" t="str">
        <f>IF(+All!$F346="Texas",+All!I346,IF(+All!$H346="Texas",+All!I346,0))</f>
        <v>B12</v>
      </c>
      <c r="J106" s="460" t="str">
        <f>IF(+All!$F346="Texas",+All!J346,IF(+All!$H346="Texas",+All!J346,0))</f>
        <v>Texas</v>
      </c>
      <c r="K106" s="461" t="str">
        <f>IF(+All!$F346="Texas",+All!K346,IF(+All!$H346="Texas",+All!K346,0))</f>
        <v>West Virginia</v>
      </c>
      <c r="L106" s="60">
        <f>IF(+All!$F346="Texas",+All!L346,IF(+All!$H346="Texas",+All!L346,0))</f>
        <v>10</v>
      </c>
      <c r="M106" s="61">
        <f>IF(+All!$F346="Texas",+All!M346,IF(+All!$H346="Texas",+All!M346,0))</f>
        <v>62</v>
      </c>
      <c r="N106" s="460" t="str">
        <f>IF(+All!$F346="Texas",+All!N346,IF(+All!$H346="Texas",+All!N346,0))</f>
        <v>Texas</v>
      </c>
      <c r="O106" s="462">
        <f>IF(+All!$F346="Texas",+All!O346,IF(+All!$H346="Texas",+All!O346,0))</f>
        <v>38</v>
      </c>
      <c r="P106" s="462" t="str">
        <f>IF(+All!$F346="Texas",+All!P346,IF(+All!$H346="Texas",+All!P346,0))</f>
        <v>West Virginia</v>
      </c>
      <c r="Q106" s="461">
        <f>IF(+All!$F346="Texas",+All!Q346,IF(+All!$H346="Texas",+All!Q346,0))</f>
        <v>20</v>
      </c>
      <c r="R106" s="460" t="str">
        <f>IF(+All!$F346="Texas",+All!R346,IF(+All!$H346="Texas",+All!R346,0))</f>
        <v>Texas</v>
      </c>
      <c r="S106" s="462" t="str">
        <f>IF(+All!$F346="Texas",+All!S346,IF(+All!$H346="Texas",+All!S346,0))</f>
        <v>West Virginia</v>
      </c>
      <c r="T106" s="460" t="str">
        <f>IF(+All!$F346="Texas",+All!T346,IF(+All!$H346="Texas",+All!T346,0))</f>
        <v>West Virginia</v>
      </c>
      <c r="U106" s="461" t="str">
        <f>IF(+All!$F346="Texas",+All!U346,IF(+All!$H346="Texas",+All!U346,0))</f>
        <v>L</v>
      </c>
    </row>
    <row r="107" spans="1:21" s="358" customFormat="1" x14ac:dyDescent="0.8">
      <c r="A107" s="46">
        <f>IF(+All!$F403="Texas",+All!A403,IF(+All!$H403="Texas",+All!A403,0))</f>
        <v>6</v>
      </c>
      <c r="B107" s="348" t="str">
        <f>IF(+All!$F403="Texas",+All!B403,IF(+All!$H403="Texas",+All!B403,0))</f>
        <v>Sat</v>
      </c>
      <c r="C107" s="72">
        <f>IF(+All!$F403="Texas",+All!C403,IF(+All!$H403="Texas",+All!C403,0))</f>
        <v>44842</v>
      </c>
      <c r="D107" s="73">
        <f>IF(+All!$F403="Texas",+All!D403,IF(+All!$H403="Texas",+All!D403,0))</f>
        <v>0.5</v>
      </c>
      <c r="E107" s="461" t="str">
        <f>IF(+All!$F403="Texas",+All!E403,IF(+All!$H403="Texas",+All!E403,0))</f>
        <v>ABC</v>
      </c>
      <c r="F107" s="460" t="str">
        <f>IF(+All!$F403="Texas",+All!F403,IF(+All!$H403="Texas",+All!F403,0))</f>
        <v>Texas</v>
      </c>
      <c r="G107" s="461" t="str">
        <f>IF(+All!$F403="Texas",+All!G403,IF(+All!$H403="Texas",+All!G403,0))</f>
        <v>B12</v>
      </c>
      <c r="H107" s="462" t="str">
        <f>IF(+All!$F403="Texas",+All!H403,IF(+All!$H403="Texas",+All!H403,0))</f>
        <v>Oklahoma</v>
      </c>
      <c r="I107" s="461" t="str">
        <f>IF(+All!$F403="Texas",+All!I403,IF(+All!$H403="Texas",+All!I403,0))</f>
        <v>B12</v>
      </c>
      <c r="J107" s="460" t="str">
        <f>IF(+All!$F403="Texas",+All!J403,IF(+All!$H403="Texas",+All!J403,0))</f>
        <v>Texas</v>
      </c>
      <c r="K107" s="461" t="str">
        <f>IF(+All!$F403="Texas",+All!K403,IF(+All!$H403="Texas",+All!K403,0))</f>
        <v>Oklahoma</v>
      </c>
      <c r="L107" s="60">
        <f>IF(+All!$F403="Texas",+All!L403,IF(+All!$H403="Texas",+All!L403,0))</f>
        <v>7</v>
      </c>
      <c r="M107" s="61">
        <f>IF(+All!$F403="Texas",+All!M403,IF(+All!$H403="Texas",+All!M403,0))</f>
        <v>65.5</v>
      </c>
      <c r="N107" s="460" t="str">
        <f>IF(+All!$F403="Texas",+All!N403,IF(+All!$H403="Texas",+All!N403,0))</f>
        <v>Texas</v>
      </c>
      <c r="O107" s="462">
        <f>IF(+All!$F403="Texas",+All!O403,IF(+All!$H403="Texas",+All!O403,0))</f>
        <v>49</v>
      </c>
      <c r="P107" s="462" t="str">
        <f>IF(+All!$F403="Texas",+All!P403,IF(+All!$H403="Texas",+All!P403,0))</f>
        <v>Oklahoma</v>
      </c>
      <c r="Q107" s="461">
        <f>IF(+All!$F403="Texas",+All!Q403,IF(+All!$H403="Texas",+All!Q403,0))</f>
        <v>0</v>
      </c>
      <c r="R107" s="460" t="str">
        <f>IF(+All!$F403="Texas",+All!R403,IF(+All!$H403="Texas",+All!R403,0))</f>
        <v>Texas</v>
      </c>
      <c r="S107" s="462" t="str">
        <f>IF(+All!$F403="Texas",+All!S403,IF(+All!$H403="Texas",+All!S403,0))</f>
        <v>Oklahoma</v>
      </c>
      <c r="T107" s="460" t="str">
        <f>IF(+All!$F403="Texas",+All!T403,IF(+All!$H403="Texas",+All!T403,0))</f>
        <v>Oklahoma</v>
      </c>
      <c r="U107" s="461" t="str">
        <f>IF(+All!$F403="Texas",+All!U403,IF(+All!$H403="Texas",+All!U403,0))</f>
        <v>L</v>
      </c>
    </row>
    <row r="108" spans="1:21" s="358" customFormat="1" x14ac:dyDescent="0.8">
      <c r="A108" s="46">
        <f>IF(+All!$F456="Texas",+All!A456,IF(+All!$H456="Texas",+All!A456,0))</f>
        <v>7</v>
      </c>
      <c r="B108" s="348" t="str">
        <f>IF(+All!$F456="Texas",+All!B456,IF(+All!$H456="Texas",+All!B456,0))</f>
        <v>Sat</v>
      </c>
      <c r="C108" s="72">
        <f>IF(+All!$F456="Texas",+All!C456,IF(+All!$H456="Texas",+All!C456,0))</f>
        <v>44849</v>
      </c>
      <c r="D108" s="73">
        <f>IF(+All!$F456="Texas",+All!D456,IF(+All!$H456="Texas",+All!D456,0))</f>
        <v>0.5</v>
      </c>
      <c r="E108" s="461" t="str">
        <f>IF(+All!$F456="Texas",+All!E456,IF(+All!$H456="Texas",+All!E456,0))</f>
        <v>ABC</v>
      </c>
      <c r="F108" s="460" t="str">
        <f>IF(+All!$F456="Texas",+All!F456,IF(+All!$H456="Texas",+All!F456,0))</f>
        <v>Iowa State</v>
      </c>
      <c r="G108" s="461" t="str">
        <f>IF(+All!$F456="Texas",+All!G456,IF(+All!$H456="Texas",+All!G456,0))</f>
        <v>B12</v>
      </c>
      <c r="H108" s="462" t="str">
        <f>IF(+All!$F456="Texas",+All!H456,IF(+All!$H456="Texas",+All!H456,0))</f>
        <v>Texas</v>
      </c>
      <c r="I108" s="461" t="str">
        <f>IF(+All!$F456="Texas",+All!I456,IF(+All!$H456="Texas",+All!I456,0))</f>
        <v>B12</v>
      </c>
      <c r="J108" s="460" t="str">
        <f>IF(+All!$F456="Texas",+All!J456,IF(+All!$H456="Texas",+All!J456,0))</f>
        <v>Texas</v>
      </c>
      <c r="K108" s="461" t="str">
        <f>IF(+All!$F456="Texas",+All!K456,IF(+All!$H456="Texas",+All!K456,0))</f>
        <v>Iowa State</v>
      </c>
      <c r="L108" s="60">
        <f>IF(+All!$F456="Texas",+All!L456,IF(+All!$H456="Texas",+All!L456,0))</f>
        <v>16.5</v>
      </c>
      <c r="M108" s="61">
        <f>IF(+All!$F456="Texas",+All!M456,IF(+All!$H456="Texas",+All!M456,0))</f>
        <v>49.5</v>
      </c>
      <c r="N108" s="460" t="str">
        <f>IF(+All!$F456="Texas",+All!N456,IF(+All!$H456="Texas",+All!N456,0))</f>
        <v>Texas</v>
      </c>
      <c r="O108" s="462">
        <f>IF(+All!$F456="Texas",+All!O456,IF(+All!$H456="Texas",+All!O456,0))</f>
        <v>24</v>
      </c>
      <c r="P108" s="462" t="str">
        <f>IF(+All!$F456="Texas",+All!P456,IF(+All!$H456="Texas",+All!P456,0))</f>
        <v>Iowa State</v>
      </c>
      <c r="Q108" s="461">
        <f>IF(+All!$F456="Texas",+All!Q456,IF(+All!$H456="Texas",+All!Q456,0))</f>
        <v>21</v>
      </c>
      <c r="R108" s="460" t="str">
        <f>IF(+All!$F456="Texas",+All!R456,IF(+All!$H456="Texas",+All!R456,0))</f>
        <v>Iowa State</v>
      </c>
      <c r="S108" s="462" t="str">
        <f>IF(+All!$F456="Texas",+All!S456,IF(+All!$H456="Texas",+All!S456,0))</f>
        <v>Texas</v>
      </c>
      <c r="T108" s="460" t="str">
        <f>IF(+All!$F456="Texas",+All!T456,IF(+All!$H456="Texas",+All!T456,0))</f>
        <v>Iowa State</v>
      </c>
      <c r="U108" s="461" t="str">
        <f>IF(+All!$F456="Texas",+All!U456,IF(+All!$H456="Texas",+All!U456,0))</f>
        <v>W</v>
      </c>
    </row>
    <row r="109" spans="1:21" s="358" customFormat="1" x14ac:dyDescent="0.8">
      <c r="A109" s="46">
        <f>IF(+All!$F510="Texas",+All!A510,IF(+All!$H510="Texas",+All!A510,0))</f>
        <v>8</v>
      </c>
      <c r="B109" s="348" t="str">
        <f>IF(+All!$F510="Texas",+All!B510,IF(+All!$H510="Texas",+All!B510,0))</f>
        <v>Sat</v>
      </c>
      <c r="C109" s="72">
        <f>IF(+All!$F510="Texas",+All!C510,IF(+All!$H510="Texas",+All!C510,0))</f>
        <v>44856</v>
      </c>
      <c r="D109" s="73">
        <f>IF(+All!$F510="Texas",+All!D510,IF(+All!$H510="Texas",+All!D510,0))</f>
        <v>0.64583333333333337</v>
      </c>
      <c r="E109" s="461" t="str">
        <f>IF(+All!$F510="Texas",+All!E510,IF(+All!$H510="Texas",+All!E510,0))</f>
        <v>ABC</v>
      </c>
      <c r="F109" s="460" t="str">
        <f>IF(+All!$F510="Texas",+All!F510,IF(+All!$H510="Texas",+All!F510,0))</f>
        <v>Texas</v>
      </c>
      <c r="G109" s="461" t="str">
        <f>IF(+All!$F510="Texas",+All!G510,IF(+All!$H510="Texas",+All!G510,0))</f>
        <v>B12</v>
      </c>
      <c r="H109" s="462" t="str">
        <f>IF(+All!$F510="Texas",+All!H510,IF(+All!$H510="Texas",+All!H510,0))</f>
        <v>Oklahoma State</v>
      </c>
      <c r="I109" s="461" t="str">
        <f>IF(+All!$F510="Texas",+All!I510,IF(+All!$H510="Texas",+All!I510,0))</f>
        <v>B12</v>
      </c>
      <c r="J109" s="460" t="str">
        <f>IF(+All!$F510="Texas",+All!J510,IF(+All!$H510="Texas",+All!J510,0))</f>
        <v>Texas</v>
      </c>
      <c r="K109" s="461" t="str">
        <f>IF(+All!$F510="Texas",+All!K510,IF(+All!$H510="Texas",+All!K510,0))</f>
        <v>Oklahoma State</v>
      </c>
      <c r="L109" s="60">
        <f>IF(+All!$F510="Texas",+All!L510,IF(+All!$H510="Texas",+All!L510,0))</f>
        <v>6.5</v>
      </c>
      <c r="M109" s="61">
        <f>IF(+All!$F510="Texas",+All!M510,IF(+All!$H510="Texas",+All!M510,0))</f>
        <v>62</v>
      </c>
      <c r="N109" s="460" t="str">
        <f>IF(+All!$F510="Texas",+All!N510,IF(+All!$H510="Texas",+All!N510,0))</f>
        <v>Oklahoma State</v>
      </c>
      <c r="O109" s="462">
        <f>IF(+All!$F510="Texas",+All!O510,IF(+All!$H510="Texas",+All!O510,0))</f>
        <v>41</v>
      </c>
      <c r="P109" s="462" t="str">
        <f>IF(+All!$F510="Texas",+All!P510,IF(+All!$H510="Texas",+All!P510,0))</f>
        <v>Texas</v>
      </c>
      <c r="Q109" s="461">
        <f>IF(+All!$F510="Texas",+All!Q510,IF(+All!$H510="Texas",+All!Q510,0))</f>
        <v>34</v>
      </c>
      <c r="R109" s="460" t="str">
        <f>IF(+All!$F510="Texas",+All!R510,IF(+All!$H510="Texas",+All!R510,0))</f>
        <v>Oklahoma State</v>
      </c>
      <c r="S109" s="462" t="str">
        <f>IF(+All!$F510="Texas",+All!S510,IF(+All!$H510="Texas",+All!S510,0))</f>
        <v>Texas</v>
      </c>
      <c r="T109" s="460" t="str">
        <f>IF(+All!$F510="Texas",+All!T510,IF(+All!$H510="Texas",+All!T510,0))</f>
        <v>Oklahoma State</v>
      </c>
      <c r="U109" s="461" t="str">
        <f>IF(+All!$F510="Texas",+All!U510,IF(+All!$H510="Texas",+All!U510,0))</f>
        <v>W</v>
      </c>
    </row>
    <row r="110" spans="1:21" s="358" customFormat="1" x14ac:dyDescent="0.8">
      <c r="A110" s="46" t="e">
        <f>IF(+All!#REF!="Texas",+All!#REF!,IF(+All!#REF!="Texas",+All!#REF!,0))</f>
        <v>#REF!</v>
      </c>
      <c r="B110" s="348" t="e">
        <f>IF(+All!#REF!="Texas",+All!#REF!,IF(+All!#REF!="Texas",+All!#REF!,0))</f>
        <v>#REF!</v>
      </c>
      <c r="C110" s="72" t="e">
        <f>IF(+All!#REF!="Texas",+All!#REF!,IF(+All!#REF!="Texas",+All!#REF!,0))</f>
        <v>#REF!</v>
      </c>
      <c r="D110" s="73" t="e">
        <f>IF(+All!#REF!="Texas",+All!#REF!,IF(+All!#REF!="Texas",+All!#REF!,0))</f>
        <v>#REF!</v>
      </c>
      <c r="E110" s="461" t="e">
        <f>IF(+All!#REF!="Texas",+All!#REF!,IF(+All!#REF!="Texas",+All!#REF!,0))</f>
        <v>#REF!</v>
      </c>
      <c r="F110" s="460" t="e">
        <f>IF(+All!#REF!="Texas",+All!#REF!,IF(+All!#REF!="Texas",+All!#REF!,0))</f>
        <v>#REF!</v>
      </c>
      <c r="G110" s="461" t="e">
        <f>IF(+All!#REF!="Texas",+All!#REF!,IF(+All!#REF!="Texas",+All!#REF!,0))</f>
        <v>#REF!</v>
      </c>
      <c r="H110" s="462" t="e">
        <f>IF(+All!#REF!="Texas",+All!#REF!,IF(+All!#REF!="Texas",+All!#REF!,0))</f>
        <v>#REF!</v>
      </c>
      <c r="I110" s="461" t="e">
        <f>IF(+All!#REF!="Texas",+All!#REF!,IF(+All!#REF!="Texas",+All!#REF!,0))</f>
        <v>#REF!</v>
      </c>
      <c r="J110" s="460" t="e">
        <f>IF(+All!#REF!="Texas",+All!#REF!,IF(+All!#REF!="Texas",+All!#REF!,0))</f>
        <v>#REF!</v>
      </c>
      <c r="K110" s="461" t="e">
        <f>IF(+All!#REF!="Texas",+All!#REF!,IF(+All!#REF!="Texas",+All!#REF!,0))</f>
        <v>#REF!</v>
      </c>
      <c r="L110" s="60" t="e">
        <f>IF(+All!#REF!="Texas",+All!#REF!,IF(+All!#REF!="Texas",+All!#REF!,0))</f>
        <v>#REF!</v>
      </c>
      <c r="M110" s="61" t="e">
        <f>IF(+All!#REF!="Texas",+All!#REF!,IF(+All!#REF!="Texas",+All!#REF!,0))</f>
        <v>#REF!</v>
      </c>
      <c r="N110" s="460" t="e">
        <f>IF(+All!#REF!="Texas",+All!#REF!,IF(+All!#REF!="Texas",+All!#REF!,0))</f>
        <v>#REF!</v>
      </c>
      <c r="O110" s="462" t="e">
        <f>IF(+All!#REF!="Texas",+All!#REF!,IF(+All!#REF!="Texas",+All!#REF!,0))</f>
        <v>#REF!</v>
      </c>
      <c r="P110" s="462" t="e">
        <f>IF(+All!#REF!="Texas",+All!#REF!,IF(+All!#REF!="Texas",+All!#REF!,0))</f>
        <v>#REF!</v>
      </c>
      <c r="Q110" s="461" t="e">
        <f>IF(+All!#REF!="Texas",+All!#REF!,IF(+All!#REF!="Texas",+All!#REF!,0))</f>
        <v>#REF!</v>
      </c>
      <c r="R110" s="460" t="e">
        <f>IF(+All!#REF!="Texas",+All!#REF!,IF(+All!#REF!="Texas",+All!#REF!,0))</f>
        <v>#REF!</v>
      </c>
      <c r="S110" s="462" t="e">
        <f>IF(+All!#REF!="Texas",+All!#REF!,IF(+All!#REF!="Texas",+All!#REF!,0))</f>
        <v>#REF!</v>
      </c>
      <c r="T110" s="460" t="e">
        <f>IF(+All!#REF!="Texas",+All!#REF!,IF(+All!#REF!="Texas",+All!#REF!,0))</f>
        <v>#REF!</v>
      </c>
      <c r="U110" s="461" t="e">
        <f>IF(+All!#REF!="Texas",+All!#REF!,IF(+All!#REF!="Texas",+All!#REF!,0))</f>
        <v>#REF!</v>
      </c>
    </row>
    <row r="111" spans="1:21" s="358" customFormat="1" x14ac:dyDescent="0.8">
      <c r="A111" s="46">
        <f>IF(+All!$F622="Texas",+All!A622,IF(+All!$H622="Texas",+All!A622,0))</f>
        <v>10</v>
      </c>
      <c r="B111" s="348" t="str">
        <f>IF(+All!$F622="Texas",+All!B622,IF(+All!$H622="Texas",+All!B622,0))</f>
        <v>Sat</v>
      </c>
      <c r="C111" s="72">
        <f>IF(+All!$F622="Texas",+All!C622,IF(+All!$H622="Texas",+All!C622,0))</f>
        <v>44870</v>
      </c>
      <c r="D111" s="73">
        <f>IF(+All!$F622="Texas",+All!D622,IF(+All!$H622="Texas",+All!D622,0))</f>
        <v>0.79166666666666663</v>
      </c>
      <c r="E111" s="461" t="str">
        <f>IF(+All!$F622="Texas",+All!E622,IF(+All!$H622="Texas",+All!E622,0))</f>
        <v>FS1</v>
      </c>
      <c r="F111" s="460" t="str">
        <f>IF(+All!$F622="Texas",+All!F622,IF(+All!$H622="Texas",+All!F622,0))</f>
        <v>Texas</v>
      </c>
      <c r="G111" s="461" t="str">
        <f>IF(+All!$F622="Texas",+All!G622,IF(+All!$H622="Texas",+All!G622,0))</f>
        <v>B12</v>
      </c>
      <c r="H111" s="462" t="str">
        <f>IF(+All!$F622="Texas",+All!H622,IF(+All!$H622="Texas",+All!H622,0))</f>
        <v>Kansas State</v>
      </c>
      <c r="I111" s="461" t="str">
        <f>IF(+All!$F622="Texas",+All!I622,IF(+All!$H622="Texas",+All!I622,0))</f>
        <v>B12</v>
      </c>
      <c r="J111" s="460" t="str">
        <f>IF(+All!$F622="Texas",+All!J622,IF(+All!$H622="Texas",+All!J622,0))</f>
        <v>Texas</v>
      </c>
      <c r="K111" s="461" t="str">
        <f>IF(+All!$F622="Texas",+All!K622,IF(+All!$H622="Texas",+All!K622,0))</f>
        <v>Kansas State</v>
      </c>
      <c r="L111" s="60">
        <f>IF(+All!$F622="Texas",+All!L622,IF(+All!$H622="Texas",+All!L622,0))</f>
        <v>2.5</v>
      </c>
      <c r="M111" s="61">
        <f>IF(+All!$F622="Texas",+All!M622,IF(+All!$H622="Texas",+All!M622,0))</f>
        <v>54</v>
      </c>
      <c r="N111" s="460" t="str">
        <f>IF(+All!$F622="Texas",+All!N622,IF(+All!$H622="Texas",+All!N622,0))</f>
        <v>Texas</v>
      </c>
      <c r="O111" s="462">
        <f>IF(+All!$F622="Texas",+All!O622,IF(+All!$H622="Texas",+All!O622,0))</f>
        <v>34</v>
      </c>
      <c r="P111" s="462" t="str">
        <f>IF(+All!$F622="Texas",+All!P622,IF(+All!$H622="Texas",+All!P622,0))</f>
        <v>Kansas State</v>
      </c>
      <c r="Q111" s="461">
        <f>IF(+All!$F622="Texas",+All!Q622,IF(+All!$H622="Texas",+All!Q622,0))</f>
        <v>27</v>
      </c>
      <c r="R111" s="460" t="str">
        <f>IF(+All!$F622="Texas",+All!R622,IF(+All!$H622="Texas",+All!R622,0))</f>
        <v>Texas</v>
      </c>
      <c r="S111" s="462" t="str">
        <f>IF(+All!$F622="Texas",+All!S622,IF(+All!$H622="Texas",+All!S622,0))</f>
        <v>Kansas State</v>
      </c>
      <c r="T111" s="460" t="str">
        <f>IF(+All!$F622="Texas",+All!T622,IF(+All!$H622="Texas",+All!T622,0))</f>
        <v>Texas</v>
      </c>
      <c r="U111" s="461" t="str">
        <f>IF(+All!$F622="Texas",+All!U622,IF(+All!$H622="Texas",+All!U622,0))</f>
        <v>W</v>
      </c>
    </row>
    <row r="112" spans="1:21" s="358" customFormat="1" x14ac:dyDescent="0.8">
      <c r="A112" s="46">
        <f>IF(+All!$F684="Texas",+All!A684,IF(+All!$H684="Texas",+All!A684,0))</f>
        <v>11</v>
      </c>
      <c r="B112" s="348" t="str">
        <f>IF(+All!$F684="Texas",+All!B684,IF(+All!$H684="Texas",+All!B684,0))</f>
        <v>Sat</v>
      </c>
      <c r="C112" s="72">
        <f>IF(+All!$F684="Texas",+All!C684,IF(+All!$H684="Texas",+All!C684,0))</f>
        <v>44877</v>
      </c>
      <c r="D112" s="73">
        <f>IF(+All!$F684="Texas",+All!D684,IF(+All!$H684="Texas",+All!D684,0))</f>
        <v>0.8125</v>
      </c>
      <c r="E112" s="461" t="str">
        <f>IF(+All!$F684="Texas",+All!E684,IF(+All!$H684="Texas",+All!E684,0))</f>
        <v>ABC</v>
      </c>
      <c r="F112" s="460" t="str">
        <f>IF(+All!$F684="Texas",+All!F684,IF(+All!$H684="Texas",+All!F684,0))</f>
        <v>TCU</v>
      </c>
      <c r="G112" s="461" t="str">
        <f>IF(+All!$F684="Texas",+All!G684,IF(+All!$H684="Texas",+All!G684,0))</f>
        <v>B12</v>
      </c>
      <c r="H112" s="462" t="str">
        <f>IF(+All!$F684="Texas",+All!H684,IF(+All!$H684="Texas",+All!H684,0))</f>
        <v>Texas</v>
      </c>
      <c r="I112" s="461" t="str">
        <f>IF(+All!$F684="Texas",+All!I684,IF(+All!$H684="Texas",+All!I684,0))</f>
        <v>B12</v>
      </c>
      <c r="J112" s="460" t="str">
        <f>IF(+All!$F684="Texas",+All!J684,IF(+All!$H684="Texas",+All!J684,0))</f>
        <v>Texas</v>
      </c>
      <c r="K112" s="461" t="str">
        <f>IF(+All!$F684="Texas",+All!K684,IF(+All!$H684="Texas",+All!K684,0))</f>
        <v>TCU</v>
      </c>
      <c r="L112" s="60">
        <f>IF(+All!$F684="Texas",+All!L684,IF(+All!$H684="Texas",+All!L684,0))</f>
        <v>7</v>
      </c>
      <c r="M112" s="61">
        <f>IF(+All!$F684="Texas",+All!M684,IF(+All!$H684="Texas",+All!M684,0))</f>
        <v>65.5</v>
      </c>
      <c r="N112" s="460" t="str">
        <f>IF(+All!$F684="Texas",+All!N684,IF(+All!$H684="Texas",+All!N684,0))</f>
        <v>TCU</v>
      </c>
      <c r="O112" s="462">
        <f>IF(+All!$F684="Texas",+All!O684,IF(+All!$H684="Texas",+All!O684,0))</f>
        <v>17</v>
      </c>
      <c r="P112" s="462" t="str">
        <f>IF(+All!$F684="Texas",+All!P684,IF(+All!$H684="Texas",+All!P684,0))</f>
        <v>Texas</v>
      </c>
      <c r="Q112" s="461">
        <f>IF(+All!$F684="Texas",+All!Q684,IF(+All!$H684="Texas",+All!Q684,0))</f>
        <v>10</v>
      </c>
      <c r="R112" s="460" t="str">
        <f>IF(+All!$F684="Texas",+All!R684,IF(+All!$H684="Texas",+All!R684,0))</f>
        <v>TCU</v>
      </c>
      <c r="S112" s="462" t="str">
        <f>IF(+All!$F684="Texas",+All!S684,IF(+All!$H684="Texas",+All!S684,0))</f>
        <v>Texas</v>
      </c>
      <c r="T112" s="460" t="str">
        <f>IF(+All!$F684="Texas",+All!T684,IF(+All!$H684="Texas",+All!T684,0))</f>
        <v>Texas</v>
      </c>
      <c r="U112" s="461" t="str">
        <f>IF(+All!$F684="Texas",+All!U684,IF(+All!$H684="Texas",+All!U684,0))</f>
        <v>L</v>
      </c>
    </row>
    <row r="113" spans="1:21" s="358" customFormat="1" x14ac:dyDescent="0.8">
      <c r="A113" s="46">
        <f>IF(+All!$F746="Texas",+All!A746,IF(+All!$H746="Texas",+All!A746,0))</f>
        <v>12</v>
      </c>
      <c r="B113" s="348" t="str">
        <f>IF(+All!$F746="Texas",+All!B746,IF(+All!$H746="Texas",+All!B746,0))</f>
        <v>Sat</v>
      </c>
      <c r="C113" s="72">
        <f>IF(+All!$F746="Texas",+All!C746,IF(+All!$H746="Texas",+All!C746,0))</f>
        <v>44884</v>
      </c>
      <c r="D113" s="73">
        <f>IF(+All!$F746="Texas",+All!D746,IF(+All!$H746="Texas",+All!D746,0))</f>
        <v>0.64583333333333337</v>
      </c>
      <c r="E113" s="461" t="str">
        <f>IF(+All!$F746="Texas",+All!E746,IF(+All!$H746="Texas",+All!E746,0))</f>
        <v>FS1</v>
      </c>
      <c r="F113" s="460" t="str">
        <f>IF(+All!$F746="Texas",+All!F746,IF(+All!$H746="Texas",+All!F746,0))</f>
        <v>Texas</v>
      </c>
      <c r="G113" s="461" t="str">
        <f>IF(+All!$F746="Texas",+All!G746,IF(+All!$H746="Texas",+All!G746,0))</f>
        <v>B12</v>
      </c>
      <c r="H113" s="462" t="str">
        <f>IF(+All!$F746="Texas",+All!H746,IF(+All!$H746="Texas",+All!H746,0))</f>
        <v>Kansas</v>
      </c>
      <c r="I113" s="461" t="str">
        <f>IF(+All!$F746="Texas",+All!I746,IF(+All!$H746="Texas",+All!I746,0))</f>
        <v>B12</v>
      </c>
      <c r="J113" s="460" t="str">
        <f>IF(+All!$F746="Texas",+All!J746,IF(+All!$H746="Texas",+All!J746,0))</f>
        <v>Texas</v>
      </c>
      <c r="K113" s="461" t="str">
        <f>IF(+All!$F746="Texas",+All!K746,IF(+All!$H746="Texas",+All!K746,0))</f>
        <v>Kansas</v>
      </c>
      <c r="L113" s="60">
        <f>IF(+All!$F746="Texas",+All!L746,IF(+All!$H746="Texas",+All!L746,0))</f>
        <v>9</v>
      </c>
      <c r="M113" s="61">
        <f>IF(+All!$F746="Texas",+All!M746,IF(+All!$H746="Texas",+All!M746,0))</f>
        <v>63.5</v>
      </c>
      <c r="N113" s="460" t="str">
        <f>IF(+All!$F746="Texas",+All!N746,IF(+All!$H746="Texas",+All!N746,0))</f>
        <v>Texas</v>
      </c>
      <c r="O113" s="462">
        <f>IF(+All!$F746="Texas",+All!O746,IF(+All!$H746="Texas",+All!O746,0))</f>
        <v>55</v>
      </c>
      <c r="P113" s="462" t="str">
        <f>IF(+All!$F746="Texas",+All!P746,IF(+All!$H746="Texas",+All!P746,0))</f>
        <v>Kansas</v>
      </c>
      <c r="Q113" s="461">
        <f>IF(+All!$F746="Texas",+All!Q746,IF(+All!$H746="Texas",+All!Q746,0))</f>
        <v>14</v>
      </c>
      <c r="R113" s="460" t="str">
        <f>IF(+All!$F746="Texas",+All!R746,IF(+All!$H746="Texas",+All!R746,0))</f>
        <v>Texas</v>
      </c>
      <c r="S113" s="462" t="str">
        <f>IF(+All!$F746="Texas",+All!S746,IF(+All!$H746="Texas",+All!S746,0))</f>
        <v>Kansas</v>
      </c>
      <c r="T113" s="460" t="str">
        <f>IF(+All!$F746="Texas",+All!T746,IF(+All!$H746="Texas",+All!T746,0))</f>
        <v>Kansas</v>
      </c>
      <c r="U113" s="461" t="str">
        <f>IF(+All!$F746="Texas",+All!U746,IF(+All!$H746="Texas",+All!U746,0))</f>
        <v>L</v>
      </c>
    </row>
    <row r="114" spans="1:21" s="358" customFormat="1" x14ac:dyDescent="0.8">
      <c r="A114" s="46">
        <f>IF(+All!$F788="Texas",+All!A788,IF(+All!$H788="Texas",+All!A788,0))</f>
        <v>13</v>
      </c>
      <c r="B114" s="348" t="str">
        <f>IF(+All!$F788="Texas",+All!B788,IF(+All!$H788="Texas",+All!B788,0))</f>
        <v>Fri</v>
      </c>
      <c r="C114" s="72">
        <f>IF(+All!$F788="Texas",+All!C788,IF(+All!$H788="Texas",+All!C788,0))</f>
        <v>44890</v>
      </c>
      <c r="D114" s="73">
        <f>IF(+All!$F788="Texas",+All!D788,IF(+All!$H788="Texas",+All!D788,0))</f>
        <v>0.5</v>
      </c>
      <c r="E114" s="461" t="str">
        <f>IF(+All!$F788="Texas",+All!E788,IF(+All!$H788="Texas",+All!E788,0))</f>
        <v>ESPN</v>
      </c>
      <c r="F114" s="460" t="str">
        <f>IF(+All!$F788="Texas",+All!F788,IF(+All!$H788="Texas",+All!F788,0))</f>
        <v>Baylor</v>
      </c>
      <c r="G114" s="461" t="str">
        <f>IF(+All!$F788="Texas",+All!G788,IF(+All!$H788="Texas",+All!G788,0))</f>
        <v>B12</v>
      </c>
      <c r="H114" s="462" t="str">
        <f>IF(+All!$F788="Texas",+All!H788,IF(+All!$H788="Texas",+All!H788,0))</f>
        <v>Texas</v>
      </c>
      <c r="I114" s="461" t="str">
        <f>IF(+All!$F788="Texas",+All!I788,IF(+All!$H788="Texas",+All!I788,0))</f>
        <v>B12</v>
      </c>
      <c r="J114" s="460" t="str">
        <f>IF(+All!$F788="Texas",+All!J788,IF(+All!$H788="Texas",+All!J788,0))</f>
        <v>Texas</v>
      </c>
      <c r="K114" s="461" t="str">
        <f>IF(+All!$F788="Texas",+All!K788,IF(+All!$H788="Texas",+All!K788,0))</f>
        <v>Baylor</v>
      </c>
      <c r="L114" s="60">
        <f>IF(+All!$F788="Texas",+All!L788,IF(+All!$H788="Texas",+All!L788,0))</f>
        <v>10</v>
      </c>
      <c r="M114" s="61">
        <f>IF(+All!$F788="Texas",+All!M788,IF(+All!$H788="Texas",+All!M788,0))</f>
        <v>55.5</v>
      </c>
      <c r="N114" s="460" t="str">
        <f>IF(+All!$F788="Texas",+All!N788,IF(+All!$H788="Texas",+All!N788,0))</f>
        <v>Texas</v>
      </c>
      <c r="O114" s="462">
        <f>IF(+All!$F788="Texas",+All!O788,IF(+All!$H788="Texas",+All!O788,0))</f>
        <v>38</v>
      </c>
      <c r="P114" s="462" t="str">
        <f>IF(+All!$F788="Texas",+All!P788,IF(+All!$H788="Texas",+All!P788,0))</f>
        <v>Baylor</v>
      </c>
      <c r="Q114" s="461">
        <f>IF(+All!$F788="Texas",+All!Q788,IF(+All!$H788="Texas",+All!Q788,0))</f>
        <v>27</v>
      </c>
      <c r="R114" s="460" t="str">
        <f>IF(+All!$F788="Texas",+All!R788,IF(+All!$H788="Texas",+All!R788,0))</f>
        <v>Texas</v>
      </c>
      <c r="S114" s="462" t="str">
        <f>IF(+All!$F788="Texas",+All!S788,IF(+All!$H788="Texas",+All!S788,0))</f>
        <v>Baylor</v>
      </c>
      <c r="T114" s="460" t="str">
        <f>IF(+All!$F788="Texas",+All!T788,IF(+All!$H788="Texas",+All!T788,0))</f>
        <v>Baylor</v>
      </c>
      <c r="U114" s="461" t="str">
        <f>IF(+All!$F788="Texas",+All!U788,IF(+All!$H788="Texas",+All!U788,0))</f>
        <v>L</v>
      </c>
    </row>
    <row r="115" spans="1:21" s="21" customFormat="1" ht="15.75" customHeight="1" x14ac:dyDescent="0.8">
      <c r="A115" s="38"/>
      <c r="B115" s="39"/>
      <c r="C115" s="404"/>
      <c r="D115" s="405"/>
      <c r="E115" s="463"/>
      <c r="F115" s="897" t="str">
        <f>H116</f>
        <v>Texas Tech</v>
      </c>
      <c r="G115" s="901"/>
      <c r="H115" s="901"/>
      <c r="I115" s="902"/>
      <c r="J115" s="459"/>
      <c r="K115" s="463"/>
      <c r="L115" s="466"/>
      <c r="M115" s="467"/>
      <c r="N115" s="459"/>
      <c r="O115" s="5"/>
      <c r="P115" s="5"/>
      <c r="Q115" s="463"/>
      <c r="R115" s="459"/>
      <c r="S115" s="5"/>
      <c r="T115" s="459"/>
      <c r="U115" s="463"/>
    </row>
    <row r="116" spans="1:21" s="358" customFormat="1" x14ac:dyDescent="0.8">
      <c r="A116" s="46">
        <f>IF(+All!$F46="Texas Tech",+All!A46,IF(+All!$H46="Texas Tech",+All!A46,0))</f>
        <v>1</v>
      </c>
      <c r="B116" s="348" t="str">
        <f>IF(+All!$F46="Texas Tech",+All!B46,IF(+All!$H46="Texas Tech",+All!B46,0))</f>
        <v>Sat</v>
      </c>
      <c r="C116" s="72">
        <f>IF(+All!$F46="Texas Tech",+All!C46,IF(+All!$H46="Texas Tech",+All!C46,0))</f>
        <v>44807</v>
      </c>
      <c r="D116" s="73">
        <f>IF(+All!$F46="Texas Tech",+All!D46,IF(+All!$H46="Texas Tech",+All!D46,0))</f>
        <v>0.83333333333333337</v>
      </c>
      <c r="E116" s="461" t="str">
        <f>IF(+All!$F46="Texas Tech",+All!E46,IF(+All!$H46="Texas Tech",+All!E46,0))</f>
        <v>espn3</v>
      </c>
      <c r="F116" s="460" t="str">
        <f>IF(+All!$F46="Texas Tech",+All!F46,IF(+All!$H46="Texas Tech",+All!F46,0))</f>
        <v>1AA Murray St</v>
      </c>
      <c r="G116" s="461" t="str">
        <f>IF(+All!$F46="Texas Tech",+All!G46,IF(+All!$H46="Texas Tech",+All!G46,0))</f>
        <v>1AA</v>
      </c>
      <c r="H116" s="462" t="str">
        <f>IF(+All!$F46="Texas Tech",+All!H46,IF(+All!$H46="Texas Tech",+All!H46,0))</f>
        <v>Texas Tech</v>
      </c>
      <c r="I116" s="461" t="str">
        <f>IF(+All!$F46="Texas Tech",+All!I46,IF(+All!$H46="Texas Tech",+All!I46,0))</f>
        <v>B12</v>
      </c>
      <c r="J116" s="460">
        <f>IF(+All!$F46="Texas Tech",+All!J46,IF(+All!$H46="Texas Tech",+All!J46,0))</f>
        <v>0</v>
      </c>
      <c r="K116" s="461">
        <f>IF(+All!$F46="Texas Tech",+All!K46,IF(+All!$H46="Texas Tech",+All!K46,0))</f>
        <v>0</v>
      </c>
      <c r="L116" s="60">
        <f>IF(+All!$F46="Texas Tech",+All!L46,IF(+All!$H46="Texas Tech",+All!L46,0))</f>
        <v>0</v>
      </c>
      <c r="M116" s="61">
        <f>IF(+All!$F46="Texas Tech",+All!M46,IF(+All!$H46="Texas Tech",+All!M46,0))</f>
        <v>0</v>
      </c>
      <c r="N116" s="460" t="str">
        <f>IF(+All!$F46="Texas Tech",+All!N46,IF(+All!$H46="Texas Tech",+All!N46,0))</f>
        <v>Texas Tech</v>
      </c>
      <c r="O116" s="462">
        <f>IF(+All!$F46="Texas Tech",+All!O46,IF(+All!$H46="Texas Tech",+All!O46,0))</f>
        <v>63</v>
      </c>
      <c r="P116" s="462" t="str">
        <f>IF(+All!$F46="Texas Tech",+All!P46,IF(+All!$H46="Texas Tech",+All!P46,0))</f>
        <v>1AA Murray St</v>
      </c>
      <c r="Q116" s="461">
        <f>IF(+All!$F46="Texas Tech",+All!Q46,IF(+All!$H46="Texas Tech",+All!Q46,0))</f>
        <v>10</v>
      </c>
      <c r="R116" s="460">
        <f>IF(+All!$F46="Texas Tech",+All!R46,IF(+All!$H46="Texas Tech",+All!R46,0))</f>
        <v>0</v>
      </c>
      <c r="S116" s="462">
        <f>IF(+All!$F46="Texas Tech",+All!S46,IF(+All!$H46="Texas Tech",+All!S46,0))</f>
        <v>0</v>
      </c>
      <c r="T116" s="460">
        <f>IF(+All!$F46="Texas Tech",+All!T46,IF(+All!$H46="Texas Tech",+All!T46,0))</f>
        <v>0</v>
      </c>
      <c r="U116" s="461">
        <f>IF(+All!$F46="Texas Tech",+All!U46,IF(+All!$H46="Texas Tech",+All!U46,0))</f>
        <v>0</v>
      </c>
    </row>
    <row r="117" spans="1:21" s="358" customFormat="1" x14ac:dyDescent="0.8">
      <c r="A117" s="46">
        <f>IF(+All!$F132="Texas Tech",+All!A132,IF(+All!$H132="Texas Tech",+All!A132,0))</f>
        <v>2</v>
      </c>
      <c r="B117" s="348" t="str">
        <f>IF(+All!$F132="Texas Tech",+All!B132,IF(+All!$H132="Texas Tech",+All!B132,0))</f>
        <v>Sat</v>
      </c>
      <c r="C117" s="72">
        <f>IF(+All!$F132="Texas Tech",+All!C132,IF(+All!$H132="Texas Tech",+All!C132,0))</f>
        <v>44814</v>
      </c>
      <c r="D117" s="73">
        <f>IF(+All!$F132="Texas Tech",+All!D132,IF(+All!$H132="Texas Tech",+All!D132,0))</f>
        <v>0.66666666666666663</v>
      </c>
      <c r="E117" s="461" t="str">
        <f>IF(+All!$F132="Texas Tech",+All!E132,IF(+All!$H132="Texas Tech",+All!E132,0))</f>
        <v>FS1</v>
      </c>
      <c r="F117" s="460" t="str">
        <f>IF(+All!$F132="Texas Tech",+All!F132,IF(+All!$H132="Texas Tech",+All!F132,0))</f>
        <v>Houston</v>
      </c>
      <c r="G117" s="461" t="str">
        <f>IF(+All!$F132="Texas Tech",+All!G132,IF(+All!$H132="Texas Tech",+All!G132,0))</f>
        <v>AAC</v>
      </c>
      <c r="H117" s="462" t="str">
        <f>IF(+All!$F132="Texas Tech",+All!H132,IF(+All!$H132="Texas Tech",+All!H132,0))</f>
        <v>Texas Tech</v>
      </c>
      <c r="I117" s="461" t="str">
        <f>IF(+All!$F132="Texas Tech",+All!I132,IF(+All!$H132="Texas Tech",+All!I132,0))</f>
        <v>B12</v>
      </c>
      <c r="J117" s="460" t="str">
        <f>IF(+All!$F132="Texas Tech",+All!J132,IF(+All!$H132="Texas Tech",+All!J132,0))</f>
        <v>Texas Tech</v>
      </c>
      <c r="K117" s="461" t="str">
        <f>IF(+All!$F132="Texas Tech",+All!K132,IF(+All!$H132="Texas Tech",+All!K132,0))</f>
        <v>Houston</v>
      </c>
      <c r="L117" s="60">
        <f>IF(+All!$F132="Texas Tech",+All!L132,IF(+All!$H132="Texas Tech",+All!L132,0))</f>
        <v>3</v>
      </c>
      <c r="M117" s="61">
        <f>IF(+All!$F132="Texas Tech",+All!M132,IF(+All!$H132="Texas Tech",+All!M132,0))</f>
        <v>65.5</v>
      </c>
      <c r="N117" s="460" t="str">
        <f>IF(+All!$F132="Texas Tech",+All!N132,IF(+All!$H132="Texas Tech",+All!N132,0))</f>
        <v>Texas Tech</v>
      </c>
      <c r="O117" s="462">
        <f>IF(+All!$F132="Texas Tech",+All!O132,IF(+All!$H132="Texas Tech",+All!O132,0))</f>
        <v>33</v>
      </c>
      <c r="P117" s="462" t="str">
        <f>IF(+All!$F132="Texas Tech",+All!P132,IF(+All!$H132="Texas Tech",+All!P132,0))</f>
        <v>Houston</v>
      </c>
      <c r="Q117" s="461">
        <f>IF(+All!$F132="Texas Tech",+All!Q132,IF(+All!$H132="Texas Tech",+All!Q132,0))</f>
        <v>30</v>
      </c>
      <c r="R117" s="460" t="str">
        <f>IF(+All!$F132="Texas Tech",+All!R132,IF(+All!$H132="Texas Tech",+All!R132,0))</f>
        <v>Texas Tech</v>
      </c>
      <c r="S117" s="462" t="str">
        <f>IF(+All!$F132="Texas Tech",+All!S132,IF(+All!$H132="Texas Tech",+All!S132,0))</f>
        <v>Houston</v>
      </c>
      <c r="T117" s="460" t="str">
        <f>IF(+All!$F132="Texas Tech",+All!T132,IF(+All!$H132="Texas Tech",+All!T132,0))</f>
        <v>Houston</v>
      </c>
      <c r="U117" s="461" t="str">
        <f>IF(+All!$F132="Texas Tech",+All!U132,IF(+All!$H132="Texas Tech",+All!U132,0))</f>
        <v>T</v>
      </c>
    </row>
    <row r="118" spans="1:21" s="358" customFormat="1" x14ac:dyDescent="0.8">
      <c r="A118" s="46">
        <f>IF(+All!$F192="Texas Tech",+All!A192,IF(+All!$H192="Texas Tech",+All!A192,0))</f>
        <v>3</v>
      </c>
      <c r="B118" s="348" t="str">
        <f>IF(+All!$F192="Texas Tech",+All!B192,IF(+All!$H192="Texas Tech",+All!B192,0))</f>
        <v>Sat</v>
      </c>
      <c r="C118" s="72">
        <f>IF(+All!$F192="Texas Tech",+All!C192,IF(+All!$H192="Texas Tech",+All!C192,0))</f>
        <v>44821</v>
      </c>
      <c r="D118" s="73">
        <f>IF(+All!$F192="Texas Tech",+All!D192,IF(+All!$H192="Texas Tech",+All!D192,0))</f>
        <v>0.79166666666666663</v>
      </c>
      <c r="E118" s="461">
        <f>IF(+All!$F192="Texas Tech",+All!E192,IF(+All!$H192="Texas Tech",+All!E192,0))</f>
        <v>0</v>
      </c>
      <c r="F118" s="460" t="str">
        <f>IF(+All!$F192="Texas Tech",+All!F192,IF(+All!$H192="Texas Tech",+All!F192,0))</f>
        <v>Texas Tech</v>
      </c>
      <c r="G118" s="461" t="str">
        <f>IF(+All!$F192="Texas Tech",+All!G192,IF(+All!$H192="Texas Tech",+All!G192,0))</f>
        <v>B12</v>
      </c>
      <c r="H118" s="462" t="str">
        <f>IF(+All!$F192="Texas Tech",+All!H192,IF(+All!$H192="Texas Tech",+All!H192,0))</f>
        <v>North Carolina St</v>
      </c>
      <c r="I118" s="461" t="str">
        <f>IF(+All!$F192="Texas Tech",+All!I192,IF(+All!$H192="Texas Tech",+All!I192,0))</f>
        <v>ACC</v>
      </c>
      <c r="J118" s="460" t="str">
        <f>IF(+All!$F192="Texas Tech",+All!J192,IF(+All!$H192="Texas Tech",+All!J192,0))</f>
        <v>North Carolina St</v>
      </c>
      <c r="K118" s="461" t="str">
        <f>IF(+All!$F192="Texas Tech",+All!K192,IF(+All!$H192="Texas Tech",+All!K192,0))</f>
        <v>Texas Tech</v>
      </c>
      <c r="L118" s="60">
        <f>IF(+All!$F192="Texas Tech",+All!L192,IF(+All!$H192="Texas Tech",+All!L192,0))</f>
        <v>10</v>
      </c>
      <c r="M118" s="61">
        <f>IF(+All!$F192="Texas Tech",+All!M192,IF(+All!$H192="Texas Tech",+All!M192,0))</f>
        <v>55.5</v>
      </c>
      <c r="N118" s="460" t="str">
        <f>IF(+All!$F192="Texas Tech",+All!N192,IF(+All!$H192="Texas Tech",+All!N192,0))</f>
        <v>North Carolina St</v>
      </c>
      <c r="O118" s="462">
        <f>IF(+All!$F192="Texas Tech",+All!O192,IF(+All!$H192="Texas Tech",+All!O192,0))</f>
        <v>27</v>
      </c>
      <c r="P118" s="462" t="str">
        <f>IF(+All!$F192="Texas Tech",+All!P192,IF(+All!$H192="Texas Tech",+All!P192,0))</f>
        <v>Texas Tech</v>
      </c>
      <c r="Q118" s="461">
        <f>IF(+All!$F192="Texas Tech",+All!Q192,IF(+All!$H192="Texas Tech",+All!Q192,0))</f>
        <v>14</v>
      </c>
      <c r="R118" s="460" t="str">
        <f>IF(+All!$F192="Texas Tech",+All!R192,IF(+All!$H192="Texas Tech",+All!R192,0))</f>
        <v>North Carolina St</v>
      </c>
      <c r="S118" s="462" t="str">
        <f>IF(+All!$F192="Texas Tech",+All!S192,IF(+All!$H192="Texas Tech",+All!S192,0))</f>
        <v>Texas Tech</v>
      </c>
      <c r="T118" s="460" t="str">
        <f>IF(+All!$F192="Texas Tech",+All!T192,IF(+All!$H192="Texas Tech",+All!T192,0))</f>
        <v>North Carolina St</v>
      </c>
      <c r="U118" s="461" t="str">
        <f>IF(+All!$F192="Texas Tech",+All!U192,IF(+All!$H192="Texas Tech",+All!U192,0))</f>
        <v>W</v>
      </c>
    </row>
    <row r="119" spans="1:21" s="358" customFormat="1" x14ac:dyDescent="0.8">
      <c r="A119" s="46">
        <f>IF(+All!$F283="Texas Tech",+All!A283,IF(+All!$H283="Texas Tech",+All!A283,0))</f>
        <v>4</v>
      </c>
      <c r="B119" s="348" t="str">
        <f>IF(+All!$F283="Texas Tech",+All!B283,IF(+All!$H283="Texas Tech",+All!B283,0))</f>
        <v>Sat</v>
      </c>
      <c r="C119" s="72">
        <f>IF(+All!$F283="Texas Tech",+All!C283,IF(+All!$H283="Texas Tech",+All!C283,0))</f>
        <v>44828</v>
      </c>
      <c r="D119" s="73">
        <f>IF(+All!$F283="Texas Tech",+All!D283,IF(+All!$H283="Texas Tech",+All!D283,0))</f>
        <v>0.64583333333333337</v>
      </c>
      <c r="E119" s="461" t="str">
        <f>IF(+All!$F283="Texas Tech",+All!E283,IF(+All!$H283="Texas Tech",+All!E283,0))</f>
        <v>FS1</v>
      </c>
      <c r="F119" s="460" t="str">
        <f>IF(+All!$F283="Texas Tech",+All!F283,IF(+All!$H283="Texas Tech",+All!F283,0))</f>
        <v>Texas</v>
      </c>
      <c r="G119" s="461" t="str">
        <f>IF(+All!$F283="Texas Tech",+All!G283,IF(+All!$H283="Texas Tech",+All!G283,0))</f>
        <v>B12</v>
      </c>
      <c r="H119" s="462" t="str">
        <f>IF(+All!$F283="Texas Tech",+All!H283,IF(+All!$H283="Texas Tech",+All!H283,0))</f>
        <v>Texas Tech</v>
      </c>
      <c r="I119" s="461" t="str">
        <f>IF(+All!$F283="Texas Tech",+All!I283,IF(+All!$H283="Texas Tech",+All!I283,0))</f>
        <v>B12</v>
      </c>
      <c r="J119" s="460" t="str">
        <f>IF(+All!$F283="Texas Tech",+All!J283,IF(+All!$H283="Texas Tech",+All!J283,0))</f>
        <v>Texas</v>
      </c>
      <c r="K119" s="461" t="str">
        <f>IF(+All!$F283="Texas Tech",+All!K283,IF(+All!$H283="Texas Tech",+All!K283,0))</f>
        <v>Texas Tech</v>
      </c>
      <c r="L119" s="60">
        <f>IF(+All!$F283="Texas Tech",+All!L283,IF(+All!$H283="Texas Tech",+All!L283,0))</f>
        <v>6.5</v>
      </c>
      <c r="M119" s="61">
        <f>IF(+All!$F283="Texas Tech",+All!M283,IF(+All!$H283="Texas Tech",+All!M283,0))</f>
        <v>60</v>
      </c>
      <c r="N119" s="460" t="str">
        <f>IF(+All!$F283="Texas Tech",+All!N283,IF(+All!$H283="Texas Tech",+All!N283,0))</f>
        <v>Texas Tech</v>
      </c>
      <c r="O119" s="462">
        <f>IF(+All!$F283="Texas Tech",+All!O283,IF(+All!$H283="Texas Tech",+All!O283,0))</f>
        <v>37</v>
      </c>
      <c r="P119" s="462" t="str">
        <f>IF(+All!$F283="Texas Tech",+All!P283,IF(+All!$H283="Texas Tech",+All!P283,0))</f>
        <v>Texas</v>
      </c>
      <c r="Q119" s="461">
        <f>IF(+All!$F283="Texas Tech",+All!Q283,IF(+All!$H283="Texas Tech",+All!Q283,0))</f>
        <v>34</v>
      </c>
      <c r="R119" s="460" t="str">
        <f>IF(+All!$F283="Texas Tech",+All!R283,IF(+All!$H283="Texas Tech",+All!R283,0))</f>
        <v>Texas Tech</v>
      </c>
      <c r="S119" s="462" t="str">
        <f>IF(+All!$F283="Texas Tech",+All!S283,IF(+All!$H283="Texas Tech",+All!S283,0))</f>
        <v>Texas</v>
      </c>
      <c r="T119" s="460" t="str">
        <f>IF(+All!$F283="Texas Tech",+All!T283,IF(+All!$H283="Texas Tech",+All!T283,0))</f>
        <v>Texas</v>
      </c>
      <c r="U119" s="461" t="str">
        <f>IF(+All!$F283="Texas Tech",+All!U283,IF(+All!$H283="Texas Tech",+All!U283,0))</f>
        <v>L</v>
      </c>
    </row>
    <row r="120" spans="1:21" s="358" customFormat="1" x14ac:dyDescent="0.8">
      <c r="A120" s="46">
        <f>IF(+All!$F344="Texas Tech",+All!A344,IF(+All!$H344="Texas Tech",+All!A344,0))</f>
        <v>5</v>
      </c>
      <c r="B120" s="348" t="str">
        <f>IF(+All!$F344="Texas Tech",+All!B344,IF(+All!$H344="Texas Tech",+All!B344,0))</f>
        <v>Sat</v>
      </c>
      <c r="C120" s="72">
        <f>IF(+All!$F344="Texas Tech",+All!C344,IF(+All!$H344="Texas Tech",+All!C344,0))</f>
        <v>44835</v>
      </c>
      <c r="D120" s="73">
        <f>IF(+All!$F344="Texas Tech",+All!D344,IF(+All!$H344="Texas Tech",+All!D344,0))</f>
        <v>0.5</v>
      </c>
      <c r="E120" s="461">
        <f>IF(+All!$F344="Texas Tech",+All!E344,IF(+All!$H344="Texas Tech",+All!E344,0))</f>
        <v>0</v>
      </c>
      <c r="F120" s="460" t="str">
        <f>IF(+All!$F344="Texas Tech",+All!F344,IF(+All!$H344="Texas Tech",+All!F344,0))</f>
        <v>Texas Tech</v>
      </c>
      <c r="G120" s="461" t="str">
        <f>IF(+All!$F344="Texas Tech",+All!G344,IF(+All!$H344="Texas Tech",+All!G344,0))</f>
        <v>B12</v>
      </c>
      <c r="H120" s="462" t="str">
        <f>IF(+All!$F344="Texas Tech",+All!H344,IF(+All!$H344="Texas Tech",+All!H344,0))</f>
        <v>Kansas State</v>
      </c>
      <c r="I120" s="461" t="str">
        <f>IF(+All!$F344="Texas Tech",+All!I344,IF(+All!$H344="Texas Tech",+All!I344,0))</f>
        <v>B12</v>
      </c>
      <c r="J120" s="460" t="str">
        <f>IF(+All!$F344="Texas Tech",+All!J344,IF(+All!$H344="Texas Tech",+All!J344,0))</f>
        <v>Kansas State</v>
      </c>
      <c r="K120" s="461" t="str">
        <f>IF(+All!$F344="Texas Tech",+All!K344,IF(+All!$H344="Texas Tech",+All!K344,0))</f>
        <v>Texas Tech</v>
      </c>
      <c r="L120" s="60">
        <f>IF(+All!$F344="Texas Tech",+All!L344,IF(+All!$H344="Texas Tech",+All!L344,0))</f>
        <v>8</v>
      </c>
      <c r="M120" s="61">
        <f>IF(+All!$F344="Texas Tech",+All!M344,IF(+All!$H344="Texas Tech",+All!M344,0))</f>
        <v>57.5</v>
      </c>
      <c r="N120" s="460" t="str">
        <f>IF(+All!$F344="Texas Tech",+All!N344,IF(+All!$H344="Texas Tech",+All!N344,0))</f>
        <v>Kansas State</v>
      </c>
      <c r="O120" s="462">
        <f>IF(+All!$F344="Texas Tech",+All!O344,IF(+All!$H344="Texas Tech",+All!O344,0))</f>
        <v>37</v>
      </c>
      <c r="P120" s="462" t="str">
        <f>IF(+All!$F344="Texas Tech",+All!P344,IF(+All!$H344="Texas Tech",+All!P344,0))</f>
        <v>Texas Tech</v>
      </c>
      <c r="Q120" s="461">
        <f>IF(+All!$F344="Texas Tech",+All!Q344,IF(+All!$H344="Texas Tech",+All!Q344,0))</f>
        <v>28</v>
      </c>
      <c r="R120" s="460" t="str">
        <f>IF(+All!$F344="Texas Tech",+All!R344,IF(+All!$H344="Texas Tech",+All!R344,0))</f>
        <v>Kansas State</v>
      </c>
      <c r="S120" s="462" t="str">
        <f>IF(+All!$F344="Texas Tech",+All!S344,IF(+All!$H344="Texas Tech",+All!S344,0))</f>
        <v>Texas Tech</v>
      </c>
      <c r="T120" s="460" t="str">
        <f>IF(+All!$F344="Texas Tech",+All!T344,IF(+All!$H344="Texas Tech",+All!T344,0))</f>
        <v>Texas Tech</v>
      </c>
      <c r="U120" s="461" t="str">
        <f>IF(+All!$F344="Texas Tech",+All!U344,IF(+All!$H344="Texas Tech",+All!U344,0))</f>
        <v>L</v>
      </c>
    </row>
    <row r="121" spans="1:21" s="358" customFormat="1" x14ac:dyDescent="0.8">
      <c r="A121" s="46">
        <f>IF(+All!$F404="Texas Tech",+All!A404,IF(+All!$H404="Texas Tech",+All!A404,0))</f>
        <v>6</v>
      </c>
      <c r="B121" s="348" t="str">
        <f>IF(+All!$F404="Texas Tech",+All!B404,IF(+All!$H404="Texas Tech",+All!B404,0))</f>
        <v>Sat</v>
      </c>
      <c r="C121" s="72">
        <f>IF(+All!$F404="Texas Tech",+All!C404,IF(+All!$H404="Texas Tech",+All!C404,0))</f>
        <v>44842</v>
      </c>
      <c r="D121" s="73">
        <f>IF(+All!$F404="Texas Tech",+All!D404,IF(+All!$H404="Texas Tech",+All!D404,0))</f>
        <v>0.64583333333333337</v>
      </c>
      <c r="E121" s="461" t="str">
        <f>IF(+All!$F404="Texas Tech",+All!E404,IF(+All!$H404="Texas Tech",+All!E404,0))</f>
        <v>FS1</v>
      </c>
      <c r="F121" s="460" t="str">
        <f>IF(+All!$F404="Texas Tech",+All!F404,IF(+All!$H404="Texas Tech",+All!F404,0))</f>
        <v>Texas Tech</v>
      </c>
      <c r="G121" s="461" t="str">
        <f>IF(+All!$F404="Texas Tech",+All!G404,IF(+All!$H404="Texas Tech",+All!G404,0))</f>
        <v>B12</v>
      </c>
      <c r="H121" s="462" t="str">
        <f>IF(+All!$F404="Texas Tech",+All!H404,IF(+All!$H404="Texas Tech",+All!H404,0))</f>
        <v>Oklahoma State</v>
      </c>
      <c r="I121" s="461" t="str">
        <f>IF(+All!$F404="Texas Tech",+All!I404,IF(+All!$H404="Texas Tech",+All!I404,0))</f>
        <v>B12</v>
      </c>
      <c r="J121" s="460" t="str">
        <f>IF(+All!$F404="Texas Tech",+All!J404,IF(+All!$H404="Texas Tech",+All!J404,0))</f>
        <v>Oklahoma State</v>
      </c>
      <c r="K121" s="461" t="str">
        <f>IF(+All!$F404="Texas Tech",+All!K404,IF(+All!$H404="Texas Tech",+All!K404,0))</f>
        <v>Texas Tech</v>
      </c>
      <c r="L121" s="60">
        <f>IF(+All!$F404="Texas Tech",+All!L404,IF(+All!$H404="Texas Tech",+All!L404,0))</f>
        <v>9</v>
      </c>
      <c r="M121" s="61">
        <f>IF(+All!$F404="Texas Tech",+All!M404,IF(+All!$H404="Texas Tech",+All!M404,0))</f>
        <v>69.5</v>
      </c>
      <c r="N121" s="460" t="str">
        <f>IF(+All!$F404="Texas Tech",+All!N404,IF(+All!$H404="Texas Tech",+All!N404,0))</f>
        <v>Oklahoma State</v>
      </c>
      <c r="O121" s="462">
        <f>IF(+All!$F404="Texas Tech",+All!O404,IF(+All!$H404="Texas Tech",+All!O404,0))</f>
        <v>41</v>
      </c>
      <c r="P121" s="462" t="str">
        <f>IF(+All!$F404="Texas Tech",+All!P404,IF(+All!$H404="Texas Tech",+All!P404,0))</f>
        <v>Texas Tech</v>
      </c>
      <c r="Q121" s="461">
        <f>IF(+All!$F404="Texas Tech",+All!Q404,IF(+All!$H404="Texas Tech",+All!Q404,0))</f>
        <v>31</v>
      </c>
      <c r="R121" s="460" t="str">
        <f>IF(+All!$F404="Texas Tech",+All!R404,IF(+All!$H404="Texas Tech",+All!R404,0))</f>
        <v>Oklahoma State</v>
      </c>
      <c r="S121" s="462" t="str">
        <f>IF(+All!$F404="Texas Tech",+All!S404,IF(+All!$H404="Texas Tech",+All!S404,0))</f>
        <v>Texas Tech</v>
      </c>
      <c r="T121" s="460" t="str">
        <f>IF(+All!$F404="Texas Tech",+All!T404,IF(+All!$H404="Texas Tech",+All!T404,0))</f>
        <v>Oklahoma State</v>
      </c>
      <c r="U121" s="461" t="str">
        <f>IF(+All!$F404="Texas Tech",+All!U404,IF(+All!$H404="Texas Tech",+All!U404,0))</f>
        <v>W</v>
      </c>
    </row>
    <row r="122" spans="1:21" s="358" customFormat="1" x14ac:dyDescent="0.8">
      <c r="A122" s="46" t="e">
        <f>IF(+All!#REF!="Texas Tech",+All!#REF!,IF(+All!#REF!="Texas Tech",+All!#REF!,0))</f>
        <v>#REF!</v>
      </c>
      <c r="B122" s="348" t="e">
        <f>IF(+All!#REF!="Texas Tech",+All!#REF!,IF(+All!#REF!="Texas Tech",+All!#REF!,0))</f>
        <v>#REF!</v>
      </c>
      <c r="C122" s="72" t="e">
        <f>IF(+All!#REF!="Texas Tech",+All!#REF!,IF(+All!#REF!="Texas Tech",+All!#REF!,0))</f>
        <v>#REF!</v>
      </c>
      <c r="D122" s="73" t="e">
        <f>IF(+All!#REF!="Texas Tech",+All!#REF!,IF(+All!#REF!="Texas Tech",+All!#REF!,0))</f>
        <v>#REF!</v>
      </c>
      <c r="E122" s="461" t="e">
        <f>IF(+All!#REF!="Texas Tech",+All!#REF!,IF(+All!#REF!="Texas Tech",+All!#REF!,0))</f>
        <v>#REF!</v>
      </c>
      <c r="F122" s="460" t="e">
        <f>IF(+All!#REF!="Texas Tech",+All!#REF!,IF(+All!#REF!="Texas Tech",+All!#REF!,0))</f>
        <v>#REF!</v>
      </c>
      <c r="G122" s="461" t="e">
        <f>IF(+All!#REF!="Texas Tech",+All!#REF!,IF(+All!#REF!="Texas Tech",+All!#REF!,0))</f>
        <v>#REF!</v>
      </c>
      <c r="H122" s="462" t="e">
        <f>IF(+All!#REF!="Texas Tech",+All!#REF!,IF(+All!#REF!="Texas Tech",+All!#REF!,0))</f>
        <v>#REF!</v>
      </c>
      <c r="I122" s="461" t="e">
        <f>IF(+All!#REF!="Texas Tech",+All!#REF!,IF(+All!#REF!="Texas Tech",+All!#REF!,0))</f>
        <v>#REF!</v>
      </c>
      <c r="J122" s="460" t="e">
        <f>IF(+All!#REF!="Texas Tech",+All!#REF!,IF(+All!#REF!="Texas Tech",+All!#REF!,0))</f>
        <v>#REF!</v>
      </c>
      <c r="K122" s="461" t="e">
        <f>IF(+All!#REF!="Texas Tech",+All!#REF!,IF(+All!#REF!="Texas Tech",+All!#REF!,0))</f>
        <v>#REF!</v>
      </c>
      <c r="L122" s="60" t="e">
        <f>IF(+All!#REF!="Texas Tech",+All!#REF!,IF(+All!#REF!="Texas Tech",+All!#REF!,0))</f>
        <v>#REF!</v>
      </c>
      <c r="M122" s="61" t="e">
        <f>IF(+All!#REF!="Texas Tech",+All!#REF!,IF(+All!#REF!="Texas Tech",+All!#REF!,0))</f>
        <v>#REF!</v>
      </c>
      <c r="N122" s="460" t="e">
        <f>IF(+All!#REF!="Texas Tech",+All!#REF!,IF(+All!#REF!="Texas Tech",+All!#REF!,0))</f>
        <v>#REF!</v>
      </c>
      <c r="O122" s="462" t="e">
        <f>IF(+All!#REF!="Texas Tech",+All!#REF!,IF(+All!#REF!="Texas Tech",+All!#REF!,0))</f>
        <v>#REF!</v>
      </c>
      <c r="P122" s="462" t="e">
        <f>IF(+All!#REF!="Texas Tech",+All!#REF!,IF(+All!#REF!="Texas Tech",+All!#REF!,0))</f>
        <v>#REF!</v>
      </c>
      <c r="Q122" s="461" t="e">
        <f>IF(+All!#REF!="Texas Tech",+All!#REF!,IF(+All!#REF!="Texas Tech",+All!#REF!,0))</f>
        <v>#REF!</v>
      </c>
      <c r="R122" s="460" t="e">
        <f>IF(+All!#REF!="Texas Tech",+All!#REF!,IF(+All!#REF!="Texas Tech",+All!#REF!,0))</f>
        <v>#REF!</v>
      </c>
      <c r="S122" s="462" t="e">
        <f>IF(+All!#REF!="Texas Tech",+All!#REF!,IF(+All!#REF!="Texas Tech",+All!#REF!,0))</f>
        <v>#REF!</v>
      </c>
      <c r="T122" s="460" t="e">
        <f>IF(+All!#REF!="Texas Tech",+All!#REF!,IF(+All!#REF!="Texas Tech",+All!#REF!,0))</f>
        <v>#REF!</v>
      </c>
      <c r="U122" s="461" t="e">
        <f>IF(+All!#REF!="Texas Tech",+All!#REF!,IF(+All!#REF!="Texas Tech",+All!#REF!,0))</f>
        <v>#REF!</v>
      </c>
    </row>
    <row r="123" spans="1:21" s="358" customFormat="1" x14ac:dyDescent="0.8">
      <c r="A123" s="46">
        <f>IF(+All!$F512="Texas Tech",+All!A512,IF(+All!$H512="Texas Tech",+All!A512,0))</f>
        <v>8</v>
      </c>
      <c r="B123" s="348" t="str">
        <f>IF(+All!$F512="Texas Tech",+All!B512,IF(+All!$H512="Texas Tech",+All!B512,0))</f>
        <v>Sat</v>
      </c>
      <c r="C123" s="72">
        <f>IF(+All!$F512="Texas Tech",+All!C512,IF(+All!$H512="Texas Tech",+All!C512,0))</f>
        <v>44856</v>
      </c>
      <c r="D123" s="73">
        <f>IF(+All!$F512="Texas Tech",+All!D512,IF(+All!$H512="Texas Tech",+All!D512,0))</f>
        <v>0.64583333333333337</v>
      </c>
      <c r="E123" s="461" t="str">
        <f>IF(+All!$F512="Texas Tech",+All!E512,IF(+All!$H512="Texas Tech",+All!E512,0))</f>
        <v>FS1</v>
      </c>
      <c r="F123" s="460" t="str">
        <f>IF(+All!$F512="Texas Tech",+All!F512,IF(+All!$H512="Texas Tech",+All!F512,0))</f>
        <v>West Virginia</v>
      </c>
      <c r="G123" s="461" t="str">
        <f>IF(+All!$F512="Texas Tech",+All!G512,IF(+All!$H512="Texas Tech",+All!G512,0))</f>
        <v>B12</v>
      </c>
      <c r="H123" s="462" t="str">
        <f>IF(+All!$F512="Texas Tech",+All!H512,IF(+All!$H512="Texas Tech",+All!H512,0))</f>
        <v>Texas Tech</v>
      </c>
      <c r="I123" s="461" t="str">
        <f>IF(+All!$F512="Texas Tech",+All!I512,IF(+All!$H512="Texas Tech",+All!I512,0))</f>
        <v>B12</v>
      </c>
      <c r="J123" s="460" t="str">
        <f>IF(+All!$F512="Texas Tech",+All!J512,IF(+All!$H512="Texas Tech",+All!J512,0))</f>
        <v>Texas Tech</v>
      </c>
      <c r="K123" s="461" t="str">
        <f>IF(+All!$F512="Texas Tech",+All!K512,IF(+All!$H512="Texas Tech",+All!K512,0))</f>
        <v>West Virginia</v>
      </c>
      <c r="L123" s="60">
        <f>IF(+All!$F512="Texas Tech",+All!L512,IF(+All!$H512="Texas Tech",+All!L512,0))</f>
        <v>7</v>
      </c>
      <c r="M123" s="61">
        <f>IF(+All!$F512="Texas Tech",+All!M512,IF(+All!$H512="Texas Tech",+All!M512,0))</f>
        <v>67</v>
      </c>
      <c r="N123" s="460" t="str">
        <f>IF(+All!$F512="Texas Tech",+All!N512,IF(+All!$H512="Texas Tech",+All!N512,0))</f>
        <v>Texas Tech</v>
      </c>
      <c r="O123" s="462">
        <f>IF(+All!$F512="Texas Tech",+All!O512,IF(+All!$H512="Texas Tech",+All!O512,0))</f>
        <v>48</v>
      </c>
      <c r="P123" s="462" t="str">
        <f>IF(+All!$F512="Texas Tech",+All!P512,IF(+All!$H512="Texas Tech",+All!P512,0))</f>
        <v>West Virginia</v>
      </c>
      <c r="Q123" s="461">
        <f>IF(+All!$F512="Texas Tech",+All!Q512,IF(+All!$H512="Texas Tech",+All!Q512,0))</f>
        <v>10</v>
      </c>
      <c r="R123" s="460" t="str">
        <f>IF(+All!$F512="Texas Tech",+All!R512,IF(+All!$H512="Texas Tech",+All!R512,0))</f>
        <v>Texas Tech</v>
      </c>
      <c r="S123" s="462" t="str">
        <f>IF(+All!$F512="Texas Tech",+All!S512,IF(+All!$H512="Texas Tech",+All!S512,0))</f>
        <v>West Virginia</v>
      </c>
      <c r="T123" s="460" t="str">
        <f>IF(+All!$F512="Texas Tech",+All!T512,IF(+All!$H512="Texas Tech",+All!T512,0))</f>
        <v>West Virginia</v>
      </c>
      <c r="U123" s="461" t="str">
        <f>IF(+All!$F512="Texas Tech",+All!U512,IF(+All!$H512="Texas Tech",+All!U512,0))</f>
        <v>L</v>
      </c>
    </row>
    <row r="124" spans="1:21" s="358" customFormat="1" x14ac:dyDescent="0.8">
      <c r="A124" s="46">
        <f>IF(+All!$F566="Texas Tech",+All!A566,IF(+All!$H566="Texas Tech",+All!A566,0))</f>
        <v>9</v>
      </c>
      <c r="B124" s="348" t="str">
        <f>IF(+All!$F566="Texas Tech",+All!B566,IF(+All!$H566="Texas Tech",+All!B566,0))</f>
        <v>Sat</v>
      </c>
      <c r="C124" s="72">
        <f>IF(+All!$F566="Texas Tech",+All!C566,IF(+All!$H566="Texas Tech",+All!C566,0))</f>
        <v>44863</v>
      </c>
      <c r="D124" s="73">
        <f>IF(+All!$F566="Texas Tech",+All!D566,IF(+All!$H566="Texas Tech",+All!D566,0))</f>
        <v>0.8125</v>
      </c>
      <c r="E124" s="461" t="str">
        <f>IF(+All!$F566="Texas Tech",+All!E566,IF(+All!$H566="Texas Tech",+All!E566,0))</f>
        <v>ESPN2</v>
      </c>
      <c r="F124" s="460" t="str">
        <f>IF(+All!$F566="Texas Tech",+All!F566,IF(+All!$H566="Texas Tech",+All!F566,0))</f>
        <v>Baylor</v>
      </c>
      <c r="G124" s="461" t="str">
        <f>IF(+All!$F566="Texas Tech",+All!G566,IF(+All!$H566="Texas Tech",+All!G566,0))</f>
        <v>B12</v>
      </c>
      <c r="H124" s="462" t="str">
        <f>IF(+All!$F566="Texas Tech",+All!H566,IF(+All!$H566="Texas Tech",+All!H566,0))</f>
        <v>Texas Tech</v>
      </c>
      <c r="I124" s="461" t="str">
        <f>IF(+All!$F566="Texas Tech",+All!I566,IF(+All!$H566="Texas Tech",+All!I566,0))</f>
        <v>B12</v>
      </c>
      <c r="J124" s="460" t="str">
        <f>IF(+All!$F566="Texas Tech",+All!J566,IF(+All!$H566="Texas Tech",+All!J566,0))</f>
        <v>Texas Tech</v>
      </c>
      <c r="K124" s="461" t="str">
        <f>IF(+All!$F566="Texas Tech",+All!K566,IF(+All!$H566="Texas Tech",+All!K566,0))</f>
        <v>Baylor</v>
      </c>
      <c r="L124" s="60">
        <f>IF(+All!$F566="Texas Tech",+All!L566,IF(+All!$H566="Texas Tech",+All!L566,0))</f>
        <v>2.5</v>
      </c>
      <c r="M124" s="61">
        <f>IF(+All!$F566="Texas Tech",+All!M566,IF(+All!$H566="Texas Tech",+All!M566,0))</f>
        <v>62</v>
      </c>
      <c r="N124" s="460" t="str">
        <f>IF(+All!$F566="Texas Tech",+All!N566,IF(+All!$H566="Texas Tech",+All!N566,0))</f>
        <v>Baylor</v>
      </c>
      <c r="O124" s="462">
        <f>IF(+All!$F566="Texas Tech",+All!O566,IF(+All!$H566="Texas Tech",+All!O566,0))</f>
        <v>45</v>
      </c>
      <c r="P124" s="462" t="str">
        <f>IF(+All!$F566="Texas Tech",+All!P566,IF(+All!$H566="Texas Tech",+All!P566,0))</f>
        <v>Texas Tech</v>
      </c>
      <c r="Q124" s="461">
        <f>IF(+All!$F566="Texas Tech",+All!Q566,IF(+All!$H566="Texas Tech",+All!Q566,0))</f>
        <v>17</v>
      </c>
      <c r="R124" s="460" t="str">
        <f>IF(+All!$F566="Texas Tech",+All!R566,IF(+All!$H566="Texas Tech",+All!R566,0))</f>
        <v>Baylor</v>
      </c>
      <c r="S124" s="462" t="str">
        <f>IF(+All!$F566="Texas Tech",+All!S566,IF(+All!$H566="Texas Tech",+All!S566,0))</f>
        <v>Texas Tech</v>
      </c>
      <c r="T124" s="460" t="str">
        <f>IF(+All!$F566="Texas Tech",+All!T566,IF(+All!$H566="Texas Tech",+All!T566,0))</f>
        <v>Baylor</v>
      </c>
      <c r="U124" s="461" t="str">
        <f>IF(+All!$F566="Texas Tech",+All!U566,IF(+All!$H566="Texas Tech",+All!U566,0))</f>
        <v>W</v>
      </c>
    </row>
    <row r="125" spans="1:21" s="358" customFormat="1" x14ac:dyDescent="0.8">
      <c r="A125" s="46">
        <f>IF(+All!$F624="Texas Tech",+All!A624,IF(+All!$H624="Texas Tech",+All!A624,0))</f>
        <v>10</v>
      </c>
      <c r="B125" s="348" t="str">
        <f>IF(+All!$F624="Texas Tech",+All!B624,IF(+All!$H624="Texas Tech",+All!B624,0))</f>
        <v>Sat</v>
      </c>
      <c r="C125" s="72">
        <f>IF(+All!$F624="Texas Tech",+All!C624,IF(+All!$H624="Texas Tech",+All!C624,0))</f>
        <v>44870</v>
      </c>
      <c r="D125" s="73">
        <f>IF(+All!$F624="Texas Tech",+All!D624,IF(+All!$H624="Texas Tech",+All!D624,0))</f>
        <v>0.5</v>
      </c>
      <c r="E125" s="461" t="str">
        <f>IF(+All!$F624="Texas Tech",+All!E624,IF(+All!$H624="Texas Tech",+All!E624,0))</f>
        <v>Fox</v>
      </c>
      <c r="F125" s="460" t="str">
        <f>IF(+All!$F624="Texas Tech",+All!F624,IF(+All!$H624="Texas Tech",+All!F624,0))</f>
        <v>Texas Tech</v>
      </c>
      <c r="G125" s="461" t="str">
        <f>IF(+All!$F624="Texas Tech",+All!G624,IF(+All!$H624="Texas Tech",+All!G624,0))</f>
        <v>B12</v>
      </c>
      <c r="H125" s="462" t="str">
        <f>IF(+All!$F624="Texas Tech",+All!H624,IF(+All!$H624="Texas Tech",+All!H624,0))</f>
        <v>TCU</v>
      </c>
      <c r="I125" s="461" t="str">
        <f>IF(+All!$F624="Texas Tech",+All!I624,IF(+All!$H624="Texas Tech",+All!I624,0))</f>
        <v>B12</v>
      </c>
      <c r="J125" s="460" t="str">
        <f>IF(+All!$F624="Texas Tech",+All!J624,IF(+All!$H624="Texas Tech",+All!J624,0))</f>
        <v>TCU</v>
      </c>
      <c r="K125" s="461" t="str">
        <f>IF(+All!$F624="Texas Tech",+All!K624,IF(+All!$H624="Texas Tech",+All!K624,0))</f>
        <v>Texas Tech</v>
      </c>
      <c r="L125" s="60">
        <f>IF(+All!$F624="Texas Tech",+All!L624,IF(+All!$H624="Texas Tech",+All!L624,0))</f>
        <v>9.5</v>
      </c>
      <c r="M125" s="61">
        <f>IF(+All!$F624="Texas Tech",+All!M624,IF(+All!$H624="Texas Tech",+All!M624,0))</f>
        <v>69.5</v>
      </c>
      <c r="N125" s="460" t="str">
        <f>IF(+All!$F624="Texas Tech",+All!N624,IF(+All!$H624="Texas Tech",+All!N624,0))</f>
        <v>TCU</v>
      </c>
      <c r="O125" s="462">
        <f>IF(+All!$F624="Texas Tech",+All!O624,IF(+All!$H624="Texas Tech",+All!O624,0))</f>
        <v>34</v>
      </c>
      <c r="P125" s="462" t="str">
        <f>IF(+All!$F624="Texas Tech",+All!P624,IF(+All!$H624="Texas Tech",+All!P624,0))</f>
        <v>Texas Tech</v>
      </c>
      <c r="Q125" s="461">
        <f>IF(+All!$F624="Texas Tech",+All!Q624,IF(+All!$H624="Texas Tech",+All!Q624,0))</f>
        <v>24</v>
      </c>
      <c r="R125" s="460" t="str">
        <f>IF(+All!$F624="Texas Tech",+All!R624,IF(+All!$H624="Texas Tech",+All!R624,0))</f>
        <v>TCU</v>
      </c>
      <c r="S125" s="462" t="str">
        <f>IF(+All!$F624="Texas Tech",+All!S624,IF(+All!$H624="Texas Tech",+All!S624,0))</f>
        <v>Texas Tech</v>
      </c>
      <c r="T125" s="460" t="str">
        <f>IF(+All!$F624="Texas Tech",+All!T624,IF(+All!$H624="Texas Tech",+All!T624,0))</f>
        <v>Texas Tech</v>
      </c>
      <c r="U125" s="461" t="str">
        <f>IF(+All!$F624="Texas Tech",+All!U624,IF(+All!$H624="Texas Tech",+All!U624,0))</f>
        <v>L</v>
      </c>
    </row>
    <row r="126" spans="1:21" s="358" customFormat="1" x14ac:dyDescent="0.8">
      <c r="A126" s="46">
        <f>IF(+All!$F685="Texas Tech",+All!A685,IF(+All!$H685="Texas Tech",+All!A685,0))</f>
        <v>11</v>
      </c>
      <c r="B126" s="348" t="str">
        <f>IF(+All!$F685="Texas Tech",+All!B685,IF(+All!$H685="Texas Tech",+All!B685,0))</f>
        <v>Sat</v>
      </c>
      <c r="C126" s="72">
        <f>IF(+All!$F685="Texas Tech",+All!C685,IF(+All!$H685="Texas Tech",+All!C685,0))</f>
        <v>44877</v>
      </c>
      <c r="D126" s="73">
        <f>IF(+All!$F685="Texas Tech",+All!D685,IF(+All!$H685="Texas Tech",+All!D685,0))</f>
        <v>0.79166666666666663</v>
      </c>
      <c r="E126" s="461">
        <f>IF(+All!$F685="Texas Tech",+All!E685,IF(+All!$H685="Texas Tech",+All!E685,0))</f>
        <v>0</v>
      </c>
      <c r="F126" s="460" t="str">
        <f>IF(+All!$F685="Texas Tech",+All!F685,IF(+All!$H685="Texas Tech",+All!F685,0))</f>
        <v>Kansas</v>
      </c>
      <c r="G126" s="461" t="str">
        <f>IF(+All!$F685="Texas Tech",+All!G685,IF(+All!$H685="Texas Tech",+All!G685,0))</f>
        <v>B12</v>
      </c>
      <c r="H126" s="462" t="str">
        <f>IF(+All!$F685="Texas Tech",+All!H685,IF(+All!$H685="Texas Tech",+All!H685,0))</f>
        <v>Texas Tech</v>
      </c>
      <c r="I126" s="461" t="str">
        <f>IF(+All!$F685="Texas Tech",+All!I685,IF(+All!$H685="Texas Tech",+All!I685,0))</f>
        <v>B12</v>
      </c>
      <c r="J126" s="460" t="str">
        <f>IF(+All!$F685="Texas Tech",+All!J685,IF(+All!$H685="Texas Tech",+All!J685,0))</f>
        <v>Texas Tech</v>
      </c>
      <c r="K126" s="461" t="str">
        <f>IF(+All!$F685="Texas Tech",+All!K685,IF(+All!$H685="Texas Tech",+All!K685,0))</f>
        <v>Kansas</v>
      </c>
      <c r="L126" s="60">
        <f>IF(+All!$F685="Texas Tech",+All!L685,IF(+All!$H685="Texas Tech",+All!L685,0))</f>
        <v>3.5</v>
      </c>
      <c r="M126" s="61">
        <f>IF(+All!$F685="Texas Tech",+All!M685,IF(+All!$H685="Texas Tech",+All!M685,0))</f>
        <v>64</v>
      </c>
      <c r="N126" s="460" t="str">
        <f>IF(+All!$F685="Texas Tech",+All!N685,IF(+All!$H685="Texas Tech",+All!N685,0))</f>
        <v>Texas Tech</v>
      </c>
      <c r="O126" s="462">
        <f>IF(+All!$F685="Texas Tech",+All!O685,IF(+All!$H685="Texas Tech",+All!O685,0))</f>
        <v>43</v>
      </c>
      <c r="P126" s="462" t="str">
        <f>IF(+All!$F685="Texas Tech",+All!P685,IF(+All!$H685="Texas Tech",+All!P685,0))</f>
        <v>Kansas</v>
      </c>
      <c r="Q126" s="461">
        <f>IF(+All!$F685="Texas Tech",+All!Q685,IF(+All!$H685="Texas Tech",+All!Q685,0))</f>
        <v>28</v>
      </c>
      <c r="R126" s="460" t="str">
        <f>IF(+All!$F685="Texas Tech",+All!R685,IF(+All!$H685="Texas Tech",+All!R685,0))</f>
        <v>Texas Tech</v>
      </c>
      <c r="S126" s="462" t="str">
        <f>IF(+All!$F685="Texas Tech",+All!S685,IF(+All!$H685="Texas Tech",+All!S685,0))</f>
        <v>Kansas</v>
      </c>
      <c r="T126" s="460" t="str">
        <f>IF(+All!$F685="Texas Tech",+All!T685,IF(+All!$H685="Texas Tech",+All!T685,0))</f>
        <v>Kansas</v>
      </c>
      <c r="U126" s="461" t="str">
        <f>IF(+All!$F685="Texas Tech",+All!U685,IF(+All!$H685="Texas Tech",+All!U685,0))</f>
        <v>L</v>
      </c>
    </row>
    <row r="127" spans="1:21" s="358" customFormat="1" x14ac:dyDescent="0.8">
      <c r="A127" s="46">
        <f>IF(+All!$F745="Texas Tech",+All!A745,IF(+All!$H745="Texas Tech",+All!A745,0))</f>
        <v>12</v>
      </c>
      <c r="B127" s="348" t="str">
        <f>IF(+All!$F745="Texas Tech",+All!B745,IF(+All!$H745="Texas Tech",+All!B745,0))</f>
        <v>Sat</v>
      </c>
      <c r="C127" s="72">
        <f>IF(+All!$F745="Texas Tech",+All!C745,IF(+All!$H745="Texas Tech",+All!C745,0))</f>
        <v>44884</v>
      </c>
      <c r="D127" s="73">
        <f>IF(+All!$F745="Texas Tech",+All!D745,IF(+All!$H745="Texas Tech",+All!D745,0))</f>
        <v>0.79166666666666663</v>
      </c>
      <c r="E127" s="461" t="str">
        <f>IF(+All!$F745="Texas Tech",+All!E745,IF(+All!$H745="Texas Tech",+All!E745,0))</f>
        <v>FS1</v>
      </c>
      <c r="F127" s="460" t="str">
        <f>IF(+All!$F745="Texas Tech",+All!F745,IF(+All!$H745="Texas Tech",+All!F745,0))</f>
        <v>Texas Tech</v>
      </c>
      <c r="G127" s="461" t="str">
        <f>IF(+All!$F745="Texas Tech",+All!G745,IF(+All!$H745="Texas Tech",+All!G745,0))</f>
        <v>B12</v>
      </c>
      <c r="H127" s="462" t="str">
        <f>IF(+All!$F745="Texas Tech",+All!H745,IF(+All!$H745="Texas Tech",+All!H745,0))</f>
        <v>Iowa State</v>
      </c>
      <c r="I127" s="461" t="str">
        <f>IF(+All!$F745="Texas Tech",+All!I745,IF(+All!$H745="Texas Tech",+All!I745,0))</f>
        <v>B12</v>
      </c>
      <c r="J127" s="460" t="str">
        <f>IF(+All!$F745="Texas Tech",+All!J745,IF(+All!$H745="Texas Tech",+All!J745,0))</f>
        <v>Iowa State</v>
      </c>
      <c r="K127" s="461" t="str">
        <f>IF(+All!$F745="Texas Tech",+All!K745,IF(+All!$H745="Texas Tech",+All!K745,0))</f>
        <v>Texas Tech</v>
      </c>
      <c r="L127" s="60">
        <f>IF(+All!$F745="Texas Tech",+All!L745,IF(+All!$H745="Texas Tech",+All!L745,0))</f>
        <v>3.5</v>
      </c>
      <c r="M127" s="61">
        <f>IF(+All!$F745="Texas Tech",+All!M745,IF(+All!$H745="Texas Tech",+All!M745,0))</f>
        <v>47.5</v>
      </c>
      <c r="N127" s="460" t="str">
        <f>IF(+All!$F745="Texas Tech",+All!N745,IF(+All!$H745="Texas Tech",+All!N745,0))</f>
        <v>Texas Tech</v>
      </c>
      <c r="O127" s="462">
        <f>IF(+All!$F745="Texas Tech",+All!O745,IF(+All!$H745="Texas Tech",+All!O745,0))</f>
        <v>14</v>
      </c>
      <c r="P127" s="462" t="str">
        <f>IF(+All!$F745="Texas Tech",+All!P745,IF(+All!$H745="Texas Tech",+All!P745,0))</f>
        <v>Iowa State</v>
      </c>
      <c r="Q127" s="461">
        <f>IF(+All!$F745="Texas Tech",+All!Q745,IF(+All!$H745="Texas Tech",+All!Q745,0))</f>
        <v>10</v>
      </c>
      <c r="R127" s="460" t="str">
        <f>IF(+All!$F745="Texas Tech",+All!R745,IF(+All!$H745="Texas Tech",+All!R745,0))</f>
        <v>Texas Tech</v>
      </c>
      <c r="S127" s="462" t="str">
        <f>IF(+All!$F745="Texas Tech",+All!S745,IF(+All!$H745="Texas Tech",+All!S745,0))</f>
        <v>Iowa State</v>
      </c>
      <c r="T127" s="460" t="str">
        <f>IF(+All!$F745="Texas Tech",+All!T745,IF(+All!$H745="Texas Tech",+All!T745,0))</f>
        <v>Iowa State</v>
      </c>
      <c r="U127" s="461" t="str">
        <f>IF(+All!$F745="Texas Tech",+All!U745,IF(+All!$H745="Texas Tech",+All!U745,0))</f>
        <v>L</v>
      </c>
    </row>
    <row r="128" spans="1:21" s="358" customFormat="1" x14ac:dyDescent="0.8">
      <c r="A128" s="46">
        <f>IF(+All!$F817="Texas Tech",+All!A817,IF(+All!$H817="Texas Tech",+All!A817,0))</f>
        <v>13</v>
      </c>
      <c r="B128" s="348" t="str">
        <f>IF(+All!$F817="Texas Tech",+All!B817,IF(+All!$H817="Texas Tech",+All!B817,0))</f>
        <v>Sat</v>
      </c>
      <c r="C128" s="72">
        <f>IF(+All!$F817="Texas Tech",+All!C817,IF(+All!$H817="Texas Tech",+All!C817,0))</f>
        <v>44891</v>
      </c>
      <c r="D128" s="73">
        <f>IF(+All!$F817="Texas Tech",+All!D817,IF(+All!$H817="Texas Tech",+All!D817,0))</f>
        <v>0.8125</v>
      </c>
      <c r="E128" s="461" t="str">
        <f>IF(+All!$F817="Texas Tech",+All!E817,IF(+All!$H817="Texas Tech",+All!E817,0))</f>
        <v>FS1</v>
      </c>
      <c r="F128" s="460" t="str">
        <f>IF(+All!$F817="Texas Tech",+All!F817,IF(+All!$H817="Texas Tech",+All!F817,0))</f>
        <v>Oklahoma</v>
      </c>
      <c r="G128" s="461" t="str">
        <f>IF(+All!$F817="Texas Tech",+All!G817,IF(+All!$H817="Texas Tech",+All!G817,0))</f>
        <v>B12</v>
      </c>
      <c r="H128" s="462" t="str">
        <f>IF(+All!$F817="Texas Tech",+All!H817,IF(+All!$H817="Texas Tech",+All!H817,0))</f>
        <v>Texas Tech</v>
      </c>
      <c r="I128" s="461" t="str">
        <f>IF(+All!$F817="Texas Tech",+All!I817,IF(+All!$H817="Texas Tech",+All!I817,0))</f>
        <v>B12</v>
      </c>
      <c r="J128" s="460" t="str">
        <f>IF(+All!$F817="Texas Tech",+All!J817,IF(+All!$H817="Texas Tech",+All!J817,0))</f>
        <v>Oklahoma</v>
      </c>
      <c r="K128" s="461" t="str">
        <f>IF(+All!$F817="Texas Tech",+All!K817,IF(+All!$H817="Texas Tech",+All!K817,0))</f>
        <v>Texas Tech</v>
      </c>
      <c r="L128" s="60">
        <f>IF(+All!$F817="Texas Tech",+All!L817,IF(+All!$H817="Texas Tech",+All!L817,0))</f>
        <v>2</v>
      </c>
      <c r="M128" s="61">
        <f>IF(+All!$F817="Texas Tech",+All!M817,IF(+All!$H817="Texas Tech",+All!M817,0))</f>
        <v>63.5</v>
      </c>
      <c r="N128" s="460" t="str">
        <f>IF(+All!$F817="Texas Tech",+All!N817,IF(+All!$H817="Texas Tech",+All!N817,0))</f>
        <v>Texas Tech</v>
      </c>
      <c r="O128" s="462">
        <f>IF(+All!$F817="Texas Tech",+All!O817,IF(+All!$H817="Texas Tech",+All!O817,0))</f>
        <v>51</v>
      </c>
      <c r="P128" s="462" t="str">
        <f>IF(+All!$F817="Texas Tech",+All!P817,IF(+All!$H817="Texas Tech",+All!P817,0))</f>
        <v>Oklahoma</v>
      </c>
      <c r="Q128" s="461">
        <f>IF(+All!$F817="Texas Tech",+All!Q817,IF(+All!$H817="Texas Tech",+All!Q817,0))</f>
        <v>48</v>
      </c>
      <c r="R128" s="460" t="str">
        <f>IF(+All!$F817="Texas Tech",+All!R817,IF(+All!$H817="Texas Tech",+All!R817,0))</f>
        <v>Texas Tech</v>
      </c>
      <c r="S128" s="462" t="str">
        <f>IF(+All!$F817="Texas Tech",+All!S817,IF(+All!$H817="Texas Tech",+All!S817,0))</f>
        <v>Oklahoma</v>
      </c>
      <c r="T128" s="460" t="str">
        <f>IF(+All!$F817="Texas Tech",+All!T817,IF(+All!$H817="Texas Tech",+All!T817,0))</f>
        <v>Oklahoma</v>
      </c>
      <c r="U128" s="461" t="str">
        <f>IF(+All!$F817="Texas Tech",+All!U817,IF(+All!$H817="Texas Tech",+All!U817,0))</f>
        <v>L</v>
      </c>
    </row>
    <row r="129" spans="1:21" s="21" customFormat="1" ht="15.75" customHeight="1" x14ac:dyDescent="0.8">
      <c r="A129" s="38"/>
      <c r="B129" s="39"/>
      <c r="C129" s="40"/>
      <c r="D129" s="41"/>
      <c r="E129" s="454"/>
      <c r="F129" s="897" t="str">
        <f>H131</f>
        <v>West Virginia</v>
      </c>
      <c r="G129" s="903"/>
      <c r="H129" s="903"/>
      <c r="I129" s="904"/>
      <c r="J129" s="453"/>
      <c r="K129" s="454"/>
      <c r="L129" s="44"/>
      <c r="M129" s="45"/>
      <c r="N129" s="453"/>
      <c r="O129" s="5"/>
      <c r="P129" s="5"/>
      <c r="Q129" s="454"/>
      <c r="R129" s="453"/>
      <c r="S129" s="5"/>
      <c r="T129" s="453"/>
      <c r="U129" s="454"/>
    </row>
    <row r="130" spans="1:21" s="365" customFormat="1" ht="16" customHeight="1" x14ac:dyDescent="0.8">
      <c r="A130" s="46">
        <f>IF(+All!$F16="West Virginia",+All!A16,IF(+All!$H16="West Virginia",+All!A16,0))</f>
        <v>1</v>
      </c>
      <c r="B130" s="348" t="str">
        <f>IF(+All!$F16="West Virginia",+All!B16,IF(+All!$H16="West Virginia",+All!B16,0))</f>
        <v>Thurs</v>
      </c>
      <c r="C130" s="72">
        <f>IF(+All!$F16="West Virginia",+All!C16,IF(+All!$H16="West Virginia",+All!C16,0))</f>
        <v>44805</v>
      </c>
      <c r="D130" s="73">
        <f>IF(+All!$F16="West Virginia",+All!D16,IF(+All!$H16="West Virginia",+All!D16,0))</f>
        <v>0.79166666666666663</v>
      </c>
      <c r="E130" s="461" t="str">
        <f>IF(+All!$F16="West Virginia",+All!E16,IF(+All!$H16="West Virginia",+All!E16,0))</f>
        <v>ESPN</v>
      </c>
      <c r="F130" s="460" t="str">
        <f>IF(+All!$F16="West Virginia",+All!F16,IF(+All!$H16="West Virginia",+All!F16,0))</f>
        <v>West Virginia</v>
      </c>
      <c r="G130" s="464" t="str">
        <f>IF(+All!$F16="West Virginia",+All!G16,IF(+All!$H16="West Virginia",+All!G16,0))</f>
        <v>B12</v>
      </c>
      <c r="H130" s="465" t="str">
        <f>IF(+All!$F16="West Virginia",+All!H16,IF(+All!$H16="West Virginia",+All!H16,0))</f>
        <v>Pittsburgh</v>
      </c>
      <c r="I130" s="464" t="str">
        <f>IF(+All!$F16="West Virginia",+All!I16,IF(+All!$H16="West Virginia",+All!I16,0))</f>
        <v>ACC</v>
      </c>
      <c r="J130" s="460" t="str">
        <f>IF(+All!$F16="West Virginia",+All!J16,IF(+All!$H16="West Virginia",+All!J16,0))</f>
        <v>Pittsburgh</v>
      </c>
      <c r="K130" s="461" t="str">
        <f>IF(+All!$F16="West Virginia",+All!K16,IF(+All!$H16="West Virginia",+All!K16,0))</f>
        <v>West Virginia</v>
      </c>
      <c r="L130" s="60">
        <f>IF(+All!$F16="West Virginia",+All!L16,IF(+All!$H16="West Virginia",+All!L16,0))</f>
        <v>7.5</v>
      </c>
      <c r="M130" s="61">
        <f>IF(+All!$F16="West Virginia",+All!M16,IF(+All!$H16="West Virginia",+All!M16,0))</f>
        <v>50.5</v>
      </c>
      <c r="N130" s="460" t="str">
        <f>IF(+All!$F16="West Virginia",+All!N16,IF(+All!$H16="West Virginia",+All!N16,0))</f>
        <v>Pittsburgh</v>
      </c>
      <c r="O130" s="462">
        <f>IF(+All!$F16="West Virginia",+All!O16,IF(+All!$H16="West Virginia",+All!O16,0))</f>
        <v>38</v>
      </c>
      <c r="P130" s="462" t="str">
        <f>IF(+All!$F16="West Virginia",+All!P16,IF(+All!$H16="West Virginia",+All!P16,0))</f>
        <v>West Virginia</v>
      </c>
      <c r="Q130" s="461">
        <f>IF(+All!$F16="West Virginia",+All!Q16,IF(+All!$H16="West Virginia",+All!Q16,0))</f>
        <v>31</v>
      </c>
      <c r="R130" s="460" t="str">
        <f>IF(+All!$F16="West Virginia",+All!R16,IF(+All!$H16="West Virginia",+All!R16,0))</f>
        <v>West Virginia</v>
      </c>
      <c r="S130" s="462" t="str">
        <f>IF(+All!$F16="West Virginia",+All!S16,IF(+All!$H16="West Virginia",+All!S16,0))</f>
        <v>Pittsburgh</v>
      </c>
      <c r="T130" s="460" t="str">
        <f>IF(+All!$F16="West Virginia",+All!T16,IF(+All!$H16="West Virginia",+All!T16,0))</f>
        <v>West Virginia</v>
      </c>
      <c r="U130" s="461" t="str">
        <f>IF(+All!$F16="West Virginia",+All!U16,IF(+All!$H16="West Virginia",+All!U16,0))</f>
        <v>W</v>
      </c>
    </row>
    <row r="131" spans="1:21" s="365" customFormat="1" ht="16" customHeight="1" x14ac:dyDescent="0.8">
      <c r="A131" s="46">
        <f>IF(+All!$F133="West Virginia",+All!A133,IF(+All!$H133="West Virginia",+All!A133,0))</f>
        <v>2</v>
      </c>
      <c r="B131" s="348" t="str">
        <f>IF(+All!$F133="West Virginia",+All!B133,IF(+All!$H133="West Virginia",+All!B133,0))</f>
        <v>Sat</v>
      </c>
      <c r="C131" s="72">
        <f>IF(+All!$F133="West Virginia",+All!C133,IF(+All!$H133="West Virginia",+All!C133,0))</f>
        <v>44814</v>
      </c>
      <c r="D131" s="73">
        <f>IF(+All!$F133="West Virginia",+All!D133,IF(+All!$H133="West Virginia",+All!D133,0))</f>
        <v>0.75</v>
      </c>
      <c r="E131" s="461">
        <f>IF(+All!$F133="West Virginia",+All!E133,IF(+All!$H133="West Virginia",+All!E133,0))</f>
        <v>0</v>
      </c>
      <c r="F131" s="460" t="str">
        <f>IF(+All!$F133="West Virginia",+All!F133,IF(+All!$H133="West Virginia",+All!F133,0))</f>
        <v>Kansas</v>
      </c>
      <c r="G131" s="464" t="str">
        <f>IF(+All!$F133="West Virginia",+All!G133,IF(+All!$H133="West Virginia",+All!G133,0))</f>
        <v>B12</v>
      </c>
      <c r="H131" s="465" t="str">
        <f>IF(+All!$F133="West Virginia",+All!H133,IF(+All!$H133="West Virginia",+All!H133,0))</f>
        <v>West Virginia</v>
      </c>
      <c r="I131" s="464" t="str">
        <f>IF(+All!$F133="West Virginia",+All!I133,IF(+All!$H133="West Virginia",+All!I133,0))</f>
        <v>B12</v>
      </c>
      <c r="J131" s="460" t="str">
        <f>IF(+All!$F133="West Virginia",+All!J133,IF(+All!$H133="West Virginia",+All!J133,0))</f>
        <v>West Virginia</v>
      </c>
      <c r="K131" s="461" t="str">
        <f>IF(+All!$F133="West Virginia",+All!K133,IF(+All!$H133="West Virginia",+All!K133,0))</f>
        <v>Kansas</v>
      </c>
      <c r="L131" s="60">
        <f>IF(+All!$F133="West Virginia",+All!L133,IF(+All!$H133="West Virginia",+All!L133,0))</f>
        <v>13.5</v>
      </c>
      <c r="M131" s="61">
        <f>IF(+All!$F133="West Virginia",+All!M133,IF(+All!$H133="West Virginia",+All!M133,0))</f>
        <v>59.5</v>
      </c>
      <c r="N131" s="460" t="str">
        <f>IF(+All!$F133="West Virginia",+All!N133,IF(+All!$H133="West Virginia",+All!N133,0))</f>
        <v>Kansas</v>
      </c>
      <c r="O131" s="462">
        <f>IF(+All!$F133="West Virginia",+All!O133,IF(+All!$H133="West Virginia",+All!O133,0))</f>
        <v>55</v>
      </c>
      <c r="P131" s="462" t="str">
        <f>IF(+All!$F133="West Virginia",+All!P133,IF(+All!$H133="West Virginia",+All!P133,0))</f>
        <v>West Virginia</v>
      </c>
      <c r="Q131" s="461">
        <f>IF(+All!$F133="West Virginia",+All!Q133,IF(+All!$H133="West Virginia",+All!Q133,0))</f>
        <v>42</v>
      </c>
      <c r="R131" s="460" t="str">
        <f>IF(+All!$F133="West Virginia",+All!R133,IF(+All!$H133="West Virginia",+All!R133,0))</f>
        <v>Kansas</v>
      </c>
      <c r="S131" s="462" t="str">
        <f>IF(+All!$F133="West Virginia",+All!S133,IF(+All!$H133="West Virginia",+All!S133,0))</f>
        <v>West Virginia</v>
      </c>
      <c r="T131" s="460" t="str">
        <f>IF(+All!$F133="West Virginia",+All!T133,IF(+All!$H133="West Virginia",+All!T133,0))</f>
        <v>West Virginia</v>
      </c>
      <c r="U131" s="461" t="str">
        <f>IF(+All!$F133="West Virginia",+All!U133,IF(+All!$H133="West Virginia",+All!U133,0))</f>
        <v>L</v>
      </c>
    </row>
    <row r="132" spans="1:21" s="365" customFormat="1" ht="16" customHeight="1" x14ac:dyDescent="0.8">
      <c r="A132" s="46">
        <f>IF(+All!$F211="West Virginia",+All!A211,IF(+All!$H211="West Virginia",+All!A211,0))</f>
        <v>3</v>
      </c>
      <c r="B132" s="348" t="str">
        <f>IF(+All!$F211="West Virginia",+All!B211,IF(+All!$H211="West Virginia",+All!B211,0))</f>
        <v>Sat</v>
      </c>
      <c r="C132" s="72">
        <f>IF(+All!$F211="West Virginia",+All!C211,IF(+All!$H211="West Virginia",+All!C211,0))</f>
        <v>44821</v>
      </c>
      <c r="D132" s="73">
        <f>IF(+All!$F211="West Virginia",+All!D211,IF(+All!$H211="West Virginia",+All!D211,0))</f>
        <v>0.54166666666666663</v>
      </c>
      <c r="E132" s="461">
        <f>IF(+All!$F211="West Virginia",+All!E211,IF(+All!$H211="West Virginia",+All!E211,0))</f>
        <v>0</v>
      </c>
      <c r="F132" s="460" t="str">
        <f>IF(+All!$F211="West Virginia",+All!F211,IF(+All!$H211="West Virginia",+All!F211,0))</f>
        <v>1AA Towson</v>
      </c>
      <c r="G132" s="464" t="str">
        <f>IF(+All!$F211="West Virginia",+All!G211,IF(+All!$H211="West Virginia",+All!G211,0))</f>
        <v>1AA</v>
      </c>
      <c r="H132" s="465" t="str">
        <f>IF(+All!$F211="West Virginia",+All!H211,IF(+All!$H211="West Virginia",+All!H211,0))</f>
        <v>West Virginia</v>
      </c>
      <c r="I132" s="464" t="str">
        <f>IF(+All!$F211="West Virginia",+All!I211,IF(+All!$H211="West Virginia",+All!I211,0))</f>
        <v>B12</v>
      </c>
      <c r="J132" s="460">
        <f>IF(+All!$F211="West Virginia",+All!J211,IF(+All!$H211="West Virginia",+All!J211,0))</f>
        <v>0</v>
      </c>
      <c r="K132" s="461">
        <f>IF(+All!$F211="West Virginia",+All!K211,IF(+All!$H211="West Virginia",+All!K211,0))</f>
        <v>0</v>
      </c>
      <c r="L132" s="60">
        <f>IF(+All!$F211="West Virginia",+All!L211,IF(+All!$H211="West Virginia",+All!L211,0))</f>
        <v>0</v>
      </c>
      <c r="M132" s="61">
        <f>IF(+All!$F211="West Virginia",+All!M211,IF(+All!$H211="West Virginia",+All!M211,0))</f>
        <v>0</v>
      </c>
      <c r="N132" s="460" t="str">
        <f>IF(+All!$F211="West Virginia",+All!N211,IF(+All!$H211="West Virginia",+All!N211,0))</f>
        <v>West Virginia</v>
      </c>
      <c r="O132" s="462">
        <f>IF(+All!$F211="West Virginia",+All!O211,IF(+All!$H211="West Virginia",+All!O211,0))</f>
        <v>65</v>
      </c>
      <c r="P132" s="462" t="str">
        <f>IF(+All!$F211="West Virginia",+All!P211,IF(+All!$H211="West Virginia",+All!P211,0))</f>
        <v>1AA Towson</v>
      </c>
      <c r="Q132" s="461">
        <f>IF(+All!$F211="West Virginia",+All!Q211,IF(+All!$H211="West Virginia",+All!Q211,0))</f>
        <v>7</v>
      </c>
      <c r="R132" s="460">
        <f>IF(+All!$F211="West Virginia",+All!R211,IF(+All!$H211="West Virginia",+All!R211,0))</f>
        <v>0</v>
      </c>
      <c r="S132" s="462">
        <f>IF(+All!$F211="West Virginia",+All!S211,IF(+All!$H211="West Virginia",+All!S211,0))</f>
        <v>0</v>
      </c>
      <c r="T132" s="460">
        <f>IF(+All!$F211="West Virginia",+All!T211,IF(+All!$H211="West Virginia",+All!T211,0))</f>
        <v>0</v>
      </c>
      <c r="U132" s="461">
        <f>IF(+All!$F211="West Virginia",+All!U211,IF(+All!$H211="West Virginia",+All!U211,0))</f>
        <v>0</v>
      </c>
    </row>
    <row r="133" spans="1:21" s="365" customFormat="1" ht="16" customHeight="1" x14ac:dyDescent="0.8">
      <c r="A133" s="46">
        <f>IF(+All!$F252="West Virginia",+All!A252,IF(+All!$H252="West Virginia",+All!A252,0))</f>
        <v>4</v>
      </c>
      <c r="B133" s="348" t="str">
        <f>IF(+All!$F252="West Virginia",+All!B252,IF(+All!$H252="West Virginia",+All!B252,0))</f>
        <v>Thurs</v>
      </c>
      <c r="C133" s="72">
        <f>IF(+All!$F252="West Virginia",+All!C252,IF(+All!$H252="West Virginia",+All!C252,0))</f>
        <v>44826</v>
      </c>
      <c r="D133" s="73">
        <f>IF(+All!$F252="West Virginia",+All!D252,IF(+All!$H252="West Virginia",+All!D252,0))</f>
        <v>0.8125</v>
      </c>
      <c r="E133" s="461" t="str">
        <f>IF(+All!$F252="West Virginia",+All!E252,IF(+All!$H252="West Virginia",+All!E252,0))</f>
        <v>ESPN</v>
      </c>
      <c r="F133" s="460" t="str">
        <f>IF(+All!$F252="West Virginia",+All!F252,IF(+All!$H252="West Virginia",+All!F252,0))</f>
        <v>West Virginia</v>
      </c>
      <c r="G133" s="464" t="str">
        <f>IF(+All!$F252="West Virginia",+All!G252,IF(+All!$H252="West Virginia",+All!G252,0))</f>
        <v>B12</v>
      </c>
      <c r="H133" s="465" t="str">
        <f>IF(+All!$F252="West Virginia",+All!H252,IF(+All!$H252="West Virginia",+All!H252,0))</f>
        <v>Virginia Tech</v>
      </c>
      <c r="I133" s="464" t="str">
        <f>IF(+All!$F252="West Virginia",+All!I252,IF(+All!$H252="West Virginia",+All!I252,0))</f>
        <v>ACC</v>
      </c>
      <c r="J133" s="460" t="str">
        <f>IF(+All!$F252="West Virginia",+All!J252,IF(+All!$H252="West Virginia",+All!J252,0))</f>
        <v>West Virginia</v>
      </c>
      <c r="K133" s="461" t="str">
        <f>IF(+All!$F252="West Virginia",+All!K252,IF(+All!$H252="West Virginia",+All!K252,0))</f>
        <v>Virginia Tech</v>
      </c>
      <c r="L133" s="60">
        <f>IF(+All!$F252="West Virginia",+All!L252,IF(+All!$H252="West Virginia",+All!L252,0))</f>
        <v>1.5</v>
      </c>
      <c r="M133" s="61">
        <f>IF(+All!$F252="West Virginia",+All!M252,IF(+All!$H252="West Virginia",+All!M252,0))</f>
        <v>50.5</v>
      </c>
      <c r="N133" s="460" t="str">
        <f>IF(+All!$F252="West Virginia",+All!N252,IF(+All!$H252="West Virginia",+All!N252,0))</f>
        <v>West Virginia</v>
      </c>
      <c r="O133" s="462">
        <f>IF(+All!$F252="West Virginia",+All!O252,IF(+All!$H252="West Virginia",+All!O252,0))</f>
        <v>33</v>
      </c>
      <c r="P133" s="462" t="str">
        <f>IF(+All!$F252="West Virginia",+All!P252,IF(+All!$H252="West Virginia",+All!P252,0))</f>
        <v>Virginia Tech</v>
      </c>
      <c r="Q133" s="461">
        <f>IF(+All!$F252="West Virginia",+All!Q252,IF(+All!$H252="West Virginia",+All!Q252,0))</f>
        <v>10</v>
      </c>
      <c r="R133" s="460" t="str">
        <f>IF(+All!$F252="West Virginia",+All!R252,IF(+All!$H252="West Virginia",+All!R252,0))</f>
        <v>West Virginia</v>
      </c>
      <c r="S133" s="462" t="str">
        <f>IF(+All!$F252="West Virginia",+All!S252,IF(+All!$H252="West Virginia",+All!S252,0))</f>
        <v>Virginia Tech</v>
      </c>
      <c r="T133" s="460" t="str">
        <f>IF(+All!$F252="West Virginia",+All!T252,IF(+All!$H252="West Virginia",+All!T252,0))</f>
        <v>West Virginia</v>
      </c>
      <c r="U133" s="461" t="str">
        <f>IF(+All!$F252="West Virginia",+All!U252,IF(+All!$H252="West Virginia",+All!U252,0))</f>
        <v>W</v>
      </c>
    </row>
    <row r="134" spans="1:21" s="472" customFormat="1" ht="16" customHeight="1" x14ac:dyDescent="0.8">
      <c r="A134" s="46">
        <f>IF(+All!$F346="West Virginia",+All!A346,IF(+All!$H346="West Virginia",+All!A346,0))</f>
        <v>5</v>
      </c>
      <c r="B134" s="348" t="str">
        <f>IF(+All!$F346="West Virginia",+All!B346,IF(+All!$H346="West Virginia",+All!B346,0))</f>
        <v>Sat</v>
      </c>
      <c r="C134" s="72">
        <f>IF(+All!$F346="West Virginia",+All!C346,IF(+All!$H346="West Virginia",+All!C346,0))</f>
        <v>44835</v>
      </c>
      <c r="D134" s="73">
        <f>IF(+All!$F346="West Virginia",+All!D346,IF(+All!$H346="West Virginia",+All!D346,0))</f>
        <v>0.8125</v>
      </c>
      <c r="E134" s="461" t="str">
        <f>IF(+All!$F346="West Virginia",+All!E346,IF(+All!$H346="West Virginia",+All!E346,0))</f>
        <v>FS1</v>
      </c>
      <c r="F134" s="460" t="str">
        <f>IF(+All!$F346="West Virginia",+All!F346,IF(+All!$H346="West Virginia",+All!F346,0))</f>
        <v>West Virginia</v>
      </c>
      <c r="G134" s="464" t="str">
        <f>IF(+All!$F346="West Virginia",+All!G346,IF(+All!$H346="West Virginia",+All!G346,0))</f>
        <v>B12</v>
      </c>
      <c r="H134" s="465" t="str">
        <f>IF(+All!$F346="West Virginia",+All!H346,IF(+All!$H346="West Virginia",+All!H346,0))</f>
        <v>Texas</v>
      </c>
      <c r="I134" s="464" t="str">
        <f>IF(+All!$F346="West Virginia",+All!I346,IF(+All!$H346="West Virginia",+All!I346,0))</f>
        <v>B12</v>
      </c>
      <c r="J134" s="460" t="str">
        <f>IF(+All!$F346="West Virginia",+All!J346,IF(+All!$H346="West Virginia",+All!J346,0))</f>
        <v>Texas</v>
      </c>
      <c r="K134" s="461" t="str">
        <f>IF(+All!$F346="West Virginia",+All!K346,IF(+All!$H346="West Virginia",+All!K346,0))</f>
        <v>West Virginia</v>
      </c>
      <c r="L134" s="60">
        <f>IF(+All!$F346="West Virginia",+All!L346,IF(+All!$H346="West Virginia",+All!L346,0))</f>
        <v>10</v>
      </c>
      <c r="M134" s="61">
        <f>IF(+All!$F346="West Virginia",+All!M346,IF(+All!$H346="West Virginia",+All!M346,0))</f>
        <v>62</v>
      </c>
      <c r="N134" s="460" t="str">
        <f>IF(+All!$F346="West Virginia",+All!N346,IF(+All!$H346="West Virginia",+All!N346,0))</f>
        <v>Texas</v>
      </c>
      <c r="O134" s="462">
        <f>IF(+All!$F346="West Virginia",+All!O346,IF(+All!$H346="West Virginia",+All!O346,0))</f>
        <v>38</v>
      </c>
      <c r="P134" s="462" t="str">
        <f>IF(+All!$F346="West Virginia",+All!P346,IF(+All!$H346="West Virginia",+All!P346,0))</f>
        <v>West Virginia</v>
      </c>
      <c r="Q134" s="461">
        <f>IF(+All!$F346="West Virginia",+All!Q346,IF(+All!$H346="West Virginia",+All!Q346,0))</f>
        <v>20</v>
      </c>
      <c r="R134" s="460" t="str">
        <f>IF(+All!$F346="West Virginia",+All!R346,IF(+All!$H346="West Virginia",+All!R346,0))</f>
        <v>Texas</v>
      </c>
      <c r="S134" s="462" t="str">
        <f>IF(+All!$F346="West Virginia",+All!S346,IF(+All!$H346="West Virginia",+All!S346,0))</f>
        <v>West Virginia</v>
      </c>
      <c r="T134" s="460" t="str">
        <f>IF(+All!$F346="West Virginia",+All!T346,IF(+All!$H346="West Virginia",+All!T346,0))</f>
        <v>West Virginia</v>
      </c>
      <c r="U134" s="461" t="str">
        <f>IF(+All!$F346="West Virginia",+All!U346,IF(+All!$H346="West Virginia",+All!U346,0))</f>
        <v>L</v>
      </c>
    </row>
    <row r="135" spans="1:21" s="472" customFormat="1" ht="16" customHeight="1" x14ac:dyDescent="0.8">
      <c r="A135" s="46" t="e">
        <f>IF(+All!#REF!="West Virginia",+All!#REF!,IF(+All!#REF!="West Virginia",+All!#REF!,0))</f>
        <v>#REF!</v>
      </c>
      <c r="B135" s="348" t="e">
        <f>IF(+All!#REF!="West Virginia",+All!#REF!,IF(+All!#REF!="West Virginia",+All!#REF!,0))</f>
        <v>#REF!</v>
      </c>
      <c r="C135" s="72" t="e">
        <f>IF(+All!#REF!="West Virginia",+All!#REF!,IF(+All!#REF!="West Virginia",+All!#REF!,0))</f>
        <v>#REF!</v>
      </c>
      <c r="D135" s="73" t="e">
        <f>IF(+All!#REF!="West Virginia",+All!#REF!,IF(+All!#REF!="West Virginia",+All!#REF!,0))</f>
        <v>#REF!</v>
      </c>
      <c r="E135" s="461" t="e">
        <f>IF(+All!#REF!="West Virginia",+All!#REF!,IF(+All!#REF!="West Virginia",+All!#REF!,0))</f>
        <v>#REF!</v>
      </c>
      <c r="F135" s="460" t="e">
        <f>IF(+All!#REF!="West Virginia",+All!#REF!,IF(+All!#REF!="West Virginia",+All!#REF!,0))</f>
        <v>#REF!</v>
      </c>
      <c r="G135" s="464" t="e">
        <f>IF(+All!#REF!="West Virginia",+All!#REF!,IF(+All!#REF!="West Virginia",+All!#REF!,0))</f>
        <v>#REF!</v>
      </c>
      <c r="H135" s="465" t="e">
        <f>IF(+All!#REF!="West Virginia",+All!#REF!,IF(+All!#REF!="West Virginia",+All!#REF!,0))</f>
        <v>#REF!</v>
      </c>
      <c r="I135" s="464" t="e">
        <f>IF(+All!#REF!="West Virginia",+All!#REF!,IF(+All!#REF!="West Virginia",+All!#REF!,0))</f>
        <v>#REF!</v>
      </c>
      <c r="J135" s="460" t="e">
        <f>IF(+All!#REF!="West Virginia",+All!#REF!,IF(+All!#REF!="West Virginia",+All!#REF!,0))</f>
        <v>#REF!</v>
      </c>
      <c r="K135" s="461" t="e">
        <f>IF(+All!#REF!="West Virginia",+All!#REF!,IF(+All!#REF!="West Virginia",+All!#REF!,0))</f>
        <v>#REF!</v>
      </c>
      <c r="L135" s="60" t="e">
        <f>IF(+All!#REF!="West Virginia",+All!#REF!,IF(+All!#REF!="West Virginia",+All!#REF!,0))</f>
        <v>#REF!</v>
      </c>
      <c r="M135" s="61" t="e">
        <f>IF(+All!#REF!="West Virginia",+All!#REF!,IF(+All!#REF!="West Virginia",+All!#REF!,0))</f>
        <v>#REF!</v>
      </c>
      <c r="N135" s="460" t="e">
        <f>IF(+All!#REF!="West Virginia",+All!#REF!,IF(+All!#REF!="West Virginia",+All!#REF!,0))</f>
        <v>#REF!</v>
      </c>
      <c r="O135" s="462" t="e">
        <f>IF(+All!#REF!="West Virginia",+All!#REF!,IF(+All!#REF!="West Virginia",+All!#REF!,0))</f>
        <v>#REF!</v>
      </c>
      <c r="P135" s="462" t="e">
        <f>IF(+All!#REF!="West Virginia",+All!#REF!,IF(+All!#REF!="West Virginia",+All!#REF!,0))</f>
        <v>#REF!</v>
      </c>
      <c r="Q135" s="461" t="e">
        <f>IF(+All!#REF!="West Virginia",+All!#REF!,IF(+All!#REF!="West Virginia",+All!#REF!,0))</f>
        <v>#REF!</v>
      </c>
      <c r="R135" s="460" t="e">
        <f>IF(+All!#REF!="West Virginia",+All!#REF!,IF(+All!#REF!="West Virginia",+All!#REF!,0))</f>
        <v>#REF!</v>
      </c>
      <c r="S135" s="462" t="e">
        <f>IF(+All!#REF!="West Virginia",+All!#REF!,IF(+All!#REF!="West Virginia",+All!#REF!,0))</f>
        <v>#REF!</v>
      </c>
      <c r="T135" s="460" t="e">
        <f>IF(+All!#REF!="West Virginia",+All!#REF!,IF(+All!#REF!="West Virginia",+All!#REF!,0))</f>
        <v>#REF!</v>
      </c>
      <c r="U135" s="461" t="e">
        <f>IF(+All!#REF!="West Virginia",+All!#REF!,IF(+All!#REF!="West Virginia",+All!#REF!,0))</f>
        <v>#REF!</v>
      </c>
    </row>
    <row r="136" spans="1:21" s="365" customFormat="1" ht="16" customHeight="1" x14ac:dyDescent="0.8">
      <c r="A136" s="46">
        <f>IF(+All!$F440="West Virginia",+All!A440,IF(+All!$H440="West Virginia",+All!A440,0))</f>
        <v>7</v>
      </c>
      <c r="B136" s="348" t="str">
        <f>IF(+All!$F440="West Virginia",+All!B440,IF(+All!$H440="West Virginia",+All!B440,0))</f>
        <v>Thurs</v>
      </c>
      <c r="C136" s="72">
        <f>IF(+All!$F440="West Virginia",+All!C440,IF(+All!$H440="West Virginia",+All!C440,0))</f>
        <v>44847</v>
      </c>
      <c r="D136" s="73">
        <f>IF(+All!$F440="West Virginia",+All!D440,IF(+All!$H440="West Virginia",+All!D440,0))</f>
        <v>0.79166666666666663</v>
      </c>
      <c r="E136" s="461" t="str">
        <f>IF(+All!$F440="West Virginia",+All!E440,IF(+All!$H440="West Virginia",+All!E440,0))</f>
        <v>FS1</v>
      </c>
      <c r="F136" s="460" t="str">
        <f>IF(+All!$F440="West Virginia",+All!F440,IF(+All!$H440="West Virginia",+All!F440,0))</f>
        <v>Baylor</v>
      </c>
      <c r="G136" s="464" t="str">
        <f>IF(+All!$F440="West Virginia",+All!G440,IF(+All!$H440="West Virginia",+All!G440,0))</f>
        <v>B12</v>
      </c>
      <c r="H136" s="465" t="str">
        <f>IF(+All!$F440="West Virginia",+All!H440,IF(+All!$H440="West Virginia",+All!H440,0))</f>
        <v>West Virginia</v>
      </c>
      <c r="I136" s="464" t="str">
        <f>IF(+All!$F440="West Virginia",+All!I440,IF(+All!$H440="West Virginia",+All!I440,0))</f>
        <v>B12</v>
      </c>
      <c r="J136" s="460" t="str">
        <f>IF(+All!$F440="West Virginia",+All!J440,IF(+All!$H440="West Virginia",+All!J440,0))</f>
        <v>Baylor</v>
      </c>
      <c r="K136" s="461" t="str">
        <f>IF(+All!$F440="West Virginia",+All!K440,IF(+All!$H440="West Virginia",+All!K440,0))</f>
        <v>West Virginia</v>
      </c>
      <c r="L136" s="60">
        <f>IF(+All!$F440="West Virginia",+All!L440,IF(+All!$H440="West Virginia",+All!L440,0))</f>
        <v>3.5</v>
      </c>
      <c r="M136" s="61">
        <f>IF(+All!$F440="West Virginia",+All!M440,IF(+All!$H440="West Virginia",+All!M440,0))</f>
        <v>54.5</v>
      </c>
      <c r="N136" s="460" t="str">
        <f>IF(+All!$F440="West Virginia",+All!N440,IF(+All!$H440="West Virginia",+All!N440,0))</f>
        <v>West Virginia</v>
      </c>
      <c r="O136" s="462">
        <f>IF(+All!$F440="West Virginia",+All!O440,IF(+All!$H440="West Virginia",+All!O440,0))</f>
        <v>43</v>
      </c>
      <c r="P136" s="462" t="str">
        <f>IF(+All!$F440="West Virginia",+All!P440,IF(+All!$H440="West Virginia",+All!P440,0))</f>
        <v>Baylor</v>
      </c>
      <c r="Q136" s="461">
        <f>IF(+All!$F440="West Virginia",+All!Q440,IF(+All!$H440="West Virginia",+All!Q440,0))</f>
        <v>40</v>
      </c>
      <c r="R136" s="460" t="str">
        <f>IF(+All!$F440="West Virginia",+All!R440,IF(+All!$H440="West Virginia",+All!R440,0))</f>
        <v>West Virginia</v>
      </c>
      <c r="S136" s="462" t="str">
        <f>IF(+All!$F440="West Virginia",+All!S440,IF(+All!$H440="West Virginia",+All!S440,0))</f>
        <v>Baylor</v>
      </c>
      <c r="T136" s="460" t="str">
        <f>IF(+All!$F440="West Virginia",+All!T440,IF(+All!$H440="West Virginia",+All!T440,0))</f>
        <v>Baylor</v>
      </c>
      <c r="U136" s="461" t="str">
        <f>IF(+All!$F440="West Virginia",+All!U440,IF(+All!$H440="West Virginia",+All!U440,0))</f>
        <v>L</v>
      </c>
    </row>
    <row r="137" spans="1:21" s="365" customFormat="1" ht="16" customHeight="1" x14ac:dyDescent="0.8">
      <c r="A137" s="46">
        <f>IF(+All!$F512="West Virginia",+All!A512,IF(+All!$H512="West Virginia",+All!A512,0))</f>
        <v>8</v>
      </c>
      <c r="B137" s="348" t="str">
        <f>IF(+All!$F512="West Virginia",+All!B512,IF(+All!$H512="West Virginia",+All!B512,0))</f>
        <v>Sat</v>
      </c>
      <c r="C137" s="72">
        <f>IF(+All!$F512="West Virginia",+All!C512,IF(+All!$H512="West Virginia",+All!C512,0))</f>
        <v>44856</v>
      </c>
      <c r="D137" s="73">
        <f>IF(+All!$F512="West Virginia",+All!D512,IF(+All!$H512="West Virginia",+All!D512,0))</f>
        <v>0.64583333333333337</v>
      </c>
      <c r="E137" s="461" t="str">
        <f>IF(+All!$F512="West Virginia",+All!E512,IF(+All!$H512="West Virginia",+All!E512,0))</f>
        <v>FS1</v>
      </c>
      <c r="F137" s="460" t="str">
        <f>IF(+All!$F512="West Virginia",+All!F512,IF(+All!$H512="West Virginia",+All!F512,0))</f>
        <v>West Virginia</v>
      </c>
      <c r="G137" s="464" t="str">
        <f>IF(+All!$F512="West Virginia",+All!G512,IF(+All!$H512="West Virginia",+All!G512,0))</f>
        <v>B12</v>
      </c>
      <c r="H137" s="465" t="str">
        <f>IF(+All!$F512="West Virginia",+All!H512,IF(+All!$H512="West Virginia",+All!H512,0))</f>
        <v>Texas Tech</v>
      </c>
      <c r="I137" s="464" t="str">
        <f>IF(+All!$F512="West Virginia",+All!I512,IF(+All!$H512="West Virginia",+All!I512,0))</f>
        <v>B12</v>
      </c>
      <c r="J137" s="460" t="str">
        <f>IF(+All!$F512="West Virginia",+All!J512,IF(+All!$H512="West Virginia",+All!J512,0))</f>
        <v>Texas Tech</v>
      </c>
      <c r="K137" s="461" t="str">
        <f>IF(+All!$F512="West Virginia",+All!K512,IF(+All!$H512="West Virginia",+All!K512,0))</f>
        <v>West Virginia</v>
      </c>
      <c r="L137" s="60">
        <f>IF(+All!$F512="West Virginia",+All!L512,IF(+All!$H512="West Virginia",+All!L512,0))</f>
        <v>7</v>
      </c>
      <c r="M137" s="61">
        <f>IF(+All!$F512="West Virginia",+All!M512,IF(+All!$H512="West Virginia",+All!M512,0))</f>
        <v>67</v>
      </c>
      <c r="N137" s="460" t="str">
        <f>IF(+All!$F512="West Virginia",+All!N512,IF(+All!$H512="West Virginia",+All!N512,0))</f>
        <v>Texas Tech</v>
      </c>
      <c r="O137" s="462">
        <f>IF(+All!$F512="West Virginia",+All!O512,IF(+All!$H512="West Virginia",+All!O512,0))</f>
        <v>48</v>
      </c>
      <c r="P137" s="462" t="str">
        <f>IF(+All!$F512="West Virginia",+All!P512,IF(+All!$H512="West Virginia",+All!P512,0))</f>
        <v>West Virginia</v>
      </c>
      <c r="Q137" s="461">
        <f>IF(+All!$F512="West Virginia",+All!Q512,IF(+All!$H512="West Virginia",+All!Q512,0))</f>
        <v>10</v>
      </c>
      <c r="R137" s="460" t="str">
        <f>IF(+All!$F512="West Virginia",+All!R512,IF(+All!$H512="West Virginia",+All!R512,0))</f>
        <v>Texas Tech</v>
      </c>
      <c r="S137" s="462" t="str">
        <f>IF(+All!$F512="West Virginia",+All!S512,IF(+All!$H512="West Virginia",+All!S512,0))</f>
        <v>West Virginia</v>
      </c>
      <c r="T137" s="460" t="str">
        <f>IF(+All!$F512="West Virginia",+All!T512,IF(+All!$H512="West Virginia",+All!T512,0))</f>
        <v>West Virginia</v>
      </c>
      <c r="U137" s="461" t="str">
        <f>IF(+All!$F512="West Virginia",+All!U512,IF(+All!$H512="West Virginia",+All!U512,0))</f>
        <v>L</v>
      </c>
    </row>
    <row r="138" spans="1:21" s="365" customFormat="1" ht="16" customHeight="1" x14ac:dyDescent="0.8">
      <c r="A138" s="46">
        <f>IF(+All!$F567="West Virginia",+All!A567,IF(+All!$H567="West Virginia",+All!A567,0))</f>
        <v>9</v>
      </c>
      <c r="B138" s="348" t="str">
        <f>IF(+All!$F567="West Virginia",+All!B567,IF(+All!$H567="West Virginia",+All!B567,0))</f>
        <v>Sat</v>
      </c>
      <c r="C138" s="72">
        <f>IF(+All!$F567="West Virginia",+All!C567,IF(+All!$H567="West Virginia",+All!C567,0))</f>
        <v>44863</v>
      </c>
      <c r="D138" s="73">
        <f>IF(+All!$F567="West Virginia",+All!D567,IF(+All!$H567="West Virginia",+All!D567,0))</f>
        <v>0.5</v>
      </c>
      <c r="E138" s="461" t="str">
        <f>IF(+All!$F567="West Virginia",+All!E567,IF(+All!$H567="West Virginia",+All!E567,0))</f>
        <v>ESPN</v>
      </c>
      <c r="F138" s="460" t="str">
        <f>IF(+All!$F567="West Virginia",+All!F567,IF(+All!$H567="West Virginia",+All!F567,0))</f>
        <v>TCU</v>
      </c>
      <c r="G138" s="464" t="str">
        <f>IF(+All!$F567="West Virginia",+All!G567,IF(+All!$H567="West Virginia",+All!G567,0))</f>
        <v>B12</v>
      </c>
      <c r="H138" s="465" t="str">
        <f>IF(+All!$F567="West Virginia",+All!H567,IF(+All!$H567="West Virginia",+All!H567,0))</f>
        <v>West Virginia</v>
      </c>
      <c r="I138" s="464" t="str">
        <f>IF(+All!$F567="West Virginia",+All!I567,IF(+All!$H567="West Virginia",+All!I567,0))</f>
        <v>B12</v>
      </c>
      <c r="J138" s="460" t="str">
        <f>IF(+All!$F567="West Virginia",+All!J567,IF(+All!$H567="West Virginia",+All!J567,0))</f>
        <v>TCU</v>
      </c>
      <c r="K138" s="461" t="str">
        <f>IF(+All!$F567="West Virginia",+All!K567,IF(+All!$H567="West Virginia",+All!K567,0))</f>
        <v>West Virginia</v>
      </c>
      <c r="L138" s="60">
        <f>IF(+All!$F567="West Virginia",+All!L567,IF(+All!$H567="West Virginia",+All!L567,0))</f>
        <v>7</v>
      </c>
      <c r="M138" s="61">
        <f>IF(+All!$F567="West Virginia",+All!M567,IF(+All!$H567="West Virginia",+All!M567,0))</f>
        <v>69</v>
      </c>
      <c r="N138" s="460" t="str">
        <f>IF(+All!$F567="West Virginia",+All!N567,IF(+All!$H567="West Virginia",+All!N567,0))</f>
        <v>TCU</v>
      </c>
      <c r="O138" s="462">
        <f>IF(+All!$F567="West Virginia",+All!O567,IF(+All!$H567="West Virginia",+All!O567,0))</f>
        <v>41</v>
      </c>
      <c r="P138" s="462" t="str">
        <f>IF(+All!$F567="West Virginia",+All!P567,IF(+All!$H567="West Virginia",+All!P567,0))</f>
        <v>West Virginia</v>
      </c>
      <c r="Q138" s="461">
        <f>IF(+All!$F567="West Virginia",+All!Q567,IF(+All!$H567="West Virginia",+All!Q567,0))</f>
        <v>31</v>
      </c>
      <c r="R138" s="460" t="str">
        <f>IF(+All!$F567="West Virginia",+All!R567,IF(+All!$H567="West Virginia",+All!R567,0))</f>
        <v>TCU</v>
      </c>
      <c r="S138" s="462" t="str">
        <f>IF(+All!$F567="West Virginia",+All!S567,IF(+All!$H567="West Virginia",+All!S567,0))</f>
        <v>West Virginia</v>
      </c>
      <c r="T138" s="460" t="str">
        <f>IF(+All!$F567="West Virginia",+All!T567,IF(+All!$H567="West Virginia",+All!T567,0))</f>
        <v>West Virginia</v>
      </c>
      <c r="U138" s="461" t="str">
        <f>IF(+All!$F567="West Virginia",+All!U567,IF(+All!$H567="West Virginia",+All!U567,0))</f>
        <v>L</v>
      </c>
    </row>
    <row r="139" spans="1:21" s="365" customFormat="1" ht="16" customHeight="1" x14ac:dyDescent="0.8">
      <c r="A139" s="46">
        <f>IF(+All!$F620="West Virginia",+All!A620,IF(+All!$H620="West Virginia",+All!A620,0))</f>
        <v>10</v>
      </c>
      <c r="B139" s="348" t="str">
        <f>IF(+All!$F620="West Virginia",+All!B620,IF(+All!$H620="West Virginia",+All!B620,0))</f>
        <v>Sat</v>
      </c>
      <c r="C139" s="72">
        <f>IF(+All!$F620="West Virginia",+All!C620,IF(+All!$H620="West Virginia",+All!C620,0))</f>
        <v>44870</v>
      </c>
      <c r="D139" s="73">
        <f>IF(+All!$F620="West Virginia",+All!D620,IF(+All!$H620="West Virginia",+All!D620,0))</f>
        <v>0.64583333333333337</v>
      </c>
      <c r="E139" s="461">
        <f>IF(+All!$F620="West Virginia",+All!E620,IF(+All!$H620="West Virginia",+All!E620,0))</f>
        <v>0</v>
      </c>
      <c r="F139" s="460" t="str">
        <f>IF(+All!$F620="West Virginia",+All!F620,IF(+All!$H620="West Virginia",+All!F620,0))</f>
        <v>West Virginia</v>
      </c>
      <c r="G139" s="464" t="str">
        <f>IF(+All!$F620="West Virginia",+All!G620,IF(+All!$H620="West Virginia",+All!G620,0))</f>
        <v>B12</v>
      </c>
      <c r="H139" s="465" t="str">
        <f>IF(+All!$F620="West Virginia",+All!H620,IF(+All!$H620="West Virginia",+All!H620,0))</f>
        <v>Iowa State</v>
      </c>
      <c r="I139" s="464" t="str">
        <f>IF(+All!$F620="West Virginia",+All!I620,IF(+All!$H620="West Virginia",+All!I620,0))</f>
        <v>B12</v>
      </c>
      <c r="J139" s="460" t="str">
        <f>IF(+All!$F620="West Virginia",+All!J620,IF(+All!$H620="West Virginia",+All!J620,0))</f>
        <v>Iowa State</v>
      </c>
      <c r="K139" s="461" t="str">
        <f>IF(+All!$F620="West Virginia",+All!K620,IF(+All!$H620="West Virginia",+All!K620,0))</f>
        <v>West Virginia</v>
      </c>
      <c r="L139" s="60">
        <f>IF(+All!$F620="West Virginia",+All!L620,IF(+All!$H620="West Virginia",+All!L620,0))</f>
        <v>7</v>
      </c>
      <c r="M139" s="61">
        <f>IF(+All!$F620="West Virginia",+All!M620,IF(+All!$H620="West Virginia",+All!M620,0))</f>
        <v>50.5</v>
      </c>
      <c r="N139" s="460" t="str">
        <f>IF(+All!$F620="West Virginia",+All!N620,IF(+All!$H620="West Virginia",+All!N620,0))</f>
        <v>Iowa State</v>
      </c>
      <c r="O139" s="462">
        <f>IF(+All!$F620="West Virginia",+All!O620,IF(+All!$H620="West Virginia",+All!O620,0))</f>
        <v>31</v>
      </c>
      <c r="P139" s="462" t="str">
        <f>IF(+All!$F620="West Virginia",+All!P620,IF(+All!$H620="West Virginia",+All!P620,0))</f>
        <v>West Virginia</v>
      </c>
      <c r="Q139" s="461">
        <f>IF(+All!$F620="West Virginia",+All!Q620,IF(+All!$H620="West Virginia",+All!Q620,0))</f>
        <v>14</v>
      </c>
      <c r="R139" s="460" t="str">
        <f>IF(+All!$F620="West Virginia",+All!R620,IF(+All!$H620="West Virginia",+All!R620,0))</f>
        <v>Iowa State</v>
      </c>
      <c r="S139" s="462" t="str">
        <f>IF(+All!$F620="West Virginia",+All!S620,IF(+All!$H620="West Virginia",+All!S620,0))</f>
        <v>West Virginia</v>
      </c>
      <c r="T139" s="460" t="str">
        <f>IF(+All!$F620="West Virginia",+All!T620,IF(+All!$H620="West Virginia",+All!T620,0))</f>
        <v>Iowa State</v>
      </c>
      <c r="U139" s="461" t="str">
        <f>IF(+All!$F620="West Virginia",+All!U620,IF(+All!$H620="West Virginia",+All!U620,0))</f>
        <v>W</v>
      </c>
    </row>
    <row r="140" spans="1:21" s="365" customFormat="1" ht="16" customHeight="1" x14ac:dyDescent="0.8">
      <c r="A140" s="46">
        <f>IF(+All!$F686="West Virginia",+All!A686,IF(+All!$H686="West Virginia",+All!A686,0))</f>
        <v>11</v>
      </c>
      <c r="B140" s="348" t="str">
        <f>IF(+All!$F686="West Virginia",+All!B686,IF(+All!$H686="West Virginia",+All!B686,0))</f>
        <v>Sat</v>
      </c>
      <c r="C140" s="72">
        <f>IF(+All!$F686="West Virginia",+All!C686,IF(+All!$H686="West Virginia",+All!C686,0))</f>
        <v>44877</v>
      </c>
      <c r="D140" s="73">
        <f>IF(+All!$F686="West Virginia",+All!D686,IF(+All!$H686="West Virginia",+All!D686,0))</f>
        <v>0.5</v>
      </c>
      <c r="E140" s="461" t="str">
        <f>IF(+All!$F686="West Virginia",+All!E686,IF(+All!$H686="West Virginia",+All!E686,0))</f>
        <v>FS1</v>
      </c>
      <c r="F140" s="460" t="str">
        <f>IF(+All!$F686="West Virginia",+All!F686,IF(+All!$H686="West Virginia",+All!F686,0))</f>
        <v>Oklahoma</v>
      </c>
      <c r="G140" s="464" t="str">
        <f>IF(+All!$F686="West Virginia",+All!G686,IF(+All!$H686="West Virginia",+All!G686,0))</f>
        <v>B12</v>
      </c>
      <c r="H140" s="465" t="str">
        <f>IF(+All!$F686="West Virginia",+All!H686,IF(+All!$H686="West Virginia",+All!H686,0))</f>
        <v>West Virginia</v>
      </c>
      <c r="I140" s="464" t="str">
        <f>IF(+All!$F686="West Virginia",+All!I686,IF(+All!$H686="West Virginia",+All!I686,0))</f>
        <v>B12</v>
      </c>
      <c r="J140" s="460" t="str">
        <f>IF(+All!$F686="West Virginia",+All!J686,IF(+All!$H686="West Virginia",+All!J686,0))</f>
        <v>Oklahoma</v>
      </c>
      <c r="K140" s="461" t="str">
        <f>IF(+All!$F686="West Virginia",+All!K686,IF(+All!$H686="West Virginia",+All!K686,0))</f>
        <v>West Virginia</v>
      </c>
      <c r="L140" s="60">
        <f>IF(+All!$F686="West Virginia",+All!L686,IF(+All!$H686="West Virginia",+All!L686,0))</f>
        <v>7.5</v>
      </c>
      <c r="M140" s="61">
        <f>IF(+All!$F686="West Virginia",+All!M686,IF(+All!$H686="West Virginia",+All!M686,0))</f>
        <v>66.5</v>
      </c>
      <c r="N140" s="460" t="str">
        <f>IF(+All!$F686="West Virginia",+All!N686,IF(+All!$H686="West Virginia",+All!N686,0))</f>
        <v>West Virginia</v>
      </c>
      <c r="O140" s="462">
        <f>IF(+All!$F686="West Virginia",+All!O686,IF(+All!$H686="West Virginia",+All!O686,0))</f>
        <v>23</v>
      </c>
      <c r="P140" s="462" t="str">
        <f>IF(+All!$F686="West Virginia",+All!P686,IF(+All!$H686="West Virginia",+All!P686,0))</f>
        <v>Oklahoma</v>
      </c>
      <c r="Q140" s="461">
        <f>IF(+All!$F686="West Virginia",+All!Q686,IF(+All!$H686="West Virginia",+All!Q686,0))</f>
        <v>20</v>
      </c>
      <c r="R140" s="460" t="str">
        <f>IF(+All!$F686="West Virginia",+All!R686,IF(+All!$H686="West Virginia",+All!R686,0))</f>
        <v>West Virginia</v>
      </c>
      <c r="S140" s="462" t="str">
        <f>IF(+All!$F686="West Virginia",+All!S686,IF(+All!$H686="West Virginia",+All!S686,0))</f>
        <v>Oklahoma</v>
      </c>
      <c r="T140" s="460" t="str">
        <f>IF(+All!$F686="West Virginia",+All!T686,IF(+All!$H686="West Virginia",+All!T686,0))</f>
        <v>West Virginia</v>
      </c>
      <c r="U140" s="461" t="str">
        <f>IF(+All!$F686="West Virginia",+All!U686,IF(+All!$H686="West Virginia",+All!U686,0))</f>
        <v>W</v>
      </c>
    </row>
    <row r="141" spans="1:21" s="365" customFormat="1" ht="16" customHeight="1" x14ac:dyDescent="0.8">
      <c r="A141" s="46">
        <f>IF(+All!$F748="West Virginia",+All!A748,IF(+All!$H748="West Virginia",+All!A748,0))</f>
        <v>12</v>
      </c>
      <c r="B141" s="348" t="str">
        <f>IF(+All!$F748="West Virginia",+All!B748,IF(+All!$H748="West Virginia",+All!B748,0))</f>
        <v>Sat</v>
      </c>
      <c r="C141" s="72">
        <f>IF(+All!$F748="West Virginia",+All!C748,IF(+All!$H748="West Virginia",+All!C748,0))</f>
        <v>44884</v>
      </c>
      <c r="D141" s="73" t="e">
        <f>IF(+All!$F748="West Virginia",+All!#REF!,IF(+All!$H748="West Virginia",+All!#REF!,0))</f>
        <v>#REF!</v>
      </c>
      <c r="E141" s="461">
        <f>IF(+All!$F748="West Virginia",+All!E748,IF(+All!$H748="West Virginia",+All!E748,0))</f>
        <v>0</v>
      </c>
      <c r="F141" s="460" t="str">
        <f>IF(+All!$F748="West Virginia",+All!F748,IF(+All!$H748="West Virginia",+All!F748,0))</f>
        <v>Kansas State</v>
      </c>
      <c r="G141" s="464" t="str">
        <f>IF(+All!$F748="West Virginia",+All!G748,IF(+All!$H748="West Virginia",+All!G748,0))</f>
        <v>B12</v>
      </c>
      <c r="H141" s="465" t="str">
        <f>IF(+All!$F748="West Virginia",+All!H748,IF(+All!$H748="West Virginia",+All!H748,0))</f>
        <v>West Virginia</v>
      </c>
      <c r="I141" s="464" t="str">
        <f>IF(+All!$F748="West Virginia",+All!I748,IF(+All!$H748="West Virginia",+All!I748,0))</f>
        <v>B12</v>
      </c>
      <c r="J141" s="460" t="str">
        <f>IF(+All!$F748="West Virginia",+All!J748,IF(+All!$H748="West Virginia",+All!J748,0))</f>
        <v>Kansas State</v>
      </c>
      <c r="K141" s="461" t="str">
        <f>IF(+All!$F748="West Virginia",+All!K748,IF(+All!$H748="West Virginia",+All!K748,0))</f>
        <v>West Virginia</v>
      </c>
      <c r="L141" s="60">
        <f>IF(+All!$F748="West Virginia",+All!L748,IF(+All!$H748="West Virginia",+All!L748,0))</f>
        <v>7.5</v>
      </c>
      <c r="M141" s="61">
        <f>IF(+All!$F748="West Virginia",+All!M748,IF(+All!$H748="West Virginia",+All!M748,0))</f>
        <v>54.5</v>
      </c>
      <c r="N141" s="460" t="str">
        <f>IF(+All!$F748="West Virginia",+All!N748,IF(+All!$H748="West Virginia",+All!N748,0))</f>
        <v>Kansas State</v>
      </c>
      <c r="O141" s="462">
        <f>IF(+All!$F748="West Virginia",+All!O748,IF(+All!$H748="West Virginia",+All!O748,0))</f>
        <v>48</v>
      </c>
      <c r="P141" s="462" t="str">
        <f>IF(+All!$F748="West Virginia",+All!P748,IF(+All!$H748="West Virginia",+All!P748,0))</f>
        <v>West Virginia</v>
      </c>
      <c r="Q141" s="461">
        <f>IF(+All!$F748="West Virginia",+All!Q748,IF(+All!$H748="West Virginia",+All!Q748,0))</f>
        <v>31</v>
      </c>
      <c r="R141" s="460" t="str">
        <f>IF(+All!$F748="West Virginia",+All!R748,IF(+All!$H748="West Virginia",+All!R748,0))</f>
        <v>Kansas State</v>
      </c>
      <c r="S141" s="462" t="str">
        <f>IF(+All!$F748="West Virginia",+All!S748,IF(+All!$H748="West Virginia",+All!S748,0))</f>
        <v>West Virginia</v>
      </c>
      <c r="T141" s="460" t="str">
        <f>IF(+All!$F748="West Virginia",+All!T748,IF(+All!$H748="West Virginia",+All!T748,0))</f>
        <v>West Virginia</v>
      </c>
      <c r="U141" s="461" t="str">
        <f>IF(+All!$F748="West Virginia",+All!U748,IF(+All!$H748="West Virginia",+All!U748,0))</f>
        <v>L</v>
      </c>
    </row>
    <row r="142" spans="1:21" s="365" customFormat="1" ht="16" customHeight="1" x14ac:dyDescent="0.8">
      <c r="A142" s="46">
        <f>IF(+All!$F815="West Virginia",+All!A815,IF(+All!$H815="West Virginia",+All!A815,0))</f>
        <v>13</v>
      </c>
      <c r="B142" s="348" t="str">
        <f>IF(+All!$F815="West Virginia",+All!B815,IF(+All!$H815="West Virginia",+All!B815,0))</f>
        <v>Sat</v>
      </c>
      <c r="C142" s="72">
        <f>IF(+All!$F815="West Virginia",+All!C815,IF(+All!$H815="West Virginia",+All!C815,0))</f>
        <v>44891</v>
      </c>
      <c r="D142" s="73">
        <f>IF(+All!$F815="West Virginia",+All!D815,IF(+All!$H815="West Virginia",+All!D815,0))</f>
        <v>0.5</v>
      </c>
      <c r="E142" s="461" t="str">
        <f>IF(+All!$F815="West Virginia",+All!E815,IF(+All!$H815="West Virginia",+All!E815,0))</f>
        <v>ESPN2</v>
      </c>
      <c r="F142" s="460" t="str">
        <f>IF(+All!$F815="West Virginia",+All!F815,IF(+All!$H815="West Virginia",+All!F815,0))</f>
        <v>West Virginia</v>
      </c>
      <c r="G142" s="464" t="str">
        <f>IF(+All!$F815="West Virginia",+All!G815,IF(+All!$H815="West Virginia",+All!G815,0))</f>
        <v>B12</v>
      </c>
      <c r="H142" s="465" t="str">
        <f>IF(+All!$F815="West Virginia",+All!H815,IF(+All!$H815="West Virginia",+All!H815,0))</f>
        <v>Oklahoma State</v>
      </c>
      <c r="I142" s="464" t="str">
        <f>IF(+All!$F815="West Virginia",+All!I815,IF(+All!$H815="West Virginia",+All!I815,0))</f>
        <v>B12</v>
      </c>
      <c r="J142" s="460" t="str">
        <f>IF(+All!$F815="West Virginia",+All!J815,IF(+All!$H815="West Virginia",+All!J815,0))</f>
        <v>Oklahoma State</v>
      </c>
      <c r="K142" s="461" t="str">
        <f>IF(+All!$F815="West Virginia",+All!K815,IF(+All!$H815="West Virginia",+All!K815,0))</f>
        <v>West Virginia</v>
      </c>
      <c r="L142" s="60">
        <f>IF(+All!$F815="West Virginia",+All!L815,IF(+All!$H815="West Virginia",+All!L815,0))</f>
        <v>7.5</v>
      </c>
      <c r="M142" s="61">
        <f>IF(+All!$F815="West Virginia",+All!M815,IF(+All!$H815="West Virginia",+All!M815,0))</f>
        <v>62.5</v>
      </c>
      <c r="N142" s="460" t="str">
        <f>IF(+All!$F815="West Virginia",+All!N815,IF(+All!$H815="West Virginia",+All!N815,0))</f>
        <v>West Virginia</v>
      </c>
      <c r="O142" s="462">
        <f>IF(+All!$F815="West Virginia",+All!O815,IF(+All!$H815="West Virginia",+All!O815,0))</f>
        <v>24</v>
      </c>
      <c r="P142" s="462" t="str">
        <f>IF(+All!$F815="West Virginia",+All!P815,IF(+All!$H815="West Virginia",+All!P815,0))</f>
        <v>Oklahoma State</v>
      </c>
      <c r="Q142" s="461">
        <f>IF(+All!$F815="West Virginia",+All!Q815,IF(+All!$H815="West Virginia",+All!Q815,0))</f>
        <v>19</v>
      </c>
      <c r="R142" s="460" t="str">
        <f>IF(+All!$F815="West Virginia",+All!R815,IF(+All!$H815="West Virginia",+All!R815,0))</f>
        <v>West Virginia</v>
      </c>
      <c r="S142" s="462" t="str">
        <f>IF(+All!$F815="West Virginia",+All!S815,IF(+All!$H815="West Virginia",+All!S815,0))</f>
        <v>Oklahoma State</v>
      </c>
      <c r="T142" s="460" t="str">
        <f>IF(+All!$F815="West Virginia",+All!T815,IF(+All!$H815="West Virginia",+All!T815,0))</f>
        <v>West Virginia</v>
      </c>
      <c r="U142" s="461" t="str">
        <f>IF(+All!$F815="West Virginia",+All!U815,IF(+All!$H815="West Virginia",+All!U815,0))</f>
        <v>W</v>
      </c>
    </row>
  </sheetData>
  <sortState xmlns:xlrd2="http://schemas.microsoft.com/office/spreadsheetml/2017/richdata2" ref="A130:U142">
    <sortCondition ref="A130:A142"/>
    <sortCondition ref="H130:H142"/>
  </sortState>
  <mergeCells count="13">
    <mergeCell ref="R1:S1"/>
    <mergeCell ref="F129:I129"/>
    <mergeCell ref="F73:I73"/>
    <mergeCell ref="F59:I59"/>
    <mergeCell ref="F87:I87"/>
    <mergeCell ref="F31:I31"/>
    <mergeCell ref="F45:I45"/>
    <mergeCell ref="F115:I115"/>
    <mergeCell ref="F3:I3"/>
    <mergeCell ref="F101:I101"/>
    <mergeCell ref="F17:I17"/>
    <mergeCell ref="F1:I1"/>
    <mergeCell ref="N1:Q1"/>
  </mergeCells>
  <pageMargins left="0.25" right="0.25" top="0.25" bottom="0.25" header="0" footer="0"/>
  <pageSetup scale="58" fitToHeight="0" orientation="landscape" r:id="rId1"/>
  <headerFooter alignWithMargins="0">
    <oddFooter>&amp;C&amp;36BIG 12</oddFooter>
  </headerFooter>
  <rowBreaks count="2" manualBreakCount="2">
    <brk id="44" max="18" man="1"/>
    <brk id="86" max="1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U163"/>
  <sheetViews>
    <sheetView view="pageBreakPreview" topLeftCell="A131" zoomScale="75" zoomScaleNormal="75" zoomScaleSheetLayoutView="75" workbookViewId="0">
      <selection activeCell="A83" sqref="A83"/>
    </sheetView>
  </sheetViews>
  <sheetFormatPr defaultColWidth="8.86328125" defaultRowHeight="16" x14ac:dyDescent="0.8"/>
  <cols>
    <col min="1" max="1" width="5.6796875" style="46" customWidth="1"/>
    <col min="2" max="2" width="5.6796875" style="47" hidden="1" customWidth="1"/>
    <col min="3" max="3" width="13" style="72" hidden="1" customWidth="1"/>
    <col min="4" max="4" width="11.6796875" style="73" hidden="1" customWidth="1"/>
    <col min="5" max="5" width="9.1328125" style="50" hidden="1" customWidth="1"/>
    <col min="6" max="6" width="24.453125" style="53" customWidth="1"/>
    <col min="7" max="7" width="8.6796875" style="50" hidden="1" customWidth="1"/>
    <col min="8" max="8" width="24.453125" style="53" customWidth="1"/>
    <col min="9" max="9" width="8.6796875" style="50" hidden="1" customWidth="1"/>
    <col min="10" max="10" width="24.453125" style="53" customWidth="1"/>
    <col min="11" max="11" width="24.453125" style="50" customWidth="1"/>
    <col min="12" max="12" width="8" style="60" customWidth="1"/>
    <col min="13" max="13" width="8" style="61" customWidth="1"/>
    <col min="14" max="14" width="24.453125" style="53" customWidth="1"/>
    <col min="15" max="15" width="5.6796875" style="56" customWidth="1"/>
    <col min="16" max="16" width="24.453125" style="56" customWidth="1"/>
    <col min="17" max="17" width="5.6796875" style="50" customWidth="1"/>
    <col min="18" max="18" width="24.453125" style="53" customWidth="1"/>
    <col min="19" max="19" width="24.453125" style="56" customWidth="1"/>
    <col min="20" max="20" width="27.6796875" style="53" customWidth="1"/>
    <col min="21" max="21" width="6.54296875" style="50" customWidth="1"/>
    <col min="22" max="16384" width="8.86328125" style="9"/>
  </cols>
  <sheetData>
    <row r="1" spans="1:21" s="21" customFormat="1" ht="16" customHeight="1" x14ac:dyDescent="0.8">
      <c r="A1" s="10"/>
      <c r="B1" s="10"/>
      <c r="C1" s="11"/>
      <c r="D1" s="12"/>
      <c r="E1" s="13"/>
      <c r="F1" s="895" t="s">
        <v>2</v>
      </c>
      <c r="G1" s="900"/>
      <c r="H1" s="900"/>
      <c r="I1" s="896"/>
      <c r="J1" s="14"/>
      <c r="K1" s="13"/>
      <c r="L1" s="15"/>
      <c r="M1" s="16"/>
      <c r="N1" s="895" t="s">
        <v>3</v>
      </c>
      <c r="O1" s="900"/>
      <c r="P1" s="900"/>
      <c r="Q1" s="896"/>
      <c r="R1" s="895" t="s">
        <v>4</v>
      </c>
      <c r="S1" s="896"/>
      <c r="T1" s="14"/>
      <c r="U1" s="13"/>
    </row>
    <row r="2" spans="1:21" s="21" customFormat="1" ht="16" customHeight="1" x14ac:dyDescent="0.8">
      <c r="A2" s="22" t="s">
        <v>10</v>
      </c>
      <c r="B2" s="23" t="s">
        <v>11</v>
      </c>
      <c r="C2" s="24" t="s">
        <v>12</v>
      </c>
      <c r="D2" s="25" t="s">
        <v>13</v>
      </c>
      <c r="E2" s="26" t="s">
        <v>14</v>
      </c>
      <c r="F2" s="27" t="s">
        <v>6</v>
      </c>
      <c r="G2" s="26" t="s">
        <v>15</v>
      </c>
      <c r="H2" s="27" t="s">
        <v>8</v>
      </c>
      <c r="I2" s="26" t="s">
        <v>15</v>
      </c>
      <c r="J2" s="27" t="s">
        <v>16</v>
      </c>
      <c r="K2" s="26" t="s">
        <v>17</v>
      </c>
      <c r="L2" s="28" t="s">
        <v>18</v>
      </c>
      <c r="M2" s="29" t="s">
        <v>19</v>
      </c>
      <c r="N2" s="27" t="s">
        <v>20</v>
      </c>
      <c r="O2" s="30"/>
      <c r="P2" s="30" t="s">
        <v>21</v>
      </c>
      <c r="Q2" s="31"/>
      <c r="R2" s="27" t="s">
        <v>20</v>
      </c>
      <c r="S2" s="30" t="s">
        <v>21</v>
      </c>
      <c r="T2" s="27" t="s">
        <v>22</v>
      </c>
      <c r="U2" s="26" t="s">
        <v>23</v>
      </c>
    </row>
    <row r="3" spans="1:21" x14ac:dyDescent="0.8">
      <c r="A3" s="38"/>
      <c r="B3" s="39"/>
      <c r="C3" s="40"/>
      <c r="D3" s="41"/>
      <c r="E3" s="42"/>
      <c r="F3" s="897" t="str">
        <f>H4</f>
        <v>Florida Atlantic</v>
      </c>
      <c r="G3" s="903"/>
      <c r="H3" s="903"/>
      <c r="I3" s="904"/>
      <c r="J3" s="43"/>
      <c r="K3" s="42"/>
      <c r="L3" s="44"/>
      <c r="M3" s="45"/>
      <c r="N3" s="43"/>
      <c r="O3" s="5"/>
      <c r="P3" s="5"/>
      <c r="Q3" s="42"/>
      <c r="R3" s="43"/>
      <c r="S3" s="5"/>
      <c r="T3" s="43"/>
      <c r="U3" s="42"/>
    </row>
    <row r="4" spans="1:21" x14ac:dyDescent="0.8">
      <c r="A4" s="46">
        <f>IF(+All!$F8="Florida Atlantic",+All!A8,IF(+All!$H8="Florida Atlantic",+All!A8,0))</f>
        <v>0</v>
      </c>
      <c r="B4" s="348" t="str">
        <f>IF(+All!$F8="Florida Atlantic",+All!B8,IF(+All!$H8="Florida Atlantic",+All!B8,0))</f>
        <v>Sat</v>
      </c>
      <c r="C4" s="48">
        <f>IF(+All!$F8="Florida Atlantic",+All!C8,IF(+All!$H8="Florida Atlantic",+All!C8,0))</f>
        <v>44800</v>
      </c>
      <c r="D4" s="490">
        <f>IF(+All!$F8="Florida Atlantic",+All!D8,IF(+All!$H8="Florida Atlantic",+All!D8,0))</f>
        <v>0.79166666666666663</v>
      </c>
      <c r="E4" s="461" t="str">
        <f>IF(+All!$F8="Florida Atlantic",+All!E8,IF(+All!$H8="Florida Atlantic",+All!E8,0))</f>
        <v>CBSSN</v>
      </c>
      <c r="F4" s="51" t="str">
        <f>IF(+All!$F8="Florida Atlantic",+All!F8,IF(+All!$H8="Florida Atlantic",+All!F8,0))</f>
        <v>UNC Charlotte</v>
      </c>
      <c r="G4" s="52" t="str">
        <f>IF(+All!$F8="Florida Atlantic",+All!G8,IF(+All!$H8="Florida Atlantic",+All!G8,0))</f>
        <v>CUSA</v>
      </c>
      <c r="H4" s="51" t="str">
        <f>IF(+All!$F8="Florida Atlantic",+All!H8,IF(+All!$H8="Florida Atlantic",+All!H8,0))</f>
        <v>Florida Atlantic</v>
      </c>
      <c r="I4" s="52" t="str">
        <f>IF(+All!$F8="Florida Atlantic",+All!I8,IF(+All!$H8="Florida Atlantic",+All!I8,0))</f>
        <v>CUSA</v>
      </c>
      <c r="J4" s="460" t="str">
        <f>IF(+All!$F8="Florida Atlantic",+All!J8,IF(+All!$H8="Florida Atlantic",+All!J8,0))</f>
        <v>Florida Atlantic</v>
      </c>
      <c r="K4" s="461" t="str">
        <f>IF(+All!$F8="Florida Atlantic",+All!K8,IF(+All!$H8="Florida Atlantic",+All!K8,0))</f>
        <v>UNC Charlotte</v>
      </c>
      <c r="L4" s="54">
        <f>IF(+All!$F8="Florida Atlantic",+All!L8,IF(+All!$H8="Florida Atlantic",+All!L8,0))</f>
        <v>7</v>
      </c>
      <c r="M4" s="55">
        <f>IF(+All!$F8="Florida Atlantic",+All!M8,IF(+All!$H8="Florida Atlantic",+All!M8,0))</f>
        <v>59.5</v>
      </c>
      <c r="N4" s="460" t="str">
        <f>IF(+All!$F8="Florida Atlantic",+All!N8,IF(+All!$H8="Florida Atlantic",+All!N8,0))</f>
        <v>Florida Atlantic</v>
      </c>
      <c r="O4" s="462">
        <f>IF(+All!$F8="Florida Atlantic",+All!O8,IF(+All!$H8="Florida Atlantic",+All!O8,0))</f>
        <v>43</v>
      </c>
      <c r="P4" s="462" t="str">
        <f>IF(+All!$F8="Florida Atlantic",+All!P8,IF(+All!$H8="Florida Atlantic",+All!P8,0))</f>
        <v>UNC Charlotte</v>
      </c>
      <c r="Q4" s="461">
        <f>IF(+All!$F8="Florida Atlantic",+All!Q8,IF(+All!$H8="Florida Atlantic",+All!Q8,0))</f>
        <v>13</v>
      </c>
      <c r="R4" s="460" t="str">
        <f>IF(+All!$F8="Florida Atlantic",+All!R8,IF(+All!$H8="Florida Atlantic",+All!R8,0))</f>
        <v>Florida Atlantic</v>
      </c>
      <c r="S4" s="462" t="str">
        <f>IF(+All!$F8="Florida Atlantic",+All!S8,IF(+All!$H8="Florida Atlantic",+All!S8,0))</f>
        <v>UNC Charlotte</v>
      </c>
      <c r="T4" s="460" t="str">
        <f>IF(+All!$F8="Florida Atlantic",+All!T8,IF(+All!$H8="Florida Atlantic",+All!T8,0))</f>
        <v>UNC Charlotte</v>
      </c>
      <c r="U4" s="461" t="str">
        <f>IF(+All!$F8="Florida Atlantic",+All!U8,IF(+All!$H8="Florida Atlantic",+All!U8,0))</f>
        <v>L</v>
      </c>
    </row>
    <row r="5" spans="1:21" x14ac:dyDescent="0.8">
      <c r="A5" s="46">
        <v>1</v>
      </c>
      <c r="B5" s="348" t="s">
        <v>34</v>
      </c>
      <c r="C5" s="48">
        <v>44805</v>
      </c>
      <c r="D5" s="490">
        <f>IF(+All!$F56="Florida Atlantic",+All!D56,IF(+All!$H56="Florida Atlantic",+All!D56,0))</f>
        <v>0</v>
      </c>
      <c r="E5" s="461">
        <f>IF(+All!$F56="Florida Atlantic",+All!E56,IF(+All!$H56="Florida Atlantic",+All!E56,0))</f>
        <v>0</v>
      </c>
      <c r="F5" s="51" t="s">
        <v>97</v>
      </c>
      <c r="G5" s="52" t="s">
        <v>39</v>
      </c>
      <c r="H5" s="51" t="s">
        <v>228</v>
      </c>
      <c r="I5" s="52" t="s">
        <v>229</v>
      </c>
      <c r="J5" s="460">
        <f>IF(+All!$F56="Florida Atlantic",+All!J56,IF(+All!$H56="Florida Atlantic",+All!J56,0))</f>
        <v>0</v>
      </c>
      <c r="K5" s="461">
        <f>IF(+All!$F56="Florida Atlantic",+All!K56,IF(+All!$H56="Florida Atlantic",+All!K56,0))</f>
        <v>0</v>
      </c>
      <c r="L5" s="54">
        <f>IF(+All!$F56="Florida Atlantic",+All!L56,IF(+All!$H56="Florida Atlantic",+All!L56,0))</f>
        <v>0</v>
      </c>
      <c r="M5" s="55">
        <f>IF(+All!$F56="Florida Atlantic",+All!M56,IF(+All!$H56="Florida Atlantic",+All!M56,0))</f>
        <v>0</v>
      </c>
      <c r="N5" s="460">
        <f>IF(+All!$F56="Florida Atlantic",+All!N56,IF(+All!$H56="Florida Atlantic",+All!N56,0))</f>
        <v>0</v>
      </c>
      <c r="O5" s="462">
        <f>IF(+All!$F56="Florida Atlantic",+All!O56,IF(+All!$H56="Florida Atlantic",+All!O56,0))</f>
        <v>0</v>
      </c>
      <c r="P5" s="462">
        <f>IF(+All!$F56="Florida Atlantic",+All!P56,IF(+All!$H56="Florida Atlantic",+All!P56,0))</f>
        <v>0</v>
      </c>
      <c r="Q5" s="461">
        <f>IF(+All!$F56="Florida Atlantic",+All!Q56,IF(+All!$H56="Florida Atlantic",+All!Q56,0))</f>
        <v>0</v>
      </c>
      <c r="R5" s="460">
        <f>IF(+All!$F56="Florida Atlantic",+All!R56,IF(+All!$H56="Florida Atlantic",+All!R56,0))</f>
        <v>0</v>
      </c>
      <c r="S5" s="462">
        <f>IF(+All!$F56="Florida Atlantic",+All!S56,IF(+All!$H56="Florida Atlantic",+All!S56,0))</f>
        <v>0</v>
      </c>
      <c r="T5" s="460">
        <f>IF(+All!$F56="Florida Atlantic",+All!T56,IF(+All!$H56="Florida Atlantic",+All!T56,0))</f>
        <v>0</v>
      </c>
      <c r="U5" s="461">
        <f>IF(+All!$F56="Florida Atlantic",+All!U56,IF(+All!$H56="Florida Atlantic",+All!U56,0))</f>
        <v>0</v>
      </c>
    </row>
    <row r="6" spans="1:21" x14ac:dyDescent="0.8">
      <c r="A6" s="46">
        <f>IF(+All!$F134="Florida Atlantic",+All!A134,IF(+All!$H134="Florida Atlantic",+All!A134,0))</f>
        <v>2</v>
      </c>
      <c r="B6" s="348" t="str">
        <f>IF(+All!$F134="Florida Atlantic",+All!B134,IF(+All!$H134="Florida Atlantic",+All!B134,0))</f>
        <v>Sat</v>
      </c>
      <c r="C6" s="48">
        <f>IF(+All!$F134="Florida Atlantic",+All!C134,IF(+All!$H134="Florida Atlantic",+All!C134,0))</f>
        <v>44814</v>
      </c>
      <c r="D6" s="490">
        <f>IF(+All!$F134="Florida Atlantic",+All!D134,IF(+All!$H134="Florida Atlantic",+All!D134,0))</f>
        <v>0.75</v>
      </c>
      <c r="E6" s="461" t="str">
        <f>IF(+All!$F134="Florida Atlantic",+All!E134,IF(+All!$H134="Florida Atlantic",+All!E134,0))</f>
        <v>espn3</v>
      </c>
      <c r="F6" s="51" t="str">
        <f>IF(+All!$F134="Florida Atlantic",+All!F134,IF(+All!$H134="Florida Atlantic",+All!F134,0))</f>
        <v>1AA Southeastern Louisiana</v>
      </c>
      <c r="G6" s="52" t="str">
        <f>IF(+All!$F134="Florida Atlantic",+All!G134,IF(+All!$H134="Florida Atlantic",+All!G134,0))</f>
        <v>1AA</v>
      </c>
      <c r="H6" s="51" t="str">
        <f>IF(+All!$F134="Florida Atlantic",+All!H134,IF(+All!$H134="Florida Atlantic",+All!H134,0))</f>
        <v>Florida Atlantic</v>
      </c>
      <c r="I6" s="52" t="str">
        <f>IF(+All!$F134="Florida Atlantic",+All!I134,IF(+All!$H134="Florida Atlantic",+All!I134,0))</f>
        <v>CUSA</v>
      </c>
      <c r="J6" s="460">
        <f>IF(+All!$F134="Florida Atlantic",+All!J134,IF(+All!$H134="Florida Atlantic",+All!J134,0))</f>
        <v>0</v>
      </c>
      <c r="K6" s="461">
        <f>IF(+All!$F134="Florida Atlantic",+All!K134,IF(+All!$H134="Florida Atlantic",+All!K134,0))</f>
        <v>0</v>
      </c>
      <c r="L6" s="54">
        <f>IF(+All!$F134="Florida Atlantic",+All!L134,IF(+All!$H134="Florida Atlantic",+All!L134,0))</f>
        <v>0</v>
      </c>
      <c r="M6" s="55">
        <f>IF(+All!$F134="Florida Atlantic",+All!M134,IF(+All!$H134="Florida Atlantic",+All!M134,0))</f>
        <v>0</v>
      </c>
      <c r="N6" s="460" t="str">
        <f>IF(+All!$F134="Florida Atlantic",+All!N134,IF(+All!$H134="Florida Atlantic",+All!N134,0))</f>
        <v>Florida Atlantic</v>
      </c>
      <c r="O6" s="462">
        <f>IF(+All!$F134="Florida Atlantic",+All!O134,IF(+All!$H134="Florida Atlantic",+All!O134,0))</f>
        <v>42</v>
      </c>
      <c r="P6" s="462" t="str">
        <f>IF(+All!$F134="Florida Atlantic",+All!P134,IF(+All!$H134="Florida Atlantic",+All!P134,0))</f>
        <v>1AA Southeastern Louisiana</v>
      </c>
      <c r="Q6" s="461">
        <f>IF(+All!$F134="Florida Atlantic",+All!Q134,IF(+All!$H134="Florida Atlantic",+All!Q134,0))</f>
        <v>9</v>
      </c>
      <c r="R6" s="460">
        <f>IF(+All!$F134="Florida Atlantic",+All!R134,IF(+All!$H134="Florida Atlantic",+All!R134,0))</f>
        <v>0</v>
      </c>
      <c r="S6" s="462">
        <f>IF(+All!$F134="Florida Atlantic",+All!S134,IF(+All!$H134="Florida Atlantic",+All!S134,0))</f>
        <v>0</v>
      </c>
      <c r="T6" s="460">
        <f>IF(+All!$F134="Florida Atlantic",+All!T134,IF(+All!$H134="Florida Atlantic",+All!T134,0))</f>
        <v>0</v>
      </c>
      <c r="U6" s="461">
        <f>IF(+All!$F134="Florida Atlantic",+All!U134,IF(+All!$H134="Florida Atlantic",+All!U134,0))</f>
        <v>0</v>
      </c>
    </row>
    <row r="7" spans="1:21" x14ac:dyDescent="0.8">
      <c r="A7" s="46">
        <f>IF(+All!$F212="Florida Atlantic",+All!A212,IF(+All!$H212="Florida Atlantic",+All!A212,0))</f>
        <v>3</v>
      </c>
      <c r="B7" s="348" t="str">
        <f>IF(+All!$F212="Florida Atlantic",+All!B212,IF(+All!$H212="Florida Atlantic",+All!B212,0))</f>
        <v>Sat</v>
      </c>
      <c r="C7" s="48">
        <f>IF(+All!$F212="Florida Atlantic",+All!C212,IF(+All!$H212="Florida Atlantic",+All!C212,0))</f>
        <v>44821</v>
      </c>
      <c r="D7" s="490">
        <f>IF(+All!$F212="Florida Atlantic",+All!D212,IF(+All!$H212="Florida Atlantic",+All!D212,0))</f>
        <v>0.8125</v>
      </c>
      <c r="E7" s="461" t="str">
        <f>IF(+All!$F212="Florida Atlantic",+All!E212,IF(+All!$H212="Florida Atlantic",+All!E212,0))</f>
        <v>CBSSN</v>
      </c>
      <c r="F7" s="51" t="str">
        <f>IF(+All!$F212="Florida Atlantic",+All!F212,IF(+All!$H212="Florida Atlantic",+All!F212,0))</f>
        <v>Central Florida</v>
      </c>
      <c r="G7" s="52" t="str">
        <f>IF(+All!$F212="Florida Atlantic",+All!G212,IF(+All!$H212="Florida Atlantic",+All!G212,0))</f>
        <v>AAC</v>
      </c>
      <c r="H7" s="51" t="str">
        <f>IF(+All!$F212="Florida Atlantic",+All!H212,IF(+All!$H212="Florida Atlantic",+All!H212,0))</f>
        <v>Florida Atlantic</v>
      </c>
      <c r="I7" s="52" t="str">
        <f>IF(+All!$F212="Florida Atlantic",+All!I212,IF(+All!$H212="Florida Atlantic",+All!I212,0))</f>
        <v>CUSA</v>
      </c>
      <c r="J7" s="460" t="str">
        <f>IF(+All!$F212="Florida Atlantic",+All!J212,IF(+All!$H212="Florida Atlantic",+All!J212,0))</f>
        <v>Central Florida</v>
      </c>
      <c r="K7" s="461" t="str">
        <f>IF(+All!$F212="Florida Atlantic",+All!K212,IF(+All!$H212="Florida Atlantic",+All!K212,0))</f>
        <v>Florida Atlantic</v>
      </c>
      <c r="L7" s="54">
        <f>IF(+All!$F212="Florida Atlantic",+All!L212,IF(+All!$H212="Florida Atlantic",+All!L212,0))</f>
        <v>9</v>
      </c>
      <c r="M7" s="55">
        <f>IF(+All!$F212="Florida Atlantic",+All!M212,IF(+All!$H212="Florida Atlantic",+All!M212,0))</f>
        <v>61</v>
      </c>
      <c r="N7" s="460" t="str">
        <f>IF(+All!$F212="Florida Atlantic",+All!N212,IF(+All!$H212="Florida Atlantic",+All!N212,0))</f>
        <v>Central Florida</v>
      </c>
      <c r="O7" s="462">
        <f>IF(+All!$F212="Florida Atlantic",+All!O212,IF(+All!$H212="Florida Atlantic",+All!O212,0))</f>
        <v>40</v>
      </c>
      <c r="P7" s="462" t="str">
        <f>IF(+All!$F212="Florida Atlantic",+All!P212,IF(+All!$H212="Florida Atlantic",+All!P212,0))</f>
        <v>Florida Atlantic</v>
      </c>
      <c r="Q7" s="461">
        <f>IF(+All!$F212="Florida Atlantic",+All!Q212,IF(+All!$H212="Florida Atlantic",+All!Q212,0))</f>
        <v>14</v>
      </c>
      <c r="R7" s="460" t="str">
        <f>IF(+All!$F212="Florida Atlantic",+All!R212,IF(+All!$H212="Florida Atlantic",+All!R212,0))</f>
        <v>Central Florida</v>
      </c>
      <c r="S7" s="462" t="str">
        <f>IF(+All!$F212="Florida Atlantic",+All!S212,IF(+All!$H212="Florida Atlantic",+All!S212,0))</f>
        <v>Florida Atlantic</v>
      </c>
      <c r="T7" s="460" t="str">
        <f>IF(+All!$F212="Florida Atlantic",+All!T212,IF(+All!$H212="Florida Atlantic",+All!T212,0))</f>
        <v>Central Florida</v>
      </c>
      <c r="U7" s="461" t="str">
        <f>IF(+All!$F212="Florida Atlantic",+All!U212,IF(+All!$H212="Florida Atlantic",+All!U212,0))</f>
        <v>W</v>
      </c>
    </row>
    <row r="8" spans="1:21" x14ac:dyDescent="0.8">
      <c r="A8" s="46">
        <f>IF(+All!$F278="Florida Atlantic",+All!A278,IF(+All!$H278="Florida Atlantic",+All!A278,0))</f>
        <v>4</v>
      </c>
      <c r="B8" s="348" t="str">
        <f>IF(+All!$F278="Florida Atlantic",+All!B278,IF(+All!$H278="Florida Atlantic",+All!B278,0))</f>
        <v>Sat</v>
      </c>
      <c r="C8" s="48">
        <f>IF(+All!$F278="Florida Atlantic",+All!C278,IF(+All!$H278="Florida Atlantic",+All!C278,0))</f>
        <v>44828</v>
      </c>
      <c r="D8" s="490">
        <f>IF(+All!$F278="Florida Atlantic",+All!D278,IF(+All!$H278="Florida Atlantic",+All!D278,0))</f>
        <v>0.8125</v>
      </c>
      <c r="E8" s="461" t="str">
        <f>IF(+All!$F278="Florida Atlantic",+All!E278,IF(+All!$H278="Florida Atlantic",+All!E278,0))</f>
        <v>BTN</v>
      </c>
      <c r="F8" s="51" t="str">
        <f>IF(+All!$F278="Florida Atlantic",+All!F278,IF(+All!$H278="Florida Atlantic",+All!F278,0))</f>
        <v>Florida Atlantic</v>
      </c>
      <c r="G8" s="52" t="str">
        <f>IF(+All!$F278="Florida Atlantic",+All!G278,IF(+All!$H278="Florida Atlantic",+All!G278,0))</f>
        <v>CUSA</v>
      </c>
      <c r="H8" s="51" t="str">
        <f>IF(+All!$F278="Florida Atlantic",+All!H278,IF(+All!$H278="Florida Atlantic",+All!H278,0))</f>
        <v>Purdue</v>
      </c>
      <c r="I8" s="52" t="str">
        <f>IF(+All!$F278="Florida Atlantic",+All!I278,IF(+All!$H278="Florida Atlantic",+All!I278,0))</f>
        <v>B10</v>
      </c>
      <c r="J8" s="460" t="str">
        <f>IF(+All!$F278="Florida Atlantic",+All!J278,IF(+All!$H278="Florida Atlantic",+All!J278,0))</f>
        <v>Purdue</v>
      </c>
      <c r="K8" s="461" t="str">
        <f>IF(+All!$F278="Florida Atlantic",+All!K278,IF(+All!$H278="Florida Atlantic",+All!K278,0))</f>
        <v>Florida Atlantic</v>
      </c>
      <c r="L8" s="54">
        <f>IF(+All!$F278="Florida Atlantic",+All!L278,IF(+All!$H278="Florida Atlantic",+All!L278,0))</f>
        <v>19.5</v>
      </c>
      <c r="M8" s="55">
        <f>IF(+All!$F278="Florida Atlantic",+All!M278,IF(+All!$H278="Florida Atlantic",+All!M278,0))</f>
        <v>60.5</v>
      </c>
      <c r="N8" s="460" t="str">
        <f>IF(+All!$F278="Florida Atlantic",+All!N278,IF(+All!$H278="Florida Atlantic",+All!N278,0))</f>
        <v>Purdue</v>
      </c>
      <c r="O8" s="462">
        <f>IF(+All!$F278="Florida Atlantic",+All!O278,IF(+All!$H278="Florida Atlantic",+All!O278,0))</f>
        <v>28</v>
      </c>
      <c r="P8" s="462" t="str">
        <f>IF(+All!$F278="Florida Atlantic",+All!P278,IF(+All!$H278="Florida Atlantic",+All!P278,0))</f>
        <v>Florida Atlantic</v>
      </c>
      <c r="Q8" s="461">
        <f>IF(+All!$F278="Florida Atlantic",+All!Q278,IF(+All!$H278="Florida Atlantic",+All!Q278,0))</f>
        <v>26</v>
      </c>
      <c r="R8" s="460" t="str">
        <f>IF(+All!$F278="Florida Atlantic",+All!R278,IF(+All!$H278="Florida Atlantic",+All!R278,0))</f>
        <v>Florida Atlantic</v>
      </c>
      <c r="S8" s="462" t="str">
        <f>IF(+All!$F278="Florida Atlantic",+All!S278,IF(+All!$H278="Florida Atlantic",+All!S278,0))</f>
        <v>Purdue</v>
      </c>
      <c r="T8" s="460" t="str">
        <f>IF(+All!$F278="Florida Atlantic",+All!T278,IF(+All!$H278="Florida Atlantic",+All!T278,0))</f>
        <v>Purdue</v>
      </c>
      <c r="U8" s="461" t="str">
        <f>IF(+All!$F278="Florida Atlantic",+All!U278,IF(+All!$H278="Florida Atlantic",+All!U278,0))</f>
        <v>L</v>
      </c>
    </row>
    <row r="9" spans="1:21" x14ac:dyDescent="0.8">
      <c r="A9" s="46">
        <f>IF(+All!$F347="Florida Atlantic",+All!A347,IF(+All!$H347="Florida Atlantic",+All!A347,0))</f>
        <v>5</v>
      </c>
      <c r="B9" s="348" t="str">
        <f>IF(+All!$F347="Florida Atlantic",+All!B347,IF(+All!$H347="Florida Atlantic",+All!B347,0))</f>
        <v>Sat</v>
      </c>
      <c r="C9" s="48">
        <f>IF(+All!$F347="Florida Atlantic",+All!C347,IF(+All!$H347="Florida Atlantic",+All!C347,0))</f>
        <v>44835</v>
      </c>
      <c r="D9" s="490">
        <f>IF(+All!$F347="Florida Atlantic",+All!D347,IF(+All!$H347="Florida Atlantic",+All!D347,0))</f>
        <v>0.66666666666666663</v>
      </c>
      <c r="E9" s="461">
        <f>IF(+All!$F347="Florida Atlantic",+All!E347,IF(+All!$H347="Florida Atlantic",+All!E347,0))</f>
        <v>0</v>
      </c>
      <c r="F9" s="51" t="str">
        <f>IF(+All!$F347="Florida Atlantic",+All!F347,IF(+All!$H347="Florida Atlantic",+All!F347,0))</f>
        <v>Florida Atlantic</v>
      </c>
      <c r="G9" s="52" t="str">
        <f>IF(+All!$F347="Florida Atlantic",+All!G347,IF(+All!$H347="Florida Atlantic",+All!G347,0))</f>
        <v>CUSA</v>
      </c>
      <c r="H9" s="51" t="str">
        <f>IF(+All!$F347="Florida Atlantic",+All!H347,IF(+All!$H347="Florida Atlantic",+All!H347,0))</f>
        <v>North Texas</v>
      </c>
      <c r="I9" s="52" t="str">
        <f>IF(+All!$F347="Florida Atlantic",+All!I347,IF(+All!$H347="Florida Atlantic",+All!I347,0))</f>
        <v>CUSA</v>
      </c>
      <c r="J9" s="460" t="str">
        <f>IF(+All!$F347="Florida Atlantic",+All!J347,IF(+All!$H347="Florida Atlantic",+All!J347,0))</f>
        <v>Florida Atlantic</v>
      </c>
      <c r="K9" s="461" t="str">
        <f>IF(+All!$F347="Florida Atlantic",+All!K347,IF(+All!$H347="Florida Atlantic",+All!K347,0))</f>
        <v>North Texas</v>
      </c>
      <c r="L9" s="54">
        <f>IF(+All!$F347="Florida Atlantic",+All!L347,IF(+All!$H347="Florida Atlantic",+All!L347,0))</f>
        <v>3</v>
      </c>
      <c r="M9" s="55">
        <f>IF(+All!$F347="Florida Atlantic",+All!M347,IF(+All!$H347="Florida Atlantic",+All!M347,0))</f>
        <v>69</v>
      </c>
      <c r="N9" s="460" t="str">
        <f>IF(+All!$F347="Florida Atlantic",+All!N347,IF(+All!$H347="Florida Atlantic",+All!N347,0))</f>
        <v>North Texas</v>
      </c>
      <c r="O9" s="462">
        <f>IF(+All!$F347="Florida Atlantic",+All!O347,IF(+All!$H347="Florida Atlantic",+All!O347,0))</f>
        <v>45</v>
      </c>
      <c r="P9" s="462" t="str">
        <f>IF(+All!$F347="Florida Atlantic",+All!P347,IF(+All!$H347="Florida Atlantic",+All!P347,0))</f>
        <v>Florida Atlantic</v>
      </c>
      <c r="Q9" s="461">
        <f>IF(+All!$F347="Florida Atlantic",+All!Q347,IF(+All!$H347="Florida Atlantic",+All!Q347,0))</f>
        <v>28</v>
      </c>
      <c r="R9" s="460" t="str">
        <f>IF(+All!$F347="Florida Atlantic",+All!R347,IF(+All!$H347="Florida Atlantic",+All!R347,0))</f>
        <v>North Texas</v>
      </c>
      <c r="S9" s="462" t="str">
        <f>IF(+All!$F347="Florida Atlantic",+All!S347,IF(+All!$H347="Florida Atlantic",+All!S347,0))</f>
        <v>Florida Atlantic</v>
      </c>
      <c r="T9" s="460" t="str">
        <f>IF(+All!$F347="Florida Atlantic",+All!T347,IF(+All!$H347="Florida Atlantic",+All!T347,0))</f>
        <v>Florida Atlantic</v>
      </c>
      <c r="U9" s="461" t="str">
        <f>IF(+All!$F347="Florida Atlantic",+All!U347,IF(+All!$H347="Florida Atlantic",+All!U347,0))</f>
        <v>L</v>
      </c>
    </row>
    <row r="10" spans="1:21" x14ac:dyDescent="0.8">
      <c r="A10" s="46" t="e">
        <f>IF(+All!#REF!="Florida Atlantic",+All!#REF!,IF(+All!#REF!="Florida Atlantic",+All!#REF!,0))</f>
        <v>#REF!</v>
      </c>
      <c r="B10" s="348" t="e">
        <f>IF(+All!#REF!="Florida Atlantic",+All!#REF!,IF(+All!#REF!="Florida Atlantic",+All!#REF!,0))</f>
        <v>#REF!</v>
      </c>
      <c r="C10" s="48" t="e">
        <f>IF(+All!#REF!="Florida Atlantic",+All!#REF!,IF(+All!#REF!="Florida Atlantic",+All!#REF!,0))</f>
        <v>#REF!</v>
      </c>
      <c r="D10" s="490" t="e">
        <f>IF(+All!#REF!="Florida Atlantic",+All!#REF!,IF(+All!#REF!="Florida Atlantic",+All!#REF!,0))</f>
        <v>#REF!</v>
      </c>
      <c r="E10" s="461" t="e">
        <f>IF(+All!#REF!="Florida Atlantic",+All!#REF!,IF(+All!#REF!="Florida Atlantic",+All!#REF!,0))</f>
        <v>#REF!</v>
      </c>
      <c r="F10" s="51" t="e">
        <f>IF(+All!#REF!="Florida Atlantic",+All!#REF!,IF(+All!#REF!="Florida Atlantic",+All!#REF!,0))</f>
        <v>#REF!</v>
      </c>
      <c r="G10" s="52" t="e">
        <f>IF(+All!#REF!="Florida Atlantic",+All!#REF!,IF(+All!#REF!="Florida Atlantic",+All!#REF!,0))</f>
        <v>#REF!</v>
      </c>
      <c r="H10" s="51" t="e">
        <f>IF(+All!#REF!="Florida Atlantic",+All!#REF!,IF(+All!#REF!="Florida Atlantic",+All!#REF!,0))</f>
        <v>#REF!</v>
      </c>
      <c r="I10" s="52" t="e">
        <f>IF(+All!#REF!="Florida Atlantic",+All!#REF!,IF(+All!#REF!="Florida Atlantic",+All!#REF!,0))</f>
        <v>#REF!</v>
      </c>
      <c r="J10" s="460" t="e">
        <f>IF(+All!#REF!="Florida Atlantic",+All!#REF!,IF(+All!#REF!="Florida Atlantic",+All!#REF!,0))</f>
        <v>#REF!</v>
      </c>
      <c r="K10" s="461" t="e">
        <f>IF(+All!#REF!="Florida Atlantic",+All!#REF!,IF(+All!#REF!="Florida Atlantic",+All!#REF!,0))</f>
        <v>#REF!</v>
      </c>
      <c r="L10" s="54" t="e">
        <f>IF(+All!#REF!="Florida Atlantic",+All!#REF!,IF(+All!#REF!="Florida Atlantic",+All!#REF!,0))</f>
        <v>#REF!</v>
      </c>
      <c r="M10" s="55" t="e">
        <f>IF(+All!#REF!="Florida Atlantic",+All!#REF!,IF(+All!#REF!="Florida Atlantic",+All!#REF!,0))</f>
        <v>#REF!</v>
      </c>
      <c r="N10" s="460" t="e">
        <f>IF(+All!#REF!="Florida Atlantic",+All!#REF!,IF(+All!#REF!="Florida Atlantic",+All!#REF!,0))</f>
        <v>#REF!</v>
      </c>
      <c r="O10" s="462" t="e">
        <f>IF(+All!#REF!="Florida Atlantic",+All!#REF!,IF(+All!#REF!="Florida Atlantic",+All!#REF!,0))</f>
        <v>#REF!</v>
      </c>
      <c r="P10" s="462" t="e">
        <f>IF(+All!#REF!="Florida Atlantic",+All!#REF!,IF(+All!#REF!="Florida Atlantic",+All!#REF!,0))</f>
        <v>#REF!</v>
      </c>
      <c r="Q10" s="461" t="e">
        <f>IF(+All!#REF!="Florida Atlantic",+All!#REF!,IF(+All!#REF!="Florida Atlantic",+All!#REF!,0))</f>
        <v>#REF!</v>
      </c>
      <c r="R10" s="460" t="e">
        <f>IF(+All!#REF!="Florida Atlantic",+All!#REF!,IF(+All!#REF!="Florida Atlantic",+All!#REF!,0))</f>
        <v>#REF!</v>
      </c>
      <c r="S10" s="462" t="e">
        <f>IF(+All!#REF!="Florida Atlantic",+All!#REF!,IF(+All!#REF!="Florida Atlantic",+All!#REF!,0))</f>
        <v>#REF!</v>
      </c>
      <c r="T10" s="460" t="e">
        <f>IF(+All!#REF!="Florida Atlantic",+All!#REF!,IF(+All!#REF!="Florida Atlantic",+All!#REF!,0))</f>
        <v>#REF!</v>
      </c>
      <c r="U10" s="461" t="e">
        <f>IF(+All!#REF!="Florida Atlantic",+All!#REF!,IF(+All!#REF!="Florida Atlantic",+All!#REF!,0))</f>
        <v>#REF!</v>
      </c>
    </row>
    <row r="11" spans="1:21" x14ac:dyDescent="0.8">
      <c r="A11" s="46">
        <f>IF(+All!$F457="Florida Atlantic",+All!A457,IF(+All!$H457="Florida Atlantic",+All!A457,0))</f>
        <v>7</v>
      </c>
      <c r="B11" s="348" t="str">
        <f>IF(+All!$F457="Florida Atlantic",+All!B457,IF(+All!$H457="Florida Atlantic",+All!B457,0))</f>
        <v>Sat</v>
      </c>
      <c r="C11" s="48">
        <f>IF(+All!$F457="Florida Atlantic",+All!C457,IF(+All!$H457="Florida Atlantic",+All!C457,0))</f>
        <v>44849</v>
      </c>
      <c r="D11" s="490">
        <f>IF(+All!$F457="Florida Atlantic",+All!D457,IF(+All!$H457="Florida Atlantic",+All!D457,0))</f>
        <v>0.75</v>
      </c>
      <c r="E11" s="461">
        <f>IF(+All!$F457="Florida Atlantic",+All!E457,IF(+All!$H457="Florida Atlantic",+All!E457,0))</f>
        <v>0</v>
      </c>
      <c r="F11" s="51" t="str">
        <f>IF(+All!$F457="Florida Atlantic",+All!F457,IF(+All!$H457="Florida Atlantic",+All!F457,0))</f>
        <v>Rice</v>
      </c>
      <c r="G11" s="52" t="str">
        <f>IF(+All!$F457="Florida Atlantic",+All!G457,IF(+All!$H457="Florida Atlantic",+All!G457,0))</f>
        <v>CUSA</v>
      </c>
      <c r="H11" s="51" t="str">
        <f>IF(+All!$F457="Florida Atlantic",+All!H457,IF(+All!$H457="Florida Atlantic",+All!H457,0))</f>
        <v>Florida Atlantic</v>
      </c>
      <c r="I11" s="52" t="str">
        <f>IF(+All!$F457="Florida Atlantic",+All!I457,IF(+All!$H457="Florida Atlantic",+All!I457,0))</f>
        <v>CUSA</v>
      </c>
      <c r="J11" s="460" t="str">
        <f>IF(+All!$F457="Florida Atlantic",+All!J457,IF(+All!$H457="Florida Atlantic",+All!J457,0))</f>
        <v>Florida Atlantic</v>
      </c>
      <c r="K11" s="461" t="str">
        <f>IF(+All!$F457="Florida Atlantic",+All!K457,IF(+All!$H457="Florida Atlantic",+All!K457,0))</f>
        <v>Rice</v>
      </c>
      <c r="L11" s="54">
        <f>IF(+All!$F457="Florida Atlantic",+All!L457,IF(+All!$H457="Florida Atlantic",+All!L457,0))</f>
        <v>4</v>
      </c>
      <c r="M11" s="55">
        <f>IF(+All!$F457="Florida Atlantic",+All!M457,IF(+All!$H457="Florida Atlantic",+All!M457,0))</f>
        <v>56</v>
      </c>
      <c r="N11" s="460" t="str">
        <f>IF(+All!$F457="Florida Atlantic",+All!N457,IF(+All!$H457="Florida Atlantic",+All!N457,0))</f>
        <v>Florida Atlantic</v>
      </c>
      <c r="O11" s="462">
        <f>IF(+All!$F457="Florida Atlantic",+All!O457,IF(+All!$H457="Florida Atlantic",+All!O457,0))</f>
        <v>17</v>
      </c>
      <c r="P11" s="462" t="str">
        <f>IF(+All!$F457="Florida Atlantic",+All!P457,IF(+All!$H457="Florida Atlantic",+All!P457,0))</f>
        <v>Rice</v>
      </c>
      <c r="Q11" s="461">
        <f>IF(+All!$F457="Florida Atlantic",+All!Q457,IF(+All!$H457="Florida Atlantic",+All!Q457,0))</f>
        <v>14</v>
      </c>
      <c r="R11" s="460" t="str">
        <f>IF(+All!$F457="Florida Atlantic",+All!R457,IF(+All!$H457="Florida Atlantic",+All!R457,0))</f>
        <v>Rice</v>
      </c>
      <c r="S11" s="462" t="str">
        <f>IF(+All!$F457="Florida Atlantic",+All!S457,IF(+All!$H457="Florida Atlantic",+All!S457,0))</f>
        <v>Florida Atlantic</v>
      </c>
      <c r="T11" s="460" t="str">
        <f>IF(+All!$F457="Florida Atlantic",+All!T457,IF(+All!$H457="Florida Atlantic",+All!T457,0))</f>
        <v>Rice</v>
      </c>
      <c r="U11" s="461" t="str">
        <f>IF(+All!$F457="Florida Atlantic",+All!U457,IF(+All!$H457="Florida Atlantic",+All!U457,0))</f>
        <v>W</v>
      </c>
    </row>
    <row r="12" spans="1:21" x14ac:dyDescent="0.8">
      <c r="A12" s="46">
        <f>IF(+All!$F516="Florida Atlantic",+All!A516,IF(+All!$H516="Florida Atlantic",+All!A516,0))</f>
        <v>8</v>
      </c>
      <c r="B12" s="348" t="str">
        <f>IF(+All!$F516="Florida Atlantic",+All!B516,IF(+All!$H516="Florida Atlantic",+All!B516,0))</f>
        <v>Sat</v>
      </c>
      <c r="C12" s="48">
        <f>IF(+All!$F516="Florida Atlantic",+All!C516,IF(+All!$H516="Florida Atlantic",+All!C516,0))</f>
        <v>44856</v>
      </c>
      <c r="D12" s="490">
        <f>IF(+All!$F516="Florida Atlantic",+All!D516,IF(+All!$H516="Florida Atlantic",+All!D516,0))</f>
        <v>0.66666666666666663</v>
      </c>
      <c r="E12" s="461">
        <f>IF(+All!$F516="Florida Atlantic",+All!E516,IF(+All!$H516="Florida Atlantic",+All!E516,0))</f>
        <v>0</v>
      </c>
      <c r="F12" s="51" t="str">
        <f>IF(+All!$F516="Florida Atlantic",+All!F516,IF(+All!$H516="Florida Atlantic",+All!F516,0))</f>
        <v>Florida Atlantic</v>
      </c>
      <c r="G12" s="52" t="str">
        <f>IF(+All!$F516="Florida Atlantic",+All!G516,IF(+All!$H516="Florida Atlantic",+All!G516,0))</f>
        <v>CUSA</v>
      </c>
      <c r="H12" s="51" t="str">
        <f>IF(+All!$F516="Florida Atlantic",+All!H516,IF(+All!$H516="Florida Atlantic",+All!H516,0))</f>
        <v>UTEP</v>
      </c>
      <c r="I12" s="52" t="str">
        <f>IF(+All!$F516="Florida Atlantic",+All!I516,IF(+All!$H516="Florida Atlantic",+All!I516,0))</f>
        <v>CUSA</v>
      </c>
      <c r="J12" s="460" t="str">
        <f>IF(+All!$F516="Florida Atlantic",+All!J516,IF(+All!$H516="Florida Atlantic",+All!J516,0))</f>
        <v>Florida Atlantic</v>
      </c>
      <c r="K12" s="461" t="str">
        <f>IF(+All!$F516="Florida Atlantic",+All!K516,IF(+All!$H516="Florida Atlantic",+All!K516,0))</f>
        <v>UTEP</v>
      </c>
      <c r="L12" s="54">
        <f>IF(+All!$F516="Florida Atlantic",+All!L516,IF(+All!$H516="Florida Atlantic",+All!L516,0))</f>
        <v>4</v>
      </c>
      <c r="M12" s="55">
        <f>IF(+All!$F516="Florida Atlantic",+All!M516,IF(+All!$H516="Florida Atlantic",+All!M516,0))</f>
        <v>50.5</v>
      </c>
      <c r="N12" s="460" t="str">
        <f>IF(+All!$F516="Florida Atlantic",+All!N516,IF(+All!$H516="Florida Atlantic",+All!N516,0))</f>
        <v>UTEP</v>
      </c>
      <c r="O12" s="462">
        <f>IF(+All!$F516="Florida Atlantic",+All!O516,IF(+All!$H516="Florida Atlantic",+All!O516,0))</f>
        <v>24</v>
      </c>
      <c r="P12" s="462" t="str">
        <f>IF(+All!$F516="Florida Atlantic",+All!P516,IF(+All!$H516="Florida Atlantic",+All!P516,0))</f>
        <v>Florida Atlantic</v>
      </c>
      <c r="Q12" s="461">
        <f>IF(+All!$F516="Florida Atlantic",+All!Q516,IF(+All!$H516="Florida Atlantic",+All!Q516,0))</f>
        <v>21</v>
      </c>
      <c r="R12" s="460" t="str">
        <f>IF(+All!$F516="Florida Atlantic",+All!R516,IF(+All!$H516="Florida Atlantic",+All!R516,0))</f>
        <v>UTEP</v>
      </c>
      <c r="S12" s="462" t="str">
        <f>IF(+All!$F516="Florida Atlantic",+All!S516,IF(+All!$H516="Florida Atlantic",+All!S516,0))</f>
        <v>Florida Atlantic</v>
      </c>
      <c r="T12" s="460" t="str">
        <f>IF(+All!$F516="Florida Atlantic",+All!T516,IF(+All!$H516="Florida Atlantic",+All!T516,0))</f>
        <v>Florida Atlantic</v>
      </c>
      <c r="U12" s="461" t="str">
        <f>IF(+All!$F516="Florida Atlantic",+All!U516,IF(+All!$H516="Florida Atlantic",+All!U516,0))</f>
        <v>L</v>
      </c>
    </row>
    <row r="13" spans="1:21" x14ac:dyDescent="0.8">
      <c r="A13" s="46">
        <f>IF(+All!$F568="Florida Atlantic",+All!A568,IF(+All!$H568="Florida Atlantic",+All!A568,0))</f>
        <v>9</v>
      </c>
      <c r="B13" s="348" t="str">
        <f>IF(+All!$F568="Florida Atlantic",+All!B568,IF(+All!$H568="Florida Atlantic",+All!B568,0))</f>
        <v>Sat</v>
      </c>
      <c r="C13" s="48">
        <f>IF(+All!$F568="Florida Atlantic",+All!C568,IF(+All!$H568="Florida Atlantic",+All!C568,0))</f>
        <v>44863</v>
      </c>
      <c r="D13" s="490">
        <f>IF(+All!$F568="Florida Atlantic",+All!D568,IF(+All!$H568="Florida Atlantic",+All!D568,0))</f>
        <v>0.79166666666666663</v>
      </c>
      <c r="E13" s="461">
        <f>IF(+All!$F568="Florida Atlantic",+All!E568,IF(+All!$H568="Florida Atlantic",+All!E568,0))</f>
        <v>0</v>
      </c>
      <c r="F13" s="51" t="str">
        <f>IF(+All!$F568="Florida Atlantic",+All!F568,IF(+All!$H568="Florida Atlantic",+All!F568,0))</f>
        <v>UAB</v>
      </c>
      <c r="G13" s="52" t="str">
        <f>IF(+All!$F568="Florida Atlantic",+All!G568,IF(+All!$H568="Florida Atlantic",+All!G568,0))</f>
        <v>CUSA</v>
      </c>
      <c r="H13" s="51" t="str">
        <f>IF(+All!$F568="Florida Atlantic",+All!H568,IF(+All!$H568="Florida Atlantic",+All!H568,0))</f>
        <v>Florida Atlantic</v>
      </c>
      <c r="I13" s="52" t="str">
        <f>IF(+All!$F568="Florida Atlantic",+All!I568,IF(+All!$H568="Florida Atlantic",+All!I568,0))</f>
        <v>CUSA</v>
      </c>
      <c r="J13" s="460" t="str">
        <f>IF(+All!$F568="Florida Atlantic",+All!J568,IF(+All!$H568="Florida Atlantic",+All!J568,0))</f>
        <v>UAB</v>
      </c>
      <c r="K13" s="461" t="str">
        <f>IF(+All!$F568="Florida Atlantic",+All!K568,IF(+All!$H568="Florida Atlantic",+All!K568,0))</f>
        <v>Florida Atlantic</v>
      </c>
      <c r="L13" s="54">
        <f>IF(+All!$F568="Florida Atlantic",+All!L568,IF(+All!$H568="Florida Atlantic",+All!L568,0))</f>
        <v>5</v>
      </c>
      <c r="M13" s="55">
        <f>IF(+All!$F568="Florida Atlantic",+All!M568,IF(+All!$H568="Florida Atlantic",+All!M568,0))</f>
        <v>48</v>
      </c>
      <c r="N13" s="460" t="str">
        <f>IF(+All!$F568="Florida Atlantic",+All!N568,IF(+All!$H568="Florida Atlantic",+All!N568,0))</f>
        <v>Florida Atlantic</v>
      </c>
      <c r="O13" s="462">
        <f>IF(+All!$F568="Florida Atlantic",+All!O568,IF(+All!$H568="Florida Atlantic",+All!O568,0))</f>
        <v>24</v>
      </c>
      <c r="P13" s="462" t="str">
        <f>IF(+All!$F568="Florida Atlantic",+All!P568,IF(+All!$H568="Florida Atlantic",+All!P568,0))</f>
        <v>UAB</v>
      </c>
      <c r="Q13" s="461">
        <f>IF(+All!$F568="Florida Atlantic",+All!Q568,IF(+All!$H568="Florida Atlantic",+All!Q568,0))</f>
        <v>18</v>
      </c>
      <c r="R13" s="460" t="str">
        <f>IF(+All!$F568="Florida Atlantic",+All!R568,IF(+All!$H568="Florida Atlantic",+All!R568,0))</f>
        <v>Florida Atlantic</v>
      </c>
      <c r="S13" s="462" t="str">
        <f>IF(+All!$F568="Florida Atlantic",+All!S568,IF(+All!$H568="Florida Atlantic",+All!S568,0))</f>
        <v>UAB</v>
      </c>
      <c r="T13" s="460" t="str">
        <f>IF(+All!$F568="Florida Atlantic",+All!T568,IF(+All!$H568="Florida Atlantic",+All!T568,0))</f>
        <v>Florida Atlantic</v>
      </c>
      <c r="U13" s="461" t="str">
        <f>IF(+All!$F568="Florida Atlantic",+All!U568,IF(+All!$H568="Florida Atlantic",+All!U568,0))</f>
        <v>W</v>
      </c>
    </row>
    <row r="14" spans="1:21" x14ac:dyDescent="0.8">
      <c r="A14" s="46" t="e">
        <f>IF(+All!#REF!="Florida Atlantic",+All!#REF!,IF(+All!#REF!="Florida Atlantic",+All!#REF!,0))</f>
        <v>#REF!</v>
      </c>
      <c r="B14" s="348" t="e">
        <f>IF(+All!#REF!="Florida Atlantic",+All!#REF!,IF(+All!#REF!="Florida Atlantic",+All!#REF!,0))</f>
        <v>#REF!</v>
      </c>
      <c r="C14" s="48" t="e">
        <f>IF(+All!#REF!="Florida Atlantic",+All!#REF!,IF(+All!#REF!="Florida Atlantic",+All!#REF!,0))</f>
        <v>#REF!</v>
      </c>
      <c r="D14" s="490" t="e">
        <f>IF(+All!#REF!="Florida Atlantic",+All!#REF!,IF(+All!#REF!="Florida Atlantic",+All!#REF!,0))</f>
        <v>#REF!</v>
      </c>
      <c r="E14" s="461" t="e">
        <f>IF(+All!#REF!="Florida Atlantic",+All!#REF!,IF(+All!#REF!="Florida Atlantic",+All!#REF!,0))</f>
        <v>#REF!</v>
      </c>
      <c r="F14" s="51" t="e">
        <f>IF(+All!#REF!="Florida Atlantic",+All!#REF!,IF(+All!#REF!="Florida Atlantic",+All!#REF!,0))</f>
        <v>#REF!</v>
      </c>
      <c r="G14" s="52" t="e">
        <f>IF(+All!#REF!="Florida Atlantic",+All!#REF!,IF(+All!#REF!="Florida Atlantic",+All!#REF!,0))</f>
        <v>#REF!</v>
      </c>
      <c r="H14" s="51" t="e">
        <f>IF(+All!#REF!="Florida Atlantic",+All!#REF!,IF(+All!#REF!="Florida Atlantic",+All!#REF!,0))</f>
        <v>#REF!</v>
      </c>
      <c r="I14" s="52" t="e">
        <f>IF(+All!#REF!="Florida Atlantic",+All!#REF!,IF(+All!#REF!="Florida Atlantic",+All!#REF!,0))</f>
        <v>#REF!</v>
      </c>
      <c r="J14" s="460" t="e">
        <f>IF(+All!#REF!="Florida Atlantic",+All!#REF!,IF(+All!#REF!="Florida Atlantic",+All!#REF!,0))</f>
        <v>#REF!</v>
      </c>
      <c r="K14" s="461" t="e">
        <f>IF(+All!#REF!="Florida Atlantic",+All!#REF!,IF(+All!#REF!="Florida Atlantic",+All!#REF!,0))</f>
        <v>#REF!</v>
      </c>
      <c r="L14" s="54" t="e">
        <f>IF(+All!#REF!="Florida Atlantic",+All!#REF!,IF(+All!#REF!="Florida Atlantic",+All!#REF!,0))</f>
        <v>#REF!</v>
      </c>
      <c r="M14" s="55" t="e">
        <f>IF(+All!#REF!="Florida Atlantic",+All!#REF!,IF(+All!#REF!="Florida Atlantic",+All!#REF!,0))</f>
        <v>#REF!</v>
      </c>
      <c r="N14" s="460" t="e">
        <f>IF(+All!#REF!="Florida Atlantic",+All!#REF!,IF(+All!#REF!="Florida Atlantic",+All!#REF!,0))</f>
        <v>#REF!</v>
      </c>
      <c r="O14" s="462" t="e">
        <f>IF(+All!#REF!="Florida Atlantic",+All!#REF!,IF(+All!#REF!="Florida Atlantic",+All!#REF!,0))</f>
        <v>#REF!</v>
      </c>
      <c r="P14" s="462" t="e">
        <f>IF(+All!#REF!="Florida Atlantic",+All!#REF!,IF(+All!#REF!="Florida Atlantic",+All!#REF!,0))</f>
        <v>#REF!</v>
      </c>
      <c r="Q14" s="461" t="e">
        <f>IF(+All!#REF!="Florida Atlantic",+All!#REF!,IF(+All!#REF!="Florida Atlantic",+All!#REF!,0))</f>
        <v>#REF!</v>
      </c>
      <c r="R14" s="460" t="e">
        <f>IF(+All!#REF!="Florida Atlantic",+All!#REF!,IF(+All!#REF!="Florida Atlantic",+All!#REF!,0))</f>
        <v>#REF!</v>
      </c>
      <c r="S14" s="462" t="e">
        <f>IF(+All!#REF!="Florida Atlantic",+All!#REF!,IF(+All!#REF!="Florida Atlantic",+All!#REF!,0))</f>
        <v>#REF!</v>
      </c>
      <c r="T14" s="460" t="e">
        <f>IF(+All!#REF!="Florida Atlantic",+All!#REF!,IF(+All!#REF!="Florida Atlantic",+All!#REF!,0))</f>
        <v>#REF!</v>
      </c>
      <c r="U14" s="461" t="e">
        <f>IF(+All!#REF!="Florida Atlantic",+All!#REF!,IF(+All!#REF!="Florida Atlantic",+All!#REF!,0))</f>
        <v>#REF!</v>
      </c>
    </row>
    <row r="15" spans="1:21" x14ac:dyDescent="0.8">
      <c r="A15" s="46">
        <f>IF(+All!$F687="Florida Atlantic",+All!A687,IF(+All!$H687="Florida Atlantic",+All!A687,0))</f>
        <v>11</v>
      </c>
      <c r="B15" s="348" t="str">
        <f>IF(+All!$F687="Florida Atlantic",+All!B687,IF(+All!$H687="Florida Atlantic",+All!B687,0))</f>
        <v>Sat</v>
      </c>
      <c r="C15" s="48">
        <f>IF(+All!$F687="Florida Atlantic",+All!C687,IF(+All!$H687="Florida Atlantic",+All!C687,0))</f>
        <v>44877</v>
      </c>
      <c r="D15" s="490">
        <f>IF(+All!$F687="Florida Atlantic",+All!D687,IF(+All!$H687="Florida Atlantic",+All!D687,0))</f>
        <v>0.79166666666666663</v>
      </c>
      <c r="E15" s="461">
        <f>IF(+All!$F687="Florida Atlantic",+All!E687,IF(+All!$H687="Florida Atlantic",+All!E687,0))</f>
        <v>0</v>
      </c>
      <c r="F15" s="51" t="str">
        <f>IF(+All!$F687="Florida Atlantic",+All!F687,IF(+All!$H687="Florida Atlantic",+All!F687,0))</f>
        <v>Florida Atlantic</v>
      </c>
      <c r="G15" s="52" t="str">
        <f>IF(+All!$F687="Florida Atlantic",+All!G687,IF(+All!$H687="Florida Atlantic",+All!G687,0))</f>
        <v>CUSA</v>
      </c>
      <c r="H15" s="51" t="str">
        <f>IF(+All!$F687="Florida Atlantic",+All!H687,IF(+All!$H687="Florida Atlantic",+All!H687,0))</f>
        <v>Florida Intl</v>
      </c>
      <c r="I15" s="52" t="str">
        <f>IF(+All!$F687="Florida Atlantic",+All!I687,IF(+All!$H687="Florida Atlantic",+All!I687,0))</f>
        <v>CUSA</v>
      </c>
      <c r="J15" s="460" t="str">
        <f>IF(+All!$F687="Florida Atlantic",+All!J687,IF(+All!$H687="Florida Atlantic",+All!J687,0))</f>
        <v>Florida Atlantic</v>
      </c>
      <c r="K15" s="461" t="str">
        <f>IF(+All!$F687="Florida Atlantic",+All!K687,IF(+All!$H687="Florida Atlantic",+All!K687,0))</f>
        <v>Florida Intl</v>
      </c>
      <c r="L15" s="54">
        <f>IF(+All!$F687="Florida Atlantic",+All!L687,IF(+All!$H687="Florida Atlantic",+All!L687,0))</f>
        <v>16</v>
      </c>
      <c r="M15" s="55">
        <f>IF(+All!$F687="Florida Atlantic",+All!M687,IF(+All!$H687="Florida Atlantic",+All!M687,0))</f>
        <v>54.5</v>
      </c>
      <c r="N15" s="460" t="str">
        <f>IF(+All!$F687="Florida Atlantic",+All!N687,IF(+All!$H687="Florida Atlantic",+All!N687,0))</f>
        <v>Florida Atlantic</v>
      </c>
      <c r="O15" s="462">
        <f>IF(+All!$F687="Florida Atlantic",+All!O687,IF(+All!$H687="Florida Atlantic",+All!O687,0))</f>
        <v>52</v>
      </c>
      <c r="P15" s="462" t="str">
        <f>IF(+All!$F687="Florida Atlantic",+All!P687,IF(+All!$H687="Florida Atlantic",+All!P687,0))</f>
        <v>Florida Intl</v>
      </c>
      <c r="Q15" s="461">
        <f>IF(+All!$F687="Florida Atlantic",+All!Q687,IF(+All!$H687="Florida Atlantic",+All!Q687,0))</f>
        <v>7</v>
      </c>
      <c r="R15" s="460" t="str">
        <f>IF(+All!$F687="Florida Atlantic",+All!R687,IF(+All!$H687="Florida Atlantic",+All!R687,0))</f>
        <v>Florida Atlantic</v>
      </c>
      <c r="S15" s="462" t="str">
        <f>IF(+All!$F687="Florida Atlantic",+All!S687,IF(+All!$H687="Florida Atlantic",+All!S687,0))</f>
        <v>Florida Intl</v>
      </c>
      <c r="T15" s="460" t="str">
        <f>IF(+All!$F687="Florida Atlantic",+All!T687,IF(+All!$H687="Florida Atlantic",+All!T687,0))</f>
        <v>Florida Atlantic</v>
      </c>
      <c r="U15" s="461" t="str">
        <f>IF(+All!$F687="Florida Atlantic",+All!U687,IF(+All!$H687="Florida Atlantic",+All!U687,0))</f>
        <v>W</v>
      </c>
    </row>
    <row r="16" spans="1:21" x14ac:dyDescent="0.8">
      <c r="A16" s="46">
        <f>IF(+All!$F749="Florida Atlantic",+All!A749,IF(+All!$H749="Florida Atlantic",+All!A749,0))</f>
        <v>12</v>
      </c>
      <c r="B16" s="348" t="str">
        <f>IF(+All!$F749="Florida Atlantic",+All!B749,IF(+All!$H749="Florida Atlantic",+All!B749,0))</f>
        <v>Sat</v>
      </c>
      <c r="C16" s="48">
        <f>IF(+All!$F749="Florida Atlantic",+All!C749,IF(+All!$H749="Florida Atlantic",+All!C749,0))</f>
        <v>44884</v>
      </c>
      <c r="D16" s="490">
        <f>IF(+All!$F749="Florida Atlantic",+All!D749,IF(+All!$H749="Florida Atlantic",+All!D749,0))</f>
        <v>0.64583333333333337</v>
      </c>
      <c r="E16" s="461">
        <f>IF(+All!$F749="Florida Atlantic",+All!E749,IF(+All!$H749="Florida Atlantic",+All!E749,0))</f>
        <v>0</v>
      </c>
      <c r="F16" s="51" t="str">
        <f>IF(+All!$F749="Florida Atlantic",+All!F749,IF(+All!$H749="Florida Atlantic",+All!F749,0))</f>
        <v>Florida Atlantic</v>
      </c>
      <c r="G16" s="52" t="str">
        <f>IF(+All!$F749="Florida Atlantic",+All!G749,IF(+All!$H749="Florida Atlantic",+All!G749,0))</f>
        <v>CUSA</v>
      </c>
      <c r="H16" s="51" t="str">
        <f>IF(+All!$F749="Florida Atlantic",+All!H749,IF(+All!$H749="Florida Atlantic",+All!H749,0))</f>
        <v>Middle Tenn St</v>
      </c>
      <c r="I16" s="52" t="str">
        <f>IF(+All!$F749="Florida Atlantic",+All!I749,IF(+All!$H749="Florida Atlantic",+All!I749,0))</f>
        <v>CUSA</v>
      </c>
      <c r="J16" s="460" t="str">
        <f>IF(+All!$F749="Florida Atlantic",+All!J749,IF(+All!$H749="Florida Atlantic",+All!J749,0))</f>
        <v>Florida Atlantic</v>
      </c>
      <c r="K16" s="461" t="str">
        <f>IF(+All!$F749="Florida Atlantic",+All!K749,IF(+All!$H749="Florida Atlantic",+All!K749,0))</f>
        <v>Middle Tenn St</v>
      </c>
      <c r="L16" s="54">
        <f>IF(+All!$F749="Florida Atlantic",+All!L749,IF(+All!$H749="Florida Atlantic",+All!L749,0))</f>
        <v>6</v>
      </c>
      <c r="M16" s="55">
        <f>IF(+All!$F749="Florida Atlantic",+All!M749,IF(+All!$H749="Florida Atlantic",+All!M749,0))</f>
        <v>51</v>
      </c>
      <c r="N16" s="460" t="str">
        <f>IF(+All!$F749="Florida Atlantic",+All!N749,IF(+All!$H749="Florida Atlantic",+All!N749,0))</f>
        <v>Middle Tenn St</v>
      </c>
      <c r="O16" s="462">
        <f>IF(+All!$F749="Florida Atlantic",+All!O749,IF(+All!$H749="Florida Atlantic",+All!O749,0))</f>
        <v>49</v>
      </c>
      <c r="P16" s="462" t="str">
        <f>IF(+All!$F749="Florida Atlantic",+All!P749,IF(+All!$H749="Florida Atlantic",+All!P749,0))</f>
        <v>Florida Atlantic</v>
      </c>
      <c r="Q16" s="461">
        <f>IF(+All!$F749="Florida Atlantic",+All!Q749,IF(+All!$H749="Florida Atlantic",+All!Q749,0))</f>
        <v>21</v>
      </c>
      <c r="R16" s="460" t="str">
        <f>IF(+All!$F749="Florida Atlantic",+All!R749,IF(+All!$H749="Florida Atlantic",+All!R749,0))</f>
        <v>Middle Tenn St</v>
      </c>
      <c r="S16" s="462" t="str">
        <f>IF(+All!$F749="Florida Atlantic",+All!S749,IF(+All!$H749="Florida Atlantic",+All!S749,0))</f>
        <v>Florida Atlantic</v>
      </c>
      <c r="T16" s="460" t="str">
        <f>IF(+All!$F749="Florida Atlantic",+All!T749,IF(+All!$H749="Florida Atlantic",+All!T749,0))</f>
        <v>Middle Tenn St</v>
      </c>
      <c r="U16" s="461" t="str">
        <f>IF(+All!$F749="Florida Atlantic",+All!U749,IF(+All!$H749="Florida Atlantic",+All!U749,0))</f>
        <v>W</v>
      </c>
    </row>
    <row r="17" spans="1:21" x14ac:dyDescent="0.8">
      <c r="A17" s="46">
        <f>IF(+All!$F818="Florida Atlantic",+All!A818,IF(+All!$H818="Florida Atlantic",+All!A818,0))</f>
        <v>13</v>
      </c>
      <c r="B17" s="348" t="str">
        <f>IF(+All!$F818="Florida Atlantic",+All!B818,IF(+All!$H818="Florida Atlantic",+All!B818,0))</f>
        <v>Sat</v>
      </c>
      <c r="C17" s="48">
        <f>IF(+All!$F818="Florida Atlantic",+All!C818,IF(+All!$H818="Florida Atlantic",+All!C818,0))</f>
        <v>44891</v>
      </c>
      <c r="D17" s="490">
        <f>IF(+All!$F818="Florida Atlantic",+All!D818,IF(+All!$H818="Florida Atlantic",+All!D818,0))</f>
        <v>0.5</v>
      </c>
      <c r="E17" s="461" t="str">
        <f>IF(+All!$F818="Florida Atlantic",+All!E818,IF(+All!$H818="Florida Atlantic",+All!E818,0))</f>
        <v>CBSSN</v>
      </c>
      <c r="F17" s="51" t="str">
        <f>IF(+All!$F818="Florida Atlantic",+All!F818,IF(+All!$H818="Florida Atlantic",+All!F818,0))</f>
        <v>Western Kentucky</v>
      </c>
      <c r="G17" s="52" t="str">
        <f>IF(+All!$F818="Florida Atlantic",+All!G818,IF(+All!$H818="Florida Atlantic",+All!G818,0))</f>
        <v>CUSA</v>
      </c>
      <c r="H17" s="51" t="str">
        <f>IF(+All!$F818="Florida Atlantic",+All!H818,IF(+All!$H818="Florida Atlantic",+All!H818,0))</f>
        <v>Florida Atlantic</v>
      </c>
      <c r="I17" s="52" t="str">
        <f>IF(+All!$F818="Florida Atlantic",+All!I818,IF(+All!$H818="Florida Atlantic",+All!I818,0))</f>
        <v>CUSA</v>
      </c>
      <c r="J17" s="460" t="str">
        <f>IF(+All!$F818="Florida Atlantic",+All!J818,IF(+All!$H818="Florida Atlantic",+All!J818,0))</f>
        <v>Western Kentucky</v>
      </c>
      <c r="K17" s="461" t="str">
        <f>IF(+All!$F818="Florida Atlantic",+All!K818,IF(+All!$H818="Florida Atlantic",+All!K818,0))</f>
        <v>Florida Atlantic</v>
      </c>
      <c r="L17" s="54">
        <f>IF(+All!$F818="Florida Atlantic",+All!L818,IF(+All!$H818="Florida Atlantic",+All!L818,0))</f>
        <v>7.5</v>
      </c>
      <c r="M17" s="55">
        <f>IF(+All!$F818="Florida Atlantic",+All!M818,IF(+All!$H818="Florida Atlantic",+All!M818,0))</f>
        <v>61.5</v>
      </c>
      <c r="N17" s="460" t="str">
        <f>IF(+All!$F818="Florida Atlantic",+All!N818,IF(+All!$H818="Florida Atlantic",+All!N818,0))</f>
        <v>Western Kentucky</v>
      </c>
      <c r="O17" s="462">
        <f>IF(+All!$F818="Florida Atlantic",+All!O818,IF(+All!$H818="Florida Atlantic",+All!O818,0))</f>
        <v>32</v>
      </c>
      <c r="P17" s="462" t="str">
        <f>IF(+All!$F818="Florida Atlantic",+All!P818,IF(+All!$H818="Florida Atlantic",+All!P818,0))</f>
        <v>Florida Atlantic</v>
      </c>
      <c r="Q17" s="461">
        <f>IF(+All!$F818="Florida Atlantic",+All!Q818,IF(+All!$H818="Florida Atlantic",+All!Q818,0))</f>
        <v>31</v>
      </c>
      <c r="R17" s="460" t="str">
        <f>IF(+All!$F818="Florida Atlantic",+All!R818,IF(+All!$H818="Florida Atlantic",+All!R818,0))</f>
        <v>Florida Atlantic</v>
      </c>
      <c r="S17" s="462" t="str">
        <f>IF(+All!$F818="Florida Atlantic",+All!S818,IF(+All!$H818="Florida Atlantic",+All!S818,0))</f>
        <v>Western Kentucky</v>
      </c>
      <c r="T17" s="460" t="str">
        <f>IF(+All!$F818="Florida Atlantic",+All!T818,IF(+All!$H818="Florida Atlantic",+All!T818,0))</f>
        <v>Florida Atlantic</v>
      </c>
      <c r="U17" s="461" t="str">
        <f>IF(+All!$F818="Florida Atlantic",+All!U818,IF(+All!$H818="Florida Atlantic",+All!U818,0))</f>
        <v>W</v>
      </c>
    </row>
    <row r="18" spans="1:21" x14ac:dyDescent="0.8">
      <c r="B18" s="46"/>
      <c r="C18" s="62"/>
      <c r="D18" s="49"/>
      <c r="F18" s="897" t="str">
        <f>H19</f>
        <v>Florida Intl</v>
      </c>
      <c r="G18" s="901"/>
      <c r="H18" s="901"/>
      <c r="I18" s="902"/>
      <c r="L18" s="54"/>
      <c r="M18" s="55"/>
    </row>
    <row r="19" spans="1:21" x14ac:dyDescent="0.8">
      <c r="A19" s="46">
        <f>IF(+All!$H47="Florida Intl",+All!A47,IF(+All!$F47="Florida Intl",+All!A47,0))</f>
        <v>1</v>
      </c>
      <c r="B19" s="348" t="str">
        <f>IF(+All!$H47="Florida Intl",+All!B47,IF(+All!$F47="Florida Intl",+All!B47,0))</f>
        <v>Thurs</v>
      </c>
      <c r="C19" s="48">
        <f>IF(+All!$H47="Florida Intl",+All!C47,IF(+All!$F47="Florida Intl",+All!C47,0))</f>
        <v>44805</v>
      </c>
      <c r="D19" s="490">
        <f>IF(+All!$H47="Florida Intl",+All!D47,IF(+All!$F47="Florida Intl",+All!D47,0))</f>
        <v>0.8125</v>
      </c>
      <c r="E19" s="461">
        <f>IF(+All!$H47="Florida Intl",+All!E47,IF(+All!$F47="Florida Intl",+All!E47,0))</f>
        <v>0</v>
      </c>
      <c r="F19" s="51" t="str">
        <f>IF(+All!$H47="Florida Intl",+All!F47,IF(+All!$F47="Florida Intl",+All!F47,0))</f>
        <v>1AA Bryant</v>
      </c>
      <c r="G19" s="52" t="str">
        <f>IF(+All!$H47="Florida Intl",+All!G47,IF(+All!$F47="Florida Intl",+All!G47,0))</f>
        <v>1AA</v>
      </c>
      <c r="H19" s="51" t="str">
        <f>IF(+All!$H47="Florida Intl",+All!H47,IF(+All!$F47="Florida Intl",+All!H47,0))</f>
        <v>Florida Intl</v>
      </c>
      <c r="I19" s="52" t="str">
        <f>IF(+All!$H47="Florida Intl",+All!I47,IF(+All!$F47="Florida Intl",+All!I47,0))</f>
        <v>CUSA</v>
      </c>
      <c r="J19" s="460">
        <f>IF(+All!$H47="Florida Intl",+All!J47,IF(+All!$F47="Florida Intl",+All!J47,0))</f>
        <v>0</v>
      </c>
      <c r="K19" s="461">
        <f>IF(+All!$H47="Florida Intl",+All!K47,IF(+All!$F47="Florida Intl",+All!K47,0))</f>
        <v>0</v>
      </c>
      <c r="L19" s="54">
        <f>IF(+All!$H47="Florida Intl",+All!L47,IF(+All!$F47="Florida Intl",+All!L47,0))</f>
        <v>0</v>
      </c>
      <c r="M19" s="55">
        <f>IF(+All!$H47="Florida Intl",+All!M47,IF(+All!$F47="Florida Intl",+All!M47,0))</f>
        <v>0</v>
      </c>
      <c r="N19" s="460" t="str">
        <f>IF(+All!$H47="Florida Intl",+All!N47,IF(+All!$F47="Florida Intl",+All!N47,0))</f>
        <v>Florida Intl</v>
      </c>
      <c r="O19" s="462">
        <f>IF(+All!$H47="Florida Intl",+All!O47,IF(+All!$F47="Florida Intl",+All!O47,0))</f>
        <v>38</v>
      </c>
      <c r="P19" s="462" t="str">
        <f>IF(+All!$H47="Florida Intl",+All!P47,IF(+All!$F47="Florida Intl",+All!P47,0))</f>
        <v>1AA Bryant</v>
      </c>
      <c r="Q19" s="461">
        <f>IF(+All!$H47="Florida Intl",+All!Q47,IF(+All!$F47="Florida Intl",+All!Q47,0))</f>
        <v>37</v>
      </c>
      <c r="R19" s="460">
        <f>IF(+All!$H47="Florida Intl",+All!R47,IF(+All!$F47="Florida Intl",+All!R47,0))</f>
        <v>0</v>
      </c>
      <c r="S19" s="462">
        <f>IF(+All!$H47="Florida Intl",+All!S47,IF(+All!$F47="Florida Intl",+All!S47,0))</f>
        <v>0</v>
      </c>
      <c r="T19" s="460">
        <f>IF(+All!$H47="Florida Intl",+All!T47,IF(+All!$F47="Florida Intl",+All!T47,0))</f>
        <v>0</v>
      </c>
      <c r="U19" s="461">
        <f>IF(+All!$H47="Florida Intl",+All!U47,IF(+All!$F47="Florida Intl",+All!U47,0))</f>
        <v>0</v>
      </c>
    </row>
    <row r="20" spans="1:21" x14ac:dyDescent="0.8">
      <c r="A20" s="46">
        <f>IF(+All!$H167="Florida Intl",+All!A167,IF(+All!$F167="Florida Intl",+All!A167,0))</f>
        <v>2</v>
      </c>
      <c r="B20" s="348" t="str">
        <f>IF(+All!$H167="Florida Intl",+All!B167,IF(+All!$F167="Florida Intl",+All!B167,0))</f>
        <v>Sat</v>
      </c>
      <c r="C20" s="48">
        <f>IF(+All!$H167="Florida Intl",+All!C167,IF(+All!$F167="Florida Intl",+All!C167,0))</f>
        <v>44814</v>
      </c>
      <c r="D20" s="490">
        <f>IF(+All!$H167="Florida Intl",+All!D167,IF(+All!$F167="Florida Intl",+All!D167,0))</f>
        <v>0.79166666666666663</v>
      </c>
      <c r="E20" s="461">
        <f>IF(+All!$H167="Florida Intl",+All!E167,IF(+All!$F167="Florida Intl",+All!E167,0))</f>
        <v>0</v>
      </c>
      <c r="F20" s="51" t="str">
        <f>IF(+All!$H167="Florida Intl",+All!F167,IF(+All!$F167="Florida Intl",+All!F167,0))</f>
        <v>Florida Intl</v>
      </c>
      <c r="G20" s="52" t="str">
        <f>IF(+All!$H167="Florida Intl",+All!G167,IF(+All!$F167="Florida Intl",+All!G167,0))</f>
        <v>CUSA</v>
      </c>
      <c r="H20" s="51" t="str">
        <f>IF(+All!$H167="Florida Intl",+All!H167,IF(+All!$F167="Florida Intl",+All!H167,0))</f>
        <v>Texas State</v>
      </c>
      <c r="I20" s="52" t="str">
        <f>IF(+All!$H167="Florida Intl",+All!I167,IF(+All!$F167="Florida Intl",+All!I167,0))</f>
        <v>SB</v>
      </c>
      <c r="J20" s="460" t="str">
        <f>IF(+All!$H167="Florida Intl",+All!J167,IF(+All!$F167="Florida Intl",+All!J167,0))</f>
        <v>Texas State</v>
      </c>
      <c r="K20" s="461" t="str">
        <f>IF(+All!$H167="Florida Intl",+All!K167,IF(+All!$F167="Florida Intl",+All!K167,0))</f>
        <v>Florida Intl</v>
      </c>
      <c r="L20" s="54">
        <f>IF(+All!$H167="Florida Intl",+All!L167,IF(+All!$F167="Florida Intl",+All!L167,0))</f>
        <v>14</v>
      </c>
      <c r="M20" s="55">
        <f>IF(+All!$H167="Florida Intl",+All!M167,IF(+All!$F167="Florida Intl",+All!M167,0))</f>
        <v>61</v>
      </c>
      <c r="N20" s="460" t="str">
        <f>IF(+All!$H167="Florida Intl",+All!N167,IF(+All!$F167="Florida Intl",+All!N167,0))</f>
        <v>Texas State</v>
      </c>
      <c r="O20" s="462">
        <f>IF(+All!$H167="Florida Intl",+All!O167,IF(+All!$F167="Florida Intl",+All!O167,0))</f>
        <v>41</v>
      </c>
      <c r="P20" s="462" t="str">
        <f>IF(+All!$H167="Florida Intl",+All!P167,IF(+All!$F167="Florida Intl",+All!P167,0))</f>
        <v>Florida Intl</v>
      </c>
      <c r="Q20" s="461">
        <f>IF(+All!$H167="Florida Intl",+All!Q167,IF(+All!$F167="Florida Intl",+All!Q167,0))</f>
        <v>12</v>
      </c>
      <c r="R20" s="460" t="str">
        <f>IF(+All!$H167="Florida Intl",+All!R167,IF(+All!$F167="Florida Intl",+All!R167,0))</f>
        <v>Texas State</v>
      </c>
      <c r="S20" s="462" t="str">
        <f>IF(+All!$H167="Florida Intl",+All!S167,IF(+All!$F167="Florida Intl",+All!S167,0))</f>
        <v>Florida Intl</v>
      </c>
      <c r="T20" s="460" t="str">
        <f>IF(+All!$H167="Florida Intl",+All!T167,IF(+All!$F167="Florida Intl",+All!T167,0))</f>
        <v>Texas State</v>
      </c>
      <c r="U20" s="461" t="str">
        <f>IF(+All!$H167="Florida Intl",+All!U167,IF(+All!$F167="Florida Intl",+All!U167,0))</f>
        <v>W</v>
      </c>
    </row>
    <row r="21" spans="1:21" x14ac:dyDescent="0.8">
      <c r="A21" s="46" t="e">
        <f>IF(+All!#REF!="Florida Intl",+All!#REF!,IF(+All!#REF!="Florida Intl",+All!#REF!,0))</f>
        <v>#REF!</v>
      </c>
      <c r="B21" s="348" t="e">
        <f>IF(+All!#REF!="Florida Intl",+All!#REF!,IF(+All!#REF!="Florida Intl",+All!#REF!,0))</f>
        <v>#REF!</v>
      </c>
      <c r="C21" s="48" t="e">
        <f>IF(+All!#REF!="Florida Intl",+All!#REF!,IF(+All!#REF!="Florida Intl",+All!#REF!,0))</f>
        <v>#REF!</v>
      </c>
      <c r="D21" s="490" t="e">
        <f>IF(+All!#REF!="Florida Intl",+All!#REF!,IF(+All!#REF!="Florida Intl",+All!#REF!,0))</f>
        <v>#REF!</v>
      </c>
      <c r="E21" s="461" t="e">
        <f>IF(+All!#REF!="Florida Intl",+All!#REF!,IF(+All!#REF!="Florida Intl",+All!#REF!,0))</f>
        <v>#REF!</v>
      </c>
      <c r="F21" s="51" t="e">
        <f>IF(+All!#REF!="Florida Intl",+All!#REF!,IF(+All!#REF!="Florida Intl",+All!#REF!,0))</f>
        <v>#REF!</v>
      </c>
      <c r="G21" s="52" t="e">
        <f>IF(+All!#REF!="Florida Intl",+All!#REF!,IF(+All!#REF!="Florida Intl",+All!#REF!,0))</f>
        <v>#REF!</v>
      </c>
      <c r="H21" s="51" t="e">
        <f>IF(+All!#REF!="Florida Intl",+All!#REF!,IF(+All!#REF!="Florida Intl",+All!#REF!,0))</f>
        <v>#REF!</v>
      </c>
      <c r="I21" s="52" t="e">
        <f>IF(+All!#REF!="Florida Intl",+All!#REF!,IF(+All!#REF!="Florida Intl",+All!#REF!,0))</f>
        <v>#REF!</v>
      </c>
      <c r="J21" s="460" t="e">
        <f>IF(+All!#REF!="Florida Intl",+All!#REF!,IF(+All!#REF!="Florida Intl",+All!#REF!,0))</f>
        <v>#REF!</v>
      </c>
      <c r="K21" s="461" t="e">
        <f>IF(+All!#REF!="Florida Intl",+All!#REF!,IF(+All!#REF!="Florida Intl",+All!#REF!,0))</f>
        <v>#REF!</v>
      </c>
      <c r="L21" s="54" t="e">
        <f>IF(+All!#REF!="Florida Intl",+All!#REF!,IF(+All!#REF!="Florida Intl",+All!#REF!,0))</f>
        <v>#REF!</v>
      </c>
      <c r="M21" s="55" t="e">
        <f>IF(+All!#REF!="Florida Intl",+All!#REF!,IF(+All!#REF!="Florida Intl",+All!#REF!,0))</f>
        <v>#REF!</v>
      </c>
      <c r="N21" s="460" t="e">
        <f>IF(+All!#REF!="Florida Intl",+All!#REF!,IF(+All!#REF!="Florida Intl",+All!#REF!,0))</f>
        <v>#REF!</v>
      </c>
      <c r="O21" s="462" t="e">
        <f>IF(+All!#REF!="Florida Intl",+All!#REF!,IF(+All!#REF!="Florida Intl",+All!#REF!,0))</f>
        <v>#REF!</v>
      </c>
      <c r="P21" s="462" t="e">
        <f>IF(+All!#REF!="Florida Intl",+All!#REF!,IF(+All!#REF!="Florida Intl",+All!#REF!,0))</f>
        <v>#REF!</v>
      </c>
      <c r="Q21" s="461" t="e">
        <f>IF(+All!#REF!="Florida Intl",+All!#REF!,IF(+All!#REF!="Florida Intl",+All!#REF!,0))</f>
        <v>#REF!</v>
      </c>
      <c r="R21" s="460" t="e">
        <f>IF(+All!#REF!="Florida Intl",+All!#REF!,IF(+All!#REF!="Florida Intl",+All!#REF!,0))</f>
        <v>#REF!</v>
      </c>
      <c r="S21" s="462" t="e">
        <f>IF(+All!#REF!="Florida Intl",+All!#REF!,IF(+All!#REF!="Florida Intl",+All!#REF!,0))</f>
        <v>#REF!</v>
      </c>
      <c r="T21" s="460" t="e">
        <f>IF(+All!#REF!="Florida Intl",+All!#REF!,IF(+All!#REF!="Florida Intl",+All!#REF!,0))</f>
        <v>#REF!</v>
      </c>
      <c r="U21" s="461" t="e">
        <f>IF(+All!#REF!="Florida Intl",+All!#REF!,IF(+All!#REF!="Florida Intl",+All!#REF!,0))</f>
        <v>#REF!</v>
      </c>
    </row>
    <row r="22" spans="1:21" x14ac:dyDescent="0.8">
      <c r="A22" s="46">
        <f>IF(+All!$H285="Florida Intl",+All!A285,IF(+All!$F285="Florida Intl",+All!A285,0))</f>
        <v>4</v>
      </c>
      <c r="B22" s="348" t="str">
        <f>IF(+All!$H285="Florida Intl",+All!B285,IF(+All!$F285="Florida Intl",+All!B285,0))</f>
        <v>Sat</v>
      </c>
      <c r="C22" s="48">
        <f>IF(+All!$H285="Florida Intl",+All!C285,IF(+All!$F285="Florida Intl",+All!C285,0))</f>
        <v>44828</v>
      </c>
      <c r="D22" s="490">
        <f>IF(+All!$H285="Florida Intl",+All!D285,IF(+All!$F285="Florida Intl",+All!D285,0))</f>
        <v>0.64583333333333337</v>
      </c>
      <c r="E22" s="461" t="str">
        <f>IF(+All!$H285="Florida Intl",+All!E285,IF(+All!$F285="Florida Intl",+All!E285,0))</f>
        <v>CBSSN</v>
      </c>
      <c r="F22" s="51" t="str">
        <f>IF(+All!$H285="Florida Intl",+All!F285,IF(+All!$F285="Florida Intl",+All!F285,0))</f>
        <v>Florida Intl</v>
      </c>
      <c r="G22" s="52" t="str">
        <f>IF(+All!$H285="Florida Intl",+All!G285,IF(+All!$F285="Florida Intl",+All!G285,0))</f>
        <v>CUSA</v>
      </c>
      <c r="H22" s="51" t="str">
        <f>IF(+All!$H285="Florida Intl",+All!H285,IF(+All!$F285="Florida Intl",+All!H285,0))</f>
        <v>Western Kentucky</v>
      </c>
      <c r="I22" s="52" t="str">
        <f>IF(+All!$H285="Florida Intl",+All!I285,IF(+All!$F285="Florida Intl",+All!I285,0))</f>
        <v>CUSA</v>
      </c>
      <c r="J22" s="460" t="str">
        <f>IF(+All!$H285="Florida Intl",+All!J285,IF(+All!$F285="Florida Intl",+All!J285,0))</f>
        <v>Western Kentucky</v>
      </c>
      <c r="K22" s="461" t="str">
        <f>IF(+All!$H285="Florida Intl",+All!K285,IF(+All!$F285="Florida Intl",+All!K285,0))</f>
        <v>Florida Intl</v>
      </c>
      <c r="L22" s="54">
        <f>IF(+All!$H285="Florida Intl",+All!L285,IF(+All!$F285="Florida Intl",+All!L285,0))</f>
        <v>31</v>
      </c>
      <c r="M22" s="55">
        <f>IF(+All!$H285="Florida Intl",+All!M285,IF(+All!$F285="Florida Intl",+All!M285,0))</f>
        <v>65.5</v>
      </c>
      <c r="N22" s="460" t="str">
        <f>IF(+All!$H285="Florida Intl",+All!N285,IF(+All!$F285="Florida Intl",+All!N285,0))</f>
        <v>Western Kentucky</v>
      </c>
      <c r="O22" s="462">
        <f>IF(+All!$H285="Florida Intl",+All!O285,IF(+All!$F285="Florida Intl",+All!O285,0))</f>
        <v>73</v>
      </c>
      <c r="P22" s="462" t="str">
        <f>IF(+All!$H285="Florida Intl",+All!P285,IF(+All!$F285="Florida Intl",+All!P285,0))</f>
        <v>Florida Intl</v>
      </c>
      <c r="Q22" s="461">
        <f>IF(+All!$H285="Florida Intl",+All!Q285,IF(+All!$F285="Florida Intl",+All!Q285,0))</f>
        <v>0</v>
      </c>
      <c r="R22" s="460" t="str">
        <f>IF(+All!$H285="Florida Intl",+All!R285,IF(+All!$F285="Florida Intl",+All!R285,0))</f>
        <v>Western Kentucky</v>
      </c>
      <c r="S22" s="462" t="str">
        <f>IF(+All!$H285="Florida Intl",+All!S285,IF(+All!$F285="Florida Intl",+All!S285,0))</f>
        <v>Florida Intl</v>
      </c>
      <c r="T22" s="460" t="str">
        <f>IF(+All!$H285="Florida Intl",+All!T285,IF(+All!$F285="Florida Intl",+All!T285,0))</f>
        <v>Florida Intl</v>
      </c>
      <c r="U22" s="461" t="str">
        <f>IF(+All!$H285="Florida Intl",+All!U285,IF(+All!$F285="Florida Intl",+All!U285,0))</f>
        <v>L</v>
      </c>
    </row>
    <row r="23" spans="1:21" x14ac:dyDescent="0.8">
      <c r="A23" s="46">
        <f>IF(+All!$H353="Florida Intl",+All!A353,IF(+All!$F353="Florida Intl",+All!A353,0))</f>
        <v>5</v>
      </c>
      <c r="B23" s="348" t="str">
        <f>IF(+All!$H353="Florida Intl",+All!B353,IF(+All!$F353="Florida Intl",+All!B353,0))</f>
        <v>Sat</v>
      </c>
      <c r="C23" s="48">
        <f>IF(+All!$H353="Florida Intl",+All!C353,IF(+All!$F353="Florida Intl",+All!C353,0))</f>
        <v>44835</v>
      </c>
      <c r="D23" s="490">
        <f>IF(+All!$H353="Florida Intl",+All!D353,IF(+All!$F353="Florida Intl",+All!D353,0))</f>
        <v>0.83333333333333337</v>
      </c>
      <c r="E23" s="461">
        <f>IF(+All!$H353="Florida Intl",+All!E353,IF(+All!$F353="Florida Intl",+All!E353,0))</f>
        <v>0</v>
      </c>
      <c r="F23" s="51" t="str">
        <f>IF(+All!$H353="Florida Intl",+All!F353,IF(+All!$F353="Florida Intl",+All!F353,0))</f>
        <v>Florida Intl</v>
      </c>
      <c r="G23" s="52" t="str">
        <f>IF(+All!$H353="Florida Intl",+All!G353,IF(+All!$F353="Florida Intl",+All!G353,0))</f>
        <v>CUSA</v>
      </c>
      <c r="H23" s="51" t="str">
        <f>IF(+All!$H353="Florida Intl",+All!H353,IF(+All!$F353="Florida Intl",+All!H353,0))</f>
        <v>New Mexico State</v>
      </c>
      <c r="I23" s="52" t="str">
        <f>IF(+All!$H353="Florida Intl",+All!I353,IF(+All!$F353="Florida Intl",+All!I353,0))</f>
        <v>Ind</v>
      </c>
      <c r="J23" s="460" t="str">
        <f>IF(+All!$H353="Florida Intl",+All!J353,IF(+All!$F353="Florida Intl",+All!J353,0))</f>
        <v>New Mexico State</v>
      </c>
      <c r="K23" s="461" t="str">
        <f>IF(+All!$H353="Florida Intl",+All!K353,IF(+All!$F353="Florida Intl",+All!K353,0))</f>
        <v>Florida Intl</v>
      </c>
      <c r="L23" s="54">
        <f>IF(+All!$H353="Florida Intl",+All!L353,IF(+All!$F353="Florida Intl",+All!L353,0))</f>
        <v>15.5</v>
      </c>
      <c r="M23" s="55">
        <f>IF(+All!$H353="Florida Intl",+All!M353,IF(+All!$F353="Florida Intl",+All!M353,0))</f>
        <v>54.5</v>
      </c>
      <c r="N23" s="460" t="str">
        <f>IF(+All!$H353="Florida Intl",+All!N353,IF(+All!$F353="Florida Intl",+All!N353,0))</f>
        <v>Florida Intl</v>
      </c>
      <c r="O23" s="462">
        <f>IF(+All!$H353="Florida Intl",+All!O353,IF(+All!$F353="Florida Intl",+All!O353,0))</f>
        <v>21</v>
      </c>
      <c r="P23" s="462" t="str">
        <f>IF(+All!$H353="Florida Intl",+All!P353,IF(+All!$F353="Florida Intl",+All!P353,0))</f>
        <v>New Mexico State</v>
      </c>
      <c r="Q23" s="461">
        <f>IF(+All!$H353="Florida Intl",+All!Q353,IF(+All!$F353="Florida Intl",+All!Q353,0))</f>
        <v>7</v>
      </c>
      <c r="R23" s="460" t="str">
        <f>IF(+All!$H353="Florida Intl",+All!R353,IF(+All!$F353="Florida Intl",+All!R353,0))</f>
        <v>Florida Intl</v>
      </c>
      <c r="S23" s="462" t="str">
        <f>IF(+All!$H353="Florida Intl",+All!S353,IF(+All!$F353="Florida Intl",+All!S353,0))</f>
        <v>New Mexico State</v>
      </c>
      <c r="T23" s="460" t="str">
        <f>IF(+All!$H353="Florida Intl",+All!T353,IF(+All!$F353="Florida Intl",+All!T353,0))</f>
        <v>New Mexico State</v>
      </c>
      <c r="U23" s="461" t="str">
        <f>IF(+All!$H353="Florida Intl",+All!U353,IF(+All!$F353="Florida Intl",+All!U353,0))</f>
        <v>L</v>
      </c>
    </row>
    <row r="24" spans="1:21" x14ac:dyDescent="0.8">
      <c r="A24" s="46">
        <f>IF(+All!$H405="Florida Intl",+All!A405,IF(+All!$F405="Florida Intl",+All!A405,0))</f>
        <v>6</v>
      </c>
      <c r="B24" s="348" t="str">
        <f>IF(+All!$H405="Florida Intl",+All!B405,IF(+All!$F405="Florida Intl",+All!B405,0))</f>
        <v>Sat</v>
      </c>
      <c r="C24" s="48">
        <f>IF(+All!$H405="Florida Intl",+All!C405,IF(+All!$F405="Florida Intl",+All!C405,0))</f>
        <v>44842</v>
      </c>
      <c r="D24" s="490">
        <f>IF(+All!$H405="Florida Intl",+All!D405,IF(+All!$F405="Florida Intl",+All!D405,0))</f>
        <v>0.79166666666666663</v>
      </c>
      <c r="E24" s="461" t="str">
        <f>IF(+All!$H405="Florida Intl",+All!E405,IF(+All!$F405="Florida Intl",+All!E405,0))</f>
        <v>espn3</v>
      </c>
      <c r="F24" s="51" t="str">
        <f>IF(+All!$H405="Florida Intl",+All!F405,IF(+All!$F405="Florida Intl",+All!F405,0))</f>
        <v>Connecticut</v>
      </c>
      <c r="G24" s="52" t="str">
        <f>IF(+All!$H405="Florida Intl",+All!G405,IF(+All!$F405="Florida Intl",+All!G405,0))</f>
        <v>Ind</v>
      </c>
      <c r="H24" s="51" t="str">
        <f>IF(+All!$H405="Florida Intl",+All!H405,IF(+All!$F405="Florida Intl",+All!H405,0))</f>
        <v>Florida Intl</v>
      </c>
      <c r="I24" s="52" t="str">
        <f>IF(+All!$H405="Florida Intl",+All!I405,IF(+All!$F405="Florida Intl",+All!I405,0))</f>
        <v>CUSA</v>
      </c>
      <c r="J24" s="460" t="str">
        <f>IF(+All!$H405="Florida Intl",+All!J405,IF(+All!$F405="Florida Intl",+All!J405,0))</f>
        <v>Connecticut</v>
      </c>
      <c r="K24" s="461" t="str">
        <f>IF(+All!$H405="Florida Intl",+All!K405,IF(+All!$F405="Florida Intl",+All!K405,0))</f>
        <v>Florida Intl</v>
      </c>
      <c r="L24" s="54">
        <f>IF(+All!$H405="Florida Intl",+All!L405,IF(+All!$F405="Florida Intl",+All!L405,0))</f>
        <v>5</v>
      </c>
      <c r="M24" s="55">
        <f>IF(+All!$H405="Florida Intl",+All!M405,IF(+All!$F405="Florida Intl",+All!M405,0))</f>
        <v>46.5</v>
      </c>
      <c r="N24" s="460" t="str">
        <f>IF(+All!$H405="Florida Intl",+All!N405,IF(+All!$F405="Florida Intl",+All!N405,0))</f>
        <v>Connecticut</v>
      </c>
      <c r="O24" s="462">
        <f>IF(+All!$H405="Florida Intl",+All!O405,IF(+All!$F405="Florida Intl",+All!O405,0))</f>
        <v>33</v>
      </c>
      <c r="P24" s="462" t="str">
        <f>IF(+All!$H405="Florida Intl",+All!P405,IF(+All!$F405="Florida Intl",+All!P405,0))</f>
        <v>Florida Intl</v>
      </c>
      <c r="Q24" s="461">
        <f>IF(+All!$H405="Florida Intl",+All!Q405,IF(+All!$F405="Florida Intl",+All!Q405,0))</f>
        <v>12</v>
      </c>
      <c r="R24" s="460" t="str">
        <f>IF(+All!$H405="Florida Intl",+All!R405,IF(+All!$F405="Florida Intl",+All!R405,0))</f>
        <v>Connecticut</v>
      </c>
      <c r="S24" s="462" t="str">
        <f>IF(+All!$H405="Florida Intl",+All!S405,IF(+All!$F405="Florida Intl",+All!S405,0))</f>
        <v>Florida Intl</v>
      </c>
      <c r="T24" s="460" t="str">
        <f>IF(+All!$H405="Florida Intl",+All!T405,IF(+All!$F405="Florida Intl",+All!T405,0))</f>
        <v>Connecticut</v>
      </c>
      <c r="U24" s="461" t="str">
        <f>IF(+All!$H405="Florida Intl",+All!U405,IF(+All!$F405="Florida Intl",+All!U405,0))</f>
        <v>W</v>
      </c>
    </row>
    <row r="25" spans="1:21" x14ac:dyDescent="0.8">
      <c r="A25" s="46">
        <f>IF(+All!$H442="Florida Intl",+All!A442,IF(+All!$F442="Florida Intl",+All!A442,0))</f>
        <v>7</v>
      </c>
      <c r="B25" s="348" t="str">
        <f>IF(+All!$H442="Florida Intl",+All!B442,IF(+All!$F442="Florida Intl",+All!B442,0))</f>
        <v>Fri</v>
      </c>
      <c r="C25" s="48">
        <f>IF(+All!$H442="Florida Intl",+All!C442,IF(+All!$F442="Florida Intl",+All!C442,0))</f>
        <v>44848</v>
      </c>
      <c r="D25" s="490">
        <f>IF(+All!$H442="Florida Intl",+All!D442,IF(+All!$F442="Florida Intl",+All!D442,0))</f>
        <v>0.83333333333333337</v>
      </c>
      <c r="E25" s="461" t="str">
        <f>IF(+All!$H442="Florida Intl",+All!E442,IF(+All!$F442="Florida Intl",+All!E442,0))</f>
        <v>CBSSN</v>
      </c>
      <c r="F25" s="51" t="str">
        <f>IF(+All!$H442="Florida Intl",+All!F442,IF(+All!$F442="Florida Intl",+All!F442,0))</f>
        <v>UT San Antonio</v>
      </c>
      <c r="G25" s="52" t="str">
        <f>IF(+All!$H442="Florida Intl",+All!G442,IF(+All!$F442="Florida Intl",+All!G442,0))</f>
        <v>CUSA</v>
      </c>
      <c r="H25" s="51" t="str">
        <f>IF(+All!$H442="Florida Intl",+All!H442,IF(+All!$F442="Florida Intl",+All!H442,0))</f>
        <v>Florida Intl</v>
      </c>
      <c r="I25" s="52" t="str">
        <f>IF(+All!$H442="Florida Intl",+All!I442,IF(+All!$F442="Florida Intl",+All!I442,0))</f>
        <v>CUSA</v>
      </c>
      <c r="J25" s="460" t="str">
        <f>IF(+All!$H442="Florida Intl",+All!J442,IF(+All!$F442="Florida Intl",+All!J442,0))</f>
        <v>UT San Antonio</v>
      </c>
      <c r="K25" s="461" t="str">
        <f>IF(+All!$H442="Florida Intl",+All!K442,IF(+All!$F442="Florida Intl",+All!K442,0))</f>
        <v>Florida Intl</v>
      </c>
      <c r="L25" s="54">
        <f>IF(+All!$H442="Florida Intl",+All!L442,IF(+All!$F442="Florida Intl",+All!L442,0))</f>
        <v>32</v>
      </c>
      <c r="M25" s="55">
        <f>IF(+All!$H442="Florida Intl",+All!M442,IF(+All!$F442="Florida Intl",+All!M442,0))</f>
        <v>64</v>
      </c>
      <c r="N25" s="460" t="str">
        <f>IF(+All!$H442="Florida Intl",+All!N442,IF(+All!$F442="Florida Intl",+All!N442,0))</f>
        <v>UT San Antonio</v>
      </c>
      <c r="O25" s="462">
        <f>IF(+All!$H442="Florida Intl",+All!O442,IF(+All!$F442="Florida Intl",+All!O442,0))</f>
        <v>30</v>
      </c>
      <c r="P25" s="462" t="str">
        <f>IF(+All!$H442="Florida Intl",+All!P442,IF(+All!$F442="Florida Intl",+All!P442,0))</f>
        <v>Florida Intl</v>
      </c>
      <c r="Q25" s="461">
        <f>IF(+All!$H442="Florida Intl",+All!Q442,IF(+All!$F442="Florida Intl",+All!Q442,0))</f>
        <v>10</v>
      </c>
      <c r="R25" s="460" t="str">
        <f>IF(+All!$H442="Florida Intl",+All!R442,IF(+All!$F442="Florida Intl",+All!R442,0))</f>
        <v>Florida Intl</v>
      </c>
      <c r="S25" s="462" t="str">
        <f>IF(+All!$H442="Florida Intl",+All!S442,IF(+All!$F442="Florida Intl",+All!S442,0))</f>
        <v>UT San Antonio</v>
      </c>
      <c r="T25" s="460" t="str">
        <f>IF(+All!$H442="Florida Intl",+All!T442,IF(+All!$F442="Florida Intl",+All!T442,0))</f>
        <v>Florida Intl</v>
      </c>
      <c r="U25" s="461" t="str">
        <f>IF(+All!$H442="Florida Intl",+All!U442,IF(+All!$F442="Florida Intl",+All!U442,0))</f>
        <v>W</v>
      </c>
    </row>
    <row r="26" spans="1:21" x14ac:dyDescent="0.8">
      <c r="A26" s="46">
        <f>IF(+All!$H514="Florida Intl",+All!A514,IF(+All!$F514="Florida Intl",+All!A514,0))</f>
        <v>8</v>
      </c>
      <c r="B26" s="348" t="str">
        <f>IF(+All!$H514="Florida Intl",+All!B514,IF(+All!$F514="Florida Intl",+All!B514,0))</f>
        <v>Sat</v>
      </c>
      <c r="C26" s="48">
        <f>IF(+All!$H514="Florida Intl",+All!C514,IF(+All!$F514="Florida Intl",+All!C514,0))</f>
        <v>44856</v>
      </c>
      <c r="D26" s="490">
        <f>IF(+All!$H514="Florida Intl",+All!D514,IF(+All!$F514="Florida Intl",+All!D514,0))</f>
        <v>0.64583333333333337</v>
      </c>
      <c r="E26" s="461" t="str">
        <f>IF(+All!$H514="Florida Intl",+All!E514,IF(+All!$F514="Florida Intl",+All!E514,0))</f>
        <v>espn3</v>
      </c>
      <c r="F26" s="51" t="str">
        <f>IF(+All!$H514="Florida Intl",+All!F514,IF(+All!$F514="Florida Intl",+All!F514,0))</f>
        <v>Florida Intl</v>
      </c>
      <c r="G26" s="52" t="str">
        <f>IF(+All!$H514="Florida Intl",+All!G514,IF(+All!$F514="Florida Intl",+All!G514,0))</f>
        <v>CUSA</v>
      </c>
      <c r="H26" s="51" t="str">
        <f>IF(+All!$H514="Florida Intl",+All!H514,IF(+All!$F514="Florida Intl",+All!H514,0))</f>
        <v>UNC Charlotte</v>
      </c>
      <c r="I26" s="52" t="str">
        <f>IF(+All!$H514="Florida Intl",+All!I514,IF(+All!$F514="Florida Intl",+All!I514,0))</f>
        <v>CUSA</v>
      </c>
      <c r="J26" s="460" t="str">
        <f>IF(+All!$H514="Florida Intl",+All!J514,IF(+All!$F514="Florida Intl",+All!J514,0))</f>
        <v>UNC Charlotte</v>
      </c>
      <c r="K26" s="461" t="str">
        <f>IF(+All!$H514="Florida Intl",+All!K514,IF(+All!$F514="Florida Intl",+All!K514,0))</f>
        <v>Florida Intl</v>
      </c>
      <c r="L26" s="54">
        <f>IF(+All!$H514="Florida Intl",+All!L514,IF(+All!$F514="Florida Intl",+All!L514,0))</f>
        <v>14.5</v>
      </c>
      <c r="M26" s="55">
        <f>IF(+All!$H514="Florida Intl",+All!M514,IF(+All!$F514="Florida Intl",+All!M514,0))</f>
        <v>61</v>
      </c>
      <c r="N26" s="460" t="str">
        <f>IF(+All!$H514="Florida Intl",+All!N514,IF(+All!$F514="Florida Intl",+All!N514,0))</f>
        <v>Florida Intl</v>
      </c>
      <c r="O26" s="462">
        <f>IF(+All!$H514="Florida Intl",+All!O514,IF(+All!$F514="Florida Intl",+All!O514,0))</f>
        <v>34</v>
      </c>
      <c r="P26" s="462" t="str">
        <f>IF(+All!$H514="Florida Intl",+All!P514,IF(+All!$F514="Florida Intl",+All!P514,0))</f>
        <v>UNC Charlotte</v>
      </c>
      <c r="Q26" s="461">
        <f>IF(+All!$H514="Florida Intl",+All!Q514,IF(+All!$F514="Florida Intl",+All!Q514,0))</f>
        <v>15</v>
      </c>
      <c r="R26" s="460" t="str">
        <f>IF(+All!$H514="Florida Intl",+All!R514,IF(+All!$F514="Florida Intl",+All!R514,0))</f>
        <v>Florida Intl</v>
      </c>
      <c r="S26" s="462" t="str">
        <f>IF(+All!$H514="Florida Intl",+All!S514,IF(+All!$F514="Florida Intl",+All!S514,0))</f>
        <v>UNC Charlotte</v>
      </c>
      <c r="T26" s="460" t="str">
        <f>IF(+All!$H514="Florida Intl",+All!T514,IF(+All!$F514="Florida Intl",+All!T514,0))</f>
        <v>Florida Intl</v>
      </c>
      <c r="U26" s="461" t="str">
        <f>IF(+All!$H514="Florida Intl",+All!U514,IF(+All!$F514="Florida Intl",+All!U514,0))</f>
        <v>W</v>
      </c>
    </row>
    <row r="27" spans="1:21" x14ac:dyDescent="0.8">
      <c r="A27" s="46">
        <f>IF(+All!$H548="Florida Intl",+All!A548,IF(+All!$F548="Florida Intl",+All!A548,0))</f>
        <v>9</v>
      </c>
      <c r="B27" s="348" t="str">
        <f>IF(+All!$H548="Florida Intl",+All!B548,IF(+All!$F548="Florida Intl",+All!B548,0))</f>
        <v>Fri</v>
      </c>
      <c r="C27" s="48">
        <f>IF(+All!$H548="Florida Intl",+All!C548,IF(+All!$F548="Florida Intl",+All!C548,0))</f>
        <v>44862</v>
      </c>
      <c r="D27" s="490">
        <f>IF(+All!$H548="Florida Intl",+All!D548,IF(+All!$F548="Florida Intl",+All!D548,0))</f>
        <v>0.83333333333333337</v>
      </c>
      <c r="E27" s="461" t="str">
        <f>IF(+All!$H548="Florida Intl",+All!E548,IF(+All!$F548="Florida Intl",+All!E548,0))</f>
        <v>CBSSN</v>
      </c>
      <c r="F27" s="51" t="str">
        <f>IF(+All!$H548="Florida Intl",+All!F548,IF(+All!$F548="Florida Intl",+All!F548,0))</f>
        <v>Louisiana Tech</v>
      </c>
      <c r="G27" s="52" t="str">
        <f>IF(+All!$H548="Florida Intl",+All!G548,IF(+All!$F548="Florida Intl",+All!G548,0))</f>
        <v>CUSA</v>
      </c>
      <c r="H27" s="51" t="str">
        <f>IF(+All!$H548="Florida Intl",+All!H548,IF(+All!$F548="Florida Intl",+All!H548,0))</f>
        <v>Florida Intl</v>
      </c>
      <c r="I27" s="52" t="str">
        <f>IF(+All!$H548="Florida Intl",+All!I548,IF(+All!$F548="Florida Intl",+All!I548,0))</f>
        <v>CUSA</v>
      </c>
      <c r="J27" s="460" t="str">
        <f>IF(+All!$H548="Florida Intl",+All!J548,IF(+All!$F548="Florida Intl",+All!J548,0))</f>
        <v>Louisiana Tech</v>
      </c>
      <c r="K27" s="461" t="str">
        <f>IF(+All!$H548="Florida Intl",+All!K548,IF(+All!$F548="Florida Intl",+All!K548,0))</f>
        <v>Florida Intl</v>
      </c>
      <c r="L27" s="54">
        <f>IF(+All!$H548="Florida Intl",+All!L548,IF(+All!$F548="Florida Intl",+All!L548,0))</f>
        <v>6.5</v>
      </c>
      <c r="M27" s="55">
        <f>IF(+All!$H548="Florida Intl",+All!M548,IF(+All!$F548="Florida Intl",+All!M548,0))</f>
        <v>58</v>
      </c>
      <c r="N27" s="460" t="str">
        <f>IF(+All!$H548="Florida Intl",+All!N548,IF(+All!$F548="Florida Intl",+All!N548,0))</f>
        <v>Florida Intl</v>
      </c>
      <c r="O27" s="462">
        <f>IF(+All!$H548="Florida Intl",+All!O548,IF(+All!$F548="Florida Intl",+All!O548,0))</f>
        <v>42</v>
      </c>
      <c r="P27" s="462" t="str">
        <f>IF(+All!$H548="Florida Intl",+All!P548,IF(+All!$F548="Florida Intl",+All!P548,0))</f>
        <v>Louisiana Tech</v>
      </c>
      <c r="Q27" s="461">
        <f>IF(+All!$H548="Florida Intl",+All!Q548,IF(+All!$F548="Florida Intl",+All!Q548,0))</f>
        <v>34</v>
      </c>
      <c r="R27" s="460" t="str">
        <f>IF(+All!$H548="Florida Intl",+All!R548,IF(+All!$F548="Florida Intl",+All!R548,0))</f>
        <v>Florida Intl</v>
      </c>
      <c r="S27" s="462" t="str">
        <f>IF(+All!$H548="Florida Intl",+All!S548,IF(+All!$F548="Florida Intl",+All!S548,0))</f>
        <v>Louisiana Tech</v>
      </c>
      <c r="T27" s="460" t="str">
        <f>IF(+All!$H548="Florida Intl",+All!T548,IF(+All!$F548="Florida Intl",+All!T548,0))</f>
        <v>Louisiana Tech</v>
      </c>
      <c r="U27" s="461" t="str">
        <f>IF(+All!$H548="Florida Intl",+All!U548,IF(+All!$F548="Florida Intl",+All!U548,0))</f>
        <v>L</v>
      </c>
    </row>
    <row r="28" spans="1:21" x14ac:dyDescent="0.8">
      <c r="A28" s="46">
        <f>IF(+All!$H626="Florida Intl",+All!A626,IF(+All!$F626="Florida Intl",+All!A626,0))</f>
        <v>10</v>
      </c>
      <c r="B28" s="348" t="str">
        <f>IF(+All!$H626="Florida Intl",+All!B626,IF(+All!$F626="Florida Intl",+All!B626,0))</f>
        <v>Sat</v>
      </c>
      <c r="C28" s="48">
        <f>IF(+All!$H626="Florida Intl",+All!C626,IF(+All!$F626="Florida Intl",+All!C626,0))</f>
        <v>44870</v>
      </c>
      <c r="D28" s="490">
        <f>IF(+All!$H626="Florida Intl",+All!D626,IF(+All!$F626="Florida Intl",+All!D626,0))</f>
        <v>0.66666666666666663</v>
      </c>
      <c r="E28" s="461">
        <f>IF(+All!$H626="Florida Intl",+All!E626,IF(+All!$F626="Florida Intl",+All!E626,0))</f>
        <v>0</v>
      </c>
      <c r="F28" s="51" t="str">
        <f>IF(+All!$H626="Florida Intl",+All!F626,IF(+All!$F626="Florida Intl",+All!F626,0))</f>
        <v>Florida Intl</v>
      </c>
      <c r="G28" s="52" t="str">
        <f>IF(+All!$H626="Florida Intl",+All!G626,IF(+All!$F626="Florida Intl",+All!G626,0))</f>
        <v>CUSA</v>
      </c>
      <c r="H28" s="51" t="str">
        <f>IF(+All!$H626="Florida Intl",+All!H626,IF(+All!$F626="Florida Intl",+All!H626,0))</f>
        <v>North Texas</v>
      </c>
      <c r="I28" s="52" t="str">
        <f>IF(+All!$H626="Florida Intl",+All!I626,IF(+All!$F626="Florida Intl",+All!I626,0))</f>
        <v>CUSA</v>
      </c>
      <c r="J28" s="460" t="str">
        <f>IF(+All!$H626="Florida Intl",+All!J626,IF(+All!$F626="Florida Intl",+All!J626,0))</f>
        <v>North Texas</v>
      </c>
      <c r="K28" s="461" t="str">
        <f>IF(+All!$H626="Florida Intl",+All!K626,IF(+All!$F626="Florida Intl",+All!K626,0))</f>
        <v>Florida Intl</v>
      </c>
      <c r="L28" s="54">
        <f>IF(+All!$H626="Florida Intl",+All!L626,IF(+All!$F626="Florida Intl",+All!L626,0))</f>
        <v>21</v>
      </c>
      <c r="M28" s="55">
        <f>IF(+All!$H626="Florida Intl",+All!M626,IF(+All!$F626="Florida Intl",+All!M626,0))</f>
        <v>62</v>
      </c>
      <c r="N28" s="460" t="str">
        <f>IF(+All!$H626="Florida Intl",+All!N626,IF(+All!$F626="Florida Intl",+All!N626,0))</f>
        <v>North Texas</v>
      </c>
      <c r="O28" s="462">
        <f>IF(+All!$H626="Florida Intl",+All!O626,IF(+All!$F626="Florida Intl",+All!O626,0))</f>
        <v>52</v>
      </c>
      <c r="P28" s="462" t="str">
        <f>IF(+All!$H626="Florida Intl",+All!P626,IF(+All!$F626="Florida Intl",+All!P626,0))</f>
        <v>Florida Intl</v>
      </c>
      <c r="Q28" s="461">
        <f>IF(+All!$H626="Florida Intl",+All!Q626,IF(+All!$F626="Florida Intl",+All!Q626,0))</f>
        <v>14</v>
      </c>
      <c r="R28" s="460" t="str">
        <f>IF(+All!$H626="Florida Intl",+All!R626,IF(+All!$F626="Florida Intl",+All!R626,0))</f>
        <v>North Texas</v>
      </c>
      <c r="S28" s="462" t="str">
        <f>IF(+All!$H626="Florida Intl",+All!S626,IF(+All!$F626="Florida Intl",+All!S626,0))</f>
        <v>Florida Intl</v>
      </c>
      <c r="T28" s="460" t="str">
        <f>IF(+All!$H626="Florida Intl",+All!T626,IF(+All!$F626="Florida Intl",+All!T626,0))</f>
        <v>North Texas</v>
      </c>
      <c r="U28" s="461" t="str">
        <f>IF(+All!$H626="Florida Intl",+All!U626,IF(+All!$F626="Florida Intl",+All!U626,0))</f>
        <v>W</v>
      </c>
    </row>
    <row r="29" spans="1:21" x14ac:dyDescent="0.8">
      <c r="A29" s="46">
        <f>IF(+All!$H687="Florida Intl",+All!A687,IF(+All!$F687="Florida Intl",+All!A687,0))</f>
        <v>11</v>
      </c>
      <c r="B29" s="348" t="str">
        <f>IF(+All!$H687="Florida Intl",+All!B687,IF(+All!$F687="Florida Intl",+All!B687,0))</f>
        <v>Sat</v>
      </c>
      <c r="C29" s="48">
        <f>IF(+All!$H687="Florida Intl",+All!C687,IF(+All!$F687="Florida Intl",+All!C687,0))</f>
        <v>44877</v>
      </c>
      <c r="D29" s="490">
        <f>IF(+All!$H687="Florida Intl",+All!D687,IF(+All!$F687="Florida Intl",+All!D687,0))</f>
        <v>0.79166666666666663</v>
      </c>
      <c r="E29" s="461">
        <f>IF(+All!$H687="Florida Intl",+All!E687,IF(+All!$F687="Florida Intl",+All!E687,0))</f>
        <v>0</v>
      </c>
      <c r="F29" s="51" t="str">
        <f>IF(+All!$H687="Florida Intl",+All!F687,IF(+All!$F687="Florida Intl",+All!F687,0))</f>
        <v>Florida Atlantic</v>
      </c>
      <c r="G29" s="52" t="str">
        <f>IF(+All!$H687="Florida Intl",+All!G687,IF(+All!$F687="Florida Intl",+All!G687,0))</f>
        <v>CUSA</v>
      </c>
      <c r="H29" s="51" t="str">
        <f>IF(+All!$H687="Florida Intl",+All!H687,IF(+All!$F687="Florida Intl",+All!H687,0))</f>
        <v>Florida Intl</v>
      </c>
      <c r="I29" s="52" t="str">
        <f>IF(+All!$H687="Florida Intl",+All!I687,IF(+All!$F687="Florida Intl",+All!I687,0))</f>
        <v>CUSA</v>
      </c>
      <c r="J29" s="460" t="str">
        <f>IF(+All!$H687="Florida Intl",+All!J687,IF(+All!$F687="Florida Intl",+All!J687,0))</f>
        <v>Florida Atlantic</v>
      </c>
      <c r="K29" s="461" t="str">
        <f>IF(+All!$H687="Florida Intl",+All!K687,IF(+All!$F687="Florida Intl",+All!K687,0))</f>
        <v>Florida Intl</v>
      </c>
      <c r="L29" s="54">
        <f>IF(+All!$H687="Florida Intl",+All!L687,IF(+All!$F687="Florida Intl",+All!L687,0))</f>
        <v>16</v>
      </c>
      <c r="M29" s="55">
        <f>IF(+All!$H687="Florida Intl",+All!M687,IF(+All!$F687="Florida Intl",+All!M687,0))</f>
        <v>54.5</v>
      </c>
      <c r="N29" s="460" t="str">
        <f>IF(+All!$H687="Florida Intl",+All!N687,IF(+All!$F687="Florida Intl",+All!N687,0))</f>
        <v>Florida Atlantic</v>
      </c>
      <c r="O29" s="462">
        <f>IF(+All!$H687="Florida Intl",+All!O687,IF(+All!$F687="Florida Intl",+All!O687,0))</f>
        <v>52</v>
      </c>
      <c r="P29" s="462" t="str">
        <f>IF(+All!$H687="Florida Intl",+All!P687,IF(+All!$F687="Florida Intl",+All!P687,0))</f>
        <v>Florida Intl</v>
      </c>
      <c r="Q29" s="461">
        <f>IF(+All!$H687="Florida Intl",+All!Q687,IF(+All!$F687="Florida Intl",+All!Q687,0))</f>
        <v>7</v>
      </c>
      <c r="R29" s="460" t="str">
        <f>IF(+All!$H687="Florida Intl",+All!R687,IF(+All!$F687="Florida Intl",+All!R687,0))</f>
        <v>Florida Atlantic</v>
      </c>
      <c r="S29" s="462" t="str">
        <f>IF(+All!$H687="Florida Intl",+All!S687,IF(+All!$F687="Florida Intl",+All!S687,0))</f>
        <v>Florida Intl</v>
      </c>
      <c r="T29" s="460" t="str">
        <f>IF(+All!$H687="Florida Intl",+All!T687,IF(+All!$F687="Florida Intl",+All!T687,0))</f>
        <v>Florida Atlantic</v>
      </c>
      <c r="U29" s="461" t="str">
        <f>IF(+All!$H687="Florida Intl",+All!U687,IF(+All!$F687="Florida Intl",+All!U687,0))</f>
        <v>W</v>
      </c>
    </row>
    <row r="30" spans="1:21" x14ac:dyDescent="0.8">
      <c r="A30" s="46">
        <f>IF(+All!$H752="Florida Intl",+All!A752,IF(+All!$F752="Florida Intl",+All!A752,0))</f>
        <v>12</v>
      </c>
      <c r="B30" s="348" t="str">
        <f>IF(+All!$H752="Florida Intl",+All!B752,IF(+All!$F752="Florida Intl",+All!B752,0))</f>
        <v>Sat</v>
      </c>
      <c r="C30" s="48">
        <f>IF(+All!$H752="Florida Intl",+All!C752,IF(+All!$F752="Florida Intl",+All!C752,0))</f>
        <v>44884</v>
      </c>
      <c r="D30" s="490">
        <f>IF(+All!$H752="Florida Intl",+All!D752,IF(+All!$F752="Florida Intl",+All!D752,0))</f>
        <v>0.66666666666666663</v>
      </c>
      <c r="E30" s="461">
        <f>IF(+All!$H752="Florida Intl",+All!E752,IF(+All!$F752="Florida Intl",+All!E752,0))</f>
        <v>0</v>
      </c>
      <c r="F30" s="51" t="str">
        <f>IF(+All!$H752="Florida Intl",+All!F752,IF(+All!$F752="Florida Intl",+All!F752,0))</f>
        <v>Florida Intl</v>
      </c>
      <c r="G30" s="52" t="str">
        <f>IF(+All!$H752="Florida Intl",+All!G752,IF(+All!$F752="Florida Intl",+All!G752,0))</f>
        <v>CUSA</v>
      </c>
      <c r="H30" s="51" t="str">
        <f>IF(+All!$H752="Florida Intl",+All!H752,IF(+All!$F752="Florida Intl",+All!H752,0))</f>
        <v>UTEP</v>
      </c>
      <c r="I30" s="52" t="str">
        <f>IF(+All!$H752="Florida Intl",+All!I752,IF(+All!$F752="Florida Intl",+All!I752,0))</f>
        <v>CUSA</v>
      </c>
      <c r="J30" s="460" t="str">
        <f>IF(+All!$H752="Florida Intl",+All!J752,IF(+All!$F752="Florida Intl",+All!J752,0))</f>
        <v>UTEP</v>
      </c>
      <c r="K30" s="461" t="str">
        <f>IF(+All!$H752="Florida Intl",+All!K752,IF(+All!$F752="Florida Intl",+All!K752,0))</f>
        <v>Florida Intl</v>
      </c>
      <c r="L30" s="54">
        <f>IF(+All!$H752="Florida Intl",+All!L752,IF(+All!$F752="Florida Intl",+All!L752,0))</f>
        <v>14</v>
      </c>
      <c r="M30" s="55">
        <f>IF(+All!$H752="Florida Intl",+All!M752,IF(+All!$F752="Florida Intl",+All!M752,0))</f>
        <v>51</v>
      </c>
      <c r="N30" s="460" t="str">
        <f>IF(+All!$H752="Florida Intl",+All!N752,IF(+All!$F752="Florida Intl",+All!N752,0))</f>
        <v>UTEP</v>
      </c>
      <c r="O30" s="462">
        <f>IF(+All!$H752="Florida Intl",+All!O752,IF(+All!$F752="Florida Intl",+All!O752,0))</f>
        <v>40</v>
      </c>
      <c r="P30" s="462" t="str">
        <f>IF(+All!$H752="Florida Intl",+All!P752,IF(+All!$F752="Florida Intl",+All!P752,0))</f>
        <v>Florida Intl</v>
      </c>
      <c r="Q30" s="461">
        <f>IF(+All!$H752="Florida Intl",+All!Q752,IF(+All!$F752="Florida Intl",+All!Q752,0))</f>
        <v>6</v>
      </c>
      <c r="R30" s="460" t="str">
        <f>IF(+All!$H752="Florida Intl",+All!R752,IF(+All!$F752="Florida Intl",+All!R752,0))</f>
        <v>UTEP</v>
      </c>
      <c r="S30" s="462" t="str">
        <f>IF(+All!$H752="Florida Intl",+All!S752,IF(+All!$F752="Florida Intl",+All!S752,0))</f>
        <v>Florida Intl</v>
      </c>
      <c r="T30" s="460" t="str">
        <f>IF(+All!$H752="Florida Intl",+All!T752,IF(+All!$F752="Florida Intl",+All!T752,0))</f>
        <v>UTEP</v>
      </c>
      <c r="U30" s="461" t="str">
        <f>IF(+All!$H752="Florida Intl",+All!U752,IF(+All!$F752="Florida Intl",+All!U752,0))</f>
        <v>W</v>
      </c>
    </row>
    <row r="31" spans="1:21" x14ac:dyDescent="0.8">
      <c r="A31" s="46">
        <f>IF(+All!$H819="Florida Intl",+All!A819,IF(+All!$F819="Florida Intl",+All!A819,0))</f>
        <v>13</v>
      </c>
      <c r="B31" s="348" t="str">
        <f>IF(+All!$H819="Florida Intl",+All!B819,IF(+All!$F819="Florida Intl",+All!B819,0))</f>
        <v>Sat</v>
      </c>
      <c r="C31" s="48">
        <f>IF(+All!$H819="Florida Intl",+All!C819,IF(+All!$F819="Florida Intl",+All!C819,0))</f>
        <v>44891</v>
      </c>
      <c r="D31" s="490">
        <f>IF(+All!$H819="Florida Intl",+All!D819,IF(+All!$F819="Florida Intl",+All!D819,0))</f>
        <v>0.75</v>
      </c>
      <c r="E31" s="461" t="str">
        <f>IF(+All!$H819="Florida Intl",+All!E819,IF(+All!$F819="Florida Intl",+All!E819,0))</f>
        <v>espn3</v>
      </c>
      <c r="F31" s="51" t="str">
        <f>IF(+All!$H819="Florida Intl",+All!F819,IF(+All!$F819="Florida Intl",+All!F819,0))</f>
        <v>Middle Tenn St</v>
      </c>
      <c r="G31" s="52" t="str">
        <f>IF(+All!$H819="Florida Intl",+All!G819,IF(+All!$F819="Florida Intl",+All!G819,0))</f>
        <v>CUSA</v>
      </c>
      <c r="H31" s="51" t="str">
        <f>IF(+All!$H819="Florida Intl",+All!H819,IF(+All!$F819="Florida Intl",+All!H819,0))</f>
        <v>Florida Intl</v>
      </c>
      <c r="I31" s="52" t="str">
        <f>IF(+All!$H819="Florida Intl",+All!I819,IF(+All!$F819="Florida Intl",+All!I819,0))</f>
        <v>CUSA</v>
      </c>
      <c r="J31" s="460" t="str">
        <f>IF(+All!$H819="Florida Intl",+All!J819,IF(+All!$F819="Florida Intl",+All!J819,0))</f>
        <v>Middle Tenn St</v>
      </c>
      <c r="K31" s="461" t="str">
        <f>IF(+All!$H819="Florida Intl",+All!K819,IF(+All!$F819="Florida Intl",+All!K819,0))</f>
        <v>Florida Intl</v>
      </c>
      <c r="L31" s="54">
        <f>IF(+All!$H819="Florida Intl",+All!L819,IF(+All!$F819="Florida Intl",+All!L819,0))</f>
        <v>19.5</v>
      </c>
      <c r="M31" s="55">
        <f>IF(+All!$H819="Florida Intl",+All!M819,IF(+All!$F819="Florida Intl",+All!M819,0))</f>
        <v>55</v>
      </c>
      <c r="N31" s="460" t="str">
        <f>IF(+All!$H819="Florida Intl",+All!N819,IF(+All!$F819="Florida Intl",+All!N819,0))</f>
        <v>Middle Tenn St</v>
      </c>
      <c r="O31" s="462">
        <f>IF(+All!$H819="Florida Intl",+All!O819,IF(+All!$F819="Florida Intl",+All!O819,0))</f>
        <v>33</v>
      </c>
      <c r="P31" s="462" t="str">
        <f>IF(+All!$H819="Florida Intl",+All!P819,IF(+All!$F819="Florida Intl",+All!P819,0))</f>
        <v>Florida Intl</v>
      </c>
      <c r="Q31" s="461">
        <f>IF(+All!$H819="Florida Intl",+All!Q819,IF(+All!$F819="Florida Intl",+All!Q819,0))</f>
        <v>28</v>
      </c>
      <c r="R31" s="460" t="str">
        <f>IF(+All!$H819="Florida Intl",+All!R819,IF(+All!$F819="Florida Intl",+All!R819,0))</f>
        <v>Florida Intl</v>
      </c>
      <c r="S31" s="462" t="str">
        <f>IF(+All!$H819="Florida Intl",+All!S819,IF(+All!$F819="Florida Intl",+All!S819,0))</f>
        <v>Middle Tenn St</v>
      </c>
      <c r="T31" s="460" t="str">
        <f>IF(+All!$H819="Florida Intl",+All!T819,IF(+All!$F819="Florida Intl",+All!T819,0))</f>
        <v>Florida Intl</v>
      </c>
      <c r="U31" s="461" t="str">
        <f>IF(+All!$H819="Florida Intl",+All!U819,IF(+All!$F819="Florida Intl",+All!U819,0))</f>
        <v>W</v>
      </c>
    </row>
    <row r="32" spans="1:21" x14ac:dyDescent="0.8">
      <c r="B32" s="46"/>
      <c r="C32" s="62"/>
      <c r="D32" s="49"/>
      <c r="F32" s="897" t="str">
        <f>H34</f>
        <v>Louisiana Tech</v>
      </c>
      <c r="G32" s="901"/>
      <c r="H32" s="901"/>
      <c r="I32" s="902"/>
      <c r="L32" s="54"/>
      <c r="M32" s="55"/>
    </row>
    <row r="33" spans="1:21" x14ac:dyDescent="0.8">
      <c r="A33" s="46">
        <f>IF(+All!$F21="Louisiana Tech",+All!A21,IF(+All!$H21="Louisiana Tech",+All!A21,0))</f>
        <v>1</v>
      </c>
      <c r="B33" s="348" t="str">
        <f>IF(+All!$F21="Louisiana Tech",+All!B21,IF(+All!$H21="Louisiana Tech",+All!B21,0))</f>
        <v>Thurs</v>
      </c>
      <c r="C33" s="48">
        <f>IF(+All!$F21="Louisiana Tech",+All!C21,IF(+All!$H21="Louisiana Tech",+All!C21,0))</f>
        <v>44805</v>
      </c>
      <c r="D33" s="490">
        <f>IF(+All!$F21="Louisiana Tech",+All!D21,IF(+All!$H21="Louisiana Tech",+All!D21,0))</f>
        <v>0.83333333333333337</v>
      </c>
      <c r="E33" s="461" t="str">
        <f>IF(+All!$F21="Louisiana Tech",+All!E21,IF(+All!$H21="Louisiana Tech",+All!E21,0))</f>
        <v>ESPNU</v>
      </c>
      <c r="F33" s="51" t="str">
        <f>IF(+All!$F21="Louisiana Tech",+All!F21,IF(+All!$H21="Louisiana Tech",+All!F21,0))</f>
        <v>Louisiana Tech</v>
      </c>
      <c r="G33" s="52" t="str">
        <f>IF(+All!$F21="Louisiana Tech",+All!G21,IF(+All!$H21="Louisiana Tech",+All!G21,0))</f>
        <v>CUSA</v>
      </c>
      <c r="H33" s="51" t="str">
        <f>IF(+All!$F21="Louisiana Tech",+All!H21,IF(+All!$H21="Louisiana Tech",+All!H21,0))</f>
        <v>Missouri</v>
      </c>
      <c r="I33" s="52" t="str">
        <f>IF(+All!$F21="Louisiana Tech",+All!I21,IF(+All!$H21="Louisiana Tech",+All!I21,0))</f>
        <v>SEC</v>
      </c>
      <c r="J33" s="460" t="str">
        <f>IF(+All!$F21="Louisiana Tech",+All!J21,IF(+All!$H21="Louisiana Tech",+All!J21,0))</f>
        <v>Missouri</v>
      </c>
      <c r="K33" s="461" t="str">
        <f>IF(+All!$F21="Louisiana Tech",+All!K21,IF(+All!$H21="Louisiana Tech",+All!K21,0))</f>
        <v>Louisiana Tech</v>
      </c>
      <c r="L33" s="54">
        <f>IF(+All!$F21="Louisiana Tech",+All!L21,IF(+All!$H21="Louisiana Tech",+All!L21,0))</f>
        <v>20</v>
      </c>
      <c r="M33" s="55">
        <f>IF(+All!$F21="Louisiana Tech",+All!M21,IF(+All!$H21="Louisiana Tech",+All!M21,0))</f>
        <v>60</v>
      </c>
      <c r="N33" s="460" t="str">
        <f>IF(+All!$F21="Louisiana Tech",+All!N21,IF(+All!$H21="Louisiana Tech",+All!N21,0))</f>
        <v>Missouri</v>
      </c>
      <c r="O33" s="462">
        <f>IF(+All!$F21="Louisiana Tech",+All!O21,IF(+All!$H21="Louisiana Tech",+All!O21,0))</f>
        <v>52</v>
      </c>
      <c r="P33" s="462" t="str">
        <f>IF(+All!$F21="Louisiana Tech",+All!P21,IF(+All!$H21="Louisiana Tech",+All!P21,0))</f>
        <v>Louisiana Tech</v>
      </c>
      <c r="Q33" s="461">
        <f>IF(+All!$F21="Louisiana Tech",+All!Q21,IF(+All!$H21="Louisiana Tech",+All!Q21,0))</f>
        <v>24</v>
      </c>
      <c r="R33" s="460" t="str">
        <f>IF(+All!$F21="Louisiana Tech",+All!R21,IF(+All!$H21="Louisiana Tech",+All!R21,0))</f>
        <v>Missouri</v>
      </c>
      <c r="S33" s="462" t="str">
        <f>IF(+All!$F21="Louisiana Tech",+All!S21,IF(+All!$H21="Louisiana Tech",+All!S21,0))</f>
        <v>Louisiana Tech</v>
      </c>
      <c r="T33" s="460" t="str">
        <f>IF(+All!$F21="Louisiana Tech",+All!T21,IF(+All!$H21="Louisiana Tech",+All!T21,0))</f>
        <v>Louisiana Tech</v>
      </c>
      <c r="U33" s="461" t="str">
        <f>IF(+All!$F21="Louisiana Tech",+All!U21,IF(+All!$H21="Louisiana Tech",+All!U21,0))</f>
        <v>L</v>
      </c>
    </row>
    <row r="34" spans="1:21" x14ac:dyDescent="0.8">
      <c r="A34" s="46">
        <f>IF(+All!$F135="Louisiana Tech",+All!A135,IF(+All!$H135="Louisiana Tech",+All!A135,0))</f>
        <v>2</v>
      </c>
      <c r="B34" s="348" t="str">
        <f>IF(+All!$F135="Louisiana Tech",+All!B135,IF(+All!$H135="Louisiana Tech",+All!B135,0))</f>
        <v>Sat</v>
      </c>
      <c r="C34" s="48">
        <f>IF(+All!$F135="Louisiana Tech",+All!C135,IF(+All!$H135="Louisiana Tech",+All!C135,0))</f>
        <v>44814</v>
      </c>
      <c r="D34" s="490">
        <f>IF(+All!$F135="Louisiana Tech",+All!D135,IF(+All!$H135="Louisiana Tech",+All!D135,0))</f>
        <v>0.79166666666666663</v>
      </c>
      <c r="E34" s="461" t="str">
        <f>IF(+All!$F135="Louisiana Tech",+All!E135,IF(+All!$H135="Louisiana Tech",+All!E135,0))</f>
        <v>espn3</v>
      </c>
      <c r="F34" s="51" t="str">
        <f>IF(+All!$F135="Louisiana Tech",+All!F135,IF(+All!$H135="Louisiana Tech",+All!F135,0))</f>
        <v>1AA Stephen F Austin</v>
      </c>
      <c r="G34" s="52" t="str">
        <f>IF(+All!$F135="Louisiana Tech",+All!G135,IF(+All!$H135="Louisiana Tech",+All!G135,0))</f>
        <v>1AA</v>
      </c>
      <c r="H34" s="51" t="str">
        <f>IF(+All!$F135="Louisiana Tech",+All!H135,IF(+All!$H135="Louisiana Tech",+All!H135,0))</f>
        <v>Louisiana Tech</v>
      </c>
      <c r="I34" s="52" t="str">
        <f>IF(+All!$F135="Louisiana Tech",+All!I135,IF(+All!$H135="Louisiana Tech",+All!I135,0))</f>
        <v>CUSA</v>
      </c>
      <c r="J34" s="460">
        <f>IF(+All!$F135="Louisiana Tech",+All!J135,IF(+All!$H135="Louisiana Tech",+All!J135,0))</f>
        <v>0</v>
      </c>
      <c r="K34" s="461">
        <f>IF(+All!$F135="Louisiana Tech",+All!K135,IF(+All!$H135="Louisiana Tech",+All!K135,0))</f>
        <v>0</v>
      </c>
      <c r="L34" s="54">
        <f>IF(+All!$F135="Louisiana Tech",+All!L135,IF(+All!$H135="Louisiana Tech",+All!L135,0))</f>
        <v>0</v>
      </c>
      <c r="M34" s="55">
        <f>IF(+All!$F135="Louisiana Tech",+All!M135,IF(+All!$H135="Louisiana Tech",+All!M135,0))</f>
        <v>0</v>
      </c>
      <c r="N34" s="460" t="str">
        <f>IF(+All!$F135="Louisiana Tech",+All!N135,IF(+All!$H135="Louisiana Tech",+All!N135,0))</f>
        <v>Louisiana Tech</v>
      </c>
      <c r="O34" s="462">
        <f>IF(+All!$F135="Louisiana Tech",+All!O135,IF(+All!$H135="Louisiana Tech",+All!O135,0))</f>
        <v>52</v>
      </c>
      <c r="P34" s="462" t="str">
        <f>IF(+All!$F135="Louisiana Tech",+All!P135,IF(+All!$H135="Louisiana Tech",+All!P135,0))</f>
        <v>1AA Stephen F Austin</v>
      </c>
      <c r="Q34" s="461">
        <f>IF(+All!$F135="Louisiana Tech",+All!Q135,IF(+All!$H135="Louisiana Tech",+All!Q135,0))</f>
        <v>17</v>
      </c>
      <c r="R34" s="460">
        <f>IF(+All!$F135="Louisiana Tech",+All!R135,IF(+All!$H135="Louisiana Tech",+All!R135,0))</f>
        <v>0</v>
      </c>
      <c r="S34" s="462">
        <f>IF(+All!$F135="Louisiana Tech",+All!S135,IF(+All!$H135="Louisiana Tech",+All!S135,0))</f>
        <v>0</v>
      </c>
      <c r="T34" s="460">
        <f>IF(+All!$F135="Louisiana Tech",+All!T135,IF(+All!$H135="Louisiana Tech",+All!T135,0))</f>
        <v>0</v>
      </c>
      <c r="U34" s="461">
        <f>IF(+All!$F135="Louisiana Tech",+All!U135,IF(+All!$H135="Louisiana Tech",+All!U135,0))</f>
        <v>0</v>
      </c>
    </row>
    <row r="35" spans="1:21" x14ac:dyDescent="0.8">
      <c r="A35" s="46">
        <f>IF(+All!$F189="Louisiana Tech",+All!A189,IF(+All!$H189="Louisiana Tech",+All!A189,0))</f>
        <v>3</v>
      </c>
      <c r="B35" s="348" t="str">
        <f>IF(+All!$F189="Louisiana Tech",+All!B189,IF(+All!$H189="Louisiana Tech",+All!B189,0))</f>
        <v>Sat</v>
      </c>
      <c r="C35" s="48">
        <f>IF(+All!$F189="Louisiana Tech",+All!C189,IF(+All!$H189="Louisiana Tech",+All!C189,0))</f>
        <v>44821</v>
      </c>
      <c r="D35" s="490">
        <f>IF(+All!$F189="Louisiana Tech",+All!D189,IF(+All!$H189="Louisiana Tech",+All!D189,0))</f>
        <v>0.83333333333333337</v>
      </c>
      <c r="E35" s="461" t="str">
        <f>IF(+All!$F189="Louisiana Tech",+All!E189,IF(+All!$H189="Louisiana Tech",+All!E189,0))</f>
        <v>ACC</v>
      </c>
      <c r="F35" s="51" t="str">
        <f>IF(+All!$F189="Louisiana Tech",+All!F189,IF(+All!$H189="Louisiana Tech",+All!F189,0))</f>
        <v>Louisiana Tech</v>
      </c>
      <c r="G35" s="52" t="str">
        <f>IF(+All!$F189="Louisiana Tech",+All!G189,IF(+All!$H189="Louisiana Tech",+All!G189,0))</f>
        <v>CUSA</v>
      </c>
      <c r="H35" s="51" t="str">
        <f>IF(+All!$F189="Louisiana Tech",+All!H189,IF(+All!$H189="Louisiana Tech",+All!H189,0))</f>
        <v>Clemson</v>
      </c>
      <c r="I35" s="52" t="str">
        <f>IF(+All!$F189="Louisiana Tech",+All!I189,IF(+All!$H189="Louisiana Tech",+All!I189,0))</f>
        <v>ACC</v>
      </c>
      <c r="J35" s="460" t="str">
        <f>IF(+All!$F189="Louisiana Tech",+All!J189,IF(+All!$H189="Louisiana Tech",+All!J189,0))</f>
        <v>Clemson</v>
      </c>
      <c r="K35" s="461" t="str">
        <f>IF(+All!$F189="Louisiana Tech",+All!K189,IF(+All!$H189="Louisiana Tech",+All!K189,0))</f>
        <v>Louisiana Tech</v>
      </c>
      <c r="L35" s="54">
        <f>IF(+All!$F189="Louisiana Tech",+All!L189,IF(+All!$H189="Louisiana Tech",+All!L189,0))</f>
        <v>34</v>
      </c>
      <c r="M35" s="55">
        <f>IF(+All!$F189="Louisiana Tech",+All!M189,IF(+All!$H189="Louisiana Tech",+All!M189,0))</f>
        <v>53</v>
      </c>
      <c r="N35" s="460" t="str">
        <f>IF(+All!$F189="Louisiana Tech",+All!N189,IF(+All!$H189="Louisiana Tech",+All!N189,0))</f>
        <v>Clemson</v>
      </c>
      <c r="O35" s="462">
        <f>IF(+All!$F189="Louisiana Tech",+All!O189,IF(+All!$H189="Louisiana Tech",+All!O189,0))</f>
        <v>48</v>
      </c>
      <c r="P35" s="462" t="str">
        <f>IF(+All!$F189="Louisiana Tech",+All!P189,IF(+All!$H189="Louisiana Tech",+All!P189,0))</f>
        <v>Louisiana Tech</v>
      </c>
      <c r="Q35" s="461">
        <f>IF(+All!$F189="Louisiana Tech",+All!Q189,IF(+All!$H189="Louisiana Tech",+All!Q189,0))</f>
        <v>20</v>
      </c>
      <c r="R35" s="460" t="str">
        <f>IF(+All!$F189="Louisiana Tech",+All!R189,IF(+All!$H189="Louisiana Tech",+All!R189,0))</f>
        <v>Louisiana Tech</v>
      </c>
      <c r="S35" s="462" t="str">
        <f>IF(+All!$F189="Louisiana Tech",+All!S189,IF(+All!$H189="Louisiana Tech",+All!S189,0))</f>
        <v>Clemson</v>
      </c>
      <c r="T35" s="460" t="str">
        <f>IF(+All!$F189="Louisiana Tech",+All!T189,IF(+All!$H189="Louisiana Tech",+All!T189,0))</f>
        <v>Louisiana Tech</v>
      </c>
      <c r="U35" s="461" t="str">
        <f>IF(+All!$F189="Louisiana Tech",+All!U189,IF(+All!$H189="Louisiana Tech",+All!U189,0))</f>
        <v>W</v>
      </c>
    </row>
    <row r="36" spans="1:21" x14ac:dyDescent="0.8">
      <c r="A36" s="46">
        <f>IF(+All!$F304="Louisiana Tech",+All!A304,IF(+All!$H304="Louisiana Tech",+All!A304,0))</f>
        <v>4</v>
      </c>
      <c r="B36" s="348" t="str">
        <f>IF(+All!$F304="Louisiana Tech",+All!B304,IF(+All!$H304="Louisiana Tech",+All!B304,0))</f>
        <v>Sat</v>
      </c>
      <c r="C36" s="48">
        <f>IF(+All!$F304="Louisiana Tech",+All!C304,IF(+All!$H304="Louisiana Tech",+All!C304,0))</f>
        <v>44828</v>
      </c>
      <c r="D36" s="490">
        <f>IF(+All!$F304="Louisiana Tech",+All!D304,IF(+All!$H304="Louisiana Tech",+All!D304,0))</f>
        <v>0.79166666666666663</v>
      </c>
      <c r="E36" s="461">
        <f>IF(+All!$F304="Louisiana Tech",+All!E304,IF(+All!$H304="Louisiana Tech",+All!E304,0))</f>
        <v>0</v>
      </c>
      <c r="F36" s="51" t="str">
        <f>IF(+All!$F304="Louisiana Tech",+All!F304,IF(+All!$H304="Louisiana Tech",+All!F304,0))</f>
        <v>Louisiana Tech</v>
      </c>
      <c r="G36" s="52" t="str">
        <f>IF(+All!$F304="Louisiana Tech",+All!G304,IF(+All!$H304="Louisiana Tech",+All!G304,0))</f>
        <v>CUSA</v>
      </c>
      <c r="H36" s="51" t="str">
        <f>IF(+All!$F304="Louisiana Tech",+All!H304,IF(+All!$H304="Louisiana Tech",+All!H304,0))</f>
        <v>South Alabama</v>
      </c>
      <c r="I36" s="52" t="str">
        <f>IF(+All!$F304="Louisiana Tech",+All!I304,IF(+All!$H304="Louisiana Tech",+All!I304,0))</f>
        <v>SB</v>
      </c>
      <c r="J36" s="460" t="str">
        <f>IF(+All!$F304="Louisiana Tech",+All!J304,IF(+All!$H304="Louisiana Tech",+All!J304,0))</f>
        <v>South Alabama</v>
      </c>
      <c r="K36" s="461" t="str">
        <f>IF(+All!$F304="Louisiana Tech",+All!K304,IF(+All!$H304="Louisiana Tech",+All!K304,0))</f>
        <v>Louisiana Tech</v>
      </c>
      <c r="L36" s="54">
        <f>IF(+All!$F304="Louisiana Tech",+All!L304,IF(+All!$H304="Louisiana Tech",+All!L304,0))</f>
        <v>13</v>
      </c>
      <c r="M36" s="55">
        <f>IF(+All!$F304="Louisiana Tech",+All!M304,IF(+All!$H304="Louisiana Tech",+All!M304,0))</f>
        <v>60</v>
      </c>
      <c r="N36" s="460" t="str">
        <f>IF(+All!$F304="Louisiana Tech",+All!N304,IF(+All!$H304="Louisiana Tech",+All!N304,0))</f>
        <v>South Alabama</v>
      </c>
      <c r="O36" s="462">
        <f>IF(+All!$F304="Louisiana Tech",+All!O304,IF(+All!$H304="Louisiana Tech",+All!O304,0))</f>
        <v>38</v>
      </c>
      <c r="P36" s="462" t="str">
        <f>IF(+All!$F304="Louisiana Tech",+All!P304,IF(+All!$H304="Louisiana Tech",+All!P304,0))</f>
        <v>Louisiana Tech</v>
      </c>
      <c r="Q36" s="461">
        <f>IF(+All!$F304="Louisiana Tech",+All!Q304,IF(+All!$H304="Louisiana Tech",+All!Q304,0))</f>
        <v>14</v>
      </c>
      <c r="R36" s="460" t="str">
        <f>IF(+All!$F304="Louisiana Tech",+All!R304,IF(+All!$H304="Louisiana Tech",+All!R304,0))</f>
        <v>South Alabama</v>
      </c>
      <c r="S36" s="462" t="str">
        <f>IF(+All!$F304="Louisiana Tech",+All!S304,IF(+All!$H304="Louisiana Tech",+All!S304,0))</f>
        <v>Louisiana Tech</v>
      </c>
      <c r="T36" s="460" t="str">
        <f>IF(+All!$F304="Louisiana Tech",+All!T304,IF(+All!$H304="Louisiana Tech",+All!T304,0))</f>
        <v>Louisiana Tech</v>
      </c>
      <c r="U36" s="461" t="str">
        <f>IF(+All!$F304="Louisiana Tech",+All!U304,IF(+All!$H304="Louisiana Tech",+All!U304,0))</f>
        <v>L</v>
      </c>
    </row>
    <row r="37" spans="1:21" x14ac:dyDescent="0.8">
      <c r="A37" s="46" t="e">
        <f>IF(+All!#REF!="Louisiana Tech",+All!#REF!,IF(+All!#REF!="Louisiana Tech",+All!#REF!,0))</f>
        <v>#REF!</v>
      </c>
      <c r="B37" s="348" t="e">
        <f>IF(+All!#REF!="Louisiana Tech",+All!#REF!,IF(+All!#REF!="Louisiana Tech",+All!#REF!,0))</f>
        <v>#REF!</v>
      </c>
      <c r="C37" s="48" t="e">
        <f>IF(+All!#REF!="Louisiana Tech",+All!#REF!,IF(+All!#REF!="Louisiana Tech",+All!#REF!,0))</f>
        <v>#REF!</v>
      </c>
      <c r="D37" s="490" t="e">
        <f>IF(+All!#REF!="Louisiana Tech",+All!#REF!,IF(+All!#REF!="Louisiana Tech",+All!#REF!,0))</f>
        <v>#REF!</v>
      </c>
      <c r="E37" s="461" t="e">
        <f>IF(+All!#REF!="Louisiana Tech",+All!#REF!,IF(+All!#REF!="Louisiana Tech",+All!#REF!,0))</f>
        <v>#REF!</v>
      </c>
      <c r="F37" s="51" t="e">
        <f>IF(+All!#REF!="Louisiana Tech",+All!#REF!,IF(+All!#REF!="Louisiana Tech",+All!#REF!,0))</f>
        <v>#REF!</v>
      </c>
      <c r="G37" s="52" t="e">
        <f>IF(+All!#REF!="Louisiana Tech",+All!#REF!,IF(+All!#REF!="Louisiana Tech",+All!#REF!,0))</f>
        <v>#REF!</v>
      </c>
      <c r="H37" s="51" t="e">
        <f>IF(+All!#REF!="Louisiana Tech",+All!#REF!,IF(+All!#REF!="Louisiana Tech",+All!#REF!,0))</f>
        <v>#REF!</v>
      </c>
      <c r="I37" s="52" t="e">
        <f>IF(+All!#REF!="Louisiana Tech",+All!#REF!,IF(+All!#REF!="Louisiana Tech",+All!#REF!,0))</f>
        <v>#REF!</v>
      </c>
      <c r="J37" s="460" t="e">
        <f>IF(+All!#REF!="Louisiana Tech",+All!#REF!,IF(+All!#REF!="Louisiana Tech",+All!#REF!,0))</f>
        <v>#REF!</v>
      </c>
      <c r="K37" s="461" t="e">
        <f>IF(+All!#REF!="Louisiana Tech",+All!#REF!,IF(+All!#REF!="Louisiana Tech",+All!#REF!,0))</f>
        <v>#REF!</v>
      </c>
      <c r="L37" s="54" t="e">
        <f>IF(+All!#REF!="Louisiana Tech",+All!#REF!,IF(+All!#REF!="Louisiana Tech",+All!#REF!,0))</f>
        <v>#REF!</v>
      </c>
      <c r="M37" s="55" t="e">
        <f>IF(+All!#REF!="Louisiana Tech",+All!#REF!,IF(+All!#REF!="Louisiana Tech",+All!#REF!,0))</f>
        <v>#REF!</v>
      </c>
      <c r="N37" s="460" t="e">
        <f>IF(+All!#REF!="Louisiana Tech",+All!#REF!,IF(+All!#REF!="Louisiana Tech",+All!#REF!,0))</f>
        <v>#REF!</v>
      </c>
      <c r="O37" s="462" t="e">
        <f>IF(+All!#REF!="Louisiana Tech",+All!#REF!,IF(+All!#REF!="Louisiana Tech",+All!#REF!,0))</f>
        <v>#REF!</v>
      </c>
      <c r="P37" s="462" t="e">
        <f>IF(+All!#REF!="Louisiana Tech",+All!#REF!,IF(+All!#REF!="Louisiana Tech",+All!#REF!,0))</f>
        <v>#REF!</v>
      </c>
      <c r="Q37" s="461" t="e">
        <f>IF(+All!#REF!="Louisiana Tech",+All!#REF!,IF(+All!#REF!="Louisiana Tech",+All!#REF!,0))</f>
        <v>#REF!</v>
      </c>
      <c r="R37" s="460" t="e">
        <f>IF(+All!#REF!="Louisiana Tech",+All!#REF!,IF(+All!#REF!="Louisiana Tech",+All!#REF!,0))</f>
        <v>#REF!</v>
      </c>
      <c r="S37" s="462" t="e">
        <f>IF(+All!#REF!="Louisiana Tech",+All!#REF!,IF(+All!#REF!="Louisiana Tech",+All!#REF!,0))</f>
        <v>#REF!</v>
      </c>
      <c r="T37" s="460" t="e">
        <f>IF(+All!#REF!="Louisiana Tech",+All!#REF!,IF(+All!#REF!="Louisiana Tech",+All!#REF!,0))</f>
        <v>#REF!</v>
      </c>
      <c r="U37" s="461" t="e">
        <f>IF(+All!#REF!="Louisiana Tech",+All!#REF!,IF(+All!#REF!="Louisiana Tech",+All!#REF!,0))</f>
        <v>#REF!</v>
      </c>
    </row>
    <row r="38" spans="1:21" x14ac:dyDescent="0.8">
      <c r="A38" s="46">
        <f>IF(+All!$F406="Louisiana Tech",+All!A406,IF(+All!$H406="Louisiana Tech",+All!A406,0))</f>
        <v>6</v>
      </c>
      <c r="B38" s="348" t="str">
        <f>IF(+All!$F406="Louisiana Tech",+All!B406,IF(+All!$H406="Louisiana Tech",+All!B406,0))</f>
        <v>Sat</v>
      </c>
      <c r="C38" s="48">
        <f>IF(+All!$F406="Louisiana Tech",+All!C406,IF(+All!$H406="Louisiana Tech",+All!C406,0))</f>
        <v>44842</v>
      </c>
      <c r="D38" s="490">
        <f>IF(+All!$F406="Louisiana Tech",+All!D406,IF(+All!$H406="Louisiana Tech",+All!D406,0))</f>
        <v>0.79166666666666663</v>
      </c>
      <c r="E38" s="461">
        <f>IF(+All!$F406="Louisiana Tech",+All!E406,IF(+All!$H406="Louisiana Tech",+All!E406,0))</f>
        <v>0</v>
      </c>
      <c r="F38" s="51" t="str">
        <f>IF(+All!$F406="Louisiana Tech",+All!F406,IF(+All!$H406="Louisiana Tech",+All!F406,0))</f>
        <v>UTEP</v>
      </c>
      <c r="G38" s="52" t="str">
        <f>IF(+All!$F406="Louisiana Tech",+All!G406,IF(+All!$H406="Louisiana Tech",+All!G406,0))</f>
        <v>CUSA</v>
      </c>
      <c r="H38" s="51" t="str">
        <f>IF(+All!$F406="Louisiana Tech",+All!H406,IF(+All!$H406="Louisiana Tech",+All!H406,0))</f>
        <v>Louisiana Tech</v>
      </c>
      <c r="I38" s="52" t="str">
        <f>IF(+All!$F406="Louisiana Tech",+All!I406,IF(+All!$H406="Louisiana Tech",+All!I406,0))</f>
        <v>CUSA</v>
      </c>
      <c r="J38" s="460" t="str">
        <f>IF(+All!$F406="Louisiana Tech",+All!J406,IF(+All!$H406="Louisiana Tech",+All!J406,0))</f>
        <v>Louisiana Tech</v>
      </c>
      <c r="K38" s="461" t="str">
        <f>IF(+All!$F406="Louisiana Tech",+All!K406,IF(+All!$H406="Louisiana Tech",+All!K406,0))</f>
        <v>UTEP</v>
      </c>
      <c r="L38" s="54">
        <f>IF(+All!$F406="Louisiana Tech",+All!L406,IF(+All!$H406="Louisiana Tech",+All!L406,0))</f>
        <v>3</v>
      </c>
      <c r="M38" s="55">
        <f>IF(+All!$F406="Louisiana Tech",+All!M406,IF(+All!$H406="Louisiana Tech",+All!M406,0))</f>
        <v>52.5</v>
      </c>
      <c r="N38" s="460" t="str">
        <f>IF(+All!$F406="Louisiana Tech",+All!N406,IF(+All!$H406="Louisiana Tech",+All!N406,0))</f>
        <v>Louisiana Tech</v>
      </c>
      <c r="O38" s="462">
        <f>IF(+All!$F406="Louisiana Tech",+All!O406,IF(+All!$H406="Louisiana Tech",+All!O406,0))</f>
        <v>41</v>
      </c>
      <c r="P38" s="462" t="str">
        <f>IF(+All!$F406="Louisiana Tech",+All!P406,IF(+All!$H406="Louisiana Tech",+All!P406,0))</f>
        <v>UTEP</v>
      </c>
      <c r="Q38" s="461">
        <f>IF(+All!$F406="Louisiana Tech",+All!Q406,IF(+All!$H406="Louisiana Tech",+All!Q406,0))</f>
        <v>31</v>
      </c>
      <c r="R38" s="460" t="str">
        <f>IF(+All!$F406="Louisiana Tech",+All!R406,IF(+All!$H406="Louisiana Tech",+All!R406,0))</f>
        <v>Louisiana Tech</v>
      </c>
      <c r="S38" s="462" t="str">
        <f>IF(+All!$F406="Louisiana Tech",+All!S406,IF(+All!$H406="Louisiana Tech",+All!S406,0))</f>
        <v>UTEP</v>
      </c>
      <c r="T38" s="460" t="str">
        <f>IF(+All!$F406="Louisiana Tech",+All!T406,IF(+All!$H406="Louisiana Tech",+All!T406,0))</f>
        <v>Louisiana Tech</v>
      </c>
      <c r="U38" s="461" t="str">
        <f>IF(+All!$F406="Louisiana Tech",+All!U406,IF(+All!$H406="Louisiana Tech",+All!U406,0))</f>
        <v>W</v>
      </c>
    </row>
    <row r="39" spans="1:21" x14ac:dyDescent="0.8">
      <c r="A39" s="46">
        <f>IF(+All!$F459="Louisiana Tech",+All!A459,IF(+All!$H459="Louisiana Tech",+All!A459,0))</f>
        <v>7</v>
      </c>
      <c r="B39" s="348" t="str">
        <f>IF(+All!$F459="Louisiana Tech",+All!B459,IF(+All!$H459="Louisiana Tech",+All!B459,0))</f>
        <v>Sat</v>
      </c>
      <c r="C39" s="48">
        <f>IF(+All!$F459="Louisiana Tech",+All!C459,IF(+All!$H459="Louisiana Tech",+All!C459,0))</f>
        <v>44849</v>
      </c>
      <c r="D39" s="490">
        <f>IF(+All!$F459="Louisiana Tech",+All!D459,IF(+All!$H459="Louisiana Tech",+All!D459,0))</f>
        <v>0.66666666666666663</v>
      </c>
      <c r="E39" s="461">
        <f>IF(+All!$F459="Louisiana Tech",+All!E459,IF(+All!$H459="Louisiana Tech",+All!E459,0))</f>
        <v>0</v>
      </c>
      <c r="F39" s="51" t="str">
        <f>IF(+All!$F459="Louisiana Tech",+All!F459,IF(+All!$H459="Louisiana Tech",+All!F459,0))</f>
        <v>Louisiana Tech</v>
      </c>
      <c r="G39" s="52" t="str">
        <f>IF(+All!$F459="Louisiana Tech",+All!G459,IF(+All!$H459="Louisiana Tech",+All!G459,0))</f>
        <v>CUSA</v>
      </c>
      <c r="H39" s="51" t="str">
        <f>IF(+All!$F459="Louisiana Tech",+All!H459,IF(+All!$H459="Louisiana Tech",+All!H459,0))</f>
        <v>North Texas</v>
      </c>
      <c r="I39" s="52" t="str">
        <f>IF(+All!$F459="Louisiana Tech",+All!I459,IF(+All!$H459="Louisiana Tech",+All!I459,0))</f>
        <v>CUSA</v>
      </c>
      <c r="J39" s="460" t="str">
        <f>IF(+All!$F459="Louisiana Tech",+All!J459,IF(+All!$H459="Louisiana Tech",+All!J459,0))</f>
        <v>North Texas</v>
      </c>
      <c r="K39" s="461" t="str">
        <f>IF(+All!$F459="Louisiana Tech",+All!K459,IF(+All!$H459="Louisiana Tech",+All!K459,0))</f>
        <v>Louisiana Tech</v>
      </c>
      <c r="L39" s="54">
        <f>IF(+All!$F459="Louisiana Tech",+All!L459,IF(+All!$H459="Louisiana Tech",+All!L459,0))</f>
        <v>6.5</v>
      </c>
      <c r="M39" s="55">
        <f>IF(+All!$F459="Louisiana Tech",+All!M459,IF(+All!$H459="Louisiana Tech",+All!M459,0))</f>
        <v>69</v>
      </c>
      <c r="N39" s="460" t="str">
        <f>IF(+All!$F459="Louisiana Tech",+All!N459,IF(+All!$H459="Louisiana Tech",+All!N459,0))</f>
        <v>North Texas</v>
      </c>
      <c r="O39" s="462">
        <f>IF(+All!$F459="Louisiana Tech",+All!O459,IF(+All!$H459="Louisiana Tech",+All!O459,0))</f>
        <v>47</v>
      </c>
      <c r="P39" s="462" t="str">
        <f>IF(+All!$F459="Louisiana Tech",+All!P459,IF(+All!$H459="Louisiana Tech",+All!P459,0))</f>
        <v>Louisiana Tech</v>
      </c>
      <c r="Q39" s="461">
        <f>IF(+All!$F459="Louisiana Tech",+All!Q459,IF(+All!$H459="Louisiana Tech",+All!Q459,0))</f>
        <v>27</v>
      </c>
      <c r="R39" s="460" t="str">
        <f>IF(+All!$F459="Louisiana Tech",+All!R459,IF(+All!$H459="Louisiana Tech",+All!R459,0))</f>
        <v>North Texas</v>
      </c>
      <c r="S39" s="462" t="str">
        <f>IF(+All!$F459="Louisiana Tech",+All!S459,IF(+All!$H459="Louisiana Tech",+All!S459,0))</f>
        <v>Louisiana Tech</v>
      </c>
      <c r="T39" s="460" t="str">
        <f>IF(+All!$F459="Louisiana Tech",+All!T459,IF(+All!$H459="Louisiana Tech",+All!T459,0))</f>
        <v>Louisiana Tech</v>
      </c>
      <c r="U39" s="461" t="str">
        <f>IF(+All!$F459="Louisiana Tech",+All!U459,IF(+All!$H459="Louisiana Tech",+All!U459,0))</f>
        <v>L</v>
      </c>
    </row>
    <row r="40" spans="1:21" x14ac:dyDescent="0.8">
      <c r="A40" s="46">
        <f>IF(+All!$F513="Louisiana Tech",+All!A513,IF(+All!$H513="Louisiana Tech",+All!A513,0))</f>
        <v>8</v>
      </c>
      <c r="B40" s="348" t="str">
        <f>IF(+All!$F513="Louisiana Tech",+All!B513,IF(+All!$H513="Louisiana Tech",+All!B513,0))</f>
        <v>Sat</v>
      </c>
      <c r="C40" s="48">
        <f>IF(+All!$F513="Louisiana Tech",+All!C513,IF(+All!$H513="Louisiana Tech",+All!C513,0))</f>
        <v>44856</v>
      </c>
      <c r="D40" s="490">
        <f>IF(+All!$F513="Louisiana Tech",+All!D513,IF(+All!$H513="Louisiana Tech",+All!D513,0))</f>
        <v>0.625</v>
      </c>
      <c r="E40" s="461">
        <f>IF(+All!$F513="Louisiana Tech",+All!E513,IF(+All!$H513="Louisiana Tech",+All!E513,0))</f>
        <v>0</v>
      </c>
      <c r="F40" s="51" t="str">
        <f>IF(+All!$F513="Louisiana Tech",+All!F513,IF(+All!$H513="Louisiana Tech",+All!F513,0))</f>
        <v>Rice</v>
      </c>
      <c r="G40" s="52" t="str">
        <f>IF(+All!$F513="Louisiana Tech",+All!G513,IF(+All!$H513="Louisiana Tech",+All!G513,0))</f>
        <v>CUSA</v>
      </c>
      <c r="H40" s="51" t="str">
        <f>IF(+All!$F513="Louisiana Tech",+All!H513,IF(+All!$H513="Louisiana Tech",+All!H513,0))</f>
        <v>Louisiana Tech</v>
      </c>
      <c r="I40" s="52" t="str">
        <f>IF(+All!$F513="Louisiana Tech",+All!I513,IF(+All!$H513="Louisiana Tech",+All!I513,0))</f>
        <v>CUSA</v>
      </c>
      <c r="J40" s="460" t="str">
        <f>IF(+All!$F513="Louisiana Tech",+All!J513,IF(+All!$H513="Louisiana Tech",+All!J513,0))</f>
        <v>Rice</v>
      </c>
      <c r="K40" s="461" t="str">
        <f>IF(+All!$F513="Louisiana Tech",+All!K513,IF(+All!$H513="Louisiana Tech",+All!K513,0))</f>
        <v>Louisiana Tech</v>
      </c>
      <c r="L40" s="54">
        <f>IF(+All!$F513="Louisiana Tech",+All!L513,IF(+All!$H513="Louisiana Tech",+All!L513,0))</f>
        <v>3.5</v>
      </c>
      <c r="M40" s="55">
        <f>IF(+All!$F513="Louisiana Tech",+All!M513,IF(+All!$H513="Louisiana Tech",+All!M513,0))</f>
        <v>57</v>
      </c>
      <c r="N40" s="460" t="str">
        <f>IF(+All!$F513="Louisiana Tech",+All!N513,IF(+All!$H513="Louisiana Tech",+All!N513,0))</f>
        <v>Louisiana Tech</v>
      </c>
      <c r="O40" s="462">
        <f>IF(+All!$F513="Louisiana Tech",+All!O513,IF(+All!$H513="Louisiana Tech",+All!O513,0))</f>
        <v>41</v>
      </c>
      <c r="P40" s="462" t="str">
        <f>IF(+All!$F513="Louisiana Tech",+All!P513,IF(+All!$H513="Louisiana Tech",+All!P513,0))</f>
        <v>Rice</v>
      </c>
      <c r="Q40" s="461">
        <f>IF(+All!$F513="Louisiana Tech",+All!Q513,IF(+All!$H513="Louisiana Tech",+All!Q513,0))</f>
        <v>42</v>
      </c>
      <c r="R40" s="460" t="str">
        <f>IF(+All!$F513="Louisiana Tech",+All!R513,IF(+All!$H513="Louisiana Tech",+All!R513,0))</f>
        <v>Louisiana Tech</v>
      </c>
      <c r="S40" s="462" t="str">
        <f>IF(+All!$F513="Louisiana Tech",+All!S513,IF(+All!$H513="Louisiana Tech",+All!S513,0))</f>
        <v>Rice</v>
      </c>
      <c r="T40" s="460" t="str">
        <f>IF(+All!$F513="Louisiana Tech",+All!T513,IF(+All!$H513="Louisiana Tech",+All!T513,0))</f>
        <v>Rice</v>
      </c>
      <c r="U40" s="461" t="str">
        <f>IF(+All!$F513="Louisiana Tech",+All!U513,IF(+All!$H513="Louisiana Tech",+All!U513,0))</f>
        <v>L</v>
      </c>
    </row>
    <row r="41" spans="1:21" x14ac:dyDescent="0.8">
      <c r="A41" s="46">
        <f>IF(+All!$F548="Louisiana Tech",+All!A548,IF(+All!$H548="Louisiana Tech",+All!A548,0))</f>
        <v>9</v>
      </c>
      <c r="B41" s="348" t="str">
        <f>IF(+All!$F548="Louisiana Tech",+All!B548,IF(+All!$H548="Louisiana Tech",+All!B548,0))</f>
        <v>Fri</v>
      </c>
      <c r="C41" s="48">
        <f>IF(+All!$F548="Louisiana Tech",+All!C548,IF(+All!$H548="Louisiana Tech",+All!C548,0))</f>
        <v>44862</v>
      </c>
      <c r="D41" s="490">
        <f>IF(+All!$F548="Louisiana Tech",+All!D548,IF(+All!$H548="Louisiana Tech",+All!D548,0))</f>
        <v>0.83333333333333337</v>
      </c>
      <c r="E41" s="461" t="str">
        <f>IF(+All!$F548="Louisiana Tech",+All!E548,IF(+All!$H548="Louisiana Tech",+All!E548,0))</f>
        <v>CBSSN</v>
      </c>
      <c r="F41" s="51" t="str">
        <f>IF(+All!$F548="Louisiana Tech",+All!F548,IF(+All!$H548="Louisiana Tech",+All!F548,0))</f>
        <v>Louisiana Tech</v>
      </c>
      <c r="G41" s="52" t="str">
        <f>IF(+All!$F548="Louisiana Tech",+All!G548,IF(+All!$H548="Louisiana Tech",+All!G548,0))</f>
        <v>CUSA</v>
      </c>
      <c r="H41" s="51" t="str">
        <f>IF(+All!$F548="Louisiana Tech",+All!H548,IF(+All!$H548="Louisiana Tech",+All!H548,0))</f>
        <v>Florida Intl</v>
      </c>
      <c r="I41" s="52" t="str">
        <f>IF(+All!$F548="Louisiana Tech",+All!I548,IF(+All!$H548="Louisiana Tech",+All!I548,0))</f>
        <v>CUSA</v>
      </c>
      <c r="J41" s="460" t="str">
        <f>IF(+All!$F548="Louisiana Tech",+All!J548,IF(+All!$H548="Louisiana Tech",+All!J548,0))</f>
        <v>Louisiana Tech</v>
      </c>
      <c r="K41" s="461" t="str">
        <f>IF(+All!$F548="Louisiana Tech",+All!K548,IF(+All!$H548="Louisiana Tech",+All!K548,0))</f>
        <v>Florida Intl</v>
      </c>
      <c r="L41" s="54">
        <f>IF(+All!$F548="Louisiana Tech",+All!L548,IF(+All!$H548="Louisiana Tech",+All!L548,0))</f>
        <v>6.5</v>
      </c>
      <c r="M41" s="55">
        <f>IF(+All!$F548="Louisiana Tech",+All!M548,IF(+All!$H548="Louisiana Tech",+All!M548,0))</f>
        <v>58</v>
      </c>
      <c r="N41" s="460" t="str">
        <f>IF(+All!$F548="Louisiana Tech",+All!N548,IF(+All!$H548="Louisiana Tech",+All!N548,0))</f>
        <v>Florida Intl</v>
      </c>
      <c r="O41" s="462">
        <f>IF(+All!$F548="Louisiana Tech",+All!O548,IF(+All!$H548="Louisiana Tech",+All!O548,0))</f>
        <v>42</v>
      </c>
      <c r="P41" s="462" t="str">
        <f>IF(+All!$F548="Louisiana Tech",+All!P548,IF(+All!$H548="Louisiana Tech",+All!P548,0))</f>
        <v>Louisiana Tech</v>
      </c>
      <c r="Q41" s="461">
        <f>IF(+All!$F548="Louisiana Tech",+All!Q548,IF(+All!$H548="Louisiana Tech",+All!Q548,0))</f>
        <v>34</v>
      </c>
      <c r="R41" s="460" t="str">
        <f>IF(+All!$F548="Louisiana Tech",+All!R548,IF(+All!$H548="Louisiana Tech",+All!R548,0))</f>
        <v>Florida Intl</v>
      </c>
      <c r="S41" s="462" t="str">
        <f>IF(+All!$F548="Louisiana Tech",+All!S548,IF(+All!$H548="Louisiana Tech",+All!S548,0))</f>
        <v>Louisiana Tech</v>
      </c>
      <c r="T41" s="460" t="str">
        <f>IF(+All!$F548="Louisiana Tech",+All!T548,IF(+All!$H548="Louisiana Tech",+All!T548,0))</f>
        <v>Louisiana Tech</v>
      </c>
      <c r="U41" s="461" t="str">
        <f>IF(+All!$F548="Louisiana Tech",+All!U548,IF(+All!$H548="Louisiana Tech",+All!U548,0))</f>
        <v>L</v>
      </c>
    </row>
    <row r="42" spans="1:21" x14ac:dyDescent="0.8">
      <c r="A42" s="46">
        <f>IF(+All!$F625="Louisiana Tech",+All!A625,IF(+All!$H625="Louisiana Tech",+All!A625,0))</f>
        <v>10</v>
      </c>
      <c r="B42" s="348" t="str">
        <f>IF(+All!$F625="Louisiana Tech",+All!B625,IF(+All!$H625="Louisiana Tech",+All!B625,0))</f>
        <v>Sat</v>
      </c>
      <c r="C42" s="48">
        <f>IF(+All!$F625="Louisiana Tech",+All!C625,IF(+All!$H625="Louisiana Tech",+All!C625,0))</f>
        <v>44870</v>
      </c>
      <c r="D42" s="490">
        <f>IF(+All!$F625="Louisiana Tech",+All!D625,IF(+All!$H625="Louisiana Tech",+All!D625,0))</f>
        <v>0.625</v>
      </c>
      <c r="E42" s="461">
        <f>IF(+All!$F625="Louisiana Tech",+All!E625,IF(+All!$H625="Louisiana Tech",+All!E625,0))</f>
        <v>0</v>
      </c>
      <c r="F42" s="51" t="str">
        <f>IF(+All!$F625="Louisiana Tech",+All!F625,IF(+All!$H625="Louisiana Tech",+All!F625,0))</f>
        <v>Middle Tenn St</v>
      </c>
      <c r="G42" s="52" t="str">
        <f>IF(+All!$F625="Louisiana Tech",+All!G625,IF(+All!$H625="Louisiana Tech",+All!G625,0))</f>
        <v>CUSA</v>
      </c>
      <c r="H42" s="51" t="str">
        <f>IF(+All!$F625="Louisiana Tech",+All!H625,IF(+All!$H625="Louisiana Tech",+All!H625,0))</f>
        <v>Louisiana Tech</v>
      </c>
      <c r="I42" s="52" t="str">
        <f>IF(+All!$F625="Louisiana Tech",+All!I625,IF(+All!$H625="Louisiana Tech",+All!I625,0))</f>
        <v>CUSA</v>
      </c>
      <c r="J42" s="460" t="str">
        <f>IF(+All!$F625="Louisiana Tech",+All!J625,IF(+All!$H625="Louisiana Tech",+All!J625,0))</f>
        <v>Middle Tenn St</v>
      </c>
      <c r="K42" s="461" t="str">
        <f>IF(+All!$F625="Louisiana Tech",+All!K625,IF(+All!$H625="Louisiana Tech",+All!K625,0))</f>
        <v>Louisiana Tech</v>
      </c>
      <c r="L42" s="54">
        <f>IF(+All!$F625="Louisiana Tech",+All!L625,IF(+All!$H625="Louisiana Tech",+All!L625,0))</f>
        <v>2.5</v>
      </c>
      <c r="M42" s="55">
        <f>IF(+All!$F625="Louisiana Tech",+All!M625,IF(+All!$H625="Louisiana Tech",+All!M625,0))</f>
        <v>63</v>
      </c>
      <c r="N42" s="460" t="str">
        <f>IF(+All!$F625="Louisiana Tech",+All!N625,IF(+All!$H625="Louisiana Tech",+All!N625,0))</f>
        <v>Louisiana Tech</v>
      </c>
      <c r="O42" s="462">
        <f>IF(+All!$F625="Louisiana Tech",+All!O625,IF(+All!$H625="Louisiana Tech",+All!O625,0))</f>
        <v>40</v>
      </c>
      <c r="P42" s="462" t="str">
        <f>IF(+All!$F625="Louisiana Tech",+All!P625,IF(+All!$H625="Louisiana Tech",+All!P625,0))</f>
        <v>Middle Tenn St</v>
      </c>
      <c r="Q42" s="461">
        <f>IF(+All!$F625="Louisiana Tech",+All!Q625,IF(+All!$H625="Louisiana Tech",+All!Q625,0))</f>
        <v>24</v>
      </c>
      <c r="R42" s="460" t="str">
        <f>IF(+All!$F625="Louisiana Tech",+All!R625,IF(+All!$H625="Louisiana Tech",+All!R625,0))</f>
        <v>Louisiana Tech</v>
      </c>
      <c r="S42" s="462" t="str">
        <f>IF(+All!$F625="Louisiana Tech",+All!S625,IF(+All!$H625="Louisiana Tech",+All!S625,0))</f>
        <v>Middle Tenn St</v>
      </c>
      <c r="T42" s="460" t="str">
        <f>IF(+All!$F625="Louisiana Tech",+All!T625,IF(+All!$H625="Louisiana Tech",+All!T625,0))</f>
        <v>Middle Tenn St</v>
      </c>
      <c r="U42" s="461" t="str">
        <f>IF(+All!$F625="Louisiana Tech",+All!U625,IF(+All!$H625="Louisiana Tech",+All!U625,0))</f>
        <v>L</v>
      </c>
    </row>
    <row r="43" spans="1:21" x14ac:dyDescent="0.8">
      <c r="A43" s="46">
        <f>IF(+All!$F690="Louisiana Tech",+All!A690,IF(+All!$H690="Louisiana Tech",+All!A690,0))</f>
        <v>11</v>
      </c>
      <c r="B43" s="348" t="str">
        <f>IF(+All!$F690="Louisiana Tech",+All!B690,IF(+All!$H690="Louisiana Tech",+All!B690,0))</f>
        <v>Sat</v>
      </c>
      <c r="C43" s="48">
        <f>IF(+All!$F690="Louisiana Tech",+All!C690,IF(+All!$H690="Louisiana Tech",+All!C690,0))</f>
        <v>44877</v>
      </c>
      <c r="D43" s="490">
        <f>IF(+All!$F690="Louisiana Tech",+All!D690,IF(+All!$H690="Louisiana Tech",+All!D690,0))</f>
        <v>0.64583333333333337</v>
      </c>
      <c r="E43" s="461">
        <f>IF(+All!$F690="Louisiana Tech",+All!E690,IF(+All!$H690="Louisiana Tech",+All!E690,0))</f>
        <v>0</v>
      </c>
      <c r="F43" s="51" t="str">
        <f>IF(+All!$F690="Louisiana Tech",+All!F690,IF(+All!$H690="Louisiana Tech",+All!F690,0))</f>
        <v>Louisiana Tech</v>
      </c>
      <c r="G43" s="52" t="str">
        <f>IF(+All!$F690="Louisiana Tech",+All!G690,IF(+All!$H690="Louisiana Tech",+All!G690,0))</f>
        <v>CUSA</v>
      </c>
      <c r="H43" s="51" t="str">
        <f>IF(+All!$F690="Louisiana Tech",+All!H690,IF(+All!$H690="Louisiana Tech",+All!H690,0))</f>
        <v>UT San Antonio</v>
      </c>
      <c r="I43" s="52" t="str">
        <f>IF(+All!$F690="Louisiana Tech",+All!I690,IF(+All!$H690="Louisiana Tech",+All!I690,0))</f>
        <v>CUSA</v>
      </c>
      <c r="J43" s="460" t="str">
        <f>IF(+All!$F690="Louisiana Tech",+All!J690,IF(+All!$H690="Louisiana Tech",+All!J690,0))</f>
        <v>UT San Antonio</v>
      </c>
      <c r="K43" s="461" t="str">
        <f>IF(+All!$F690="Louisiana Tech",+All!K690,IF(+All!$H690="Louisiana Tech",+All!K690,0))</f>
        <v>Louisiana Tech</v>
      </c>
      <c r="L43" s="54">
        <f>IF(+All!$F690="Louisiana Tech",+All!L690,IF(+All!$H690="Louisiana Tech",+All!L690,0))</f>
        <v>18</v>
      </c>
      <c r="M43" s="55">
        <f>IF(+All!$F690="Louisiana Tech",+All!M690,IF(+All!$H690="Louisiana Tech",+All!M690,0))</f>
        <v>68</v>
      </c>
      <c r="N43" s="460" t="str">
        <f>IF(+All!$F690="Louisiana Tech",+All!N690,IF(+All!$H690="Louisiana Tech",+All!N690,0))</f>
        <v>UT San Antonio</v>
      </c>
      <c r="O43" s="462">
        <f>IF(+All!$F690="Louisiana Tech",+All!O690,IF(+All!$H690="Louisiana Tech",+All!O690,0))</f>
        <v>51</v>
      </c>
      <c r="P43" s="462" t="str">
        <f>IF(+All!$F690="Louisiana Tech",+All!P690,IF(+All!$H690="Louisiana Tech",+All!P690,0))</f>
        <v>Louisiana Tech</v>
      </c>
      <c r="Q43" s="461">
        <f>IF(+All!$F690="Louisiana Tech",+All!Q690,IF(+All!$H690="Louisiana Tech",+All!Q690,0))</f>
        <v>7</v>
      </c>
      <c r="R43" s="460" t="str">
        <f>IF(+All!$F690="Louisiana Tech",+All!R690,IF(+All!$H690="Louisiana Tech",+All!R690,0))</f>
        <v>UT San Antonio</v>
      </c>
      <c r="S43" s="462" t="str">
        <f>IF(+All!$F690="Louisiana Tech",+All!S690,IF(+All!$H690="Louisiana Tech",+All!S690,0))</f>
        <v>Louisiana Tech</v>
      </c>
      <c r="T43" s="460" t="str">
        <f>IF(+All!$F690="Louisiana Tech",+All!T690,IF(+All!$H690="Louisiana Tech",+All!T690,0))</f>
        <v>UT San Antonio</v>
      </c>
      <c r="U43" s="461" t="str">
        <f>IF(+All!$F690="Louisiana Tech",+All!U690,IF(+All!$H690="Louisiana Tech",+All!U690,0))</f>
        <v>W</v>
      </c>
    </row>
    <row r="44" spans="1:21" x14ac:dyDescent="0.8">
      <c r="A44" s="46">
        <f>IF(+All!$F751="Louisiana Tech",+All!A751,IF(+All!$H751="Louisiana Tech",+All!A751,0))</f>
        <v>12</v>
      </c>
      <c r="B44" s="348" t="str">
        <f>IF(+All!$F751="Louisiana Tech",+All!B751,IF(+All!$H751="Louisiana Tech",+All!B751,0))</f>
        <v>Sat</v>
      </c>
      <c r="C44" s="48">
        <f>IF(+All!$F751="Louisiana Tech",+All!C751,IF(+All!$H751="Louisiana Tech",+All!C751,0))</f>
        <v>44884</v>
      </c>
      <c r="D44" s="490">
        <f>IF(+All!$F751="Louisiana Tech",+All!D751,IF(+All!$H751="Louisiana Tech",+All!D751,0))</f>
        <v>0.64583333333333337</v>
      </c>
      <c r="E44" s="461" t="str">
        <f>IF(+All!$F751="Louisiana Tech",+All!E751,IF(+All!$H751="Louisiana Tech",+All!E751,0))</f>
        <v>espn3</v>
      </c>
      <c r="F44" s="51" t="str">
        <f>IF(+All!$F751="Louisiana Tech",+All!F751,IF(+All!$H751="Louisiana Tech",+All!F751,0))</f>
        <v>Louisiana Tech</v>
      </c>
      <c r="G44" s="52" t="str">
        <f>IF(+All!$F751="Louisiana Tech",+All!G751,IF(+All!$H751="Louisiana Tech",+All!G751,0))</f>
        <v>CUSA</v>
      </c>
      <c r="H44" s="51" t="str">
        <f>IF(+All!$F751="Louisiana Tech",+All!H751,IF(+All!$H751="Louisiana Tech",+All!H751,0))</f>
        <v>UNC Charlotte</v>
      </c>
      <c r="I44" s="52" t="str">
        <f>IF(+All!$F751="Louisiana Tech",+All!I751,IF(+All!$H751="Louisiana Tech",+All!I751,0))</f>
        <v>CUSA</v>
      </c>
      <c r="J44" s="460" t="str">
        <f>IF(+All!$F751="Louisiana Tech",+All!J751,IF(+All!$H751="Louisiana Tech",+All!J751,0))</f>
        <v>Louisiana Tech</v>
      </c>
      <c r="K44" s="461" t="str">
        <f>IF(+All!$F751="Louisiana Tech",+All!K751,IF(+All!$H751="Louisiana Tech",+All!K751,0))</f>
        <v>UNC Charlotte</v>
      </c>
      <c r="L44" s="54">
        <f>IF(+All!$F751="Louisiana Tech",+All!L751,IF(+All!$H751="Louisiana Tech",+All!L751,0))</f>
        <v>3</v>
      </c>
      <c r="M44" s="55">
        <f>IF(+All!$F751="Louisiana Tech",+All!M751,IF(+All!$H751="Louisiana Tech",+All!M751,0))</f>
        <v>64.5</v>
      </c>
      <c r="N44" s="460" t="str">
        <f>IF(+All!$F751="Louisiana Tech",+All!N751,IF(+All!$H751="Louisiana Tech",+All!N751,0))</f>
        <v>UNC Charlotte</v>
      </c>
      <c r="O44" s="462">
        <f>IF(+All!$F751="Louisiana Tech",+All!O751,IF(+All!$H751="Louisiana Tech",+All!O751,0))</f>
        <v>26</v>
      </c>
      <c r="P44" s="462" t="str">
        <f>IF(+All!$F751="Louisiana Tech",+All!P751,IF(+All!$H751="Louisiana Tech",+All!P751,0))</f>
        <v>Louisiana Tech</v>
      </c>
      <c r="Q44" s="461">
        <f>IF(+All!$F751="Louisiana Tech",+All!Q751,IF(+All!$H751="Louisiana Tech",+All!Q751,0))</f>
        <v>21</v>
      </c>
      <c r="R44" s="460" t="str">
        <f>IF(+All!$F751="Louisiana Tech",+All!R751,IF(+All!$H751="Louisiana Tech",+All!R751,0))</f>
        <v>UNC Charlotte</v>
      </c>
      <c r="S44" s="462" t="str">
        <f>IF(+All!$F751="Louisiana Tech",+All!S751,IF(+All!$H751="Louisiana Tech",+All!S751,0))</f>
        <v>Louisiana Tech</v>
      </c>
      <c r="T44" s="460" t="str">
        <f>IF(+All!$F751="Louisiana Tech",+All!T751,IF(+All!$H751="Louisiana Tech",+All!T751,0))</f>
        <v>UNC Charlotte</v>
      </c>
      <c r="U44" s="461" t="str">
        <f>IF(+All!$F751="Louisiana Tech",+All!U751,IF(+All!$H751="Louisiana Tech",+All!U751,0))</f>
        <v>W</v>
      </c>
    </row>
    <row r="45" spans="1:21" x14ac:dyDescent="0.8">
      <c r="A45" s="46">
        <f>IF(+All!$F820="Louisiana Tech",+All!A820,IF(+All!$H820="Louisiana Tech",+All!A820,0))</f>
        <v>13</v>
      </c>
      <c r="B45" s="348" t="str">
        <f>IF(+All!$F820="Louisiana Tech",+All!B820,IF(+All!$H820="Louisiana Tech",+All!B820,0))</f>
        <v>Sat</v>
      </c>
      <c r="C45" s="48">
        <f>IF(+All!$F820="Louisiana Tech",+All!C820,IF(+All!$H820="Louisiana Tech",+All!C820,0))</f>
        <v>44891</v>
      </c>
      <c r="D45" s="490">
        <f>IF(+All!$F820="Louisiana Tech",+All!D820,IF(+All!$H820="Louisiana Tech",+All!D820,0))</f>
        <v>0.64583333333333337</v>
      </c>
      <c r="E45" s="461" t="str">
        <f>IF(+All!$F820="Louisiana Tech",+All!E820,IF(+All!$H820="Louisiana Tech",+All!E820,0))</f>
        <v>CBSSN</v>
      </c>
      <c r="F45" s="51" t="str">
        <f>IF(+All!$F820="Louisiana Tech",+All!F820,IF(+All!$H820="Louisiana Tech",+All!F820,0))</f>
        <v>UAB</v>
      </c>
      <c r="G45" s="52" t="str">
        <f>IF(+All!$F820="Louisiana Tech",+All!G820,IF(+All!$H820="Louisiana Tech",+All!G820,0))</f>
        <v>CUSA</v>
      </c>
      <c r="H45" s="51" t="str">
        <f>IF(+All!$F820="Louisiana Tech",+All!H820,IF(+All!$H820="Louisiana Tech",+All!H820,0))</f>
        <v>Louisiana Tech</v>
      </c>
      <c r="I45" s="52" t="str">
        <f>IF(+All!$F820="Louisiana Tech",+All!I820,IF(+All!$H820="Louisiana Tech",+All!I820,0))</f>
        <v>CUSA</v>
      </c>
      <c r="J45" s="460" t="str">
        <f>IF(+All!$F820="Louisiana Tech",+All!J820,IF(+All!$H820="Louisiana Tech",+All!J820,0))</f>
        <v>UAB</v>
      </c>
      <c r="K45" s="461" t="str">
        <f>IF(+All!$F820="Louisiana Tech",+All!K820,IF(+All!$H820="Louisiana Tech",+All!K820,0))</f>
        <v>Louisiana Tech</v>
      </c>
      <c r="L45" s="54">
        <f>IF(+All!$F820="Louisiana Tech",+All!L820,IF(+All!$H820="Louisiana Tech",+All!L820,0))</f>
        <v>17.5</v>
      </c>
      <c r="M45" s="55">
        <f>IF(+All!$F820="Louisiana Tech",+All!M820,IF(+All!$H820="Louisiana Tech",+All!M820,0))</f>
        <v>57.5</v>
      </c>
      <c r="N45" s="460" t="str">
        <f>IF(+All!$F820="Louisiana Tech",+All!N820,IF(+All!$H820="Louisiana Tech",+All!N820,0))</f>
        <v>UAB</v>
      </c>
      <c r="O45" s="462">
        <f>IF(+All!$F820="Louisiana Tech",+All!O820,IF(+All!$H820="Louisiana Tech",+All!O820,0))</f>
        <v>37</v>
      </c>
      <c r="P45" s="462" t="str">
        <f>IF(+All!$F820="Louisiana Tech",+All!P820,IF(+All!$H820="Louisiana Tech",+All!P820,0))</f>
        <v>Louisiana Tech</v>
      </c>
      <c r="Q45" s="461">
        <f>IF(+All!$F820="Louisiana Tech",+All!Q820,IF(+All!$H820="Louisiana Tech",+All!Q820,0))</f>
        <v>27</v>
      </c>
      <c r="R45" s="460" t="str">
        <f>IF(+All!$F820="Louisiana Tech",+All!R820,IF(+All!$H820="Louisiana Tech",+All!R820,0))</f>
        <v>Louisiana Tech</v>
      </c>
      <c r="S45" s="462" t="str">
        <f>IF(+All!$F820="Louisiana Tech",+All!S820,IF(+All!$H820="Louisiana Tech",+All!S820,0))</f>
        <v>UAB</v>
      </c>
      <c r="T45" s="460" t="str">
        <f>IF(+All!$F820="Louisiana Tech",+All!T820,IF(+All!$H820="Louisiana Tech",+All!T820,0))</f>
        <v>Louisiana Tech</v>
      </c>
      <c r="U45" s="461" t="str">
        <f>IF(+All!$F820="Louisiana Tech",+All!U820,IF(+All!$H820="Louisiana Tech",+All!U820,0))</f>
        <v>W</v>
      </c>
    </row>
    <row r="46" spans="1:21" x14ac:dyDescent="0.8">
      <c r="B46" s="46"/>
      <c r="C46" s="62"/>
      <c r="D46" s="49"/>
      <c r="E46" s="461"/>
      <c r="F46" s="897" t="str">
        <f>F48</f>
        <v>Middle Tenn St</v>
      </c>
      <c r="G46" s="901"/>
      <c r="H46" s="901"/>
      <c r="I46" s="902"/>
      <c r="J46" s="460"/>
      <c r="K46" s="461"/>
      <c r="L46" s="54"/>
      <c r="M46" s="55"/>
      <c r="N46" s="460"/>
      <c r="O46" s="462"/>
      <c r="P46" s="462"/>
      <c r="Q46" s="461"/>
      <c r="R46" s="460"/>
      <c r="S46" s="462"/>
      <c r="T46" s="460"/>
      <c r="U46" s="461"/>
    </row>
    <row r="47" spans="1:21" x14ac:dyDescent="0.8">
      <c r="A47" s="46">
        <f>IF(+All!$F70="Middle Tenn St",+All!A70,IF(+All!$H70="Middle Tenn St",+All!A70,0))</f>
        <v>1</v>
      </c>
      <c r="B47" s="46" t="str">
        <f>IF(+All!$F70="Middle Tenn St",+All!B70,IF(+All!$H70="Middle Tenn St",+All!B70,0))</f>
        <v>Sat</v>
      </c>
      <c r="C47" s="62">
        <f>IF(+All!$F70="Middle Tenn St",+All!C70,IF(+All!$H70="Middle Tenn St",+All!C70,0))</f>
        <v>44807</v>
      </c>
      <c r="D47" s="490">
        <f>IF(+All!$F70="Middle Tenn St",+All!D70,IF(+All!$H70="Middle Tenn St",+All!D70,0))</f>
        <v>0.75</v>
      </c>
      <c r="E47" s="461">
        <f>IF(+All!$F70="Middle Tenn St",+All!E70,IF(+All!$H70="Middle Tenn St",+All!E70,0))</f>
        <v>0</v>
      </c>
      <c r="F47" s="51" t="str">
        <f>IF(+All!$F70="Middle Tenn St",+All!F70,IF(+All!$H70="Middle Tenn St",+All!F70,0))</f>
        <v>Middle Tenn St</v>
      </c>
      <c r="G47" s="63" t="str">
        <f>IF(+All!$F70="Middle Tenn St",+All!G70,IF(+All!$H70="Middle Tenn St",+All!G70,0))</f>
        <v>CUSA</v>
      </c>
      <c r="H47" s="63" t="str">
        <f>IF(+All!$F70="Middle Tenn St",+All!H70,IF(+All!$H70="Middle Tenn St",+All!H70,0))</f>
        <v>James Madison</v>
      </c>
      <c r="I47" s="52" t="str">
        <f>IF(+All!$F70="Middle Tenn St",+All!I70,IF(+All!$H70="Middle Tenn St",+All!I70,0))</f>
        <v>SB</v>
      </c>
      <c r="J47" s="460" t="str">
        <f>IF(+All!$F70="Middle Tenn St",+All!J70,IF(+All!$H70="Middle Tenn St",+All!J70,0))</f>
        <v>James Madison</v>
      </c>
      <c r="K47" s="461" t="str">
        <f>IF(+All!$F70="Middle Tenn St",+All!K70,IF(+All!$H70="Middle Tenn St",+All!K70,0))</f>
        <v>Middle Tenn St</v>
      </c>
      <c r="L47" s="54">
        <f>IF(+All!$F70="Middle Tenn St",+All!L70,IF(+All!$H70="Middle Tenn St",+All!L70,0))</f>
        <v>5.5</v>
      </c>
      <c r="M47" s="55">
        <f>IF(+All!$F70="Middle Tenn St",+All!M70,IF(+All!$H70="Middle Tenn St",+All!M70,0))</f>
        <v>58</v>
      </c>
      <c r="N47" s="460" t="str">
        <f>IF(+All!$F70="Middle Tenn St",+All!N70,IF(+All!$H70="Middle Tenn St",+All!N70,0))</f>
        <v>James Madison</v>
      </c>
      <c r="O47" s="462">
        <f>IF(+All!$F70="Middle Tenn St",+All!O70,IF(+All!$H70="Middle Tenn St",+All!O70,0))</f>
        <v>44</v>
      </c>
      <c r="P47" s="462" t="str">
        <f>IF(+All!$F70="Middle Tenn St",+All!P70,IF(+All!$H70="Middle Tenn St",+All!P70,0))</f>
        <v>Middle Tenn St</v>
      </c>
      <c r="Q47" s="461">
        <f>IF(+All!$F70="Middle Tenn St",+All!Q70,IF(+All!$H70="Middle Tenn St",+All!Q70,0))</f>
        <v>7</v>
      </c>
      <c r="R47" s="460" t="str">
        <f>IF(+All!$F70="Middle Tenn St",+All!R70,IF(+All!$H70="Middle Tenn St",+All!R70,0))</f>
        <v>James Madison</v>
      </c>
      <c r="S47" s="462" t="str">
        <f>IF(+All!$F70="Middle Tenn St",+All!S70,IF(+All!$H70="Middle Tenn St",+All!S70,0))</f>
        <v>Middle Tenn St</v>
      </c>
      <c r="T47" s="460" t="str">
        <f>IF(+All!$F70="Middle Tenn St",+All!T70,IF(+All!$H70="Middle Tenn St",+All!T70,0))</f>
        <v>James Madison</v>
      </c>
      <c r="U47" s="461" t="str">
        <f>IF(+All!$F70="Middle Tenn St",+All!U70,IF(+All!$H70="Middle Tenn St",+All!U70,0))</f>
        <v>W</v>
      </c>
    </row>
    <row r="48" spans="1:21" x14ac:dyDescent="0.8">
      <c r="A48" s="46">
        <f>IF(+All!$F152="Middle Tenn St",+All!A152,IF(+All!$H152="Middle Tenn St",+All!A152,0))</f>
        <v>2</v>
      </c>
      <c r="B48" s="46" t="str">
        <f>IF(+All!$F152="Middle Tenn St",+All!B152,IF(+All!$H152="Middle Tenn St",+All!B152,0))</f>
        <v>Sat</v>
      </c>
      <c r="C48" s="62">
        <f>IF(+All!$F152="Middle Tenn St",+All!C152,IF(+All!$H152="Middle Tenn St",+All!C152,0))</f>
        <v>44814</v>
      </c>
      <c r="D48" s="490">
        <f>IF(+All!$F152="Middle Tenn St",+All!D152,IF(+All!$H152="Middle Tenn St",+All!D152,0))</f>
        <v>0.66666666666666663</v>
      </c>
      <c r="E48" s="461">
        <f>IF(+All!$F152="Middle Tenn St",+All!E152,IF(+All!$H152="Middle Tenn St",+All!E152,0))</f>
        <v>0</v>
      </c>
      <c r="F48" s="51" t="str">
        <f>IF(+All!$F152="Middle Tenn St",+All!F152,IF(+All!$H152="Middle Tenn St",+All!F152,0))</f>
        <v>Middle Tenn St</v>
      </c>
      <c r="G48" s="63" t="str">
        <f>IF(+All!$F152="Middle Tenn St",+All!G152,IF(+All!$H152="Middle Tenn St",+All!G152,0))</f>
        <v>CUSA</v>
      </c>
      <c r="H48" s="63" t="str">
        <f>IF(+All!$F152="Middle Tenn St",+All!H152,IF(+All!$H152="Middle Tenn St",+All!H152,0))</f>
        <v>Colorado State</v>
      </c>
      <c r="I48" s="52" t="str">
        <f>IF(+All!$F152="Middle Tenn St",+All!I152,IF(+All!$H152="Middle Tenn St",+All!I152,0))</f>
        <v>MWC</v>
      </c>
      <c r="J48" s="460" t="str">
        <f>IF(+All!$F152="Middle Tenn St",+All!J152,IF(+All!$H152="Middle Tenn St",+All!J152,0))</f>
        <v>Colorado State</v>
      </c>
      <c r="K48" s="461" t="str">
        <f>IF(+All!$F152="Middle Tenn St",+All!K152,IF(+All!$H152="Middle Tenn St",+All!K152,0))</f>
        <v>Middle Tenn St</v>
      </c>
      <c r="L48" s="54">
        <f>IF(+All!$F152="Middle Tenn St",+All!L152,IF(+All!$H152="Middle Tenn St",+All!L152,0))</f>
        <v>9</v>
      </c>
      <c r="M48" s="55">
        <f>IF(+All!$F152="Middle Tenn St",+All!M152,IF(+All!$H152="Middle Tenn St",+All!M152,0))</f>
        <v>58.5</v>
      </c>
      <c r="N48" s="460" t="str">
        <f>IF(+All!$F152="Middle Tenn St",+All!N152,IF(+All!$H152="Middle Tenn St",+All!N152,0))</f>
        <v>Middle Tenn St</v>
      </c>
      <c r="O48" s="462">
        <f>IF(+All!$F152="Middle Tenn St",+All!O152,IF(+All!$H152="Middle Tenn St",+All!O152,0))</f>
        <v>34</v>
      </c>
      <c r="P48" s="462" t="str">
        <f>IF(+All!$F152="Middle Tenn St",+All!P152,IF(+All!$H152="Middle Tenn St",+All!P152,0))</f>
        <v>Colorado State</v>
      </c>
      <c r="Q48" s="461">
        <f>IF(+All!$F152="Middle Tenn St",+All!Q152,IF(+All!$H152="Middle Tenn St",+All!Q152,0))</f>
        <v>19</v>
      </c>
      <c r="R48" s="460" t="str">
        <f>IF(+All!$F152="Middle Tenn St",+All!R152,IF(+All!$H152="Middle Tenn St",+All!R152,0))</f>
        <v>Middle Tenn St</v>
      </c>
      <c r="S48" s="462" t="str">
        <f>IF(+All!$F152="Middle Tenn St",+All!S152,IF(+All!$H152="Middle Tenn St",+All!S152,0))</f>
        <v>Colorado State</v>
      </c>
      <c r="T48" s="460" t="str">
        <f>IF(+All!$F152="Middle Tenn St",+All!T152,IF(+All!$H152="Middle Tenn St",+All!T152,0))</f>
        <v>Middle Tenn St</v>
      </c>
      <c r="U48" s="461" t="str">
        <f>IF(+All!$F152="Middle Tenn St",+All!U152,IF(+All!$H152="Middle Tenn St",+All!U152,0))</f>
        <v>W</v>
      </c>
    </row>
    <row r="49" spans="1:21" x14ac:dyDescent="0.8">
      <c r="A49" s="46">
        <f>IF(+All!$F213="Middle Tenn St",+All!A213,IF(+All!$H213="Middle Tenn St",+All!A213,0))</f>
        <v>3</v>
      </c>
      <c r="B49" s="46" t="str">
        <f>IF(+All!$F213="Middle Tenn St",+All!B213,IF(+All!$H213="Middle Tenn St",+All!B213,0))</f>
        <v>Sat</v>
      </c>
      <c r="C49" s="62">
        <f>IF(+All!$F213="Middle Tenn St",+All!C213,IF(+All!$H213="Middle Tenn St",+All!C213,0))</f>
        <v>44821</v>
      </c>
      <c r="D49" s="490">
        <f>IF(+All!$F213="Middle Tenn St",+All!D213,IF(+All!$H213="Middle Tenn St",+All!D213,0))</f>
        <v>0.79166666666666663</v>
      </c>
      <c r="E49" s="461">
        <f>IF(+All!$F213="Middle Tenn St",+All!E213,IF(+All!$H213="Middle Tenn St",+All!E213,0))</f>
        <v>0</v>
      </c>
      <c r="F49" s="51" t="str">
        <f>IF(+All!$F213="Middle Tenn St",+All!F213,IF(+All!$H213="Middle Tenn St",+All!F213,0))</f>
        <v>1AA Tennessee State</v>
      </c>
      <c r="G49" s="63" t="str">
        <f>IF(+All!$F213="Middle Tenn St",+All!G213,IF(+All!$H213="Middle Tenn St",+All!G213,0))</f>
        <v>1AA</v>
      </c>
      <c r="H49" s="63" t="str">
        <f>IF(+All!$F213="Middle Tenn St",+All!H213,IF(+All!$H213="Middle Tenn St",+All!H213,0))</f>
        <v>Middle Tenn St</v>
      </c>
      <c r="I49" s="52" t="str">
        <f>IF(+All!$F213="Middle Tenn St",+All!I213,IF(+All!$H213="Middle Tenn St",+All!I213,0))</f>
        <v>CUSA</v>
      </c>
      <c r="J49" s="460">
        <f>IF(+All!$F213="Middle Tenn St",+All!J213,IF(+All!$H213="Middle Tenn St",+All!J213,0))</f>
        <v>0</v>
      </c>
      <c r="K49" s="461">
        <f>IF(+All!$F213="Middle Tenn St",+All!K213,IF(+All!$H213="Middle Tenn St",+All!K213,0))</f>
        <v>0</v>
      </c>
      <c r="L49" s="54">
        <f>IF(+All!$F213="Middle Tenn St",+All!L213,IF(+All!$H213="Middle Tenn St",+All!L213,0))</f>
        <v>0</v>
      </c>
      <c r="M49" s="55">
        <f>IF(+All!$F213="Middle Tenn St",+All!M213,IF(+All!$H213="Middle Tenn St",+All!M213,0))</f>
        <v>0</v>
      </c>
      <c r="N49" s="460" t="str">
        <f>IF(+All!$F213="Middle Tenn St",+All!N213,IF(+All!$H213="Middle Tenn St",+All!N213,0))</f>
        <v>Middle Tenn St</v>
      </c>
      <c r="O49" s="462">
        <f>IF(+All!$F213="Middle Tenn St",+All!O213,IF(+All!$H213="Middle Tenn St",+All!O213,0))</f>
        <v>49</v>
      </c>
      <c r="P49" s="462" t="str">
        <f>IF(+All!$F213="Middle Tenn St",+All!P213,IF(+All!$H213="Middle Tenn St",+All!P213,0))</f>
        <v>1AA Tennessee State</v>
      </c>
      <c r="Q49" s="461">
        <f>IF(+All!$F213="Middle Tenn St",+All!Q213,IF(+All!$H213="Middle Tenn St",+All!Q213,0))</f>
        <v>6</v>
      </c>
      <c r="R49" s="460">
        <f>IF(+All!$F213="Middle Tenn St",+All!R213,IF(+All!$H213="Middle Tenn St",+All!R213,0))</f>
        <v>0</v>
      </c>
      <c r="S49" s="462">
        <f>IF(+All!$F213="Middle Tenn St",+All!S213,IF(+All!$H213="Middle Tenn St",+All!S213,0))</f>
        <v>0</v>
      </c>
      <c r="T49" s="460">
        <f>IF(+All!$F213="Middle Tenn St",+All!T213,IF(+All!$H213="Middle Tenn St",+All!T213,0))</f>
        <v>0</v>
      </c>
      <c r="U49" s="461">
        <f>IF(+All!$F213="Middle Tenn St",+All!U213,IF(+All!$H213="Middle Tenn St",+All!U213,0))</f>
        <v>0</v>
      </c>
    </row>
    <row r="50" spans="1:21" x14ac:dyDescent="0.8">
      <c r="A50" s="46">
        <f>IF(+All!$F268="Middle Tenn St",+All!A268,IF(+All!$H268="Middle Tenn St",+All!A268,0))</f>
        <v>4</v>
      </c>
      <c r="B50" s="46" t="str">
        <f>IF(+All!$F268="Middle Tenn St",+All!B268,IF(+All!$H268="Middle Tenn St",+All!B268,0))</f>
        <v>Sat</v>
      </c>
      <c r="C50" s="62">
        <f>IF(+All!$F268="Middle Tenn St",+All!C268,IF(+All!$H268="Middle Tenn St",+All!C268,0))</f>
        <v>44828</v>
      </c>
      <c r="D50" s="490">
        <f>IF(+All!$F268="Middle Tenn St",+All!D268,IF(+All!$H268="Middle Tenn St",+All!D268,0))</f>
        <v>0.64583333333333337</v>
      </c>
      <c r="E50" s="461" t="str">
        <f>IF(+All!$F268="Middle Tenn St",+All!E268,IF(+All!$H268="Middle Tenn St",+All!E268,0))</f>
        <v>ACC</v>
      </c>
      <c r="F50" s="51" t="str">
        <f>IF(+All!$F268="Middle Tenn St",+All!F268,IF(+All!$H268="Middle Tenn St",+All!F268,0))</f>
        <v>Middle Tenn St</v>
      </c>
      <c r="G50" s="63" t="str">
        <f>IF(+All!$F268="Middle Tenn St",+All!G268,IF(+All!$H268="Middle Tenn St",+All!G268,0))</f>
        <v>CUSA</v>
      </c>
      <c r="H50" s="63" t="str">
        <f>IF(+All!$F268="Middle Tenn St",+All!H268,IF(+All!$H268="Middle Tenn St",+All!H268,0))</f>
        <v>Miami (FL)</v>
      </c>
      <c r="I50" s="52" t="str">
        <f>IF(+All!$F268="Middle Tenn St",+All!I268,IF(+All!$H268="Middle Tenn St",+All!I268,0))</f>
        <v>ACC</v>
      </c>
      <c r="J50" s="460" t="str">
        <f>IF(+All!$F268="Middle Tenn St",+All!J268,IF(+All!$H268="Middle Tenn St",+All!J268,0))</f>
        <v>Miami (FL)</v>
      </c>
      <c r="K50" s="461" t="str">
        <f>IF(+All!$F268="Middle Tenn St",+All!K268,IF(+All!$H268="Middle Tenn St",+All!K268,0))</f>
        <v>Middle Tenn St</v>
      </c>
      <c r="L50" s="54">
        <f>IF(+All!$F268="Middle Tenn St",+All!L268,IF(+All!$H268="Middle Tenn St",+All!L268,0))</f>
        <v>26.5</v>
      </c>
      <c r="M50" s="55">
        <f>IF(+All!$F268="Middle Tenn St",+All!M268,IF(+All!$H268="Middle Tenn St",+All!M268,0))</f>
        <v>52.5</v>
      </c>
      <c r="N50" s="460" t="str">
        <f>IF(+All!$F268="Middle Tenn St",+All!N268,IF(+All!$H268="Middle Tenn St",+All!N268,0))</f>
        <v>Middle Tenn St</v>
      </c>
      <c r="O50" s="462">
        <f>IF(+All!$F268="Middle Tenn St",+All!O268,IF(+All!$H268="Middle Tenn St",+All!O268,0))</f>
        <v>45</v>
      </c>
      <c r="P50" s="462" t="str">
        <f>IF(+All!$F268="Middle Tenn St",+All!P268,IF(+All!$H268="Middle Tenn St",+All!P268,0))</f>
        <v>Miami (FL)</v>
      </c>
      <c r="Q50" s="461">
        <f>IF(+All!$F268="Middle Tenn St",+All!Q268,IF(+All!$H268="Middle Tenn St",+All!Q268,0))</f>
        <v>31</v>
      </c>
      <c r="R50" s="460" t="str">
        <f>IF(+All!$F268="Middle Tenn St",+All!R268,IF(+All!$H268="Middle Tenn St",+All!R268,0))</f>
        <v>Middle Tenn St</v>
      </c>
      <c r="S50" s="462" t="str">
        <f>IF(+All!$F268="Middle Tenn St",+All!S268,IF(+All!$H268="Middle Tenn St",+All!S268,0))</f>
        <v>Miami (FL)</v>
      </c>
      <c r="T50" s="460" t="str">
        <f>IF(+All!$F268="Middle Tenn St",+All!T268,IF(+All!$H268="Middle Tenn St",+All!T268,0))</f>
        <v>Middle Tenn St</v>
      </c>
      <c r="U50" s="461" t="str">
        <f>IF(+All!$F268="Middle Tenn St",+All!U268,IF(+All!$H268="Middle Tenn St",+All!U268,0))</f>
        <v>W</v>
      </c>
    </row>
    <row r="51" spans="1:21" x14ac:dyDescent="0.8">
      <c r="A51" s="46">
        <f>IF(+All!$F320="Middle Tenn St",+All!A320,IF(+All!$H320="Middle Tenn St",+All!A320,0))</f>
        <v>5</v>
      </c>
      <c r="B51" s="46" t="str">
        <f>IF(+All!$F320="Middle Tenn St",+All!B320,IF(+All!$H320="Middle Tenn St",+All!B320,0))</f>
        <v>Fri</v>
      </c>
      <c r="C51" s="62">
        <f>IF(+All!$F320="Middle Tenn St",+All!C320,IF(+All!$H320="Middle Tenn St",+All!C320,0))</f>
        <v>44834</v>
      </c>
      <c r="D51" s="490">
        <f>IF(+All!$F320="Middle Tenn St",+All!D320,IF(+All!$H320="Middle Tenn St",+All!D320,0))</f>
        <v>0.8125</v>
      </c>
      <c r="E51" s="461" t="str">
        <f>IF(+All!$F320="Middle Tenn St",+All!E320,IF(+All!$H320="Middle Tenn St",+All!E320,0))</f>
        <v>CBSSN</v>
      </c>
      <c r="F51" s="51" t="str">
        <f>IF(+All!$F320="Middle Tenn St",+All!F320,IF(+All!$H320="Middle Tenn St",+All!F320,0))</f>
        <v>UT San Antonio</v>
      </c>
      <c r="G51" s="63" t="str">
        <f>IF(+All!$F320="Middle Tenn St",+All!G320,IF(+All!$H320="Middle Tenn St",+All!G320,0))</f>
        <v>CUSA</v>
      </c>
      <c r="H51" s="63" t="str">
        <f>IF(+All!$F320="Middle Tenn St",+All!H320,IF(+All!$H320="Middle Tenn St",+All!H320,0))</f>
        <v>Middle Tenn St</v>
      </c>
      <c r="I51" s="52" t="str">
        <f>IF(+All!$F320="Middle Tenn St",+All!I320,IF(+All!$H320="Middle Tenn St",+All!I320,0))</f>
        <v>CUSA</v>
      </c>
      <c r="J51" s="460" t="str">
        <f>IF(+All!$F320="Middle Tenn St",+All!J320,IF(+All!$H320="Middle Tenn St",+All!J320,0))</f>
        <v>UT San Antonio</v>
      </c>
      <c r="K51" s="461" t="str">
        <f>IF(+All!$F320="Middle Tenn St",+All!K320,IF(+All!$H320="Middle Tenn St",+All!K320,0))</f>
        <v>Middle Tenn St</v>
      </c>
      <c r="L51" s="54">
        <f>IF(+All!$F320="Middle Tenn St",+All!L320,IF(+All!$H320="Middle Tenn St",+All!L320,0))</f>
        <v>4</v>
      </c>
      <c r="M51" s="55">
        <f>IF(+All!$F320="Middle Tenn St",+All!M320,IF(+All!$H320="Middle Tenn St",+All!M320,0))</f>
        <v>62.5</v>
      </c>
      <c r="N51" s="460" t="str">
        <f>IF(+All!$F320="Middle Tenn St",+All!N320,IF(+All!$H320="Middle Tenn St",+All!N320,0))</f>
        <v>UT San Antonio</v>
      </c>
      <c r="O51" s="462">
        <f>IF(+All!$F320="Middle Tenn St",+All!O320,IF(+All!$H320="Middle Tenn St",+All!O320,0))</f>
        <v>45</v>
      </c>
      <c r="P51" s="462" t="str">
        <f>IF(+All!$F320="Middle Tenn St",+All!P320,IF(+All!$H320="Middle Tenn St",+All!P320,0))</f>
        <v>Middle Tenn St</v>
      </c>
      <c r="Q51" s="461">
        <f>IF(+All!$F320="Middle Tenn St",+All!Q320,IF(+All!$H320="Middle Tenn St",+All!Q320,0))</f>
        <v>30</v>
      </c>
      <c r="R51" s="460" t="str">
        <f>IF(+All!$F320="Middle Tenn St",+All!R320,IF(+All!$H320="Middle Tenn St",+All!R320,0))</f>
        <v>UT San Antonio</v>
      </c>
      <c r="S51" s="462" t="str">
        <f>IF(+All!$F320="Middle Tenn St",+All!S320,IF(+All!$H320="Middle Tenn St",+All!S320,0))</f>
        <v>Middle Tenn St</v>
      </c>
      <c r="T51" s="460" t="str">
        <f>IF(+All!$F320="Middle Tenn St",+All!T320,IF(+All!$H320="Middle Tenn St",+All!T320,0))</f>
        <v>UT San Antonio</v>
      </c>
      <c r="U51" s="461" t="str">
        <f>IF(+All!$F320="Middle Tenn St",+All!U320,IF(+All!$H320="Middle Tenn St",+All!U320,0))</f>
        <v>W</v>
      </c>
    </row>
    <row r="52" spans="1:21" x14ac:dyDescent="0.8">
      <c r="A52" s="46">
        <f>IF(+All!$F407="Middle Tenn St",+All!A407,IF(+All!$H407="Middle Tenn St",+All!A407,0))</f>
        <v>6</v>
      </c>
      <c r="B52" s="46" t="str">
        <f>IF(+All!$F407="Middle Tenn St",+All!B407,IF(+All!$H407="Middle Tenn St",+All!B407,0))</f>
        <v>Sat</v>
      </c>
      <c r="C52" s="62">
        <f>IF(+All!$F407="Middle Tenn St",+All!C407,IF(+All!$H407="Middle Tenn St",+All!C407,0))</f>
        <v>44842</v>
      </c>
      <c r="D52" s="490">
        <f>IF(+All!$F407="Middle Tenn St",+All!D407,IF(+All!$H407="Middle Tenn St",+All!D407,0))</f>
        <v>0.64583333333333337</v>
      </c>
      <c r="E52" s="461">
        <f>IF(+All!$F407="Middle Tenn St",+All!E407,IF(+All!$H407="Middle Tenn St",+All!E407,0))</f>
        <v>0</v>
      </c>
      <c r="F52" s="51" t="str">
        <f>IF(+All!$F407="Middle Tenn St",+All!F407,IF(+All!$H407="Middle Tenn St",+All!F407,0))</f>
        <v>Middle Tenn St</v>
      </c>
      <c r="G52" s="63" t="str">
        <f>IF(+All!$F407="Middle Tenn St",+All!G407,IF(+All!$H407="Middle Tenn St",+All!G407,0))</f>
        <v>CUSA</v>
      </c>
      <c r="H52" s="63" t="str">
        <f>IF(+All!$F407="Middle Tenn St",+All!H407,IF(+All!$H407="Middle Tenn St",+All!H407,0))</f>
        <v>UAB</v>
      </c>
      <c r="I52" s="52" t="str">
        <f>IF(+All!$F407="Middle Tenn St",+All!I407,IF(+All!$H407="Middle Tenn St",+All!I407,0))</f>
        <v>CUSA</v>
      </c>
      <c r="J52" s="460" t="str">
        <f>IF(+All!$F407="Middle Tenn St",+All!J407,IF(+All!$H407="Middle Tenn St",+All!J407,0))</f>
        <v>UAB</v>
      </c>
      <c r="K52" s="461" t="str">
        <f>IF(+All!$F407="Middle Tenn St",+All!K407,IF(+All!$H407="Middle Tenn St",+All!K407,0))</f>
        <v>Middle Tenn St</v>
      </c>
      <c r="L52" s="54">
        <f>IF(+All!$F407="Middle Tenn St",+All!L407,IF(+All!$H407="Middle Tenn St",+All!L407,0))</f>
        <v>9.5</v>
      </c>
      <c r="M52" s="55">
        <f>IF(+All!$F407="Middle Tenn St",+All!M407,IF(+All!$H407="Middle Tenn St",+All!M407,0))</f>
        <v>52.5</v>
      </c>
      <c r="N52" s="460" t="str">
        <f>IF(+All!$F407="Middle Tenn St",+All!N407,IF(+All!$H407="Middle Tenn St",+All!N407,0))</f>
        <v>UAB</v>
      </c>
      <c r="O52" s="462">
        <f>IF(+All!$F407="Middle Tenn St",+All!O407,IF(+All!$H407="Middle Tenn St",+All!O407,0))</f>
        <v>41</v>
      </c>
      <c r="P52" s="462" t="str">
        <f>IF(+All!$F407="Middle Tenn St",+All!P407,IF(+All!$H407="Middle Tenn St",+All!P407,0))</f>
        <v>Middle Tenn St</v>
      </c>
      <c r="Q52" s="461">
        <f>IF(+All!$F407="Middle Tenn St",+All!Q407,IF(+All!$H407="Middle Tenn St",+All!Q407,0))</f>
        <v>14</v>
      </c>
      <c r="R52" s="460" t="str">
        <f>IF(+All!$F407="Middle Tenn St",+All!R407,IF(+All!$H407="Middle Tenn St",+All!R407,0))</f>
        <v>UAB</v>
      </c>
      <c r="S52" s="462" t="str">
        <f>IF(+All!$F407="Middle Tenn St",+All!S407,IF(+All!$H407="Middle Tenn St",+All!S407,0))</f>
        <v>Middle Tenn St</v>
      </c>
      <c r="T52" s="460" t="str">
        <f>IF(+All!$F407="Middle Tenn St",+All!T407,IF(+All!$H407="Middle Tenn St",+All!T407,0))</f>
        <v>Middle Tenn St</v>
      </c>
      <c r="U52" s="461" t="str">
        <f>IF(+All!$F407="Middle Tenn St",+All!U407,IF(+All!$H407="Middle Tenn St",+All!U407,0))</f>
        <v>L</v>
      </c>
    </row>
    <row r="53" spans="1:21" x14ac:dyDescent="0.8">
      <c r="A53" s="46">
        <f>IF(+All!$F458="Middle Tenn St",+All!A458,IF(+All!$H458="Middle Tenn St",+All!A458,0))</f>
        <v>7</v>
      </c>
      <c r="B53" s="46" t="str">
        <f>IF(+All!$F458="Middle Tenn St",+All!B458,IF(+All!$H458="Middle Tenn St",+All!B458,0))</f>
        <v>Sat</v>
      </c>
      <c r="C53" s="62">
        <f>IF(+All!$F458="Middle Tenn St",+All!C458,IF(+All!$H458="Middle Tenn St",+All!C458,0))</f>
        <v>44849</v>
      </c>
      <c r="D53" s="490">
        <f>IF(+All!$F458="Middle Tenn St",+All!D458,IF(+All!$H458="Middle Tenn St",+All!D458,0))</f>
        <v>0.64583333333333337</v>
      </c>
      <c r="E53" s="461">
        <f>IF(+All!$F458="Middle Tenn St",+All!E458,IF(+All!$H458="Middle Tenn St",+All!E458,0))</f>
        <v>0</v>
      </c>
      <c r="F53" s="51" t="str">
        <f>IF(+All!$F458="Middle Tenn St",+All!F458,IF(+All!$H458="Middle Tenn St",+All!F458,0))</f>
        <v>Western Kentucky</v>
      </c>
      <c r="G53" s="63" t="str">
        <f>IF(+All!$F458="Middle Tenn St",+All!G458,IF(+All!$H458="Middle Tenn St",+All!G458,0))</f>
        <v>CUSA</v>
      </c>
      <c r="H53" s="63" t="str">
        <f>IF(+All!$F458="Middle Tenn St",+All!H458,IF(+All!$H458="Middle Tenn St",+All!H458,0))</f>
        <v>Middle Tenn St</v>
      </c>
      <c r="I53" s="52" t="str">
        <f>IF(+All!$F458="Middle Tenn St",+All!I458,IF(+All!$H458="Middle Tenn St",+All!I458,0))</f>
        <v>CUSA</v>
      </c>
      <c r="J53" s="460" t="str">
        <f>IF(+All!$F458="Middle Tenn St",+All!J458,IF(+All!$H458="Middle Tenn St",+All!J458,0))</f>
        <v>Western Kentucky</v>
      </c>
      <c r="K53" s="461" t="str">
        <f>IF(+All!$F458="Middle Tenn St",+All!K458,IF(+All!$H458="Middle Tenn St",+All!K458,0))</f>
        <v>Middle Tenn St</v>
      </c>
      <c r="L53" s="54">
        <f>IF(+All!$F458="Middle Tenn St",+All!L458,IF(+All!$H458="Middle Tenn St",+All!L458,0))</f>
        <v>7.5</v>
      </c>
      <c r="M53" s="55">
        <f>IF(+All!$F458="Middle Tenn St",+All!M458,IF(+All!$H458="Middle Tenn St",+All!M458,0))</f>
        <v>67</v>
      </c>
      <c r="N53" s="460" t="str">
        <f>IF(+All!$F458="Middle Tenn St",+All!N458,IF(+All!$H458="Middle Tenn St",+All!N458,0))</f>
        <v>Western Kentucky</v>
      </c>
      <c r="O53" s="462">
        <f>IF(+All!$F458="Middle Tenn St",+All!O458,IF(+All!$H458="Middle Tenn St",+All!O458,0))</f>
        <v>35</v>
      </c>
      <c r="P53" s="462" t="str">
        <f>IF(+All!$F458="Middle Tenn St",+All!P458,IF(+All!$H458="Middle Tenn St",+All!P458,0))</f>
        <v>Middle Tenn St</v>
      </c>
      <c r="Q53" s="461">
        <f>IF(+All!$F458="Middle Tenn St",+All!Q458,IF(+All!$H458="Middle Tenn St",+All!Q458,0))</f>
        <v>17</v>
      </c>
      <c r="R53" s="460" t="str">
        <f>IF(+All!$F458="Middle Tenn St",+All!R458,IF(+All!$H458="Middle Tenn St",+All!R458,0))</f>
        <v>Western Kentucky</v>
      </c>
      <c r="S53" s="462" t="str">
        <f>IF(+All!$F458="Middle Tenn St",+All!S458,IF(+All!$H458="Middle Tenn St",+All!S458,0))</f>
        <v>Middle Tenn St</v>
      </c>
      <c r="T53" s="460" t="str">
        <f>IF(+All!$F458="Middle Tenn St",+All!T458,IF(+All!$H458="Middle Tenn St",+All!T458,0))</f>
        <v>Middle Tenn St</v>
      </c>
      <c r="U53" s="461" t="str">
        <f>IF(+All!$F458="Middle Tenn St",+All!U458,IF(+All!$H458="Middle Tenn St",+All!U458,0))</f>
        <v>L</v>
      </c>
    </row>
    <row r="54" spans="1:21" x14ac:dyDescent="0.8">
      <c r="A54" s="46" t="e">
        <f>IF(+All!#REF!="Middle Tenn St",+All!#REF!,IF(+All!#REF!="Middle Tenn St",+All!#REF!,0))</f>
        <v>#REF!</v>
      </c>
      <c r="B54" s="46" t="e">
        <f>IF(+All!#REF!="Middle Tenn St",+All!#REF!,IF(+All!#REF!="Middle Tenn St",+All!#REF!,0))</f>
        <v>#REF!</v>
      </c>
      <c r="C54" s="62" t="e">
        <f>IF(+All!#REF!="Middle Tenn St",+All!#REF!,IF(+All!#REF!="Middle Tenn St",+All!#REF!,0))</f>
        <v>#REF!</v>
      </c>
      <c r="D54" s="490" t="e">
        <f>IF(+All!#REF!="Middle Tenn St",+All!#REF!,IF(+All!#REF!="Middle Tenn St",+All!#REF!,0))</f>
        <v>#REF!</v>
      </c>
      <c r="E54" s="461" t="e">
        <f>IF(+All!#REF!="Middle Tenn St",+All!#REF!,IF(+All!#REF!="Middle Tenn St",+All!#REF!,0))</f>
        <v>#REF!</v>
      </c>
      <c r="F54" s="51" t="e">
        <f>IF(+All!#REF!="Middle Tenn St",+All!#REF!,IF(+All!#REF!="Middle Tenn St",+All!#REF!,0))</f>
        <v>#REF!</v>
      </c>
      <c r="G54" s="63" t="e">
        <f>IF(+All!#REF!="Middle Tenn St",+All!#REF!,IF(+All!#REF!="Middle Tenn St",+All!#REF!,0))</f>
        <v>#REF!</v>
      </c>
      <c r="H54" s="63" t="e">
        <f>IF(+All!#REF!="Middle Tenn St",+All!#REF!,IF(+All!#REF!="Middle Tenn St",+All!#REF!,0))</f>
        <v>#REF!</v>
      </c>
      <c r="I54" s="52" t="e">
        <f>IF(+All!#REF!="Middle Tenn St",+All!#REF!,IF(+All!#REF!="Middle Tenn St",+All!#REF!,0))</f>
        <v>#REF!</v>
      </c>
      <c r="J54" s="460" t="e">
        <f>IF(+All!#REF!="Middle Tenn St",+All!#REF!,IF(+All!#REF!="Middle Tenn St",+All!#REF!,0))</f>
        <v>#REF!</v>
      </c>
      <c r="K54" s="461" t="e">
        <f>IF(+All!#REF!="Middle Tenn St",+All!#REF!,IF(+All!#REF!="Middle Tenn St",+All!#REF!,0))</f>
        <v>#REF!</v>
      </c>
      <c r="L54" s="54" t="e">
        <f>IF(+All!#REF!="Middle Tenn St",+All!#REF!,IF(+All!#REF!="Middle Tenn St",+All!#REF!,0))</f>
        <v>#REF!</v>
      </c>
      <c r="M54" s="55" t="e">
        <f>IF(+All!#REF!="Middle Tenn St",+All!#REF!,IF(+All!#REF!="Middle Tenn St",+All!#REF!,0))</f>
        <v>#REF!</v>
      </c>
      <c r="N54" s="460" t="e">
        <f>IF(+All!#REF!="Middle Tenn St",+All!#REF!,IF(+All!#REF!="Middle Tenn St",+All!#REF!,0))</f>
        <v>#REF!</v>
      </c>
      <c r="O54" s="462" t="e">
        <f>IF(+All!#REF!="Middle Tenn St",+All!#REF!,IF(+All!#REF!="Middle Tenn St",+All!#REF!,0))</f>
        <v>#REF!</v>
      </c>
      <c r="P54" s="462" t="e">
        <f>IF(+All!#REF!="Middle Tenn St",+All!#REF!,IF(+All!#REF!="Middle Tenn St",+All!#REF!,0))</f>
        <v>#REF!</v>
      </c>
      <c r="Q54" s="461" t="e">
        <f>IF(+All!#REF!="Middle Tenn St",+All!#REF!,IF(+All!#REF!="Middle Tenn St",+All!#REF!,0))</f>
        <v>#REF!</v>
      </c>
      <c r="R54" s="460" t="e">
        <f>IF(+All!#REF!="Middle Tenn St",+All!#REF!,IF(+All!#REF!="Middle Tenn St",+All!#REF!,0))</f>
        <v>#REF!</v>
      </c>
      <c r="S54" s="462" t="e">
        <f>IF(+All!#REF!="Middle Tenn St",+All!#REF!,IF(+All!#REF!="Middle Tenn St",+All!#REF!,0))</f>
        <v>#REF!</v>
      </c>
      <c r="T54" s="460" t="e">
        <f>IF(+All!#REF!="Middle Tenn St",+All!#REF!,IF(+All!#REF!="Middle Tenn St",+All!#REF!,0))</f>
        <v>#REF!</v>
      </c>
      <c r="U54" s="461" t="e">
        <f>IF(+All!#REF!="Middle Tenn St",+All!#REF!,IF(+All!#REF!="Middle Tenn St",+All!#REF!,0))</f>
        <v>#REF!</v>
      </c>
    </row>
    <row r="55" spans="1:21" x14ac:dyDescent="0.8">
      <c r="A55" s="46">
        <f>IF(+All!$F570="Middle Tenn St",+All!A570,IF(+All!$H570="Middle Tenn St",+All!A570,0))</f>
        <v>9</v>
      </c>
      <c r="B55" s="46" t="str">
        <f>IF(+All!$F570="Middle Tenn St",+All!B570,IF(+All!$H570="Middle Tenn St",+All!B570,0))</f>
        <v>Sat</v>
      </c>
      <c r="C55" s="62">
        <f>IF(+All!$F570="Middle Tenn St",+All!C570,IF(+All!$H570="Middle Tenn St",+All!C570,0))</f>
        <v>44863</v>
      </c>
      <c r="D55" s="490">
        <f>IF(+All!$F570="Middle Tenn St",+All!D570,IF(+All!$H570="Middle Tenn St",+All!D570,0))</f>
        <v>0.875</v>
      </c>
      <c r="E55" s="461">
        <f>IF(+All!$F570="Middle Tenn St",+All!E570,IF(+All!$H570="Middle Tenn St",+All!E570,0))</f>
        <v>0</v>
      </c>
      <c r="F55" s="51" t="str">
        <f>IF(+All!$F570="Middle Tenn St",+All!F570,IF(+All!$H570="Middle Tenn St",+All!F570,0))</f>
        <v>Middle Tenn St</v>
      </c>
      <c r="G55" s="63" t="str">
        <f>IF(+All!$F570="Middle Tenn St",+All!G570,IF(+All!$H570="Middle Tenn St",+All!G570,0))</f>
        <v>CUSA</v>
      </c>
      <c r="H55" s="63" t="str">
        <f>IF(+All!$F570="Middle Tenn St",+All!H570,IF(+All!$H570="Middle Tenn St",+All!H570,0))</f>
        <v>UTEP</v>
      </c>
      <c r="I55" s="52" t="str">
        <f>IF(+All!$F570="Middle Tenn St",+All!I570,IF(+All!$H570="Middle Tenn St",+All!I570,0))</f>
        <v>CUSA</v>
      </c>
      <c r="J55" s="460" t="str">
        <f>IF(+All!$F570="Middle Tenn St",+All!J570,IF(+All!$H570="Middle Tenn St",+All!J570,0))</f>
        <v>UTEP</v>
      </c>
      <c r="K55" s="461" t="str">
        <f>IF(+All!$F570="Middle Tenn St",+All!K570,IF(+All!$H570="Middle Tenn St",+All!K570,0))</f>
        <v>Middle Tenn St</v>
      </c>
      <c r="L55" s="54">
        <f>IF(+All!$F570="Middle Tenn St",+All!L570,IF(+All!$H570="Middle Tenn St",+All!L570,0))</f>
        <v>1</v>
      </c>
      <c r="M55" s="55">
        <f>IF(+All!$F570="Middle Tenn St",+All!M570,IF(+All!$H570="Middle Tenn St",+All!M570,0))</f>
        <v>52</v>
      </c>
      <c r="N55" s="460" t="str">
        <f>IF(+All!$F570="Middle Tenn St",+All!N570,IF(+All!$H570="Middle Tenn St",+All!N570,0))</f>
        <v>Middle Tenn St</v>
      </c>
      <c r="O55" s="462">
        <f>IF(+All!$F570="Middle Tenn St",+All!O570,IF(+All!$H570="Middle Tenn St",+All!O570,0))</f>
        <v>24</v>
      </c>
      <c r="P55" s="462" t="str">
        <f>IF(+All!$F570="Middle Tenn St",+All!P570,IF(+All!$H570="Middle Tenn St",+All!P570,0))</f>
        <v>UTEP</v>
      </c>
      <c r="Q55" s="461">
        <f>IF(+All!$F570="Middle Tenn St",+All!Q570,IF(+All!$H570="Middle Tenn St",+All!Q570,0))</f>
        <v>13</v>
      </c>
      <c r="R55" s="460" t="str">
        <f>IF(+All!$F570="Middle Tenn St",+All!R570,IF(+All!$H570="Middle Tenn St",+All!R570,0))</f>
        <v>Middle Tenn St</v>
      </c>
      <c r="S55" s="462" t="str">
        <f>IF(+All!$F570="Middle Tenn St",+All!S570,IF(+All!$H570="Middle Tenn St",+All!S570,0))</f>
        <v>UTEP</v>
      </c>
      <c r="T55" s="460" t="str">
        <f>IF(+All!$F570="Middle Tenn St",+All!T570,IF(+All!$H570="Middle Tenn St",+All!T570,0))</f>
        <v>Middle Tenn St</v>
      </c>
      <c r="U55" s="461" t="str">
        <f>IF(+All!$F570="Middle Tenn St",+All!U570,IF(+All!$H570="Middle Tenn St",+All!U570,0))</f>
        <v>W</v>
      </c>
    </row>
    <row r="56" spans="1:21" x14ac:dyDescent="0.8">
      <c r="A56" s="46">
        <f>IF(+All!$F625="Middle Tenn St",+All!A625,IF(+All!$H625="Middle Tenn St",+All!A625,0))</f>
        <v>10</v>
      </c>
      <c r="B56" s="46" t="str">
        <f>IF(+All!$F625="Middle Tenn St",+All!B625,IF(+All!$H625="Middle Tenn St",+All!B625,0))</f>
        <v>Sat</v>
      </c>
      <c r="C56" s="62">
        <f>IF(+All!$F625="Middle Tenn St",+All!C625,IF(+All!$H625="Middle Tenn St",+All!C625,0))</f>
        <v>44870</v>
      </c>
      <c r="D56" s="490">
        <f>IF(+All!$F625="Middle Tenn St",+All!D625,IF(+All!$H625="Middle Tenn St",+All!D625,0))</f>
        <v>0.625</v>
      </c>
      <c r="E56" s="461">
        <f>IF(+All!$F625="Middle Tenn St",+All!E625,IF(+All!$H625="Middle Tenn St",+All!E625,0))</f>
        <v>0</v>
      </c>
      <c r="F56" s="51" t="str">
        <f>IF(+All!$F625="Middle Tenn St",+All!F625,IF(+All!$H625="Middle Tenn St",+All!F625,0))</f>
        <v>Middle Tenn St</v>
      </c>
      <c r="G56" s="63" t="str">
        <f>IF(+All!$F625="Middle Tenn St",+All!G625,IF(+All!$H625="Middle Tenn St",+All!G625,0))</f>
        <v>CUSA</v>
      </c>
      <c r="H56" s="63" t="str">
        <f>IF(+All!$F625="Middle Tenn St",+All!H625,IF(+All!$H625="Middle Tenn St",+All!H625,0))</f>
        <v>Louisiana Tech</v>
      </c>
      <c r="I56" s="52" t="str">
        <f>IF(+All!$F625="Middle Tenn St",+All!I625,IF(+All!$H625="Middle Tenn St",+All!I625,0))</f>
        <v>CUSA</v>
      </c>
      <c r="J56" s="460" t="str">
        <f>IF(+All!$F625="Middle Tenn St",+All!J625,IF(+All!$H625="Middle Tenn St",+All!J625,0))</f>
        <v>Middle Tenn St</v>
      </c>
      <c r="K56" s="461" t="str">
        <f>IF(+All!$F625="Middle Tenn St",+All!K625,IF(+All!$H625="Middle Tenn St",+All!K625,0))</f>
        <v>Louisiana Tech</v>
      </c>
      <c r="L56" s="54">
        <f>IF(+All!$F625="Middle Tenn St",+All!L625,IF(+All!$H625="Middle Tenn St",+All!L625,0))</f>
        <v>2.5</v>
      </c>
      <c r="M56" s="55">
        <f>IF(+All!$F625="Middle Tenn St",+All!M625,IF(+All!$H625="Middle Tenn St",+All!M625,0))</f>
        <v>63</v>
      </c>
      <c r="N56" s="460" t="str">
        <f>IF(+All!$F625="Middle Tenn St",+All!N625,IF(+All!$H625="Middle Tenn St",+All!N625,0))</f>
        <v>Louisiana Tech</v>
      </c>
      <c r="O56" s="462">
        <f>IF(+All!$F625="Middle Tenn St",+All!O625,IF(+All!$H625="Middle Tenn St",+All!O625,0))</f>
        <v>40</v>
      </c>
      <c r="P56" s="462" t="str">
        <f>IF(+All!$F625="Middle Tenn St",+All!P625,IF(+All!$H625="Middle Tenn St",+All!P625,0))</f>
        <v>Middle Tenn St</v>
      </c>
      <c r="Q56" s="461">
        <f>IF(+All!$F625="Middle Tenn St",+All!Q625,IF(+All!$H625="Middle Tenn St",+All!Q625,0))</f>
        <v>24</v>
      </c>
      <c r="R56" s="460" t="str">
        <f>IF(+All!$F625="Middle Tenn St",+All!R625,IF(+All!$H625="Middle Tenn St",+All!R625,0))</f>
        <v>Louisiana Tech</v>
      </c>
      <c r="S56" s="462" t="str">
        <f>IF(+All!$F625="Middle Tenn St",+All!S625,IF(+All!$H625="Middle Tenn St",+All!S625,0))</f>
        <v>Middle Tenn St</v>
      </c>
      <c r="T56" s="460" t="str">
        <f>IF(+All!$F625="Middle Tenn St",+All!T625,IF(+All!$H625="Middle Tenn St",+All!T625,0))</f>
        <v>Middle Tenn St</v>
      </c>
      <c r="U56" s="461" t="str">
        <f>IF(+All!$F625="Middle Tenn St",+All!U625,IF(+All!$H625="Middle Tenn St",+All!U625,0))</f>
        <v>L</v>
      </c>
    </row>
    <row r="57" spans="1:21" x14ac:dyDescent="0.8">
      <c r="A57" s="46">
        <f>IF(+All!$F688="Middle Tenn St",+All!A688,IF(+All!$H688="Middle Tenn St",+All!A688,0))</f>
        <v>11</v>
      </c>
      <c r="B57" s="46" t="str">
        <f>IF(+All!$F688="Middle Tenn St",+All!B688,IF(+All!$H688="Middle Tenn St",+All!B688,0))</f>
        <v>Sat</v>
      </c>
      <c r="C57" s="62">
        <f>IF(+All!$F688="Middle Tenn St",+All!C688,IF(+All!$H688="Middle Tenn St",+All!C688,0))</f>
        <v>44877</v>
      </c>
      <c r="D57" s="490">
        <f>IF(+All!$F688="Middle Tenn St",+All!D688,IF(+All!$H688="Middle Tenn St",+All!D688,0))</f>
        <v>0.64583333333333337</v>
      </c>
      <c r="E57" s="461" t="str">
        <f>IF(+All!$F688="Middle Tenn St",+All!E688,IF(+All!$H688="Middle Tenn St",+All!E688,0))</f>
        <v>espn3</v>
      </c>
      <c r="F57" s="51" t="str">
        <f>IF(+All!$F688="Middle Tenn St",+All!F688,IF(+All!$H688="Middle Tenn St",+All!F688,0))</f>
        <v>UNC Charlotte</v>
      </c>
      <c r="G57" s="63" t="str">
        <f>IF(+All!$F688="Middle Tenn St",+All!G688,IF(+All!$H688="Middle Tenn St",+All!G688,0))</f>
        <v>CUSA</v>
      </c>
      <c r="H57" s="63" t="str">
        <f>IF(+All!$F688="Middle Tenn St",+All!H688,IF(+All!$H688="Middle Tenn St",+All!H688,0))</f>
        <v>Middle Tenn St</v>
      </c>
      <c r="I57" s="52" t="str">
        <f>IF(+All!$F688="Middle Tenn St",+All!I688,IF(+All!$H688="Middle Tenn St",+All!I688,0))</f>
        <v>CUSA</v>
      </c>
      <c r="J57" s="460" t="str">
        <f>IF(+All!$F688="Middle Tenn St",+All!J688,IF(+All!$H688="Middle Tenn St",+All!J688,0))</f>
        <v>Middle Tenn St</v>
      </c>
      <c r="K57" s="461" t="str">
        <f>IF(+All!$F688="Middle Tenn St",+All!K688,IF(+All!$H688="Middle Tenn St",+All!K688,0))</f>
        <v>UNC Charlotte</v>
      </c>
      <c r="L57" s="54">
        <f>IF(+All!$F688="Middle Tenn St",+All!L688,IF(+All!$H688="Middle Tenn St",+All!L688,0))</f>
        <v>10.5</v>
      </c>
      <c r="M57" s="55">
        <f>IF(+All!$F688="Middle Tenn St",+All!M688,IF(+All!$H688="Middle Tenn St",+All!M688,0))</f>
        <v>67</v>
      </c>
      <c r="N57" s="460" t="str">
        <f>IF(+All!$F688="Middle Tenn St",+All!N688,IF(+All!$H688="Middle Tenn St",+All!N688,0))</f>
        <v>Middle Tenn St</v>
      </c>
      <c r="O57" s="462">
        <f>IF(+All!$F688="Middle Tenn St",+All!O688,IF(+All!$H688="Middle Tenn St",+All!O688,0))</f>
        <v>24</v>
      </c>
      <c r="P57" s="462" t="str">
        <f>IF(+All!$F688="Middle Tenn St",+All!P688,IF(+All!$H688="Middle Tenn St",+All!P688,0))</f>
        <v>UNC Charlotte</v>
      </c>
      <c r="Q57" s="461">
        <f>IF(+All!$F688="Middle Tenn St",+All!Q688,IF(+All!$H688="Middle Tenn St",+All!Q688,0))</f>
        <v>14</v>
      </c>
      <c r="R57" s="460" t="str">
        <f>IF(+All!$F688="Middle Tenn St",+All!R688,IF(+All!$H688="Middle Tenn St",+All!R688,0))</f>
        <v>UNC Charlotte</v>
      </c>
      <c r="S57" s="462" t="str">
        <f>IF(+All!$F688="Middle Tenn St",+All!S688,IF(+All!$H688="Middle Tenn St",+All!S688,0))</f>
        <v>Middle Tenn St</v>
      </c>
      <c r="T57" s="460" t="str">
        <f>IF(+All!$F688="Middle Tenn St",+All!T688,IF(+All!$H688="Middle Tenn St",+All!T688,0))</f>
        <v>Middle Tenn St</v>
      </c>
      <c r="U57" s="461" t="str">
        <f>IF(+All!$F688="Middle Tenn St",+All!U688,IF(+All!$H688="Middle Tenn St",+All!U688,0))</f>
        <v>L</v>
      </c>
    </row>
    <row r="58" spans="1:21" x14ac:dyDescent="0.8">
      <c r="A58" s="46">
        <f>IF(+All!$F749="Middle Tenn St",+All!A749,IF(+All!$H749="Middle Tenn St",+All!A749,0))</f>
        <v>12</v>
      </c>
      <c r="B58" s="46" t="str">
        <f>IF(+All!$F749="Middle Tenn St",+All!B749,IF(+All!$H749="Middle Tenn St",+All!B749,0))</f>
        <v>Sat</v>
      </c>
      <c r="C58" s="62">
        <f>IF(+All!$F749="Middle Tenn St",+All!C749,IF(+All!$H749="Middle Tenn St",+All!C749,0))</f>
        <v>44884</v>
      </c>
      <c r="D58" s="490">
        <f>IF(+All!$F749="Middle Tenn St",+All!D749,IF(+All!$H749="Middle Tenn St",+All!D749,0))</f>
        <v>0.64583333333333337</v>
      </c>
      <c r="E58" s="461">
        <f>IF(+All!$F749="Middle Tenn St",+All!E749,IF(+All!$H749="Middle Tenn St",+All!E749,0))</f>
        <v>0</v>
      </c>
      <c r="F58" s="51" t="str">
        <f>IF(+All!$F749="Middle Tenn St",+All!F749,IF(+All!$H749="Middle Tenn St",+All!F749,0))</f>
        <v>Florida Atlantic</v>
      </c>
      <c r="G58" s="63" t="str">
        <f>IF(+All!$F749="Middle Tenn St",+All!G749,IF(+All!$H749="Middle Tenn St",+All!G749,0))</f>
        <v>CUSA</v>
      </c>
      <c r="H58" s="63" t="str">
        <f>IF(+All!$F749="Middle Tenn St",+All!H749,IF(+All!$H749="Middle Tenn St",+All!H749,0))</f>
        <v>Middle Tenn St</v>
      </c>
      <c r="I58" s="52" t="str">
        <f>IF(+All!$F749="Middle Tenn St",+All!I749,IF(+All!$H749="Middle Tenn St",+All!I749,0))</f>
        <v>CUSA</v>
      </c>
      <c r="J58" s="460" t="str">
        <f>IF(+All!$F749="Middle Tenn St",+All!J749,IF(+All!$H749="Middle Tenn St",+All!J749,0))</f>
        <v>Florida Atlantic</v>
      </c>
      <c r="K58" s="461" t="str">
        <f>IF(+All!$F749="Middle Tenn St",+All!K749,IF(+All!$H749="Middle Tenn St",+All!K749,0))</f>
        <v>Middle Tenn St</v>
      </c>
      <c r="L58" s="54">
        <f>IF(+All!$F749="Middle Tenn St",+All!L749,IF(+All!$H749="Middle Tenn St",+All!L749,0))</f>
        <v>6</v>
      </c>
      <c r="M58" s="55">
        <f>IF(+All!$F749="Middle Tenn St",+All!M749,IF(+All!$H749="Middle Tenn St",+All!M749,0))</f>
        <v>51</v>
      </c>
      <c r="N58" s="460" t="str">
        <f>IF(+All!$F749="Middle Tenn St",+All!N749,IF(+All!$H749="Middle Tenn St",+All!N749,0))</f>
        <v>Middle Tenn St</v>
      </c>
      <c r="O58" s="462">
        <f>IF(+All!$F749="Middle Tenn St",+All!O749,IF(+All!$H749="Middle Tenn St",+All!O749,0))</f>
        <v>49</v>
      </c>
      <c r="P58" s="462" t="str">
        <f>IF(+All!$F749="Middle Tenn St",+All!P749,IF(+All!$H749="Middle Tenn St",+All!P749,0))</f>
        <v>Florida Atlantic</v>
      </c>
      <c r="Q58" s="461">
        <f>IF(+All!$F749="Middle Tenn St",+All!Q749,IF(+All!$H749="Middle Tenn St",+All!Q749,0))</f>
        <v>21</v>
      </c>
      <c r="R58" s="460" t="str">
        <f>IF(+All!$F749="Middle Tenn St",+All!R749,IF(+All!$H749="Middle Tenn St",+All!R749,0))</f>
        <v>Middle Tenn St</v>
      </c>
      <c r="S58" s="462" t="str">
        <f>IF(+All!$F749="Middle Tenn St",+All!S749,IF(+All!$H749="Middle Tenn St",+All!S749,0))</f>
        <v>Florida Atlantic</v>
      </c>
      <c r="T58" s="460" t="str">
        <f>IF(+All!$F749="Middle Tenn St",+All!T749,IF(+All!$H749="Middle Tenn St",+All!T749,0))</f>
        <v>Middle Tenn St</v>
      </c>
      <c r="U58" s="461" t="str">
        <f>IF(+All!$F749="Middle Tenn St",+All!U749,IF(+All!$H749="Middle Tenn St",+All!U749,0))</f>
        <v>W</v>
      </c>
    </row>
    <row r="59" spans="1:21" x14ac:dyDescent="0.8">
      <c r="A59" s="46">
        <f>IF(+All!$F819="Middle Tenn St",+All!A819,IF(+All!$H819="Middle Tenn St",+All!A819,0))</f>
        <v>13</v>
      </c>
      <c r="B59" s="46" t="str">
        <f>IF(+All!$F819="Middle Tenn St",+All!B819,IF(+All!$H819="Middle Tenn St",+All!B819,0))</f>
        <v>Sat</v>
      </c>
      <c r="C59" s="62">
        <f>IF(+All!$F819="Middle Tenn St",+All!C819,IF(+All!$H819="Middle Tenn St",+All!C819,0))</f>
        <v>44891</v>
      </c>
      <c r="D59" s="490">
        <f>IF(+All!$F819="Middle Tenn St",+All!D819,IF(+All!$H819="Middle Tenn St",+All!D819,0))</f>
        <v>0.75</v>
      </c>
      <c r="E59" s="461" t="str">
        <f>IF(+All!$F819="Middle Tenn St",+All!E819,IF(+All!$H819="Middle Tenn St",+All!E819,0))</f>
        <v>espn3</v>
      </c>
      <c r="F59" s="51" t="str">
        <f>IF(+All!$F819="Middle Tenn St",+All!F819,IF(+All!$H819="Middle Tenn St",+All!F819,0))</f>
        <v>Middle Tenn St</v>
      </c>
      <c r="G59" s="63" t="str">
        <f>IF(+All!$F819="Middle Tenn St",+All!G819,IF(+All!$H819="Middle Tenn St",+All!G819,0))</f>
        <v>CUSA</v>
      </c>
      <c r="H59" s="63" t="str">
        <f>IF(+All!$F819="Middle Tenn St",+All!H819,IF(+All!$H819="Middle Tenn St",+All!H819,0))</f>
        <v>Florida Intl</v>
      </c>
      <c r="I59" s="52" t="str">
        <f>IF(+All!$F819="Middle Tenn St",+All!I819,IF(+All!$H819="Middle Tenn St",+All!I819,0))</f>
        <v>CUSA</v>
      </c>
      <c r="J59" s="460" t="str">
        <f>IF(+All!$F819="Middle Tenn St",+All!J819,IF(+All!$H819="Middle Tenn St",+All!J819,0))</f>
        <v>Middle Tenn St</v>
      </c>
      <c r="K59" s="461" t="str">
        <f>IF(+All!$F819="Middle Tenn St",+All!K819,IF(+All!$H819="Middle Tenn St",+All!K819,0))</f>
        <v>Florida Intl</v>
      </c>
      <c r="L59" s="54">
        <f>IF(+All!$F819="Middle Tenn St",+All!L819,IF(+All!$H819="Middle Tenn St",+All!L819,0))</f>
        <v>19.5</v>
      </c>
      <c r="M59" s="55">
        <f>IF(+All!$F819="Middle Tenn St",+All!M819,IF(+All!$H819="Middle Tenn St",+All!M819,0))</f>
        <v>55</v>
      </c>
      <c r="N59" s="460" t="str">
        <f>IF(+All!$F819="Middle Tenn St",+All!N819,IF(+All!$H819="Middle Tenn St",+All!N819,0))</f>
        <v>Middle Tenn St</v>
      </c>
      <c r="O59" s="462">
        <f>IF(+All!$F819="Middle Tenn St",+All!O819,IF(+All!$H819="Middle Tenn St",+All!O819,0))</f>
        <v>33</v>
      </c>
      <c r="P59" s="462" t="str">
        <f>IF(+All!$F819="Middle Tenn St",+All!P819,IF(+All!$H819="Middle Tenn St",+All!P819,0))</f>
        <v>Florida Intl</v>
      </c>
      <c r="Q59" s="461">
        <f>IF(+All!$F819="Middle Tenn St",+All!Q819,IF(+All!$H819="Middle Tenn St",+All!Q819,0))</f>
        <v>28</v>
      </c>
      <c r="R59" s="460" t="str">
        <f>IF(+All!$F819="Middle Tenn St",+All!R819,IF(+All!$H819="Middle Tenn St",+All!R819,0))</f>
        <v>Florida Intl</v>
      </c>
      <c r="S59" s="462" t="str">
        <f>IF(+All!$F819="Middle Tenn St",+All!S819,IF(+All!$H819="Middle Tenn St",+All!S819,0))</f>
        <v>Middle Tenn St</v>
      </c>
      <c r="T59" s="460" t="str">
        <f>IF(+All!$F819="Middle Tenn St",+All!T819,IF(+All!$H819="Middle Tenn St",+All!T819,0))</f>
        <v>Florida Intl</v>
      </c>
      <c r="U59" s="461" t="str">
        <f>IF(+All!$F819="Middle Tenn St",+All!U819,IF(+All!$H819="Middle Tenn St",+All!U819,0))</f>
        <v>W</v>
      </c>
    </row>
    <row r="60" spans="1:21" x14ac:dyDescent="0.8">
      <c r="B60" s="46"/>
      <c r="C60" s="62"/>
      <c r="D60" s="49"/>
      <c r="F60" s="897" t="str">
        <f>H63</f>
        <v>North Texas</v>
      </c>
      <c r="G60" s="901"/>
      <c r="H60" s="901"/>
      <c r="I60" s="902"/>
      <c r="L60" s="54"/>
      <c r="M60" s="55"/>
    </row>
    <row r="61" spans="1:21" x14ac:dyDescent="0.8">
      <c r="A61" s="46">
        <f>IF(+All!$F9="North Texas",+All!A9,IF(+All!$H9="North Texas",+All!A9,0))</f>
        <v>0</v>
      </c>
      <c r="B61" s="348" t="str">
        <f>IF(+All!$F9="North Texas",+All!B9,IF(+All!$H9="North Texas",+All!B9,0))</f>
        <v>Sat</v>
      </c>
      <c r="C61" s="48">
        <f>IF(+All!$F9="North Texas",+All!C9,IF(+All!$H9="North Texas",+All!C9,0))</f>
        <v>44800</v>
      </c>
      <c r="D61" s="490">
        <f>IF(+All!$F9="North Texas",+All!D9,IF(+All!$H9="North Texas",+All!D9,0))</f>
        <v>0.875</v>
      </c>
      <c r="E61" s="461">
        <f>IF(+All!$F9="North Texas",+All!E9,IF(+All!$H9="North Texas",+All!E9,0))</f>
        <v>0</v>
      </c>
      <c r="F61" s="51" t="str">
        <f>IF(+All!$F9="North Texas",+All!F9,IF(+All!$H9="North Texas",+All!F9,0))</f>
        <v>North Texas</v>
      </c>
      <c r="G61" s="52" t="str">
        <f>IF(+All!$F9="North Texas",+All!G9,IF(+All!$H9="North Texas",+All!G9,0))</f>
        <v>CUSA</v>
      </c>
      <c r="H61" s="51" t="str">
        <f>IF(+All!$F9="North Texas",+All!H9,IF(+All!$H9="North Texas",+All!H9,0))</f>
        <v>UTEP</v>
      </c>
      <c r="I61" s="52" t="str">
        <f>IF(+All!$F9="North Texas",+All!I9,IF(+All!$H9="North Texas",+All!I9,0))</f>
        <v>CUSA</v>
      </c>
      <c r="J61" s="460" t="str">
        <f>IF(+All!$F9="North Texas",+All!J9,IF(+All!$H9="North Texas",+All!J9,0))</f>
        <v>North Texas</v>
      </c>
      <c r="K61" s="461" t="str">
        <f>IF(+All!$F9="North Texas",+All!K9,IF(+All!$H9="North Texas",+All!K9,0))</f>
        <v>UTEP</v>
      </c>
      <c r="L61" s="54">
        <f>IF(+All!$F9="North Texas",+All!L9,IF(+All!$H9="North Texas",+All!L9,0))</f>
        <v>1.5</v>
      </c>
      <c r="M61" s="55">
        <f>IF(+All!$F9="North Texas",+All!M9,IF(+All!$H9="North Texas",+All!M9,0))</f>
        <v>53.5</v>
      </c>
      <c r="N61" s="460" t="str">
        <f>IF(+All!$F9="North Texas",+All!N9,IF(+All!$H9="North Texas",+All!N9,0))</f>
        <v>North Texas</v>
      </c>
      <c r="O61" s="462">
        <f>IF(+All!$F9="North Texas",+All!O9,IF(+All!$H9="North Texas",+All!O9,0))</f>
        <v>31</v>
      </c>
      <c r="P61" s="462" t="str">
        <f>IF(+All!$F9="North Texas",+All!P9,IF(+All!$H9="North Texas",+All!P9,0))</f>
        <v>UTEP</v>
      </c>
      <c r="Q61" s="461">
        <f>IF(+All!$F9="North Texas",+All!Q9,IF(+All!$H9="North Texas",+All!Q9,0))</f>
        <v>13</v>
      </c>
      <c r="R61" s="460" t="str">
        <f>IF(+All!$F9="North Texas",+All!R9,IF(+All!$H9="North Texas",+All!R9,0))</f>
        <v>North Texas</v>
      </c>
      <c r="S61" s="462" t="str">
        <f>IF(+All!$F9="North Texas",+All!S9,IF(+All!$H9="North Texas",+All!S9,0))</f>
        <v>UTEP</v>
      </c>
      <c r="T61" s="460" t="str">
        <f>IF(+All!$F9="North Texas",+All!T9,IF(+All!$H9="North Texas",+All!T9,0))</f>
        <v>UTEP</v>
      </c>
      <c r="U61" s="461" t="str">
        <f>IF(+All!$F9="North Texas",+All!U9,IF(+All!$H9="North Texas",+All!U9,0))</f>
        <v>L</v>
      </c>
    </row>
    <row r="62" spans="1:21" x14ac:dyDescent="0.8">
      <c r="A62" s="46">
        <f>IF(+All!$F82="North Texas",+All!A82,IF(+All!$H82="North Texas",+All!A82,0))</f>
        <v>1</v>
      </c>
      <c r="B62" s="348" t="str">
        <f>IF(+All!$F82="North Texas",+All!B82,IF(+All!$H82="North Texas",+All!B82,0))</f>
        <v>Sat</v>
      </c>
      <c r="C62" s="48">
        <f>IF(+All!$F82="North Texas",+All!C82,IF(+All!$H82="North Texas",+All!C82,0))</f>
        <v>44807</v>
      </c>
      <c r="D62" s="490">
        <f>IF(+All!$F82="North Texas",+All!D82,IF(+All!$H82="North Texas",+All!D82,0))</f>
        <v>0.8125</v>
      </c>
      <c r="E62" s="461" t="str">
        <f>IF(+All!$F82="North Texas",+All!E82,IF(+All!$H82="North Texas",+All!E82,0))</f>
        <v>CBSSN</v>
      </c>
      <c r="F62" s="51" t="str">
        <f>IF(+All!$F82="North Texas",+All!F82,IF(+All!$H82="North Texas",+All!F82,0))</f>
        <v>SMU</v>
      </c>
      <c r="G62" s="52" t="str">
        <f>IF(+All!$F82="North Texas",+All!G82,IF(+All!$H82="North Texas",+All!G82,0))</f>
        <v>AAC</v>
      </c>
      <c r="H62" s="51" t="str">
        <f>IF(+All!$F82="North Texas",+All!H82,IF(+All!$H82="North Texas",+All!H82,0))</f>
        <v>North Texas</v>
      </c>
      <c r="I62" s="52" t="str">
        <f>IF(+All!$F82="North Texas",+All!I82,IF(+All!$H82="North Texas",+All!I82,0))</f>
        <v>CUSA</v>
      </c>
      <c r="J62" s="460" t="str">
        <f>IF(+All!$F82="North Texas",+All!J82,IF(+All!$H82="North Texas",+All!J82,0))</f>
        <v>SMU</v>
      </c>
      <c r="K62" s="461" t="str">
        <f>IF(+All!$F82="North Texas",+All!K82,IF(+All!$H82="North Texas",+All!K82,0))</f>
        <v>North Texas</v>
      </c>
      <c r="L62" s="54">
        <f>IF(+All!$F82="North Texas",+All!L82,IF(+All!$H82="North Texas",+All!L82,0))</f>
        <v>11</v>
      </c>
      <c r="M62" s="55">
        <f>IF(+All!$F82="North Texas",+All!M82,IF(+All!$H82="North Texas",+All!M82,0))</f>
        <v>68</v>
      </c>
      <c r="N62" s="460" t="str">
        <f>IF(+All!$F82="North Texas",+All!N82,IF(+All!$H82="North Texas",+All!N82,0))</f>
        <v>SMU</v>
      </c>
      <c r="O62" s="462">
        <f>IF(+All!$F82="North Texas",+All!O82,IF(+All!$H82="North Texas",+All!O82,0))</f>
        <v>48</v>
      </c>
      <c r="P62" s="462" t="str">
        <f>IF(+All!$F82="North Texas",+All!P82,IF(+All!$H82="North Texas",+All!P82,0))</f>
        <v>North Texas</v>
      </c>
      <c r="Q62" s="461">
        <f>IF(+All!$F82="North Texas",+All!Q82,IF(+All!$H82="North Texas",+All!Q82,0))</f>
        <v>10</v>
      </c>
      <c r="R62" s="460" t="str">
        <f>IF(+All!$F82="North Texas",+All!R82,IF(+All!$H82="North Texas",+All!R82,0))</f>
        <v>SMU</v>
      </c>
      <c r="S62" s="462" t="str">
        <f>IF(+All!$F82="North Texas",+All!S82,IF(+All!$H82="North Texas",+All!S82,0))</f>
        <v>North Texas</v>
      </c>
      <c r="T62" s="460" t="str">
        <f>IF(+All!$F82="North Texas",+All!T82,IF(+All!$H82="North Texas",+All!T82,0))</f>
        <v>SMU</v>
      </c>
      <c r="U62" s="461" t="str">
        <f>IF(+All!$F82="North Texas",+All!U82,IF(+All!$H82="North Texas",+All!U82,0))</f>
        <v>W</v>
      </c>
    </row>
    <row r="63" spans="1:21" x14ac:dyDescent="0.8">
      <c r="A63" s="46">
        <f>IF(+All!$F136="North Texas",+All!A136,IF(+All!$H136="North Texas",+All!A136,0))</f>
        <v>2</v>
      </c>
      <c r="B63" s="348" t="str">
        <f>IF(+All!$F136="North Texas",+All!B136,IF(+All!$H136="North Texas",+All!B136,0))</f>
        <v>Sat</v>
      </c>
      <c r="C63" s="48">
        <f>IF(+All!$F136="North Texas",+All!C136,IF(+All!$H136="North Texas",+All!C136,0))</f>
        <v>44814</v>
      </c>
      <c r="D63" s="490">
        <f>IF(+All!$F136="North Texas",+All!D136,IF(+All!$H136="North Texas",+All!D136,0))</f>
        <v>0.8125</v>
      </c>
      <c r="E63" s="461" t="str">
        <f>IF(+All!$F136="North Texas",+All!E136,IF(+All!$H136="North Texas",+All!E136,0))</f>
        <v>espn3</v>
      </c>
      <c r="F63" s="51" t="str">
        <f>IF(+All!$F136="North Texas",+All!F136,IF(+All!$H136="North Texas",+All!F136,0))</f>
        <v>1AA Texas Southern</v>
      </c>
      <c r="G63" s="52" t="str">
        <f>IF(+All!$F136="North Texas",+All!G136,IF(+All!$H136="North Texas",+All!G136,0))</f>
        <v>1AA</v>
      </c>
      <c r="H63" s="51" t="str">
        <f>IF(+All!$F136="North Texas",+All!H136,IF(+All!$H136="North Texas",+All!H136,0))</f>
        <v>North Texas</v>
      </c>
      <c r="I63" s="52" t="str">
        <f>IF(+All!$F136="North Texas",+All!I136,IF(+All!$H136="North Texas",+All!I136,0))</f>
        <v>CUSA</v>
      </c>
      <c r="J63" s="460">
        <f>IF(+All!$F136="North Texas",+All!J136,IF(+All!$H136="North Texas",+All!J136,0))</f>
        <v>0</v>
      </c>
      <c r="K63" s="461">
        <f>IF(+All!$F136="North Texas",+All!K136,IF(+All!$H136="North Texas",+All!K136,0))</f>
        <v>0</v>
      </c>
      <c r="L63" s="54">
        <f>IF(+All!$F136="North Texas",+All!L136,IF(+All!$H136="North Texas",+All!L136,0))</f>
        <v>0</v>
      </c>
      <c r="M63" s="55">
        <f>IF(+All!$F136="North Texas",+All!M136,IF(+All!$H136="North Texas",+All!M136,0))</f>
        <v>0</v>
      </c>
      <c r="N63" s="460" t="str">
        <f>IF(+All!$F136="North Texas",+All!N136,IF(+All!$H136="North Texas",+All!N136,0))</f>
        <v>North Texas</v>
      </c>
      <c r="O63" s="462">
        <f>IF(+All!$F136="North Texas",+All!O136,IF(+All!$H136="North Texas",+All!O136,0))</f>
        <v>59</v>
      </c>
      <c r="P63" s="462" t="str">
        <f>IF(+All!$F136="North Texas",+All!P136,IF(+All!$H136="North Texas",+All!P136,0))</f>
        <v>1AA Texas Southern</v>
      </c>
      <c r="Q63" s="461">
        <f>IF(+All!$F136="North Texas",+All!Q136,IF(+All!$H136="North Texas",+All!Q136,0))</f>
        <v>27</v>
      </c>
      <c r="R63" s="460">
        <f>IF(+All!$F136="North Texas",+All!R136,IF(+All!$H136="North Texas",+All!R136,0))</f>
        <v>0</v>
      </c>
      <c r="S63" s="462">
        <f>IF(+All!$F136="North Texas",+All!S136,IF(+All!$H136="North Texas",+All!S136,0))</f>
        <v>0</v>
      </c>
      <c r="T63" s="460">
        <f>IF(+All!$F136="North Texas",+All!T136,IF(+All!$H136="North Texas",+All!T136,0))</f>
        <v>0</v>
      </c>
      <c r="U63" s="461">
        <f>IF(+All!$F136="North Texas",+All!U136,IF(+All!$H136="North Texas",+All!U136,0))</f>
        <v>0</v>
      </c>
    </row>
    <row r="64" spans="1:21" x14ac:dyDescent="0.8">
      <c r="A64" s="46">
        <f>IF(+All!$F228="North Texas",+All!A228,IF(+All!$H228="North Texas",+All!A228,0))</f>
        <v>3</v>
      </c>
      <c r="B64" s="348" t="str">
        <f>IF(+All!$F228="North Texas",+All!B228,IF(+All!$H228="North Texas",+All!B228,0))</f>
        <v>Sat</v>
      </c>
      <c r="C64" s="48">
        <f>IF(+All!$F228="North Texas",+All!C228,IF(+All!$H228="North Texas",+All!C228,0))</f>
        <v>44821</v>
      </c>
      <c r="D64" s="490">
        <f>IF(+All!$F228="North Texas",+All!D228,IF(+All!$H228="North Texas",+All!D228,0))</f>
        <v>0.625</v>
      </c>
      <c r="E64" s="461">
        <f>IF(+All!$F228="North Texas",+All!E228,IF(+All!$H228="North Texas",+All!E228,0))</f>
        <v>0</v>
      </c>
      <c r="F64" s="51" t="str">
        <f>IF(+All!$F228="North Texas",+All!F228,IF(+All!$H228="North Texas",+All!F228,0))</f>
        <v>North Texas</v>
      </c>
      <c r="G64" s="52" t="str">
        <f>IF(+All!$F228="North Texas",+All!G228,IF(+All!$H228="North Texas",+All!G228,0))</f>
        <v>CUSA</v>
      </c>
      <c r="H64" s="51" t="str">
        <f>IF(+All!$F228="North Texas",+All!H228,IF(+All!$H228="North Texas",+All!H228,0))</f>
        <v>UNLV</v>
      </c>
      <c r="I64" s="52" t="str">
        <f>IF(+All!$F228="North Texas",+All!I228,IF(+All!$H228="North Texas",+All!I228,0))</f>
        <v>MWC</v>
      </c>
      <c r="J64" s="460" t="str">
        <f>IF(+All!$F228="North Texas",+All!J228,IF(+All!$H228="North Texas",+All!J228,0))</f>
        <v>UNLV</v>
      </c>
      <c r="K64" s="461" t="str">
        <f>IF(+All!$F228="North Texas",+All!K228,IF(+All!$H228="North Texas",+All!K228,0))</f>
        <v>North Texas</v>
      </c>
      <c r="L64" s="54">
        <f>IF(+All!$F228="North Texas",+All!L228,IF(+All!$H228="North Texas",+All!L228,0))</f>
        <v>3</v>
      </c>
      <c r="M64" s="55">
        <f>IF(+All!$F228="North Texas",+All!M228,IF(+All!$H228="North Texas",+All!M228,0))</f>
        <v>62</v>
      </c>
      <c r="N64" s="460" t="str">
        <f>IF(+All!$F228="North Texas",+All!N228,IF(+All!$H228="North Texas",+All!N228,0))</f>
        <v>UNLV</v>
      </c>
      <c r="O64" s="462">
        <f>IF(+All!$F228="North Texas",+All!O228,IF(+All!$H228="North Texas",+All!O228,0))</f>
        <v>58</v>
      </c>
      <c r="P64" s="462" t="str">
        <f>IF(+All!$F228="North Texas",+All!P228,IF(+All!$H228="North Texas",+All!P228,0))</f>
        <v>North Texas</v>
      </c>
      <c r="Q64" s="461">
        <f>IF(+All!$F228="North Texas",+All!Q228,IF(+All!$H228="North Texas",+All!Q228,0))</f>
        <v>27</v>
      </c>
      <c r="R64" s="460" t="str">
        <f>IF(+All!$F228="North Texas",+All!R228,IF(+All!$H228="North Texas",+All!R228,0))</f>
        <v>UNLV</v>
      </c>
      <c r="S64" s="462" t="str">
        <f>IF(+All!$F228="North Texas",+All!S228,IF(+All!$H228="North Texas",+All!S228,0))</f>
        <v>North Texas</v>
      </c>
      <c r="T64" s="460" t="str">
        <f>IF(+All!$F228="North Texas",+All!T228,IF(+All!$H228="North Texas",+All!T228,0))</f>
        <v>UNLV</v>
      </c>
      <c r="U64" s="461" t="str">
        <f>IF(+All!$F228="North Texas",+All!U228,IF(+All!$H228="North Texas",+All!U228,0))</f>
        <v>W</v>
      </c>
    </row>
    <row r="65" spans="1:21" x14ac:dyDescent="0.8">
      <c r="A65" s="46">
        <f>IF(+All!$F262="North Texas",+All!A262,IF(+All!$H262="North Texas",+All!A262,0))</f>
        <v>4</v>
      </c>
      <c r="B65" s="348" t="str">
        <f>IF(+All!$F262="North Texas",+All!B262,IF(+All!$H262="North Texas",+All!B262,0))</f>
        <v>Sat</v>
      </c>
      <c r="C65" s="48">
        <f>IF(+All!$F262="North Texas",+All!C262,IF(+All!$H262="North Texas",+All!C262,0))</f>
        <v>44828</v>
      </c>
      <c r="D65" s="490">
        <f>IF(+All!$F262="North Texas",+All!D262,IF(+All!$H262="North Texas",+All!D262,0))</f>
        <v>0.64583333333333337</v>
      </c>
      <c r="E65" s="461">
        <f>IF(+All!$F262="North Texas",+All!E262,IF(+All!$H262="North Texas",+All!E262,0))</f>
        <v>0</v>
      </c>
      <c r="F65" s="51" t="str">
        <f>IF(+All!$F262="North Texas",+All!F262,IF(+All!$H262="North Texas",+All!F262,0))</f>
        <v>North Texas</v>
      </c>
      <c r="G65" s="52" t="str">
        <f>IF(+All!$F262="North Texas",+All!G262,IF(+All!$H262="North Texas",+All!G262,0))</f>
        <v>CUSA</v>
      </c>
      <c r="H65" s="51" t="str">
        <f>IF(+All!$F262="North Texas",+All!H262,IF(+All!$H262="North Texas",+All!H262,0))</f>
        <v>Memphis</v>
      </c>
      <c r="I65" s="52" t="str">
        <f>IF(+All!$F262="North Texas",+All!I262,IF(+All!$H262="North Texas",+All!I262,0))</f>
        <v>AAC</v>
      </c>
      <c r="J65" s="460" t="str">
        <f>IF(+All!$F262="North Texas",+All!J262,IF(+All!$H262="North Texas",+All!J262,0))</f>
        <v>Memphis</v>
      </c>
      <c r="K65" s="461" t="str">
        <f>IF(+All!$F262="North Texas",+All!K262,IF(+All!$H262="North Texas",+All!K262,0))</f>
        <v>North Texas</v>
      </c>
      <c r="L65" s="54">
        <f>IF(+All!$F262="North Texas",+All!L262,IF(+All!$H262="North Texas",+All!L262,0))</f>
        <v>11.5</v>
      </c>
      <c r="M65" s="55">
        <f>IF(+All!$F262="North Texas",+All!M262,IF(+All!$H262="North Texas",+All!M262,0))</f>
        <v>68.5</v>
      </c>
      <c r="N65" s="460" t="str">
        <f>IF(+All!$F262="North Texas",+All!N262,IF(+All!$H262="North Texas",+All!N262,0))</f>
        <v>Memphis</v>
      </c>
      <c r="O65" s="462">
        <f>IF(+All!$F262="North Texas",+All!O262,IF(+All!$H262="North Texas",+All!O262,0))</f>
        <v>44</v>
      </c>
      <c r="P65" s="462" t="str">
        <f>IF(+All!$F262="North Texas",+All!P262,IF(+All!$H262="North Texas",+All!P262,0))</f>
        <v>North Texas</v>
      </c>
      <c r="Q65" s="461">
        <f>IF(+All!$F262="North Texas",+All!Q262,IF(+All!$H262="North Texas",+All!Q262,0))</f>
        <v>34</v>
      </c>
      <c r="R65" s="460" t="str">
        <f>IF(+All!$F262="North Texas",+All!R262,IF(+All!$H262="North Texas",+All!R262,0))</f>
        <v>North Texas</v>
      </c>
      <c r="S65" s="462" t="str">
        <f>IF(+All!$F262="North Texas",+All!S262,IF(+All!$H262="North Texas",+All!S262,0))</f>
        <v>Memphis</v>
      </c>
      <c r="T65" s="460" t="str">
        <f>IF(+All!$F262="North Texas",+All!T262,IF(+All!$H262="North Texas",+All!T262,0))</f>
        <v>Memphis</v>
      </c>
      <c r="U65" s="461" t="str">
        <f>IF(+All!$F262="North Texas",+All!U262,IF(+All!$H262="North Texas",+All!U262,0))</f>
        <v>L</v>
      </c>
    </row>
    <row r="66" spans="1:21" x14ac:dyDescent="0.8">
      <c r="A66" s="46">
        <f>IF(+All!$F347="North Texas",+All!A347,IF(+All!$H347="North Texas",+All!A347,0))</f>
        <v>5</v>
      </c>
      <c r="B66" s="348" t="str">
        <f>IF(+All!$F347="North Texas",+All!B347,IF(+All!$H347="North Texas",+All!B347,0))</f>
        <v>Sat</v>
      </c>
      <c r="C66" s="48">
        <f>IF(+All!$F347="North Texas",+All!C347,IF(+All!$H347="North Texas",+All!C347,0))</f>
        <v>44835</v>
      </c>
      <c r="D66" s="490">
        <f>IF(+All!$F347="North Texas",+All!D347,IF(+All!$H347="North Texas",+All!D347,0))</f>
        <v>0.66666666666666663</v>
      </c>
      <c r="E66" s="461">
        <f>IF(+All!$F347="North Texas",+All!E347,IF(+All!$H347="North Texas",+All!E347,0))</f>
        <v>0</v>
      </c>
      <c r="F66" s="51" t="str">
        <f>IF(+All!$F347="North Texas",+All!F347,IF(+All!$H347="North Texas",+All!F347,0))</f>
        <v>Florida Atlantic</v>
      </c>
      <c r="G66" s="52" t="str">
        <f>IF(+All!$F347="North Texas",+All!G347,IF(+All!$H347="North Texas",+All!G347,0))</f>
        <v>CUSA</v>
      </c>
      <c r="H66" s="51" t="str">
        <f>IF(+All!$F347="North Texas",+All!H347,IF(+All!$H347="North Texas",+All!H347,0))</f>
        <v>North Texas</v>
      </c>
      <c r="I66" s="52" t="str">
        <f>IF(+All!$F347="North Texas",+All!I347,IF(+All!$H347="North Texas",+All!I347,0))</f>
        <v>CUSA</v>
      </c>
      <c r="J66" s="460" t="str">
        <f>IF(+All!$F347="North Texas",+All!J347,IF(+All!$H347="North Texas",+All!J347,0))</f>
        <v>Florida Atlantic</v>
      </c>
      <c r="K66" s="461" t="str">
        <f>IF(+All!$F347="North Texas",+All!K347,IF(+All!$H347="North Texas",+All!K347,0))</f>
        <v>North Texas</v>
      </c>
      <c r="L66" s="54">
        <f>IF(+All!$F347="North Texas",+All!L347,IF(+All!$H347="North Texas",+All!L347,0))</f>
        <v>3</v>
      </c>
      <c r="M66" s="55">
        <f>IF(+All!$F347="North Texas",+All!M347,IF(+All!$H347="North Texas",+All!M347,0))</f>
        <v>69</v>
      </c>
      <c r="N66" s="460" t="str">
        <f>IF(+All!$F347="North Texas",+All!N347,IF(+All!$H347="North Texas",+All!N347,0))</f>
        <v>North Texas</v>
      </c>
      <c r="O66" s="462">
        <f>IF(+All!$F347="North Texas",+All!O347,IF(+All!$H347="North Texas",+All!O347,0))</f>
        <v>45</v>
      </c>
      <c r="P66" s="462" t="str">
        <f>IF(+All!$F347="North Texas",+All!P347,IF(+All!$H347="North Texas",+All!P347,0))</f>
        <v>Florida Atlantic</v>
      </c>
      <c r="Q66" s="461">
        <f>IF(+All!$F347="North Texas",+All!Q347,IF(+All!$H347="North Texas",+All!Q347,0))</f>
        <v>28</v>
      </c>
      <c r="R66" s="460" t="str">
        <f>IF(+All!$F347="North Texas",+All!R347,IF(+All!$H347="North Texas",+All!R347,0))</f>
        <v>North Texas</v>
      </c>
      <c r="S66" s="462" t="str">
        <f>IF(+All!$F347="North Texas",+All!S347,IF(+All!$H347="North Texas",+All!S347,0))</f>
        <v>Florida Atlantic</v>
      </c>
      <c r="T66" s="460" t="str">
        <f>IF(+All!$F347="North Texas",+All!T347,IF(+All!$H347="North Texas",+All!T347,0))</f>
        <v>Florida Atlantic</v>
      </c>
      <c r="U66" s="461" t="str">
        <f>IF(+All!$F347="North Texas",+All!U347,IF(+All!$H347="North Texas",+All!U347,0))</f>
        <v>L</v>
      </c>
    </row>
    <row r="67" spans="1:21" x14ac:dyDescent="0.8">
      <c r="A67" s="46" t="e">
        <f>IF(+All!#REF!="North Texas",+All!#REF!,IF(+All!#REF!="North Texas",+All!#REF!,0))</f>
        <v>#REF!</v>
      </c>
      <c r="B67" s="348" t="e">
        <f>IF(+All!#REF!="North Texas",+All!#REF!,IF(+All!#REF!="North Texas",+All!#REF!,0))</f>
        <v>#REF!</v>
      </c>
      <c r="C67" s="48" t="e">
        <f>IF(+All!#REF!="North Texas",+All!#REF!,IF(+All!#REF!="North Texas",+All!#REF!,0))</f>
        <v>#REF!</v>
      </c>
      <c r="D67" s="490" t="e">
        <f>IF(+All!#REF!="North Texas",+All!#REF!,IF(+All!#REF!="North Texas",+All!#REF!,0))</f>
        <v>#REF!</v>
      </c>
      <c r="E67" s="461" t="e">
        <f>IF(+All!#REF!="North Texas",+All!#REF!,IF(+All!#REF!="North Texas",+All!#REF!,0))</f>
        <v>#REF!</v>
      </c>
      <c r="F67" s="51" t="e">
        <f>IF(+All!#REF!="North Texas",+All!#REF!,IF(+All!#REF!="North Texas",+All!#REF!,0))</f>
        <v>#REF!</v>
      </c>
      <c r="G67" s="52" t="e">
        <f>IF(+All!#REF!="North Texas",+All!#REF!,IF(+All!#REF!="North Texas",+All!#REF!,0))</f>
        <v>#REF!</v>
      </c>
      <c r="H67" s="51" t="e">
        <f>IF(+All!#REF!="North Texas",+All!#REF!,IF(+All!#REF!="North Texas",+All!#REF!,0))</f>
        <v>#REF!</v>
      </c>
      <c r="I67" s="52" t="e">
        <f>IF(+All!#REF!="North Texas",+All!#REF!,IF(+All!#REF!="North Texas",+All!#REF!,0))</f>
        <v>#REF!</v>
      </c>
      <c r="J67" s="460" t="e">
        <f>IF(+All!#REF!="North Texas",+All!#REF!,IF(+All!#REF!="North Texas",+All!#REF!,0))</f>
        <v>#REF!</v>
      </c>
      <c r="K67" s="461" t="e">
        <f>IF(+All!#REF!="North Texas",+All!#REF!,IF(+All!#REF!="North Texas",+All!#REF!,0))</f>
        <v>#REF!</v>
      </c>
      <c r="L67" s="54" t="e">
        <f>IF(+All!#REF!="North Texas",+All!#REF!,IF(+All!#REF!="North Texas",+All!#REF!,0))</f>
        <v>#REF!</v>
      </c>
      <c r="M67" s="55" t="e">
        <f>IF(+All!#REF!="North Texas",+All!#REF!,IF(+All!#REF!="North Texas",+All!#REF!,0))</f>
        <v>#REF!</v>
      </c>
      <c r="N67" s="460" t="e">
        <f>IF(+All!#REF!="North Texas",+All!#REF!,IF(+All!#REF!="North Texas",+All!#REF!,0))</f>
        <v>#REF!</v>
      </c>
      <c r="O67" s="462" t="e">
        <f>IF(+All!#REF!="North Texas",+All!#REF!,IF(+All!#REF!="North Texas",+All!#REF!,0))</f>
        <v>#REF!</v>
      </c>
      <c r="P67" s="462" t="e">
        <f>IF(+All!#REF!="North Texas",+All!#REF!,IF(+All!#REF!="North Texas",+All!#REF!,0))</f>
        <v>#REF!</v>
      </c>
      <c r="Q67" s="461" t="e">
        <f>IF(+All!#REF!="North Texas",+All!#REF!,IF(+All!#REF!="North Texas",+All!#REF!,0))</f>
        <v>#REF!</v>
      </c>
      <c r="R67" s="460" t="e">
        <f>IF(+All!#REF!="North Texas",+All!#REF!,IF(+All!#REF!="North Texas",+All!#REF!,0))</f>
        <v>#REF!</v>
      </c>
      <c r="S67" s="462" t="e">
        <f>IF(+All!#REF!="North Texas",+All!#REF!,IF(+All!#REF!="North Texas",+All!#REF!,0))</f>
        <v>#REF!</v>
      </c>
      <c r="T67" s="460" t="e">
        <f>IF(+All!#REF!="North Texas",+All!#REF!,IF(+All!#REF!="North Texas",+All!#REF!,0))</f>
        <v>#REF!</v>
      </c>
      <c r="U67" s="461" t="e">
        <f>IF(+All!#REF!="North Texas",+All!#REF!,IF(+All!#REF!="North Texas",+All!#REF!,0))</f>
        <v>#REF!</v>
      </c>
    </row>
    <row r="68" spans="1:21" x14ac:dyDescent="0.8">
      <c r="A68" s="46">
        <f>IF(+All!$F459="North Texas",+All!A459,IF(+All!$H459="North Texas",+All!A459,0))</f>
        <v>7</v>
      </c>
      <c r="B68" s="348" t="str">
        <f>IF(+All!$F459="North Texas",+All!B459,IF(+All!$H459="North Texas",+All!B459,0))</f>
        <v>Sat</v>
      </c>
      <c r="C68" s="48">
        <f>IF(+All!$F459="North Texas",+All!C459,IF(+All!$H459="North Texas",+All!C459,0))</f>
        <v>44849</v>
      </c>
      <c r="D68" s="490">
        <f>IF(+All!$F459="North Texas",+All!D459,IF(+All!$H459="North Texas",+All!D459,0))</f>
        <v>0.66666666666666663</v>
      </c>
      <c r="E68" s="461">
        <f>IF(+All!$F459="North Texas",+All!E459,IF(+All!$H459="North Texas",+All!E459,0))</f>
        <v>0</v>
      </c>
      <c r="F68" s="51" t="str">
        <f>IF(+All!$F459="North Texas",+All!F459,IF(+All!$H459="North Texas",+All!F459,0))</f>
        <v>Louisiana Tech</v>
      </c>
      <c r="G68" s="52" t="str">
        <f>IF(+All!$F459="North Texas",+All!G459,IF(+All!$H459="North Texas",+All!G459,0))</f>
        <v>CUSA</v>
      </c>
      <c r="H68" s="51" t="str">
        <f>IF(+All!$F459="North Texas",+All!H459,IF(+All!$H459="North Texas",+All!H459,0))</f>
        <v>North Texas</v>
      </c>
      <c r="I68" s="52" t="str">
        <f>IF(+All!$F459="North Texas",+All!I459,IF(+All!$H459="North Texas",+All!I459,0))</f>
        <v>CUSA</v>
      </c>
      <c r="J68" s="460" t="str">
        <f>IF(+All!$F459="North Texas",+All!J459,IF(+All!$H459="North Texas",+All!J459,0))</f>
        <v>North Texas</v>
      </c>
      <c r="K68" s="461" t="str">
        <f>IF(+All!$F459="North Texas",+All!K459,IF(+All!$H459="North Texas",+All!K459,0))</f>
        <v>Louisiana Tech</v>
      </c>
      <c r="L68" s="54">
        <f>IF(+All!$F459="North Texas",+All!L459,IF(+All!$H459="North Texas",+All!L459,0))</f>
        <v>6.5</v>
      </c>
      <c r="M68" s="55">
        <f>IF(+All!$F459="North Texas",+All!M459,IF(+All!$H459="North Texas",+All!M459,0))</f>
        <v>69</v>
      </c>
      <c r="N68" s="460" t="str">
        <f>IF(+All!$F459="North Texas",+All!N459,IF(+All!$H459="North Texas",+All!N459,0))</f>
        <v>North Texas</v>
      </c>
      <c r="O68" s="462">
        <f>IF(+All!$F459="North Texas",+All!O459,IF(+All!$H459="North Texas",+All!O459,0))</f>
        <v>47</v>
      </c>
      <c r="P68" s="462" t="str">
        <f>IF(+All!$F459="North Texas",+All!P459,IF(+All!$H459="North Texas",+All!P459,0))</f>
        <v>Louisiana Tech</v>
      </c>
      <c r="Q68" s="461">
        <f>IF(+All!$F459="North Texas",+All!Q459,IF(+All!$H459="North Texas",+All!Q459,0))</f>
        <v>27</v>
      </c>
      <c r="R68" s="460" t="str">
        <f>IF(+All!$F459="North Texas",+All!R459,IF(+All!$H459="North Texas",+All!R459,0))</f>
        <v>North Texas</v>
      </c>
      <c r="S68" s="462" t="str">
        <f>IF(+All!$F459="North Texas",+All!S459,IF(+All!$H459="North Texas",+All!S459,0))</f>
        <v>Louisiana Tech</v>
      </c>
      <c r="T68" s="460" t="str">
        <f>IF(+All!$F459="North Texas",+All!T459,IF(+All!$H459="North Texas",+All!T459,0))</f>
        <v>Louisiana Tech</v>
      </c>
      <c r="U68" s="461" t="str">
        <f>IF(+All!$F459="North Texas",+All!U459,IF(+All!$H459="North Texas",+All!U459,0))</f>
        <v>L</v>
      </c>
    </row>
    <row r="69" spans="1:21" x14ac:dyDescent="0.8">
      <c r="A69" s="46">
        <f>IF(+All!$F515="North Texas",+All!A515,IF(+All!$H515="North Texas",+All!A515,0))</f>
        <v>8</v>
      </c>
      <c r="B69" s="348" t="str">
        <f>IF(+All!$F515="North Texas",+All!B515,IF(+All!$H515="North Texas",+All!B515,0))</f>
        <v>Sat</v>
      </c>
      <c r="C69" s="48">
        <f>IF(+All!$F515="North Texas",+All!C515,IF(+All!$H515="North Texas",+All!C515,0))</f>
        <v>44856</v>
      </c>
      <c r="D69" s="490">
        <f>IF(+All!$F515="North Texas",+All!D515,IF(+All!$H515="North Texas",+All!D515,0))</f>
        <v>0.64583333333333337</v>
      </c>
      <c r="E69" s="461">
        <f>IF(+All!$F515="North Texas",+All!E515,IF(+All!$H515="North Texas",+All!E515,0))</f>
        <v>0</v>
      </c>
      <c r="F69" s="51" t="str">
        <f>IF(+All!$F515="North Texas",+All!F515,IF(+All!$H515="North Texas",+All!F515,0))</f>
        <v>North Texas</v>
      </c>
      <c r="G69" s="52" t="str">
        <f>IF(+All!$F515="North Texas",+All!G515,IF(+All!$H515="North Texas",+All!G515,0))</f>
        <v>CUSA</v>
      </c>
      <c r="H69" s="51" t="str">
        <f>IF(+All!$F515="North Texas",+All!H515,IF(+All!$H515="North Texas",+All!H515,0))</f>
        <v>UT San Antonio</v>
      </c>
      <c r="I69" s="52" t="str">
        <f>IF(+All!$F515="North Texas",+All!I515,IF(+All!$H515="North Texas",+All!I515,0))</f>
        <v>CUSA</v>
      </c>
      <c r="J69" s="460" t="str">
        <f>IF(+All!$F515="North Texas",+All!J515,IF(+All!$H515="North Texas",+All!J515,0))</f>
        <v>UT San Antonio</v>
      </c>
      <c r="K69" s="461" t="str">
        <f>IF(+All!$F515="North Texas",+All!K515,IF(+All!$H515="North Texas",+All!K515,0))</f>
        <v>North Texas</v>
      </c>
      <c r="L69" s="54">
        <f>IF(+All!$F515="North Texas",+All!L515,IF(+All!$H515="North Texas",+All!L515,0))</f>
        <v>10</v>
      </c>
      <c r="M69" s="55">
        <f>IF(+All!$F515="North Texas",+All!M515,IF(+All!$H515="North Texas",+All!M515,0))</f>
        <v>71.5</v>
      </c>
      <c r="N69" s="460" t="str">
        <f>IF(+All!$F515="North Texas",+All!N515,IF(+All!$H515="North Texas",+All!N515,0))</f>
        <v>UT San Antonio</v>
      </c>
      <c r="O69" s="462">
        <f>IF(+All!$F515="North Texas",+All!O515,IF(+All!$H515="North Texas",+All!O515,0))</f>
        <v>31</v>
      </c>
      <c r="P69" s="462" t="str">
        <f>IF(+All!$F515="North Texas",+All!P515,IF(+All!$H515="North Texas",+All!P515,0))</f>
        <v>North Texas</v>
      </c>
      <c r="Q69" s="461">
        <f>IF(+All!$F515="North Texas",+All!Q515,IF(+All!$H515="North Texas",+All!Q515,0))</f>
        <v>27</v>
      </c>
      <c r="R69" s="460" t="str">
        <f>IF(+All!$F515="North Texas",+All!R515,IF(+All!$H515="North Texas",+All!R515,0))</f>
        <v>North Texas</v>
      </c>
      <c r="S69" s="462" t="str">
        <f>IF(+All!$F515="North Texas",+All!S515,IF(+All!$H515="North Texas",+All!S515,0))</f>
        <v>UT San Antonio</v>
      </c>
      <c r="T69" s="460" t="str">
        <f>IF(+All!$F515="North Texas",+All!T515,IF(+All!$H515="North Texas",+All!T515,0))</f>
        <v>UT San Antonio</v>
      </c>
      <c r="U69" s="461" t="str">
        <f>IF(+All!$F515="North Texas",+All!U515,IF(+All!$H515="North Texas",+All!U515,0))</f>
        <v>L</v>
      </c>
    </row>
    <row r="70" spans="1:21" x14ac:dyDescent="0.8">
      <c r="A70" s="46">
        <f>IF(+All!$F571="North Texas",+All!A571,IF(+All!$H571="North Texas",+All!A571,0))</f>
        <v>9</v>
      </c>
      <c r="B70" s="348" t="str">
        <f>IF(+All!$F571="North Texas",+All!B571,IF(+All!$H571="North Texas",+All!B571,0))</f>
        <v>Sat</v>
      </c>
      <c r="C70" s="48">
        <f>IF(+All!$F571="North Texas",+All!C571,IF(+All!$H571="North Texas",+All!C571,0))</f>
        <v>44863</v>
      </c>
      <c r="D70" s="490">
        <f>IF(+All!$F571="North Texas",+All!D571,IF(+All!$H571="North Texas",+All!D571,0))</f>
        <v>0.64583333333333337</v>
      </c>
      <c r="E70" s="461">
        <f>IF(+All!$F571="North Texas",+All!E571,IF(+All!$H571="North Texas",+All!E571,0))</f>
        <v>0</v>
      </c>
      <c r="F70" s="51" t="str">
        <f>IF(+All!$F571="North Texas",+All!F571,IF(+All!$H571="North Texas",+All!F571,0))</f>
        <v>North Texas</v>
      </c>
      <c r="G70" s="52" t="str">
        <f>IF(+All!$F571="North Texas",+All!G571,IF(+All!$H571="North Texas",+All!G571,0))</f>
        <v>CUSA</v>
      </c>
      <c r="H70" s="51" t="str">
        <f>IF(+All!$F571="North Texas",+All!H571,IF(+All!$H571="North Texas",+All!H571,0))</f>
        <v>Western Kentucky</v>
      </c>
      <c r="I70" s="52" t="str">
        <f>IF(+All!$F571="North Texas",+All!I571,IF(+All!$H571="North Texas",+All!I571,0))</f>
        <v>CUSA</v>
      </c>
      <c r="J70" s="460" t="str">
        <f>IF(+All!$F571="North Texas",+All!J571,IF(+All!$H571="North Texas",+All!J571,0))</f>
        <v>Western Kentucky</v>
      </c>
      <c r="K70" s="461" t="str">
        <f>IF(+All!$F571="North Texas",+All!K571,IF(+All!$H571="North Texas",+All!K571,0))</f>
        <v>North Texas</v>
      </c>
      <c r="L70" s="54">
        <f>IF(+All!$F571="North Texas",+All!L571,IF(+All!$H571="North Texas",+All!L571,0))</f>
        <v>10</v>
      </c>
      <c r="M70" s="55">
        <f>IF(+All!$F571="North Texas",+All!M571,IF(+All!$H571="North Texas",+All!M571,0))</f>
        <v>68</v>
      </c>
      <c r="N70" s="460" t="str">
        <f>IF(+All!$F571="North Texas",+All!N571,IF(+All!$H571="North Texas",+All!N571,0))</f>
        <v>North Texas</v>
      </c>
      <c r="O70" s="462">
        <f>IF(+All!$F571="North Texas",+All!O571,IF(+All!$H571="North Texas",+All!O571,0))</f>
        <v>40</v>
      </c>
      <c r="P70" s="462" t="str">
        <f>IF(+All!$F571="North Texas",+All!P571,IF(+All!$H571="North Texas",+All!P571,0))</f>
        <v>Western Kentucky</v>
      </c>
      <c r="Q70" s="461">
        <f>IF(+All!$F571="North Texas",+All!Q571,IF(+All!$H571="North Texas",+All!Q571,0))</f>
        <v>13</v>
      </c>
      <c r="R70" s="460" t="str">
        <f>IF(+All!$F571="North Texas",+All!R571,IF(+All!$H571="North Texas",+All!R571,0))</f>
        <v>North Texas</v>
      </c>
      <c r="S70" s="462" t="str">
        <f>IF(+All!$F571="North Texas",+All!S571,IF(+All!$H571="North Texas",+All!S571,0))</f>
        <v>Western Kentucky</v>
      </c>
      <c r="T70" s="460" t="str">
        <f>IF(+All!$F571="North Texas",+All!T571,IF(+All!$H571="North Texas",+All!T571,0))</f>
        <v>North Texas</v>
      </c>
      <c r="U70" s="461" t="str">
        <f>IF(+All!$F571="North Texas",+All!U571,IF(+All!$H571="North Texas",+All!U571,0))</f>
        <v>W</v>
      </c>
    </row>
    <row r="71" spans="1:21" x14ac:dyDescent="0.8">
      <c r="A71" s="46">
        <f>IF(+All!$F626="North Texas",+All!A626,IF(+All!$H626="North Texas",+All!A626,0))</f>
        <v>10</v>
      </c>
      <c r="B71" s="348" t="str">
        <f>IF(+All!$F626="North Texas",+All!B626,IF(+All!$H626="North Texas",+All!B626,0))</f>
        <v>Sat</v>
      </c>
      <c r="C71" s="48">
        <f>IF(+All!$F626="North Texas",+All!C626,IF(+All!$H626="North Texas",+All!C626,0))</f>
        <v>44870</v>
      </c>
      <c r="D71" s="490">
        <f>IF(+All!$F626="North Texas",+All!D626,IF(+All!$H626="North Texas",+All!D626,0))</f>
        <v>0.66666666666666663</v>
      </c>
      <c r="E71" s="461">
        <f>IF(+All!$F626="North Texas",+All!E626,IF(+All!$H626="North Texas",+All!E626,0))</f>
        <v>0</v>
      </c>
      <c r="F71" s="51" t="str">
        <f>IF(+All!$F626="North Texas",+All!F626,IF(+All!$H626="North Texas",+All!F626,0))</f>
        <v>Florida Intl</v>
      </c>
      <c r="G71" s="52" t="str">
        <f>IF(+All!$F626="North Texas",+All!G626,IF(+All!$H626="North Texas",+All!G626,0))</f>
        <v>CUSA</v>
      </c>
      <c r="H71" s="51" t="str">
        <f>IF(+All!$F626="North Texas",+All!H626,IF(+All!$H626="North Texas",+All!H626,0))</f>
        <v>North Texas</v>
      </c>
      <c r="I71" s="52" t="str">
        <f>IF(+All!$F626="North Texas",+All!I626,IF(+All!$H626="North Texas",+All!I626,0))</f>
        <v>CUSA</v>
      </c>
      <c r="J71" s="460" t="str">
        <f>IF(+All!$F626="North Texas",+All!J626,IF(+All!$H626="North Texas",+All!J626,0))</f>
        <v>North Texas</v>
      </c>
      <c r="K71" s="461" t="str">
        <f>IF(+All!$F626="North Texas",+All!K626,IF(+All!$H626="North Texas",+All!K626,0))</f>
        <v>Florida Intl</v>
      </c>
      <c r="L71" s="54">
        <f>IF(+All!$F626="North Texas",+All!L626,IF(+All!$H626="North Texas",+All!L626,0))</f>
        <v>21</v>
      </c>
      <c r="M71" s="55">
        <f>IF(+All!$F626="North Texas",+All!M626,IF(+All!$H626="North Texas",+All!M626,0))</f>
        <v>62</v>
      </c>
      <c r="N71" s="460" t="str">
        <f>IF(+All!$F626="North Texas",+All!N626,IF(+All!$H626="North Texas",+All!N626,0))</f>
        <v>North Texas</v>
      </c>
      <c r="O71" s="462">
        <f>IF(+All!$F626="North Texas",+All!O626,IF(+All!$H626="North Texas",+All!O626,0))</f>
        <v>52</v>
      </c>
      <c r="P71" s="462" t="str">
        <f>IF(+All!$F626="North Texas",+All!P626,IF(+All!$H626="North Texas",+All!P626,0))</f>
        <v>Florida Intl</v>
      </c>
      <c r="Q71" s="461">
        <f>IF(+All!$F626="North Texas",+All!Q626,IF(+All!$H626="North Texas",+All!Q626,0))</f>
        <v>14</v>
      </c>
      <c r="R71" s="460" t="str">
        <f>IF(+All!$F626="North Texas",+All!R626,IF(+All!$H626="North Texas",+All!R626,0))</f>
        <v>North Texas</v>
      </c>
      <c r="S71" s="462" t="str">
        <f>IF(+All!$F626="North Texas",+All!S626,IF(+All!$H626="North Texas",+All!S626,0))</f>
        <v>Florida Intl</v>
      </c>
      <c r="T71" s="460" t="str">
        <f>IF(+All!$F626="North Texas",+All!T626,IF(+All!$H626="North Texas",+All!T626,0))</f>
        <v>North Texas</v>
      </c>
      <c r="U71" s="461" t="str">
        <f>IF(+All!$F626="North Texas",+All!U626,IF(+All!$H626="North Texas",+All!U626,0))</f>
        <v>W</v>
      </c>
    </row>
    <row r="72" spans="1:21" x14ac:dyDescent="0.8">
      <c r="A72" s="46">
        <f>IF(+All!$F689="North Texas",+All!A689,IF(+All!$H689="North Texas",+All!A689,0))</f>
        <v>11</v>
      </c>
      <c r="B72" s="348" t="str">
        <f>IF(+All!$F689="North Texas",+All!B689,IF(+All!$H689="North Texas",+All!B689,0))</f>
        <v>Sat</v>
      </c>
      <c r="C72" s="48">
        <f>IF(+All!$F689="North Texas",+All!C689,IF(+All!$H689="North Texas",+All!C689,0))</f>
        <v>44877</v>
      </c>
      <c r="D72" s="490">
        <f>IF(+All!$F689="North Texas",+All!D689,IF(+All!$H689="North Texas",+All!D689,0))</f>
        <v>0.64583333333333337</v>
      </c>
      <c r="E72" s="461">
        <f>IF(+All!$F689="North Texas",+All!E689,IF(+All!$H689="North Texas",+All!E689,0))</f>
        <v>0</v>
      </c>
      <c r="F72" s="51" t="str">
        <f>IF(+All!$F689="North Texas",+All!F689,IF(+All!$H689="North Texas",+All!F689,0))</f>
        <v>North Texas</v>
      </c>
      <c r="G72" s="52" t="str">
        <f>IF(+All!$F689="North Texas",+All!G689,IF(+All!$H689="North Texas",+All!G689,0))</f>
        <v>CUSA</v>
      </c>
      <c r="H72" s="51" t="str">
        <f>IF(+All!$F689="North Texas",+All!H689,IF(+All!$H689="North Texas",+All!H689,0))</f>
        <v>UAB</v>
      </c>
      <c r="I72" s="52" t="str">
        <f>IF(+All!$F689="North Texas",+All!I689,IF(+All!$H689="North Texas",+All!I689,0))</f>
        <v>CUSA</v>
      </c>
      <c r="J72" s="460" t="str">
        <f>IF(+All!$F689="North Texas",+All!J689,IF(+All!$H689="North Texas",+All!J689,0))</f>
        <v>UAB</v>
      </c>
      <c r="K72" s="461" t="str">
        <f>IF(+All!$F689="North Texas",+All!K689,IF(+All!$H689="North Texas",+All!K689,0))</f>
        <v>North Texas</v>
      </c>
      <c r="L72" s="54">
        <f>IF(+All!$F689="North Texas",+All!L689,IF(+All!$H689="North Texas",+All!L689,0))</f>
        <v>5</v>
      </c>
      <c r="M72" s="55">
        <f>IF(+All!$F689="North Texas",+All!M689,IF(+All!$H689="North Texas",+All!M689,0))</f>
        <v>57.5</v>
      </c>
      <c r="N72" s="460" t="str">
        <f>IF(+All!$F689="North Texas",+All!N689,IF(+All!$H689="North Texas",+All!N689,0))</f>
        <v>UAB</v>
      </c>
      <c r="O72" s="462">
        <f>IF(+All!$F689="North Texas",+All!O689,IF(+All!$H689="North Texas",+All!O689,0))</f>
        <v>41</v>
      </c>
      <c r="P72" s="462" t="str">
        <f>IF(+All!$F689="North Texas",+All!P689,IF(+All!$H689="North Texas",+All!P689,0))</f>
        <v>North Texas</v>
      </c>
      <c r="Q72" s="461">
        <f>IF(+All!$F689="North Texas",+All!Q689,IF(+All!$H689="North Texas",+All!Q689,0))</f>
        <v>21</v>
      </c>
      <c r="R72" s="460" t="str">
        <f>IF(+All!$F689="North Texas",+All!R689,IF(+All!$H689="North Texas",+All!R689,0))</f>
        <v>UAB</v>
      </c>
      <c r="S72" s="462" t="str">
        <f>IF(+All!$F689="North Texas",+All!S689,IF(+All!$H689="North Texas",+All!S689,0))</f>
        <v>North Texas</v>
      </c>
      <c r="T72" s="460" t="str">
        <f>IF(+All!$F689="North Texas",+All!T689,IF(+All!$H689="North Texas",+All!T689,0))</f>
        <v>North Texas</v>
      </c>
      <c r="U72" s="461" t="str">
        <f>IF(+All!$F689="North Texas",+All!U689,IF(+All!$H689="North Texas",+All!U689,0))</f>
        <v>L</v>
      </c>
    </row>
    <row r="73" spans="1:21" x14ac:dyDescent="0.8">
      <c r="A73" s="46" t="e">
        <f>IF(+All!#REF!="North Texas",+All!#REF!,IF(+All!#REF!="North Texas",+All!#REF!,0))</f>
        <v>#REF!</v>
      </c>
      <c r="B73" s="348" t="e">
        <f>IF(+All!#REF!="North Texas",+All!#REF!,IF(+All!#REF!="North Texas",+All!#REF!,0))</f>
        <v>#REF!</v>
      </c>
      <c r="C73" s="48" t="e">
        <f>IF(+All!#REF!="North Texas",+All!#REF!,IF(+All!#REF!="North Texas",+All!#REF!,0))</f>
        <v>#REF!</v>
      </c>
      <c r="D73" s="490" t="e">
        <f>IF(+All!#REF!="North Texas",+All!#REF!,IF(+All!#REF!="North Texas",+All!#REF!,0))</f>
        <v>#REF!</v>
      </c>
      <c r="E73" s="461" t="e">
        <f>IF(+All!#REF!="North Texas",+All!#REF!,IF(+All!#REF!="North Texas",+All!#REF!,0))</f>
        <v>#REF!</v>
      </c>
      <c r="F73" s="51" t="e">
        <f>IF(+All!#REF!="North Texas",+All!#REF!,IF(+All!#REF!="North Texas",+All!#REF!,0))</f>
        <v>#REF!</v>
      </c>
      <c r="G73" s="52" t="e">
        <f>IF(+All!#REF!="North Texas",+All!#REF!,IF(+All!#REF!="North Texas",+All!#REF!,0))</f>
        <v>#REF!</v>
      </c>
      <c r="H73" s="51" t="e">
        <f>IF(+All!#REF!="North Texas",+All!#REF!,IF(+All!#REF!="North Texas",+All!#REF!,0))</f>
        <v>#REF!</v>
      </c>
      <c r="I73" s="52" t="e">
        <f>IF(+All!#REF!="North Texas",+All!#REF!,IF(+All!#REF!="North Texas",+All!#REF!,0))</f>
        <v>#REF!</v>
      </c>
      <c r="J73" s="460" t="e">
        <f>IF(+All!#REF!="North Texas",+All!#REF!,IF(+All!#REF!="North Texas",+All!#REF!,0))</f>
        <v>#REF!</v>
      </c>
      <c r="K73" s="461" t="e">
        <f>IF(+All!#REF!="North Texas",+All!#REF!,IF(+All!#REF!="North Texas",+All!#REF!,0))</f>
        <v>#REF!</v>
      </c>
      <c r="L73" s="54" t="e">
        <f>IF(+All!#REF!="North Texas",+All!#REF!,IF(+All!#REF!="North Texas",+All!#REF!,0))</f>
        <v>#REF!</v>
      </c>
      <c r="M73" s="55" t="e">
        <f>IF(+All!#REF!="North Texas",+All!#REF!,IF(+All!#REF!="North Texas",+All!#REF!,0))</f>
        <v>#REF!</v>
      </c>
      <c r="N73" s="460" t="e">
        <f>IF(+All!#REF!="North Texas",+All!#REF!,IF(+All!#REF!="North Texas",+All!#REF!,0))</f>
        <v>#REF!</v>
      </c>
      <c r="O73" s="462" t="e">
        <f>IF(+All!#REF!="North Texas",+All!#REF!,IF(+All!#REF!="North Texas",+All!#REF!,0))</f>
        <v>#REF!</v>
      </c>
      <c r="P73" s="462" t="e">
        <f>IF(+All!#REF!="North Texas",+All!#REF!,IF(+All!#REF!="North Texas",+All!#REF!,0))</f>
        <v>#REF!</v>
      </c>
      <c r="Q73" s="461" t="e">
        <f>IF(+All!#REF!="North Texas",+All!#REF!,IF(+All!#REF!="North Texas",+All!#REF!,0))</f>
        <v>#REF!</v>
      </c>
      <c r="R73" s="460" t="e">
        <f>IF(+All!#REF!="North Texas",+All!#REF!,IF(+All!#REF!="North Texas",+All!#REF!,0))</f>
        <v>#REF!</v>
      </c>
      <c r="S73" s="462" t="e">
        <f>IF(+All!#REF!="North Texas",+All!#REF!,IF(+All!#REF!="North Texas",+All!#REF!,0))</f>
        <v>#REF!</v>
      </c>
      <c r="T73" s="460" t="e">
        <f>IF(+All!#REF!="North Texas",+All!#REF!,IF(+All!#REF!="North Texas",+All!#REF!,0))</f>
        <v>#REF!</v>
      </c>
      <c r="U73" s="461" t="e">
        <f>IF(+All!#REF!="North Texas",+All!#REF!,IF(+All!#REF!="North Texas",+All!#REF!,0))</f>
        <v>#REF!</v>
      </c>
    </row>
    <row r="74" spans="1:21" x14ac:dyDescent="0.8">
      <c r="A74" s="46">
        <f>IF(+All!$F821="North Texas",+All!A821,IF(+All!$H821="North Texas",+All!A821,0))</f>
        <v>13</v>
      </c>
      <c r="B74" s="348" t="str">
        <f>IF(+All!$F821="North Texas",+All!B821,IF(+All!$H821="North Texas",+All!B821,0))</f>
        <v>Sat</v>
      </c>
      <c r="C74" s="48">
        <f>IF(+All!$F821="North Texas",+All!C821,IF(+All!$H821="North Texas",+All!C821,0))</f>
        <v>44891</v>
      </c>
      <c r="D74" s="490">
        <f>IF(+All!$F821="North Texas",+All!D821,IF(+All!$H821="North Texas",+All!D821,0))</f>
        <v>0.58333333333333337</v>
      </c>
      <c r="E74" s="461">
        <f>IF(+All!$F821="North Texas",+All!E821,IF(+All!$H821="North Texas",+All!E821,0))</f>
        <v>0</v>
      </c>
      <c r="F74" s="51" t="str">
        <f>IF(+All!$F821="North Texas",+All!F821,IF(+All!$H821="North Texas",+All!F821,0))</f>
        <v>Rice</v>
      </c>
      <c r="G74" s="52" t="str">
        <f>IF(+All!$F821="North Texas",+All!G821,IF(+All!$H821="North Texas",+All!G821,0))</f>
        <v>CUSA</v>
      </c>
      <c r="H74" s="51" t="str">
        <f>IF(+All!$F821="North Texas",+All!H821,IF(+All!$H821="North Texas",+All!H821,0))</f>
        <v>North Texas</v>
      </c>
      <c r="I74" s="52" t="str">
        <f>IF(+All!$F821="North Texas",+All!I821,IF(+All!$H821="North Texas",+All!I821,0))</f>
        <v>CUSA</v>
      </c>
      <c r="J74" s="460" t="str">
        <f>IF(+All!$F821="North Texas",+All!J821,IF(+All!$H821="North Texas",+All!J821,0))</f>
        <v>North Texas</v>
      </c>
      <c r="K74" s="461" t="str">
        <f>IF(+All!$F821="North Texas",+All!K821,IF(+All!$H821="North Texas",+All!K821,0))</f>
        <v>Rice</v>
      </c>
      <c r="L74" s="54">
        <f>IF(+All!$F821="North Texas",+All!L821,IF(+All!$H821="North Texas",+All!L821,0))</f>
        <v>14.5</v>
      </c>
      <c r="M74" s="55">
        <f>IF(+All!$F821="North Texas",+All!M821,IF(+All!$H821="North Texas",+All!M821,0))</f>
        <v>58.5</v>
      </c>
      <c r="N74" s="460" t="str">
        <f>IF(+All!$F821="North Texas",+All!N821,IF(+All!$H821="North Texas",+All!N821,0))</f>
        <v>North Texas</v>
      </c>
      <c r="O74" s="462">
        <f>IF(+All!$F821="North Texas",+All!O821,IF(+All!$H821="North Texas",+All!O821,0))</f>
        <v>21</v>
      </c>
      <c r="P74" s="462" t="str">
        <f>IF(+All!$F821="North Texas",+All!P821,IF(+All!$H821="North Texas",+All!P821,0))</f>
        <v>Rice</v>
      </c>
      <c r="Q74" s="461">
        <f>IF(+All!$F821="North Texas",+All!Q821,IF(+All!$H821="North Texas",+All!Q821,0))</f>
        <v>17</v>
      </c>
      <c r="R74" s="460" t="str">
        <f>IF(+All!$F821="North Texas",+All!R821,IF(+All!$H821="North Texas",+All!R821,0))</f>
        <v>Rice</v>
      </c>
      <c r="S74" s="462" t="str">
        <f>IF(+All!$F821="North Texas",+All!S821,IF(+All!$H821="North Texas",+All!S821,0))</f>
        <v>North Texas</v>
      </c>
      <c r="T74" s="460" t="str">
        <f>IF(+All!$F821="North Texas",+All!T821,IF(+All!$H821="North Texas",+All!T821,0))</f>
        <v>North Texas</v>
      </c>
      <c r="U74" s="461" t="str">
        <f>IF(+All!$F821="North Texas",+All!U821,IF(+All!$H821="North Texas",+All!U821,0))</f>
        <v>L</v>
      </c>
    </row>
    <row r="75" spans="1:21" x14ac:dyDescent="0.8">
      <c r="B75" s="46"/>
      <c r="C75" s="62"/>
      <c r="D75" s="49"/>
      <c r="F75" s="897" t="str">
        <f>H77</f>
        <v>Rice</v>
      </c>
      <c r="G75" s="901"/>
      <c r="H75" s="901"/>
      <c r="I75" s="902"/>
      <c r="L75" s="54"/>
      <c r="M75" s="55"/>
    </row>
    <row r="76" spans="1:21" x14ac:dyDescent="0.8">
      <c r="A76" s="46">
        <f>IF(+All!$F69="Rice",+All!A69,IF(+All!$H69="Rice",+All!A69,0))</f>
        <v>1</v>
      </c>
      <c r="B76" s="348" t="str">
        <f>IF(+All!$F69="Rice",+All!B69,IF(+All!$H69="Rice",+All!B69,0))</f>
        <v>Sat</v>
      </c>
      <c r="C76" s="48">
        <f>IF(+All!$F69="Rice",+All!C69,IF(+All!$H69="Rice",+All!C69,0))</f>
        <v>44807</v>
      </c>
      <c r="D76" s="490">
        <f>IF(+All!$F69="Rice",+All!D69,IF(+All!$H69="Rice",+All!D69,0))</f>
        <v>0.75</v>
      </c>
      <c r="E76" s="461" t="str">
        <f>IF(+All!$F69="Rice",+All!E69,IF(+All!$H69="Rice",+All!E69,0))</f>
        <v>PAC12</v>
      </c>
      <c r="F76" s="51" t="str">
        <f>IF(+All!$F69="Rice",+All!F69,IF(+All!$H69="Rice",+All!F69,0))</f>
        <v>Rice</v>
      </c>
      <c r="G76" s="52" t="str">
        <f>IF(+All!$F69="Rice",+All!G69,IF(+All!$H69="Rice",+All!G69,0))</f>
        <v>CUSA</v>
      </c>
      <c r="H76" s="51" t="str">
        <f>IF(+All!$F69="Rice",+All!H69,IF(+All!$H69="Rice",+All!H69,0))</f>
        <v>Southern Cal</v>
      </c>
      <c r="I76" s="52" t="str">
        <f>IF(+All!$F69="Rice",+All!I69,IF(+All!$H69="Rice",+All!I69,0))</f>
        <v>P12</v>
      </c>
      <c r="J76" s="460" t="str">
        <f>IF(+All!$F69="Rice",+All!J69,IF(+All!$H69="Rice",+All!J69,0))</f>
        <v>Southern Cal</v>
      </c>
      <c r="K76" s="461" t="str">
        <f>IF(+All!$F69="Rice",+All!K69,IF(+All!$H69="Rice",+All!K69,0))</f>
        <v>Rice</v>
      </c>
      <c r="L76" s="54">
        <f>IF(+All!$F69="Rice",+All!L69,IF(+All!$H69="Rice",+All!L69,0))</f>
        <v>32.5</v>
      </c>
      <c r="M76" s="55">
        <f>IF(+All!$F69="Rice",+All!M69,IF(+All!$H69="Rice",+All!M69,0))</f>
        <v>61.5</v>
      </c>
      <c r="N76" s="460" t="str">
        <f>IF(+All!$F69="Rice",+All!N69,IF(+All!$H69="Rice",+All!N69,0))</f>
        <v>Southern Cal</v>
      </c>
      <c r="O76" s="462">
        <f>IF(+All!$F69="Rice",+All!O69,IF(+All!$H69="Rice",+All!O69,0))</f>
        <v>66</v>
      </c>
      <c r="P76" s="462" t="str">
        <f>IF(+All!$F69="Rice",+All!P69,IF(+All!$H69="Rice",+All!P69,0))</f>
        <v>Rice</v>
      </c>
      <c r="Q76" s="461">
        <f>IF(+All!$F69="Rice",+All!Q69,IF(+All!$H69="Rice",+All!Q69,0))</f>
        <v>14</v>
      </c>
      <c r="R76" s="460" t="str">
        <f>IF(+All!$F69="Rice",+All!R69,IF(+All!$H69="Rice",+All!R69,0))</f>
        <v>Southern Cal</v>
      </c>
      <c r="S76" s="462" t="str">
        <f>IF(+All!$F69="Rice",+All!S69,IF(+All!$H69="Rice",+All!S69,0))</f>
        <v>Rice</v>
      </c>
      <c r="T76" s="460" t="str">
        <f>IF(+All!$F69="Rice",+All!T69,IF(+All!$H69="Rice",+All!T69,0))</f>
        <v>Southern Cal</v>
      </c>
      <c r="U76" s="461" t="str">
        <f>IF(+All!$F69="Rice",+All!U69,IF(+All!$H69="Rice",+All!U69,0))</f>
        <v>W</v>
      </c>
    </row>
    <row r="77" spans="1:21" x14ac:dyDescent="0.8">
      <c r="A77" s="46">
        <f>IF(+All!$F137="Rice",+All!A137,IF(+All!$H137="Rice",+All!A137,0))</f>
        <v>2</v>
      </c>
      <c r="B77" s="348" t="str">
        <f>IF(+All!$F137="Rice",+All!B137,IF(+All!$H137="Rice",+All!B137,0))</f>
        <v>Sat</v>
      </c>
      <c r="C77" s="48">
        <f>IF(+All!$F137="Rice",+All!C137,IF(+All!$H137="Rice",+All!C137,0))</f>
        <v>44814</v>
      </c>
      <c r="D77" s="490">
        <f>IF(+All!$F137="Rice",+All!D137,IF(+All!$H137="Rice",+All!D137,0))</f>
        <v>0.8125</v>
      </c>
      <c r="E77" s="461" t="str">
        <f>IF(+All!$F137="Rice",+All!E137,IF(+All!$H137="Rice",+All!E137,0))</f>
        <v>espn3</v>
      </c>
      <c r="F77" s="51" t="str">
        <f>IF(+All!$F137="Rice",+All!F137,IF(+All!$H137="Rice",+All!F137,0))</f>
        <v>1AA McNeese St</v>
      </c>
      <c r="G77" s="52" t="str">
        <f>IF(+All!$F137="Rice",+All!G137,IF(+All!$H137="Rice",+All!G137,0))</f>
        <v>1AA</v>
      </c>
      <c r="H77" s="51" t="str">
        <f>IF(+All!$F137="Rice",+All!H137,IF(+All!$H137="Rice",+All!H137,0))</f>
        <v>Rice</v>
      </c>
      <c r="I77" s="52" t="str">
        <f>IF(+All!$F137="Rice",+All!I137,IF(+All!$H137="Rice",+All!I137,0))</f>
        <v>CUSA</v>
      </c>
      <c r="J77" s="460">
        <f>IF(+All!$F137="Rice",+All!J137,IF(+All!$H137="Rice",+All!J137,0))</f>
        <v>0</v>
      </c>
      <c r="K77" s="461">
        <f>IF(+All!$F137="Rice",+All!K137,IF(+All!$H137="Rice",+All!K137,0))</f>
        <v>0</v>
      </c>
      <c r="L77" s="54">
        <f>IF(+All!$F137="Rice",+All!L137,IF(+All!$H137="Rice",+All!L137,0))</f>
        <v>0</v>
      </c>
      <c r="M77" s="55">
        <f>IF(+All!$F137="Rice",+All!M137,IF(+All!$H137="Rice",+All!M137,0))</f>
        <v>0</v>
      </c>
      <c r="N77" s="460" t="str">
        <f>IF(+All!$F137="Rice",+All!N137,IF(+All!$H137="Rice",+All!N137,0))</f>
        <v>Rice</v>
      </c>
      <c r="O77" s="462">
        <f>IF(+All!$F137="Rice",+All!O137,IF(+All!$H137="Rice",+All!O137,0))</f>
        <v>52</v>
      </c>
      <c r="P77" s="462" t="str">
        <f>IF(+All!$F137="Rice",+All!P137,IF(+All!$H137="Rice",+All!P137,0))</f>
        <v>1AA McNeese St</v>
      </c>
      <c r="Q77" s="461">
        <f>IF(+All!$F137="Rice",+All!Q137,IF(+All!$H137="Rice",+All!Q137,0))</f>
        <v>10</v>
      </c>
      <c r="R77" s="460">
        <f>IF(+All!$F137="Rice",+All!R137,IF(+All!$H137="Rice",+All!R137,0))</f>
        <v>0</v>
      </c>
      <c r="S77" s="462">
        <f>IF(+All!$F137="Rice",+All!S137,IF(+All!$H137="Rice",+All!S137,0))</f>
        <v>0</v>
      </c>
      <c r="T77" s="460">
        <f>IF(+All!$F137="Rice",+All!T137,IF(+All!$H137="Rice",+All!T137,0))</f>
        <v>0</v>
      </c>
      <c r="U77" s="461">
        <f>IF(+All!$F137="Rice",+All!U137,IF(+All!$H137="Rice",+All!U137,0))</f>
        <v>0</v>
      </c>
    </row>
    <row r="78" spans="1:21" x14ac:dyDescent="0.8">
      <c r="A78" s="46">
        <f>IF(+All!$F214="Rice",+All!A214,IF(+All!$H214="Rice",+All!A214,0))</f>
        <v>3</v>
      </c>
      <c r="B78" s="348" t="str">
        <f>IF(+All!$F214="Rice",+All!B214,IF(+All!$H214="Rice",+All!B214,0))</f>
        <v>Sat</v>
      </c>
      <c r="C78" s="48">
        <f>IF(+All!$F214="Rice",+All!C214,IF(+All!$H214="Rice",+All!C214,0))</f>
        <v>44821</v>
      </c>
      <c r="D78" s="490">
        <f>IF(+All!$F214="Rice",+All!D214,IF(+All!$H214="Rice",+All!D214,0))</f>
        <v>0.8125</v>
      </c>
      <c r="E78" s="461">
        <f>IF(+All!$F214="Rice",+All!E214,IF(+All!$H214="Rice",+All!E214,0))</f>
        <v>0</v>
      </c>
      <c r="F78" s="51" t="str">
        <f>IF(+All!$F214="Rice",+All!F214,IF(+All!$H214="Rice",+All!F214,0))</f>
        <v>UL Lafayette</v>
      </c>
      <c r="G78" s="52" t="str">
        <f>IF(+All!$F214="Rice",+All!G214,IF(+All!$H214="Rice",+All!G214,0))</f>
        <v>SB</v>
      </c>
      <c r="H78" s="51" t="str">
        <f>IF(+All!$F214="Rice",+All!H214,IF(+All!$H214="Rice",+All!H214,0))</f>
        <v>Rice</v>
      </c>
      <c r="I78" s="52" t="str">
        <f>IF(+All!$F214="Rice",+All!I214,IF(+All!$H214="Rice",+All!I214,0))</f>
        <v>CUSA</v>
      </c>
      <c r="J78" s="460" t="str">
        <f>IF(+All!$F214="Rice",+All!J214,IF(+All!$H214="Rice",+All!J214,0))</f>
        <v>UL Lafayette</v>
      </c>
      <c r="K78" s="461" t="str">
        <f>IF(+All!$F214="Rice",+All!K214,IF(+All!$H214="Rice",+All!K214,0))</f>
        <v>Rice</v>
      </c>
      <c r="L78" s="54">
        <f>IF(+All!$F214="Rice",+All!L214,IF(+All!$H214="Rice",+All!L214,0))</f>
        <v>11.5</v>
      </c>
      <c r="M78" s="55">
        <f>IF(+All!$F214="Rice",+All!M214,IF(+All!$H214="Rice",+All!M214,0))</f>
        <v>50.5</v>
      </c>
      <c r="N78" s="460" t="str">
        <f>IF(+All!$F214="Rice",+All!N214,IF(+All!$H214="Rice",+All!N214,0))</f>
        <v>Rice</v>
      </c>
      <c r="O78" s="462">
        <f>IF(+All!$F214="Rice",+All!O214,IF(+All!$H214="Rice",+All!O214,0))</f>
        <v>33</v>
      </c>
      <c r="P78" s="462" t="str">
        <f>IF(+All!$F214="Rice",+All!P214,IF(+All!$H214="Rice",+All!P214,0))</f>
        <v>UL Lafayette</v>
      </c>
      <c r="Q78" s="461">
        <f>IF(+All!$F214="Rice",+All!Q214,IF(+All!$H214="Rice",+All!Q214,0))</f>
        <v>21</v>
      </c>
      <c r="R78" s="460" t="str">
        <f>IF(+All!$F214="Rice",+All!R214,IF(+All!$H214="Rice",+All!R214,0))</f>
        <v>Rice</v>
      </c>
      <c r="S78" s="462" t="str">
        <f>IF(+All!$F214="Rice",+All!S214,IF(+All!$H214="Rice",+All!S214,0))</f>
        <v>UL Lafayette</v>
      </c>
      <c r="T78" s="460" t="str">
        <f>IF(+All!$F214="Rice",+All!T214,IF(+All!$H214="Rice",+All!T214,0))</f>
        <v>UL Lafayette</v>
      </c>
      <c r="U78" s="461" t="str">
        <f>IF(+All!$F214="Rice",+All!U214,IF(+All!$H214="Rice",+All!U214,0))</f>
        <v>L</v>
      </c>
    </row>
    <row r="79" spans="1:21" x14ac:dyDescent="0.8">
      <c r="A79" s="46">
        <f>IF(+All!$F261="Rice",+All!A261,IF(+All!$H261="Rice",+All!A261,0))</f>
        <v>4</v>
      </c>
      <c r="B79" s="348" t="str">
        <f>IF(+All!$F261="Rice",+All!B261,IF(+All!$H261="Rice",+All!B261,0))</f>
        <v>Sat</v>
      </c>
      <c r="C79" s="48">
        <f>IF(+All!$F261="Rice",+All!C261,IF(+All!$H261="Rice",+All!C261,0))</f>
        <v>44828</v>
      </c>
      <c r="D79" s="490">
        <f>IF(+All!$F261="Rice",+All!D261,IF(+All!$H261="Rice",+All!D261,0))</f>
        <v>0.66666666666666663</v>
      </c>
      <c r="E79" s="461">
        <f>IF(+All!$F261="Rice",+All!E261,IF(+All!$H261="Rice",+All!E261,0))</f>
        <v>0</v>
      </c>
      <c r="F79" s="51" t="str">
        <f>IF(+All!$F261="Rice",+All!F261,IF(+All!$H261="Rice",+All!F261,0))</f>
        <v>Rice</v>
      </c>
      <c r="G79" s="52" t="str">
        <f>IF(+All!$F261="Rice",+All!G261,IF(+All!$H261="Rice",+All!G261,0))</f>
        <v>CUSA</v>
      </c>
      <c r="H79" s="51" t="str">
        <f>IF(+All!$F261="Rice",+All!H261,IF(+All!$H261="Rice",+All!H261,0))</f>
        <v>Houston</v>
      </c>
      <c r="I79" s="52" t="str">
        <f>IF(+All!$F261="Rice",+All!I261,IF(+All!$H261="Rice",+All!I261,0))</f>
        <v>AAC</v>
      </c>
      <c r="J79" s="460" t="str">
        <f>IF(+All!$F261="Rice",+All!J261,IF(+All!$H261="Rice",+All!J261,0))</f>
        <v>Houston</v>
      </c>
      <c r="K79" s="461" t="str">
        <f>IF(+All!$F261="Rice",+All!K261,IF(+All!$H261="Rice",+All!K261,0))</f>
        <v>Rice</v>
      </c>
      <c r="L79" s="54">
        <f>IF(+All!$F261="Rice",+All!L261,IF(+All!$H261="Rice",+All!L261,0))</f>
        <v>17.5</v>
      </c>
      <c r="M79" s="55">
        <f>IF(+All!$F261="Rice",+All!M261,IF(+All!$H261="Rice",+All!M261,0))</f>
        <v>52.5</v>
      </c>
      <c r="N79" s="460" t="str">
        <f>IF(+All!$F261="Rice",+All!N261,IF(+All!$H261="Rice",+All!N261,0))</f>
        <v>Houston</v>
      </c>
      <c r="O79" s="462">
        <f>IF(+All!$F261="Rice",+All!O261,IF(+All!$H261="Rice",+All!O261,0))</f>
        <v>34</v>
      </c>
      <c r="P79" s="462" t="str">
        <f>IF(+All!$F261="Rice",+All!P261,IF(+All!$H261="Rice",+All!P261,0))</f>
        <v>Rice</v>
      </c>
      <c r="Q79" s="461">
        <f>IF(+All!$F261="Rice",+All!Q261,IF(+All!$H261="Rice",+All!Q261,0))</f>
        <v>27</v>
      </c>
      <c r="R79" s="460" t="str">
        <f>IF(+All!$F261="Rice",+All!R261,IF(+All!$H261="Rice",+All!R261,0))</f>
        <v>Rice</v>
      </c>
      <c r="S79" s="462" t="str">
        <f>IF(+All!$F261="Rice",+All!S261,IF(+All!$H261="Rice",+All!S261,0))</f>
        <v>Houston</v>
      </c>
      <c r="T79" s="460" t="str">
        <f>IF(+All!$F261="Rice",+All!T261,IF(+All!$H261="Rice",+All!T261,0))</f>
        <v>Houston</v>
      </c>
      <c r="U79" s="461" t="str">
        <f>IF(+All!$F261="Rice",+All!U261,IF(+All!$H261="Rice",+All!U261,0))</f>
        <v>L</v>
      </c>
    </row>
    <row r="80" spans="1:21" x14ac:dyDescent="0.8">
      <c r="A80" s="46">
        <f>IF(+All!$F348="Rice",+All!A348,IF(+All!$H348="Rice",+All!A348,0))</f>
        <v>5</v>
      </c>
      <c r="B80" s="348" t="str">
        <f>IF(+All!$F348="Rice",+All!B348,IF(+All!$H348="Rice",+All!B348,0))</f>
        <v>Sat</v>
      </c>
      <c r="C80" s="48">
        <f>IF(+All!$F348="Rice",+All!C348,IF(+All!$H348="Rice",+All!C348,0))</f>
        <v>44835</v>
      </c>
      <c r="D80" s="490">
        <f>IF(+All!$F348="Rice",+All!D348,IF(+All!$H348="Rice",+All!D348,0))</f>
        <v>0.8125</v>
      </c>
      <c r="E80" s="461">
        <f>IF(+All!$F348="Rice",+All!E348,IF(+All!$H348="Rice",+All!E348,0))</f>
        <v>0</v>
      </c>
      <c r="F80" s="51" t="str">
        <f>IF(+All!$F348="Rice",+All!F348,IF(+All!$H348="Rice",+All!F348,0))</f>
        <v>UAB</v>
      </c>
      <c r="G80" s="52" t="str">
        <f>IF(+All!$F348="Rice",+All!G348,IF(+All!$H348="Rice",+All!G348,0))</f>
        <v>CUSA</v>
      </c>
      <c r="H80" s="51" t="str">
        <f>IF(+All!$F348="Rice",+All!H348,IF(+All!$H348="Rice",+All!H348,0))</f>
        <v>Rice</v>
      </c>
      <c r="I80" s="52" t="str">
        <f>IF(+All!$F348="Rice",+All!I348,IF(+All!$H348="Rice",+All!I348,0))</f>
        <v>CUSA</v>
      </c>
      <c r="J80" s="460" t="str">
        <f>IF(+All!$F348="Rice",+All!J348,IF(+All!$H348="Rice",+All!J348,0))</f>
        <v>UAB</v>
      </c>
      <c r="K80" s="461" t="str">
        <f>IF(+All!$F348="Rice",+All!K348,IF(+All!$H348="Rice",+All!K348,0))</f>
        <v>Rice</v>
      </c>
      <c r="L80" s="54">
        <f>IF(+All!$F348="Rice",+All!L348,IF(+All!$H348="Rice",+All!L348,0))</f>
        <v>10</v>
      </c>
      <c r="M80" s="55">
        <f>IF(+All!$F348="Rice",+All!M348,IF(+All!$H348="Rice",+All!M348,0))</f>
        <v>52</v>
      </c>
      <c r="N80" s="460" t="str">
        <f>IF(+All!$F348="Rice",+All!N348,IF(+All!$H348="Rice",+All!N348,0))</f>
        <v>Rice</v>
      </c>
      <c r="O80" s="462">
        <f>IF(+All!$F348="Rice",+All!O348,IF(+All!$H348="Rice",+All!O348,0))</f>
        <v>28</v>
      </c>
      <c r="P80" s="462" t="str">
        <f>IF(+All!$F348="Rice",+All!P348,IF(+All!$H348="Rice",+All!P348,0))</f>
        <v>UAB</v>
      </c>
      <c r="Q80" s="461">
        <f>IF(+All!$F348="Rice",+All!Q348,IF(+All!$H348="Rice",+All!Q348,0))</f>
        <v>24</v>
      </c>
      <c r="R80" s="460" t="str">
        <f>IF(+All!$F348="Rice",+All!R348,IF(+All!$H348="Rice",+All!R348,0))</f>
        <v>Rice</v>
      </c>
      <c r="S80" s="462" t="str">
        <f>IF(+All!$F348="Rice",+All!S348,IF(+All!$H348="Rice",+All!S348,0))</f>
        <v>UAB</v>
      </c>
      <c r="T80" s="460" t="str">
        <f>IF(+All!$F348="Rice",+All!T348,IF(+All!$H348="Rice",+All!T348,0))</f>
        <v>UAB</v>
      </c>
      <c r="U80" s="461" t="str">
        <f>IF(+All!$F348="Rice",+All!U348,IF(+All!$H348="Rice",+All!U348,0))</f>
        <v>L</v>
      </c>
    </row>
    <row r="81" spans="1:21" x14ac:dyDescent="0.8">
      <c r="A81" s="46" t="e">
        <f>IF(+All!#REF!="Rice",+All!#REF!,IF(+All!#REF!="Rice",+All!#REF!,0))</f>
        <v>#REF!</v>
      </c>
      <c r="B81" s="348" t="e">
        <f>IF(+All!#REF!="Rice",+All!#REF!,IF(+All!#REF!="Rice",+All!#REF!,0))</f>
        <v>#REF!</v>
      </c>
      <c r="C81" s="48" t="e">
        <f>IF(+All!#REF!="Rice",+All!#REF!,IF(+All!#REF!="Rice",+All!#REF!,0))</f>
        <v>#REF!</v>
      </c>
      <c r="D81" s="490" t="e">
        <f>IF(+All!#REF!="Rice",+All!#REF!,IF(+All!#REF!="Rice",+All!#REF!,0))</f>
        <v>#REF!</v>
      </c>
      <c r="E81" s="461" t="e">
        <f>IF(+All!#REF!="Rice",+All!#REF!,IF(+All!#REF!="Rice",+All!#REF!,0))</f>
        <v>#REF!</v>
      </c>
      <c r="F81" s="51" t="e">
        <f>IF(+All!#REF!="Rice",+All!#REF!,IF(+All!#REF!="Rice",+All!#REF!,0))</f>
        <v>#REF!</v>
      </c>
      <c r="G81" s="52" t="e">
        <f>IF(+All!#REF!="Rice",+All!#REF!,IF(+All!#REF!="Rice",+All!#REF!,0))</f>
        <v>#REF!</v>
      </c>
      <c r="H81" s="51" t="e">
        <f>IF(+All!#REF!="Rice",+All!#REF!,IF(+All!#REF!="Rice",+All!#REF!,0))</f>
        <v>#REF!</v>
      </c>
      <c r="I81" s="52" t="e">
        <f>IF(+All!#REF!="Rice",+All!#REF!,IF(+All!#REF!="Rice",+All!#REF!,0))</f>
        <v>#REF!</v>
      </c>
      <c r="J81" s="460" t="e">
        <f>IF(+All!#REF!="Rice",+All!#REF!,IF(+All!#REF!="Rice",+All!#REF!,0))</f>
        <v>#REF!</v>
      </c>
      <c r="K81" s="461" t="e">
        <f>IF(+All!#REF!="Rice",+All!#REF!,IF(+All!#REF!="Rice",+All!#REF!,0))</f>
        <v>#REF!</v>
      </c>
      <c r="L81" s="54" t="e">
        <f>IF(+All!#REF!="Rice",+All!#REF!,IF(+All!#REF!="Rice",+All!#REF!,0))</f>
        <v>#REF!</v>
      </c>
      <c r="M81" s="55" t="e">
        <f>IF(+All!#REF!="Rice",+All!#REF!,IF(+All!#REF!="Rice",+All!#REF!,0))</f>
        <v>#REF!</v>
      </c>
      <c r="N81" s="460" t="e">
        <f>IF(+All!#REF!="Rice",+All!#REF!,IF(+All!#REF!="Rice",+All!#REF!,0))</f>
        <v>#REF!</v>
      </c>
      <c r="O81" s="462" t="e">
        <f>IF(+All!#REF!="Rice",+All!#REF!,IF(+All!#REF!="Rice",+All!#REF!,0))</f>
        <v>#REF!</v>
      </c>
      <c r="P81" s="462" t="e">
        <f>IF(+All!#REF!="Rice",+All!#REF!,IF(+All!#REF!="Rice",+All!#REF!,0))</f>
        <v>#REF!</v>
      </c>
      <c r="Q81" s="461" t="e">
        <f>IF(+All!#REF!="Rice",+All!#REF!,IF(+All!#REF!="Rice",+All!#REF!,0))</f>
        <v>#REF!</v>
      </c>
      <c r="R81" s="460" t="e">
        <f>IF(+All!#REF!="Rice",+All!#REF!,IF(+All!#REF!="Rice",+All!#REF!,0))</f>
        <v>#REF!</v>
      </c>
      <c r="S81" s="462" t="e">
        <f>IF(+All!#REF!="Rice",+All!#REF!,IF(+All!#REF!="Rice",+All!#REF!,0))</f>
        <v>#REF!</v>
      </c>
      <c r="T81" s="460" t="e">
        <f>IF(+All!#REF!="Rice",+All!#REF!,IF(+All!#REF!="Rice",+All!#REF!,0))</f>
        <v>#REF!</v>
      </c>
      <c r="U81" s="461" t="e">
        <f>IF(+All!#REF!="Rice",+All!#REF!,IF(+All!#REF!="Rice",+All!#REF!,0))</f>
        <v>#REF!</v>
      </c>
    </row>
    <row r="82" spans="1:21" x14ac:dyDescent="0.8">
      <c r="A82" s="46">
        <f>IF(+All!$F457="Rice",+All!A457,IF(+All!$H457="Rice",+All!A457,0))</f>
        <v>7</v>
      </c>
      <c r="B82" s="348" t="str">
        <f>IF(+All!$F457="Rice",+All!B457,IF(+All!$H457="Rice",+All!B457,0))</f>
        <v>Sat</v>
      </c>
      <c r="C82" s="48">
        <f>IF(+All!$F457="Rice",+All!C457,IF(+All!$H457="Rice",+All!C457,0))</f>
        <v>44849</v>
      </c>
      <c r="D82" s="490">
        <f>IF(+All!$F457="Rice",+All!D457,IF(+All!$H457="Rice",+All!D457,0))</f>
        <v>0.75</v>
      </c>
      <c r="E82" s="461">
        <f>IF(+All!$F457="Rice",+All!E457,IF(+All!$H457="Rice",+All!E457,0))</f>
        <v>0</v>
      </c>
      <c r="F82" s="51" t="str">
        <f>IF(+All!$F457="Rice",+All!F457,IF(+All!$H457="Rice",+All!F457,0))</f>
        <v>Rice</v>
      </c>
      <c r="G82" s="52" t="str">
        <f>IF(+All!$F457="Rice",+All!G457,IF(+All!$H457="Rice",+All!G457,0))</f>
        <v>CUSA</v>
      </c>
      <c r="H82" s="51" t="str">
        <f>IF(+All!$F457="Rice",+All!H457,IF(+All!$H457="Rice",+All!H457,0))</f>
        <v>Florida Atlantic</v>
      </c>
      <c r="I82" s="52" t="str">
        <f>IF(+All!$F457="Rice",+All!I457,IF(+All!$H457="Rice",+All!I457,0))</f>
        <v>CUSA</v>
      </c>
      <c r="J82" s="460" t="str">
        <f>IF(+All!$F457="Rice",+All!J457,IF(+All!$H457="Rice",+All!J457,0))</f>
        <v>Florida Atlantic</v>
      </c>
      <c r="K82" s="461" t="str">
        <f>IF(+All!$F457="Rice",+All!K457,IF(+All!$H457="Rice",+All!K457,0))</f>
        <v>Rice</v>
      </c>
      <c r="L82" s="54">
        <f>IF(+All!$F457="Rice",+All!L457,IF(+All!$H457="Rice",+All!L457,0))</f>
        <v>4</v>
      </c>
      <c r="M82" s="55">
        <f>IF(+All!$F457="Rice",+All!M457,IF(+All!$H457="Rice",+All!M457,0))</f>
        <v>56</v>
      </c>
      <c r="N82" s="460" t="str">
        <f>IF(+All!$F457="Rice",+All!N457,IF(+All!$H457="Rice",+All!N457,0))</f>
        <v>Florida Atlantic</v>
      </c>
      <c r="O82" s="462">
        <f>IF(+All!$F457="Rice",+All!O457,IF(+All!$H457="Rice",+All!O457,0))</f>
        <v>17</v>
      </c>
      <c r="P82" s="462" t="str">
        <f>IF(+All!$F457="Rice",+All!P457,IF(+All!$H457="Rice",+All!P457,0))</f>
        <v>Rice</v>
      </c>
      <c r="Q82" s="461">
        <f>IF(+All!$F457="Rice",+All!Q457,IF(+All!$H457="Rice",+All!Q457,0))</f>
        <v>14</v>
      </c>
      <c r="R82" s="460" t="str">
        <f>IF(+All!$F457="Rice",+All!R457,IF(+All!$H457="Rice",+All!R457,0))</f>
        <v>Rice</v>
      </c>
      <c r="S82" s="462" t="str">
        <f>IF(+All!$F457="Rice",+All!S457,IF(+All!$H457="Rice",+All!S457,0))</f>
        <v>Florida Atlantic</v>
      </c>
      <c r="T82" s="460" t="str">
        <f>IF(+All!$F457="Rice",+All!T457,IF(+All!$H457="Rice",+All!T457,0))</f>
        <v>Rice</v>
      </c>
      <c r="U82" s="461" t="str">
        <f>IF(+All!$F457="Rice",+All!U457,IF(+All!$H457="Rice",+All!U457,0))</f>
        <v>W</v>
      </c>
    </row>
    <row r="83" spans="1:21" x14ac:dyDescent="0.8">
      <c r="A83" s="46">
        <f>IF(+All!$F513="Rice",+All!A513,IF(+All!$H513="Rice",+All!A513,0))</f>
        <v>8</v>
      </c>
      <c r="B83" s="348" t="str">
        <f>IF(+All!$F513="Rice",+All!B513,IF(+All!$H513="Rice",+All!B513,0))</f>
        <v>Sat</v>
      </c>
      <c r="C83" s="48">
        <f>IF(+All!$F513="Rice",+All!C513,IF(+All!$H513="Rice",+All!C513,0))</f>
        <v>44856</v>
      </c>
      <c r="D83" s="490">
        <f>IF(+All!$F513="Rice",+All!D513,IF(+All!$H513="Rice",+All!D513,0))</f>
        <v>0.625</v>
      </c>
      <c r="E83" s="461">
        <f>IF(+All!$F513="Rice",+All!E513,IF(+All!$H513="Rice",+All!E513,0))</f>
        <v>0</v>
      </c>
      <c r="F83" s="51" t="str">
        <f>IF(+All!$F513="Rice",+All!F513,IF(+All!$H513="Rice",+All!F513,0))</f>
        <v>Rice</v>
      </c>
      <c r="G83" s="52" t="str">
        <f>IF(+All!$F513="Rice",+All!G513,IF(+All!$H513="Rice",+All!G513,0))</f>
        <v>CUSA</v>
      </c>
      <c r="H83" s="51" t="str">
        <f>IF(+All!$F513="Rice",+All!H513,IF(+All!$H513="Rice",+All!H513,0))</f>
        <v>Louisiana Tech</v>
      </c>
      <c r="I83" s="52" t="str">
        <f>IF(+All!$F513="Rice",+All!I513,IF(+All!$H513="Rice",+All!I513,0))</f>
        <v>CUSA</v>
      </c>
      <c r="J83" s="460" t="str">
        <f>IF(+All!$F513="Rice",+All!J513,IF(+All!$H513="Rice",+All!J513,0))</f>
        <v>Rice</v>
      </c>
      <c r="K83" s="461" t="str">
        <f>IF(+All!$F513="Rice",+All!K513,IF(+All!$H513="Rice",+All!K513,0))</f>
        <v>Louisiana Tech</v>
      </c>
      <c r="L83" s="54">
        <f>IF(+All!$F513="Rice",+All!L513,IF(+All!$H513="Rice",+All!L513,0))</f>
        <v>3.5</v>
      </c>
      <c r="M83" s="55">
        <f>IF(+All!$F513="Rice",+All!M513,IF(+All!$H513="Rice",+All!M513,0))</f>
        <v>57</v>
      </c>
      <c r="N83" s="460" t="str">
        <f>IF(+All!$F513="Rice",+All!N513,IF(+All!$H513="Rice",+All!N513,0))</f>
        <v>Louisiana Tech</v>
      </c>
      <c r="O83" s="462">
        <f>IF(+All!$F513="Rice",+All!O513,IF(+All!$H513="Rice",+All!O513,0))</f>
        <v>41</v>
      </c>
      <c r="P83" s="462" t="str">
        <f>IF(+All!$F513="Rice",+All!P513,IF(+All!$H513="Rice",+All!P513,0))</f>
        <v>Rice</v>
      </c>
      <c r="Q83" s="461">
        <f>IF(+All!$F513="Rice",+All!Q513,IF(+All!$H513="Rice",+All!Q513,0))</f>
        <v>42</v>
      </c>
      <c r="R83" s="460" t="str">
        <f>IF(+All!$F513="Rice",+All!R513,IF(+All!$H513="Rice",+All!R513,0))</f>
        <v>Louisiana Tech</v>
      </c>
      <c r="S83" s="462" t="str">
        <f>IF(+All!$F513="Rice",+All!S513,IF(+All!$H513="Rice",+All!S513,0))</f>
        <v>Rice</v>
      </c>
      <c r="T83" s="460" t="str">
        <f>IF(+All!$F513="Rice",+All!T513,IF(+All!$H513="Rice",+All!T513,0))</f>
        <v>Rice</v>
      </c>
      <c r="U83" s="461" t="str">
        <f>IF(+All!$F513="Rice",+All!U513,IF(+All!$H513="Rice",+All!U513,0))</f>
        <v>L</v>
      </c>
    </row>
    <row r="84" spans="1:21" x14ac:dyDescent="0.8">
      <c r="A84" s="46">
        <f>IF(+All!$F569="Rice",+All!A569,IF(+All!$H569="Rice",+All!A569,0))</f>
        <v>9</v>
      </c>
      <c r="B84" s="348" t="str">
        <f>IF(+All!$F569="Rice",+All!B569,IF(+All!$H569="Rice",+All!B569,0))</f>
        <v>Sat</v>
      </c>
      <c r="C84" s="48">
        <f>IF(+All!$F569="Rice",+All!C569,IF(+All!$H569="Rice",+All!C569,0))</f>
        <v>44863</v>
      </c>
      <c r="D84" s="490">
        <f>IF(+All!$F569="Rice",+All!D569,IF(+All!$H569="Rice",+All!D569,0))</f>
        <v>0.58333333333333337</v>
      </c>
      <c r="E84" s="461" t="str">
        <f>IF(+All!$F569="Rice",+All!E569,IF(+All!$H569="Rice",+All!E569,0))</f>
        <v>espn3</v>
      </c>
      <c r="F84" s="51" t="str">
        <f>IF(+All!$F569="Rice",+All!F569,IF(+All!$H569="Rice",+All!F569,0))</f>
        <v>UNC Charlotte</v>
      </c>
      <c r="G84" s="52" t="str">
        <f>IF(+All!$F569="Rice",+All!G569,IF(+All!$H569="Rice",+All!G569,0))</f>
        <v>CUSA</v>
      </c>
      <c r="H84" s="51" t="str">
        <f>IF(+All!$F569="Rice",+All!H569,IF(+All!$H569="Rice",+All!H569,0))</f>
        <v>Rice</v>
      </c>
      <c r="I84" s="52" t="str">
        <f>IF(+All!$F569="Rice",+All!I569,IF(+All!$H569="Rice",+All!I569,0))</f>
        <v>CUSA</v>
      </c>
      <c r="J84" s="460" t="str">
        <f>IF(+All!$F569="Rice",+All!J569,IF(+All!$H569="Rice",+All!J569,0))</f>
        <v>Rice</v>
      </c>
      <c r="K84" s="461" t="str">
        <f>IF(+All!$F569="Rice",+All!K569,IF(+All!$H569="Rice",+All!K569,0))</f>
        <v>UNC Charlotte</v>
      </c>
      <c r="L84" s="54">
        <f>IF(+All!$F569="Rice",+All!L569,IF(+All!$H569="Rice",+All!L569,0))</f>
        <v>16.5</v>
      </c>
      <c r="M84" s="55">
        <f>IF(+All!$F569="Rice",+All!M569,IF(+All!$H569="Rice",+All!M569,0))</f>
        <v>60.5</v>
      </c>
      <c r="N84" s="460" t="str">
        <f>IF(+All!$F569="Rice",+All!N569,IF(+All!$H569="Rice",+All!N569,0))</f>
        <v>UNC Charlotte</v>
      </c>
      <c r="O84" s="462">
        <f>IF(+All!$F569="Rice",+All!O569,IF(+All!$H569="Rice",+All!O569,0))</f>
        <v>56</v>
      </c>
      <c r="P84" s="462" t="str">
        <f>IF(+All!$F569="Rice",+All!P569,IF(+All!$H569="Rice",+All!P569,0))</f>
        <v>Rice</v>
      </c>
      <c r="Q84" s="461">
        <f>IF(+All!$F569="Rice",+All!Q569,IF(+All!$H569="Rice",+All!Q569,0))</f>
        <v>23</v>
      </c>
      <c r="R84" s="460" t="str">
        <f>IF(+All!$F569="Rice",+All!R569,IF(+All!$H569="Rice",+All!R569,0))</f>
        <v>UNC Charlotte</v>
      </c>
      <c r="S84" s="462" t="str">
        <f>IF(+All!$F569="Rice",+All!S569,IF(+All!$H569="Rice",+All!S569,0))</f>
        <v>Rice</v>
      </c>
      <c r="T84" s="460" t="str">
        <f>IF(+All!$F569="Rice",+All!T569,IF(+All!$H569="Rice",+All!T569,0))</f>
        <v>UNC Charlotte</v>
      </c>
      <c r="U84" s="461" t="str">
        <f>IF(+All!$F569="Rice",+All!U569,IF(+All!$H569="Rice",+All!U569,0))</f>
        <v>W</v>
      </c>
    </row>
    <row r="85" spans="1:21" x14ac:dyDescent="0.8">
      <c r="A85" s="46">
        <f>IF(+All!$F597="Rice",+All!A597,IF(+All!$H597="Rice",+All!A597,0))</f>
        <v>10</v>
      </c>
      <c r="B85" s="348" t="str">
        <f>IF(+All!$F597="Rice",+All!B597,IF(+All!$H597="Rice",+All!B597,0))</f>
        <v>Thurs</v>
      </c>
      <c r="C85" s="48">
        <f>IF(+All!$F597="Rice",+All!C597,IF(+All!$H597="Rice",+All!C597,0))</f>
        <v>44868</v>
      </c>
      <c r="D85" s="490">
        <f>IF(+All!$F597="Rice",+All!D597,IF(+All!$H597="Rice",+All!D597,0))</f>
        <v>0.79166666666666663</v>
      </c>
      <c r="E85" s="461" t="str">
        <f>IF(+All!$F597="Rice",+All!E597,IF(+All!$H597="Rice",+All!E597,0))</f>
        <v>CBSSN</v>
      </c>
      <c r="F85" s="51" t="str">
        <f>IF(+All!$F597="Rice",+All!F597,IF(+All!$H597="Rice",+All!F597,0))</f>
        <v>UTEP</v>
      </c>
      <c r="G85" s="52" t="str">
        <f>IF(+All!$F597="Rice",+All!G597,IF(+All!$H597="Rice",+All!G597,0))</f>
        <v>CUSA</v>
      </c>
      <c r="H85" s="51" t="str">
        <f>IF(+All!$F597="Rice",+All!H597,IF(+All!$H597="Rice",+All!H597,0))</f>
        <v>Rice</v>
      </c>
      <c r="I85" s="52" t="str">
        <f>IF(+All!$F597="Rice",+All!I597,IF(+All!$H597="Rice",+All!I597,0))</f>
        <v>CUSA</v>
      </c>
      <c r="J85" s="460" t="str">
        <f>IF(+All!$F597="Rice",+All!J597,IF(+All!$H597="Rice",+All!J597,0))</f>
        <v>Rice</v>
      </c>
      <c r="K85" s="461" t="str">
        <f>IF(+All!$F597="Rice",+All!K597,IF(+All!$H597="Rice",+All!K597,0))</f>
        <v>UTEP</v>
      </c>
      <c r="L85" s="54">
        <f>IF(+All!$F597="Rice",+All!L597,IF(+All!$H597="Rice",+All!L597,0))</f>
        <v>3.5</v>
      </c>
      <c r="M85" s="55">
        <f>IF(+All!$F597="Rice",+All!M597,IF(+All!$H597="Rice",+All!M597,0))</f>
        <v>48.5</v>
      </c>
      <c r="N85" s="460" t="str">
        <f>IF(+All!$F597="Rice",+All!N597,IF(+All!$H597="Rice",+All!N597,0))</f>
        <v>Rice</v>
      </c>
      <c r="O85" s="462">
        <f>IF(+All!$F597="Rice",+All!O597,IF(+All!$H597="Rice",+All!O597,0))</f>
        <v>37</v>
      </c>
      <c r="P85" s="462" t="str">
        <f>IF(+All!$F597="Rice",+All!P597,IF(+All!$H597="Rice",+All!P597,0))</f>
        <v>UTEP</v>
      </c>
      <c r="Q85" s="461">
        <f>IF(+All!$F597="Rice",+All!Q597,IF(+All!$H597="Rice",+All!Q597,0))</f>
        <v>30</v>
      </c>
      <c r="R85" s="460" t="str">
        <f>IF(+All!$F597="Rice",+All!R597,IF(+All!$H597="Rice",+All!R597,0))</f>
        <v>Rice</v>
      </c>
      <c r="S85" s="462" t="str">
        <f>IF(+All!$F597="Rice",+All!S597,IF(+All!$H597="Rice",+All!S597,0))</f>
        <v>UTEP</v>
      </c>
      <c r="T85" s="460" t="str">
        <f>IF(+All!$F597="Rice",+All!T597,IF(+All!$H597="Rice",+All!T597,0))</f>
        <v>Rice</v>
      </c>
      <c r="U85" s="461" t="str">
        <f>IF(+All!$F597="Rice",+All!U597,IF(+All!$H597="Rice",+All!U597,0))</f>
        <v>W</v>
      </c>
    </row>
    <row r="86" spans="1:21" x14ac:dyDescent="0.8">
      <c r="A86" s="46">
        <f>IF(+All!$F691="Rice",+All!A691,IF(+All!$H691="Rice",+All!A691,0))</f>
        <v>11</v>
      </c>
      <c r="B86" s="348" t="str">
        <f>IF(+All!$F691="Rice",+All!B691,IF(+All!$H691="Rice",+All!B691,0))</f>
        <v>Sat</v>
      </c>
      <c r="C86" s="48">
        <f>IF(+All!$F691="Rice",+All!C691,IF(+All!$H691="Rice",+All!C691,0))</f>
        <v>44877</v>
      </c>
      <c r="D86" s="490">
        <f>IF(+All!$F691="Rice",+All!D691,IF(+All!$H691="Rice",+All!D691,0))</f>
        <v>0.58333333333333337</v>
      </c>
      <c r="E86" s="461">
        <f>IF(+All!$F691="Rice",+All!E691,IF(+All!$H691="Rice",+All!E691,0))</f>
        <v>0</v>
      </c>
      <c r="F86" s="51" t="str">
        <f>IF(+All!$F691="Rice",+All!F691,IF(+All!$H691="Rice",+All!F691,0))</f>
        <v>Rice</v>
      </c>
      <c r="G86" s="52" t="str">
        <f>IF(+All!$F691="Rice",+All!G691,IF(+All!$H691="Rice",+All!G691,0))</f>
        <v>CUSA</v>
      </c>
      <c r="H86" s="51" t="str">
        <f>IF(+All!$F691="Rice",+All!H691,IF(+All!$H691="Rice",+All!H691,0))</f>
        <v>Western Kentucky</v>
      </c>
      <c r="I86" s="52" t="str">
        <f>IF(+All!$F691="Rice",+All!I691,IF(+All!$H691="Rice",+All!I691,0))</f>
        <v>CUSA</v>
      </c>
      <c r="J86" s="460" t="str">
        <f>IF(+All!$F691="Rice",+All!J691,IF(+All!$H691="Rice",+All!J691,0))</f>
        <v>Western Kentucky</v>
      </c>
      <c r="K86" s="461" t="str">
        <f>IF(+All!$F691="Rice",+All!K691,IF(+All!$H691="Rice",+All!K691,0))</f>
        <v>Rice</v>
      </c>
      <c r="L86" s="54">
        <f>IF(+All!$F691="Rice",+All!L691,IF(+All!$H691="Rice",+All!L691,0))</f>
        <v>13</v>
      </c>
      <c r="M86" s="55">
        <f>IF(+All!$F691="Rice",+All!M691,IF(+All!$H691="Rice",+All!M691,0))</f>
        <v>62.5</v>
      </c>
      <c r="N86" s="460" t="str">
        <f>IF(+All!$F691="Rice",+All!N691,IF(+All!$H691="Rice",+All!N691,0))</f>
        <v>Western Kentucky</v>
      </c>
      <c r="O86" s="462">
        <f>IF(+All!$F691="Rice",+All!O691,IF(+All!$H691="Rice",+All!O691,0))</f>
        <v>45</v>
      </c>
      <c r="P86" s="462" t="str">
        <f>IF(+All!$F691="Rice",+All!P691,IF(+All!$H691="Rice",+All!P691,0))</f>
        <v>Rice</v>
      </c>
      <c r="Q86" s="461">
        <f>IF(+All!$F691="Rice",+All!Q691,IF(+All!$H691="Rice",+All!Q691,0))</f>
        <v>10</v>
      </c>
      <c r="R86" s="460" t="str">
        <f>IF(+All!$F691="Rice",+All!R691,IF(+All!$H691="Rice",+All!R691,0))</f>
        <v>Western Kentucky</v>
      </c>
      <c r="S86" s="462" t="str">
        <f>IF(+All!$F691="Rice",+All!S691,IF(+All!$H691="Rice",+All!S691,0))</f>
        <v>Rice</v>
      </c>
      <c r="T86" s="460" t="str">
        <f>IF(+All!$F691="Rice",+All!T691,IF(+All!$H691="Rice",+All!T691,0))</f>
        <v>Western Kentucky</v>
      </c>
      <c r="U86" s="461" t="str">
        <f>IF(+All!$F691="Rice",+All!U691,IF(+All!$H691="Rice",+All!U691,0))</f>
        <v>W</v>
      </c>
    </row>
    <row r="87" spans="1:21" x14ac:dyDescent="0.8">
      <c r="A87" s="46">
        <f>IF(+All!$F750="Rice",+All!A750,IF(+All!$H750="Rice",+All!A750,0))</f>
        <v>12</v>
      </c>
      <c r="B87" s="348" t="str">
        <f>IF(+All!$F750="Rice",+All!B750,IF(+All!$H750="Rice",+All!B750,0))</f>
        <v>Sat</v>
      </c>
      <c r="C87" s="48">
        <f>IF(+All!$F750="Rice",+All!C750,IF(+All!$H750="Rice",+All!C750,0))</f>
        <v>44884</v>
      </c>
      <c r="D87" s="490">
        <f>IF(+All!$F750="Rice",+All!D750,IF(+All!$H750="Rice",+All!D750,0))</f>
        <v>0.54166666666666663</v>
      </c>
      <c r="E87" s="461">
        <f>IF(+All!$F750="Rice",+All!E750,IF(+All!$H750="Rice",+All!E750,0))</f>
        <v>0</v>
      </c>
      <c r="F87" s="51" t="str">
        <f>IF(+All!$F750="Rice",+All!F750,IF(+All!$H750="Rice",+All!F750,0))</f>
        <v>UT San Antonio</v>
      </c>
      <c r="G87" s="52" t="str">
        <f>IF(+All!$F750="Rice",+All!G750,IF(+All!$H750="Rice",+All!G750,0))</f>
        <v>CUSA</v>
      </c>
      <c r="H87" s="51" t="str">
        <f>IF(+All!$F750="Rice",+All!H750,IF(+All!$H750="Rice",+All!H750,0))</f>
        <v>Rice</v>
      </c>
      <c r="I87" s="52" t="str">
        <f>IF(+All!$F750="Rice",+All!I750,IF(+All!$H750="Rice",+All!I750,0))</f>
        <v>CUSA</v>
      </c>
      <c r="J87" s="460" t="str">
        <f>IF(+All!$F750="Rice",+All!J750,IF(+All!$H750="Rice",+All!J750,0))</f>
        <v>UT San Antonio</v>
      </c>
      <c r="K87" s="461" t="str">
        <f>IF(+All!$F750="Rice",+All!K750,IF(+All!$H750="Rice",+All!K750,0))</f>
        <v>Rice</v>
      </c>
      <c r="L87" s="54">
        <f>IF(+All!$F750="Rice",+All!L750,IF(+All!$H750="Rice",+All!L750,0))</f>
        <v>13</v>
      </c>
      <c r="M87" s="55">
        <f>IF(+All!$F750="Rice",+All!M750,IF(+All!$H750="Rice",+All!M750,0))</f>
        <v>60</v>
      </c>
      <c r="N87" s="460" t="str">
        <f>IF(+All!$F750="Rice",+All!N750,IF(+All!$H750="Rice",+All!N750,0))</f>
        <v>UT San Antonio</v>
      </c>
      <c r="O87" s="462">
        <f>IF(+All!$F750="Rice",+All!O750,IF(+All!$H750="Rice",+All!O750,0))</f>
        <v>41</v>
      </c>
      <c r="P87" s="462" t="str">
        <f>IF(+All!$F750="Rice",+All!P750,IF(+All!$H750="Rice",+All!P750,0))</f>
        <v>Rice</v>
      </c>
      <c r="Q87" s="461">
        <f>IF(+All!$F750="Rice",+All!Q750,IF(+All!$H750="Rice",+All!Q750,0))</f>
        <v>7</v>
      </c>
      <c r="R87" s="460" t="str">
        <f>IF(+All!$F750="Rice",+All!R750,IF(+All!$H750="Rice",+All!R750,0))</f>
        <v>UT San Antonio</v>
      </c>
      <c r="S87" s="462" t="str">
        <f>IF(+All!$F750="Rice",+All!S750,IF(+All!$H750="Rice",+All!S750,0))</f>
        <v>Rice</v>
      </c>
      <c r="T87" s="460" t="str">
        <f>IF(+All!$F750="Rice",+All!T750,IF(+All!$H750="Rice",+All!T750,0))</f>
        <v>UT San Antonio</v>
      </c>
      <c r="U87" s="461" t="str">
        <f>IF(+All!$F750="Rice",+All!U750,IF(+All!$H750="Rice",+All!U750,0))</f>
        <v>W</v>
      </c>
    </row>
    <row r="88" spans="1:21" x14ac:dyDescent="0.8">
      <c r="A88" s="46">
        <f>IF(+All!$F821="Rice",+All!A821,IF(+All!$H821="Rice",+All!A821,0))</f>
        <v>13</v>
      </c>
      <c r="B88" s="348" t="str">
        <f>IF(+All!$F821="Rice",+All!B821,IF(+All!$H821="Rice",+All!B821,0))</f>
        <v>Sat</v>
      </c>
      <c r="C88" s="48">
        <f>IF(+All!$F821="Rice",+All!C821,IF(+All!$H821="Rice",+All!C821,0))</f>
        <v>44891</v>
      </c>
      <c r="D88" s="490">
        <f>IF(+All!$F821="Rice",+All!D821,IF(+All!$H821="Rice",+All!D821,0))</f>
        <v>0.58333333333333337</v>
      </c>
      <c r="E88" s="461">
        <f>IF(+All!$F821="Rice",+All!E821,IF(+All!$H821="Rice",+All!E821,0))</f>
        <v>0</v>
      </c>
      <c r="F88" s="51" t="str">
        <f>IF(+All!$F821="Rice",+All!F821,IF(+All!$H821="Rice",+All!F821,0))</f>
        <v>Rice</v>
      </c>
      <c r="G88" s="52" t="str">
        <f>IF(+All!$F821="Rice",+All!G821,IF(+All!$H821="Rice",+All!G821,0))</f>
        <v>CUSA</v>
      </c>
      <c r="H88" s="51" t="str">
        <f>IF(+All!$F821="Rice",+All!H821,IF(+All!$H821="Rice",+All!H821,0))</f>
        <v>North Texas</v>
      </c>
      <c r="I88" s="52" t="str">
        <f>IF(+All!$F821="Rice",+All!I821,IF(+All!$H821="Rice",+All!I821,0))</f>
        <v>CUSA</v>
      </c>
      <c r="J88" s="460" t="str">
        <f>IF(+All!$F821="Rice",+All!J821,IF(+All!$H821="Rice",+All!J821,0))</f>
        <v>North Texas</v>
      </c>
      <c r="K88" s="461" t="str">
        <f>IF(+All!$F821="Rice",+All!K821,IF(+All!$H821="Rice",+All!K821,0))</f>
        <v>Rice</v>
      </c>
      <c r="L88" s="54">
        <f>IF(+All!$F821="Rice",+All!L821,IF(+All!$H821="Rice",+All!L821,0))</f>
        <v>14.5</v>
      </c>
      <c r="M88" s="55">
        <f>IF(+All!$F821="Rice",+All!M821,IF(+All!$H821="Rice",+All!M821,0))</f>
        <v>58.5</v>
      </c>
      <c r="N88" s="460" t="str">
        <f>IF(+All!$F821="Rice",+All!N821,IF(+All!$H821="Rice",+All!N821,0))</f>
        <v>North Texas</v>
      </c>
      <c r="O88" s="462">
        <f>IF(+All!$F821="Rice",+All!O821,IF(+All!$H821="Rice",+All!O821,0))</f>
        <v>21</v>
      </c>
      <c r="P88" s="462" t="str">
        <f>IF(+All!$F821="Rice",+All!P821,IF(+All!$H821="Rice",+All!P821,0))</f>
        <v>Rice</v>
      </c>
      <c r="Q88" s="461">
        <f>IF(+All!$F821="Rice",+All!Q821,IF(+All!$H821="Rice",+All!Q821,0))</f>
        <v>17</v>
      </c>
      <c r="R88" s="460" t="str">
        <f>IF(+All!$F821="Rice",+All!R821,IF(+All!$H821="Rice",+All!R821,0))</f>
        <v>Rice</v>
      </c>
      <c r="S88" s="462" t="str">
        <f>IF(+All!$F821="Rice",+All!S821,IF(+All!$H821="Rice",+All!S821,0))</f>
        <v>North Texas</v>
      </c>
      <c r="T88" s="460" t="str">
        <f>IF(+All!$F821="Rice",+All!T821,IF(+All!$H821="Rice",+All!T821,0))</f>
        <v>North Texas</v>
      </c>
      <c r="U88" s="461" t="str">
        <f>IF(+All!$F821="Rice",+All!U821,IF(+All!$H821="Rice",+All!U821,0))</f>
        <v>L</v>
      </c>
    </row>
    <row r="89" spans="1:21" x14ac:dyDescent="0.8">
      <c r="B89" s="46"/>
      <c r="C89" s="62"/>
      <c r="D89" s="49"/>
      <c r="F89" s="897" t="str">
        <f>H90</f>
        <v>UAB</v>
      </c>
      <c r="G89" s="901"/>
      <c r="H89" s="901"/>
      <c r="I89" s="902"/>
      <c r="L89" s="54"/>
      <c r="M89" s="55"/>
    </row>
    <row r="90" spans="1:21" x14ac:dyDescent="0.8">
      <c r="A90" s="46">
        <f>IF(+All!$F49="UAB",+All!A49,IF(+All!$H49="UAB",+All!A49,0))</f>
        <v>1</v>
      </c>
      <c r="B90" s="348" t="str">
        <f>IF(+All!$F49="UAB",+All!B49,IF(+All!$H49="UAB",+All!B49,0))</f>
        <v>Thurs</v>
      </c>
      <c r="C90" s="48">
        <f>IF(+All!$F49="UAB",+All!C49,IF(+All!$H49="UAB",+All!C49,0))</f>
        <v>44805</v>
      </c>
      <c r="D90" s="490">
        <f>IF(+All!$F49="UAB",+All!D49,IF(+All!$H49="UAB",+All!D49,0))</f>
        <v>0.83333333333333337</v>
      </c>
      <c r="E90" s="461" t="str">
        <f>IF(+All!$F49="UAB",+All!E49,IF(+All!$H49="UAB",+All!E49,0))</f>
        <v>CBSSN</v>
      </c>
      <c r="F90" s="51" t="str">
        <f>IF(+All!$F49="UAB",+All!F49,IF(+All!$H49="UAB",+All!F49,0))</f>
        <v>1AA Alabama A&amp;M</v>
      </c>
      <c r="G90" s="52" t="str">
        <f>IF(+All!$F49="UAB",+All!G49,IF(+All!$H49="UAB",+All!G49,0))</f>
        <v>1AA</v>
      </c>
      <c r="H90" s="51" t="str">
        <f>IF(+All!$F49="UAB",+All!H49,IF(+All!$H49="UAB",+All!H49,0))</f>
        <v>UAB</v>
      </c>
      <c r="I90" s="52" t="str">
        <f>IF(+All!$F49="UAB",+All!I49,IF(+All!$H49="UAB",+All!I49,0))</f>
        <v>CUSA</v>
      </c>
      <c r="J90" s="460">
        <f>IF(+All!$F49="UAB",+All!J49,IF(+All!$H49="UAB",+All!J49,0))</f>
        <v>0</v>
      </c>
      <c r="K90" s="461">
        <f>IF(+All!$F49="UAB",+All!K49,IF(+All!$H49="UAB",+All!K49,0))</f>
        <v>0</v>
      </c>
      <c r="L90" s="54">
        <f>IF(+All!$F49="UAB",+All!L49,IF(+All!$H49="UAB",+All!L49,0))</f>
        <v>0</v>
      </c>
      <c r="M90" s="55">
        <f>IF(+All!$F49="UAB",+All!M49,IF(+All!$H49="UAB",+All!M49,0))</f>
        <v>0</v>
      </c>
      <c r="N90" s="460" t="str">
        <f>IF(+All!$F49="UAB",+All!N49,IF(+All!$H49="UAB",+All!N49,0))</f>
        <v>UAB</v>
      </c>
      <c r="O90" s="462">
        <f>IF(+All!$F49="UAB",+All!O49,IF(+All!$H49="UAB",+All!O49,0))</f>
        <v>59</v>
      </c>
      <c r="P90" s="462" t="str">
        <f>IF(+All!$F49="UAB",+All!P49,IF(+All!$H49="UAB",+All!P49,0))</f>
        <v>1AA Alabama A&amp;M</v>
      </c>
      <c r="Q90" s="461">
        <f>IF(+All!$F49="UAB",+All!Q49,IF(+All!$H49="UAB",+All!Q49,0))</f>
        <v>0</v>
      </c>
      <c r="R90" s="460">
        <f>IF(+All!$F49="UAB",+All!R49,IF(+All!$H49="UAB",+All!R49,0))</f>
        <v>0</v>
      </c>
      <c r="S90" s="462">
        <f>IF(+All!$F49="UAB",+All!S49,IF(+All!$H49="UAB",+All!S49,0))</f>
        <v>0</v>
      </c>
      <c r="T90" s="460">
        <f>IF(+All!$F49="UAB",+All!T49,IF(+All!$H49="UAB",+All!T49,0))</f>
        <v>0</v>
      </c>
      <c r="U90" s="461">
        <f>IF(+All!$F49="UAB",+All!U49,IF(+All!$H49="UAB",+All!U49,0))</f>
        <v>0</v>
      </c>
    </row>
    <row r="91" spans="1:21" x14ac:dyDescent="0.8">
      <c r="A91" s="46">
        <f>IF(+All!$F143="UAB",+All!A143,IF(+All!$H143="UAB",+All!A143,0))</f>
        <v>2</v>
      </c>
      <c r="B91" s="348" t="str">
        <f>IF(+All!$F143="UAB",+All!B143,IF(+All!$H143="UAB",+All!B143,0))</f>
        <v>Sat</v>
      </c>
      <c r="C91" s="48">
        <f>IF(+All!$F143="UAB",+All!C143,IF(+All!$H143="UAB",+All!C143,0))</f>
        <v>44814</v>
      </c>
      <c r="D91" s="490">
        <f>IF(+All!$F143="UAB",+All!D143,IF(+All!$H143="UAB",+All!D143,0))</f>
        <v>0.75</v>
      </c>
      <c r="E91" s="461">
        <f>IF(+All!$F143="UAB",+All!E143,IF(+All!$H143="UAB",+All!E143,0))</f>
        <v>0</v>
      </c>
      <c r="F91" s="51" t="str">
        <f>IF(+All!$F143="UAB",+All!F143,IF(+All!$H143="UAB",+All!F143,0))</f>
        <v>UAB</v>
      </c>
      <c r="G91" s="52" t="str">
        <f>IF(+All!$F143="UAB",+All!G143,IF(+All!$H143="UAB",+All!G143,0))</f>
        <v>CUSA</v>
      </c>
      <c r="H91" s="51" t="str">
        <f>IF(+All!$F143="UAB",+All!H143,IF(+All!$H143="UAB",+All!H143,0))</f>
        <v>Liberty</v>
      </c>
      <c r="I91" s="52" t="str">
        <f>IF(+All!$F143="UAB",+All!I143,IF(+All!$H143="UAB",+All!I143,0))</f>
        <v>Ind</v>
      </c>
      <c r="J91" s="460" t="str">
        <f>IF(+All!$F143="UAB",+All!J143,IF(+All!$H143="UAB",+All!J143,0))</f>
        <v>UAB</v>
      </c>
      <c r="K91" s="461" t="str">
        <f>IF(+All!$F143="UAB",+All!K143,IF(+All!$H143="UAB",+All!K143,0))</f>
        <v>Liberty</v>
      </c>
      <c r="L91" s="54">
        <f>IF(+All!$F143="UAB",+All!L143,IF(+All!$H143="UAB",+All!L143,0))</f>
        <v>6.5</v>
      </c>
      <c r="M91" s="55">
        <f>IF(+All!$F143="UAB",+All!M143,IF(+All!$H143="UAB",+All!M143,0))</f>
        <v>50</v>
      </c>
      <c r="N91" s="460" t="str">
        <f>IF(+All!$F143="UAB",+All!N143,IF(+All!$H143="UAB",+All!N143,0))</f>
        <v>Liberty</v>
      </c>
      <c r="O91" s="462">
        <f>IF(+All!$F143="UAB",+All!O143,IF(+All!$H143="UAB",+All!O143,0))</f>
        <v>21</v>
      </c>
      <c r="P91" s="462" t="str">
        <f>IF(+All!$F143="UAB",+All!P143,IF(+All!$H143="UAB",+All!P143,0))</f>
        <v>UAB</v>
      </c>
      <c r="Q91" s="461">
        <f>IF(+All!$F143="UAB",+All!Q143,IF(+All!$H143="UAB",+All!Q143,0))</f>
        <v>14</v>
      </c>
      <c r="R91" s="460" t="str">
        <f>IF(+All!$F143="UAB",+All!R143,IF(+All!$H143="UAB",+All!R143,0))</f>
        <v>Liberty</v>
      </c>
      <c r="S91" s="462" t="str">
        <f>IF(+All!$F143="UAB",+All!S143,IF(+All!$H143="UAB",+All!S143,0))</f>
        <v>UAB</v>
      </c>
      <c r="T91" s="460" t="str">
        <f>IF(+All!$F143="UAB",+All!T143,IF(+All!$H143="UAB",+All!T143,0))</f>
        <v>Liberty</v>
      </c>
      <c r="U91" s="461" t="str">
        <f>IF(+All!$F143="UAB",+All!U143,IF(+All!$H143="UAB",+All!U143,0))</f>
        <v>W</v>
      </c>
    </row>
    <row r="92" spans="1:21" x14ac:dyDescent="0.8">
      <c r="A92" s="46">
        <f>IF(+All!$F215="UAB",+All!A215,IF(+All!$H215="UAB",+All!A215,0))</f>
        <v>3</v>
      </c>
      <c r="B92" s="348" t="str">
        <f>IF(+All!$F215="UAB",+All!B215,IF(+All!$H215="UAB",+All!B215,0))</f>
        <v>Sat</v>
      </c>
      <c r="C92" s="48">
        <f>IF(+All!$F215="UAB",+All!C215,IF(+All!$H215="UAB",+All!C215,0))</f>
        <v>44821</v>
      </c>
      <c r="D92" s="490">
        <f>IF(+All!$F215="UAB",+All!D215,IF(+All!$H215="UAB",+All!D215,0))</f>
        <v>0.64583333333333337</v>
      </c>
      <c r="E92" s="461">
        <f>IF(+All!$F215="UAB",+All!E215,IF(+All!$H215="UAB",+All!E215,0))</f>
        <v>0</v>
      </c>
      <c r="F92" s="51" t="str">
        <f>IF(+All!$F215="UAB",+All!F215,IF(+All!$H215="UAB",+All!F215,0))</f>
        <v>Georgia Southern</v>
      </c>
      <c r="G92" s="52" t="str">
        <f>IF(+All!$F215="UAB",+All!G215,IF(+All!$H215="UAB",+All!G215,0))</f>
        <v>SB</v>
      </c>
      <c r="H92" s="51" t="str">
        <f>IF(+All!$F215="UAB",+All!H215,IF(+All!$H215="UAB",+All!H215,0))</f>
        <v>UAB</v>
      </c>
      <c r="I92" s="52" t="str">
        <f>IF(+All!$F215="UAB",+All!I215,IF(+All!$H215="UAB",+All!I215,0))</f>
        <v>CUSA</v>
      </c>
      <c r="J92" s="460" t="str">
        <f>IF(+All!$F215="UAB",+All!J215,IF(+All!$H215="UAB",+All!J215,0))</f>
        <v>UAB</v>
      </c>
      <c r="K92" s="461" t="str">
        <f>IF(+All!$F215="UAB",+All!K215,IF(+All!$H215="UAB",+All!K215,0))</f>
        <v>Georgia Southern</v>
      </c>
      <c r="L92" s="54">
        <f>IF(+All!$F215="UAB",+All!L215,IF(+All!$H215="UAB",+All!L215,0))</f>
        <v>11.5</v>
      </c>
      <c r="M92" s="55">
        <f>IF(+All!$F215="UAB",+All!M215,IF(+All!$H215="UAB",+All!M215,0))</f>
        <v>54</v>
      </c>
      <c r="N92" s="460" t="str">
        <f>IF(+All!$F215="UAB",+All!N215,IF(+All!$H215="UAB",+All!N215,0))</f>
        <v>UAB</v>
      </c>
      <c r="O92" s="462">
        <f>IF(+All!$F215="UAB",+All!O215,IF(+All!$H215="UAB",+All!O215,0))</f>
        <v>35</v>
      </c>
      <c r="P92" s="462" t="str">
        <f>IF(+All!$F215="UAB",+All!P215,IF(+All!$H215="UAB",+All!P215,0))</f>
        <v>Georgia Southern</v>
      </c>
      <c r="Q92" s="461">
        <f>IF(+All!$F215="UAB",+All!Q215,IF(+All!$H215="UAB",+All!Q215,0))</f>
        <v>21</v>
      </c>
      <c r="R92" s="460" t="str">
        <f>IF(+All!$F215="UAB",+All!R215,IF(+All!$H215="UAB",+All!R215,0))</f>
        <v>UAB</v>
      </c>
      <c r="S92" s="462" t="str">
        <f>IF(+All!$F215="UAB",+All!S215,IF(+All!$H215="UAB",+All!S215,0))</f>
        <v>Georgia Southern</v>
      </c>
      <c r="T92" s="460" t="str">
        <f>IF(+All!$F215="UAB",+All!T215,IF(+All!$H215="UAB",+All!T215,0))</f>
        <v>Georgia Southern</v>
      </c>
      <c r="U92" s="461" t="str">
        <f>IF(+All!$F215="UAB",+All!U215,IF(+All!$H215="UAB",+All!U215,0))</f>
        <v>L</v>
      </c>
    </row>
    <row r="93" spans="1:21" x14ac:dyDescent="0.8">
      <c r="A93" s="46" t="e">
        <f>IF(+All!#REF!="UAB",+All!#REF!,IF(+All!#REF!="UAB",+All!#REF!,0))</f>
        <v>#REF!</v>
      </c>
      <c r="B93" s="348" t="e">
        <f>IF(+All!#REF!="UAB",+All!#REF!,IF(+All!#REF!="UAB",+All!#REF!,0))</f>
        <v>#REF!</v>
      </c>
      <c r="C93" s="48" t="e">
        <f>IF(+All!#REF!="UAB",+All!#REF!,IF(+All!#REF!="UAB",+All!#REF!,0))</f>
        <v>#REF!</v>
      </c>
      <c r="D93" s="490" t="e">
        <f>IF(+All!#REF!="UAB",+All!#REF!,IF(+All!#REF!="UAB",+All!#REF!,0))</f>
        <v>#REF!</v>
      </c>
      <c r="E93" s="461" t="e">
        <f>IF(+All!#REF!="UAB",+All!#REF!,IF(+All!#REF!="UAB",+All!#REF!,0))</f>
        <v>#REF!</v>
      </c>
      <c r="F93" s="51" t="e">
        <f>IF(+All!#REF!="UAB",+All!#REF!,IF(+All!#REF!="UAB",+All!#REF!,0))</f>
        <v>#REF!</v>
      </c>
      <c r="G93" s="52" t="e">
        <f>IF(+All!#REF!="UAB",+All!#REF!,IF(+All!#REF!="UAB",+All!#REF!,0))</f>
        <v>#REF!</v>
      </c>
      <c r="H93" s="51" t="e">
        <f>IF(+All!#REF!="UAB",+All!#REF!,IF(+All!#REF!="UAB",+All!#REF!,0))</f>
        <v>#REF!</v>
      </c>
      <c r="I93" s="52" t="e">
        <f>IF(+All!#REF!="UAB",+All!#REF!,IF(+All!#REF!="UAB",+All!#REF!,0))</f>
        <v>#REF!</v>
      </c>
      <c r="J93" s="460" t="e">
        <f>IF(+All!#REF!="UAB",+All!#REF!,IF(+All!#REF!="UAB",+All!#REF!,0))</f>
        <v>#REF!</v>
      </c>
      <c r="K93" s="461" t="e">
        <f>IF(+All!#REF!="UAB",+All!#REF!,IF(+All!#REF!="UAB",+All!#REF!,0))</f>
        <v>#REF!</v>
      </c>
      <c r="L93" s="54" t="e">
        <f>IF(+All!#REF!="UAB",+All!#REF!,IF(+All!#REF!="UAB",+All!#REF!,0))</f>
        <v>#REF!</v>
      </c>
      <c r="M93" s="55" t="e">
        <f>IF(+All!#REF!="UAB",+All!#REF!,IF(+All!#REF!="UAB",+All!#REF!,0))</f>
        <v>#REF!</v>
      </c>
      <c r="N93" s="460" t="e">
        <f>IF(+All!#REF!="UAB",+All!#REF!,IF(+All!#REF!="UAB",+All!#REF!,0))</f>
        <v>#REF!</v>
      </c>
      <c r="O93" s="462" t="e">
        <f>IF(+All!#REF!="UAB",+All!#REF!,IF(+All!#REF!="UAB",+All!#REF!,0))</f>
        <v>#REF!</v>
      </c>
      <c r="P93" s="462" t="e">
        <f>IF(+All!#REF!="UAB",+All!#REF!,IF(+All!#REF!="UAB",+All!#REF!,0))</f>
        <v>#REF!</v>
      </c>
      <c r="Q93" s="461" t="e">
        <f>IF(+All!#REF!="UAB",+All!#REF!,IF(+All!#REF!="UAB",+All!#REF!,0))</f>
        <v>#REF!</v>
      </c>
      <c r="R93" s="460" t="e">
        <f>IF(+All!#REF!="UAB",+All!#REF!,IF(+All!#REF!="UAB",+All!#REF!,0))</f>
        <v>#REF!</v>
      </c>
      <c r="S93" s="462" t="e">
        <f>IF(+All!#REF!="UAB",+All!#REF!,IF(+All!#REF!="UAB",+All!#REF!,0))</f>
        <v>#REF!</v>
      </c>
      <c r="T93" s="460" t="e">
        <f>IF(+All!#REF!="UAB",+All!#REF!,IF(+All!#REF!="UAB",+All!#REF!,0))</f>
        <v>#REF!</v>
      </c>
      <c r="U93" s="461" t="e">
        <f>IF(+All!#REF!="UAB",+All!#REF!,IF(+All!#REF!="UAB",+All!#REF!,0))</f>
        <v>#REF!</v>
      </c>
    </row>
    <row r="94" spans="1:21" x14ac:dyDescent="0.8">
      <c r="A94" s="46">
        <f>IF(+All!$F348="UAB",+All!A348,IF(+All!$H348="UAB",+All!A348,0))</f>
        <v>5</v>
      </c>
      <c r="B94" s="348" t="str">
        <f>IF(+All!$F348="UAB",+All!B348,IF(+All!$H348="UAB",+All!B348,0))</f>
        <v>Sat</v>
      </c>
      <c r="C94" s="48">
        <f>IF(+All!$F348="UAB",+All!C348,IF(+All!$H348="UAB",+All!C348,0))</f>
        <v>44835</v>
      </c>
      <c r="D94" s="490">
        <f>IF(+All!$F348="UAB",+All!D348,IF(+All!$H348="UAB",+All!D348,0))</f>
        <v>0.8125</v>
      </c>
      <c r="E94" s="461">
        <f>IF(+All!$F348="UAB",+All!E348,IF(+All!$H348="UAB",+All!E348,0))</f>
        <v>0</v>
      </c>
      <c r="F94" s="51" t="str">
        <f>IF(+All!$F348="UAB",+All!F348,IF(+All!$H348="UAB",+All!F348,0))</f>
        <v>UAB</v>
      </c>
      <c r="G94" s="52" t="str">
        <f>IF(+All!$F348="UAB",+All!G348,IF(+All!$H348="UAB",+All!G348,0))</f>
        <v>CUSA</v>
      </c>
      <c r="H94" s="51" t="str">
        <f>IF(+All!$F348="UAB",+All!H348,IF(+All!$H348="UAB",+All!H348,0))</f>
        <v>Rice</v>
      </c>
      <c r="I94" s="52" t="str">
        <f>IF(+All!$F348="UAB",+All!I348,IF(+All!$H348="UAB",+All!I348,0))</f>
        <v>CUSA</v>
      </c>
      <c r="J94" s="460" t="str">
        <f>IF(+All!$F348="UAB",+All!J348,IF(+All!$H348="UAB",+All!J348,0))</f>
        <v>UAB</v>
      </c>
      <c r="K94" s="461" t="str">
        <f>IF(+All!$F348="UAB",+All!K348,IF(+All!$H348="UAB",+All!K348,0))</f>
        <v>Rice</v>
      </c>
      <c r="L94" s="54">
        <f>IF(+All!$F348="UAB",+All!L348,IF(+All!$H348="UAB",+All!L348,0))</f>
        <v>10</v>
      </c>
      <c r="M94" s="55">
        <f>IF(+All!$F348="UAB",+All!M348,IF(+All!$H348="UAB",+All!M348,0))</f>
        <v>52</v>
      </c>
      <c r="N94" s="460" t="str">
        <f>IF(+All!$F348="UAB",+All!N348,IF(+All!$H348="UAB",+All!N348,0))</f>
        <v>Rice</v>
      </c>
      <c r="O94" s="462">
        <f>IF(+All!$F348="UAB",+All!O348,IF(+All!$H348="UAB",+All!O348,0))</f>
        <v>28</v>
      </c>
      <c r="P94" s="462" t="str">
        <f>IF(+All!$F348="UAB",+All!P348,IF(+All!$H348="UAB",+All!P348,0))</f>
        <v>UAB</v>
      </c>
      <c r="Q94" s="461">
        <f>IF(+All!$F348="UAB",+All!Q348,IF(+All!$H348="UAB",+All!Q348,0))</f>
        <v>24</v>
      </c>
      <c r="R94" s="460" t="str">
        <f>IF(+All!$F348="UAB",+All!R348,IF(+All!$H348="UAB",+All!R348,0))</f>
        <v>Rice</v>
      </c>
      <c r="S94" s="462" t="str">
        <f>IF(+All!$F348="UAB",+All!S348,IF(+All!$H348="UAB",+All!S348,0))</f>
        <v>UAB</v>
      </c>
      <c r="T94" s="460" t="str">
        <f>IF(+All!$F348="UAB",+All!T348,IF(+All!$H348="UAB",+All!T348,0))</f>
        <v>UAB</v>
      </c>
      <c r="U94" s="461" t="str">
        <f>IF(+All!$F348="UAB",+All!U348,IF(+All!$H348="UAB",+All!U348,0))</f>
        <v>L</v>
      </c>
    </row>
    <row r="95" spans="1:21" x14ac:dyDescent="0.8">
      <c r="A95" s="46">
        <f>IF(+All!$F407="UAB",+All!A407,IF(+All!$H407="UAB",+All!A407,0))</f>
        <v>6</v>
      </c>
      <c r="B95" s="348" t="str">
        <f>IF(+All!$F407="UAB",+All!B407,IF(+All!$H407="UAB",+All!B407,0))</f>
        <v>Sat</v>
      </c>
      <c r="C95" s="48">
        <f>IF(+All!$F407="UAB",+All!C407,IF(+All!$H407="UAB",+All!C407,0))</f>
        <v>44842</v>
      </c>
      <c r="D95" s="490">
        <f>IF(+All!$F407="UAB",+All!D407,IF(+All!$H407="UAB",+All!D407,0))</f>
        <v>0.64583333333333337</v>
      </c>
      <c r="E95" s="461">
        <f>IF(+All!$F407="UAB",+All!E407,IF(+All!$H407="UAB",+All!E407,0))</f>
        <v>0</v>
      </c>
      <c r="F95" s="51" t="str">
        <f>IF(+All!$F407="UAB",+All!F407,IF(+All!$H407="UAB",+All!F407,0))</f>
        <v>Middle Tenn St</v>
      </c>
      <c r="G95" s="52" t="str">
        <f>IF(+All!$F407="UAB",+All!G407,IF(+All!$H407="UAB",+All!G407,0))</f>
        <v>CUSA</v>
      </c>
      <c r="H95" s="51" t="str">
        <f>IF(+All!$F407="UAB",+All!H407,IF(+All!$H407="UAB",+All!H407,0))</f>
        <v>UAB</v>
      </c>
      <c r="I95" s="52" t="str">
        <f>IF(+All!$F407="UAB",+All!I407,IF(+All!$H407="UAB",+All!I407,0))</f>
        <v>CUSA</v>
      </c>
      <c r="J95" s="460" t="str">
        <f>IF(+All!$F407="UAB",+All!J407,IF(+All!$H407="UAB",+All!J407,0))</f>
        <v>UAB</v>
      </c>
      <c r="K95" s="461" t="str">
        <f>IF(+All!$F407="UAB",+All!K407,IF(+All!$H407="UAB",+All!K407,0))</f>
        <v>Middle Tenn St</v>
      </c>
      <c r="L95" s="54">
        <f>IF(+All!$F407="UAB",+All!L407,IF(+All!$H407="UAB",+All!L407,0))</f>
        <v>9.5</v>
      </c>
      <c r="M95" s="55">
        <f>IF(+All!$F407="UAB",+All!M407,IF(+All!$H407="UAB",+All!M407,0))</f>
        <v>52.5</v>
      </c>
      <c r="N95" s="460" t="str">
        <f>IF(+All!$F407="UAB",+All!N407,IF(+All!$H407="UAB",+All!N407,0))</f>
        <v>UAB</v>
      </c>
      <c r="O95" s="462">
        <f>IF(+All!$F407="UAB",+All!O407,IF(+All!$H407="UAB",+All!O407,0))</f>
        <v>41</v>
      </c>
      <c r="P95" s="462" t="str">
        <f>IF(+All!$F407="UAB",+All!P407,IF(+All!$H407="UAB",+All!P407,0))</f>
        <v>Middle Tenn St</v>
      </c>
      <c r="Q95" s="461">
        <f>IF(+All!$F407="UAB",+All!Q407,IF(+All!$H407="UAB",+All!Q407,0))</f>
        <v>14</v>
      </c>
      <c r="R95" s="460" t="str">
        <f>IF(+All!$F407="UAB",+All!R407,IF(+All!$H407="UAB",+All!R407,0))</f>
        <v>UAB</v>
      </c>
      <c r="S95" s="462" t="str">
        <f>IF(+All!$F407="UAB",+All!S407,IF(+All!$H407="UAB",+All!S407,0))</f>
        <v>Middle Tenn St</v>
      </c>
      <c r="T95" s="460" t="str">
        <f>IF(+All!$F407="UAB",+All!T407,IF(+All!$H407="UAB",+All!T407,0))</f>
        <v>Middle Tenn St</v>
      </c>
      <c r="U95" s="461" t="str">
        <f>IF(+All!$F407="UAB",+All!U407,IF(+All!$H407="UAB",+All!U407,0))</f>
        <v>L</v>
      </c>
    </row>
    <row r="96" spans="1:21" x14ac:dyDescent="0.8">
      <c r="A96" s="46">
        <f>IF(+All!$F460="UAB",+All!A460,IF(+All!$H460="UAB",+All!A460,0))</f>
        <v>7</v>
      </c>
      <c r="B96" s="348" t="str">
        <f>IF(+All!$F460="UAB",+All!B460,IF(+All!$H460="UAB",+All!B460,0))</f>
        <v>Sat</v>
      </c>
      <c r="C96" s="48">
        <f>IF(+All!$F460="UAB",+All!C460,IF(+All!$H460="UAB",+All!C460,0))</f>
        <v>44849</v>
      </c>
      <c r="D96" s="490">
        <f>IF(+All!$F460="UAB",+All!D460,IF(+All!$H460="UAB",+All!D460,0))</f>
        <v>0.64583333333333337</v>
      </c>
      <c r="E96" s="461">
        <f>IF(+All!$F460="UAB",+All!E460,IF(+All!$H460="UAB",+All!E460,0))</f>
        <v>0</v>
      </c>
      <c r="F96" s="51" t="str">
        <f>IF(+All!$F460="UAB",+All!F460,IF(+All!$H460="UAB",+All!F460,0))</f>
        <v>UNC Charlotte</v>
      </c>
      <c r="G96" s="52" t="str">
        <f>IF(+All!$F460="UAB",+All!G460,IF(+All!$H460="UAB",+All!G460,0))</f>
        <v>CUSA</v>
      </c>
      <c r="H96" s="51" t="str">
        <f>IF(+All!$F460="UAB",+All!H460,IF(+All!$H460="UAB",+All!H460,0))</f>
        <v>UAB</v>
      </c>
      <c r="I96" s="52" t="str">
        <f>IF(+All!$F460="UAB",+All!I460,IF(+All!$H460="UAB",+All!I460,0))</f>
        <v>CUSA</v>
      </c>
      <c r="J96" s="460" t="str">
        <f>IF(+All!$F460="UAB",+All!J460,IF(+All!$H460="UAB",+All!J460,0))</f>
        <v>UAB</v>
      </c>
      <c r="K96" s="461" t="str">
        <f>IF(+All!$F460="UAB",+All!K460,IF(+All!$H460="UAB",+All!K460,0))</f>
        <v>UNC Charlotte</v>
      </c>
      <c r="L96" s="54">
        <f>IF(+All!$F460="UAB",+All!L460,IF(+All!$H460="UAB",+All!L460,0))</f>
        <v>23.5</v>
      </c>
      <c r="M96" s="55">
        <f>IF(+All!$F460="UAB",+All!M460,IF(+All!$H460="UAB",+All!M460,0))</f>
        <v>63.5</v>
      </c>
      <c r="N96" s="460" t="str">
        <f>IF(+All!$F460="UAB",+All!N460,IF(+All!$H460="UAB",+All!N460,0))</f>
        <v>UAB</v>
      </c>
      <c r="O96" s="462">
        <f>IF(+All!$F460="UAB",+All!O460,IF(+All!$H460="UAB",+All!O460,0))</f>
        <v>34</v>
      </c>
      <c r="P96" s="462" t="str">
        <f>IF(+All!$F460="UAB",+All!P460,IF(+All!$H460="UAB",+All!P460,0))</f>
        <v>UNC Charlotte</v>
      </c>
      <c r="Q96" s="461">
        <f>IF(+All!$F460="UAB",+All!Q460,IF(+All!$H460="UAB",+All!Q460,0))</f>
        <v>20</v>
      </c>
      <c r="R96" s="460" t="str">
        <f>IF(+All!$F460="UAB",+All!R460,IF(+All!$H460="UAB",+All!R460,0))</f>
        <v>UNC Charlotte</v>
      </c>
      <c r="S96" s="462" t="str">
        <f>IF(+All!$F460="UAB",+All!S460,IF(+All!$H460="UAB",+All!S460,0))</f>
        <v>UAB</v>
      </c>
      <c r="T96" s="460" t="str">
        <f>IF(+All!$F460="UAB",+All!T460,IF(+All!$H460="UAB",+All!T460,0))</f>
        <v>UAB</v>
      </c>
      <c r="U96" s="461" t="str">
        <f>IF(+All!$F460="UAB",+All!U460,IF(+All!$H460="UAB",+All!U460,0))</f>
        <v>L</v>
      </c>
    </row>
    <row r="97" spans="1:21" x14ac:dyDescent="0.8">
      <c r="A97" s="46">
        <f>IF(+All!$F495="UAB",+All!A495,IF(+All!$H495="UAB",+All!A495,0))</f>
        <v>8</v>
      </c>
      <c r="B97" s="348" t="str">
        <f>IF(+All!$F495="UAB",+All!B495,IF(+All!$H495="UAB",+All!B495,0))</f>
        <v>Fri</v>
      </c>
      <c r="C97" s="48">
        <f>IF(+All!$F495="UAB",+All!C495,IF(+All!$H495="UAB",+All!C495,0))</f>
        <v>44855</v>
      </c>
      <c r="D97" s="490">
        <f>IF(+All!$F495="UAB",+All!D495,IF(+All!$H495="UAB",+All!D495,0))</f>
        <v>0.83333333333333337</v>
      </c>
      <c r="E97" s="461" t="str">
        <f>IF(+All!$F495="UAB",+All!E495,IF(+All!$H495="UAB",+All!E495,0))</f>
        <v>CBSSN</v>
      </c>
      <c r="F97" s="51" t="str">
        <f>IF(+All!$F495="UAB",+All!F495,IF(+All!$H495="UAB",+All!F495,0))</f>
        <v>UAB</v>
      </c>
      <c r="G97" s="52" t="str">
        <f>IF(+All!$F495="UAB",+All!G495,IF(+All!$H495="UAB",+All!G495,0))</f>
        <v>CUSA</v>
      </c>
      <c r="H97" s="51" t="str">
        <f>IF(+All!$F495="UAB",+All!H495,IF(+All!$H495="UAB",+All!H495,0))</f>
        <v>Western Kentucky</v>
      </c>
      <c r="I97" s="52" t="str">
        <f>IF(+All!$F495="UAB",+All!I495,IF(+All!$H495="UAB",+All!I495,0))</f>
        <v>CUSA</v>
      </c>
      <c r="J97" s="460" t="str">
        <f>IF(+All!$F495="UAB",+All!J495,IF(+All!$H495="UAB",+All!J495,0))</f>
        <v>Western Kentucky</v>
      </c>
      <c r="K97" s="461" t="str">
        <f>IF(+All!$F495="UAB",+All!K495,IF(+All!$H495="UAB",+All!K495,0))</f>
        <v>UAB</v>
      </c>
      <c r="L97" s="54">
        <f>IF(+All!$F495="UAB",+All!L495,IF(+All!$H495="UAB",+All!L495,0))</f>
        <v>2</v>
      </c>
      <c r="M97" s="55">
        <f>IF(+All!$F495="UAB",+All!M495,IF(+All!$H495="UAB",+All!M495,0))</f>
        <v>57.5</v>
      </c>
      <c r="N97" s="460" t="str">
        <f>IF(+All!$F495="UAB",+All!N495,IF(+All!$H495="UAB",+All!N495,0))</f>
        <v>Western Kentucky</v>
      </c>
      <c r="O97" s="462">
        <f>IF(+All!$F495="UAB",+All!O495,IF(+All!$H495="UAB",+All!O495,0))</f>
        <v>20</v>
      </c>
      <c r="P97" s="462" t="str">
        <f>IF(+All!$F495="UAB",+All!P495,IF(+All!$H495="UAB",+All!P495,0))</f>
        <v>UAB</v>
      </c>
      <c r="Q97" s="461">
        <f>IF(+All!$F495="UAB",+All!Q495,IF(+All!$H495="UAB",+All!Q495,0))</f>
        <v>17</v>
      </c>
      <c r="R97" s="460" t="str">
        <f>IF(+All!$F495="UAB",+All!R495,IF(+All!$H495="UAB",+All!R495,0))</f>
        <v>Western Kentucky</v>
      </c>
      <c r="S97" s="462" t="str">
        <f>IF(+All!$F495="UAB",+All!S495,IF(+All!$H495="UAB",+All!S495,0))</f>
        <v>UAB</v>
      </c>
      <c r="T97" s="460" t="str">
        <f>IF(+All!$F495="UAB",+All!T495,IF(+All!$H495="UAB",+All!T495,0))</f>
        <v>Western Kentucky</v>
      </c>
      <c r="U97" s="461" t="str">
        <f>IF(+All!$F495="UAB",+All!U495,IF(+All!$H495="UAB",+All!U495,0))</f>
        <v>W</v>
      </c>
    </row>
    <row r="98" spans="1:21" x14ac:dyDescent="0.8">
      <c r="A98" s="46">
        <f>IF(+All!$F568="UAB",+All!A568,IF(+All!$H568="UAB",+All!A568,0))</f>
        <v>9</v>
      </c>
      <c r="B98" s="348" t="str">
        <f>IF(+All!$F568="UAB",+All!B568,IF(+All!$H568="UAB",+All!B568,0))</f>
        <v>Sat</v>
      </c>
      <c r="C98" s="48">
        <f>IF(+All!$F568="UAB",+All!C568,IF(+All!$H568="UAB",+All!C568,0))</f>
        <v>44863</v>
      </c>
      <c r="D98" s="490">
        <f>IF(+All!$F568="UAB",+All!D568,IF(+All!$H568="UAB",+All!D568,0))</f>
        <v>0.79166666666666663</v>
      </c>
      <c r="E98" s="461">
        <f>IF(+All!$F568="UAB",+All!E568,IF(+All!$H568="UAB",+All!E568,0))</f>
        <v>0</v>
      </c>
      <c r="F98" s="51" t="str">
        <f>IF(+All!$F568="UAB",+All!F568,IF(+All!$H568="UAB",+All!F568,0))</f>
        <v>UAB</v>
      </c>
      <c r="G98" s="52" t="str">
        <f>IF(+All!$F568="UAB",+All!G568,IF(+All!$H568="UAB",+All!G568,0))</f>
        <v>CUSA</v>
      </c>
      <c r="H98" s="51" t="str">
        <f>IF(+All!$F568="UAB",+All!H568,IF(+All!$H568="UAB",+All!H568,0))</f>
        <v>Florida Atlantic</v>
      </c>
      <c r="I98" s="52" t="str">
        <f>IF(+All!$F568="UAB",+All!I568,IF(+All!$H568="UAB",+All!I568,0))</f>
        <v>CUSA</v>
      </c>
      <c r="J98" s="460" t="str">
        <f>IF(+All!$F568="UAB",+All!J568,IF(+All!$H568="UAB",+All!J568,0))</f>
        <v>UAB</v>
      </c>
      <c r="K98" s="461" t="str">
        <f>IF(+All!$F568="UAB",+All!K568,IF(+All!$H568="UAB",+All!K568,0))</f>
        <v>Florida Atlantic</v>
      </c>
      <c r="L98" s="54">
        <f>IF(+All!$F568="UAB",+All!L568,IF(+All!$H568="UAB",+All!L568,0))</f>
        <v>5</v>
      </c>
      <c r="M98" s="55">
        <f>IF(+All!$F568="UAB",+All!M568,IF(+All!$H568="UAB",+All!M568,0))</f>
        <v>48</v>
      </c>
      <c r="N98" s="460" t="str">
        <f>IF(+All!$F568="UAB",+All!N568,IF(+All!$H568="UAB",+All!N568,0))</f>
        <v>Florida Atlantic</v>
      </c>
      <c r="O98" s="462">
        <f>IF(+All!$F568="UAB",+All!O568,IF(+All!$H568="UAB",+All!O568,0))</f>
        <v>24</v>
      </c>
      <c r="P98" s="462" t="str">
        <f>IF(+All!$F568="UAB",+All!P568,IF(+All!$H568="UAB",+All!P568,0))</f>
        <v>UAB</v>
      </c>
      <c r="Q98" s="461">
        <f>IF(+All!$F568="UAB",+All!Q568,IF(+All!$H568="UAB",+All!Q568,0))</f>
        <v>18</v>
      </c>
      <c r="R98" s="460" t="str">
        <f>IF(+All!$F568="UAB",+All!R568,IF(+All!$H568="UAB",+All!R568,0))</f>
        <v>Florida Atlantic</v>
      </c>
      <c r="S98" s="462" t="str">
        <f>IF(+All!$F568="UAB",+All!S568,IF(+All!$H568="UAB",+All!S568,0))</f>
        <v>UAB</v>
      </c>
      <c r="T98" s="460" t="str">
        <f>IF(+All!$F568="UAB",+All!T568,IF(+All!$H568="UAB",+All!T568,0))</f>
        <v>Florida Atlantic</v>
      </c>
      <c r="U98" s="461" t="str">
        <f>IF(+All!$F568="UAB",+All!U568,IF(+All!$H568="UAB",+All!U568,0))</f>
        <v>W</v>
      </c>
    </row>
    <row r="99" spans="1:21" x14ac:dyDescent="0.8">
      <c r="A99" s="46">
        <f>IF(+All!$F627="UAB",+All!A627,IF(+All!$H627="UAB",+All!A627,0))</f>
        <v>10</v>
      </c>
      <c r="B99" s="348" t="str">
        <f>IF(+All!$F627="UAB",+All!B627,IF(+All!$H627="UAB",+All!B627,0))</f>
        <v>Sat</v>
      </c>
      <c r="C99" s="48">
        <f>IF(+All!$F627="UAB",+All!C627,IF(+All!$H627="UAB",+All!C627,0))</f>
        <v>44870</v>
      </c>
      <c r="D99" s="490">
        <f>IF(+All!$F627="UAB",+All!D627,IF(+All!$H627="UAB",+All!D627,0))</f>
        <v>0.64583333333333337</v>
      </c>
      <c r="E99" s="461">
        <f>IF(+All!$F627="UAB",+All!E627,IF(+All!$H627="UAB",+All!E627,0))</f>
        <v>0</v>
      </c>
      <c r="F99" s="51" t="str">
        <f>IF(+All!$F627="UAB",+All!F627,IF(+All!$H627="UAB",+All!F627,0))</f>
        <v>UT San Antonio</v>
      </c>
      <c r="G99" s="52" t="str">
        <f>IF(+All!$F627="UAB",+All!G627,IF(+All!$H627="UAB",+All!G627,0))</f>
        <v>CUSA</v>
      </c>
      <c r="H99" s="51" t="str">
        <f>IF(+All!$F627="UAB",+All!H627,IF(+All!$H627="UAB",+All!H627,0))</f>
        <v>UAB</v>
      </c>
      <c r="I99" s="52" t="str">
        <f>IF(+All!$F627="UAB",+All!I627,IF(+All!$H627="UAB",+All!I627,0))</f>
        <v>CUSA</v>
      </c>
      <c r="J99" s="460" t="str">
        <f>IF(+All!$F627="UAB",+All!J627,IF(+All!$H627="UAB",+All!J627,0))</f>
        <v>UT San Antonio</v>
      </c>
      <c r="K99" s="461" t="str">
        <f>IF(+All!$F627="UAB",+All!K627,IF(+All!$H627="UAB",+All!K627,0))</f>
        <v>UAB</v>
      </c>
      <c r="L99" s="54">
        <f>IF(+All!$F627="UAB",+All!L627,IF(+All!$H627="UAB",+All!L627,0))</f>
        <v>1.5</v>
      </c>
      <c r="M99" s="55">
        <f>IF(+All!$F627="UAB",+All!M627,IF(+All!$H627="UAB",+All!M627,0))</f>
        <v>52</v>
      </c>
      <c r="N99" s="460" t="str">
        <f>IF(+All!$F627="UAB",+All!N627,IF(+All!$H627="UAB",+All!N627,0))</f>
        <v>UT San Antonio</v>
      </c>
      <c r="O99" s="462">
        <f>IF(+All!$F627="UAB",+All!O627,IF(+All!$H627="UAB",+All!O627,0))</f>
        <v>44</v>
      </c>
      <c r="P99" s="462" t="str">
        <f>IF(+All!$F627="UAB",+All!P627,IF(+All!$H627="UAB",+All!P627,0))</f>
        <v>UAB</v>
      </c>
      <c r="Q99" s="461">
        <f>IF(+All!$F627="UAB",+All!Q627,IF(+All!$H627="UAB",+All!Q627,0))</f>
        <v>38</v>
      </c>
      <c r="R99" s="460" t="str">
        <f>IF(+All!$F627="UAB",+All!R627,IF(+All!$H627="UAB",+All!R627,0))</f>
        <v>UT San Antonio</v>
      </c>
      <c r="S99" s="462" t="str">
        <f>IF(+All!$F627="UAB",+All!S627,IF(+All!$H627="UAB",+All!S627,0))</f>
        <v>UAB</v>
      </c>
      <c r="T99" s="460" t="str">
        <f>IF(+All!$F627="UAB",+All!T627,IF(+All!$H627="UAB",+All!T627,0))</f>
        <v>UAB</v>
      </c>
      <c r="U99" s="461" t="str">
        <f>IF(+All!$F627="UAB",+All!U627,IF(+All!$H627="UAB",+All!U627,0))</f>
        <v>L</v>
      </c>
    </row>
    <row r="100" spans="1:21" x14ac:dyDescent="0.8">
      <c r="A100" s="46">
        <f>IF(+All!$F689="UAB",+All!A689,IF(+All!$H689="UAB",+All!A689,0))</f>
        <v>11</v>
      </c>
      <c r="B100" s="348" t="str">
        <f>IF(+All!$F689="UAB",+All!B689,IF(+All!$H689="UAB",+All!B689,0))</f>
        <v>Sat</v>
      </c>
      <c r="C100" s="48">
        <f>IF(+All!$F689="UAB",+All!C689,IF(+All!$H689="UAB",+All!C689,0))</f>
        <v>44877</v>
      </c>
      <c r="D100" s="490">
        <f>IF(+All!$F689="UAB",+All!D689,IF(+All!$H689="UAB",+All!D689,0))</f>
        <v>0.64583333333333337</v>
      </c>
      <c r="E100" s="461">
        <f>IF(+All!$F689="UAB",+All!E689,IF(+All!$H689="UAB",+All!E689,0))</f>
        <v>0</v>
      </c>
      <c r="F100" s="51" t="str">
        <f>IF(+All!$F689="UAB",+All!F689,IF(+All!$H689="UAB",+All!F689,0))</f>
        <v>North Texas</v>
      </c>
      <c r="G100" s="52" t="str">
        <f>IF(+All!$F689="UAB",+All!G689,IF(+All!$H689="UAB",+All!G689,0))</f>
        <v>CUSA</v>
      </c>
      <c r="H100" s="51" t="str">
        <f>IF(+All!$F689="UAB",+All!H689,IF(+All!$H689="UAB",+All!H689,0))</f>
        <v>UAB</v>
      </c>
      <c r="I100" s="52" t="str">
        <f>IF(+All!$F689="UAB",+All!I689,IF(+All!$H689="UAB",+All!I689,0))</f>
        <v>CUSA</v>
      </c>
      <c r="J100" s="460" t="str">
        <f>IF(+All!$F689="UAB",+All!J689,IF(+All!$H689="UAB",+All!J689,0))</f>
        <v>UAB</v>
      </c>
      <c r="K100" s="461" t="str">
        <f>IF(+All!$F689="UAB",+All!K689,IF(+All!$H689="UAB",+All!K689,0))</f>
        <v>North Texas</v>
      </c>
      <c r="L100" s="54">
        <f>IF(+All!$F689="UAB",+All!L689,IF(+All!$H689="UAB",+All!L689,0))</f>
        <v>5</v>
      </c>
      <c r="M100" s="55">
        <f>IF(+All!$F689="UAB",+All!M689,IF(+All!$H689="UAB",+All!M689,0))</f>
        <v>57.5</v>
      </c>
      <c r="N100" s="460" t="str">
        <f>IF(+All!$F689="UAB",+All!N689,IF(+All!$H689="UAB",+All!N689,0))</f>
        <v>UAB</v>
      </c>
      <c r="O100" s="462">
        <f>IF(+All!$F689="UAB",+All!O689,IF(+All!$H689="UAB",+All!O689,0))</f>
        <v>41</v>
      </c>
      <c r="P100" s="462" t="str">
        <f>IF(+All!$F689="UAB",+All!P689,IF(+All!$H689="UAB",+All!P689,0))</f>
        <v>North Texas</v>
      </c>
      <c r="Q100" s="461">
        <f>IF(+All!$F689="UAB",+All!Q689,IF(+All!$H689="UAB",+All!Q689,0))</f>
        <v>21</v>
      </c>
      <c r="R100" s="460" t="str">
        <f>IF(+All!$F689="UAB",+All!R689,IF(+All!$H689="UAB",+All!R689,0))</f>
        <v>UAB</v>
      </c>
      <c r="S100" s="462" t="str">
        <f>IF(+All!$F689="UAB",+All!S689,IF(+All!$H689="UAB",+All!S689,0))</f>
        <v>North Texas</v>
      </c>
      <c r="T100" s="460" t="str">
        <f>IF(+All!$F689="UAB",+All!T689,IF(+All!$H689="UAB",+All!T689,0))</f>
        <v>North Texas</v>
      </c>
      <c r="U100" s="461" t="str">
        <f>IF(+All!$F689="UAB",+All!U689,IF(+All!$H689="UAB",+All!U689,0))</f>
        <v>L</v>
      </c>
    </row>
    <row r="101" spans="1:21" x14ac:dyDescent="0.8">
      <c r="A101" s="46">
        <f>IF(+All!$F779="UAB",+All!A779,IF(+All!$H779="UAB",+All!A779,0))</f>
        <v>12</v>
      </c>
      <c r="B101" s="348" t="str">
        <f>IF(+All!$F779="UAB",+All!B779,IF(+All!$H779="UAB",+All!B779,0))</f>
        <v>Sat</v>
      </c>
      <c r="C101" s="48">
        <f>IF(+All!$F779="UAB",+All!C779,IF(+All!$H779="UAB",+All!C779,0))</f>
        <v>44884</v>
      </c>
      <c r="D101" s="490">
        <f>IF(+All!$F779="UAB",+All!D779,IF(+All!$H779="UAB",+All!D779,0))</f>
        <v>0.875</v>
      </c>
      <c r="E101" s="461" t="str">
        <f>IF(+All!$F779="UAB",+All!E779,IF(+All!$H779="UAB",+All!E779,0))</f>
        <v>ESPN2</v>
      </c>
      <c r="F101" s="51" t="str">
        <f>IF(+All!$F779="UAB",+All!F779,IF(+All!$H779="UAB",+All!F779,0))</f>
        <v>UAB</v>
      </c>
      <c r="G101" s="52" t="str">
        <f>IF(+All!$F779="UAB",+All!G779,IF(+All!$H779="UAB",+All!G779,0))</f>
        <v>CUSA</v>
      </c>
      <c r="H101" s="51" t="str">
        <f>IF(+All!$F779="UAB",+All!H779,IF(+All!$H779="UAB",+All!H779,0))</f>
        <v>LSU</v>
      </c>
      <c r="I101" s="52" t="str">
        <f>IF(+All!$F779="UAB",+All!I779,IF(+All!$H779="UAB",+All!I779,0))</f>
        <v>SEC</v>
      </c>
      <c r="J101" s="460" t="str">
        <f>IF(+All!$F779="UAB",+All!J779,IF(+All!$H779="UAB",+All!J779,0))</f>
        <v>LSU</v>
      </c>
      <c r="K101" s="461" t="str">
        <f>IF(+All!$F779="UAB",+All!K779,IF(+All!$H779="UAB",+All!K779,0))</f>
        <v>UAB</v>
      </c>
      <c r="L101" s="54">
        <f>IF(+All!$F779="UAB",+All!L779,IF(+All!$H779="UAB",+All!L779,0))</f>
        <v>14.5</v>
      </c>
      <c r="M101" s="55">
        <f>IF(+All!$F779="UAB",+All!M779,IF(+All!$H779="UAB",+All!M779,0))</f>
        <v>52.5</v>
      </c>
      <c r="N101" s="460" t="str">
        <f>IF(+All!$F779="UAB",+All!N779,IF(+All!$H779="UAB",+All!N779,0))</f>
        <v>LSU</v>
      </c>
      <c r="O101" s="462">
        <f>IF(+All!$F779="UAB",+All!O779,IF(+All!$H779="UAB",+All!O779,0))</f>
        <v>41</v>
      </c>
      <c r="P101" s="462" t="str">
        <f>IF(+All!$F779="UAB",+All!P779,IF(+All!$H779="UAB",+All!P779,0))</f>
        <v>UAB</v>
      </c>
      <c r="Q101" s="461">
        <f>IF(+All!$F779="UAB",+All!Q779,IF(+All!$H779="UAB",+All!Q779,0))</f>
        <v>10</v>
      </c>
      <c r="R101" s="460" t="str">
        <f>IF(+All!$F779="UAB",+All!R779,IF(+All!$H779="UAB",+All!R779,0))</f>
        <v>LSU</v>
      </c>
      <c r="S101" s="462" t="str">
        <f>IF(+All!$F779="UAB",+All!S779,IF(+All!$H779="UAB",+All!S779,0))</f>
        <v>UAB</v>
      </c>
      <c r="T101" s="460" t="str">
        <f>IF(+All!$F779="UAB",+All!T779,IF(+All!$H779="UAB",+All!T779,0))</f>
        <v>UAB</v>
      </c>
      <c r="U101" s="461" t="str">
        <f>IF(+All!$F779="UAB",+All!U779,IF(+All!$H779="UAB",+All!U779,0))</f>
        <v>L</v>
      </c>
    </row>
    <row r="102" spans="1:21" x14ac:dyDescent="0.8">
      <c r="A102" s="46">
        <f>IF(+All!$F820="UAB",+All!A820,IF(+All!$H820="UAB",+All!A820,0))</f>
        <v>13</v>
      </c>
      <c r="B102" s="348" t="str">
        <f>IF(+All!$F820="UAB",+All!B820,IF(+All!$H820="UAB",+All!B820,0))</f>
        <v>Sat</v>
      </c>
      <c r="C102" s="48">
        <f>IF(+All!$F820="UAB",+All!C820,IF(+All!$H820="UAB",+All!C820,0))</f>
        <v>44891</v>
      </c>
      <c r="D102" s="490">
        <f>IF(+All!$F820="UAB",+All!D820,IF(+All!$H820="UAB",+All!D820,0))</f>
        <v>0.64583333333333337</v>
      </c>
      <c r="E102" s="461" t="str">
        <f>IF(+All!$F820="UAB",+All!E820,IF(+All!$H820="UAB",+All!E820,0))</f>
        <v>CBSSN</v>
      </c>
      <c r="F102" s="51" t="str">
        <f>IF(+All!$F820="UAB",+All!F820,IF(+All!$H820="UAB",+All!F820,0))</f>
        <v>UAB</v>
      </c>
      <c r="G102" s="52" t="str">
        <f>IF(+All!$F820="UAB",+All!G820,IF(+All!$H820="UAB",+All!G820,0))</f>
        <v>CUSA</v>
      </c>
      <c r="H102" s="51" t="str">
        <f>IF(+All!$F820="UAB",+All!H820,IF(+All!$H820="UAB",+All!H820,0))</f>
        <v>Louisiana Tech</v>
      </c>
      <c r="I102" s="52" t="str">
        <f>IF(+All!$F820="UAB",+All!I820,IF(+All!$H820="UAB",+All!I820,0))</f>
        <v>CUSA</v>
      </c>
      <c r="J102" s="460" t="str">
        <f>IF(+All!$F820="UAB",+All!J820,IF(+All!$H820="UAB",+All!J820,0))</f>
        <v>UAB</v>
      </c>
      <c r="K102" s="461" t="str">
        <f>IF(+All!$F820="UAB",+All!K820,IF(+All!$H820="UAB",+All!K820,0))</f>
        <v>Louisiana Tech</v>
      </c>
      <c r="L102" s="54">
        <f>IF(+All!$F820="UAB",+All!L820,IF(+All!$H820="UAB",+All!L820,0))</f>
        <v>17.5</v>
      </c>
      <c r="M102" s="55">
        <f>IF(+All!$F820="UAB",+All!M820,IF(+All!$H820="UAB",+All!M820,0))</f>
        <v>57.5</v>
      </c>
      <c r="N102" s="460" t="str">
        <f>IF(+All!$F820="UAB",+All!N820,IF(+All!$H820="UAB",+All!N820,0))</f>
        <v>UAB</v>
      </c>
      <c r="O102" s="462">
        <f>IF(+All!$F820="UAB",+All!O820,IF(+All!$H820="UAB",+All!O820,0))</f>
        <v>37</v>
      </c>
      <c r="P102" s="462" t="str">
        <f>IF(+All!$F820="UAB",+All!P820,IF(+All!$H820="UAB",+All!P820,0))</f>
        <v>Louisiana Tech</v>
      </c>
      <c r="Q102" s="461">
        <f>IF(+All!$F820="UAB",+All!Q820,IF(+All!$H820="UAB",+All!Q820,0))</f>
        <v>27</v>
      </c>
      <c r="R102" s="460" t="str">
        <f>IF(+All!$F820="UAB",+All!R820,IF(+All!$H820="UAB",+All!R820,0))</f>
        <v>Louisiana Tech</v>
      </c>
      <c r="S102" s="462" t="str">
        <f>IF(+All!$F820="UAB",+All!S820,IF(+All!$H820="UAB",+All!S820,0))</f>
        <v>UAB</v>
      </c>
      <c r="T102" s="460" t="str">
        <f>IF(+All!$F820="UAB",+All!T820,IF(+All!$H820="UAB",+All!T820,0))</f>
        <v>Louisiana Tech</v>
      </c>
      <c r="U102" s="461" t="str">
        <f>IF(+All!$F820="UAB",+All!U820,IF(+All!$H820="UAB",+All!U820,0))</f>
        <v>W</v>
      </c>
    </row>
    <row r="103" spans="1:21" x14ac:dyDescent="0.8">
      <c r="B103" s="46"/>
      <c r="C103" s="62"/>
      <c r="D103" s="49"/>
      <c r="E103" s="461"/>
      <c r="F103" s="897" t="str">
        <f>H105</f>
        <v>UNC Charlotte</v>
      </c>
      <c r="G103" s="901"/>
      <c r="H103" s="901"/>
      <c r="I103" s="902"/>
      <c r="J103" s="460"/>
      <c r="K103" s="461"/>
      <c r="L103" s="54"/>
      <c r="M103" s="55"/>
      <c r="N103" s="460"/>
      <c r="O103" s="462"/>
      <c r="P103" s="462"/>
      <c r="Q103" s="461"/>
      <c r="R103" s="460"/>
      <c r="S103" s="462"/>
      <c r="T103" s="460"/>
      <c r="U103" s="461"/>
    </row>
    <row r="104" spans="1:21" x14ac:dyDescent="0.8">
      <c r="A104" s="46">
        <f>IF(+All!$F8="UNC Charlotte",+All!A8,IF(+All!$H8="UNC Charlotte",+All!A8,0))</f>
        <v>0</v>
      </c>
      <c r="B104" s="46" t="str">
        <f>IF(+All!$F8="UNC Charlotte",+All!B8,IF(+All!$H8="UNC Charlotte",+All!B8,0))</f>
        <v>Sat</v>
      </c>
      <c r="C104" s="62">
        <f>IF(+All!$F8="UNC Charlotte",+All!C8,IF(+All!$H8="UNC Charlotte",+All!C8,0))</f>
        <v>44800</v>
      </c>
      <c r="D104" s="490">
        <f>IF(+All!$F8="UNC Charlotte",+All!D8,IF(+All!$H8="UNC Charlotte",+All!D8,0))</f>
        <v>0.79166666666666663</v>
      </c>
      <c r="E104" s="461" t="str">
        <f>IF(+All!$F8="UNC Charlotte",+All!E8,IF(+All!$H8="UNC Charlotte",+All!E8,0))</f>
        <v>CBSSN</v>
      </c>
      <c r="F104" s="51" t="str">
        <f>IF(+All!$F8="UNC Charlotte",+All!F8,IF(+All!$H8="UNC Charlotte",+All!F8,0))</f>
        <v>UNC Charlotte</v>
      </c>
      <c r="G104" s="63" t="str">
        <f>IF(+All!$F8="UNC Charlotte",+All!G8,IF(+All!$H8="UNC Charlotte",+All!G8,0))</f>
        <v>CUSA</v>
      </c>
      <c r="H104" s="63" t="str">
        <f>IF(+All!$F8="UNC Charlotte",+All!H8,IF(+All!$H8="UNC Charlotte",+All!H8,0))</f>
        <v>Florida Atlantic</v>
      </c>
      <c r="I104" s="52" t="str">
        <f>IF(+All!$F8="UNC Charlotte",+All!I8,IF(+All!$H8="UNC Charlotte",+All!I8,0))</f>
        <v>CUSA</v>
      </c>
      <c r="J104" s="460" t="str">
        <f>IF(+All!$F8="UNC Charlotte",+All!J8,IF(+All!$H8="UNC Charlotte",+All!J8,0))</f>
        <v>Florida Atlantic</v>
      </c>
      <c r="K104" s="461" t="str">
        <f>IF(+All!$F8="UNC Charlotte",+All!K8,IF(+All!$H8="UNC Charlotte",+All!K8,0))</f>
        <v>UNC Charlotte</v>
      </c>
      <c r="L104" s="54">
        <f>IF(+All!$F8="UNC Charlotte",+All!L8,IF(+All!$H8="UNC Charlotte",+All!L8,0))</f>
        <v>7</v>
      </c>
      <c r="M104" s="55">
        <f>IF(+All!$F8="UNC Charlotte",+All!M8,IF(+All!$H8="UNC Charlotte",+All!M8,0))</f>
        <v>59.5</v>
      </c>
      <c r="N104" s="460" t="str">
        <f>IF(+All!$F8="UNC Charlotte",+All!N8,IF(+All!$H8="UNC Charlotte",+All!N8,0))</f>
        <v>Florida Atlantic</v>
      </c>
      <c r="O104" s="462">
        <f>IF(+All!$F8="UNC Charlotte",+All!O8,IF(+All!$H8="UNC Charlotte",+All!O8,0))</f>
        <v>43</v>
      </c>
      <c r="P104" s="462" t="str">
        <f>IF(+All!$F8="UNC Charlotte",+All!P8,IF(+All!$H8="UNC Charlotte",+All!P8,0))</f>
        <v>UNC Charlotte</v>
      </c>
      <c r="Q104" s="461">
        <f>IF(+All!$F8="UNC Charlotte",+All!Q8,IF(+All!$H8="UNC Charlotte",+All!Q8,0))</f>
        <v>13</v>
      </c>
      <c r="R104" s="460" t="str">
        <f>IF(+All!$F8="UNC Charlotte",+All!R8,IF(+All!$H8="UNC Charlotte",+All!R8,0))</f>
        <v>Florida Atlantic</v>
      </c>
      <c r="S104" s="462" t="str">
        <f>IF(+All!$F8="UNC Charlotte",+All!S8,IF(+All!$H8="UNC Charlotte",+All!S8,0))</f>
        <v>UNC Charlotte</v>
      </c>
      <c r="T104" s="460" t="str">
        <f>IF(+All!$F8="UNC Charlotte",+All!T8,IF(+All!$H8="UNC Charlotte",+All!T8,0))</f>
        <v>UNC Charlotte</v>
      </c>
      <c r="U104" s="461" t="str">
        <f>IF(+All!$F8="UNC Charlotte",+All!U8,IF(+All!$H8="UNC Charlotte",+All!U8,0))</f>
        <v>L</v>
      </c>
    </row>
    <row r="105" spans="1:21" x14ac:dyDescent="0.8">
      <c r="A105" s="46">
        <f>IF(+All!$F50="UNC Charlotte",+All!A50,IF(+All!$H50="UNC Charlotte",+All!A50,0))</f>
        <v>1</v>
      </c>
      <c r="B105" s="46" t="str">
        <f>IF(+All!$F50="UNC Charlotte",+All!B50,IF(+All!$H50="UNC Charlotte",+All!B50,0))</f>
        <v>Fri</v>
      </c>
      <c r="C105" s="62">
        <f>IF(+All!$F50="UNC Charlotte",+All!C50,IF(+All!$H50="UNC Charlotte",+All!C50,0))</f>
        <v>44806</v>
      </c>
      <c r="D105" s="490">
        <f>IF(+All!$F50="UNC Charlotte",+All!D50,IF(+All!$H50="UNC Charlotte",+All!D50,0))</f>
        <v>0.79166666666666663</v>
      </c>
      <c r="E105" s="461" t="str">
        <f>IF(+All!$F50="UNC Charlotte",+All!E50,IF(+All!$H50="UNC Charlotte",+All!E50,0))</f>
        <v>espn3</v>
      </c>
      <c r="F105" s="51" t="str">
        <f>IF(+All!$F50="UNC Charlotte",+All!F50,IF(+All!$H50="UNC Charlotte",+All!F50,0))</f>
        <v>1AA William &amp; Mary</v>
      </c>
      <c r="G105" s="63" t="str">
        <f>IF(+All!$F50="UNC Charlotte",+All!G50,IF(+All!$H50="UNC Charlotte",+All!G50,0))</f>
        <v>1AA</v>
      </c>
      <c r="H105" s="63" t="str">
        <f>IF(+All!$F50="UNC Charlotte",+All!H50,IF(+All!$H50="UNC Charlotte",+All!H50,0))</f>
        <v>UNC Charlotte</v>
      </c>
      <c r="I105" s="52" t="str">
        <f>IF(+All!$F50="UNC Charlotte",+All!I50,IF(+All!$H50="UNC Charlotte",+All!I50,0))</f>
        <v>CUSA</v>
      </c>
      <c r="J105" s="460">
        <f>IF(+All!$F50="UNC Charlotte",+All!J50,IF(+All!$H50="UNC Charlotte",+All!J50,0))</f>
        <v>0</v>
      </c>
      <c r="K105" s="461">
        <f>IF(+All!$F50="UNC Charlotte",+All!K50,IF(+All!$H50="UNC Charlotte",+All!K50,0))</f>
        <v>0</v>
      </c>
      <c r="L105" s="54">
        <f>IF(+All!$F50="UNC Charlotte",+All!L50,IF(+All!$H50="UNC Charlotte",+All!L50,0))</f>
        <v>0</v>
      </c>
      <c r="M105" s="55">
        <f>IF(+All!$F50="UNC Charlotte",+All!M50,IF(+All!$H50="UNC Charlotte",+All!M50,0))</f>
        <v>0</v>
      </c>
      <c r="N105" s="460" t="str">
        <f>IF(+All!$F50="UNC Charlotte",+All!N50,IF(+All!$H50="UNC Charlotte",+All!N50,0))</f>
        <v>1AA William &amp; Mary</v>
      </c>
      <c r="O105" s="462">
        <f>IF(+All!$F50="UNC Charlotte",+All!O50,IF(+All!$H50="UNC Charlotte",+All!O50,0))</f>
        <v>41</v>
      </c>
      <c r="P105" s="462" t="str">
        <f>IF(+All!$F50="UNC Charlotte",+All!P50,IF(+All!$H50="UNC Charlotte",+All!P50,0))</f>
        <v>UNC Charlotte</v>
      </c>
      <c r="Q105" s="461">
        <f>IF(+All!$F50="UNC Charlotte",+All!Q50,IF(+All!$H50="UNC Charlotte",+All!Q50,0))</f>
        <v>24</v>
      </c>
      <c r="R105" s="460">
        <f>IF(+All!$F50="UNC Charlotte",+All!R50,IF(+All!$H50="UNC Charlotte",+All!R50,0))</f>
        <v>0</v>
      </c>
      <c r="S105" s="462">
        <f>IF(+All!$F50="UNC Charlotte",+All!S50,IF(+All!$H50="UNC Charlotte",+All!S50,0))</f>
        <v>0</v>
      </c>
      <c r="T105" s="460">
        <f>IF(+All!$F50="UNC Charlotte",+All!T50,IF(+All!$H50="UNC Charlotte",+All!T50,0))</f>
        <v>0</v>
      </c>
      <c r="U105" s="461">
        <f>IF(+All!$F50="UNC Charlotte",+All!U50,IF(+All!$H50="UNC Charlotte",+All!U50,0))</f>
        <v>0</v>
      </c>
    </row>
    <row r="106" spans="1:21" x14ac:dyDescent="0.8">
      <c r="A106" s="46">
        <f>IF(+All!$F138="UNC Charlotte",+All!A138,IF(+All!$H138="UNC Charlotte",+All!A138,0))</f>
        <v>2</v>
      </c>
      <c r="B106" s="46" t="str">
        <f>IF(+All!$F138="UNC Charlotte",+All!B138,IF(+All!$H138="UNC Charlotte",+All!B138,0))</f>
        <v>Sat</v>
      </c>
      <c r="C106" s="62">
        <f>IF(+All!$F138="UNC Charlotte",+All!C138,IF(+All!$H138="UNC Charlotte",+All!C138,0))</f>
        <v>44814</v>
      </c>
      <c r="D106" s="490">
        <f>IF(+All!$F138="UNC Charlotte",+All!D138,IF(+All!$H138="UNC Charlotte",+All!D138,0))</f>
        <v>0.64583333333333337</v>
      </c>
      <c r="E106" s="461">
        <f>IF(+All!$F138="UNC Charlotte",+All!E138,IF(+All!$H138="UNC Charlotte",+All!E138,0))</f>
        <v>0</v>
      </c>
      <c r="F106" s="51" t="str">
        <f>IF(+All!$F138="UNC Charlotte",+All!F138,IF(+All!$H138="UNC Charlotte",+All!F138,0))</f>
        <v>Maryland</v>
      </c>
      <c r="G106" s="63" t="str">
        <f>IF(+All!$F138="UNC Charlotte",+All!G138,IF(+All!$H138="UNC Charlotte",+All!G138,0))</f>
        <v>B10</v>
      </c>
      <c r="H106" s="63" t="str">
        <f>IF(+All!$F138="UNC Charlotte",+All!H138,IF(+All!$H138="UNC Charlotte",+All!H138,0))</f>
        <v>UNC Charlotte</v>
      </c>
      <c r="I106" s="52" t="str">
        <f>IF(+All!$F138="UNC Charlotte",+All!I138,IF(+All!$H138="UNC Charlotte",+All!I138,0))</f>
        <v>CUSA</v>
      </c>
      <c r="J106" s="460" t="str">
        <f>IF(+All!$F138="UNC Charlotte",+All!J138,IF(+All!$H138="UNC Charlotte",+All!J138,0))</f>
        <v>Maryland</v>
      </c>
      <c r="K106" s="461" t="str">
        <f>IF(+All!$F138="UNC Charlotte",+All!K138,IF(+All!$H138="UNC Charlotte",+All!K138,0))</f>
        <v>UNC Charlotte</v>
      </c>
      <c r="L106" s="54">
        <f>IF(+All!$F138="UNC Charlotte",+All!L138,IF(+All!$H138="UNC Charlotte",+All!L138,0))</f>
        <v>27</v>
      </c>
      <c r="M106" s="55">
        <f>IF(+All!$F138="UNC Charlotte",+All!M138,IF(+All!$H138="UNC Charlotte",+All!M138,0))</f>
        <v>65.5</v>
      </c>
      <c r="N106" s="460" t="str">
        <f>IF(+All!$F138="UNC Charlotte",+All!N138,IF(+All!$H138="UNC Charlotte",+All!N138,0))</f>
        <v>Maryland</v>
      </c>
      <c r="O106" s="462">
        <f>IF(+All!$F138="UNC Charlotte",+All!O138,IF(+All!$H138="UNC Charlotte",+All!O138,0))</f>
        <v>56</v>
      </c>
      <c r="P106" s="462" t="str">
        <f>IF(+All!$F138="UNC Charlotte",+All!P138,IF(+All!$H138="UNC Charlotte",+All!P138,0))</f>
        <v>UNC Charlotte</v>
      </c>
      <c r="Q106" s="461">
        <f>IF(+All!$F138="UNC Charlotte",+All!Q138,IF(+All!$H138="UNC Charlotte",+All!Q138,0))</f>
        <v>21</v>
      </c>
      <c r="R106" s="460" t="str">
        <f>IF(+All!$F138="UNC Charlotte",+All!R138,IF(+All!$H138="UNC Charlotte",+All!R138,0))</f>
        <v>Maryland</v>
      </c>
      <c r="S106" s="462" t="str">
        <f>IF(+All!$F138="UNC Charlotte",+All!S138,IF(+All!$H138="UNC Charlotte",+All!S138,0))</f>
        <v>UNC Charlotte</v>
      </c>
      <c r="T106" s="460" t="str">
        <f>IF(+All!$F138="UNC Charlotte",+All!T138,IF(+All!$H138="UNC Charlotte",+All!T138,0))</f>
        <v>Maryland</v>
      </c>
      <c r="U106" s="461" t="str">
        <f>IF(+All!$F138="UNC Charlotte",+All!U138,IF(+All!$H138="UNC Charlotte",+All!U138,0))</f>
        <v>W</v>
      </c>
    </row>
    <row r="107" spans="1:21" x14ac:dyDescent="0.8">
      <c r="A107" s="46">
        <f>IF(+All!$F239="UNC Charlotte",+All!A239,IF(+All!$H239="UNC Charlotte",+All!A239,0))</f>
        <v>3</v>
      </c>
      <c r="B107" s="46" t="str">
        <f>IF(+All!$F239="UNC Charlotte",+All!B239,IF(+All!$H239="UNC Charlotte",+All!B239,0))</f>
        <v>Sat</v>
      </c>
      <c r="C107" s="62">
        <f>IF(+All!$F239="UNC Charlotte",+All!C239,IF(+All!$H239="UNC Charlotte",+All!C239,0))</f>
        <v>44821</v>
      </c>
      <c r="D107" s="490">
        <f>IF(+All!$F239="UNC Charlotte",+All!D239,IF(+All!$H239="UNC Charlotte",+All!D239,0))</f>
        <v>0.79166666666666663</v>
      </c>
      <c r="E107" s="461">
        <f>IF(+All!$F239="UNC Charlotte",+All!E239,IF(+All!$H239="UNC Charlotte",+All!E239,0))</f>
        <v>0</v>
      </c>
      <c r="F107" s="51" t="str">
        <f>IF(+All!$F239="UNC Charlotte",+All!F239,IF(+All!$H239="UNC Charlotte",+All!F239,0))</f>
        <v>UNC Charlotte</v>
      </c>
      <c r="G107" s="63" t="str">
        <f>IF(+All!$F239="UNC Charlotte",+All!G239,IF(+All!$H239="UNC Charlotte",+All!G239,0))</f>
        <v>CUSA</v>
      </c>
      <c r="H107" s="63" t="str">
        <f>IF(+All!$F239="UNC Charlotte",+All!H239,IF(+All!$H239="UNC Charlotte",+All!H239,0))</f>
        <v>Georgia State</v>
      </c>
      <c r="I107" s="52" t="str">
        <f>IF(+All!$F239="UNC Charlotte",+All!I239,IF(+All!$H239="UNC Charlotte",+All!I239,0))</f>
        <v>SB</v>
      </c>
      <c r="J107" s="460" t="str">
        <f>IF(+All!$F239="UNC Charlotte",+All!J239,IF(+All!$H239="UNC Charlotte",+All!J239,0))</f>
        <v>Georgia State</v>
      </c>
      <c r="K107" s="461" t="str">
        <f>IF(+All!$F239="UNC Charlotte",+All!K239,IF(+All!$H239="UNC Charlotte",+All!K239,0))</f>
        <v>UNC Charlotte</v>
      </c>
      <c r="L107" s="54">
        <f>IF(+All!$F239="UNC Charlotte",+All!L239,IF(+All!$H239="UNC Charlotte",+All!L239,0))</f>
        <v>19</v>
      </c>
      <c r="M107" s="55">
        <f>IF(+All!$F239="UNC Charlotte",+All!M239,IF(+All!$H239="UNC Charlotte",+All!M239,0))</f>
        <v>61.5</v>
      </c>
      <c r="N107" s="460" t="str">
        <f>IF(+All!$F239="UNC Charlotte",+All!N239,IF(+All!$H239="UNC Charlotte",+All!N239,0))</f>
        <v>Georgia State</v>
      </c>
      <c r="O107" s="462">
        <f>IF(+All!$F239="UNC Charlotte",+All!O239,IF(+All!$H239="UNC Charlotte",+All!O239,0))</f>
        <v>42</v>
      </c>
      <c r="P107" s="462" t="str">
        <f>IF(+All!$F239="UNC Charlotte",+All!P239,IF(+All!$H239="UNC Charlotte",+All!P239,0))</f>
        <v>UNC Charlotte</v>
      </c>
      <c r="Q107" s="461">
        <f>IF(+All!$F239="UNC Charlotte",+All!Q239,IF(+All!$H239="UNC Charlotte",+All!Q239,0))</f>
        <v>21</v>
      </c>
      <c r="R107" s="460" t="str">
        <f>IF(+All!$F239="UNC Charlotte",+All!R239,IF(+All!$H239="UNC Charlotte",+All!R239,0))</f>
        <v>Georgia State</v>
      </c>
      <c r="S107" s="462" t="str">
        <f>IF(+All!$F239="UNC Charlotte",+All!S239,IF(+All!$H239="UNC Charlotte",+All!S239,0))</f>
        <v>UNC Charlotte</v>
      </c>
      <c r="T107" s="460" t="str">
        <f>IF(+All!$F239="UNC Charlotte",+All!T239,IF(+All!$H239="UNC Charlotte",+All!T239,0))</f>
        <v>Georgia State</v>
      </c>
      <c r="U107" s="461" t="str">
        <f>IF(+All!$F239="UNC Charlotte",+All!U239,IF(+All!$H239="UNC Charlotte",+All!U239,0))</f>
        <v>W</v>
      </c>
    </row>
    <row r="108" spans="1:21" x14ac:dyDescent="0.8">
      <c r="A108" s="46">
        <f>IF(+All!$F316="UNC Charlotte",+All!A316,IF(+All!$H316="UNC Charlotte",+All!A316,0))</f>
        <v>4</v>
      </c>
      <c r="B108" s="46" t="str">
        <f>IF(+All!$F316="UNC Charlotte",+All!B316,IF(+All!$H316="UNC Charlotte",+All!B316,0))</f>
        <v>Sat</v>
      </c>
      <c r="C108" s="62">
        <f>IF(+All!$F316="UNC Charlotte",+All!C316,IF(+All!$H316="UNC Charlotte",+All!C316,0))</f>
        <v>44828</v>
      </c>
      <c r="D108" s="490">
        <f>IF(+All!$F316="UNC Charlotte",+All!D316,IF(+All!$H316="UNC Charlotte",+All!D316,0))</f>
        <v>0.8125</v>
      </c>
      <c r="E108" s="461" t="str">
        <f>IF(+All!$F316="UNC Charlotte",+All!E316,IF(+All!$H316="UNC Charlotte",+All!E316,0))</f>
        <v>ESPNU</v>
      </c>
      <c r="F108" s="51" t="str">
        <f>IF(+All!$F316="UNC Charlotte",+All!F316,IF(+All!$H316="UNC Charlotte",+All!F316,0))</f>
        <v>UNC Charlotte</v>
      </c>
      <c r="G108" s="63" t="str">
        <f>IF(+All!$F316="UNC Charlotte",+All!G316,IF(+All!$H316="UNC Charlotte",+All!G316,0))</f>
        <v>CUSA</v>
      </c>
      <c r="H108" s="63" t="str">
        <f>IF(+All!$F316="UNC Charlotte",+All!H316,IF(+All!$H316="UNC Charlotte",+All!H316,0))</f>
        <v>South Carolina</v>
      </c>
      <c r="I108" s="52" t="str">
        <f>IF(+All!$F316="UNC Charlotte",+All!I316,IF(+All!$H316="UNC Charlotte",+All!I316,0))</f>
        <v>SEC</v>
      </c>
      <c r="J108" s="460" t="str">
        <f>IF(+All!$F316="UNC Charlotte",+All!J316,IF(+All!$H316="UNC Charlotte",+All!J316,0))</f>
        <v>South Carolina</v>
      </c>
      <c r="K108" s="461" t="str">
        <f>IF(+All!$F316="UNC Charlotte",+All!K316,IF(+All!$H316="UNC Charlotte",+All!K316,0))</f>
        <v>UNC Charlotte</v>
      </c>
      <c r="L108" s="54">
        <f>IF(+All!$F316="UNC Charlotte",+All!L316,IF(+All!$H316="UNC Charlotte",+All!L316,0))</f>
        <v>22</v>
      </c>
      <c r="M108" s="55">
        <f>IF(+All!$F316="UNC Charlotte",+All!M316,IF(+All!$H316="UNC Charlotte",+All!M316,0))</f>
        <v>69</v>
      </c>
      <c r="N108" s="460" t="str">
        <f>IF(+All!$F316="UNC Charlotte",+All!N316,IF(+All!$H316="UNC Charlotte",+All!N316,0))</f>
        <v>South Carolina</v>
      </c>
      <c r="O108" s="462">
        <f>IF(+All!$F316="UNC Charlotte",+All!O316,IF(+All!$H316="UNC Charlotte",+All!O316,0))</f>
        <v>56</v>
      </c>
      <c r="P108" s="462" t="str">
        <f>IF(+All!$F316="UNC Charlotte",+All!P316,IF(+All!$H316="UNC Charlotte",+All!P316,0))</f>
        <v>UNC Charlotte</v>
      </c>
      <c r="Q108" s="461">
        <f>IF(+All!$F316="UNC Charlotte",+All!Q316,IF(+All!$H316="UNC Charlotte",+All!Q316,0))</f>
        <v>20</v>
      </c>
      <c r="R108" s="460" t="str">
        <f>IF(+All!$F316="UNC Charlotte",+All!R316,IF(+All!$H316="UNC Charlotte",+All!R316,0))</f>
        <v>South Carolina</v>
      </c>
      <c r="S108" s="462" t="str">
        <f>IF(+All!$F316="UNC Charlotte",+All!S316,IF(+All!$H316="UNC Charlotte",+All!S316,0))</f>
        <v>UNC Charlotte</v>
      </c>
      <c r="T108" s="460" t="str">
        <f>IF(+All!$F316="UNC Charlotte",+All!T316,IF(+All!$H316="UNC Charlotte",+All!T316,0))</f>
        <v>South Carolina</v>
      </c>
      <c r="U108" s="461" t="str">
        <f>IF(+All!$F316="UNC Charlotte",+All!U316,IF(+All!$H316="UNC Charlotte",+All!U316,0))</f>
        <v>W</v>
      </c>
    </row>
    <row r="109" spans="1:21" x14ac:dyDescent="0.8">
      <c r="A109" s="46">
        <f>IF(+All!$F349="UNC Charlotte",+All!A349,IF(+All!$H349="UNC Charlotte",+All!A349,0))</f>
        <v>5</v>
      </c>
      <c r="B109" s="46" t="str">
        <f>IF(+All!$F349="UNC Charlotte",+All!B349,IF(+All!$H349="UNC Charlotte",+All!B349,0))</f>
        <v>Sat</v>
      </c>
      <c r="C109" s="62">
        <f>IF(+All!$F349="UNC Charlotte",+All!C349,IF(+All!$H349="UNC Charlotte",+All!C349,0))</f>
        <v>44835</v>
      </c>
      <c r="D109" s="490">
        <f>IF(+All!$F349="UNC Charlotte",+All!D349,IF(+All!$H349="UNC Charlotte",+All!D349,0))</f>
        <v>0.75</v>
      </c>
      <c r="E109" s="461" t="str">
        <f>IF(+All!$F349="UNC Charlotte",+All!E349,IF(+All!$H349="UNC Charlotte",+All!E349,0))</f>
        <v>espn3</v>
      </c>
      <c r="F109" s="51" t="str">
        <f>IF(+All!$F349="UNC Charlotte",+All!F349,IF(+All!$H349="UNC Charlotte",+All!F349,0))</f>
        <v>UTEP</v>
      </c>
      <c r="G109" s="63" t="str">
        <f>IF(+All!$F349="UNC Charlotte",+All!G349,IF(+All!$H349="UNC Charlotte",+All!G349,0))</f>
        <v>CUSA</v>
      </c>
      <c r="H109" s="63" t="str">
        <f>IF(+All!$F349="UNC Charlotte",+All!H349,IF(+All!$H349="UNC Charlotte",+All!H349,0))</f>
        <v>UNC Charlotte</v>
      </c>
      <c r="I109" s="52" t="str">
        <f>IF(+All!$F349="UNC Charlotte",+All!I349,IF(+All!$H349="UNC Charlotte",+All!I349,0))</f>
        <v>CUSA</v>
      </c>
      <c r="J109" s="460" t="str">
        <f>IF(+All!$F349="UNC Charlotte",+All!J349,IF(+All!$H349="UNC Charlotte",+All!J349,0))</f>
        <v>UTEP</v>
      </c>
      <c r="K109" s="461" t="str">
        <f>IF(+All!$F349="UNC Charlotte",+All!K349,IF(+All!$H349="UNC Charlotte",+All!K349,0))</f>
        <v>UNC Charlotte</v>
      </c>
      <c r="L109" s="54">
        <f>IF(+All!$F349="UNC Charlotte",+All!L349,IF(+All!$H349="UNC Charlotte",+All!L349,0))</f>
        <v>3</v>
      </c>
      <c r="M109" s="55">
        <f>IF(+All!$F349="UNC Charlotte",+All!M349,IF(+All!$H349="UNC Charlotte",+All!M349,0))</f>
        <v>51</v>
      </c>
      <c r="N109" s="460" t="str">
        <f>IF(+All!$F349="UNC Charlotte",+All!N349,IF(+All!$H349="UNC Charlotte",+All!N349,0))</f>
        <v>UTEP</v>
      </c>
      <c r="O109" s="462">
        <f>IF(+All!$F349="UNC Charlotte",+All!O349,IF(+All!$H349="UNC Charlotte",+All!O349,0))</f>
        <v>41</v>
      </c>
      <c r="P109" s="462" t="str">
        <f>IF(+All!$F349="UNC Charlotte",+All!P349,IF(+All!$H349="UNC Charlotte",+All!P349,0))</f>
        <v>UNC Charlotte</v>
      </c>
      <c r="Q109" s="461">
        <f>IF(+All!$F349="UNC Charlotte",+All!Q349,IF(+All!$H349="UNC Charlotte",+All!Q349,0))</f>
        <v>35</v>
      </c>
      <c r="R109" s="460" t="str">
        <f>IF(+All!$F349="UNC Charlotte",+All!R349,IF(+All!$H349="UNC Charlotte",+All!R349,0))</f>
        <v>UTEP</v>
      </c>
      <c r="S109" s="462" t="str">
        <f>IF(+All!$F349="UNC Charlotte",+All!S349,IF(+All!$H349="UNC Charlotte",+All!S349,0))</f>
        <v>UNC Charlotte</v>
      </c>
      <c r="T109" s="460" t="str">
        <f>IF(+All!$F349="UNC Charlotte",+All!T349,IF(+All!$H349="UNC Charlotte",+All!T349,0))</f>
        <v>UTEP</v>
      </c>
      <c r="U109" s="461" t="str">
        <f>IF(+All!$F349="UNC Charlotte",+All!U349,IF(+All!$H349="UNC Charlotte",+All!U349,0))</f>
        <v>W</v>
      </c>
    </row>
    <row r="110" spans="1:21" x14ac:dyDescent="0.8">
      <c r="A110" s="46" t="e">
        <f>IF(+All!#REF!="UNC Charlotte",+All!#REF!,IF(+All!#REF!="UNC Charlotte",+All!#REF!,0))</f>
        <v>#REF!</v>
      </c>
      <c r="B110" s="46" t="e">
        <f>IF(+All!#REF!="UNC Charlotte",+All!#REF!,IF(+All!#REF!="UNC Charlotte",+All!#REF!,0))</f>
        <v>#REF!</v>
      </c>
      <c r="C110" s="62" t="e">
        <f>IF(+All!#REF!="UNC Charlotte",+All!#REF!,IF(+All!#REF!="UNC Charlotte",+All!#REF!,0))</f>
        <v>#REF!</v>
      </c>
      <c r="D110" s="490" t="e">
        <f>IF(+All!#REF!="UNC Charlotte",+All!#REF!,IF(+All!#REF!="UNC Charlotte",+All!#REF!,0))</f>
        <v>#REF!</v>
      </c>
      <c r="E110" s="461" t="e">
        <f>IF(+All!#REF!="UNC Charlotte",+All!#REF!,IF(+All!#REF!="UNC Charlotte",+All!#REF!,0))</f>
        <v>#REF!</v>
      </c>
      <c r="F110" s="51" t="e">
        <f>IF(+All!#REF!="UNC Charlotte",+All!#REF!,IF(+All!#REF!="UNC Charlotte",+All!#REF!,0))</f>
        <v>#REF!</v>
      </c>
      <c r="G110" s="63" t="e">
        <f>IF(+All!#REF!="UNC Charlotte",+All!#REF!,IF(+All!#REF!="UNC Charlotte",+All!#REF!,0))</f>
        <v>#REF!</v>
      </c>
      <c r="H110" s="63" t="e">
        <f>IF(+All!#REF!="UNC Charlotte",+All!#REF!,IF(+All!#REF!="UNC Charlotte",+All!#REF!,0))</f>
        <v>#REF!</v>
      </c>
      <c r="I110" s="52" t="e">
        <f>IF(+All!#REF!="UNC Charlotte",+All!#REF!,IF(+All!#REF!="UNC Charlotte",+All!#REF!,0))</f>
        <v>#REF!</v>
      </c>
      <c r="J110" s="460" t="e">
        <f>IF(+All!#REF!="UNC Charlotte",+All!#REF!,IF(+All!#REF!="UNC Charlotte",+All!#REF!,0))</f>
        <v>#REF!</v>
      </c>
      <c r="K110" s="461" t="e">
        <f>IF(+All!#REF!="UNC Charlotte",+All!#REF!,IF(+All!#REF!="UNC Charlotte",+All!#REF!,0))</f>
        <v>#REF!</v>
      </c>
      <c r="L110" s="54" t="e">
        <f>IF(+All!#REF!="UNC Charlotte",+All!#REF!,IF(+All!#REF!="UNC Charlotte",+All!#REF!,0))</f>
        <v>#REF!</v>
      </c>
      <c r="M110" s="55" t="e">
        <f>IF(+All!#REF!="UNC Charlotte",+All!#REF!,IF(+All!#REF!="UNC Charlotte",+All!#REF!,0))</f>
        <v>#REF!</v>
      </c>
      <c r="N110" s="460" t="e">
        <f>IF(+All!#REF!="UNC Charlotte",+All!#REF!,IF(+All!#REF!="UNC Charlotte",+All!#REF!,0))</f>
        <v>#REF!</v>
      </c>
      <c r="O110" s="462" t="e">
        <f>IF(+All!#REF!="UNC Charlotte",+All!#REF!,IF(+All!#REF!="UNC Charlotte",+All!#REF!,0))</f>
        <v>#REF!</v>
      </c>
      <c r="P110" s="462" t="e">
        <f>IF(+All!#REF!="UNC Charlotte",+All!#REF!,IF(+All!#REF!="UNC Charlotte",+All!#REF!,0))</f>
        <v>#REF!</v>
      </c>
      <c r="Q110" s="461" t="e">
        <f>IF(+All!#REF!="UNC Charlotte",+All!#REF!,IF(+All!#REF!="UNC Charlotte",+All!#REF!,0))</f>
        <v>#REF!</v>
      </c>
      <c r="R110" s="460" t="e">
        <f>IF(+All!#REF!="UNC Charlotte",+All!#REF!,IF(+All!#REF!="UNC Charlotte",+All!#REF!,0))</f>
        <v>#REF!</v>
      </c>
      <c r="S110" s="462" t="e">
        <f>IF(+All!#REF!="UNC Charlotte",+All!#REF!,IF(+All!#REF!="UNC Charlotte",+All!#REF!,0))</f>
        <v>#REF!</v>
      </c>
      <c r="T110" s="460" t="e">
        <f>IF(+All!#REF!="UNC Charlotte",+All!#REF!,IF(+All!#REF!="UNC Charlotte",+All!#REF!,0))</f>
        <v>#REF!</v>
      </c>
      <c r="U110" s="461" t="e">
        <f>IF(+All!#REF!="UNC Charlotte",+All!#REF!,IF(+All!#REF!="UNC Charlotte",+All!#REF!,0))</f>
        <v>#REF!</v>
      </c>
    </row>
    <row r="111" spans="1:21" x14ac:dyDescent="0.8">
      <c r="A111" s="46">
        <f>IF(+All!$F460="UNC Charlotte",+All!A460,IF(+All!$H460="UNC Charlotte",+All!A460,0))</f>
        <v>7</v>
      </c>
      <c r="B111" s="46" t="str">
        <f>IF(+All!$F460="UNC Charlotte",+All!B460,IF(+All!$H460="UNC Charlotte",+All!B460,0))</f>
        <v>Sat</v>
      </c>
      <c r="C111" s="62">
        <f>IF(+All!$F460="UNC Charlotte",+All!C460,IF(+All!$H460="UNC Charlotte",+All!C460,0))</f>
        <v>44849</v>
      </c>
      <c r="D111" s="490">
        <f>IF(+All!$F460="UNC Charlotte",+All!D460,IF(+All!$H460="UNC Charlotte",+All!D460,0))</f>
        <v>0.64583333333333337</v>
      </c>
      <c r="E111" s="461">
        <f>IF(+All!$F460="UNC Charlotte",+All!E460,IF(+All!$H460="UNC Charlotte",+All!E460,0))</f>
        <v>0</v>
      </c>
      <c r="F111" s="51" t="str">
        <f>IF(+All!$F460="UNC Charlotte",+All!F460,IF(+All!$H460="UNC Charlotte",+All!F460,0))</f>
        <v>UNC Charlotte</v>
      </c>
      <c r="G111" s="63" t="str">
        <f>IF(+All!$F460="UNC Charlotte",+All!G460,IF(+All!$H460="UNC Charlotte",+All!G460,0))</f>
        <v>CUSA</v>
      </c>
      <c r="H111" s="63" t="str">
        <f>IF(+All!$F460="UNC Charlotte",+All!H460,IF(+All!$H460="UNC Charlotte",+All!H460,0))</f>
        <v>UAB</v>
      </c>
      <c r="I111" s="52" t="str">
        <f>IF(+All!$F460="UNC Charlotte",+All!I460,IF(+All!$H460="UNC Charlotte",+All!I460,0))</f>
        <v>CUSA</v>
      </c>
      <c r="J111" s="460" t="str">
        <f>IF(+All!$F460="UNC Charlotte",+All!J460,IF(+All!$H460="UNC Charlotte",+All!J460,0))</f>
        <v>UAB</v>
      </c>
      <c r="K111" s="461" t="str">
        <f>IF(+All!$F460="UNC Charlotte",+All!K460,IF(+All!$H460="UNC Charlotte",+All!K460,0))</f>
        <v>UNC Charlotte</v>
      </c>
      <c r="L111" s="54">
        <f>IF(+All!$F460="UNC Charlotte",+All!L460,IF(+All!$H460="UNC Charlotte",+All!L460,0))</f>
        <v>23.5</v>
      </c>
      <c r="M111" s="55">
        <f>IF(+All!$F460="UNC Charlotte",+All!M460,IF(+All!$H460="UNC Charlotte",+All!M460,0))</f>
        <v>63.5</v>
      </c>
      <c r="N111" s="460" t="str">
        <f>IF(+All!$F460="UNC Charlotte",+All!N460,IF(+All!$H460="UNC Charlotte",+All!N460,0))</f>
        <v>UAB</v>
      </c>
      <c r="O111" s="462">
        <f>IF(+All!$F460="UNC Charlotte",+All!O460,IF(+All!$H460="UNC Charlotte",+All!O460,0))</f>
        <v>34</v>
      </c>
      <c r="P111" s="462" t="str">
        <f>IF(+All!$F460="UNC Charlotte",+All!P460,IF(+All!$H460="UNC Charlotte",+All!P460,0))</f>
        <v>UNC Charlotte</v>
      </c>
      <c r="Q111" s="461">
        <f>IF(+All!$F460="UNC Charlotte",+All!Q460,IF(+All!$H460="UNC Charlotte",+All!Q460,0))</f>
        <v>20</v>
      </c>
      <c r="R111" s="460" t="str">
        <f>IF(+All!$F460="UNC Charlotte",+All!R460,IF(+All!$H460="UNC Charlotte",+All!R460,0))</f>
        <v>UNC Charlotte</v>
      </c>
      <c r="S111" s="462" t="str">
        <f>IF(+All!$F460="UNC Charlotte",+All!S460,IF(+All!$H460="UNC Charlotte",+All!S460,0))</f>
        <v>UAB</v>
      </c>
      <c r="T111" s="460" t="str">
        <f>IF(+All!$F460="UNC Charlotte",+All!T460,IF(+All!$H460="UNC Charlotte",+All!T460,0))</f>
        <v>UAB</v>
      </c>
      <c r="U111" s="461" t="str">
        <f>IF(+All!$F460="UNC Charlotte",+All!U460,IF(+All!$H460="UNC Charlotte",+All!U460,0))</f>
        <v>L</v>
      </c>
    </row>
    <row r="112" spans="1:21" x14ac:dyDescent="0.8">
      <c r="A112" s="46">
        <f>IF(+All!$F514="UNC Charlotte",+All!A514,IF(+All!$H514="UNC Charlotte",+All!A514,0))</f>
        <v>8</v>
      </c>
      <c r="B112" s="46" t="str">
        <f>IF(+All!$F514="UNC Charlotte",+All!B514,IF(+All!$H514="UNC Charlotte",+All!B514,0))</f>
        <v>Sat</v>
      </c>
      <c r="C112" s="62">
        <f>IF(+All!$F514="UNC Charlotte",+All!C514,IF(+All!$H514="UNC Charlotte",+All!C514,0))</f>
        <v>44856</v>
      </c>
      <c r="D112" s="490">
        <f>IF(+All!$F514="UNC Charlotte",+All!D514,IF(+All!$H514="UNC Charlotte",+All!D514,0))</f>
        <v>0.64583333333333337</v>
      </c>
      <c r="E112" s="461" t="str">
        <f>IF(+All!$F514="UNC Charlotte",+All!E514,IF(+All!$H514="UNC Charlotte",+All!E514,0))</f>
        <v>espn3</v>
      </c>
      <c r="F112" s="51" t="str">
        <f>IF(+All!$F514="UNC Charlotte",+All!F514,IF(+All!$H514="UNC Charlotte",+All!F514,0))</f>
        <v>Florida Intl</v>
      </c>
      <c r="G112" s="63" t="str">
        <f>IF(+All!$F514="UNC Charlotte",+All!G514,IF(+All!$H514="UNC Charlotte",+All!G514,0))</f>
        <v>CUSA</v>
      </c>
      <c r="H112" s="63" t="str">
        <f>IF(+All!$F514="UNC Charlotte",+All!H514,IF(+All!$H514="UNC Charlotte",+All!H514,0))</f>
        <v>UNC Charlotte</v>
      </c>
      <c r="I112" s="52" t="str">
        <f>IF(+All!$F514="UNC Charlotte",+All!I514,IF(+All!$H514="UNC Charlotte",+All!I514,0))</f>
        <v>CUSA</v>
      </c>
      <c r="J112" s="460" t="str">
        <f>IF(+All!$F514="UNC Charlotte",+All!J514,IF(+All!$H514="UNC Charlotte",+All!J514,0))</f>
        <v>UNC Charlotte</v>
      </c>
      <c r="K112" s="461" t="str">
        <f>IF(+All!$F514="UNC Charlotte",+All!K514,IF(+All!$H514="UNC Charlotte",+All!K514,0))</f>
        <v>Florida Intl</v>
      </c>
      <c r="L112" s="54">
        <f>IF(+All!$F514="UNC Charlotte",+All!L514,IF(+All!$H514="UNC Charlotte",+All!L514,0))</f>
        <v>14.5</v>
      </c>
      <c r="M112" s="55">
        <f>IF(+All!$F514="UNC Charlotte",+All!M514,IF(+All!$H514="UNC Charlotte",+All!M514,0))</f>
        <v>61</v>
      </c>
      <c r="N112" s="460" t="str">
        <f>IF(+All!$F514="UNC Charlotte",+All!N514,IF(+All!$H514="UNC Charlotte",+All!N514,0))</f>
        <v>Florida Intl</v>
      </c>
      <c r="O112" s="462">
        <f>IF(+All!$F514="UNC Charlotte",+All!O514,IF(+All!$H514="UNC Charlotte",+All!O514,0))</f>
        <v>34</v>
      </c>
      <c r="P112" s="462" t="str">
        <f>IF(+All!$F514="UNC Charlotte",+All!P514,IF(+All!$H514="UNC Charlotte",+All!P514,0))</f>
        <v>UNC Charlotte</v>
      </c>
      <c r="Q112" s="461">
        <f>IF(+All!$F514="UNC Charlotte",+All!Q514,IF(+All!$H514="UNC Charlotte",+All!Q514,0))</f>
        <v>15</v>
      </c>
      <c r="R112" s="460" t="str">
        <f>IF(+All!$F514="UNC Charlotte",+All!R514,IF(+All!$H514="UNC Charlotte",+All!R514,0))</f>
        <v>Florida Intl</v>
      </c>
      <c r="S112" s="462" t="str">
        <f>IF(+All!$F514="UNC Charlotte",+All!S514,IF(+All!$H514="UNC Charlotte",+All!S514,0))</f>
        <v>UNC Charlotte</v>
      </c>
      <c r="T112" s="460" t="str">
        <f>IF(+All!$F514="UNC Charlotte",+All!T514,IF(+All!$H514="UNC Charlotte",+All!T514,0))</f>
        <v>Florida Intl</v>
      </c>
      <c r="U112" s="461" t="str">
        <f>IF(+All!$F514="UNC Charlotte",+All!U514,IF(+All!$H514="UNC Charlotte",+All!U514,0))</f>
        <v>W</v>
      </c>
    </row>
    <row r="113" spans="1:21" x14ac:dyDescent="0.8">
      <c r="A113" s="46">
        <f>IF(+All!$F569="UNC Charlotte",+All!A569,IF(+All!$H569="UNC Charlotte",+All!A569,0))</f>
        <v>9</v>
      </c>
      <c r="B113" s="46" t="str">
        <f>IF(+All!$F569="UNC Charlotte",+All!B569,IF(+All!$H569="UNC Charlotte",+All!B569,0))</f>
        <v>Sat</v>
      </c>
      <c r="C113" s="62">
        <f>IF(+All!$F569="UNC Charlotte",+All!C569,IF(+All!$H569="UNC Charlotte",+All!C569,0))</f>
        <v>44863</v>
      </c>
      <c r="D113" s="490">
        <f>IF(+All!$F569="UNC Charlotte",+All!D569,IF(+All!$H569="UNC Charlotte",+All!D569,0))</f>
        <v>0.58333333333333337</v>
      </c>
      <c r="E113" s="461" t="str">
        <f>IF(+All!$F569="UNC Charlotte",+All!E569,IF(+All!$H569="UNC Charlotte",+All!E569,0))</f>
        <v>espn3</v>
      </c>
      <c r="F113" s="51" t="str">
        <f>IF(+All!$F569="UNC Charlotte",+All!F569,IF(+All!$H569="UNC Charlotte",+All!F569,0))</f>
        <v>UNC Charlotte</v>
      </c>
      <c r="G113" s="63" t="str">
        <f>IF(+All!$F569="UNC Charlotte",+All!G569,IF(+All!$H569="UNC Charlotte",+All!G569,0))</f>
        <v>CUSA</v>
      </c>
      <c r="H113" s="63" t="str">
        <f>IF(+All!$F569="UNC Charlotte",+All!H569,IF(+All!$H569="UNC Charlotte",+All!H569,0))</f>
        <v>Rice</v>
      </c>
      <c r="I113" s="52" t="str">
        <f>IF(+All!$F569="UNC Charlotte",+All!I569,IF(+All!$H569="UNC Charlotte",+All!I569,0))</f>
        <v>CUSA</v>
      </c>
      <c r="J113" s="460" t="str">
        <f>IF(+All!$F569="UNC Charlotte",+All!J569,IF(+All!$H569="UNC Charlotte",+All!J569,0))</f>
        <v>Rice</v>
      </c>
      <c r="K113" s="461" t="str">
        <f>IF(+All!$F569="UNC Charlotte",+All!K569,IF(+All!$H569="UNC Charlotte",+All!K569,0))</f>
        <v>UNC Charlotte</v>
      </c>
      <c r="L113" s="54">
        <f>IF(+All!$F569="UNC Charlotte",+All!L569,IF(+All!$H569="UNC Charlotte",+All!L569,0))</f>
        <v>16.5</v>
      </c>
      <c r="M113" s="55">
        <f>IF(+All!$F569="UNC Charlotte",+All!M569,IF(+All!$H569="UNC Charlotte",+All!M569,0))</f>
        <v>60.5</v>
      </c>
      <c r="N113" s="460" t="str">
        <f>IF(+All!$F569="UNC Charlotte",+All!N569,IF(+All!$H569="UNC Charlotte",+All!N569,0))</f>
        <v>UNC Charlotte</v>
      </c>
      <c r="O113" s="462">
        <f>IF(+All!$F569="UNC Charlotte",+All!O569,IF(+All!$H569="UNC Charlotte",+All!O569,0))</f>
        <v>56</v>
      </c>
      <c r="P113" s="462" t="str">
        <f>IF(+All!$F569="UNC Charlotte",+All!P569,IF(+All!$H569="UNC Charlotte",+All!P569,0))</f>
        <v>Rice</v>
      </c>
      <c r="Q113" s="461">
        <f>IF(+All!$F569="UNC Charlotte",+All!Q569,IF(+All!$H569="UNC Charlotte",+All!Q569,0))</f>
        <v>23</v>
      </c>
      <c r="R113" s="460" t="str">
        <f>IF(+All!$F569="UNC Charlotte",+All!R569,IF(+All!$H569="UNC Charlotte",+All!R569,0))</f>
        <v>UNC Charlotte</v>
      </c>
      <c r="S113" s="462" t="str">
        <f>IF(+All!$F569="UNC Charlotte",+All!S569,IF(+All!$H569="UNC Charlotte",+All!S569,0))</f>
        <v>Rice</v>
      </c>
      <c r="T113" s="460" t="str">
        <f>IF(+All!$F569="UNC Charlotte",+All!T569,IF(+All!$H569="UNC Charlotte",+All!T569,0))</f>
        <v>UNC Charlotte</v>
      </c>
      <c r="U113" s="461" t="str">
        <f>IF(+All!$F569="UNC Charlotte",+All!U569,IF(+All!$H569="UNC Charlotte",+All!U569,0))</f>
        <v>W</v>
      </c>
    </row>
    <row r="114" spans="1:21" x14ac:dyDescent="0.8">
      <c r="A114" s="46">
        <f>IF(+All!$F628="UNC Charlotte",+All!A628,IF(+All!$H628="UNC Charlotte",+All!A628,0))</f>
        <v>10</v>
      </c>
      <c r="B114" s="46" t="str">
        <f>IF(+All!$F628="UNC Charlotte",+All!B628,IF(+All!$H628="UNC Charlotte",+All!B628,0))</f>
        <v>Sat</v>
      </c>
      <c r="C114" s="62">
        <f>IF(+All!$F628="UNC Charlotte",+All!C628,IF(+All!$H628="UNC Charlotte",+All!C628,0))</f>
        <v>44870</v>
      </c>
      <c r="D114" s="490">
        <f>IF(+All!$F628="UNC Charlotte",+All!D628,IF(+All!$H628="UNC Charlotte",+All!D628,0))</f>
        <v>0.5</v>
      </c>
      <c r="E114" s="461" t="str">
        <f>IF(+All!$F628="UNC Charlotte",+All!E628,IF(+All!$H628="UNC Charlotte",+All!E628,0))</f>
        <v>CBSSN</v>
      </c>
      <c r="F114" s="51" t="str">
        <f>IF(+All!$F628="UNC Charlotte",+All!F628,IF(+All!$H628="UNC Charlotte",+All!F628,0))</f>
        <v>Western Kentucky</v>
      </c>
      <c r="G114" s="63" t="str">
        <f>IF(+All!$F628="UNC Charlotte",+All!G628,IF(+All!$H628="UNC Charlotte",+All!G628,0))</f>
        <v>CUSA</v>
      </c>
      <c r="H114" s="63" t="str">
        <f>IF(+All!$F628="UNC Charlotte",+All!H628,IF(+All!$H628="UNC Charlotte",+All!H628,0))</f>
        <v>UNC Charlotte</v>
      </c>
      <c r="I114" s="52" t="str">
        <f>IF(+All!$F628="UNC Charlotte",+All!I628,IF(+All!$H628="UNC Charlotte",+All!I628,0))</f>
        <v>CUSA</v>
      </c>
      <c r="J114" s="460" t="str">
        <f>IF(+All!$F628="UNC Charlotte",+All!J628,IF(+All!$H628="UNC Charlotte",+All!J628,0))</f>
        <v>Western Kentucky</v>
      </c>
      <c r="K114" s="461" t="str">
        <f>IF(+All!$F628="UNC Charlotte",+All!K628,IF(+All!$H628="UNC Charlotte",+All!K628,0))</f>
        <v>UNC Charlotte</v>
      </c>
      <c r="L114" s="54">
        <f>IF(+All!$F628="UNC Charlotte",+All!L628,IF(+All!$H628="UNC Charlotte",+All!L628,0))</f>
        <v>16.5</v>
      </c>
      <c r="M114" s="55">
        <f>IF(+All!$F628="UNC Charlotte",+All!M628,IF(+All!$H628="UNC Charlotte",+All!M628,0))</f>
        <v>72</v>
      </c>
      <c r="N114" s="460" t="str">
        <f>IF(+All!$F628="UNC Charlotte",+All!N628,IF(+All!$H628="UNC Charlotte",+All!N628,0))</f>
        <v>Western Kentucky</v>
      </c>
      <c r="O114" s="462">
        <f>IF(+All!$F628="UNC Charlotte",+All!O628,IF(+All!$H628="UNC Charlotte",+All!O628,0))</f>
        <v>59</v>
      </c>
      <c r="P114" s="462" t="str">
        <f>IF(+All!$F628="UNC Charlotte",+All!P628,IF(+All!$H628="UNC Charlotte",+All!P628,0))</f>
        <v>UNC Charlotte</v>
      </c>
      <c r="Q114" s="461">
        <f>IF(+All!$F628="UNC Charlotte",+All!Q628,IF(+All!$H628="UNC Charlotte",+All!Q628,0))</f>
        <v>7</v>
      </c>
      <c r="R114" s="460" t="str">
        <f>IF(+All!$F628="UNC Charlotte",+All!R628,IF(+All!$H628="UNC Charlotte",+All!R628,0))</f>
        <v>Western Kentucky</v>
      </c>
      <c r="S114" s="462" t="str">
        <f>IF(+All!$F628="UNC Charlotte",+All!S628,IF(+All!$H628="UNC Charlotte",+All!S628,0))</f>
        <v>UNC Charlotte</v>
      </c>
      <c r="T114" s="460" t="str">
        <f>IF(+All!$F628="UNC Charlotte",+All!T628,IF(+All!$H628="UNC Charlotte",+All!T628,0))</f>
        <v>UNC Charlotte</v>
      </c>
      <c r="U114" s="461" t="str">
        <f>IF(+All!$F628="UNC Charlotte",+All!U628,IF(+All!$H628="UNC Charlotte",+All!U628,0))</f>
        <v>L</v>
      </c>
    </row>
    <row r="115" spans="1:21" x14ac:dyDescent="0.8">
      <c r="A115" s="46">
        <f>IF(+All!$F688="UNC Charlotte",+All!A688,IF(+All!$H688="UNC Charlotte",+All!A688,0))</f>
        <v>11</v>
      </c>
      <c r="B115" s="46" t="str">
        <f>IF(+All!$F688="UNC Charlotte",+All!B688,IF(+All!$H688="UNC Charlotte",+All!B688,0))</f>
        <v>Sat</v>
      </c>
      <c r="C115" s="62">
        <f>IF(+All!$F688="UNC Charlotte",+All!C688,IF(+All!$H688="UNC Charlotte",+All!C688,0))</f>
        <v>44877</v>
      </c>
      <c r="D115" s="490">
        <f>IF(+All!$F688="UNC Charlotte",+All!D688,IF(+All!$H688="UNC Charlotte",+All!D688,0))</f>
        <v>0.64583333333333337</v>
      </c>
      <c r="E115" s="461" t="str">
        <f>IF(+All!$F688="UNC Charlotte",+All!E688,IF(+All!$H688="UNC Charlotte",+All!E688,0))</f>
        <v>espn3</v>
      </c>
      <c r="F115" s="51" t="str">
        <f>IF(+All!$F688="UNC Charlotte",+All!F688,IF(+All!$H688="UNC Charlotte",+All!F688,0))</f>
        <v>UNC Charlotte</v>
      </c>
      <c r="G115" s="63" t="str">
        <f>IF(+All!$F688="UNC Charlotte",+All!G688,IF(+All!$H688="UNC Charlotte",+All!G688,0))</f>
        <v>CUSA</v>
      </c>
      <c r="H115" s="63" t="str">
        <f>IF(+All!$F688="UNC Charlotte",+All!H688,IF(+All!$H688="UNC Charlotte",+All!H688,0))</f>
        <v>Middle Tenn St</v>
      </c>
      <c r="I115" s="52" t="str">
        <f>IF(+All!$F688="UNC Charlotte",+All!I688,IF(+All!$H688="UNC Charlotte",+All!I688,0))</f>
        <v>CUSA</v>
      </c>
      <c r="J115" s="460" t="str">
        <f>IF(+All!$F688="UNC Charlotte",+All!J688,IF(+All!$H688="UNC Charlotte",+All!J688,0))</f>
        <v>Middle Tenn St</v>
      </c>
      <c r="K115" s="461" t="str">
        <f>IF(+All!$F688="UNC Charlotte",+All!K688,IF(+All!$H688="UNC Charlotte",+All!K688,0))</f>
        <v>UNC Charlotte</v>
      </c>
      <c r="L115" s="54">
        <f>IF(+All!$F688="UNC Charlotte",+All!L688,IF(+All!$H688="UNC Charlotte",+All!L688,0))</f>
        <v>10.5</v>
      </c>
      <c r="M115" s="55">
        <f>IF(+All!$F688="UNC Charlotte",+All!M688,IF(+All!$H688="UNC Charlotte",+All!M688,0))</f>
        <v>67</v>
      </c>
      <c r="N115" s="460" t="str">
        <f>IF(+All!$F688="UNC Charlotte",+All!N688,IF(+All!$H688="UNC Charlotte",+All!N688,0))</f>
        <v>Middle Tenn St</v>
      </c>
      <c r="O115" s="462">
        <f>IF(+All!$F688="UNC Charlotte",+All!O688,IF(+All!$H688="UNC Charlotte",+All!O688,0))</f>
        <v>24</v>
      </c>
      <c r="P115" s="462" t="str">
        <f>IF(+All!$F688="UNC Charlotte",+All!P688,IF(+All!$H688="UNC Charlotte",+All!P688,0))</f>
        <v>UNC Charlotte</v>
      </c>
      <c r="Q115" s="461">
        <f>IF(+All!$F688="UNC Charlotte",+All!Q688,IF(+All!$H688="UNC Charlotte",+All!Q688,0))</f>
        <v>14</v>
      </c>
      <c r="R115" s="460" t="str">
        <f>IF(+All!$F688="UNC Charlotte",+All!R688,IF(+All!$H688="UNC Charlotte",+All!R688,0))</f>
        <v>UNC Charlotte</v>
      </c>
      <c r="S115" s="462" t="str">
        <f>IF(+All!$F688="UNC Charlotte",+All!S688,IF(+All!$H688="UNC Charlotte",+All!S688,0))</f>
        <v>Middle Tenn St</v>
      </c>
      <c r="T115" s="460" t="str">
        <f>IF(+All!$F688="UNC Charlotte",+All!T688,IF(+All!$H688="UNC Charlotte",+All!T688,0))</f>
        <v>Middle Tenn St</v>
      </c>
      <c r="U115" s="461" t="str">
        <f>IF(+All!$F688="UNC Charlotte",+All!U688,IF(+All!$H688="UNC Charlotte",+All!U688,0))</f>
        <v>L</v>
      </c>
    </row>
    <row r="116" spans="1:21" x14ac:dyDescent="0.8">
      <c r="A116" s="46">
        <f>IF(+All!$F751="UNC Charlotte",+All!A751,IF(+All!$H751="UNC Charlotte",+All!A751,0))</f>
        <v>12</v>
      </c>
      <c r="B116" s="46" t="str">
        <f>IF(+All!$F751="UNC Charlotte",+All!B751,IF(+All!$H751="UNC Charlotte",+All!B751,0))</f>
        <v>Sat</v>
      </c>
      <c r="C116" s="62">
        <f>IF(+All!$F751="UNC Charlotte",+All!C751,IF(+All!$H751="UNC Charlotte",+All!C751,0))</f>
        <v>44884</v>
      </c>
      <c r="D116" s="490">
        <f>IF(+All!$F751="UNC Charlotte",+All!D751,IF(+All!$H751="UNC Charlotte",+All!D751,0))</f>
        <v>0.64583333333333337</v>
      </c>
      <c r="E116" s="461" t="str">
        <f>IF(+All!$F751="UNC Charlotte",+All!E751,IF(+All!$H751="UNC Charlotte",+All!E751,0))</f>
        <v>espn3</v>
      </c>
      <c r="F116" s="51" t="str">
        <f>IF(+All!$F751="UNC Charlotte",+All!F751,IF(+All!$H751="UNC Charlotte",+All!F751,0))</f>
        <v>Louisiana Tech</v>
      </c>
      <c r="G116" s="63" t="str">
        <f>IF(+All!$F751="UNC Charlotte",+All!G751,IF(+All!$H751="UNC Charlotte",+All!G751,0))</f>
        <v>CUSA</v>
      </c>
      <c r="H116" s="63" t="str">
        <f>IF(+All!$F751="UNC Charlotte",+All!H751,IF(+All!$H751="UNC Charlotte",+All!H751,0))</f>
        <v>UNC Charlotte</v>
      </c>
      <c r="I116" s="52" t="str">
        <f>IF(+All!$F751="UNC Charlotte",+All!I751,IF(+All!$H751="UNC Charlotte",+All!I751,0))</f>
        <v>CUSA</v>
      </c>
      <c r="J116" s="460" t="str">
        <f>IF(+All!$F751="UNC Charlotte",+All!J751,IF(+All!$H751="UNC Charlotte",+All!J751,0))</f>
        <v>Louisiana Tech</v>
      </c>
      <c r="K116" s="461" t="str">
        <f>IF(+All!$F751="UNC Charlotte",+All!K751,IF(+All!$H751="UNC Charlotte",+All!K751,0))</f>
        <v>UNC Charlotte</v>
      </c>
      <c r="L116" s="54">
        <f>IF(+All!$F751="UNC Charlotte",+All!L751,IF(+All!$H751="UNC Charlotte",+All!L751,0))</f>
        <v>3</v>
      </c>
      <c r="M116" s="55">
        <f>IF(+All!$F751="UNC Charlotte",+All!M751,IF(+All!$H751="UNC Charlotte",+All!M751,0))</f>
        <v>64.5</v>
      </c>
      <c r="N116" s="460" t="str">
        <f>IF(+All!$F751="UNC Charlotte",+All!N751,IF(+All!$H751="UNC Charlotte",+All!N751,0))</f>
        <v>UNC Charlotte</v>
      </c>
      <c r="O116" s="462">
        <f>IF(+All!$F751="UNC Charlotte",+All!O751,IF(+All!$H751="UNC Charlotte",+All!O751,0))</f>
        <v>26</v>
      </c>
      <c r="P116" s="462" t="str">
        <f>IF(+All!$F751="UNC Charlotte",+All!P751,IF(+All!$H751="UNC Charlotte",+All!P751,0))</f>
        <v>Louisiana Tech</v>
      </c>
      <c r="Q116" s="461">
        <f>IF(+All!$F751="UNC Charlotte",+All!Q751,IF(+All!$H751="UNC Charlotte",+All!Q751,0))</f>
        <v>21</v>
      </c>
      <c r="R116" s="460" t="str">
        <f>IF(+All!$F751="UNC Charlotte",+All!R751,IF(+All!$H751="UNC Charlotte",+All!R751,0))</f>
        <v>UNC Charlotte</v>
      </c>
      <c r="S116" s="462" t="str">
        <f>IF(+All!$F751="UNC Charlotte",+All!S751,IF(+All!$H751="UNC Charlotte",+All!S751,0))</f>
        <v>Louisiana Tech</v>
      </c>
      <c r="T116" s="460" t="str">
        <f>IF(+All!$F751="UNC Charlotte",+All!T751,IF(+All!$H751="UNC Charlotte",+All!T751,0))</f>
        <v>UNC Charlotte</v>
      </c>
      <c r="U116" s="461" t="str">
        <f>IF(+All!$F751="UNC Charlotte",+All!U751,IF(+All!$H751="UNC Charlotte",+All!U751,0))</f>
        <v>W</v>
      </c>
    </row>
    <row r="117" spans="1:21" x14ac:dyDescent="0.8">
      <c r="A117" s="46" t="e">
        <f>IF(+All!#REF!="UNC Charlotte",+All!#REF!,IF(+All!#REF!="UNC Charlotte",+All!#REF!,0))</f>
        <v>#REF!</v>
      </c>
      <c r="B117" s="46" t="e">
        <f>IF(+All!#REF!="UNC Charlotte",+All!#REF!,IF(+All!#REF!="UNC Charlotte",+All!#REF!,0))</f>
        <v>#REF!</v>
      </c>
      <c r="C117" s="62" t="e">
        <f>IF(+All!#REF!="UNC Charlotte",+All!#REF!,IF(+All!#REF!="UNC Charlotte",+All!#REF!,0))</f>
        <v>#REF!</v>
      </c>
      <c r="D117" s="490" t="e">
        <f>IF(+All!#REF!="UNC Charlotte",+All!#REF!,IF(+All!#REF!="UNC Charlotte",+All!#REF!,0))</f>
        <v>#REF!</v>
      </c>
      <c r="E117" s="461" t="e">
        <f>IF(+All!#REF!="UNC Charlotte",+All!#REF!,IF(+All!#REF!="UNC Charlotte",+All!#REF!,0))</f>
        <v>#REF!</v>
      </c>
      <c r="F117" s="51" t="e">
        <f>IF(+All!#REF!="UNC Charlotte",+All!#REF!,IF(+All!#REF!="UNC Charlotte",+All!#REF!,0))</f>
        <v>#REF!</v>
      </c>
      <c r="G117" s="63" t="e">
        <f>IF(+All!#REF!="UNC Charlotte",+All!#REF!,IF(+All!#REF!="UNC Charlotte",+All!#REF!,0))</f>
        <v>#REF!</v>
      </c>
      <c r="H117" s="63" t="e">
        <f>IF(+All!#REF!="UNC Charlotte",+All!#REF!,IF(+All!#REF!="UNC Charlotte",+All!#REF!,0))</f>
        <v>#REF!</v>
      </c>
      <c r="I117" s="52" t="e">
        <f>IF(+All!#REF!="UNC Charlotte",+All!#REF!,IF(+All!#REF!="UNC Charlotte",+All!#REF!,0))</f>
        <v>#REF!</v>
      </c>
      <c r="J117" s="460" t="e">
        <f>IF(+All!#REF!="UNC Charlotte",+All!#REF!,IF(+All!#REF!="UNC Charlotte",+All!#REF!,0))</f>
        <v>#REF!</v>
      </c>
      <c r="K117" s="461" t="e">
        <f>IF(+All!#REF!="UNC Charlotte",+All!#REF!,IF(+All!#REF!="UNC Charlotte",+All!#REF!,0))</f>
        <v>#REF!</v>
      </c>
      <c r="L117" s="54" t="e">
        <f>IF(+All!#REF!="UNC Charlotte",+All!#REF!,IF(+All!#REF!="UNC Charlotte",+All!#REF!,0))</f>
        <v>#REF!</v>
      </c>
      <c r="M117" s="55" t="e">
        <f>IF(+All!#REF!="UNC Charlotte",+All!#REF!,IF(+All!#REF!="UNC Charlotte",+All!#REF!,0))</f>
        <v>#REF!</v>
      </c>
      <c r="N117" s="460" t="e">
        <f>IF(+All!#REF!="UNC Charlotte",+All!#REF!,IF(+All!#REF!="UNC Charlotte",+All!#REF!,0))</f>
        <v>#REF!</v>
      </c>
      <c r="O117" s="462" t="e">
        <f>IF(+All!#REF!="UNC Charlotte",+All!#REF!,IF(+All!#REF!="UNC Charlotte",+All!#REF!,0))</f>
        <v>#REF!</v>
      </c>
      <c r="P117" s="462" t="e">
        <f>IF(+All!#REF!="UNC Charlotte",+All!#REF!,IF(+All!#REF!="UNC Charlotte",+All!#REF!,0))</f>
        <v>#REF!</v>
      </c>
      <c r="Q117" s="461" t="e">
        <f>IF(+All!#REF!="UNC Charlotte",+All!#REF!,IF(+All!#REF!="UNC Charlotte",+All!#REF!,0))</f>
        <v>#REF!</v>
      </c>
      <c r="R117" s="460" t="e">
        <f>IF(+All!#REF!="UNC Charlotte",+All!#REF!,IF(+All!#REF!="UNC Charlotte",+All!#REF!,0))</f>
        <v>#REF!</v>
      </c>
      <c r="S117" s="462" t="e">
        <f>IF(+All!#REF!="UNC Charlotte",+All!#REF!,IF(+All!#REF!="UNC Charlotte",+All!#REF!,0))</f>
        <v>#REF!</v>
      </c>
      <c r="T117" s="460" t="e">
        <f>IF(+All!#REF!="UNC Charlotte",+All!#REF!,IF(+All!#REF!="UNC Charlotte",+All!#REF!,0))</f>
        <v>#REF!</v>
      </c>
      <c r="U117" s="461" t="e">
        <f>IF(+All!#REF!="UNC Charlotte",+All!#REF!,IF(+All!#REF!="UNC Charlotte",+All!#REF!,0))</f>
        <v>#REF!</v>
      </c>
    </row>
    <row r="118" spans="1:21" x14ac:dyDescent="0.8">
      <c r="B118" s="46"/>
      <c r="C118" s="62"/>
      <c r="D118" s="49"/>
      <c r="E118" s="461"/>
      <c r="F118" s="897" t="str">
        <f>H121</f>
        <v>UTEP</v>
      </c>
      <c r="G118" s="901"/>
      <c r="H118" s="901"/>
      <c r="I118" s="902"/>
      <c r="J118" s="460"/>
      <c r="K118" s="461"/>
      <c r="L118" s="54"/>
      <c r="M118" s="55"/>
      <c r="N118" s="460"/>
      <c r="O118" s="462"/>
      <c r="P118" s="462"/>
      <c r="Q118" s="461"/>
      <c r="R118" s="460"/>
      <c r="S118" s="462"/>
      <c r="T118" s="460"/>
      <c r="U118" s="461"/>
    </row>
    <row r="119" spans="1:21" x14ac:dyDescent="0.8">
      <c r="A119" s="46">
        <f>IF(+All!$F9="UTEP",+All!A9,IF(+All!$H9="UTEP",+All!A9,0))</f>
        <v>0</v>
      </c>
      <c r="B119" s="348" t="str">
        <f>IF(+All!$F9="UTEP",+All!B9,IF(+All!$H9="UTEP",+All!B9,0))</f>
        <v>Sat</v>
      </c>
      <c r="C119" s="72">
        <f>IF(+All!$F9="UTEP",+All!C9,IF(+All!$H9="UTEP",+All!C9,0))</f>
        <v>44800</v>
      </c>
      <c r="D119" s="73">
        <f>IF(+All!$F9="UTEP",+All!D9,IF(+All!$H9="UTEP",+All!D9,0))</f>
        <v>0.875</v>
      </c>
      <c r="E119" s="461">
        <f>IF(+All!$F9="UTEP",+All!E9,IF(+All!$H9="UTEP",+All!E9,0))</f>
        <v>0</v>
      </c>
      <c r="F119" s="460" t="str">
        <f>IF(+All!$F9="UTEP",+All!F9,IF(+All!$H9="UTEP",+All!F9,0))</f>
        <v>North Texas</v>
      </c>
      <c r="G119" s="461" t="str">
        <f>IF(+All!$F9="UTEP",+All!G9,IF(+All!$H9="UTEP",+All!G9,0))</f>
        <v>CUSA</v>
      </c>
      <c r="H119" s="460" t="str">
        <f>IF(+All!$F9="UTEP",+All!H9,IF(+All!$H9="UTEP",+All!H9,0))</f>
        <v>UTEP</v>
      </c>
      <c r="I119" s="461" t="str">
        <f>IF(+All!$F9="UTEP",+All!I9,IF(+All!$H9="UTEP",+All!I9,0))</f>
        <v>CUSA</v>
      </c>
      <c r="J119" s="460" t="str">
        <f>IF(+All!$F9="UTEP",+All!J9,IF(+All!$H9="UTEP",+All!J9,0))</f>
        <v>North Texas</v>
      </c>
      <c r="K119" s="461" t="str">
        <f>IF(+All!$F9="UTEP",+All!K9,IF(+All!$H9="UTEP",+All!K9,0))</f>
        <v>UTEP</v>
      </c>
      <c r="L119" s="60">
        <f>IF(+All!$F9="UTEP",+All!L9,IF(+All!$H9="UTEP",+All!L9,0))</f>
        <v>1.5</v>
      </c>
      <c r="M119" s="61">
        <f>IF(+All!$F9="UTEP",+All!M9,IF(+All!$H9="UTEP",+All!M9,0))</f>
        <v>53.5</v>
      </c>
      <c r="N119" s="460" t="str">
        <f>IF(+All!$F9="UTEP",+All!N9,IF(+All!$H9="UTEP",+All!N9,0))</f>
        <v>North Texas</v>
      </c>
      <c r="O119" s="462">
        <f>IF(+All!$F9="UTEP",+All!O9,IF(+All!$H9="UTEP",+All!O9,0))</f>
        <v>31</v>
      </c>
      <c r="P119" s="462" t="str">
        <f>IF(+All!$F9="UTEP",+All!P9,IF(+All!$H9="UTEP",+All!P9,0))</f>
        <v>UTEP</v>
      </c>
      <c r="Q119" s="461">
        <f>IF(+All!$F9="UTEP",+All!Q9,IF(+All!$H9="UTEP",+All!Q9,0))</f>
        <v>13</v>
      </c>
      <c r="R119" s="460" t="str">
        <f>IF(+All!$F9="UTEP",+All!R9,IF(+All!$H9="UTEP",+All!R9,0))</f>
        <v>North Texas</v>
      </c>
      <c r="S119" s="462" t="str">
        <f>IF(+All!$F9="UTEP",+All!S9,IF(+All!$H9="UTEP",+All!S9,0))</f>
        <v>UTEP</v>
      </c>
      <c r="T119" s="460" t="str">
        <f>IF(+All!$F9="UTEP",+All!T9,IF(+All!$H9="UTEP",+All!T9,0))</f>
        <v>UTEP</v>
      </c>
      <c r="U119" s="461" t="str">
        <f>IF(+All!$F9="UTEP",+All!U9,IF(+All!$H9="UTEP",+All!U9,0))</f>
        <v>L</v>
      </c>
    </row>
    <row r="120" spans="1:21" x14ac:dyDescent="0.8">
      <c r="A120" s="46">
        <f>IF(+All!$F44="UTEP",+All!A44,IF(+All!$H44="UTEP",+All!A44,0))</f>
        <v>1</v>
      </c>
      <c r="B120" s="348" t="str">
        <f>IF(+All!$F44="UTEP",+All!B44,IF(+All!$H44="UTEP",+All!B44,0))</f>
        <v>Sat</v>
      </c>
      <c r="C120" s="72">
        <f>IF(+All!$F44="UTEP",+All!C44,IF(+All!$H44="UTEP",+All!C44,0))</f>
        <v>44807</v>
      </c>
      <c r="D120" s="73">
        <f>IF(+All!$F44="UTEP",+All!D44,IF(+All!$H44="UTEP",+All!D44,0))</f>
        <v>0.64583333333333337</v>
      </c>
      <c r="E120" s="461" t="str">
        <f>IF(+All!$F44="UTEP",+All!E44,IF(+All!$H44="UTEP",+All!E44,0))</f>
        <v>Fox</v>
      </c>
      <c r="F120" s="460" t="str">
        <f>IF(+All!$F44="UTEP",+All!F44,IF(+All!$H44="UTEP",+All!F44,0))</f>
        <v>UTEP</v>
      </c>
      <c r="G120" s="461" t="str">
        <f>IF(+All!$F44="UTEP",+All!G44,IF(+All!$H44="UTEP",+All!G44,0))</f>
        <v>CUSA</v>
      </c>
      <c r="H120" s="460" t="str">
        <f>IF(+All!$F44="UTEP",+All!H44,IF(+All!$H44="UTEP",+All!H44,0))</f>
        <v>Oklahoma</v>
      </c>
      <c r="I120" s="461" t="str">
        <f>IF(+All!$F44="UTEP",+All!I44,IF(+All!$H44="UTEP",+All!I44,0))</f>
        <v>B12</v>
      </c>
      <c r="J120" s="460" t="str">
        <f>IF(+All!$F44="UTEP",+All!J44,IF(+All!$H44="UTEP",+All!J44,0))</f>
        <v>Oklahoma</v>
      </c>
      <c r="K120" s="461" t="str">
        <f>IF(+All!$F44="UTEP",+All!K44,IF(+All!$H44="UTEP",+All!K44,0))</f>
        <v>UTEP</v>
      </c>
      <c r="L120" s="60">
        <f>IF(+All!$F44="UTEP",+All!L44,IF(+All!$H44="UTEP",+All!L44,0))</f>
        <v>30.5</v>
      </c>
      <c r="M120" s="61">
        <f>IF(+All!$F44="UTEP",+All!M44,IF(+All!$H44="UTEP",+All!M44,0))</f>
        <v>56.5</v>
      </c>
      <c r="N120" s="460" t="str">
        <f>IF(+All!$F44="UTEP",+All!N44,IF(+All!$H44="UTEP",+All!N44,0))</f>
        <v>Oklahoma</v>
      </c>
      <c r="O120" s="462">
        <f>IF(+All!$F44="UTEP",+All!O44,IF(+All!$H44="UTEP",+All!O44,0))</f>
        <v>45</v>
      </c>
      <c r="P120" s="462" t="str">
        <f>IF(+All!$F44="UTEP",+All!P44,IF(+All!$H44="UTEP",+All!P44,0))</f>
        <v>UTEP</v>
      </c>
      <c r="Q120" s="461">
        <f>IF(+All!$F44="UTEP",+All!Q44,IF(+All!$H44="UTEP",+All!Q44,0))</f>
        <v>13</v>
      </c>
      <c r="R120" s="460" t="str">
        <f>IF(+All!$F44="UTEP",+All!R44,IF(+All!$H44="UTEP",+All!R44,0))</f>
        <v>Oklahoma</v>
      </c>
      <c r="S120" s="462" t="str">
        <f>IF(+All!$F44="UTEP",+All!S44,IF(+All!$H44="UTEP",+All!S44,0))</f>
        <v>UTEP</v>
      </c>
      <c r="T120" s="460" t="str">
        <f>IF(+All!$F44="UTEP",+All!T44,IF(+All!$H44="UTEP",+All!T44,0))</f>
        <v>Oklahoma</v>
      </c>
      <c r="U120" s="461" t="str">
        <f>IF(+All!$F44="UTEP",+All!U44,IF(+All!$H44="UTEP",+All!U44,0))</f>
        <v>W</v>
      </c>
    </row>
    <row r="121" spans="1:21" x14ac:dyDescent="0.8">
      <c r="A121" s="46">
        <f>IF(+All!$F139="UTEP",+All!A139,IF(+All!$H139="UTEP",+All!A139,0))</f>
        <v>2</v>
      </c>
      <c r="B121" s="348" t="str">
        <f>IF(+All!$F139="UTEP",+All!B139,IF(+All!$H139="UTEP",+All!B139,0))</f>
        <v>Sat</v>
      </c>
      <c r="C121" s="72">
        <f>IF(+All!$F139="UTEP",+All!C139,IF(+All!$H139="UTEP",+All!C139,0))</f>
        <v>44814</v>
      </c>
      <c r="D121" s="73">
        <f>IF(+All!$F139="UTEP",+All!D139,IF(+All!$H139="UTEP",+All!D139,0))</f>
        <v>0.875</v>
      </c>
      <c r="E121" s="461">
        <f>IF(+All!$F139="UTEP",+All!E139,IF(+All!$H139="UTEP",+All!E139,0))</f>
        <v>0</v>
      </c>
      <c r="F121" s="460" t="str">
        <f>IF(+All!$F139="UTEP",+All!F139,IF(+All!$H139="UTEP",+All!F139,0))</f>
        <v>New Mexico State</v>
      </c>
      <c r="G121" s="461" t="str">
        <f>IF(+All!$F139="UTEP",+All!G139,IF(+All!$H139="UTEP",+All!G139,0))</f>
        <v>Ind</v>
      </c>
      <c r="H121" s="460" t="str">
        <f>IF(+All!$F139="UTEP",+All!H139,IF(+All!$H139="UTEP",+All!H139,0))</f>
        <v>UTEP</v>
      </c>
      <c r="I121" s="461" t="str">
        <f>IF(+All!$F139="UTEP",+All!I139,IF(+All!$H139="UTEP",+All!I139,0))</f>
        <v>CUSA</v>
      </c>
      <c r="J121" s="460" t="str">
        <f>IF(+All!$F139="UTEP",+All!J139,IF(+All!$H139="UTEP",+All!J139,0))</f>
        <v>UTEP</v>
      </c>
      <c r="K121" s="461" t="str">
        <f>IF(+All!$F139="UTEP",+All!K139,IF(+All!$H139="UTEP",+All!K139,0))</f>
        <v>New Mexico State</v>
      </c>
      <c r="L121" s="60">
        <f>IF(+All!$F139="UTEP",+All!L139,IF(+All!$H139="UTEP",+All!L139,0))</f>
        <v>14</v>
      </c>
      <c r="M121" s="61">
        <f>IF(+All!$F139="UTEP",+All!M139,IF(+All!$H139="UTEP",+All!M139,0))</f>
        <v>46.5</v>
      </c>
      <c r="N121" s="460" t="str">
        <f>IF(+All!$F139="UTEP",+All!N139,IF(+All!$H139="UTEP",+All!N139,0))</f>
        <v>UTEP</v>
      </c>
      <c r="O121" s="462">
        <f>IF(+All!$F139="UTEP",+All!O139,IF(+All!$H139="UTEP",+All!O139,0))</f>
        <v>20</v>
      </c>
      <c r="P121" s="462" t="str">
        <f>IF(+All!$F139="UTEP",+All!P139,IF(+All!$H139="UTEP",+All!P139,0))</f>
        <v>New Mexico State</v>
      </c>
      <c r="Q121" s="461">
        <f>IF(+All!$F139="UTEP",+All!Q139,IF(+All!$H139="UTEP",+All!Q139,0))</f>
        <v>13</v>
      </c>
      <c r="R121" s="460" t="str">
        <f>IF(+All!$F139="UTEP",+All!R139,IF(+All!$H139="UTEP",+All!R139,0))</f>
        <v>New Mexico State</v>
      </c>
      <c r="S121" s="462" t="str">
        <f>IF(+All!$F139="UTEP",+All!S139,IF(+All!$H139="UTEP",+All!S139,0))</f>
        <v>UTEP</v>
      </c>
      <c r="T121" s="460" t="str">
        <f>IF(+All!$F139="UTEP",+All!T139,IF(+All!$H139="UTEP",+All!T139,0))</f>
        <v>UTEP</v>
      </c>
      <c r="U121" s="461" t="str">
        <f>IF(+All!$F139="UTEP",+All!U139,IF(+All!$H139="UTEP",+All!U139,0))</f>
        <v>L</v>
      </c>
    </row>
    <row r="122" spans="1:21" x14ac:dyDescent="0.8">
      <c r="A122" s="46">
        <f>IF(+All!$F227="UTEP",+All!A227,IF(+All!$H227="UTEP",+All!A227,0))</f>
        <v>3</v>
      </c>
      <c r="B122" s="348" t="str">
        <f>IF(+All!$F227="UTEP",+All!B227,IF(+All!$H227="UTEP",+All!B227,0))</f>
        <v>Sat</v>
      </c>
      <c r="C122" s="72">
        <f>IF(+All!$F227="UTEP",+All!C227,IF(+All!$H227="UTEP",+All!C227,0))</f>
        <v>44821</v>
      </c>
      <c r="D122" s="73">
        <f>IF(+All!$F227="UTEP",+All!D227,IF(+All!$H227="UTEP",+All!D227,0))</f>
        <v>0.83333333333333337</v>
      </c>
      <c r="E122" s="461">
        <f>IF(+All!$F227="UTEP",+All!E227,IF(+All!$H227="UTEP",+All!E227,0))</f>
        <v>0</v>
      </c>
      <c r="F122" s="460" t="str">
        <f>IF(+All!$F227="UTEP",+All!F227,IF(+All!$H227="UTEP",+All!F227,0))</f>
        <v>UTEP</v>
      </c>
      <c r="G122" s="461" t="str">
        <f>IF(+All!$F227="UTEP",+All!G227,IF(+All!$H227="UTEP",+All!G227,0))</f>
        <v>CUSA</v>
      </c>
      <c r="H122" s="460" t="str">
        <f>IF(+All!$F227="UTEP",+All!H227,IF(+All!$H227="UTEP",+All!H227,0))</f>
        <v>New Mexico</v>
      </c>
      <c r="I122" s="461" t="str">
        <f>IF(+All!$F227="UTEP",+All!I227,IF(+All!$H227="UTEP",+All!I227,0))</f>
        <v>MWC</v>
      </c>
      <c r="J122" s="460" t="str">
        <f>IF(+All!$F227="UTEP",+All!J227,IF(+All!$H227="UTEP",+All!J227,0))</f>
        <v>UTEP</v>
      </c>
      <c r="K122" s="461" t="str">
        <f>IF(+All!$F227="UTEP",+All!K227,IF(+All!$H227="UTEP",+All!K227,0))</f>
        <v>New Mexico</v>
      </c>
      <c r="L122" s="60">
        <f>IF(+All!$F227="UTEP",+All!L227,IF(+All!$H227="UTEP",+All!L227,0))</f>
        <v>3</v>
      </c>
      <c r="M122" s="61">
        <f>IF(+All!$F227="UTEP",+All!M227,IF(+All!$H227="UTEP",+All!M227,0))</f>
        <v>39.5</v>
      </c>
      <c r="N122" s="460" t="str">
        <f>IF(+All!$F227="UTEP",+All!N227,IF(+All!$H227="UTEP",+All!N227,0))</f>
        <v>New Mexico</v>
      </c>
      <c r="O122" s="462">
        <f>IF(+All!$F227="UTEP",+All!O227,IF(+All!$H227="UTEP",+All!O227,0))</f>
        <v>27</v>
      </c>
      <c r="P122" s="462" t="str">
        <f>IF(+All!$F227="UTEP",+All!P227,IF(+All!$H227="UTEP",+All!P227,0))</f>
        <v>UTEP</v>
      </c>
      <c r="Q122" s="461">
        <f>IF(+All!$F227="UTEP",+All!Q227,IF(+All!$H227="UTEP",+All!Q227,0))</f>
        <v>10</v>
      </c>
      <c r="R122" s="460" t="str">
        <f>IF(+All!$F227="UTEP",+All!R227,IF(+All!$H227="UTEP",+All!R227,0))</f>
        <v>New Mexico</v>
      </c>
      <c r="S122" s="462" t="str">
        <f>IF(+All!$F227="UTEP",+All!S227,IF(+All!$H227="UTEP",+All!S227,0))</f>
        <v>UTEP</v>
      </c>
      <c r="T122" s="460" t="str">
        <f>IF(+All!$F227="UTEP",+All!T227,IF(+All!$H227="UTEP",+All!T227,0))</f>
        <v>UTEP</v>
      </c>
      <c r="U122" s="461" t="str">
        <f>IF(+All!$F227="UTEP",+All!U227,IF(+All!$H227="UTEP",+All!U227,0))</f>
        <v>L</v>
      </c>
    </row>
    <row r="123" spans="1:21" x14ac:dyDescent="0.8">
      <c r="A123" s="46">
        <f>IF(+All!$F256="UTEP",+All!A256,IF(+All!$H256="UTEP",+All!A256,0))</f>
        <v>4</v>
      </c>
      <c r="B123" s="348" t="str">
        <f>IF(+All!$F256="UTEP",+All!B256,IF(+All!$H256="UTEP",+All!B256,0))</f>
        <v>Fri</v>
      </c>
      <c r="C123" s="72">
        <f>IF(+All!$F256="UTEP",+All!C256,IF(+All!$H256="UTEP",+All!C256,0))</f>
        <v>44827</v>
      </c>
      <c r="D123" s="73">
        <f>IF(+All!$F256="UTEP",+All!D256,IF(+All!$H256="UTEP",+All!D256,0))</f>
        <v>0.875</v>
      </c>
      <c r="E123" s="461" t="str">
        <f>IF(+All!$F256="UTEP",+All!E256,IF(+All!$H256="UTEP",+All!E256,0))</f>
        <v>CBSSN</v>
      </c>
      <c r="F123" s="460" t="str">
        <f>IF(+All!$F256="UTEP",+All!F256,IF(+All!$H256="UTEP",+All!F256,0))</f>
        <v>Boise State</v>
      </c>
      <c r="G123" s="461" t="str">
        <f>IF(+All!$F256="UTEP",+All!G256,IF(+All!$H256="UTEP",+All!G256,0))</f>
        <v>MWC</v>
      </c>
      <c r="H123" s="460" t="str">
        <f>IF(+All!$F256="UTEP",+All!H256,IF(+All!$H256="UTEP",+All!H256,0))</f>
        <v>UTEP</v>
      </c>
      <c r="I123" s="461" t="str">
        <f>IF(+All!$F256="UTEP",+All!I256,IF(+All!$H256="UTEP",+All!I256,0))</f>
        <v>CUSA</v>
      </c>
      <c r="J123" s="460" t="str">
        <f>IF(+All!$F256="UTEP",+All!J256,IF(+All!$H256="UTEP",+All!J256,0))</f>
        <v>Boise State</v>
      </c>
      <c r="K123" s="461" t="str">
        <f>IF(+All!$F256="UTEP",+All!K256,IF(+All!$H256="UTEP",+All!K256,0))</f>
        <v>UTEP</v>
      </c>
      <c r="L123" s="60">
        <f>IF(+All!$F256="UTEP",+All!L256,IF(+All!$H256="UTEP",+All!L256,0))</f>
        <v>15.5</v>
      </c>
      <c r="M123" s="61">
        <f>IF(+All!$F256="UTEP",+All!M256,IF(+All!$H256="UTEP",+All!M256,0))</f>
        <v>45.5</v>
      </c>
      <c r="N123" s="460" t="str">
        <f>IF(+All!$F256="UTEP",+All!N256,IF(+All!$H256="UTEP",+All!N256,0))</f>
        <v>UTEP</v>
      </c>
      <c r="O123" s="462">
        <f>IF(+All!$F256="UTEP",+All!O256,IF(+All!$H256="UTEP",+All!O256,0))</f>
        <v>27</v>
      </c>
      <c r="P123" s="462" t="str">
        <f>IF(+All!$F256="UTEP",+All!P256,IF(+All!$H256="UTEP",+All!P256,0))</f>
        <v>Boise State</v>
      </c>
      <c r="Q123" s="461">
        <f>IF(+All!$F256="UTEP",+All!Q256,IF(+All!$H256="UTEP",+All!Q256,0))</f>
        <v>10</v>
      </c>
      <c r="R123" s="460" t="str">
        <f>IF(+All!$F256="UTEP",+All!R256,IF(+All!$H256="UTEP",+All!R256,0))</f>
        <v>UTEP</v>
      </c>
      <c r="S123" s="462" t="str">
        <f>IF(+All!$F256="UTEP",+All!S256,IF(+All!$H256="UTEP",+All!S256,0))</f>
        <v>Boise State</v>
      </c>
      <c r="T123" s="460" t="str">
        <f>IF(+All!$F256="UTEP",+All!T256,IF(+All!$H256="UTEP",+All!T256,0))</f>
        <v>Boise State</v>
      </c>
      <c r="U123" s="461" t="str">
        <f>IF(+All!$F256="UTEP",+All!U256,IF(+All!$H256="UTEP",+All!U256,0))</f>
        <v>L</v>
      </c>
    </row>
    <row r="124" spans="1:21" x14ac:dyDescent="0.8">
      <c r="A124" s="46">
        <f>IF(+All!$F349="UTEP",+All!A349,IF(+All!$H349="UTEP",+All!A349,0))</f>
        <v>5</v>
      </c>
      <c r="B124" s="348" t="str">
        <f>IF(+All!$F349="UTEP",+All!B349,IF(+All!$H349="UTEP",+All!B349,0))</f>
        <v>Sat</v>
      </c>
      <c r="C124" s="72">
        <f>IF(+All!$F349="UTEP",+All!C349,IF(+All!$H349="UTEP",+All!C349,0))</f>
        <v>44835</v>
      </c>
      <c r="D124" s="73">
        <f>IF(+All!$F349="UTEP",+All!D349,IF(+All!$H349="UTEP",+All!D349,0))</f>
        <v>0.75</v>
      </c>
      <c r="E124" s="461" t="str">
        <f>IF(+All!$F349="UTEP",+All!E349,IF(+All!$H349="UTEP",+All!E349,0))</f>
        <v>espn3</v>
      </c>
      <c r="F124" s="460" t="str">
        <f>IF(+All!$F349="UTEP",+All!F349,IF(+All!$H349="UTEP",+All!F349,0))</f>
        <v>UTEP</v>
      </c>
      <c r="G124" s="461" t="str">
        <f>IF(+All!$F349="UTEP",+All!G349,IF(+All!$H349="UTEP",+All!G349,0))</f>
        <v>CUSA</v>
      </c>
      <c r="H124" s="460" t="str">
        <f>IF(+All!$F349="UTEP",+All!H349,IF(+All!$H349="UTEP",+All!H349,0))</f>
        <v>UNC Charlotte</v>
      </c>
      <c r="I124" s="461" t="str">
        <f>IF(+All!$F349="UTEP",+All!I349,IF(+All!$H349="UTEP",+All!I349,0))</f>
        <v>CUSA</v>
      </c>
      <c r="J124" s="460" t="str">
        <f>IF(+All!$F349="UTEP",+All!J349,IF(+All!$H349="UTEP",+All!J349,0))</f>
        <v>UTEP</v>
      </c>
      <c r="K124" s="461" t="str">
        <f>IF(+All!$F349="UTEP",+All!K349,IF(+All!$H349="UTEP",+All!K349,0))</f>
        <v>UNC Charlotte</v>
      </c>
      <c r="L124" s="60">
        <f>IF(+All!$F349="UTEP",+All!L349,IF(+All!$H349="UTEP",+All!L349,0))</f>
        <v>3</v>
      </c>
      <c r="M124" s="61">
        <f>IF(+All!$F349="UTEP",+All!M349,IF(+All!$H349="UTEP",+All!M349,0))</f>
        <v>51</v>
      </c>
      <c r="N124" s="460" t="str">
        <f>IF(+All!$F349="UTEP",+All!N349,IF(+All!$H349="UTEP",+All!N349,0))</f>
        <v>UTEP</v>
      </c>
      <c r="O124" s="462">
        <f>IF(+All!$F349="UTEP",+All!O349,IF(+All!$H349="UTEP",+All!O349,0))</f>
        <v>41</v>
      </c>
      <c r="P124" s="462" t="str">
        <f>IF(+All!$F349="UTEP",+All!P349,IF(+All!$H349="UTEP",+All!P349,0))</f>
        <v>UNC Charlotte</v>
      </c>
      <c r="Q124" s="461">
        <f>IF(+All!$F349="UTEP",+All!Q349,IF(+All!$H349="UTEP",+All!Q349,0))</f>
        <v>35</v>
      </c>
      <c r="R124" s="460" t="str">
        <f>IF(+All!$F349="UTEP",+All!R349,IF(+All!$H349="UTEP",+All!R349,0))</f>
        <v>UTEP</v>
      </c>
      <c r="S124" s="462" t="str">
        <f>IF(+All!$F349="UTEP",+All!S349,IF(+All!$H349="UTEP",+All!S349,0))</f>
        <v>UNC Charlotte</v>
      </c>
      <c r="T124" s="460" t="str">
        <f>IF(+All!$F349="UTEP",+All!T349,IF(+All!$H349="UTEP",+All!T349,0))</f>
        <v>UTEP</v>
      </c>
      <c r="U124" s="461" t="str">
        <f>IF(+All!$F349="UTEP",+All!U349,IF(+All!$H349="UTEP",+All!U349,0))</f>
        <v>W</v>
      </c>
    </row>
    <row r="125" spans="1:21" x14ac:dyDescent="0.8">
      <c r="A125" s="46">
        <f>IF(+All!$F406="UTEP",+All!A406,IF(+All!$H406="UTEP",+All!A406,0))</f>
        <v>6</v>
      </c>
      <c r="B125" s="348" t="str">
        <f>IF(+All!$F406="UTEP",+All!B406,IF(+All!$H406="UTEP",+All!B406,0))</f>
        <v>Sat</v>
      </c>
      <c r="C125" s="72">
        <f>IF(+All!$F406="UTEP",+All!C406,IF(+All!$H406="UTEP",+All!C406,0))</f>
        <v>44842</v>
      </c>
      <c r="D125" s="73">
        <f>IF(+All!$F406="UTEP",+All!D406,IF(+All!$H406="UTEP",+All!D406,0))</f>
        <v>0.79166666666666663</v>
      </c>
      <c r="E125" s="461">
        <f>IF(+All!$F406="UTEP",+All!E406,IF(+All!$H406="UTEP",+All!E406,0))</f>
        <v>0</v>
      </c>
      <c r="F125" s="460" t="str">
        <f>IF(+All!$F406="UTEP",+All!F406,IF(+All!$H406="UTEP",+All!F406,0))</f>
        <v>UTEP</v>
      </c>
      <c r="G125" s="461" t="str">
        <f>IF(+All!$F406="UTEP",+All!G406,IF(+All!$H406="UTEP",+All!G406,0))</f>
        <v>CUSA</v>
      </c>
      <c r="H125" s="460" t="str">
        <f>IF(+All!$F406="UTEP",+All!H406,IF(+All!$H406="UTEP",+All!H406,0))</f>
        <v>Louisiana Tech</v>
      </c>
      <c r="I125" s="461" t="str">
        <f>IF(+All!$F406="UTEP",+All!I406,IF(+All!$H406="UTEP",+All!I406,0))</f>
        <v>CUSA</v>
      </c>
      <c r="J125" s="460" t="str">
        <f>IF(+All!$F406="UTEP",+All!J406,IF(+All!$H406="UTEP",+All!J406,0))</f>
        <v>Louisiana Tech</v>
      </c>
      <c r="K125" s="461" t="str">
        <f>IF(+All!$F406="UTEP",+All!K406,IF(+All!$H406="UTEP",+All!K406,0))</f>
        <v>UTEP</v>
      </c>
      <c r="L125" s="60">
        <f>IF(+All!$F406="UTEP",+All!L406,IF(+All!$H406="UTEP",+All!L406,0))</f>
        <v>3</v>
      </c>
      <c r="M125" s="61">
        <f>IF(+All!$F406="UTEP",+All!M406,IF(+All!$H406="UTEP",+All!M406,0))</f>
        <v>52.5</v>
      </c>
      <c r="N125" s="460" t="str">
        <f>IF(+All!$F406="UTEP",+All!N406,IF(+All!$H406="UTEP",+All!N406,0))</f>
        <v>Louisiana Tech</v>
      </c>
      <c r="O125" s="462">
        <f>IF(+All!$F406="UTEP",+All!O406,IF(+All!$H406="UTEP",+All!O406,0))</f>
        <v>41</v>
      </c>
      <c r="P125" s="462" t="str">
        <f>IF(+All!$F406="UTEP",+All!P406,IF(+All!$H406="UTEP",+All!P406,0))</f>
        <v>UTEP</v>
      </c>
      <c r="Q125" s="461">
        <f>IF(+All!$F406="UTEP",+All!Q406,IF(+All!$H406="UTEP",+All!Q406,0))</f>
        <v>31</v>
      </c>
      <c r="R125" s="460" t="str">
        <f>IF(+All!$F406="UTEP",+All!R406,IF(+All!$H406="UTEP",+All!R406,0))</f>
        <v>Louisiana Tech</v>
      </c>
      <c r="S125" s="462" t="str">
        <f>IF(+All!$F406="UTEP",+All!S406,IF(+All!$H406="UTEP",+All!S406,0))</f>
        <v>UTEP</v>
      </c>
      <c r="T125" s="460" t="str">
        <f>IF(+All!$F406="UTEP",+All!T406,IF(+All!$H406="UTEP",+All!T406,0))</f>
        <v>Louisiana Tech</v>
      </c>
      <c r="U125" s="461" t="str">
        <f>IF(+All!$F406="UTEP",+All!U406,IF(+All!$H406="UTEP",+All!U406,0))</f>
        <v>W</v>
      </c>
    </row>
    <row r="126" spans="1:21" x14ac:dyDescent="0.8">
      <c r="A126" s="46" t="e">
        <f>IF(+All!#REF!="UTEP",+All!#REF!,IF(+All!#REF!="UTEP",+All!#REF!,0))</f>
        <v>#REF!</v>
      </c>
      <c r="B126" s="348" t="e">
        <f>IF(+All!#REF!="UTEP",+All!#REF!,IF(+All!#REF!="UTEP",+All!#REF!,0))</f>
        <v>#REF!</v>
      </c>
      <c r="C126" s="72" t="e">
        <f>IF(+All!#REF!="UTEP",+All!#REF!,IF(+All!#REF!="UTEP",+All!#REF!,0))</f>
        <v>#REF!</v>
      </c>
      <c r="D126" s="73" t="e">
        <f>IF(+All!#REF!="UTEP",+All!#REF!,IF(+All!#REF!="UTEP",+All!#REF!,0))</f>
        <v>#REF!</v>
      </c>
      <c r="E126" s="461" t="e">
        <f>IF(+All!#REF!="UTEP",+All!#REF!,IF(+All!#REF!="UTEP",+All!#REF!,0))</f>
        <v>#REF!</v>
      </c>
      <c r="F126" s="460" t="e">
        <f>IF(+All!#REF!="UTEP",+All!#REF!,IF(+All!#REF!="UTEP",+All!#REF!,0))</f>
        <v>#REF!</v>
      </c>
      <c r="G126" s="461" t="e">
        <f>IF(+All!#REF!="UTEP",+All!#REF!,IF(+All!#REF!="UTEP",+All!#REF!,0))</f>
        <v>#REF!</v>
      </c>
      <c r="H126" s="460" t="e">
        <f>IF(+All!#REF!="UTEP",+All!#REF!,IF(+All!#REF!="UTEP",+All!#REF!,0))</f>
        <v>#REF!</v>
      </c>
      <c r="I126" s="461" t="e">
        <f>IF(+All!#REF!="UTEP",+All!#REF!,IF(+All!#REF!="UTEP",+All!#REF!,0))</f>
        <v>#REF!</v>
      </c>
      <c r="J126" s="460" t="e">
        <f>IF(+All!#REF!="UTEP",+All!#REF!,IF(+All!#REF!="UTEP",+All!#REF!,0))</f>
        <v>#REF!</v>
      </c>
      <c r="K126" s="461" t="e">
        <f>IF(+All!#REF!="UTEP",+All!#REF!,IF(+All!#REF!="UTEP",+All!#REF!,0))</f>
        <v>#REF!</v>
      </c>
      <c r="L126" s="60" t="e">
        <f>IF(+All!#REF!="UTEP",+All!#REF!,IF(+All!#REF!="UTEP",+All!#REF!,0))</f>
        <v>#REF!</v>
      </c>
      <c r="M126" s="61" t="e">
        <f>IF(+All!#REF!="UTEP",+All!#REF!,IF(+All!#REF!="UTEP",+All!#REF!,0))</f>
        <v>#REF!</v>
      </c>
      <c r="N126" s="460" t="e">
        <f>IF(+All!#REF!="UTEP",+All!#REF!,IF(+All!#REF!="UTEP",+All!#REF!,0))</f>
        <v>#REF!</v>
      </c>
      <c r="O126" s="462" t="e">
        <f>IF(+All!#REF!="UTEP",+All!#REF!,IF(+All!#REF!="UTEP",+All!#REF!,0))</f>
        <v>#REF!</v>
      </c>
      <c r="P126" s="462" t="e">
        <f>IF(+All!#REF!="UTEP",+All!#REF!,IF(+All!#REF!="UTEP",+All!#REF!,0))</f>
        <v>#REF!</v>
      </c>
      <c r="Q126" s="461" t="e">
        <f>IF(+All!#REF!="UTEP",+All!#REF!,IF(+All!#REF!="UTEP",+All!#REF!,0))</f>
        <v>#REF!</v>
      </c>
      <c r="R126" s="460" t="e">
        <f>IF(+All!#REF!="UTEP",+All!#REF!,IF(+All!#REF!="UTEP",+All!#REF!,0))</f>
        <v>#REF!</v>
      </c>
      <c r="S126" s="462" t="e">
        <f>IF(+All!#REF!="UTEP",+All!#REF!,IF(+All!#REF!="UTEP",+All!#REF!,0))</f>
        <v>#REF!</v>
      </c>
      <c r="T126" s="460" t="e">
        <f>IF(+All!#REF!="UTEP",+All!#REF!,IF(+All!#REF!="UTEP",+All!#REF!,0))</f>
        <v>#REF!</v>
      </c>
      <c r="U126" s="461" t="e">
        <f>IF(+All!#REF!="UTEP",+All!#REF!,IF(+All!#REF!="UTEP",+All!#REF!,0))</f>
        <v>#REF!</v>
      </c>
    </row>
    <row r="127" spans="1:21" x14ac:dyDescent="0.8">
      <c r="A127" s="46">
        <f>IF(+All!$F516="UTEP",+All!A516,IF(+All!$H516="UTEP",+All!A516,0))</f>
        <v>8</v>
      </c>
      <c r="B127" s="348" t="str">
        <f>IF(+All!$F516="UTEP",+All!B516,IF(+All!$H516="UTEP",+All!B516,0))</f>
        <v>Sat</v>
      </c>
      <c r="C127" s="72">
        <f>IF(+All!$F516="UTEP",+All!C516,IF(+All!$H516="UTEP",+All!C516,0))</f>
        <v>44856</v>
      </c>
      <c r="D127" s="73">
        <f>IF(+All!$F516="UTEP",+All!D516,IF(+All!$H516="UTEP",+All!D516,0))</f>
        <v>0.66666666666666663</v>
      </c>
      <c r="E127" s="461">
        <f>IF(+All!$F516="UTEP",+All!E516,IF(+All!$H516="UTEP",+All!E516,0))</f>
        <v>0</v>
      </c>
      <c r="F127" s="460" t="str">
        <f>IF(+All!$F516="UTEP",+All!F516,IF(+All!$H516="UTEP",+All!F516,0))</f>
        <v>Florida Atlantic</v>
      </c>
      <c r="G127" s="461" t="str">
        <f>IF(+All!$F516="UTEP",+All!G516,IF(+All!$H516="UTEP",+All!G516,0))</f>
        <v>CUSA</v>
      </c>
      <c r="H127" s="460" t="str">
        <f>IF(+All!$F516="UTEP",+All!H516,IF(+All!$H516="UTEP",+All!H516,0))</f>
        <v>UTEP</v>
      </c>
      <c r="I127" s="461" t="str">
        <f>IF(+All!$F516="UTEP",+All!I516,IF(+All!$H516="UTEP",+All!I516,0))</f>
        <v>CUSA</v>
      </c>
      <c r="J127" s="460" t="str">
        <f>IF(+All!$F516="UTEP",+All!J516,IF(+All!$H516="UTEP",+All!J516,0))</f>
        <v>Florida Atlantic</v>
      </c>
      <c r="K127" s="461" t="str">
        <f>IF(+All!$F516="UTEP",+All!K516,IF(+All!$H516="UTEP",+All!K516,0))</f>
        <v>UTEP</v>
      </c>
      <c r="L127" s="60">
        <f>IF(+All!$F516="UTEP",+All!L516,IF(+All!$H516="UTEP",+All!L516,0))</f>
        <v>4</v>
      </c>
      <c r="M127" s="61">
        <f>IF(+All!$F516="UTEP",+All!M516,IF(+All!$H516="UTEP",+All!M516,0))</f>
        <v>50.5</v>
      </c>
      <c r="N127" s="460" t="str">
        <f>IF(+All!$F516="UTEP",+All!N516,IF(+All!$H516="UTEP",+All!N516,0))</f>
        <v>UTEP</v>
      </c>
      <c r="O127" s="462">
        <f>IF(+All!$F516="UTEP",+All!O516,IF(+All!$H516="UTEP",+All!O516,0))</f>
        <v>24</v>
      </c>
      <c r="P127" s="462" t="str">
        <f>IF(+All!$F516="UTEP",+All!P516,IF(+All!$H516="UTEP",+All!P516,0))</f>
        <v>Florida Atlantic</v>
      </c>
      <c r="Q127" s="461">
        <f>IF(+All!$F516="UTEP",+All!Q516,IF(+All!$H516="UTEP",+All!Q516,0))</f>
        <v>21</v>
      </c>
      <c r="R127" s="460" t="str">
        <f>IF(+All!$F516="UTEP",+All!R516,IF(+All!$H516="UTEP",+All!R516,0))</f>
        <v>UTEP</v>
      </c>
      <c r="S127" s="462" t="str">
        <f>IF(+All!$F516="UTEP",+All!S516,IF(+All!$H516="UTEP",+All!S516,0))</f>
        <v>Florida Atlantic</v>
      </c>
      <c r="T127" s="460" t="str">
        <f>IF(+All!$F516="UTEP",+All!T516,IF(+All!$H516="UTEP",+All!T516,0))</f>
        <v>Florida Atlantic</v>
      </c>
      <c r="U127" s="461" t="str">
        <f>IF(+All!$F516="UTEP",+All!U516,IF(+All!$H516="UTEP",+All!U516,0))</f>
        <v>L</v>
      </c>
    </row>
    <row r="128" spans="1:21" x14ac:dyDescent="0.8">
      <c r="A128" s="46">
        <f>IF(+All!$F570="UTEP",+All!A570,IF(+All!$H570="UTEP",+All!A570,0))</f>
        <v>9</v>
      </c>
      <c r="B128" s="348" t="str">
        <f>IF(+All!$F570="UTEP",+All!B570,IF(+All!$H570="UTEP",+All!B570,0))</f>
        <v>Sat</v>
      </c>
      <c r="C128" s="72">
        <f>IF(+All!$F570="UTEP",+All!C570,IF(+All!$H570="UTEP",+All!C570,0))</f>
        <v>44863</v>
      </c>
      <c r="D128" s="73">
        <f>IF(+All!$F570="UTEP",+All!D570,IF(+All!$H570="UTEP",+All!D570,0))</f>
        <v>0.875</v>
      </c>
      <c r="E128" s="461">
        <f>IF(+All!$F570="UTEP",+All!E570,IF(+All!$H570="UTEP",+All!E570,0))</f>
        <v>0</v>
      </c>
      <c r="F128" s="460" t="str">
        <f>IF(+All!$F570="UTEP",+All!F570,IF(+All!$H570="UTEP",+All!F570,0))</f>
        <v>Middle Tenn St</v>
      </c>
      <c r="G128" s="461" t="str">
        <f>IF(+All!$F570="UTEP",+All!G570,IF(+All!$H570="UTEP",+All!G570,0))</f>
        <v>CUSA</v>
      </c>
      <c r="H128" s="460" t="str">
        <f>IF(+All!$F570="UTEP",+All!H570,IF(+All!$H570="UTEP",+All!H570,0))</f>
        <v>UTEP</v>
      </c>
      <c r="I128" s="461" t="str">
        <f>IF(+All!$F570="UTEP",+All!I570,IF(+All!$H570="UTEP",+All!I570,0))</f>
        <v>CUSA</v>
      </c>
      <c r="J128" s="460" t="str">
        <f>IF(+All!$F570="UTEP",+All!J570,IF(+All!$H570="UTEP",+All!J570,0))</f>
        <v>UTEP</v>
      </c>
      <c r="K128" s="461" t="str">
        <f>IF(+All!$F570="UTEP",+All!K570,IF(+All!$H570="UTEP",+All!K570,0))</f>
        <v>Middle Tenn St</v>
      </c>
      <c r="L128" s="60">
        <f>IF(+All!$F570="UTEP",+All!L570,IF(+All!$H570="UTEP",+All!L570,0))</f>
        <v>1</v>
      </c>
      <c r="M128" s="61">
        <f>IF(+All!$F570="UTEP",+All!M570,IF(+All!$H570="UTEP",+All!M570,0))</f>
        <v>52</v>
      </c>
      <c r="N128" s="460" t="str">
        <f>IF(+All!$F570="UTEP",+All!N570,IF(+All!$H570="UTEP",+All!N570,0))</f>
        <v>Middle Tenn St</v>
      </c>
      <c r="O128" s="462">
        <f>IF(+All!$F570="UTEP",+All!O570,IF(+All!$H570="UTEP",+All!O570,0))</f>
        <v>24</v>
      </c>
      <c r="P128" s="462" t="str">
        <f>IF(+All!$F570="UTEP",+All!P570,IF(+All!$H570="UTEP",+All!P570,0))</f>
        <v>UTEP</v>
      </c>
      <c r="Q128" s="461">
        <f>IF(+All!$F570="UTEP",+All!Q570,IF(+All!$H570="UTEP",+All!Q570,0))</f>
        <v>13</v>
      </c>
      <c r="R128" s="460" t="str">
        <f>IF(+All!$F570="UTEP",+All!R570,IF(+All!$H570="UTEP",+All!R570,0))</f>
        <v>Middle Tenn St</v>
      </c>
      <c r="S128" s="462" t="str">
        <f>IF(+All!$F570="UTEP",+All!S570,IF(+All!$H570="UTEP",+All!S570,0))</f>
        <v>UTEP</v>
      </c>
      <c r="T128" s="460" t="str">
        <f>IF(+All!$F570="UTEP",+All!T570,IF(+All!$H570="UTEP",+All!T570,0))</f>
        <v>Middle Tenn St</v>
      </c>
      <c r="U128" s="461" t="str">
        <f>IF(+All!$F570="UTEP",+All!U570,IF(+All!$H570="UTEP",+All!U570,0))</f>
        <v>W</v>
      </c>
    </row>
    <row r="129" spans="1:21" ht="12.75" customHeight="1" x14ac:dyDescent="0.8">
      <c r="A129" s="46">
        <f>IF(+All!$F597="UTEP",+All!A597,IF(+All!$H597="UTEP",+All!A597,0))</f>
        <v>10</v>
      </c>
      <c r="B129" s="348" t="str">
        <f>IF(+All!$F597="UTEP",+All!B597,IF(+All!$H597="UTEP",+All!B597,0))</f>
        <v>Thurs</v>
      </c>
      <c r="C129" s="72">
        <f>IF(+All!$F597="UTEP",+All!C597,IF(+All!$H597="UTEP",+All!C597,0))</f>
        <v>44868</v>
      </c>
      <c r="D129" s="73">
        <f>IF(+All!$F597="UTEP",+All!D597,IF(+All!$H597="UTEP",+All!D597,0))</f>
        <v>0.79166666666666663</v>
      </c>
      <c r="E129" s="461" t="str">
        <f>IF(+All!$F597="UTEP",+All!E597,IF(+All!$H597="UTEP",+All!E597,0))</f>
        <v>CBSSN</v>
      </c>
      <c r="F129" s="460" t="str">
        <f>IF(+All!$F597="UTEP",+All!F597,IF(+All!$H597="UTEP",+All!F597,0))</f>
        <v>UTEP</v>
      </c>
      <c r="G129" s="461" t="str">
        <f>IF(+All!$F597="UTEP",+All!G597,IF(+All!$H597="UTEP",+All!G597,0))</f>
        <v>CUSA</v>
      </c>
      <c r="H129" s="460" t="str">
        <f>IF(+All!$F597="UTEP",+All!H597,IF(+All!$H597="UTEP",+All!H597,0))</f>
        <v>Rice</v>
      </c>
      <c r="I129" s="461" t="str">
        <f>IF(+All!$F597="UTEP",+All!I597,IF(+All!$H597="UTEP",+All!I597,0))</f>
        <v>CUSA</v>
      </c>
      <c r="J129" s="460" t="str">
        <f>IF(+All!$F597="UTEP",+All!J597,IF(+All!$H597="UTEP",+All!J597,0))</f>
        <v>Rice</v>
      </c>
      <c r="K129" s="461" t="str">
        <f>IF(+All!$F597="UTEP",+All!K597,IF(+All!$H597="UTEP",+All!K597,0))</f>
        <v>UTEP</v>
      </c>
      <c r="L129" s="60">
        <f>IF(+All!$F597="UTEP",+All!L597,IF(+All!$H597="UTEP",+All!L597,0))</f>
        <v>3.5</v>
      </c>
      <c r="M129" s="61">
        <f>IF(+All!$F597="UTEP",+All!M597,IF(+All!$H597="UTEP",+All!M597,0))</f>
        <v>48.5</v>
      </c>
      <c r="N129" s="460" t="str">
        <f>IF(+All!$F597="UTEP",+All!N597,IF(+All!$H597="UTEP",+All!N597,0))</f>
        <v>Rice</v>
      </c>
      <c r="O129" s="462">
        <f>IF(+All!$F597="UTEP",+All!O597,IF(+All!$H597="UTEP",+All!O597,0))</f>
        <v>37</v>
      </c>
      <c r="P129" s="462" t="str">
        <f>IF(+All!$F597="UTEP",+All!P597,IF(+All!$H597="UTEP",+All!P597,0))</f>
        <v>UTEP</v>
      </c>
      <c r="Q129" s="461">
        <f>IF(+All!$F597="UTEP",+All!Q597,IF(+All!$H597="UTEP",+All!Q597,0))</f>
        <v>30</v>
      </c>
      <c r="R129" s="460" t="str">
        <f>IF(+All!$F597="UTEP",+All!R597,IF(+All!$H597="UTEP",+All!R597,0))</f>
        <v>Rice</v>
      </c>
      <c r="S129" s="462" t="str">
        <f>IF(+All!$F597="UTEP",+All!S597,IF(+All!$H597="UTEP",+All!S597,0))</f>
        <v>UTEP</v>
      </c>
      <c r="T129" s="460" t="str">
        <f>IF(+All!$F597="UTEP",+All!T597,IF(+All!$H597="UTEP",+All!T597,0))</f>
        <v>Rice</v>
      </c>
      <c r="U129" s="461" t="str">
        <f>IF(+All!$F597="UTEP",+All!U597,IF(+All!$H597="UTEP",+All!U597,0))</f>
        <v>W</v>
      </c>
    </row>
    <row r="130" spans="1:21" x14ac:dyDescent="0.8">
      <c r="A130" s="46" t="e">
        <f>IF(+All!#REF!="UTEP",+All!#REF!,IF(+All!#REF!="UTEP",+All!#REF!,0))</f>
        <v>#REF!</v>
      </c>
      <c r="B130" s="348" t="e">
        <f>IF(+All!#REF!="UTEP",+All!#REF!,IF(+All!#REF!="UTEP",+All!#REF!,0))</f>
        <v>#REF!</v>
      </c>
      <c r="C130" s="72" t="e">
        <f>IF(+All!#REF!="UTEP",+All!#REF!,IF(+All!#REF!="UTEP",+All!#REF!,0))</f>
        <v>#REF!</v>
      </c>
      <c r="D130" s="73" t="e">
        <f>IF(+All!#REF!="UTEP",+All!#REF!,IF(+All!#REF!="UTEP",+All!#REF!,0))</f>
        <v>#REF!</v>
      </c>
      <c r="E130" s="461" t="e">
        <f>IF(+All!#REF!="UTEP",+All!#REF!,IF(+All!#REF!="UTEP",+All!#REF!,0))</f>
        <v>#REF!</v>
      </c>
      <c r="F130" s="460" t="e">
        <f>IF(+All!#REF!="UTEP",+All!#REF!,IF(+All!#REF!="UTEP",+All!#REF!,0))</f>
        <v>#REF!</v>
      </c>
      <c r="G130" s="461" t="e">
        <f>IF(+All!#REF!="UTEP",+All!#REF!,IF(+All!#REF!="UTEP",+All!#REF!,0))</f>
        <v>#REF!</v>
      </c>
      <c r="H130" s="460" t="e">
        <f>IF(+All!#REF!="UTEP",+All!#REF!,IF(+All!#REF!="UTEP",+All!#REF!,0))</f>
        <v>#REF!</v>
      </c>
      <c r="I130" s="461" t="e">
        <f>IF(+All!#REF!="UTEP",+All!#REF!,IF(+All!#REF!="UTEP",+All!#REF!,0))</f>
        <v>#REF!</v>
      </c>
      <c r="J130" s="460" t="e">
        <f>IF(+All!#REF!="UTEP",+All!#REF!,IF(+All!#REF!="UTEP",+All!#REF!,0))</f>
        <v>#REF!</v>
      </c>
      <c r="K130" s="461" t="e">
        <f>IF(+All!#REF!="UTEP",+All!#REF!,IF(+All!#REF!="UTEP",+All!#REF!,0))</f>
        <v>#REF!</v>
      </c>
      <c r="L130" s="60" t="e">
        <f>IF(+All!#REF!="UTEP",+All!#REF!,IF(+All!#REF!="UTEP",+All!#REF!,0))</f>
        <v>#REF!</v>
      </c>
      <c r="M130" s="61" t="e">
        <f>IF(+All!#REF!="UTEP",+All!#REF!,IF(+All!#REF!="UTEP",+All!#REF!,0))</f>
        <v>#REF!</v>
      </c>
      <c r="N130" s="460" t="e">
        <f>IF(+All!#REF!="UTEP",+All!#REF!,IF(+All!#REF!="UTEP",+All!#REF!,0))</f>
        <v>#REF!</v>
      </c>
      <c r="O130" s="462" t="e">
        <f>IF(+All!#REF!="UTEP",+All!#REF!,IF(+All!#REF!="UTEP",+All!#REF!,0))</f>
        <v>#REF!</v>
      </c>
      <c r="P130" s="462" t="e">
        <f>IF(+All!#REF!="UTEP",+All!#REF!,IF(+All!#REF!="UTEP",+All!#REF!,0))</f>
        <v>#REF!</v>
      </c>
      <c r="Q130" s="461" t="e">
        <f>IF(+All!#REF!="UTEP",+All!#REF!,IF(+All!#REF!="UTEP",+All!#REF!,0))</f>
        <v>#REF!</v>
      </c>
      <c r="R130" s="460" t="e">
        <f>IF(+All!#REF!="UTEP",+All!#REF!,IF(+All!#REF!="UTEP",+All!#REF!,0))</f>
        <v>#REF!</v>
      </c>
      <c r="S130" s="462" t="e">
        <f>IF(+All!#REF!="UTEP",+All!#REF!,IF(+All!#REF!="UTEP",+All!#REF!,0))</f>
        <v>#REF!</v>
      </c>
      <c r="T130" s="460" t="e">
        <f>IF(+All!#REF!="UTEP",+All!#REF!,IF(+All!#REF!="UTEP",+All!#REF!,0))</f>
        <v>#REF!</v>
      </c>
      <c r="U130" s="461" t="e">
        <f>IF(+All!#REF!="UTEP",+All!#REF!,IF(+All!#REF!="UTEP",+All!#REF!,0))</f>
        <v>#REF!</v>
      </c>
    </row>
    <row r="131" spans="1:21" x14ac:dyDescent="0.8">
      <c r="A131" s="46">
        <f>IF(+All!$F752="UTEP",+All!A752,IF(+All!$H752="UTEP",+All!A752,0))</f>
        <v>12</v>
      </c>
      <c r="B131" s="348" t="str">
        <f>IF(+All!$F752="UTEP",+All!B752,IF(+All!$H752="UTEP",+All!B752,0))</f>
        <v>Sat</v>
      </c>
      <c r="C131" s="72">
        <f>IF(+All!$F752="UTEP",+All!C752,IF(+All!$H752="UTEP",+All!C752,0))</f>
        <v>44884</v>
      </c>
      <c r="D131" s="73">
        <f>IF(+All!$F752="UTEP",+All!D752,IF(+All!$H752="UTEP",+All!D752,0))</f>
        <v>0.66666666666666663</v>
      </c>
      <c r="E131" s="461">
        <f>IF(+All!$F752="UTEP",+All!E752,IF(+All!$H752="UTEP",+All!E752,0))</f>
        <v>0</v>
      </c>
      <c r="F131" s="460" t="str">
        <f>IF(+All!$F752="UTEP",+All!F752,IF(+All!$H752="UTEP",+All!F752,0))</f>
        <v>Florida Intl</v>
      </c>
      <c r="G131" s="461" t="str">
        <f>IF(+All!$F752="UTEP",+All!G752,IF(+All!$H752="UTEP",+All!G752,0))</f>
        <v>CUSA</v>
      </c>
      <c r="H131" s="460" t="str">
        <f>IF(+All!$F752="UTEP",+All!H752,IF(+All!$H752="UTEP",+All!H752,0))</f>
        <v>UTEP</v>
      </c>
      <c r="I131" s="461" t="str">
        <f>IF(+All!$F752="UTEP",+All!I752,IF(+All!$H752="UTEP",+All!I752,0))</f>
        <v>CUSA</v>
      </c>
      <c r="J131" s="460" t="str">
        <f>IF(+All!$F752="UTEP",+All!J752,IF(+All!$H752="UTEP",+All!J752,0))</f>
        <v>UTEP</v>
      </c>
      <c r="K131" s="461" t="str">
        <f>IF(+All!$F752="UTEP",+All!K752,IF(+All!$H752="UTEP",+All!K752,0))</f>
        <v>Florida Intl</v>
      </c>
      <c r="L131" s="60">
        <f>IF(+All!$F752="UTEP",+All!L752,IF(+All!$H752="UTEP",+All!L752,0))</f>
        <v>14</v>
      </c>
      <c r="M131" s="61">
        <f>IF(+All!$F752="UTEP",+All!M752,IF(+All!$H752="UTEP",+All!M752,0))</f>
        <v>51</v>
      </c>
      <c r="N131" s="460" t="str">
        <f>IF(+All!$F752="UTEP",+All!N752,IF(+All!$H752="UTEP",+All!N752,0))</f>
        <v>UTEP</v>
      </c>
      <c r="O131" s="462">
        <f>IF(+All!$F752="UTEP",+All!O752,IF(+All!$H752="UTEP",+All!O752,0))</f>
        <v>40</v>
      </c>
      <c r="P131" s="462" t="str">
        <f>IF(+All!$F752="UTEP",+All!P752,IF(+All!$H752="UTEP",+All!P752,0))</f>
        <v>Florida Intl</v>
      </c>
      <c r="Q131" s="461">
        <f>IF(+All!$F752="UTEP",+All!Q752,IF(+All!$H752="UTEP",+All!Q752,0))</f>
        <v>6</v>
      </c>
      <c r="R131" s="460" t="str">
        <f>IF(+All!$F752="UTEP",+All!R752,IF(+All!$H752="UTEP",+All!R752,0))</f>
        <v>UTEP</v>
      </c>
      <c r="S131" s="462" t="str">
        <f>IF(+All!$F752="UTEP",+All!S752,IF(+All!$H752="UTEP",+All!S752,0))</f>
        <v>Florida Intl</v>
      </c>
      <c r="T131" s="460" t="str">
        <f>IF(+All!$F752="UTEP",+All!T752,IF(+All!$H752="UTEP",+All!T752,0))</f>
        <v>UTEP</v>
      </c>
      <c r="U131" s="461" t="str">
        <f>IF(+All!$F752="UTEP",+All!U752,IF(+All!$H752="UTEP",+All!U752,0))</f>
        <v>W</v>
      </c>
    </row>
    <row r="132" spans="1:21" x14ac:dyDescent="0.8">
      <c r="A132" s="46">
        <f>IF(+All!$F822="UTEP",+All!A822,IF(+All!$H822="UTEP",+All!A822,0))</f>
        <v>13</v>
      </c>
      <c r="B132" s="348" t="str">
        <f>IF(+All!$F822="UTEP",+All!B822,IF(+All!$H822="UTEP",+All!B822,0))</f>
        <v>Sat</v>
      </c>
      <c r="C132" s="72">
        <f>IF(+All!$F822="UTEP",+All!C822,IF(+All!$H822="UTEP",+All!C822,0))</f>
        <v>44891</v>
      </c>
      <c r="D132" s="73">
        <f>IF(+All!$F822="UTEP",+All!D822,IF(+All!$H822="UTEP",+All!D822,0))</f>
        <v>0.64583333333333337</v>
      </c>
      <c r="E132" s="461">
        <f>IF(+All!$F822="UTEP",+All!E822,IF(+All!$H822="UTEP",+All!E822,0))</f>
        <v>0</v>
      </c>
      <c r="F132" s="460" t="str">
        <f>IF(+All!$F822="UTEP",+All!F822,IF(+All!$H822="UTEP",+All!F822,0))</f>
        <v>UTEP</v>
      </c>
      <c r="G132" s="461" t="str">
        <f>IF(+All!$F822="UTEP",+All!G822,IF(+All!$H822="UTEP",+All!G822,0))</f>
        <v>CUSA</v>
      </c>
      <c r="H132" s="460" t="str">
        <f>IF(+All!$F822="UTEP",+All!H822,IF(+All!$H822="UTEP",+All!H822,0))</f>
        <v>UT San Antonio</v>
      </c>
      <c r="I132" s="461" t="str">
        <f>IF(+All!$F822="UTEP",+All!I822,IF(+All!$H822="UTEP",+All!I822,0))</f>
        <v>CUSA</v>
      </c>
      <c r="J132" s="460" t="str">
        <f>IF(+All!$F822="UTEP",+All!J822,IF(+All!$H822="UTEP",+All!J822,0))</f>
        <v>UT San Antonio</v>
      </c>
      <c r="K132" s="461" t="str">
        <f>IF(+All!$F822="UTEP",+All!K822,IF(+All!$H822="UTEP",+All!K822,0))</f>
        <v>UTEP</v>
      </c>
      <c r="L132" s="60">
        <f>IF(+All!$F822="UTEP",+All!L822,IF(+All!$H822="UTEP",+All!L822,0))</f>
        <v>17</v>
      </c>
      <c r="M132" s="61">
        <f>IF(+All!$F822="UTEP",+All!M822,IF(+All!$H822="UTEP",+All!M822,0))</f>
        <v>56</v>
      </c>
      <c r="N132" s="460" t="str">
        <f>IF(+All!$F822="UTEP",+All!N822,IF(+All!$H822="UTEP",+All!N822,0))</f>
        <v>UT San Antonio</v>
      </c>
      <c r="O132" s="462">
        <f>IF(+All!$F822="UTEP",+All!O822,IF(+All!$H822="UTEP",+All!O822,0))</f>
        <v>34</v>
      </c>
      <c r="P132" s="462" t="str">
        <f>IF(+All!$F822="UTEP",+All!P822,IF(+All!$H822="UTEP",+All!P822,0))</f>
        <v>UTEP</v>
      </c>
      <c r="Q132" s="461">
        <f>IF(+All!$F822="UTEP",+All!Q822,IF(+All!$H822="UTEP",+All!Q822,0))</f>
        <v>31</v>
      </c>
      <c r="R132" s="460" t="str">
        <f>IF(+All!$F822="UTEP",+All!R822,IF(+All!$H822="UTEP",+All!R822,0))</f>
        <v>UTEP</v>
      </c>
      <c r="S132" s="462" t="str">
        <f>IF(+All!$F822="UTEP",+All!S822,IF(+All!$H822="UTEP",+All!S822,0))</f>
        <v>UT San Antonio</v>
      </c>
      <c r="T132" s="460" t="str">
        <f>IF(+All!$F822="UTEP",+All!T822,IF(+All!$H822="UTEP",+All!T822,0))</f>
        <v>UTEP</v>
      </c>
      <c r="U132" s="461" t="str">
        <f>IF(+All!$F822="UTEP",+All!U822,IF(+All!$H822="UTEP",+All!U822,0))</f>
        <v>W</v>
      </c>
    </row>
    <row r="133" spans="1:21" x14ac:dyDescent="0.8">
      <c r="B133" s="46"/>
      <c r="C133" s="62"/>
      <c r="D133" s="49"/>
      <c r="F133" s="897" t="str">
        <f>H134</f>
        <v>UT San Antonio</v>
      </c>
      <c r="G133" s="901"/>
      <c r="H133" s="901"/>
      <c r="I133" s="902"/>
      <c r="L133" s="54"/>
      <c r="M133" s="55"/>
    </row>
    <row r="134" spans="1:21" x14ac:dyDescent="0.8">
      <c r="A134" s="46">
        <f>IF(+All!$F45="UT San Antonio",+All!A45,IF(+All!$H45="UT San Antonio",+All!A45,0))</f>
        <v>1</v>
      </c>
      <c r="B134" s="348" t="str">
        <f>IF(+All!$F45="UT San Antonio",+All!B45,IF(+All!$H45="UT San Antonio",+All!B45,0))</f>
        <v>Sat</v>
      </c>
      <c r="C134" s="48">
        <f>IF(+All!$F45="UT San Antonio",+All!C45,IF(+All!$H45="UT San Antonio",+All!C45,0))</f>
        <v>44807</v>
      </c>
      <c r="D134" s="490">
        <f>IF(+All!$F45="UT San Antonio",+All!D45,IF(+All!$H45="UT San Antonio",+All!D45,0))</f>
        <v>0.64583333333333337</v>
      </c>
      <c r="E134" s="461" t="str">
        <f>IF(+All!$F45="UT San Antonio",+All!E45,IF(+All!$H45="UT San Antonio",+All!E45,0))</f>
        <v>CBSSN</v>
      </c>
      <c r="F134" s="51" t="str">
        <f>IF(+All!$F45="UT San Antonio",+All!F45,IF(+All!$H45="UT San Antonio",+All!F45,0))</f>
        <v>Houston</v>
      </c>
      <c r="G134" s="52" t="str">
        <f>IF(+All!$F45="UT San Antonio",+All!G45,IF(+All!$H45="UT San Antonio",+All!G45,0))</f>
        <v>AAC</v>
      </c>
      <c r="H134" s="51" t="str">
        <f>IF(+All!$F45="UT San Antonio",+All!H45,IF(+All!$H45="UT San Antonio",+All!H45,0))</f>
        <v>UT San Antonio</v>
      </c>
      <c r="I134" s="52" t="str">
        <f>IF(+All!$F45="UT San Antonio",+All!I45,IF(+All!$H45="UT San Antonio",+All!I45,0))</f>
        <v>CUSA</v>
      </c>
      <c r="J134" s="460" t="str">
        <f>IF(+All!$F45="UT San Antonio",+All!J45,IF(+All!$H45="UT San Antonio",+All!J45,0))</f>
        <v>Houston</v>
      </c>
      <c r="K134" s="461" t="str">
        <f>IF(+All!$F45="UT San Antonio",+All!K45,IF(+All!$H45="UT San Antonio",+All!K45,0))</f>
        <v>UT San Antonio</v>
      </c>
      <c r="L134" s="54">
        <f>IF(+All!$F45="UT San Antonio",+All!L45,IF(+All!$H45="UT San Antonio",+All!L45,0))</f>
        <v>4</v>
      </c>
      <c r="M134" s="55">
        <f>IF(+All!$F45="UT San Antonio",+All!M45,IF(+All!$H45="UT San Antonio",+All!M45,0))</f>
        <v>61.5</v>
      </c>
      <c r="N134" s="460" t="str">
        <f>IF(+All!$F45="UT San Antonio",+All!N45,IF(+All!$H45="UT San Antonio",+All!N45,0))</f>
        <v>Houston</v>
      </c>
      <c r="O134" s="462">
        <f>IF(+All!$F45="UT San Antonio",+All!O45,IF(+All!$H45="UT San Antonio",+All!O45,0))</f>
        <v>37</v>
      </c>
      <c r="P134" s="462" t="str">
        <f>IF(+All!$F45="UT San Antonio",+All!P45,IF(+All!$H45="UT San Antonio",+All!P45,0))</f>
        <v>UT San Antonio</v>
      </c>
      <c r="Q134" s="461">
        <f>IF(+All!$F45="UT San Antonio",+All!Q45,IF(+All!$H45="UT San Antonio",+All!Q45,0))</f>
        <v>35</v>
      </c>
      <c r="R134" s="460" t="str">
        <f>IF(+All!$F45="UT San Antonio",+All!R45,IF(+All!$H45="UT San Antonio",+All!R45,0))</f>
        <v>UT San Antonio</v>
      </c>
      <c r="S134" s="462" t="str">
        <f>IF(+All!$F45="UT San Antonio",+All!S45,IF(+All!$H45="UT San Antonio",+All!S45,0))</f>
        <v>Houston</v>
      </c>
      <c r="T134" s="460" t="str">
        <f>IF(+All!$F45="UT San Antonio",+All!T45,IF(+All!$H45="UT San Antonio",+All!T45,0))</f>
        <v>Houston</v>
      </c>
      <c r="U134" s="461" t="str">
        <f>IF(+All!$F45="UT San Antonio",+All!U45,IF(+All!$H45="UT San Antonio",+All!U45,0))</f>
        <v>L</v>
      </c>
    </row>
    <row r="135" spans="1:21" x14ac:dyDescent="0.8">
      <c r="A135" s="46">
        <f>IF(+All!$F140="UT San Antonio",+All!A140,IF(+All!$H140="UT San Antonio",+All!A140,0))</f>
        <v>2</v>
      </c>
      <c r="B135" s="348" t="str">
        <f>IF(+All!$F140="UT San Antonio",+All!B140,IF(+All!$H140="UT San Antonio",+All!B140,0))</f>
        <v>Sat</v>
      </c>
      <c r="C135" s="48">
        <f>IF(+All!$F140="UT San Antonio",+All!C140,IF(+All!$H140="UT San Antonio",+All!C140,0))</f>
        <v>44814</v>
      </c>
      <c r="D135" s="490">
        <f>IF(+All!$F140="UT San Antonio",+All!D140,IF(+All!$H140="UT San Antonio",+All!D140,0))</f>
        <v>0.5</v>
      </c>
      <c r="E135" s="461" t="str">
        <f>IF(+All!$F140="UT San Antonio",+All!E140,IF(+All!$H140="UT San Antonio",+All!E140,0))</f>
        <v>CBSSN</v>
      </c>
      <c r="F135" s="51" t="str">
        <f>IF(+All!$F140="UT San Antonio",+All!F140,IF(+All!$H140="UT San Antonio",+All!F140,0))</f>
        <v>UT San Antonio</v>
      </c>
      <c r="G135" s="52" t="str">
        <f>IF(+All!$F140="UT San Antonio",+All!G140,IF(+All!$H140="UT San Antonio",+All!G140,0))</f>
        <v>CUSA</v>
      </c>
      <c r="H135" s="51" t="str">
        <f>IF(+All!$F140="UT San Antonio",+All!H140,IF(+All!$H140="UT San Antonio",+All!H140,0))</f>
        <v>Army</v>
      </c>
      <c r="I135" s="52" t="str">
        <f>IF(+All!$F140="UT San Antonio",+All!I140,IF(+All!$H140="UT San Antonio",+All!I140,0))</f>
        <v>Ind</v>
      </c>
      <c r="J135" s="460" t="str">
        <f>IF(+All!$F140="UT San Antonio",+All!J140,IF(+All!$H140="UT San Antonio",+All!J140,0))</f>
        <v>UT San Antonio</v>
      </c>
      <c r="K135" s="461" t="str">
        <f>IF(+All!$F140="UT San Antonio",+All!K140,IF(+All!$H140="UT San Antonio",+All!K140,0))</f>
        <v>Army</v>
      </c>
      <c r="L135" s="54">
        <f>IF(+All!$F140="UT San Antonio",+All!L140,IF(+All!$H140="UT San Antonio",+All!L140,0))</f>
        <v>2</v>
      </c>
      <c r="M135" s="55">
        <f>IF(+All!$F140="UT San Antonio",+All!M140,IF(+All!$H140="UT San Antonio",+All!M140,0))</f>
        <v>54.5</v>
      </c>
      <c r="N135" s="460" t="str">
        <f>IF(+All!$F140="UT San Antonio",+All!N140,IF(+All!$H140="UT San Antonio",+All!N140,0))</f>
        <v>UT San Antonio</v>
      </c>
      <c r="O135" s="462">
        <f>IF(+All!$F140="UT San Antonio",+All!O140,IF(+All!$H140="UT San Antonio",+All!O140,0))</f>
        <v>41</v>
      </c>
      <c r="P135" s="462" t="str">
        <f>IF(+All!$F140="UT San Antonio",+All!P140,IF(+All!$H140="UT San Antonio",+All!P140,0))</f>
        <v>Army</v>
      </c>
      <c r="Q135" s="461">
        <f>IF(+All!$F140="UT San Antonio",+All!Q140,IF(+All!$H140="UT San Antonio",+All!Q140,0))</f>
        <v>38</v>
      </c>
      <c r="R135" s="460" t="str">
        <f>IF(+All!$F140="UT San Antonio",+All!R140,IF(+All!$H140="UT San Antonio",+All!R140,0))</f>
        <v>UT San Antonio</v>
      </c>
      <c r="S135" s="462" t="str">
        <f>IF(+All!$F140="UT San Antonio",+All!S140,IF(+All!$H140="UT San Antonio",+All!S140,0))</f>
        <v>Army</v>
      </c>
      <c r="T135" s="460" t="str">
        <f>IF(+All!$F140="UT San Antonio",+All!T140,IF(+All!$H140="UT San Antonio",+All!T140,0))</f>
        <v>UT San Antonio</v>
      </c>
      <c r="U135" s="461" t="str">
        <f>IF(+All!$F140="UT San Antonio",+All!U140,IF(+All!$H140="UT San Antonio",+All!U140,0))</f>
        <v>W</v>
      </c>
    </row>
    <row r="136" spans="1:21" x14ac:dyDescent="0.8">
      <c r="A136" s="46">
        <f>IF(+All!$F210="UT San Antonio",+All!A210,IF(+All!$H210="UT San Antonio",+All!A210,0))</f>
        <v>3</v>
      </c>
      <c r="B136" s="348" t="str">
        <f>IF(+All!$F210="UT San Antonio",+All!B210,IF(+All!$H210="UT San Antonio",+All!B210,0))</f>
        <v>Sat</v>
      </c>
      <c r="C136" s="48">
        <f>IF(+All!$F210="UT San Antonio",+All!C210,IF(+All!$H210="UT San Antonio",+All!C210,0))</f>
        <v>44821</v>
      </c>
      <c r="D136" s="490">
        <f>IF(+All!$F210="UT San Antonio",+All!D210,IF(+All!$H210="UT San Antonio",+All!D210,0))</f>
        <v>0.83333333333333337</v>
      </c>
      <c r="E136" s="461" t="str">
        <f>IF(+All!$F210="UT San Antonio",+All!E210,IF(+All!$H210="UT San Antonio",+All!E210,0))</f>
        <v>LHN</v>
      </c>
      <c r="F136" s="51" t="str">
        <f>IF(+All!$F210="UT San Antonio",+All!F210,IF(+All!$H210="UT San Antonio",+All!F210,0))</f>
        <v>UT San Antonio</v>
      </c>
      <c r="G136" s="52" t="str">
        <f>IF(+All!$F210="UT San Antonio",+All!G210,IF(+All!$H210="UT San Antonio",+All!G210,0))</f>
        <v>CUSA</v>
      </c>
      <c r="H136" s="51" t="str">
        <f>IF(+All!$F210="UT San Antonio",+All!H210,IF(+All!$H210="UT San Antonio",+All!H210,0))</f>
        <v>Texas</v>
      </c>
      <c r="I136" s="52" t="str">
        <f>IF(+All!$F210="UT San Antonio",+All!I210,IF(+All!$H210="UT San Antonio",+All!I210,0))</f>
        <v>B12</v>
      </c>
      <c r="J136" s="460" t="str">
        <f>IF(+All!$F210="UT San Antonio",+All!J210,IF(+All!$H210="UT San Antonio",+All!J210,0))</f>
        <v>Texas</v>
      </c>
      <c r="K136" s="461" t="str">
        <f>IF(+All!$F210="UT San Antonio",+All!K210,IF(+All!$H210="UT San Antonio",+All!K210,0))</f>
        <v>UT San Antonio</v>
      </c>
      <c r="L136" s="54">
        <f>IF(+All!$F210="UT San Antonio",+All!L210,IF(+All!$H210="UT San Antonio",+All!L210,0))</f>
        <v>12.5</v>
      </c>
      <c r="M136" s="55">
        <f>IF(+All!$F210="UT San Antonio",+All!M210,IF(+All!$H210="UT San Antonio",+All!M210,0))</f>
        <v>61.5</v>
      </c>
      <c r="N136" s="460" t="str">
        <f>IF(+All!$F210="UT San Antonio",+All!N210,IF(+All!$H210="UT San Antonio",+All!N210,0))</f>
        <v>Texas</v>
      </c>
      <c r="O136" s="462">
        <f>IF(+All!$F210="UT San Antonio",+All!O210,IF(+All!$H210="UT San Antonio",+All!O210,0))</f>
        <v>41</v>
      </c>
      <c r="P136" s="462" t="str">
        <f>IF(+All!$F210="UT San Antonio",+All!P210,IF(+All!$H210="UT San Antonio",+All!P210,0))</f>
        <v>UT San Antonio</v>
      </c>
      <c r="Q136" s="461">
        <f>IF(+All!$F210="UT San Antonio",+All!Q210,IF(+All!$H210="UT San Antonio",+All!Q210,0))</f>
        <v>20</v>
      </c>
      <c r="R136" s="460" t="str">
        <f>IF(+All!$F210="UT San Antonio",+All!R210,IF(+All!$H210="UT San Antonio",+All!R210,0))</f>
        <v>Texas</v>
      </c>
      <c r="S136" s="462" t="str">
        <f>IF(+All!$F210="UT San Antonio",+All!S210,IF(+All!$H210="UT San Antonio",+All!S210,0))</f>
        <v>UT San Antonio</v>
      </c>
      <c r="T136" s="460" t="str">
        <f>IF(+All!$F210="UT San Antonio",+All!T210,IF(+All!$H210="UT San Antonio",+All!T210,0))</f>
        <v>UT San Antonio</v>
      </c>
      <c r="U136" s="461" t="str">
        <f>IF(+All!$F210="UT San Antonio",+All!U210,IF(+All!$H210="UT San Antonio",+All!U210,0))</f>
        <v>L</v>
      </c>
    </row>
    <row r="137" spans="1:21" x14ac:dyDescent="0.8">
      <c r="A137" s="46">
        <f>IF(+All!$F284="UT San Antonio",+All!A284,IF(+All!$H284="UT San Antonio",+All!A284,0))</f>
        <v>4</v>
      </c>
      <c r="B137" s="348" t="str">
        <f>IF(+All!$F284="UT San Antonio",+All!B284,IF(+All!$H284="UT San Antonio",+All!B284,0))</f>
        <v>Sat</v>
      </c>
      <c r="C137" s="48">
        <f>IF(+All!$F284="UT San Antonio",+All!C284,IF(+All!$H284="UT San Antonio",+All!C284,0))</f>
        <v>44828</v>
      </c>
      <c r="D137" s="490">
        <f>IF(+All!$F284="UT San Antonio",+All!D284,IF(+All!$H284="UT San Antonio",+All!D284,0))</f>
        <v>0.64583333333333337</v>
      </c>
      <c r="E137" s="461">
        <f>IF(+All!$F284="UT San Antonio",+All!E284,IF(+All!$H284="UT San Antonio",+All!E284,0))</f>
        <v>0</v>
      </c>
      <c r="F137" s="51" t="str">
        <f>IF(+All!$F284="UT San Antonio",+All!F284,IF(+All!$H284="UT San Antonio",+All!F284,0))</f>
        <v>1AA Texas Southern</v>
      </c>
      <c r="G137" s="52" t="str">
        <f>IF(+All!$F284="UT San Antonio",+All!G284,IF(+All!$H284="UT San Antonio",+All!G284,0))</f>
        <v>1AA</v>
      </c>
      <c r="H137" s="51" t="str">
        <f>IF(+All!$F284="UT San Antonio",+All!H284,IF(+All!$H284="UT San Antonio",+All!H284,0))</f>
        <v>UT San Antonio</v>
      </c>
      <c r="I137" s="52" t="str">
        <f>IF(+All!$F284="UT San Antonio",+All!I284,IF(+All!$H284="UT San Antonio",+All!I284,0))</f>
        <v>CUSA</v>
      </c>
      <c r="J137" s="460">
        <f>IF(+All!$F284="UT San Antonio",+All!J284,IF(+All!$H284="UT San Antonio",+All!J284,0))</f>
        <v>0</v>
      </c>
      <c r="K137" s="461">
        <f>IF(+All!$F284="UT San Antonio",+All!K284,IF(+All!$H284="UT San Antonio",+All!K284,0))</f>
        <v>0</v>
      </c>
      <c r="L137" s="54">
        <f>IF(+All!$F284="UT San Antonio",+All!L284,IF(+All!$H284="UT San Antonio",+All!L284,0))</f>
        <v>0</v>
      </c>
      <c r="M137" s="55">
        <f>IF(+All!$F284="UT San Antonio",+All!M284,IF(+All!$H284="UT San Antonio",+All!M284,0))</f>
        <v>0</v>
      </c>
      <c r="N137" s="460" t="str">
        <f>IF(+All!$F284="UT San Antonio",+All!N284,IF(+All!$H284="UT San Antonio",+All!N284,0))</f>
        <v>UT San Antonio</v>
      </c>
      <c r="O137" s="462">
        <f>IF(+All!$F284="UT San Antonio",+All!O284,IF(+All!$H284="UT San Antonio",+All!O284,0))</f>
        <v>52</v>
      </c>
      <c r="P137" s="462" t="str">
        <f>IF(+All!$F284="UT San Antonio",+All!P284,IF(+All!$H284="UT San Antonio",+All!P284,0))</f>
        <v>1AA Texas Southern</v>
      </c>
      <c r="Q137" s="461">
        <f>IF(+All!$F284="UT San Antonio",+All!Q284,IF(+All!$H284="UT San Antonio",+All!Q284,0))</f>
        <v>24</v>
      </c>
      <c r="R137" s="460">
        <f>IF(+All!$F284="UT San Antonio",+All!R284,IF(+All!$H284="UT San Antonio",+All!R284,0))</f>
        <v>0</v>
      </c>
      <c r="S137" s="462">
        <f>IF(+All!$F284="UT San Antonio",+All!S284,IF(+All!$H284="UT San Antonio",+All!S284,0))</f>
        <v>0</v>
      </c>
      <c r="T137" s="460">
        <f>IF(+All!$F284="UT San Antonio",+All!T284,IF(+All!$H284="UT San Antonio",+All!T284,0))</f>
        <v>0</v>
      </c>
      <c r="U137" s="461">
        <f>IF(+All!$F284="UT San Antonio",+All!U284,IF(+All!$H284="UT San Antonio",+All!U284,0))</f>
        <v>0</v>
      </c>
    </row>
    <row r="138" spans="1:21" x14ac:dyDescent="0.8">
      <c r="A138" s="46">
        <f>IF(+All!$F320="UT San Antonio",+All!A320,IF(+All!$H320="UT San Antonio",+All!A320,0))</f>
        <v>5</v>
      </c>
      <c r="B138" s="348" t="str">
        <f>IF(+All!$F320="UT San Antonio",+All!B320,IF(+All!$H320="UT San Antonio",+All!B320,0))</f>
        <v>Fri</v>
      </c>
      <c r="C138" s="48">
        <f>IF(+All!$F320="UT San Antonio",+All!C320,IF(+All!$H320="UT San Antonio",+All!C320,0))</f>
        <v>44834</v>
      </c>
      <c r="D138" s="490">
        <f>IF(+All!$F320="UT San Antonio",+All!D320,IF(+All!$H320="UT San Antonio",+All!D320,0))</f>
        <v>0.8125</v>
      </c>
      <c r="E138" s="461" t="str">
        <f>IF(+All!$F320="UT San Antonio",+All!E320,IF(+All!$H320="UT San Antonio",+All!E320,0))</f>
        <v>CBSSN</v>
      </c>
      <c r="F138" s="51" t="str">
        <f>IF(+All!$F320="UT San Antonio",+All!F320,IF(+All!$H320="UT San Antonio",+All!F320,0))</f>
        <v>UT San Antonio</v>
      </c>
      <c r="G138" s="52" t="str">
        <f>IF(+All!$F320="UT San Antonio",+All!G320,IF(+All!$H320="UT San Antonio",+All!G320,0))</f>
        <v>CUSA</v>
      </c>
      <c r="H138" s="51" t="str">
        <f>IF(+All!$F320="UT San Antonio",+All!H320,IF(+All!$H320="UT San Antonio",+All!H320,0))</f>
        <v>Middle Tenn St</v>
      </c>
      <c r="I138" s="52" t="str">
        <f>IF(+All!$F320="UT San Antonio",+All!I320,IF(+All!$H320="UT San Antonio",+All!I320,0))</f>
        <v>CUSA</v>
      </c>
      <c r="J138" s="460" t="str">
        <f>IF(+All!$F320="UT San Antonio",+All!J320,IF(+All!$H320="UT San Antonio",+All!J320,0))</f>
        <v>UT San Antonio</v>
      </c>
      <c r="K138" s="461" t="str">
        <f>IF(+All!$F320="UT San Antonio",+All!K320,IF(+All!$H320="UT San Antonio",+All!K320,0))</f>
        <v>Middle Tenn St</v>
      </c>
      <c r="L138" s="54">
        <f>IF(+All!$F320="UT San Antonio",+All!L320,IF(+All!$H320="UT San Antonio",+All!L320,0))</f>
        <v>4</v>
      </c>
      <c r="M138" s="55">
        <f>IF(+All!$F320="UT San Antonio",+All!M320,IF(+All!$H320="UT San Antonio",+All!M320,0))</f>
        <v>62.5</v>
      </c>
      <c r="N138" s="460" t="str">
        <f>IF(+All!$F320="UT San Antonio",+All!N320,IF(+All!$H320="UT San Antonio",+All!N320,0))</f>
        <v>UT San Antonio</v>
      </c>
      <c r="O138" s="462">
        <f>IF(+All!$F320="UT San Antonio",+All!O320,IF(+All!$H320="UT San Antonio",+All!O320,0))</f>
        <v>45</v>
      </c>
      <c r="P138" s="462" t="str">
        <f>IF(+All!$F320="UT San Antonio",+All!P320,IF(+All!$H320="UT San Antonio",+All!P320,0))</f>
        <v>Middle Tenn St</v>
      </c>
      <c r="Q138" s="461">
        <f>IF(+All!$F320="UT San Antonio",+All!Q320,IF(+All!$H320="UT San Antonio",+All!Q320,0))</f>
        <v>30</v>
      </c>
      <c r="R138" s="460" t="str">
        <f>IF(+All!$F320="UT San Antonio",+All!R320,IF(+All!$H320="UT San Antonio",+All!R320,0))</f>
        <v>UT San Antonio</v>
      </c>
      <c r="S138" s="462" t="str">
        <f>IF(+All!$F320="UT San Antonio",+All!S320,IF(+All!$H320="UT San Antonio",+All!S320,0))</f>
        <v>Middle Tenn St</v>
      </c>
      <c r="T138" s="460" t="str">
        <f>IF(+All!$F320="UT San Antonio",+All!T320,IF(+All!$H320="UT San Antonio",+All!T320,0))</f>
        <v>UT San Antonio</v>
      </c>
      <c r="U138" s="461" t="str">
        <f>IF(+All!$F320="UT San Antonio",+All!U320,IF(+All!$H320="UT San Antonio",+All!U320,0))</f>
        <v>W</v>
      </c>
    </row>
    <row r="139" spans="1:21" x14ac:dyDescent="0.8">
      <c r="A139" s="46">
        <f>IF(+All!$F408="UT San Antonio",+All!A408,IF(+All!$H408="UT San Antonio",+All!A408,0))</f>
        <v>6</v>
      </c>
      <c r="B139" s="348" t="str">
        <f>IF(+All!$F408="UT San Antonio",+All!B408,IF(+All!$H408="UT San Antonio",+All!B408,0))</f>
        <v>Sat</v>
      </c>
      <c r="C139" s="48">
        <f>IF(+All!$F408="UT San Antonio",+All!C408,IF(+All!$H408="UT San Antonio",+All!C408,0))</f>
        <v>44842</v>
      </c>
      <c r="D139" s="490">
        <f>IF(+All!$F408="UT San Antonio",+All!D408,IF(+All!$H408="UT San Antonio",+All!D408,0))</f>
        <v>0.75</v>
      </c>
      <c r="E139" s="461">
        <f>IF(+All!$F408="UT San Antonio",+All!E408,IF(+All!$H408="UT San Antonio",+All!E408,0))</f>
        <v>0</v>
      </c>
      <c r="F139" s="51" t="str">
        <f>IF(+All!$F408="UT San Antonio",+All!F408,IF(+All!$H408="UT San Antonio",+All!F408,0))</f>
        <v>Western Kentucky</v>
      </c>
      <c r="G139" s="52" t="str">
        <f>IF(+All!$F408="UT San Antonio",+All!G408,IF(+All!$H408="UT San Antonio",+All!G408,0))</f>
        <v>CUSA</v>
      </c>
      <c r="H139" s="51" t="str">
        <f>IF(+All!$F408="UT San Antonio",+All!H408,IF(+All!$H408="UT San Antonio",+All!H408,0))</f>
        <v>UT San Antonio</v>
      </c>
      <c r="I139" s="52" t="str">
        <f>IF(+All!$F408="UT San Antonio",+All!I408,IF(+All!$H408="UT San Antonio",+All!I408,0))</f>
        <v>CUSA</v>
      </c>
      <c r="J139" s="460" t="str">
        <f>IF(+All!$F408="UT San Antonio",+All!J408,IF(+All!$H408="UT San Antonio",+All!J408,0))</f>
        <v>UT San Antonio</v>
      </c>
      <c r="K139" s="461" t="str">
        <f>IF(+All!$F408="UT San Antonio",+All!K408,IF(+All!$H408="UT San Antonio",+All!K408,0))</f>
        <v>Western Kentucky</v>
      </c>
      <c r="L139" s="54">
        <f>IF(+All!$F408="UT San Antonio",+All!L408,IF(+All!$H408="UT San Antonio",+All!L408,0))</f>
        <v>6.5</v>
      </c>
      <c r="M139" s="55">
        <f>IF(+All!$F408="UT San Antonio",+All!M408,IF(+All!$H408="UT San Antonio",+All!M408,0))</f>
        <v>73</v>
      </c>
      <c r="N139" s="460" t="str">
        <f>IF(+All!$F408="UT San Antonio",+All!N408,IF(+All!$H408="UT San Antonio",+All!N408,0))</f>
        <v>UT San Antonio</v>
      </c>
      <c r="O139" s="462">
        <f>IF(+All!$F408="UT San Antonio",+All!O408,IF(+All!$H408="UT San Antonio",+All!O408,0))</f>
        <v>31</v>
      </c>
      <c r="P139" s="462" t="str">
        <f>IF(+All!$F408="UT San Antonio",+All!P408,IF(+All!$H408="UT San Antonio",+All!P408,0))</f>
        <v>Western Kentucky</v>
      </c>
      <c r="Q139" s="461">
        <f>IF(+All!$F408="UT San Antonio",+All!Q408,IF(+All!$H408="UT San Antonio",+All!Q408,0))</f>
        <v>26</v>
      </c>
      <c r="R139" s="460" t="str">
        <f>IF(+All!$F408="UT San Antonio",+All!R408,IF(+All!$H408="UT San Antonio",+All!R408,0))</f>
        <v>Western Kentucky</v>
      </c>
      <c r="S139" s="462" t="str">
        <f>IF(+All!$F408="UT San Antonio",+All!S408,IF(+All!$H408="UT San Antonio",+All!S408,0))</f>
        <v>UT San Antonio</v>
      </c>
      <c r="T139" s="460" t="str">
        <f>IF(+All!$F408="UT San Antonio",+All!T408,IF(+All!$H408="UT San Antonio",+All!T408,0))</f>
        <v>UT San Antonio</v>
      </c>
      <c r="U139" s="461" t="str">
        <f>IF(+All!$F408="UT San Antonio",+All!U408,IF(+All!$H408="UT San Antonio",+All!U408,0))</f>
        <v>L</v>
      </c>
    </row>
    <row r="140" spans="1:21" x14ac:dyDescent="0.8">
      <c r="A140" s="46">
        <f>IF(+All!$F442="UT San Antonio",+All!A442,IF(+All!$H442="UT San Antonio",+All!A442,0))</f>
        <v>7</v>
      </c>
      <c r="B140" s="348" t="str">
        <f>IF(+All!$F442="UT San Antonio",+All!B442,IF(+All!$H442="UT San Antonio",+All!B442,0))</f>
        <v>Fri</v>
      </c>
      <c r="C140" s="48">
        <f>IF(+All!$F442="UT San Antonio",+All!C442,IF(+All!$H442="UT San Antonio",+All!C442,0))</f>
        <v>44848</v>
      </c>
      <c r="D140" s="490">
        <f>IF(+All!$F442="UT San Antonio",+All!D442,IF(+All!$H442="UT San Antonio",+All!D442,0))</f>
        <v>0.83333333333333337</v>
      </c>
      <c r="E140" s="461" t="str">
        <f>IF(+All!$F442="UT San Antonio",+All!E442,IF(+All!$H442="UT San Antonio",+All!E442,0))</f>
        <v>CBSSN</v>
      </c>
      <c r="F140" s="51" t="str">
        <f>IF(+All!$F442="UT San Antonio",+All!F442,IF(+All!$H442="UT San Antonio",+All!F442,0))</f>
        <v>UT San Antonio</v>
      </c>
      <c r="G140" s="52" t="str">
        <f>IF(+All!$F442="UT San Antonio",+All!G442,IF(+All!$H442="UT San Antonio",+All!G442,0))</f>
        <v>CUSA</v>
      </c>
      <c r="H140" s="51" t="str">
        <f>IF(+All!$F442="UT San Antonio",+All!H442,IF(+All!$H442="UT San Antonio",+All!H442,0))</f>
        <v>Florida Intl</v>
      </c>
      <c r="I140" s="52" t="str">
        <f>IF(+All!$F442="UT San Antonio",+All!I442,IF(+All!$H442="UT San Antonio",+All!I442,0))</f>
        <v>CUSA</v>
      </c>
      <c r="J140" s="460" t="str">
        <f>IF(+All!$F442="UT San Antonio",+All!J442,IF(+All!$H442="UT San Antonio",+All!J442,0))</f>
        <v>UT San Antonio</v>
      </c>
      <c r="K140" s="461" t="str">
        <f>IF(+All!$F442="UT San Antonio",+All!K442,IF(+All!$H442="UT San Antonio",+All!K442,0))</f>
        <v>Florida Intl</v>
      </c>
      <c r="L140" s="54">
        <f>IF(+All!$F442="UT San Antonio",+All!L442,IF(+All!$H442="UT San Antonio",+All!L442,0))</f>
        <v>32</v>
      </c>
      <c r="M140" s="55">
        <f>IF(+All!$F442="UT San Antonio",+All!M442,IF(+All!$H442="UT San Antonio",+All!M442,0))</f>
        <v>64</v>
      </c>
      <c r="N140" s="460" t="str">
        <f>IF(+All!$F442="UT San Antonio",+All!N442,IF(+All!$H442="UT San Antonio",+All!N442,0))</f>
        <v>UT San Antonio</v>
      </c>
      <c r="O140" s="462">
        <f>IF(+All!$F442="UT San Antonio",+All!O442,IF(+All!$H442="UT San Antonio",+All!O442,0))</f>
        <v>30</v>
      </c>
      <c r="P140" s="462" t="str">
        <f>IF(+All!$F442="UT San Antonio",+All!P442,IF(+All!$H442="UT San Antonio",+All!P442,0))</f>
        <v>Florida Intl</v>
      </c>
      <c r="Q140" s="461">
        <f>IF(+All!$F442="UT San Antonio",+All!Q442,IF(+All!$H442="UT San Antonio",+All!Q442,0))</f>
        <v>10</v>
      </c>
      <c r="R140" s="460" t="str">
        <f>IF(+All!$F442="UT San Antonio",+All!R442,IF(+All!$H442="UT San Antonio",+All!R442,0))</f>
        <v>Florida Intl</v>
      </c>
      <c r="S140" s="462" t="str">
        <f>IF(+All!$F442="UT San Antonio",+All!S442,IF(+All!$H442="UT San Antonio",+All!S442,0))</f>
        <v>UT San Antonio</v>
      </c>
      <c r="T140" s="460" t="str">
        <f>IF(+All!$F442="UT San Antonio",+All!T442,IF(+All!$H442="UT San Antonio",+All!T442,0))</f>
        <v>Florida Intl</v>
      </c>
      <c r="U140" s="461" t="str">
        <f>IF(+All!$F442="UT San Antonio",+All!U442,IF(+All!$H442="UT San Antonio",+All!U442,0))</f>
        <v>W</v>
      </c>
    </row>
    <row r="141" spans="1:21" x14ac:dyDescent="0.8">
      <c r="A141" s="46">
        <f>IF(+All!$F515="UT San Antonio",+All!A515,IF(+All!$H515="UT San Antonio",+All!A515,0))</f>
        <v>8</v>
      </c>
      <c r="B141" s="348" t="str">
        <f>IF(+All!$F515="UT San Antonio",+All!B515,IF(+All!$H515="UT San Antonio",+All!B515,0))</f>
        <v>Sat</v>
      </c>
      <c r="C141" s="48">
        <f>IF(+All!$F515="UT San Antonio",+All!C515,IF(+All!$H515="UT San Antonio",+All!C515,0))</f>
        <v>44856</v>
      </c>
      <c r="D141" s="490">
        <f>IF(+All!$F515="UT San Antonio",+All!D515,IF(+All!$H515="UT San Antonio",+All!D515,0))</f>
        <v>0.64583333333333337</v>
      </c>
      <c r="E141" s="461">
        <f>IF(+All!$F515="UT San Antonio",+All!E515,IF(+All!$H515="UT San Antonio",+All!E515,0))</f>
        <v>0</v>
      </c>
      <c r="F141" s="51" t="str">
        <f>IF(+All!$F515="UT San Antonio",+All!F515,IF(+All!$H515="UT San Antonio",+All!F515,0))</f>
        <v>North Texas</v>
      </c>
      <c r="G141" s="52" t="str">
        <f>IF(+All!$F515="UT San Antonio",+All!G515,IF(+All!$H515="UT San Antonio",+All!G515,0))</f>
        <v>CUSA</v>
      </c>
      <c r="H141" s="51" t="str">
        <f>IF(+All!$F515="UT San Antonio",+All!H515,IF(+All!$H515="UT San Antonio",+All!H515,0))</f>
        <v>UT San Antonio</v>
      </c>
      <c r="I141" s="52" t="str">
        <f>IF(+All!$F515="UT San Antonio",+All!I515,IF(+All!$H515="UT San Antonio",+All!I515,0))</f>
        <v>CUSA</v>
      </c>
      <c r="J141" s="460" t="str">
        <f>IF(+All!$F515="UT San Antonio",+All!J515,IF(+All!$H515="UT San Antonio",+All!J515,0))</f>
        <v>UT San Antonio</v>
      </c>
      <c r="K141" s="461" t="str">
        <f>IF(+All!$F515="UT San Antonio",+All!K515,IF(+All!$H515="UT San Antonio",+All!K515,0))</f>
        <v>North Texas</v>
      </c>
      <c r="L141" s="54">
        <f>IF(+All!$F515="UT San Antonio",+All!L515,IF(+All!$H515="UT San Antonio",+All!L515,0))</f>
        <v>10</v>
      </c>
      <c r="M141" s="55">
        <f>IF(+All!$F515="UT San Antonio",+All!M515,IF(+All!$H515="UT San Antonio",+All!M515,0))</f>
        <v>71.5</v>
      </c>
      <c r="N141" s="460" t="str">
        <f>IF(+All!$F515="UT San Antonio",+All!N515,IF(+All!$H515="UT San Antonio",+All!N515,0))</f>
        <v>UT San Antonio</v>
      </c>
      <c r="O141" s="462">
        <f>IF(+All!$F515="UT San Antonio",+All!O515,IF(+All!$H515="UT San Antonio",+All!O515,0))</f>
        <v>31</v>
      </c>
      <c r="P141" s="462" t="str">
        <f>IF(+All!$F515="UT San Antonio",+All!P515,IF(+All!$H515="UT San Antonio",+All!P515,0))</f>
        <v>North Texas</v>
      </c>
      <c r="Q141" s="461">
        <f>IF(+All!$F515="UT San Antonio",+All!Q515,IF(+All!$H515="UT San Antonio",+All!Q515,0))</f>
        <v>27</v>
      </c>
      <c r="R141" s="460" t="str">
        <f>IF(+All!$F515="UT San Antonio",+All!R515,IF(+All!$H515="UT San Antonio",+All!R515,0))</f>
        <v>North Texas</v>
      </c>
      <c r="S141" s="462" t="str">
        <f>IF(+All!$F515="UT San Antonio",+All!S515,IF(+All!$H515="UT San Antonio",+All!S515,0))</f>
        <v>UT San Antonio</v>
      </c>
      <c r="T141" s="460" t="str">
        <f>IF(+All!$F515="UT San Antonio",+All!T515,IF(+All!$H515="UT San Antonio",+All!T515,0))</f>
        <v>UT San Antonio</v>
      </c>
      <c r="U141" s="461" t="str">
        <f>IF(+All!$F515="UT San Antonio",+All!U515,IF(+All!$H515="UT San Antonio",+All!U515,0))</f>
        <v>L</v>
      </c>
    </row>
    <row r="142" spans="1:21" x14ac:dyDescent="0.8">
      <c r="A142" s="46" t="e">
        <f>IF(+All!#REF!="UT San Antonio",+All!#REF!,IF(+All!#REF!="UT San Antonio",+All!#REF!,0))</f>
        <v>#REF!</v>
      </c>
      <c r="B142" s="348" t="e">
        <f>IF(+All!#REF!="UT San Antonio",+All!#REF!,IF(+All!#REF!="UT San Antonio",+All!#REF!,0))</f>
        <v>#REF!</v>
      </c>
      <c r="C142" s="48" t="e">
        <f>IF(+All!#REF!="UT San Antonio",+All!#REF!,IF(+All!#REF!="UT San Antonio",+All!#REF!,0))</f>
        <v>#REF!</v>
      </c>
      <c r="D142" s="490" t="e">
        <f>IF(+All!#REF!="UT San Antonio",+All!#REF!,IF(+All!#REF!="UT San Antonio",+All!#REF!,0))</f>
        <v>#REF!</v>
      </c>
      <c r="E142" s="461" t="e">
        <f>IF(+All!#REF!="UT San Antonio",+All!#REF!,IF(+All!#REF!="UT San Antonio",+All!#REF!,0))</f>
        <v>#REF!</v>
      </c>
      <c r="F142" s="51" t="e">
        <f>IF(+All!#REF!="UT San Antonio",+All!#REF!,IF(+All!#REF!="UT San Antonio",+All!#REF!,0))</f>
        <v>#REF!</v>
      </c>
      <c r="G142" s="52" t="e">
        <f>IF(+All!#REF!="UT San Antonio",+All!#REF!,IF(+All!#REF!="UT San Antonio",+All!#REF!,0))</f>
        <v>#REF!</v>
      </c>
      <c r="H142" s="51" t="e">
        <f>IF(+All!#REF!="UT San Antonio",+All!#REF!,IF(+All!#REF!="UT San Antonio",+All!#REF!,0))</f>
        <v>#REF!</v>
      </c>
      <c r="I142" s="52" t="e">
        <f>IF(+All!#REF!="UT San Antonio",+All!#REF!,IF(+All!#REF!="UT San Antonio",+All!#REF!,0))</f>
        <v>#REF!</v>
      </c>
      <c r="J142" s="460" t="e">
        <f>IF(+All!#REF!="UT San Antonio",+All!#REF!,IF(+All!#REF!="UT San Antonio",+All!#REF!,0))</f>
        <v>#REF!</v>
      </c>
      <c r="K142" s="461" t="e">
        <f>IF(+All!#REF!="UT San Antonio",+All!#REF!,IF(+All!#REF!="UT San Antonio",+All!#REF!,0))</f>
        <v>#REF!</v>
      </c>
      <c r="L142" s="54" t="e">
        <f>IF(+All!#REF!="UT San Antonio",+All!#REF!,IF(+All!#REF!="UT San Antonio",+All!#REF!,0))</f>
        <v>#REF!</v>
      </c>
      <c r="M142" s="55" t="e">
        <f>IF(+All!#REF!="UT San Antonio",+All!#REF!,IF(+All!#REF!="UT San Antonio",+All!#REF!,0))</f>
        <v>#REF!</v>
      </c>
      <c r="N142" s="460" t="e">
        <f>IF(+All!#REF!="UT San Antonio",+All!#REF!,IF(+All!#REF!="UT San Antonio",+All!#REF!,0))</f>
        <v>#REF!</v>
      </c>
      <c r="O142" s="462" t="e">
        <f>IF(+All!#REF!="UT San Antonio",+All!#REF!,IF(+All!#REF!="UT San Antonio",+All!#REF!,0))</f>
        <v>#REF!</v>
      </c>
      <c r="P142" s="462" t="e">
        <f>IF(+All!#REF!="UT San Antonio",+All!#REF!,IF(+All!#REF!="UT San Antonio",+All!#REF!,0))</f>
        <v>#REF!</v>
      </c>
      <c r="Q142" s="461" t="e">
        <f>IF(+All!#REF!="UT San Antonio",+All!#REF!,IF(+All!#REF!="UT San Antonio",+All!#REF!,0))</f>
        <v>#REF!</v>
      </c>
      <c r="R142" s="460" t="e">
        <f>IF(+All!#REF!="UT San Antonio",+All!#REF!,IF(+All!#REF!="UT San Antonio",+All!#REF!,0))</f>
        <v>#REF!</v>
      </c>
      <c r="S142" s="462" t="e">
        <f>IF(+All!#REF!="UT San Antonio",+All!#REF!,IF(+All!#REF!="UT San Antonio",+All!#REF!,0))</f>
        <v>#REF!</v>
      </c>
      <c r="T142" s="460" t="e">
        <f>IF(+All!#REF!="UT San Antonio",+All!#REF!,IF(+All!#REF!="UT San Antonio",+All!#REF!,0))</f>
        <v>#REF!</v>
      </c>
      <c r="U142" s="461" t="e">
        <f>IF(+All!#REF!="UT San Antonio",+All!#REF!,IF(+All!#REF!="UT San Antonio",+All!#REF!,0))</f>
        <v>#REF!</v>
      </c>
    </row>
    <row r="143" spans="1:21" x14ac:dyDescent="0.8">
      <c r="A143" s="46">
        <f>IF(+All!$F627="UT San Antonio",+All!A627,IF(+All!$H627="UT San Antonio",+All!A627,0))</f>
        <v>10</v>
      </c>
      <c r="B143" s="348" t="str">
        <f>IF(+All!$F627="UT San Antonio",+All!B627,IF(+All!$H627="UT San Antonio",+All!B627,0))</f>
        <v>Sat</v>
      </c>
      <c r="C143" s="48">
        <f>IF(+All!$F627="UT San Antonio",+All!C627,IF(+All!$H627="UT San Antonio",+All!C627,0))</f>
        <v>44870</v>
      </c>
      <c r="D143" s="490">
        <f>IF(+All!$F627="UT San Antonio",+All!D627,IF(+All!$H627="UT San Antonio",+All!D627,0))</f>
        <v>0.64583333333333337</v>
      </c>
      <c r="E143" s="461">
        <f>IF(+All!$F627="UT San Antonio",+All!E627,IF(+All!$H627="UT San Antonio",+All!E627,0))</f>
        <v>0</v>
      </c>
      <c r="F143" s="51" t="str">
        <f>IF(+All!$F627="UT San Antonio",+All!F627,IF(+All!$H627="UT San Antonio",+All!F627,0))</f>
        <v>UT San Antonio</v>
      </c>
      <c r="G143" s="52" t="str">
        <f>IF(+All!$F627="UT San Antonio",+All!G627,IF(+All!$H627="UT San Antonio",+All!G627,0))</f>
        <v>CUSA</v>
      </c>
      <c r="H143" s="51" t="str">
        <f>IF(+All!$F627="UT San Antonio",+All!H627,IF(+All!$H627="UT San Antonio",+All!H627,0))</f>
        <v>UAB</v>
      </c>
      <c r="I143" s="52" t="str">
        <f>IF(+All!$F627="UT San Antonio",+All!I627,IF(+All!$H627="UT San Antonio",+All!I627,0))</f>
        <v>CUSA</v>
      </c>
      <c r="J143" s="460" t="str">
        <f>IF(+All!$F627="UT San Antonio",+All!J627,IF(+All!$H627="UT San Antonio",+All!J627,0))</f>
        <v>UT San Antonio</v>
      </c>
      <c r="K143" s="461" t="str">
        <f>IF(+All!$F627="UT San Antonio",+All!K627,IF(+All!$H627="UT San Antonio",+All!K627,0))</f>
        <v>UAB</v>
      </c>
      <c r="L143" s="54">
        <f>IF(+All!$F627="UT San Antonio",+All!L627,IF(+All!$H627="UT San Antonio",+All!L627,0))</f>
        <v>1.5</v>
      </c>
      <c r="M143" s="55">
        <f>IF(+All!$F627="UT San Antonio",+All!M627,IF(+All!$H627="UT San Antonio",+All!M627,0))</f>
        <v>52</v>
      </c>
      <c r="N143" s="460" t="str">
        <f>IF(+All!$F627="UT San Antonio",+All!N627,IF(+All!$H627="UT San Antonio",+All!N627,0))</f>
        <v>UT San Antonio</v>
      </c>
      <c r="O143" s="462">
        <f>IF(+All!$F627="UT San Antonio",+All!O627,IF(+All!$H627="UT San Antonio",+All!O627,0))</f>
        <v>44</v>
      </c>
      <c r="P143" s="462" t="str">
        <f>IF(+All!$F627="UT San Antonio",+All!P627,IF(+All!$H627="UT San Antonio",+All!P627,0))</f>
        <v>UAB</v>
      </c>
      <c r="Q143" s="461">
        <f>IF(+All!$F627="UT San Antonio",+All!Q627,IF(+All!$H627="UT San Antonio",+All!Q627,0))</f>
        <v>38</v>
      </c>
      <c r="R143" s="460" t="str">
        <f>IF(+All!$F627="UT San Antonio",+All!R627,IF(+All!$H627="UT San Antonio",+All!R627,0))</f>
        <v>UT San Antonio</v>
      </c>
      <c r="S143" s="462" t="str">
        <f>IF(+All!$F627="UT San Antonio",+All!S627,IF(+All!$H627="UT San Antonio",+All!S627,0))</f>
        <v>UAB</v>
      </c>
      <c r="T143" s="460" t="str">
        <f>IF(+All!$F627="UT San Antonio",+All!T627,IF(+All!$H627="UT San Antonio",+All!T627,0))</f>
        <v>UAB</v>
      </c>
      <c r="U143" s="461" t="str">
        <f>IF(+All!$F627="UT San Antonio",+All!U627,IF(+All!$H627="UT San Antonio",+All!U627,0))</f>
        <v>L</v>
      </c>
    </row>
    <row r="144" spans="1:21" x14ac:dyDescent="0.8">
      <c r="A144" s="46">
        <f>IF(+All!$F690="UT San Antonio",+All!A690,IF(+All!$H690="UT San Antonio",+All!A690,0))</f>
        <v>11</v>
      </c>
      <c r="B144" s="348" t="str">
        <f>IF(+All!$F690="UT San Antonio",+All!B690,IF(+All!$H690="UT San Antonio",+All!B690,0))</f>
        <v>Sat</v>
      </c>
      <c r="C144" s="48">
        <f>IF(+All!$F690="UT San Antonio",+All!C690,IF(+All!$H690="UT San Antonio",+All!C690,0))</f>
        <v>44877</v>
      </c>
      <c r="D144" s="490">
        <f>IF(+All!$F690="UT San Antonio",+All!D690,IF(+All!$H690="UT San Antonio",+All!D690,0))</f>
        <v>0.64583333333333337</v>
      </c>
      <c r="E144" s="461">
        <f>IF(+All!$F690="UT San Antonio",+All!E690,IF(+All!$H690="UT San Antonio",+All!E690,0))</f>
        <v>0</v>
      </c>
      <c r="F144" s="51" t="str">
        <f>IF(+All!$F690="UT San Antonio",+All!F690,IF(+All!$H690="UT San Antonio",+All!F690,0))</f>
        <v>Louisiana Tech</v>
      </c>
      <c r="G144" s="52" t="str">
        <f>IF(+All!$F690="UT San Antonio",+All!G690,IF(+All!$H690="UT San Antonio",+All!G690,0))</f>
        <v>CUSA</v>
      </c>
      <c r="H144" s="51" t="str">
        <f>IF(+All!$F690="UT San Antonio",+All!H690,IF(+All!$H690="UT San Antonio",+All!H690,0))</f>
        <v>UT San Antonio</v>
      </c>
      <c r="I144" s="52" t="str">
        <f>IF(+All!$F690="UT San Antonio",+All!I690,IF(+All!$H690="UT San Antonio",+All!I690,0))</f>
        <v>CUSA</v>
      </c>
      <c r="J144" s="460" t="str">
        <f>IF(+All!$F690="UT San Antonio",+All!J690,IF(+All!$H690="UT San Antonio",+All!J690,0))</f>
        <v>UT San Antonio</v>
      </c>
      <c r="K144" s="461" t="str">
        <f>IF(+All!$F690="UT San Antonio",+All!K690,IF(+All!$H690="UT San Antonio",+All!K690,0))</f>
        <v>Louisiana Tech</v>
      </c>
      <c r="L144" s="54">
        <f>IF(+All!$F690="UT San Antonio",+All!L690,IF(+All!$H690="UT San Antonio",+All!L690,0))</f>
        <v>18</v>
      </c>
      <c r="M144" s="55">
        <f>IF(+All!$F690="UT San Antonio",+All!M690,IF(+All!$H690="UT San Antonio",+All!M690,0))</f>
        <v>68</v>
      </c>
      <c r="N144" s="460" t="str">
        <f>IF(+All!$F690="UT San Antonio",+All!N690,IF(+All!$H690="UT San Antonio",+All!N690,0))</f>
        <v>UT San Antonio</v>
      </c>
      <c r="O144" s="462">
        <f>IF(+All!$F690="UT San Antonio",+All!O690,IF(+All!$H690="UT San Antonio",+All!O690,0))</f>
        <v>51</v>
      </c>
      <c r="P144" s="462" t="str">
        <f>IF(+All!$F690="UT San Antonio",+All!P690,IF(+All!$H690="UT San Antonio",+All!P690,0))</f>
        <v>Louisiana Tech</v>
      </c>
      <c r="Q144" s="461">
        <f>IF(+All!$F690="UT San Antonio",+All!Q690,IF(+All!$H690="UT San Antonio",+All!Q690,0))</f>
        <v>7</v>
      </c>
      <c r="R144" s="460" t="str">
        <f>IF(+All!$F690="UT San Antonio",+All!R690,IF(+All!$H690="UT San Antonio",+All!R690,0))</f>
        <v>UT San Antonio</v>
      </c>
      <c r="S144" s="462" t="str">
        <f>IF(+All!$F690="UT San Antonio",+All!S690,IF(+All!$H690="UT San Antonio",+All!S690,0))</f>
        <v>Louisiana Tech</v>
      </c>
      <c r="T144" s="460" t="str">
        <f>IF(+All!$F690="UT San Antonio",+All!T690,IF(+All!$H690="UT San Antonio",+All!T690,0))</f>
        <v>UT San Antonio</v>
      </c>
      <c r="U144" s="461" t="str">
        <f>IF(+All!$F690="UT San Antonio",+All!U690,IF(+All!$H690="UT San Antonio",+All!U690,0))</f>
        <v>W</v>
      </c>
    </row>
    <row r="145" spans="1:21" x14ac:dyDescent="0.8">
      <c r="A145" s="46">
        <f>IF(+All!$F750="UT San Antonio",+All!A750,IF(+All!$H750="UT San Antonio",+All!A750,0))</f>
        <v>12</v>
      </c>
      <c r="B145" s="348" t="str">
        <f>IF(+All!$F750="UT San Antonio",+All!B750,IF(+All!$H750="UT San Antonio",+All!B750,0))</f>
        <v>Sat</v>
      </c>
      <c r="C145" s="48">
        <f>IF(+All!$F750="UT San Antonio",+All!C750,IF(+All!$H750="UT San Antonio",+All!C750,0))</f>
        <v>44884</v>
      </c>
      <c r="D145" s="490">
        <f>IF(+All!$F750="UT San Antonio",+All!D750,IF(+All!$H750="UT San Antonio",+All!D750,0))</f>
        <v>0.54166666666666663</v>
      </c>
      <c r="E145" s="461">
        <f>IF(+All!$F750="UT San Antonio",+All!E750,IF(+All!$H750="UT San Antonio",+All!E750,0))</f>
        <v>0</v>
      </c>
      <c r="F145" s="51" t="str">
        <f>IF(+All!$F750="UT San Antonio",+All!F750,IF(+All!$H750="UT San Antonio",+All!F750,0))</f>
        <v>UT San Antonio</v>
      </c>
      <c r="G145" s="52" t="str">
        <f>IF(+All!$F750="UT San Antonio",+All!G750,IF(+All!$H750="UT San Antonio",+All!G750,0))</f>
        <v>CUSA</v>
      </c>
      <c r="H145" s="51" t="str">
        <f>IF(+All!$F750="UT San Antonio",+All!H750,IF(+All!$H750="UT San Antonio",+All!H750,0))</f>
        <v>Rice</v>
      </c>
      <c r="I145" s="52" t="str">
        <f>IF(+All!$F750="UT San Antonio",+All!I750,IF(+All!$H750="UT San Antonio",+All!I750,0))</f>
        <v>CUSA</v>
      </c>
      <c r="J145" s="460" t="str">
        <f>IF(+All!$F750="UT San Antonio",+All!J750,IF(+All!$H750="UT San Antonio",+All!J750,0))</f>
        <v>UT San Antonio</v>
      </c>
      <c r="K145" s="461" t="str">
        <f>IF(+All!$F750="UT San Antonio",+All!K750,IF(+All!$H750="UT San Antonio",+All!K750,0))</f>
        <v>Rice</v>
      </c>
      <c r="L145" s="54">
        <f>IF(+All!$F750="UT San Antonio",+All!L750,IF(+All!$H750="UT San Antonio",+All!L750,0))</f>
        <v>13</v>
      </c>
      <c r="M145" s="55">
        <f>IF(+All!$F750="UT San Antonio",+All!M750,IF(+All!$H750="UT San Antonio",+All!M750,0))</f>
        <v>60</v>
      </c>
      <c r="N145" s="460" t="str">
        <f>IF(+All!$F750="UT San Antonio",+All!N750,IF(+All!$H750="UT San Antonio",+All!N750,0))</f>
        <v>UT San Antonio</v>
      </c>
      <c r="O145" s="462">
        <f>IF(+All!$F750="UT San Antonio",+All!O750,IF(+All!$H750="UT San Antonio",+All!O750,0))</f>
        <v>41</v>
      </c>
      <c r="P145" s="462" t="str">
        <f>IF(+All!$F750="UT San Antonio",+All!P750,IF(+All!$H750="UT San Antonio",+All!P750,0))</f>
        <v>Rice</v>
      </c>
      <c r="Q145" s="461">
        <f>IF(+All!$F750="UT San Antonio",+All!Q750,IF(+All!$H750="UT San Antonio",+All!Q750,0))</f>
        <v>7</v>
      </c>
      <c r="R145" s="460" t="str">
        <f>IF(+All!$F750="UT San Antonio",+All!R750,IF(+All!$H750="UT San Antonio",+All!R750,0))</f>
        <v>UT San Antonio</v>
      </c>
      <c r="S145" s="462" t="str">
        <f>IF(+All!$F750="UT San Antonio",+All!S750,IF(+All!$H750="UT San Antonio",+All!S750,0))</f>
        <v>Rice</v>
      </c>
      <c r="T145" s="460" t="str">
        <f>IF(+All!$F750="UT San Antonio",+All!T750,IF(+All!$H750="UT San Antonio",+All!T750,0))</f>
        <v>UT San Antonio</v>
      </c>
      <c r="U145" s="461" t="str">
        <f>IF(+All!$F750="UT San Antonio",+All!U750,IF(+All!$H750="UT San Antonio",+All!U750,0))</f>
        <v>W</v>
      </c>
    </row>
    <row r="146" spans="1:21" x14ac:dyDescent="0.8">
      <c r="A146" s="46">
        <f>IF(+All!$F822="UT San Antonio",+All!A822,IF(+All!$H822="UT San Antonio",+All!A822,0))</f>
        <v>13</v>
      </c>
      <c r="B146" s="348" t="str">
        <f>IF(+All!$F822="UT San Antonio",+All!B822,IF(+All!$H822="UT San Antonio",+All!B822,0))</f>
        <v>Sat</v>
      </c>
      <c r="C146" s="48">
        <f>IF(+All!$F822="UT San Antonio",+All!C822,IF(+All!$H822="UT San Antonio",+All!C822,0))</f>
        <v>44891</v>
      </c>
      <c r="D146" s="490">
        <f>IF(+All!$F822="UT San Antonio",+All!D822,IF(+All!$H822="UT San Antonio",+All!D822,0))</f>
        <v>0.64583333333333337</v>
      </c>
      <c r="E146" s="461">
        <f>IF(+All!$F822="UT San Antonio",+All!E822,IF(+All!$H822="UT San Antonio",+All!E822,0))</f>
        <v>0</v>
      </c>
      <c r="F146" s="51" t="str">
        <f>IF(+All!$F822="UT San Antonio",+All!F822,IF(+All!$H822="UT San Antonio",+All!F822,0))</f>
        <v>UTEP</v>
      </c>
      <c r="G146" s="52" t="str">
        <f>IF(+All!$F822="UT San Antonio",+All!G822,IF(+All!$H822="UT San Antonio",+All!G822,0))</f>
        <v>CUSA</v>
      </c>
      <c r="H146" s="51" t="str">
        <f>IF(+All!$F822="UT San Antonio",+All!H822,IF(+All!$H822="UT San Antonio",+All!H822,0))</f>
        <v>UT San Antonio</v>
      </c>
      <c r="I146" s="52" t="str">
        <f>IF(+All!$F822="UT San Antonio",+All!I822,IF(+All!$H822="UT San Antonio",+All!I822,0))</f>
        <v>CUSA</v>
      </c>
      <c r="J146" s="460" t="str">
        <f>IF(+All!$F822="UT San Antonio",+All!J822,IF(+All!$H822="UT San Antonio",+All!J822,0))</f>
        <v>UT San Antonio</v>
      </c>
      <c r="K146" s="461" t="str">
        <f>IF(+All!$F822="UT San Antonio",+All!K822,IF(+All!$H822="UT San Antonio",+All!K822,0))</f>
        <v>UTEP</v>
      </c>
      <c r="L146" s="54">
        <f>IF(+All!$F822="UT San Antonio",+All!L822,IF(+All!$H822="UT San Antonio",+All!L822,0))</f>
        <v>17</v>
      </c>
      <c r="M146" s="55">
        <f>IF(+All!$F822="UT San Antonio",+All!M822,IF(+All!$H822="UT San Antonio",+All!M822,0))</f>
        <v>56</v>
      </c>
      <c r="N146" s="460" t="str">
        <f>IF(+All!$F822="UT San Antonio",+All!N822,IF(+All!$H822="UT San Antonio",+All!N822,0))</f>
        <v>UT San Antonio</v>
      </c>
      <c r="O146" s="462">
        <f>IF(+All!$F822="UT San Antonio",+All!O822,IF(+All!$H822="UT San Antonio",+All!O822,0))</f>
        <v>34</v>
      </c>
      <c r="P146" s="462" t="str">
        <f>IF(+All!$F822="UT San Antonio",+All!P822,IF(+All!$H822="UT San Antonio",+All!P822,0))</f>
        <v>UTEP</v>
      </c>
      <c r="Q146" s="461">
        <f>IF(+All!$F822="UT San Antonio",+All!Q822,IF(+All!$H822="UT San Antonio",+All!Q822,0))</f>
        <v>31</v>
      </c>
      <c r="R146" s="460" t="str">
        <f>IF(+All!$F822="UT San Antonio",+All!R822,IF(+All!$H822="UT San Antonio",+All!R822,0))</f>
        <v>UTEP</v>
      </c>
      <c r="S146" s="462" t="str">
        <f>IF(+All!$F822="UT San Antonio",+All!S822,IF(+All!$H822="UT San Antonio",+All!S822,0))</f>
        <v>UT San Antonio</v>
      </c>
      <c r="T146" s="460" t="str">
        <f>IF(+All!$F822="UT San Antonio",+All!T822,IF(+All!$H822="UT San Antonio",+All!T822,0))</f>
        <v>UTEP</v>
      </c>
      <c r="U146" s="461" t="str">
        <f>IF(+All!$F822="UT San Antonio",+All!U822,IF(+All!$H822="UT San Antonio",+All!U822,0))</f>
        <v>W</v>
      </c>
    </row>
    <row r="147" spans="1:21" x14ac:dyDescent="0.8">
      <c r="B147" s="46"/>
      <c r="C147" s="62"/>
      <c r="D147" s="49"/>
      <c r="F147" s="897" t="e">
        <f>F150</f>
        <v>#REF!</v>
      </c>
      <c r="G147" s="901"/>
      <c r="H147" s="901"/>
      <c r="I147" s="902"/>
      <c r="L147" s="54"/>
      <c r="M147" s="55"/>
    </row>
    <row r="148" spans="1:21" x14ac:dyDescent="0.8">
      <c r="A148" s="46">
        <f>IF(+All!$F10="Western Kentucky",+All!A10,IF(+All!$H10="Western Kentucky",+All!A10,0))</f>
        <v>0</v>
      </c>
      <c r="B148" s="348" t="str">
        <f>IF(+All!$F10="Western Kentucky",+All!B10,IF(+All!$H10="Western Kentucky",+All!B10,0))</f>
        <v>Sat</v>
      </c>
      <c r="C148" s="72">
        <f>IF(+All!$F10="Western Kentucky",+All!C10,IF(+All!$H10="Western Kentucky",+All!C10,0))</f>
        <v>44800</v>
      </c>
      <c r="D148" s="73">
        <f>IF(+All!$F10="Western Kentucky",+All!D10,IF(+All!$H10="Western Kentucky",+All!D10,0))</f>
        <v>0.5</v>
      </c>
      <c r="E148" s="461" t="str">
        <f>IF(+All!$F10="Western Kentucky",+All!E10,IF(+All!$H10="Western Kentucky",+All!E10,0))</f>
        <v>CBSSN</v>
      </c>
      <c r="F148" s="460" t="str">
        <f>IF(+All!$F10="Western Kentucky",+All!F10,IF(+All!$H10="Western Kentucky",+All!F10,0))</f>
        <v>1AA Austin Peay</v>
      </c>
      <c r="G148" s="461" t="str">
        <f>IF(+All!$F10="Western Kentucky",+All!G10,IF(+All!$H10="Western Kentucky",+All!G10,0))</f>
        <v>1AA</v>
      </c>
      <c r="H148" s="460" t="str">
        <f>IF(+All!$F10="Western Kentucky",+All!H10,IF(+All!$H10="Western Kentucky",+All!H10,0))</f>
        <v>Western Kentucky</v>
      </c>
      <c r="I148" s="461" t="str">
        <f>IF(+All!$F10="Western Kentucky",+All!I10,IF(+All!$H10="Western Kentucky",+All!I10,0))</f>
        <v>CUSA</v>
      </c>
      <c r="J148" s="460">
        <f>IF(+All!$F10="Western Kentucky",+All!J10,IF(+All!$H10="Western Kentucky",+All!J10,0))</f>
        <v>0</v>
      </c>
      <c r="K148" s="461">
        <f>IF(+All!$F10="Western Kentucky",+All!K10,IF(+All!$H10="Western Kentucky",+All!K10,0))</f>
        <v>0</v>
      </c>
      <c r="L148" s="60">
        <f>IF(+All!$F10="Western Kentucky",+All!L10,IF(+All!$H10="Western Kentucky",+All!L10,0))</f>
        <v>0</v>
      </c>
      <c r="M148" s="61">
        <f>IF(+All!$F10="Western Kentucky",+All!M10,IF(+All!$H10="Western Kentucky",+All!M10,0))</f>
        <v>0</v>
      </c>
      <c r="N148" s="460" t="str">
        <f>IF(+All!$F10="Western Kentucky",+All!N10,IF(+All!$H10="Western Kentucky",+All!N10,0))</f>
        <v>Western Kentucky</v>
      </c>
      <c r="O148" s="462">
        <f>IF(+All!$F10="Western Kentucky",+All!O10,IF(+All!$H10="Western Kentucky",+All!O10,0))</f>
        <v>38</v>
      </c>
      <c r="P148" s="462" t="str">
        <f>IF(+All!$F10="Western Kentucky",+All!P10,IF(+All!$H10="Western Kentucky",+All!P10,0))</f>
        <v>1AA Austin Peay</v>
      </c>
      <c r="Q148" s="461">
        <f>IF(+All!$F10="Western Kentucky",+All!Q10,IF(+All!$H10="Western Kentucky",+All!Q10,0))</f>
        <v>27</v>
      </c>
      <c r="R148" s="460">
        <f>IF(+All!$F10="Western Kentucky",+All!R10,IF(+All!$H10="Western Kentucky",+All!R10,0))</f>
        <v>0</v>
      </c>
      <c r="S148" s="462">
        <f>IF(+All!$F10="Western Kentucky",+All!S10,IF(+All!$H10="Western Kentucky",+All!S10,0))</f>
        <v>0</v>
      </c>
      <c r="T148" s="460">
        <f>IF(+All!$F10="Western Kentucky",+All!T10,IF(+All!$H10="Western Kentucky",+All!T10,0))</f>
        <v>0</v>
      </c>
      <c r="U148" s="461">
        <f>IF(+All!$F10="Western Kentucky",+All!U10,IF(+All!$H10="Western Kentucky",+All!U10,0))</f>
        <v>0</v>
      </c>
    </row>
    <row r="149" spans="1:21" x14ac:dyDescent="0.8">
      <c r="A149" s="46">
        <f>IF(+All!$F93="Western Kentucky",+All!A93,IF(+All!$H93="Western Kentucky",+All!A93,0))</f>
        <v>1</v>
      </c>
      <c r="B149" s="348" t="str">
        <f>IF(+All!$F93="Western Kentucky",+All!B93,IF(+All!$H93="Western Kentucky",+All!B93,0))</f>
        <v>Sat</v>
      </c>
      <c r="C149" s="72">
        <f>IF(+All!$F93="Western Kentucky",+All!C93,IF(+All!$H93="Western Kentucky",+All!C93,0))</f>
        <v>44807</v>
      </c>
      <c r="D149" s="73">
        <f>IF(+All!$F93="Western Kentucky",+All!D93,IF(+All!$H93="Western Kentucky",+All!D93,0))</f>
        <v>0.99958333333333327</v>
      </c>
      <c r="E149" s="461">
        <f>IF(+All!$F93="Western Kentucky",+All!E93,IF(+All!$H93="Western Kentucky",+All!E93,0))</f>
        <v>0</v>
      </c>
      <c r="F149" s="460" t="str">
        <f>IF(+All!$F93="Western Kentucky",+All!F93,IF(+All!$H93="Western Kentucky",+All!F93,0))</f>
        <v>Western Kentucky</v>
      </c>
      <c r="G149" s="461" t="str">
        <f>IF(+All!$F93="Western Kentucky",+All!G93,IF(+All!$H93="Western Kentucky",+All!G93,0))</f>
        <v>CUSA</v>
      </c>
      <c r="H149" s="460" t="str">
        <f>IF(+All!$F93="Western Kentucky",+All!H93,IF(+All!$H93="Western Kentucky",+All!H93,0))</f>
        <v>Hawaii</v>
      </c>
      <c r="I149" s="461" t="str">
        <f>IF(+All!$F93="Western Kentucky",+All!I93,IF(+All!$H93="Western Kentucky",+All!I93,0))</f>
        <v>MWC</v>
      </c>
      <c r="J149" s="460" t="str">
        <f>IF(+All!$F93="Western Kentucky",+All!J93,IF(+All!$H93="Western Kentucky",+All!J93,0))</f>
        <v>Western Kentucky</v>
      </c>
      <c r="K149" s="461" t="str">
        <f>IF(+All!$F93="Western Kentucky",+All!K93,IF(+All!$H93="Western Kentucky",+All!K93,0))</f>
        <v>Hawaii</v>
      </c>
      <c r="L149" s="60">
        <f>IF(+All!$F93="Western Kentucky",+All!L93,IF(+All!$H93="Western Kentucky",+All!L93,0))</f>
        <v>16</v>
      </c>
      <c r="M149" s="61">
        <f>IF(+All!$F93="Western Kentucky",+All!M93,IF(+All!$H93="Western Kentucky",+All!M93,0))</f>
        <v>67.5</v>
      </c>
      <c r="N149" s="460" t="str">
        <f>IF(+All!$F93="Western Kentucky",+All!N93,IF(+All!$H93="Western Kentucky",+All!N93,0))</f>
        <v>Western Kentucky</v>
      </c>
      <c r="O149" s="462">
        <f>IF(+All!$F93="Western Kentucky",+All!O93,IF(+All!$H93="Western Kentucky",+All!O93,0))</f>
        <v>49</v>
      </c>
      <c r="P149" s="462" t="str">
        <f>IF(+All!$F93="Western Kentucky",+All!P93,IF(+All!$H93="Western Kentucky",+All!P93,0))</f>
        <v>Hawaii</v>
      </c>
      <c r="Q149" s="461">
        <f>IF(+All!$F93="Western Kentucky",+All!Q93,IF(+All!$H93="Western Kentucky",+All!Q93,0))</f>
        <v>17</v>
      </c>
      <c r="R149" s="460" t="str">
        <f>IF(+All!$F93="Western Kentucky",+All!R93,IF(+All!$H93="Western Kentucky",+All!R93,0))</f>
        <v>Western Kentucky</v>
      </c>
      <c r="S149" s="462" t="str">
        <f>IF(+All!$F93="Western Kentucky",+All!S93,IF(+All!$H93="Western Kentucky",+All!S93,0))</f>
        <v>Hawaii</v>
      </c>
      <c r="T149" s="460" t="str">
        <f>IF(+All!$F93="Western Kentucky",+All!T93,IF(+All!$H93="Western Kentucky",+All!T93,0))</f>
        <v>Western Kentucky</v>
      </c>
      <c r="U149" s="461" t="str">
        <f>IF(+All!$F93="Western Kentucky",+All!U93,IF(+All!$H93="Western Kentucky",+All!U93,0))</f>
        <v>W</v>
      </c>
    </row>
    <row r="150" spans="1:21" x14ac:dyDescent="0.8">
      <c r="A150" s="46" t="e">
        <f>IF(+All!#REF!="Western Kentucky",+All!#REF!,IF(+All!#REF!="Western Kentucky",+All!#REF!,0))</f>
        <v>#REF!</v>
      </c>
      <c r="B150" s="348" t="e">
        <f>IF(+All!#REF!="Western Kentucky",+All!#REF!,IF(+All!#REF!="Western Kentucky",+All!#REF!,0))</f>
        <v>#REF!</v>
      </c>
      <c r="C150" s="72" t="e">
        <f>IF(+All!#REF!="Western Kentucky",+All!#REF!,IF(+All!#REF!="Western Kentucky",+All!#REF!,0))</f>
        <v>#REF!</v>
      </c>
      <c r="D150" s="73" t="e">
        <f>IF(+All!#REF!="Western Kentucky",+All!#REF!,IF(+All!#REF!="Western Kentucky",+All!#REF!,0))</f>
        <v>#REF!</v>
      </c>
      <c r="E150" s="461" t="e">
        <f>IF(+All!#REF!="Western Kentucky",+All!#REF!,IF(+All!#REF!="Western Kentucky",+All!#REF!,0))</f>
        <v>#REF!</v>
      </c>
      <c r="F150" s="460" t="e">
        <f>IF(+All!#REF!="Western Kentucky",+All!#REF!,IF(+All!#REF!="Western Kentucky",+All!#REF!,0))</f>
        <v>#REF!</v>
      </c>
      <c r="G150" s="461" t="e">
        <f>IF(+All!#REF!="Western Kentucky",+All!#REF!,IF(+All!#REF!="Western Kentucky",+All!#REF!,0))</f>
        <v>#REF!</v>
      </c>
      <c r="H150" s="460" t="e">
        <f>IF(+All!#REF!="Western Kentucky",+All!#REF!,IF(+All!#REF!="Western Kentucky",+All!#REF!,0))</f>
        <v>#REF!</v>
      </c>
      <c r="I150" s="461" t="e">
        <f>IF(+All!#REF!="Western Kentucky",+All!#REF!,IF(+All!#REF!="Western Kentucky",+All!#REF!,0))</f>
        <v>#REF!</v>
      </c>
      <c r="J150" s="460" t="e">
        <f>IF(+All!#REF!="Western Kentucky",+All!#REF!,IF(+All!#REF!="Western Kentucky",+All!#REF!,0))</f>
        <v>#REF!</v>
      </c>
      <c r="K150" s="461" t="e">
        <f>IF(+All!#REF!="Western Kentucky",+All!#REF!,IF(+All!#REF!="Western Kentucky",+All!#REF!,0))</f>
        <v>#REF!</v>
      </c>
      <c r="L150" s="60" t="e">
        <f>IF(+All!#REF!="Western Kentucky",+All!#REF!,IF(+All!#REF!="Western Kentucky",+All!#REF!,0))</f>
        <v>#REF!</v>
      </c>
      <c r="M150" s="61" t="e">
        <f>IF(+All!#REF!="Western Kentucky",+All!#REF!,IF(+All!#REF!="Western Kentucky",+All!#REF!,0))</f>
        <v>#REF!</v>
      </c>
      <c r="N150" s="460" t="e">
        <f>IF(+All!#REF!="Western Kentucky",+All!#REF!,IF(+All!#REF!="Western Kentucky",+All!#REF!,0))</f>
        <v>#REF!</v>
      </c>
      <c r="O150" s="462" t="e">
        <f>IF(+All!#REF!="Western Kentucky",+All!#REF!,IF(+All!#REF!="Western Kentucky",+All!#REF!,0))</f>
        <v>#REF!</v>
      </c>
      <c r="P150" s="462" t="e">
        <f>IF(+All!#REF!="Western Kentucky",+All!#REF!,IF(+All!#REF!="Western Kentucky",+All!#REF!,0))</f>
        <v>#REF!</v>
      </c>
      <c r="Q150" s="461" t="e">
        <f>IF(+All!#REF!="Western Kentucky",+All!#REF!,IF(+All!#REF!="Western Kentucky",+All!#REF!,0))</f>
        <v>#REF!</v>
      </c>
      <c r="R150" s="460" t="e">
        <f>IF(+All!#REF!="Western Kentucky",+All!#REF!,IF(+All!#REF!="Western Kentucky",+All!#REF!,0))</f>
        <v>#REF!</v>
      </c>
      <c r="S150" s="462" t="e">
        <f>IF(+All!#REF!="Western Kentucky",+All!#REF!,IF(+All!#REF!="Western Kentucky",+All!#REF!,0))</f>
        <v>#REF!</v>
      </c>
      <c r="T150" s="460" t="e">
        <f>IF(+All!#REF!="Western Kentucky",+All!#REF!,IF(+All!#REF!="Western Kentucky",+All!#REF!,0))</f>
        <v>#REF!</v>
      </c>
      <c r="U150" s="461" t="e">
        <f>IF(+All!#REF!="Western Kentucky",+All!#REF!,IF(+All!#REF!="Western Kentucky",+All!#REF!,0))</f>
        <v>#REF!</v>
      </c>
    </row>
    <row r="151" spans="1:21" x14ac:dyDescent="0.8">
      <c r="A151" s="46">
        <f>IF(+All!$F197="Western Kentucky",+All!A197,IF(+All!$H197="Western Kentucky",+All!A197,0))</f>
        <v>3</v>
      </c>
      <c r="B151" s="348" t="str">
        <f>IF(+All!$F197="Western Kentucky",+All!B197,IF(+All!$H197="Western Kentucky",+All!B197,0))</f>
        <v>Sat</v>
      </c>
      <c r="C151" s="72">
        <f>IF(+All!$F197="Western Kentucky",+All!C197,IF(+All!$H197="Western Kentucky",+All!C197,0))</f>
        <v>44821</v>
      </c>
      <c r="D151" s="73">
        <f>IF(+All!$F197="Western Kentucky",+All!D197,IF(+All!$H197="Western Kentucky",+All!D197,0))</f>
        <v>0.5</v>
      </c>
      <c r="E151" s="461" t="str">
        <f>IF(+All!$F197="Western Kentucky",+All!E197,IF(+All!$H197="Western Kentucky",+All!E197,0))</f>
        <v>BTN</v>
      </c>
      <c r="F151" s="460" t="str">
        <f>IF(+All!$F197="Western Kentucky",+All!F197,IF(+All!$H197="Western Kentucky",+All!F197,0))</f>
        <v>Western Kentucky</v>
      </c>
      <c r="G151" s="461" t="str">
        <f>IF(+All!$F197="Western Kentucky",+All!G197,IF(+All!$H197="Western Kentucky",+All!G197,0))</f>
        <v>CUSA</v>
      </c>
      <c r="H151" s="460" t="str">
        <f>IF(+All!$F197="Western Kentucky",+All!H197,IF(+All!$H197="Western Kentucky",+All!H197,0))</f>
        <v>Indiana</v>
      </c>
      <c r="I151" s="461" t="str">
        <f>IF(+All!$F197="Western Kentucky",+All!I197,IF(+All!$H197="Western Kentucky",+All!I197,0))</f>
        <v>B10</v>
      </c>
      <c r="J151" s="460" t="str">
        <f>IF(+All!$F197="Western Kentucky",+All!J197,IF(+All!$H197="Western Kentucky",+All!J197,0))</f>
        <v>Indiana</v>
      </c>
      <c r="K151" s="461" t="str">
        <f>IF(+All!$F197="Western Kentucky",+All!K197,IF(+All!$H197="Western Kentucky",+All!K197,0))</f>
        <v>Western Kentucky</v>
      </c>
      <c r="L151" s="60">
        <f>IF(+All!$F197="Western Kentucky",+All!L197,IF(+All!$H197="Western Kentucky",+All!L197,0))</f>
        <v>6.5</v>
      </c>
      <c r="M151" s="61">
        <f>IF(+All!$F197="Western Kentucky",+All!M197,IF(+All!$H197="Western Kentucky",+All!M197,0))</f>
        <v>61.5</v>
      </c>
      <c r="N151" s="460" t="str">
        <f>IF(+All!$F197="Western Kentucky",+All!N197,IF(+All!$H197="Western Kentucky",+All!N197,0))</f>
        <v>Indiana</v>
      </c>
      <c r="O151" s="462">
        <f>IF(+All!$F197="Western Kentucky",+All!O197,IF(+All!$H197="Western Kentucky",+All!O197,0))</f>
        <v>33</v>
      </c>
      <c r="P151" s="462" t="str">
        <f>IF(+All!$F197="Western Kentucky",+All!P197,IF(+All!$H197="Western Kentucky",+All!P197,0))</f>
        <v>Western Kentucky</v>
      </c>
      <c r="Q151" s="461">
        <f>IF(+All!$F197="Western Kentucky",+All!Q197,IF(+All!$H197="Western Kentucky",+All!Q197,0))</f>
        <v>30</v>
      </c>
      <c r="R151" s="460" t="str">
        <f>IF(+All!$F197="Western Kentucky",+All!R197,IF(+All!$H197="Western Kentucky",+All!R197,0))</f>
        <v>Western Kentucky</v>
      </c>
      <c r="S151" s="462" t="str">
        <f>IF(+All!$F197="Western Kentucky",+All!S197,IF(+All!$H197="Western Kentucky",+All!S197,0))</f>
        <v>Indiana</v>
      </c>
      <c r="T151" s="460" t="str">
        <f>IF(+All!$F197="Western Kentucky",+All!T197,IF(+All!$H197="Western Kentucky",+All!T197,0))</f>
        <v>Indiana</v>
      </c>
      <c r="U151" s="461" t="str">
        <f>IF(+All!$F197="Western Kentucky",+All!U197,IF(+All!$H197="Western Kentucky",+All!U197,0))</f>
        <v>L</v>
      </c>
    </row>
    <row r="152" spans="1:21" x14ac:dyDescent="0.8">
      <c r="A152" s="46">
        <f>IF(+All!$F285="Western Kentucky",+All!A285,IF(+All!$H285="Western Kentucky",+All!A285,0))</f>
        <v>4</v>
      </c>
      <c r="B152" s="348" t="str">
        <f>IF(+All!$F285="Western Kentucky",+All!B285,IF(+All!$H285="Western Kentucky",+All!B285,0))</f>
        <v>Sat</v>
      </c>
      <c r="C152" s="72">
        <f>IF(+All!$F285="Western Kentucky",+All!C285,IF(+All!$H285="Western Kentucky",+All!C285,0))</f>
        <v>44828</v>
      </c>
      <c r="D152" s="73">
        <f>IF(+All!$F285="Western Kentucky",+All!D285,IF(+All!$H285="Western Kentucky",+All!D285,0))</f>
        <v>0.64583333333333337</v>
      </c>
      <c r="E152" s="461" t="str">
        <f>IF(+All!$F285="Western Kentucky",+All!E285,IF(+All!$H285="Western Kentucky",+All!E285,0))</f>
        <v>CBSSN</v>
      </c>
      <c r="F152" s="460" t="str">
        <f>IF(+All!$F285="Western Kentucky",+All!F285,IF(+All!$H285="Western Kentucky",+All!F285,0))</f>
        <v>Florida Intl</v>
      </c>
      <c r="G152" s="461" t="str">
        <f>IF(+All!$F285="Western Kentucky",+All!G285,IF(+All!$H285="Western Kentucky",+All!G285,0))</f>
        <v>CUSA</v>
      </c>
      <c r="H152" s="460" t="str">
        <f>IF(+All!$F285="Western Kentucky",+All!H285,IF(+All!$H285="Western Kentucky",+All!H285,0))</f>
        <v>Western Kentucky</v>
      </c>
      <c r="I152" s="461" t="str">
        <f>IF(+All!$F285="Western Kentucky",+All!I285,IF(+All!$H285="Western Kentucky",+All!I285,0))</f>
        <v>CUSA</v>
      </c>
      <c r="J152" s="460" t="str">
        <f>IF(+All!$F285="Western Kentucky",+All!J285,IF(+All!$H285="Western Kentucky",+All!J285,0))</f>
        <v>Western Kentucky</v>
      </c>
      <c r="K152" s="461" t="str">
        <f>IF(+All!$F285="Western Kentucky",+All!K285,IF(+All!$H285="Western Kentucky",+All!K285,0))</f>
        <v>Florida Intl</v>
      </c>
      <c r="L152" s="60">
        <f>IF(+All!$F285="Western Kentucky",+All!L285,IF(+All!$H285="Western Kentucky",+All!L285,0))</f>
        <v>31</v>
      </c>
      <c r="M152" s="61">
        <f>IF(+All!$F285="Western Kentucky",+All!M285,IF(+All!$H285="Western Kentucky",+All!M285,0))</f>
        <v>65.5</v>
      </c>
      <c r="N152" s="460" t="str">
        <f>IF(+All!$F285="Western Kentucky",+All!N285,IF(+All!$H285="Western Kentucky",+All!N285,0))</f>
        <v>Western Kentucky</v>
      </c>
      <c r="O152" s="462">
        <f>IF(+All!$F285="Western Kentucky",+All!O285,IF(+All!$H285="Western Kentucky",+All!O285,0))</f>
        <v>73</v>
      </c>
      <c r="P152" s="462" t="str">
        <f>IF(+All!$F285="Western Kentucky",+All!P285,IF(+All!$H285="Western Kentucky",+All!P285,0))</f>
        <v>Florida Intl</v>
      </c>
      <c r="Q152" s="461">
        <f>IF(+All!$F285="Western Kentucky",+All!Q285,IF(+All!$H285="Western Kentucky",+All!Q285,0))</f>
        <v>0</v>
      </c>
      <c r="R152" s="460" t="str">
        <f>IF(+All!$F285="Western Kentucky",+All!R285,IF(+All!$H285="Western Kentucky",+All!R285,0))</f>
        <v>Western Kentucky</v>
      </c>
      <c r="S152" s="462" t="str">
        <f>IF(+All!$F285="Western Kentucky",+All!S285,IF(+All!$H285="Western Kentucky",+All!S285,0))</f>
        <v>Florida Intl</v>
      </c>
      <c r="T152" s="460" t="str">
        <f>IF(+All!$F285="Western Kentucky",+All!T285,IF(+All!$H285="Western Kentucky",+All!T285,0))</f>
        <v>Florida Intl</v>
      </c>
      <c r="U152" s="461" t="str">
        <f>IF(+All!$F285="Western Kentucky",+All!U285,IF(+All!$H285="Western Kentucky",+All!U285,0))</f>
        <v>L</v>
      </c>
    </row>
    <row r="153" spans="1:21" x14ac:dyDescent="0.8">
      <c r="A153" s="46">
        <f>IF(+All!$F350="Western Kentucky",+All!A350,IF(+All!$H350="Western Kentucky",+All!A350,0))</f>
        <v>5</v>
      </c>
      <c r="B153" s="348" t="str">
        <f>IF(+All!$F350="Western Kentucky",+All!B350,IF(+All!$H350="Western Kentucky",+All!B350,0))</f>
        <v>Sat</v>
      </c>
      <c r="C153" s="72">
        <f>IF(+All!$F350="Western Kentucky",+All!C350,IF(+All!$H350="Western Kentucky",+All!C350,0))</f>
        <v>44835</v>
      </c>
      <c r="D153" s="73">
        <f>IF(+All!$F350="Western Kentucky",+All!D350,IF(+All!$H350="Western Kentucky",+All!D350,0))</f>
        <v>0.79166666666666663</v>
      </c>
      <c r="E153" s="461">
        <f>IF(+All!$F350="Western Kentucky",+All!E350,IF(+All!$H350="Western Kentucky",+All!E350,0))</f>
        <v>0</v>
      </c>
      <c r="F153" s="460" t="str">
        <f>IF(+All!$F350="Western Kentucky",+All!F350,IF(+All!$H350="Western Kentucky",+All!F350,0))</f>
        <v>Troy</v>
      </c>
      <c r="G153" s="461" t="str">
        <f>IF(+All!$F350="Western Kentucky",+All!G350,IF(+All!$H350="Western Kentucky",+All!G350,0))</f>
        <v>SB</v>
      </c>
      <c r="H153" s="460" t="str">
        <f>IF(+All!$F350="Western Kentucky",+All!H350,IF(+All!$H350="Western Kentucky",+All!H350,0))</f>
        <v>Western Kentucky</v>
      </c>
      <c r="I153" s="461" t="str">
        <f>IF(+All!$F350="Western Kentucky",+All!I350,IF(+All!$H350="Western Kentucky",+All!I350,0))</f>
        <v>CUSA</v>
      </c>
      <c r="J153" s="460" t="str">
        <f>IF(+All!$F350="Western Kentucky",+All!J350,IF(+All!$H350="Western Kentucky",+All!J350,0))</f>
        <v>Western Kentucky</v>
      </c>
      <c r="K153" s="461" t="str">
        <f>IF(+All!$F350="Western Kentucky",+All!K350,IF(+All!$H350="Western Kentucky",+All!K350,0))</f>
        <v>Troy</v>
      </c>
      <c r="L153" s="60">
        <f>IF(+All!$F350="Western Kentucky",+All!L350,IF(+All!$H350="Western Kentucky",+All!L350,0))</f>
        <v>5.5</v>
      </c>
      <c r="M153" s="61">
        <f>IF(+All!$F350="Western Kentucky",+All!M350,IF(+All!$H350="Western Kentucky",+All!M350,0))</f>
        <v>57.5</v>
      </c>
      <c r="N153" s="460" t="str">
        <f>IF(+All!$F350="Western Kentucky",+All!N350,IF(+All!$H350="Western Kentucky",+All!N350,0))</f>
        <v>Troy</v>
      </c>
      <c r="O153" s="462">
        <f>IF(+All!$F350="Western Kentucky",+All!O350,IF(+All!$H350="Western Kentucky",+All!O350,0))</f>
        <v>34</v>
      </c>
      <c r="P153" s="462" t="str">
        <f>IF(+All!$F350="Western Kentucky",+All!P350,IF(+All!$H350="Western Kentucky",+All!P350,0))</f>
        <v>Western Kentucky</v>
      </c>
      <c r="Q153" s="461">
        <f>IF(+All!$F350="Western Kentucky",+All!Q350,IF(+All!$H350="Western Kentucky",+All!Q350,0))</f>
        <v>27</v>
      </c>
      <c r="R153" s="460" t="str">
        <f>IF(+All!$F350="Western Kentucky",+All!R350,IF(+All!$H350="Western Kentucky",+All!R350,0))</f>
        <v>Troy</v>
      </c>
      <c r="S153" s="462" t="str">
        <f>IF(+All!$F350="Western Kentucky",+All!S350,IF(+All!$H350="Western Kentucky",+All!S350,0))</f>
        <v>Western Kentucky</v>
      </c>
      <c r="T153" s="460" t="str">
        <f>IF(+All!$F350="Western Kentucky",+All!T350,IF(+All!$H350="Western Kentucky",+All!T350,0))</f>
        <v>Troy</v>
      </c>
      <c r="U153" s="461" t="str">
        <f>IF(+All!$F350="Western Kentucky",+All!U350,IF(+All!$H350="Western Kentucky",+All!U350,0))</f>
        <v>W</v>
      </c>
    </row>
    <row r="154" spans="1:21" x14ac:dyDescent="0.8">
      <c r="A154" s="46">
        <f>IF(+All!$F408="Western Kentucky",+All!A408,IF(+All!$H408="Western Kentucky",+All!A408,0))</f>
        <v>6</v>
      </c>
      <c r="B154" s="348" t="str">
        <f>IF(+All!$F408="Western Kentucky",+All!B408,IF(+All!$H408="Western Kentucky",+All!B408,0))</f>
        <v>Sat</v>
      </c>
      <c r="C154" s="72">
        <f>IF(+All!$F408="Western Kentucky",+All!C408,IF(+All!$H408="Western Kentucky",+All!C408,0))</f>
        <v>44842</v>
      </c>
      <c r="D154" s="73">
        <f>IF(+All!$F408="Western Kentucky",+All!D408,IF(+All!$H408="Western Kentucky",+All!D408,0))</f>
        <v>0.75</v>
      </c>
      <c r="E154" s="461">
        <f>IF(+All!$F408="Western Kentucky",+All!E408,IF(+All!$H408="Western Kentucky",+All!E408,0))</f>
        <v>0</v>
      </c>
      <c r="F154" s="460" t="str">
        <f>IF(+All!$F408="Western Kentucky",+All!F408,IF(+All!$H408="Western Kentucky",+All!F408,0))</f>
        <v>Western Kentucky</v>
      </c>
      <c r="G154" s="461" t="str">
        <f>IF(+All!$F408="Western Kentucky",+All!G408,IF(+All!$H408="Western Kentucky",+All!G408,0))</f>
        <v>CUSA</v>
      </c>
      <c r="H154" s="460" t="str">
        <f>IF(+All!$F408="Western Kentucky",+All!H408,IF(+All!$H408="Western Kentucky",+All!H408,0))</f>
        <v>UT San Antonio</v>
      </c>
      <c r="I154" s="461" t="str">
        <f>IF(+All!$F408="Western Kentucky",+All!I408,IF(+All!$H408="Western Kentucky",+All!I408,0))</f>
        <v>CUSA</v>
      </c>
      <c r="J154" s="460" t="str">
        <f>IF(+All!$F408="Western Kentucky",+All!J408,IF(+All!$H408="Western Kentucky",+All!J408,0))</f>
        <v>UT San Antonio</v>
      </c>
      <c r="K154" s="461" t="str">
        <f>IF(+All!$F408="Western Kentucky",+All!K408,IF(+All!$H408="Western Kentucky",+All!K408,0))</f>
        <v>Western Kentucky</v>
      </c>
      <c r="L154" s="60">
        <f>IF(+All!$F408="Western Kentucky",+All!L408,IF(+All!$H408="Western Kentucky",+All!L408,0))</f>
        <v>6.5</v>
      </c>
      <c r="M154" s="61">
        <f>IF(+All!$F408="Western Kentucky",+All!M408,IF(+All!$H408="Western Kentucky",+All!M408,0))</f>
        <v>73</v>
      </c>
      <c r="N154" s="460" t="str">
        <f>IF(+All!$F408="Western Kentucky",+All!N408,IF(+All!$H408="Western Kentucky",+All!N408,0))</f>
        <v>UT San Antonio</v>
      </c>
      <c r="O154" s="462">
        <f>IF(+All!$F408="Western Kentucky",+All!O408,IF(+All!$H408="Western Kentucky",+All!O408,0))</f>
        <v>31</v>
      </c>
      <c r="P154" s="462" t="str">
        <f>IF(+All!$F408="Western Kentucky",+All!P408,IF(+All!$H408="Western Kentucky",+All!P408,0))</f>
        <v>Western Kentucky</v>
      </c>
      <c r="Q154" s="461">
        <f>IF(+All!$F408="Western Kentucky",+All!Q408,IF(+All!$H408="Western Kentucky",+All!Q408,0))</f>
        <v>26</v>
      </c>
      <c r="R154" s="460" t="str">
        <f>IF(+All!$F408="Western Kentucky",+All!R408,IF(+All!$H408="Western Kentucky",+All!R408,0))</f>
        <v>Western Kentucky</v>
      </c>
      <c r="S154" s="462" t="str">
        <f>IF(+All!$F408="Western Kentucky",+All!S408,IF(+All!$H408="Western Kentucky",+All!S408,0))</f>
        <v>UT San Antonio</v>
      </c>
      <c r="T154" s="460" t="str">
        <f>IF(+All!$F408="Western Kentucky",+All!T408,IF(+All!$H408="Western Kentucky",+All!T408,0))</f>
        <v>UT San Antonio</v>
      </c>
      <c r="U154" s="461" t="str">
        <f>IF(+All!$F408="Western Kentucky",+All!U408,IF(+All!$H408="Western Kentucky",+All!U408,0))</f>
        <v>L</v>
      </c>
    </row>
    <row r="155" spans="1:21" x14ac:dyDescent="0.8">
      <c r="A155" s="46">
        <f>IF(+All!$F458="Western Kentucky",+All!A458,IF(+All!$H458="Western Kentucky",+All!A458,0))</f>
        <v>7</v>
      </c>
      <c r="B155" s="348" t="str">
        <f>IF(+All!$F458="Western Kentucky",+All!B458,IF(+All!$H458="Western Kentucky",+All!B458,0))</f>
        <v>Sat</v>
      </c>
      <c r="C155" s="72">
        <f>IF(+All!$F458="Western Kentucky",+All!C458,IF(+All!$H458="Western Kentucky",+All!C458,0))</f>
        <v>44849</v>
      </c>
      <c r="D155" s="73">
        <f>IF(+All!$F458="Western Kentucky",+All!D458,IF(+All!$H458="Western Kentucky",+All!D458,0))</f>
        <v>0.64583333333333337</v>
      </c>
      <c r="E155" s="461">
        <f>IF(+All!$F458="Western Kentucky",+All!E458,IF(+All!$H458="Western Kentucky",+All!E458,0))</f>
        <v>0</v>
      </c>
      <c r="F155" s="460" t="str">
        <f>IF(+All!$F458="Western Kentucky",+All!F458,IF(+All!$H458="Western Kentucky",+All!F458,0))</f>
        <v>Western Kentucky</v>
      </c>
      <c r="G155" s="461" t="str">
        <f>IF(+All!$F458="Western Kentucky",+All!G458,IF(+All!$H458="Western Kentucky",+All!G458,0))</f>
        <v>CUSA</v>
      </c>
      <c r="H155" s="460" t="str">
        <f>IF(+All!$F458="Western Kentucky",+All!H458,IF(+All!$H458="Western Kentucky",+All!H458,0))</f>
        <v>Middle Tenn St</v>
      </c>
      <c r="I155" s="461" t="str">
        <f>IF(+All!$F458="Western Kentucky",+All!I458,IF(+All!$H458="Western Kentucky",+All!I458,0))</f>
        <v>CUSA</v>
      </c>
      <c r="J155" s="460" t="str">
        <f>IF(+All!$F458="Western Kentucky",+All!J458,IF(+All!$H458="Western Kentucky",+All!J458,0))</f>
        <v>Western Kentucky</v>
      </c>
      <c r="K155" s="461" t="str">
        <f>IF(+All!$F458="Western Kentucky",+All!K458,IF(+All!$H458="Western Kentucky",+All!K458,0))</f>
        <v>Middle Tenn St</v>
      </c>
      <c r="L155" s="60">
        <f>IF(+All!$F458="Western Kentucky",+All!L458,IF(+All!$H458="Western Kentucky",+All!L458,0))</f>
        <v>7.5</v>
      </c>
      <c r="M155" s="61">
        <f>IF(+All!$F458="Western Kentucky",+All!M458,IF(+All!$H458="Western Kentucky",+All!M458,0))</f>
        <v>67</v>
      </c>
      <c r="N155" s="460" t="str">
        <f>IF(+All!$F458="Western Kentucky",+All!N458,IF(+All!$H458="Western Kentucky",+All!N458,0))</f>
        <v>Western Kentucky</v>
      </c>
      <c r="O155" s="462">
        <f>IF(+All!$F458="Western Kentucky",+All!O458,IF(+All!$H458="Western Kentucky",+All!O458,0))</f>
        <v>35</v>
      </c>
      <c r="P155" s="462" t="str">
        <f>IF(+All!$F458="Western Kentucky",+All!P458,IF(+All!$H458="Western Kentucky",+All!P458,0))</f>
        <v>Middle Tenn St</v>
      </c>
      <c r="Q155" s="461">
        <f>IF(+All!$F458="Western Kentucky",+All!Q458,IF(+All!$H458="Western Kentucky",+All!Q458,0))</f>
        <v>17</v>
      </c>
      <c r="R155" s="460" t="str">
        <f>IF(+All!$F458="Western Kentucky",+All!R458,IF(+All!$H458="Western Kentucky",+All!R458,0))</f>
        <v>Western Kentucky</v>
      </c>
      <c r="S155" s="462" t="str">
        <f>IF(+All!$F458="Western Kentucky",+All!S458,IF(+All!$H458="Western Kentucky",+All!S458,0))</f>
        <v>Middle Tenn St</v>
      </c>
      <c r="T155" s="460" t="str">
        <f>IF(+All!$F458="Western Kentucky",+All!T458,IF(+All!$H458="Western Kentucky",+All!T458,0))</f>
        <v>Middle Tenn St</v>
      </c>
      <c r="U155" s="461" t="str">
        <f>IF(+All!$F458="Western Kentucky",+All!U458,IF(+All!$H458="Western Kentucky",+All!U458,0))</f>
        <v>L</v>
      </c>
    </row>
    <row r="156" spans="1:21" x14ac:dyDescent="0.8">
      <c r="A156" s="46">
        <f>IF(+All!$F495="Western Kentucky",+All!A495,IF(+All!$H495="Western Kentucky",+All!A495,0))</f>
        <v>8</v>
      </c>
      <c r="B156" s="348" t="str">
        <f>IF(+All!$F495="Western Kentucky",+All!B495,IF(+All!$H495="Western Kentucky",+All!B495,0))</f>
        <v>Fri</v>
      </c>
      <c r="C156" s="72">
        <f>IF(+All!$F495="Western Kentucky",+All!C495,IF(+All!$H495="Western Kentucky",+All!C495,0))</f>
        <v>44855</v>
      </c>
      <c r="D156" s="73">
        <f>IF(+All!$F495="Western Kentucky",+All!D495,IF(+All!$H495="Western Kentucky",+All!D495,0))</f>
        <v>0.83333333333333337</v>
      </c>
      <c r="E156" s="461" t="str">
        <f>IF(+All!$F495="Western Kentucky",+All!E495,IF(+All!$H495="Western Kentucky",+All!E495,0))</f>
        <v>CBSSN</v>
      </c>
      <c r="F156" s="460" t="str">
        <f>IF(+All!$F495="Western Kentucky",+All!F495,IF(+All!$H495="Western Kentucky",+All!F495,0))</f>
        <v>UAB</v>
      </c>
      <c r="G156" s="461" t="str">
        <f>IF(+All!$F495="Western Kentucky",+All!G495,IF(+All!$H495="Western Kentucky",+All!G495,0))</f>
        <v>CUSA</v>
      </c>
      <c r="H156" s="460" t="str">
        <f>IF(+All!$F495="Western Kentucky",+All!H495,IF(+All!$H495="Western Kentucky",+All!H495,0))</f>
        <v>Western Kentucky</v>
      </c>
      <c r="I156" s="461" t="str">
        <f>IF(+All!$F495="Western Kentucky",+All!I495,IF(+All!$H495="Western Kentucky",+All!I495,0))</f>
        <v>CUSA</v>
      </c>
      <c r="J156" s="460" t="str">
        <f>IF(+All!$F495="Western Kentucky",+All!J495,IF(+All!$H495="Western Kentucky",+All!J495,0))</f>
        <v>Western Kentucky</v>
      </c>
      <c r="K156" s="461" t="str">
        <f>IF(+All!$F495="Western Kentucky",+All!K495,IF(+All!$H495="Western Kentucky",+All!K495,0))</f>
        <v>UAB</v>
      </c>
      <c r="L156" s="60">
        <f>IF(+All!$F495="Western Kentucky",+All!L495,IF(+All!$H495="Western Kentucky",+All!L495,0))</f>
        <v>2</v>
      </c>
      <c r="M156" s="61">
        <f>IF(+All!$F495="Western Kentucky",+All!M495,IF(+All!$H495="Western Kentucky",+All!M495,0))</f>
        <v>57.5</v>
      </c>
      <c r="N156" s="460" t="str">
        <f>IF(+All!$F495="Western Kentucky",+All!N495,IF(+All!$H495="Western Kentucky",+All!N495,0))</f>
        <v>Western Kentucky</v>
      </c>
      <c r="O156" s="462">
        <f>IF(+All!$F495="Western Kentucky",+All!O495,IF(+All!$H495="Western Kentucky",+All!O495,0))</f>
        <v>20</v>
      </c>
      <c r="P156" s="462" t="str">
        <f>IF(+All!$F495="Western Kentucky",+All!P495,IF(+All!$H495="Western Kentucky",+All!P495,0))</f>
        <v>UAB</v>
      </c>
      <c r="Q156" s="461">
        <f>IF(+All!$F495="Western Kentucky",+All!Q495,IF(+All!$H495="Western Kentucky",+All!Q495,0))</f>
        <v>17</v>
      </c>
      <c r="R156" s="460" t="str">
        <f>IF(+All!$F495="Western Kentucky",+All!R495,IF(+All!$H495="Western Kentucky",+All!R495,0))</f>
        <v>Western Kentucky</v>
      </c>
      <c r="S156" s="462" t="str">
        <f>IF(+All!$F495="Western Kentucky",+All!S495,IF(+All!$H495="Western Kentucky",+All!S495,0))</f>
        <v>UAB</v>
      </c>
      <c r="T156" s="460" t="str">
        <f>IF(+All!$F495="Western Kentucky",+All!T495,IF(+All!$H495="Western Kentucky",+All!T495,0))</f>
        <v>Western Kentucky</v>
      </c>
      <c r="U156" s="461" t="str">
        <f>IF(+All!$F495="Western Kentucky",+All!U495,IF(+All!$H495="Western Kentucky",+All!U495,0))</f>
        <v>W</v>
      </c>
    </row>
    <row r="157" spans="1:21" x14ac:dyDescent="0.8">
      <c r="A157" s="46">
        <f>IF(+All!$F571="Western Kentucky",+All!A571,IF(+All!$H571="Western Kentucky",+All!A571,0))</f>
        <v>9</v>
      </c>
      <c r="B157" s="348" t="str">
        <f>IF(+All!$F571="Western Kentucky",+All!B571,IF(+All!$H571="Western Kentucky",+All!B571,0))</f>
        <v>Sat</v>
      </c>
      <c r="C157" s="72">
        <f>IF(+All!$F571="Western Kentucky",+All!C571,IF(+All!$H571="Western Kentucky",+All!C571,0))</f>
        <v>44863</v>
      </c>
      <c r="D157" s="73">
        <f>IF(+All!$F571="Western Kentucky",+All!D571,IF(+All!$H571="Western Kentucky",+All!D571,0))</f>
        <v>0.64583333333333337</v>
      </c>
      <c r="E157" s="461">
        <f>IF(+All!$F571="Western Kentucky",+All!E571,IF(+All!$H571="Western Kentucky",+All!E571,0))</f>
        <v>0</v>
      </c>
      <c r="F157" s="460" t="str">
        <f>IF(+All!$F571="Western Kentucky",+All!F571,IF(+All!$H571="Western Kentucky",+All!F571,0))</f>
        <v>North Texas</v>
      </c>
      <c r="G157" s="461" t="str">
        <f>IF(+All!$F571="Western Kentucky",+All!G571,IF(+All!$H571="Western Kentucky",+All!G571,0))</f>
        <v>CUSA</v>
      </c>
      <c r="H157" s="460" t="str">
        <f>IF(+All!$F571="Western Kentucky",+All!H571,IF(+All!$H571="Western Kentucky",+All!H571,0))</f>
        <v>Western Kentucky</v>
      </c>
      <c r="I157" s="461" t="str">
        <f>IF(+All!$F571="Western Kentucky",+All!I571,IF(+All!$H571="Western Kentucky",+All!I571,0))</f>
        <v>CUSA</v>
      </c>
      <c r="J157" s="460" t="str">
        <f>IF(+All!$F571="Western Kentucky",+All!J571,IF(+All!$H571="Western Kentucky",+All!J571,0))</f>
        <v>Western Kentucky</v>
      </c>
      <c r="K157" s="461" t="str">
        <f>IF(+All!$F571="Western Kentucky",+All!K571,IF(+All!$H571="Western Kentucky",+All!K571,0))</f>
        <v>North Texas</v>
      </c>
      <c r="L157" s="60">
        <f>IF(+All!$F571="Western Kentucky",+All!L571,IF(+All!$H571="Western Kentucky",+All!L571,0))</f>
        <v>10</v>
      </c>
      <c r="M157" s="61">
        <f>IF(+All!$F571="Western Kentucky",+All!M571,IF(+All!$H571="Western Kentucky",+All!M571,0))</f>
        <v>68</v>
      </c>
      <c r="N157" s="460" t="str">
        <f>IF(+All!$F571="Western Kentucky",+All!N571,IF(+All!$H571="Western Kentucky",+All!N571,0))</f>
        <v>North Texas</v>
      </c>
      <c r="O157" s="462">
        <f>IF(+All!$F571="Western Kentucky",+All!O571,IF(+All!$H571="Western Kentucky",+All!O571,0))</f>
        <v>40</v>
      </c>
      <c r="P157" s="462" t="str">
        <f>IF(+All!$F571="Western Kentucky",+All!P571,IF(+All!$H571="Western Kentucky",+All!P571,0))</f>
        <v>Western Kentucky</v>
      </c>
      <c r="Q157" s="461">
        <f>IF(+All!$F571="Western Kentucky",+All!Q571,IF(+All!$H571="Western Kentucky",+All!Q571,0))</f>
        <v>13</v>
      </c>
      <c r="R157" s="460" t="str">
        <f>IF(+All!$F571="Western Kentucky",+All!R571,IF(+All!$H571="Western Kentucky",+All!R571,0))</f>
        <v>North Texas</v>
      </c>
      <c r="S157" s="462" t="str">
        <f>IF(+All!$F571="Western Kentucky",+All!S571,IF(+All!$H571="Western Kentucky",+All!S571,0))</f>
        <v>Western Kentucky</v>
      </c>
      <c r="T157" s="460" t="str">
        <f>IF(+All!$F571="Western Kentucky",+All!T571,IF(+All!$H571="Western Kentucky",+All!T571,0))</f>
        <v>North Texas</v>
      </c>
      <c r="U157" s="461" t="str">
        <f>IF(+All!$F571="Western Kentucky",+All!U571,IF(+All!$H571="Western Kentucky",+All!U571,0))</f>
        <v>W</v>
      </c>
    </row>
    <row r="158" spans="1:21" x14ac:dyDescent="0.8">
      <c r="A158" s="46">
        <f>IF(+All!$F628="Western Kentucky",+All!A628,IF(+All!$H628="Western Kentucky",+All!A628,0))</f>
        <v>10</v>
      </c>
      <c r="B158" s="348" t="str">
        <f>IF(+All!$F628="Western Kentucky",+All!B628,IF(+All!$H628="Western Kentucky",+All!B628,0))</f>
        <v>Sat</v>
      </c>
      <c r="C158" s="72">
        <f>IF(+All!$F628="Western Kentucky",+All!C628,IF(+All!$H628="Western Kentucky",+All!C628,0))</f>
        <v>44870</v>
      </c>
      <c r="D158" s="73">
        <f>IF(+All!$F628="Western Kentucky",+All!D628,IF(+All!$H628="Western Kentucky",+All!D628,0))</f>
        <v>0.5</v>
      </c>
      <c r="E158" s="461" t="str">
        <f>IF(+All!$F628="Western Kentucky",+All!E628,IF(+All!$H628="Western Kentucky",+All!E628,0))</f>
        <v>CBSSN</v>
      </c>
      <c r="F158" s="460" t="str">
        <f>IF(+All!$F628="Western Kentucky",+All!F628,IF(+All!$H628="Western Kentucky",+All!F628,0))</f>
        <v>Western Kentucky</v>
      </c>
      <c r="G158" s="461" t="str">
        <f>IF(+All!$F628="Western Kentucky",+All!G628,IF(+All!$H628="Western Kentucky",+All!G628,0))</f>
        <v>CUSA</v>
      </c>
      <c r="H158" s="460" t="str">
        <f>IF(+All!$F628="Western Kentucky",+All!H628,IF(+All!$H628="Western Kentucky",+All!H628,0))</f>
        <v>UNC Charlotte</v>
      </c>
      <c r="I158" s="461" t="str">
        <f>IF(+All!$F628="Western Kentucky",+All!I628,IF(+All!$H628="Western Kentucky",+All!I628,0))</f>
        <v>CUSA</v>
      </c>
      <c r="J158" s="460" t="str">
        <f>IF(+All!$F628="Western Kentucky",+All!J628,IF(+All!$H628="Western Kentucky",+All!J628,0))</f>
        <v>Western Kentucky</v>
      </c>
      <c r="K158" s="461" t="str">
        <f>IF(+All!$F628="Western Kentucky",+All!K628,IF(+All!$H628="Western Kentucky",+All!K628,0))</f>
        <v>UNC Charlotte</v>
      </c>
      <c r="L158" s="60">
        <f>IF(+All!$F628="Western Kentucky",+All!L628,IF(+All!$H628="Western Kentucky",+All!L628,0))</f>
        <v>16.5</v>
      </c>
      <c r="M158" s="61">
        <f>IF(+All!$F628="Western Kentucky",+All!M628,IF(+All!$H628="Western Kentucky",+All!M628,0))</f>
        <v>72</v>
      </c>
      <c r="N158" s="460" t="str">
        <f>IF(+All!$F628="Western Kentucky",+All!N628,IF(+All!$H628="Western Kentucky",+All!N628,0))</f>
        <v>Western Kentucky</v>
      </c>
      <c r="O158" s="462">
        <f>IF(+All!$F628="Western Kentucky",+All!O628,IF(+All!$H628="Western Kentucky",+All!O628,0))</f>
        <v>59</v>
      </c>
      <c r="P158" s="462" t="str">
        <f>IF(+All!$F628="Western Kentucky",+All!P628,IF(+All!$H628="Western Kentucky",+All!P628,0))</f>
        <v>UNC Charlotte</v>
      </c>
      <c r="Q158" s="461">
        <f>IF(+All!$F628="Western Kentucky",+All!Q628,IF(+All!$H628="Western Kentucky",+All!Q628,0))</f>
        <v>7</v>
      </c>
      <c r="R158" s="460" t="str">
        <f>IF(+All!$F628="Western Kentucky",+All!R628,IF(+All!$H628="Western Kentucky",+All!R628,0))</f>
        <v>Western Kentucky</v>
      </c>
      <c r="S158" s="462" t="str">
        <f>IF(+All!$F628="Western Kentucky",+All!S628,IF(+All!$H628="Western Kentucky",+All!S628,0))</f>
        <v>UNC Charlotte</v>
      </c>
      <c r="T158" s="460" t="str">
        <f>IF(+All!$F628="Western Kentucky",+All!T628,IF(+All!$H628="Western Kentucky",+All!T628,0))</f>
        <v>UNC Charlotte</v>
      </c>
      <c r="U158" s="461" t="str">
        <f>IF(+All!$F628="Western Kentucky",+All!U628,IF(+All!$H628="Western Kentucky",+All!U628,0))</f>
        <v>L</v>
      </c>
    </row>
    <row r="159" spans="1:21" x14ac:dyDescent="0.8">
      <c r="A159" s="46">
        <f>IF(+All!$F691="Western Kentucky",+All!A691,IF(+All!$H691="Western Kentucky",+All!A691,0))</f>
        <v>11</v>
      </c>
      <c r="B159" s="348" t="str">
        <f>IF(+All!$F691="Western Kentucky",+All!B691,IF(+All!$H691="Western Kentucky",+All!B691,0))</f>
        <v>Sat</v>
      </c>
      <c r="C159" s="72">
        <f>IF(+All!$F691="Western Kentucky",+All!C691,IF(+All!$H691="Western Kentucky",+All!C691,0))</f>
        <v>44877</v>
      </c>
      <c r="D159" s="73">
        <f>IF(+All!$F691="Western Kentucky",+All!D691,IF(+All!$H691="Western Kentucky",+All!D691,0))</f>
        <v>0.58333333333333337</v>
      </c>
      <c r="E159" s="461">
        <f>IF(+All!$F691="Western Kentucky",+All!E691,IF(+All!$H691="Western Kentucky",+All!E691,0))</f>
        <v>0</v>
      </c>
      <c r="F159" s="460" t="str">
        <f>IF(+All!$F691="Western Kentucky",+All!F691,IF(+All!$H691="Western Kentucky",+All!F691,0))</f>
        <v>Rice</v>
      </c>
      <c r="G159" s="461" t="str">
        <f>IF(+All!$F691="Western Kentucky",+All!G691,IF(+All!$H691="Western Kentucky",+All!G691,0))</f>
        <v>CUSA</v>
      </c>
      <c r="H159" s="460" t="str">
        <f>IF(+All!$F691="Western Kentucky",+All!H691,IF(+All!$H691="Western Kentucky",+All!H691,0))</f>
        <v>Western Kentucky</v>
      </c>
      <c r="I159" s="461" t="str">
        <f>IF(+All!$F691="Western Kentucky",+All!I691,IF(+All!$H691="Western Kentucky",+All!I691,0))</f>
        <v>CUSA</v>
      </c>
      <c r="J159" s="460" t="str">
        <f>IF(+All!$F691="Western Kentucky",+All!J691,IF(+All!$H691="Western Kentucky",+All!J691,0))</f>
        <v>Western Kentucky</v>
      </c>
      <c r="K159" s="461" t="str">
        <f>IF(+All!$F691="Western Kentucky",+All!K691,IF(+All!$H691="Western Kentucky",+All!K691,0))</f>
        <v>Rice</v>
      </c>
      <c r="L159" s="60">
        <f>IF(+All!$F691="Western Kentucky",+All!L691,IF(+All!$H691="Western Kentucky",+All!L691,0))</f>
        <v>13</v>
      </c>
      <c r="M159" s="61">
        <f>IF(+All!$F691="Western Kentucky",+All!M691,IF(+All!$H691="Western Kentucky",+All!M691,0))</f>
        <v>62.5</v>
      </c>
      <c r="N159" s="460" t="str">
        <f>IF(+All!$F691="Western Kentucky",+All!N691,IF(+All!$H691="Western Kentucky",+All!N691,0))</f>
        <v>Western Kentucky</v>
      </c>
      <c r="O159" s="462">
        <f>IF(+All!$F691="Western Kentucky",+All!O691,IF(+All!$H691="Western Kentucky",+All!O691,0))</f>
        <v>45</v>
      </c>
      <c r="P159" s="462" t="str">
        <f>IF(+All!$F691="Western Kentucky",+All!P691,IF(+All!$H691="Western Kentucky",+All!P691,0))</f>
        <v>Rice</v>
      </c>
      <c r="Q159" s="461">
        <f>IF(+All!$F691="Western Kentucky",+All!Q691,IF(+All!$H691="Western Kentucky",+All!Q691,0))</f>
        <v>10</v>
      </c>
      <c r="R159" s="460" t="str">
        <f>IF(+All!$F691="Western Kentucky",+All!R691,IF(+All!$H691="Western Kentucky",+All!R691,0))</f>
        <v>Western Kentucky</v>
      </c>
      <c r="S159" s="462" t="str">
        <f>IF(+All!$F691="Western Kentucky",+All!S691,IF(+All!$H691="Western Kentucky",+All!S691,0))</f>
        <v>Rice</v>
      </c>
      <c r="T159" s="460" t="str">
        <f>IF(+All!$F691="Western Kentucky",+All!T691,IF(+All!$H691="Western Kentucky",+All!T691,0))</f>
        <v>Western Kentucky</v>
      </c>
      <c r="U159" s="461" t="str">
        <f>IF(+All!$F691="Western Kentucky",+All!U691,IF(+All!$H691="Western Kentucky",+All!U691,0))</f>
        <v>W</v>
      </c>
    </row>
    <row r="160" spans="1:21" x14ac:dyDescent="0.8">
      <c r="A160" s="46">
        <f>IF(+All!$F777="Western Kentucky",+All!A777,IF(+All!$H777="Western Kentucky",+All!A777,0))</f>
        <v>12</v>
      </c>
      <c r="B160" s="348" t="str">
        <f>IF(+All!$F777="Western Kentucky",+All!B777,IF(+All!$H777="Western Kentucky",+All!B777,0))</f>
        <v>Sat</v>
      </c>
      <c r="C160" s="72">
        <f>IF(+All!$F777="Western Kentucky",+All!C777,IF(+All!$H777="Western Kentucky",+All!C777,0))</f>
        <v>44884</v>
      </c>
      <c r="D160" s="73">
        <f>IF(+All!$F777="Western Kentucky",+All!D777,IF(+All!$H777="Western Kentucky",+All!D777,0))</f>
        <v>0.66666666666666663</v>
      </c>
      <c r="E160" s="461" t="str">
        <f>IF(+All!$F777="Western Kentucky",+All!E777,IF(+All!$H777="Western Kentucky",+All!E777,0))</f>
        <v>SEC</v>
      </c>
      <c r="F160" s="460" t="str">
        <f>IF(+All!$F777="Western Kentucky",+All!F777,IF(+All!$H777="Western Kentucky",+All!F777,0))</f>
        <v>Western Kentucky</v>
      </c>
      <c r="G160" s="461" t="str">
        <f>IF(+All!$F777="Western Kentucky",+All!G777,IF(+All!$H777="Western Kentucky",+All!G777,0))</f>
        <v>CUSA</v>
      </c>
      <c r="H160" s="460" t="str">
        <f>IF(+All!$F777="Western Kentucky",+All!H777,IF(+All!$H777="Western Kentucky",+All!H777,0))</f>
        <v>Auburn</v>
      </c>
      <c r="I160" s="461" t="str">
        <f>IF(+All!$F777="Western Kentucky",+All!I777,IF(+All!$H777="Western Kentucky",+All!I777,0))</f>
        <v>SEC</v>
      </c>
      <c r="J160" s="460" t="str">
        <f>IF(+All!$F777="Western Kentucky",+All!J777,IF(+All!$H777="Western Kentucky",+All!J777,0))</f>
        <v>Auburn</v>
      </c>
      <c r="K160" s="461" t="str">
        <f>IF(+All!$F777="Western Kentucky",+All!K777,IF(+All!$H777="Western Kentucky",+All!K777,0))</f>
        <v>Western Kentucky</v>
      </c>
      <c r="L160" s="60">
        <f>IF(+All!$F777="Western Kentucky",+All!L777,IF(+All!$H777="Western Kentucky",+All!L777,0))</f>
        <v>5.5</v>
      </c>
      <c r="M160" s="61">
        <f>IF(+All!$F777="Western Kentucky",+All!M777,IF(+All!$H777="Western Kentucky",+All!M777,0))</f>
        <v>52.5</v>
      </c>
      <c r="N160" s="460" t="str">
        <f>IF(+All!$F777="Western Kentucky",+All!N777,IF(+All!$H777="Western Kentucky",+All!N777,0))</f>
        <v>Auburn</v>
      </c>
      <c r="O160" s="462">
        <f>IF(+All!$F777="Western Kentucky",+All!O777,IF(+All!$H777="Western Kentucky",+All!O777,0))</f>
        <v>41</v>
      </c>
      <c r="P160" s="462" t="str">
        <f>IF(+All!$F777="Western Kentucky",+All!P777,IF(+All!$H777="Western Kentucky",+All!P777,0))</f>
        <v>Western Kentucky</v>
      </c>
      <c r="Q160" s="461">
        <f>IF(+All!$F777="Western Kentucky",+All!Q777,IF(+All!$H777="Western Kentucky",+All!Q777,0))</f>
        <v>17</v>
      </c>
      <c r="R160" s="460" t="str">
        <f>IF(+All!$F777="Western Kentucky",+All!R777,IF(+All!$H777="Western Kentucky",+All!R777,0))</f>
        <v>Auburn</v>
      </c>
      <c r="S160" s="462" t="str">
        <f>IF(+All!$F777="Western Kentucky",+All!S777,IF(+All!$H777="Western Kentucky",+All!S777,0))</f>
        <v>Western Kentucky</v>
      </c>
      <c r="T160" s="460" t="str">
        <f>IF(+All!$F777="Western Kentucky",+All!T777,IF(+All!$H777="Western Kentucky",+All!T777,0))</f>
        <v>Auburn</v>
      </c>
      <c r="U160" s="461" t="str">
        <f>IF(+All!$F777="Western Kentucky",+All!U777,IF(+All!$H777="Western Kentucky",+All!U777,0))</f>
        <v>W</v>
      </c>
    </row>
    <row r="161" spans="1:21" x14ac:dyDescent="0.8">
      <c r="A161" s="46">
        <f>IF(+All!$F818="Western Kentucky",+All!A818,IF(+All!$H818="Western Kentucky",+All!A818,0))</f>
        <v>13</v>
      </c>
      <c r="B161" s="348" t="str">
        <f>IF(+All!$F818="Western Kentucky",+All!B818,IF(+All!$H818="Western Kentucky",+All!B818,0))</f>
        <v>Sat</v>
      </c>
      <c r="C161" s="72">
        <f>IF(+All!$F818="Western Kentucky",+All!C818,IF(+All!$H818="Western Kentucky",+All!C818,0))</f>
        <v>44891</v>
      </c>
      <c r="D161" s="73">
        <f>IF(+All!$F818="Western Kentucky",+All!D818,IF(+All!$H818="Western Kentucky",+All!D818,0))</f>
        <v>0.5</v>
      </c>
      <c r="E161" s="461" t="str">
        <f>IF(+All!$F818="Western Kentucky",+All!E818,IF(+All!$H818="Western Kentucky",+All!E818,0))</f>
        <v>CBSSN</v>
      </c>
      <c r="F161" s="460" t="str">
        <f>IF(+All!$F818="Western Kentucky",+All!F818,IF(+All!$H818="Western Kentucky",+All!F818,0))</f>
        <v>Western Kentucky</v>
      </c>
      <c r="G161" s="461" t="str">
        <f>IF(+All!$F818="Western Kentucky",+All!G818,IF(+All!$H818="Western Kentucky",+All!G818,0))</f>
        <v>CUSA</v>
      </c>
      <c r="H161" s="460" t="str">
        <f>IF(+All!$F818="Western Kentucky",+All!H818,IF(+All!$H818="Western Kentucky",+All!H818,0))</f>
        <v>Florida Atlantic</v>
      </c>
      <c r="I161" s="461" t="str">
        <f>IF(+All!$F818="Western Kentucky",+All!I818,IF(+All!$H818="Western Kentucky",+All!I818,0))</f>
        <v>CUSA</v>
      </c>
      <c r="J161" s="460" t="str">
        <f>IF(+All!$F818="Western Kentucky",+All!J818,IF(+All!$H818="Western Kentucky",+All!J818,0))</f>
        <v>Western Kentucky</v>
      </c>
      <c r="K161" s="461" t="str">
        <f>IF(+All!$F818="Western Kentucky",+All!K818,IF(+All!$H818="Western Kentucky",+All!K818,0))</f>
        <v>Florida Atlantic</v>
      </c>
      <c r="L161" s="60">
        <f>IF(+All!$F818="Western Kentucky",+All!L818,IF(+All!$H818="Western Kentucky",+All!L818,0))</f>
        <v>7.5</v>
      </c>
      <c r="M161" s="61">
        <f>IF(+All!$F818="Western Kentucky",+All!M818,IF(+All!$H818="Western Kentucky",+All!M818,0))</f>
        <v>61.5</v>
      </c>
      <c r="N161" s="460" t="str">
        <f>IF(+All!$F818="Western Kentucky",+All!N818,IF(+All!$H818="Western Kentucky",+All!N818,0))</f>
        <v>Western Kentucky</v>
      </c>
      <c r="O161" s="462">
        <f>IF(+All!$F818="Western Kentucky",+All!O818,IF(+All!$H818="Western Kentucky",+All!O818,0))</f>
        <v>32</v>
      </c>
      <c r="P161" s="462" t="str">
        <f>IF(+All!$F818="Western Kentucky",+All!P818,IF(+All!$H818="Western Kentucky",+All!P818,0))</f>
        <v>Florida Atlantic</v>
      </c>
      <c r="Q161" s="461">
        <f>IF(+All!$F818="Western Kentucky",+All!Q818,IF(+All!$H818="Western Kentucky",+All!Q818,0))</f>
        <v>31</v>
      </c>
      <c r="R161" s="460" t="str">
        <f>IF(+All!$F818="Western Kentucky",+All!R818,IF(+All!$H818="Western Kentucky",+All!R818,0))</f>
        <v>Florida Atlantic</v>
      </c>
      <c r="S161" s="462" t="str">
        <f>IF(+All!$F818="Western Kentucky",+All!S818,IF(+All!$H818="Western Kentucky",+All!S818,0))</f>
        <v>Western Kentucky</v>
      </c>
      <c r="T161" s="460" t="str">
        <f>IF(+All!$F818="Western Kentucky",+All!T818,IF(+All!$H818="Western Kentucky",+All!T818,0))</f>
        <v>Florida Atlantic</v>
      </c>
      <c r="U161" s="461" t="str">
        <f>IF(+All!$F818="Western Kentucky",+All!U818,IF(+All!$H818="Western Kentucky",+All!U818,0))</f>
        <v>W</v>
      </c>
    </row>
    <row r="163" spans="1:21" x14ac:dyDescent="0.8">
      <c r="A163" s="46" t="e">
        <f>SUM(A4:A161)</f>
        <v>#REF!</v>
      </c>
    </row>
  </sheetData>
  <sortState xmlns:xlrd2="http://schemas.microsoft.com/office/spreadsheetml/2017/richdata2" ref="A149:U161">
    <sortCondition ref="A149:A161"/>
    <sortCondition ref="F149:F161"/>
  </sortState>
  <mergeCells count="14">
    <mergeCell ref="F32:I32"/>
    <mergeCell ref="F103:I103"/>
    <mergeCell ref="F46:I46"/>
    <mergeCell ref="F118:I118"/>
    <mergeCell ref="F147:I147"/>
    <mergeCell ref="F60:I60"/>
    <mergeCell ref="F89:I89"/>
    <mergeCell ref="F133:I133"/>
    <mergeCell ref="F75:I75"/>
    <mergeCell ref="N1:Q1"/>
    <mergeCell ref="R1:S1"/>
    <mergeCell ref="F1:I1"/>
    <mergeCell ref="F3:I3"/>
    <mergeCell ref="F18:I18"/>
  </mergeCells>
  <pageMargins left="0.25" right="0.25" top="0.25" bottom="0.25" header="0" footer="0"/>
  <pageSetup scale="58" fitToHeight="0" orientation="landscape" r:id="rId1"/>
  <headerFooter alignWithMargins="0">
    <oddFooter>&amp;C&amp;36CUSA</oddFooter>
  </headerFooter>
  <rowBreaks count="2" manualBreakCount="2">
    <brk id="59" max="18" man="1"/>
    <brk id="102" max="18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pageSetUpPr fitToPage="1"/>
  </sheetPr>
  <dimension ref="A1:Y103"/>
  <sheetViews>
    <sheetView view="pageBreakPreview" topLeftCell="A13" zoomScale="75" zoomScaleNormal="75" zoomScaleSheetLayoutView="75" workbookViewId="0">
      <selection activeCell="A35" sqref="A35"/>
    </sheetView>
  </sheetViews>
  <sheetFormatPr defaultColWidth="8.86328125" defaultRowHeight="16" x14ac:dyDescent="0.8"/>
  <cols>
    <col min="1" max="1" width="5.6796875" style="46" customWidth="1"/>
    <col min="2" max="2" width="5.6796875" style="47" hidden="1" customWidth="1"/>
    <col min="3" max="3" width="13" style="72" hidden="1" customWidth="1"/>
    <col min="4" max="4" width="11.6796875" style="73" hidden="1" customWidth="1"/>
    <col min="5" max="5" width="9.1328125" style="50" hidden="1" customWidth="1"/>
    <col min="6" max="6" width="24.453125" style="53" customWidth="1"/>
    <col min="7" max="7" width="8.6796875" style="50" hidden="1" customWidth="1"/>
    <col min="8" max="8" width="24.453125" style="53" customWidth="1"/>
    <col min="9" max="9" width="8.6796875" style="50" hidden="1" customWidth="1"/>
    <col min="10" max="10" width="24.453125" style="53" customWidth="1"/>
    <col min="11" max="11" width="24.453125" style="50" customWidth="1"/>
    <col min="12" max="12" width="8" style="60" customWidth="1"/>
    <col min="13" max="13" width="8" style="61" customWidth="1"/>
    <col min="14" max="14" width="24.453125" style="53" customWidth="1"/>
    <col min="15" max="15" width="5.6796875" style="56" customWidth="1"/>
    <col min="16" max="16" width="24.453125" style="56" customWidth="1"/>
    <col min="17" max="17" width="5.6796875" style="59" customWidth="1"/>
    <col min="18" max="18" width="24.453125" style="53" customWidth="1"/>
    <col min="19" max="19" width="24.453125" style="56" customWidth="1"/>
    <col min="20" max="20" width="27.6796875" style="53" customWidth="1"/>
    <col min="21" max="21" width="6.54296875" style="50" customWidth="1"/>
    <col min="22" max="16384" width="8.86328125" style="9"/>
  </cols>
  <sheetData>
    <row r="1" spans="1:25" s="21" customFormat="1" ht="16" customHeight="1" x14ac:dyDescent="0.8">
      <c r="A1" s="10"/>
      <c r="B1" s="10"/>
      <c r="C1" s="11"/>
      <c r="D1" s="12"/>
      <c r="E1" s="13"/>
      <c r="F1" s="895" t="s">
        <v>2</v>
      </c>
      <c r="G1" s="900"/>
      <c r="H1" s="900"/>
      <c r="I1" s="896"/>
      <c r="J1" s="14"/>
      <c r="K1" s="13"/>
      <c r="L1" s="15"/>
      <c r="M1" s="16"/>
      <c r="N1" s="895" t="s">
        <v>3</v>
      </c>
      <c r="O1" s="900"/>
      <c r="P1" s="900"/>
      <c r="Q1" s="896"/>
      <c r="R1" s="895" t="s">
        <v>4</v>
      </c>
      <c r="S1" s="896"/>
      <c r="T1" s="14"/>
      <c r="U1" s="13"/>
      <c r="V1" s="9"/>
      <c r="W1" s="9"/>
      <c r="X1" s="9"/>
      <c r="Y1" s="9"/>
    </row>
    <row r="2" spans="1:25" s="21" customFormat="1" ht="16" customHeight="1" x14ac:dyDescent="0.8">
      <c r="A2" s="22" t="s">
        <v>10</v>
      </c>
      <c r="B2" s="23" t="s">
        <v>11</v>
      </c>
      <c r="C2" s="24" t="s">
        <v>12</v>
      </c>
      <c r="D2" s="25" t="s">
        <v>13</v>
      </c>
      <c r="E2" s="26" t="s">
        <v>14</v>
      </c>
      <c r="F2" s="27" t="s">
        <v>6</v>
      </c>
      <c r="G2" s="26" t="s">
        <v>15</v>
      </c>
      <c r="H2" s="27" t="s">
        <v>8</v>
      </c>
      <c r="I2" s="26" t="s">
        <v>15</v>
      </c>
      <c r="J2" s="27" t="s">
        <v>16</v>
      </c>
      <c r="K2" s="26" t="s">
        <v>17</v>
      </c>
      <c r="L2" s="28" t="s">
        <v>18</v>
      </c>
      <c r="M2" s="29" t="s">
        <v>19</v>
      </c>
      <c r="N2" s="27" t="s">
        <v>20</v>
      </c>
      <c r="O2" s="30"/>
      <c r="P2" s="30" t="s">
        <v>21</v>
      </c>
      <c r="Q2" s="108"/>
      <c r="R2" s="27" t="s">
        <v>20</v>
      </c>
      <c r="S2" s="30" t="s">
        <v>21</v>
      </c>
      <c r="T2" s="27" t="s">
        <v>22</v>
      </c>
      <c r="U2" s="26" t="s">
        <v>23</v>
      </c>
      <c r="V2" s="9"/>
      <c r="W2" s="9"/>
      <c r="X2" s="9"/>
      <c r="Y2" s="9"/>
    </row>
    <row r="3" spans="1:25" x14ac:dyDescent="0.8">
      <c r="A3" s="38"/>
      <c r="B3" s="39"/>
      <c r="C3" s="40"/>
      <c r="D3" s="41"/>
      <c r="E3" s="42"/>
      <c r="F3" s="897" t="str">
        <f>H5</f>
        <v>Army</v>
      </c>
      <c r="G3" s="903"/>
      <c r="H3" s="903"/>
      <c r="I3" s="904"/>
      <c r="J3" s="43"/>
      <c r="K3" s="42"/>
      <c r="L3" s="44"/>
      <c r="M3" s="45"/>
      <c r="N3" s="43"/>
      <c r="O3" s="5"/>
      <c r="P3" s="5"/>
      <c r="Q3" s="318"/>
      <c r="R3" s="43"/>
      <c r="S3" s="5"/>
      <c r="T3" s="43"/>
      <c r="U3" s="42"/>
    </row>
    <row r="4" spans="1:25" x14ac:dyDescent="0.8">
      <c r="A4" s="46">
        <f>IF(+All!$F73="Army",+All!A73,IF(+All!$H73="Army",+All!A73,0))</f>
        <v>1</v>
      </c>
      <c r="B4" s="348" t="str">
        <f>IF(+All!$F73="Army",+All!B73,IF(+All!$H73="Army",+All!B73,0))</f>
        <v>Sat</v>
      </c>
      <c r="C4" s="48">
        <f>IF(+All!$F73="Army",+All!C73,IF(+All!$H73="Army",+All!C73,0))</f>
        <v>44807</v>
      </c>
      <c r="D4" s="490">
        <f>IF(+All!$F73="Army",+All!D73,IF(+All!$H73="Army",+All!D73,0))</f>
        <v>0.79166666666666663</v>
      </c>
      <c r="E4" s="461">
        <f>IF(+All!$F73="Army",+All!E73,IF(+All!$H73="Army",+All!E73,0))</f>
        <v>0</v>
      </c>
      <c r="F4" s="51" t="str">
        <f>IF(+All!$F73="Army",+All!F73,IF(+All!$H73="Army",+All!F73,0))</f>
        <v>Army</v>
      </c>
      <c r="G4" s="52" t="str">
        <f>IF(+All!$F73="Army",+All!G73,IF(+All!$H73="Army",+All!G73,0))</f>
        <v>Ind</v>
      </c>
      <c r="H4" s="51" t="str">
        <f>IF(+All!$F73="Army",+All!H73,IF(+All!$H73="Army",+All!H73,0))</f>
        <v>Coastal Carolina</v>
      </c>
      <c r="I4" s="52" t="str">
        <f>IF(+All!$F73="Army",+All!I73,IF(+All!$H73="Army",+All!I73,0))</f>
        <v>SB</v>
      </c>
      <c r="J4" s="460" t="str">
        <f>IF(+All!$F73="Army",+All!J73,IF(+All!$H73="Army",+All!J73,0))</f>
        <v>Coastal Carolina</v>
      </c>
      <c r="K4" s="461" t="str">
        <f>IF(+All!$F73="Army",+All!K73,IF(+All!$H73="Army",+All!K73,0))</f>
        <v>Army</v>
      </c>
      <c r="L4" s="54">
        <f>IF(+All!$F73="Army",+All!L73,IF(+All!$H73="Army",+All!L73,0))</f>
        <v>2.5</v>
      </c>
      <c r="M4" s="55">
        <f>IF(+All!$F73="Army",+All!M73,IF(+All!$H73="Army",+All!M73,0))</f>
        <v>53.5</v>
      </c>
      <c r="N4" s="460" t="str">
        <f>IF(+All!$F73="Army",+All!N73,IF(+All!$H73="Army",+All!N73,0))</f>
        <v>Coastal Carolina</v>
      </c>
      <c r="O4" s="462">
        <f>IF(+All!$F73="Army",+All!O73,IF(+All!$H73="Army",+All!O73,0))</f>
        <v>38</v>
      </c>
      <c r="P4" s="462" t="str">
        <f>IF(+All!$F73="Army",+All!P73,IF(+All!$H73="Army",+All!P73,0))</f>
        <v>Army</v>
      </c>
      <c r="Q4" s="461">
        <f>IF(+All!$F73="Army",+All!Q73,IF(+All!$H73="Army",+All!Q73,0))</f>
        <v>28</v>
      </c>
      <c r="R4" s="460" t="str">
        <f>IF(+All!$F73="Army",+All!R73,IF(+All!$H73="Army",+All!R73,0))</f>
        <v>Coastal Carolina</v>
      </c>
      <c r="S4" s="462" t="str">
        <f>IF(+All!$F73="Army",+All!S73,IF(+All!$H73="Army",+All!S73,0))</f>
        <v>Army</v>
      </c>
      <c r="T4" s="460" t="str">
        <f>IF(+All!$F73="Army",+All!T73,IF(+All!$H73="Army",+All!T73,0))</f>
        <v>Army</v>
      </c>
      <c r="U4" s="461" t="str">
        <f>IF(+All!$F73="Army",+All!U73,IF(+All!$H73="Army",+All!U73,0))</f>
        <v>L</v>
      </c>
    </row>
    <row r="5" spans="1:25" x14ac:dyDescent="0.8">
      <c r="A5" s="46">
        <f>IF(+All!$F140="Army",+All!A140,IF(+All!$H140="Army",+All!A140,0))</f>
        <v>2</v>
      </c>
      <c r="B5" s="348" t="str">
        <f>IF(+All!$F140="Army",+All!B140,IF(+All!$H140="Army",+All!B140,0))</f>
        <v>Sat</v>
      </c>
      <c r="C5" s="48">
        <f>IF(+All!$F140="Army",+All!C140,IF(+All!$H140="Army",+All!C140,0))</f>
        <v>44814</v>
      </c>
      <c r="D5" s="490">
        <f>IF(+All!$F140="Army",+All!D140,IF(+All!$H140="Army",+All!D140,0))</f>
        <v>0.5</v>
      </c>
      <c r="E5" s="461" t="str">
        <f>IF(+All!$F140="Army",+All!E140,IF(+All!$H140="Army",+All!E140,0))</f>
        <v>CBSSN</v>
      </c>
      <c r="F5" s="51" t="str">
        <f>IF(+All!$F140="Army",+All!F140,IF(+All!$H140="Army",+All!F140,0))</f>
        <v>UT San Antonio</v>
      </c>
      <c r="G5" s="52" t="str">
        <f>IF(+All!$F140="Army",+All!G140,IF(+All!$H140="Army",+All!G140,0))</f>
        <v>CUSA</v>
      </c>
      <c r="H5" s="51" t="str">
        <f>IF(+All!$F140="Army",+All!H140,IF(+All!$H140="Army",+All!H140,0))</f>
        <v>Army</v>
      </c>
      <c r="I5" s="52" t="str">
        <f>IF(+All!$F140="Army",+All!I140,IF(+All!$H140="Army",+All!I140,0))</f>
        <v>Ind</v>
      </c>
      <c r="J5" s="460" t="str">
        <f>IF(+All!$F140="Army",+All!J140,IF(+All!$H140="Army",+All!J140,0))</f>
        <v>UT San Antonio</v>
      </c>
      <c r="K5" s="461" t="str">
        <f>IF(+All!$F140="Army",+All!K140,IF(+All!$H140="Army",+All!K140,0))</f>
        <v>Army</v>
      </c>
      <c r="L5" s="54">
        <f>IF(+All!$F140="Army",+All!L140,IF(+All!$H140="Army",+All!L140,0))</f>
        <v>2</v>
      </c>
      <c r="M5" s="55">
        <f>IF(+All!$F140="Army",+All!M140,IF(+All!$H140="Army",+All!M140,0))</f>
        <v>54.5</v>
      </c>
      <c r="N5" s="460" t="str">
        <f>IF(+All!$F140="Army",+All!N140,IF(+All!$H140="Army",+All!N140,0))</f>
        <v>UT San Antonio</v>
      </c>
      <c r="O5" s="462">
        <f>IF(+All!$F140="Army",+All!O140,IF(+All!$H140="Army",+All!O140,0))</f>
        <v>41</v>
      </c>
      <c r="P5" s="462" t="str">
        <f>IF(+All!$F140="Army",+All!P140,IF(+All!$H140="Army",+All!P140,0))</f>
        <v>Army</v>
      </c>
      <c r="Q5" s="461">
        <f>IF(+All!$F140="Army",+All!Q140,IF(+All!$H140="Army",+All!Q140,0))</f>
        <v>38</v>
      </c>
      <c r="R5" s="460" t="str">
        <f>IF(+All!$F140="Army",+All!R140,IF(+All!$H140="Army",+All!R140,0))</f>
        <v>UT San Antonio</v>
      </c>
      <c r="S5" s="462" t="str">
        <f>IF(+All!$F140="Army",+All!S140,IF(+All!$H140="Army",+All!S140,0))</f>
        <v>Army</v>
      </c>
      <c r="T5" s="460" t="str">
        <f>IF(+All!$F140="Army",+All!T140,IF(+All!$H140="Army",+All!T140,0))</f>
        <v>UT San Antonio</v>
      </c>
      <c r="U5" s="461" t="str">
        <f>IF(+All!$F140="Army",+All!U140,IF(+All!$H140="Army",+All!U140,0))</f>
        <v>W</v>
      </c>
    </row>
    <row r="6" spans="1:25" x14ac:dyDescent="0.8">
      <c r="A6" s="46">
        <f>IF(+All!$F216="Army",+All!A216,IF(+All!$H216="Army",+All!A216,0))</f>
        <v>3</v>
      </c>
      <c r="B6" s="348" t="str">
        <f>IF(+All!$F216="Army",+All!B216,IF(+All!$H216="Army",+All!B216,0))</f>
        <v>Sat</v>
      </c>
      <c r="C6" s="48">
        <f>IF(+All!$F216="Army",+All!C216,IF(+All!$H216="Army",+All!C216,0))</f>
        <v>44821</v>
      </c>
      <c r="D6" s="490">
        <f>IF(+All!$F216="Army",+All!D216,IF(+All!$H216="Army",+All!D216,0))</f>
        <v>0.5</v>
      </c>
      <c r="E6" s="461" t="str">
        <f>IF(+All!$F216="Army",+All!E216,IF(+All!$H216="Army",+All!E216,0))</f>
        <v>CBSSN</v>
      </c>
      <c r="F6" s="51" t="str">
        <f>IF(+All!$F216="Army",+All!F216,IF(+All!$H216="Army",+All!F216,0))</f>
        <v>1AA Villanova</v>
      </c>
      <c r="G6" s="52" t="str">
        <f>IF(+All!$F216="Army",+All!G216,IF(+All!$H216="Army",+All!G216,0))</f>
        <v>1AA</v>
      </c>
      <c r="H6" s="51" t="str">
        <f>IF(+All!$F216="Army",+All!H216,IF(+All!$H216="Army",+All!H216,0))</f>
        <v>Army</v>
      </c>
      <c r="I6" s="52" t="str">
        <f>IF(+All!$F216="Army",+All!I216,IF(+All!$H216="Army",+All!I216,0))</f>
        <v>Ind</v>
      </c>
      <c r="J6" s="460">
        <f>IF(+All!$F216="Army",+All!J216,IF(+All!$H216="Army",+All!J216,0))</f>
        <v>0</v>
      </c>
      <c r="K6" s="461">
        <f>IF(+All!$F216="Army",+All!K216,IF(+All!$H216="Army",+All!K216,0))</f>
        <v>0</v>
      </c>
      <c r="L6" s="54">
        <f>IF(+All!$F216="Army",+All!L216,IF(+All!$H216="Army",+All!L216,0))</f>
        <v>0</v>
      </c>
      <c r="M6" s="55">
        <f>IF(+All!$F216="Army",+All!M216,IF(+All!$H216="Army",+All!M216,0))</f>
        <v>0</v>
      </c>
      <c r="N6" s="460" t="str">
        <f>IF(+All!$F216="Army",+All!N216,IF(+All!$H216="Army",+All!N216,0))</f>
        <v>Army</v>
      </c>
      <c r="O6" s="462">
        <f>IF(+All!$F216="Army",+All!O216,IF(+All!$H216="Army",+All!O216,0))</f>
        <v>49</v>
      </c>
      <c r="P6" s="462" t="str">
        <f>IF(+All!$F216="Army",+All!P216,IF(+All!$H216="Army",+All!P216,0))</f>
        <v>1AA Villanova</v>
      </c>
      <c r="Q6" s="461">
        <f>IF(+All!$F216="Army",+All!Q216,IF(+All!$H216="Army",+All!Q216,0))</f>
        <v>10</v>
      </c>
      <c r="R6" s="460">
        <f>IF(+All!$F216="Army",+All!R216,IF(+All!$H216="Army",+All!R216,0))</f>
        <v>0</v>
      </c>
      <c r="S6" s="462">
        <f>IF(+All!$F216="Army",+All!S216,IF(+All!$H216="Army",+All!S216,0))</f>
        <v>0</v>
      </c>
      <c r="T6" s="460">
        <f>IF(+All!$F216="Army",+All!T216,IF(+All!$H216="Army",+All!T216,0))</f>
        <v>0</v>
      </c>
      <c r="U6" s="461">
        <f>IF(+All!$F216="Army",+All!U216,IF(+All!$H216="Army",+All!U216,0))</f>
        <v>0</v>
      </c>
    </row>
    <row r="7" spans="1:25" x14ac:dyDescent="0.8">
      <c r="A7" s="46" t="e">
        <f>IF(+All!#REF!="Army",+All!#REF!,IF(+All!#REF!="Army",+All!#REF!,0))</f>
        <v>#REF!</v>
      </c>
      <c r="B7" s="348" t="e">
        <f>IF(+All!#REF!="Army",+All!#REF!,IF(+All!#REF!="Army",+All!#REF!,0))</f>
        <v>#REF!</v>
      </c>
      <c r="C7" s="48" t="e">
        <f>IF(+All!#REF!="Army",+All!#REF!,IF(+All!#REF!="Army",+All!#REF!,0))</f>
        <v>#REF!</v>
      </c>
      <c r="D7" s="490" t="e">
        <f>IF(+All!#REF!="Army",+All!#REF!,IF(+All!#REF!="Army",+All!#REF!,0))</f>
        <v>#REF!</v>
      </c>
      <c r="E7" s="461" t="e">
        <f>IF(+All!#REF!="Army",+All!#REF!,IF(+All!#REF!="Army",+All!#REF!,0))</f>
        <v>#REF!</v>
      </c>
      <c r="F7" s="51" t="e">
        <f>IF(+All!#REF!="Army",+All!#REF!,IF(+All!#REF!="Army",+All!#REF!,0))</f>
        <v>#REF!</v>
      </c>
      <c r="G7" s="52" t="e">
        <f>IF(+All!#REF!="Army",+All!#REF!,IF(+All!#REF!="Army",+All!#REF!,0))</f>
        <v>#REF!</v>
      </c>
      <c r="H7" s="51" t="e">
        <f>IF(+All!#REF!="Army",+All!#REF!,IF(+All!#REF!="Army",+All!#REF!,0))</f>
        <v>#REF!</v>
      </c>
      <c r="I7" s="52" t="e">
        <f>IF(+All!#REF!="Army",+All!#REF!,IF(+All!#REF!="Army",+All!#REF!,0))</f>
        <v>#REF!</v>
      </c>
      <c r="J7" s="460" t="e">
        <f>IF(+All!#REF!="Army",+All!#REF!,IF(+All!#REF!="Army",+All!#REF!,0))</f>
        <v>#REF!</v>
      </c>
      <c r="K7" s="461" t="e">
        <f>IF(+All!#REF!="Army",+All!#REF!,IF(+All!#REF!="Army",+All!#REF!,0))</f>
        <v>#REF!</v>
      </c>
      <c r="L7" s="54" t="e">
        <f>IF(+All!#REF!="Army",+All!#REF!,IF(+All!#REF!="Army",+All!#REF!,0))</f>
        <v>#REF!</v>
      </c>
      <c r="M7" s="55" t="e">
        <f>IF(+All!#REF!="Army",+All!#REF!,IF(+All!#REF!="Army",+All!#REF!,0))</f>
        <v>#REF!</v>
      </c>
      <c r="N7" s="460" t="e">
        <f>IF(+All!#REF!="Army",+All!#REF!,IF(+All!#REF!="Army",+All!#REF!,0))</f>
        <v>#REF!</v>
      </c>
      <c r="O7" s="462" t="e">
        <f>IF(+All!#REF!="Army",+All!#REF!,IF(+All!#REF!="Army",+All!#REF!,0))</f>
        <v>#REF!</v>
      </c>
      <c r="P7" s="462" t="e">
        <f>IF(+All!#REF!="Army",+All!#REF!,IF(+All!#REF!="Army",+All!#REF!,0))</f>
        <v>#REF!</v>
      </c>
      <c r="Q7" s="461" t="e">
        <f>IF(+All!#REF!="Army",+All!#REF!,IF(+All!#REF!="Army",+All!#REF!,0))</f>
        <v>#REF!</v>
      </c>
      <c r="R7" s="460" t="e">
        <f>IF(+All!#REF!="Army",+All!#REF!,IF(+All!#REF!="Army",+All!#REF!,0))</f>
        <v>#REF!</v>
      </c>
      <c r="S7" s="462" t="e">
        <f>IF(+All!#REF!="Army",+All!#REF!,IF(+All!#REF!="Army",+All!#REF!,0))</f>
        <v>#REF!</v>
      </c>
      <c r="T7" s="460" t="e">
        <f>IF(+All!#REF!="Army",+All!#REF!,IF(+All!#REF!="Army",+All!#REF!,0))</f>
        <v>#REF!</v>
      </c>
      <c r="U7" s="461" t="e">
        <f>IF(+All!#REF!="Army",+All!#REF!,IF(+All!#REF!="Army",+All!#REF!,0))</f>
        <v>#REF!</v>
      </c>
    </row>
    <row r="8" spans="1:25" x14ac:dyDescent="0.8">
      <c r="A8" s="46">
        <f>IF(+All!$F351="Army",+All!A351,IF(+All!$H351="Army",+All!A351,0))</f>
        <v>5</v>
      </c>
      <c r="B8" s="348" t="str">
        <f>IF(+All!$F351="Army",+All!B351,IF(+All!$H351="Army",+All!B351,0))</f>
        <v>Sat</v>
      </c>
      <c r="C8" s="48">
        <f>IF(+All!$F351="Army",+All!C351,IF(+All!$H351="Army",+All!C351,0))</f>
        <v>44835</v>
      </c>
      <c r="D8" s="490">
        <f>IF(+All!$F351="Army",+All!D351,IF(+All!$H351="Army",+All!D351,0))</f>
        <v>0.5</v>
      </c>
      <c r="E8" s="461" t="str">
        <f>IF(+All!$F351="Army",+All!E351,IF(+All!$H351="Army",+All!E351,0))</f>
        <v>CBSSN</v>
      </c>
      <c r="F8" s="51" t="str">
        <f>IF(+All!$F351="Army",+All!F351,IF(+All!$H351="Army",+All!F351,0))</f>
        <v>Georgia State</v>
      </c>
      <c r="G8" s="52" t="str">
        <f>IF(+All!$F351="Army",+All!G351,IF(+All!$H351="Army",+All!G351,0))</f>
        <v>SB</v>
      </c>
      <c r="H8" s="51" t="str">
        <f>IF(+All!$F351="Army",+All!H351,IF(+All!$H351="Army",+All!H351,0))</f>
        <v>Army</v>
      </c>
      <c r="I8" s="52" t="str">
        <f>IF(+All!$F351="Army",+All!I351,IF(+All!$H351="Army",+All!I351,0))</f>
        <v>Ind</v>
      </c>
      <c r="J8" s="460" t="str">
        <f>IF(+All!$F351="Army",+All!J351,IF(+All!$H351="Army",+All!J351,0))</f>
        <v>Army</v>
      </c>
      <c r="K8" s="461" t="str">
        <f>IF(+All!$F351="Army",+All!K351,IF(+All!$H351="Army",+All!K351,0))</f>
        <v>Georgia State</v>
      </c>
      <c r="L8" s="54">
        <f>IF(+All!$F351="Army",+All!L351,IF(+All!$H351="Army",+All!L351,0))</f>
        <v>7.5</v>
      </c>
      <c r="M8" s="55">
        <f>IF(+All!$F351="Army",+All!M351,IF(+All!$H351="Army",+All!M351,0))</f>
        <v>54</v>
      </c>
      <c r="N8" s="460" t="str">
        <f>IF(+All!$F351="Army",+All!N351,IF(+All!$H351="Army",+All!N351,0))</f>
        <v>Georgia State</v>
      </c>
      <c r="O8" s="462">
        <f>IF(+All!$F351="Army",+All!O351,IF(+All!$H351="Army",+All!O351,0))</f>
        <v>31</v>
      </c>
      <c r="P8" s="462" t="str">
        <f>IF(+All!$F351="Army",+All!P351,IF(+All!$H351="Army",+All!P351,0))</f>
        <v>Army</v>
      </c>
      <c r="Q8" s="461">
        <f>IF(+All!$F351="Army",+All!Q351,IF(+All!$H351="Army",+All!Q351,0))</f>
        <v>14</v>
      </c>
      <c r="R8" s="460" t="str">
        <f>IF(+All!$F351="Army",+All!R351,IF(+All!$H351="Army",+All!R351,0))</f>
        <v>Georgia State</v>
      </c>
      <c r="S8" s="462" t="str">
        <f>IF(+All!$F351="Army",+All!S351,IF(+All!$H351="Army",+All!S351,0))</f>
        <v>Army</v>
      </c>
      <c r="T8" s="460" t="str">
        <f>IF(+All!$F351="Army",+All!T351,IF(+All!$H351="Army",+All!T351,0))</f>
        <v>Army</v>
      </c>
      <c r="U8" s="461" t="str">
        <f>IF(+All!$F351="Army",+All!U351,IF(+All!$H351="Army",+All!U351,0))</f>
        <v>L</v>
      </c>
    </row>
    <row r="9" spans="1:25" x14ac:dyDescent="0.8">
      <c r="A9" s="46">
        <f>IF(+All!$F395="Army",+All!A395,IF(+All!$H395="Army",+All!A395,0))</f>
        <v>6</v>
      </c>
      <c r="B9" s="348" t="str">
        <f>IF(+All!$F395="Army",+All!B395,IF(+All!$H395="Army",+All!B395,0))</f>
        <v>Sat</v>
      </c>
      <c r="C9" s="48">
        <f>IF(+All!$F395="Army",+All!C395,IF(+All!$H395="Army",+All!C395,0))</f>
        <v>44842</v>
      </c>
      <c r="D9" s="490">
        <f>IF(+All!$F395="Army",+All!D395,IF(+All!$H395="Army",+All!D395,0))</f>
        <v>0.8125</v>
      </c>
      <c r="E9" s="461" t="str">
        <f>IF(+All!$F395="Army",+All!E395,IF(+All!$H395="Army",+All!E395,0))</f>
        <v>espn3</v>
      </c>
      <c r="F9" s="51" t="str">
        <f>IF(+All!$F395="Army",+All!F395,IF(+All!$H395="Army",+All!F395,0))</f>
        <v>Army</v>
      </c>
      <c r="G9" s="52" t="str">
        <f>IF(+All!$F395="Army",+All!G395,IF(+All!$H395="Army",+All!G395,0))</f>
        <v>Ind</v>
      </c>
      <c r="H9" s="51" t="str">
        <f>IF(+All!$F395="Army",+All!H395,IF(+All!$H395="Army",+All!H395,0))</f>
        <v>Wake Forest</v>
      </c>
      <c r="I9" s="52" t="str">
        <f>IF(+All!$F395="Army",+All!I395,IF(+All!$H395="Army",+All!I395,0))</f>
        <v>ACC</v>
      </c>
      <c r="J9" s="460" t="str">
        <f>IF(+All!$F395="Army",+All!J395,IF(+All!$H395="Army",+All!J395,0))</f>
        <v>Wake Forest</v>
      </c>
      <c r="K9" s="461" t="str">
        <f>IF(+All!$F395="Army",+All!K395,IF(+All!$H395="Army",+All!K395,0))</f>
        <v>Army</v>
      </c>
      <c r="L9" s="54">
        <f>IF(+All!$F395="Army",+All!L395,IF(+All!$H395="Army",+All!L395,0))</f>
        <v>17</v>
      </c>
      <c r="M9" s="55">
        <f>IF(+All!$F395="Army",+All!M395,IF(+All!$H395="Army",+All!M395,0))</f>
        <v>66</v>
      </c>
      <c r="N9" s="460" t="str">
        <f>IF(+All!$F395="Army",+All!N395,IF(+All!$H395="Army",+All!N395,0))</f>
        <v>Wake Forest</v>
      </c>
      <c r="O9" s="462">
        <f>IF(+All!$F395="Army",+All!O395,IF(+All!$H395="Army",+All!O395,0))</f>
        <v>45</v>
      </c>
      <c r="P9" s="462" t="str">
        <f>IF(+All!$F395="Army",+All!P395,IF(+All!$H395="Army",+All!P395,0))</f>
        <v>Army</v>
      </c>
      <c r="Q9" s="461">
        <f>IF(+All!$F395="Army",+All!Q395,IF(+All!$H395="Army",+All!Q395,0))</f>
        <v>10</v>
      </c>
      <c r="R9" s="460" t="str">
        <f>IF(+All!$F395="Army",+All!R395,IF(+All!$H395="Army",+All!R395,0))</f>
        <v>Wake Forest</v>
      </c>
      <c r="S9" s="462" t="str">
        <f>IF(+All!$F395="Army",+All!S395,IF(+All!$H395="Army",+All!S395,0))</f>
        <v>Army</v>
      </c>
      <c r="T9" s="460" t="str">
        <f>IF(+All!$F395="Army",+All!T395,IF(+All!$H395="Army",+All!T395,0))</f>
        <v>Wake Forest</v>
      </c>
      <c r="U9" s="461" t="str">
        <f>IF(+All!$F395="Army",+All!U395,IF(+All!$H395="Army",+All!U395,0))</f>
        <v>W</v>
      </c>
    </row>
    <row r="10" spans="1:25" x14ac:dyDescent="0.8">
      <c r="A10" s="46">
        <f>IF(+All!$F461="Army",+All!A461,IF(+All!$H461="Army",+All!A461,0))</f>
        <v>7</v>
      </c>
      <c r="B10" s="348" t="str">
        <f>IF(+All!$F461="Army",+All!B461,IF(+All!$H461="Army",+All!B461,0))</f>
        <v>Sat</v>
      </c>
      <c r="C10" s="48">
        <f>IF(+All!$F461="Army",+All!C461,IF(+All!$H461="Army",+All!C461,0))</f>
        <v>44849</v>
      </c>
      <c r="D10" s="490">
        <f>IF(+All!$F461="Army",+All!D461,IF(+All!$H461="Army",+All!D461,0))</f>
        <v>0.5</v>
      </c>
      <c r="E10" s="461" t="str">
        <f>IF(+All!$F461="Army",+All!E461,IF(+All!$H461="Army",+All!E461,0))</f>
        <v>CBSSN</v>
      </c>
      <c r="F10" s="51" t="str">
        <f>IF(+All!$F461="Army",+All!F461,IF(+All!$H461="Army",+All!F461,0))</f>
        <v>1AA Colgate</v>
      </c>
      <c r="G10" s="52" t="str">
        <f>IF(+All!$F461="Army",+All!G461,IF(+All!$H461="Army",+All!G461,0))</f>
        <v>1AA</v>
      </c>
      <c r="H10" s="51" t="str">
        <f>IF(+All!$F461="Army",+All!H461,IF(+All!$H461="Army",+All!H461,0))</f>
        <v>Army</v>
      </c>
      <c r="I10" s="52" t="str">
        <f>IF(+All!$F461="Army",+All!I461,IF(+All!$H461="Army",+All!I461,0))</f>
        <v>Ind</v>
      </c>
      <c r="J10" s="460">
        <f>IF(+All!$F461="Army",+All!J461,IF(+All!$H461="Army",+All!J461,0))</f>
        <v>0</v>
      </c>
      <c r="K10" s="461">
        <f>IF(+All!$F461="Army",+All!K461,IF(+All!$H461="Army",+All!K461,0))</f>
        <v>0</v>
      </c>
      <c r="L10" s="54">
        <f>IF(+All!$F461="Army",+All!L461,IF(+All!$H461="Army",+All!L461,0))</f>
        <v>0</v>
      </c>
      <c r="M10" s="55">
        <f>IF(+All!$F461="Army",+All!M461,IF(+All!$H461="Army",+All!M461,0))</f>
        <v>0</v>
      </c>
      <c r="N10" s="460" t="str">
        <f>IF(+All!$F461="Army",+All!N461,IF(+All!$H461="Army",+All!N461,0))</f>
        <v>Army</v>
      </c>
      <c r="O10" s="462">
        <f>IF(+All!$F461="Army",+All!O461,IF(+All!$H461="Army",+All!O461,0))</f>
        <v>42</v>
      </c>
      <c r="P10" s="462" t="str">
        <f>IF(+All!$F461="Army",+All!P461,IF(+All!$H461="Army",+All!P461,0))</f>
        <v>1AA Colgate</v>
      </c>
      <c r="Q10" s="461">
        <f>IF(+All!$F461="Army",+All!Q461,IF(+All!$H461="Army",+All!Q461,0))</f>
        <v>17</v>
      </c>
      <c r="R10" s="460">
        <f>IF(+All!$F461="Army",+All!R461,IF(+All!$H461="Army",+All!R461,0))</f>
        <v>0</v>
      </c>
      <c r="S10" s="462">
        <f>IF(+All!$F461="Army",+All!S461,IF(+All!$H461="Army",+All!S461,0))</f>
        <v>0</v>
      </c>
      <c r="T10" s="460">
        <f>IF(+All!$F461="Army",+All!T461,IF(+All!$H461="Army",+All!T461,0))</f>
        <v>0</v>
      </c>
      <c r="U10" s="461">
        <f>IF(+All!$F461="Army",+All!U461,IF(+All!$H461="Army",+All!U461,0))</f>
        <v>0</v>
      </c>
    </row>
    <row r="11" spans="1:25" x14ac:dyDescent="0.8">
      <c r="A11" s="46">
        <f>IF(+All!$F517="Army",+All!A517,IF(+All!$H517="Army",+All!A517,0))</f>
        <v>8</v>
      </c>
      <c r="B11" s="348" t="str">
        <f>IF(+All!$F517="Army",+All!B517,IF(+All!$H517="Army",+All!B517,0))</f>
        <v>Sat</v>
      </c>
      <c r="C11" s="48">
        <f>IF(+All!$F517="Army",+All!C517,IF(+All!$H517="Army",+All!C517,0))</f>
        <v>44856</v>
      </c>
      <c r="D11" s="490">
        <f>IF(+All!$F517="Army",+All!D517,IF(+All!$H517="Army",+All!D517,0))</f>
        <v>0.5</v>
      </c>
      <c r="E11" s="461" t="str">
        <f>IF(+All!$F517="Army",+All!E517,IF(+All!$H517="Army",+All!E517,0))</f>
        <v>CBSSN</v>
      </c>
      <c r="F11" s="51" t="str">
        <f>IF(+All!$F517="Army",+All!F517,IF(+All!$H517="Army",+All!F517,0))</f>
        <v>UL Monroe</v>
      </c>
      <c r="G11" s="52" t="str">
        <f>IF(+All!$F517="Army",+All!G517,IF(+All!$H517="Army",+All!G517,0))</f>
        <v>SB</v>
      </c>
      <c r="H11" s="51" t="str">
        <f>IF(+All!$F517="Army",+All!H517,IF(+All!$H517="Army",+All!H517,0))</f>
        <v>Army</v>
      </c>
      <c r="I11" s="52" t="str">
        <f>IF(+All!$F517="Army",+All!I517,IF(+All!$H517="Army",+All!I517,0))</f>
        <v>Ind</v>
      </c>
      <c r="J11" s="460" t="str">
        <f>IF(+All!$F517="Army",+All!J517,IF(+All!$H517="Army",+All!J517,0))</f>
        <v>Army</v>
      </c>
      <c r="K11" s="461" t="str">
        <f>IF(+All!$F517="Army",+All!K517,IF(+All!$H517="Army",+All!K517,0))</f>
        <v>UL Monroe</v>
      </c>
      <c r="L11" s="54">
        <f>IF(+All!$F517="Army",+All!L517,IF(+All!$H517="Army",+All!L517,0))</f>
        <v>7</v>
      </c>
      <c r="M11" s="55">
        <f>IF(+All!$F517="Army",+All!M517,IF(+All!$H517="Army",+All!M517,0))</f>
        <v>55.5</v>
      </c>
      <c r="N11" s="460" t="str">
        <f>IF(+All!$F517="Army",+All!N517,IF(+All!$H517="Army",+All!N517,0))</f>
        <v>Army</v>
      </c>
      <c r="O11" s="462">
        <f>IF(+All!$F517="Army",+All!O517,IF(+All!$H517="Army",+All!O517,0))</f>
        <v>48</v>
      </c>
      <c r="P11" s="462" t="str">
        <f>IF(+All!$F517="Army",+All!P517,IF(+All!$H517="Army",+All!P517,0))</f>
        <v>UL Monroe</v>
      </c>
      <c r="Q11" s="461">
        <f>IF(+All!$F517="Army",+All!Q517,IF(+All!$H517="Army",+All!Q517,0))</f>
        <v>24</v>
      </c>
      <c r="R11" s="460" t="str">
        <f>IF(+All!$F517="Army",+All!R517,IF(+All!$H517="Army",+All!R517,0))</f>
        <v>Army</v>
      </c>
      <c r="S11" s="462" t="str">
        <f>IF(+All!$F517="Army",+All!S517,IF(+All!$H517="Army",+All!S517,0))</f>
        <v>UL Monroe</v>
      </c>
      <c r="T11" s="460" t="str">
        <f>IF(+All!$F517="Army",+All!T517,IF(+All!$H517="Army",+All!T517,0))</f>
        <v>UL Monroe</v>
      </c>
      <c r="U11" s="461" t="str">
        <f>IF(+All!$F517="Army",+All!U517,IF(+All!$H517="Army",+All!U517,0))</f>
        <v>L</v>
      </c>
    </row>
    <row r="12" spans="1:25" x14ac:dyDescent="0.8">
      <c r="A12" s="46" t="e">
        <f>IF(+All!#REF!="Army",+All!#REF!,IF(+All!#REF!="Army",+All!#REF!,0))</f>
        <v>#REF!</v>
      </c>
      <c r="B12" s="348" t="e">
        <f>IF(+All!#REF!="Army",+All!#REF!,IF(+All!#REF!="Army",+All!#REF!,0))</f>
        <v>#REF!</v>
      </c>
      <c r="C12" s="48" t="e">
        <f>IF(+All!#REF!="Army",+All!#REF!,IF(+All!#REF!="Army",+All!#REF!,0))</f>
        <v>#REF!</v>
      </c>
      <c r="D12" s="490" t="e">
        <f>IF(+All!#REF!="Army",+All!#REF!,IF(+All!#REF!="Army",+All!#REF!,0))</f>
        <v>#REF!</v>
      </c>
      <c r="E12" s="461" t="e">
        <f>IF(+All!#REF!="Army",+All!#REF!,IF(+All!#REF!="Army",+All!#REF!,0))</f>
        <v>#REF!</v>
      </c>
      <c r="F12" s="51" t="e">
        <f>IF(+All!#REF!="Army",+All!#REF!,IF(+All!#REF!="Army",+All!#REF!,0))</f>
        <v>#REF!</v>
      </c>
      <c r="G12" s="52" t="e">
        <f>IF(+All!#REF!="Army",+All!#REF!,IF(+All!#REF!="Army",+All!#REF!,0))</f>
        <v>#REF!</v>
      </c>
      <c r="H12" s="51" t="e">
        <f>IF(+All!#REF!="Army",+All!#REF!,IF(+All!#REF!="Army",+All!#REF!,0))</f>
        <v>#REF!</v>
      </c>
      <c r="I12" s="52" t="e">
        <f>IF(+All!#REF!="Army",+All!#REF!,IF(+All!#REF!="Army",+All!#REF!,0))</f>
        <v>#REF!</v>
      </c>
      <c r="J12" s="460" t="e">
        <f>IF(+All!#REF!="Army",+All!#REF!,IF(+All!#REF!="Army",+All!#REF!,0))</f>
        <v>#REF!</v>
      </c>
      <c r="K12" s="461" t="e">
        <f>IF(+All!#REF!="Army",+All!#REF!,IF(+All!#REF!="Army",+All!#REF!,0))</f>
        <v>#REF!</v>
      </c>
      <c r="L12" s="54" t="e">
        <f>IF(+All!#REF!="Army",+All!#REF!,IF(+All!#REF!="Army",+All!#REF!,0))</f>
        <v>#REF!</v>
      </c>
      <c r="M12" s="55" t="e">
        <f>IF(+All!#REF!="Army",+All!#REF!,IF(+All!#REF!="Army",+All!#REF!,0))</f>
        <v>#REF!</v>
      </c>
      <c r="N12" s="460" t="e">
        <f>IF(+All!#REF!="Army",+All!#REF!,IF(+All!#REF!="Army",+All!#REF!,0))</f>
        <v>#REF!</v>
      </c>
      <c r="O12" s="462" t="e">
        <f>IF(+All!#REF!="Army",+All!#REF!,IF(+All!#REF!="Army",+All!#REF!,0))</f>
        <v>#REF!</v>
      </c>
      <c r="P12" s="462" t="e">
        <f>IF(+All!#REF!="Army",+All!#REF!,IF(+All!#REF!="Army",+All!#REF!,0))</f>
        <v>#REF!</v>
      </c>
      <c r="Q12" s="461" t="e">
        <f>IF(+All!#REF!="Army",+All!#REF!,IF(+All!#REF!="Army",+All!#REF!,0))</f>
        <v>#REF!</v>
      </c>
      <c r="R12" s="460" t="e">
        <f>IF(+All!#REF!="Army",+All!#REF!,IF(+All!#REF!="Army",+All!#REF!,0))</f>
        <v>#REF!</v>
      </c>
      <c r="S12" s="462" t="e">
        <f>IF(+All!#REF!="Army",+All!#REF!,IF(+All!#REF!="Army",+All!#REF!,0))</f>
        <v>#REF!</v>
      </c>
      <c r="T12" s="460" t="e">
        <f>IF(+All!#REF!="Army",+All!#REF!,IF(+All!#REF!="Army",+All!#REF!,0))</f>
        <v>#REF!</v>
      </c>
      <c r="U12" s="461" t="e">
        <f>IF(+All!#REF!="Army",+All!#REF!,IF(+All!#REF!="Army",+All!#REF!,0))</f>
        <v>#REF!</v>
      </c>
    </row>
    <row r="13" spans="1:25" x14ac:dyDescent="0.8">
      <c r="A13" s="46">
        <f>IF(+All!$F629="Army",+All!A629,IF(+All!$H629="Army",+All!A629,0))</f>
        <v>10</v>
      </c>
      <c r="B13" s="348" t="str">
        <f>IF(+All!$F629="Army",+All!B629,IF(+All!$H629="Army",+All!B629,0))</f>
        <v>Sat</v>
      </c>
      <c r="C13" s="48">
        <f>IF(+All!$F629="Army",+All!C629,IF(+All!$H629="Army",+All!C629,0))</f>
        <v>44870</v>
      </c>
      <c r="D13" s="490">
        <f>IF(+All!$F629="Army",+All!D629,IF(+All!$H629="Army",+All!D629,0))</f>
        <v>0.47916666666666669</v>
      </c>
      <c r="E13" s="461" t="str">
        <f>IF(+All!$F629="Army",+All!E629,IF(+All!$H629="Army",+All!E629,0))</f>
        <v>CBS</v>
      </c>
      <c r="F13" s="51" t="str">
        <f>IF(+All!$F629="Army",+All!F629,IF(+All!$H629="Army",+All!F629,0))</f>
        <v>Air Force</v>
      </c>
      <c r="G13" s="52" t="str">
        <f>IF(+All!$F629="Army",+All!G629,IF(+All!$H629="Army",+All!G629,0))</f>
        <v>MWC</v>
      </c>
      <c r="H13" s="51" t="str">
        <f>IF(+All!$F629="Army",+All!H629,IF(+All!$H629="Army",+All!H629,0))</f>
        <v>Army</v>
      </c>
      <c r="I13" s="52" t="str">
        <f>IF(+All!$F629="Army",+All!I629,IF(+All!$H629="Army",+All!I629,0))</f>
        <v>Ind</v>
      </c>
      <c r="J13" s="460" t="str">
        <f>IF(+All!$F629="Army",+All!J629,IF(+All!$H629="Army",+All!J629,0))</f>
        <v>Air Force</v>
      </c>
      <c r="K13" s="461" t="str">
        <f>IF(+All!$F629="Army",+All!K629,IF(+All!$H629="Army",+All!K629,0))</f>
        <v>Army</v>
      </c>
      <c r="L13" s="54">
        <f>IF(+All!$F629="Army",+All!L629,IF(+All!$H629="Army",+All!L629,0))</f>
        <v>7</v>
      </c>
      <c r="M13" s="55">
        <f>IF(+All!$F629="Army",+All!M629,IF(+All!$H629="Army",+All!M629,0))</f>
        <v>40</v>
      </c>
      <c r="N13" s="460" t="str">
        <f>IF(+All!$F629="Army",+All!N629,IF(+All!$H629="Army",+All!N629,0))</f>
        <v>Air Force</v>
      </c>
      <c r="O13" s="462">
        <f>IF(+All!$F629="Army",+All!O629,IF(+All!$H629="Army",+All!O629,0))</f>
        <v>13</v>
      </c>
      <c r="P13" s="462" t="str">
        <f>IF(+All!$F629="Army",+All!P629,IF(+All!$H629="Army",+All!P629,0))</f>
        <v>Army</v>
      </c>
      <c r="Q13" s="461">
        <f>IF(+All!$F629="Army",+All!Q629,IF(+All!$H629="Army",+All!Q629,0))</f>
        <v>7</v>
      </c>
      <c r="R13" s="460" t="str">
        <f>IF(+All!$F629="Army",+All!R629,IF(+All!$H629="Army",+All!R629,0))</f>
        <v>Army</v>
      </c>
      <c r="S13" s="462" t="str">
        <f>IF(+All!$F629="Army",+All!S629,IF(+All!$H629="Army",+All!S629,0))</f>
        <v>Air Force</v>
      </c>
      <c r="T13" s="460" t="str">
        <f>IF(+All!$F629="Army",+All!T629,IF(+All!$H629="Army",+All!T629,0))</f>
        <v>Army</v>
      </c>
      <c r="U13" s="461" t="str">
        <f>IF(+All!$F629="Army",+All!U629,IF(+All!$H629="Army",+All!U629,0))</f>
        <v>W</v>
      </c>
    </row>
    <row r="14" spans="1:25" x14ac:dyDescent="0.8">
      <c r="A14" s="46">
        <f>IF(+All!$F710="Army",+All!A710,IF(+All!$H710="Army",+All!A710,0))</f>
        <v>11</v>
      </c>
      <c r="B14" s="348" t="str">
        <f>IF(+All!$F710="Army",+All!B710,IF(+All!$H710="Army",+All!B710,0))</f>
        <v>Sat</v>
      </c>
      <c r="C14" s="48">
        <f>IF(+All!$F710="Army",+All!C710,IF(+All!$H710="Army",+All!C710,0))</f>
        <v>44877</v>
      </c>
      <c r="D14" s="490">
        <f>IF(+All!$F710="Army",+All!D710,IF(+All!$H710="Army",+All!D710,0))</f>
        <v>0.64583333333333337</v>
      </c>
      <c r="E14" s="461" t="str">
        <f>IF(+All!$F710="Army",+All!E710,IF(+All!$H710="Army",+All!E710,0))</f>
        <v>NFL</v>
      </c>
      <c r="F14" s="51" t="str">
        <f>IF(+All!$F710="Army",+All!F710,IF(+All!$H710="Army",+All!F710,0))</f>
        <v>Army</v>
      </c>
      <c r="G14" s="52" t="str">
        <f>IF(+All!$F710="Army",+All!G710,IF(+All!$H710="Army",+All!G710,0))</f>
        <v>Ind</v>
      </c>
      <c r="H14" s="51" t="str">
        <f>IF(+All!$F710="Army",+All!H710,IF(+All!$H710="Army",+All!H710,0))</f>
        <v>Troy</v>
      </c>
      <c r="I14" s="52" t="str">
        <f>IF(+All!$F710="Army",+All!I710,IF(+All!$H710="Army",+All!I710,0))</f>
        <v>SB</v>
      </c>
      <c r="J14" s="460" t="str">
        <f>IF(+All!$F710="Army",+All!J710,IF(+All!$H710="Army",+All!J710,0))</f>
        <v>Troy</v>
      </c>
      <c r="K14" s="461" t="str">
        <f>IF(+All!$F710="Army",+All!K710,IF(+All!$H710="Army",+All!K710,0))</f>
        <v>Army</v>
      </c>
      <c r="L14" s="54">
        <f>IF(+All!$F710="Army",+All!L710,IF(+All!$H710="Army",+All!L710,0))</f>
        <v>9</v>
      </c>
      <c r="M14" s="55">
        <f>IF(+All!$F710="Army",+All!M710,IF(+All!$H710="Army",+All!M710,0))</f>
        <v>46</v>
      </c>
      <c r="N14" s="460" t="str">
        <f>IF(+All!$F710="Army",+All!N710,IF(+All!$H710="Army",+All!N710,0))</f>
        <v>Troy</v>
      </c>
      <c r="O14" s="462">
        <f>IF(+All!$F710="Army",+All!O710,IF(+All!$H710="Army",+All!O710,0))</f>
        <v>10</v>
      </c>
      <c r="P14" s="462" t="str">
        <f>IF(+All!$F710="Army",+All!P710,IF(+All!$H710="Army",+All!P710,0))</f>
        <v>Army</v>
      </c>
      <c r="Q14" s="461">
        <f>IF(+All!$F710="Army",+All!Q710,IF(+All!$H710="Army",+All!Q710,0))</f>
        <v>9</v>
      </c>
      <c r="R14" s="460" t="str">
        <f>IF(+All!$F710="Army",+All!R710,IF(+All!$H710="Army",+All!R710,0))</f>
        <v>Army</v>
      </c>
      <c r="S14" s="462" t="str">
        <f>IF(+All!$F710="Army",+All!S710,IF(+All!$H710="Army",+All!S710,0))</f>
        <v>Troy</v>
      </c>
      <c r="T14" s="460" t="str">
        <f>IF(+All!$F710="Army",+All!T710,IF(+All!$H710="Army",+All!T710,0))</f>
        <v>Troy</v>
      </c>
      <c r="U14" s="461" t="str">
        <f>IF(+All!$F710="Army",+All!U710,IF(+All!$H710="Army",+All!U710,0))</f>
        <v>L</v>
      </c>
    </row>
    <row r="15" spans="1:25" x14ac:dyDescent="0.8">
      <c r="A15" s="46">
        <f>IF(+All!$F753="Army",+All!A753,IF(+All!$H753="Army",+All!A753,0))</f>
        <v>12</v>
      </c>
      <c r="B15" s="348" t="str">
        <f>IF(+All!$F753="Army",+All!B753,IF(+All!$H753="Army",+All!B753,0))</f>
        <v>Sat</v>
      </c>
      <c r="C15" s="48">
        <f>IF(+All!$F753="Army",+All!C753,IF(+All!$H753="Army",+All!C753,0))</f>
        <v>44884</v>
      </c>
      <c r="D15" s="490">
        <f>IF(+All!$F753="Army",+All!D753,IF(+All!$H753="Army",+All!D753,0))</f>
        <v>0.5</v>
      </c>
      <c r="E15" s="461" t="str">
        <f>IF(+All!$F753="Army",+All!E753,IF(+All!$H753="Army",+All!E753,0))</f>
        <v>CBSSN</v>
      </c>
      <c r="F15" s="51" t="str">
        <f>IF(+All!$F753="Army",+All!F753,IF(+All!$H753="Army",+All!F753,0))</f>
        <v>Connecticut</v>
      </c>
      <c r="G15" s="52" t="str">
        <f>IF(+All!$F753="Army",+All!G753,IF(+All!$H753="Army",+All!G753,0))</f>
        <v>Ind</v>
      </c>
      <c r="H15" s="51" t="str">
        <f>IF(+All!$F753="Army",+All!H753,IF(+All!$H753="Army",+All!H753,0))</f>
        <v>Army</v>
      </c>
      <c r="I15" s="52" t="str">
        <f>IF(+All!$F753="Army",+All!I753,IF(+All!$H753="Army",+All!I753,0))</f>
        <v>Ind</v>
      </c>
      <c r="J15" s="460" t="str">
        <f>IF(+All!$F753="Army",+All!J753,IF(+All!$H753="Army",+All!J753,0))</f>
        <v>Army</v>
      </c>
      <c r="K15" s="461" t="str">
        <f>IF(+All!$F753="Army",+All!K753,IF(+All!$H753="Army",+All!K753,0))</f>
        <v>Connecticut</v>
      </c>
      <c r="L15" s="54">
        <f>IF(+All!$F753="Army",+All!L753,IF(+All!$H753="Army",+All!L753,0))</f>
        <v>10</v>
      </c>
      <c r="M15" s="55">
        <f>IF(+All!$F753="Army",+All!M753,IF(+All!$H753="Army",+All!M753,0))</f>
        <v>43.5</v>
      </c>
      <c r="N15" s="460" t="str">
        <f>IF(+All!$F753="Army",+All!N753,IF(+All!$H753="Army",+All!N753,0))</f>
        <v>Army</v>
      </c>
      <c r="O15" s="462">
        <f>IF(+All!$F753="Army",+All!O753,IF(+All!$H753="Army",+All!O753,0))</f>
        <v>34</v>
      </c>
      <c r="P15" s="462" t="str">
        <f>IF(+All!$F753="Army",+All!P753,IF(+All!$H753="Army",+All!P753,0))</f>
        <v>Connecticut</v>
      </c>
      <c r="Q15" s="461">
        <f>IF(+All!$F753="Army",+All!Q753,IF(+All!$H753="Army",+All!Q753,0))</f>
        <v>17</v>
      </c>
      <c r="R15" s="460" t="str">
        <f>IF(+All!$F753="Army",+All!R753,IF(+All!$H753="Army",+All!R753,0))</f>
        <v>Army</v>
      </c>
      <c r="S15" s="462" t="str">
        <f>IF(+All!$F753="Army",+All!S753,IF(+All!$H753="Army",+All!S753,0))</f>
        <v>Connecticut</v>
      </c>
      <c r="T15" s="460" t="str">
        <f>IF(+All!$F753="Army",+All!T753,IF(+All!$H753="Army",+All!T753,0))</f>
        <v>Connecticut</v>
      </c>
      <c r="U15" s="461" t="str">
        <f>IF(+All!$F753="Army",+All!U753,IF(+All!$H753="Army",+All!U753,0))</f>
        <v>L</v>
      </c>
    </row>
    <row r="16" spans="1:25" x14ac:dyDescent="0.8">
      <c r="A16" s="46">
        <f>IF(+All!$F824="Army",+All!A824,IF(+All!$H824="Army",+All!A824,0))</f>
        <v>13</v>
      </c>
      <c r="B16" s="348" t="str">
        <f>IF(+All!$F824="Army",+All!B824,IF(+All!$H824="Army",+All!B824,0))</f>
        <v>Sat</v>
      </c>
      <c r="C16" s="48">
        <f>IF(+All!$F824="Army",+All!C824,IF(+All!$H824="Army",+All!C824,0))</f>
        <v>44891</v>
      </c>
      <c r="D16" s="490">
        <f>IF(+All!$F824="Army",+All!D824,IF(+All!$H824="Army",+All!D824,0))</f>
        <v>0.5</v>
      </c>
      <c r="E16" s="461">
        <f>IF(+All!$F824="Army",+All!E824,IF(+All!$H824="Army",+All!E824,0))</f>
        <v>0</v>
      </c>
      <c r="F16" s="51" t="str">
        <f>IF(+All!$F824="Army",+All!F824,IF(+All!$H824="Army",+All!F824,0))</f>
        <v>Army</v>
      </c>
      <c r="G16" s="52" t="str">
        <f>IF(+All!$F824="Army",+All!G824,IF(+All!$H824="Army",+All!G824,0))</f>
        <v>Ind</v>
      </c>
      <c r="H16" s="51" t="str">
        <f>IF(+All!$F824="Army",+All!H824,IF(+All!$H824="Army",+All!H824,0))</f>
        <v>Massachusetts</v>
      </c>
      <c r="I16" s="52" t="str">
        <f>IF(+All!$F824="Army",+All!I824,IF(+All!$H824="Army",+All!I824,0))</f>
        <v>Ind</v>
      </c>
      <c r="J16" s="460" t="str">
        <f>IF(+All!$F824="Army",+All!J824,IF(+All!$H824="Army",+All!J824,0))</f>
        <v>Army</v>
      </c>
      <c r="K16" s="461" t="str">
        <f>IF(+All!$F824="Army",+All!K824,IF(+All!$H824="Army",+All!K824,0))</f>
        <v>Massachusetts</v>
      </c>
      <c r="L16" s="54">
        <f>IF(+All!$F824="Army",+All!L824,IF(+All!$H824="Army",+All!L824,0))</f>
        <v>19.5</v>
      </c>
      <c r="M16" s="55">
        <f>IF(+All!$F824="Army",+All!M824,IF(+All!$H824="Army",+All!M824,0))</f>
        <v>45</v>
      </c>
      <c r="N16" s="460" t="str">
        <f>IF(+All!$F824="Army",+All!N824,IF(+All!$H824="Army",+All!N824,0))</f>
        <v>Army</v>
      </c>
      <c r="O16" s="462">
        <f>IF(+All!$F824="Army",+All!O824,IF(+All!$H824="Army",+All!O824,0))</f>
        <v>44</v>
      </c>
      <c r="P16" s="462" t="str">
        <f>IF(+All!$F824="Army",+All!P824,IF(+All!$H824="Army",+All!P824,0))</f>
        <v>Massachusetts</v>
      </c>
      <c r="Q16" s="461">
        <f>IF(+All!$F824="Army",+All!Q824,IF(+All!$H824="Army",+All!Q824,0))</f>
        <v>7</v>
      </c>
      <c r="R16" s="460" t="str">
        <f>IF(+All!$F824="Army",+All!R824,IF(+All!$H824="Army",+All!R824,0))</f>
        <v>Army</v>
      </c>
      <c r="S16" s="462" t="str">
        <f>IF(+All!$F824="Army",+All!S824,IF(+All!$H824="Army",+All!S824,0))</f>
        <v>Massachusetts</v>
      </c>
      <c r="T16" s="460" t="str">
        <f>IF(+All!$F824="Army",+All!T824,IF(+All!$H824="Army",+All!T824,0))</f>
        <v>Massachusetts</v>
      </c>
      <c r="U16" s="461" t="str">
        <f>IF(+All!$F824="Army",+All!U824,IF(+All!$H824="Army",+All!U824,0))</f>
        <v>L</v>
      </c>
    </row>
    <row r="17" spans="1:21" x14ac:dyDescent="0.8">
      <c r="A17" s="46">
        <f>IF(+All!$F851="Army",+All!A851,IF(+All!$H851="Army",+All!A851,0))</f>
        <v>15</v>
      </c>
      <c r="B17" s="348" t="str">
        <f>IF(+All!$F851="Army",+All!B851,IF(+All!$H851="Army",+All!B851,0))</f>
        <v>Sat</v>
      </c>
      <c r="C17" s="48">
        <f>IF(+All!$F851="Army",+All!C851,IF(+All!$H851="Army",+All!C851,0))</f>
        <v>44905</v>
      </c>
      <c r="D17" s="490">
        <f>IF(+All!$F851="Army",+All!D851,IF(+All!$H851="Army",+All!D851,0))</f>
        <v>0</v>
      </c>
      <c r="E17" s="461">
        <f>IF(+All!$F851="Army",+All!E851,IF(+All!$H851="Army",+All!E851,0))</f>
        <v>0</v>
      </c>
      <c r="F17" s="51" t="str">
        <f>IF(+All!$F851="Army",+All!F851,IF(+All!$H851="Army",+All!F851,0))</f>
        <v>Army</v>
      </c>
      <c r="G17" s="52" t="str">
        <f>IF(+All!$F851="Army",+All!G851,IF(+All!$H851="Army",+All!G851,0))</f>
        <v>Ind</v>
      </c>
      <c r="H17" s="51" t="str">
        <f>IF(+All!$F851="Army",+All!H851,IF(+All!$H851="Army",+All!H851,0))</f>
        <v>Navy</v>
      </c>
      <c r="I17" s="52" t="str">
        <f>IF(+All!$F851="Army",+All!I851,IF(+All!$H851="Army",+All!I851,0))</f>
        <v>AAC</v>
      </c>
      <c r="J17" s="460">
        <f>IF(+All!$F851="Army",+All!J851,IF(+All!$H851="Army",+All!J851,0))</f>
        <v>0</v>
      </c>
      <c r="K17" s="461" t="str">
        <f>IF(+All!$F851="Army",+All!K851,IF(+All!$H851="Army",+All!K851,0))</f>
        <v>Navy</v>
      </c>
      <c r="L17" s="54">
        <f>IF(+All!$F851="Army",+All!L851,IF(+All!$H851="Army",+All!L851,0))</f>
        <v>0</v>
      </c>
      <c r="M17" s="55">
        <f>IF(+All!$F851="Army",+All!M851,IF(+All!$H851="Army",+All!M851,0))</f>
        <v>0</v>
      </c>
      <c r="N17" s="460">
        <f>IF(+All!$F851="Army",+All!N851,IF(+All!$H851="Army",+All!N851,0))</f>
        <v>0</v>
      </c>
      <c r="O17" s="462">
        <f>IF(+All!$F851="Army",+All!O851,IF(+All!$H851="Army",+All!O851,0))</f>
        <v>0</v>
      </c>
      <c r="P17" s="462" t="str">
        <f>IF(+All!$F851="Army",+All!P851,IF(+All!$H851="Army",+All!P851,0))</f>
        <v>Navy</v>
      </c>
      <c r="Q17" s="461">
        <f>IF(+All!$F851="Army",+All!Q851,IF(+All!$H851="Army",+All!Q851,0))</f>
        <v>0</v>
      </c>
      <c r="R17" s="460">
        <f>IF(+All!$F851="Army",+All!R851,IF(+All!$H851="Army",+All!R851,0))</f>
        <v>0</v>
      </c>
      <c r="S17" s="462" t="str">
        <f>IF(+All!$F851="Army",+All!S851,IF(+All!$H851="Army",+All!S851,0))</f>
        <v>Navy</v>
      </c>
      <c r="T17" s="460">
        <f>IF(+All!$F851="Army",+All!T851,IF(+All!$H851="Army",+All!T851,0))</f>
        <v>0</v>
      </c>
      <c r="U17" s="461" t="str">
        <f>IF(+All!$F851="Army",+All!U851,IF(+All!$H851="Army",+All!U851,0))</f>
        <v>T</v>
      </c>
    </row>
    <row r="18" spans="1:21" x14ac:dyDescent="0.8">
      <c r="A18" s="38"/>
      <c r="B18" s="39"/>
      <c r="C18" s="40"/>
      <c r="D18" s="41"/>
      <c r="E18" s="463"/>
      <c r="F18" s="897" t="str">
        <f>H20</f>
        <v>BYU</v>
      </c>
      <c r="G18" s="903"/>
      <c r="H18" s="903"/>
      <c r="I18" s="904"/>
      <c r="J18" s="459"/>
      <c r="K18" s="463"/>
      <c r="L18" s="44"/>
      <c r="M18" s="45"/>
      <c r="N18" s="459"/>
      <c r="O18" s="5"/>
      <c r="P18" s="5"/>
      <c r="Q18" s="318"/>
      <c r="R18" s="459"/>
      <c r="S18" s="5"/>
      <c r="T18" s="459"/>
      <c r="U18" s="463"/>
    </row>
    <row r="19" spans="1:21" x14ac:dyDescent="0.8">
      <c r="A19" s="46">
        <f>IF(+All!$H61="BYU",+All!A61,IF(+All!$F61="BYU",+All!A61,0))</f>
        <v>1</v>
      </c>
      <c r="B19" s="348" t="str">
        <f>IF(+All!$H61="BYU",+All!B61,IF(+All!$F61="BYU",+All!B61,0))</f>
        <v>Sat</v>
      </c>
      <c r="C19" s="48">
        <f>IF(+All!$H61="BYU",+All!C61,IF(+All!$F61="BYU",+All!C61,0))</f>
        <v>44807</v>
      </c>
      <c r="D19" s="490">
        <f>IF(+All!$H61="BYU",+All!D61,IF(+All!$F61="BYU",+All!D61,0))</f>
        <v>0.66666666666666663</v>
      </c>
      <c r="E19" s="461" t="str">
        <f>IF(+All!$H61="BYU",+All!E61,IF(+All!$F61="BYU",+All!E61,0))</f>
        <v>ESPNU</v>
      </c>
      <c r="F19" s="51" t="str">
        <f>IF(+All!$H61="BYU",+All!F61,IF(+All!$F61="BYU",+All!F61,0))</f>
        <v>BYU</v>
      </c>
      <c r="G19" s="52" t="str">
        <f>IF(+All!$H61="BYU",+All!G61,IF(+All!$F61="BYU",+All!G61,0))</f>
        <v>Ind</v>
      </c>
      <c r="H19" s="51" t="str">
        <f>IF(+All!$H61="BYU",+All!H61,IF(+All!$F61="BYU",+All!H61,0))</f>
        <v>South Florida</v>
      </c>
      <c r="I19" s="52" t="str">
        <f>IF(+All!$H61="BYU",+All!I61,IF(+All!$F61="BYU",+All!I61,0))</f>
        <v>AAC</v>
      </c>
      <c r="J19" s="460" t="str">
        <f>IF(+All!$H61="BYU",+All!J61,IF(+All!$F61="BYU",+All!J61,0))</f>
        <v>BYU</v>
      </c>
      <c r="K19" s="461" t="str">
        <f>IF(+All!$H61="BYU",+All!K61,IF(+All!$F61="BYU",+All!K61,0))</f>
        <v>South Florida</v>
      </c>
      <c r="L19" s="54">
        <f>IF(+All!$H61="BYU",+All!L61,IF(+All!$F61="BYU",+All!L61,0))</f>
        <v>12</v>
      </c>
      <c r="M19" s="55">
        <f>IF(+All!$H61="BYU",+All!M61,IF(+All!$F61="BYU",+All!M61,0))</f>
        <v>58</v>
      </c>
      <c r="N19" s="460" t="str">
        <f>IF(+All!$H61="BYU",+All!N61,IF(+All!$F61="BYU",+All!N61,0))</f>
        <v>BYU</v>
      </c>
      <c r="O19" s="462">
        <f>IF(+All!$H61="BYU",+All!O61,IF(+All!$F61="BYU",+All!O61,0))</f>
        <v>50</v>
      </c>
      <c r="P19" s="462" t="str">
        <f>IF(+All!$H61="BYU",+All!P61,IF(+All!$F61="BYU",+All!P61,0))</f>
        <v>South Florida</v>
      </c>
      <c r="Q19" s="461">
        <f>IF(+All!$H61="BYU",+All!Q61,IF(+All!$F61="BYU",+All!Q61,0))</f>
        <v>21</v>
      </c>
      <c r="R19" s="460" t="str">
        <f>IF(+All!$H61="BYU",+All!R61,IF(+All!$F61="BYU",+All!R61,0))</f>
        <v>BYU</v>
      </c>
      <c r="S19" s="462" t="str">
        <f>IF(+All!$H61="BYU",+All!S61,IF(+All!$F61="BYU",+All!S61,0))</f>
        <v>South Florida</v>
      </c>
      <c r="T19" s="460" t="str">
        <f>IF(+All!$H61="BYU",+All!T61,IF(+All!$F61="BYU",+All!T61,0))</f>
        <v>BYU</v>
      </c>
      <c r="U19" s="461" t="str">
        <f>IF(+All!$H61="BYU",+All!U61,IF(+All!$F61="BYU",+All!U61,0))</f>
        <v>W</v>
      </c>
    </row>
    <row r="20" spans="1:21" x14ac:dyDescent="0.8">
      <c r="A20" s="46">
        <f>IF(+All!$H141="BYU",+All!A141,IF(+All!$F141="BYU",+All!A141,0))</f>
        <v>2</v>
      </c>
      <c r="B20" s="348" t="str">
        <f>IF(+All!$H141="BYU",+All!B141,IF(+All!$F141="BYU",+All!B141,0))</f>
        <v>Sat</v>
      </c>
      <c r="C20" s="48">
        <f>IF(+All!$H141="BYU",+All!C141,IF(+All!$F141="BYU",+All!C141,0))</f>
        <v>44814</v>
      </c>
      <c r="D20" s="490">
        <f>IF(+All!$H141="BYU",+All!D141,IF(+All!$F141="BYU",+All!D141,0))</f>
        <v>0.92708333333333337</v>
      </c>
      <c r="E20" s="461" t="str">
        <f>IF(+All!$H141="BYU",+All!E141,IF(+All!$F141="BYU",+All!E141,0))</f>
        <v>ESPN</v>
      </c>
      <c r="F20" s="51" t="str">
        <f>IF(+All!$H141="BYU",+All!F141,IF(+All!$F141="BYU",+All!F141,0))</f>
        <v>Baylor</v>
      </c>
      <c r="G20" s="52" t="str">
        <f>IF(+All!$H141="BYU",+All!G141,IF(+All!$F141="BYU",+All!G141,0))</f>
        <v>B12</v>
      </c>
      <c r="H20" s="51" t="str">
        <f>IF(+All!$H141="BYU",+All!H141,IF(+All!$F141="BYU",+All!H141,0))</f>
        <v>BYU</v>
      </c>
      <c r="I20" s="52" t="str">
        <f>IF(+All!$H141="BYU",+All!I141,IF(+All!$F141="BYU",+All!I141,0))</f>
        <v>Ind</v>
      </c>
      <c r="J20" s="460" t="str">
        <f>IF(+All!$H141="BYU",+All!J141,IF(+All!$F141="BYU",+All!J141,0))</f>
        <v>BYU</v>
      </c>
      <c r="K20" s="461" t="str">
        <f>IF(+All!$H141="BYU",+All!K141,IF(+All!$F141="BYU",+All!K141,0))</f>
        <v>Baylor</v>
      </c>
      <c r="L20" s="54">
        <f>IF(+All!$H141="BYU",+All!L141,IF(+All!$F141="BYU",+All!L141,0))</f>
        <v>3.5</v>
      </c>
      <c r="M20" s="55">
        <f>IF(+All!$H141="BYU",+All!M141,IF(+All!$F141="BYU",+All!M141,0))</f>
        <v>53.5</v>
      </c>
      <c r="N20" s="460" t="str">
        <f>IF(+All!$H141="BYU",+All!N141,IF(+All!$F141="BYU",+All!N141,0))</f>
        <v>BYU</v>
      </c>
      <c r="O20" s="462">
        <f>IF(+All!$H141="BYU",+All!O141,IF(+All!$F141="BYU",+All!O141,0))</f>
        <v>26</v>
      </c>
      <c r="P20" s="462" t="str">
        <f>IF(+All!$H141="BYU",+All!P141,IF(+All!$F141="BYU",+All!P141,0))</f>
        <v>Baylor</v>
      </c>
      <c r="Q20" s="461">
        <f>IF(+All!$H141="BYU",+All!Q141,IF(+All!$F141="BYU",+All!Q141,0))</f>
        <v>20</v>
      </c>
      <c r="R20" s="460" t="str">
        <f>IF(+All!$H141="BYU",+All!R141,IF(+All!$F141="BYU",+All!R141,0))</f>
        <v>BYU</v>
      </c>
      <c r="S20" s="462" t="str">
        <f>IF(+All!$H141="BYU",+All!S141,IF(+All!$F141="BYU",+All!S141,0))</f>
        <v>Baylor</v>
      </c>
      <c r="T20" s="460" t="str">
        <f>IF(+All!$H141="BYU",+All!T141,IF(+All!$F141="BYU",+All!T141,0))</f>
        <v>Baylor</v>
      </c>
      <c r="U20" s="461" t="str">
        <f>IF(+All!$H141="BYU",+All!U141,IF(+All!$F141="BYU",+All!U141,0))</f>
        <v>L</v>
      </c>
    </row>
    <row r="21" spans="1:21" x14ac:dyDescent="0.8">
      <c r="A21" s="46">
        <f>IF(+All!$H231="BYU",+All!A231,IF(+All!$F231="BYU",+All!A231,0))</f>
        <v>3</v>
      </c>
      <c r="B21" s="348" t="str">
        <f>IF(+All!$H231="BYU",+All!B231,IF(+All!$F231="BYU",+All!B231,0))</f>
        <v>Sat</v>
      </c>
      <c r="C21" s="48">
        <f>IF(+All!$H231="BYU",+All!C231,IF(+All!$F231="BYU",+All!C231,0))</f>
        <v>44821</v>
      </c>
      <c r="D21" s="490">
        <f>IF(+All!$H231="BYU",+All!D231,IF(+All!$F231="BYU",+All!D231,0))</f>
        <v>0.64583333333333337</v>
      </c>
      <c r="E21" s="461" t="str">
        <f>IF(+All!$H231="BYU",+All!E231,IF(+All!$F231="BYU",+All!E231,0))</f>
        <v>Fox</v>
      </c>
      <c r="F21" s="51" t="str">
        <f>IF(+All!$H231="BYU",+All!F231,IF(+All!$F231="BYU",+All!F231,0))</f>
        <v>BYU</v>
      </c>
      <c r="G21" s="52" t="str">
        <f>IF(+All!$H231="BYU",+All!G231,IF(+All!$F231="BYU",+All!G231,0))</f>
        <v>Ind</v>
      </c>
      <c r="H21" s="51" t="str">
        <f>IF(+All!$H231="BYU",+All!H231,IF(+All!$F231="BYU",+All!H231,0))</f>
        <v>Oregon</v>
      </c>
      <c r="I21" s="52" t="str">
        <f>IF(+All!$H231="BYU",+All!I231,IF(+All!$F231="BYU",+All!I231,0))</f>
        <v>P12</v>
      </c>
      <c r="J21" s="460" t="str">
        <f>IF(+All!$H231="BYU",+All!J231,IF(+All!$F231="BYU",+All!J231,0))</f>
        <v>Oregon</v>
      </c>
      <c r="K21" s="461" t="str">
        <f>IF(+All!$H231="BYU",+All!K231,IF(+All!$F231="BYU",+All!K231,0))</f>
        <v>BYU</v>
      </c>
      <c r="L21" s="54">
        <f>IF(+All!$H231="BYU",+All!L231,IF(+All!$F231="BYU",+All!L231,0))</f>
        <v>3.5</v>
      </c>
      <c r="M21" s="55">
        <f>IF(+All!$H231="BYU",+All!M231,IF(+All!$F231="BYU",+All!M231,0))</f>
        <v>58</v>
      </c>
      <c r="N21" s="460" t="str">
        <f>IF(+All!$H231="BYU",+All!N231,IF(+All!$F231="BYU",+All!N231,0))</f>
        <v>Oregon</v>
      </c>
      <c r="O21" s="462">
        <f>IF(+All!$H231="BYU",+All!O231,IF(+All!$F231="BYU",+All!O231,0))</f>
        <v>41</v>
      </c>
      <c r="P21" s="462" t="str">
        <f>IF(+All!$H231="BYU",+All!P231,IF(+All!$F231="BYU",+All!P231,0))</f>
        <v>BYU</v>
      </c>
      <c r="Q21" s="461">
        <f>IF(+All!$H231="BYU",+All!Q231,IF(+All!$F231="BYU",+All!Q231,0))</f>
        <v>20</v>
      </c>
      <c r="R21" s="460" t="str">
        <f>IF(+All!$H231="BYU",+All!R231,IF(+All!$F231="BYU",+All!R231,0))</f>
        <v>Oregon</v>
      </c>
      <c r="S21" s="462" t="str">
        <f>IF(+All!$H231="BYU",+All!S231,IF(+All!$F231="BYU",+All!S231,0))</f>
        <v>BYU</v>
      </c>
      <c r="T21" s="460" t="str">
        <f>IF(+All!$H231="BYU",+All!T231,IF(+All!$F231="BYU",+All!T231,0))</f>
        <v>BYU</v>
      </c>
      <c r="U21" s="461" t="str">
        <f>IF(+All!$H231="BYU",+All!U231,IF(+All!$F231="BYU",+All!U231,0))</f>
        <v>L</v>
      </c>
    </row>
    <row r="22" spans="1:21" x14ac:dyDescent="0.8">
      <c r="A22" s="46">
        <f>IF(+All!$H286="BYU",+All!A286,IF(+All!$F286="BYU",+All!A286,0))</f>
        <v>4</v>
      </c>
      <c r="B22" s="348" t="str">
        <f>IF(+All!$H286="BYU",+All!B286,IF(+All!$F286="BYU",+All!B286,0))</f>
        <v>Sat</v>
      </c>
      <c r="C22" s="48">
        <f>IF(+All!$H286="BYU",+All!C286,IF(+All!$F286="BYU",+All!C286,0))</f>
        <v>44828</v>
      </c>
      <c r="D22" s="490">
        <f>IF(+All!$H286="BYU",+All!D286,IF(+All!$F286="BYU",+All!D286,0))</f>
        <v>0.92708333333333337</v>
      </c>
      <c r="E22" s="461" t="str">
        <f>IF(+All!$H286="BYU",+All!E286,IF(+All!$F286="BYU",+All!E286,0))</f>
        <v>ESPN2</v>
      </c>
      <c r="F22" s="51" t="str">
        <f>IF(+All!$H286="BYU",+All!F286,IF(+All!$F286="BYU",+All!F286,0))</f>
        <v>Wyoming</v>
      </c>
      <c r="G22" s="52" t="str">
        <f>IF(+All!$H286="BYU",+All!G286,IF(+All!$F286="BYU",+All!G286,0))</f>
        <v>MWC</v>
      </c>
      <c r="H22" s="51" t="str">
        <f>IF(+All!$H286="BYU",+All!H286,IF(+All!$F286="BYU",+All!H286,0))</f>
        <v>BYU</v>
      </c>
      <c r="I22" s="52" t="str">
        <f>IF(+All!$H286="BYU",+All!I286,IF(+All!$F286="BYU",+All!I286,0))</f>
        <v>Ind</v>
      </c>
      <c r="J22" s="460" t="str">
        <f>IF(+All!$H286="BYU",+All!J286,IF(+All!$F286="BYU",+All!J286,0))</f>
        <v>BYU</v>
      </c>
      <c r="K22" s="461" t="str">
        <f>IF(+All!$H286="BYU",+All!K286,IF(+All!$F286="BYU",+All!K286,0))</f>
        <v>Wyoming</v>
      </c>
      <c r="L22" s="54">
        <f>IF(+All!$H286="BYU",+All!L286,IF(+All!$F286="BYU",+All!L286,0))</f>
        <v>21.5</v>
      </c>
      <c r="M22" s="55">
        <f>IF(+All!$H286="BYU",+All!M286,IF(+All!$F286="BYU",+All!M286,0))</f>
        <v>50</v>
      </c>
      <c r="N22" s="460" t="str">
        <f>IF(+All!$H286="BYU",+All!N286,IF(+All!$F286="BYU",+All!N286,0))</f>
        <v>BYU</v>
      </c>
      <c r="O22" s="462">
        <f>IF(+All!$H286="BYU",+All!O286,IF(+All!$F286="BYU",+All!O286,0))</f>
        <v>38</v>
      </c>
      <c r="P22" s="462" t="str">
        <f>IF(+All!$H286="BYU",+All!P286,IF(+All!$F286="BYU",+All!P286,0))</f>
        <v>Wyoming</v>
      </c>
      <c r="Q22" s="461">
        <f>IF(+All!$H286="BYU",+All!Q286,IF(+All!$F286="BYU",+All!Q286,0))</f>
        <v>24</v>
      </c>
      <c r="R22" s="460" t="str">
        <f>IF(+All!$H286="BYU",+All!R286,IF(+All!$F286="BYU",+All!R286,0))</f>
        <v>Wyoming</v>
      </c>
      <c r="S22" s="462" t="str">
        <f>IF(+All!$H286="BYU",+All!S286,IF(+All!$F286="BYU",+All!S286,0))</f>
        <v>BYU</v>
      </c>
      <c r="T22" s="460" t="str">
        <f>IF(+All!$H286="BYU",+All!T286,IF(+All!$F286="BYU",+All!T286,0))</f>
        <v>BYU</v>
      </c>
      <c r="U22" s="461" t="str">
        <f>IF(+All!$H286="BYU",+All!U286,IF(+All!$F286="BYU",+All!U286,0))</f>
        <v>L</v>
      </c>
    </row>
    <row r="23" spans="1:21" x14ac:dyDescent="0.8">
      <c r="A23" s="46">
        <f>IF(+All!$H318="BYU",+All!A318,IF(+All!$F318="BYU",+All!A318,0))</f>
        <v>5</v>
      </c>
      <c r="B23" s="348" t="str">
        <f>IF(+All!$H318="BYU",+All!B318,IF(+All!$F318="BYU",+All!B318,0))</f>
        <v>Thurs</v>
      </c>
      <c r="C23" s="48">
        <f>IF(+All!$H318="BYU",+All!C318,IF(+All!$F318="BYU",+All!C318,0))</f>
        <v>44833</v>
      </c>
      <c r="D23" s="490">
        <f>IF(+All!$H318="BYU",+All!D318,IF(+All!$F318="BYU",+All!D318,0))</f>
        <v>0.83333333333333337</v>
      </c>
      <c r="E23" s="461" t="str">
        <f>IF(+All!$H318="BYU",+All!E318,IF(+All!$F318="BYU",+All!E318,0))</f>
        <v>ESPN</v>
      </c>
      <c r="F23" s="51" t="str">
        <f>IF(+All!$H318="BYU",+All!F318,IF(+All!$F318="BYU",+All!F318,0))</f>
        <v>Utah State</v>
      </c>
      <c r="G23" s="52" t="str">
        <f>IF(+All!$H318="BYU",+All!G318,IF(+All!$F318="BYU",+All!G318,0))</f>
        <v>MWC</v>
      </c>
      <c r="H23" s="51" t="str">
        <f>IF(+All!$H318="BYU",+All!H318,IF(+All!$F318="BYU",+All!H318,0))</f>
        <v>BYU</v>
      </c>
      <c r="I23" s="52" t="str">
        <f>IF(+All!$H318="BYU",+All!I318,IF(+All!$F318="BYU",+All!I318,0))</f>
        <v>Ind</v>
      </c>
      <c r="J23" s="460" t="str">
        <f>IF(+All!$H318="BYU",+All!J318,IF(+All!$F318="BYU",+All!J318,0))</f>
        <v>BYU</v>
      </c>
      <c r="K23" s="461" t="str">
        <f>IF(+All!$H318="BYU",+All!K318,IF(+All!$F318="BYU",+All!K318,0))</f>
        <v>Utah State</v>
      </c>
      <c r="L23" s="54">
        <f>IF(+All!$H318="BYU",+All!L318,IF(+All!$F318="BYU",+All!L318,0))</f>
        <v>24</v>
      </c>
      <c r="M23" s="55">
        <f>IF(+All!$H318="BYU",+All!M318,IF(+All!$F318="BYU",+All!M318,0))</f>
        <v>60.5</v>
      </c>
      <c r="N23" s="460" t="str">
        <f>IF(+All!$H318="BYU",+All!N318,IF(+All!$F318="BYU",+All!N318,0))</f>
        <v>BYU</v>
      </c>
      <c r="O23" s="462">
        <f>IF(+All!$H318="BYU",+All!O318,IF(+All!$F318="BYU",+All!O318,0))</f>
        <v>38</v>
      </c>
      <c r="P23" s="462" t="str">
        <f>IF(+All!$H318="BYU",+All!P318,IF(+All!$F318="BYU",+All!P318,0))</f>
        <v>Utah State</v>
      </c>
      <c r="Q23" s="461">
        <f>IF(+All!$H318="BYU",+All!Q318,IF(+All!$F318="BYU",+All!Q318,0))</f>
        <v>26</v>
      </c>
      <c r="R23" s="460" t="str">
        <f>IF(+All!$H318="BYU",+All!R318,IF(+All!$F318="BYU",+All!R318,0))</f>
        <v>Utah State</v>
      </c>
      <c r="S23" s="462" t="str">
        <f>IF(+All!$H318="BYU",+All!S318,IF(+All!$F318="BYU",+All!S318,0))</f>
        <v>BYU</v>
      </c>
      <c r="T23" s="460" t="str">
        <f>IF(+All!$H318="BYU",+All!T318,IF(+All!$F318="BYU",+All!T318,0))</f>
        <v>BYU</v>
      </c>
      <c r="U23" s="461" t="str">
        <f>IF(+All!$H318="BYU",+All!U318,IF(+All!$F318="BYU",+All!U318,0))</f>
        <v>L</v>
      </c>
    </row>
    <row r="24" spans="1:21" x14ac:dyDescent="0.8">
      <c r="A24" s="46">
        <f>IF(+All!$H409="BYU",+All!A409,IF(+All!$F409="BYU",+All!A409,0))</f>
        <v>6</v>
      </c>
      <c r="B24" s="348" t="str">
        <f>IF(+All!$H409="BYU",+All!B409,IF(+All!$F409="BYU",+All!B409,0))</f>
        <v>Sat</v>
      </c>
      <c r="C24" s="48">
        <f>IF(+All!$H409="BYU",+All!C409,IF(+All!$F409="BYU",+All!C409,0))</f>
        <v>44842</v>
      </c>
      <c r="D24" s="490">
        <f>IF(+All!$H409="BYU",+All!D409,IF(+All!$F409="BYU",+All!D409,0))</f>
        <v>0.8125</v>
      </c>
      <c r="E24" s="461" t="str">
        <f>IF(+All!$H409="BYU",+All!E409,IF(+All!$F409="BYU",+All!E409,0))</f>
        <v>NBC</v>
      </c>
      <c r="F24" s="51" t="str">
        <f>IF(+All!$H409="BYU",+All!F409,IF(+All!$F409="BYU",+All!F409,0))</f>
        <v>Notre Dame</v>
      </c>
      <c r="G24" s="52" t="str">
        <f>IF(+All!$H409="BYU",+All!G409,IF(+All!$F409="BYU",+All!G409,0))</f>
        <v>Ind</v>
      </c>
      <c r="H24" s="51" t="str">
        <f>IF(+All!$H409="BYU",+All!H409,IF(+All!$F409="BYU",+All!H409,0))</f>
        <v>BYU</v>
      </c>
      <c r="I24" s="52" t="str">
        <f>IF(+All!$H409="BYU",+All!I409,IF(+All!$F409="BYU",+All!I409,0))</f>
        <v>Ind</v>
      </c>
      <c r="J24" s="460" t="str">
        <f>IF(+All!$H409="BYU",+All!J409,IF(+All!$F409="BYU",+All!J409,0))</f>
        <v>Notre Dame</v>
      </c>
      <c r="K24" s="461" t="str">
        <f>IF(+All!$H409="BYU",+All!K409,IF(+All!$F409="BYU",+All!K409,0))</f>
        <v>BYU</v>
      </c>
      <c r="L24" s="54">
        <f>IF(+All!$H409="BYU",+All!L409,IF(+All!$F409="BYU",+All!L409,0))</f>
        <v>3.5</v>
      </c>
      <c r="M24" s="55">
        <f>IF(+All!$H409="BYU",+All!M409,IF(+All!$F409="BYU",+All!M409,0))</f>
        <v>52</v>
      </c>
      <c r="N24" s="460" t="str">
        <f>IF(+All!$H409="BYU",+All!N409,IF(+All!$F409="BYU",+All!N409,0))</f>
        <v>Notre Dame</v>
      </c>
      <c r="O24" s="462">
        <f>IF(+All!$H409="BYU",+All!O409,IF(+All!$F409="BYU",+All!O409,0))</f>
        <v>28</v>
      </c>
      <c r="P24" s="462" t="str">
        <f>IF(+All!$H409="BYU",+All!P409,IF(+All!$F409="BYU",+All!P409,0))</f>
        <v>BYU</v>
      </c>
      <c r="Q24" s="461">
        <f>IF(+All!$H409="BYU",+All!Q409,IF(+All!$F409="BYU",+All!Q409,0))</f>
        <v>20</v>
      </c>
      <c r="R24" s="460" t="str">
        <f>IF(+All!$H409="BYU",+All!R409,IF(+All!$F409="BYU",+All!R409,0))</f>
        <v>Notre Dame</v>
      </c>
      <c r="S24" s="462" t="str">
        <f>IF(+All!$H409="BYU",+All!S409,IF(+All!$F409="BYU",+All!S409,0))</f>
        <v>BYU</v>
      </c>
      <c r="T24" s="460" t="str">
        <f>IF(+All!$H409="BYU",+All!T409,IF(+All!$F409="BYU",+All!T409,0))</f>
        <v>Notre Dame</v>
      </c>
      <c r="U24" s="461" t="str">
        <f>IF(+All!$H409="BYU",+All!U409,IF(+All!$F409="BYU",+All!U409,0))</f>
        <v>W</v>
      </c>
    </row>
    <row r="25" spans="1:21" x14ac:dyDescent="0.8">
      <c r="A25" s="46">
        <f>IF(+All!$H462="BYU",+All!A462,IF(+All!$F462="BYU",+All!A462,0))</f>
        <v>7</v>
      </c>
      <c r="B25" s="348" t="str">
        <f>IF(+All!$H462="BYU",+All!B462,IF(+All!$F462="BYU",+All!B462,0))</f>
        <v>Sat</v>
      </c>
      <c r="C25" s="48">
        <f>IF(+All!$H462="BYU",+All!C462,IF(+All!$F462="BYU",+All!C462,0))</f>
        <v>44849</v>
      </c>
      <c r="D25" s="490">
        <f>IF(+All!$H462="BYU",+All!D462,IF(+All!$F462="BYU",+All!D462,0))</f>
        <v>0.64583333333333337</v>
      </c>
      <c r="E25" s="461" t="str">
        <f>IF(+All!$H462="BYU",+All!E462,IF(+All!$F462="BYU",+All!E462,0))</f>
        <v>ESPN</v>
      </c>
      <c r="F25" s="51" t="str">
        <f>IF(+All!$H462="BYU",+All!F462,IF(+All!$F462="BYU",+All!F462,0))</f>
        <v>Arkansas</v>
      </c>
      <c r="G25" s="52" t="str">
        <f>IF(+All!$H462="BYU",+All!G462,IF(+All!$F462="BYU",+All!G462,0))</f>
        <v>SEC</v>
      </c>
      <c r="H25" s="51" t="str">
        <f>IF(+All!$H462="BYU",+All!H462,IF(+All!$F462="BYU",+All!H462,0))</f>
        <v>BYU</v>
      </c>
      <c r="I25" s="52" t="str">
        <f>IF(+All!$H462="BYU",+All!I462,IF(+All!$F462="BYU",+All!I462,0))</f>
        <v>Ind</v>
      </c>
      <c r="J25" s="460" t="str">
        <f>IF(+All!$H462="BYU",+All!J462,IF(+All!$F462="BYU",+All!J462,0))</f>
        <v>Arkansas</v>
      </c>
      <c r="K25" s="461" t="str">
        <f>IF(+All!$H462="BYU",+All!K462,IF(+All!$F462="BYU",+All!K462,0))</f>
        <v>BYU</v>
      </c>
      <c r="L25" s="54">
        <f>IF(+All!$H462="BYU",+All!L462,IF(+All!$F462="BYU",+All!L462,0))</f>
        <v>1.5</v>
      </c>
      <c r="M25" s="55">
        <f>IF(+All!$H462="BYU",+All!M462,IF(+All!$F462="BYU",+All!M462,0))</f>
        <v>65.5</v>
      </c>
      <c r="N25" s="460" t="str">
        <f>IF(+All!$H462="BYU",+All!N462,IF(+All!$F462="BYU",+All!N462,0))</f>
        <v>Arkansas</v>
      </c>
      <c r="O25" s="462">
        <f>IF(+All!$H462="BYU",+All!O462,IF(+All!$F462="BYU",+All!O462,0))</f>
        <v>52</v>
      </c>
      <c r="P25" s="462" t="str">
        <f>IF(+All!$H462="BYU",+All!P462,IF(+All!$F462="BYU",+All!P462,0))</f>
        <v>BYU</v>
      </c>
      <c r="Q25" s="461">
        <f>IF(+All!$H462="BYU",+All!Q462,IF(+All!$F462="BYU",+All!Q462,0))</f>
        <v>35</v>
      </c>
      <c r="R25" s="460" t="str">
        <f>IF(+All!$H462="BYU",+All!R462,IF(+All!$F462="BYU",+All!R462,0))</f>
        <v>Arkansas</v>
      </c>
      <c r="S25" s="462" t="str">
        <f>IF(+All!$H462="BYU",+All!S462,IF(+All!$F462="BYU",+All!S462,0))</f>
        <v>BYU</v>
      </c>
      <c r="T25" s="460" t="str">
        <f>IF(+All!$H462="BYU",+All!T462,IF(+All!$F462="BYU",+All!T462,0))</f>
        <v>BYU</v>
      </c>
      <c r="U25" s="461" t="str">
        <f>IF(+All!$H462="BYU",+All!U462,IF(+All!$F462="BYU",+All!U462,0))</f>
        <v>L</v>
      </c>
    </row>
    <row r="26" spans="1:21" ht="16.75" customHeight="1" x14ac:dyDescent="0.8">
      <c r="A26" s="46">
        <f>IF(+All!$H518="BYU",+All!A518,IF(+All!$F518="BYU",+All!A518,0))</f>
        <v>8</v>
      </c>
      <c r="B26" s="348" t="str">
        <f>IF(+All!$H518="BYU",+All!B518,IF(+All!$F518="BYU",+All!B518,0))</f>
        <v>Sat</v>
      </c>
      <c r="C26" s="48">
        <f>IF(+All!$H518="BYU",+All!C518,IF(+All!$F518="BYU",+All!C518,0))</f>
        <v>44856</v>
      </c>
      <c r="D26" s="490">
        <f>IF(+All!$H518="BYU",+All!D518,IF(+All!$F518="BYU",+All!D518,0))</f>
        <v>0.64583333333333337</v>
      </c>
      <c r="E26" s="461" t="str">
        <f>IF(+All!$H518="BYU",+All!E518,IF(+All!$F518="BYU",+All!E518,0))</f>
        <v>ESPNU</v>
      </c>
      <c r="F26" s="51" t="str">
        <f>IF(+All!$H518="BYU",+All!F518,IF(+All!$F518="BYU",+All!F518,0))</f>
        <v>BYU</v>
      </c>
      <c r="G26" s="52" t="str">
        <f>IF(+All!$H518="BYU",+All!G518,IF(+All!$F518="BYU",+All!G518,0))</f>
        <v>Ind</v>
      </c>
      <c r="H26" s="51" t="str">
        <f>IF(+All!$H518="BYU",+All!H518,IF(+All!$F518="BYU",+All!H518,0))</f>
        <v>Liberty</v>
      </c>
      <c r="I26" s="52" t="str">
        <f>IF(+All!$H518="BYU",+All!I518,IF(+All!$F518="BYU",+All!I518,0))</f>
        <v>Ind</v>
      </c>
      <c r="J26" s="460" t="str">
        <f>IF(+All!$H518="BYU",+All!J518,IF(+All!$F518="BYU",+All!J518,0))</f>
        <v>BYU</v>
      </c>
      <c r="K26" s="461" t="str">
        <f>IF(+All!$H518="BYU",+All!K518,IF(+All!$F518="BYU",+All!K518,0))</f>
        <v>Liberty</v>
      </c>
      <c r="L26" s="54">
        <f>IF(+All!$H518="BYU",+All!L518,IF(+All!$F518="BYU",+All!L518,0))</f>
        <v>6.5</v>
      </c>
      <c r="M26" s="55">
        <f>IF(+All!$H518="BYU",+All!M518,IF(+All!$F518="BYU",+All!M518,0))</f>
        <v>58.5</v>
      </c>
      <c r="N26" s="460" t="str">
        <f>IF(+All!$H518="BYU",+All!N518,IF(+All!$F518="BYU",+All!N518,0))</f>
        <v>Liberty</v>
      </c>
      <c r="O26" s="462">
        <f>IF(+All!$H518="BYU",+All!O518,IF(+All!$F518="BYU",+All!O518,0))</f>
        <v>41</v>
      </c>
      <c r="P26" s="462" t="str">
        <f>IF(+All!$H518="BYU",+All!P518,IF(+All!$F518="BYU",+All!P518,0))</f>
        <v>BYU</v>
      </c>
      <c r="Q26" s="461">
        <f>IF(+All!$H518="BYU",+All!Q518,IF(+All!$F518="BYU",+All!Q518,0))</f>
        <v>14</v>
      </c>
      <c r="R26" s="460" t="str">
        <f>IF(+All!$H518="BYU",+All!R518,IF(+All!$F518="BYU",+All!R518,0))</f>
        <v>Liberty</v>
      </c>
      <c r="S26" s="462" t="str">
        <f>IF(+All!$H518="BYU",+All!S518,IF(+All!$F518="BYU",+All!S518,0))</f>
        <v>BYU</v>
      </c>
      <c r="T26" s="460" t="str">
        <f>IF(+All!$H518="BYU",+All!T518,IF(+All!$F518="BYU",+All!T518,0))</f>
        <v>BYU</v>
      </c>
      <c r="U26" s="461" t="str">
        <f>IF(+All!$H518="BYU",+All!U518,IF(+All!$F518="BYU",+All!U518,0))</f>
        <v>L</v>
      </c>
    </row>
    <row r="27" spans="1:21" ht="16.75" customHeight="1" x14ac:dyDescent="0.8">
      <c r="A27" s="46">
        <f>IF(+All!$H549="BYU",+All!A549,IF(+All!$F549="BYU",+All!A549,0))</f>
        <v>9</v>
      </c>
      <c r="B27" s="348" t="str">
        <f>IF(+All!$H549="BYU",+All!B549,IF(+All!$F549="BYU",+All!B549,0))</f>
        <v>Fri</v>
      </c>
      <c r="C27" s="48">
        <f>IF(+All!$H549="BYU",+All!C549,IF(+All!$F549="BYU",+All!C549,0))</f>
        <v>44862</v>
      </c>
      <c r="D27" s="490">
        <f>IF(+All!$H549="BYU",+All!D549,IF(+All!$F549="BYU",+All!D549,0))</f>
        <v>0.83333333333333337</v>
      </c>
      <c r="E27" s="461" t="str">
        <f>IF(+All!$H549="BYU",+All!E549,IF(+All!$F549="BYU",+All!E549,0))</f>
        <v>ESPN2</v>
      </c>
      <c r="F27" s="51" t="str">
        <f>IF(+All!$H549="BYU",+All!F549,IF(+All!$F549="BYU",+All!F549,0))</f>
        <v>East Carolina</v>
      </c>
      <c r="G27" s="52" t="str">
        <f>IF(+All!$H549="BYU",+All!G549,IF(+All!$F549="BYU",+All!G549,0))</f>
        <v>AAC</v>
      </c>
      <c r="H27" s="51" t="str">
        <f>IF(+All!$H549="BYU",+All!H549,IF(+All!$F549="BYU",+All!H549,0))</f>
        <v>BYU</v>
      </c>
      <c r="I27" s="52" t="str">
        <f>IF(+All!$H549="BYU",+All!I549,IF(+All!$F549="BYU",+All!I549,0))</f>
        <v>Ind</v>
      </c>
      <c r="J27" s="460" t="str">
        <f>IF(+All!$H549="BYU",+All!J549,IF(+All!$F549="BYU",+All!J549,0))</f>
        <v>BYU</v>
      </c>
      <c r="K27" s="461" t="str">
        <f>IF(+All!$H549="BYU",+All!K549,IF(+All!$F549="BYU",+All!K549,0))</f>
        <v>East Carolina</v>
      </c>
      <c r="L27" s="54">
        <f>IF(+All!$H549="BYU",+All!L549,IF(+All!$F549="BYU",+All!L549,0))</f>
        <v>3</v>
      </c>
      <c r="M27" s="55">
        <f>IF(+All!$H549="BYU",+All!M549,IF(+All!$F549="BYU",+All!M549,0))</f>
        <v>62</v>
      </c>
      <c r="N27" s="460" t="str">
        <f>IF(+All!$H549="BYU",+All!N549,IF(+All!$F549="BYU",+All!N549,0))</f>
        <v>East Carolina</v>
      </c>
      <c r="O27" s="462">
        <f>IF(+All!$H549="BYU",+All!O549,IF(+All!$F549="BYU",+All!O549,0))</f>
        <v>27</v>
      </c>
      <c r="P27" s="462" t="str">
        <f>IF(+All!$H549="BYU",+All!P549,IF(+All!$F549="BYU",+All!P549,0))</f>
        <v>BYU</v>
      </c>
      <c r="Q27" s="461">
        <f>IF(+All!$H549="BYU",+All!Q549,IF(+All!$F549="BYU",+All!Q549,0))</f>
        <v>24</v>
      </c>
      <c r="R27" s="460" t="str">
        <f>IF(+All!$H549="BYU",+All!R549,IF(+All!$F549="BYU",+All!R549,0))</f>
        <v>East Carolina</v>
      </c>
      <c r="S27" s="462" t="str">
        <f>IF(+All!$H549="BYU",+All!S549,IF(+All!$F549="BYU",+All!S549,0))</f>
        <v>BYU</v>
      </c>
      <c r="T27" s="460" t="str">
        <f>IF(+All!$H549="BYU",+All!T549,IF(+All!$F549="BYU",+All!T549,0))</f>
        <v>East Carolina</v>
      </c>
      <c r="U27" s="461" t="str">
        <f>IF(+All!$H549="BYU",+All!U549,IF(+All!$F549="BYU",+All!U549,0))</f>
        <v>W</v>
      </c>
    </row>
    <row r="28" spans="1:21" ht="16.75" customHeight="1" x14ac:dyDescent="0.8">
      <c r="A28" s="46">
        <f>IF(+All!$H631="BYU",+All!A631,IF(+All!$F631="BYU",+All!A631,0))</f>
        <v>10</v>
      </c>
      <c r="B28" s="348" t="str">
        <f>IF(+All!$H631="BYU",+All!B631,IF(+All!$F631="BYU",+All!B631,0))</f>
        <v>Sat</v>
      </c>
      <c r="C28" s="48">
        <f>IF(+All!$H631="BYU",+All!C631,IF(+All!$F631="BYU",+All!C631,0))</f>
        <v>44870</v>
      </c>
      <c r="D28" s="490">
        <f>IF(+All!$H631="BYU",+All!D631,IF(+All!$F631="BYU",+All!D631,0))</f>
        <v>0.79166666666666663</v>
      </c>
      <c r="E28" s="461" t="str">
        <f>IF(+All!$H631="BYU",+All!E631,IF(+All!$F631="BYU",+All!E631,0))</f>
        <v>FS2</v>
      </c>
      <c r="F28" s="51" t="str">
        <f>IF(+All!$H631="BYU",+All!F631,IF(+All!$F631="BYU",+All!F631,0))</f>
        <v>BYU</v>
      </c>
      <c r="G28" s="52" t="str">
        <f>IF(+All!$H631="BYU",+All!G631,IF(+All!$F631="BYU",+All!G631,0))</f>
        <v>Ind</v>
      </c>
      <c r="H28" s="51" t="str">
        <f>IF(+All!$H631="BYU",+All!H631,IF(+All!$F631="BYU",+All!H631,0))</f>
        <v>Boise State</v>
      </c>
      <c r="I28" s="52" t="str">
        <f>IF(+All!$H631="BYU",+All!I631,IF(+All!$F631="BYU",+All!I631,0))</f>
        <v>MWC</v>
      </c>
      <c r="J28" s="460" t="str">
        <f>IF(+All!$H631="BYU",+All!J631,IF(+All!$F631="BYU",+All!J631,0))</f>
        <v>Boise State</v>
      </c>
      <c r="K28" s="461" t="str">
        <f>IF(+All!$H631="BYU",+All!K631,IF(+All!$F631="BYU",+All!K631,0))</f>
        <v>BYU</v>
      </c>
      <c r="L28" s="54">
        <f>IF(+All!$H631="BYU",+All!L631,IF(+All!$F631="BYU",+All!L631,0))</f>
        <v>7.5</v>
      </c>
      <c r="M28" s="55">
        <f>IF(+All!$H631="BYU",+All!M631,IF(+All!$F631="BYU",+All!M631,0))</f>
        <v>55.5</v>
      </c>
      <c r="N28" s="460" t="str">
        <f>IF(+All!$H631="BYU",+All!N631,IF(+All!$F631="BYU",+All!N631,0))</f>
        <v>BYU</v>
      </c>
      <c r="O28" s="462">
        <f>IF(+All!$H631="BYU",+All!O631,IF(+All!$F631="BYU",+All!O631,0))</f>
        <v>31</v>
      </c>
      <c r="P28" s="462" t="str">
        <f>IF(+All!$H631="BYU",+All!P631,IF(+All!$F631="BYU",+All!P631,0))</f>
        <v>Boise State</v>
      </c>
      <c r="Q28" s="461">
        <f>IF(+All!$H631="BYU",+All!Q631,IF(+All!$F631="BYU",+All!Q631,0))</f>
        <v>28</v>
      </c>
      <c r="R28" s="460" t="str">
        <f>IF(+All!$H631="BYU",+All!R631,IF(+All!$F631="BYU",+All!R631,0))</f>
        <v>BYU</v>
      </c>
      <c r="S28" s="462" t="str">
        <f>IF(+All!$H631="BYU",+All!S631,IF(+All!$F631="BYU",+All!S631,0))</f>
        <v>Boise State</v>
      </c>
      <c r="T28" s="460" t="str">
        <f>IF(+All!$H631="BYU",+All!T631,IF(+All!$F631="BYU",+All!T631,0))</f>
        <v>Boise State</v>
      </c>
      <c r="U28" s="461" t="str">
        <f>IF(+All!$H631="BYU",+All!U631,IF(+All!$F631="BYU",+All!U631,0))</f>
        <v>L</v>
      </c>
    </row>
    <row r="29" spans="1:21" x14ac:dyDescent="0.8">
      <c r="A29" s="46" t="e">
        <f>IF(+All!#REF!="BYU",+All!#REF!,IF(+All!#REF!="BYU",+All!#REF!,0))</f>
        <v>#REF!</v>
      </c>
      <c r="B29" s="348" t="e">
        <f>IF(+All!#REF!="BYU",+All!#REF!,IF(+All!#REF!="BYU",+All!#REF!,0))</f>
        <v>#REF!</v>
      </c>
      <c r="C29" s="48" t="e">
        <f>IF(+All!#REF!="BYU",+All!#REF!,IF(+All!#REF!="BYU",+All!#REF!,0))</f>
        <v>#REF!</v>
      </c>
      <c r="D29" s="490" t="e">
        <f>IF(+All!#REF!="BYU",+All!#REF!,IF(+All!#REF!="BYU",+All!#REF!,0))</f>
        <v>#REF!</v>
      </c>
      <c r="E29" s="461" t="e">
        <f>IF(+All!#REF!="BYU",+All!#REF!,IF(+All!#REF!="BYU",+All!#REF!,0))</f>
        <v>#REF!</v>
      </c>
      <c r="F29" s="51" t="e">
        <f>IF(+All!#REF!="BYU",+All!#REF!,IF(+All!#REF!="BYU",+All!#REF!,0))</f>
        <v>#REF!</v>
      </c>
      <c r="G29" s="52" t="e">
        <f>IF(+All!#REF!="BYU",+All!#REF!,IF(+All!#REF!="BYU",+All!#REF!,0))</f>
        <v>#REF!</v>
      </c>
      <c r="H29" s="51" t="e">
        <f>IF(+All!#REF!="BYU",+All!#REF!,IF(+All!#REF!="BYU",+All!#REF!,0))</f>
        <v>#REF!</v>
      </c>
      <c r="I29" s="52" t="e">
        <f>IF(+All!#REF!="BYU",+All!#REF!,IF(+All!#REF!="BYU",+All!#REF!,0))</f>
        <v>#REF!</v>
      </c>
      <c r="J29" s="460" t="e">
        <f>IF(+All!#REF!="BYU",+All!#REF!,IF(+All!#REF!="BYU",+All!#REF!,0))</f>
        <v>#REF!</v>
      </c>
      <c r="K29" s="461" t="e">
        <f>IF(+All!#REF!="BYU",+All!#REF!,IF(+All!#REF!="BYU",+All!#REF!,0))</f>
        <v>#REF!</v>
      </c>
      <c r="L29" s="54" t="e">
        <f>IF(+All!#REF!="BYU",+All!#REF!,IF(+All!#REF!="BYU",+All!#REF!,0))</f>
        <v>#REF!</v>
      </c>
      <c r="M29" s="55" t="e">
        <f>IF(+All!#REF!="BYU",+All!#REF!,IF(+All!#REF!="BYU",+All!#REF!,0))</f>
        <v>#REF!</v>
      </c>
      <c r="N29" s="460" t="e">
        <f>IF(+All!#REF!="BYU",+All!#REF!,IF(+All!#REF!="BYU",+All!#REF!,0))</f>
        <v>#REF!</v>
      </c>
      <c r="O29" s="462" t="e">
        <f>IF(+All!#REF!="BYU",+All!#REF!,IF(+All!#REF!="BYU",+All!#REF!,0))</f>
        <v>#REF!</v>
      </c>
      <c r="P29" s="462" t="e">
        <f>IF(+All!#REF!="BYU",+All!#REF!,IF(+All!#REF!="BYU",+All!#REF!,0))</f>
        <v>#REF!</v>
      </c>
      <c r="Q29" s="461" t="e">
        <f>IF(+All!#REF!="BYU",+All!#REF!,IF(+All!#REF!="BYU",+All!#REF!,0))</f>
        <v>#REF!</v>
      </c>
      <c r="R29" s="460" t="e">
        <f>IF(+All!#REF!="BYU",+All!#REF!,IF(+All!#REF!="BYU",+All!#REF!,0))</f>
        <v>#REF!</v>
      </c>
      <c r="S29" s="462" t="e">
        <f>IF(+All!#REF!="BYU",+All!#REF!,IF(+All!#REF!="BYU",+All!#REF!,0))</f>
        <v>#REF!</v>
      </c>
      <c r="T29" s="460" t="e">
        <f>IF(+All!#REF!="BYU",+All!#REF!,IF(+All!#REF!="BYU",+All!#REF!,0))</f>
        <v>#REF!</v>
      </c>
      <c r="U29" s="461" t="e">
        <f>IF(+All!#REF!="BYU",+All!#REF!,IF(+All!#REF!="BYU",+All!#REF!,0))</f>
        <v>#REF!</v>
      </c>
    </row>
    <row r="30" spans="1:21" x14ac:dyDescent="0.8">
      <c r="A30" s="46">
        <f>IF(+All!$H754="BYU",+All!A754,IF(+All!$F754="BYU",+All!A754,0))</f>
        <v>12</v>
      </c>
      <c r="B30" s="348" t="str">
        <f>IF(+All!$H754="BYU",+All!B754,IF(+All!$F754="BYU",+All!B754,0))</f>
        <v>Sat</v>
      </c>
      <c r="C30" s="48">
        <f>IF(+All!$H754="BYU",+All!C754,IF(+All!$F754="BYU",+All!C754,0))</f>
        <v>44884</v>
      </c>
      <c r="D30" s="490">
        <f>IF(+All!$H754="BYU",+All!D754,IF(+All!$F754="BYU",+All!D754,0))</f>
        <v>0.64583333333333337</v>
      </c>
      <c r="E30" s="461" t="str">
        <f>IF(+All!$H754="BYU",+All!E754,IF(+All!$F754="BYU",+All!E754,0))</f>
        <v>espn3</v>
      </c>
      <c r="F30" s="51" t="str">
        <f>IF(+All!$H754="BYU",+All!F754,IF(+All!$F754="BYU",+All!F754,0))</f>
        <v>1AA Dixie State</v>
      </c>
      <c r="G30" s="52" t="str">
        <f>IF(+All!$H754="BYU",+All!G754,IF(+All!$F754="BYU",+All!G754,0))</f>
        <v>1AA</v>
      </c>
      <c r="H30" s="51" t="str">
        <f>IF(+All!$H754="BYU",+All!H754,IF(+All!$F754="BYU",+All!H754,0))</f>
        <v>BYU</v>
      </c>
      <c r="I30" s="52" t="str">
        <f>IF(+All!$H754="BYU",+All!I754,IF(+All!$F754="BYU",+All!I754,0))</f>
        <v>Ind</v>
      </c>
      <c r="J30" s="460">
        <f>IF(+All!$H754="BYU",+All!J754,IF(+All!$F754="BYU",+All!J754,0))</f>
        <v>0</v>
      </c>
      <c r="K30" s="461" t="str">
        <f>IF(+All!$H754="BYU",+All!K754,IF(+All!$F754="BYU",+All!K754,0))</f>
        <v>BYU</v>
      </c>
      <c r="L30" s="54">
        <f>IF(+All!$H754="BYU",+All!L754,IF(+All!$F754="BYU",+All!L754,0))</f>
        <v>0</v>
      </c>
      <c r="M30" s="55">
        <f>IF(+All!$H754="BYU",+All!M754,IF(+All!$F754="BYU",+All!M754,0))</f>
        <v>0</v>
      </c>
      <c r="N30" s="460" t="str">
        <f>IF(+All!$H754="BYU",+All!N754,IF(+All!$F754="BYU",+All!N754,0))</f>
        <v>BYU</v>
      </c>
      <c r="O30" s="462">
        <f>IF(+All!$H754="BYU",+All!O754,IF(+All!$F754="BYU",+All!O754,0))</f>
        <v>52</v>
      </c>
      <c r="P30" s="462" t="str">
        <f>IF(+All!$H754="BYU",+All!P754,IF(+All!$F754="BYU",+All!P754,0))</f>
        <v>1AA Dixie State</v>
      </c>
      <c r="Q30" s="461">
        <f>IF(+All!$H754="BYU",+All!Q754,IF(+All!$F754="BYU",+All!Q754,0))</f>
        <v>26</v>
      </c>
      <c r="R30" s="460" t="str">
        <f>IF(+All!$H754="BYU",+All!R754,IF(+All!$F754="BYU",+All!R754,0))</f>
        <v>BYU</v>
      </c>
      <c r="S30" s="462">
        <f>IF(+All!$H754="BYU",+All!S754,IF(+All!$F754="BYU",+All!S754,0))</f>
        <v>0</v>
      </c>
      <c r="T30" s="460">
        <f>IF(+All!$H754="BYU",+All!T754,IF(+All!$F754="BYU",+All!T754,0))</f>
        <v>0</v>
      </c>
      <c r="U30" s="461">
        <f>IF(+All!$H754="BYU",+All!U754,IF(+All!$F754="BYU",+All!U754,0))</f>
        <v>0</v>
      </c>
    </row>
    <row r="31" spans="1:21" x14ac:dyDescent="0.8">
      <c r="A31" s="46">
        <f>IF(+All!$H835="BYU",+All!A835,IF(+All!$F835="BYU",+All!A835,0))</f>
        <v>13</v>
      </c>
      <c r="B31" s="348" t="str">
        <f>IF(+All!$H835="BYU",+All!B835,IF(+All!$F835="BYU",+All!B835,0))</f>
        <v>Sat</v>
      </c>
      <c r="C31" s="48">
        <f>IF(+All!$H835="BYU",+All!C835,IF(+All!$F835="BYU",+All!C835,0))</f>
        <v>44891</v>
      </c>
      <c r="D31" s="490">
        <f>IF(+All!$H835="BYU",+All!D835,IF(+All!$F835="BYU",+All!D835,0))</f>
        <v>0.95833333333333337</v>
      </c>
      <c r="E31" s="461" t="str">
        <f>IF(+All!$H835="BYU",+All!E835,IF(+All!$F835="BYU",+All!E835,0))</f>
        <v>FS1</v>
      </c>
      <c r="F31" s="51" t="str">
        <f>IF(+All!$H835="BYU",+All!F835,IF(+All!$F835="BYU",+All!F835,0))</f>
        <v>BYU</v>
      </c>
      <c r="G31" s="52" t="str">
        <f>IF(+All!$H835="BYU",+All!G835,IF(+All!$F835="BYU",+All!G835,0))</f>
        <v>Ind</v>
      </c>
      <c r="H31" s="51" t="str">
        <f>IF(+All!$H835="BYU",+All!H835,IF(+All!$F835="BYU",+All!H835,0))</f>
        <v>Stanford</v>
      </c>
      <c r="I31" s="52" t="str">
        <f>IF(+All!$H835="BYU",+All!I835,IF(+All!$F835="BYU",+All!I835,0))</f>
        <v>P12</v>
      </c>
      <c r="J31" s="460" t="str">
        <f>IF(+All!$H835="BYU",+All!J835,IF(+All!$F835="BYU",+All!J835,0))</f>
        <v>BYU</v>
      </c>
      <c r="K31" s="461" t="str">
        <f>IF(+All!$H835="BYU",+All!K835,IF(+All!$F835="BYU",+All!K835,0))</f>
        <v>Stanford</v>
      </c>
      <c r="L31" s="54">
        <f>IF(+All!$H835="BYU",+All!L835,IF(+All!$F835="BYU",+All!L835,0))</f>
        <v>6.5</v>
      </c>
      <c r="M31" s="55">
        <f>IF(+All!$H835="BYU",+All!M835,IF(+All!$F835="BYU",+All!M835,0))</f>
        <v>57.5</v>
      </c>
      <c r="N31" s="460" t="str">
        <f>IF(+All!$H835="BYU",+All!N835,IF(+All!$F835="BYU",+All!N835,0))</f>
        <v>BYU</v>
      </c>
      <c r="O31" s="462">
        <f>IF(+All!$H835="BYU",+All!O835,IF(+All!$F835="BYU",+All!O835,0))</f>
        <v>35</v>
      </c>
      <c r="P31" s="462" t="str">
        <f>IF(+All!$H835="BYU",+All!P835,IF(+All!$F835="BYU",+All!P835,0))</f>
        <v>Stanford</v>
      </c>
      <c r="Q31" s="461">
        <f>IF(+All!$H835="BYU",+All!Q835,IF(+All!$F835="BYU",+All!Q835,0))</f>
        <v>26</v>
      </c>
      <c r="R31" s="460" t="str">
        <f>IF(+All!$H835="BYU",+All!R835,IF(+All!$F835="BYU",+All!R835,0))</f>
        <v>BYU</v>
      </c>
      <c r="S31" s="462" t="str">
        <f>IF(+All!$H835="BYU",+All!S835,IF(+All!$F835="BYU",+All!S835,0))</f>
        <v>Stanford</v>
      </c>
      <c r="T31" s="460" t="str">
        <f>IF(+All!$H835="BYU",+All!T835,IF(+All!$F835="BYU",+All!T835,0))</f>
        <v>BYU</v>
      </c>
      <c r="U31" s="461" t="str">
        <f>IF(+All!$H835="BYU",+All!U835,IF(+All!$F835="BYU",+All!U835,0))</f>
        <v>W</v>
      </c>
    </row>
    <row r="32" spans="1:21" x14ac:dyDescent="0.8">
      <c r="B32" s="39"/>
      <c r="C32" s="40"/>
      <c r="D32" s="41"/>
      <c r="E32" s="463"/>
      <c r="F32" s="897" t="str">
        <f>H34</f>
        <v>Connecticut</v>
      </c>
      <c r="G32" s="903"/>
      <c r="H32" s="903"/>
      <c r="I32" s="904"/>
      <c r="J32" s="459"/>
      <c r="K32" s="463"/>
      <c r="L32" s="44"/>
      <c r="M32" s="45"/>
      <c r="N32" s="459"/>
      <c r="O32" s="5"/>
      <c r="P32" s="5"/>
      <c r="Q32" s="318"/>
      <c r="R32" s="459"/>
      <c r="S32" s="5"/>
      <c r="T32" s="459"/>
      <c r="U32" s="463"/>
    </row>
    <row r="33" spans="1:21" x14ac:dyDescent="0.8">
      <c r="A33" s="46">
        <f>IF(+All!$F14="Connecticut",+All!A14,IF(+All!$H14="Connecticut",+All!A14,0))</f>
        <v>0</v>
      </c>
      <c r="B33" s="348" t="str">
        <f>IF(+All!$F14="Connecticut",+All!B14,IF(+All!$H14="Connecticut",+All!B14,0))</f>
        <v>Sat</v>
      </c>
      <c r="C33" s="48">
        <f>IF(+All!$F14="Connecticut",+All!C14,IF(+All!$H14="Connecticut",+All!C14,0))</f>
        <v>44800</v>
      </c>
      <c r="D33" s="490">
        <f>IF(+All!$F14="Connecticut",+All!D14,IF(+All!$H14="Connecticut",+All!D14,0))</f>
        <v>0.66666666666666663</v>
      </c>
      <c r="E33" s="461" t="str">
        <f>IF(+All!$F14="Connecticut",+All!E14,IF(+All!$H14="Connecticut",+All!E14,0))</f>
        <v>FS1</v>
      </c>
      <c r="F33" s="51" t="str">
        <f>IF(+All!$F14="Connecticut",+All!F14,IF(+All!$H14="Connecticut",+All!F14,0))</f>
        <v>Connecticut</v>
      </c>
      <c r="G33" s="52" t="str">
        <f>IF(+All!$F14="Connecticut",+All!G14,IF(+All!$H14="Connecticut",+All!G14,0))</f>
        <v>Ind</v>
      </c>
      <c r="H33" s="51" t="str">
        <f>IF(+All!$F14="Connecticut",+All!H14,IF(+All!$H14="Connecticut",+All!H14,0))</f>
        <v>Utah State</v>
      </c>
      <c r="I33" s="52" t="str">
        <f>IF(+All!$F14="Connecticut",+All!I14,IF(+All!$H14="Connecticut",+All!I14,0))</f>
        <v>MWC</v>
      </c>
      <c r="J33" s="460" t="str">
        <f>IF(+All!$F14="Connecticut",+All!J14,IF(+All!$H14="Connecticut",+All!J14,0))</f>
        <v>Utah State</v>
      </c>
      <c r="K33" s="461" t="str">
        <f>IF(+All!$F14="Connecticut",+All!K14,IF(+All!$H14="Connecticut",+All!K14,0))</f>
        <v>Connecticut</v>
      </c>
      <c r="L33" s="54">
        <f>IF(+All!$F14="Connecticut",+All!L14,IF(+All!$H14="Connecticut",+All!L14,0))</f>
        <v>24</v>
      </c>
      <c r="M33" s="55">
        <f>IF(+All!$F14="Connecticut",+All!M14,IF(+All!$H14="Connecticut",+All!M14,0))</f>
        <v>59.5</v>
      </c>
      <c r="N33" s="460" t="str">
        <f>IF(+All!$F14="Connecticut",+All!N14,IF(+All!$H14="Connecticut",+All!N14,0))</f>
        <v>Utah State</v>
      </c>
      <c r="O33" s="462">
        <f>IF(+All!$F14="Connecticut",+All!O14,IF(+All!$H14="Connecticut",+All!O14,0))</f>
        <v>31</v>
      </c>
      <c r="P33" s="462" t="str">
        <f>IF(+All!$F14="Connecticut",+All!P14,IF(+All!$H14="Connecticut",+All!P14,0))</f>
        <v>Connecticut</v>
      </c>
      <c r="Q33" s="461">
        <f>IF(+All!$F14="Connecticut",+All!Q14,IF(+All!$H14="Connecticut",+All!Q14,0))</f>
        <v>20</v>
      </c>
      <c r="R33" s="460" t="str">
        <f>IF(+All!$F14="Connecticut",+All!R14,IF(+All!$H14="Connecticut",+All!R14,0))</f>
        <v>Connecticut</v>
      </c>
      <c r="S33" s="462" t="str">
        <f>IF(+All!$F14="Connecticut",+All!S14,IF(+All!$H14="Connecticut",+All!S14,0))</f>
        <v>Utah State</v>
      </c>
      <c r="T33" s="460" t="str">
        <f>IF(+All!$F14="Connecticut",+All!T14,IF(+All!$H14="Connecticut",+All!T14,0))</f>
        <v>Connecticut</v>
      </c>
      <c r="U33" s="461" t="str">
        <f>IF(+All!$F14="Connecticut",+All!U14,IF(+All!$H14="Connecticut",+All!U14,0))</f>
        <v>W</v>
      </c>
    </row>
    <row r="34" spans="1:21" x14ac:dyDescent="0.8">
      <c r="A34" s="46">
        <f>IF(+All!$F52="Connecticut",+All!A52,IF(+All!$H52="Connecticut",+All!A52,0))</f>
        <v>1</v>
      </c>
      <c r="B34" s="348" t="str">
        <f>IF(+All!$F52="Connecticut",+All!B52,IF(+All!$H52="Connecticut",+All!B52,0))</f>
        <v>Sat</v>
      </c>
      <c r="C34" s="48">
        <f>IF(+All!$F52="Connecticut",+All!C52,IF(+All!$H52="Connecticut",+All!C52,0))</f>
        <v>414067</v>
      </c>
      <c r="D34" s="490">
        <f>IF(+All!$F52="Connecticut",+All!D52,IF(+All!$H52="Connecticut",+All!D52,0))</f>
        <v>0.5</v>
      </c>
      <c r="E34" s="461">
        <f>IF(+All!$F52="Connecticut",+All!E52,IF(+All!$H52="Connecticut",+All!E52,0))</f>
        <v>0</v>
      </c>
      <c r="F34" s="51" t="str">
        <f>IF(+All!$F52="Connecticut",+All!F52,IF(+All!$H52="Connecticut",+All!F52,0))</f>
        <v>1AA Central Connecticut</v>
      </c>
      <c r="G34" s="52" t="str">
        <f>IF(+All!$F52="Connecticut",+All!G52,IF(+All!$H52="Connecticut",+All!G52,0))</f>
        <v>1AA</v>
      </c>
      <c r="H34" s="51" t="str">
        <f>IF(+All!$F52="Connecticut",+All!H52,IF(+All!$H52="Connecticut",+All!H52,0))</f>
        <v>Connecticut</v>
      </c>
      <c r="I34" s="52" t="str">
        <f>IF(+All!$F52="Connecticut",+All!I52,IF(+All!$H52="Connecticut",+All!I52,0))</f>
        <v>Ind</v>
      </c>
      <c r="J34" s="460">
        <f>IF(+All!$F52="Connecticut",+All!J52,IF(+All!$H52="Connecticut",+All!J52,0))</f>
        <v>0</v>
      </c>
      <c r="K34" s="461">
        <f>IF(+All!$F52="Connecticut",+All!K52,IF(+All!$H52="Connecticut",+All!K52,0))</f>
        <v>0</v>
      </c>
      <c r="L34" s="54">
        <f>IF(+All!$F52="Connecticut",+All!L52,IF(+All!$H52="Connecticut",+All!L52,0))</f>
        <v>0</v>
      </c>
      <c r="M34" s="55">
        <f>IF(+All!$F52="Connecticut",+All!M52,IF(+All!$H52="Connecticut",+All!M52,0))</f>
        <v>0</v>
      </c>
      <c r="N34" s="460" t="str">
        <f>IF(+All!$F52="Connecticut",+All!N52,IF(+All!$H52="Connecticut",+All!N52,0))</f>
        <v>Connecticut</v>
      </c>
      <c r="O34" s="462">
        <f>IF(+All!$F52="Connecticut",+All!O52,IF(+All!$H52="Connecticut",+All!O52,0))</f>
        <v>28</v>
      </c>
      <c r="P34" s="462" t="str">
        <f>IF(+All!$F52="Connecticut",+All!P52,IF(+All!$H52="Connecticut",+All!P52,0))</f>
        <v>1AA Central Connecticut</v>
      </c>
      <c r="Q34" s="461">
        <f>IF(+All!$F52="Connecticut",+All!Q52,IF(+All!$H52="Connecticut",+All!Q52,0))</f>
        <v>3</v>
      </c>
      <c r="R34" s="460">
        <f>IF(+All!$F52="Connecticut",+All!R52,IF(+All!$H52="Connecticut",+All!R52,0))</f>
        <v>0</v>
      </c>
      <c r="S34" s="462">
        <f>IF(+All!$F52="Connecticut",+All!S52,IF(+All!$H52="Connecticut",+All!S52,0))</f>
        <v>0</v>
      </c>
      <c r="T34" s="460">
        <f>IF(+All!$F52="Connecticut",+All!T52,IF(+All!$H52="Connecticut",+All!T52,0))</f>
        <v>0</v>
      </c>
      <c r="U34" s="461">
        <f>IF(+All!$F52="Connecticut",+All!U52,IF(+All!$H52="Connecticut",+All!U52,0))</f>
        <v>0</v>
      </c>
    </row>
    <row r="35" spans="1:21" x14ac:dyDescent="0.8">
      <c r="A35" s="46">
        <f>IF(+All!$F142="Connecticut",+All!A142,IF(+All!$H142="Connecticut",+All!A142,0))</f>
        <v>2</v>
      </c>
      <c r="B35" s="348" t="str">
        <f>IF(+All!$F142="Connecticut",+All!B142,IF(+All!$H142="Connecticut",+All!B142,0))</f>
        <v>Sat</v>
      </c>
      <c r="C35" s="48">
        <f>IF(+All!$F142="Connecticut",+All!C142,IF(+All!$H142="Connecticut",+All!C142,0))</f>
        <v>44814</v>
      </c>
      <c r="D35" s="490">
        <f>IF(+All!$F142="Connecticut",+All!D142,IF(+All!$H142="Connecticut",+All!D142,0))</f>
        <v>0.79166666666666663</v>
      </c>
      <c r="E35" s="461" t="str">
        <f>IF(+All!$F142="Connecticut",+All!E142,IF(+All!$H142="Connecticut",+All!E142,0))</f>
        <v>CBSSN</v>
      </c>
      <c r="F35" s="51" t="str">
        <f>IF(+All!$F142="Connecticut",+All!F142,IF(+All!$H142="Connecticut",+All!F142,0))</f>
        <v>Syracuse</v>
      </c>
      <c r="G35" s="52" t="str">
        <f>IF(+All!$F142="Connecticut",+All!G142,IF(+All!$H142="Connecticut",+All!G142,0))</f>
        <v>ACC</v>
      </c>
      <c r="H35" s="51" t="str">
        <f>IF(+All!$F142="Connecticut",+All!H142,IF(+All!$H142="Connecticut",+All!H142,0))</f>
        <v>Connecticut</v>
      </c>
      <c r="I35" s="52" t="str">
        <f>IF(+All!$F142="Connecticut",+All!I142,IF(+All!$H142="Connecticut",+All!I142,0))</f>
        <v>Ind</v>
      </c>
      <c r="J35" s="460" t="str">
        <f>IF(+All!$F142="Connecticut",+All!J142,IF(+All!$H142="Connecticut",+All!J142,0))</f>
        <v>Syracuse</v>
      </c>
      <c r="K35" s="461" t="str">
        <f>IF(+All!$F142="Connecticut",+All!K142,IF(+All!$H142="Connecticut",+All!K142,0))</f>
        <v>Connecticut</v>
      </c>
      <c r="L35" s="54">
        <f>IF(+All!$F142="Connecticut",+All!L142,IF(+All!$H142="Connecticut",+All!L142,0))</f>
        <v>22.5</v>
      </c>
      <c r="M35" s="55">
        <f>IF(+All!$F142="Connecticut",+All!M142,IF(+All!$H142="Connecticut",+All!M142,0))</f>
        <v>49</v>
      </c>
      <c r="N35" s="460" t="str">
        <f>IF(+All!$F142="Connecticut",+All!N142,IF(+All!$H142="Connecticut",+All!N142,0))</f>
        <v>Syracuse</v>
      </c>
      <c r="O35" s="462">
        <f>IF(+All!$F142="Connecticut",+All!O142,IF(+All!$H142="Connecticut",+All!O142,0))</f>
        <v>48</v>
      </c>
      <c r="P35" s="462" t="str">
        <f>IF(+All!$F142="Connecticut",+All!P142,IF(+All!$H142="Connecticut",+All!P142,0))</f>
        <v>Connecticut</v>
      </c>
      <c r="Q35" s="461">
        <f>IF(+All!$F142="Connecticut",+All!Q142,IF(+All!$H142="Connecticut",+All!Q142,0))</f>
        <v>14</v>
      </c>
      <c r="R35" s="460" t="str">
        <f>IF(+All!$F142="Connecticut",+All!R142,IF(+All!$H142="Connecticut",+All!R142,0))</f>
        <v>Syracuse</v>
      </c>
      <c r="S35" s="462" t="str">
        <f>IF(+All!$F142="Connecticut",+All!S142,IF(+All!$H142="Connecticut",+All!S142,0))</f>
        <v>Connecticut</v>
      </c>
      <c r="T35" s="460" t="str">
        <f>IF(+All!$F142="Connecticut",+All!T142,IF(+All!$H142="Connecticut",+All!T142,0))</f>
        <v>Syracuse</v>
      </c>
      <c r="U35" s="461" t="str">
        <f>IF(+All!$F142="Connecticut",+All!U142,IF(+All!$H142="Connecticut",+All!U142,0))</f>
        <v>W</v>
      </c>
    </row>
    <row r="36" spans="1:21" x14ac:dyDescent="0.8">
      <c r="A36" s="46">
        <f>IF(+All!$F200="Connecticut",+All!A200,IF(+All!$H200="Connecticut",+All!A200,0))</f>
        <v>3</v>
      </c>
      <c r="B36" s="348" t="str">
        <f>IF(+All!$F200="Connecticut",+All!B200,IF(+All!$H200="Connecticut",+All!B200,0))</f>
        <v>Sat</v>
      </c>
      <c r="C36" s="48">
        <f>IF(+All!$F200="Connecticut",+All!C200,IF(+All!$H200="Connecticut",+All!C200,0))</f>
        <v>44821</v>
      </c>
      <c r="D36" s="490">
        <f>IF(+All!$F200="Connecticut",+All!D200,IF(+All!$H200="Connecticut",+All!D200,0))</f>
        <v>0.5</v>
      </c>
      <c r="E36" s="461" t="str">
        <f>IF(+All!$F200="Connecticut",+All!E200,IF(+All!$H200="Connecticut",+All!E200,0))</f>
        <v>ABC</v>
      </c>
      <c r="F36" s="51" t="str">
        <f>IF(+All!$F200="Connecticut",+All!F200,IF(+All!$H200="Connecticut",+All!F200,0))</f>
        <v>Connecticut</v>
      </c>
      <c r="G36" s="52" t="str">
        <f>IF(+All!$F200="Connecticut",+All!G200,IF(+All!$H200="Connecticut",+All!G200,0))</f>
        <v>Ind</v>
      </c>
      <c r="H36" s="51" t="str">
        <f>IF(+All!$F200="Connecticut",+All!H200,IF(+All!$H200="Connecticut",+All!H200,0))</f>
        <v>Michigan</v>
      </c>
      <c r="I36" s="52" t="str">
        <f>IF(+All!$F200="Connecticut",+All!I200,IF(+All!$H200="Connecticut",+All!I200,0))</f>
        <v>B10</v>
      </c>
      <c r="J36" s="460" t="str">
        <f>IF(+All!$F200="Connecticut",+All!J200,IF(+All!$H200="Connecticut",+All!J200,0))</f>
        <v>Michigan</v>
      </c>
      <c r="K36" s="461" t="str">
        <f>IF(+All!$F200="Connecticut",+All!K200,IF(+All!$H200="Connecticut",+All!K200,0))</f>
        <v>Connecticut</v>
      </c>
      <c r="L36" s="54">
        <f>IF(+All!$F200="Connecticut",+All!L200,IF(+All!$H200="Connecticut",+All!L200,0))</f>
        <v>46.5</v>
      </c>
      <c r="M36" s="55">
        <f>IF(+All!$F200="Connecticut",+All!M200,IF(+All!$H200="Connecticut",+All!M200,0))</f>
        <v>60</v>
      </c>
      <c r="N36" s="460" t="str">
        <f>IF(+All!$F200="Connecticut",+All!N200,IF(+All!$H200="Connecticut",+All!N200,0))</f>
        <v>Michigan</v>
      </c>
      <c r="O36" s="462">
        <f>IF(+All!$F200="Connecticut",+All!O200,IF(+All!$H200="Connecticut",+All!O200,0))</f>
        <v>59</v>
      </c>
      <c r="P36" s="462" t="str">
        <f>IF(+All!$F200="Connecticut",+All!P200,IF(+All!$H200="Connecticut",+All!P200,0))</f>
        <v>Connecticut</v>
      </c>
      <c r="Q36" s="461">
        <f>IF(+All!$F200="Connecticut",+All!Q200,IF(+All!$H200="Connecticut",+All!Q200,0))</f>
        <v>0</v>
      </c>
      <c r="R36" s="460" t="str">
        <f>IF(+All!$F200="Connecticut",+All!R200,IF(+All!$H200="Connecticut",+All!R200,0))</f>
        <v>Michigan</v>
      </c>
      <c r="S36" s="462" t="str">
        <f>IF(+All!$F200="Connecticut",+All!S200,IF(+All!$H200="Connecticut",+All!S200,0))</f>
        <v>Connecticut</v>
      </c>
      <c r="T36" s="460" t="str">
        <f>IF(+All!$F200="Connecticut",+All!T200,IF(+All!$H200="Connecticut",+All!T200,0))</f>
        <v>Connecticut</v>
      </c>
      <c r="U36" s="461" t="str">
        <f>IF(+All!$F200="Connecticut",+All!U200,IF(+All!$H200="Connecticut",+All!U200,0))</f>
        <v>L</v>
      </c>
    </row>
    <row r="37" spans="1:21" x14ac:dyDescent="0.8">
      <c r="A37" s="46">
        <f>IF(+All!$F270="Connecticut",+All!A270,IF(+All!$H270="Connecticut",+All!A270,0))</f>
        <v>4</v>
      </c>
      <c r="B37" s="348" t="str">
        <f>IF(+All!$F270="Connecticut",+All!B270,IF(+All!$H270="Connecticut",+All!B270,0))</f>
        <v>Sat</v>
      </c>
      <c r="C37" s="48">
        <f>IF(+All!$F270="Connecticut",+All!C270,IF(+All!$H270="Connecticut",+All!C270,0))</f>
        <v>44828</v>
      </c>
      <c r="D37" s="490">
        <f>IF(+All!$F270="Connecticut",+All!D270,IF(+All!$H270="Connecticut",+All!D270,0))</f>
        <v>0.8125</v>
      </c>
      <c r="E37" s="461" t="str">
        <f>IF(+All!$F270="Connecticut",+All!E270,IF(+All!$H270="Connecticut",+All!E270,0))</f>
        <v>espn3</v>
      </c>
      <c r="F37" s="51" t="str">
        <f>IF(+All!$F270="Connecticut",+All!F270,IF(+All!$H270="Connecticut",+All!F270,0))</f>
        <v>Connecticut</v>
      </c>
      <c r="G37" s="52" t="str">
        <f>IF(+All!$F270="Connecticut",+All!G270,IF(+All!$H270="Connecticut",+All!G270,0))</f>
        <v>Ind</v>
      </c>
      <c r="H37" s="51" t="str">
        <f>IF(+All!$F270="Connecticut",+All!H270,IF(+All!$H270="Connecticut",+All!H270,0))</f>
        <v>North Carolina St</v>
      </c>
      <c r="I37" s="52" t="str">
        <f>IF(+All!$F270="Connecticut",+All!I270,IF(+All!$H270="Connecticut",+All!I270,0))</f>
        <v>ACC</v>
      </c>
      <c r="J37" s="460" t="str">
        <f>IF(+All!$F270="Connecticut",+All!J270,IF(+All!$H270="Connecticut",+All!J270,0))</f>
        <v>North Carolina St</v>
      </c>
      <c r="K37" s="461" t="str">
        <f>IF(+All!$F270="Connecticut",+All!K270,IF(+All!$H270="Connecticut",+All!K270,0))</f>
        <v>Connecticut</v>
      </c>
      <c r="L37" s="54">
        <f>IF(+All!$F270="Connecticut",+All!L270,IF(+All!$H270="Connecticut",+All!L270,0))</f>
        <v>39</v>
      </c>
      <c r="M37" s="55">
        <f>IF(+All!$F270="Connecticut",+All!M270,IF(+All!$H270="Connecticut",+All!M270,0))</f>
        <v>49.5</v>
      </c>
      <c r="N37" s="460" t="str">
        <f>IF(+All!$F270="Connecticut",+All!N270,IF(+All!$H270="Connecticut",+All!N270,0))</f>
        <v>North Carolina St</v>
      </c>
      <c r="O37" s="462">
        <f>IF(+All!$F270="Connecticut",+All!O270,IF(+All!$H270="Connecticut",+All!O270,0))</f>
        <v>41</v>
      </c>
      <c r="P37" s="462" t="str">
        <f>IF(+All!$F270="Connecticut",+All!P270,IF(+All!$H270="Connecticut",+All!P270,0))</f>
        <v>Connecticut</v>
      </c>
      <c r="Q37" s="461">
        <f>IF(+All!$F270="Connecticut",+All!Q270,IF(+All!$H270="Connecticut",+All!Q270,0))</f>
        <v>0</v>
      </c>
      <c r="R37" s="460" t="str">
        <f>IF(+All!$F270="Connecticut",+All!R270,IF(+All!$H270="Connecticut",+All!R270,0))</f>
        <v>North Carolina St</v>
      </c>
      <c r="S37" s="462" t="str">
        <f>IF(+All!$F270="Connecticut",+All!S270,IF(+All!$H270="Connecticut",+All!S270,0))</f>
        <v>Connecticut</v>
      </c>
      <c r="T37" s="460" t="str">
        <f>IF(+All!$F270="Connecticut",+All!T270,IF(+All!$H270="Connecticut",+All!T270,0))</f>
        <v>Connecticut</v>
      </c>
      <c r="U37" s="461" t="str">
        <f>IF(+All!$F270="Connecticut",+All!U270,IF(+All!$H270="Connecticut",+All!U270,0))</f>
        <v>L</v>
      </c>
    </row>
    <row r="38" spans="1:21" x14ac:dyDescent="0.8">
      <c r="A38" s="46">
        <f>IF(+All!$F352="Connecticut",+All!A352,IF(+All!$H352="Connecticut",+All!A352,0))</f>
        <v>5</v>
      </c>
      <c r="B38" s="348" t="str">
        <f>IF(+All!$F352="Connecticut",+All!B352,IF(+All!$H352="Connecticut",+All!B352,0))</f>
        <v>Sat</v>
      </c>
      <c r="C38" s="48">
        <f>IF(+All!$F352="Connecticut",+All!C352,IF(+All!$H352="Connecticut",+All!C352,0))</f>
        <v>44835</v>
      </c>
      <c r="D38" s="490">
        <f>IF(+All!$F352="Connecticut",+All!D352,IF(+All!$H352="Connecticut",+All!D352,0))</f>
        <v>0.64583333333333337</v>
      </c>
      <c r="E38" s="461" t="str">
        <f>IF(+All!$F352="Connecticut",+All!E352,IF(+All!$H352="Connecticut",+All!E352,0))</f>
        <v>CBSSN</v>
      </c>
      <c r="F38" s="51" t="str">
        <f>IF(+All!$F352="Connecticut",+All!F352,IF(+All!$H352="Connecticut",+All!F352,0))</f>
        <v>Fresno State</v>
      </c>
      <c r="G38" s="52" t="str">
        <f>IF(+All!$F352="Connecticut",+All!G352,IF(+All!$H352="Connecticut",+All!G352,0))</f>
        <v>MWC</v>
      </c>
      <c r="H38" s="51" t="str">
        <f>IF(+All!$F352="Connecticut",+All!H352,IF(+All!$H352="Connecticut",+All!H352,0))</f>
        <v>Connecticut</v>
      </c>
      <c r="I38" s="52" t="str">
        <f>IF(+All!$F352="Connecticut",+All!I352,IF(+All!$H352="Connecticut",+All!I352,0))</f>
        <v>Ind</v>
      </c>
      <c r="J38" s="460" t="str">
        <f>IF(+All!$F352="Connecticut",+All!J352,IF(+All!$H352="Connecticut",+All!J352,0))</f>
        <v>Fresno State</v>
      </c>
      <c r="K38" s="461" t="str">
        <f>IF(+All!$F352="Connecticut",+All!K352,IF(+All!$H352="Connecticut",+All!K352,0))</f>
        <v>Connecticut</v>
      </c>
      <c r="L38" s="54">
        <f>IF(+All!$F352="Connecticut",+All!L352,IF(+All!$H352="Connecticut",+All!L352,0))</f>
        <v>23.5</v>
      </c>
      <c r="M38" s="55">
        <f>IF(+All!$F352="Connecticut",+All!M352,IF(+All!$H352="Connecticut",+All!M352,0))</f>
        <v>52.5</v>
      </c>
      <c r="N38" s="460" t="str">
        <f>IF(+All!$F352="Connecticut",+All!N352,IF(+All!$H352="Connecticut",+All!N352,0))</f>
        <v>Connecticut</v>
      </c>
      <c r="O38" s="462">
        <f>IF(+All!$F352="Connecticut",+All!O352,IF(+All!$H352="Connecticut",+All!O352,0))</f>
        <v>19</v>
      </c>
      <c r="P38" s="462" t="str">
        <f>IF(+All!$F352="Connecticut",+All!P352,IF(+All!$H352="Connecticut",+All!P352,0))</f>
        <v>Fresno State</v>
      </c>
      <c r="Q38" s="461">
        <f>IF(+All!$F352="Connecticut",+All!Q352,IF(+All!$H352="Connecticut",+All!Q352,0))</f>
        <v>14</v>
      </c>
      <c r="R38" s="460" t="str">
        <f>IF(+All!$F352="Connecticut",+All!R352,IF(+All!$H352="Connecticut",+All!R352,0))</f>
        <v>Connecticut</v>
      </c>
      <c r="S38" s="462" t="str">
        <f>IF(+All!$F352="Connecticut",+All!S352,IF(+All!$H352="Connecticut",+All!S352,0))</f>
        <v>Fresno State</v>
      </c>
      <c r="T38" s="460" t="str">
        <f>IF(+All!$F352="Connecticut",+All!T352,IF(+All!$H352="Connecticut",+All!T352,0))</f>
        <v>Connecticut</v>
      </c>
      <c r="U38" s="461" t="str">
        <f>IF(+All!$F352="Connecticut",+All!U352,IF(+All!$H352="Connecticut",+All!U352,0))</f>
        <v>W</v>
      </c>
    </row>
    <row r="39" spans="1:21" ht="16.75" customHeight="1" x14ac:dyDescent="0.8">
      <c r="A39" s="46">
        <f>IF(+All!$F405="Connecticut",+All!A405,IF(+All!$H405="Connecticut",+All!A405,0))</f>
        <v>6</v>
      </c>
      <c r="B39" s="348" t="str">
        <f>IF(+All!$F405="Connecticut",+All!B405,IF(+All!$H405="Connecticut",+All!B405,0))</f>
        <v>Sat</v>
      </c>
      <c r="C39" s="48">
        <f>IF(+All!$F405="Connecticut",+All!C405,IF(+All!$H405="Connecticut",+All!C405,0))</f>
        <v>44842</v>
      </c>
      <c r="D39" s="490">
        <f>IF(+All!$F405="Connecticut",+All!D405,IF(+All!$H405="Connecticut",+All!D405,0))</f>
        <v>0.79166666666666663</v>
      </c>
      <c r="E39" s="461" t="str">
        <f>IF(+All!$F405="Connecticut",+All!E405,IF(+All!$H405="Connecticut",+All!E405,0))</f>
        <v>espn3</v>
      </c>
      <c r="F39" s="51" t="str">
        <f>IF(+All!$F405="Connecticut",+All!F405,IF(+All!$H405="Connecticut",+All!F405,0))</f>
        <v>Connecticut</v>
      </c>
      <c r="G39" s="52" t="str">
        <f>IF(+All!$F405="Connecticut",+All!G405,IF(+All!$H405="Connecticut",+All!G405,0))</f>
        <v>Ind</v>
      </c>
      <c r="H39" s="51" t="str">
        <f>IF(+All!$F405="Connecticut",+All!H405,IF(+All!$H405="Connecticut",+All!H405,0))</f>
        <v>Florida Intl</v>
      </c>
      <c r="I39" s="52" t="str">
        <f>IF(+All!$F405="Connecticut",+All!I405,IF(+All!$H405="Connecticut",+All!I405,0))</f>
        <v>CUSA</v>
      </c>
      <c r="J39" s="460" t="str">
        <f>IF(+All!$F405="Connecticut",+All!J405,IF(+All!$H405="Connecticut",+All!J405,0))</f>
        <v>Connecticut</v>
      </c>
      <c r="K39" s="461" t="str">
        <f>IF(+All!$F405="Connecticut",+All!K405,IF(+All!$H405="Connecticut",+All!K405,0))</f>
        <v>Florida Intl</v>
      </c>
      <c r="L39" s="54">
        <f>IF(+All!$F405="Connecticut",+All!L405,IF(+All!$H405="Connecticut",+All!L405,0))</f>
        <v>5</v>
      </c>
      <c r="M39" s="55">
        <f>IF(+All!$F405="Connecticut",+All!M405,IF(+All!$H405="Connecticut",+All!M405,0))</f>
        <v>46.5</v>
      </c>
      <c r="N39" s="460" t="str">
        <f>IF(+All!$F405="Connecticut",+All!N405,IF(+All!$H405="Connecticut",+All!N405,0))</f>
        <v>Connecticut</v>
      </c>
      <c r="O39" s="462">
        <f>IF(+All!$F405="Connecticut",+All!O405,IF(+All!$H405="Connecticut",+All!O405,0))</f>
        <v>33</v>
      </c>
      <c r="P39" s="462" t="str">
        <f>IF(+All!$F405="Connecticut",+All!P405,IF(+All!$H405="Connecticut",+All!P405,0))</f>
        <v>Florida Intl</v>
      </c>
      <c r="Q39" s="461">
        <f>IF(+All!$F405="Connecticut",+All!Q405,IF(+All!$H405="Connecticut",+All!Q405,0))</f>
        <v>12</v>
      </c>
      <c r="R39" s="460" t="str">
        <f>IF(+All!$F405="Connecticut",+All!R405,IF(+All!$H405="Connecticut",+All!R405,0))</f>
        <v>Connecticut</v>
      </c>
      <c r="S39" s="462" t="str">
        <f>IF(+All!$F405="Connecticut",+All!S405,IF(+All!$H405="Connecticut",+All!S405,0))</f>
        <v>Florida Intl</v>
      </c>
      <c r="T39" s="460" t="str">
        <f>IF(+All!$F405="Connecticut",+All!T405,IF(+All!$H405="Connecticut",+All!T405,0))</f>
        <v>Connecticut</v>
      </c>
      <c r="U39" s="461" t="str">
        <f>IF(+All!$F405="Connecticut",+All!U405,IF(+All!$H405="Connecticut",+All!U405,0))</f>
        <v>W</v>
      </c>
    </row>
    <row r="40" spans="1:21" ht="16.75" customHeight="1" x14ac:dyDescent="0.8">
      <c r="A40" s="46">
        <f>IF(+All!$F468="Connecticut",+All!A468,IF(+All!$H468="Connecticut",+All!A468,0))</f>
        <v>7</v>
      </c>
      <c r="B40" s="348" t="str">
        <f>IF(+All!$F468="Connecticut",+All!B468,IF(+All!$H468="Connecticut",+All!B468,0))</f>
        <v>Sat</v>
      </c>
      <c r="C40" s="48">
        <f>IF(+All!$F468="Connecticut",+All!C468,IF(+All!$H468="Connecticut",+All!C468,0))</f>
        <v>44849</v>
      </c>
      <c r="D40" s="490">
        <f>IF(+All!$F468="Connecticut",+All!D468,IF(+All!$H468="Connecticut",+All!D468,0))</f>
        <v>0.58333333333333337</v>
      </c>
      <c r="E40" s="461" t="str">
        <f>IF(+All!$F468="Connecticut",+All!E468,IF(+All!$H468="Connecticut",+All!E468,0))</f>
        <v>espn3</v>
      </c>
      <c r="F40" s="51" t="str">
        <f>IF(+All!$F468="Connecticut",+All!F468,IF(+All!$H468="Connecticut",+All!F468,0))</f>
        <v>Connecticut</v>
      </c>
      <c r="G40" s="52" t="str">
        <f>IF(+All!$F468="Connecticut",+All!G468,IF(+All!$H468="Connecticut",+All!G468,0))</f>
        <v>Ind</v>
      </c>
      <c r="H40" s="51" t="str">
        <f>IF(+All!$F468="Connecticut",+All!H468,IF(+All!$H468="Connecticut",+All!H468,0))</f>
        <v>Ball State</v>
      </c>
      <c r="I40" s="52" t="str">
        <f>IF(+All!$F468="Connecticut",+All!I468,IF(+All!$H468="Connecticut",+All!I468,0))</f>
        <v>MAC</v>
      </c>
      <c r="J40" s="460" t="str">
        <f>IF(+All!$F468="Connecticut",+All!J468,IF(+All!$H468="Connecticut",+All!J468,0))</f>
        <v>Ball State</v>
      </c>
      <c r="K40" s="461" t="str">
        <f>IF(+All!$F468="Connecticut",+All!K468,IF(+All!$H468="Connecticut",+All!K468,0))</f>
        <v>Connecticut</v>
      </c>
      <c r="L40" s="54">
        <f>IF(+All!$F468="Connecticut",+All!L468,IF(+All!$H468="Connecticut",+All!L468,0))</f>
        <v>9.5</v>
      </c>
      <c r="M40" s="55">
        <f>IF(+All!$F468="Connecticut",+All!M468,IF(+All!$H468="Connecticut",+All!M468,0))</f>
        <v>46.5</v>
      </c>
      <c r="N40" s="460" t="str">
        <f>IF(+All!$F468="Connecticut",+All!N468,IF(+All!$H468="Connecticut",+All!N468,0))</f>
        <v>Ball State</v>
      </c>
      <c r="O40" s="462">
        <f>IF(+All!$F468="Connecticut",+All!O468,IF(+All!$H468="Connecticut",+All!O468,0))</f>
        <v>25</v>
      </c>
      <c r="P40" s="462" t="str">
        <f>IF(+All!$F468="Connecticut",+All!P468,IF(+All!$H468="Connecticut",+All!P468,0))</f>
        <v>Connecticut</v>
      </c>
      <c r="Q40" s="461">
        <f>IF(+All!$F468="Connecticut",+All!Q468,IF(+All!$H468="Connecticut",+All!Q468,0))</f>
        <v>21</v>
      </c>
      <c r="R40" s="460" t="str">
        <f>IF(+All!$F468="Connecticut",+All!R468,IF(+All!$H468="Connecticut",+All!R468,0))</f>
        <v>Connecticut</v>
      </c>
      <c r="S40" s="462" t="str">
        <f>IF(+All!$F468="Connecticut",+All!S468,IF(+All!$H468="Connecticut",+All!S468,0))</f>
        <v>Ball State</v>
      </c>
      <c r="T40" s="460" t="str">
        <f>IF(+All!$F468="Connecticut",+All!T468,IF(+All!$H468="Connecticut",+All!T468,0))</f>
        <v>Connecticut</v>
      </c>
      <c r="U40" s="461" t="str">
        <f>IF(+All!$F468="Connecticut",+All!U468,IF(+All!$H468="Connecticut",+All!U468,0))</f>
        <v>W</v>
      </c>
    </row>
    <row r="41" spans="1:21" x14ac:dyDescent="0.8">
      <c r="A41" s="46" t="e">
        <f>IF(+All!#REF!="Connecticut",+All!#REF!,IF(+All!#REF!="Connecticut",+All!#REF!,0))</f>
        <v>#REF!</v>
      </c>
      <c r="B41" s="348" t="e">
        <f>IF(+All!#REF!="Connecticut",+All!#REF!,IF(+All!#REF!="Connecticut",+All!#REF!,0))</f>
        <v>#REF!</v>
      </c>
      <c r="C41" s="48" t="e">
        <f>IF(+All!#REF!="Connecticut",+All!#REF!,IF(+All!#REF!="Connecticut",+All!#REF!,0))</f>
        <v>#REF!</v>
      </c>
      <c r="D41" s="490" t="e">
        <f>IF(+All!#REF!="Connecticut",+All!#REF!,IF(+All!#REF!="Connecticut",+All!#REF!,0))</f>
        <v>#REF!</v>
      </c>
      <c r="E41" s="461" t="e">
        <f>IF(+All!#REF!="Connecticut",+All!#REF!,IF(+All!#REF!="Connecticut",+All!#REF!,0))</f>
        <v>#REF!</v>
      </c>
      <c r="F41" s="51" t="e">
        <f>IF(+All!#REF!="Connecticut",+All!#REF!,IF(+All!#REF!="Connecticut",+All!#REF!,0))</f>
        <v>#REF!</v>
      </c>
      <c r="G41" s="52" t="e">
        <f>IF(+All!#REF!="Connecticut",+All!#REF!,IF(+All!#REF!="Connecticut",+All!#REF!,0))</f>
        <v>#REF!</v>
      </c>
      <c r="H41" s="51" t="e">
        <f>IF(+All!#REF!="Connecticut",+All!#REF!,IF(+All!#REF!="Connecticut",+All!#REF!,0))</f>
        <v>#REF!</v>
      </c>
      <c r="I41" s="52" t="e">
        <f>IF(+All!#REF!="Connecticut",+All!#REF!,IF(+All!#REF!="Connecticut",+All!#REF!,0))</f>
        <v>#REF!</v>
      </c>
      <c r="J41" s="460" t="e">
        <f>IF(+All!#REF!="Connecticut",+All!#REF!,IF(+All!#REF!="Connecticut",+All!#REF!,0))</f>
        <v>#REF!</v>
      </c>
      <c r="K41" s="461" t="e">
        <f>IF(+All!#REF!="Connecticut",+All!#REF!,IF(+All!#REF!="Connecticut",+All!#REF!,0))</f>
        <v>#REF!</v>
      </c>
      <c r="L41" s="54" t="e">
        <f>IF(+All!#REF!="Connecticut",+All!#REF!,IF(+All!#REF!="Connecticut",+All!#REF!,0))</f>
        <v>#REF!</v>
      </c>
      <c r="M41" s="55" t="e">
        <f>IF(+All!#REF!="Connecticut",+All!#REF!,IF(+All!#REF!="Connecticut",+All!#REF!,0))</f>
        <v>#REF!</v>
      </c>
      <c r="N41" s="460" t="e">
        <f>IF(+All!#REF!="Connecticut",+All!#REF!,IF(+All!#REF!="Connecticut",+All!#REF!,0))</f>
        <v>#REF!</v>
      </c>
      <c r="O41" s="462" t="e">
        <f>IF(+All!#REF!="Connecticut",+All!#REF!,IF(+All!#REF!="Connecticut",+All!#REF!,0))</f>
        <v>#REF!</v>
      </c>
      <c r="P41" s="462" t="e">
        <f>IF(+All!#REF!="Connecticut",+All!#REF!,IF(+All!#REF!="Connecticut",+All!#REF!,0))</f>
        <v>#REF!</v>
      </c>
      <c r="Q41" s="461" t="e">
        <f>IF(+All!#REF!="Connecticut",+All!#REF!,IF(+All!#REF!="Connecticut",+All!#REF!,0))</f>
        <v>#REF!</v>
      </c>
      <c r="R41" s="460" t="e">
        <f>IF(+All!#REF!="Connecticut",+All!#REF!,IF(+All!#REF!="Connecticut",+All!#REF!,0))</f>
        <v>#REF!</v>
      </c>
      <c r="S41" s="462" t="e">
        <f>IF(+All!#REF!="Connecticut",+All!#REF!,IF(+All!#REF!="Connecticut",+All!#REF!,0))</f>
        <v>#REF!</v>
      </c>
      <c r="T41" s="460" t="e">
        <f>IF(+All!#REF!="Connecticut",+All!#REF!,IF(+All!#REF!="Connecticut",+All!#REF!,0))</f>
        <v>#REF!</v>
      </c>
      <c r="U41" s="461" t="e">
        <f>IF(+All!#REF!="Connecticut",+All!#REF!,IF(+All!#REF!="Connecticut",+All!#REF!,0))</f>
        <v>#REF!</v>
      </c>
    </row>
    <row r="42" spans="1:21" x14ac:dyDescent="0.8">
      <c r="A42" s="46">
        <f>IF(+All!$F572="Connecticut",+All!A572,IF(+All!$H572="Connecticut",+All!A572,0))</f>
        <v>9</v>
      </c>
      <c r="B42" s="348" t="str">
        <f>IF(+All!$F572="Connecticut",+All!B572,IF(+All!$H572="Connecticut",+All!B572,0))</f>
        <v>Sat</v>
      </c>
      <c r="C42" s="48">
        <f>IF(+All!$F572="Connecticut",+All!C572,IF(+All!$H572="Connecticut",+All!C572,0))</f>
        <v>44863</v>
      </c>
      <c r="D42" s="490">
        <f>IF(+All!$F572="Connecticut",+All!D572,IF(+All!$H572="Connecticut",+All!D572,0))</f>
        <v>0.5</v>
      </c>
      <c r="E42" s="461" t="str">
        <f>IF(+All!$F572="Connecticut",+All!E572,IF(+All!$H572="Connecticut",+All!E572,0))</f>
        <v>CBSSN</v>
      </c>
      <c r="F42" s="51" t="str">
        <f>IF(+All!$F572="Connecticut",+All!F572,IF(+All!$H572="Connecticut",+All!F572,0))</f>
        <v>Boston College</v>
      </c>
      <c r="G42" s="52" t="str">
        <f>IF(+All!$F572="Connecticut",+All!G572,IF(+All!$H572="Connecticut",+All!G572,0))</f>
        <v>ACC</v>
      </c>
      <c r="H42" s="51" t="str">
        <f>IF(+All!$F572="Connecticut",+All!H572,IF(+All!$H572="Connecticut",+All!H572,0))</f>
        <v>Connecticut</v>
      </c>
      <c r="I42" s="52" t="str">
        <f>IF(+All!$F572="Connecticut",+All!I572,IF(+All!$H572="Connecticut",+All!I572,0))</f>
        <v>Ind</v>
      </c>
      <c r="J42" s="460" t="str">
        <f>IF(+All!$F572="Connecticut",+All!J572,IF(+All!$H572="Connecticut",+All!J572,0))</f>
        <v>Boston College</v>
      </c>
      <c r="K42" s="461" t="str">
        <f>IF(+All!$F572="Connecticut",+All!K572,IF(+All!$H572="Connecticut",+All!K572,0))</f>
        <v>Connecticut</v>
      </c>
      <c r="L42" s="54">
        <f>IF(+All!$F572="Connecticut",+All!L572,IF(+All!$H572="Connecticut",+All!L572,0))</f>
        <v>8</v>
      </c>
      <c r="M42" s="55">
        <f>IF(+All!$F572="Connecticut",+All!M572,IF(+All!$H572="Connecticut",+All!M572,0))</f>
        <v>44.5</v>
      </c>
      <c r="N42" s="460" t="str">
        <f>IF(+All!$F572="Connecticut",+All!N572,IF(+All!$H572="Connecticut",+All!N572,0))</f>
        <v>Connecticut</v>
      </c>
      <c r="O42" s="462">
        <f>IF(+All!$F572="Connecticut",+All!O572,IF(+All!$H572="Connecticut",+All!O572,0))</f>
        <v>13</v>
      </c>
      <c r="P42" s="462" t="str">
        <f>IF(+All!$F572="Connecticut",+All!P572,IF(+All!$H572="Connecticut",+All!P572,0))</f>
        <v>Boston College</v>
      </c>
      <c r="Q42" s="461">
        <f>IF(+All!$F572="Connecticut",+All!Q572,IF(+All!$H572="Connecticut",+All!Q572,0))</f>
        <v>3</v>
      </c>
      <c r="R42" s="460" t="str">
        <f>IF(+All!$F572="Connecticut",+All!R572,IF(+All!$H572="Connecticut",+All!R572,0))</f>
        <v>Connecticut</v>
      </c>
      <c r="S42" s="462" t="str">
        <f>IF(+All!$F572="Connecticut",+All!S572,IF(+All!$H572="Connecticut",+All!S572,0))</f>
        <v>Boston College</v>
      </c>
      <c r="T42" s="460" t="str">
        <f>IF(+All!$F572="Connecticut",+All!T572,IF(+All!$H572="Connecticut",+All!T572,0))</f>
        <v>Connecticut</v>
      </c>
      <c r="U42" s="461" t="str">
        <f>IF(+All!$F572="Connecticut",+All!U572,IF(+All!$H572="Connecticut",+All!U572,0))</f>
        <v>W</v>
      </c>
    </row>
    <row r="43" spans="1:21" x14ac:dyDescent="0.8">
      <c r="A43" s="46">
        <f>IF(+All!$F599="Connecticut",+All!A599,IF(+All!$H599="Connecticut",+All!A599,0))</f>
        <v>10</v>
      </c>
      <c r="B43" s="348" t="str">
        <f>IF(+All!$F599="Connecticut",+All!B599,IF(+All!$H599="Connecticut",+All!B599,0))</f>
        <v>Fri</v>
      </c>
      <c r="C43" s="48">
        <f>IF(+All!$F599="Connecticut",+All!C599,IF(+All!$H599="Connecticut",+All!C599,0))</f>
        <v>44869</v>
      </c>
      <c r="D43" s="490">
        <f>IF(+All!$F599="Connecticut",+All!D599,IF(+All!$H599="Connecticut",+All!D599,0))</f>
        <v>0.79166666666666663</v>
      </c>
      <c r="E43" s="461" t="str">
        <f>IF(+All!$F599="Connecticut",+All!E599,IF(+All!$H599="Connecticut",+All!E599,0))</f>
        <v>CBSSN</v>
      </c>
      <c r="F43" s="51" t="str">
        <f>IF(+All!$F599="Connecticut",+All!F599,IF(+All!$H599="Connecticut",+All!F599,0))</f>
        <v>Massachusetts</v>
      </c>
      <c r="G43" s="52" t="str">
        <f>IF(+All!$F599="Connecticut",+All!G599,IF(+All!$H599="Connecticut",+All!G599,0))</f>
        <v>Ind</v>
      </c>
      <c r="H43" s="51" t="str">
        <f>IF(+All!$F599="Connecticut",+All!H599,IF(+All!$H599="Connecticut",+All!H599,0))</f>
        <v>Connecticut</v>
      </c>
      <c r="I43" s="52" t="str">
        <f>IF(+All!$F599="Connecticut",+All!I599,IF(+All!$H599="Connecticut",+All!I599,0))</f>
        <v>Ind</v>
      </c>
      <c r="J43" s="460" t="str">
        <f>IF(+All!$F599="Connecticut",+All!J599,IF(+All!$H599="Connecticut",+All!J599,0))</f>
        <v>Connecticut</v>
      </c>
      <c r="K43" s="461" t="str">
        <f>IF(+All!$F599="Connecticut",+All!K599,IF(+All!$H599="Connecticut",+All!K599,0))</f>
        <v>Massachusetts</v>
      </c>
      <c r="L43" s="54">
        <f>IF(+All!$F599="Connecticut",+All!L599,IF(+All!$H599="Connecticut",+All!L599,0))</f>
        <v>15.5</v>
      </c>
      <c r="M43" s="55">
        <f>IF(+All!$F599="Connecticut",+All!M599,IF(+All!$H599="Connecticut",+All!M599,0))</f>
        <v>40</v>
      </c>
      <c r="N43" s="460" t="str">
        <f>IF(+All!$F599="Connecticut",+All!N599,IF(+All!$H599="Connecticut",+All!N599,0))</f>
        <v>Connecticut</v>
      </c>
      <c r="O43" s="462">
        <f>IF(+All!$F599="Connecticut",+All!O599,IF(+All!$H599="Connecticut",+All!O599,0))</f>
        <v>27</v>
      </c>
      <c r="P43" s="462" t="str">
        <f>IF(+All!$F599="Connecticut",+All!P599,IF(+All!$H599="Connecticut",+All!P599,0))</f>
        <v>Massachusetts</v>
      </c>
      <c r="Q43" s="461">
        <f>IF(+All!$F599="Connecticut",+All!Q599,IF(+All!$H599="Connecticut",+All!Q599,0))</f>
        <v>20</v>
      </c>
      <c r="R43" s="460" t="str">
        <f>IF(+All!$F599="Connecticut",+All!R599,IF(+All!$H599="Connecticut",+All!R599,0))</f>
        <v>Massachusetts</v>
      </c>
      <c r="S43" s="462" t="str">
        <f>IF(+All!$F599="Connecticut",+All!S599,IF(+All!$H599="Connecticut",+All!S599,0))</f>
        <v>Connecticut</v>
      </c>
      <c r="T43" s="460" t="str">
        <f>IF(+All!$F599="Connecticut",+All!T599,IF(+All!$H599="Connecticut",+All!T599,0))</f>
        <v>Connecticut</v>
      </c>
      <c r="U43" s="461" t="str">
        <f>IF(+All!$F599="Connecticut",+All!U599,IF(+All!$H599="Connecticut",+All!U599,0))</f>
        <v>L</v>
      </c>
    </row>
    <row r="44" spans="1:21" x14ac:dyDescent="0.8">
      <c r="A44" s="46">
        <f>IF(+All!$F692="Connecticut",+All!A692,IF(+All!$H692="Connecticut",+All!A692,0))</f>
        <v>11</v>
      </c>
      <c r="B44" s="348" t="str">
        <f>IF(+All!$F692="Connecticut",+All!B692,IF(+All!$H692="Connecticut",+All!B692,0))</f>
        <v>Sat</v>
      </c>
      <c r="C44" s="48">
        <f>IF(+All!$F692="Connecticut",+All!C692,IF(+All!$H692="Connecticut",+All!C692,0))</f>
        <v>44877</v>
      </c>
      <c r="D44" s="490">
        <f>IF(+All!$F692="Connecticut",+All!D692,IF(+All!$H692="Connecticut",+All!D692,0))</f>
        <v>0.5</v>
      </c>
      <c r="E44" s="461" t="str">
        <f>IF(+All!$F692="Connecticut",+All!E692,IF(+All!$H692="Connecticut",+All!E692,0))</f>
        <v>CBSSN</v>
      </c>
      <c r="F44" s="51" t="str">
        <f>IF(+All!$F692="Connecticut",+All!F692,IF(+All!$H692="Connecticut",+All!F692,0))</f>
        <v>Liberty</v>
      </c>
      <c r="G44" s="52" t="str">
        <f>IF(+All!$F692="Connecticut",+All!G692,IF(+All!$H692="Connecticut",+All!G692,0))</f>
        <v>Ind</v>
      </c>
      <c r="H44" s="51" t="str">
        <f>IF(+All!$F692="Connecticut",+All!H692,IF(+All!$H692="Connecticut",+All!H692,0))</f>
        <v>Connecticut</v>
      </c>
      <c r="I44" s="52" t="str">
        <f>IF(+All!$F692="Connecticut",+All!I692,IF(+All!$H692="Connecticut",+All!I692,0))</f>
        <v>Ind</v>
      </c>
      <c r="J44" s="460" t="str">
        <f>IF(+All!$F692="Connecticut",+All!J692,IF(+All!$H692="Connecticut",+All!J692,0))</f>
        <v>Liberty</v>
      </c>
      <c r="K44" s="461" t="str">
        <f>IF(+All!$F692="Connecticut",+All!K692,IF(+All!$H692="Connecticut",+All!K692,0))</f>
        <v>Connecticut</v>
      </c>
      <c r="L44" s="54">
        <f>IF(+All!$F692="Connecticut",+All!L692,IF(+All!$H692="Connecticut",+All!L692,0))</f>
        <v>14.5</v>
      </c>
      <c r="M44" s="55">
        <f>IF(+All!$F692="Connecticut",+All!M692,IF(+All!$H692="Connecticut",+All!M692,0))</f>
        <v>45.5</v>
      </c>
      <c r="N44" s="460" t="str">
        <f>IF(+All!$F692="Connecticut",+All!N692,IF(+All!$H692="Connecticut",+All!N692,0))</f>
        <v>Connecticut</v>
      </c>
      <c r="O44" s="462">
        <f>IF(+All!$F692="Connecticut",+All!O692,IF(+All!$H692="Connecticut",+All!O692,0))</f>
        <v>36</v>
      </c>
      <c r="P44" s="462" t="str">
        <f>IF(+All!$F692="Connecticut",+All!P692,IF(+All!$H692="Connecticut",+All!P692,0))</f>
        <v>Liberty</v>
      </c>
      <c r="Q44" s="461">
        <f>IF(+All!$F692="Connecticut",+All!Q692,IF(+All!$H692="Connecticut",+All!Q692,0))</f>
        <v>33</v>
      </c>
      <c r="R44" s="460" t="str">
        <f>IF(+All!$F692="Connecticut",+All!R692,IF(+All!$H692="Connecticut",+All!R692,0))</f>
        <v>Connecticut</v>
      </c>
      <c r="S44" s="462" t="str">
        <f>IF(+All!$F692="Connecticut",+All!S692,IF(+All!$H692="Connecticut",+All!S692,0))</f>
        <v>Liberty</v>
      </c>
      <c r="T44" s="460" t="str">
        <f>IF(+All!$F692="Connecticut",+All!T692,IF(+All!$H692="Connecticut",+All!T692,0))</f>
        <v>Connecticut</v>
      </c>
      <c r="U44" s="461" t="str">
        <f>IF(+All!$F692="Connecticut",+All!U692,IF(+All!$H692="Connecticut",+All!U692,0))</f>
        <v>W</v>
      </c>
    </row>
    <row r="45" spans="1:21" x14ac:dyDescent="0.8">
      <c r="A45" s="46">
        <f>IF(+All!$F753="Connecticut",+All!A753,IF(+All!$H753="Connecticut",+All!A753,0))</f>
        <v>12</v>
      </c>
      <c r="B45" s="348" t="str">
        <f>IF(+All!$F753="Connecticut",+All!B753,IF(+All!$H753="Connecticut",+All!B753,0))</f>
        <v>Sat</v>
      </c>
      <c r="C45" s="48">
        <f>IF(+All!$F753="Connecticut",+All!C753,IF(+All!$H753="Connecticut",+All!C753,0))</f>
        <v>44884</v>
      </c>
      <c r="D45" s="490">
        <f>IF(+All!$F753="Connecticut",+All!D753,IF(+All!$H753="Connecticut",+All!D753,0))</f>
        <v>0.5</v>
      </c>
      <c r="E45" s="461" t="str">
        <f>IF(+All!$F753="Connecticut",+All!E753,IF(+All!$H753="Connecticut",+All!E753,0))</f>
        <v>CBSSN</v>
      </c>
      <c r="F45" s="51" t="str">
        <f>IF(+All!$F753="Connecticut",+All!F753,IF(+All!$H753="Connecticut",+All!F753,0))</f>
        <v>Connecticut</v>
      </c>
      <c r="G45" s="52" t="str">
        <f>IF(+All!$F753="Connecticut",+All!G753,IF(+All!$H753="Connecticut",+All!G753,0))</f>
        <v>Ind</v>
      </c>
      <c r="H45" s="51" t="str">
        <f>IF(+All!$F753="Connecticut",+All!H753,IF(+All!$H753="Connecticut",+All!H753,0))</f>
        <v>Army</v>
      </c>
      <c r="I45" s="52" t="str">
        <f>IF(+All!$F753="Connecticut",+All!I753,IF(+All!$H753="Connecticut",+All!I753,0))</f>
        <v>Ind</v>
      </c>
      <c r="J45" s="460" t="str">
        <f>IF(+All!$F753="Connecticut",+All!J753,IF(+All!$H753="Connecticut",+All!J753,0))</f>
        <v>Army</v>
      </c>
      <c r="K45" s="461" t="str">
        <f>IF(+All!$F753="Connecticut",+All!K753,IF(+All!$H753="Connecticut",+All!K753,0))</f>
        <v>Connecticut</v>
      </c>
      <c r="L45" s="54">
        <f>IF(+All!$F753="Connecticut",+All!L753,IF(+All!$H753="Connecticut",+All!L753,0))</f>
        <v>10</v>
      </c>
      <c r="M45" s="55">
        <f>IF(+All!$F753="Connecticut",+All!M753,IF(+All!$H753="Connecticut",+All!M753,0))</f>
        <v>43.5</v>
      </c>
      <c r="N45" s="460" t="str">
        <f>IF(+All!$F753="Connecticut",+All!N753,IF(+All!$H753="Connecticut",+All!N753,0))</f>
        <v>Army</v>
      </c>
      <c r="O45" s="462">
        <f>IF(+All!$F753="Connecticut",+All!O753,IF(+All!$H753="Connecticut",+All!O753,0))</f>
        <v>34</v>
      </c>
      <c r="P45" s="462" t="str">
        <f>IF(+All!$F753="Connecticut",+All!P753,IF(+All!$H753="Connecticut",+All!P753,0))</f>
        <v>Connecticut</v>
      </c>
      <c r="Q45" s="461">
        <f>IF(+All!$F753="Connecticut",+All!Q753,IF(+All!$H753="Connecticut",+All!Q753,0))</f>
        <v>17</v>
      </c>
      <c r="R45" s="460" t="str">
        <f>IF(+All!$F753="Connecticut",+All!R753,IF(+All!$H753="Connecticut",+All!R753,0))</f>
        <v>Army</v>
      </c>
      <c r="S45" s="462" t="str">
        <f>IF(+All!$F753="Connecticut",+All!S753,IF(+All!$H753="Connecticut",+All!S753,0))</f>
        <v>Connecticut</v>
      </c>
      <c r="T45" s="460" t="str">
        <f>IF(+All!$F753="Connecticut",+All!T753,IF(+All!$H753="Connecticut",+All!T753,0))</f>
        <v>Connecticut</v>
      </c>
      <c r="U45" s="461" t="str">
        <f>IF(+All!$F753="Connecticut",+All!U753,IF(+All!$H753="Connecticut",+All!U753,0))</f>
        <v>L</v>
      </c>
    </row>
    <row r="46" spans="1:21" x14ac:dyDescent="0.8">
      <c r="A46" s="46" t="e">
        <f>IF(+All!#REF!="Connecticut",+All!#REF!,IF(+All!#REF!="Connecticut",+All!#REF!,0))</f>
        <v>#REF!</v>
      </c>
      <c r="B46" s="348" t="e">
        <f>IF(+All!#REF!="Connecticut",+All!#REF!,IF(+All!#REF!="Connecticut",+All!#REF!,0))</f>
        <v>#REF!</v>
      </c>
      <c r="C46" s="48" t="e">
        <f>IF(+All!#REF!="Connecticut",+All!#REF!,IF(+All!#REF!="Connecticut",+All!#REF!,0))</f>
        <v>#REF!</v>
      </c>
      <c r="D46" s="490" t="e">
        <f>IF(+All!#REF!="Connecticut",+All!#REF!,IF(+All!#REF!="Connecticut",+All!#REF!,0))</f>
        <v>#REF!</v>
      </c>
      <c r="E46" s="461" t="e">
        <f>IF(+All!#REF!="Connecticut",+All!#REF!,IF(+All!#REF!="Connecticut",+All!#REF!,0))</f>
        <v>#REF!</v>
      </c>
      <c r="F46" s="51" t="e">
        <f>IF(+All!#REF!="Connecticut",+All!#REF!,IF(+All!#REF!="Connecticut",+All!#REF!,0))</f>
        <v>#REF!</v>
      </c>
      <c r="G46" s="52" t="e">
        <f>IF(+All!#REF!="Connecticut",+All!#REF!,IF(+All!#REF!="Connecticut",+All!#REF!,0))</f>
        <v>#REF!</v>
      </c>
      <c r="H46" s="51" t="e">
        <f>IF(+All!#REF!="Connecticut",+All!#REF!,IF(+All!#REF!="Connecticut",+All!#REF!,0))</f>
        <v>#REF!</v>
      </c>
      <c r="I46" s="52" t="e">
        <f>IF(+All!#REF!="Connecticut",+All!#REF!,IF(+All!#REF!="Connecticut",+All!#REF!,0))</f>
        <v>#REF!</v>
      </c>
      <c r="J46" s="460" t="e">
        <f>IF(+All!#REF!="Connecticut",+All!#REF!,IF(+All!#REF!="Connecticut",+All!#REF!,0))</f>
        <v>#REF!</v>
      </c>
      <c r="K46" s="461" t="e">
        <f>IF(+All!#REF!="Connecticut",+All!#REF!,IF(+All!#REF!="Connecticut",+All!#REF!,0))</f>
        <v>#REF!</v>
      </c>
      <c r="L46" s="54" t="e">
        <f>IF(+All!#REF!="Connecticut",+All!#REF!,IF(+All!#REF!="Connecticut",+All!#REF!,0))</f>
        <v>#REF!</v>
      </c>
      <c r="M46" s="55" t="e">
        <f>IF(+All!#REF!="Connecticut",+All!#REF!,IF(+All!#REF!="Connecticut",+All!#REF!,0))</f>
        <v>#REF!</v>
      </c>
      <c r="N46" s="460" t="e">
        <f>IF(+All!#REF!="Connecticut",+All!#REF!,IF(+All!#REF!="Connecticut",+All!#REF!,0))</f>
        <v>#REF!</v>
      </c>
      <c r="O46" s="462" t="e">
        <f>IF(+All!#REF!="Connecticut",+All!#REF!,IF(+All!#REF!="Connecticut",+All!#REF!,0))</f>
        <v>#REF!</v>
      </c>
      <c r="P46" s="462" t="e">
        <f>IF(+All!#REF!="Connecticut",+All!#REF!,IF(+All!#REF!="Connecticut",+All!#REF!,0))</f>
        <v>#REF!</v>
      </c>
      <c r="Q46" s="461" t="e">
        <f>IF(+All!#REF!="Connecticut",+All!#REF!,IF(+All!#REF!="Connecticut",+All!#REF!,0))</f>
        <v>#REF!</v>
      </c>
      <c r="R46" s="460" t="e">
        <f>IF(+All!#REF!="Connecticut",+All!#REF!,IF(+All!#REF!="Connecticut",+All!#REF!,0))</f>
        <v>#REF!</v>
      </c>
      <c r="S46" s="462" t="e">
        <f>IF(+All!#REF!="Connecticut",+All!#REF!,IF(+All!#REF!="Connecticut",+All!#REF!,0))</f>
        <v>#REF!</v>
      </c>
      <c r="T46" s="460" t="e">
        <f>IF(+All!#REF!="Connecticut",+All!#REF!,IF(+All!#REF!="Connecticut",+All!#REF!,0))</f>
        <v>#REF!</v>
      </c>
      <c r="U46" s="461" t="e">
        <f>IF(+All!#REF!="Connecticut",+All!#REF!,IF(+All!#REF!="Connecticut",+All!#REF!,0))</f>
        <v>#REF!</v>
      </c>
    </row>
    <row r="47" spans="1:21" x14ac:dyDescent="0.8">
      <c r="B47" s="39"/>
      <c r="C47" s="40"/>
      <c r="D47" s="41"/>
      <c r="E47" s="463"/>
      <c r="F47" s="897" t="str">
        <f>H49</f>
        <v>Liberty</v>
      </c>
      <c r="G47" s="903"/>
      <c r="H47" s="903"/>
      <c r="I47" s="904"/>
      <c r="J47" s="459"/>
      <c r="K47" s="463"/>
      <c r="L47" s="44"/>
      <c r="M47" s="45"/>
      <c r="N47" s="459"/>
      <c r="O47" s="5"/>
      <c r="P47" s="5"/>
      <c r="Q47" s="318"/>
      <c r="R47" s="459"/>
      <c r="S47" s="5"/>
      <c r="T47" s="459"/>
      <c r="U47" s="463"/>
    </row>
    <row r="48" spans="1:21" x14ac:dyDescent="0.8">
      <c r="A48" s="46">
        <f>IF(+All!$F74="Liberty",+All!A74,IF(+All!$H74="Liberty",+All!A74,0))</f>
        <v>1</v>
      </c>
      <c r="B48" s="348" t="str">
        <f>IF(+All!$F74="Liberty",+All!B74,IF(+All!$H74="Liberty",+All!B74,0))</f>
        <v>Sat</v>
      </c>
      <c r="C48" s="48">
        <f>IF(+All!$F74="Liberty",+All!C74,IF(+All!$H74="Liberty",+All!C74,0))</f>
        <v>44807</v>
      </c>
      <c r="D48" s="490">
        <f>IF(+All!$F74="Liberty",+All!D74,IF(+All!$H74="Liberty",+All!D74,0))</f>
        <v>0.79166666666666663</v>
      </c>
      <c r="E48" s="461">
        <f>IF(+All!$F74="Liberty",+All!E74,IF(+All!$H74="Liberty",+All!E74,0))</f>
        <v>0</v>
      </c>
      <c r="F48" s="51" t="str">
        <f>IF(+All!$F74="Liberty",+All!F74,IF(+All!$H74="Liberty",+All!F74,0))</f>
        <v>Liberty</v>
      </c>
      <c r="G48" s="52" t="str">
        <f>IF(+All!$F74="Liberty",+All!G74,IF(+All!$H74="Liberty",+All!G74,0))</f>
        <v>Ind</v>
      </c>
      <c r="H48" s="51" t="str">
        <f>IF(+All!$F74="Liberty",+All!H74,IF(+All!$H74="Liberty",+All!H74,0))</f>
        <v>Southern Miss</v>
      </c>
      <c r="I48" s="52" t="str">
        <f>IF(+All!$F74="Liberty",+All!I74,IF(+All!$H74="Liberty",+All!I74,0))</f>
        <v>SB</v>
      </c>
      <c r="J48" s="460" t="str">
        <f>IF(+All!$F74="Liberty",+All!J74,IF(+All!$H74="Liberty",+All!J74,0))</f>
        <v>Liberty</v>
      </c>
      <c r="K48" s="461" t="str">
        <f>IF(+All!$F74="Liberty",+All!K74,IF(+All!$H74="Liberty",+All!K74,0))</f>
        <v>Southern Miss</v>
      </c>
      <c r="L48" s="54">
        <f>IF(+All!$F74="Liberty",+All!L74,IF(+All!$H74="Liberty",+All!L74,0))</f>
        <v>3.5</v>
      </c>
      <c r="M48" s="55">
        <f>IF(+All!$F74="Liberty",+All!M74,IF(+All!$H74="Liberty",+All!M74,0))</f>
        <v>49.5</v>
      </c>
      <c r="N48" s="460" t="str">
        <f>IF(+All!$F74="Liberty",+All!N74,IF(+All!$H74="Liberty",+All!N74,0))</f>
        <v>Liberty</v>
      </c>
      <c r="O48" s="462">
        <f>IF(+All!$F74="Liberty",+All!O74,IF(+All!$H74="Liberty",+All!O74,0))</f>
        <v>29</v>
      </c>
      <c r="P48" s="462" t="str">
        <f>IF(+All!$F74="Liberty",+All!P74,IF(+All!$H74="Liberty",+All!P74,0))</f>
        <v>Southern Miss</v>
      </c>
      <c r="Q48" s="461">
        <f>IF(+All!$F74="Liberty",+All!Q74,IF(+All!$H74="Liberty",+All!Q74,0))</f>
        <v>27</v>
      </c>
      <c r="R48" s="460" t="str">
        <f>IF(+All!$F74="Liberty",+All!R74,IF(+All!$H74="Liberty",+All!R74,0))</f>
        <v>Southern Miss</v>
      </c>
      <c r="S48" s="462" t="str">
        <f>IF(+All!$F74="Liberty",+All!S74,IF(+All!$H74="Liberty",+All!S74,0))</f>
        <v>Liberty</v>
      </c>
      <c r="T48" s="460" t="str">
        <f>IF(+All!$F74="Liberty",+All!T74,IF(+All!$H74="Liberty",+All!T74,0))</f>
        <v>Liberty</v>
      </c>
      <c r="U48" s="461" t="str">
        <f>IF(+All!$F74="Liberty",+All!U74,IF(+All!$H74="Liberty",+All!U74,0))</f>
        <v>L</v>
      </c>
    </row>
    <row r="49" spans="1:21" x14ac:dyDescent="0.8">
      <c r="A49" s="46">
        <f>IF(+All!$F143="Liberty",+All!A143,IF(+All!$H143="Liberty",+All!A143,0))</f>
        <v>2</v>
      </c>
      <c r="B49" s="348" t="str">
        <f>IF(+All!$F143="Liberty",+All!B143,IF(+All!$H143="Liberty",+All!B143,0))</f>
        <v>Sat</v>
      </c>
      <c r="C49" s="48">
        <f>IF(+All!$F143="Liberty",+All!C143,IF(+All!$H143="Liberty",+All!C143,0))</f>
        <v>44814</v>
      </c>
      <c r="D49" s="490">
        <f>IF(+All!$F143="Liberty",+All!D143,IF(+All!$H143="Liberty",+All!D143,0))</f>
        <v>0.75</v>
      </c>
      <c r="E49" s="461">
        <f>IF(+All!$F143="Liberty",+All!E143,IF(+All!$H143="Liberty",+All!E143,0))</f>
        <v>0</v>
      </c>
      <c r="F49" s="51" t="str">
        <f>IF(+All!$F143="Liberty",+All!F143,IF(+All!$H143="Liberty",+All!F143,0))</f>
        <v>UAB</v>
      </c>
      <c r="G49" s="52" t="str">
        <f>IF(+All!$F143="Liberty",+All!G143,IF(+All!$H143="Liberty",+All!G143,0))</f>
        <v>CUSA</v>
      </c>
      <c r="H49" s="51" t="str">
        <f>IF(+All!$F143="Liberty",+All!H143,IF(+All!$H143="Liberty",+All!H143,0))</f>
        <v>Liberty</v>
      </c>
      <c r="I49" s="52" t="str">
        <f>IF(+All!$F143="Liberty",+All!I143,IF(+All!$H143="Liberty",+All!I143,0))</f>
        <v>Ind</v>
      </c>
      <c r="J49" s="460" t="str">
        <f>IF(+All!$F143="Liberty",+All!J143,IF(+All!$H143="Liberty",+All!J143,0))</f>
        <v>UAB</v>
      </c>
      <c r="K49" s="461" t="str">
        <f>IF(+All!$F143="Liberty",+All!K143,IF(+All!$H143="Liberty",+All!K143,0))</f>
        <v>Liberty</v>
      </c>
      <c r="L49" s="54">
        <f>IF(+All!$F143="Liberty",+All!L143,IF(+All!$H143="Liberty",+All!L143,0))</f>
        <v>6.5</v>
      </c>
      <c r="M49" s="55">
        <f>IF(+All!$F143="Liberty",+All!M143,IF(+All!$H143="Liberty",+All!M143,0))</f>
        <v>50</v>
      </c>
      <c r="N49" s="460" t="str">
        <f>IF(+All!$F143="Liberty",+All!N143,IF(+All!$H143="Liberty",+All!N143,0))</f>
        <v>Liberty</v>
      </c>
      <c r="O49" s="462">
        <f>IF(+All!$F143="Liberty",+All!O143,IF(+All!$H143="Liberty",+All!O143,0))</f>
        <v>21</v>
      </c>
      <c r="P49" s="462" t="str">
        <f>IF(+All!$F143="Liberty",+All!P143,IF(+All!$H143="Liberty",+All!P143,0))</f>
        <v>UAB</v>
      </c>
      <c r="Q49" s="461">
        <f>IF(+All!$F143="Liberty",+All!Q143,IF(+All!$H143="Liberty",+All!Q143,0))</f>
        <v>14</v>
      </c>
      <c r="R49" s="460" t="str">
        <f>IF(+All!$F143="Liberty",+All!R143,IF(+All!$H143="Liberty",+All!R143,0))</f>
        <v>Liberty</v>
      </c>
      <c r="S49" s="462" t="str">
        <f>IF(+All!$F143="Liberty",+All!S143,IF(+All!$H143="Liberty",+All!S143,0))</f>
        <v>UAB</v>
      </c>
      <c r="T49" s="460" t="str">
        <f>IF(+All!$F143="Liberty",+All!T143,IF(+All!$H143="Liberty",+All!T143,0))</f>
        <v>Liberty</v>
      </c>
      <c r="U49" s="461" t="str">
        <f>IF(+All!$F143="Liberty",+All!U143,IF(+All!$H143="Liberty",+All!U143,0))</f>
        <v>W</v>
      </c>
    </row>
    <row r="50" spans="1:21" x14ac:dyDescent="0.8">
      <c r="A50" s="46">
        <f>IF(+All!$F196="Liberty",+All!A196,IF(+All!$H196="Liberty",+All!A196,0))</f>
        <v>3</v>
      </c>
      <c r="B50" s="348" t="str">
        <f>IF(+All!$F196="Liberty",+All!B196,IF(+All!$H196="Liberty",+All!B196,0))</f>
        <v>Sat</v>
      </c>
      <c r="C50" s="48">
        <f>IF(+All!$F196="Liberty",+All!C196,IF(+All!$H196="Liberty",+All!C196,0))</f>
        <v>44821</v>
      </c>
      <c r="D50" s="490">
        <f>IF(+All!$F196="Liberty",+All!D196,IF(+All!$H196="Liberty",+All!D196,0))</f>
        <v>0.70833333333333337</v>
      </c>
      <c r="E50" s="461" t="str">
        <f>IF(+All!$F196="Liberty",+All!E196,IF(+All!$H196="Liberty",+All!E196,0))</f>
        <v>ACC</v>
      </c>
      <c r="F50" s="51" t="str">
        <f>IF(+All!$F196="Liberty",+All!F196,IF(+All!$H196="Liberty",+All!F196,0))</f>
        <v>Liberty</v>
      </c>
      <c r="G50" s="52" t="str">
        <f>IF(+All!$F196="Liberty",+All!G196,IF(+All!$H196="Liberty",+All!G196,0))</f>
        <v>Ind</v>
      </c>
      <c r="H50" s="51" t="str">
        <f>IF(+All!$F196="Liberty",+All!H196,IF(+All!$H196="Liberty",+All!H196,0))</f>
        <v>Wake Forest</v>
      </c>
      <c r="I50" s="52" t="str">
        <f>IF(+All!$F196="Liberty",+All!I196,IF(+All!$H196="Liberty",+All!I196,0))</f>
        <v>ACC</v>
      </c>
      <c r="J50" s="460" t="str">
        <f>IF(+All!$F196="Liberty",+All!J196,IF(+All!$H196="Liberty",+All!J196,0))</f>
        <v>Wake Forest</v>
      </c>
      <c r="K50" s="461" t="str">
        <f>IF(+All!$F196="Liberty",+All!K196,IF(+All!$H196="Liberty",+All!K196,0))</f>
        <v>Liberty</v>
      </c>
      <c r="L50" s="54">
        <f>IF(+All!$F196="Liberty",+All!L196,IF(+All!$H196="Liberty",+All!L196,0))</f>
        <v>16.5</v>
      </c>
      <c r="M50" s="55">
        <f>IF(+All!$F196="Liberty",+All!M196,IF(+All!$H196="Liberty",+All!M196,0))</f>
        <v>63.5</v>
      </c>
      <c r="N50" s="460" t="str">
        <f>IF(+All!$F196="Liberty",+All!N196,IF(+All!$H196="Liberty",+All!N196,0))</f>
        <v>Wake Forest</v>
      </c>
      <c r="O50" s="462">
        <f>IF(+All!$F196="Liberty",+All!O196,IF(+All!$H196="Liberty",+All!O196,0))</f>
        <v>37</v>
      </c>
      <c r="P50" s="462" t="str">
        <f>IF(+All!$F196="Liberty",+All!P196,IF(+All!$H196="Liberty",+All!P196,0))</f>
        <v>Liberty</v>
      </c>
      <c r="Q50" s="461">
        <f>IF(+All!$F196="Liberty",+All!Q196,IF(+All!$H196="Liberty",+All!Q196,0))</f>
        <v>36</v>
      </c>
      <c r="R50" s="460" t="str">
        <f>IF(+All!$F196="Liberty",+All!R196,IF(+All!$H196="Liberty",+All!R196,0))</f>
        <v>Liberty</v>
      </c>
      <c r="S50" s="462" t="str">
        <f>IF(+All!$F196="Liberty",+All!S196,IF(+All!$H196="Liberty",+All!S196,0))</f>
        <v>Wake Forest</v>
      </c>
      <c r="T50" s="460" t="str">
        <f>IF(+All!$F196="Liberty",+All!T196,IF(+All!$H196="Liberty",+All!T196,0))</f>
        <v>Liberty</v>
      </c>
      <c r="U50" s="461" t="str">
        <f>IF(+All!$F196="Liberty",+All!U196,IF(+All!$H196="Liberty",+All!U196,0))</f>
        <v>W</v>
      </c>
    </row>
    <row r="51" spans="1:21" x14ac:dyDescent="0.8">
      <c r="A51" s="46">
        <f>IF(+All!$F288="Liberty",+All!A288,IF(+All!$H288="Liberty",+All!A288,0))</f>
        <v>4</v>
      </c>
      <c r="B51" s="348" t="str">
        <f>IF(+All!$F288="Liberty",+All!B288,IF(+All!$H288="Liberty",+All!B288,0))</f>
        <v>Sat</v>
      </c>
      <c r="C51" s="48">
        <f>IF(+All!$F288="Liberty",+All!C288,IF(+All!$H288="Liberty",+All!C288,0))</f>
        <v>44828</v>
      </c>
      <c r="D51" s="490">
        <f>IF(+All!$F288="Liberty",+All!D288,IF(+All!$H288="Liberty",+All!D288,0))</f>
        <v>0.75</v>
      </c>
      <c r="E51" s="461">
        <f>IF(+All!$F288="Liberty",+All!E288,IF(+All!$H288="Liberty",+All!E288,0))</f>
        <v>0</v>
      </c>
      <c r="F51" s="51" t="str">
        <f>IF(+All!$F288="Liberty",+All!F288,IF(+All!$H288="Liberty",+All!F288,0))</f>
        <v>Liberty</v>
      </c>
      <c r="G51" s="52" t="str">
        <f>IF(+All!$F288="Liberty",+All!G288,IF(+All!$H288="Liberty",+All!G288,0))</f>
        <v>Ind</v>
      </c>
      <c r="H51" s="51" t="str">
        <f>IF(+All!$F288="Liberty",+All!H288,IF(+All!$H288="Liberty",+All!H288,0))</f>
        <v>Akron</v>
      </c>
      <c r="I51" s="52" t="str">
        <f>IF(+All!$F288="Liberty",+All!I288,IF(+All!$H288="Liberty",+All!I288,0))</f>
        <v>MAC</v>
      </c>
      <c r="J51" s="460" t="str">
        <f>IF(+All!$F288="Liberty",+All!J288,IF(+All!$H288="Liberty",+All!J288,0))</f>
        <v>Liberty</v>
      </c>
      <c r="K51" s="461" t="str">
        <f>IF(+All!$F288="Liberty",+All!K288,IF(+All!$H288="Liberty",+All!K288,0))</f>
        <v>Akron</v>
      </c>
      <c r="L51" s="54">
        <f>IF(+All!$F288="Liberty",+All!L288,IF(+All!$H288="Liberty",+All!L288,0))</f>
        <v>29.5</v>
      </c>
      <c r="M51" s="55">
        <f>IF(+All!$F288="Liberty",+All!M288,IF(+All!$H288="Liberty",+All!M288,0))</f>
        <v>57.5</v>
      </c>
      <c r="N51" s="460" t="str">
        <f>IF(+All!$F288="Liberty",+All!N288,IF(+All!$H288="Liberty",+All!N288,0))</f>
        <v>Liberty</v>
      </c>
      <c r="O51" s="462">
        <f>IF(+All!$F288="Liberty",+All!O288,IF(+All!$H288="Liberty",+All!O288,0))</f>
        <v>21</v>
      </c>
      <c r="P51" s="462" t="str">
        <f>IF(+All!$F288="Liberty",+All!P288,IF(+All!$H288="Liberty",+All!P288,0))</f>
        <v>Akron</v>
      </c>
      <c r="Q51" s="461">
        <f>IF(+All!$F288="Liberty",+All!Q288,IF(+All!$H288="Liberty",+All!Q288,0))</f>
        <v>12</v>
      </c>
      <c r="R51" s="460" t="str">
        <f>IF(+All!$F288="Liberty",+All!R288,IF(+All!$H288="Liberty",+All!R288,0))</f>
        <v>Akron</v>
      </c>
      <c r="S51" s="462" t="str">
        <f>IF(+All!$F288="Liberty",+All!S288,IF(+All!$H288="Liberty",+All!S288,0))</f>
        <v>Liberty</v>
      </c>
      <c r="T51" s="460" t="str">
        <f>IF(+All!$F288="Liberty",+All!T288,IF(+All!$H288="Liberty",+All!T288,0))</f>
        <v>Liberty</v>
      </c>
      <c r="U51" s="461" t="str">
        <f>IF(+All!$F288="Liberty",+All!U288,IF(+All!$H288="Liberty",+All!U288,0))</f>
        <v>L</v>
      </c>
    </row>
    <row r="52" spans="1:21" x14ac:dyDescent="0.8">
      <c r="A52" s="46">
        <f>IF(+All!$F373="Liberty",+All!A373,IF(+All!$H373="Liberty",+All!A373,0))</f>
        <v>5</v>
      </c>
      <c r="B52" s="348" t="str">
        <f>IF(+All!$F373="Liberty",+All!B373,IF(+All!$H373="Liberty",+All!B373,0))</f>
        <v>Sat</v>
      </c>
      <c r="C52" s="48">
        <f>IF(+All!$F373="Liberty",+All!C373,IF(+All!$H373="Liberty",+All!C373,0))</f>
        <v>44835</v>
      </c>
      <c r="D52" s="490">
        <f>IF(+All!$F373="Liberty",+All!D373,IF(+All!$H373="Liberty",+All!D373,0))</f>
        <v>0.75</v>
      </c>
      <c r="E52" s="461">
        <f>IF(+All!$F373="Liberty",+All!E373,IF(+All!$H373="Liberty",+All!E373,0))</f>
        <v>0</v>
      </c>
      <c r="F52" s="51" t="str">
        <f>IF(+All!$F373="Liberty",+All!F373,IF(+All!$H373="Liberty",+All!F373,0))</f>
        <v>Liberty</v>
      </c>
      <c r="G52" s="52" t="str">
        <f>IF(+All!$F373="Liberty",+All!G373,IF(+All!$H373="Liberty",+All!G373,0))</f>
        <v>Ind</v>
      </c>
      <c r="H52" s="51" t="str">
        <f>IF(+All!$F373="Liberty",+All!H373,IF(+All!$H373="Liberty",+All!H373,0))</f>
        <v>Old Dominion</v>
      </c>
      <c r="I52" s="52" t="str">
        <f>IF(+All!$F373="Liberty",+All!I373,IF(+All!$H373="Liberty",+All!I373,0))</f>
        <v>SB</v>
      </c>
      <c r="J52" s="460" t="str">
        <f>IF(+All!$F373="Liberty",+All!J373,IF(+All!$H373="Liberty",+All!J373,0))</f>
        <v>Liberty</v>
      </c>
      <c r="K52" s="461" t="str">
        <f>IF(+All!$F373="Liberty",+All!K373,IF(+All!$H373="Liberty",+All!K373,0))</f>
        <v>Old Dominion</v>
      </c>
      <c r="L52" s="54">
        <f>IF(+All!$F373="Liberty",+All!L373,IF(+All!$H373="Liberty",+All!L373,0))</f>
        <v>2.5</v>
      </c>
      <c r="M52" s="55">
        <f>IF(+All!$F373="Liberty",+All!M373,IF(+All!$H373="Liberty",+All!M373,0))</f>
        <v>41.5</v>
      </c>
      <c r="N52" s="460" t="str">
        <f>IF(+All!$F373="Liberty",+All!N373,IF(+All!$H373="Liberty",+All!N373,0))</f>
        <v>Liberty</v>
      </c>
      <c r="O52" s="462">
        <f>IF(+All!$F373="Liberty",+All!O373,IF(+All!$H373="Liberty",+All!O373,0))</f>
        <v>38</v>
      </c>
      <c r="P52" s="462" t="str">
        <f>IF(+All!$F373="Liberty",+All!P373,IF(+All!$H373="Liberty",+All!P373,0))</f>
        <v>Old Dominion</v>
      </c>
      <c r="Q52" s="461">
        <f>IF(+All!$F373="Liberty",+All!Q373,IF(+All!$H373="Liberty",+All!Q373,0))</f>
        <v>24</v>
      </c>
      <c r="R52" s="460" t="str">
        <f>IF(+All!$F373="Liberty",+All!R373,IF(+All!$H373="Liberty",+All!R373,0))</f>
        <v>Liberty</v>
      </c>
      <c r="S52" s="462" t="str">
        <f>IF(+All!$F373="Liberty",+All!S373,IF(+All!$H373="Liberty",+All!S373,0))</f>
        <v>Old Dominion</v>
      </c>
      <c r="T52" s="460" t="str">
        <f>IF(+All!$F373="Liberty",+All!T373,IF(+All!$H373="Liberty",+All!T373,0))</f>
        <v>Old Dominion</v>
      </c>
      <c r="U52" s="461" t="str">
        <f>IF(+All!$F373="Liberty",+All!U373,IF(+All!$H373="Liberty",+All!U373,0))</f>
        <v>L</v>
      </c>
    </row>
    <row r="53" spans="1:21" x14ac:dyDescent="0.8">
      <c r="A53" s="46">
        <f>IF(+All!$F410="Liberty",+All!A410,IF(+All!$H410="Liberty",+All!A410,0))</f>
        <v>6</v>
      </c>
      <c r="B53" s="348" t="str">
        <f>IF(+All!$F410="Liberty",+All!B410,IF(+All!$H410="Liberty",+All!B410,0))</f>
        <v>Sat</v>
      </c>
      <c r="C53" s="48">
        <f>IF(+All!$F410="Liberty",+All!C410,IF(+All!$H410="Liberty",+All!C410,0))</f>
        <v>44842</v>
      </c>
      <c r="D53" s="490">
        <f>IF(+All!$F410="Liberty",+All!D410,IF(+All!$H410="Liberty",+All!D410,0))</f>
        <v>0.64583333333333337</v>
      </c>
      <c r="E53" s="461">
        <f>IF(+All!$F410="Liberty",+All!E410,IF(+All!$H410="Liberty",+All!E410,0))</f>
        <v>0</v>
      </c>
      <c r="F53" s="51" t="str">
        <f>IF(+All!$F410="Liberty",+All!F410,IF(+All!$H410="Liberty",+All!F410,0))</f>
        <v>Liberty</v>
      </c>
      <c r="G53" s="52" t="str">
        <f>IF(+All!$F410="Liberty",+All!G410,IF(+All!$H410="Liberty",+All!G410,0))</f>
        <v>Ind</v>
      </c>
      <c r="H53" s="51" t="str">
        <f>IF(+All!$F410="Liberty",+All!H410,IF(+All!$H410="Liberty",+All!H410,0))</f>
        <v>Massachusetts</v>
      </c>
      <c r="I53" s="52" t="str">
        <f>IF(+All!$F410="Liberty",+All!I410,IF(+All!$H410="Liberty",+All!I410,0))</f>
        <v>Ind</v>
      </c>
      <c r="J53" s="460" t="str">
        <f>IF(+All!$F410="Liberty",+All!J410,IF(+All!$H410="Liberty",+All!J410,0))</f>
        <v>Liberty</v>
      </c>
      <c r="K53" s="461" t="str">
        <f>IF(+All!$F410="Liberty",+All!K410,IF(+All!$H410="Liberty",+All!K410,0))</f>
        <v>Massachusetts</v>
      </c>
      <c r="L53" s="54">
        <f>IF(+All!$F410="Liberty",+All!L410,IF(+All!$H410="Liberty",+All!L410,0))</f>
        <v>24.5</v>
      </c>
      <c r="M53" s="55">
        <f>IF(+All!$F410="Liberty",+All!M410,IF(+All!$H410="Liberty",+All!M410,0))</f>
        <v>49.5</v>
      </c>
      <c r="N53" s="460" t="str">
        <f>IF(+All!$F410="Liberty",+All!N410,IF(+All!$H410="Liberty",+All!N410,0))</f>
        <v>Liberty</v>
      </c>
      <c r="O53" s="462">
        <f>IF(+All!$F410="Liberty",+All!O410,IF(+All!$H410="Liberty",+All!O410,0))</f>
        <v>42</v>
      </c>
      <c r="P53" s="462" t="str">
        <f>IF(+All!$F410="Liberty",+All!P410,IF(+All!$H410="Liberty",+All!P410,0))</f>
        <v>Massachusetts</v>
      </c>
      <c r="Q53" s="461">
        <f>IF(+All!$F410="Liberty",+All!Q410,IF(+All!$H410="Liberty",+All!Q410,0))</f>
        <v>24</v>
      </c>
      <c r="R53" s="460" t="str">
        <f>IF(+All!$F410="Liberty",+All!R410,IF(+All!$H410="Liberty",+All!R410,0))</f>
        <v>Massachusetts</v>
      </c>
      <c r="S53" s="462" t="str">
        <f>IF(+All!$F410="Liberty",+All!S410,IF(+All!$H410="Liberty",+All!S410,0))</f>
        <v>Liberty</v>
      </c>
      <c r="T53" s="460" t="str">
        <f>IF(+All!$F410="Liberty",+All!T410,IF(+All!$H410="Liberty",+All!T410,0))</f>
        <v>Liberty</v>
      </c>
      <c r="U53" s="461" t="str">
        <f>IF(+All!$F410="Liberty",+All!U410,IF(+All!$H410="Liberty",+All!U410,0))</f>
        <v>L</v>
      </c>
    </row>
    <row r="54" spans="1:21" x14ac:dyDescent="0.8">
      <c r="A54" s="46">
        <f>IF(+All!$F463="Liberty",+All!A463,IF(+All!$H463="Liberty",+All!A463,0))</f>
        <v>7</v>
      </c>
      <c r="B54" s="348" t="str">
        <f>IF(+All!$F463="Liberty",+All!B463,IF(+All!$H463="Liberty",+All!B463,0))</f>
        <v>Sat</v>
      </c>
      <c r="C54" s="48">
        <f>IF(+All!$F463="Liberty",+All!C463,IF(+All!$H463="Liberty",+All!C463,0))</f>
        <v>44849</v>
      </c>
      <c r="D54" s="490">
        <f>IF(+All!$F463="Liberty",+All!D463,IF(+All!$H463="Liberty",+All!D463,0))</f>
        <v>0.64583333333333337</v>
      </c>
      <c r="E54" s="461">
        <f>IF(+All!$F463="Liberty",+All!E463,IF(+All!$H463="Liberty",+All!E463,0))</f>
        <v>0</v>
      </c>
      <c r="F54" s="51" t="str">
        <f>IF(+All!$F463="Liberty",+All!F463,IF(+All!$H463="Liberty",+All!F463,0))</f>
        <v>1AA Gardner Webb</v>
      </c>
      <c r="G54" s="52" t="str">
        <f>IF(+All!$F463="Liberty",+All!G463,IF(+All!$H463="Liberty",+All!G463,0))</f>
        <v>1AA</v>
      </c>
      <c r="H54" s="51" t="str">
        <f>IF(+All!$F463="Liberty",+All!H463,IF(+All!$H463="Liberty",+All!H463,0))</f>
        <v>Liberty</v>
      </c>
      <c r="I54" s="52" t="str">
        <f>IF(+All!$F463="Liberty",+All!I463,IF(+All!$H463="Liberty",+All!I463,0))</f>
        <v>Ind</v>
      </c>
      <c r="J54" s="460">
        <f>IF(+All!$F463="Liberty",+All!J463,IF(+All!$H463="Liberty",+All!J463,0))</f>
        <v>0</v>
      </c>
      <c r="K54" s="461">
        <f>IF(+All!$F463="Liberty",+All!K463,IF(+All!$H463="Liberty",+All!K463,0))</f>
        <v>0</v>
      </c>
      <c r="L54" s="54">
        <f>IF(+All!$F463="Liberty",+All!L463,IF(+All!$H463="Liberty",+All!L463,0))</f>
        <v>0</v>
      </c>
      <c r="M54" s="55">
        <f>IF(+All!$F463="Liberty",+All!M463,IF(+All!$H463="Liberty",+All!M463,0))</f>
        <v>0</v>
      </c>
      <c r="N54" s="460" t="str">
        <f>IF(+All!$F463="Liberty",+All!N463,IF(+All!$H463="Liberty",+All!N463,0))</f>
        <v>Liberty</v>
      </c>
      <c r="O54" s="462">
        <f>IF(+All!$F463="Liberty",+All!O463,IF(+All!$H463="Liberty",+All!O463,0))</f>
        <v>21</v>
      </c>
      <c r="P54" s="462" t="str">
        <f>IF(+All!$F463="Liberty",+All!P463,IF(+All!$H463="Liberty",+All!P463,0))</f>
        <v>1AA Gardner Webb</v>
      </c>
      <c r="Q54" s="461">
        <f>IF(+All!$F463="Liberty",+All!Q463,IF(+All!$H463="Liberty",+All!Q463,0))</f>
        <v>20</v>
      </c>
      <c r="R54" s="460">
        <f>IF(+All!$F463="Liberty",+All!R463,IF(+All!$H463="Liberty",+All!R463,0))</f>
        <v>0</v>
      </c>
      <c r="S54" s="462">
        <f>IF(+All!$F463="Liberty",+All!S463,IF(+All!$H463="Liberty",+All!S463,0))</f>
        <v>0</v>
      </c>
      <c r="T54" s="460">
        <f>IF(+All!$F463="Liberty",+All!T463,IF(+All!$H463="Liberty",+All!T463,0))</f>
        <v>0</v>
      </c>
      <c r="U54" s="461">
        <f>IF(+All!$F463="Liberty",+All!U463,IF(+All!$H463="Liberty",+All!U463,0))</f>
        <v>0</v>
      </c>
    </row>
    <row r="55" spans="1:21" x14ac:dyDescent="0.8">
      <c r="A55" s="46">
        <f>IF(+All!$F518="Liberty",+All!A518,IF(+All!$H518="Liberty",+All!A518,0))</f>
        <v>8</v>
      </c>
      <c r="B55" s="348" t="str">
        <f>IF(+All!$F518="Liberty",+All!B518,IF(+All!$H518="Liberty",+All!B518,0))</f>
        <v>Sat</v>
      </c>
      <c r="C55" s="48">
        <f>IF(+All!$F518="Liberty",+All!C518,IF(+All!$H518="Liberty",+All!C518,0))</f>
        <v>44856</v>
      </c>
      <c r="D55" s="490">
        <f>IF(+All!$F518="Liberty",+All!D518,IF(+All!$H518="Liberty",+All!D518,0))</f>
        <v>0.64583333333333337</v>
      </c>
      <c r="E55" s="461" t="str">
        <f>IF(+All!$F518="Liberty",+All!E518,IF(+All!$H518="Liberty",+All!E518,0))</f>
        <v>ESPNU</v>
      </c>
      <c r="F55" s="51" t="str">
        <f>IF(+All!$F518="Liberty",+All!F518,IF(+All!$H518="Liberty",+All!F518,0))</f>
        <v>BYU</v>
      </c>
      <c r="G55" s="52" t="str">
        <f>IF(+All!$F518="Liberty",+All!G518,IF(+All!$H518="Liberty",+All!G518,0))</f>
        <v>Ind</v>
      </c>
      <c r="H55" s="51" t="str">
        <f>IF(+All!$F518="Liberty",+All!H518,IF(+All!$H518="Liberty",+All!H518,0))</f>
        <v>Liberty</v>
      </c>
      <c r="I55" s="52" t="str">
        <f>IF(+All!$F518="Liberty",+All!I518,IF(+All!$H518="Liberty",+All!I518,0))</f>
        <v>Ind</v>
      </c>
      <c r="J55" s="460" t="str">
        <f>IF(+All!$F518="Liberty",+All!J518,IF(+All!$H518="Liberty",+All!J518,0))</f>
        <v>BYU</v>
      </c>
      <c r="K55" s="461" t="str">
        <f>IF(+All!$F518="Liberty",+All!K518,IF(+All!$H518="Liberty",+All!K518,0))</f>
        <v>Liberty</v>
      </c>
      <c r="L55" s="54">
        <f>IF(+All!$F518="Liberty",+All!L518,IF(+All!$H518="Liberty",+All!L518,0))</f>
        <v>6.5</v>
      </c>
      <c r="M55" s="55">
        <f>IF(+All!$F518="Liberty",+All!M518,IF(+All!$H518="Liberty",+All!M518,0))</f>
        <v>58.5</v>
      </c>
      <c r="N55" s="460" t="str">
        <f>IF(+All!$F518="Liberty",+All!N518,IF(+All!$H518="Liberty",+All!N518,0))</f>
        <v>Liberty</v>
      </c>
      <c r="O55" s="462">
        <f>IF(+All!$F518="Liberty",+All!O518,IF(+All!$H518="Liberty",+All!O518,0))</f>
        <v>41</v>
      </c>
      <c r="P55" s="462" t="str">
        <f>IF(+All!$F518="Liberty",+All!P518,IF(+All!$H518="Liberty",+All!P518,0))</f>
        <v>BYU</v>
      </c>
      <c r="Q55" s="461">
        <f>IF(+All!$F518="Liberty",+All!Q518,IF(+All!$H518="Liberty",+All!Q518,0))</f>
        <v>14</v>
      </c>
      <c r="R55" s="460" t="str">
        <f>IF(+All!$F518="Liberty",+All!R518,IF(+All!$H518="Liberty",+All!R518,0))</f>
        <v>Liberty</v>
      </c>
      <c r="S55" s="462" t="str">
        <f>IF(+All!$F518="Liberty",+All!S518,IF(+All!$H518="Liberty",+All!S518,0))</f>
        <v>BYU</v>
      </c>
      <c r="T55" s="460" t="str">
        <f>IF(+All!$F518="Liberty",+All!T518,IF(+All!$H518="Liberty",+All!T518,0))</f>
        <v>BYU</v>
      </c>
      <c r="U55" s="461" t="str">
        <f>IF(+All!$F518="Liberty",+All!U518,IF(+All!$H518="Liberty",+All!U518,0))</f>
        <v>L</v>
      </c>
    </row>
    <row r="56" spans="1:21" x14ac:dyDescent="0.8">
      <c r="A56" s="46" t="e">
        <f>IF(+All!#REF!="Liberty",+All!#REF!,IF(+All!#REF!="Liberty",+All!#REF!,0))</f>
        <v>#REF!</v>
      </c>
      <c r="B56" s="348" t="e">
        <f>IF(+All!#REF!="Liberty",+All!#REF!,IF(+All!#REF!="Liberty",+All!#REF!,0))</f>
        <v>#REF!</v>
      </c>
      <c r="C56" s="48" t="e">
        <f>IF(+All!#REF!="Liberty",+All!#REF!,IF(+All!#REF!="Liberty",+All!#REF!,0))</f>
        <v>#REF!</v>
      </c>
      <c r="D56" s="490" t="e">
        <f>IF(+All!#REF!="Liberty",+All!#REF!,IF(+All!#REF!="Liberty",+All!#REF!,0))</f>
        <v>#REF!</v>
      </c>
      <c r="E56" s="461" t="e">
        <f>IF(+All!#REF!="Liberty",+All!#REF!,IF(+All!#REF!="Liberty",+All!#REF!,0))</f>
        <v>#REF!</v>
      </c>
      <c r="F56" s="51" t="e">
        <f>IF(+All!#REF!="Liberty",+All!#REF!,IF(+All!#REF!="Liberty",+All!#REF!,0))</f>
        <v>#REF!</v>
      </c>
      <c r="G56" s="52" t="e">
        <f>IF(+All!#REF!="Liberty",+All!#REF!,IF(+All!#REF!="Liberty",+All!#REF!,0))</f>
        <v>#REF!</v>
      </c>
      <c r="H56" s="51" t="e">
        <f>IF(+All!#REF!="Liberty",+All!#REF!,IF(+All!#REF!="Liberty",+All!#REF!,0))</f>
        <v>#REF!</v>
      </c>
      <c r="I56" s="52" t="e">
        <f>IF(+All!#REF!="Liberty",+All!#REF!,IF(+All!#REF!="Liberty",+All!#REF!,0))</f>
        <v>#REF!</v>
      </c>
      <c r="J56" s="460" t="e">
        <f>IF(+All!#REF!="Liberty",+All!#REF!,IF(+All!#REF!="Liberty",+All!#REF!,0))</f>
        <v>#REF!</v>
      </c>
      <c r="K56" s="461" t="e">
        <f>IF(+All!#REF!="Liberty",+All!#REF!,IF(+All!#REF!="Liberty",+All!#REF!,0))</f>
        <v>#REF!</v>
      </c>
      <c r="L56" s="54" t="e">
        <f>IF(+All!#REF!="Liberty",+All!#REF!,IF(+All!#REF!="Liberty",+All!#REF!,0))</f>
        <v>#REF!</v>
      </c>
      <c r="M56" s="55" t="e">
        <f>IF(+All!#REF!="Liberty",+All!#REF!,IF(+All!#REF!="Liberty",+All!#REF!,0))</f>
        <v>#REF!</v>
      </c>
      <c r="N56" s="460" t="e">
        <f>IF(+All!#REF!="Liberty",+All!#REF!,IF(+All!#REF!="Liberty",+All!#REF!,0))</f>
        <v>#REF!</v>
      </c>
      <c r="O56" s="462" t="e">
        <f>IF(+All!#REF!="Liberty",+All!#REF!,IF(+All!#REF!="Liberty",+All!#REF!,0))</f>
        <v>#REF!</v>
      </c>
      <c r="P56" s="462" t="e">
        <f>IF(+All!#REF!="Liberty",+All!#REF!,IF(+All!#REF!="Liberty",+All!#REF!,0))</f>
        <v>#REF!</v>
      </c>
      <c r="Q56" s="461" t="e">
        <f>IF(+All!#REF!="Liberty",+All!#REF!,IF(+All!#REF!="Liberty",+All!#REF!,0))</f>
        <v>#REF!</v>
      </c>
      <c r="R56" s="460" t="e">
        <f>IF(+All!#REF!="Liberty",+All!#REF!,IF(+All!#REF!="Liberty",+All!#REF!,0))</f>
        <v>#REF!</v>
      </c>
      <c r="S56" s="462" t="e">
        <f>IF(+All!#REF!="Liberty",+All!#REF!,IF(+All!#REF!="Liberty",+All!#REF!,0))</f>
        <v>#REF!</v>
      </c>
      <c r="T56" s="460" t="e">
        <f>IF(+All!#REF!="Liberty",+All!#REF!,IF(+All!#REF!="Liberty",+All!#REF!,0))</f>
        <v>#REF!</v>
      </c>
      <c r="U56" s="461" t="e">
        <f>IF(+All!#REF!="Liberty",+All!#REF!,IF(+All!#REF!="Liberty",+All!#REF!,0))</f>
        <v>#REF!</v>
      </c>
    </row>
    <row r="57" spans="1:21" x14ac:dyDescent="0.8">
      <c r="A57" s="46">
        <f>IF(+All!$F646="Liberty",+All!A646,IF(+All!$H646="Liberty",+All!A646,0))</f>
        <v>10</v>
      </c>
      <c r="B57" s="348" t="str">
        <f>IF(+All!$F646="Liberty",+All!B646,IF(+All!$H646="Liberty",+All!B646,0))</f>
        <v>Sat</v>
      </c>
      <c r="C57" s="48">
        <f>IF(+All!$F646="Liberty",+All!C646,IF(+All!$H646="Liberty",+All!C646,0))</f>
        <v>44870</v>
      </c>
      <c r="D57" s="490">
        <f>IF(+All!$F646="Liberty",+All!D646,IF(+All!$H646="Liberty",+All!D646,0))</f>
        <v>0.66666666666666663</v>
      </c>
      <c r="E57" s="461" t="str">
        <f>IF(+All!$F646="Liberty",+All!E646,IF(+All!$H646="Liberty",+All!E646,0))</f>
        <v>SEC</v>
      </c>
      <c r="F57" s="51" t="str">
        <f>IF(+All!$F646="Liberty",+All!F646,IF(+All!$H646="Liberty",+All!F646,0))</f>
        <v>Liberty</v>
      </c>
      <c r="G57" s="52" t="str">
        <f>IF(+All!$F646="Liberty",+All!G646,IF(+All!$H646="Liberty",+All!G646,0))</f>
        <v>Ind</v>
      </c>
      <c r="H57" s="51" t="str">
        <f>IF(+All!$F646="Liberty",+All!H646,IF(+All!$H646="Liberty",+All!H646,0))</f>
        <v>Arkansas</v>
      </c>
      <c r="I57" s="52" t="str">
        <f>IF(+All!$F646="Liberty",+All!I646,IF(+All!$H646="Liberty",+All!I646,0))</f>
        <v>SEC</v>
      </c>
      <c r="J57" s="460" t="str">
        <f>IF(+All!$F646="Liberty",+All!J646,IF(+All!$H646="Liberty",+All!J646,0))</f>
        <v>Arkansas</v>
      </c>
      <c r="K57" s="461" t="str">
        <f>IF(+All!$F646="Liberty",+All!K646,IF(+All!$H646="Liberty",+All!K646,0))</f>
        <v>Liberty</v>
      </c>
      <c r="L57" s="54">
        <f>IF(+All!$F646="Liberty",+All!L646,IF(+All!$H646="Liberty",+All!L646,0))</f>
        <v>13.5</v>
      </c>
      <c r="M57" s="55">
        <f>IF(+All!$F646="Liberty",+All!M646,IF(+All!$H646="Liberty",+All!M646,0))</f>
        <v>63</v>
      </c>
      <c r="N57" s="460" t="str">
        <f>IF(+All!$F646="Liberty",+All!N646,IF(+All!$H646="Liberty",+All!N646,0))</f>
        <v>Liberty</v>
      </c>
      <c r="O57" s="462">
        <f>IF(+All!$F646="Liberty",+All!O646,IF(+All!$H646="Liberty",+All!O646,0))</f>
        <v>21</v>
      </c>
      <c r="P57" s="462" t="str">
        <f>IF(+All!$F646="Liberty",+All!P646,IF(+All!$H646="Liberty",+All!P646,0))</f>
        <v>Arkansas</v>
      </c>
      <c r="Q57" s="461">
        <f>IF(+All!$F646="Liberty",+All!Q646,IF(+All!$H646="Liberty",+All!Q646,0))</f>
        <v>19</v>
      </c>
      <c r="R57" s="460" t="str">
        <f>IF(+All!$F646="Liberty",+All!R646,IF(+All!$H646="Liberty",+All!R646,0))</f>
        <v>Liberty</v>
      </c>
      <c r="S57" s="462" t="str">
        <f>IF(+All!$F646="Liberty",+All!S646,IF(+All!$H646="Liberty",+All!S646,0))</f>
        <v>Arkansas</v>
      </c>
      <c r="T57" s="460" t="str">
        <f>IF(+All!$F646="Liberty",+All!T646,IF(+All!$H646="Liberty",+All!T646,0))</f>
        <v>Arkansas</v>
      </c>
      <c r="U57" s="461" t="str">
        <f>IF(+All!$F646="Liberty",+All!U646,IF(+All!$H646="Liberty",+All!U646,0))</f>
        <v>L</v>
      </c>
    </row>
    <row r="58" spans="1:21" x14ac:dyDescent="0.8">
      <c r="A58" s="46">
        <f>IF(+All!$F692="Liberty",+All!A692,IF(+All!$H692="Liberty",+All!A692,0))</f>
        <v>11</v>
      </c>
      <c r="B58" s="348" t="str">
        <f>IF(+All!$F692="Liberty",+All!B692,IF(+All!$H692="Liberty",+All!B692,0))</f>
        <v>Sat</v>
      </c>
      <c r="C58" s="48">
        <f>IF(+All!$F692="Liberty",+All!C692,IF(+All!$H692="Liberty",+All!C692,0))</f>
        <v>44877</v>
      </c>
      <c r="D58" s="490">
        <f>IF(+All!$F692="Liberty",+All!D692,IF(+All!$H692="Liberty",+All!D692,0))</f>
        <v>0.5</v>
      </c>
      <c r="E58" s="461" t="str">
        <f>IF(+All!$F692="Liberty",+All!E692,IF(+All!$H692="Liberty",+All!E692,0))</f>
        <v>CBSSN</v>
      </c>
      <c r="F58" s="51" t="str">
        <f>IF(+All!$F692="Liberty",+All!F692,IF(+All!$H692="Liberty",+All!F692,0))</f>
        <v>Liberty</v>
      </c>
      <c r="G58" s="52" t="str">
        <f>IF(+All!$F692="Liberty",+All!G692,IF(+All!$H692="Liberty",+All!G692,0))</f>
        <v>Ind</v>
      </c>
      <c r="H58" s="51" t="str">
        <f>IF(+All!$F692="Liberty",+All!H692,IF(+All!$H692="Liberty",+All!H692,0))</f>
        <v>Connecticut</v>
      </c>
      <c r="I58" s="52" t="str">
        <f>IF(+All!$F692="Liberty",+All!I692,IF(+All!$H692="Liberty",+All!I692,0))</f>
        <v>Ind</v>
      </c>
      <c r="J58" s="460" t="str">
        <f>IF(+All!$F692="Liberty",+All!J692,IF(+All!$H692="Liberty",+All!J692,0))</f>
        <v>Liberty</v>
      </c>
      <c r="K58" s="461" t="str">
        <f>IF(+All!$F692="Liberty",+All!K692,IF(+All!$H692="Liberty",+All!K692,0))</f>
        <v>Connecticut</v>
      </c>
      <c r="L58" s="54">
        <f>IF(+All!$F692="Liberty",+All!L692,IF(+All!$H692="Liberty",+All!L692,0))</f>
        <v>14.5</v>
      </c>
      <c r="M58" s="55">
        <f>IF(+All!$F692="Liberty",+All!M692,IF(+All!$H692="Liberty",+All!M692,0))</f>
        <v>45.5</v>
      </c>
      <c r="N58" s="460" t="str">
        <f>IF(+All!$F692="Liberty",+All!N692,IF(+All!$H692="Liberty",+All!N692,0))</f>
        <v>Connecticut</v>
      </c>
      <c r="O58" s="462">
        <f>IF(+All!$F692="Liberty",+All!O692,IF(+All!$H692="Liberty",+All!O692,0))</f>
        <v>36</v>
      </c>
      <c r="P58" s="462" t="str">
        <f>IF(+All!$F692="Liberty",+All!P692,IF(+All!$H692="Liberty",+All!P692,0))</f>
        <v>Liberty</v>
      </c>
      <c r="Q58" s="461">
        <f>IF(+All!$F692="Liberty",+All!Q692,IF(+All!$H692="Liberty",+All!Q692,0))</f>
        <v>33</v>
      </c>
      <c r="R58" s="460" t="str">
        <f>IF(+All!$F692="Liberty",+All!R692,IF(+All!$H692="Liberty",+All!R692,0))</f>
        <v>Connecticut</v>
      </c>
      <c r="S58" s="462" t="str">
        <f>IF(+All!$F692="Liberty",+All!S692,IF(+All!$H692="Liberty",+All!S692,0))</f>
        <v>Liberty</v>
      </c>
      <c r="T58" s="460" t="str">
        <f>IF(+All!$F692="Liberty",+All!T692,IF(+All!$H692="Liberty",+All!T692,0))</f>
        <v>Connecticut</v>
      </c>
      <c r="U58" s="461" t="str">
        <f>IF(+All!$F692="Liberty",+All!U692,IF(+All!$H692="Liberty",+All!U692,0))</f>
        <v>W</v>
      </c>
    </row>
    <row r="59" spans="1:21" x14ac:dyDescent="0.8">
      <c r="A59" s="46">
        <f>IF(+All!$F755="Liberty",+All!A755,IF(+All!$H755="Liberty",+All!A755,0))</f>
        <v>12</v>
      </c>
      <c r="B59" s="348" t="str">
        <f>IF(+All!$F755="Liberty",+All!B755,IF(+All!$H755="Liberty",+All!B755,0))</f>
        <v>Sat</v>
      </c>
      <c r="C59" s="48">
        <f>IF(+All!$F755="Liberty",+All!C755,IF(+All!$H755="Liberty",+All!C755,0))</f>
        <v>44884</v>
      </c>
      <c r="D59" s="490">
        <f>IF(+All!$F755="Liberty",+All!D755,IF(+All!$H755="Liberty",+All!D755,0))</f>
        <v>0.5</v>
      </c>
      <c r="E59" s="461">
        <f>IF(+All!$F755="Liberty",+All!E755,IF(+All!$H755="Liberty",+All!E755,0))</f>
        <v>0</v>
      </c>
      <c r="F59" s="51" t="str">
        <f>IF(+All!$F755="Liberty",+All!F755,IF(+All!$H755="Liberty",+All!F755,0))</f>
        <v>Virginia Tech</v>
      </c>
      <c r="G59" s="52" t="str">
        <f>IF(+All!$F755="Liberty",+All!G755,IF(+All!$H755="Liberty",+All!G755,0))</f>
        <v>ACC</v>
      </c>
      <c r="H59" s="51" t="str">
        <f>IF(+All!$F755="Liberty",+All!H755,IF(+All!$H755="Liberty",+All!H755,0))</f>
        <v>Liberty</v>
      </c>
      <c r="I59" s="52" t="str">
        <f>IF(+All!$F755="Liberty",+All!I755,IF(+All!$H755="Liberty",+All!I755,0))</f>
        <v>Ind</v>
      </c>
      <c r="J59" s="460" t="str">
        <f>IF(+All!$F755="Liberty",+All!J755,IF(+All!$H755="Liberty",+All!J755,0))</f>
        <v>Liberty</v>
      </c>
      <c r="K59" s="461" t="str">
        <f>IF(+All!$F755="Liberty",+All!K755,IF(+All!$H755="Liberty",+All!K755,0))</f>
        <v>Virginia Tech</v>
      </c>
      <c r="L59" s="54">
        <f>IF(+All!$F755="Liberty",+All!L755,IF(+All!$H755="Liberty",+All!L755,0))</f>
        <v>10</v>
      </c>
      <c r="M59" s="55">
        <f>IF(+All!$F755="Liberty",+All!M755,IF(+All!$H755="Liberty",+All!M755,0))</f>
        <v>46.5</v>
      </c>
      <c r="N59" s="460" t="str">
        <f>IF(+All!$F755="Liberty",+All!N755,IF(+All!$H755="Liberty",+All!N755,0))</f>
        <v>Virginia Tech</v>
      </c>
      <c r="O59" s="462">
        <f>IF(+All!$F755="Liberty",+All!O755,IF(+All!$H755="Liberty",+All!O755,0))</f>
        <v>23</v>
      </c>
      <c r="P59" s="462" t="str">
        <f>IF(+All!$F755="Liberty",+All!P755,IF(+All!$H755="Liberty",+All!P755,0))</f>
        <v>Liberty</v>
      </c>
      <c r="Q59" s="461">
        <f>IF(+All!$F755="Liberty",+All!Q755,IF(+All!$H755="Liberty",+All!Q755,0))</f>
        <v>22</v>
      </c>
      <c r="R59" s="460" t="str">
        <f>IF(+All!$F755="Liberty",+All!R755,IF(+All!$H755="Liberty",+All!R755,0))</f>
        <v>Virginia Tech</v>
      </c>
      <c r="S59" s="462" t="str">
        <f>IF(+All!$F755="Liberty",+All!S755,IF(+All!$H755="Liberty",+All!S755,0))</f>
        <v>Liberty</v>
      </c>
      <c r="T59" s="460" t="str">
        <f>IF(+All!$F755="Liberty",+All!T755,IF(+All!$H755="Liberty",+All!T755,0))</f>
        <v>Liberty</v>
      </c>
      <c r="U59" s="461" t="str">
        <f>IF(+All!$F755="Liberty",+All!U755,IF(+All!$H755="Liberty",+All!U755,0))</f>
        <v>L</v>
      </c>
    </row>
    <row r="60" spans="1:21" x14ac:dyDescent="0.8">
      <c r="A60" s="46">
        <f>IF(+All!$F823="Liberty",+All!A823,IF(+All!$H823="Liberty",+All!A823,0))</f>
        <v>13</v>
      </c>
      <c r="B60" s="348" t="str">
        <f>IF(+All!$F823="Liberty",+All!B823,IF(+All!$H823="Liberty",+All!B823,0))</f>
        <v>Sat</v>
      </c>
      <c r="C60" s="48">
        <f>IF(+All!$F823="Liberty",+All!C823,IF(+All!$H823="Liberty",+All!C823,0))</f>
        <v>44891</v>
      </c>
      <c r="D60" s="490">
        <f>IF(+All!$F823="Liberty",+All!D823,IF(+All!$H823="Liberty",+All!D823,0))</f>
        <v>0.5</v>
      </c>
      <c r="E60" s="461">
        <f>IF(+All!$F823="Liberty",+All!E823,IF(+All!$H823="Liberty",+All!E823,0))</f>
        <v>0</v>
      </c>
      <c r="F60" s="51" t="str">
        <f>IF(+All!$F823="Liberty",+All!F823,IF(+All!$H823="Liberty",+All!F823,0))</f>
        <v>New Mexico State</v>
      </c>
      <c r="G60" s="52" t="str">
        <f>IF(+All!$F823="Liberty",+All!G823,IF(+All!$H823="Liberty",+All!G823,0))</f>
        <v>Ind</v>
      </c>
      <c r="H60" s="51" t="str">
        <f>IF(+All!$F823="Liberty",+All!H823,IF(+All!$H823="Liberty",+All!H823,0))</f>
        <v>Liberty</v>
      </c>
      <c r="I60" s="52" t="str">
        <f>IF(+All!$F823="Liberty",+All!I823,IF(+All!$H823="Liberty",+All!I823,0))</f>
        <v>Ind</v>
      </c>
      <c r="J60" s="460" t="str">
        <f>IF(+All!$F823="Liberty",+All!J823,IF(+All!$H823="Liberty",+All!J823,0))</f>
        <v>Liberty</v>
      </c>
      <c r="K60" s="461" t="str">
        <f>IF(+All!$F823="Liberty",+All!K823,IF(+All!$H823="Liberty",+All!K823,0))</f>
        <v>New Mexico State</v>
      </c>
      <c r="L60" s="54">
        <f>IF(+All!$F823="Liberty",+All!L823,IF(+All!$H823="Liberty",+All!L823,0))</f>
        <v>24</v>
      </c>
      <c r="M60" s="55">
        <f>IF(+All!$F823="Liberty",+All!M823,IF(+All!$H823="Liberty",+All!M823,0))</f>
        <v>50.5</v>
      </c>
      <c r="N60" s="460" t="str">
        <f>IF(+All!$F823="Liberty",+All!N823,IF(+All!$H823="Liberty",+All!N823,0))</f>
        <v>New Mexico State</v>
      </c>
      <c r="O60" s="462">
        <f>IF(+All!$F823="Liberty",+All!O823,IF(+All!$H823="Liberty",+All!O823,0))</f>
        <v>49</v>
      </c>
      <c r="P60" s="462" t="str">
        <f>IF(+All!$F823="Liberty",+All!P823,IF(+All!$H823="Liberty",+All!P823,0))</f>
        <v>Liberty</v>
      </c>
      <c r="Q60" s="461">
        <f>IF(+All!$F823="Liberty",+All!Q823,IF(+All!$H823="Liberty",+All!Q823,0))</f>
        <v>14</v>
      </c>
      <c r="R60" s="460" t="str">
        <f>IF(+All!$F823="Liberty",+All!R823,IF(+All!$H823="Liberty",+All!R823,0))</f>
        <v>New Mexico State</v>
      </c>
      <c r="S60" s="462" t="str">
        <f>IF(+All!$F823="Liberty",+All!S823,IF(+All!$H823="Liberty",+All!S823,0))</f>
        <v>Liberty</v>
      </c>
      <c r="T60" s="460" t="str">
        <f>IF(+All!$F823="Liberty",+All!T823,IF(+All!$H823="Liberty",+All!T823,0))</f>
        <v>Liberty</v>
      </c>
      <c r="U60" s="461" t="str">
        <f>IF(+All!$F823="Liberty",+All!U823,IF(+All!$H823="Liberty",+All!U823,0))</f>
        <v>L</v>
      </c>
    </row>
    <row r="61" spans="1:21" x14ac:dyDescent="0.8">
      <c r="B61" s="39"/>
      <c r="C61" s="40"/>
      <c r="D61" s="41"/>
      <c r="E61" s="463"/>
      <c r="F61" s="897" t="str">
        <f>F63</f>
        <v>Massachusetts</v>
      </c>
      <c r="G61" s="903"/>
      <c r="H61" s="903"/>
      <c r="I61" s="904"/>
      <c r="J61" s="459"/>
      <c r="K61" s="463"/>
      <c r="L61" s="44"/>
      <c r="M61" s="45"/>
      <c r="N61" s="459"/>
      <c r="O61" s="5"/>
      <c r="P61" s="5"/>
      <c r="Q61" s="318"/>
      <c r="R61" s="459"/>
      <c r="S61" s="5"/>
      <c r="T61" s="459"/>
      <c r="U61" s="463"/>
    </row>
    <row r="62" spans="1:21" s="75" customFormat="1" x14ac:dyDescent="0.8">
      <c r="A62" s="51">
        <f>IF(+All!$F71="Massachusetts",+All!A71,IF(+All!$H71="Massachusetts",+All!A71,0))</f>
        <v>1</v>
      </c>
      <c r="B62" s="348" t="str">
        <f>IF(+All!$F71="Massachusetts",+All!B71,IF(+All!$H71="Massachusetts",+All!B71,0))</f>
        <v>Sat</v>
      </c>
      <c r="C62" s="48">
        <f>IF(+All!$F71="Massachusetts",+All!C71,IF(+All!$H71="Massachusetts",+All!C71,0))</f>
        <v>44807</v>
      </c>
      <c r="D62" s="490">
        <f>IF(+All!$F71="Massachusetts",+All!D71,IF(+All!$H71="Massachusetts",+All!D71,0))</f>
        <v>0.79166666666666663</v>
      </c>
      <c r="E62" s="461">
        <f>IF(+All!$F71="Massachusetts",+All!E71,IF(+All!$H71="Massachusetts",+All!E71,0))</f>
        <v>0</v>
      </c>
      <c r="F62" s="51" t="str">
        <f>IF(+All!$F71="Massachusetts",+All!F71,IF(+All!$H71="Massachusetts",+All!F71,0))</f>
        <v>Massachusetts</v>
      </c>
      <c r="G62" s="52" t="str">
        <f>IF(+All!$F71="Massachusetts",+All!G71,IF(+All!$H71="Massachusetts",+All!G71,0))</f>
        <v>Ind</v>
      </c>
      <c r="H62" s="51" t="str">
        <f>IF(+All!$F71="Massachusetts",+All!H71,IF(+All!$H71="Massachusetts",+All!H71,0))</f>
        <v>Tulane</v>
      </c>
      <c r="I62" s="52" t="str">
        <f>IF(+All!$F71="Massachusetts",+All!I71,IF(+All!$H71="Massachusetts",+All!I71,0))</f>
        <v>AAC</v>
      </c>
      <c r="J62" s="460" t="str">
        <f>IF(+All!$F71="Massachusetts",+All!J71,IF(+All!$H71="Massachusetts",+All!J71,0))</f>
        <v>Tulane</v>
      </c>
      <c r="K62" s="461" t="str">
        <f>IF(+All!$F71="Massachusetts",+All!K71,IF(+All!$H71="Massachusetts",+All!K71,0))</f>
        <v>Massachusetts</v>
      </c>
      <c r="L62" s="54">
        <f>IF(+All!$F71="Massachusetts",+All!L71,IF(+All!$H71="Massachusetts",+All!L71,0))</f>
        <v>29</v>
      </c>
      <c r="M62" s="55">
        <f>IF(+All!$F71="Massachusetts",+All!M71,IF(+All!$H71="Massachusetts",+All!M71,0))</f>
        <v>59</v>
      </c>
      <c r="N62" s="460" t="str">
        <f>IF(+All!$F71="Massachusetts",+All!N71,IF(+All!$H71="Massachusetts",+All!N71,0))</f>
        <v>Tulane</v>
      </c>
      <c r="O62" s="462">
        <f>IF(+All!$F71="Massachusetts",+All!O71,IF(+All!$H71="Massachusetts",+All!O71,0))</f>
        <v>42</v>
      </c>
      <c r="P62" s="462" t="str">
        <f>IF(+All!$F71="Massachusetts",+All!P71,IF(+All!$H71="Massachusetts",+All!P71,0))</f>
        <v>Massachusetts</v>
      </c>
      <c r="Q62" s="461">
        <f>IF(+All!$F71="Massachusetts",+All!Q71,IF(+All!$H71="Massachusetts",+All!Q71,0))</f>
        <v>10</v>
      </c>
      <c r="R62" s="460" t="str">
        <f>IF(+All!$F71="Massachusetts",+All!R71,IF(+All!$H71="Massachusetts",+All!R71,0))</f>
        <v>Tulane</v>
      </c>
      <c r="S62" s="462" t="str">
        <f>IF(+All!$F71="Massachusetts",+All!S71,IF(+All!$H71="Massachusetts",+All!S71,0))</f>
        <v>Massachusetts</v>
      </c>
      <c r="T62" s="460" t="str">
        <f>IF(+All!$F71="Massachusetts",+All!T71,IF(+All!$H71="Massachusetts",+All!T71,0))</f>
        <v>Massachusetts</v>
      </c>
      <c r="U62" s="461" t="str">
        <f>IF(+All!$F71="Massachusetts",+All!U71,IF(+All!$H71="Massachusetts",+All!U71,0))</f>
        <v>L</v>
      </c>
    </row>
    <row r="63" spans="1:21" s="75" customFormat="1" x14ac:dyDescent="0.8">
      <c r="A63" s="51">
        <f>IF(+All!$F150="Massachusetts",+All!A150,IF(+All!$H150="Massachusetts",+All!A150,0))</f>
        <v>2</v>
      </c>
      <c r="B63" s="348" t="str">
        <f>IF(+All!$F150="Massachusetts",+All!B150,IF(+All!$H150="Massachusetts",+All!B150,0))</f>
        <v>Sat</v>
      </c>
      <c r="C63" s="48">
        <f>IF(+All!$F150="Massachusetts",+All!C150,IF(+All!$H150="Massachusetts",+All!C150,0))</f>
        <v>44814</v>
      </c>
      <c r="D63" s="490">
        <f>IF(+All!$F150="Massachusetts",+All!D150,IF(+All!$H150="Massachusetts",+All!D150,0))</f>
        <v>0.79166666666666663</v>
      </c>
      <c r="E63" s="461">
        <f>IF(+All!$F150="Massachusetts",+All!E150,IF(+All!$H150="Massachusetts",+All!E150,0))</f>
        <v>0</v>
      </c>
      <c r="F63" s="51" t="str">
        <f>IF(+All!$F150="Massachusetts",+All!F150,IF(+All!$H150="Massachusetts",+All!F150,0))</f>
        <v>Massachusetts</v>
      </c>
      <c r="G63" s="52" t="str">
        <f>IF(+All!$F150="Massachusetts",+All!G150,IF(+All!$H150="Massachusetts",+All!G150,0))</f>
        <v>Ind</v>
      </c>
      <c r="H63" s="51" t="str">
        <f>IF(+All!$F150="Massachusetts",+All!H150,IF(+All!$H150="Massachusetts",+All!H150,0))</f>
        <v>Toledo</v>
      </c>
      <c r="I63" s="52" t="str">
        <f>IF(+All!$F150="Massachusetts",+All!I150,IF(+All!$H150="Massachusetts",+All!I150,0))</f>
        <v>MAC</v>
      </c>
      <c r="J63" s="460" t="str">
        <f>IF(+All!$F150="Massachusetts",+All!J150,IF(+All!$H150="Massachusetts",+All!J150,0))</f>
        <v>Toledo</v>
      </c>
      <c r="K63" s="461" t="str">
        <f>IF(+All!$F150="Massachusetts",+All!K150,IF(+All!$H150="Massachusetts",+All!K150,0))</f>
        <v>Massachusetts</v>
      </c>
      <c r="L63" s="54">
        <f>IF(+All!$F150="Massachusetts",+All!L150,IF(+All!$H150="Massachusetts",+All!L150,0))</f>
        <v>28.5</v>
      </c>
      <c r="M63" s="55">
        <f>IF(+All!$F150="Massachusetts",+All!M150,IF(+All!$H150="Massachusetts",+All!M150,0))</f>
        <v>49</v>
      </c>
      <c r="N63" s="460" t="str">
        <f>IF(+All!$F150="Massachusetts",+All!N150,IF(+All!$H150="Massachusetts",+All!N150,0))</f>
        <v>Toledo</v>
      </c>
      <c r="O63" s="462">
        <f>IF(+All!$F150="Massachusetts",+All!O150,IF(+All!$H150="Massachusetts",+All!O150,0))</f>
        <v>55</v>
      </c>
      <c r="P63" s="462" t="str">
        <f>IF(+All!$F150="Massachusetts",+All!P150,IF(+All!$H150="Massachusetts",+All!P150,0))</f>
        <v>Massachusetts</v>
      </c>
      <c r="Q63" s="461">
        <f>IF(+All!$F150="Massachusetts",+All!Q150,IF(+All!$H150="Massachusetts",+All!Q150,0))</f>
        <v>10</v>
      </c>
      <c r="R63" s="460" t="str">
        <f>IF(+All!$F150="Massachusetts",+All!R150,IF(+All!$H150="Massachusetts",+All!R150,0))</f>
        <v>Toledo</v>
      </c>
      <c r="S63" s="462" t="str">
        <f>IF(+All!$F150="Massachusetts",+All!S150,IF(+All!$H150="Massachusetts",+All!S150,0))</f>
        <v>Massachusetts</v>
      </c>
      <c r="T63" s="460" t="str">
        <f>IF(+All!$F150="Massachusetts",+All!T150,IF(+All!$H150="Massachusetts",+All!T150,0))</f>
        <v>Toledo</v>
      </c>
      <c r="U63" s="461" t="str">
        <f>IF(+All!$F150="Massachusetts",+All!U150,IF(+All!$H150="Massachusetts",+All!U150,0))</f>
        <v>W</v>
      </c>
    </row>
    <row r="64" spans="1:21" s="75" customFormat="1" x14ac:dyDescent="0.8">
      <c r="A64" s="51">
        <f>IF(+All!$F217="Massachusetts",+All!A217,IF(+All!$H217="Massachusetts",+All!A217,0))</f>
        <v>3</v>
      </c>
      <c r="B64" s="348" t="str">
        <f>IF(+All!$F217="Massachusetts",+All!B217,IF(+All!$H217="Massachusetts",+All!B217,0))</f>
        <v>Sat</v>
      </c>
      <c r="C64" s="48">
        <f>IF(+All!$F217="Massachusetts",+All!C217,IF(+All!$H217="Massachusetts",+All!C217,0))</f>
        <v>44821</v>
      </c>
      <c r="D64" s="490">
        <f>IF(+All!$F217="Massachusetts",+All!D217,IF(+All!$H217="Massachusetts",+All!D217,0))</f>
        <v>0.64583333333333337</v>
      </c>
      <c r="E64" s="461" t="str">
        <f>IF(+All!$F217="Massachusetts",+All!E217,IF(+All!$H217="Massachusetts",+All!E217,0))</f>
        <v>espn3</v>
      </c>
      <c r="F64" s="51" t="str">
        <f>IF(+All!$F217="Massachusetts",+All!F217,IF(+All!$H217="Massachusetts",+All!F217,0))</f>
        <v>1AA Stony Brook</v>
      </c>
      <c r="G64" s="52" t="str">
        <f>IF(+All!$F217="Massachusetts",+All!G217,IF(+All!$H217="Massachusetts",+All!G217,0))</f>
        <v>1AA</v>
      </c>
      <c r="H64" s="51" t="str">
        <f>IF(+All!$F217="Massachusetts",+All!H217,IF(+All!$H217="Massachusetts",+All!H217,0))</f>
        <v>Massachusetts</v>
      </c>
      <c r="I64" s="52" t="str">
        <f>IF(+All!$F217="Massachusetts",+All!I217,IF(+All!$H217="Massachusetts",+All!I217,0))</f>
        <v>Ind</v>
      </c>
      <c r="J64" s="460">
        <f>IF(+All!$F217="Massachusetts",+All!J217,IF(+All!$H217="Massachusetts",+All!J217,0))</f>
        <v>0</v>
      </c>
      <c r="K64" s="461">
        <f>IF(+All!$F217="Massachusetts",+All!K217,IF(+All!$H217="Massachusetts",+All!K217,0))</f>
        <v>0</v>
      </c>
      <c r="L64" s="54">
        <f>IF(+All!$F217="Massachusetts",+All!L217,IF(+All!$H217="Massachusetts",+All!L217,0))</f>
        <v>0</v>
      </c>
      <c r="M64" s="55">
        <f>IF(+All!$F217="Massachusetts",+All!M217,IF(+All!$H217="Massachusetts",+All!M217,0))</f>
        <v>0</v>
      </c>
      <c r="N64" s="460" t="str">
        <f>IF(+All!$F217="Massachusetts",+All!N217,IF(+All!$H217="Massachusetts",+All!N217,0))</f>
        <v>Massachusetts</v>
      </c>
      <c r="O64" s="462">
        <f>IF(+All!$F217="Massachusetts",+All!O217,IF(+All!$H217="Massachusetts",+All!O217,0))</f>
        <v>20</v>
      </c>
      <c r="P64" s="462" t="str">
        <f>IF(+All!$F217="Massachusetts",+All!P217,IF(+All!$H217="Massachusetts",+All!P217,0))</f>
        <v>1AA Stony Brook</v>
      </c>
      <c r="Q64" s="461">
        <f>IF(+All!$F217="Massachusetts",+All!Q217,IF(+All!$H217="Massachusetts",+All!Q217,0))</f>
        <v>3</v>
      </c>
      <c r="R64" s="460">
        <f>IF(+All!$F217="Massachusetts",+All!R217,IF(+All!$H217="Massachusetts",+All!R217,0))</f>
        <v>0</v>
      </c>
      <c r="S64" s="462">
        <f>IF(+All!$F217="Massachusetts",+All!S217,IF(+All!$H217="Massachusetts",+All!S217,0))</f>
        <v>0</v>
      </c>
      <c r="T64" s="460">
        <f>IF(+All!$F217="Massachusetts",+All!T217,IF(+All!$H217="Massachusetts",+All!T217,0))</f>
        <v>0</v>
      </c>
      <c r="U64" s="461">
        <f>IF(+All!$F217="Massachusetts",+All!U217,IF(+All!$H217="Massachusetts",+All!U217,0))</f>
        <v>0</v>
      </c>
    </row>
    <row r="65" spans="1:21" s="75" customFormat="1" x14ac:dyDescent="0.8">
      <c r="A65" s="51">
        <f>IF(+All!$F264="Massachusetts",+All!A264,IF(+All!$H264="Massachusetts",+All!A264,0))</f>
        <v>4</v>
      </c>
      <c r="B65" s="348" t="str">
        <f>IF(+All!$F264="Massachusetts",+All!B264,IF(+All!$H264="Massachusetts",+All!B264,0))</f>
        <v>Sat</v>
      </c>
      <c r="C65" s="48">
        <f>IF(+All!$F264="Massachusetts",+All!C264,IF(+All!$H264="Massachusetts",+All!C264,0))</f>
        <v>44828</v>
      </c>
      <c r="D65" s="490">
        <f>IF(+All!$F264="Massachusetts",+All!D264,IF(+All!$H264="Massachusetts",+All!D264,0))</f>
        <v>0.58333333333333337</v>
      </c>
      <c r="E65" s="461">
        <f>IF(+All!$F264="Massachusetts",+All!E264,IF(+All!$H264="Massachusetts",+All!E264,0))</f>
        <v>0</v>
      </c>
      <c r="F65" s="51" t="str">
        <f>IF(+All!$F264="Massachusetts",+All!F264,IF(+All!$H264="Massachusetts",+All!F264,0))</f>
        <v>Massachusetts</v>
      </c>
      <c r="G65" s="52" t="str">
        <f>IF(+All!$F264="Massachusetts",+All!G264,IF(+All!$H264="Massachusetts",+All!G264,0))</f>
        <v>Ind</v>
      </c>
      <c r="H65" s="51" t="str">
        <f>IF(+All!$F264="Massachusetts",+All!H264,IF(+All!$H264="Massachusetts",+All!H264,0))</f>
        <v>Temple</v>
      </c>
      <c r="I65" s="52" t="str">
        <f>IF(+All!$F264="Massachusetts",+All!I264,IF(+All!$H264="Massachusetts",+All!I264,0))</f>
        <v>AAC</v>
      </c>
      <c r="J65" s="460" t="str">
        <f>IF(+All!$F264="Massachusetts",+All!J264,IF(+All!$H264="Massachusetts",+All!J264,0))</f>
        <v>Temple</v>
      </c>
      <c r="K65" s="461" t="str">
        <f>IF(+All!$F264="Massachusetts",+All!K264,IF(+All!$H264="Massachusetts",+All!K264,0))</f>
        <v>Massachusetts</v>
      </c>
      <c r="L65" s="54">
        <f>IF(+All!$F264="Massachusetts",+All!L264,IF(+All!$H264="Massachusetts",+All!L264,0))</f>
        <v>10</v>
      </c>
      <c r="M65" s="55">
        <f>IF(+All!$F264="Massachusetts",+All!M264,IF(+All!$H264="Massachusetts",+All!M264,0))</f>
        <v>43.5</v>
      </c>
      <c r="N65" s="460" t="str">
        <f>IF(+All!$F264="Massachusetts",+All!N264,IF(+All!$H264="Massachusetts",+All!N264,0))</f>
        <v>Temple</v>
      </c>
      <c r="O65" s="462">
        <f>IF(+All!$F264="Massachusetts",+All!O264,IF(+All!$H264="Massachusetts",+All!O264,0))</f>
        <v>28</v>
      </c>
      <c r="P65" s="462" t="str">
        <f>IF(+All!$F264="Massachusetts",+All!P264,IF(+All!$H264="Massachusetts",+All!P264,0))</f>
        <v>Massachusetts</v>
      </c>
      <c r="Q65" s="461">
        <f>IF(+All!$F264="Massachusetts",+All!Q264,IF(+All!$H264="Massachusetts",+All!Q264,0))</f>
        <v>0</v>
      </c>
      <c r="R65" s="460" t="str">
        <f>IF(+All!$F264="Massachusetts",+All!R264,IF(+All!$H264="Massachusetts",+All!R264,0))</f>
        <v>Temple</v>
      </c>
      <c r="S65" s="462" t="str">
        <f>IF(+All!$F264="Massachusetts",+All!S264,IF(+All!$H264="Massachusetts",+All!S264,0))</f>
        <v>Massachusetts</v>
      </c>
      <c r="T65" s="460" t="str">
        <f>IF(+All!$F264="Massachusetts",+All!T264,IF(+All!$H264="Massachusetts",+All!T264,0))</f>
        <v>Massachusetts</v>
      </c>
      <c r="U65" s="461" t="str">
        <f>IF(+All!$F264="Massachusetts",+All!U264,IF(+All!$H264="Massachusetts",+All!U264,0))</f>
        <v>L</v>
      </c>
    </row>
    <row r="66" spans="1:21" s="75" customFormat="1" x14ac:dyDescent="0.8">
      <c r="A66" s="51">
        <f>IF(+All!$F357="Massachusetts",+All!A357,IF(+All!$H357="Massachusetts",+All!A357,0))</f>
        <v>5</v>
      </c>
      <c r="B66" s="348" t="str">
        <f>IF(+All!$F357="Massachusetts",+All!B357,IF(+All!$H357="Massachusetts",+All!B357,0))</f>
        <v>Sat</v>
      </c>
      <c r="C66" s="48">
        <f>IF(+All!$F357="Massachusetts",+All!C357,IF(+All!$H357="Massachusetts",+All!C357,0))</f>
        <v>44835</v>
      </c>
      <c r="D66" s="490">
        <f>IF(+All!$F357="Massachusetts",+All!D357,IF(+All!$H357="Massachusetts",+All!D357,0))</f>
        <v>0.58333333333333337</v>
      </c>
      <c r="E66" s="461">
        <f>IF(+All!$F357="Massachusetts",+All!E357,IF(+All!$H357="Massachusetts",+All!E357,0))</f>
        <v>0</v>
      </c>
      <c r="F66" s="51" t="str">
        <f>IF(+All!$F357="Massachusetts",+All!F357,IF(+All!$H357="Massachusetts",+All!F357,0))</f>
        <v>Massachusetts</v>
      </c>
      <c r="G66" s="52" t="str">
        <f>IF(+All!$F357="Massachusetts",+All!G357,IF(+All!$H357="Massachusetts",+All!G357,0))</f>
        <v>Ind</v>
      </c>
      <c r="H66" s="51" t="str">
        <f>IF(+All!$F357="Massachusetts",+All!H357,IF(+All!$H357="Massachusetts",+All!H357,0))</f>
        <v>Eastern Michigan</v>
      </c>
      <c r="I66" s="52" t="str">
        <f>IF(+All!$F357="Massachusetts",+All!I357,IF(+All!$H357="Massachusetts",+All!I357,0))</f>
        <v>MAC</v>
      </c>
      <c r="J66" s="460" t="str">
        <f>IF(+All!$F357="Massachusetts",+All!J357,IF(+All!$H357="Massachusetts",+All!J357,0))</f>
        <v>Eastern Michigan</v>
      </c>
      <c r="K66" s="461" t="str">
        <f>IF(+All!$F357="Massachusetts",+All!K357,IF(+All!$H357="Massachusetts",+All!K357,0))</f>
        <v>Massachusetts</v>
      </c>
      <c r="L66" s="54">
        <f>IF(+All!$F357="Massachusetts",+All!L357,IF(+All!$H357="Massachusetts",+All!L357,0))</f>
        <v>19.5</v>
      </c>
      <c r="M66" s="55">
        <f>IF(+All!$F357="Massachusetts",+All!M357,IF(+All!$H357="Massachusetts",+All!M357,0))</f>
        <v>54.5</v>
      </c>
      <c r="N66" s="460" t="str">
        <f>IF(+All!$F357="Massachusetts",+All!N357,IF(+All!$H357="Massachusetts",+All!N357,0))</f>
        <v>Eastern Michigan</v>
      </c>
      <c r="O66" s="462">
        <f>IF(+All!$F357="Massachusetts",+All!O357,IF(+All!$H357="Massachusetts",+All!O357,0))</f>
        <v>20</v>
      </c>
      <c r="P66" s="462" t="str">
        <f>IF(+All!$F357="Massachusetts",+All!P357,IF(+All!$H357="Massachusetts",+All!P357,0))</f>
        <v>Massachusetts</v>
      </c>
      <c r="Q66" s="461">
        <f>IF(+All!$F357="Massachusetts",+All!Q357,IF(+All!$H357="Massachusetts",+All!Q357,0))</f>
        <v>13</v>
      </c>
      <c r="R66" s="460" t="str">
        <f>IF(+All!$F357="Massachusetts",+All!R357,IF(+All!$H357="Massachusetts",+All!R357,0))</f>
        <v>Massachusetts</v>
      </c>
      <c r="S66" s="462" t="str">
        <f>IF(+All!$F357="Massachusetts",+All!S357,IF(+All!$H357="Massachusetts",+All!S357,0))</f>
        <v>Eastern Michigan</v>
      </c>
      <c r="T66" s="460" t="str">
        <f>IF(+All!$F357="Massachusetts",+All!T357,IF(+All!$H357="Massachusetts",+All!T357,0))</f>
        <v>Eastern Michigan</v>
      </c>
      <c r="U66" s="461" t="str">
        <f>IF(+All!$F357="Massachusetts",+All!U357,IF(+All!$H357="Massachusetts",+All!U357,0))</f>
        <v>L</v>
      </c>
    </row>
    <row r="67" spans="1:21" s="75" customFormat="1" x14ac:dyDescent="0.8">
      <c r="A67" s="51">
        <f>IF(+All!$F410="Massachusetts",+All!A410,IF(+All!$H410="Massachusetts",+All!A410,0))</f>
        <v>6</v>
      </c>
      <c r="B67" s="348" t="str">
        <f>IF(+All!$F410="Massachusetts",+All!B410,IF(+All!$H410="Massachusetts",+All!B410,0))</f>
        <v>Sat</v>
      </c>
      <c r="C67" s="48">
        <f>IF(+All!$F410="Massachusetts",+All!C410,IF(+All!$H410="Massachusetts",+All!C410,0))</f>
        <v>44842</v>
      </c>
      <c r="D67" s="490">
        <f>IF(+All!$F410="Massachusetts",+All!D410,IF(+All!$H410="Massachusetts",+All!D410,0))</f>
        <v>0.64583333333333337</v>
      </c>
      <c r="E67" s="461">
        <f>IF(+All!$F410="Massachusetts",+All!E410,IF(+All!$H410="Massachusetts",+All!E410,0))</f>
        <v>0</v>
      </c>
      <c r="F67" s="51" t="str">
        <f>IF(+All!$F410="Massachusetts",+All!F410,IF(+All!$H410="Massachusetts",+All!F410,0))</f>
        <v>Liberty</v>
      </c>
      <c r="G67" s="52" t="str">
        <f>IF(+All!$F410="Massachusetts",+All!G410,IF(+All!$H410="Massachusetts",+All!G410,0))</f>
        <v>Ind</v>
      </c>
      <c r="H67" s="51" t="str">
        <f>IF(+All!$F410="Massachusetts",+All!H410,IF(+All!$H410="Massachusetts",+All!H410,0))</f>
        <v>Massachusetts</v>
      </c>
      <c r="I67" s="52" t="str">
        <f>IF(+All!$F410="Massachusetts",+All!I410,IF(+All!$H410="Massachusetts",+All!I410,0))</f>
        <v>Ind</v>
      </c>
      <c r="J67" s="460" t="str">
        <f>IF(+All!$F410="Massachusetts",+All!J410,IF(+All!$H410="Massachusetts",+All!J410,0))</f>
        <v>Liberty</v>
      </c>
      <c r="K67" s="461" t="str">
        <f>IF(+All!$F410="Massachusetts",+All!K410,IF(+All!$H410="Massachusetts",+All!K410,0))</f>
        <v>Massachusetts</v>
      </c>
      <c r="L67" s="54">
        <f>IF(+All!$F410="Massachusetts",+All!L410,IF(+All!$H410="Massachusetts",+All!L410,0))</f>
        <v>24.5</v>
      </c>
      <c r="M67" s="55">
        <f>IF(+All!$F410="Massachusetts",+All!M410,IF(+All!$H410="Massachusetts",+All!M410,0))</f>
        <v>49.5</v>
      </c>
      <c r="N67" s="460" t="str">
        <f>IF(+All!$F410="Massachusetts",+All!N410,IF(+All!$H410="Massachusetts",+All!N410,0))</f>
        <v>Liberty</v>
      </c>
      <c r="O67" s="462">
        <f>IF(+All!$F410="Massachusetts",+All!O410,IF(+All!$H410="Massachusetts",+All!O410,0))</f>
        <v>42</v>
      </c>
      <c r="P67" s="462" t="str">
        <f>IF(+All!$F410="Massachusetts",+All!P410,IF(+All!$H410="Massachusetts",+All!P410,0))</f>
        <v>Massachusetts</v>
      </c>
      <c r="Q67" s="461">
        <f>IF(+All!$F410="Massachusetts",+All!Q410,IF(+All!$H410="Massachusetts",+All!Q410,0))</f>
        <v>24</v>
      </c>
      <c r="R67" s="460" t="str">
        <f>IF(+All!$F410="Massachusetts",+All!R410,IF(+All!$H410="Massachusetts",+All!R410,0))</f>
        <v>Massachusetts</v>
      </c>
      <c r="S67" s="462" t="str">
        <f>IF(+All!$F410="Massachusetts",+All!S410,IF(+All!$H410="Massachusetts",+All!S410,0))</f>
        <v>Liberty</v>
      </c>
      <c r="T67" s="460" t="str">
        <f>IF(+All!$F410="Massachusetts",+All!T410,IF(+All!$H410="Massachusetts",+All!T410,0))</f>
        <v>Liberty</v>
      </c>
      <c r="U67" s="461" t="str">
        <f>IF(+All!$F410="Massachusetts",+All!U410,IF(+All!$H410="Massachusetts",+All!U410,0))</f>
        <v>L</v>
      </c>
    </row>
    <row r="68" spans="1:21" s="75" customFormat="1" x14ac:dyDescent="0.8">
      <c r="A68" s="51">
        <f>IF(+All!$F464="Massachusetts",+All!A464,IF(+All!$H464="Massachusetts",+All!A464,0))</f>
        <v>7</v>
      </c>
      <c r="B68" s="348" t="str">
        <f>IF(+All!$F464="Massachusetts",+All!B464,IF(+All!$H464="Massachusetts",+All!B464,0))</f>
        <v>Sat</v>
      </c>
      <c r="C68" s="48">
        <f>IF(+All!$F464="Massachusetts",+All!C464,IF(+All!$H464="Massachusetts",+All!C464,0))</f>
        <v>44849</v>
      </c>
      <c r="D68" s="490">
        <f>IF(+All!$F464="Massachusetts",+All!D464,IF(+All!$H464="Massachusetts",+All!D464,0))</f>
        <v>0.54166666666666663</v>
      </c>
      <c r="E68" s="461" t="str">
        <f>IF(+All!$F464="Massachusetts",+All!E464,IF(+All!$H464="Massachusetts",+All!E464,0))</f>
        <v>espn3</v>
      </c>
      <c r="F68" s="51" t="str">
        <f>IF(+All!$F464="Massachusetts",+All!F464,IF(+All!$H464="Massachusetts",+All!F464,0))</f>
        <v>Buffalo</v>
      </c>
      <c r="G68" s="52" t="str">
        <f>IF(+All!$F464="Massachusetts",+All!G464,IF(+All!$H464="Massachusetts",+All!G464,0))</f>
        <v>MAC</v>
      </c>
      <c r="H68" s="51" t="str">
        <f>IF(+All!$F464="Massachusetts",+All!H464,IF(+All!$H464="Massachusetts",+All!H464,0))</f>
        <v>Massachusetts</v>
      </c>
      <c r="I68" s="52" t="str">
        <f>IF(+All!$F464="Massachusetts",+All!I464,IF(+All!$H464="Massachusetts",+All!I464,0))</f>
        <v>Ind</v>
      </c>
      <c r="J68" s="460" t="str">
        <f>IF(+All!$F464="Massachusetts",+All!J464,IF(+All!$H464="Massachusetts",+All!J464,0))</f>
        <v>Buffalo</v>
      </c>
      <c r="K68" s="461" t="str">
        <f>IF(+All!$F464="Massachusetts",+All!K464,IF(+All!$H464="Massachusetts",+All!K464,0))</f>
        <v>Massachusetts</v>
      </c>
      <c r="L68" s="54">
        <f>IF(+All!$F464="Massachusetts",+All!L464,IF(+All!$H464="Massachusetts",+All!L464,0))</f>
        <v>17.5</v>
      </c>
      <c r="M68" s="55">
        <f>IF(+All!$F464="Massachusetts",+All!M464,IF(+All!$H464="Massachusetts",+All!M464,0))</f>
        <v>47</v>
      </c>
      <c r="N68" s="460" t="str">
        <f>IF(+All!$F464="Massachusetts",+All!N464,IF(+All!$H464="Massachusetts",+All!N464,0))</f>
        <v>Buffalo</v>
      </c>
      <c r="O68" s="462">
        <f>IF(+All!$F464="Massachusetts",+All!O464,IF(+All!$H464="Massachusetts",+All!O464,0))</f>
        <v>34</v>
      </c>
      <c r="P68" s="462" t="str">
        <f>IF(+All!$F464="Massachusetts",+All!P464,IF(+All!$H464="Massachusetts",+All!P464,0))</f>
        <v>Massachusetts</v>
      </c>
      <c r="Q68" s="461">
        <f>IF(+All!$F464="Massachusetts",+All!Q464,IF(+All!$H464="Massachusetts",+All!Q464,0))</f>
        <v>7</v>
      </c>
      <c r="R68" s="460" t="str">
        <f>IF(+All!$F464="Massachusetts",+All!R464,IF(+All!$H464="Massachusetts",+All!R464,0))</f>
        <v>Buffalo</v>
      </c>
      <c r="S68" s="462" t="str">
        <f>IF(+All!$F464="Massachusetts",+All!S464,IF(+All!$H464="Massachusetts",+All!S464,0))</f>
        <v>Massachusetts</v>
      </c>
      <c r="T68" s="460" t="str">
        <f>IF(+All!$F464="Massachusetts",+All!T464,IF(+All!$H464="Massachusetts",+All!T464,0))</f>
        <v>Massachusetts</v>
      </c>
      <c r="U68" s="461" t="str">
        <f>IF(+All!$F464="Massachusetts",+All!U464,IF(+All!$H464="Massachusetts",+All!U464,0))</f>
        <v>L</v>
      </c>
    </row>
    <row r="69" spans="1:21" x14ac:dyDescent="0.8">
      <c r="A69" s="51" t="e">
        <f>IF(+All!#REF!="Massachusetts",+All!#REF!,IF(+All!#REF!="Massachusetts",+All!#REF!,0))</f>
        <v>#REF!</v>
      </c>
      <c r="B69" s="348" t="e">
        <f>IF(+All!#REF!="Massachusetts",+All!#REF!,IF(+All!#REF!="Massachusetts",+All!#REF!,0))</f>
        <v>#REF!</v>
      </c>
      <c r="C69" s="48" t="e">
        <f>IF(+All!#REF!="Massachusetts",+All!#REF!,IF(+All!#REF!="Massachusetts",+All!#REF!,0))</f>
        <v>#REF!</v>
      </c>
      <c r="D69" s="490" t="e">
        <f>IF(+All!#REF!="Massachusetts",+All!#REF!,IF(+All!#REF!="Massachusetts",+All!#REF!,0))</f>
        <v>#REF!</v>
      </c>
      <c r="E69" s="461" t="e">
        <f>IF(+All!#REF!="Massachusetts",+All!#REF!,IF(+All!#REF!="Massachusetts",+All!#REF!,0))</f>
        <v>#REF!</v>
      </c>
      <c r="F69" s="51" t="e">
        <f>IF(+All!#REF!="Massachusetts",+All!#REF!,IF(+All!#REF!="Massachusetts",+All!#REF!,0))</f>
        <v>#REF!</v>
      </c>
      <c r="G69" s="52" t="e">
        <f>IF(+All!#REF!="Massachusetts",+All!#REF!,IF(+All!#REF!="Massachusetts",+All!#REF!,0))</f>
        <v>#REF!</v>
      </c>
      <c r="H69" s="51" t="e">
        <f>IF(+All!#REF!="Massachusetts",+All!#REF!,IF(+All!#REF!="Massachusetts",+All!#REF!,0))</f>
        <v>#REF!</v>
      </c>
      <c r="I69" s="52" t="e">
        <f>IF(+All!#REF!="Massachusetts",+All!#REF!,IF(+All!#REF!="Massachusetts",+All!#REF!,0))</f>
        <v>#REF!</v>
      </c>
      <c r="J69" s="460" t="e">
        <f>IF(+All!#REF!="Massachusetts",+All!#REF!,IF(+All!#REF!="Massachusetts",+All!#REF!,0))</f>
        <v>#REF!</v>
      </c>
      <c r="K69" s="461" t="e">
        <f>IF(+All!#REF!="Massachusetts",+All!#REF!,IF(+All!#REF!="Massachusetts",+All!#REF!,0))</f>
        <v>#REF!</v>
      </c>
      <c r="L69" s="54" t="e">
        <f>IF(+All!#REF!="Massachusetts",+All!#REF!,IF(+All!#REF!="Massachusetts",+All!#REF!,0))</f>
        <v>#REF!</v>
      </c>
      <c r="M69" s="55" t="e">
        <f>IF(+All!#REF!="Massachusetts",+All!#REF!,IF(+All!#REF!="Massachusetts",+All!#REF!,0))</f>
        <v>#REF!</v>
      </c>
      <c r="N69" s="460" t="e">
        <f>IF(+All!#REF!="Massachusetts",+All!#REF!,IF(+All!#REF!="Massachusetts",+All!#REF!,0))</f>
        <v>#REF!</v>
      </c>
      <c r="O69" s="462" t="e">
        <f>IF(+All!#REF!="Massachusetts",+All!#REF!,IF(+All!#REF!="Massachusetts",+All!#REF!,0))</f>
        <v>#REF!</v>
      </c>
      <c r="P69" s="462" t="e">
        <f>IF(+All!#REF!="Massachusetts",+All!#REF!,IF(+All!#REF!="Massachusetts",+All!#REF!,0))</f>
        <v>#REF!</v>
      </c>
      <c r="Q69" s="461" t="e">
        <f>IF(+All!#REF!="Massachusetts",+All!#REF!,IF(+All!#REF!="Massachusetts",+All!#REF!,0))</f>
        <v>#REF!</v>
      </c>
      <c r="R69" s="460" t="e">
        <f>IF(+All!#REF!="Massachusetts",+All!#REF!,IF(+All!#REF!="Massachusetts",+All!#REF!,0))</f>
        <v>#REF!</v>
      </c>
      <c r="S69" s="462" t="e">
        <f>IF(+All!#REF!="Massachusetts",+All!#REF!,IF(+All!#REF!="Massachusetts",+All!#REF!,0))</f>
        <v>#REF!</v>
      </c>
      <c r="T69" s="460" t="e">
        <f>IF(+All!#REF!="Massachusetts",+All!#REF!,IF(+All!#REF!="Massachusetts",+All!#REF!,0))</f>
        <v>#REF!</v>
      </c>
      <c r="U69" s="461" t="e">
        <f>IF(+All!#REF!="Massachusetts",+All!#REF!,IF(+All!#REF!="Massachusetts",+All!#REF!,0))</f>
        <v>#REF!</v>
      </c>
    </row>
    <row r="70" spans="1:21" s="75" customFormat="1" x14ac:dyDescent="0.8">
      <c r="A70" s="51">
        <f>IF(+All!$F573="Massachusetts",+All!A573,IF(+All!$H573="Massachusetts",+All!A573,0))</f>
        <v>9</v>
      </c>
      <c r="B70" s="348" t="str">
        <f>IF(+All!$F573="Massachusetts",+All!B573,IF(+All!$H573="Massachusetts",+All!B573,0))</f>
        <v>Sat</v>
      </c>
      <c r="C70" s="48">
        <f>IF(+All!$F573="Massachusetts",+All!C573,IF(+All!$H573="Massachusetts",+All!C573,0))</f>
        <v>44863</v>
      </c>
      <c r="D70" s="490">
        <f>IF(+All!$F573="Massachusetts",+All!D573,IF(+All!$H573="Massachusetts",+All!D573,0))</f>
        <v>0.64583333333333337</v>
      </c>
      <c r="E70" s="461" t="str">
        <f>IF(+All!$F573="Massachusetts",+All!E573,IF(+All!$H573="Massachusetts",+All!E573,0))</f>
        <v>espn3</v>
      </c>
      <c r="F70" s="51" t="str">
        <f>IF(+All!$F573="Massachusetts",+All!F573,IF(+All!$H573="Massachusetts",+All!F573,0))</f>
        <v>New Mexico State</v>
      </c>
      <c r="G70" s="52" t="str">
        <f>IF(+All!$F573="Massachusetts",+All!G573,IF(+All!$H573="Massachusetts",+All!G573,0))</f>
        <v>Ind</v>
      </c>
      <c r="H70" s="51" t="str">
        <f>IF(+All!$F573="Massachusetts",+All!H573,IF(+All!$H573="Massachusetts",+All!H573,0))</f>
        <v>Massachusetts</v>
      </c>
      <c r="I70" s="52" t="str">
        <f>IF(+All!$F573="Massachusetts",+All!I573,IF(+All!$H573="Massachusetts",+All!I573,0))</f>
        <v>Ind</v>
      </c>
      <c r="J70" s="460" t="str">
        <f>IF(+All!$F573="Massachusetts",+All!J573,IF(+All!$H573="Massachusetts",+All!J573,0))</f>
        <v>New Mexico State</v>
      </c>
      <c r="K70" s="461" t="str">
        <f>IF(+All!$F573="Massachusetts",+All!K573,IF(+All!$H573="Massachusetts",+All!K573,0))</f>
        <v>Massachusetts</v>
      </c>
      <c r="L70" s="54">
        <f>IF(+All!$F573="Massachusetts",+All!L573,IF(+All!$H573="Massachusetts",+All!L573,0))</f>
        <v>2.5</v>
      </c>
      <c r="M70" s="55">
        <f>IF(+All!$F573="Massachusetts",+All!M573,IF(+All!$H573="Massachusetts",+All!M573,0))</f>
        <v>39</v>
      </c>
      <c r="N70" s="460" t="str">
        <f>IF(+All!$F573="Massachusetts",+All!N573,IF(+All!$H573="Massachusetts",+All!N573,0))</f>
        <v>New Mexico State</v>
      </c>
      <c r="O70" s="462">
        <f>IF(+All!$F573="Massachusetts",+All!O573,IF(+All!$H573="Massachusetts",+All!O573,0))</f>
        <v>23</v>
      </c>
      <c r="P70" s="462" t="str">
        <f>IF(+All!$F573="Massachusetts",+All!P573,IF(+All!$H573="Massachusetts",+All!P573,0))</f>
        <v>Massachusetts</v>
      </c>
      <c r="Q70" s="461">
        <f>IF(+All!$F573="Massachusetts",+All!Q573,IF(+All!$H573="Massachusetts",+All!Q573,0))</f>
        <v>13</v>
      </c>
      <c r="R70" s="460" t="str">
        <f>IF(+All!$F573="Massachusetts",+All!R573,IF(+All!$H573="Massachusetts",+All!R573,0))</f>
        <v>New Mexico State</v>
      </c>
      <c r="S70" s="462" t="str">
        <f>IF(+All!$F573="Massachusetts",+All!S573,IF(+All!$H573="Massachusetts",+All!S573,0))</f>
        <v>Massachusetts</v>
      </c>
      <c r="T70" s="460" t="str">
        <f>IF(+All!$F573="Massachusetts",+All!T573,IF(+All!$H573="Massachusetts",+All!T573,0))</f>
        <v>Massachusetts</v>
      </c>
      <c r="U70" s="461" t="str">
        <f>IF(+All!$F573="Massachusetts",+All!U573,IF(+All!$H573="Massachusetts",+All!U573,0))</f>
        <v>L</v>
      </c>
    </row>
    <row r="71" spans="1:21" s="75" customFormat="1" x14ac:dyDescent="0.8">
      <c r="A71" s="51">
        <f>IF(+All!$F599="Massachusetts",+All!A599,IF(+All!$H599="Massachusetts",+All!A599,0))</f>
        <v>10</v>
      </c>
      <c r="B71" s="348" t="str">
        <f>IF(+All!$F599="Massachusetts",+All!B599,IF(+All!$H599="Massachusetts",+All!B599,0))</f>
        <v>Fri</v>
      </c>
      <c r="C71" s="48">
        <f>IF(+All!$F599="Massachusetts",+All!C599,IF(+All!$H599="Massachusetts",+All!C599,0))</f>
        <v>44869</v>
      </c>
      <c r="D71" s="490">
        <f>IF(+All!$F599="Massachusetts",+All!D599,IF(+All!$H599="Massachusetts",+All!D599,0))</f>
        <v>0.79166666666666663</v>
      </c>
      <c r="E71" s="461" t="str">
        <f>IF(+All!$F599="Massachusetts",+All!E599,IF(+All!$H599="Massachusetts",+All!E599,0))</f>
        <v>CBSSN</v>
      </c>
      <c r="F71" s="51" t="str">
        <f>IF(+All!$F599="Massachusetts",+All!F599,IF(+All!$H599="Massachusetts",+All!F599,0))</f>
        <v>Massachusetts</v>
      </c>
      <c r="G71" s="52" t="str">
        <f>IF(+All!$F599="Massachusetts",+All!G599,IF(+All!$H599="Massachusetts",+All!G599,0))</f>
        <v>Ind</v>
      </c>
      <c r="H71" s="51" t="str">
        <f>IF(+All!$F599="Massachusetts",+All!H599,IF(+All!$H599="Massachusetts",+All!H599,0))</f>
        <v>Connecticut</v>
      </c>
      <c r="I71" s="52" t="str">
        <f>IF(+All!$F599="Massachusetts",+All!I599,IF(+All!$H599="Massachusetts",+All!I599,0))</f>
        <v>Ind</v>
      </c>
      <c r="J71" s="460" t="str">
        <f>IF(+All!$F599="Massachusetts",+All!J599,IF(+All!$H599="Massachusetts",+All!J599,0))</f>
        <v>Connecticut</v>
      </c>
      <c r="K71" s="461" t="str">
        <f>IF(+All!$F599="Massachusetts",+All!K599,IF(+All!$H599="Massachusetts",+All!K599,0))</f>
        <v>Massachusetts</v>
      </c>
      <c r="L71" s="54">
        <f>IF(+All!$F599="Massachusetts",+All!L599,IF(+All!$H599="Massachusetts",+All!L599,0))</f>
        <v>15.5</v>
      </c>
      <c r="M71" s="55">
        <f>IF(+All!$F599="Massachusetts",+All!M599,IF(+All!$H599="Massachusetts",+All!M599,0))</f>
        <v>40</v>
      </c>
      <c r="N71" s="460" t="str">
        <f>IF(+All!$F599="Massachusetts",+All!N599,IF(+All!$H599="Massachusetts",+All!N599,0))</f>
        <v>Connecticut</v>
      </c>
      <c r="O71" s="462">
        <f>IF(+All!$F599="Massachusetts",+All!O599,IF(+All!$H599="Massachusetts",+All!O599,0))</f>
        <v>27</v>
      </c>
      <c r="P71" s="462" t="str">
        <f>IF(+All!$F599="Massachusetts",+All!P599,IF(+All!$H599="Massachusetts",+All!P599,0))</f>
        <v>Massachusetts</v>
      </c>
      <c r="Q71" s="461">
        <f>IF(+All!$F599="Massachusetts",+All!Q599,IF(+All!$H599="Massachusetts",+All!Q599,0))</f>
        <v>20</v>
      </c>
      <c r="R71" s="460" t="str">
        <f>IF(+All!$F599="Massachusetts",+All!R599,IF(+All!$H599="Massachusetts",+All!R599,0))</f>
        <v>Massachusetts</v>
      </c>
      <c r="S71" s="462" t="str">
        <f>IF(+All!$F599="Massachusetts",+All!S599,IF(+All!$H599="Massachusetts",+All!S599,0))</f>
        <v>Connecticut</v>
      </c>
      <c r="T71" s="460" t="str">
        <f>IF(+All!$F599="Massachusetts",+All!T599,IF(+All!$H599="Massachusetts",+All!T599,0))</f>
        <v>Connecticut</v>
      </c>
      <c r="U71" s="461" t="str">
        <f>IF(+All!$F599="Massachusetts",+All!U599,IF(+All!$H599="Massachusetts",+All!U599,0))</f>
        <v>L</v>
      </c>
    </row>
    <row r="72" spans="1:21" s="75" customFormat="1" x14ac:dyDescent="0.8">
      <c r="A72" s="51">
        <f>IF(+All!$F704="Massachusetts",+All!A704,IF(+All!$H704="Massachusetts",+All!A704,0))</f>
        <v>11</v>
      </c>
      <c r="B72" s="348" t="str">
        <f>IF(+All!$F704="Massachusetts",+All!B704,IF(+All!$H704="Massachusetts",+All!B704,0))</f>
        <v>Sat</v>
      </c>
      <c r="C72" s="48">
        <f>IF(+All!$F704="Massachusetts",+All!C704,IF(+All!$H704="Massachusetts",+All!C704,0))</f>
        <v>44877</v>
      </c>
      <c r="D72" s="490">
        <f>IF(+All!$F704="Massachusetts",+All!D704,IF(+All!$H704="Massachusetts",+All!D704,0))</f>
        <v>0.625</v>
      </c>
      <c r="E72" s="461" t="str">
        <f>IF(+All!$F704="Massachusetts",+All!E704,IF(+All!$H704="Massachusetts",+All!E704,0))</f>
        <v>espn3</v>
      </c>
      <c r="F72" s="51" t="str">
        <f>IF(+All!$F704="Massachusetts",+All!F704,IF(+All!$H704="Massachusetts",+All!F704,0))</f>
        <v>Massachusetts</v>
      </c>
      <c r="G72" s="52" t="str">
        <f>IF(+All!$F704="Massachusetts",+All!G704,IF(+All!$H704="Massachusetts",+All!G704,0))</f>
        <v>Ind</v>
      </c>
      <c r="H72" s="51" t="str">
        <f>IF(+All!$F704="Massachusetts",+All!H704,IF(+All!$H704="Massachusetts",+All!H704,0))</f>
        <v>Arkansas State</v>
      </c>
      <c r="I72" s="52" t="str">
        <f>IF(+All!$F704="Massachusetts",+All!I704,IF(+All!$H704="Massachusetts",+All!I704,0))</f>
        <v>SB</v>
      </c>
      <c r="J72" s="460" t="str">
        <f>IF(+All!$F704="Massachusetts",+All!J704,IF(+All!$H704="Massachusetts",+All!J704,0))</f>
        <v>Arkansas State</v>
      </c>
      <c r="K72" s="461" t="str">
        <f>IF(+All!$F704="Massachusetts",+All!K704,IF(+All!$H704="Massachusetts",+All!K704,0))</f>
        <v>Massachusetts</v>
      </c>
      <c r="L72" s="54">
        <f>IF(+All!$F704="Massachusetts",+All!L704,IF(+All!$H704="Massachusetts",+All!L704,0))</f>
        <v>17</v>
      </c>
      <c r="M72" s="55">
        <f>IF(+All!$F704="Massachusetts",+All!M704,IF(+All!$H704="Massachusetts",+All!M704,0))</f>
        <v>49.5</v>
      </c>
      <c r="N72" s="460" t="str">
        <f>IF(+All!$F704="Massachusetts",+All!N704,IF(+All!$H704="Massachusetts",+All!N704,0))</f>
        <v>Arkansas State</v>
      </c>
      <c r="O72" s="462">
        <f>IF(+All!$F704="Massachusetts",+All!O704,IF(+All!$H704="Massachusetts",+All!O704,0))</f>
        <v>35</v>
      </c>
      <c r="P72" s="462" t="str">
        <f>IF(+All!$F704="Massachusetts",+All!P704,IF(+All!$H704="Massachusetts",+All!P704,0))</f>
        <v>Massachusetts</v>
      </c>
      <c r="Q72" s="461">
        <f>IF(+All!$F704="Massachusetts",+All!Q704,IF(+All!$H704="Massachusetts",+All!Q704,0))</f>
        <v>33</v>
      </c>
      <c r="R72" s="460" t="str">
        <f>IF(+All!$F704="Massachusetts",+All!R704,IF(+All!$H704="Massachusetts",+All!R704,0))</f>
        <v>Massachusetts</v>
      </c>
      <c r="S72" s="462" t="str">
        <f>IF(+All!$F704="Massachusetts",+All!S704,IF(+All!$H704="Massachusetts",+All!S704,0))</f>
        <v>Arkansas State</v>
      </c>
      <c r="T72" s="460" t="str">
        <f>IF(+All!$F704="Massachusetts",+All!T704,IF(+All!$H704="Massachusetts",+All!T704,0))</f>
        <v>Arkansas State</v>
      </c>
      <c r="U72" s="461" t="str">
        <f>IF(+All!$F704="Massachusetts",+All!U704,IF(+All!$H704="Massachusetts",+All!U704,0))</f>
        <v>L</v>
      </c>
    </row>
    <row r="73" spans="1:21" s="75" customFormat="1" x14ac:dyDescent="0.8">
      <c r="A73" s="51">
        <f>IF(+All!$F783="Massachusetts",+All!A783,IF(+All!$H783="Massachusetts",+All!A783,0))</f>
        <v>12</v>
      </c>
      <c r="B73" s="348" t="str">
        <f>IF(+All!$F783="Massachusetts",+All!B783,IF(+All!$H783="Massachusetts",+All!B783,0))</f>
        <v>Sat</v>
      </c>
      <c r="C73" s="48">
        <f>IF(+All!$F783="Massachusetts",+All!C783,IF(+All!$H783="Massachusetts",+All!C783,0))</f>
        <v>44884</v>
      </c>
      <c r="D73" s="490">
        <f>IF(+All!$F783="Massachusetts",+All!D783,IF(+All!$H783="Massachusetts",+All!D783,0))</f>
        <v>0.5</v>
      </c>
      <c r="E73" s="461" t="str">
        <f>IF(+All!$F783="Massachusetts",+All!E783,IF(+All!$H783="Massachusetts",+All!E783,0))</f>
        <v>SEC</v>
      </c>
      <c r="F73" s="51" t="str">
        <f>IF(+All!$F783="Massachusetts",+All!F783,IF(+All!$H783="Massachusetts",+All!F783,0))</f>
        <v>Massachusetts</v>
      </c>
      <c r="G73" s="52" t="str">
        <f>IF(+All!$F783="Massachusetts",+All!G783,IF(+All!$H783="Massachusetts",+All!G783,0))</f>
        <v>Ind</v>
      </c>
      <c r="H73" s="51" t="str">
        <f>IF(+All!$F783="Massachusetts",+All!H783,IF(+All!$H783="Massachusetts",+All!H783,0))</f>
        <v>Texas A&amp;M</v>
      </c>
      <c r="I73" s="52" t="str">
        <f>IF(+All!$F783="Massachusetts",+All!I783,IF(+All!$H783="Massachusetts",+All!I783,0))</f>
        <v>SEC</v>
      </c>
      <c r="J73" s="460" t="str">
        <f>IF(+All!$F783="Massachusetts",+All!J783,IF(+All!$H783="Massachusetts",+All!J783,0))</f>
        <v>Texas A&amp;M</v>
      </c>
      <c r="K73" s="461" t="str">
        <f>IF(+All!$F783="Massachusetts",+All!K783,IF(+All!$H783="Massachusetts",+All!K783,0))</f>
        <v>Massachusetts</v>
      </c>
      <c r="L73" s="54">
        <f>IF(+All!$F783="Massachusetts",+All!L783,IF(+All!$H783="Massachusetts",+All!L783,0))</f>
        <v>33.5</v>
      </c>
      <c r="M73" s="55">
        <f>IF(+All!$F783="Massachusetts",+All!M783,IF(+All!$H783="Massachusetts",+All!M783,0))</f>
        <v>47.5</v>
      </c>
      <c r="N73" s="460" t="str">
        <f>IF(+All!$F783="Massachusetts",+All!N783,IF(+All!$H783="Massachusetts",+All!N783,0))</f>
        <v>Texas A&amp;M</v>
      </c>
      <c r="O73" s="462">
        <f>IF(+All!$F783="Massachusetts",+All!O783,IF(+All!$H783="Massachusetts",+All!O783,0))</f>
        <v>20</v>
      </c>
      <c r="P73" s="462" t="str">
        <f>IF(+All!$F783="Massachusetts",+All!P783,IF(+All!$H783="Massachusetts",+All!P783,0))</f>
        <v>Massachusetts</v>
      </c>
      <c r="Q73" s="461">
        <f>IF(+All!$F783="Massachusetts",+All!Q783,IF(+All!$H783="Massachusetts",+All!Q783,0))</f>
        <v>3</v>
      </c>
      <c r="R73" s="460" t="str">
        <f>IF(+All!$F783="Massachusetts",+All!R783,IF(+All!$H783="Massachusetts",+All!R783,0))</f>
        <v>Massachusetts</v>
      </c>
      <c r="S73" s="462" t="str">
        <f>IF(+All!$F783="Massachusetts",+All!S783,IF(+All!$H783="Massachusetts",+All!S783,0))</f>
        <v>Texas A&amp;M</v>
      </c>
      <c r="T73" s="460" t="str">
        <f>IF(+All!$F783="Massachusetts",+All!T783,IF(+All!$H783="Massachusetts",+All!T783,0))</f>
        <v>Massachusetts</v>
      </c>
      <c r="U73" s="461" t="str">
        <f>IF(+All!$F783="Massachusetts",+All!U783,IF(+All!$H783="Massachusetts",+All!U783,0))</f>
        <v>W</v>
      </c>
    </row>
    <row r="74" spans="1:21" s="75" customFormat="1" x14ac:dyDescent="0.8">
      <c r="A74" s="51">
        <f>IF(+All!$F824="Massachusetts",+All!A824,IF(+All!$H824="Massachusetts",+All!A824,0))</f>
        <v>13</v>
      </c>
      <c r="B74" s="348" t="str">
        <f>IF(+All!$F824="Massachusetts",+All!B824,IF(+All!$H824="Massachusetts",+All!B824,0))</f>
        <v>Sat</v>
      </c>
      <c r="C74" s="48">
        <f>IF(+All!$F824="Massachusetts",+All!C824,IF(+All!$H824="Massachusetts",+All!C824,0))</f>
        <v>44891</v>
      </c>
      <c r="D74" s="490">
        <f>IF(+All!$F824="Massachusetts",+All!D824,IF(+All!$H824="Massachusetts",+All!D824,0))</f>
        <v>0.5</v>
      </c>
      <c r="E74" s="461">
        <f>IF(+All!$F824="Massachusetts",+All!E824,IF(+All!$H824="Massachusetts",+All!E824,0))</f>
        <v>0</v>
      </c>
      <c r="F74" s="51" t="str">
        <f>IF(+All!$F824="Massachusetts",+All!F824,IF(+All!$H824="Massachusetts",+All!F824,0))</f>
        <v>Army</v>
      </c>
      <c r="G74" s="52" t="str">
        <f>IF(+All!$F824="Massachusetts",+All!G824,IF(+All!$H824="Massachusetts",+All!G824,0))</f>
        <v>Ind</v>
      </c>
      <c r="H74" s="51" t="str">
        <f>IF(+All!$F824="Massachusetts",+All!H824,IF(+All!$H824="Massachusetts",+All!H824,0))</f>
        <v>Massachusetts</v>
      </c>
      <c r="I74" s="52" t="str">
        <f>IF(+All!$F824="Massachusetts",+All!I824,IF(+All!$H824="Massachusetts",+All!I824,0))</f>
        <v>Ind</v>
      </c>
      <c r="J74" s="460" t="str">
        <f>IF(+All!$F824="Massachusetts",+All!J824,IF(+All!$H824="Massachusetts",+All!J824,0))</f>
        <v>Army</v>
      </c>
      <c r="K74" s="461" t="str">
        <f>IF(+All!$F824="Massachusetts",+All!K824,IF(+All!$H824="Massachusetts",+All!K824,0))</f>
        <v>Massachusetts</v>
      </c>
      <c r="L74" s="54">
        <f>IF(+All!$F824="Massachusetts",+All!L824,IF(+All!$H824="Massachusetts",+All!L824,0))</f>
        <v>19.5</v>
      </c>
      <c r="M74" s="55">
        <f>IF(+All!$F824="Massachusetts",+All!M824,IF(+All!$H824="Massachusetts",+All!M824,0))</f>
        <v>45</v>
      </c>
      <c r="N74" s="460" t="str">
        <f>IF(+All!$F824="Massachusetts",+All!N824,IF(+All!$H824="Massachusetts",+All!N824,0))</f>
        <v>Army</v>
      </c>
      <c r="O74" s="462">
        <f>IF(+All!$F824="Massachusetts",+All!O824,IF(+All!$H824="Massachusetts",+All!O824,0))</f>
        <v>44</v>
      </c>
      <c r="P74" s="462" t="str">
        <f>IF(+All!$F824="Massachusetts",+All!P824,IF(+All!$H824="Massachusetts",+All!P824,0))</f>
        <v>Massachusetts</v>
      </c>
      <c r="Q74" s="461">
        <f>IF(+All!$F824="Massachusetts",+All!Q824,IF(+All!$H824="Massachusetts",+All!Q824,0))</f>
        <v>7</v>
      </c>
      <c r="R74" s="460" t="str">
        <f>IF(+All!$F824="Massachusetts",+All!R824,IF(+All!$H824="Massachusetts",+All!R824,0))</f>
        <v>Army</v>
      </c>
      <c r="S74" s="462" t="str">
        <f>IF(+All!$F824="Massachusetts",+All!S824,IF(+All!$H824="Massachusetts",+All!S824,0))</f>
        <v>Massachusetts</v>
      </c>
      <c r="T74" s="460" t="str">
        <f>IF(+All!$F824="Massachusetts",+All!T824,IF(+All!$H824="Massachusetts",+All!T824,0))</f>
        <v>Massachusetts</v>
      </c>
      <c r="U74" s="461" t="str">
        <f>IF(+All!$F824="Massachusetts",+All!U824,IF(+All!$H824="Massachusetts",+All!U824,0))</f>
        <v>L</v>
      </c>
    </row>
    <row r="75" spans="1:21" x14ac:dyDescent="0.8">
      <c r="B75" s="39"/>
      <c r="C75" s="40"/>
      <c r="D75" s="41"/>
      <c r="E75" s="463"/>
      <c r="F75" s="897" t="str">
        <f>F78</f>
        <v>New Mexico State</v>
      </c>
      <c r="G75" s="903"/>
      <c r="H75" s="903"/>
      <c r="I75" s="904"/>
      <c r="J75" s="459"/>
      <c r="K75" s="463"/>
      <c r="L75" s="44"/>
      <c r="M75" s="45"/>
      <c r="N75" s="459"/>
      <c r="O75" s="5"/>
      <c r="P75" s="5"/>
      <c r="Q75" s="318"/>
      <c r="R75" s="459"/>
      <c r="S75" s="5"/>
      <c r="T75" s="459"/>
      <c r="U75" s="463"/>
    </row>
    <row r="76" spans="1:21" s="75" customFormat="1" x14ac:dyDescent="0.8">
      <c r="A76" s="46">
        <f>IF(+All!$F11="New Mexico State",+All!A11,IF(+All!$H11="New Mexico State",+All!A11,0))</f>
        <v>0</v>
      </c>
      <c r="B76" s="348" t="str">
        <f>IF(+All!$F11="New Mexico State",+All!B11,IF(+All!$H11="New Mexico State",+All!B11,0))</f>
        <v>Sat</v>
      </c>
      <c r="C76" s="48">
        <f>IF(+All!$F11="New Mexico State",+All!C11,IF(+All!$H11="New Mexico State",+All!C11,0))</f>
        <v>44800</v>
      </c>
      <c r="D76" s="490">
        <f>IF(+All!$F11="New Mexico State",+All!D11,IF(+All!$H11="New Mexico State",+All!D11,0))</f>
        <v>0.91666666666666663</v>
      </c>
      <c r="E76" s="461" t="str">
        <f>IF(+All!$F11="New Mexico State",+All!E11,IF(+All!$H11="New Mexico State",+All!E11,0))</f>
        <v>ESPN2</v>
      </c>
      <c r="F76" s="51" t="str">
        <f>IF(+All!$F11="New Mexico State",+All!F11,IF(+All!$H11="New Mexico State",+All!F11,0))</f>
        <v>Nevada</v>
      </c>
      <c r="G76" s="52" t="str">
        <f>IF(+All!$F11="New Mexico State",+All!G11,IF(+All!$H11="New Mexico State",+All!G11,0))</f>
        <v>MWC</v>
      </c>
      <c r="H76" s="51" t="str">
        <f>IF(+All!$F11="New Mexico State",+All!H11,IF(+All!$H11="New Mexico State",+All!H11,0))</f>
        <v>New Mexico State</v>
      </c>
      <c r="I76" s="52" t="str">
        <f>IF(+All!$F11="New Mexico State",+All!I11,IF(+All!$H11="New Mexico State",+All!I11,0))</f>
        <v>Ind</v>
      </c>
      <c r="J76" s="460" t="str">
        <f>IF(+All!$F11="New Mexico State",+All!J11,IF(+All!$H11="New Mexico State",+All!J11,0))</f>
        <v>Nevada</v>
      </c>
      <c r="K76" s="461" t="str">
        <f>IF(+All!$F11="New Mexico State",+All!K11,IF(+All!$H11="New Mexico State",+All!K11,0))</f>
        <v>New Mexico State</v>
      </c>
      <c r="L76" s="54">
        <f>IF(+All!$F11="New Mexico State",+All!L11,IF(+All!$H11="New Mexico State",+All!L11,0))</f>
        <v>7.5</v>
      </c>
      <c r="M76" s="55">
        <f>IF(+All!$F11="New Mexico State",+All!M11,IF(+All!$H11="New Mexico State",+All!M11,0))</f>
        <v>47.5</v>
      </c>
      <c r="N76" s="460" t="str">
        <f>IF(+All!$F11="New Mexico State",+All!N11,IF(+All!$H11="New Mexico State",+All!N11,0))</f>
        <v>Nevada</v>
      </c>
      <c r="O76" s="462">
        <f>IF(+All!$F11="New Mexico State",+All!O11,IF(+All!$H11="New Mexico State",+All!O11,0))</f>
        <v>23</v>
      </c>
      <c r="P76" s="462" t="str">
        <f>IF(+All!$F11="New Mexico State",+All!P11,IF(+All!$H11="New Mexico State",+All!P11,0))</f>
        <v>New Mexico State</v>
      </c>
      <c r="Q76" s="461">
        <f>IF(+All!$F11="New Mexico State",+All!Q11,IF(+All!$H11="New Mexico State",+All!Q11,0))</f>
        <v>12</v>
      </c>
      <c r="R76" s="460" t="str">
        <f>IF(+All!$F11="New Mexico State",+All!R11,IF(+All!$H11="New Mexico State",+All!R11,0))</f>
        <v>Nevada</v>
      </c>
      <c r="S76" s="462" t="str">
        <f>IF(+All!$F11="New Mexico State",+All!S11,IF(+All!$H11="New Mexico State",+All!S11,0))</f>
        <v>New Mexico State</v>
      </c>
      <c r="T76" s="460" t="str">
        <f>IF(+All!$F11="New Mexico State",+All!T11,IF(+All!$H11="New Mexico State",+All!T11,0))</f>
        <v>New Mexico State</v>
      </c>
      <c r="U76" s="461" t="str">
        <f>IF(+All!$F11="New Mexico State",+All!U11,IF(+All!$H11="New Mexico State",+All!U11,0))</f>
        <v>L</v>
      </c>
    </row>
    <row r="77" spans="1:21" s="75" customFormat="1" x14ac:dyDescent="0.8">
      <c r="A77" s="46">
        <f>IF(+All!$F22="New Mexico State",+All!A22,IF(+All!$H22="New Mexico State",+All!A22,0))</f>
        <v>1</v>
      </c>
      <c r="B77" s="348" t="str">
        <f>IF(+All!$F22="New Mexico State",+All!B22,IF(+All!$H22="New Mexico State",+All!B22,0))</f>
        <v>Thurs</v>
      </c>
      <c r="C77" s="48">
        <f>IF(+All!$F22="New Mexico State",+All!C22,IF(+All!$H22="New Mexico State",+All!C22,0))</f>
        <v>44805</v>
      </c>
      <c r="D77" s="490">
        <f>IF(+All!$F22="New Mexico State",+All!D22,IF(+All!$H22="New Mexico State",+All!D22,0))</f>
        <v>0.875</v>
      </c>
      <c r="E77" s="461" t="str">
        <f>IF(+All!$F22="New Mexico State",+All!E22,IF(+All!$H22="New Mexico State",+All!E22,0))</f>
        <v>BTN</v>
      </c>
      <c r="F77" s="51" t="str">
        <f>IF(+All!$F22="New Mexico State",+All!F22,IF(+All!$H22="New Mexico State",+All!F22,0))</f>
        <v>New Mexico State</v>
      </c>
      <c r="G77" s="52" t="str">
        <f>IF(+All!$F22="New Mexico State",+All!G22,IF(+All!$H22="New Mexico State",+All!G22,0))</f>
        <v>Ind</v>
      </c>
      <c r="H77" s="51" t="str">
        <f>IF(+All!$F22="New Mexico State",+All!H22,IF(+All!$H22="New Mexico State",+All!H22,0))</f>
        <v>Minnesota</v>
      </c>
      <c r="I77" s="52" t="str">
        <f>IF(+All!$F22="New Mexico State",+All!I22,IF(+All!$H22="New Mexico State",+All!I22,0))</f>
        <v>B10</v>
      </c>
      <c r="J77" s="460" t="str">
        <f>IF(+All!$F22="New Mexico State",+All!J22,IF(+All!$H22="New Mexico State",+All!J22,0))</f>
        <v>Minnesota</v>
      </c>
      <c r="K77" s="461" t="str">
        <f>IF(+All!$F22="New Mexico State",+All!K22,IF(+All!$H22="New Mexico State",+All!K22,0))</f>
        <v>New Mexico State</v>
      </c>
      <c r="L77" s="54">
        <f>IF(+All!$F22="New Mexico State",+All!L22,IF(+All!$H22="New Mexico State",+All!L22,0))</f>
        <v>36.5</v>
      </c>
      <c r="M77" s="55">
        <f>IF(+All!$F22="New Mexico State",+All!M22,IF(+All!$H22="New Mexico State",+All!M22,0))</f>
        <v>52.5</v>
      </c>
      <c r="N77" s="460" t="str">
        <f>IF(+All!$F22="New Mexico State",+All!N22,IF(+All!$H22="New Mexico State",+All!N22,0))</f>
        <v>Minnesota</v>
      </c>
      <c r="O77" s="462">
        <f>IF(+All!$F22="New Mexico State",+All!O22,IF(+All!$H22="New Mexico State",+All!O22,0))</f>
        <v>38</v>
      </c>
      <c r="P77" s="462" t="str">
        <f>IF(+All!$F22="New Mexico State",+All!P22,IF(+All!$H22="New Mexico State",+All!P22,0))</f>
        <v>New Mexico State</v>
      </c>
      <c r="Q77" s="461">
        <f>IF(+All!$F22="New Mexico State",+All!Q22,IF(+All!$H22="New Mexico State",+All!Q22,0))</f>
        <v>0</v>
      </c>
      <c r="R77" s="460" t="str">
        <f>IF(+All!$F22="New Mexico State",+All!R22,IF(+All!$H22="New Mexico State",+All!R22,0))</f>
        <v>Minnesota</v>
      </c>
      <c r="S77" s="462" t="str">
        <f>IF(+All!$F22="New Mexico State",+All!S22,IF(+All!$H22="New Mexico State",+All!S22,0))</f>
        <v>New Mexico State</v>
      </c>
      <c r="T77" s="460" t="str">
        <f>IF(+All!$F22="New Mexico State",+All!T22,IF(+All!$H22="New Mexico State",+All!T22,0))</f>
        <v>New Mexico State</v>
      </c>
      <c r="U77" s="461" t="str">
        <f>IF(+All!$F22="New Mexico State",+All!U22,IF(+All!$H22="New Mexico State",+All!U22,0))</f>
        <v>L</v>
      </c>
    </row>
    <row r="78" spans="1:21" s="75" customFormat="1" x14ac:dyDescent="0.8">
      <c r="A78" s="46">
        <f>IF(+All!$F139="New Mexico State",+All!A139,IF(+All!$H139="New Mexico State",+All!A139,0))</f>
        <v>2</v>
      </c>
      <c r="B78" s="348" t="str">
        <f>IF(+All!$F139="New Mexico State",+All!B139,IF(+All!$H139="New Mexico State",+All!B139,0))</f>
        <v>Sat</v>
      </c>
      <c r="C78" s="48">
        <f>IF(+All!$F139="New Mexico State",+All!C139,IF(+All!$H139="New Mexico State",+All!C139,0))</f>
        <v>44814</v>
      </c>
      <c r="D78" s="490">
        <f>IF(+All!$F139="New Mexico State",+All!D139,IF(+All!$H139="New Mexico State",+All!D139,0))</f>
        <v>0.875</v>
      </c>
      <c r="E78" s="461">
        <f>IF(+All!$F139="New Mexico State",+All!E139,IF(+All!$H139="New Mexico State",+All!E139,0))</f>
        <v>0</v>
      </c>
      <c r="F78" s="51" t="str">
        <f>IF(+All!$F139="New Mexico State",+All!F139,IF(+All!$H139="New Mexico State",+All!F139,0))</f>
        <v>New Mexico State</v>
      </c>
      <c r="G78" s="52" t="str">
        <f>IF(+All!$F139="New Mexico State",+All!G139,IF(+All!$H139="New Mexico State",+All!G139,0))</f>
        <v>Ind</v>
      </c>
      <c r="H78" s="51" t="str">
        <f>IF(+All!$F139="New Mexico State",+All!H139,IF(+All!$H139="New Mexico State",+All!H139,0))</f>
        <v>UTEP</v>
      </c>
      <c r="I78" s="52" t="str">
        <f>IF(+All!$F139="New Mexico State",+All!I139,IF(+All!$H139="New Mexico State",+All!I139,0))</f>
        <v>CUSA</v>
      </c>
      <c r="J78" s="460" t="str">
        <f>IF(+All!$F139="New Mexico State",+All!J139,IF(+All!$H139="New Mexico State",+All!J139,0))</f>
        <v>UTEP</v>
      </c>
      <c r="K78" s="461" t="str">
        <f>IF(+All!$F139="New Mexico State",+All!K139,IF(+All!$H139="New Mexico State",+All!K139,0))</f>
        <v>New Mexico State</v>
      </c>
      <c r="L78" s="54">
        <f>IF(+All!$F139="New Mexico State",+All!L139,IF(+All!$H139="New Mexico State",+All!L139,0))</f>
        <v>14</v>
      </c>
      <c r="M78" s="55">
        <f>IF(+All!$F139="New Mexico State",+All!M139,IF(+All!$H139="New Mexico State",+All!M139,0))</f>
        <v>46.5</v>
      </c>
      <c r="N78" s="460" t="str">
        <f>IF(+All!$F139="New Mexico State",+All!N139,IF(+All!$H139="New Mexico State",+All!N139,0))</f>
        <v>UTEP</v>
      </c>
      <c r="O78" s="462">
        <f>IF(+All!$F139="New Mexico State",+All!O139,IF(+All!$H139="New Mexico State",+All!O139,0))</f>
        <v>20</v>
      </c>
      <c r="P78" s="462" t="str">
        <f>IF(+All!$F139="New Mexico State",+All!P139,IF(+All!$H139="New Mexico State",+All!P139,0))</f>
        <v>New Mexico State</v>
      </c>
      <c r="Q78" s="461">
        <f>IF(+All!$F139="New Mexico State",+All!Q139,IF(+All!$H139="New Mexico State",+All!Q139,0))</f>
        <v>13</v>
      </c>
      <c r="R78" s="460" t="str">
        <f>IF(+All!$F139="New Mexico State",+All!R139,IF(+All!$H139="New Mexico State",+All!R139,0))</f>
        <v>New Mexico State</v>
      </c>
      <c r="S78" s="462" t="str">
        <f>IF(+All!$F139="New Mexico State",+All!S139,IF(+All!$H139="New Mexico State",+All!S139,0))</f>
        <v>UTEP</v>
      </c>
      <c r="T78" s="460" t="str">
        <f>IF(+All!$F139="New Mexico State",+All!T139,IF(+All!$H139="New Mexico State",+All!T139,0))</f>
        <v>UTEP</v>
      </c>
      <c r="U78" s="461" t="str">
        <f>IF(+All!$F139="New Mexico State",+All!U139,IF(+All!$H139="New Mexico State",+All!U139,0))</f>
        <v>L</v>
      </c>
    </row>
    <row r="79" spans="1:21" s="75" customFormat="1" x14ac:dyDescent="0.8">
      <c r="A79" s="46">
        <f>IF(+All!$F205="New Mexico State",+All!A205,IF(+All!$H205="New Mexico State",+All!A205,0))</f>
        <v>3</v>
      </c>
      <c r="B79" s="348" t="str">
        <f>IF(+All!$F205="New Mexico State",+All!B205,IF(+All!$H205="New Mexico State",+All!B205,0))</f>
        <v>Sat</v>
      </c>
      <c r="C79" s="48">
        <f>IF(+All!$F205="New Mexico State",+All!C205,IF(+All!$H205="New Mexico State",+All!C205,0))</f>
        <v>44821</v>
      </c>
      <c r="D79" s="490">
        <f>IF(+All!$F205="New Mexico State",+All!D205,IF(+All!$H205="New Mexico State",+All!D205,0))</f>
        <v>0.64583333333333337</v>
      </c>
      <c r="E79" s="461" t="str">
        <f>IF(+All!$F205="New Mexico State",+All!E205,IF(+All!$H205="New Mexico State",+All!E205,0))</f>
        <v>espn3</v>
      </c>
      <c r="F79" s="51" t="str">
        <f>IF(+All!$F205="New Mexico State",+All!F205,IF(+All!$H205="New Mexico State",+All!F205,0))</f>
        <v>New Mexico State</v>
      </c>
      <c r="G79" s="52" t="str">
        <f>IF(+All!$F205="New Mexico State",+All!G205,IF(+All!$H205="New Mexico State",+All!G205,0))</f>
        <v>Ind</v>
      </c>
      <c r="H79" s="51" t="str">
        <f>IF(+All!$F205="New Mexico State",+All!H205,IF(+All!$H205="New Mexico State",+All!H205,0))</f>
        <v>Wisconsin</v>
      </c>
      <c r="I79" s="52" t="str">
        <f>IF(+All!$F205="New Mexico State",+All!I205,IF(+All!$H205="New Mexico State",+All!I205,0))</f>
        <v>B10</v>
      </c>
      <c r="J79" s="460" t="e">
        <f>IF(+All!$F205="New Mexico State",+All!#REF!,IF(+All!$H205="New Mexico State",+All!#REF!,0))</f>
        <v>#REF!</v>
      </c>
      <c r="K79" s="461" t="str">
        <f>IF(+All!$F205="New Mexico State",+All!K205,IF(+All!$H205="New Mexico State",+All!K205,0))</f>
        <v>New Mexico State</v>
      </c>
      <c r="L79" s="54">
        <f>IF(+All!$F205="New Mexico State",+All!L205,IF(+All!$H205="New Mexico State",+All!L205,0))</f>
        <v>37</v>
      </c>
      <c r="M79" s="55">
        <f>IF(+All!$F205="New Mexico State",+All!M205,IF(+All!$H205="New Mexico State",+All!M205,0))</f>
        <v>46.5</v>
      </c>
      <c r="N79" s="460" t="str">
        <f>IF(+All!$F205="New Mexico State",+All!N205,IF(+All!$H205="New Mexico State",+All!N205,0))</f>
        <v>Wisconsin</v>
      </c>
      <c r="O79" s="462">
        <f>IF(+All!$F205="New Mexico State",+All!O205,IF(+All!$H205="New Mexico State",+All!O205,0))</f>
        <v>66</v>
      </c>
      <c r="P79" s="462" t="str">
        <f>IF(+All!$F205="New Mexico State",+All!P205,IF(+All!$H205="New Mexico State",+All!P205,0))</f>
        <v>New Mexico State</v>
      </c>
      <c r="Q79" s="461">
        <f>IF(+All!$F205="New Mexico State",+All!Q205,IF(+All!$H205="New Mexico State",+All!Q205,0))</f>
        <v>7</v>
      </c>
      <c r="R79" s="460" t="e">
        <f>IF(+All!$F205="New Mexico State",+All!R205,IF(+All!$H205="New Mexico State",+All!R205,0))</f>
        <v>#REF!</v>
      </c>
      <c r="S79" s="462" t="e">
        <f>IF(+All!$F205="New Mexico State",+All!S205,IF(+All!$H205="New Mexico State",+All!S205,0))</f>
        <v>#REF!</v>
      </c>
      <c r="T79" s="460" t="str">
        <f>IF(+All!$F205="New Mexico State",+All!T205,IF(+All!$H205="New Mexico State",+All!T205,0))</f>
        <v>New Mexico State</v>
      </c>
      <c r="U79" s="461" t="e">
        <f>IF(+All!$F205="New Mexico State",+All!U205,IF(+All!$H205="New Mexico State",+All!U205,0))</f>
        <v>#REF!</v>
      </c>
    </row>
    <row r="80" spans="1:21" x14ac:dyDescent="0.8">
      <c r="A80" s="46">
        <f>IF(+All!$F287="New Mexico State",+All!A287,IF(+All!$H287="New Mexico State",+All!A287,0))</f>
        <v>4</v>
      </c>
      <c r="B80" s="348" t="str">
        <f>IF(+All!$F287="New Mexico State",+All!B287,IF(+All!$H287="New Mexico State",+All!B287,0))</f>
        <v>Sat</v>
      </c>
      <c r="C80" s="48">
        <f>IF(+All!$F287="New Mexico State",+All!C287,IF(+All!$H287="New Mexico State",+All!C287,0))</f>
        <v>44828</v>
      </c>
      <c r="D80" s="490">
        <f>IF(+All!$F287="New Mexico State",+All!D287,IF(+All!$H287="New Mexico State",+All!D287,0))</f>
        <v>0.83333333333333337</v>
      </c>
      <c r="E80" s="461">
        <f>IF(+All!$F287="New Mexico State",+All!E287,IF(+All!$H287="New Mexico State",+All!E287,0))</f>
        <v>0</v>
      </c>
      <c r="F80" s="51" t="str">
        <f>IF(+All!$F287="New Mexico State",+All!F287,IF(+All!$H287="New Mexico State",+All!F287,0))</f>
        <v>Hawaii</v>
      </c>
      <c r="G80" s="52" t="str">
        <f>IF(+All!$F287="New Mexico State",+All!G287,IF(+All!$H287="New Mexico State",+All!G287,0))</f>
        <v>MWC</v>
      </c>
      <c r="H80" s="51" t="str">
        <f>IF(+All!$F287="New Mexico State",+All!H287,IF(+All!$H287="New Mexico State",+All!H287,0))</f>
        <v>New Mexico State</v>
      </c>
      <c r="I80" s="52" t="str">
        <f>IF(+All!$F287="New Mexico State",+All!I287,IF(+All!$H287="New Mexico State",+All!I287,0))</f>
        <v>Ind</v>
      </c>
      <c r="J80" s="460" t="str">
        <f>IF(+All!$F287="New Mexico State",+All!J287,IF(+All!$H287="New Mexico State",+All!J287,0))</f>
        <v>New Mexico State</v>
      </c>
      <c r="K80" s="461" t="str">
        <f>IF(+All!$F287="New Mexico State",+All!K287,IF(+All!$H287="New Mexico State",+All!K287,0))</f>
        <v>Hawaii</v>
      </c>
      <c r="L80" s="54">
        <f>IF(+All!$F287="New Mexico State",+All!L287,IF(+All!$H287="New Mexico State",+All!L287,0))</f>
        <v>5</v>
      </c>
      <c r="M80" s="55">
        <f>IF(+All!$F287="New Mexico State",+All!M287,IF(+All!$H287="New Mexico State",+All!M287,0))</f>
        <v>54</v>
      </c>
      <c r="N80" s="460" t="str">
        <f>IF(+All!$F287="New Mexico State",+All!N287,IF(+All!$H287="New Mexico State",+All!N287,0))</f>
        <v>New Mexico State</v>
      </c>
      <c r="O80" s="462">
        <f>IF(+All!$F287="New Mexico State",+All!O287,IF(+All!$H287="New Mexico State",+All!O287,0))</f>
        <v>45</v>
      </c>
      <c r="P80" s="462" t="str">
        <f>IF(+All!$F287="New Mexico State",+All!P287,IF(+All!$H287="New Mexico State",+All!P287,0))</f>
        <v>Hawaii</v>
      </c>
      <c r="Q80" s="461">
        <f>IF(+All!$F287="New Mexico State",+All!Q287,IF(+All!$H287="New Mexico State",+All!Q287,0))</f>
        <v>26</v>
      </c>
      <c r="R80" s="460" t="str">
        <f>IF(+All!$F287="New Mexico State",+All!R287,IF(+All!$H287="New Mexico State",+All!R287,0))</f>
        <v>New Mexico State</v>
      </c>
      <c r="S80" s="462" t="str">
        <f>IF(+All!$F287="New Mexico State",+All!S287,IF(+All!$H287="New Mexico State",+All!S287,0))</f>
        <v>Hawaii</v>
      </c>
      <c r="T80" s="460" t="str">
        <f>IF(+All!$F287="New Mexico State",+All!T287,IF(+All!$H287="New Mexico State",+All!T287,0))</f>
        <v>New Mexico State</v>
      </c>
      <c r="U80" s="461" t="str">
        <f>IF(+All!$F287="New Mexico State",+All!U287,IF(+All!$H287="New Mexico State",+All!U287,0))</f>
        <v>W</v>
      </c>
    </row>
    <row r="81" spans="1:21" x14ac:dyDescent="0.8">
      <c r="A81" s="46">
        <f>IF(+All!$F353="New Mexico State",+All!A353,IF(+All!$H353="New Mexico State",+All!A353,0))</f>
        <v>5</v>
      </c>
      <c r="B81" s="348" t="str">
        <f>IF(+All!$F353="New Mexico State",+All!B353,IF(+All!$H353="New Mexico State",+All!B353,0))</f>
        <v>Sat</v>
      </c>
      <c r="C81" s="48">
        <f>IF(+All!$F353="New Mexico State",+All!C353,IF(+All!$H353="New Mexico State",+All!C353,0))</f>
        <v>44835</v>
      </c>
      <c r="D81" s="490">
        <f>IF(+All!$F353="New Mexico State",+All!D353,IF(+All!$H353="New Mexico State",+All!D353,0))</f>
        <v>0.83333333333333337</v>
      </c>
      <c r="E81" s="461">
        <f>IF(+All!$F353="New Mexico State",+All!E353,IF(+All!$H353="New Mexico State",+All!E353,0))</f>
        <v>0</v>
      </c>
      <c r="F81" s="51" t="str">
        <f>IF(+All!$F353="New Mexico State",+All!F353,IF(+All!$H353="New Mexico State",+All!F353,0))</f>
        <v>Florida Intl</v>
      </c>
      <c r="G81" s="52" t="str">
        <f>IF(+All!$F353="New Mexico State",+All!G353,IF(+All!$H353="New Mexico State",+All!G353,0))</f>
        <v>CUSA</v>
      </c>
      <c r="H81" s="51" t="str">
        <f>IF(+All!$F353="New Mexico State",+All!H353,IF(+All!$H353="New Mexico State",+All!H353,0))</f>
        <v>New Mexico State</v>
      </c>
      <c r="I81" s="52" t="str">
        <f>IF(+All!$F353="New Mexico State",+All!I353,IF(+All!$H353="New Mexico State",+All!I353,0))</f>
        <v>Ind</v>
      </c>
      <c r="J81" s="460" t="str">
        <f>IF(+All!$F353="New Mexico State",+All!J353,IF(+All!$H353="New Mexico State",+All!J353,0))</f>
        <v>New Mexico State</v>
      </c>
      <c r="K81" s="461" t="str">
        <f>IF(+All!$F353="New Mexico State",+All!K353,IF(+All!$H353="New Mexico State",+All!K353,0))</f>
        <v>Florida Intl</v>
      </c>
      <c r="L81" s="54">
        <f>IF(+All!$F353="New Mexico State",+All!L353,IF(+All!$H353="New Mexico State",+All!L353,0))</f>
        <v>15.5</v>
      </c>
      <c r="M81" s="55">
        <f>IF(+All!$F353="New Mexico State",+All!M353,IF(+All!$H353="New Mexico State",+All!M353,0))</f>
        <v>54.5</v>
      </c>
      <c r="N81" s="460" t="str">
        <f>IF(+All!$F353="New Mexico State",+All!N353,IF(+All!$H353="New Mexico State",+All!N353,0))</f>
        <v>Florida Intl</v>
      </c>
      <c r="O81" s="462">
        <f>IF(+All!$F353="New Mexico State",+All!O353,IF(+All!$H353="New Mexico State",+All!O353,0))</f>
        <v>21</v>
      </c>
      <c r="P81" s="462" t="str">
        <f>IF(+All!$F353="New Mexico State",+All!P353,IF(+All!$H353="New Mexico State",+All!P353,0))</f>
        <v>New Mexico State</v>
      </c>
      <c r="Q81" s="461">
        <f>IF(+All!$F353="New Mexico State",+All!Q353,IF(+All!$H353="New Mexico State",+All!Q353,0))</f>
        <v>7</v>
      </c>
      <c r="R81" s="460" t="str">
        <f>IF(+All!$F353="New Mexico State",+All!R353,IF(+All!$H353="New Mexico State",+All!R353,0))</f>
        <v>Florida Intl</v>
      </c>
      <c r="S81" s="462" t="str">
        <f>IF(+All!$F353="New Mexico State",+All!S353,IF(+All!$H353="New Mexico State",+All!S353,0))</f>
        <v>New Mexico State</v>
      </c>
      <c r="T81" s="460" t="str">
        <f>IF(+All!$F353="New Mexico State",+All!T353,IF(+All!$H353="New Mexico State",+All!T353,0))</f>
        <v>New Mexico State</v>
      </c>
      <c r="U81" s="461" t="str">
        <f>IF(+All!$F353="New Mexico State",+All!U353,IF(+All!$H353="New Mexico State",+All!U353,0))</f>
        <v>L</v>
      </c>
    </row>
    <row r="82" spans="1:21" x14ac:dyDescent="0.8">
      <c r="A82" s="46" t="e">
        <f>IF(+All!#REF!="New Mexico State",+All!#REF!,IF(+All!#REF!="New Mexico State",+All!#REF!,0))</f>
        <v>#REF!</v>
      </c>
      <c r="B82" s="348" t="e">
        <f>IF(+All!#REF!="New Mexico State",+All!#REF!,IF(+All!#REF!="New Mexico State",+All!#REF!,0))</f>
        <v>#REF!</v>
      </c>
      <c r="C82" s="48" t="e">
        <f>IF(+All!#REF!="New Mexico State",+All!#REF!,IF(+All!#REF!="New Mexico State",+All!#REF!,0))</f>
        <v>#REF!</v>
      </c>
      <c r="D82" s="490" t="e">
        <f>IF(+All!#REF!="New Mexico State",+All!#REF!,IF(+All!#REF!="New Mexico State",+All!#REF!,0))</f>
        <v>#REF!</v>
      </c>
      <c r="E82" s="461" t="e">
        <f>IF(+All!#REF!="New Mexico State",+All!#REF!,IF(+All!#REF!="New Mexico State",+All!#REF!,0))</f>
        <v>#REF!</v>
      </c>
      <c r="F82" s="51" t="e">
        <f>IF(+All!#REF!="New Mexico State",+All!#REF!,IF(+All!#REF!="New Mexico State",+All!#REF!,0))</f>
        <v>#REF!</v>
      </c>
      <c r="G82" s="52" t="e">
        <f>IF(+All!#REF!="New Mexico State",+All!#REF!,IF(+All!#REF!="New Mexico State",+All!#REF!,0))</f>
        <v>#REF!</v>
      </c>
      <c r="H82" s="51" t="e">
        <f>IF(+All!#REF!="New Mexico State",+All!#REF!,IF(+All!#REF!="New Mexico State",+All!#REF!,0))</f>
        <v>#REF!</v>
      </c>
      <c r="I82" s="52" t="e">
        <f>IF(+All!#REF!="New Mexico State",+All!#REF!,IF(+All!#REF!="New Mexico State",+All!#REF!,0))</f>
        <v>#REF!</v>
      </c>
      <c r="J82" s="460" t="e">
        <f>IF(+All!#REF!="New Mexico State",+All!#REF!,IF(+All!#REF!="New Mexico State",+All!#REF!,0))</f>
        <v>#REF!</v>
      </c>
      <c r="K82" s="461" t="e">
        <f>IF(+All!#REF!="New Mexico State",+All!#REF!,IF(+All!#REF!="New Mexico State",+All!#REF!,0))</f>
        <v>#REF!</v>
      </c>
      <c r="L82" s="54" t="e">
        <f>IF(+All!#REF!="New Mexico State",+All!#REF!,IF(+All!#REF!="New Mexico State",+All!#REF!,0))</f>
        <v>#REF!</v>
      </c>
      <c r="M82" s="55" t="e">
        <f>IF(+All!#REF!="New Mexico State",+All!#REF!,IF(+All!#REF!="New Mexico State",+All!#REF!,0))</f>
        <v>#REF!</v>
      </c>
      <c r="N82" s="460" t="e">
        <f>IF(+All!#REF!="New Mexico State",+All!#REF!,IF(+All!#REF!="New Mexico State",+All!#REF!,0))</f>
        <v>#REF!</v>
      </c>
      <c r="O82" s="462" t="e">
        <f>IF(+All!#REF!="New Mexico State",+All!#REF!,IF(+All!#REF!="New Mexico State",+All!#REF!,0))</f>
        <v>#REF!</v>
      </c>
      <c r="P82" s="462" t="e">
        <f>IF(+All!#REF!="New Mexico State",+All!#REF!,IF(+All!#REF!="New Mexico State",+All!#REF!,0))</f>
        <v>#REF!</v>
      </c>
      <c r="Q82" s="461" t="e">
        <f>IF(+All!#REF!="New Mexico State",+All!#REF!,IF(+All!#REF!="New Mexico State",+All!#REF!,0))</f>
        <v>#REF!</v>
      </c>
      <c r="R82" s="460" t="e">
        <f>IF(+All!#REF!="New Mexico State",+All!#REF!,IF(+All!#REF!="New Mexico State",+All!#REF!,0))</f>
        <v>#REF!</v>
      </c>
      <c r="S82" s="462" t="e">
        <f>IF(+All!#REF!="New Mexico State",+All!#REF!,IF(+All!#REF!="New Mexico State",+All!#REF!,0))</f>
        <v>#REF!</v>
      </c>
      <c r="T82" s="460" t="e">
        <f>IF(+All!#REF!="New Mexico State",+All!#REF!,IF(+All!#REF!="New Mexico State",+All!#REF!,0))</f>
        <v>#REF!</v>
      </c>
      <c r="U82" s="461" t="e">
        <f>IF(+All!#REF!="New Mexico State",+All!#REF!,IF(+All!#REF!="New Mexico State",+All!#REF!,0))</f>
        <v>#REF!</v>
      </c>
    </row>
    <row r="83" spans="1:21" x14ac:dyDescent="0.8">
      <c r="A83" s="46">
        <f>IF(+All!$F465="New Mexico State",+All!A465,IF(+All!$H465="New Mexico State",+All!A465,0))</f>
        <v>7</v>
      </c>
      <c r="B83" s="348" t="str">
        <f>IF(+All!$F465="New Mexico State",+All!B465,IF(+All!$H465="New Mexico State",+All!B465,0))</f>
        <v>Sat</v>
      </c>
      <c r="C83" s="48">
        <f>IF(+All!$F465="New Mexico State",+All!C465,IF(+All!$H465="New Mexico State",+All!C465,0))</f>
        <v>44849</v>
      </c>
      <c r="D83" s="490">
        <f>IF(+All!$F465="New Mexico State",+All!D465,IF(+All!$H465="New Mexico State",+All!D465,0))</f>
        <v>0.83333333333333337</v>
      </c>
      <c r="E83" s="461">
        <f>IF(+All!$F465="New Mexico State",+All!E465,IF(+All!$H465="New Mexico State",+All!E465,0))</f>
        <v>0</v>
      </c>
      <c r="F83" s="51" t="str">
        <f>IF(+All!$F465="New Mexico State",+All!F465,IF(+All!$H465="New Mexico State",+All!F465,0))</f>
        <v>New Mexico</v>
      </c>
      <c r="G83" s="52" t="str">
        <f>IF(+All!$F465="New Mexico State",+All!G465,IF(+All!$H465="New Mexico State",+All!G465,0))</f>
        <v>MWC</v>
      </c>
      <c r="H83" s="51" t="str">
        <f>IF(+All!$F465="New Mexico State",+All!H465,IF(+All!$H465="New Mexico State",+All!H465,0))</f>
        <v>New Mexico State</v>
      </c>
      <c r="I83" s="52" t="str">
        <f>IF(+All!$F465="New Mexico State",+All!I465,IF(+All!$H465="New Mexico State",+All!I465,0))</f>
        <v>Ind</v>
      </c>
      <c r="J83" s="460" t="str">
        <f>IF(+All!$F465="New Mexico State",+All!J465,IF(+All!$H465="New Mexico State",+All!J465,0))</f>
        <v>New Mexico</v>
      </c>
      <c r="K83" s="461" t="str">
        <f>IF(+All!$F465="New Mexico State",+All!K465,IF(+All!$H465="New Mexico State",+All!K465,0))</f>
        <v>New Mexico State</v>
      </c>
      <c r="L83" s="54">
        <f>IF(+All!$F465="New Mexico State",+All!L465,IF(+All!$H465="New Mexico State",+All!L465,0))</f>
        <v>6.5</v>
      </c>
      <c r="M83" s="55">
        <f>IF(+All!$F465="New Mexico State",+All!M465,IF(+All!$H465="New Mexico State",+All!M465,0))</f>
        <v>37.5</v>
      </c>
      <c r="N83" s="460" t="str">
        <f>IF(+All!$F465="New Mexico State",+All!N465,IF(+All!$H465="New Mexico State",+All!N465,0))</f>
        <v>New Mexico State</v>
      </c>
      <c r="O83" s="462">
        <f>IF(+All!$F465="New Mexico State",+All!O465,IF(+All!$H465="New Mexico State",+All!O465,0))</f>
        <v>21</v>
      </c>
      <c r="P83" s="462" t="str">
        <f>IF(+All!$F465="New Mexico State",+All!P465,IF(+All!$H465="New Mexico State",+All!P465,0))</f>
        <v>New Mexico</v>
      </c>
      <c r="Q83" s="461">
        <f>IF(+All!$F465="New Mexico State",+All!Q465,IF(+All!$H465="New Mexico State",+All!Q465,0))</f>
        <v>9</v>
      </c>
      <c r="R83" s="460" t="str">
        <f>IF(+All!$F465="New Mexico State",+All!R465,IF(+All!$H465="New Mexico State",+All!R465,0))</f>
        <v>New Mexico State</v>
      </c>
      <c r="S83" s="462" t="str">
        <f>IF(+All!$F465="New Mexico State",+All!S465,IF(+All!$H465="New Mexico State",+All!S465,0))</f>
        <v>New Mexico</v>
      </c>
      <c r="T83" s="460" t="str">
        <f>IF(+All!$F465="New Mexico State",+All!T465,IF(+All!$H465="New Mexico State",+All!T465,0))</f>
        <v>New Mexico State</v>
      </c>
      <c r="U83" s="461" t="str">
        <f>IF(+All!$F465="New Mexico State",+All!U465,IF(+All!$H465="New Mexico State",+All!U465,0))</f>
        <v>W</v>
      </c>
    </row>
    <row r="84" spans="1:21" x14ac:dyDescent="0.8">
      <c r="A84" s="46">
        <f>IF(+All!$F519="New Mexico State",+All!A519,IF(+All!$H519="New Mexico State",+All!A519,0))</f>
        <v>8</v>
      </c>
      <c r="B84" s="348" t="str">
        <f>IF(+All!$F519="New Mexico State",+All!B519,IF(+All!$H519="New Mexico State",+All!B519,0))</f>
        <v>Sat</v>
      </c>
      <c r="C84" s="48">
        <f>IF(+All!$F519="New Mexico State",+All!C519,IF(+All!$H519="New Mexico State",+All!C519,0))</f>
        <v>44856</v>
      </c>
      <c r="D84" s="490">
        <f>IF(+All!$F519="New Mexico State",+All!D519,IF(+All!$H519="New Mexico State",+All!D519,0))</f>
        <v>0.75</v>
      </c>
      <c r="E84" s="461">
        <f>IF(+All!$F519="New Mexico State",+All!E519,IF(+All!$H519="New Mexico State",+All!E519,0))</f>
        <v>0</v>
      </c>
      <c r="F84" s="51" t="str">
        <f>IF(+All!$F519="New Mexico State",+All!F519,IF(+All!$H519="New Mexico State",+All!F519,0))</f>
        <v>San Jose State</v>
      </c>
      <c r="G84" s="52" t="str">
        <f>IF(+All!$F519="New Mexico State",+All!G519,IF(+All!$H519="New Mexico State",+All!G519,0))</f>
        <v>MWC</v>
      </c>
      <c r="H84" s="51" t="str">
        <f>IF(+All!$F519="New Mexico State",+All!H519,IF(+All!$H519="New Mexico State",+All!H519,0))</f>
        <v>New Mexico State</v>
      </c>
      <c r="I84" s="52" t="str">
        <f>IF(+All!$F519="New Mexico State",+All!I519,IF(+All!$H519="New Mexico State",+All!I519,0))</f>
        <v>Ind</v>
      </c>
      <c r="J84" s="460" t="str">
        <f>IF(+All!$F519="New Mexico State",+All!J519,IF(+All!$H519="New Mexico State",+All!J519,0))</f>
        <v>San Jose State</v>
      </c>
      <c r="K84" s="461" t="str">
        <f>IF(+All!$F519="New Mexico State",+All!K519,IF(+All!$H519="New Mexico State",+All!K519,0))</f>
        <v>New Mexico State</v>
      </c>
      <c r="L84" s="54">
        <f>IF(+All!$F519="New Mexico State",+All!L519,IF(+All!$H519="New Mexico State",+All!L519,0))</f>
        <v>22</v>
      </c>
      <c r="M84" s="55">
        <f>IF(+All!$F519="New Mexico State",+All!M519,IF(+All!$H519="New Mexico State",+All!M519,0))</f>
        <v>42</v>
      </c>
      <c r="N84" s="460">
        <f>IF(+All!$F519="New Mexico State",+All!N519,IF(+All!$H519="New Mexico State",+All!N519,0))</f>
        <v>0</v>
      </c>
      <c r="O84" s="462">
        <f>IF(+All!$F519="New Mexico State",+All!O519,IF(+All!$H519="New Mexico State",+All!O519,0))</f>
        <v>0</v>
      </c>
      <c r="P84" s="462" t="str">
        <f>IF(+All!$F519="New Mexico State",+All!P519,IF(+All!$H519="New Mexico State",+All!P519,0))</f>
        <v>New Mexico State</v>
      </c>
      <c r="Q84" s="461" t="str">
        <f>IF(+All!$F519="New Mexico State",+All!Q519,IF(+All!$H519="New Mexico State",+All!Q519,0))</f>
        <v>PPD</v>
      </c>
      <c r="R84" s="460">
        <f>IF(+All!$F519="New Mexico State",+All!R519,IF(+All!$H519="New Mexico State",+All!R519,0))</f>
        <v>0</v>
      </c>
      <c r="S84" s="462">
        <f>IF(+All!$F519="New Mexico State",+All!S519,IF(+All!$H519="New Mexico State",+All!S519,0))</f>
        <v>0</v>
      </c>
      <c r="T84" s="460" t="str">
        <f>IF(+All!$F519="New Mexico State",+All!T519,IF(+All!$H519="New Mexico State",+All!T519,0))</f>
        <v>New Mexico State</v>
      </c>
      <c r="U84" s="461" t="str">
        <f>IF(+All!$F519="New Mexico State",+All!U519,IF(+All!$H519="New Mexico State",+All!U519,0))</f>
        <v>PPD</v>
      </c>
    </row>
    <row r="85" spans="1:21" x14ac:dyDescent="0.8">
      <c r="A85" s="46">
        <f>IF(+All!$F573="New Mexico State",+All!A573,IF(+All!$H573="New Mexico State",+All!A573,0))</f>
        <v>9</v>
      </c>
      <c r="B85" s="348" t="str">
        <f>IF(+All!$F573="New Mexico State",+All!B573,IF(+All!$H573="New Mexico State",+All!B573,0))</f>
        <v>Sat</v>
      </c>
      <c r="C85" s="48">
        <f>IF(+All!$F573="New Mexico State",+All!C573,IF(+All!$H573="New Mexico State",+All!C573,0))</f>
        <v>44863</v>
      </c>
      <c r="D85" s="490">
        <f>IF(+All!$F573="New Mexico State",+All!D573,IF(+All!$H573="New Mexico State",+All!D573,0))</f>
        <v>0.64583333333333337</v>
      </c>
      <c r="E85" s="461" t="str">
        <f>IF(+All!$F573="New Mexico State",+All!E573,IF(+All!$H573="New Mexico State",+All!E573,0))</f>
        <v>espn3</v>
      </c>
      <c r="F85" s="51" t="str">
        <f>IF(+All!$F573="New Mexico State",+All!F573,IF(+All!$H573="New Mexico State",+All!F573,0))</f>
        <v>New Mexico State</v>
      </c>
      <c r="G85" s="52" t="str">
        <f>IF(+All!$F573="New Mexico State",+All!G573,IF(+All!$H573="New Mexico State",+All!G573,0))</f>
        <v>Ind</v>
      </c>
      <c r="H85" s="51" t="str">
        <f>IF(+All!$F573="New Mexico State",+All!H573,IF(+All!$H573="New Mexico State",+All!H573,0))</f>
        <v>Massachusetts</v>
      </c>
      <c r="I85" s="52" t="str">
        <f>IF(+All!$F573="New Mexico State",+All!I573,IF(+All!$H573="New Mexico State",+All!I573,0))</f>
        <v>Ind</v>
      </c>
      <c r="J85" s="460" t="str">
        <f>IF(+All!$F573="New Mexico State",+All!J573,IF(+All!$H573="New Mexico State",+All!J573,0))</f>
        <v>New Mexico State</v>
      </c>
      <c r="K85" s="461" t="str">
        <f>IF(+All!$F573="New Mexico State",+All!K573,IF(+All!$H573="New Mexico State",+All!K573,0))</f>
        <v>Massachusetts</v>
      </c>
      <c r="L85" s="54">
        <f>IF(+All!$F573="New Mexico State",+All!L573,IF(+All!$H573="New Mexico State",+All!L573,0))</f>
        <v>2.5</v>
      </c>
      <c r="M85" s="55">
        <f>IF(+All!$F573="New Mexico State",+All!M573,IF(+All!$H573="New Mexico State",+All!M573,0))</f>
        <v>39</v>
      </c>
      <c r="N85" s="460" t="str">
        <f>IF(+All!$F573="New Mexico State",+All!N573,IF(+All!$H573="New Mexico State",+All!N573,0))</f>
        <v>New Mexico State</v>
      </c>
      <c r="O85" s="462">
        <f>IF(+All!$F573="New Mexico State",+All!O573,IF(+All!$H573="New Mexico State",+All!O573,0))</f>
        <v>23</v>
      </c>
      <c r="P85" s="462" t="str">
        <f>IF(+All!$F573="New Mexico State",+All!P573,IF(+All!$H573="New Mexico State",+All!P573,0))</f>
        <v>Massachusetts</v>
      </c>
      <c r="Q85" s="461">
        <f>IF(+All!$F573="New Mexico State",+All!Q573,IF(+All!$H573="New Mexico State",+All!Q573,0))</f>
        <v>13</v>
      </c>
      <c r="R85" s="460" t="str">
        <f>IF(+All!$F573="New Mexico State",+All!R573,IF(+All!$H573="New Mexico State",+All!R573,0))</f>
        <v>New Mexico State</v>
      </c>
      <c r="S85" s="462" t="str">
        <f>IF(+All!$F573="New Mexico State",+All!S573,IF(+All!$H573="New Mexico State",+All!S573,0))</f>
        <v>Massachusetts</v>
      </c>
      <c r="T85" s="460" t="str">
        <f>IF(+All!$F573="New Mexico State",+All!T573,IF(+All!$H573="New Mexico State",+All!T573,0))</f>
        <v>Massachusetts</v>
      </c>
      <c r="U85" s="461" t="str">
        <f>IF(+All!$F573="New Mexico State",+All!U573,IF(+All!$H573="New Mexico State",+All!U573,0))</f>
        <v>L</v>
      </c>
    </row>
    <row r="86" spans="1:21" x14ac:dyDescent="0.8">
      <c r="A86" s="46" t="e">
        <f>IF(+All!#REF!="New Mexico State",+All!#REF!,IF(+All!#REF!="New Mexico State",+All!#REF!,0))</f>
        <v>#REF!</v>
      </c>
      <c r="B86" s="348" t="e">
        <f>IF(+All!#REF!="New Mexico State",+All!#REF!,IF(+All!#REF!="New Mexico State",+All!#REF!,0))</f>
        <v>#REF!</v>
      </c>
      <c r="C86" s="48" t="e">
        <f>IF(+All!#REF!="New Mexico State",+All!#REF!,IF(+All!#REF!="New Mexico State",+All!#REF!,0))</f>
        <v>#REF!</v>
      </c>
      <c r="D86" s="490" t="e">
        <f>IF(+All!#REF!="New Mexico State",+All!#REF!,IF(+All!#REF!="New Mexico State",+All!#REF!,0))</f>
        <v>#REF!</v>
      </c>
      <c r="E86" s="461" t="e">
        <f>IF(+All!#REF!="New Mexico State",+All!#REF!,IF(+All!#REF!="New Mexico State",+All!#REF!,0))</f>
        <v>#REF!</v>
      </c>
      <c r="F86" s="51" t="e">
        <f>IF(+All!#REF!="New Mexico State",+All!#REF!,IF(+All!#REF!="New Mexico State",+All!#REF!,0))</f>
        <v>#REF!</v>
      </c>
      <c r="G86" s="52" t="e">
        <f>IF(+All!#REF!="New Mexico State",+All!#REF!,IF(+All!#REF!="New Mexico State",+All!#REF!,0))</f>
        <v>#REF!</v>
      </c>
      <c r="H86" s="51" t="e">
        <f>IF(+All!#REF!="New Mexico State",+All!#REF!,IF(+All!#REF!="New Mexico State",+All!#REF!,0))</f>
        <v>#REF!</v>
      </c>
      <c r="I86" s="52" t="e">
        <f>IF(+All!#REF!="New Mexico State",+All!#REF!,IF(+All!#REF!="New Mexico State",+All!#REF!,0))</f>
        <v>#REF!</v>
      </c>
      <c r="J86" s="460" t="e">
        <f>IF(+All!#REF!="New Mexico State",+All!#REF!,IF(+All!#REF!="New Mexico State",+All!#REF!,0))</f>
        <v>#REF!</v>
      </c>
      <c r="K86" s="461" t="e">
        <f>IF(+All!#REF!="New Mexico State",+All!#REF!,IF(+All!#REF!="New Mexico State",+All!#REF!,0))</f>
        <v>#REF!</v>
      </c>
      <c r="L86" s="54" t="e">
        <f>IF(+All!#REF!="New Mexico State",+All!#REF!,IF(+All!#REF!="New Mexico State",+All!#REF!,0))</f>
        <v>#REF!</v>
      </c>
      <c r="M86" s="55" t="e">
        <f>IF(+All!#REF!="New Mexico State",+All!#REF!,IF(+All!#REF!="New Mexico State",+All!#REF!,0))</f>
        <v>#REF!</v>
      </c>
      <c r="N86" s="460" t="e">
        <f>IF(+All!#REF!="New Mexico State",+All!#REF!,IF(+All!#REF!="New Mexico State",+All!#REF!,0))</f>
        <v>#REF!</v>
      </c>
      <c r="O86" s="462" t="e">
        <f>IF(+All!#REF!="New Mexico State",+All!#REF!,IF(+All!#REF!="New Mexico State",+All!#REF!,0))</f>
        <v>#REF!</v>
      </c>
      <c r="P86" s="462" t="e">
        <f>IF(+All!#REF!="New Mexico State",+All!#REF!,IF(+All!#REF!="New Mexico State",+All!#REF!,0))</f>
        <v>#REF!</v>
      </c>
      <c r="Q86" s="461" t="e">
        <f>IF(+All!#REF!="New Mexico State",+All!#REF!,IF(+All!#REF!="New Mexico State",+All!#REF!,0))</f>
        <v>#REF!</v>
      </c>
      <c r="R86" s="460" t="e">
        <f>IF(+All!#REF!="New Mexico State",+All!#REF!,IF(+All!#REF!="New Mexico State",+All!#REF!,0))</f>
        <v>#REF!</v>
      </c>
      <c r="S86" s="462" t="e">
        <f>IF(+All!#REF!="New Mexico State",+All!#REF!,IF(+All!#REF!="New Mexico State",+All!#REF!,0))</f>
        <v>#REF!</v>
      </c>
      <c r="T86" s="460" t="e">
        <f>IF(+All!#REF!="New Mexico State",+All!#REF!,IF(+All!#REF!="New Mexico State",+All!#REF!,0))</f>
        <v>#REF!</v>
      </c>
      <c r="U86" s="461" t="e">
        <f>IF(+All!#REF!="New Mexico State",+All!#REF!,IF(+All!#REF!="New Mexico State",+All!#REF!,0))</f>
        <v>#REF!</v>
      </c>
    </row>
    <row r="87" spans="1:21" x14ac:dyDescent="0.8">
      <c r="A87" s="46">
        <f>IF(+All!$F693="New Mexico State",+All!A693,IF(+All!$H693="New Mexico State",+All!A693,0))</f>
        <v>11</v>
      </c>
      <c r="B87" s="348" t="str">
        <f>IF(+All!$F693="New Mexico State",+All!B693,IF(+All!$H693="New Mexico State",+All!B693,0))</f>
        <v>Sat</v>
      </c>
      <c r="C87" s="48">
        <f>IF(+All!$F693="New Mexico State",+All!C693,IF(+All!$H693="New Mexico State",+All!C693,0))</f>
        <v>44877</v>
      </c>
      <c r="D87" s="490">
        <f>IF(+All!$F693="New Mexico State",+All!D693,IF(+All!$H693="New Mexico State",+All!D693,0))</f>
        <v>0.58333333333333337</v>
      </c>
      <c r="E87" s="461">
        <f>IF(+All!$F693="New Mexico State",+All!E693,IF(+All!$H693="New Mexico State",+All!E693,0))</f>
        <v>0</v>
      </c>
      <c r="F87" s="51" t="str">
        <f>IF(+All!$F693="New Mexico State",+All!F693,IF(+All!$H693="New Mexico State",+All!F693,0))</f>
        <v>1AA Lamar</v>
      </c>
      <c r="G87" s="52" t="str">
        <f>IF(+All!$F693="New Mexico State",+All!G693,IF(+All!$H693="New Mexico State",+All!G693,0))</f>
        <v>1AA</v>
      </c>
      <c r="H87" s="51" t="str">
        <f>IF(+All!$F693="New Mexico State",+All!H693,IF(+All!$H693="New Mexico State",+All!H693,0))</f>
        <v>New Mexico State</v>
      </c>
      <c r="I87" s="52" t="str">
        <f>IF(+All!$F693="New Mexico State",+All!I693,IF(+All!$H693="New Mexico State",+All!I693,0))</f>
        <v>Ind</v>
      </c>
      <c r="J87" s="460">
        <f>IF(+All!$F693="New Mexico State",+All!J693,IF(+All!$H693="New Mexico State",+All!J693,0))</f>
        <v>0</v>
      </c>
      <c r="K87" s="461">
        <f>IF(+All!$F693="New Mexico State",+All!K693,IF(+All!$H693="New Mexico State",+All!K693,0))</f>
        <v>0</v>
      </c>
      <c r="L87" s="54">
        <f>IF(+All!$F693="New Mexico State",+All!L693,IF(+All!$H693="New Mexico State",+All!L693,0))</f>
        <v>0</v>
      </c>
      <c r="M87" s="55">
        <f>IF(+All!$F693="New Mexico State",+All!M693,IF(+All!$H693="New Mexico State",+All!M693,0))</f>
        <v>0</v>
      </c>
      <c r="N87" s="460" t="str">
        <f>IF(+All!$F693="New Mexico State",+All!N693,IF(+All!$H693="New Mexico State",+All!N693,0))</f>
        <v>New Mexico State</v>
      </c>
      <c r="O87" s="462">
        <f>IF(+All!$F693="New Mexico State",+All!O693,IF(+All!$H693="New Mexico State",+All!O693,0))</f>
        <v>51</v>
      </c>
      <c r="P87" s="462" t="str">
        <f>IF(+All!$F693="New Mexico State",+All!P693,IF(+All!$H693="New Mexico State",+All!P693,0))</f>
        <v>1AA Lamar</v>
      </c>
      <c r="Q87" s="461">
        <f>IF(+All!$F693="New Mexico State",+All!Q693,IF(+All!$H693="New Mexico State",+All!Q693,0))</f>
        <v>14</v>
      </c>
      <c r="R87" s="460">
        <f>IF(+All!$F693="New Mexico State",+All!R693,IF(+All!$H693="New Mexico State",+All!R693,0))</f>
        <v>0</v>
      </c>
      <c r="S87" s="462">
        <f>IF(+All!$F693="New Mexico State",+All!S693,IF(+All!$H693="New Mexico State",+All!S693,0))</f>
        <v>0</v>
      </c>
      <c r="T87" s="460">
        <f>IF(+All!$F693="New Mexico State",+All!T693,IF(+All!$H693="New Mexico State",+All!T693,0))</f>
        <v>0</v>
      </c>
      <c r="U87" s="461">
        <f>IF(+All!$F693="New Mexico State",+All!U693,IF(+All!$H693="New Mexico State",+All!U693,0))</f>
        <v>0</v>
      </c>
    </row>
    <row r="88" spans="1:21" x14ac:dyDescent="0.8">
      <c r="A88" s="46">
        <f>IF(+All!$F781="New Mexico State",+All!A781,IF(+All!$H781="New Mexico State",+All!A781,0))</f>
        <v>12</v>
      </c>
      <c r="B88" s="348" t="str">
        <f>IF(+All!$F781="New Mexico State",+All!B781,IF(+All!$H781="New Mexico State",+All!B781,0))</f>
        <v>Sat</v>
      </c>
      <c r="C88" s="48">
        <f>IF(+All!$F781="New Mexico State",+All!C781,IF(+All!$H781="New Mexico State",+All!C781,0))</f>
        <v>44884</v>
      </c>
      <c r="D88" s="490">
        <f>IF(+All!$F781="New Mexico State",+All!D781,IF(+All!$H781="New Mexico State",+All!D781,0))</f>
        <v>0.8125</v>
      </c>
      <c r="E88" s="461" t="str">
        <f>IF(+All!$F781="New Mexico State",+All!E781,IF(+All!$H781="New Mexico State",+All!E781,0))</f>
        <v>ESPNU</v>
      </c>
      <c r="F88" s="51" t="str">
        <f>IF(+All!$F781="New Mexico State",+All!F781,IF(+All!$H781="New Mexico State",+All!F781,0))</f>
        <v>New Mexico State</v>
      </c>
      <c r="G88" s="52" t="str">
        <f>IF(+All!$F781="New Mexico State",+All!G781,IF(+All!$H781="New Mexico State",+All!G781,0))</f>
        <v>Ind</v>
      </c>
      <c r="H88" s="51" t="str">
        <f>IF(+All!$F781="New Mexico State",+All!H781,IF(+All!$H781="New Mexico State",+All!H781,0))</f>
        <v>Missouri</v>
      </c>
      <c r="I88" s="52" t="str">
        <f>IF(+All!$F781="New Mexico State",+All!I781,IF(+All!$H781="New Mexico State",+All!I781,0))</f>
        <v>SEC</v>
      </c>
      <c r="J88" s="460" t="str">
        <f>IF(+All!$F781="New Mexico State",+All!J781,IF(+All!$H781="New Mexico State",+All!J781,0))</f>
        <v>Missouri</v>
      </c>
      <c r="K88" s="461" t="str">
        <f>IF(+All!$F781="New Mexico State",+All!K781,IF(+All!$H781="New Mexico State",+All!K781,0))</f>
        <v>New Mexico State</v>
      </c>
      <c r="L88" s="54">
        <f>IF(+All!$F781="New Mexico State",+All!L781,IF(+All!$H781="New Mexico State",+All!L781,0))</f>
        <v>28.5</v>
      </c>
      <c r="M88" s="55">
        <f>IF(+All!$F781="New Mexico State",+All!M781,IF(+All!$H781="New Mexico State",+All!M781,0))</f>
        <v>46.5</v>
      </c>
      <c r="N88" s="460" t="str">
        <f>IF(+All!$F781="New Mexico State",+All!N781,IF(+All!$H781="New Mexico State",+All!N781,0))</f>
        <v>Missouri</v>
      </c>
      <c r="O88" s="462">
        <f>IF(+All!$F781="New Mexico State",+All!O781,IF(+All!$H781="New Mexico State",+All!O781,0))</f>
        <v>45</v>
      </c>
      <c r="P88" s="462" t="str">
        <f>IF(+All!$F781="New Mexico State",+All!P781,IF(+All!$H781="New Mexico State",+All!P781,0))</f>
        <v>New Mexico State</v>
      </c>
      <c r="Q88" s="461">
        <f>IF(+All!$F781="New Mexico State",+All!Q781,IF(+All!$H781="New Mexico State",+All!Q781,0))</f>
        <v>14</v>
      </c>
      <c r="R88" s="460" t="str">
        <f>IF(+All!$F781="New Mexico State",+All!R781,IF(+All!$H781="New Mexico State",+All!R781,0))</f>
        <v>Missouri</v>
      </c>
      <c r="S88" s="462" t="str">
        <f>IF(+All!$F781="New Mexico State",+All!S781,IF(+All!$H781="New Mexico State",+All!S781,0))</f>
        <v>New Mexico State</v>
      </c>
      <c r="T88" s="460" t="str">
        <f>IF(+All!$F781="New Mexico State",+All!T781,IF(+All!$H781="New Mexico State",+All!T781,0))</f>
        <v>New Mexico State</v>
      </c>
      <c r="U88" s="461" t="str">
        <f>IF(+All!$F781="New Mexico State",+All!U781,IF(+All!$H781="New Mexico State",+All!U781,0))</f>
        <v>L</v>
      </c>
    </row>
    <row r="89" spans="1:21" x14ac:dyDescent="0.8">
      <c r="A89" s="46">
        <f>IF(+All!$F823="New Mexico State",+All!A823,IF(+All!$H823="New Mexico State",+All!A823,0))</f>
        <v>13</v>
      </c>
      <c r="B89" s="348" t="str">
        <f>IF(+All!$F823="New Mexico State",+All!B823,IF(+All!$H823="New Mexico State",+All!B823,0))</f>
        <v>Sat</v>
      </c>
      <c r="C89" s="48">
        <f>IF(+All!$F823="New Mexico State",+All!C823,IF(+All!$H823="New Mexico State",+All!C823,0))</f>
        <v>44891</v>
      </c>
      <c r="D89" s="490">
        <f>IF(+All!$F823="New Mexico State",+All!D823,IF(+All!$H823="New Mexico State",+All!D823,0))</f>
        <v>0.5</v>
      </c>
      <c r="E89" s="461">
        <f>IF(+All!$F823="New Mexico State",+All!E823,IF(+All!$H823="New Mexico State",+All!E823,0))</f>
        <v>0</v>
      </c>
      <c r="F89" s="51" t="str">
        <f>IF(+All!$F823="New Mexico State",+All!F823,IF(+All!$H823="New Mexico State",+All!F823,0))</f>
        <v>New Mexico State</v>
      </c>
      <c r="G89" s="52" t="str">
        <f>IF(+All!$F823="New Mexico State",+All!G823,IF(+All!$H823="New Mexico State",+All!G823,0))</f>
        <v>Ind</v>
      </c>
      <c r="H89" s="51" t="str">
        <f>IF(+All!$F823="New Mexico State",+All!H823,IF(+All!$H823="New Mexico State",+All!H823,0))</f>
        <v>Liberty</v>
      </c>
      <c r="I89" s="52" t="str">
        <f>IF(+All!$F823="New Mexico State",+All!I823,IF(+All!$H823="New Mexico State",+All!I823,0))</f>
        <v>Ind</v>
      </c>
      <c r="J89" s="460" t="str">
        <f>IF(+All!$F823="New Mexico State",+All!J823,IF(+All!$H823="New Mexico State",+All!J823,0))</f>
        <v>Liberty</v>
      </c>
      <c r="K89" s="461" t="str">
        <f>IF(+All!$F823="New Mexico State",+All!K823,IF(+All!$H823="New Mexico State",+All!K823,0))</f>
        <v>New Mexico State</v>
      </c>
      <c r="L89" s="54">
        <f>IF(+All!$F823="New Mexico State",+All!L823,IF(+All!$H823="New Mexico State",+All!L823,0))</f>
        <v>24</v>
      </c>
      <c r="M89" s="55">
        <f>IF(+All!$F823="New Mexico State",+All!M823,IF(+All!$H823="New Mexico State",+All!M823,0))</f>
        <v>50.5</v>
      </c>
      <c r="N89" s="460" t="str">
        <f>IF(+All!$F823="New Mexico State",+All!N823,IF(+All!$H823="New Mexico State",+All!N823,0))</f>
        <v>New Mexico State</v>
      </c>
      <c r="O89" s="462">
        <f>IF(+All!$F823="New Mexico State",+All!O823,IF(+All!$H823="New Mexico State",+All!O823,0))</f>
        <v>49</v>
      </c>
      <c r="P89" s="462" t="str">
        <f>IF(+All!$F823="New Mexico State",+All!P823,IF(+All!$H823="New Mexico State",+All!P823,0))</f>
        <v>Liberty</v>
      </c>
      <c r="Q89" s="461">
        <f>IF(+All!$F823="New Mexico State",+All!Q823,IF(+All!$H823="New Mexico State",+All!Q823,0))</f>
        <v>14</v>
      </c>
      <c r="R89" s="460" t="str">
        <f>IF(+All!$F823="New Mexico State",+All!R823,IF(+All!$H823="New Mexico State",+All!R823,0))</f>
        <v>New Mexico State</v>
      </c>
      <c r="S89" s="462" t="str">
        <f>IF(+All!$F823="New Mexico State",+All!S823,IF(+All!$H823="New Mexico State",+All!S823,0))</f>
        <v>Liberty</v>
      </c>
      <c r="T89" s="460" t="str">
        <f>IF(+All!$F823="New Mexico State",+All!T823,IF(+All!$H823="New Mexico State",+All!T823,0))</f>
        <v>Liberty</v>
      </c>
      <c r="U89" s="461" t="str">
        <f>IF(+All!$F823="New Mexico State",+All!U823,IF(+All!$H823="New Mexico State",+All!U823,0))</f>
        <v>L</v>
      </c>
    </row>
    <row r="90" spans="1:21" x14ac:dyDescent="0.8">
      <c r="B90" s="39"/>
      <c r="C90" s="40"/>
      <c r="D90" s="41"/>
      <c r="E90" s="463"/>
      <c r="F90" s="897" t="str">
        <f>H92</f>
        <v>Notre Dame</v>
      </c>
      <c r="G90" s="903"/>
      <c r="H90" s="903"/>
      <c r="I90" s="904"/>
      <c r="J90" s="459"/>
      <c r="K90" s="463"/>
      <c r="L90" s="44"/>
      <c r="M90" s="45"/>
      <c r="N90" s="459"/>
      <c r="O90" s="5"/>
      <c r="P90" s="5"/>
      <c r="Q90" s="318"/>
      <c r="R90" s="459"/>
      <c r="S90" s="5"/>
      <c r="T90" s="459"/>
      <c r="U90" s="463"/>
    </row>
    <row r="91" spans="1:21" x14ac:dyDescent="0.8">
      <c r="A91" s="46">
        <f>IF(+All!$F80="Notre Dame",+All!A80,IF(+All!$H80="Notre Dame",+All!A80,0))</f>
        <v>1</v>
      </c>
      <c r="B91" s="348" t="str">
        <f>IF(+All!$F80="Notre Dame",+All!B80,IF(+All!$H80="Notre Dame",+All!B80,0))</f>
        <v>Sat</v>
      </c>
      <c r="C91" s="48">
        <f>IF(+All!$F80="Notre Dame",+All!C80,IF(+All!$H80="Notre Dame",+All!C80,0))</f>
        <v>44807</v>
      </c>
      <c r="D91" s="490">
        <f>IF(+All!$F80="Notre Dame",+All!D80,IF(+All!$H80="Notre Dame",+All!D80,0))</f>
        <v>0.8125</v>
      </c>
      <c r="E91" s="461" t="str">
        <f>IF(+All!$F80="Notre Dame",+All!E80,IF(+All!$H80="Notre Dame",+All!E80,0))</f>
        <v>ABC</v>
      </c>
      <c r="F91" s="51" t="str">
        <f>IF(+All!$F80="Notre Dame",+All!F80,IF(+All!$H80="Notre Dame",+All!F80,0))</f>
        <v>Notre Dame</v>
      </c>
      <c r="G91" s="52" t="str">
        <f>IF(+All!$F80="Notre Dame",+All!G80,IF(+All!$H80="Notre Dame",+All!G80,0))</f>
        <v>Ind</v>
      </c>
      <c r="H91" s="51" t="str">
        <f>IF(+All!$F80="Notre Dame",+All!H80,IF(+All!$H80="Notre Dame",+All!H80,0))</f>
        <v>Ohio State</v>
      </c>
      <c r="I91" s="52" t="str">
        <f>IF(+All!$F80="Notre Dame",+All!I80,IF(+All!$H80="Notre Dame",+All!I80,0))</f>
        <v>B10</v>
      </c>
      <c r="J91" s="460" t="str">
        <f>IF(+All!$F80="Notre Dame",+All!J80,IF(+All!$H80="Notre Dame",+All!J80,0))</f>
        <v>Ohio State</v>
      </c>
      <c r="K91" s="461" t="str">
        <f>IF(+All!$F80="Notre Dame",+All!K80,IF(+All!$H80="Notre Dame",+All!K80,0))</f>
        <v>Notre Dame</v>
      </c>
      <c r="L91" s="54">
        <f>IF(+All!$F80="Notre Dame",+All!L80,IF(+All!$H80="Notre Dame",+All!L80,0))</f>
        <v>17</v>
      </c>
      <c r="M91" s="55">
        <f>IF(+All!$F80="Notre Dame",+All!M80,IF(+All!$H80="Notre Dame",+All!M80,0))</f>
        <v>58.5</v>
      </c>
      <c r="N91" s="460" t="str">
        <f>IF(+All!$F80="Notre Dame",+All!N80,IF(+All!$H80="Notre Dame",+All!N80,0))</f>
        <v>Ohio State</v>
      </c>
      <c r="O91" s="462">
        <f>IF(+All!$F80="Notre Dame",+All!O80,IF(+All!$H80="Notre Dame",+All!O80,0))</f>
        <v>21</v>
      </c>
      <c r="P91" s="462" t="str">
        <f>IF(+All!$F80="Notre Dame",+All!P80,IF(+All!$H80="Notre Dame",+All!P80,0))</f>
        <v>Notre Dame</v>
      </c>
      <c r="Q91" s="461">
        <f>IF(+All!$F80="Notre Dame",+All!Q80,IF(+All!$H80="Notre Dame",+All!Q80,0))</f>
        <v>10</v>
      </c>
      <c r="R91" s="460" t="str">
        <f>IF(+All!$F80="Notre Dame",+All!R80,IF(+All!$H80="Notre Dame",+All!R80,0))</f>
        <v>Notre Dame</v>
      </c>
      <c r="S91" s="462" t="str">
        <f>IF(+All!$F80="Notre Dame",+All!S80,IF(+All!$H80="Notre Dame",+All!S80,0))</f>
        <v>Ohio State</v>
      </c>
      <c r="T91" s="460" t="str">
        <f>IF(+All!$F80="Notre Dame",+All!T80,IF(+All!$H80="Notre Dame",+All!T80,0))</f>
        <v>Notre Dame</v>
      </c>
      <c r="U91" s="461" t="str">
        <f>IF(+All!$F80="Notre Dame",+All!U80,IF(+All!$H80="Notre Dame",+All!U80,0))</f>
        <v>W</v>
      </c>
    </row>
    <row r="92" spans="1:21" x14ac:dyDescent="0.8">
      <c r="A92" s="46">
        <f>IF(+All!$F144="Notre Dame",+All!A144,IF(+All!$H144="Notre Dame",+All!A144,0))</f>
        <v>2</v>
      </c>
      <c r="B92" s="348" t="str">
        <f>IF(+All!$F144="Notre Dame",+All!B144,IF(+All!$H144="Notre Dame",+All!B144,0))</f>
        <v>Sat</v>
      </c>
      <c r="C92" s="48">
        <f>IF(+All!$F144="Notre Dame",+All!C144,IF(+All!$H144="Notre Dame",+All!C144,0))</f>
        <v>44814</v>
      </c>
      <c r="D92" s="490">
        <f>IF(+All!$F144="Notre Dame",+All!D144,IF(+All!$H144="Notre Dame",+All!D144,0))</f>
        <v>0.60416666666666663</v>
      </c>
      <c r="E92" s="461" t="str">
        <f>IF(+All!$F144="Notre Dame",+All!E144,IF(+All!$H144="Notre Dame",+All!E144,0))</f>
        <v>NBC</v>
      </c>
      <c r="F92" s="51" t="str">
        <f>IF(+All!$F144="Notre Dame",+All!F144,IF(+All!$H144="Notre Dame",+All!F144,0))</f>
        <v>Marshall</v>
      </c>
      <c r="G92" s="52" t="str">
        <f>IF(+All!$F144="Notre Dame",+All!G144,IF(+All!$H144="Notre Dame",+All!G144,0))</f>
        <v>SB</v>
      </c>
      <c r="H92" s="51" t="str">
        <f>IF(+All!$F144="Notre Dame",+All!H144,IF(+All!$H144="Notre Dame",+All!H144,0))</f>
        <v>Notre Dame</v>
      </c>
      <c r="I92" s="52" t="str">
        <f>IF(+All!$F144="Notre Dame",+All!I144,IF(+All!$H144="Notre Dame",+All!I144,0))</f>
        <v>Ind</v>
      </c>
      <c r="J92" s="460" t="str">
        <f>IF(+All!$F144="Notre Dame",+All!J144,IF(+All!$H144="Notre Dame",+All!J144,0))</f>
        <v>Notre Dame</v>
      </c>
      <c r="K92" s="461" t="str">
        <f>IF(+All!$F144="Notre Dame",+All!K144,IF(+All!$H144="Notre Dame",+All!K144,0))</f>
        <v>Marshall</v>
      </c>
      <c r="L92" s="54">
        <f>IF(+All!$F144="Notre Dame",+All!L144,IF(+All!$H144="Notre Dame",+All!L144,0))</f>
        <v>20.5</v>
      </c>
      <c r="M92" s="55">
        <f>IF(+All!$F144="Notre Dame",+All!M144,IF(+All!$H144="Notre Dame",+All!M144,0))</f>
        <v>51.5</v>
      </c>
      <c r="N92" s="460" t="str">
        <f>IF(+All!$F144="Notre Dame",+All!N144,IF(+All!$H144="Notre Dame",+All!N144,0))</f>
        <v>Marshall</v>
      </c>
      <c r="O92" s="462">
        <f>IF(+All!$F144="Notre Dame",+All!O144,IF(+All!$H144="Notre Dame",+All!O144,0))</f>
        <v>26</v>
      </c>
      <c r="P92" s="462" t="str">
        <f>IF(+All!$F144="Notre Dame",+All!P144,IF(+All!$H144="Notre Dame",+All!P144,0))</f>
        <v>Notre Dame</v>
      </c>
      <c r="Q92" s="461">
        <f>IF(+All!$F144="Notre Dame",+All!Q144,IF(+All!$H144="Notre Dame",+All!Q144,0))</f>
        <v>21</v>
      </c>
      <c r="R92" s="460" t="str">
        <f>IF(+All!$F144="Notre Dame",+All!R144,IF(+All!$H144="Notre Dame",+All!R144,0))</f>
        <v>Marshall</v>
      </c>
      <c r="S92" s="462" t="str">
        <f>IF(+All!$F144="Notre Dame",+All!S144,IF(+All!$H144="Notre Dame",+All!S144,0))</f>
        <v>Notre Dame</v>
      </c>
      <c r="T92" s="460" t="str">
        <f>IF(+All!$F144="Notre Dame",+All!T144,IF(+All!$H144="Notre Dame",+All!T144,0))</f>
        <v>Notre Dame</v>
      </c>
      <c r="U92" s="461" t="str">
        <f>IF(+All!$F144="Notre Dame",+All!U144,IF(+All!$H144="Notre Dame",+All!U144,0))</f>
        <v>L</v>
      </c>
    </row>
    <row r="93" spans="1:21" x14ac:dyDescent="0.8">
      <c r="A93" s="46">
        <f>IF(+All!$F218="Notre Dame",+All!A218,IF(+All!$H218="Notre Dame",+All!A218,0))</f>
        <v>3</v>
      </c>
      <c r="B93" s="348" t="str">
        <f>IF(+All!$F218="Notre Dame",+All!B218,IF(+All!$H218="Notre Dame",+All!B218,0))</f>
        <v>Sat</v>
      </c>
      <c r="C93" s="48">
        <f>IF(+All!$F218="Notre Dame",+All!C218,IF(+All!$H218="Notre Dame",+All!C218,0))</f>
        <v>44821</v>
      </c>
      <c r="D93" s="490">
        <f>IF(+All!$F218="Notre Dame",+All!D218,IF(+All!$H218="Notre Dame",+All!D218,0))</f>
        <v>0.60416666666666663</v>
      </c>
      <c r="E93" s="461" t="str">
        <f>IF(+All!$F218="Notre Dame",+All!E218,IF(+All!$H218="Notre Dame",+All!E218,0))</f>
        <v>NBC</v>
      </c>
      <c r="F93" s="51" t="str">
        <f>IF(+All!$F218="Notre Dame",+All!F218,IF(+All!$H218="Notre Dame",+All!F218,0))</f>
        <v>California</v>
      </c>
      <c r="G93" s="52" t="str">
        <f>IF(+All!$F218="Notre Dame",+All!G218,IF(+All!$H218="Notre Dame",+All!G218,0))</f>
        <v>P12</v>
      </c>
      <c r="H93" s="51" t="str">
        <f>IF(+All!$F218="Notre Dame",+All!H218,IF(+All!$H218="Notre Dame",+All!H218,0))</f>
        <v>Notre Dame</v>
      </c>
      <c r="I93" s="52" t="str">
        <f>IF(+All!$F218="Notre Dame",+All!I218,IF(+All!$H218="Notre Dame",+All!I218,0))</f>
        <v>Ind</v>
      </c>
      <c r="J93" s="460" t="str">
        <f>IF(+All!$F218="Notre Dame",+All!J218,IF(+All!$H218="Notre Dame",+All!J218,0))</f>
        <v>Notre Dame</v>
      </c>
      <c r="K93" s="461" t="str">
        <f>IF(+All!$F218="Notre Dame",+All!K218,IF(+All!$H218="Notre Dame",+All!K218,0))</f>
        <v>California</v>
      </c>
      <c r="L93" s="54">
        <f>IF(+All!$F218="Notre Dame",+All!L218,IF(+All!$H218="Notre Dame",+All!L218,0))</f>
        <v>11</v>
      </c>
      <c r="M93" s="55">
        <f>IF(+All!$F218="Notre Dame",+All!M218,IF(+All!$H218="Notre Dame",+All!M218,0))</f>
        <v>41</v>
      </c>
      <c r="N93" s="460" t="str">
        <f>IF(+All!$F218="Notre Dame",+All!N218,IF(+All!$H218="Notre Dame",+All!N218,0))</f>
        <v>Notre Dame</v>
      </c>
      <c r="O93" s="462">
        <f>IF(+All!$F218="Notre Dame",+All!O218,IF(+All!$H218="Notre Dame",+All!O218,0))</f>
        <v>27</v>
      </c>
      <c r="P93" s="462" t="str">
        <f>IF(+All!$F218="Notre Dame",+All!P218,IF(+All!$H218="Notre Dame",+All!P218,0))</f>
        <v>California</v>
      </c>
      <c r="Q93" s="461">
        <f>IF(+All!$F218="Notre Dame",+All!Q218,IF(+All!$H218="Notre Dame",+All!Q218,0))</f>
        <v>14</v>
      </c>
      <c r="R93" s="460" t="str">
        <f>IF(+All!$F218="Notre Dame",+All!R218,IF(+All!$H218="Notre Dame",+All!R218,0))</f>
        <v>Notre Dame</v>
      </c>
      <c r="S93" s="462" t="str">
        <f>IF(+All!$F218="Notre Dame",+All!S218,IF(+All!$H218="Notre Dame",+All!S218,0))</f>
        <v>California</v>
      </c>
      <c r="T93" s="460" t="str">
        <f>IF(+All!$F218="Notre Dame",+All!T218,IF(+All!$H218="Notre Dame",+All!T218,0))</f>
        <v>Notre Dame</v>
      </c>
      <c r="U93" s="461" t="str">
        <f>IF(+All!$F218="Notre Dame",+All!U218,IF(+All!$H218="Notre Dame",+All!U218,0))</f>
        <v>W</v>
      </c>
    </row>
    <row r="94" spans="1:21" x14ac:dyDescent="0.8">
      <c r="A94" s="46">
        <f>IF(+All!$F269="Notre Dame",+All!A269,IF(+All!$H269="Notre Dame",+All!A269,0))</f>
        <v>4</v>
      </c>
      <c r="B94" s="348" t="str">
        <f>IF(+All!$F269="Notre Dame",+All!B269,IF(+All!$H269="Notre Dame",+All!B269,0))</f>
        <v>Sat</v>
      </c>
      <c r="C94" s="48">
        <f>IF(+All!$F269="Notre Dame",+All!C269,IF(+All!$H269="Notre Dame",+All!C269,0))</f>
        <v>44828</v>
      </c>
      <c r="D94" s="490">
        <f>IF(+All!$F269="Notre Dame",+All!D269,IF(+All!$H269="Notre Dame",+All!D269,0))</f>
        <v>0.64583333333333337</v>
      </c>
      <c r="E94" s="461" t="str">
        <f>IF(+All!$F269="Notre Dame",+All!E269,IF(+All!$H269="Notre Dame",+All!E269,0))</f>
        <v>ABC</v>
      </c>
      <c r="F94" s="51" t="str">
        <f>IF(+All!$F269="Notre Dame",+All!F269,IF(+All!$H269="Notre Dame",+All!F269,0))</f>
        <v>Notre Dame</v>
      </c>
      <c r="G94" s="52" t="str">
        <f>IF(+All!$F269="Notre Dame",+All!G269,IF(+All!$H269="Notre Dame",+All!G269,0))</f>
        <v>Ind</v>
      </c>
      <c r="H94" s="51" t="str">
        <f>IF(+All!$F269="Notre Dame",+All!H269,IF(+All!$H269="Notre Dame",+All!H269,0))</f>
        <v>North Carolina</v>
      </c>
      <c r="I94" s="52" t="str">
        <f>IF(+All!$F269="Notre Dame",+All!I269,IF(+All!$H269="Notre Dame",+All!I269,0))</f>
        <v>ACC</v>
      </c>
      <c r="J94" s="460" t="str">
        <f>IF(+All!$F269="Notre Dame",+All!J269,IF(+All!$H269="Notre Dame",+All!J269,0))</f>
        <v>North Carolina</v>
      </c>
      <c r="K94" s="461" t="str">
        <f>IF(+All!$F269="Notre Dame",+All!K269,IF(+All!$H269="Notre Dame",+All!K269,0))</f>
        <v>Notre Dame</v>
      </c>
      <c r="L94" s="54">
        <f>IF(+All!$F269="Notre Dame",+All!L269,IF(+All!$H269="Notre Dame",+All!L269,0))</f>
        <v>2</v>
      </c>
      <c r="M94" s="55">
        <f>IF(+All!$F269="Notre Dame",+All!M269,IF(+All!$H269="Notre Dame",+All!M269,0))</f>
        <v>56</v>
      </c>
      <c r="N94" s="460" t="str">
        <f>IF(+All!$F269="Notre Dame",+All!N269,IF(+All!$H269="Notre Dame",+All!N269,0))</f>
        <v>Notre Dame</v>
      </c>
      <c r="O94" s="462">
        <f>IF(+All!$F269="Notre Dame",+All!O269,IF(+All!$H269="Notre Dame",+All!O269,0))</f>
        <v>45</v>
      </c>
      <c r="P94" s="462" t="str">
        <f>IF(+All!$F269="Notre Dame",+All!P269,IF(+All!$H269="Notre Dame",+All!P269,0))</f>
        <v>North Carolina</v>
      </c>
      <c r="Q94" s="461">
        <f>IF(+All!$F269="Notre Dame",+All!Q269,IF(+All!$H269="Notre Dame",+All!Q269,0))</f>
        <v>32</v>
      </c>
      <c r="R94" s="460" t="str">
        <f>IF(+All!$F269="Notre Dame",+All!R269,IF(+All!$H269="Notre Dame",+All!R269,0))</f>
        <v>Notre Dame</v>
      </c>
      <c r="S94" s="462" t="str">
        <f>IF(+All!$F269="Notre Dame",+All!S269,IF(+All!$H269="Notre Dame",+All!S269,0))</f>
        <v>North Carolina</v>
      </c>
      <c r="T94" s="460" t="str">
        <f>IF(+All!$F269="Notre Dame",+All!T269,IF(+All!$H269="Notre Dame",+All!T269,0))</f>
        <v>North Carolina</v>
      </c>
      <c r="U94" s="461" t="str">
        <f>IF(+All!$F269="Notre Dame",+All!U269,IF(+All!$H269="Notre Dame",+All!U269,0))</f>
        <v>L</v>
      </c>
    </row>
    <row r="95" spans="1:21" x14ac:dyDescent="0.8">
      <c r="A95" s="46" t="e">
        <f>IF(+All!#REF!="Notre Dame",+All!#REF!,IF(+All!#REF!="Notre Dame",+All!#REF!,0))</f>
        <v>#REF!</v>
      </c>
      <c r="B95" s="348" t="e">
        <f>IF(+All!#REF!="Notre Dame",+All!#REF!,IF(+All!#REF!="Notre Dame",+All!#REF!,0))</f>
        <v>#REF!</v>
      </c>
      <c r="C95" s="48" t="e">
        <f>IF(+All!#REF!="Notre Dame",+All!#REF!,IF(+All!#REF!="Notre Dame",+All!#REF!,0))</f>
        <v>#REF!</v>
      </c>
      <c r="D95" s="490" t="e">
        <f>IF(+All!#REF!="Notre Dame",+All!#REF!,IF(+All!#REF!="Notre Dame",+All!#REF!,0))</f>
        <v>#REF!</v>
      </c>
      <c r="E95" s="461" t="e">
        <f>IF(+All!#REF!="Notre Dame",+All!#REF!,IF(+All!#REF!="Notre Dame",+All!#REF!,0))</f>
        <v>#REF!</v>
      </c>
      <c r="F95" s="51" t="e">
        <f>IF(+All!#REF!="Notre Dame",+All!#REF!,IF(+All!#REF!="Notre Dame",+All!#REF!,0))</f>
        <v>#REF!</v>
      </c>
      <c r="G95" s="52" t="e">
        <f>IF(+All!#REF!="Notre Dame",+All!#REF!,IF(+All!#REF!="Notre Dame",+All!#REF!,0))</f>
        <v>#REF!</v>
      </c>
      <c r="H95" s="51" t="e">
        <f>IF(+All!#REF!="Notre Dame",+All!#REF!,IF(+All!#REF!="Notre Dame",+All!#REF!,0))</f>
        <v>#REF!</v>
      </c>
      <c r="I95" s="52" t="e">
        <f>IF(+All!#REF!="Notre Dame",+All!#REF!,IF(+All!#REF!="Notre Dame",+All!#REF!,0))</f>
        <v>#REF!</v>
      </c>
      <c r="J95" s="460" t="e">
        <f>IF(+All!#REF!="Notre Dame",+All!#REF!,IF(+All!#REF!="Notre Dame",+All!#REF!,0))</f>
        <v>#REF!</v>
      </c>
      <c r="K95" s="461" t="e">
        <f>IF(+All!#REF!="Notre Dame",+All!#REF!,IF(+All!#REF!="Notre Dame",+All!#REF!,0))</f>
        <v>#REF!</v>
      </c>
      <c r="L95" s="54" t="e">
        <f>IF(+All!#REF!="Notre Dame",+All!#REF!,IF(+All!#REF!="Notre Dame",+All!#REF!,0))</f>
        <v>#REF!</v>
      </c>
      <c r="M95" s="55" t="e">
        <f>IF(+All!#REF!="Notre Dame",+All!#REF!,IF(+All!#REF!="Notre Dame",+All!#REF!,0))</f>
        <v>#REF!</v>
      </c>
      <c r="N95" s="460" t="e">
        <f>IF(+All!#REF!="Notre Dame",+All!#REF!,IF(+All!#REF!="Notre Dame",+All!#REF!,0))</f>
        <v>#REF!</v>
      </c>
      <c r="O95" s="462" t="e">
        <f>IF(+All!#REF!="Notre Dame",+All!#REF!,IF(+All!#REF!="Notre Dame",+All!#REF!,0))</f>
        <v>#REF!</v>
      </c>
      <c r="P95" s="462" t="e">
        <f>IF(+All!#REF!="Notre Dame",+All!#REF!,IF(+All!#REF!="Notre Dame",+All!#REF!,0))</f>
        <v>#REF!</v>
      </c>
      <c r="Q95" s="461" t="e">
        <f>IF(+All!#REF!="Notre Dame",+All!#REF!,IF(+All!#REF!="Notre Dame",+All!#REF!,0))</f>
        <v>#REF!</v>
      </c>
      <c r="R95" s="460" t="e">
        <f>IF(+All!#REF!="Notre Dame",+All!#REF!,IF(+All!#REF!="Notre Dame",+All!#REF!,0))</f>
        <v>#REF!</v>
      </c>
      <c r="S95" s="462" t="e">
        <f>IF(+All!#REF!="Notre Dame",+All!#REF!,IF(+All!#REF!="Notre Dame",+All!#REF!,0))</f>
        <v>#REF!</v>
      </c>
      <c r="T95" s="460" t="e">
        <f>IF(+All!#REF!="Notre Dame",+All!#REF!,IF(+All!#REF!="Notre Dame",+All!#REF!,0))</f>
        <v>#REF!</v>
      </c>
      <c r="U95" s="461" t="e">
        <f>IF(+All!#REF!="Notre Dame",+All!#REF!,IF(+All!#REF!="Notre Dame",+All!#REF!,0))</f>
        <v>#REF!</v>
      </c>
    </row>
    <row r="96" spans="1:21" x14ac:dyDescent="0.8">
      <c r="A96" s="46">
        <f>IF(+All!$F409="Notre Dame",+All!A409,IF(+All!$H409="Notre Dame",+All!A409,0))</f>
        <v>6</v>
      </c>
      <c r="B96" s="348" t="str">
        <f>IF(+All!$F409="Notre Dame",+All!B409,IF(+All!$H409="Notre Dame",+All!B409,0))</f>
        <v>Sat</v>
      </c>
      <c r="C96" s="48">
        <f>IF(+All!$F409="Notre Dame",+All!C409,IF(+All!$H409="Notre Dame",+All!C409,0))</f>
        <v>44842</v>
      </c>
      <c r="D96" s="490">
        <f>IF(+All!$F409="Notre Dame",+All!D409,IF(+All!$H409="Notre Dame",+All!D409,0))</f>
        <v>0.8125</v>
      </c>
      <c r="E96" s="461" t="str">
        <f>IF(+All!$F409="Notre Dame",+All!E409,IF(+All!$H409="Notre Dame",+All!E409,0))</f>
        <v>NBC</v>
      </c>
      <c r="F96" s="51" t="str">
        <f>IF(+All!$F409="Notre Dame",+All!F409,IF(+All!$H409="Notre Dame",+All!F409,0))</f>
        <v>Notre Dame</v>
      </c>
      <c r="G96" s="52" t="str">
        <f>IF(+All!$F409="Notre Dame",+All!G409,IF(+All!$H409="Notre Dame",+All!G409,0))</f>
        <v>Ind</v>
      </c>
      <c r="H96" s="51" t="str">
        <f>IF(+All!$F409="Notre Dame",+All!H409,IF(+All!$H409="Notre Dame",+All!H409,0))</f>
        <v>BYU</v>
      </c>
      <c r="I96" s="52" t="str">
        <f>IF(+All!$F409="Notre Dame",+All!I409,IF(+All!$H409="Notre Dame",+All!I409,0))</f>
        <v>Ind</v>
      </c>
      <c r="J96" s="460" t="str">
        <f>IF(+All!$F409="Notre Dame",+All!J409,IF(+All!$H409="Notre Dame",+All!J409,0))</f>
        <v>Notre Dame</v>
      </c>
      <c r="K96" s="461" t="str">
        <f>IF(+All!$F409="Notre Dame",+All!K409,IF(+All!$H409="Notre Dame",+All!K409,0))</f>
        <v>BYU</v>
      </c>
      <c r="L96" s="54">
        <f>IF(+All!$F409="Notre Dame",+All!L409,IF(+All!$H409="Notre Dame",+All!L409,0))</f>
        <v>3.5</v>
      </c>
      <c r="M96" s="55">
        <f>IF(+All!$F409="Notre Dame",+All!M409,IF(+All!$H409="Notre Dame",+All!M409,0))</f>
        <v>52</v>
      </c>
      <c r="N96" s="460" t="str">
        <f>IF(+All!$F409="Notre Dame",+All!N409,IF(+All!$H409="Notre Dame",+All!N409,0))</f>
        <v>Notre Dame</v>
      </c>
      <c r="O96" s="462">
        <f>IF(+All!$F409="Notre Dame",+All!O409,IF(+All!$H409="Notre Dame",+All!O409,0))</f>
        <v>28</v>
      </c>
      <c r="P96" s="462" t="str">
        <f>IF(+All!$F409="Notre Dame",+All!P409,IF(+All!$H409="Notre Dame",+All!P409,0))</f>
        <v>BYU</v>
      </c>
      <c r="Q96" s="461">
        <f>IF(+All!$F409="Notre Dame",+All!Q409,IF(+All!$H409="Notre Dame",+All!Q409,0))</f>
        <v>20</v>
      </c>
      <c r="R96" s="460" t="str">
        <f>IF(+All!$F409="Notre Dame",+All!R409,IF(+All!$H409="Notre Dame",+All!R409,0))</f>
        <v>Notre Dame</v>
      </c>
      <c r="S96" s="462" t="str">
        <f>IF(+All!$F409="Notre Dame",+All!S409,IF(+All!$H409="Notre Dame",+All!S409,0))</f>
        <v>BYU</v>
      </c>
      <c r="T96" s="460" t="str">
        <f>IF(+All!$F409="Notre Dame",+All!T409,IF(+All!$H409="Notre Dame",+All!T409,0))</f>
        <v>Notre Dame</v>
      </c>
      <c r="U96" s="461" t="str">
        <f>IF(+All!$F409="Notre Dame",+All!U409,IF(+All!$H409="Notre Dame",+All!U409,0))</f>
        <v>W</v>
      </c>
    </row>
    <row r="97" spans="1:21" x14ac:dyDescent="0.8">
      <c r="A97" s="46">
        <f>IF(+All!$F466="Notre Dame",+All!A466,IF(+All!$H466="Notre Dame",+All!A466,0))</f>
        <v>7</v>
      </c>
      <c r="B97" s="348" t="str">
        <f>IF(+All!$F466="Notre Dame",+All!B466,IF(+All!$H466="Notre Dame",+All!B466,0))</f>
        <v>Sat</v>
      </c>
      <c r="C97" s="48">
        <f>IF(+All!$F466="Notre Dame",+All!C466,IF(+All!$H466="Notre Dame",+All!C466,0))</f>
        <v>44849</v>
      </c>
      <c r="D97" s="490">
        <f>IF(+All!$F466="Notre Dame",+All!D466,IF(+All!$H466="Notre Dame",+All!D466,0))</f>
        <v>0.8125</v>
      </c>
      <c r="E97" s="461" t="str">
        <f>IF(+All!$F466="Notre Dame",+All!E466,IF(+All!$H466="Notre Dame",+All!E466,0))</f>
        <v>BNBC</v>
      </c>
      <c r="F97" s="51" t="str">
        <f>IF(+All!$F466="Notre Dame",+All!F466,IF(+All!$H466="Notre Dame",+All!F466,0))</f>
        <v>Stanford</v>
      </c>
      <c r="G97" s="52" t="str">
        <f>IF(+All!$F466="Notre Dame",+All!G466,IF(+All!$H466="Notre Dame",+All!G466,0))</f>
        <v>P12</v>
      </c>
      <c r="H97" s="51" t="str">
        <f>IF(+All!$F466="Notre Dame",+All!H466,IF(+All!$H466="Notre Dame",+All!H466,0))</f>
        <v>Notre Dame</v>
      </c>
      <c r="I97" s="52" t="str">
        <f>IF(+All!$F466="Notre Dame",+All!I466,IF(+All!$H466="Notre Dame",+All!I466,0))</f>
        <v>Ind</v>
      </c>
      <c r="J97" s="460" t="str">
        <f>IF(+All!$F466="Notre Dame",+All!J466,IF(+All!$H466="Notre Dame",+All!J466,0))</f>
        <v>Notre Dame</v>
      </c>
      <c r="K97" s="461" t="str">
        <f>IF(+All!$F466="Notre Dame",+All!K466,IF(+All!$H466="Notre Dame",+All!K466,0))</f>
        <v>Stanford</v>
      </c>
      <c r="L97" s="54">
        <f>IF(+All!$F466="Notre Dame",+All!L466,IF(+All!$H466="Notre Dame",+All!L466,0))</f>
        <v>17</v>
      </c>
      <c r="M97" s="55">
        <f>IF(+All!$F466="Notre Dame",+All!M466,IF(+All!$H466="Notre Dame",+All!M466,0))</f>
        <v>53</v>
      </c>
      <c r="N97" s="460" t="str">
        <f>IF(+All!$F466="Notre Dame",+All!N466,IF(+All!$H466="Notre Dame",+All!N466,0))</f>
        <v>Stanford</v>
      </c>
      <c r="O97" s="462">
        <f>IF(+All!$F466="Notre Dame",+All!O466,IF(+All!$H466="Notre Dame",+All!O466,0))</f>
        <v>16</v>
      </c>
      <c r="P97" s="462" t="str">
        <f>IF(+All!$F466="Notre Dame",+All!P466,IF(+All!$H466="Notre Dame",+All!P466,0))</f>
        <v>Notre Dame</v>
      </c>
      <c r="Q97" s="461">
        <f>IF(+All!$F466="Notre Dame",+All!Q466,IF(+All!$H466="Notre Dame",+All!Q466,0))</f>
        <v>14</v>
      </c>
      <c r="R97" s="460" t="str">
        <f>IF(+All!$F466="Notre Dame",+All!R466,IF(+All!$H466="Notre Dame",+All!R466,0))</f>
        <v>Stanford</v>
      </c>
      <c r="S97" s="462" t="str">
        <f>IF(+All!$F466="Notre Dame",+All!S466,IF(+All!$H466="Notre Dame",+All!S466,0))</f>
        <v>Notre Dame</v>
      </c>
      <c r="T97" s="460" t="str">
        <f>IF(+All!$F466="Notre Dame",+All!T466,IF(+All!$H466="Notre Dame",+All!T466,0))</f>
        <v>Stanford</v>
      </c>
      <c r="U97" s="461" t="str">
        <f>IF(+All!$F466="Notre Dame",+All!U466,IF(+All!$H466="Notre Dame",+All!U466,0))</f>
        <v>W</v>
      </c>
    </row>
    <row r="98" spans="1:21" x14ac:dyDescent="0.8">
      <c r="A98" s="46">
        <f>IF(+All!$F520="Notre Dame",+All!A520,IF(+All!$H520="Notre Dame",+All!A520,0))</f>
        <v>8</v>
      </c>
      <c r="B98" s="348" t="str">
        <f>IF(+All!$F520="Notre Dame",+All!B520,IF(+All!$H520="Notre Dame",+All!B520,0))</f>
        <v>Sat</v>
      </c>
      <c r="C98" s="48">
        <f>IF(+All!$F520="Notre Dame",+All!C520,IF(+All!$H520="Notre Dame",+All!C520,0))</f>
        <v>44856</v>
      </c>
      <c r="D98" s="490">
        <f>IF(+All!$F520="Notre Dame",+All!D520,IF(+All!$H520="Notre Dame",+All!D520,0))</f>
        <v>0.60416666666666663</v>
      </c>
      <c r="E98" s="461" t="str">
        <f>IF(+All!$F520="Notre Dame",+All!E520,IF(+All!$H520="Notre Dame",+All!E520,0))</f>
        <v>NBC</v>
      </c>
      <c r="F98" s="51" t="str">
        <f>IF(+All!$F520="Notre Dame",+All!F520,IF(+All!$H520="Notre Dame",+All!F520,0))</f>
        <v>UNLV</v>
      </c>
      <c r="G98" s="52" t="str">
        <f>IF(+All!$F520="Notre Dame",+All!G520,IF(+All!$H520="Notre Dame",+All!G520,0))</f>
        <v>MWC</v>
      </c>
      <c r="H98" s="51" t="str">
        <f>IF(+All!$F520="Notre Dame",+All!H520,IF(+All!$H520="Notre Dame",+All!H520,0))</f>
        <v>Notre Dame</v>
      </c>
      <c r="I98" s="52" t="str">
        <f>IF(+All!$F520="Notre Dame",+All!I520,IF(+All!$H520="Notre Dame",+All!I520,0))</f>
        <v>Ind</v>
      </c>
      <c r="J98" s="460" t="str">
        <f>IF(+All!$F520="Notre Dame",+All!J520,IF(+All!$H520="Notre Dame",+All!J520,0))</f>
        <v>Notre Dame</v>
      </c>
      <c r="K98" s="461" t="str">
        <f>IF(+All!$F520="Notre Dame",+All!K520,IF(+All!$H520="Notre Dame",+All!K520,0))</f>
        <v>UNLV</v>
      </c>
      <c r="L98" s="54">
        <f>IF(+All!$F520="Notre Dame",+All!L520,IF(+All!$H520="Notre Dame",+All!L520,0))</f>
        <v>24.5</v>
      </c>
      <c r="M98" s="55">
        <f>IF(+All!$F520="Notre Dame",+All!M520,IF(+All!$H520="Notre Dame",+All!M520,0))</f>
        <v>47.5</v>
      </c>
      <c r="N98" s="460" t="str">
        <f>IF(+All!$F520="Notre Dame",+All!N520,IF(+All!$H520="Notre Dame",+All!N520,0))</f>
        <v>Notre Dame</v>
      </c>
      <c r="O98" s="462">
        <f>IF(+All!$F520="Notre Dame",+All!O520,IF(+All!$H520="Notre Dame",+All!O520,0))</f>
        <v>44</v>
      </c>
      <c r="P98" s="462" t="str">
        <f>IF(+All!$F520="Notre Dame",+All!P520,IF(+All!$H520="Notre Dame",+All!P520,0))</f>
        <v>UNLV</v>
      </c>
      <c r="Q98" s="461">
        <f>IF(+All!$F520="Notre Dame",+All!Q520,IF(+All!$H520="Notre Dame",+All!Q520,0))</f>
        <v>21</v>
      </c>
      <c r="R98" s="460" t="str">
        <f>IF(+All!$F520="Notre Dame",+All!R520,IF(+All!$H520="Notre Dame",+All!R520,0))</f>
        <v>UNLV</v>
      </c>
      <c r="S98" s="462" t="str">
        <f>IF(+All!$F520="Notre Dame",+All!S520,IF(+All!$H520="Notre Dame",+All!S520,0))</f>
        <v>Notre Dame</v>
      </c>
      <c r="T98" s="460" t="str">
        <f>IF(+All!$F520="Notre Dame",+All!T520,IF(+All!$H520="Notre Dame",+All!T520,0))</f>
        <v>UNLV</v>
      </c>
      <c r="U98" s="461" t="str">
        <f>IF(+All!$F520="Notre Dame",+All!U520,IF(+All!$H520="Notre Dame",+All!U520,0))</f>
        <v>W</v>
      </c>
    </row>
    <row r="99" spans="1:21" x14ac:dyDescent="0.8">
      <c r="A99" s="46">
        <f>IF(+All!$F557="Notre Dame",+All!A557,IF(+All!$H557="Notre Dame",+All!A557,0))</f>
        <v>9</v>
      </c>
      <c r="B99" s="348" t="str">
        <f>IF(+All!$F557="Notre Dame",+All!B557,IF(+All!$H557="Notre Dame",+All!B557,0))</f>
        <v>Sat</v>
      </c>
      <c r="C99" s="48">
        <f>IF(+All!$F557="Notre Dame",+All!C557,IF(+All!$H557="Notre Dame",+All!C557,0))</f>
        <v>44863</v>
      </c>
      <c r="D99" s="490">
        <f>IF(+All!$F557="Notre Dame",+All!D557,IF(+All!$H557="Notre Dame",+All!D557,0))</f>
        <v>0.5</v>
      </c>
      <c r="E99" s="461" t="str">
        <f>IF(+All!$F557="Notre Dame",+All!E557,IF(+All!$H557="Notre Dame",+All!E557,0))</f>
        <v>ABC</v>
      </c>
      <c r="F99" s="51" t="str">
        <f>IF(+All!$F557="Notre Dame",+All!F557,IF(+All!$H557="Notre Dame",+All!F557,0))</f>
        <v>Notre Dame</v>
      </c>
      <c r="G99" s="52" t="str">
        <f>IF(+All!$F557="Notre Dame",+All!G557,IF(+All!$H557="Notre Dame",+All!G557,0))</f>
        <v>Ind</v>
      </c>
      <c r="H99" s="51" t="str">
        <f>IF(+All!$F557="Notre Dame",+All!H557,IF(+All!$H557="Notre Dame",+All!H557,0))</f>
        <v>Syracuse</v>
      </c>
      <c r="I99" s="52" t="str">
        <f>IF(+All!$F557="Notre Dame",+All!I557,IF(+All!$H557="Notre Dame",+All!I557,0))</f>
        <v>ACC</v>
      </c>
      <c r="J99" s="460" t="str">
        <f>IF(+All!$F557="Notre Dame",+All!J557,IF(+All!$H557="Notre Dame",+All!J557,0))</f>
        <v>Syracuse</v>
      </c>
      <c r="K99" s="461" t="str">
        <f>IF(+All!$F557="Notre Dame",+All!K557,IF(+All!$H557="Notre Dame",+All!K557,0))</f>
        <v>Notre Dame</v>
      </c>
      <c r="L99" s="54">
        <f>IF(+All!$F557="Notre Dame",+All!L557,IF(+All!$H557="Notre Dame",+All!L557,0))</f>
        <v>3</v>
      </c>
      <c r="M99" s="55">
        <f>IF(+All!$F557="Notre Dame",+All!M557,IF(+All!$H557="Notre Dame",+All!M557,0))</f>
        <v>47.5</v>
      </c>
      <c r="N99" s="460" t="str">
        <f>IF(+All!$F557="Notre Dame",+All!N557,IF(+All!$H557="Notre Dame",+All!N557,0))</f>
        <v>Notre Dame</v>
      </c>
      <c r="O99" s="462">
        <f>IF(+All!$F557="Notre Dame",+All!O557,IF(+All!$H557="Notre Dame",+All!O557,0))</f>
        <v>41</v>
      </c>
      <c r="P99" s="462" t="str">
        <f>IF(+All!$F557="Notre Dame",+All!P557,IF(+All!$H557="Notre Dame",+All!P557,0))</f>
        <v>Syracuse</v>
      </c>
      <c r="Q99" s="461">
        <f>IF(+All!$F557="Notre Dame",+All!Q557,IF(+All!$H557="Notre Dame",+All!Q557,0))</f>
        <v>24</v>
      </c>
      <c r="R99" s="460" t="str">
        <f>IF(+All!$F557="Notre Dame",+All!R557,IF(+All!$H557="Notre Dame",+All!R557,0))</f>
        <v>Notre Dame</v>
      </c>
      <c r="S99" s="462" t="str">
        <f>IF(+All!$F557="Notre Dame",+All!S557,IF(+All!$H557="Notre Dame",+All!S557,0))</f>
        <v>Syracuse</v>
      </c>
      <c r="T99" s="460" t="str">
        <f>IF(+All!$F557="Notre Dame",+All!T557,IF(+All!$H557="Notre Dame",+All!T557,0))</f>
        <v>Syracuse</v>
      </c>
      <c r="U99" s="461" t="str">
        <f>IF(+All!$F557="Notre Dame",+All!U557,IF(+All!$H557="Notre Dame",+All!U557,0))</f>
        <v>L</v>
      </c>
    </row>
    <row r="100" spans="1:21" x14ac:dyDescent="0.8">
      <c r="A100" s="46">
        <f>IF(+All!$F630="Notre Dame",+All!A630,IF(+All!$H630="Notre Dame",+All!A630,0))</f>
        <v>10</v>
      </c>
      <c r="B100" s="348" t="str">
        <f>IF(+All!$F630="Notre Dame",+All!B630,IF(+All!$H630="Notre Dame",+All!B630,0))</f>
        <v>Sat</v>
      </c>
      <c r="C100" s="48">
        <f>IF(+All!$F630="Notre Dame",+All!C630,IF(+All!$H630="Notre Dame",+All!C630,0))</f>
        <v>44870</v>
      </c>
      <c r="D100" s="490">
        <f>IF(+All!$F630="Notre Dame",+All!D630,IF(+All!$H630="Notre Dame",+All!D630,0))</f>
        <v>0.8125</v>
      </c>
      <c r="E100" s="461" t="str">
        <f>IF(+All!$F630="Notre Dame",+All!E630,IF(+All!$H630="Notre Dame",+All!E630,0))</f>
        <v>NBC</v>
      </c>
      <c r="F100" s="51" t="str">
        <f>IF(+All!$F630="Notre Dame",+All!F630,IF(+All!$H630="Notre Dame",+All!F630,0))</f>
        <v>Clemson</v>
      </c>
      <c r="G100" s="52" t="str">
        <f>IF(+All!$F630="Notre Dame",+All!G630,IF(+All!$H630="Notre Dame",+All!G630,0))</f>
        <v>ACC</v>
      </c>
      <c r="H100" s="51" t="str">
        <f>IF(+All!$F630="Notre Dame",+All!H630,IF(+All!$H630="Notre Dame",+All!H630,0))</f>
        <v>Notre Dame</v>
      </c>
      <c r="I100" s="52" t="str">
        <f>IF(+All!$F630="Notre Dame",+All!I630,IF(+All!$H630="Notre Dame",+All!I630,0))</f>
        <v>Ind</v>
      </c>
      <c r="J100" s="460" t="str">
        <f>IF(+All!$F630="Notre Dame",+All!J630,IF(+All!$H630="Notre Dame",+All!J630,0))</f>
        <v>Clemson</v>
      </c>
      <c r="K100" s="461" t="str">
        <f>IF(+All!$F630="Notre Dame",+All!K630,IF(+All!$H630="Notre Dame",+All!K630,0))</f>
        <v>Notre Dame</v>
      </c>
      <c r="L100" s="54">
        <f>IF(+All!$F630="Notre Dame",+All!L630,IF(+All!$H630="Notre Dame",+All!L630,0))</f>
        <v>4</v>
      </c>
      <c r="M100" s="55">
        <f>IF(+All!$F630="Notre Dame",+All!M630,IF(+All!$H630="Notre Dame",+All!M630,0))</f>
        <v>44.5</v>
      </c>
      <c r="N100" s="460" t="str">
        <f>IF(+All!$F630="Notre Dame",+All!N630,IF(+All!$H630="Notre Dame",+All!N630,0))</f>
        <v>Notre Dame</v>
      </c>
      <c r="O100" s="462">
        <f>IF(+All!$F630="Notre Dame",+All!O630,IF(+All!$H630="Notre Dame",+All!O630,0))</f>
        <v>35</v>
      </c>
      <c r="P100" s="462" t="str">
        <f>IF(+All!$F630="Notre Dame",+All!P630,IF(+All!$H630="Notre Dame",+All!P630,0))</f>
        <v>Clemson</v>
      </c>
      <c r="Q100" s="461">
        <f>IF(+All!$F630="Notre Dame",+All!Q630,IF(+All!$H630="Notre Dame",+All!Q630,0))</f>
        <v>14</v>
      </c>
      <c r="R100" s="460" t="str">
        <f>IF(+All!$F630="Notre Dame",+All!R630,IF(+All!$H630="Notre Dame",+All!R630,0))</f>
        <v>Notre Dame</v>
      </c>
      <c r="S100" s="462" t="str">
        <f>IF(+All!$F630="Notre Dame",+All!S630,IF(+All!$H630="Notre Dame",+All!S630,0))</f>
        <v>Clemson</v>
      </c>
      <c r="T100" s="460" t="str">
        <f>IF(+All!$F630="Notre Dame",+All!T630,IF(+All!$H630="Notre Dame",+All!T630,0))</f>
        <v>Clemson</v>
      </c>
      <c r="U100" s="461" t="str">
        <f>IF(+All!$F630="Notre Dame",+All!U630,IF(+All!$H630="Notre Dame",+All!U630,0))</f>
        <v>L</v>
      </c>
    </row>
    <row r="101" spans="1:21" x14ac:dyDescent="0.8">
      <c r="A101" s="46">
        <f>IF(+All!$F665="Notre Dame",+All!A665,IF(+All!$H665="Notre Dame",+All!A665,0))</f>
        <v>11</v>
      </c>
      <c r="B101" s="348" t="str">
        <f>IF(+All!$F665="Notre Dame",+All!B665,IF(+All!$H665="Notre Dame",+All!B665,0))</f>
        <v>Sat</v>
      </c>
      <c r="C101" s="48">
        <f>IF(+All!$F665="Notre Dame",+All!C665,IF(+All!$H665="Notre Dame",+All!C665,0))</f>
        <v>44877</v>
      </c>
      <c r="D101" s="490">
        <f>IF(+All!$F665="Notre Dame",+All!D665,IF(+All!$H665="Notre Dame",+All!D665,0))</f>
        <v>0.5</v>
      </c>
      <c r="E101" s="461" t="str">
        <f>IF(+All!$F665="Notre Dame",+All!E665,IF(+All!$H665="Notre Dame",+All!E665,0))</f>
        <v>ABC</v>
      </c>
      <c r="F101" s="51" t="str">
        <f>IF(+All!$F665="Notre Dame",+All!F665,IF(+All!$H665="Notre Dame",+All!F665,0))</f>
        <v>Notre Dame</v>
      </c>
      <c r="G101" s="52" t="str">
        <f>IF(+All!$F665="Notre Dame",+All!G665,IF(+All!$H665="Notre Dame",+All!G665,0))</f>
        <v>Ind</v>
      </c>
      <c r="H101" s="51" t="str">
        <f>IF(+All!$F665="Notre Dame",+All!H665,IF(+All!$H665="Notre Dame",+All!H665,0))</f>
        <v>Navy</v>
      </c>
      <c r="I101" s="52" t="str">
        <f>IF(+All!$F665="Notre Dame",+All!I665,IF(+All!$H665="Notre Dame",+All!I665,0))</f>
        <v>AAC</v>
      </c>
      <c r="J101" s="460" t="str">
        <f>IF(+All!$F665="Notre Dame",+All!J665,IF(+All!$H665="Notre Dame",+All!J665,0))</f>
        <v>Notre Dame</v>
      </c>
      <c r="K101" s="461" t="str">
        <f>IF(+All!$F665="Notre Dame",+All!K665,IF(+All!$H665="Notre Dame",+All!K665,0))</f>
        <v>Navy</v>
      </c>
      <c r="L101" s="54">
        <f>IF(+All!$F665="Notre Dame",+All!L665,IF(+All!$H665="Notre Dame",+All!L665,0))</f>
        <v>17</v>
      </c>
      <c r="M101" s="55">
        <f>IF(+All!$F665="Notre Dame",+All!M665,IF(+All!$H665="Notre Dame",+All!M665,0))</f>
        <v>41.5</v>
      </c>
      <c r="N101" s="460" t="str">
        <f>IF(+All!$F665="Notre Dame",+All!N665,IF(+All!$H665="Notre Dame",+All!N665,0))</f>
        <v>Notre Dame</v>
      </c>
      <c r="O101" s="462">
        <f>IF(+All!$F665="Notre Dame",+All!O665,IF(+All!$H665="Notre Dame",+All!O665,0))</f>
        <v>35</v>
      </c>
      <c r="P101" s="462" t="str">
        <f>IF(+All!$F665="Notre Dame",+All!P665,IF(+All!$H665="Notre Dame",+All!P665,0))</f>
        <v>Navy</v>
      </c>
      <c r="Q101" s="461">
        <f>IF(+All!$F665="Notre Dame",+All!Q665,IF(+All!$H665="Notre Dame",+All!Q665,0))</f>
        <v>32</v>
      </c>
      <c r="R101" s="460" t="str">
        <f>IF(+All!$F665="Notre Dame",+All!R665,IF(+All!$H665="Notre Dame",+All!R665,0))</f>
        <v>Navy</v>
      </c>
      <c r="S101" s="462" t="str">
        <f>IF(+All!$F665="Notre Dame",+All!S665,IF(+All!$H665="Notre Dame",+All!S665,0))</f>
        <v>Notre Dame</v>
      </c>
      <c r="T101" s="460" t="str">
        <f>IF(+All!$F665="Notre Dame",+All!T665,IF(+All!$H665="Notre Dame",+All!T665,0))</f>
        <v>Navy</v>
      </c>
      <c r="U101" s="461" t="str">
        <f>IF(+All!$F665="Notre Dame",+All!U665,IF(+All!$H665="Notre Dame",+All!U665,0))</f>
        <v>W</v>
      </c>
    </row>
    <row r="102" spans="1:21" x14ac:dyDescent="0.8">
      <c r="A102" s="46">
        <f>IF(+All!$F756="Notre Dame",+All!A756,IF(+All!$H756="Notre Dame",+All!A756,0))</f>
        <v>12</v>
      </c>
      <c r="B102" s="348" t="str">
        <f>IF(+All!$F756="Notre Dame",+All!B756,IF(+All!$H756="Notre Dame",+All!B756,0))</f>
        <v>Sat</v>
      </c>
      <c r="C102" s="48">
        <f>IF(+All!$F756="Notre Dame",+All!C756,IF(+All!$H756="Notre Dame",+All!C756,0))</f>
        <v>44884</v>
      </c>
      <c r="D102" s="490">
        <f>IF(+All!$F756="Notre Dame",+All!D756,IF(+All!$H756="Notre Dame",+All!D756,0))</f>
        <v>0.60416666666666663</v>
      </c>
      <c r="E102" s="461" t="str">
        <f>IF(+All!$F756="Notre Dame",+All!E756,IF(+All!$H756="Notre Dame",+All!E756,0))</f>
        <v>NBC</v>
      </c>
      <c r="F102" s="51" t="str">
        <f>IF(+All!$F756="Notre Dame",+All!F756,IF(+All!$H756="Notre Dame",+All!F756,0))</f>
        <v>Boston College</v>
      </c>
      <c r="G102" s="52" t="str">
        <f>IF(+All!$F756="Notre Dame",+All!G756,IF(+All!$H756="Notre Dame",+All!G756,0))</f>
        <v>ACC</v>
      </c>
      <c r="H102" s="51" t="str">
        <f>IF(+All!$F756="Notre Dame",+All!H756,IF(+All!$H756="Notre Dame",+All!H756,0))</f>
        <v>Notre Dame</v>
      </c>
      <c r="I102" s="52" t="str">
        <f>IF(+All!$F756="Notre Dame",+All!I756,IF(+All!$H756="Notre Dame",+All!I756,0))</f>
        <v>Ind</v>
      </c>
      <c r="J102" s="460" t="str">
        <f>IF(+All!$F756="Notre Dame",+All!J756,IF(+All!$H756="Notre Dame",+All!J756,0))</f>
        <v>Notre Dame</v>
      </c>
      <c r="K102" s="461" t="str">
        <f>IF(+All!$F756="Notre Dame",+All!K756,IF(+All!$H756="Notre Dame",+All!K756,0))</f>
        <v>Boston College</v>
      </c>
      <c r="L102" s="54">
        <f>IF(+All!$F756="Notre Dame",+All!L756,IF(+All!$H756="Notre Dame",+All!L756,0))</f>
        <v>20.5</v>
      </c>
      <c r="M102" s="55">
        <f>IF(+All!$F756="Notre Dame",+All!M756,IF(+All!$H756="Notre Dame",+All!M756,0))</f>
        <v>44.5</v>
      </c>
      <c r="N102" s="460" t="str">
        <f>IF(+All!$F756="Notre Dame",+All!N756,IF(+All!$H756="Notre Dame",+All!N756,0))</f>
        <v>Notre Dame</v>
      </c>
      <c r="O102" s="462">
        <f>IF(+All!$F756="Notre Dame",+All!O756,IF(+All!$H756="Notre Dame",+All!O756,0))</f>
        <v>44</v>
      </c>
      <c r="P102" s="462" t="str">
        <f>IF(+All!$F756="Notre Dame",+All!P756,IF(+All!$H756="Notre Dame",+All!P756,0))</f>
        <v>Boston College</v>
      </c>
      <c r="Q102" s="461">
        <f>IF(+All!$F756="Notre Dame",+All!Q756,IF(+All!$H756="Notre Dame",+All!Q756,0))</f>
        <v>0</v>
      </c>
      <c r="R102" s="460" t="str">
        <f>IF(+All!$F756="Notre Dame",+All!R756,IF(+All!$H756="Notre Dame",+All!R756,0))</f>
        <v>Notre Dame</v>
      </c>
      <c r="S102" s="462" t="str">
        <f>IF(+All!$F756="Notre Dame",+All!S756,IF(+All!$H756="Notre Dame",+All!S756,0))</f>
        <v>Boston College</v>
      </c>
      <c r="T102" s="460" t="str">
        <f>IF(+All!$F756="Notre Dame",+All!T756,IF(+All!$H756="Notre Dame",+All!T756,0))</f>
        <v>Boston College</v>
      </c>
      <c r="U102" s="461" t="str">
        <f>IF(+All!$F756="Notre Dame",+All!U756,IF(+All!$H756="Notre Dame",+All!U756,0))</f>
        <v>L</v>
      </c>
    </row>
    <row r="103" spans="1:21" x14ac:dyDescent="0.8">
      <c r="A103" s="46">
        <f>IF(+All!$F834="Notre Dame",+All!A834,IF(+All!$H834="Notre Dame",+All!A834,0))</f>
        <v>13</v>
      </c>
      <c r="B103" s="348" t="str">
        <f>IF(+All!$F834="Notre Dame",+All!B834,IF(+All!$H834="Notre Dame",+All!B834,0))</f>
        <v>Sat</v>
      </c>
      <c r="C103" s="48">
        <f>IF(+All!$F834="Notre Dame",+All!C834,IF(+All!$H834="Notre Dame",+All!C834,0))</f>
        <v>44891</v>
      </c>
      <c r="D103" s="490">
        <f>IF(+All!$F834="Notre Dame",+All!D834,IF(+All!$H834="Notre Dame",+All!D834,0))</f>
        <v>0.8125</v>
      </c>
      <c r="E103" s="461" t="str">
        <f>IF(+All!$F834="Notre Dame",+All!E834,IF(+All!$H834="Notre Dame",+All!E834,0))</f>
        <v>ABC</v>
      </c>
      <c r="F103" s="51" t="str">
        <f>IF(+All!$F834="Notre Dame",+All!F834,IF(+All!$H834="Notre Dame",+All!F834,0))</f>
        <v>Notre Dame</v>
      </c>
      <c r="G103" s="52" t="str">
        <f>IF(+All!$F834="Notre Dame",+All!G834,IF(+All!$H834="Notre Dame",+All!G834,0))</f>
        <v>Ind</v>
      </c>
      <c r="H103" s="51" t="str">
        <f>IF(+All!$F834="Notre Dame",+All!H834,IF(+All!$H834="Notre Dame",+All!H834,0))</f>
        <v>Southern Cal</v>
      </c>
      <c r="I103" s="52" t="str">
        <f>IF(+All!$F834="Notre Dame",+All!I834,IF(+All!$H834="Notre Dame",+All!I834,0))</f>
        <v>P12</v>
      </c>
      <c r="J103" s="460" t="str">
        <f>IF(+All!$F834="Notre Dame",+All!J834,IF(+All!$H834="Notre Dame",+All!J834,0))</f>
        <v>Southern Cal</v>
      </c>
      <c r="K103" s="461" t="str">
        <f>IF(+All!$F834="Notre Dame",+All!K834,IF(+All!$H834="Notre Dame",+All!K834,0))</f>
        <v>Notre Dame</v>
      </c>
      <c r="L103" s="54">
        <f>IF(+All!$F834="Notre Dame",+All!L834,IF(+All!$H834="Notre Dame",+All!L834,0))</f>
        <v>4.5</v>
      </c>
      <c r="M103" s="55">
        <f>IF(+All!$F834="Notre Dame",+All!M834,IF(+All!$H834="Notre Dame",+All!M834,0))</f>
        <v>64.5</v>
      </c>
      <c r="N103" s="460" t="str">
        <f>IF(+All!$F834="Notre Dame",+All!N834,IF(+All!$H834="Notre Dame",+All!N834,0))</f>
        <v>Southern Cal</v>
      </c>
      <c r="O103" s="462">
        <f>IF(+All!$F834="Notre Dame",+All!O834,IF(+All!$H834="Notre Dame",+All!O834,0))</f>
        <v>38</v>
      </c>
      <c r="P103" s="462" t="str">
        <f>IF(+All!$F834="Notre Dame",+All!P834,IF(+All!$H834="Notre Dame",+All!P834,0))</f>
        <v>Notre Dame</v>
      </c>
      <c r="Q103" s="461">
        <f>IF(+All!$F834="Notre Dame",+All!Q834,IF(+All!$H834="Notre Dame",+All!Q834,0))</f>
        <v>27</v>
      </c>
      <c r="R103" s="460" t="str">
        <f>IF(+All!$F834="Notre Dame",+All!R834,IF(+All!$H834="Notre Dame",+All!R834,0))</f>
        <v>Southern Cal</v>
      </c>
      <c r="S103" s="462" t="str">
        <f>IF(+All!$F834="Notre Dame",+All!S834,IF(+All!$H834="Notre Dame",+All!S834,0))</f>
        <v>Notre Dame</v>
      </c>
      <c r="T103" s="460" t="str">
        <f>IF(+All!$F834="Notre Dame",+All!T834,IF(+All!$H834="Notre Dame",+All!T834,0))</f>
        <v>Notre Dame</v>
      </c>
      <c r="U103" s="461" t="str">
        <f>IF(+All!$F834="Notre Dame",+All!U834,IF(+All!$H834="Notre Dame",+All!U834,0))</f>
        <v>L</v>
      </c>
    </row>
  </sheetData>
  <sortState xmlns:xlrd2="http://schemas.microsoft.com/office/spreadsheetml/2017/richdata2" ref="A91:U103">
    <sortCondition ref="A91:A103"/>
    <sortCondition ref="F91:F103"/>
  </sortState>
  <mergeCells count="10">
    <mergeCell ref="F3:I3"/>
    <mergeCell ref="N1:Q1"/>
    <mergeCell ref="R1:S1"/>
    <mergeCell ref="F90:I90"/>
    <mergeCell ref="F1:I1"/>
    <mergeCell ref="F18:I18"/>
    <mergeCell ref="F32:I32"/>
    <mergeCell ref="F47:I47"/>
    <mergeCell ref="F61:I61"/>
    <mergeCell ref="F75:I75"/>
  </mergeCells>
  <pageMargins left="0.25" right="0.25" top="1" bottom="0.75" header="0.25" footer="0.25"/>
  <pageSetup scale="58" fitToHeight="0" orientation="landscape" r:id="rId1"/>
  <headerFooter alignWithMargins="0">
    <oddFooter xml:space="preserve">&amp;C&amp;36Independents
</oddFooter>
  </headerFooter>
  <rowBreaks count="1" manualBreakCount="1">
    <brk id="74" max="18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pageSetUpPr fitToPage="1"/>
  </sheetPr>
  <dimension ref="A1:W171"/>
  <sheetViews>
    <sheetView view="pageBreakPreview" topLeftCell="A128" zoomScale="75" zoomScaleNormal="75" zoomScaleSheetLayoutView="75" workbookViewId="0">
      <selection activeCell="J155" sqref="J155"/>
    </sheetView>
  </sheetViews>
  <sheetFormatPr defaultColWidth="8.86328125" defaultRowHeight="16" x14ac:dyDescent="0.8"/>
  <cols>
    <col min="1" max="1" width="5.6796875" style="46" customWidth="1"/>
    <col min="2" max="2" width="5.6796875" style="47" hidden="1" customWidth="1"/>
    <col min="3" max="3" width="13" style="72" hidden="1" customWidth="1"/>
    <col min="4" max="4" width="11.6796875" style="73" hidden="1" customWidth="1"/>
    <col min="5" max="5" width="9.1328125" style="50" hidden="1" customWidth="1"/>
    <col min="6" max="6" width="24.453125" style="460" customWidth="1"/>
    <col min="7" max="7" width="8.6796875" style="461" hidden="1" customWidth="1"/>
    <col min="8" max="8" width="24.453125" style="460" customWidth="1"/>
    <col min="9" max="9" width="8.6796875" style="461" hidden="1" customWidth="1"/>
    <col min="10" max="10" width="24.453125" style="53" customWidth="1"/>
    <col min="11" max="11" width="24.453125" style="50" customWidth="1"/>
    <col min="12" max="12" width="8" style="60" customWidth="1"/>
    <col min="13" max="13" width="8" style="61" customWidth="1"/>
    <col min="14" max="14" width="24.453125" style="53" customWidth="1"/>
    <col min="15" max="15" width="5.6796875" style="56" customWidth="1"/>
    <col min="16" max="16" width="24.453125" style="56" customWidth="1"/>
    <col min="17" max="17" width="5.6796875" style="50" customWidth="1"/>
    <col min="18" max="18" width="24.453125" style="53" customWidth="1"/>
    <col min="19" max="19" width="24.453125" style="56" customWidth="1"/>
    <col min="20" max="20" width="27.6796875" style="53" customWidth="1"/>
    <col min="21" max="21" width="6.54296875" style="50" customWidth="1"/>
    <col min="22" max="16384" width="8.86328125" style="9"/>
  </cols>
  <sheetData>
    <row r="1" spans="1:23" s="21" customFormat="1" ht="16" customHeight="1" x14ac:dyDescent="0.8">
      <c r="A1" s="10"/>
      <c r="B1" s="10"/>
      <c r="C1" s="11"/>
      <c r="D1" s="12"/>
      <c r="E1" s="13"/>
      <c r="F1" s="908" t="s">
        <v>2</v>
      </c>
      <c r="G1" s="909"/>
      <c r="H1" s="909"/>
      <c r="I1" s="910"/>
      <c r="J1" s="14"/>
      <c r="K1" s="13"/>
      <c r="L1" s="15"/>
      <c r="M1" s="16"/>
      <c r="N1" s="895" t="s">
        <v>3</v>
      </c>
      <c r="O1" s="900"/>
      <c r="P1" s="900"/>
      <c r="Q1" s="896"/>
      <c r="R1" s="895" t="s">
        <v>4</v>
      </c>
      <c r="S1" s="896"/>
      <c r="T1" s="14"/>
      <c r="U1" s="13"/>
      <c r="V1" s="9"/>
      <c r="W1" s="9"/>
    </row>
    <row r="2" spans="1:23" s="21" customFormat="1" ht="16" customHeight="1" x14ac:dyDescent="0.8">
      <c r="A2" s="22" t="s">
        <v>10</v>
      </c>
      <c r="B2" s="23" t="s">
        <v>11</v>
      </c>
      <c r="C2" s="24" t="s">
        <v>12</v>
      </c>
      <c r="D2" s="25" t="s">
        <v>13</v>
      </c>
      <c r="E2" s="26" t="s">
        <v>14</v>
      </c>
      <c r="F2" s="641" t="s">
        <v>6</v>
      </c>
      <c r="G2" s="642" t="s">
        <v>15</v>
      </c>
      <c r="H2" s="641" t="s">
        <v>8</v>
      </c>
      <c r="I2" s="642" t="s">
        <v>15</v>
      </c>
      <c r="J2" s="27" t="s">
        <v>16</v>
      </c>
      <c r="K2" s="26" t="s">
        <v>17</v>
      </c>
      <c r="L2" s="28" t="s">
        <v>18</v>
      </c>
      <c r="M2" s="29" t="s">
        <v>19</v>
      </c>
      <c r="N2" s="27" t="s">
        <v>20</v>
      </c>
      <c r="O2" s="30"/>
      <c r="P2" s="30" t="s">
        <v>21</v>
      </c>
      <c r="Q2" s="31"/>
      <c r="R2" s="27" t="s">
        <v>20</v>
      </c>
      <c r="S2" s="30" t="s">
        <v>21</v>
      </c>
      <c r="T2" s="27" t="s">
        <v>22</v>
      </c>
      <c r="U2" s="26" t="s">
        <v>23</v>
      </c>
      <c r="V2" s="9"/>
      <c r="W2" s="9"/>
    </row>
    <row r="3" spans="1:23" s="88" customFormat="1" x14ac:dyDescent="0.8">
      <c r="A3" s="38"/>
      <c r="B3" s="39"/>
      <c r="C3" s="40"/>
      <c r="D3" s="41"/>
      <c r="E3" s="463"/>
      <c r="F3" s="897" t="str">
        <f>H4</f>
        <v>Akron</v>
      </c>
      <c r="G3" s="898"/>
      <c r="H3" s="898"/>
      <c r="I3" s="899"/>
      <c r="J3" s="459"/>
      <c r="K3" s="463"/>
      <c r="L3" s="44"/>
      <c r="M3" s="45"/>
      <c r="N3" s="459"/>
      <c r="O3" s="5"/>
      <c r="P3" s="5"/>
      <c r="Q3" s="463"/>
      <c r="R3" s="459"/>
      <c r="S3" s="5"/>
      <c r="T3" s="459"/>
      <c r="U3" s="463"/>
    </row>
    <row r="4" spans="1:23" x14ac:dyDescent="0.8">
      <c r="A4" s="46">
        <f>IF(+All!$F53="Akron",+All!A53,IF(+All!$H53="Akron",+All!A53,0))</f>
        <v>1</v>
      </c>
      <c r="B4" s="348" t="str">
        <f>IF(+All!$F53="Akron",+All!B53,IF(+All!$H53="Akron",+All!B53,0))</f>
        <v>Thurs</v>
      </c>
      <c r="C4" s="48">
        <f>IF(+All!$F53="Akron",+All!C53,IF(+All!$H53="Akron",+All!C53,0))</f>
        <v>44805</v>
      </c>
      <c r="D4" s="490">
        <f>IF(+All!$F53="Akron",+All!D53,IF(+All!$H53="Akron",+All!D53,0))</f>
        <v>0.75</v>
      </c>
      <c r="E4" s="461" t="str">
        <f>IF(+All!$F53="Akron",+All!E53,IF(+All!$H53="Akron",+All!E53,0))</f>
        <v>espn3</v>
      </c>
      <c r="F4" s="51" t="str">
        <f>IF(+All!$F53="Akron",+All!F53,IF(+All!$H53="Akron",+All!F53,0))</f>
        <v>1AA St Francis PA</v>
      </c>
      <c r="G4" s="52" t="str">
        <f>IF(+All!$F53="Akron",+All!G53,IF(+All!$H53="Akron",+All!G53,0))</f>
        <v>1AA</v>
      </c>
      <c r="H4" s="51" t="str">
        <f>IF(+All!$F53="Akron",+All!H53,IF(+All!$H53="Akron",+All!H53,0))</f>
        <v>Akron</v>
      </c>
      <c r="I4" s="52" t="str">
        <f>IF(+All!$F53="Akron",+All!I53,IF(+All!$H53="Akron",+All!I53,0))</f>
        <v>MAC</v>
      </c>
      <c r="J4" s="460">
        <f>IF(+All!$F53="Akron",+All!J53,IF(+All!$H53="Akron",+All!J53,0))</f>
        <v>0</v>
      </c>
      <c r="K4" s="461">
        <f>IF(+All!$F53="Akron",+All!K53,IF(+All!$H53="Akron",+All!K53,0))</f>
        <v>0</v>
      </c>
      <c r="L4" s="54">
        <f>IF(+All!$F53="Akron",+All!L53,IF(+All!$H53="Akron",+All!L53,0))</f>
        <v>0</v>
      </c>
      <c r="M4" s="55">
        <f>IF(+All!$F53="Akron",+All!M53,IF(+All!$H53="Akron",+All!M53,0))</f>
        <v>0</v>
      </c>
      <c r="N4" s="460" t="str">
        <f>IF(+All!$F53="Akron",+All!N53,IF(+All!$H53="Akron",+All!N53,0))</f>
        <v>Akron</v>
      </c>
      <c r="O4" s="462">
        <f>IF(+All!$F53="Akron",+All!O53,IF(+All!$H53="Akron",+All!O53,0))</f>
        <v>30</v>
      </c>
      <c r="P4" s="462" t="str">
        <f>IF(+All!$F53="Akron",+All!P53,IF(+All!$H53="Akron",+All!P53,0))</f>
        <v>1AA St Francis PA</v>
      </c>
      <c r="Q4" s="461">
        <f>IF(+All!$F53="Akron",+All!Q53,IF(+All!$H53="Akron",+All!Q53,0))</f>
        <v>23</v>
      </c>
      <c r="R4" s="460">
        <f>IF(+All!$F53="Akron",+All!R53,IF(+All!$H53="Akron",+All!R53,0))</f>
        <v>0</v>
      </c>
      <c r="S4" s="462">
        <f>IF(+All!$F53="Akron",+All!S53,IF(+All!$H53="Akron",+All!S53,0))</f>
        <v>0</v>
      </c>
      <c r="T4" s="460">
        <f>IF(+All!$F53="Akron",+All!T53,IF(+All!$H53="Akron",+All!T53,0))</f>
        <v>0</v>
      </c>
      <c r="U4" s="461">
        <f>IF(+All!$F53="Akron",+All!U53,IF(+All!$H53="Akron",+All!U53,0))</f>
        <v>0</v>
      </c>
    </row>
    <row r="5" spans="1:23" x14ac:dyDescent="0.8">
      <c r="A5" s="46">
        <f>IF(+All!$F118="Akron",+All!A118,IF(+All!$H118="Akron",+All!A118,0))</f>
        <v>2</v>
      </c>
      <c r="B5" s="348" t="str">
        <f>IF(+All!$F118="Akron",+All!B118,IF(+All!$H118="Akron",+All!B118,0))</f>
        <v>Sat</v>
      </c>
      <c r="C5" s="48">
        <f>IF(+All!$F118="Akron",+All!C118,IF(+All!$H118="Akron",+All!C118,0))</f>
        <v>44814</v>
      </c>
      <c r="D5" s="490">
        <f>IF(+All!$F118="Akron",+All!D118,IF(+All!$H118="Akron",+All!D118,0))</f>
        <v>0.66666666666666663</v>
      </c>
      <c r="E5" s="461" t="str">
        <f>IF(+All!$F118="Akron",+All!E118,IF(+All!$H118="Akron",+All!E118,0))</f>
        <v>BTN</v>
      </c>
      <c r="F5" s="51" t="str">
        <f>IF(+All!$F118="Akron",+All!F118,IF(+All!$H118="Akron",+All!F118,0))</f>
        <v>Akron</v>
      </c>
      <c r="G5" s="52" t="str">
        <f>IF(+All!$F118="Akron",+All!G118,IF(+All!$H118="Akron",+All!G118,0))</f>
        <v>MAC</v>
      </c>
      <c r="H5" s="51" t="str">
        <f>IF(+All!$F118="Akron",+All!H118,IF(+All!$H118="Akron",+All!H118,0))</f>
        <v>Michigan State</v>
      </c>
      <c r="I5" s="52" t="str">
        <f>IF(+All!$F118="Akron",+All!I118,IF(+All!$H118="Akron",+All!I118,0))</f>
        <v>B10</v>
      </c>
      <c r="J5" s="460" t="str">
        <f>IF(+All!$F118="Akron",+All!J118,IF(+All!$H118="Akron",+All!J118,0))</f>
        <v>Michigan State</v>
      </c>
      <c r="K5" s="461" t="str">
        <f>IF(+All!$F118="Akron",+All!K118,IF(+All!$H118="Akron",+All!K118,0))</f>
        <v>Akron</v>
      </c>
      <c r="L5" s="54">
        <f>IF(+All!$F118="Akron",+All!L118,IF(+All!$H118="Akron",+All!L118,0))</f>
        <v>34</v>
      </c>
      <c r="M5" s="55">
        <f>IF(+All!$F118="Akron",+All!M118,IF(+All!$H118="Akron",+All!M118,0))</f>
        <v>56</v>
      </c>
      <c r="N5" s="460" t="str">
        <f>IF(+All!$F118="Akron",+All!N118,IF(+All!$H118="Akron",+All!N118,0))</f>
        <v>Michigan State</v>
      </c>
      <c r="O5" s="462">
        <f>IF(+All!$F118="Akron",+All!O118,IF(+All!$H118="Akron",+All!O118,0))</f>
        <v>52</v>
      </c>
      <c r="P5" s="462" t="str">
        <f>IF(+All!$F118="Akron",+All!P118,IF(+All!$H118="Akron",+All!P118,0))</f>
        <v>Akron</v>
      </c>
      <c r="Q5" s="461">
        <f>IF(+All!$F118="Akron",+All!Q118,IF(+All!$H118="Akron",+All!Q118,0))</f>
        <v>0</v>
      </c>
      <c r="R5" s="460" t="str">
        <f>IF(+All!$F118="Akron",+All!R118,IF(+All!$H118="Akron",+All!R118,0))</f>
        <v>Michigan State</v>
      </c>
      <c r="S5" s="462" t="str">
        <f>IF(+All!$F118="Akron",+All!S118,IF(+All!$H118="Akron",+All!S118,0))</f>
        <v>Akron</v>
      </c>
      <c r="T5" s="460" t="str">
        <f>IF(+All!$F118="Akron",+All!T118,IF(+All!$H118="Akron",+All!T118,0))</f>
        <v>Michigan State</v>
      </c>
      <c r="U5" s="461" t="str">
        <f>IF(+All!$F118="Akron",+All!U118,IF(+All!$H118="Akron",+All!U118,0))</f>
        <v>W</v>
      </c>
    </row>
    <row r="6" spans="1:23" x14ac:dyDescent="0.8">
      <c r="A6" s="46">
        <f>IF(+All!$F250="Akron",+All!A250,IF(+All!$H250="Akron",+All!A250,0))</f>
        <v>3</v>
      </c>
      <c r="B6" s="348" t="str">
        <f>IF(+All!$F250="Akron",+All!B250,IF(+All!$H250="Akron",+All!B250,0))</f>
        <v>Sat</v>
      </c>
      <c r="C6" s="48">
        <f>IF(+All!$F250="Akron",+All!C250,IF(+All!$H250="Akron",+All!C250,0))</f>
        <v>44821</v>
      </c>
      <c r="D6" s="490">
        <f>IF(+All!$F250="Akron",+All!D250,IF(+All!$H250="Akron",+All!D250,0))</f>
        <v>0.79166666666666663</v>
      </c>
      <c r="E6" s="461">
        <f>IF(+All!$F250="Akron",+All!E250,IF(+All!$H250="Akron",+All!E250,0))</f>
        <v>0</v>
      </c>
      <c r="F6" s="51" t="str">
        <f>IF(+All!$F250="Akron",+All!F250,IF(+All!$H250="Akron",+All!F250,0))</f>
        <v>Akron</v>
      </c>
      <c r="G6" s="52" t="str">
        <f>IF(+All!$F250="Akron",+All!G250,IF(+All!$H250="Akron",+All!G250,0))</f>
        <v>MAC</v>
      </c>
      <c r="H6" s="51" t="str">
        <f>IF(+All!$F250="Akron",+All!H250,IF(+All!$H250="Akron",+All!H250,0))</f>
        <v>Tennessee</v>
      </c>
      <c r="I6" s="52" t="str">
        <f>IF(+All!$F250="Akron",+All!I250,IF(+All!$H250="Akron",+All!I250,0))</f>
        <v>SEC</v>
      </c>
      <c r="J6" s="460" t="str">
        <f>IF(+All!$F250="Akron",+All!J250,IF(+All!$H250="Akron",+All!J250,0))</f>
        <v>Tennessee</v>
      </c>
      <c r="K6" s="461" t="str">
        <f>IF(+All!$F250="Akron",+All!K250,IF(+All!$H250="Akron",+All!K250,0))</f>
        <v>Akron</v>
      </c>
      <c r="L6" s="54">
        <f>IF(+All!$F250="Akron",+All!L250,IF(+All!$H250="Akron",+All!L250,0))</f>
        <v>47</v>
      </c>
      <c r="M6" s="55">
        <f>IF(+All!$F250="Akron",+All!M250,IF(+All!$H250="Akron",+All!M250,0))</f>
        <v>67</v>
      </c>
      <c r="N6" s="460" t="str">
        <f>IF(+All!$F250="Akron",+All!N250,IF(+All!$H250="Akron",+All!N250,0))</f>
        <v>Tennessee</v>
      </c>
      <c r="O6" s="462">
        <f>IF(+All!$F250="Akron",+All!O250,IF(+All!$H250="Akron",+All!O250,0))</f>
        <v>63</v>
      </c>
      <c r="P6" s="462" t="str">
        <f>IF(+All!$F250="Akron",+All!P250,IF(+All!$H250="Akron",+All!P250,0))</f>
        <v>Akron</v>
      </c>
      <c r="Q6" s="461">
        <f>IF(+All!$F250="Akron",+All!Q250,IF(+All!$H250="Akron",+All!Q250,0))</f>
        <v>6</v>
      </c>
      <c r="R6" s="460" t="str">
        <f>IF(+All!$F250="Akron",+All!R250,IF(+All!$H250="Akron",+All!R250,0))</f>
        <v>Tennessee</v>
      </c>
      <c r="S6" s="462" t="str">
        <f>IF(+All!$F250="Akron",+All!S250,IF(+All!$H250="Akron",+All!S250,0))</f>
        <v>Akron</v>
      </c>
      <c r="T6" s="460" t="str">
        <f>IF(+All!$F250="Akron",+All!T250,IF(+All!$H250="Akron",+All!T250,0))</f>
        <v>Akron</v>
      </c>
      <c r="U6" s="461" t="str">
        <f>IF(+All!$F250="Akron",+All!U250,IF(+All!$H250="Akron",+All!U250,0))</f>
        <v>L</v>
      </c>
    </row>
    <row r="7" spans="1:23" x14ac:dyDescent="0.8">
      <c r="A7" s="46">
        <f>IF(+All!$F288="Akron",+All!A288,IF(+All!$H288="Akron",+All!A288,0))</f>
        <v>4</v>
      </c>
      <c r="B7" s="348" t="str">
        <f>IF(+All!$F288="Akron",+All!B288,IF(+All!$H288="Akron",+All!B288,0))</f>
        <v>Sat</v>
      </c>
      <c r="C7" s="48">
        <f>IF(+All!$F288="Akron",+All!C288,IF(+All!$H288="Akron",+All!C288,0))</f>
        <v>44828</v>
      </c>
      <c r="D7" s="490">
        <f>IF(+All!$F288="Akron",+All!D288,IF(+All!$H288="Akron",+All!D288,0))</f>
        <v>0.75</v>
      </c>
      <c r="E7" s="461">
        <f>IF(+All!$F288="Akron",+All!E288,IF(+All!$H288="Akron",+All!E288,0))</f>
        <v>0</v>
      </c>
      <c r="F7" s="51" t="str">
        <f>IF(+All!$F288="Akron",+All!F288,IF(+All!$H288="Akron",+All!F288,0))</f>
        <v>Liberty</v>
      </c>
      <c r="G7" s="52" t="str">
        <f>IF(+All!$F288="Akron",+All!G288,IF(+All!$H288="Akron",+All!G288,0))</f>
        <v>Ind</v>
      </c>
      <c r="H7" s="51" t="str">
        <f>IF(+All!$F288="Akron",+All!H288,IF(+All!$H288="Akron",+All!H288,0))</f>
        <v>Akron</v>
      </c>
      <c r="I7" s="52" t="str">
        <f>IF(+All!$F288="Akron",+All!I288,IF(+All!$H288="Akron",+All!I288,0))</f>
        <v>MAC</v>
      </c>
      <c r="J7" s="460" t="str">
        <f>IF(+All!$F288="Akron",+All!J288,IF(+All!$H288="Akron",+All!J288,0))</f>
        <v>Liberty</v>
      </c>
      <c r="K7" s="461" t="str">
        <f>IF(+All!$F288="Akron",+All!K288,IF(+All!$H288="Akron",+All!K288,0))</f>
        <v>Akron</v>
      </c>
      <c r="L7" s="54">
        <f>IF(+All!$F288="Akron",+All!L288,IF(+All!$H288="Akron",+All!L288,0))</f>
        <v>29.5</v>
      </c>
      <c r="M7" s="55">
        <f>IF(+All!$F288="Akron",+All!M288,IF(+All!$H288="Akron",+All!M288,0))</f>
        <v>57.5</v>
      </c>
      <c r="N7" s="460" t="str">
        <f>IF(+All!$F288="Akron",+All!N288,IF(+All!$H288="Akron",+All!N288,0))</f>
        <v>Liberty</v>
      </c>
      <c r="O7" s="462">
        <f>IF(+All!$F288="Akron",+All!O288,IF(+All!$H288="Akron",+All!O288,0))</f>
        <v>21</v>
      </c>
      <c r="P7" s="462" t="str">
        <f>IF(+All!$F288="Akron",+All!P288,IF(+All!$H288="Akron",+All!P288,0))</f>
        <v>Akron</v>
      </c>
      <c r="Q7" s="461">
        <f>IF(+All!$F288="Akron",+All!Q288,IF(+All!$H288="Akron",+All!Q288,0))</f>
        <v>12</v>
      </c>
      <c r="R7" s="460" t="str">
        <f>IF(+All!$F288="Akron",+All!R288,IF(+All!$H288="Akron",+All!R288,0))</f>
        <v>Akron</v>
      </c>
      <c r="S7" s="462" t="str">
        <f>IF(+All!$F288="Akron",+All!S288,IF(+All!$H288="Akron",+All!S288,0))</f>
        <v>Liberty</v>
      </c>
      <c r="T7" s="460" t="str">
        <f>IF(+All!$F288="Akron",+All!T288,IF(+All!$H288="Akron",+All!T288,0))</f>
        <v>Liberty</v>
      </c>
      <c r="U7" s="461" t="str">
        <f>IF(+All!$F288="Akron",+All!U288,IF(+All!$H288="Akron",+All!U288,0))</f>
        <v>L</v>
      </c>
    </row>
    <row r="8" spans="1:23" x14ac:dyDescent="0.8">
      <c r="A8" s="46">
        <f>IF(+All!$F354="Akron",+All!A354,IF(+All!$H354="Akron",+All!A354,0))</f>
        <v>5</v>
      </c>
      <c r="B8" s="348" t="str">
        <f>IF(+All!$F354="Akron",+All!B354,IF(+All!$H354="Akron",+All!B354,0))</f>
        <v>Sat</v>
      </c>
      <c r="C8" s="48">
        <f>IF(+All!$F354="Akron",+All!C354,IF(+All!$H354="Akron",+All!C354,0))</f>
        <v>44835</v>
      </c>
      <c r="D8" s="490">
        <f>IF(+All!$F354="Akron",+All!D354,IF(+All!$H354="Akron",+All!D354,0))</f>
        <v>0.64583333333333337</v>
      </c>
      <c r="E8" s="461">
        <f>IF(+All!$F354="Akron",+All!E354,IF(+All!$H354="Akron",+All!E354,0))</f>
        <v>0</v>
      </c>
      <c r="F8" s="51" t="str">
        <f>IF(+All!$F354="Akron",+All!F354,IF(+All!$H354="Akron",+All!F354,0))</f>
        <v>Bowling Green</v>
      </c>
      <c r="G8" s="52" t="str">
        <f>IF(+All!$F354="Akron",+All!G354,IF(+All!$H354="Akron",+All!G354,0))</f>
        <v>MAC</v>
      </c>
      <c r="H8" s="51" t="str">
        <f>IF(+All!$F354="Akron",+All!H354,IF(+All!$H354="Akron",+All!H354,0))</f>
        <v>Akron</v>
      </c>
      <c r="I8" s="52" t="str">
        <f>IF(+All!$F354="Akron",+All!I354,IF(+All!$H354="Akron",+All!I354,0))</f>
        <v>MAC</v>
      </c>
      <c r="J8" s="460" t="str">
        <f>IF(+All!$F354="Akron",+All!J354,IF(+All!$H354="Akron",+All!J354,0))</f>
        <v>Bowling Green</v>
      </c>
      <c r="K8" s="461" t="str">
        <f>IF(+All!$F354="Akron",+All!K354,IF(+All!$H354="Akron",+All!K354,0))</f>
        <v>Akron</v>
      </c>
      <c r="L8" s="54">
        <f>IF(+All!$F354="Akron",+All!L354,IF(+All!$H354="Akron",+All!L354,0))</f>
        <v>8.5</v>
      </c>
      <c r="M8" s="55">
        <f>IF(+All!$F354="Akron",+All!M354,IF(+All!$H354="Akron",+All!M354,0))</f>
        <v>51</v>
      </c>
      <c r="N8" s="460" t="str">
        <f>IF(+All!$F354="Akron",+All!N354,IF(+All!$H354="Akron",+All!N354,0))</f>
        <v>Bowling Green</v>
      </c>
      <c r="O8" s="462">
        <f>IF(+All!$F354="Akron",+All!O354,IF(+All!$H354="Akron",+All!O354,0))</f>
        <v>42</v>
      </c>
      <c r="P8" s="462" t="str">
        <f>IF(+All!$F354="Akron",+All!P354,IF(+All!$H354="Akron",+All!P354,0))</f>
        <v>Akron</v>
      </c>
      <c r="Q8" s="461">
        <f>IF(+All!$F354="Akron",+All!Q354,IF(+All!$H354="Akron",+All!Q354,0))</f>
        <v>38</v>
      </c>
      <c r="R8" s="460" t="str">
        <f>IF(+All!$F354="Akron",+All!R354,IF(+All!$H354="Akron",+All!R354,0))</f>
        <v>Akron</v>
      </c>
      <c r="S8" s="462" t="str">
        <f>IF(+All!$F354="Akron",+All!S354,IF(+All!$H354="Akron",+All!S354,0))</f>
        <v>Bowling Green</v>
      </c>
      <c r="T8" s="460" t="str">
        <f>IF(+All!$F354="Akron",+All!T354,IF(+All!$H354="Akron",+All!T354,0))</f>
        <v>Bowling Green</v>
      </c>
      <c r="U8" s="461" t="str">
        <f>IF(+All!$F354="Akron",+All!U354,IF(+All!$H354="Akron",+All!U354,0))</f>
        <v>L</v>
      </c>
    </row>
    <row r="9" spans="1:23" x14ac:dyDescent="0.8">
      <c r="A9" s="46">
        <f>IF(+All!$F415="Akron",+All!A415,IF(+All!$H415="Akron",+All!A415,0))</f>
        <v>6</v>
      </c>
      <c r="B9" s="348" t="str">
        <f>IF(+All!$F415="Akron",+All!B415,IF(+All!$H415="Akron",+All!B415,0))</f>
        <v>Sat</v>
      </c>
      <c r="C9" s="48">
        <f>IF(+All!$F415="Akron",+All!C415,IF(+All!$H415="Akron",+All!C415,0))</f>
        <v>44842</v>
      </c>
      <c r="D9" s="490">
        <f>IF(+All!$F415="Akron",+All!D415,IF(+All!$H415="Akron",+All!D415,0))</f>
        <v>0.58333333333333337</v>
      </c>
      <c r="E9" s="461" t="str">
        <f>IF(+All!$F415="Akron",+All!E415,IF(+All!$H415="Akron",+All!E415,0))</f>
        <v>espn3</v>
      </c>
      <c r="F9" s="51" t="str">
        <f>IF(+All!$F415="Akron",+All!F415,IF(+All!$H415="Akron",+All!F415,0))</f>
        <v>Akron</v>
      </c>
      <c r="G9" s="52" t="str">
        <f>IF(+All!$F415="Akron",+All!G415,IF(+All!$H415="Akron",+All!G415,0))</f>
        <v>MAC</v>
      </c>
      <c r="H9" s="51" t="str">
        <f>IF(+All!$F415="Akron",+All!H415,IF(+All!$H415="Akron",+All!H415,0))</f>
        <v>Ohio</v>
      </c>
      <c r="I9" s="52" t="str">
        <f>IF(+All!$F415="Akron",+All!I415,IF(+All!$H415="Akron",+All!I415,0))</f>
        <v>MAC</v>
      </c>
      <c r="J9" s="460" t="str">
        <f>IF(+All!$F415="Akron",+All!J415,IF(+All!$H415="Akron",+All!J415,0))</f>
        <v>Ohio</v>
      </c>
      <c r="K9" s="461" t="str">
        <f>IF(+All!$F415="Akron",+All!K415,IF(+All!$H415="Akron",+All!K415,0))</f>
        <v>Akron</v>
      </c>
      <c r="L9" s="54">
        <f>IF(+All!$F415="Akron",+All!L415,IF(+All!$H415="Akron",+All!L415,0))</f>
        <v>11.5</v>
      </c>
      <c r="M9" s="55">
        <f>IF(+All!$F415="Akron",+All!M415,IF(+All!$H415="Akron",+All!M415,0))</f>
        <v>60</v>
      </c>
      <c r="N9" s="460" t="str">
        <f>IF(+All!$F415="Akron",+All!N415,IF(+All!$H415="Akron",+All!N415,0))</f>
        <v>Ohio</v>
      </c>
      <c r="O9" s="462">
        <f>IF(+All!$F415="Akron",+All!O415,IF(+All!$H415="Akron",+All!O415,0))</f>
        <v>55</v>
      </c>
      <c r="P9" s="462" t="str">
        <f>IF(+All!$F415="Akron",+All!P415,IF(+All!$H415="Akron",+All!P415,0))</f>
        <v>Akron</v>
      </c>
      <c r="Q9" s="461">
        <f>IF(+All!$F415="Akron",+All!Q415,IF(+All!$H415="Akron",+All!Q415,0))</f>
        <v>34</v>
      </c>
      <c r="R9" s="460" t="str">
        <f>IF(+All!$F415="Akron",+All!R415,IF(+All!$H415="Akron",+All!R415,0))</f>
        <v>Ohio</v>
      </c>
      <c r="S9" s="462" t="str">
        <f>IF(+All!$F415="Akron",+All!S415,IF(+All!$H415="Akron",+All!S415,0))</f>
        <v>Akron</v>
      </c>
      <c r="T9" s="460" t="str">
        <f>IF(+All!$F415="Akron",+All!T415,IF(+All!$H415="Akron",+All!T415,0))</f>
        <v>Ohio</v>
      </c>
      <c r="U9" s="461" t="str">
        <f>IF(+All!$F415="Akron",+All!U415,IF(+All!$H415="Akron",+All!U415,0))</f>
        <v>W</v>
      </c>
    </row>
    <row r="10" spans="1:23" x14ac:dyDescent="0.8">
      <c r="A10" s="46">
        <f>IF(+All!$F467="Akron",+All!A467,IF(+All!$H467="Akron",+All!A467,0))</f>
        <v>7</v>
      </c>
      <c r="B10" s="348" t="str">
        <f>IF(+All!$F467="Akron",+All!B467,IF(+All!$H467="Akron",+All!B467,0))</f>
        <v>Sat</v>
      </c>
      <c r="C10" s="48">
        <f>IF(+All!$F467="Akron",+All!C467,IF(+All!$H467="Akron",+All!C467,0))</f>
        <v>44849</v>
      </c>
      <c r="D10" s="490">
        <f>IF(+All!$F467="Akron",+All!D467,IF(+All!$H467="Akron",+All!D467,0))</f>
        <v>0.5</v>
      </c>
      <c r="E10" s="461">
        <f>IF(+All!$F467="Akron",+All!E467,IF(+All!$H467="Akron",+All!E467,0))</f>
        <v>0</v>
      </c>
      <c r="F10" s="51" t="str">
        <f>IF(+All!$F467="Akron",+All!F467,IF(+All!$H467="Akron",+All!F467,0))</f>
        <v>Central Michigan</v>
      </c>
      <c r="G10" s="52" t="str">
        <f>IF(+All!$F467="Akron",+All!G467,IF(+All!$H467="Akron",+All!G467,0))</f>
        <v>MAC</v>
      </c>
      <c r="H10" s="51" t="str">
        <f>IF(+All!$F467="Akron",+All!H467,IF(+All!$H467="Akron",+All!H467,0))</f>
        <v>Akron</v>
      </c>
      <c r="I10" s="52" t="str">
        <f>IF(+All!$F467="Akron",+All!I467,IF(+All!$H467="Akron",+All!I467,0))</f>
        <v>MAC</v>
      </c>
      <c r="J10" s="460" t="str">
        <f>IF(+All!$F467="Akron",+All!J467,IF(+All!$H467="Akron",+All!J467,0))</f>
        <v>Central Michigan</v>
      </c>
      <c r="K10" s="461" t="str">
        <f>IF(+All!$F467="Akron",+All!K467,IF(+All!$H467="Akron",+All!K467,0))</f>
        <v>Akron</v>
      </c>
      <c r="L10" s="54">
        <f>IF(+All!$F467="Akron",+All!L467,IF(+All!$H467="Akron",+All!L467,0))</f>
        <v>13.5</v>
      </c>
      <c r="M10" s="55">
        <f>IF(+All!$F467="Akron",+All!M467,IF(+All!$H467="Akron",+All!M467,0))</f>
        <v>59</v>
      </c>
      <c r="N10" s="460" t="str">
        <f>IF(+All!$F467="Akron",+All!N467,IF(+All!$H467="Akron",+All!N467,0))</f>
        <v>Central Michigan</v>
      </c>
      <c r="O10" s="462">
        <f>IF(+All!$F467="Akron",+All!O467,IF(+All!$H467="Akron",+All!O467,0))</f>
        <v>28</v>
      </c>
      <c r="P10" s="462" t="str">
        <f>IF(+All!$F467="Akron",+All!P467,IF(+All!$H467="Akron",+All!P467,0))</f>
        <v>Akron</v>
      </c>
      <c r="Q10" s="461">
        <f>IF(+All!$F467="Akron",+All!Q467,IF(+All!$H467="Akron",+All!Q467,0))</f>
        <v>21</v>
      </c>
      <c r="R10" s="460" t="str">
        <f>IF(+All!$F467="Akron",+All!R467,IF(+All!$H467="Akron",+All!R467,0))</f>
        <v>Akron</v>
      </c>
      <c r="S10" s="462" t="str">
        <f>IF(+All!$F467="Akron",+All!S467,IF(+All!$H467="Akron",+All!S467,0))</f>
        <v>Central Michigan</v>
      </c>
      <c r="T10" s="460" t="str">
        <f>IF(+All!$F467="Akron",+All!T467,IF(+All!$H467="Akron",+All!T467,0))</f>
        <v>Central Michigan</v>
      </c>
      <c r="U10" s="461" t="str">
        <f>IF(+All!$F467="Akron",+All!U467,IF(+All!$H467="Akron",+All!U467,0))</f>
        <v>L</v>
      </c>
    </row>
    <row r="11" spans="1:23" x14ac:dyDescent="0.8">
      <c r="A11" s="46">
        <f>IF(+All!$F524="Akron",+All!A524,IF(+All!$H524="Akron",+All!A524,0))</f>
        <v>8</v>
      </c>
      <c r="B11" s="348" t="str">
        <f>IF(+All!$F524="Akron",+All!B524,IF(+All!$H524="Akron",+All!B524,0))</f>
        <v>Sat</v>
      </c>
      <c r="C11" s="48">
        <f>IF(+All!$F524="Akron",+All!C524,IF(+All!$H524="Akron",+All!C524,0))</f>
        <v>44856</v>
      </c>
      <c r="D11" s="490">
        <f>IF(+All!$F524="Akron",+All!D524,IF(+All!$H524="Akron",+All!D524,0))</f>
        <v>0.5</v>
      </c>
      <c r="E11" s="461">
        <f>IF(+All!$F524="Akron",+All!E524,IF(+All!$H524="Akron",+All!E524,0))</f>
        <v>0</v>
      </c>
      <c r="F11" s="51" t="str">
        <f>IF(+All!$F524="Akron",+All!F524,IF(+All!$H524="Akron",+All!F524,0))</f>
        <v>Akron</v>
      </c>
      <c r="G11" s="52" t="str">
        <f>IF(+All!$F524="Akron",+All!G524,IF(+All!$H524="Akron",+All!G524,0))</f>
        <v>MAC</v>
      </c>
      <c r="H11" s="51" t="str">
        <f>IF(+All!$F524="Akron",+All!H524,IF(+All!$H524="Akron",+All!H524,0))</f>
        <v>Kent State</v>
      </c>
      <c r="I11" s="52" t="str">
        <f>IF(+All!$F524="Akron",+All!I524,IF(+All!$H524="Akron",+All!I524,0))</f>
        <v>MAC</v>
      </c>
      <c r="J11" s="460" t="str">
        <f>IF(+All!$F524="Akron",+All!J524,IF(+All!$H524="Akron",+All!J524,0))</f>
        <v>Kent State</v>
      </c>
      <c r="K11" s="461" t="str">
        <f>IF(+All!$F524="Akron",+All!K524,IF(+All!$H524="Akron",+All!K524,0))</f>
        <v>Akron</v>
      </c>
      <c r="L11" s="54">
        <f>IF(+All!$F524="Akron",+All!L524,IF(+All!$H524="Akron",+All!L524,0))</f>
        <v>19</v>
      </c>
      <c r="M11" s="55">
        <f>IF(+All!$F524="Akron",+All!M524,IF(+All!$H524="Akron",+All!M524,0))</f>
        <v>68.5</v>
      </c>
      <c r="N11" s="460" t="str">
        <f>IF(+All!$F524="Akron",+All!N524,IF(+All!$H524="Akron",+All!N524,0))</f>
        <v>Kent State</v>
      </c>
      <c r="O11" s="462">
        <f>IF(+All!$F524="Akron",+All!O524,IF(+All!$H524="Akron",+All!O524,0))</f>
        <v>33</v>
      </c>
      <c r="P11" s="462" t="str">
        <f>IF(+All!$F524="Akron",+All!P524,IF(+All!$H524="Akron",+All!P524,0))</f>
        <v>Akron</v>
      </c>
      <c r="Q11" s="461">
        <f>IF(+All!$F524="Akron",+All!Q524,IF(+All!$H524="Akron",+All!Q524,0))</f>
        <v>27</v>
      </c>
      <c r="R11" s="460" t="str">
        <f>IF(+All!$F524="Akron",+All!R524,IF(+All!$H524="Akron",+All!R524,0))</f>
        <v>Akron</v>
      </c>
      <c r="S11" s="462" t="str">
        <f>IF(+All!$F524="Akron",+All!S524,IF(+All!$H524="Akron",+All!S524,0))</f>
        <v>Kent State</v>
      </c>
      <c r="T11" s="460" t="str">
        <f>IF(+All!$F524="Akron",+All!T524,IF(+All!$H524="Akron",+All!T524,0))</f>
        <v>Akron</v>
      </c>
      <c r="U11" s="461" t="str">
        <f>IF(+All!$F524="Akron",+All!U524,IF(+All!$H524="Akron",+All!U524,0))</f>
        <v>W</v>
      </c>
    </row>
    <row r="12" spans="1:23" x14ac:dyDescent="0.8">
      <c r="A12" s="46">
        <f>IF(+All!$F574="Akron",+All!A574,IF(+All!$H574="Akron",+All!A574,0))</f>
        <v>9</v>
      </c>
      <c r="B12" s="348" t="str">
        <f>IF(+All!$F574="Akron",+All!B574,IF(+All!$H574="Akron",+All!B574,0))</f>
        <v>Sat</v>
      </c>
      <c r="C12" s="48">
        <f>IF(+All!$F574="Akron",+All!C574,IF(+All!$H574="Akron",+All!C574,0))</f>
        <v>44863</v>
      </c>
      <c r="D12" s="490">
        <f>IF(+All!$F574="Akron",+All!D574,IF(+All!$H574="Akron",+All!D574,0))</f>
        <v>0.5</v>
      </c>
      <c r="E12" s="461">
        <f>IF(+All!$F574="Akron",+All!E574,IF(+All!$H574="Akron",+All!E574,0))</f>
        <v>0</v>
      </c>
      <c r="F12" s="51" t="str">
        <f>IF(+All!$F574="Akron",+All!F574,IF(+All!$H574="Akron",+All!F574,0))</f>
        <v>Miami (OH)</v>
      </c>
      <c r="G12" s="52" t="str">
        <f>IF(+All!$F574="Akron",+All!G574,IF(+All!$H574="Akron",+All!G574,0))</f>
        <v>MAC</v>
      </c>
      <c r="H12" s="51" t="str">
        <f>IF(+All!$F574="Akron",+All!H574,IF(+All!$H574="Akron",+All!H574,0))</f>
        <v>Akron</v>
      </c>
      <c r="I12" s="52" t="str">
        <f>IF(+All!$F574="Akron",+All!I574,IF(+All!$H574="Akron",+All!I574,0))</f>
        <v>MAC</v>
      </c>
      <c r="J12" s="460" t="str">
        <f>IF(+All!$F574="Akron",+All!J574,IF(+All!$H574="Akron",+All!J574,0))</f>
        <v>Miami (OH)</v>
      </c>
      <c r="K12" s="461" t="str">
        <f>IF(+All!$F574="Akron",+All!K574,IF(+All!$H574="Akron",+All!K574,0))</f>
        <v>Akron</v>
      </c>
      <c r="L12" s="54">
        <f>IF(+All!$F574="Akron",+All!L574,IF(+All!$H574="Akron",+All!L574,0))</f>
        <v>8.5</v>
      </c>
      <c r="M12" s="55">
        <f>IF(+All!$F574="Akron",+All!M574,IF(+All!$H574="Akron",+All!M574,0))</f>
        <v>48</v>
      </c>
      <c r="N12" s="460" t="str">
        <f>IF(+All!$F574="Akron",+All!N574,IF(+All!$H574="Akron",+All!N574,0))</f>
        <v>Miami (OH)</v>
      </c>
      <c r="O12" s="462">
        <f>IF(+All!$F574="Akron",+All!O574,IF(+All!$H574="Akron",+All!O574,0))</f>
        <v>27</v>
      </c>
      <c r="P12" s="462" t="str">
        <f>IF(+All!$F574="Akron",+All!P574,IF(+All!$H574="Akron",+All!P574,0))</f>
        <v>Akron</v>
      </c>
      <c r="Q12" s="461">
        <f>IF(+All!$F574="Akron",+All!Q574,IF(+All!$H574="Akron",+All!Q574,0))</f>
        <v>9</v>
      </c>
      <c r="R12" s="460" t="str">
        <f>IF(+All!$F574="Akron",+All!R574,IF(+All!$H574="Akron",+All!R574,0))</f>
        <v>Miami (OH)</v>
      </c>
      <c r="S12" s="462" t="str">
        <f>IF(+All!$F574="Akron",+All!S574,IF(+All!$H574="Akron",+All!S574,0))</f>
        <v>Akron</v>
      </c>
      <c r="T12" s="460" t="str">
        <f>IF(+All!$F574="Akron",+All!T574,IF(+All!$H574="Akron",+All!T574,0))</f>
        <v>Miami (OH)</v>
      </c>
      <c r="U12" s="461" t="str">
        <f>IF(+All!$F574="Akron",+All!U574,IF(+All!$H574="Akron",+All!U574,0))</f>
        <v>W</v>
      </c>
    </row>
    <row r="13" spans="1:23" x14ac:dyDescent="0.8">
      <c r="A13" s="46" t="e">
        <f>IF(+All!#REF!="Akron",+All!#REF!,IF(+All!#REF!="Akron",+All!#REF!,0))</f>
        <v>#REF!</v>
      </c>
      <c r="B13" s="348" t="e">
        <f>IF(+All!#REF!="Akron",+All!#REF!,IF(+All!#REF!="Akron",+All!#REF!,0))</f>
        <v>#REF!</v>
      </c>
      <c r="C13" s="48" t="e">
        <f>IF(+All!#REF!="Akron",+All!#REF!,IF(+All!#REF!="Akron",+All!#REF!,0))</f>
        <v>#REF!</v>
      </c>
      <c r="D13" s="490" t="e">
        <f>IF(+All!#REF!="Akron",+All!#REF!,IF(+All!#REF!="Akron",+All!#REF!,0))</f>
        <v>#REF!</v>
      </c>
      <c r="E13" s="461" t="e">
        <f>IF(+All!#REF!="Akron",+All!#REF!,IF(+All!#REF!="Akron",+All!#REF!,0))</f>
        <v>#REF!</v>
      </c>
      <c r="F13" s="51" t="e">
        <f>IF(+All!#REF!="Akron",+All!#REF!,IF(+All!#REF!="Akron",+All!#REF!,0))</f>
        <v>#REF!</v>
      </c>
      <c r="G13" s="52" t="e">
        <f>IF(+All!#REF!="Akron",+All!#REF!,IF(+All!#REF!="Akron",+All!#REF!,0))</f>
        <v>#REF!</v>
      </c>
      <c r="H13" s="51" t="e">
        <f>IF(+All!#REF!="Akron",+All!#REF!,IF(+All!#REF!="Akron",+All!#REF!,0))</f>
        <v>#REF!</v>
      </c>
      <c r="I13" s="52" t="e">
        <f>IF(+All!#REF!="Akron",+All!#REF!,IF(+All!#REF!="Akron",+All!#REF!,0))</f>
        <v>#REF!</v>
      </c>
      <c r="J13" s="460" t="e">
        <f>IF(+All!#REF!="Akron",+All!#REF!,IF(+All!#REF!="Akron",+All!#REF!,0))</f>
        <v>#REF!</v>
      </c>
      <c r="K13" s="461" t="e">
        <f>IF(+All!#REF!="Akron",+All!#REF!,IF(+All!#REF!="Akron",+All!#REF!,0))</f>
        <v>#REF!</v>
      </c>
      <c r="L13" s="54" t="e">
        <f>IF(+All!#REF!="Akron",+All!#REF!,IF(+All!#REF!="Akron",+All!#REF!,0))</f>
        <v>#REF!</v>
      </c>
      <c r="M13" s="55" t="e">
        <f>IF(+All!#REF!="Akron",+All!#REF!,IF(+All!#REF!="Akron",+All!#REF!,0))</f>
        <v>#REF!</v>
      </c>
      <c r="N13" s="460" t="e">
        <f>IF(+All!#REF!="Akron",+All!#REF!,IF(+All!#REF!="Akron",+All!#REF!,0))</f>
        <v>#REF!</v>
      </c>
      <c r="O13" s="462" t="e">
        <f>IF(+All!#REF!="Akron",+All!#REF!,IF(+All!#REF!="Akron",+All!#REF!,0))</f>
        <v>#REF!</v>
      </c>
      <c r="P13" s="462" t="e">
        <f>IF(+All!#REF!="Akron",+All!#REF!,IF(+All!#REF!="Akron",+All!#REF!,0))</f>
        <v>#REF!</v>
      </c>
      <c r="Q13" s="461" t="e">
        <f>IF(+All!#REF!="Akron",+All!#REF!,IF(+All!#REF!="Akron",+All!#REF!,0))</f>
        <v>#REF!</v>
      </c>
      <c r="R13" s="460" t="e">
        <f>IF(+All!#REF!="Akron",+All!#REF!,IF(+All!#REF!="Akron",+All!#REF!,0))</f>
        <v>#REF!</v>
      </c>
      <c r="S13" s="462" t="e">
        <f>IF(+All!#REF!="Akron",+All!#REF!,IF(+All!#REF!="Akron",+All!#REF!,0))</f>
        <v>#REF!</v>
      </c>
      <c r="T13" s="460" t="e">
        <f>IF(+All!#REF!="Akron",+All!#REF!,IF(+All!#REF!="Akron",+All!#REF!,0))</f>
        <v>#REF!</v>
      </c>
      <c r="U13" s="461" t="e">
        <f>IF(+All!#REF!="Akron",+All!#REF!,IF(+All!#REF!="Akron",+All!#REF!,0))</f>
        <v>#REF!</v>
      </c>
    </row>
    <row r="14" spans="1:23" x14ac:dyDescent="0.8">
      <c r="A14" s="46">
        <f>IF(+All!$F653="Akron",+All!A653,IF(+All!$H653="Akron",+All!A653,0))</f>
        <v>11</v>
      </c>
      <c r="B14" s="348" t="str">
        <f>IF(+All!$F653="Akron",+All!B653,IF(+All!$H653="Akron",+All!B653,0))</f>
        <v>Tues</v>
      </c>
      <c r="C14" s="48">
        <f>IF(+All!$F653="Akron",+All!C653,IF(+All!$H653="Akron",+All!C653,0))</f>
        <v>44508</v>
      </c>
      <c r="D14" s="490">
        <f>IF(+All!$F653="Akron",+All!D653,IF(+All!$H653="Akron",+All!D653,0))</f>
        <v>0.79166666666666663</v>
      </c>
      <c r="E14" s="461">
        <f>IF(+All!$F653="Akron",+All!E653,IF(+All!$H653="Akron",+All!E653,0))</f>
        <v>0</v>
      </c>
      <c r="F14" s="51" t="str">
        <f>IF(+All!$F653="Akron",+All!F653,IF(+All!$H653="Akron",+All!F653,0))</f>
        <v>Eastern Michigan</v>
      </c>
      <c r="G14" s="52" t="str">
        <f>IF(+All!$F653="Akron",+All!G653,IF(+All!$H653="Akron",+All!G653,0))</f>
        <v>MAC</v>
      </c>
      <c r="H14" s="51" t="str">
        <f>IF(+All!$F653="Akron",+All!H653,IF(+All!$H653="Akron",+All!H653,0))</f>
        <v>Akron</v>
      </c>
      <c r="I14" s="52" t="str">
        <f>IF(+All!$F653="Akron",+All!I653,IF(+All!$H653="Akron",+All!I653,0))</f>
        <v>MAC</v>
      </c>
      <c r="J14" s="460" t="str">
        <f>IF(+All!$F653="Akron",+All!J653,IF(+All!$H653="Akron",+All!J653,0))</f>
        <v>Eastern Michigan</v>
      </c>
      <c r="K14" s="461" t="str">
        <f>IF(+All!$F653="Akron",+All!K653,IF(+All!$H653="Akron",+All!K653,0))</f>
        <v>Akron</v>
      </c>
      <c r="L14" s="54">
        <f>IF(+All!$F653="Akron",+All!L653,IF(+All!$H653="Akron",+All!L653,0))</f>
        <v>7</v>
      </c>
      <c r="M14" s="55">
        <f>IF(+All!$F653="Akron",+All!M653,IF(+All!$H653="Akron",+All!M653,0))</f>
        <v>56.5</v>
      </c>
      <c r="N14" s="460" t="str">
        <f>IF(+All!$F653="Akron",+All!N653,IF(+All!$H653="Akron",+All!N653,0))</f>
        <v>Eastern Michigan</v>
      </c>
      <c r="O14" s="462">
        <f>IF(+All!$F653="Akron",+All!O653,IF(+All!$H653="Akron",+All!O653,0))</f>
        <v>34</v>
      </c>
      <c r="P14" s="462" t="str">
        <f>IF(+All!$F653="Akron",+All!P653,IF(+All!$H653="Akron",+All!P653,0))</f>
        <v>Akron</v>
      </c>
      <c r="Q14" s="461">
        <f>IF(+All!$F653="Akron",+All!Q653,IF(+All!$H653="Akron",+All!Q653,0))</f>
        <v>28</v>
      </c>
      <c r="R14" s="460" t="str">
        <f>IF(+All!$F653="Akron",+All!R653,IF(+All!$H653="Akron",+All!R653,0))</f>
        <v>Akron</v>
      </c>
      <c r="S14" s="462" t="str">
        <f>IF(+All!$F653="Akron",+All!S653,IF(+All!$H653="Akron",+All!S653,0))</f>
        <v>Eastern Michigan</v>
      </c>
      <c r="T14" s="460" t="str">
        <f>IF(+All!$F653="Akron",+All!T653,IF(+All!$H653="Akron",+All!T653,0))</f>
        <v>Akron</v>
      </c>
      <c r="U14" s="461" t="str">
        <f>IF(+All!$F653="Akron",+All!U653,IF(+All!$H653="Akron",+All!U653,0))</f>
        <v>W</v>
      </c>
    </row>
    <row r="15" spans="1:23" x14ac:dyDescent="0.8">
      <c r="A15" s="46">
        <f>IF(+All!$F757="Akron",+All!A757,IF(+All!$H757="Akron",+All!A757,0))</f>
        <v>12</v>
      </c>
      <c r="B15" s="348" t="str">
        <f>IF(+All!$F757="Akron",+All!B757,IF(+All!$H757="Akron",+All!B757,0))</f>
        <v>Sat</v>
      </c>
      <c r="C15" s="48">
        <f>IF(+All!$F757="Akron",+All!C757,IF(+All!$H757="Akron",+All!C757,0))</f>
        <v>44884</v>
      </c>
      <c r="D15" s="490">
        <f>IF(+All!$F757="Akron",+All!D757,IF(+All!$H757="Akron",+All!D757,0))</f>
        <v>0.64583333333333337</v>
      </c>
      <c r="E15" s="461" t="str">
        <f>IF(+All!$F757="Akron",+All!E757,IF(+All!$H757="Akron",+All!E757,0))</f>
        <v>CBSSN</v>
      </c>
      <c r="F15" s="51" t="str">
        <f>IF(+All!$F757="Akron",+All!F757,IF(+All!$H757="Akron",+All!F757,0))</f>
        <v>Akron</v>
      </c>
      <c r="G15" s="52" t="str">
        <f>IF(+All!$F757="Akron",+All!G757,IF(+All!$H757="Akron",+All!G757,0))</f>
        <v>MAC</v>
      </c>
      <c r="H15" s="51" t="str">
        <f>IF(+All!$F757="Akron",+All!H757,IF(+All!$H757="Akron",+All!H757,0))</f>
        <v>Buffalo</v>
      </c>
      <c r="I15" s="52" t="str">
        <f>IF(+All!$F757="Akron",+All!I757,IF(+All!$H757="Akron",+All!I757,0))</f>
        <v>MAC</v>
      </c>
      <c r="J15" s="460" t="str">
        <f>IF(+All!$F757="Akron",+All!J757,IF(+All!$H757="Akron",+All!J757,0))</f>
        <v>Buffalo</v>
      </c>
      <c r="K15" s="461" t="str">
        <f>IF(+All!$F757="Akron",+All!K757,IF(+All!$H757="Akron",+All!K757,0))</f>
        <v>Akron</v>
      </c>
      <c r="L15" s="54">
        <f>IF(+All!$F757="Akron",+All!L757,IF(+All!$H757="Akron",+All!L757,0))</f>
        <v>13.5</v>
      </c>
      <c r="M15" s="55">
        <f>IF(+All!$F757="Akron",+All!M757,IF(+All!$H757="Akron",+All!M757,0))</f>
        <v>47.5</v>
      </c>
      <c r="N15" s="460">
        <f>IF(+All!$F757="Akron",+All!N757,IF(+All!$H757="Akron",+All!N757,0))</f>
        <v>0</v>
      </c>
      <c r="O15" s="462">
        <f>IF(+All!$F757="Akron",+All!O757,IF(+All!$H757="Akron",+All!O757,0))</f>
        <v>0</v>
      </c>
      <c r="P15" s="462" t="str">
        <f>IF(+All!$F757="Akron",+All!P757,IF(+All!$H757="Akron",+All!P757,0))</f>
        <v>PPD</v>
      </c>
      <c r="Q15" s="461">
        <f>IF(+All!$F757="Akron",+All!Q757,IF(+All!$H757="Akron",+All!Q757,0))</f>
        <v>0</v>
      </c>
      <c r="R15" s="460">
        <f>IF(+All!$F757="Akron",+All!R757,IF(+All!$H757="Akron",+All!R757,0))</f>
        <v>0</v>
      </c>
      <c r="S15" s="462">
        <f>IF(+All!$F757="Akron",+All!S757,IF(+All!$H757="Akron",+All!S757,0))</f>
        <v>0</v>
      </c>
      <c r="T15" s="460">
        <f>IF(+All!$F757="Akron",+All!T757,IF(+All!$H757="Akron",+All!T757,0))</f>
        <v>0</v>
      </c>
      <c r="U15" s="461">
        <f>IF(+All!$F757="Akron",+All!U757,IF(+All!$H757="Akron",+All!U757,0))</f>
        <v>0</v>
      </c>
    </row>
    <row r="16" spans="1:23" x14ac:dyDescent="0.8">
      <c r="A16" s="46">
        <f>IF(+All!$F827="Akron",+All!A827,IF(+All!$H827="Akron",+All!A827,0))</f>
        <v>13</v>
      </c>
      <c r="B16" s="348" t="str">
        <f>IF(+All!$F827="Akron",+All!B827,IF(+All!$H827="Akron",+All!B827,0))</f>
        <v>Sat</v>
      </c>
      <c r="C16" s="48">
        <f>IF(+All!$F827="Akron",+All!C827,IF(+All!$H827="Akron",+All!C827,0))</f>
        <v>44891</v>
      </c>
      <c r="D16" s="490">
        <f>IF(+All!$F827="Akron",+All!D827,IF(+All!$H827="Akron",+All!D827,0))</f>
        <v>0.5625</v>
      </c>
      <c r="E16" s="461">
        <f>IF(+All!$F827="Akron",+All!E827,IF(+All!$H827="Akron",+All!E827,0))</f>
        <v>0</v>
      </c>
      <c r="F16" s="51" t="str">
        <f>IF(+All!$F827="Akron",+All!F827,IF(+All!$H827="Akron",+All!F827,0))</f>
        <v>Akron</v>
      </c>
      <c r="G16" s="52" t="str">
        <f>IF(+All!$F827="Akron",+All!G827,IF(+All!$H827="Akron",+All!G827,0))</f>
        <v>MAC</v>
      </c>
      <c r="H16" s="51" t="str">
        <f>IF(+All!$F827="Akron",+All!H827,IF(+All!$H827="Akron",+All!H827,0))</f>
        <v>Northern Illinois</v>
      </c>
      <c r="I16" s="52" t="str">
        <f>IF(+All!$F827="Akron",+All!I827,IF(+All!$H827="Akron",+All!I827,0))</f>
        <v>MAC</v>
      </c>
      <c r="J16" s="460" t="str">
        <f>IF(+All!$F827="Akron",+All!J827,IF(+All!$H827="Akron",+All!J827,0))</f>
        <v>Northern Illinois</v>
      </c>
      <c r="K16" s="461" t="str">
        <f>IF(+All!$F827="Akron",+All!K827,IF(+All!$H827="Akron",+All!K827,0))</f>
        <v>Akron</v>
      </c>
      <c r="L16" s="54">
        <f>IF(+All!$F827="Akron",+All!L827,IF(+All!$H827="Akron",+All!L827,0))</f>
        <v>10</v>
      </c>
      <c r="M16" s="55">
        <f>IF(+All!$F827="Akron",+All!M827,IF(+All!$H827="Akron",+All!M827,0))</f>
        <v>53</v>
      </c>
      <c r="N16" s="460" t="str">
        <f>IF(+All!$F827="Akron",+All!N827,IF(+All!$H827="Akron",+All!N827,0))</f>
        <v>Akron</v>
      </c>
      <c r="O16" s="462">
        <f>IF(+All!$F827="Akron",+All!O827,IF(+All!$H827="Akron",+All!O827,0))</f>
        <v>44</v>
      </c>
      <c r="P16" s="462" t="str">
        <f>IF(+All!$F827="Akron",+All!P827,IF(+All!$H827="Akron",+All!P827,0))</f>
        <v>Northern Illinois</v>
      </c>
      <c r="Q16" s="461">
        <f>IF(+All!$F827="Akron",+All!Q827,IF(+All!$H827="Akron",+All!Q827,0))</f>
        <v>12</v>
      </c>
      <c r="R16" s="460" t="str">
        <f>IF(+All!$F827="Akron",+All!R827,IF(+All!$H827="Akron",+All!R827,0))</f>
        <v>Akron</v>
      </c>
      <c r="S16" s="462" t="str">
        <f>IF(+All!$F827="Akron",+All!S827,IF(+All!$H827="Akron",+All!S827,0))</f>
        <v>Northern Illinois</v>
      </c>
      <c r="T16" s="460" t="str">
        <f>IF(+All!$F827="Akron",+All!T827,IF(+All!$H827="Akron",+All!T827,0))</f>
        <v>Northern Illinois</v>
      </c>
      <c r="U16" s="461" t="str">
        <f>IF(+All!$F827="Akron",+All!U827,IF(+All!$H827="Akron",+All!U827,0))</f>
        <v>L</v>
      </c>
    </row>
    <row r="17" spans="1:21" s="88" customFormat="1" x14ac:dyDescent="0.8">
      <c r="A17" s="38"/>
      <c r="B17" s="39"/>
      <c r="C17" s="40"/>
      <c r="D17" s="41"/>
      <c r="E17" s="463"/>
      <c r="F17" s="897" t="str">
        <f>H19</f>
        <v>Ball State</v>
      </c>
      <c r="G17" s="898"/>
      <c r="H17" s="898"/>
      <c r="I17" s="899"/>
      <c r="J17" s="459"/>
      <c r="K17" s="463"/>
      <c r="L17" s="44"/>
      <c r="M17" s="45"/>
      <c r="N17" s="459"/>
      <c r="O17" s="5"/>
      <c r="P17" s="5"/>
      <c r="Q17" s="463"/>
      <c r="R17" s="459"/>
      <c r="S17" s="5"/>
      <c r="T17" s="459"/>
      <c r="U17" s="463"/>
    </row>
    <row r="18" spans="1:21" x14ac:dyDescent="0.8">
      <c r="A18" s="46">
        <f>IF(+All!$F19="Ball State",+All!A19,IF(+All!$H19="Ball State",+All!A19,0))</f>
        <v>1</v>
      </c>
      <c r="B18" s="348" t="str">
        <f>IF(+All!$F19="Ball State",+All!B19,IF(+All!$H19="Ball State",+All!B19,0))</f>
        <v>Thurs</v>
      </c>
      <c r="C18" s="48">
        <f>IF(+All!$F19="Ball State",+All!C19,IF(+All!$H19="Ball State",+All!C19,0))</f>
        <v>44805</v>
      </c>
      <c r="D18" s="490">
        <f>IF(+All!$F19="Ball State",+All!D19,IF(+All!$H19="Ball State",+All!D19,0))</f>
        <v>0.79166666666666663</v>
      </c>
      <c r="E18" s="461" t="str">
        <f>IF(+All!$F19="Ball State",+All!E19,IF(+All!$H19="Ball State",+All!E19,0))</f>
        <v>SEC</v>
      </c>
      <c r="F18" s="51" t="str">
        <f>IF(+All!$F19="Ball State",+All!F19,IF(+All!$H19="Ball State",+All!F19,0))</f>
        <v>Ball State</v>
      </c>
      <c r="G18" s="52" t="str">
        <f>IF(+All!$F19="Ball State",+All!G19,IF(+All!$H19="Ball State",+All!G19,0))</f>
        <v>MAC</v>
      </c>
      <c r="H18" s="51" t="str">
        <f>IF(+All!$F19="Ball State",+All!H19,IF(+All!$H19="Ball State",+All!H19,0))</f>
        <v>Tennessee</v>
      </c>
      <c r="I18" s="52" t="str">
        <f>IF(+All!$F19="Ball State",+All!I19,IF(+All!$H19="Ball State",+All!I19,0))</f>
        <v>SEC</v>
      </c>
      <c r="J18" s="460" t="str">
        <f>IF(+All!$F19="Ball State",+All!J19,IF(+All!$H19="Ball State",+All!J19,0))</f>
        <v>Tennessee</v>
      </c>
      <c r="K18" s="461" t="str">
        <f>IF(+All!$F19="Ball State",+All!K19,IF(+All!$H19="Ball State",+All!K19,0))</f>
        <v>Ball State</v>
      </c>
      <c r="L18" s="54">
        <f>IF(+All!$F19="Ball State",+All!L19,IF(+All!$H19="Ball State",+All!L19,0))</f>
        <v>35</v>
      </c>
      <c r="M18" s="55">
        <f>IF(+All!$F19="Ball State",+All!M19,IF(+All!$H19="Ball State",+All!M19,0))</f>
        <v>68.5</v>
      </c>
      <c r="N18" s="460" t="str">
        <f>IF(+All!$F19="Ball State",+All!N19,IF(+All!$H19="Ball State",+All!N19,0))</f>
        <v>Tennessee</v>
      </c>
      <c r="O18" s="462">
        <f>IF(+All!$F19="Ball State",+All!O19,IF(+All!$H19="Ball State",+All!O19,0))</f>
        <v>59</v>
      </c>
      <c r="P18" s="462" t="str">
        <f>IF(+All!$F19="Ball State",+All!P19,IF(+All!$H19="Ball State",+All!P19,0))</f>
        <v>Ball State</v>
      </c>
      <c r="Q18" s="461">
        <f>IF(+All!$F19="Ball State",+All!Q19,IF(+All!$H19="Ball State",+All!Q19,0))</f>
        <v>10</v>
      </c>
      <c r="R18" s="460" t="str">
        <f>IF(+All!$F19="Ball State",+All!R19,IF(+All!$H19="Ball State",+All!R19,0))</f>
        <v>Tennessee</v>
      </c>
      <c r="S18" s="462" t="str">
        <f>IF(+All!$F19="Ball State",+All!S19,IF(+All!$H19="Ball State",+All!S19,0))</f>
        <v>Ball State</v>
      </c>
      <c r="T18" s="460" t="str">
        <f>IF(+All!$F19="Ball State",+All!T19,IF(+All!$H19="Ball State",+All!T19,0))</f>
        <v>Tennessee</v>
      </c>
      <c r="U18" s="461" t="str">
        <f>IF(+All!$F19="Ball State",+All!U19,IF(+All!$H19="Ball State",+All!U19,0))</f>
        <v>W</v>
      </c>
    </row>
    <row r="19" spans="1:21" x14ac:dyDescent="0.8">
      <c r="A19" s="46">
        <f>IF(+All!$F145="Ball State",+All!A145,IF(+All!$H145="Ball State",+All!A145,0))</f>
        <v>2</v>
      </c>
      <c r="B19" s="348" t="str">
        <f>IF(+All!$F145="Ball State",+All!B145,IF(+All!$H145="Ball State",+All!B145,0))</f>
        <v>Sat</v>
      </c>
      <c r="C19" s="48">
        <f>IF(+All!$F145="Ball State",+All!C145,IF(+All!$H145="Ball State",+All!C145,0))</f>
        <v>44814</v>
      </c>
      <c r="D19" s="490">
        <f>IF(+All!$F145="Ball State",+All!D145,IF(+All!$H145="Ball State",+All!D145,0))</f>
        <v>0.58333333333333337</v>
      </c>
      <c r="E19" s="461">
        <f>IF(+All!$F145="Ball State",+All!E145,IF(+All!$H145="Ball State",+All!E145,0))</f>
        <v>0</v>
      </c>
      <c r="F19" s="51" t="str">
        <f>IF(+All!$F145="Ball State",+All!F145,IF(+All!$H145="Ball State",+All!F145,0))</f>
        <v>Western Michigan</v>
      </c>
      <c r="G19" s="52" t="str">
        <f>IF(+All!$F145="Ball State",+All!G145,IF(+All!$H145="Ball State",+All!G145,0))</f>
        <v>MAC</v>
      </c>
      <c r="H19" s="51" t="str">
        <f>IF(+All!$F145="Ball State",+All!H145,IF(+All!$H145="Ball State",+All!H145,0))</f>
        <v>Ball State</v>
      </c>
      <c r="I19" s="52" t="str">
        <f>IF(+All!$F145="Ball State",+All!I145,IF(+All!$H145="Ball State",+All!I145,0))</f>
        <v>MAC</v>
      </c>
      <c r="J19" s="460" t="str">
        <f>IF(+All!$F145="Ball State",+All!J145,IF(+All!$H145="Ball State",+All!J145,0))</f>
        <v>Western Michigan</v>
      </c>
      <c r="K19" s="461" t="str">
        <f>IF(+All!$F145="Ball State",+All!K145,IF(+All!$H145="Ball State",+All!K145,0))</f>
        <v>Ball State</v>
      </c>
      <c r="L19" s="54">
        <f>IF(+All!$F145="Ball State",+All!L145,IF(+All!$H145="Ball State",+All!L145,0))</f>
        <v>6.5</v>
      </c>
      <c r="M19" s="55">
        <f>IF(+All!$F145="Ball State",+All!M145,IF(+All!$H145="Ball State",+All!M145,0))</f>
        <v>53</v>
      </c>
      <c r="N19" s="460" t="str">
        <f>IF(+All!$F145="Ball State",+All!N145,IF(+All!$H145="Ball State",+All!N145,0))</f>
        <v>Western Michigan</v>
      </c>
      <c r="O19" s="462">
        <f>IF(+All!$F145="Ball State",+All!O145,IF(+All!$H145="Ball State",+All!O145,0))</f>
        <v>37</v>
      </c>
      <c r="P19" s="462" t="str">
        <f>IF(+All!$F145="Ball State",+All!P145,IF(+All!$H145="Ball State",+All!P145,0))</f>
        <v>Ball State</v>
      </c>
      <c r="Q19" s="461">
        <f>IF(+All!$F145="Ball State",+All!Q145,IF(+All!$H145="Ball State",+All!Q145,0))</f>
        <v>30</v>
      </c>
      <c r="R19" s="460" t="str">
        <f>IF(+All!$F145="Ball State",+All!R145,IF(+All!$H145="Ball State",+All!R145,0))</f>
        <v>Western Michigan</v>
      </c>
      <c r="S19" s="462" t="str">
        <f>IF(+All!$F145="Ball State",+All!S145,IF(+All!$H145="Ball State",+All!S145,0))</f>
        <v>Ball State</v>
      </c>
      <c r="T19" s="460" t="str">
        <f>IF(+All!$F145="Ball State",+All!T145,IF(+All!$H145="Ball State",+All!T145,0))</f>
        <v>Western Michigan</v>
      </c>
      <c r="U19" s="461" t="str">
        <f>IF(+All!$F145="Ball State",+All!U145,IF(+All!$H145="Ball State",+All!U145,0))</f>
        <v>W</v>
      </c>
    </row>
    <row r="20" spans="1:21" x14ac:dyDescent="0.8">
      <c r="A20" s="46">
        <f>IF(+All!$F219="Ball State",+All!A219,IF(+All!$H219="Ball State",+All!A219,0))</f>
        <v>3</v>
      </c>
      <c r="B20" s="348" t="str">
        <f>IF(+All!$F219="Ball State",+All!B219,IF(+All!$H219="Ball State",+All!B219,0))</f>
        <v>Sat</v>
      </c>
      <c r="C20" s="48">
        <f>IF(+All!$F219="Ball State",+All!C219,IF(+All!$H219="Ball State",+All!C219,0))</f>
        <v>44821</v>
      </c>
      <c r="D20" s="490">
        <f>IF(+All!$F219="Ball State",+All!D219,IF(+All!$H219="Ball State",+All!D219,0))</f>
        <v>0.58333333333333337</v>
      </c>
      <c r="E20" s="461">
        <f>IF(+All!$F219="Ball State",+All!E219,IF(+All!$H219="Ball State",+All!E219,0))</f>
        <v>0</v>
      </c>
      <c r="F20" s="51" t="str">
        <f>IF(+All!$F219="Ball State",+All!F219,IF(+All!$H219="Ball State",+All!F219,0))</f>
        <v>1AA Murray St</v>
      </c>
      <c r="G20" s="52" t="str">
        <f>IF(+All!$F219="Ball State",+All!G219,IF(+All!$H219="Ball State",+All!G219,0))</f>
        <v>1AA</v>
      </c>
      <c r="H20" s="51" t="str">
        <f>IF(+All!$F219="Ball State",+All!H219,IF(+All!$H219="Ball State",+All!H219,0))</f>
        <v>Ball State</v>
      </c>
      <c r="I20" s="52" t="str">
        <f>IF(+All!$F219="Ball State",+All!I219,IF(+All!$H219="Ball State",+All!I219,0))</f>
        <v>MAC</v>
      </c>
      <c r="J20" s="460">
        <f>IF(+All!$F219="Ball State",+All!J219,IF(+All!$H219="Ball State",+All!J219,0))</f>
        <v>0</v>
      </c>
      <c r="K20" s="461">
        <f>IF(+All!$F219="Ball State",+All!K219,IF(+All!$H219="Ball State",+All!K219,0))</f>
        <v>0</v>
      </c>
      <c r="L20" s="54">
        <f>IF(+All!$F219="Ball State",+All!L219,IF(+All!$H219="Ball State",+All!L219,0))</f>
        <v>0</v>
      </c>
      <c r="M20" s="55">
        <f>IF(+All!$F219="Ball State",+All!M219,IF(+All!$H219="Ball State",+All!M219,0))</f>
        <v>0</v>
      </c>
      <c r="N20" s="460" t="str">
        <f>IF(+All!$F219="Ball State",+All!N219,IF(+All!$H219="Ball State",+All!N219,0))</f>
        <v>Ball State</v>
      </c>
      <c r="O20" s="462">
        <f>IF(+All!$F219="Ball State",+All!O219,IF(+All!$H219="Ball State",+All!O219,0))</f>
        <v>31</v>
      </c>
      <c r="P20" s="462" t="str">
        <f>IF(+All!$F219="Ball State",+All!P219,IF(+All!$H219="Ball State",+All!P219,0))</f>
        <v>1AA Murray St</v>
      </c>
      <c r="Q20" s="461">
        <f>IF(+All!$F219="Ball State",+All!Q219,IF(+All!$H219="Ball State",+All!Q219,0))</f>
        <v>0</v>
      </c>
      <c r="R20" s="460">
        <f>IF(+All!$F219="Ball State",+All!R219,IF(+All!$H219="Ball State",+All!R219,0))</f>
        <v>0</v>
      </c>
      <c r="S20" s="462">
        <f>IF(+All!$F219="Ball State",+All!S219,IF(+All!$H219="Ball State",+All!S219,0))</f>
        <v>0</v>
      </c>
      <c r="T20" s="460">
        <f>IF(+All!$F219="Ball State",+All!T219,IF(+All!$H219="Ball State",+All!T219,0))</f>
        <v>0</v>
      </c>
      <c r="U20" s="461">
        <f>IF(+All!$F219="Ball State",+All!U219,IF(+All!$H219="Ball State",+All!U219,0))</f>
        <v>0</v>
      </c>
    </row>
    <row r="21" spans="1:21" x14ac:dyDescent="0.8">
      <c r="A21" s="46">
        <f>IF(+All!$F302="Ball State",+All!A302,IF(+All!$H302="Ball State",+All!A302,0))</f>
        <v>4</v>
      </c>
      <c r="B21" s="348" t="str">
        <f>IF(+All!$F302="Ball State",+All!B302,IF(+All!$H302="Ball State",+All!B302,0))</f>
        <v>Sat</v>
      </c>
      <c r="C21" s="48">
        <f>IF(+All!$F302="Ball State",+All!C302,IF(+All!$H302="Ball State",+All!C302,0))</f>
        <v>44828</v>
      </c>
      <c r="D21" s="490">
        <f>IF(+All!$F302="Ball State",+All!D302,IF(+All!$H302="Ball State",+All!D302,0))</f>
        <v>0.75</v>
      </c>
      <c r="E21" s="461">
        <f>IF(+All!$F302="Ball State",+All!E302,IF(+All!$H302="Ball State",+All!E302,0))</f>
        <v>0</v>
      </c>
      <c r="F21" s="51" t="str">
        <f>IF(+All!$F302="Ball State",+All!F302,IF(+All!$H302="Ball State",+All!F302,0))</f>
        <v>Ball State</v>
      </c>
      <c r="G21" s="52" t="str">
        <f>IF(+All!$F302="Ball State",+All!G302,IF(+All!$H302="Ball State",+All!G302,0))</f>
        <v>MAC</v>
      </c>
      <c r="H21" s="51" t="str">
        <f>IF(+All!$F302="Ball State",+All!H302,IF(+All!$H302="Ball State",+All!H302,0))</f>
        <v>Georgia Southern</v>
      </c>
      <c r="I21" s="52" t="str">
        <f>IF(+All!$F302="Ball State",+All!I302,IF(+All!$H302="Ball State",+All!I302,0))</f>
        <v>SB</v>
      </c>
      <c r="J21" s="460" t="str">
        <f>IF(+All!$F302="Ball State",+All!J302,IF(+All!$H302="Ball State",+All!J302,0))</f>
        <v>Georgia Southern</v>
      </c>
      <c r="K21" s="461" t="str">
        <f>IF(+All!$F302="Ball State",+All!K302,IF(+All!$H302="Ball State",+All!K302,0))</f>
        <v>Ball State</v>
      </c>
      <c r="L21" s="54">
        <f>IF(+All!$F302="Ball State",+All!L302,IF(+All!$H302="Ball State",+All!L302,0))</f>
        <v>9.5</v>
      </c>
      <c r="M21" s="55">
        <f>IF(+All!$F302="Ball State",+All!M302,IF(+All!$H302="Ball State",+All!M302,0))</f>
        <v>66</v>
      </c>
      <c r="N21" s="460" t="str">
        <f>IF(+All!$F302="Ball State",+All!N302,IF(+All!$H302="Ball State",+All!N302,0))</f>
        <v>Georgia Southern</v>
      </c>
      <c r="O21" s="462">
        <f>IF(+All!$F302="Ball State",+All!O302,IF(+All!$H302="Ball State",+All!O302,0))</f>
        <v>34</v>
      </c>
      <c r="P21" s="462" t="str">
        <f>IF(+All!$F302="Ball State",+All!P302,IF(+All!$H302="Ball State",+All!P302,0))</f>
        <v>Ball State</v>
      </c>
      <c r="Q21" s="461">
        <f>IF(+All!$F302="Ball State",+All!Q302,IF(+All!$H302="Ball State",+All!Q302,0))</f>
        <v>23</v>
      </c>
      <c r="R21" s="460" t="str">
        <f>IF(+All!$F302="Ball State",+All!R302,IF(+All!$H302="Ball State",+All!R302,0))</f>
        <v>Georgia Southern</v>
      </c>
      <c r="S21" s="462" t="str">
        <f>IF(+All!$F302="Ball State",+All!S302,IF(+All!$H302="Ball State",+All!S302,0))</f>
        <v>Ball State</v>
      </c>
      <c r="T21" s="460" t="str">
        <f>IF(+All!$F302="Ball State",+All!T302,IF(+All!$H302="Ball State",+All!T302,0))</f>
        <v>Ball State</v>
      </c>
      <c r="U21" s="461" t="str">
        <f>IF(+All!$F302="Ball State",+All!U302,IF(+All!$H302="Ball State",+All!U302,0))</f>
        <v>L</v>
      </c>
    </row>
    <row r="22" spans="1:21" x14ac:dyDescent="0.8">
      <c r="A22" s="46">
        <f>IF(+All!$F355="Ball State",+All!A355,IF(+All!$H355="Ball State",+All!A355,0))</f>
        <v>5</v>
      </c>
      <c r="B22" s="348" t="str">
        <f>IF(+All!$F355="Ball State",+All!B355,IF(+All!$H355="Ball State",+All!B355,0))</f>
        <v>Sat</v>
      </c>
      <c r="C22" s="48">
        <f>IF(+All!$F355="Ball State",+All!C355,IF(+All!$H355="Ball State",+All!C355,0))</f>
        <v>44835</v>
      </c>
      <c r="D22" s="490">
        <f>IF(+All!$F355="Ball State",+All!D355,IF(+All!$H355="Ball State",+All!D355,0))</f>
        <v>0.58333333333333337</v>
      </c>
      <c r="E22" s="461">
        <f>IF(+All!$F355="Ball State",+All!E355,IF(+All!$H355="Ball State",+All!E355,0))</f>
        <v>0</v>
      </c>
      <c r="F22" s="51" t="str">
        <f>IF(+All!$F355="Ball State",+All!F355,IF(+All!$H355="Ball State",+All!F355,0))</f>
        <v>Northern Illinois</v>
      </c>
      <c r="G22" s="52" t="str">
        <f>IF(+All!$F355="Ball State",+All!G355,IF(+All!$H355="Ball State",+All!G355,0))</f>
        <v>MAC</v>
      </c>
      <c r="H22" s="51" t="str">
        <f>IF(+All!$F355="Ball State",+All!H355,IF(+All!$H355="Ball State",+All!H355,0))</f>
        <v>Ball State</v>
      </c>
      <c r="I22" s="52" t="str">
        <f>IF(+All!$F355="Ball State",+All!I355,IF(+All!$H355="Ball State",+All!I355,0))</f>
        <v>MAC</v>
      </c>
      <c r="J22" s="460" t="str">
        <f>IF(+All!$F355="Ball State",+All!J355,IF(+All!$H355="Ball State",+All!J355,0))</f>
        <v>Northern Illinois</v>
      </c>
      <c r="K22" s="461" t="str">
        <f>IF(+All!$F355="Ball State",+All!K355,IF(+All!$H355="Ball State",+All!K355,0))</f>
        <v>Ball State</v>
      </c>
      <c r="L22" s="54">
        <f>IF(+All!$F355="Ball State",+All!L355,IF(+All!$H355="Ball State",+All!L355,0))</f>
        <v>3.5</v>
      </c>
      <c r="M22" s="55">
        <f>IF(+All!$F355="Ball State",+All!M355,IF(+All!$H355="Ball State",+All!M355,0))</f>
        <v>60.5</v>
      </c>
      <c r="N22" s="460" t="str">
        <f>IF(+All!$F355="Ball State",+All!N355,IF(+All!$H355="Ball State",+All!N355,0))</f>
        <v>Ball State</v>
      </c>
      <c r="O22" s="462">
        <f>IF(+All!$F355="Ball State",+All!O355,IF(+All!$H355="Ball State",+All!O355,0))</f>
        <v>44</v>
      </c>
      <c r="P22" s="462" t="str">
        <f>IF(+All!$F355="Ball State",+All!P355,IF(+All!$H355="Ball State",+All!P355,0))</f>
        <v>Northern Illinois</v>
      </c>
      <c r="Q22" s="461">
        <f>IF(+All!$F355="Ball State",+All!Q355,IF(+All!$H355="Ball State",+All!Q355,0))</f>
        <v>38</v>
      </c>
      <c r="R22" s="460" t="str">
        <f>IF(+All!$F355="Ball State",+All!R355,IF(+All!$H355="Ball State",+All!R355,0))</f>
        <v>Ball State</v>
      </c>
      <c r="S22" s="462" t="str">
        <f>IF(+All!$F355="Ball State",+All!S355,IF(+All!$H355="Ball State",+All!S355,0))</f>
        <v>Northern Illinois</v>
      </c>
      <c r="T22" s="460" t="str">
        <f>IF(+All!$F355="Ball State",+All!T355,IF(+All!$H355="Ball State",+All!T355,0))</f>
        <v>Ball State</v>
      </c>
      <c r="U22" s="461" t="str">
        <f>IF(+All!$F355="Ball State",+All!U355,IF(+All!$H355="Ball State",+All!U355,0))</f>
        <v>W</v>
      </c>
    </row>
    <row r="23" spans="1:21" x14ac:dyDescent="0.8">
      <c r="A23" s="46">
        <f>IF(+All!$F412="Ball State",+All!A412,IF(+All!$H412="Ball State",+All!A412,0))</f>
        <v>6</v>
      </c>
      <c r="B23" s="348" t="str">
        <f>IF(+All!$F412="Ball State",+All!B412,IF(+All!$H412="Ball State",+All!B412,0))</f>
        <v>Sat</v>
      </c>
      <c r="C23" s="48">
        <f>IF(+All!$F412="Ball State",+All!C412,IF(+All!$H412="Ball State",+All!C412,0))</f>
        <v>44842</v>
      </c>
      <c r="D23" s="490">
        <f>IF(+All!$F412="Ball State",+All!D412,IF(+All!$H412="Ball State",+All!D412,0))</f>
        <v>0.64583333333333337</v>
      </c>
      <c r="E23" s="461">
        <f>IF(+All!$F412="Ball State",+All!E412,IF(+All!$H412="Ball State",+All!E412,0))</f>
        <v>0</v>
      </c>
      <c r="F23" s="51" t="str">
        <f>IF(+All!$F412="Ball State",+All!F412,IF(+All!$H412="Ball State",+All!F412,0))</f>
        <v>Ball State</v>
      </c>
      <c r="G23" s="52" t="str">
        <f>IF(+All!$F412="Ball State",+All!G412,IF(+All!$H412="Ball State",+All!G412,0))</f>
        <v>MAC</v>
      </c>
      <c r="H23" s="51" t="str">
        <f>IF(+All!$F412="Ball State",+All!H412,IF(+All!$H412="Ball State",+All!H412,0))</f>
        <v>Central Michigan</v>
      </c>
      <c r="I23" s="52" t="str">
        <f>IF(+All!$F412="Ball State",+All!I412,IF(+All!$H412="Ball State",+All!I412,0))</f>
        <v>MAC</v>
      </c>
      <c r="J23" s="460" t="str">
        <f>IF(+All!$F412="Ball State",+All!J412,IF(+All!$H412="Ball State",+All!J412,0))</f>
        <v>Central Michigan</v>
      </c>
      <c r="K23" s="461" t="str">
        <f>IF(+All!$F412="Ball State",+All!K412,IF(+All!$H412="Ball State",+All!K412,0))</f>
        <v>Ball State</v>
      </c>
      <c r="L23" s="54">
        <f>IF(+All!$F412="Ball State",+All!L412,IF(+All!$H412="Ball State",+All!L412,0))</f>
        <v>8</v>
      </c>
      <c r="M23" s="55">
        <f>IF(+All!$F412="Ball State",+All!M412,IF(+All!$H412="Ball State",+All!M412,0))</f>
        <v>64.5</v>
      </c>
      <c r="N23" s="460" t="str">
        <f>IF(+All!$F412="Ball State",+All!N412,IF(+All!$H412="Ball State",+All!N412,0))</f>
        <v>Ball State</v>
      </c>
      <c r="O23" s="462">
        <f>IF(+All!$F412="Ball State",+All!O412,IF(+All!$H412="Ball State",+All!O412,0))</f>
        <v>17</v>
      </c>
      <c r="P23" s="462" t="str">
        <f>IF(+All!$F412="Ball State",+All!P412,IF(+All!$H412="Ball State",+All!P412,0))</f>
        <v>Central Michigan</v>
      </c>
      <c r="Q23" s="461">
        <f>IF(+All!$F412="Ball State",+All!Q412,IF(+All!$H412="Ball State",+All!Q412,0))</f>
        <v>16</v>
      </c>
      <c r="R23" s="460" t="str">
        <f>IF(+All!$F412="Ball State",+All!R412,IF(+All!$H412="Ball State",+All!R412,0))</f>
        <v>Ball State</v>
      </c>
      <c r="S23" s="462" t="str">
        <f>IF(+All!$F412="Ball State",+All!S412,IF(+All!$H412="Ball State",+All!S412,0))</f>
        <v>Central Michigan</v>
      </c>
      <c r="T23" s="460" t="str">
        <f>IF(+All!$F412="Ball State",+All!T412,IF(+All!$H412="Ball State",+All!T412,0))</f>
        <v>Central Michigan</v>
      </c>
      <c r="U23" s="461" t="str">
        <f>IF(+All!$F412="Ball State",+All!U412,IF(+All!$H412="Ball State",+All!U412,0))</f>
        <v>L</v>
      </c>
    </row>
    <row r="24" spans="1:21" x14ac:dyDescent="0.8">
      <c r="A24" s="46">
        <f>IF(+All!$F468="Ball State",+All!A468,IF(+All!$H468="Ball State",+All!A468,0))</f>
        <v>7</v>
      </c>
      <c r="B24" s="348" t="str">
        <f>IF(+All!$F468="Ball State",+All!B468,IF(+All!$H468="Ball State",+All!B468,0))</f>
        <v>Sat</v>
      </c>
      <c r="C24" s="48">
        <f>IF(+All!$F468="Ball State",+All!C468,IF(+All!$H468="Ball State",+All!C468,0))</f>
        <v>44849</v>
      </c>
      <c r="D24" s="490">
        <f>IF(+All!$F468="Ball State",+All!D468,IF(+All!$H468="Ball State",+All!D468,0))</f>
        <v>0.58333333333333337</v>
      </c>
      <c r="E24" s="461" t="str">
        <f>IF(+All!$F468="Ball State",+All!E468,IF(+All!$H468="Ball State",+All!E468,0))</f>
        <v>espn3</v>
      </c>
      <c r="F24" s="51" t="str">
        <f>IF(+All!$F468="Ball State",+All!F468,IF(+All!$H468="Ball State",+All!F468,0))</f>
        <v>Connecticut</v>
      </c>
      <c r="G24" s="52" t="str">
        <f>IF(+All!$F468="Ball State",+All!G468,IF(+All!$H468="Ball State",+All!G468,0))</f>
        <v>Ind</v>
      </c>
      <c r="H24" s="51" t="str">
        <f>IF(+All!$F468="Ball State",+All!H468,IF(+All!$H468="Ball State",+All!H468,0))</f>
        <v>Ball State</v>
      </c>
      <c r="I24" s="52" t="str">
        <f>IF(+All!$F468="Ball State",+All!I468,IF(+All!$H468="Ball State",+All!I468,0))</f>
        <v>MAC</v>
      </c>
      <c r="J24" s="460" t="str">
        <f>IF(+All!$F468="Ball State",+All!J468,IF(+All!$H468="Ball State",+All!J468,0))</f>
        <v>Ball State</v>
      </c>
      <c r="K24" s="461" t="str">
        <f>IF(+All!$F468="Ball State",+All!K468,IF(+All!$H468="Ball State",+All!K468,0))</f>
        <v>Connecticut</v>
      </c>
      <c r="L24" s="54">
        <f>IF(+All!$F468="Ball State",+All!L468,IF(+All!$H468="Ball State",+All!L468,0))</f>
        <v>9.5</v>
      </c>
      <c r="M24" s="55">
        <f>IF(+All!$F468="Ball State",+All!M468,IF(+All!$H468="Ball State",+All!M468,0))</f>
        <v>46.5</v>
      </c>
      <c r="N24" s="460" t="str">
        <f>IF(+All!$F468="Ball State",+All!N468,IF(+All!$H468="Ball State",+All!N468,0))</f>
        <v>Ball State</v>
      </c>
      <c r="O24" s="462">
        <f>IF(+All!$F468="Ball State",+All!O468,IF(+All!$H468="Ball State",+All!O468,0))</f>
        <v>25</v>
      </c>
      <c r="P24" s="462" t="str">
        <f>IF(+All!$F468="Ball State",+All!P468,IF(+All!$H468="Ball State",+All!P468,0))</f>
        <v>Connecticut</v>
      </c>
      <c r="Q24" s="461">
        <f>IF(+All!$F468="Ball State",+All!Q468,IF(+All!$H468="Ball State",+All!Q468,0))</f>
        <v>21</v>
      </c>
      <c r="R24" s="460" t="str">
        <f>IF(+All!$F468="Ball State",+All!R468,IF(+All!$H468="Ball State",+All!R468,0))</f>
        <v>Connecticut</v>
      </c>
      <c r="S24" s="462" t="str">
        <f>IF(+All!$F468="Ball State",+All!S468,IF(+All!$H468="Ball State",+All!S468,0))</f>
        <v>Ball State</v>
      </c>
      <c r="T24" s="460" t="str">
        <f>IF(+All!$F468="Ball State",+All!T468,IF(+All!$H468="Ball State",+All!T468,0))</f>
        <v>Connecticut</v>
      </c>
      <c r="U24" s="461" t="str">
        <f>IF(+All!$F468="Ball State",+All!U468,IF(+All!$H468="Ball State",+All!U468,0))</f>
        <v>W</v>
      </c>
    </row>
    <row r="25" spans="1:21" x14ac:dyDescent="0.8">
      <c r="A25" s="46">
        <f>IF(+All!$F521="Ball State",+All!A521,IF(+All!$H521="Ball State",+All!A521,0))</f>
        <v>8</v>
      </c>
      <c r="B25" s="348" t="str">
        <f>IF(+All!$F521="Ball State",+All!B521,IF(+All!$H521="Ball State",+All!B521,0))</f>
        <v>Sat</v>
      </c>
      <c r="C25" s="48">
        <f>IF(+All!$F521="Ball State",+All!C521,IF(+All!$H521="Ball State",+All!C521,0))</f>
        <v>44856</v>
      </c>
      <c r="D25" s="490">
        <f>IF(+All!$F521="Ball State",+All!D521,IF(+All!$H521="Ball State",+All!D521,0))</f>
        <v>0.58333333333333337</v>
      </c>
      <c r="E25" s="461">
        <f>IF(+All!$F521="Ball State",+All!E521,IF(+All!$H521="Ball State",+All!E521,0))</f>
        <v>0</v>
      </c>
      <c r="F25" s="51" t="str">
        <f>IF(+All!$F521="Ball State",+All!F521,IF(+All!$H521="Ball State",+All!F521,0))</f>
        <v>Eastern Michigan</v>
      </c>
      <c r="G25" s="52" t="str">
        <f>IF(+All!$F521="Ball State",+All!G521,IF(+All!$H521="Ball State",+All!G521,0))</f>
        <v>MAC</v>
      </c>
      <c r="H25" s="51" t="str">
        <f>IF(+All!$F521="Ball State",+All!H521,IF(+All!$H521="Ball State",+All!H521,0))</f>
        <v>Ball State</v>
      </c>
      <c r="I25" s="52" t="str">
        <f>IF(+All!$F521="Ball State",+All!I521,IF(+All!$H521="Ball State",+All!I521,0))</f>
        <v>MAC</v>
      </c>
      <c r="J25" s="460" t="str">
        <f>IF(+All!$F521="Ball State",+All!J521,IF(+All!$H521="Ball State",+All!J521,0))</f>
        <v>Ball State</v>
      </c>
      <c r="K25" s="461" t="str">
        <f>IF(+All!$F521="Ball State",+All!K521,IF(+All!$H521="Ball State",+All!K521,0))</f>
        <v>Eastern Michigan</v>
      </c>
      <c r="L25" s="54">
        <f>IF(+All!$F521="Ball State",+All!L521,IF(+All!$H521="Ball State",+All!L521,0))</f>
        <v>2.5</v>
      </c>
      <c r="M25" s="55">
        <f>IF(+All!$F521="Ball State",+All!M521,IF(+All!$H521="Ball State",+All!M521,0))</f>
        <v>59</v>
      </c>
      <c r="N25" s="460" t="str">
        <f>IF(+All!$F521="Ball State",+All!N521,IF(+All!$H521="Ball State",+All!N521,0))</f>
        <v>Eastern Michigan</v>
      </c>
      <c r="O25" s="462">
        <f>IF(+All!$F521="Ball State",+All!O521,IF(+All!$H521="Ball State",+All!O521,0))</f>
        <v>20</v>
      </c>
      <c r="P25" s="462" t="str">
        <f>IF(+All!$F521="Ball State",+All!P521,IF(+All!$H521="Ball State",+All!P521,0))</f>
        <v>Ball State</v>
      </c>
      <c r="Q25" s="461">
        <f>IF(+All!$F521="Ball State",+All!Q521,IF(+All!$H521="Ball State",+All!Q521,0))</f>
        <v>16</v>
      </c>
      <c r="R25" s="460" t="str">
        <f>IF(+All!$F521="Ball State",+All!R521,IF(+All!$H521="Ball State",+All!R521,0))</f>
        <v>Eastern Michigan</v>
      </c>
      <c r="S25" s="462" t="str">
        <f>IF(+All!$F521="Ball State",+All!S521,IF(+All!$H521="Ball State",+All!S521,0))</f>
        <v>Ball State</v>
      </c>
      <c r="T25" s="460" t="str">
        <f>IF(+All!$F521="Ball State",+All!T521,IF(+All!$H521="Ball State",+All!T521,0))</f>
        <v>Ball State</v>
      </c>
      <c r="U25" s="461" t="str">
        <f>IF(+All!$F521="Ball State",+All!U521,IF(+All!$H521="Ball State",+All!U521,0))</f>
        <v>L</v>
      </c>
    </row>
    <row r="26" spans="1:21" x14ac:dyDescent="0.8">
      <c r="A26" s="46" t="e">
        <f>IF(+All!#REF!="Ball State",+All!#REF!,IF(+All!#REF!="Ball State",+All!#REF!,0))</f>
        <v>#REF!</v>
      </c>
      <c r="B26" s="348" t="e">
        <f>IF(+All!#REF!="Ball State",+All!#REF!,IF(+All!#REF!="Ball State",+All!#REF!,0))</f>
        <v>#REF!</v>
      </c>
      <c r="C26" s="48" t="e">
        <f>IF(+All!#REF!="Ball State",+All!#REF!,IF(+All!#REF!="Ball State",+All!#REF!,0))</f>
        <v>#REF!</v>
      </c>
      <c r="D26" s="490" t="e">
        <f>IF(+All!#REF!="Ball State",+All!#REF!,IF(+All!#REF!="Ball State",+All!#REF!,0))</f>
        <v>#REF!</v>
      </c>
      <c r="E26" s="461" t="e">
        <f>IF(+All!#REF!="Ball State",+All!#REF!,IF(+All!#REF!="Ball State",+All!#REF!,0))</f>
        <v>#REF!</v>
      </c>
      <c r="F26" s="51" t="e">
        <f>IF(+All!#REF!="Ball State",+All!#REF!,IF(+All!#REF!="Ball State",+All!#REF!,0))</f>
        <v>#REF!</v>
      </c>
      <c r="G26" s="52" t="e">
        <f>IF(+All!#REF!="Ball State",+All!#REF!,IF(+All!#REF!="Ball State",+All!#REF!,0))</f>
        <v>#REF!</v>
      </c>
      <c r="H26" s="51" t="e">
        <f>IF(+All!#REF!="Ball State",+All!#REF!,IF(+All!#REF!="Ball State",+All!#REF!,0))</f>
        <v>#REF!</v>
      </c>
      <c r="I26" s="52" t="e">
        <f>IF(+All!#REF!="Ball State",+All!#REF!,IF(+All!#REF!="Ball State",+All!#REF!,0))</f>
        <v>#REF!</v>
      </c>
      <c r="J26" s="460" t="e">
        <f>IF(+All!#REF!="Ball State",+All!#REF!,IF(+All!#REF!="Ball State",+All!#REF!,0))</f>
        <v>#REF!</v>
      </c>
      <c r="K26" s="461" t="e">
        <f>IF(+All!#REF!="Ball State",+All!#REF!,IF(+All!#REF!="Ball State",+All!#REF!,0))</f>
        <v>#REF!</v>
      </c>
      <c r="L26" s="54" t="e">
        <f>IF(+All!#REF!="Ball State",+All!#REF!,IF(+All!#REF!="Ball State",+All!#REF!,0))</f>
        <v>#REF!</v>
      </c>
      <c r="M26" s="55" t="e">
        <f>IF(+All!#REF!="Ball State",+All!#REF!,IF(+All!#REF!="Ball State",+All!#REF!,0))</f>
        <v>#REF!</v>
      </c>
      <c r="N26" s="460" t="e">
        <f>IF(+All!#REF!="Ball State",+All!#REF!,IF(+All!#REF!="Ball State",+All!#REF!,0))</f>
        <v>#REF!</v>
      </c>
      <c r="O26" s="462" t="e">
        <f>IF(+All!#REF!="Ball State",+All!#REF!,IF(+All!#REF!="Ball State",+All!#REF!,0))</f>
        <v>#REF!</v>
      </c>
      <c r="P26" s="462" t="e">
        <f>IF(+All!#REF!="Ball State",+All!#REF!,IF(+All!#REF!="Ball State",+All!#REF!,0))</f>
        <v>#REF!</v>
      </c>
      <c r="Q26" s="461" t="e">
        <f>IF(+All!#REF!="Ball State",+All!#REF!,IF(+All!#REF!="Ball State",+All!#REF!,0))</f>
        <v>#REF!</v>
      </c>
      <c r="R26" s="460" t="e">
        <f>IF(+All!#REF!="Ball State",+All!#REF!,IF(+All!#REF!="Ball State",+All!#REF!,0))</f>
        <v>#REF!</v>
      </c>
      <c r="S26" s="462" t="e">
        <f>IF(+All!#REF!="Ball State",+All!#REF!,IF(+All!#REF!="Ball State",+All!#REF!,0))</f>
        <v>#REF!</v>
      </c>
      <c r="T26" s="460" t="e">
        <f>IF(+All!#REF!="Ball State",+All!#REF!,IF(+All!#REF!="Ball State",+All!#REF!,0))</f>
        <v>#REF!</v>
      </c>
      <c r="U26" s="461" t="e">
        <f>IF(+All!#REF!="Ball State",+All!#REF!,IF(+All!#REF!="Ball State",+All!#REF!,0))</f>
        <v>#REF!</v>
      </c>
    </row>
    <row r="27" spans="1:21" x14ac:dyDescent="0.8">
      <c r="A27" s="46">
        <f>IF(+All!$F593="Ball State",+All!A593,IF(+All!$H593="Ball State",+All!A593,0))</f>
        <v>10</v>
      </c>
      <c r="B27" s="348" t="str">
        <f>IF(+All!$F593="Ball State",+All!B593,IF(+All!$H593="Ball State",+All!B593,0))</f>
        <v>Tues</v>
      </c>
      <c r="C27" s="48">
        <f>IF(+All!$F593="Ball State",+All!C593,IF(+All!$H593="Ball State",+All!C593,0))</f>
        <v>44866</v>
      </c>
      <c r="D27" s="490">
        <f>IF(+All!$F593="Ball State",+All!D593,IF(+All!$H593="Ball State",+All!D593,0))</f>
        <v>0.79166666666666663</v>
      </c>
      <c r="E27" s="461" t="str">
        <f>IF(+All!$F593="Ball State",+All!E593,IF(+All!$H593="Ball State",+All!E593,0))</f>
        <v>ESPNU</v>
      </c>
      <c r="F27" s="51" t="str">
        <f>IF(+All!$F593="Ball State",+All!F593,IF(+All!$H593="Ball State",+All!F593,0))</f>
        <v>Ball State</v>
      </c>
      <c r="G27" s="52" t="str">
        <f>IF(+All!$F593="Ball State",+All!G593,IF(+All!$H593="Ball State",+All!G593,0))</f>
        <v>MAC</v>
      </c>
      <c r="H27" s="51" t="str">
        <f>IF(+All!$F593="Ball State",+All!H593,IF(+All!$H593="Ball State",+All!H593,0))</f>
        <v>Kent State</v>
      </c>
      <c r="I27" s="52" t="str">
        <f>IF(+All!$F593="Ball State",+All!I593,IF(+All!$H593="Ball State",+All!I593,0))</f>
        <v>MAC</v>
      </c>
      <c r="J27" s="460" t="str">
        <f>IF(+All!$F593="Ball State",+All!J593,IF(+All!$H593="Ball State",+All!J593,0))</f>
        <v>Kent State</v>
      </c>
      <c r="K27" s="461" t="str">
        <f>IF(+All!$F593="Ball State",+All!K593,IF(+All!$H593="Ball State",+All!K593,0))</f>
        <v>Ball State</v>
      </c>
      <c r="L27" s="54">
        <f>IF(+All!$F593="Ball State",+All!L593,IF(+All!$H593="Ball State",+All!L593,0))</f>
        <v>7</v>
      </c>
      <c r="M27" s="55">
        <f>IF(+All!$F593="Ball State",+All!M593,IF(+All!$H593="Ball State",+All!M593,0))</f>
        <v>62</v>
      </c>
      <c r="N27" s="460" t="str">
        <f>IF(+All!$F593="Ball State",+All!N593,IF(+All!$H593="Ball State",+All!N593,0))</f>
        <v>Ball State</v>
      </c>
      <c r="O27" s="462">
        <f>IF(+All!$F593="Ball State",+All!O593,IF(+All!$H593="Ball State",+All!O593,0))</f>
        <v>27</v>
      </c>
      <c r="P27" s="462" t="str">
        <f>IF(+All!$F593="Ball State",+All!P593,IF(+All!$H593="Ball State",+All!P593,0))</f>
        <v>Kent State</v>
      </c>
      <c r="Q27" s="461">
        <f>IF(+All!$F593="Ball State",+All!Q593,IF(+All!$H593="Ball State",+All!Q593,0))</f>
        <v>20</v>
      </c>
      <c r="R27" s="460" t="str">
        <f>IF(+All!$F593="Ball State",+All!R593,IF(+All!$H593="Ball State",+All!R593,0))</f>
        <v>Ball State</v>
      </c>
      <c r="S27" s="462" t="str">
        <f>IF(+All!$F593="Ball State",+All!S593,IF(+All!$H593="Ball State",+All!S593,0))</f>
        <v>Kent State</v>
      </c>
      <c r="T27" s="460" t="str">
        <f>IF(+All!$F593="Ball State",+All!T593,IF(+All!$H593="Ball State",+All!T593,0))</f>
        <v>Ball State</v>
      </c>
      <c r="U27" s="461" t="str">
        <f>IF(+All!$F593="Ball State",+All!U593,IF(+All!$H593="Ball State",+All!U593,0))</f>
        <v>W</v>
      </c>
    </row>
    <row r="28" spans="1:21" x14ac:dyDescent="0.8">
      <c r="A28" s="46">
        <f>IF(+All!$F655="Ball State",+All!A655,IF(+All!$H655="Ball State",+All!A655,0))</f>
        <v>11</v>
      </c>
      <c r="B28" s="348" t="str">
        <f>IF(+All!$F655="Ball State",+All!B655,IF(+All!$H655="Ball State",+All!B655,0))</f>
        <v>Tues</v>
      </c>
      <c r="C28" s="48">
        <f>IF(+All!$F655="Ball State",+All!C655,IF(+All!$H655="Ball State",+All!C655,0))</f>
        <v>44508</v>
      </c>
      <c r="D28" s="490">
        <f>IF(+All!$F655="Ball State",+All!D655,IF(+All!$H655="Ball State",+All!D655,0))</f>
        <v>0.83333333333333337</v>
      </c>
      <c r="E28" s="461" t="str">
        <f>IF(+All!$F655="Ball State",+All!E655,IF(+All!$H655="Ball State",+All!E655,0))</f>
        <v>ESPN</v>
      </c>
      <c r="F28" s="51" t="str">
        <f>IF(+All!$F655="Ball State",+All!F655,IF(+All!$H655="Ball State",+All!F655,0))</f>
        <v>Ball State</v>
      </c>
      <c r="G28" s="52" t="str">
        <f>IF(+All!$F655="Ball State",+All!G655,IF(+All!$H655="Ball State",+All!G655,0))</f>
        <v>MAC</v>
      </c>
      <c r="H28" s="51" t="str">
        <f>IF(+All!$F655="Ball State",+All!H655,IF(+All!$H655="Ball State",+All!H655,0))</f>
        <v>Toledo</v>
      </c>
      <c r="I28" s="52" t="str">
        <f>IF(+All!$F655="Ball State",+All!I655,IF(+All!$H655="Ball State",+All!I655,0))</f>
        <v>MAC</v>
      </c>
      <c r="J28" s="460" t="str">
        <f>IF(+All!$F655="Ball State",+All!J655,IF(+All!$H655="Ball State",+All!J655,0))</f>
        <v>Toledo</v>
      </c>
      <c r="K28" s="461" t="str">
        <f>IF(+All!$F655="Ball State",+All!K655,IF(+All!$H655="Ball State",+All!K655,0))</f>
        <v>Ball State</v>
      </c>
      <c r="L28" s="54">
        <f>IF(+All!$F655="Ball State",+All!L655,IF(+All!$H655="Ball State",+All!L655,0))</f>
        <v>11.5</v>
      </c>
      <c r="M28" s="55">
        <f>IF(+All!$F655="Ball State",+All!M655,IF(+All!$H655="Ball State",+All!M655,0))</f>
        <v>50.5</v>
      </c>
      <c r="N28" s="460" t="str">
        <f>IF(+All!$F655="Ball State",+All!N655,IF(+All!$H655="Ball State",+All!N655,0))</f>
        <v>Toledo</v>
      </c>
      <c r="O28" s="462">
        <f>IF(+All!$F655="Ball State",+All!O655,IF(+All!$H655="Ball State",+All!O655,0))</f>
        <v>28</v>
      </c>
      <c r="P28" s="462" t="str">
        <f>IF(+All!$F655="Ball State",+All!P655,IF(+All!$H655="Ball State",+All!P655,0))</f>
        <v>Ball State</v>
      </c>
      <c r="Q28" s="461">
        <f>IF(+All!$F655="Ball State",+All!Q655,IF(+All!$H655="Ball State",+All!Q655,0))</f>
        <v>21</v>
      </c>
      <c r="R28" s="460" t="str">
        <f>IF(+All!$F655="Ball State",+All!R655,IF(+All!$H655="Ball State",+All!R655,0))</f>
        <v>Ball State</v>
      </c>
      <c r="S28" s="462" t="str">
        <f>IF(+All!$F655="Ball State",+All!S655,IF(+All!$H655="Ball State",+All!S655,0))</f>
        <v>Toledo</v>
      </c>
      <c r="T28" s="460" t="str">
        <f>IF(+All!$F655="Ball State",+All!T655,IF(+All!$H655="Ball State",+All!T655,0))</f>
        <v>Ball State</v>
      </c>
      <c r="U28" s="461" t="str">
        <f>IF(+All!$F655="Ball State",+All!U655,IF(+All!$H655="Ball State",+All!U655,0))</f>
        <v>W</v>
      </c>
    </row>
    <row r="29" spans="1:21" x14ac:dyDescent="0.8">
      <c r="A29" s="46">
        <f>IF(+All!$F718="Ball State",+All!A718,IF(+All!$H718="Ball State",+All!A718,0))</f>
        <v>12</v>
      </c>
      <c r="B29" s="348" t="str">
        <f>IF(+All!$F718="Ball State",+All!B718,IF(+All!$H718="Ball State",+All!B718,0))</f>
        <v>Tues</v>
      </c>
      <c r="C29" s="48">
        <f>IF(+All!$F718="Ball State",+All!C718,IF(+All!$H718="Ball State",+All!C718,0))</f>
        <v>44880</v>
      </c>
      <c r="D29" s="490">
        <f>IF(+All!$F718="Ball State",+All!D718,IF(+All!$H718="Ball State",+All!D718,0))</f>
        <v>0.79166666666666663</v>
      </c>
      <c r="E29" s="461" t="str">
        <f>IF(+All!$F718="Ball State",+All!E718,IF(+All!$H718="Ball State",+All!E718,0))</f>
        <v>ESPN2</v>
      </c>
      <c r="F29" s="51" t="str">
        <f>IF(+All!$F718="Ball State",+All!F718,IF(+All!$H718="Ball State",+All!F718,0))</f>
        <v>Ohio</v>
      </c>
      <c r="G29" s="52" t="str">
        <f>IF(+All!$F718="Ball State",+All!G718,IF(+All!$H718="Ball State",+All!G718,0))</f>
        <v>MAC</v>
      </c>
      <c r="H29" s="51" t="str">
        <f>IF(+All!$F718="Ball State",+All!H718,IF(+All!$H718="Ball State",+All!H718,0))</f>
        <v>Ball State</v>
      </c>
      <c r="I29" s="52" t="str">
        <f>IF(+All!$F718="Ball State",+All!I718,IF(+All!$H718="Ball State",+All!I718,0))</f>
        <v>MAC</v>
      </c>
      <c r="J29" s="460" t="str">
        <f>IF(+All!$F718="Ball State",+All!J718,IF(+All!$H718="Ball State",+All!J718,0))</f>
        <v>Ohio</v>
      </c>
      <c r="K29" s="461" t="str">
        <f>IF(+All!$F718="Ball State",+All!K718,IF(+All!$H718="Ball State",+All!K718,0))</f>
        <v>Ball State</v>
      </c>
      <c r="L29" s="54">
        <f>IF(+All!$F718="Ball State",+All!L718,IF(+All!$H718="Ball State",+All!L718,0))</f>
        <v>4</v>
      </c>
      <c r="M29" s="55">
        <f>IF(+All!$F718="Ball State",+All!M718,IF(+All!$H718="Ball State",+All!M718,0))</f>
        <v>57</v>
      </c>
      <c r="N29" s="460" t="str">
        <f>IF(+All!$F718="Ball State",+All!N718,IF(+All!$H718="Ball State",+All!N718,0))</f>
        <v>Ohio</v>
      </c>
      <c r="O29" s="462">
        <f>IF(+All!$F718="Ball State",+All!O718,IF(+All!$H718="Ball State",+All!O718,0))</f>
        <v>32</v>
      </c>
      <c r="P29" s="462" t="str">
        <f>IF(+All!$F718="Ball State",+All!P718,IF(+All!$H718="Ball State",+All!P718,0))</f>
        <v>Ball State</v>
      </c>
      <c r="Q29" s="461">
        <f>IF(+All!$F718="Ball State",+All!Q718,IF(+All!$H718="Ball State",+All!Q718,0))</f>
        <v>18</v>
      </c>
      <c r="R29" s="460" t="str">
        <f>IF(+All!$F718="Ball State",+All!R718,IF(+All!$H718="Ball State",+All!R718,0))</f>
        <v>Ohio</v>
      </c>
      <c r="S29" s="462" t="str">
        <f>IF(+All!$F718="Ball State",+All!S718,IF(+All!$H718="Ball State",+All!S718,0))</f>
        <v>Ball State</v>
      </c>
      <c r="T29" s="460" t="str">
        <f>IF(+All!$F718="Ball State",+All!T718,IF(+All!$H718="Ball State",+All!T718,0))</f>
        <v>Ohio</v>
      </c>
      <c r="U29" s="461" t="str">
        <f>IF(+All!$F718="Ball State",+All!U718,IF(+All!$H718="Ball State",+All!U718,0))</f>
        <v>W</v>
      </c>
    </row>
    <row r="30" spans="1:21" x14ac:dyDescent="0.8">
      <c r="A30" s="46">
        <f>IF(+All!$F826="Ball State",+All!A826,IF(+All!$H826="Ball State",+All!A826,0))</f>
        <v>13</v>
      </c>
      <c r="B30" s="348" t="str">
        <f>IF(+All!$F826="Ball State",+All!B826,IF(+All!$H826="Ball State",+All!B826,0))</f>
        <v>Tues</v>
      </c>
      <c r="C30" s="48">
        <f>IF(+All!$F826="Ball State",+All!C826,IF(+All!$H826="Ball State",+All!C826,0))</f>
        <v>44887</v>
      </c>
      <c r="D30" s="490">
        <f>IF(+All!$F826="Ball State",+All!D826,IF(+All!$H826="Ball State",+All!D826,0))</f>
        <v>0.79166666666666663</v>
      </c>
      <c r="E30" s="461">
        <f>IF(+All!$F826="Ball State",+All!E826,IF(+All!$H826="Ball State",+All!E826,0))</f>
        <v>0</v>
      </c>
      <c r="F30" s="51" t="str">
        <f>IF(+All!$F826="Ball State",+All!F826,IF(+All!$H826="Ball State",+All!F826,0))</f>
        <v>Ball State</v>
      </c>
      <c r="G30" s="52" t="str">
        <f>IF(+All!$F826="Ball State",+All!G826,IF(+All!$H826="Ball State",+All!G826,0))</f>
        <v>MAC</v>
      </c>
      <c r="H30" s="51" t="str">
        <f>IF(+All!$F826="Ball State",+All!H826,IF(+All!$H826="Ball State",+All!H826,0))</f>
        <v>Miami (OH)</v>
      </c>
      <c r="I30" s="52" t="str">
        <f>IF(+All!$F826="Ball State",+All!I826,IF(+All!$H826="Ball State",+All!I826,0))</f>
        <v>MAC</v>
      </c>
      <c r="J30" s="460" t="str">
        <f>IF(+All!$F826="Ball State",+All!J826,IF(+All!$H826="Ball State",+All!J826,0))</f>
        <v>Miami (OH)</v>
      </c>
      <c r="K30" s="461" t="str">
        <f>IF(+All!$F826="Ball State",+All!K826,IF(+All!$H826="Ball State",+All!K826,0))</f>
        <v>Ball State</v>
      </c>
      <c r="L30" s="54">
        <f>IF(+All!$F826="Ball State",+All!L826,IF(+All!$H826="Ball State",+All!L826,0))</f>
        <v>2.5</v>
      </c>
      <c r="M30" s="55">
        <f>IF(+All!$F826="Ball State",+All!M826,IF(+All!$H826="Ball State",+All!M826,0))</f>
        <v>44.5</v>
      </c>
      <c r="N30" s="460" t="str">
        <f>IF(+All!$F826="Ball State",+All!N826,IF(+All!$H826="Ball State",+All!N826,0))</f>
        <v>Miami (OH)</v>
      </c>
      <c r="O30" s="462">
        <f>IF(+All!$F826="Ball State",+All!O826,IF(+All!$H826="Ball State",+All!O826,0))</f>
        <v>18</v>
      </c>
      <c r="P30" s="462" t="str">
        <f>IF(+All!$F826="Ball State",+All!P826,IF(+All!$H826="Ball State",+All!P826,0))</f>
        <v>Ball State</v>
      </c>
      <c r="Q30" s="461">
        <f>IF(+All!$F826="Ball State",+All!Q826,IF(+All!$H826="Ball State",+All!Q826,0))</f>
        <v>17</v>
      </c>
      <c r="R30" s="460" t="str">
        <f>IF(+All!$F826="Ball State",+All!R826,IF(+All!$H826="Ball State",+All!R826,0))</f>
        <v>Ball State</v>
      </c>
      <c r="S30" s="462" t="str">
        <f>IF(+All!$F826="Ball State",+All!S826,IF(+All!$H826="Ball State",+All!S826,0))</f>
        <v>Miami (OH)</v>
      </c>
      <c r="T30" s="460" t="str">
        <f>IF(+All!$F826="Ball State",+All!T826,IF(+All!$H826="Ball State",+All!T826,0))</f>
        <v>Miami (OH)</v>
      </c>
      <c r="U30" s="461" t="str">
        <f>IF(+All!$F826="Ball State",+All!U826,IF(+All!$H826="Ball State",+All!U826,0))</f>
        <v>L</v>
      </c>
    </row>
    <row r="31" spans="1:21" s="88" customFormat="1" x14ac:dyDescent="0.8">
      <c r="A31" s="38"/>
      <c r="B31" s="39"/>
      <c r="C31" s="40"/>
      <c r="D31" s="41"/>
      <c r="E31" s="463"/>
      <c r="F31" s="897" t="str">
        <f>H33</f>
        <v>Bowling Green</v>
      </c>
      <c r="G31" s="898"/>
      <c r="H31" s="898"/>
      <c r="I31" s="899"/>
      <c r="J31" s="459"/>
      <c r="K31" s="463"/>
      <c r="L31" s="44"/>
      <c r="M31" s="45"/>
      <c r="N31" s="459"/>
      <c r="O31" s="5"/>
      <c r="P31" s="5"/>
      <c r="Q31" s="463"/>
      <c r="R31" s="459"/>
      <c r="S31" s="5"/>
      <c r="T31" s="459"/>
      <c r="U31" s="463"/>
    </row>
    <row r="32" spans="1:21" x14ac:dyDescent="0.8">
      <c r="A32" s="46">
        <f>IF(+All!$F43="Bowling Green",+All!A43,IF(+All!$H43="Bowling Green",+All!A43,0))</f>
        <v>1</v>
      </c>
      <c r="B32" s="348" t="str">
        <f>IF(+All!$F43="Bowling Green",+All!B43,IF(+All!$H43="Bowling Green",+All!B43,0))</f>
        <v>Sat</v>
      </c>
      <c r="C32" s="48">
        <f>IF(+All!$F43="Bowling Green",+All!C43,IF(+All!$H43="Bowling Green",+All!C43,0))</f>
        <v>44807</v>
      </c>
      <c r="D32" s="490">
        <f>IF(+All!$F43="Bowling Green",+All!D43,IF(+All!$H43="Bowling Green",+All!D43,0))</f>
        <v>0.60416666666666663</v>
      </c>
      <c r="E32" s="461" t="str">
        <f>IF(+All!$F43="Bowling Green",+All!E43,IF(+All!$H43="Bowling Green",+All!E43,0))</f>
        <v>PAC12</v>
      </c>
      <c r="F32" s="51" t="str">
        <f>IF(+All!$F43="Bowling Green",+All!F43,IF(+All!$H43="Bowling Green",+All!F43,0))</f>
        <v>Bowling Green</v>
      </c>
      <c r="G32" s="52" t="str">
        <f>IF(+All!$F43="Bowling Green",+All!G43,IF(+All!$H43="Bowling Green",+All!G43,0))</f>
        <v>MAC</v>
      </c>
      <c r="H32" s="51" t="str">
        <f>IF(+All!$F43="Bowling Green",+All!H43,IF(+All!$H43="Bowling Green",+All!H43,0))</f>
        <v>UCLA</v>
      </c>
      <c r="I32" s="52" t="str">
        <f>IF(+All!$F43="Bowling Green",+All!I43,IF(+All!$H43="Bowling Green",+All!I43,0))</f>
        <v>P12</v>
      </c>
      <c r="J32" s="460" t="str">
        <f>IF(+All!$F43="Bowling Green",+All!J43,IF(+All!$H43="Bowling Green",+All!J43,0))</f>
        <v>UCLA</v>
      </c>
      <c r="K32" s="461" t="str">
        <f>IF(+All!$F43="Bowling Green",+All!K43,IF(+All!$H43="Bowling Green",+All!K43,0))</f>
        <v>Bowling Green</v>
      </c>
      <c r="L32" s="54">
        <f>IF(+All!$F43="Bowling Green",+All!L43,IF(+All!$H43="Bowling Green",+All!L43,0))</f>
        <v>24.5</v>
      </c>
      <c r="M32" s="55">
        <f>IF(+All!$F43="Bowling Green",+All!M43,IF(+All!$H43="Bowling Green",+All!M43,0))</f>
        <v>57</v>
      </c>
      <c r="N32" s="460" t="str">
        <f>IF(+All!$F43="Bowling Green",+All!N43,IF(+All!$H43="Bowling Green",+All!N43,0))</f>
        <v>UCLA</v>
      </c>
      <c r="O32" s="462">
        <f>IF(+All!$F43="Bowling Green",+All!O43,IF(+All!$H43="Bowling Green",+All!O43,0))</f>
        <v>45</v>
      </c>
      <c r="P32" s="462" t="str">
        <f>IF(+All!$F43="Bowling Green",+All!P43,IF(+All!$H43="Bowling Green",+All!P43,0))</f>
        <v>Bowling Green</v>
      </c>
      <c r="Q32" s="461">
        <f>IF(+All!$F43="Bowling Green",+All!Q43,IF(+All!$H43="Bowling Green",+All!Q43,0))</f>
        <v>17</v>
      </c>
      <c r="R32" s="460" t="str">
        <f>IF(+All!$F43="Bowling Green",+All!R43,IF(+All!$H43="Bowling Green",+All!R43,0))</f>
        <v>UCLA</v>
      </c>
      <c r="S32" s="462" t="str">
        <f>IF(+All!$F43="Bowling Green",+All!S43,IF(+All!$H43="Bowling Green",+All!S43,0))</f>
        <v>Bowling Green</v>
      </c>
      <c r="T32" s="460" t="str">
        <f>IF(+All!$F43="Bowling Green",+All!T43,IF(+All!$H43="Bowling Green",+All!T43,0))</f>
        <v>UCLA</v>
      </c>
      <c r="U32" s="461" t="str">
        <f>IF(+All!$F43="Bowling Green",+All!U43,IF(+All!$H43="Bowling Green",+All!U43,0))</f>
        <v>W</v>
      </c>
    </row>
    <row r="33" spans="1:21" x14ac:dyDescent="0.8">
      <c r="A33" s="46">
        <f>IF(+All!$F146="Bowling Green",+All!A146,IF(+All!$H146="Bowling Green",+All!A146,0))</f>
        <v>2</v>
      </c>
      <c r="B33" s="348" t="str">
        <f>IF(+All!$F146="Bowling Green",+All!B146,IF(+All!$H146="Bowling Green",+All!B146,0))</f>
        <v>Sat</v>
      </c>
      <c r="C33" s="48">
        <f>IF(+All!$F146="Bowling Green",+All!C146,IF(+All!$H146="Bowling Green",+All!C146,0))</f>
        <v>44814</v>
      </c>
      <c r="D33" s="490">
        <f>IF(+All!$F146="Bowling Green",+All!D146,IF(+All!$H146="Bowling Green",+All!D146,0))</f>
        <v>0.66666666666666663</v>
      </c>
      <c r="E33" s="461" t="str">
        <f>IF(+All!$F146="Bowling Green",+All!E146,IF(+All!$H146="Bowling Green",+All!E146,0))</f>
        <v>espn3</v>
      </c>
      <c r="F33" s="51" t="str">
        <f>IF(+All!$F146="Bowling Green",+All!F146,IF(+All!$H146="Bowling Green",+All!F146,0))</f>
        <v>1AA Eastern Kentucky</v>
      </c>
      <c r="G33" s="52" t="str">
        <f>IF(+All!$F146="Bowling Green",+All!G146,IF(+All!$H146="Bowling Green",+All!G146,0))</f>
        <v>1AA</v>
      </c>
      <c r="H33" s="51" t="str">
        <f>IF(+All!$F146="Bowling Green",+All!H146,IF(+All!$H146="Bowling Green",+All!H146,0))</f>
        <v>Bowling Green</v>
      </c>
      <c r="I33" s="52" t="str">
        <f>IF(+All!$F146="Bowling Green",+All!I146,IF(+All!$H146="Bowling Green",+All!I146,0))</f>
        <v>MAC</v>
      </c>
      <c r="J33" s="460">
        <f>IF(+All!$F146="Bowling Green",+All!J146,IF(+All!$H146="Bowling Green",+All!J146,0))</f>
        <v>0</v>
      </c>
      <c r="K33" s="461">
        <f>IF(+All!$F146="Bowling Green",+All!K146,IF(+All!$H146="Bowling Green",+All!K146,0))</f>
        <v>0</v>
      </c>
      <c r="L33" s="54">
        <f>IF(+All!$F146="Bowling Green",+All!L146,IF(+All!$H146="Bowling Green",+All!L146,0))</f>
        <v>0</v>
      </c>
      <c r="M33" s="55">
        <f>IF(+All!$F146="Bowling Green",+All!M146,IF(+All!$H146="Bowling Green",+All!M146,0))</f>
        <v>0</v>
      </c>
      <c r="N33" s="460" t="str">
        <f>IF(+All!$F146="Bowling Green",+All!N146,IF(+All!$H146="Bowling Green",+All!N146,0))</f>
        <v>1AA Eastern Kentucky</v>
      </c>
      <c r="O33" s="462">
        <f>IF(+All!$F146="Bowling Green",+All!O146,IF(+All!$H146="Bowling Green",+All!O146,0))</f>
        <v>59</v>
      </c>
      <c r="P33" s="462" t="str">
        <f>IF(+All!$F146="Bowling Green",+All!P146,IF(+All!$H146="Bowling Green",+All!P146,0))</f>
        <v>Bowling Green</v>
      </c>
      <c r="Q33" s="461">
        <f>IF(+All!$F146="Bowling Green",+All!Q146,IF(+All!$H146="Bowling Green",+All!Q146,0))</f>
        <v>57</v>
      </c>
      <c r="R33" s="460">
        <f>IF(+All!$F146="Bowling Green",+All!R146,IF(+All!$H146="Bowling Green",+All!R146,0))</f>
        <v>0</v>
      </c>
      <c r="S33" s="462">
        <f>IF(+All!$F146="Bowling Green",+All!S146,IF(+All!$H146="Bowling Green",+All!S146,0))</f>
        <v>0</v>
      </c>
      <c r="T33" s="460">
        <f>IF(+All!$F146="Bowling Green",+All!T146,IF(+All!$H146="Bowling Green",+All!T146,0))</f>
        <v>0</v>
      </c>
      <c r="U33" s="461">
        <f>IF(+All!$F146="Bowling Green",+All!U146,IF(+All!$H146="Bowling Green",+All!U146,0))</f>
        <v>0</v>
      </c>
    </row>
    <row r="34" spans="1:21" x14ac:dyDescent="0.8">
      <c r="A34" s="46">
        <f>IF(+All!$F220="Bowling Green",+All!A220,IF(+All!$H220="Bowling Green",+All!A220,0))</f>
        <v>3</v>
      </c>
      <c r="B34" s="348" t="str">
        <f>IF(+All!$F220="Bowling Green",+All!B220,IF(+All!$H220="Bowling Green",+All!B220,0))</f>
        <v>Sat</v>
      </c>
      <c r="C34" s="48">
        <f>IF(+All!$F220="Bowling Green",+All!C220,IF(+All!$H220="Bowling Green",+All!C220,0))</f>
        <v>44821</v>
      </c>
      <c r="D34" s="490">
        <f>IF(+All!$F220="Bowling Green",+All!D220,IF(+All!$H220="Bowling Green",+All!D220,0))</f>
        <v>0.70833333333333337</v>
      </c>
      <c r="E34" s="461" t="str">
        <f>IF(+All!$F220="Bowling Green",+All!E220,IF(+All!$H220="Bowling Green",+All!E220,0))</f>
        <v>NFL</v>
      </c>
      <c r="F34" s="51" t="str">
        <f>IF(+All!$F220="Bowling Green",+All!F220,IF(+All!$H220="Bowling Green",+All!F220,0))</f>
        <v>Marshall</v>
      </c>
      <c r="G34" s="52" t="str">
        <f>IF(+All!$F220="Bowling Green",+All!G220,IF(+All!$H220="Bowling Green",+All!G220,0))</f>
        <v>SB</v>
      </c>
      <c r="H34" s="51" t="str">
        <f>IF(+All!$F220="Bowling Green",+All!H220,IF(+All!$H220="Bowling Green",+All!H220,0))</f>
        <v>Bowling Green</v>
      </c>
      <c r="I34" s="52" t="str">
        <f>IF(+All!$F220="Bowling Green",+All!I220,IF(+All!$H220="Bowling Green",+All!I220,0))</f>
        <v>MAC</v>
      </c>
      <c r="J34" s="460" t="str">
        <f>IF(+All!$F220="Bowling Green",+All!J220,IF(+All!$H220="Bowling Green",+All!J220,0))</f>
        <v>Marshall</v>
      </c>
      <c r="K34" s="461" t="str">
        <f>IF(+All!$F220="Bowling Green",+All!K220,IF(+All!$H220="Bowling Green",+All!K220,0))</f>
        <v>Bowling Green</v>
      </c>
      <c r="L34" s="54">
        <f>IF(+All!$F220="Bowling Green",+All!L220,IF(+All!$H220="Bowling Green",+All!L220,0))</f>
        <v>16.5</v>
      </c>
      <c r="M34" s="55">
        <f>IF(+All!$F220="Bowling Green",+All!M220,IF(+All!$H220="Bowling Green",+All!M220,0))</f>
        <v>52</v>
      </c>
      <c r="N34" s="460" t="str">
        <f>IF(+All!$F220="Bowling Green",+All!N220,IF(+All!$H220="Bowling Green",+All!N220,0))</f>
        <v>Bowling Green</v>
      </c>
      <c r="O34" s="462">
        <f>IF(+All!$F220="Bowling Green",+All!O220,IF(+All!$H220="Bowling Green",+All!O220,0))</f>
        <v>34</v>
      </c>
      <c r="P34" s="462" t="str">
        <f>IF(+All!$F220="Bowling Green",+All!P220,IF(+All!$H220="Bowling Green",+All!P220,0))</f>
        <v>Marshall</v>
      </c>
      <c r="Q34" s="461">
        <f>IF(+All!$F220="Bowling Green",+All!Q220,IF(+All!$H220="Bowling Green",+All!Q220,0))</f>
        <v>31</v>
      </c>
      <c r="R34" s="460" t="str">
        <f>IF(+All!$F220="Bowling Green",+All!R220,IF(+All!$H220="Bowling Green",+All!R220,0))</f>
        <v>Bowling Green</v>
      </c>
      <c r="S34" s="462" t="str">
        <f>IF(+All!$F220="Bowling Green",+All!S220,IF(+All!$H220="Bowling Green",+All!S220,0))</f>
        <v>Marshall</v>
      </c>
      <c r="T34" s="460" t="str">
        <f>IF(+All!$F220="Bowling Green",+All!T220,IF(+All!$H220="Bowling Green",+All!T220,0))</f>
        <v>Bowling Green</v>
      </c>
      <c r="U34" s="461" t="str">
        <f>IF(+All!$F220="Bowling Green",+All!U220,IF(+All!$H220="Bowling Green",+All!U220,0))</f>
        <v>W</v>
      </c>
    </row>
    <row r="35" spans="1:21" x14ac:dyDescent="0.8">
      <c r="A35" s="46">
        <f>IF(+All!$F315="Bowling Green",+All!A315,IF(+All!$H315="Bowling Green",+All!A315,0))</f>
        <v>4</v>
      </c>
      <c r="B35" s="348" t="str">
        <f>IF(+All!$F315="Bowling Green",+All!B315,IF(+All!$H315="Bowling Green",+All!B315,0))</f>
        <v>Sat</v>
      </c>
      <c r="C35" s="48">
        <f>IF(+All!$F315="Bowling Green",+All!C315,IF(+All!$H315="Bowling Green",+All!C315,0))</f>
        <v>44828</v>
      </c>
      <c r="D35" s="490">
        <f>IF(+All!$F315="Bowling Green",+All!D315,IF(+All!$H315="Bowling Green",+All!D315,0))</f>
        <v>0.5</v>
      </c>
      <c r="E35" s="461" t="str">
        <f>IF(+All!$F315="Bowling Green",+All!E315,IF(+All!$H315="Bowling Green",+All!E315,0))</f>
        <v>SEC</v>
      </c>
      <c r="F35" s="51" t="str">
        <f>IF(+All!$F315="Bowling Green",+All!F315,IF(+All!$H315="Bowling Green",+All!F315,0))</f>
        <v>Bowling Green</v>
      </c>
      <c r="G35" s="52" t="str">
        <f>IF(+All!$F315="Bowling Green",+All!G315,IF(+All!$H315="Bowling Green",+All!G315,0))</f>
        <v>MAC</v>
      </c>
      <c r="H35" s="51" t="str">
        <f>IF(+All!$F315="Bowling Green",+All!H315,IF(+All!$H315="Bowling Green",+All!H315,0))</f>
        <v>Mississippi State</v>
      </c>
      <c r="I35" s="52" t="str">
        <f>IF(+All!$F315="Bowling Green",+All!I315,IF(+All!$H315="Bowling Green",+All!I315,0))</f>
        <v>SEC</v>
      </c>
      <c r="J35" s="460" t="str">
        <f>IF(+All!$F315="Bowling Green",+All!J315,IF(+All!$H315="Bowling Green",+All!J315,0))</f>
        <v>Mississippi State</v>
      </c>
      <c r="K35" s="461" t="str">
        <f>IF(+All!$F315="Bowling Green",+All!K315,IF(+All!$H315="Bowling Green",+All!K315,0))</f>
        <v>Bowling Green</v>
      </c>
      <c r="L35" s="54">
        <f>IF(+All!$F315="Bowling Green",+All!L315,IF(+All!$H315="Bowling Green",+All!L315,0))</f>
        <v>30</v>
      </c>
      <c r="M35" s="55">
        <f>IF(+All!$F315="Bowling Green",+All!M315,IF(+All!$H315="Bowling Green",+All!M315,0))</f>
        <v>52</v>
      </c>
      <c r="N35" s="460" t="str">
        <f>IF(+All!$F315="Bowling Green",+All!N315,IF(+All!$H315="Bowling Green",+All!N315,0))</f>
        <v>Mississippi State</v>
      </c>
      <c r="O35" s="462">
        <f>IF(+All!$F315="Bowling Green",+All!O315,IF(+All!$H315="Bowling Green",+All!O315,0))</f>
        <v>45</v>
      </c>
      <c r="P35" s="462" t="str">
        <f>IF(+All!$F315="Bowling Green",+All!P315,IF(+All!$H315="Bowling Green",+All!P315,0))</f>
        <v>Bowling Green</v>
      </c>
      <c r="Q35" s="461">
        <f>IF(+All!$F315="Bowling Green",+All!Q315,IF(+All!$H315="Bowling Green",+All!Q315,0))</f>
        <v>14</v>
      </c>
      <c r="R35" s="460" t="str">
        <f>IF(+All!$F315="Bowling Green",+All!R315,IF(+All!$H315="Bowling Green",+All!R315,0))</f>
        <v>Mississippi State</v>
      </c>
      <c r="S35" s="462" t="str">
        <f>IF(+All!$F315="Bowling Green",+All!S315,IF(+All!$H315="Bowling Green",+All!S315,0))</f>
        <v>Bowling Green</v>
      </c>
      <c r="T35" s="460" t="str">
        <f>IF(+All!$F315="Bowling Green",+All!T315,IF(+All!$H315="Bowling Green",+All!T315,0))</f>
        <v>Mississippi State</v>
      </c>
      <c r="U35" s="461" t="str">
        <f>IF(+All!$F315="Bowling Green",+All!U315,IF(+All!$H315="Bowling Green",+All!U315,0))</f>
        <v>W</v>
      </c>
    </row>
    <row r="36" spans="1:21" x14ac:dyDescent="0.8">
      <c r="A36" s="46">
        <f>IF(+All!$F354="Bowling Green",+All!A354,IF(+All!$H354="Bowling Green",+All!A354,0))</f>
        <v>5</v>
      </c>
      <c r="B36" s="348" t="str">
        <f>IF(+All!$F354="Bowling Green",+All!B354,IF(+All!$H354="Bowling Green",+All!B354,0))</f>
        <v>Sat</v>
      </c>
      <c r="C36" s="48">
        <f>IF(+All!$F354="Bowling Green",+All!C354,IF(+All!$H354="Bowling Green",+All!C354,0))</f>
        <v>44835</v>
      </c>
      <c r="D36" s="490">
        <f>IF(+All!$F354="Bowling Green",+All!D354,IF(+All!$H354="Bowling Green",+All!D354,0))</f>
        <v>0.64583333333333337</v>
      </c>
      <c r="E36" s="461">
        <f>IF(+All!$F354="Bowling Green",+All!E354,IF(+All!$H354="Bowling Green",+All!E354,0))</f>
        <v>0</v>
      </c>
      <c r="F36" s="51" t="str">
        <f>IF(+All!$F354="Bowling Green",+All!F354,IF(+All!$H354="Bowling Green",+All!F354,0))</f>
        <v>Bowling Green</v>
      </c>
      <c r="G36" s="52" t="str">
        <f>IF(+All!$F354="Bowling Green",+All!G354,IF(+All!$H354="Bowling Green",+All!G354,0))</f>
        <v>MAC</v>
      </c>
      <c r="H36" s="51" t="str">
        <f>IF(+All!$F354="Bowling Green",+All!H354,IF(+All!$H354="Bowling Green",+All!H354,0))</f>
        <v>Akron</v>
      </c>
      <c r="I36" s="52" t="str">
        <f>IF(+All!$F354="Bowling Green",+All!I354,IF(+All!$H354="Bowling Green",+All!I354,0))</f>
        <v>MAC</v>
      </c>
      <c r="J36" s="460" t="str">
        <f>IF(+All!$F354="Bowling Green",+All!J354,IF(+All!$H354="Bowling Green",+All!J354,0))</f>
        <v>Bowling Green</v>
      </c>
      <c r="K36" s="461" t="str">
        <f>IF(+All!$F354="Bowling Green",+All!K354,IF(+All!$H354="Bowling Green",+All!K354,0))</f>
        <v>Akron</v>
      </c>
      <c r="L36" s="54">
        <f>IF(+All!$F354="Bowling Green",+All!L354,IF(+All!$H354="Bowling Green",+All!L354,0))</f>
        <v>8.5</v>
      </c>
      <c r="M36" s="55">
        <f>IF(+All!$F354="Bowling Green",+All!M354,IF(+All!$H354="Bowling Green",+All!M354,0))</f>
        <v>51</v>
      </c>
      <c r="N36" s="460" t="str">
        <f>IF(+All!$F354="Bowling Green",+All!N354,IF(+All!$H354="Bowling Green",+All!N354,0))</f>
        <v>Bowling Green</v>
      </c>
      <c r="O36" s="462">
        <f>IF(+All!$F354="Bowling Green",+All!O354,IF(+All!$H354="Bowling Green",+All!O354,0))</f>
        <v>42</v>
      </c>
      <c r="P36" s="462" t="str">
        <f>IF(+All!$F354="Bowling Green",+All!P354,IF(+All!$H354="Bowling Green",+All!P354,0))</f>
        <v>Akron</v>
      </c>
      <c r="Q36" s="461">
        <f>IF(+All!$F354="Bowling Green",+All!Q354,IF(+All!$H354="Bowling Green",+All!Q354,0))</f>
        <v>38</v>
      </c>
      <c r="R36" s="460" t="str">
        <f>IF(+All!$F354="Bowling Green",+All!R354,IF(+All!$H354="Bowling Green",+All!R354,0))</f>
        <v>Akron</v>
      </c>
      <c r="S36" s="462" t="str">
        <f>IF(+All!$F354="Bowling Green",+All!S354,IF(+All!$H354="Bowling Green",+All!S354,0))</f>
        <v>Bowling Green</v>
      </c>
      <c r="T36" s="460" t="str">
        <f>IF(+All!$F354="Bowling Green",+All!T354,IF(+All!$H354="Bowling Green",+All!T354,0))</f>
        <v>Bowling Green</v>
      </c>
      <c r="U36" s="461" t="str">
        <f>IF(+All!$F354="Bowling Green",+All!U354,IF(+All!$H354="Bowling Green",+All!U354,0))</f>
        <v>L</v>
      </c>
    </row>
    <row r="37" spans="1:21" x14ac:dyDescent="0.8">
      <c r="A37" s="46">
        <f>IF(+All!$F411="Bowling Green",+All!A411,IF(+All!$H411="Bowling Green",+All!A411,0))</f>
        <v>6</v>
      </c>
      <c r="B37" s="348" t="str">
        <f>IF(+All!$F411="Bowling Green",+All!B411,IF(+All!$H411="Bowling Green",+All!B411,0))</f>
        <v>Sat</v>
      </c>
      <c r="C37" s="48">
        <f>IF(+All!$F411="Bowling Green",+All!C411,IF(+All!$H411="Bowling Green",+All!C411,0))</f>
        <v>44842</v>
      </c>
      <c r="D37" s="490">
        <f>IF(+All!$F411="Bowling Green",+All!D411,IF(+All!$H411="Bowling Green",+All!D411,0))</f>
        <v>0.5</v>
      </c>
      <c r="E37" s="461">
        <f>IF(+All!$F411="Bowling Green",+All!E411,IF(+All!$H411="Bowling Green",+All!E411,0))</f>
        <v>0</v>
      </c>
      <c r="F37" s="51" t="str">
        <f>IF(+All!$F411="Bowling Green",+All!F411,IF(+All!$H411="Bowling Green",+All!F411,0))</f>
        <v>Bowling Green</v>
      </c>
      <c r="G37" s="52" t="str">
        <f>IF(+All!$F411="Bowling Green",+All!G411,IF(+All!$H411="Bowling Green",+All!G411,0))</f>
        <v>MAC</v>
      </c>
      <c r="H37" s="51" t="str">
        <f>IF(+All!$F411="Bowling Green",+All!H411,IF(+All!$H411="Bowling Green",+All!H411,0))</f>
        <v>Buffalo</v>
      </c>
      <c r="I37" s="52" t="str">
        <f>IF(+All!$F411="Bowling Green",+All!I411,IF(+All!$H411="Bowling Green",+All!I411,0))</f>
        <v>MAC</v>
      </c>
      <c r="J37" s="460" t="str">
        <f>IF(+All!$F411="Bowling Green",+All!J411,IF(+All!$H411="Bowling Green",+All!J411,0))</f>
        <v>Buffalo</v>
      </c>
      <c r="K37" s="461" t="str">
        <f>IF(+All!$F411="Bowling Green",+All!K411,IF(+All!$H411="Bowling Green",+All!K411,0))</f>
        <v>Bowling Green</v>
      </c>
      <c r="L37" s="54">
        <f>IF(+All!$F411="Bowling Green",+All!L411,IF(+All!$H411="Bowling Green",+All!L411,0))</f>
        <v>2.5</v>
      </c>
      <c r="M37" s="55">
        <f>IF(+All!$F411="Bowling Green",+All!M411,IF(+All!$H411="Bowling Green",+All!M411,0))</f>
        <v>54</v>
      </c>
      <c r="N37" s="460" t="str">
        <f>IF(+All!$F411="Bowling Green",+All!N411,IF(+All!$H411="Bowling Green",+All!N411,0))</f>
        <v>Buffalo</v>
      </c>
      <c r="O37" s="462">
        <f>IF(+All!$F411="Bowling Green",+All!O411,IF(+All!$H411="Bowling Green",+All!O411,0))</f>
        <v>38</v>
      </c>
      <c r="P37" s="462" t="str">
        <f>IF(+All!$F411="Bowling Green",+All!P411,IF(+All!$H411="Bowling Green",+All!P411,0))</f>
        <v>Bowling Green</v>
      </c>
      <c r="Q37" s="461">
        <f>IF(+All!$F411="Bowling Green",+All!Q411,IF(+All!$H411="Bowling Green",+All!Q411,0))</f>
        <v>7</v>
      </c>
      <c r="R37" s="460" t="str">
        <f>IF(+All!$F411="Bowling Green",+All!R411,IF(+All!$H411="Bowling Green",+All!R411,0))</f>
        <v>Buffalo</v>
      </c>
      <c r="S37" s="462" t="str">
        <f>IF(+All!$F411="Bowling Green",+All!S411,IF(+All!$H411="Bowling Green",+All!S411,0))</f>
        <v>Bowling Green</v>
      </c>
      <c r="T37" s="460" t="str">
        <f>IF(+All!$F411="Bowling Green",+All!T411,IF(+All!$H411="Bowling Green",+All!T411,0))</f>
        <v>Bowling Green</v>
      </c>
      <c r="U37" s="461" t="str">
        <f>IF(+All!$F411="Bowling Green",+All!U411,IF(+All!$H411="Bowling Green",+All!U411,0))</f>
        <v>L</v>
      </c>
    </row>
    <row r="38" spans="1:21" x14ac:dyDescent="0.8">
      <c r="A38" s="46">
        <f>IF(+All!$F469="Bowling Green",+All!A469,IF(+All!$H469="Bowling Green",+All!A469,0))</f>
        <v>7</v>
      </c>
      <c r="B38" s="348" t="str">
        <f>IF(+All!$F469="Bowling Green",+All!B469,IF(+All!$H469="Bowling Green",+All!B469,0))</f>
        <v>Sat</v>
      </c>
      <c r="C38" s="48">
        <f>IF(+All!$F469="Bowling Green",+All!C469,IF(+All!$H469="Bowling Green",+All!C469,0))</f>
        <v>44849</v>
      </c>
      <c r="D38" s="490">
        <f>IF(+All!$F469="Bowling Green",+All!D469,IF(+All!$H469="Bowling Green",+All!D469,0))</f>
        <v>0.5</v>
      </c>
      <c r="E38" s="461">
        <f>IF(+All!$F469="Bowling Green",+All!E469,IF(+All!$H469="Bowling Green",+All!E469,0))</f>
        <v>0</v>
      </c>
      <c r="F38" s="51" t="str">
        <f>IF(+All!$F469="Bowling Green",+All!F469,IF(+All!$H469="Bowling Green",+All!F469,0))</f>
        <v>Miami (OH)</v>
      </c>
      <c r="G38" s="52" t="str">
        <f>IF(+All!$F469="Bowling Green",+All!G469,IF(+All!$H469="Bowling Green",+All!G469,0))</f>
        <v>MAC</v>
      </c>
      <c r="H38" s="51" t="str">
        <f>IF(+All!$F469="Bowling Green",+All!H469,IF(+All!$H469="Bowling Green",+All!H469,0))</f>
        <v>Bowling Green</v>
      </c>
      <c r="I38" s="52" t="str">
        <f>IF(+All!$F469="Bowling Green",+All!I469,IF(+All!$H469="Bowling Green",+All!I469,0))</f>
        <v>MAC</v>
      </c>
      <c r="J38" s="460" t="str">
        <f>IF(+All!$F469="Bowling Green",+All!J469,IF(+All!$H469="Bowling Green",+All!J469,0))</f>
        <v>Miami (OH)</v>
      </c>
      <c r="K38" s="461" t="str">
        <f>IF(+All!$F469="Bowling Green",+All!K469,IF(+All!$H469="Bowling Green",+All!K469,0))</f>
        <v>Bowling Green</v>
      </c>
      <c r="L38" s="54">
        <f>IF(+All!$F469="Bowling Green",+All!L469,IF(+All!$H469="Bowling Green",+All!L469,0))</f>
        <v>6.5</v>
      </c>
      <c r="M38" s="55">
        <f>IF(+All!$F469="Bowling Green",+All!M469,IF(+All!$H469="Bowling Green",+All!M469,0))</f>
        <v>46</v>
      </c>
      <c r="N38" s="460" t="str">
        <f>IF(+All!$F469="Bowling Green",+All!N469,IF(+All!$H469="Bowling Green",+All!N469,0))</f>
        <v>Bowling Green</v>
      </c>
      <c r="O38" s="462">
        <f>IF(+All!$F469="Bowling Green",+All!O469,IF(+All!$H469="Bowling Green",+All!O469,0))</f>
        <v>17</v>
      </c>
      <c r="P38" s="462" t="str">
        <f>IF(+All!$F469="Bowling Green",+All!P469,IF(+All!$H469="Bowling Green",+All!P469,0))</f>
        <v>Miami (OH)</v>
      </c>
      <c r="Q38" s="461">
        <f>IF(+All!$F469="Bowling Green",+All!Q469,IF(+All!$H469="Bowling Green",+All!Q469,0))</f>
        <v>13</v>
      </c>
      <c r="R38" s="460" t="str">
        <f>IF(+All!$F469="Bowling Green",+All!R469,IF(+All!$H469="Bowling Green",+All!R469,0))</f>
        <v>Bowling Green</v>
      </c>
      <c r="S38" s="462" t="str">
        <f>IF(+All!$F469="Bowling Green",+All!S469,IF(+All!$H469="Bowling Green",+All!S469,0))</f>
        <v>Miami (OH)</v>
      </c>
      <c r="T38" s="460" t="str">
        <f>IF(+All!$F469="Bowling Green",+All!T469,IF(+All!$H469="Bowling Green",+All!T469,0))</f>
        <v>Miami (OH)</v>
      </c>
      <c r="U38" s="461" t="str">
        <f>IF(+All!$F469="Bowling Green",+All!U469,IF(+All!$H469="Bowling Green",+All!U469,0))</f>
        <v>L</v>
      </c>
    </row>
    <row r="39" spans="1:21" x14ac:dyDescent="0.8">
      <c r="A39" s="46">
        <f>IF(+All!$F523="Bowling Green",+All!A523,IF(+All!$H523="Bowling Green",+All!A523,0))</f>
        <v>8</v>
      </c>
      <c r="B39" s="348" t="str">
        <f>IF(+All!$F523="Bowling Green",+All!B523,IF(+All!$H523="Bowling Green",+All!B523,0))</f>
        <v>Sat</v>
      </c>
      <c r="C39" s="48">
        <f>IF(+All!$F523="Bowling Green",+All!C523,IF(+All!$H523="Bowling Green",+All!C523,0))</f>
        <v>44856</v>
      </c>
      <c r="D39" s="490">
        <f>IF(+All!$F523="Bowling Green",+All!D523,IF(+All!$H523="Bowling Green",+All!D523,0))</f>
        <v>0.54166666666666663</v>
      </c>
      <c r="E39" s="461" t="str">
        <f>IF(+All!$F523="Bowling Green",+All!E523,IF(+All!$H523="Bowling Green",+All!E523,0))</f>
        <v>espn3</v>
      </c>
      <c r="F39" s="51" t="str">
        <f>IF(+All!$F523="Bowling Green",+All!F523,IF(+All!$H523="Bowling Green",+All!F523,0))</f>
        <v>Bowling Green</v>
      </c>
      <c r="G39" s="52" t="str">
        <f>IF(+All!$F523="Bowling Green",+All!G523,IF(+All!$H523="Bowling Green",+All!G523,0))</f>
        <v>MAC</v>
      </c>
      <c r="H39" s="51" t="str">
        <f>IF(+All!$F523="Bowling Green",+All!H523,IF(+All!$H523="Bowling Green",+All!H523,0))</f>
        <v>Central Michigan</v>
      </c>
      <c r="I39" s="52" t="str">
        <f>IF(+All!$F523="Bowling Green",+All!I523,IF(+All!$H523="Bowling Green",+All!I523,0))</f>
        <v>MAC</v>
      </c>
      <c r="J39" s="460" t="str">
        <f>IF(+All!$F523="Bowling Green",+All!J523,IF(+All!$H523="Bowling Green",+All!J523,0))</f>
        <v>Central Michigan</v>
      </c>
      <c r="K39" s="461" t="str">
        <f>IF(+All!$F523="Bowling Green",+All!K523,IF(+All!$H523="Bowling Green",+All!K523,0))</f>
        <v>Bowling Green</v>
      </c>
      <c r="L39" s="54">
        <f>IF(+All!$F523="Bowling Green",+All!L523,IF(+All!$H523="Bowling Green",+All!L523,0))</f>
        <v>6.5</v>
      </c>
      <c r="M39" s="55">
        <f>IF(+All!$F523="Bowling Green",+All!M523,IF(+All!$H523="Bowling Green",+All!M523,0))</f>
        <v>50.5</v>
      </c>
      <c r="N39" s="460" t="str">
        <f>IF(+All!$F523="Bowling Green",+All!N523,IF(+All!$H523="Bowling Green",+All!N523,0))</f>
        <v>Bowling Green</v>
      </c>
      <c r="O39" s="462">
        <f>IF(+All!$F523="Bowling Green",+All!O523,IF(+All!$H523="Bowling Green",+All!O523,0))</f>
        <v>34</v>
      </c>
      <c r="P39" s="462" t="str">
        <f>IF(+All!$F523="Bowling Green",+All!P523,IF(+All!$H523="Bowling Green",+All!P523,0))</f>
        <v>Central Michigan</v>
      </c>
      <c r="Q39" s="461">
        <f>IF(+All!$F523="Bowling Green",+All!Q523,IF(+All!$H523="Bowling Green",+All!Q523,0))</f>
        <v>18</v>
      </c>
      <c r="R39" s="460" t="str">
        <f>IF(+All!$F523="Bowling Green",+All!R523,IF(+All!$H523="Bowling Green",+All!R523,0))</f>
        <v>Bowling Green</v>
      </c>
      <c r="S39" s="462" t="str">
        <f>IF(+All!$F523="Bowling Green",+All!S523,IF(+All!$H523="Bowling Green",+All!S523,0))</f>
        <v>Central Michigan</v>
      </c>
      <c r="T39" s="460" t="str">
        <f>IF(+All!$F523="Bowling Green",+All!T523,IF(+All!$H523="Bowling Green",+All!T523,0))</f>
        <v>Bowling Green</v>
      </c>
      <c r="U39" s="461" t="str">
        <f>IF(+All!$F523="Bowling Green",+All!U523,IF(+All!$H523="Bowling Green",+All!U523,0))</f>
        <v>W</v>
      </c>
    </row>
    <row r="40" spans="1:21" x14ac:dyDescent="0.8">
      <c r="A40" s="46" t="e">
        <f>IF(+All!#REF!="Bowling Green",+All!#REF!,IF(+All!#REF!="Bowling Green",+All!#REF!,0))</f>
        <v>#REF!</v>
      </c>
      <c r="B40" s="348" t="e">
        <f>IF(+All!#REF!="Bowling Green",+All!#REF!,IF(+All!#REF!="Bowling Green",+All!#REF!,0))</f>
        <v>#REF!</v>
      </c>
      <c r="C40" s="48" t="e">
        <f>IF(+All!#REF!="Bowling Green",+All!#REF!,IF(+All!#REF!="Bowling Green",+All!#REF!,0))</f>
        <v>#REF!</v>
      </c>
      <c r="D40" s="490" t="e">
        <f>IF(+All!#REF!="Bowling Green",+All!#REF!,IF(+All!#REF!="Bowling Green",+All!#REF!,0))</f>
        <v>#REF!</v>
      </c>
      <c r="E40" s="461" t="e">
        <f>IF(+All!#REF!="Bowling Green",+All!#REF!,IF(+All!#REF!="Bowling Green",+All!#REF!,0))</f>
        <v>#REF!</v>
      </c>
      <c r="F40" s="51" t="e">
        <f>IF(+All!#REF!="Bowling Green",+All!#REF!,IF(+All!#REF!="Bowling Green",+All!#REF!,0))</f>
        <v>#REF!</v>
      </c>
      <c r="G40" s="52" t="e">
        <f>IF(+All!#REF!="Bowling Green",+All!#REF!,IF(+All!#REF!="Bowling Green",+All!#REF!,0))</f>
        <v>#REF!</v>
      </c>
      <c r="H40" s="51" t="e">
        <f>IF(+All!#REF!="Bowling Green",+All!#REF!,IF(+All!#REF!="Bowling Green",+All!#REF!,0))</f>
        <v>#REF!</v>
      </c>
      <c r="I40" s="52" t="e">
        <f>IF(+All!#REF!="Bowling Green",+All!#REF!,IF(+All!#REF!="Bowling Green",+All!#REF!,0))</f>
        <v>#REF!</v>
      </c>
      <c r="J40" s="460" t="e">
        <f>IF(+All!#REF!="Bowling Green",+All!#REF!,IF(+All!#REF!="Bowling Green",+All!#REF!,0))</f>
        <v>#REF!</v>
      </c>
      <c r="K40" s="461" t="e">
        <f>IF(+All!#REF!="Bowling Green",+All!#REF!,IF(+All!#REF!="Bowling Green",+All!#REF!,0))</f>
        <v>#REF!</v>
      </c>
      <c r="L40" s="54" t="e">
        <f>IF(+All!#REF!="Bowling Green",+All!#REF!,IF(+All!#REF!="Bowling Green",+All!#REF!,0))</f>
        <v>#REF!</v>
      </c>
      <c r="M40" s="55" t="e">
        <f>IF(+All!#REF!="Bowling Green",+All!#REF!,IF(+All!#REF!="Bowling Green",+All!#REF!,0))</f>
        <v>#REF!</v>
      </c>
      <c r="N40" s="460" t="e">
        <f>IF(+All!#REF!="Bowling Green",+All!#REF!,IF(+All!#REF!="Bowling Green",+All!#REF!,0))</f>
        <v>#REF!</v>
      </c>
      <c r="O40" s="462" t="e">
        <f>IF(+All!#REF!="Bowling Green",+All!#REF!,IF(+All!#REF!="Bowling Green",+All!#REF!,0))</f>
        <v>#REF!</v>
      </c>
      <c r="P40" s="462" t="e">
        <f>IF(+All!#REF!="Bowling Green",+All!#REF!,IF(+All!#REF!="Bowling Green",+All!#REF!,0))</f>
        <v>#REF!</v>
      </c>
      <c r="Q40" s="461" t="e">
        <f>IF(+All!#REF!="Bowling Green",+All!#REF!,IF(+All!#REF!="Bowling Green",+All!#REF!,0))</f>
        <v>#REF!</v>
      </c>
      <c r="R40" s="460" t="e">
        <f>IF(+All!#REF!="Bowling Green",+All!#REF!,IF(+All!#REF!="Bowling Green",+All!#REF!,0))</f>
        <v>#REF!</v>
      </c>
      <c r="S40" s="462" t="e">
        <f>IF(+All!#REF!="Bowling Green",+All!#REF!,IF(+All!#REF!="Bowling Green",+All!#REF!,0))</f>
        <v>#REF!</v>
      </c>
      <c r="T40" s="460" t="e">
        <f>IF(+All!#REF!="Bowling Green",+All!#REF!,IF(+All!#REF!="Bowling Green",+All!#REF!,0))</f>
        <v>#REF!</v>
      </c>
      <c r="U40" s="461" t="e">
        <f>IF(+All!#REF!="Bowling Green",+All!#REF!,IF(+All!#REF!="Bowling Green",+All!#REF!,0))</f>
        <v>#REF!</v>
      </c>
    </row>
    <row r="41" spans="1:21" x14ac:dyDescent="0.8">
      <c r="A41" s="46">
        <f>IF(+All!$F596="Bowling Green",+All!A596,IF(+All!$H596="Bowling Green",+All!A596,0))</f>
        <v>10</v>
      </c>
      <c r="B41" s="348" t="str">
        <f>IF(+All!$F596="Bowling Green",+All!B596,IF(+All!$H596="Bowling Green",+All!B596,0))</f>
        <v>Weds</v>
      </c>
      <c r="C41" s="48">
        <f>IF(+All!$F596="Bowling Green",+All!C596,IF(+All!$H596="Bowling Green",+All!C596,0))</f>
        <v>44867</v>
      </c>
      <c r="D41" s="490">
        <f>IF(+All!$F596="Bowling Green",+All!D596,IF(+All!$H596="Bowling Green",+All!D596,0))</f>
        <v>0.8125</v>
      </c>
      <c r="E41" s="461" t="str">
        <f>IF(+All!$F596="Bowling Green",+All!E596,IF(+All!$H596="Bowling Green",+All!E596,0))</f>
        <v>ESPN2</v>
      </c>
      <c r="F41" s="51" t="str">
        <f>IF(+All!$F596="Bowling Green",+All!F596,IF(+All!$H596="Bowling Green",+All!F596,0))</f>
        <v>Western Michigan</v>
      </c>
      <c r="G41" s="52" t="str">
        <f>IF(+All!$F596="Bowling Green",+All!G596,IF(+All!$H596="Bowling Green",+All!G596,0))</f>
        <v>MAC</v>
      </c>
      <c r="H41" s="51" t="str">
        <f>IF(+All!$F596="Bowling Green",+All!H596,IF(+All!$H596="Bowling Green",+All!H596,0))</f>
        <v>Bowling Green</v>
      </c>
      <c r="I41" s="52" t="str">
        <f>IF(+All!$F596="Bowling Green",+All!I596,IF(+All!$H596="Bowling Green",+All!I596,0))</f>
        <v>MAC</v>
      </c>
      <c r="J41" s="460" t="str">
        <f>IF(+All!$F596="Bowling Green",+All!J596,IF(+All!$H596="Bowling Green",+All!J596,0))</f>
        <v>Bowling Green</v>
      </c>
      <c r="K41" s="461" t="str">
        <f>IF(+All!$F596="Bowling Green",+All!K596,IF(+All!$H596="Bowling Green",+All!K596,0))</f>
        <v>Western Michigan</v>
      </c>
      <c r="L41" s="54">
        <f>IF(+All!$F596="Bowling Green",+All!L596,IF(+All!$H596="Bowling Green",+All!L596,0))</f>
        <v>4.5</v>
      </c>
      <c r="M41" s="55">
        <f>IF(+All!$F596="Bowling Green",+All!M596,IF(+All!$H596="Bowling Green",+All!M596,0))</f>
        <v>47.5</v>
      </c>
      <c r="N41" s="460" t="str">
        <f>IF(+All!$F596="Bowling Green",+All!N596,IF(+All!$H596="Bowling Green",+All!N596,0))</f>
        <v>Bowling Green</v>
      </c>
      <c r="O41" s="462">
        <f>IF(+All!$F596="Bowling Green",+All!O596,IF(+All!$H596="Bowling Green",+All!O596,0))</f>
        <v>13</v>
      </c>
      <c r="P41" s="462" t="str">
        <f>IF(+All!$F596="Bowling Green",+All!P596,IF(+All!$H596="Bowling Green",+All!P596,0))</f>
        <v>Western Michigan</v>
      </c>
      <c r="Q41" s="461">
        <f>IF(+All!$F596="Bowling Green",+All!Q596,IF(+All!$H596="Bowling Green",+All!Q596,0))</f>
        <v>9</v>
      </c>
      <c r="R41" s="460" t="str">
        <f>IF(+All!$F596="Bowling Green",+All!R596,IF(+All!$H596="Bowling Green",+All!R596,0))</f>
        <v>Western Michigan</v>
      </c>
      <c r="S41" s="462" t="str">
        <f>IF(+All!$F596="Bowling Green",+All!S596,IF(+All!$H596="Bowling Green",+All!S596,0))</f>
        <v>Bowling Green</v>
      </c>
      <c r="T41" s="460" t="str">
        <f>IF(+All!$F596="Bowling Green",+All!T596,IF(+All!$H596="Bowling Green",+All!T596,0))</f>
        <v>Bowling Green</v>
      </c>
      <c r="U41" s="461" t="str">
        <f>IF(+All!$F596="Bowling Green",+All!U596,IF(+All!$H596="Bowling Green",+All!U596,0))</f>
        <v>L</v>
      </c>
    </row>
    <row r="42" spans="1:21" x14ac:dyDescent="0.8">
      <c r="A42" s="46">
        <f>IF(+All!$F656="Bowling Green",+All!A656,IF(+All!$H656="Bowling Green",+All!A656,0))</f>
        <v>11</v>
      </c>
      <c r="B42" s="348" t="str">
        <f>IF(+All!$F656="Bowling Green",+All!B656,IF(+All!$H656="Bowling Green",+All!B656,0))</f>
        <v>Weds</v>
      </c>
      <c r="C42" s="48">
        <f>IF(+All!$F656="Bowling Green",+All!C656,IF(+All!$H656="Bowling Green",+All!C656,0))</f>
        <v>44874</v>
      </c>
      <c r="D42" s="490">
        <f>IF(+All!$F656="Bowling Green",+All!D656,IF(+All!$H656="Bowling Green",+All!D656,0))</f>
        <v>0.79166666666666663</v>
      </c>
      <c r="E42" s="461">
        <f>IF(+All!$F656="Bowling Green",+All!E656,IF(+All!$H656="Bowling Green",+All!E656,0))</f>
        <v>0</v>
      </c>
      <c r="F42" s="51" t="str">
        <f>IF(+All!$F656="Bowling Green",+All!F656,IF(+All!$H656="Bowling Green",+All!F656,0))</f>
        <v>Kent State</v>
      </c>
      <c r="G42" s="52" t="str">
        <f>IF(+All!$F656="Bowling Green",+All!G656,IF(+All!$H656="Bowling Green",+All!G656,0))</f>
        <v>MAC</v>
      </c>
      <c r="H42" s="51" t="str">
        <f>IF(+All!$F656="Bowling Green",+All!H656,IF(+All!$H656="Bowling Green",+All!H656,0))</f>
        <v>Bowling Green</v>
      </c>
      <c r="I42" s="52" t="str">
        <f>IF(+All!$F656="Bowling Green",+All!I656,IF(+All!$H656="Bowling Green",+All!I656,0))</f>
        <v>MAC</v>
      </c>
      <c r="J42" s="460" t="str">
        <f>IF(+All!$F656="Bowling Green",+All!J656,IF(+All!$H656="Bowling Green",+All!J656,0))</f>
        <v>Kent State</v>
      </c>
      <c r="K42" s="461" t="str">
        <f>IF(+All!$F656="Bowling Green",+All!K656,IF(+All!$H656="Bowling Green",+All!K656,0))</f>
        <v>Bowling Green</v>
      </c>
      <c r="L42" s="54">
        <f>IF(+All!$F656="Bowling Green",+All!L656,IF(+All!$H656="Bowling Green",+All!L656,0))</f>
        <v>2.5</v>
      </c>
      <c r="M42" s="55">
        <f>IF(+All!$F656="Bowling Green",+All!M656,IF(+All!$H656="Bowling Green",+All!M656,0))</f>
        <v>55</v>
      </c>
      <c r="N42" s="460" t="str">
        <f>IF(+All!$F656="Bowling Green",+All!N656,IF(+All!$H656="Bowling Green",+All!N656,0))</f>
        <v>Kent State</v>
      </c>
      <c r="O42" s="462">
        <f>IF(+All!$F656="Bowling Green",+All!O656,IF(+All!$H656="Bowling Green",+All!O656,0))</f>
        <v>40</v>
      </c>
      <c r="P42" s="462" t="str">
        <f>IF(+All!$F656="Bowling Green",+All!P656,IF(+All!$H656="Bowling Green",+All!P656,0))</f>
        <v>Bowling Green</v>
      </c>
      <c r="Q42" s="461">
        <f>IF(+All!$F656="Bowling Green",+All!Q656,IF(+All!$H656="Bowling Green",+All!Q656,0))</f>
        <v>6</v>
      </c>
      <c r="R42" s="460" t="str">
        <f>IF(+All!$F656="Bowling Green",+All!R656,IF(+All!$H656="Bowling Green",+All!R656,0))</f>
        <v>Kent State</v>
      </c>
      <c r="S42" s="462" t="str">
        <f>IF(+All!$F656="Bowling Green",+All!S656,IF(+All!$H656="Bowling Green",+All!S656,0))</f>
        <v>Bowling Green</v>
      </c>
      <c r="T42" s="460" t="str">
        <f>IF(+All!$F656="Bowling Green",+All!T656,IF(+All!$H656="Bowling Green",+All!T656,0))</f>
        <v>Bowling Green</v>
      </c>
      <c r="U42" s="461" t="str">
        <f>IF(+All!$F656="Bowling Green",+All!U656,IF(+All!$H656="Bowling Green",+All!U656,0))</f>
        <v>L</v>
      </c>
    </row>
    <row r="43" spans="1:21" x14ac:dyDescent="0.8">
      <c r="A43" s="46">
        <f>IF(+All!$F719="Bowling Green",+All!A719,IF(+All!$H719="Bowling Green",+All!A719,0))</f>
        <v>12</v>
      </c>
      <c r="B43" s="348" t="str">
        <f>IF(+All!$F719="Bowling Green",+All!B719,IF(+All!$H719="Bowling Green",+All!B719,0))</f>
        <v>Tues</v>
      </c>
      <c r="C43" s="48">
        <f>IF(+All!$F719="Bowling Green",+All!C719,IF(+All!$H719="Bowling Green",+All!C719,0))</f>
        <v>44880</v>
      </c>
      <c r="D43" s="490">
        <f>IF(+All!$F719="Bowling Green",+All!D719,IF(+All!$H719="Bowling Green",+All!D719,0))</f>
        <v>0.79166666666666663</v>
      </c>
      <c r="E43" s="461" t="str">
        <f>IF(+All!$F719="Bowling Green",+All!E719,IF(+All!$H719="Bowling Green",+All!E719,0))</f>
        <v>ESPNU</v>
      </c>
      <c r="F43" s="51" t="str">
        <f>IF(+All!$F719="Bowling Green",+All!F719,IF(+All!$H719="Bowling Green",+All!F719,0))</f>
        <v>Bowling Green</v>
      </c>
      <c r="G43" s="52" t="str">
        <f>IF(+All!$F719="Bowling Green",+All!G719,IF(+All!$H719="Bowling Green",+All!G719,0))</f>
        <v>MAC</v>
      </c>
      <c r="H43" s="51" t="str">
        <f>IF(+All!$F719="Bowling Green",+All!H719,IF(+All!$H719="Bowling Green",+All!H719,0))</f>
        <v>Toledo</v>
      </c>
      <c r="I43" s="52" t="str">
        <f>IF(+All!$F719="Bowling Green",+All!I719,IF(+All!$H719="Bowling Green",+All!I719,0))</f>
        <v>MAC</v>
      </c>
      <c r="J43" s="460" t="str">
        <f>IF(+All!$F719="Bowling Green",+All!J719,IF(+All!$H719="Bowling Green",+All!J719,0))</f>
        <v>Toledo</v>
      </c>
      <c r="K43" s="461" t="str">
        <f>IF(+All!$F719="Bowling Green",+All!K719,IF(+All!$H719="Bowling Green",+All!K719,0))</f>
        <v>Bowling Green</v>
      </c>
      <c r="L43" s="54">
        <f>IF(+All!$F719="Bowling Green",+All!L719,IF(+All!$H719="Bowling Green",+All!L719,0))</f>
        <v>17</v>
      </c>
      <c r="M43" s="55">
        <f>IF(+All!$F719="Bowling Green",+All!M719,IF(+All!$H719="Bowling Green",+All!M719,0))</f>
        <v>50</v>
      </c>
      <c r="N43" s="460" t="str">
        <f>IF(+All!$F719="Bowling Green",+All!N719,IF(+All!$H719="Bowling Green",+All!N719,0))</f>
        <v>Bowling Green</v>
      </c>
      <c r="O43" s="462">
        <f>IF(+All!$F719="Bowling Green",+All!O719,IF(+All!$H719="Bowling Green",+All!O719,0))</f>
        <v>42</v>
      </c>
      <c r="P43" s="462" t="str">
        <f>IF(+All!$F719="Bowling Green",+All!P719,IF(+All!$H719="Bowling Green",+All!P719,0))</f>
        <v>Toledo</v>
      </c>
      <c r="Q43" s="461">
        <f>IF(+All!$F719="Bowling Green",+All!Q719,IF(+All!$H719="Bowling Green",+All!Q719,0))</f>
        <v>35</v>
      </c>
      <c r="R43" s="460" t="str">
        <f>IF(+All!$F719="Bowling Green",+All!R719,IF(+All!$H719="Bowling Green",+All!R719,0))</f>
        <v>Bowling Green</v>
      </c>
      <c r="S43" s="462" t="str">
        <f>IF(+All!$F719="Bowling Green",+All!S719,IF(+All!$H719="Bowling Green",+All!S719,0))</f>
        <v>Toledo</v>
      </c>
      <c r="T43" s="460" t="str">
        <f>IF(+All!$F719="Bowling Green",+All!T719,IF(+All!$H719="Bowling Green",+All!T719,0))</f>
        <v>Bowling Green</v>
      </c>
      <c r="U43" s="461" t="str">
        <f>IF(+All!$F719="Bowling Green",+All!U719,IF(+All!$H719="Bowling Green",+All!U719,0))</f>
        <v>W</v>
      </c>
    </row>
    <row r="44" spans="1:21" x14ac:dyDescent="0.8">
      <c r="A44" s="46">
        <f>IF(+All!$F828="Bowling Green",+All!A828,IF(+All!$H828="Bowling Green",+All!A828,0))</f>
        <v>13</v>
      </c>
      <c r="B44" s="348" t="str">
        <f>IF(+All!$F828="Bowling Green",+All!B828,IF(+All!$H828="Bowling Green",+All!B828,0))</f>
        <v>Tues</v>
      </c>
      <c r="C44" s="48">
        <f>IF(+All!$F828="Bowling Green",+All!C828,IF(+All!$H828="Bowling Green",+All!C828,0))</f>
        <v>44887</v>
      </c>
      <c r="D44" s="490">
        <f>IF(+All!$F828="Bowling Green",+All!D828,IF(+All!$H828="Bowling Green",+All!D828,0))</f>
        <v>0.79166666666666663</v>
      </c>
      <c r="E44" s="461">
        <f>IF(+All!$F828="Bowling Green",+All!E828,IF(+All!$H828="Bowling Green",+All!E828,0))</f>
        <v>0</v>
      </c>
      <c r="F44" s="51" t="str">
        <f>IF(+All!$F828="Bowling Green",+All!F828,IF(+All!$H828="Bowling Green",+All!F828,0))</f>
        <v>Bowling Green</v>
      </c>
      <c r="G44" s="52" t="str">
        <f>IF(+All!$F828="Bowling Green",+All!G828,IF(+All!$H828="Bowling Green",+All!G828,0))</f>
        <v>MAC</v>
      </c>
      <c r="H44" s="51" t="str">
        <f>IF(+All!$F828="Bowling Green",+All!H828,IF(+All!$H828="Bowling Green",+All!H828,0))</f>
        <v>Ohio</v>
      </c>
      <c r="I44" s="52" t="str">
        <f>IF(+All!$F828="Bowling Green",+All!I828,IF(+All!$H828="Bowling Green",+All!I828,0))</f>
        <v>MAC</v>
      </c>
      <c r="J44" s="460" t="str">
        <f>IF(+All!$F828="Bowling Green",+All!J828,IF(+All!$H828="Bowling Green",+All!J828,0))</f>
        <v>Ohio</v>
      </c>
      <c r="K44" s="461" t="str">
        <f>IF(+All!$F828="Bowling Green",+All!K828,IF(+All!$H828="Bowling Green",+All!K828,0))</f>
        <v>Bowling Green</v>
      </c>
      <c r="L44" s="54">
        <f>IF(+All!$F828="Bowling Green",+All!L828,IF(+All!$H828="Bowling Green",+All!L828,0))</f>
        <v>6.5</v>
      </c>
      <c r="M44" s="55">
        <f>IF(+All!$F828="Bowling Green",+All!M828,IF(+All!$H828="Bowling Green",+All!M828,0))</f>
        <v>51.5</v>
      </c>
      <c r="N44" s="460" t="str">
        <f>IF(+All!$F828="Bowling Green",+All!N828,IF(+All!$H828="Bowling Green",+All!N828,0))</f>
        <v>Ohio</v>
      </c>
      <c r="O44" s="462">
        <f>IF(+All!$F828="Bowling Green",+All!O828,IF(+All!$H828="Bowling Green",+All!O828,0))</f>
        <v>38</v>
      </c>
      <c r="P44" s="462" t="str">
        <f>IF(+All!$F828="Bowling Green",+All!P828,IF(+All!$H828="Bowling Green",+All!P828,0))</f>
        <v>Bowling Green</v>
      </c>
      <c r="Q44" s="461">
        <f>IF(+All!$F828="Bowling Green",+All!Q828,IF(+All!$H828="Bowling Green",+All!Q828,0))</f>
        <v>14</v>
      </c>
      <c r="R44" s="460" t="str">
        <f>IF(+All!$F828="Bowling Green",+All!R828,IF(+All!$H828="Bowling Green",+All!R828,0))</f>
        <v>Ohio</v>
      </c>
      <c r="S44" s="462" t="str">
        <f>IF(+All!$F828="Bowling Green",+All!S828,IF(+All!$H828="Bowling Green",+All!S828,0))</f>
        <v>Bowling Green</v>
      </c>
      <c r="T44" s="460" t="str">
        <f>IF(+All!$F828="Bowling Green",+All!T828,IF(+All!$H828="Bowling Green",+All!T828,0))</f>
        <v>Bowling Green</v>
      </c>
      <c r="U44" s="461" t="str">
        <f>IF(+All!$F828="Bowling Green",+All!U828,IF(+All!$H828="Bowling Green",+All!U828,0))</f>
        <v>L</v>
      </c>
    </row>
    <row r="45" spans="1:21" s="88" customFormat="1" x14ac:dyDescent="0.8">
      <c r="A45" s="38"/>
      <c r="B45" s="39"/>
      <c r="C45" s="40"/>
      <c r="D45" s="41"/>
      <c r="E45" s="463"/>
      <c r="F45" s="897" t="str">
        <f>H47</f>
        <v>Buffalo</v>
      </c>
      <c r="G45" s="898"/>
      <c r="H45" s="898"/>
      <c r="I45" s="899"/>
      <c r="J45" s="459"/>
      <c r="K45" s="463"/>
      <c r="L45" s="44"/>
      <c r="M45" s="45"/>
      <c r="N45" s="459"/>
      <c r="O45" s="5"/>
      <c r="P45" s="5"/>
      <c r="Q45" s="463"/>
      <c r="R45" s="459"/>
      <c r="S45" s="5"/>
      <c r="T45" s="459"/>
      <c r="U45" s="463"/>
    </row>
    <row r="46" spans="1:21" x14ac:dyDescent="0.8">
      <c r="A46" s="46">
        <f>IF(+All!$F34="Buffalo",+All!A34,IF(+All!$H34="Buffalo",+All!A34,0))</f>
        <v>1</v>
      </c>
      <c r="B46" s="348" t="str">
        <f>IF(+All!$F34="Buffalo",+All!B34,IF(+All!$H34="Buffalo",+All!B34,0))</f>
        <v>Sat</v>
      </c>
      <c r="C46" s="48">
        <f>IF(+All!$F34="Buffalo",+All!C34,IF(+All!$H34="Buffalo",+All!C34,0))</f>
        <v>44807</v>
      </c>
      <c r="D46" s="490">
        <f>IF(+All!$F34="Buffalo",+All!D34,IF(+All!$H34="Buffalo",+All!D34,0))</f>
        <v>0.5</v>
      </c>
      <c r="E46" s="461" t="str">
        <f>IF(+All!$F34="Buffalo",+All!E34,IF(+All!$H34="Buffalo",+All!E34,0))</f>
        <v>BTN</v>
      </c>
      <c r="F46" s="51" t="str">
        <f>IF(+All!$F34="Buffalo",+All!F34,IF(+All!$H34="Buffalo",+All!F34,0))</f>
        <v>Buffalo</v>
      </c>
      <c r="G46" s="63" t="str">
        <f>IF(+All!$F34="Buffalo",+All!G34,IF(+All!$H34="Buffalo",+All!G34,0))</f>
        <v>MAC</v>
      </c>
      <c r="H46" s="63" t="str">
        <f>IF(+All!$F34="Buffalo",+All!H34,IF(+All!$H34="Buffalo",+All!H34,0))</f>
        <v>Maryland</v>
      </c>
      <c r="I46" s="52" t="str">
        <f>IF(+All!$F34="Buffalo",+All!I34,IF(+All!$H34="Buffalo",+All!I34,0))</f>
        <v>B10</v>
      </c>
      <c r="J46" s="460" t="str">
        <f>IF(+All!$F34="Buffalo",+All!J34,IF(+All!$H34="Buffalo",+All!J34,0))</f>
        <v>Maryland</v>
      </c>
      <c r="K46" s="461" t="str">
        <f>IF(+All!$F34="Buffalo",+All!K34,IF(+All!$H34="Buffalo",+All!K34,0))</f>
        <v>Buffalo</v>
      </c>
      <c r="L46" s="54">
        <f>IF(+All!$F34="Buffalo",+All!L34,IF(+All!$H34="Buffalo",+All!L34,0))</f>
        <v>24</v>
      </c>
      <c r="M46" s="55">
        <f>IF(+All!$F34="Buffalo",+All!M34,IF(+All!$H34="Buffalo",+All!M34,0))</f>
        <v>63.5</v>
      </c>
      <c r="N46" s="460" t="str">
        <f>IF(+All!$F34="Buffalo",+All!N34,IF(+All!$H34="Buffalo",+All!N34,0))</f>
        <v>Maryland</v>
      </c>
      <c r="O46" s="462">
        <f>IF(+All!$F34="Buffalo",+All!O34,IF(+All!$H34="Buffalo",+All!O34,0))</f>
        <v>31</v>
      </c>
      <c r="P46" s="462" t="str">
        <f>IF(+All!$F34="Buffalo",+All!P34,IF(+All!$H34="Buffalo",+All!P34,0))</f>
        <v>Buffalo</v>
      </c>
      <c r="Q46" s="461">
        <f>IF(+All!$F34="Buffalo",+All!Q34,IF(+All!$H34="Buffalo",+All!Q34,0))</f>
        <v>10</v>
      </c>
      <c r="R46" s="460" t="str">
        <f>IF(+All!$F34="Buffalo",+All!R34,IF(+All!$H34="Buffalo",+All!R34,0))</f>
        <v>Buffalo</v>
      </c>
      <c r="S46" s="462" t="str">
        <f>IF(+All!$F34="Buffalo",+All!S34,IF(+All!$H34="Buffalo",+All!S34,0))</f>
        <v>Maryland</v>
      </c>
      <c r="T46" s="460" t="str">
        <f>IF(+All!$F34="Buffalo",+All!T34,IF(+All!$H34="Buffalo",+All!T34,0))</f>
        <v>Maryland</v>
      </c>
      <c r="U46" s="461" t="str">
        <f>IF(+All!$F34="Buffalo",+All!U34,IF(+All!$H34="Buffalo",+All!U34,0))</f>
        <v>L</v>
      </c>
    </row>
    <row r="47" spans="1:21" x14ac:dyDescent="0.8">
      <c r="A47" s="46">
        <f>IF(+All!$F147="Buffalo",+All!A147,IF(+All!$H147="Buffalo",+All!A147,0))</f>
        <v>2</v>
      </c>
      <c r="B47" s="348" t="str">
        <f>IF(+All!$F147="Buffalo",+All!B147,IF(+All!$H147="Buffalo",+All!B147,0))</f>
        <v>Sat</v>
      </c>
      <c r="C47" s="48">
        <f>IF(+All!$F147="Buffalo",+All!C147,IF(+All!$H147="Buffalo",+All!C147,0))</f>
        <v>44814</v>
      </c>
      <c r="D47" s="490">
        <f>IF(+All!$F147="Buffalo",+All!D147,IF(+All!$H147="Buffalo",+All!D147,0))</f>
        <v>0.75</v>
      </c>
      <c r="E47" s="461">
        <f>IF(+All!$F147="Buffalo",+All!E147,IF(+All!$H147="Buffalo",+All!E147,0))</f>
        <v>0</v>
      </c>
      <c r="F47" s="51" t="str">
        <f>IF(+All!$F147="Buffalo",+All!F147,IF(+All!$H147="Buffalo",+All!F147,0))</f>
        <v>1AA Holy Cross</v>
      </c>
      <c r="G47" s="63" t="str">
        <f>IF(+All!$F147="Buffalo",+All!G147,IF(+All!$H147="Buffalo",+All!G147,0))</f>
        <v>1AA</v>
      </c>
      <c r="H47" s="63" t="str">
        <f>IF(+All!$F147="Buffalo",+All!H147,IF(+All!$H147="Buffalo",+All!H147,0))</f>
        <v>Buffalo</v>
      </c>
      <c r="I47" s="52" t="str">
        <f>IF(+All!$F147="Buffalo",+All!I147,IF(+All!$H147="Buffalo",+All!I147,0))</f>
        <v>MAC</v>
      </c>
      <c r="J47" s="460">
        <f>IF(+All!$F147="Buffalo",+All!J147,IF(+All!$H147="Buffalo",+All!J147,0))</f>
        <v>0</v>
      </c>
      <c r="K47" s="461">
        <f>IF(+All!$F147="Buffalo",+All!K147,IF(+All!$H147="Buffalo",+All!K147,0))</f>
        <v>0</v>
      </c>
      <c r="L47" s="54">
        <f>IF(+All!$F147="Buffalo",+All!L147,IF(+All!$H147="Buffalo",+All!L147,0))</f>
        <v>0</v>
      </c>
      <c r="M47" s="55">
        <f>IF(+All!$F147="Buffalo",+All!M147,IF(+All!$H147="Buffalo",+All!M147,0))</f>
        <v>0</v>
      </c>
      <c r="N47" s="460" t="str">
        <f>IF(+All!$F147="Buffalo",+All!N147,IF(+All!$H147="Buffalo",+All!N147,0))</f>
        <v>1AA Holy Cross</v>
      </c>
      <c r="O47" s="462">
        <f>IF(+All!$F147="Buffalo",+All!O147,IF(+All!$H147="Buffalo",+All!O147,0))</f>
        <v>37</v>
      </c>
      <c r="P47" s="462" t="str">
        <f>IF(+All!$F147="Buffalo",+All!P147,IF(+All!$H147="Buffalo",+All!P147,0))</f>
        <v>Buffalo</v>
      </c>
      <c r="Q47" s="461">
        <f>IF(+All!$F147="Buffalo",+All!Q147,IF(+All!$H147="Buffalo",+All!Q147,0))</f>
        <v>31</v>
      </c>
      <c r="R47" s="460">
        <f>IF(+All!$F147="Buffalo",+All!R147,IF(+All!$H147="Buffalo",+All!R147,0))</f>
        <v>0</v>
      </c>
      <c r="S47" s="462">
        <f>IF(+All!$F147="Buffalo",+All!S147,IF(+All!$H147="Buffalo",+All!S147,0))</f>
        <v>0</v>
      </c>
      <c r="T47" s="460">
        <f>IF(+All!$F147="Buffalo",+All!T147,IF(+All!$H147="Buffalo",+All!T147,0))</f>
        <v>0</v>
      </c>
      <c r="U47" s="461">
        <f>IF(+All!$F147="Buffalo",+All!U147,IF(+All!$H147="Buffalo",+All!U147,0))</f>
        <v>0</v>
      </c>
    </row>
    <row r="48" spans="1:21" x14ac:dyDescent="0.8">
      <c r="A48" s="46">
        <f>IF(+All!$F238="Buffalo",+All!A238,IF(+All!$H238="Buffalo",+All!A238,0))</f>
        <v>3</v>
      </c>
      <c r="B48" s="348" t="str">
        <f>IF(+All!$F238="Buffalo",+All!B238,IF(+All!$H238="Buffalo",+All!B238,0))</f>
        <v>Sat</v>
      </c>
      <c r="C48" s="48">
        <f>IF(+All!$F238="Buffalo",+All!C238,IF(+All!$H238="Buffalo",+All!C238,0))</f>
        <v>44821</v>
      </c>
      <c r="D48" s="490">
        <f>IF(+All!$F238="Buffalo",+All!D238,IF(+All!$H238="Buffalo",+All!D238,0))</f>
        <v>0.54166666666666663</v>
      </c>
      <c r="E48" s="461">
        <f>IF(+All!$F238="Buffalo",+All!E238,IF(+All!$H238="Buffalo",+All!E238,0))</f>
        <v>0</v>
      </c>
      <c r="F48" s="51" t="str">
        <f>IF(+All!$F238="Buffalo",+All!F238,IF(+All!$H238="Buffalo",+All!F238,0))</f>
        <v>Buffalo</v>
      </c>
      <c r="G48" s="63" t="str">
        <f>IF(+All!$F238="Buffalo",+All!G238,IF(+All!$H238="Buffalo",+All!G238,0))</f>
        <v>MAC</v>
      </c>
      <c r="H48" s="63" t="str">
        <f>IF(+All!$F238="Buffalo",+All!H238,IF(+All!$H238="Buffalo",+All!H238,0))</f>
        <v>Coastal Carolina</v>
      </c>
      <c r="I48" s="52" t="str">
        <f>IF(+All!$F238="Buffalo",+All!I238,IF(+All!$H238="Buffalo",+All!I238,0))</f>
        <v>SB</v>
      </c>
      <c r="J48" s="460" t="str">
        <f>IF(+All!$F238="Buffalo",+All!J238,IF(+All!$H238="Buffalo",+All!J238,0))</f>
        <v>Coastal Carolina</v>
      </c>
      <c r="K48" s="461" t="str">
        <f>IF(+All!$F238="Buffalo",+All!K238,IF(+All!$H238="Buffalo",+All!K238,0))</f>
        <v>Buffalo</v>
      </c>
      <c r="L48" s="54">
        <f>IF(+All!$F238="Buffalo",+All!L238,IF(+All!$H238="Buffalo",+All!L238,0))</f>
        <v>14</v>
      </c>
      <c r="M48" s="55">
        <f>IF(+All!$F238="Buffalo",+All!M238,IF(+All!$H238="Buffalo",+All!M238,0))</f>
        <v>59.5</v>
      </c>
      <c r="N48" s="460" t="str">
        <f>IF(+All!$F238="Buffalo",+All!N238,IF(+All!$H238="Buffalo",+All!N238,0))</f>
        <v>Coastal Carolina</v>
      </c>
      <c r="O48" s="462">
        <f>IF(+All!$F238="Buffalo",+All!O238,IF(+All!$H238="Buffalo",+All!O238,0))</f>
        <v>38</v>
      </c>
      <c r="P48" s="462" t="str">
        <f>IF(+All!$F238="Buffalo",+All!P238,IF(+All!$H238="Buffalo",+All!P238,0))</f>
        <v>Buffalo</v>
      </c>
      <c r="Q48" s="461">
        <f>IF(+All!$F238="Buffalo",+All!Q238,IF(+All!$H238="Buffalo",+All!Q238,0))</f>
        <v>26</v>
      </c>
      <c r="R48" s="460" t="str">
        <f>IF(+All!$F238="Buffalo",+All!R238,IF(+All!$H238="Buffalo",+All!R238,0))</f>
        <v>Buffalo</v>
      </c>
      <c r="S48" s="462" t="str">
        <f>IF(+All!$F238="Buffalo",+All!S238,IF(+All!$H238="Buffalo",+All!S238,0))</f>
        <v>Coastal Carolina</v>
      </c>
      <c r="T48" s="460" t="str">
        <f>IF(+All!$F238="Buffalo",+All!T238,IF(+All!$H238="Buffalo",+All!T238,0))</f>
        <v>Coastal Carolina</v>
      </c>
      <c r="U48" s="461" t="str">
        <f>IF(+All!$F238="Buffalo",+All!U238,IF(+All!$H238="Buffalo",+All!U238,0))</f>
        <v>L</v>
      </c>
    </row>
    <row r="49" spans="1:21" x14ac:dyDescent="0.8">
      <c r="A49" s="46">
        <f>IF(+All!$F289="Buffalo",+All!A289,IF(+All!$H289="Buffalo",+All!A289,0))</f>
        <v>4</v>
      </c>
      <c r="B49" s="348" t="str">
        <f>IF(+All!$F289="Buffalo",+All!B289,IF(+All!$H289="Buffalo",+All!B289,0))</f>
        <v>Sat</v>
      </c>
      <c r="C49" s="48">
        <f>IF(+All!$F289="Buffalo",+All!C289,IF(+All!$H289="Buffalo",+All!C289,0))</f>
        <v>44828</v>
      </c>
      <c r="D49" s="490">
        <f>IF(+All!$F289="Buffalo",+All!D289,IF(+All!$H289="Buffalo",+All!D289,0))</f>
        <v>0.5</v>
      </c>
      <c r="E49" s="461" t="str">
        <f>IF(+All!$F289="Buffalo",+All!E289,IF(+All!$H289="Buffalo",+All!E289,0))</f>
        <v>CBSSN</v>
      </c>
      <c r="F49" s="51" t="str">
        <f>IF(+All!$F289="Buffalo",+All!F289,IF(+All!$H289="Buffalo",+All!F289,0))</f>
        <v>Buffalo</v>
      </c>
      <c r="G49" s="63" t="str">
        <f>IF(+All!$F289="Buffalo",+All!G289,IF(+All!$H289="Buffalo",+All!G289,0))</f>
        <v>MAC</v>
      </c>
      <c r="H49" s="63" t="str">
        <f>IF(+All!$F289="Buffalo",+All!H289,IF(+All!$H289="Buffalo",+All!H289,0))</f>
        <v>Eastern Michigan</v>
      </c>
      <c r="I49" s="52" t="str">
        <f>IF(+All!$F289="Buffalo",+All!I289,IF(+All!$H289="Buffalo",+All!I289,0))</f>
        <v>MAC</v>
      </c>
      <c r="J49" s="460" t="str">
        <f>IF(+All!$F289="Buffalo",+All!J289,IF(+All!$H289="Buffalo",+All!J289,0))</f>
        <v>Eastern Michigan</v>
      </c>
      <c r="K49" s="461" t="str">
        <f>IF(+All!$F289="Buffalo",+All!K289,IF(+All!$H289="Buffalo",+All!K289,0))</f>
        <v>Buffalo</v>
      </c>
      <c r="L49" s="54">
        <f>IF(+All!$F289="Buffalo",+All!L289,IF(+All!$H289="Buffalo",+All!L289,0))</f>
        <v>6</v>
      </c>
      <c r="M49" s="55">
        <f>IF(+All!$F289="Buffalo",+All!M289,IF(+All!$H289="Buffalo",+All!M289,0))</f>
        <v>60</v>
      </c>
      <c r="N49" s="460" t="str">
        <f>IF(+All!$F289="Buffalo",+All!N289,IF(+All!$H289="Buffalo",+All!N289,0))</f>
        <v>Buffalo</v>
      </c>
      <c r="O49" s="462">
        <f>IF(+All!$F289="Buffalo",+All!O289,IF(+All!$H289="Buffalo",+All!O289,0))</f>
        <v>50</v>
      </c>
      <c r="P49" s="462" t="str">
        <f>IF(+All!$F289="Buffalo",+All!P289,IF(+All!$H289="Buffalo",+All!P289,0))</f>
        <v>Eastern Michigan</v>
      </c>
      <c r="Q49" s="461">
        <f>IF(+All!$F289="Buffalo",+All!Q289,IF(+All!$H289="Buffalo",+All!Q289,0))</f>
        <v>31</v>
      </c>
      <c r="R49" s="460" t="str">
        <f>IF(+All!$F289="Buffalo",+All!R289,IF(+All!$H289="Buffalo",+All!R289,0))</f>
        <v>Buffalo</v>
      </c>
      <c r="S49" s="462" t="str">
        <f>IF(+All!$F289="Buffalo",+All!S289,IF(+All!$H289="Buffalo",+All!S289,0))</f>
        <v>Eastern Michigan</v>
      </c>
      <c r="T49" s="460" t="str">
        <f>IF(+All!$F289="Buffalo",+All!T289,IF(+All!$H289="Buffalo",+All!T289,0))</f>
        <v>Buffalo</v>
      </c>
      <c r="U49" s="461" t="str">
        <f>IF(+All!$F289="Buffalo",+All!U289,IF(+All!$H289="Buffalo",+All!U289,0))</f>
        <v>W</v>
      </c>
    </row>
    <row r="50" spans="1:21" x14ac:dyDescent="0.8">
      <c r="A50" s="46">
        <f>IF(+All!$F356="Buffalo",+All!A356,IF(+All!$H356="Buffalo",+All!A356,0))</f>
        <v>5</v>
      </c>
      <c r="B50" s="348" t="str">
        <f>IF(+All!$F356="Buffalo",+All!B356,IF(+All!$H356="Buffalo",+All!B356,0))</f>
        <v>Sat</v>
      </c>
      <c r="C50" s="48">
        <f>IF(+All!$F356="Buffalo",+All!C356,IF(+All!$H356="Buffalo",+All!C356,0))</f>
        <v>44835</v>
      </c>
      <c r="D50" s="490">
        <f>IF(+All!$F356="Buffalo",+All!D356,IF(+All!$H356="Buffalo",+All!D356,0))</f>
        <v>0.64583333333333337</v>
      </c>
      <c r="E50" s="461">
        <f>IF(+All!$F356="Buffalo",+All!E356,IF(+All!$H356="Buffalo",+All!E356,0))</f>
        <v>0</v>
      </c>
      <c r="F50" s="51" t="str">
        <f>IF(+All!$F356="Buffalo",+All!F356,IF(+All!$H356="Buffalo",+All!F356,0))</f>
        <v>Miami (OH)</v>
      </c>
      <c r="G50" s="63" t="str">
        <f>IF(+All!$F356="Buffalo",+All!G356,IF(+All!$H356="Buffalo",+All!G356,0))</f>
        <v>MAC</v>
      </c>
      <c r="H50" s="63" t="str">
        <f>IF(+All!$F356="Buffalo",+All!H356,IF(+All!$H356="Buffalo",+All!H356,0))</f>
        <v>Buffalo</v>
      </c>
      <c r="I50" s="52" t="str">
        <f>IF(+All!$F356="Buffalo",+All!I356,IF(+All!$H356="Buffalo",+All!I356,0))</f>
        <v>MAC</v>
      </c>
      <c r="J50" s="460" t="str">
        <f>IF(+All!$F356="Buffalo",+All!J356,IF(+All!$H356="Buffalo",+All!J356,0))</f>
        <v>Buffalo</v>
      </c>
      <c r="K50" s="461" t="str">
        <f>IF(+All!$F356="Buffalo",+All!K356,IF(+All!$H356="Buffalo",+All!K356,0))</f>
        <v>Miami (OH)</v>
      </c>
      <c r="L50" s="54">
        <f>IF(+All!$F356="Buffalo",+All!L356,IF(+All!$H356="Buffalo",+All!L356,0))</f>
        <v>1.5</v>
      </c>
      <c r="M50" s="55">
        <f>IF(+All!$F356="Buffalo",+All!M356,IF(+All!$H356="Buffalo",+All!M356,0))</f>
        <v>50.5</v>
      </c>
      <c r="N50" s="460" t="str">
        <f>IF(+All!$F356="Buffalo",+All!N356,IF(+All!$H356="Buffalo",+All!N356,0))</f>
        <v>Buffalo</v>
      </c>
      <c r="O50" s="462">
        <f>IF(+All!$F356="Buffalo",+All!O356,IF(+All!$H356="Buffalo",+All!O356,0))</f>
        <v>24</v>
      </c>
      <c r="P50" s="462" t="str">
        <f>IF(+All!$F356="Buffalo",+All!P356,IF(+All!$H356="Buffalo",+All!P356,0))</f>
        <v>Miami (OH)</v>
      </c>
      <c r="Q50" s="461">
        <f>IF(+All!$F356="Buffalo",+All!Q356,IF(+All!$H356="Buffalo",+All!Q356,0))</f>
        <v>20</v>
      </c>
      <c r="R50" s="460" t="str">
        <f>IF(+All!$F356="Buffalo",+All!R356,IF(+All!$H356="Buffalo",+All!R356,0))</f>
        <v>Buffalo</v>
      </c>
      <c r="S50" s="462" t="str">
        <f>IF(+All!$F356="Buffalo",+All!S356,IF(+All!$H356="Buffalo",+All!S356,0))</f>
        <v>Miami (OH)</v>
      </c>
      <c r="T50" s="460" t="str">
        <f>IF(+All!$F356="Buffalo",+All!T356,IF(+All!$H356="Buffalo",+All!T356,0))</f>
        <v>Miami (OH)</v>
      </c>
      <c r="U50" s="461" t="str">
        <f>IF(+All!$F356="Buffalo",+All!U356,IF(+All!$H356="Buffalo",+All!U356,0))</f>
        <v>L</v>
      </c>
    </row>
    <row r="51" spans="1:21" x14ac:dyDescent="0.8">
      <c r="A51" s="46">
        <f>IF(+All!$F411="Buffalo",+All!A411,IF(+All!$H411="Buffalo",+All!A411,0))</f>
        <v>6</v>
      </c>
      <c r="B51" s="348" t="str">
        <f>IF(+All!$F411="Buffalo",+All!B411,IF(+All!$H411="Buffalo",+All!B411,0))</f>
        <v>Sat</v>
      </c>
      <c r="C51" s="48">
        <f>IF(+All!$F411="Buffalo",+All!C411,IF(+All!$H411="Buffalo",+All!C411,0))</f>
        <v>44842</v>
      </c>
      <c r="D51" s="490">
        <f>IF(+All!$F411="Buffalo",+All!D411,IF(+All!$H411="Buffalo",+All!D411,0))</f>
        <v>0.5</v>
      </c>
      <c r="E51" s="461">
        <f>IF(+All!$F411="Buffalo",+All!E411,IF(+All!$H411="Buffalo",+All!E411,0))</f>
        <v>0</v>
      </c>
      <c r="F51" s="51" t="str">
        <f>IF(+All!$F411="Buffalo",+All!F411,IF(+All!$H411="Buffalo",+All!F411,0))</f>
        <v>Bowling Green</v>
      </c>
      <c r="G51" s="63" t="str">
        <f>IF(+All!$F411="Buffalo",+All!G411,IF(+All!$H411="Buffalo",+All!G411,0))</f>
        <v>MAC</v>
      </c>
      <c r="H51" s="63" t="str">
        <f>IF(+All!$F411="Buffalo",+All!H411,IF(+All!$H411="Buffalo",+All!H411,0))</f>
        <v>Buffalo</v>
      </c>
      <c r="I51" s="52" t="str">
        <f>IF(+All!$F411="Buffalo",+All!I411,IF(+All!$H411="Buffalo",+All!I411,0))</f>
        <v>MAC</v>
      </c>
      <c r="J51" s="460" t="str">
        <f>IF(+All!$F411="Buffalo",+All!J411,IF(+All!$H411="Buffalo",+All!J411,0))</f>
        <v>Buffalo</v>
      </c>
      <c r="K51" s="461" t="str">
        <f>IF(+All!$F411="Buffalo",+All!K411,IF(+All!$H411="Buffalo",+All!K411,0))</f>
        <v>Bowling Green</v>
      </c>
      <c r="L51" s="54">
        <f>IF(+All!$F411="Buffalo",+All!L411,IF(+All!$H411="Buffalo",+All!L411,0))</f>
        <v>2.5</v>
      </c>
      <c r="M51" s="55">
        <f>IF(+All!$F411="Buffalo",+All!M411,IF(+All!$H411="Buffalo",+All!M411,0))</f>
        <v>54</v>
      </c>
      <c r="N51" s="460" t="str">
        <f>IF(+All!$F411="Buffalo",+All!N411,IF(+All!$H411="Buffalo",+All!N411,0))</f>
        <v>Buffalo</v>
      </c>
      <c r="O51" s="462">
        <f>IF(+All!$F411="Buffalo",+All!O411,IF(+All!$H411="Buffalo",+All!O411,0))</f>
        <v>38</v>
      </c>
      <c r="P51" s="462" t="str">
        <f>IF(+All!$F411="Buffalo",+All!P411,IF(+All!$H411="Buffalo",+All!P411,0))</f>
        <v>Bowling Green</v>
      </c>
      <c r="Q51" s="461">
        <f>IF(+All!$F411="Buffalo",+All!Q411,IF(+All!$H411="Buffalo",+All!Q411,0))</f>
        <v>7</v>
      </c>
      <c r="R51" s="460" t="str">
        <f>IF(+All!$F411="Buffalo",+All!R411,IF(+All!$H411="Buffalo",+All!R411,0))</f>
        <v>Buffalo</v>
      </c>
      <c r="S51" s="462" t="str">
        <f>IF(+All!$F411="Buffalo",+All!S411,IF(+All!$H411="Buffalo",+All!S411,0))</f>
        <v>Bowling Green</v>
      </c>
      <c r="T51" s="460" t="str">
        <f>IF(+All!$F411="Buffalo",+All!T411,IF(+All!$H411="Buffalo",+All!T411,0))</f>
        <v>Bowling Green</v>
      </c>
      <c r="U51" s="461" t="str">
        <f>IF(+All!$F411="Buffalo",+All!U411,IF(+All!$H411="Buffalo",+All!U411,0))</f>
        <v>L</v>
      </c>
    </row>
    <row r="52" spans="1:21" x14ac:dyDescent="0.8">
      <c r="A52" s="46">
        <f>IF(+All!$F464="Buffalo",+All!A464,IF(+All!$H464="Buffalo",+All!A464,0))</f>
        <v>7</v>
      </c>
      <c r="B52" s="348" t="str">
        <f>IF(+All!$F464="Buffalo",+All!B464,IF(+All!$H464="Buffalo",+All!B464,0))</f>
        <v>Sat</v>
      </c>
      <c r="C52" s="48">
        <f>IF(+All!$F464="Buffalo",+All!C464,IF(+All!$H464="Buffalo",+All!C464,0))</f>
        <v>44849</v>
      </c>
      <c r="D52" s="490">
        <f>IF(+All!$F464="Buffalo",+All!D464,IF(+All!$H464="Buffalo",+All!D464,0))</f>
        <v>0.54166666666666663</v>
      </c>
      <c r="E52" s="461" t="str">
        <f>IF(+All!$F464="Buffalo",+All!E464,IF(+All!$H464="Buffalo",+All!E464,0))</f>
        <v>espn3</v>
      </c>
      <c r="F52" s="51" t="str">
        <f>IF(+All!$F464="Buffalo",+All!F464,IF(+All!$H464="Buffalo",+All!F464,0))</f>
        <v>Buffalo</v>
      </c>
      <c r="G52" s="63" t="str">
        <f>IF(+All!$F464="Buffalo",+All!G464,IF(+All!$H464="Buffalo",+All!G464,0))</f>
        <v>MAC</v>
      </c>
      <c r="H52" s="63" t="str">
        <f>IF(+All!$F464="Buffalo",+All!H464,IF(+All!$H464="Buffalo",+All!H464,0))</f>
        <v>Massachusetts</v>
      </c>
      <c r="I52" s="52" t="str">
        <f>IF(+All!$F464="Buffalo",+All!I464,IF(+All!$H464="Buffalo",+All!I464,0))</f>
        <v>Ind</v>
      </c>
      <c r="J52" s="460" t="str">
        <f>IF(+All!$F464="Buffalo",+All!J464,IF(+All!$H464="Buffalo",+All!J464,0))</f>
        <v>Buffalo</v>
      </c>
      <c r="K52" s="461" t="str">
        <f>IF(+All!$F464="Buffalo",+All!K464,IF(+All!$H464="Buffalo",+All!K464,0))</f>
        <v>Massachusetts</v>
      </c>
      <c r="L52" s="54">
        <f>IF(+All!$F464="Buffalo",+All!L464,IF(+All!$H464="Buffalo",+All!L464,0))</f>
        <v>17.5</v>
      </c>
      <c r="M52" s="55">
        <f>IF(+All!$F464="Buffalo",+All!M464,IF(+All!$H464="Buffalo",+All!M464,0))</f>
        <v>47</v>
      </c>
      <c r="N52" s="460" t="str">
        <f>IF(+All!$F464="Buffalo",+All!N464,IF(+All!$H464="Buffalo",+All!N464,0))</f>
        <v>Buffalo</v>
      </c>
      <c r="O52" s="462">
        <f>IF(+All!$F464="Buffalo",+All!O464,IF(+All!$H464="Buffalo",+All!O464,0))</f>
        <v>34</v>
      </c>
      <c r="P52" s="462" t="str">
        <f>IF(+All!$F464="Buffalo",+All!P464,IF(+All!$H464="Buffalo",+All!P464,0))</f>
        <v>Massachusetts</v>
      </c>
      <c r="Q52" s="461">
        <f>IF(+All!$F464="Buffalo",+All!Q464,IF(+All!$H464="Buffalo",+All!Q464,0))</f>
        <v>7</v>
      </c>
      <c r="R52" s="460" t="str">
        <f>IF(+All!$F464="Buffalo",+All!R464,IF(+All!$H464="Buffalo",+All!R464,0))</f>
        <v>Buffalo</v>
      </c>
      <c r="S52" s="462" t="str">
        <f>IF(+All!$F464="Buffalo",+All!S464,IF(+All!$H464="Buffalo",+All!S464,0))</f>
        <v>Massachusetts</v>
      </c>
      <c r="T52" s="460" t="str">
        <f>IF(+All!$F464="Buffalo",+All!T464,IF(+All!$H464="Buffalo",+All!T464,0))</f>
        <v>Massachusetts</v>
      </c>
      <c r="U52" s="461" t="str">
        <f>IF(+All!$F464="Buffalo",+All!U464,IF(+All!$H464="Buffalo",+All!U464,0))</f>
        <v>L</v>
      </c>
    </row>
    <row r="53" spans="1:21" x14ac:dyDescent="0.8">
      <c r="A53" s="46">
        <f>IF(+All!$F522="Buffalo",+All!A522,IF(+All!$H522="Buffalo",+All!A522,0))</f>
        <v>8</v>
      </c>
      <c r="B53" s="348" t="str">
        <f>IF(+All!$F522="Buffalo",+All!B522,IF(+All!$H522="Buffalo",+All!B522,0))</f>
        <v>Sat</v>
      </c>
      <c r="C53" s="48">
        <f>IF(+All!$F522="Buffalo",+All!C522,IF(+All!$H522="Buffalo",+All!C522,0))</f>
        <v>44856</v>
      </c>
      <c r="D53" s="490">
        <f>IF(+All!$F522="Buffalo",+All!D522,IF(+All!$H522="Buffalo",+All!D522,0))</f>
        <v>0.54166666666666663</v>
      </c>
      <c r="E53" s="461">
        <f>IF(+All!$F522="Buffalo",+All!E522,IF(+All!$H522="Buffalo",+All!E522,0))</f>
        <v>0</v>
      </c>
      <c r="F53" s="51" t="str">
        <f>IF(+All!$F522="Buffalo",+All!F522,IF(+All!$H522="Buffalo",+All!F522,0))</f>
        <v>Toledo</v>
      </c>
      <c r="G53" s="63" t="str">
        <f>IF(+All!$F522="Buffalo",+All!G522,IF(+All!$H522="Buffalo",+All!G522,0))</f>
        <v>MAC</v>
      </c>
      <c r="H53" s="63" t="str">
        <f>IF(+All!$F522="Buffalo",+All!H522,IF(+All!$H522="Buffalo",+All!H522,0))</f>
        <v>Buffalo</v>
      </c>
      <c r="I53" s="52" t="str">
        <f>IF(+All!$F522="Buffalo",+All!I522,IF(+All!$H522="Buffalo",+All!I522,0))</f>
        <v>MAC</v>
      </c>
      <c r="J53" s="460" t="str">
        <f>IF(+All!$F522="Buffalo",+All!J522,IF(+All!$H522="Buffalo",+All!J522,0))</f>
        <v>Toledo</v>
      </c>
      <c r="K53" s="461" t="str">
        <f>IF(+All!$F522="Buffalo",+All!K522,IF(+All!$H522="Buffalo",+All!K522,0))</f>
        <v>Buffalo</v>
      </c>
      <c r="L53" s="54">
        <f>IF(+All!$F522="Buffalo",+All!L522,IF(+All!$H522="Buffalo",+All!L522,0))</f>
        <v>7</v>
      </c>
      <c r="M53" s="55">
        <f>IF(+All!$F522="Buffalo",+All!M522,IF(+All!$H522="Buffalo",+All!M522,0))</f>
        <v>58</v>
      </c>
      <c r="N53" s="460" t="str">
        <f>IF(+All!$F522="Buffalo",+All!N522,IF(+All!$H522="Buffalo",+All!N522,0))</f>
        <v>Buffalo</v>
      </c>
      <c r="O53" s="462">
        <f>IF(+All!$F522="Buffalo",+All!O522,IF(+All!$H522="Buffalo",+All!O522,0))</f>
        <v>34</v>
      </c>
      <c r="P53" s="462" t="str">
        <f>IF(+All!$F522="Buffalo",+All!P522,IF(+All!$H522="Buffalo",+All!P522,0))</f>
        <v>Toledo</v>
      </c>
      <c r="Q53" s="461">
        <f>IF(+All!$F522="Buffalo",+All!Q522,IF(+All!$H522="Buffalo",+All!Q522,0))</f>
        <v>27</v>
      </c>
      <c r="R53" s="460" t="str">
        <f>IF(+All!$F522="Buffalo",+All!R522,IF(+All!$H522="Buffalo",+All!R522,0))</f>
        <v>Buffalo</v>
      </c>
      <c r="S53" s="462" t="str">
        <f>IF(+All!$F522="Buffalo",+All!S522,IF(+All!$H522="Buffalo",+All!S522,0))</f>
        <v>Toledo</v>
      </c>
      <c r="T53" s="460" t="str">
        <f>IF(+All!$F522="Buffalo",+All!T522,IF(+All!$H522="Buffalo",+All!T522,0))</f>
        <v>Toledo</v>
      </c>
      <c r="U53" s="461" t="str">
        <f>IF(+All!$F522="Buffalo",+All!U522,IF(+All!$H522="Buffalo",+All!U522,0))</f>
        <v>L</v>
      </c>
    </row>
    <row r="54" spans="1:21" x14ac:dyDescent="0.8">
      <c r="A54" s="46" t="e">
        <f>IF(+All!#REF!="Buffalo",+All!#REF!,IF(+All!#REF!="Buffalo",+All!#REF!,0))</f>
        <v>#REF!</v>
      </c>
      <c r="B54" s="348" t="e">
        <f>IF(+All!#REF!="Buffalo",+All!#REF!,IF(+All!#REF!="Buffalo",+All!#REF!,0))</f>
        <v>#REF!</v>
      </c>
      <c r="C54" s="48" t="e">
        <f>IF(+All!#REF!="Buffalo",+All!#REF!,IF(+All!#REF!="Buffalo",+All!#REF!,0))</f>
        <v>#REF!</v>
      </c>
      <c r="D54" s="490" t="e">
        <f>IF(+All!#REF!="Buffalo",+All!#REF!,IF(+All!#REF!="Buffalo",+All!#REF!,0))</f>
        <v>#REF!</v>
      </c>
      <c r="E54" s="461" t="e">
        <f>IF(+All!#REF!="Buffalo",+All!#REF!,IF(+All!#REF!="Buffalo",+All!#REF!,0))</f>
        <v>#REF!</v>
      </c>
      <c r="F54" s="51" t="e">
        <f>IF(+All!#REF!="Buffalo",+All!#REF!,IF(+All!#REF!="Buffalo",+All!#REF!,0))</f>
        <v>#REF!</v>
      </c>
      <c r="G54" s="63" t="e">
        <f>IF(+All!#REF!="Buffalo",+All!#REF!,IF(+All!#REF!="Buffalo",+All!#REF!,0))</f>
        <v>#REF!</v>
      </c>
      <c r="H54" s="63" t="e">
        <f>IF(+All!#REF!="Buffalo",+All!#REF!,IF(+All!#REF!="Buffalo",+All!#REF!,0))</f>
        <v>#REF!</v>
      </c>
      <c r="I54" s="52" t="e">
        <f>IF(+All!#REF!="Buffalo",+All!#REF!,IF(+All!#REF!="Buffalo",+All!#REF!,0))</f>
        <v>#REF!</v>
      </c>
      <c r="J54" s="460" t="e">
        <f>IF(+All!#REF!="Buffalo",+All!#REF!,IF(+All!#REF!="Buffalo",+All!#REF!,0))</f>
        <v>#REF!</v>
      </c>
      <c r="K54" s="461" t="e">
        <f>IF(+All!#REF!="Buffalo",+All!#REF!,IF(+All!#REF!="Buffalo",+All!#REF!,0))</f>
        <v>#REF!</v>
      </c>
      <c r="L54" s="54" t="e">
        <f>IF(+All!#REF!="Buffalo",+All!#REF!,IF(+All!#REF!="Buffalo",+All!#REF!,0))</f>
        <v>#REF!</v>
      </c>
      <c r="M54" s="55" t="e">
        <f>IF(+All!#REF!="Buffalo",+All!#REF!,IF(+All!#REF!="Buffalo",+All!#REF!,0))</f>
        <v>#REF!</v>
      </c>
      <c r="N54" s="460" t="e">
        <f>IF(+All!#REF!="Buffalo",+All!#REF!,IF(+All!#REF!="Buffalo",+All!#REF!,0))</f>
        <v>#REF!</v>
      </c>
      <c r="O54" s="462" t="e">
        <f>IF(+All!#REF!="Buffalo",+All!#REF!,IF(+All!#REF!="Buffalo",+All!#REF!,0))</f>
        <v>#REF!</v>
      </c>
      <c r="P54" s="462" t="e">
        <f>IF(+All!#REF!="Buffalo",+All!#REF!,IF(+All!#REF!="Buffalo",+All!#REF!,0))</f>
        <v>#REF!</v>
      </c>
      <c r="Q54" s="461" t="e">
        <f>IF(+All!#REF!="Buffalo",+All!#REF!,IF(+All!#REF!="Buffalo",+All!#REF!,0))</f>
        <v>#REF!</v>
      </c>
      <c r="R54" s="460" t="e">
        <f>IF(+All!#REF!="Buffalo",+All!#REF!,IF(+All!#REF!="Buffalo",+All!#REF!,0))</f>
        <v>#REF!</v>
      </c>
      <c r="S54" s="462" t="e">
        <f>IF(+All!#REF!="Buffalo",+All!#REF!,IF(+All!#REF!="Buffalo",+All!#REF!,0))</f>
        <v>#REF!</v>
      </c>
      <c r="T54" s="460" t="e">
        <f>IF(+All!#REF!="Buffalo",+All!#REF!,IF(+All!#REF!="Buffalo",+All!#REF!,0))</f>
        <v>#REF!</v>
      </c>
      <c r="U54" s="461" t="e">
        <f>IF(+All!#REF!="Buffalo",+All!#REF!,IF(+All!#REF!="Buffalo",+All!#REF!,0))</f>
        <v>#REF!</v>
      </c>
    </row>
    <row r="55" spans="1:21" x14ac:dyDescent="0.8">
      <c r="A55" s="46">
        <f>IF(+All!$F594="Buffalo",+All!A594,IF(+All!$H594="Buffalo",+All!A594,0))</f>
        <v>10</v>
      </c>
      <c r="B55" s="348" t="str">
        <f>IF(+All!$F594="Buffalo",+All!B594,IF(+All!$H594="Buffalo",+All!B594,0))</f>
        <v>Tues</v>
      </c>
      <c r="C55" s="48">
        <f>IF(+All!$F594="Buffalo",+All!C594,IF(+All!$H594="Buffalo",+All!C594,0))</f>
        <v>44866</v>
      </c>
      <c r="D55" s="490">
        <f>IF(+All!$F594="Buffalo",+All!D594,IF(+All!$H594="Buffalo",+All!D594,0))</f>
        <v>0.8125</v>
      </c>
      <c r="E55" s="461" t="str">
        <f>IF(+All!$F594="Buffalo",+All!E594,IF(+All!$H594="Buffalo",+All!E594,0))</f>
        <v>ESPN2</v>
      </c>
      <c r="F55" s="51" t="str">
        <f>IF(+All!$F594="Buffalo",+All!F594,IF(+All!$H594="Buffalo",+All!F594,0))</f>
        <v>Buffalo</v>
      </c>
      <c r="G55" s="63" t="str">
        <f>IF(+All!$F594="Buffalo",+All!G594,IF(+All!$H594="Buffalo",+All!G594,0))</f>
        <v>MAC</v>
      </c>
      <c r="H55" s="63" t="str">
        <f>IF(+All!$F594="Buffalo",+All!H594,IF(+All!$H594="Buffalo",+All!H594,0))</f>
        <v>Ohio</v>
      </c>
      <c r="I55" s="52" t="str">
        <f>IF(+All!$F594="Buffalo",+All!I594,IF(+All!$H594="Buffalo",+All!I594,0))</f>
        <v>MAC</v>
      </c>
      <c r="J55" s="460" t="str">
        <f>IF(+All!$F594="Buffalo",+All!J594,IF(+All!$H594="Buffalo",+All!J594,0))</f>
        <v>Buffalo</v>
      </c>
      <c r="K55" s="461" t="str">
        <f>IF(+All!$F594="Buffalo",+All!K594,IF(+All!$H594="Buffalo",+All!K594,0))</f>
        <v>Ohio</v>
      </c>
      <c r="L55" s="54">
        <f>IF(+All!$F594="Buffalo",+All!L594,IF(+All!$H594="Buffalo",+All!L594,0))</f>
        <v>2.5</v>
      </c>
      <c r="M55" s="55">
        <f>IF(+All!$F594="Buffalo",+All!M594,IF(+All!$H594="Buffalo",+All!M594,0))</f>
        <v>60</v>
      </c>
      <c r="N55" s="460" t="str">
        <f>IF(+All!$F594="Buffalo",+All!N594,IF(+All!$H594="Buffalo",+All!N594,0))</f>
        <v>Ohio</v>
      </c>
      <c r="O55" s="462">
        <f>IF(+All!$F594="Buffalo",+All!O594,IF(+All!$H594="Buffalo",+All!O594,0))</f>
        <v>45</v>
      </c>
      <c r="P55" s="462" t="str">
        <f>IF(+All!$F594="Buffalo",+All!P594,IF(+All!$H594="Buffalo",+All!P594,0))</f>
        <v>Buffalo</v>
      </c>
      <c r="Q55" s="461">
        <f>IF(+All!$F594="Buffalo",+All!Q594,IF(+All!$H594="Buffalo",+All!Q594,0))</f>
        <v>24</v>
      </c>
      <c r="R55" s="460" t="str">
        <f>IF(+All!$F594="Buffalo",+All!R594,IF(+All!$H594="Buffalo",+All!R594,0))</f>
        <v>Ohio</v>
      </c>
      <c r="S55" s="462" t="str">
        <f>IF(+All!$F594="Buffalo",+All!S594,IF(+All!$H594="Buffalo",+All!S594,0))</f>
        <v>Buffalo</v>
      </c>
      <c r="T55" s="460" t="str">
        <f>IF(+All!$F594="Buffalo",+All!T594,IF(+All!$H594="Buffalo",+All!T594,0))</f>
        <v>Buffalo</v>
      </c>
      <c r="U55" s="461" t="str">
        <f>IF(+All!$F594="Buffalo",+All!U594,IF(+All!$H594="Buffalo",+All!U594,0))</f>
        <v>L</v>
      </c>
    </row>
    <row r="56" spans="1:21" x14ac:dyDescent="0.8">
      <c r="A56" s="46">
        <f>IF(+All!$F657="Buffalo",+All!A657,IF(+All!$H657="Buffalo",+All!A657,0))</f>
        <v>11</v>
      </c>
      <c r="B56" s="348" t="str">
        <f>IF(+All!$F657="Buffalo",+All!B657,IF(+All!$H657="Buffalo",+All!B657,0))</f>
        <v>Weds</v>
      </c>
      <c r="C56" s="48">
        <f>IF(+All!$F657="Buffalo",+All!C657,IF(+All!$H657="Buffalo",+All!C657,0))</f>
        <v>44874</v>
      </c>
      <c r="D56" s="490">
        <f>IF(+All!$F657="Buffalo",+All!D657,IF(+All!$H657="Buffalo",+All!D657,0))</f>
        <v>0.79166666666666663</v>
      </c>
      <c r="E56" s="461" t="str">
        <f>IF(+All!$F657="Buffalo",+All!E657,IF(+All!$H657="Buffalo",+All!E657,0))</f>
        <v>ESPN2</v>
      </c>
      <c r="F56" s="51" t="str">
        <f>IF(+All!$F657="Buffalo",+All!F657,IF(+All!$H657="Buffalo",+All!F657,0))</f>
        <v>Buffalo</v>
      </c>
      <c r="G56" s="63" t="str">
        <f>IF(+All!$F657="Buffalo",+All!G657,IF(+All!$H657="Buffalo",+All!G657,0))</f>
        <v>MAC</v>
      </c>
      <c r="H56" s="63" t="str">
        <f>IF(+All!$F657="Buffalo",+All!H657,IF(+All!$H657="Buffalo",+All!H657,0))</f>
        <v>Central Michigan</v>
      </c>
      <c r="I56" s="52" t="str">
        <f>IF(+All!$F657="Buffalo",+All!I657,IF(+All!$H657="Buffalo",+All!I657,0))</f>
        <v>MAC</v>
      </c>
      <c r="J56" s="460" t="str">
        <f>IF(+All!$F657="Buffalo",+All!J657,IF(+All!$H657="Buffalo",+All!J657,0))</f>
        <v>Central Michigan</v>
      </c>
      <c r="K56" s="461" t="str">
        <f>IF(+All!$F657="Buffalo",+All!K657,IF(+All!$H657="Buffalo",+All!K657,0))</f>
        <v>Buffalo</v>
      </c>
      <c r="L56" s="54">
        <f>IF(+All!$F657="Buffalo",+All!L657,IF(+All!$H657="Buffalo",+All!L657,0))</f>
        <v>1</v>
      </c>
      <c r="M56" s="55">
        <f>IF(+All!$F657="Buffalo",+All!M657,IF(+All!$H657="Buffalo",+All!M657,0))</f>
        <v>54</v>
      </c>
      <c r="N56" s="460" t="str">
        <f>IF(+All!$F657="Buffalo",+All!N657,IF(+All!$H657="Buffalo",+All!N657,0))</f>
        <v>Central Michigan</v>
      </c>
      <c r="O56" s="462">
        <f>IF(+All!$F657="Buffalo",+All!O657,IF(+All!$H657="Buffalo",+All!O657,0))</f>
        <v>31</v>
      </c>
      <c r="P56" s="462" t="str">
        <f>IF(+All!$F657="Buffalo",+All!P657,IF(+All!$H657="Buffalo",+All!P657,0))</f>
        <v>Buffalo</v>
      </c>
      <c r="Q56" s="461">
        <f>IF(+All!$F657="Buffalo",+All!Q657,IF(+All!$H657="Buffalo",+All!Q657,0))</f>
        <v>27</v>
      </c>
      <c r="R56" s="460" t="str">
        <f>IF(+All!$F657="Buffalo",+All!R657,IF(+All!$H657="Buffalo",+All!R657,0))</f>
        <v>Central Michigan</v>
      </c>
      <c r="S56" s="462" t="str">
        <f>IF(+All!$F657="Buffalo",+All!S657,IF(+All!$H657="Buffalo",+All!S657,0))</f>
        <v>Buffalo</v>
      </c>
      <c r="T56" s="460" t="str">
        <f>IF(+All!$F657="Buffalo",+All!T657,IF(+All!$H657="Buffalo",+All!T657,0))</f>
        <v>Buffalo</v>
      </c>
      <c r="U56" s="461" t="str">
        <f>IF(+All!$F657="Buffalo",+All!U657,IF(+All!$H657="Buffalo",+All!U657,0))</f>
        <v>L</v>
      </c>
    </row>
    <row r="57" spans="1:21" x14ac:dyDescent="0.8">
      <c r="A57" s="46">
        <f>IF(+All!$F757="Buffalo",+All!A757,IF(+All!$H757="Buffalo",+All!A757,0))</f>
        <v>12</v>
      </c>
      <c r="B57" s="348" t="str">
        <f>IF(+All!$F757="Buffalo",+All!B757,IF(+All!$H757="Buffalo",+All!B757,0))</f>
        <v>Sat</v>
      </c>
      <c r="C57" s="48">
        <f>IF(+All!$F757="Buffalo",+All!C757,IF(+All!$H757="Buffalo",+All!C757,0))</f>
        <v>44884</v>
      </c>
      <c r="D57" s="490">
        <f>IF(+All!$F757="Buffalo",+All!D757,IF(+All!$H757="Buffalo",+All!D757,0))</f>
        <v>0.64583333333333337</v>
      </c>
      <c r="E57" s="461" t="str">
        <f>IF(+All!$F757="Buffalo",+All!E757,IF(+All!$H757="Buffalo",+All!E757,0))</f>
        <v>CBSSN</v>
      </c>
      <c r="F57" s="51" t="str">
        <f>IF(+All!$F757="Buffalo",+All!F757,IF(+All!$H757="Buffalo",+All!F757,0))</f>
        <v>Akron</v>
      </c>
      <c r="G57" s="63" t="str">
        <f>IF(+All!$F757="Buffalo",+All!G757,IF(+All!$H757="Buffalo",+All!G757,0))</f>
        <v>MAC</v>
      </c>
      <c r="H57" s="63" t="str">
        <f>IF(+All!$F757="Buffalo",+All!H757,IF(+All!$H757="Buffalo",+All!H757,0))</f>
        <v>Buffalo</v>
      </c>
      <c r="I57" s="52" t="str">
        <f>IF(+All!$F757="Buffalo",+All!I757,IF(+All!$H757="Buffalo",+All!I757,0))</f>
        <v>MAC</v>
      </c>
      <c r="J57" s="460" t="str">
        <f>IF(+All!$F757="Buffalo",+All!J757,IF(+All!$H757="Buffalo",+All!J757,0))</f>
        <v>Buffalo</v>
      </c>
      <c r="K57" s="461" t="str">
        <f>IF(+All!$F757="Buffalo",+All!K757,IF(+All!$H757="Buffalo",+All!K757,0))</f>
        <v>Akron</v>
      </c>
      <c r="L57" s="54">
        <f>IF(+All!$F757="Buffalo",+All!L757,IF(+All!$H757="Buffalo",+All!L757,0))</f>
        <v>13.5</v>
      </c>
      <c r="M57" s="55">
        <f>IF(+All!$F757="Buffalo",+All!M757,IF(+All!$H757="Buffalo",+All!M757,0))</f>
        <v>47.5</v>
      </c>
      <c r="N57" s="460">
        <f>IF(+All!$F757="Buffalo",+All!N757,IF(+All!$H757="Buffalo",+All!N757,0))</f>
        <v>0</v>
      </c>
      <c r="O57" s="462">
        <f>IF(+All!$F757="Buffalo",+All!O757,IF(+All!$H757="Buffalo",+All!O757,0))</f>
        <v>0</v>
      </c>
      <c r="P57" s="462" t="str">
        <f>IF(+All!$F757="Buffalo",+All!P757,IF(+All!$H757="Buffalo",+All!P757,0))</f>
        <v>PPD</v>
      </c>
      <c r="Q57" s="461">
        <f>IF(+All!$F757="Buffalo",+All!Q757,IF(+All!$H757="Buffalo",+All!Q757,0))</f>
        <v>0</v>
      </c>
      <c r="R57" s="460">
        <f>IF(+All!$F757="Buffalo",+All!R757,IF(+All!$H757="Buffalo",+All!R757,0))</f>
        <v>0</v>
      </c>
      <c r="S57" s="462">
        <f>IF(+All!$F757="Buffalo",+All!S757,IF(+All!$H757="Buffalo",+All!S757,0))</f>
        <v>0</v>
      </c>
      <c r="T57" s="460">
        <f>IF(+All!$F757="Buffalo",+All!T757,IF(+All!$H757="Buffalo",+All!T757,0))</f>
        <v>0</v>
      </c>
      <c r="U57" s="461">
        <f>IF(+All!$F757="Buffalo",+All!U757,IF(+All!$H757="Buffalo",+All!U757,0))</f>
        <v>0</v>
      </c>
    </row>
    <row r="58" spans="1:21" x14ac:dyDescent="0.8">
      <c r="A58" s="46">
        <f>IF(+All!$F825="Buffalo",+All!A825,IF(+All!$H825="Buffalo",+All!A825,0))</f>
        <v>13</v>
      </c>
      <c r="B58" s="348" t="str">
        <f>IF(+All!$F825="Buffalo",+All!B825,IF(+All!$H825="Buffalo",+All!B825,0))</f>
        <v>Sat</v>
      </c>
      <c r="C58" s="48">
        <f>IF(+All!$F825="Buffalo",+All!C825,IF(+All!$H825="Buffalo",+All!C825,0))</f>
        <v>44891</v>
      </c>
      <c r="D58" s="490">
        <f>IF(+All!$F825="Buffalo",+All!D825,IF(+All!$H825="Buffalo",+All!D825,0))</f>
        <v>0.54166666666666663</v>
      </c>
      <c r="E58" s="461">
        <f>IF(+All!$F825="Buffalo",+All!E825,IF(+All!$H825="Buffalo",+All!E825,0))</f>
        <v>0</v>
      </c>
      <c r="F58" s="51" t="str">
        <f>IF(+All!$F825="Buffalo",+All!F825,IF(+All!$H825="Buffalo",+All!F825,0))</f>
        <v>Kent State</v>
      </c>
      <c r="G58" s="63" t="str">
        <f>IF(+All!$F825="Buffalo",+All!G825,IF(+All!$H825="Buffalo",+All!G825,0))</f>
        <v>MAC</v>
      </c>
      <c r="H58" s="63" t="str">
        <f>IF(+All!$F825="Buffalo",+All!H825,IF(+All!$H825="Buffalo",+All!H825,0))</f>
        <v>Buffalo</v>
      </c>
      <c r="I58" s="52" t="str">
        <f>IF(+All!$F825="Buffalo",+All!I825,IF(+All!$H825="Buffalo",+All!I825,0))</f>
        <v>MAC</v>
      </c>
      <c r="J58" s="460" t="str">
        <f>IF(+All!$F825="Buffalo",+All!J825,IF(+All!$H825="Buffalo",+All!J825,0))</f>
        <v>Buffalo</v>
      </c>
      <c r="K58" s="461" t="str">
        <f>IF(+All!$F825="Buffalo",+All!K825,IF(+All!$H825="Buffalo",+All!K825,0))</f>
        <v>Kent State</v>
      </c>
      <c r="L58" s="54">
        <f>IF(+All!$F825="Buffalo",+All!L825,IF(+All!$H825="Buffalo",+All!L825,0))</f>
        <v>4.5</v>
      </c>
      <c r="M58" s="55">
        <f>IF(+All!$F825="Buffalo",+All!M825,IF(+All!$H825="Buffalo",+All!M825,0))</f>
        <v>52.5</v>
      </c>
      <c r="N58" s="460" t="str">
        <f>IF(+All!$F825="Buffalo",+All!N825,IF(+All!$H825="Buffalo",+All!N825,0))</f>
        <v>Kent State</v>
      </c>
      <c r="O58" s="462">
        <f>IF(+All!$F825="Buffalo",+All!O825,IF(+All!$H825="Buffalo",+All!O825,0))</f>
        <v>30</v>
      </c>
      <c r="P58" s="462" t="str">
        <f>IF(+All!$F825="Buffalo",+All!P825,IF(+All!$H825="Buffalo",+All!P825,0))</f>
        <v>Buffalo</v>
      </c>
      <c r="Q58" s="461">
        <f>IF(+All!$F825="Buffalo",+All!Q825,IF(+All!$H825="Buffalo",+All!Q825,0))</f>
        <v>27</v>
      </c>
      <c r="R58" s="460" t="str">
        <f>IF(+All!$F825="Buffalo",+All!R825,IF(+All!$H825="Buffalo",+All!R825,0))</f>
        <v>Kent State</v>
      </c>
      <c r="S58" s="462" t="str">
        <f>IF(+All!$F825="Buffalo",+All!S825,IF(+All!$H825="Buffalo",+All!S825,0))</f>
        <v>Buffalo</v>
      </c>
      <c r="T58" s="460" t="str">
        <f>IF(+All!$F825="Buffalo",+All!T825,IF(+All!$H825="Buffalo",+All!T825,0))</f>
        <v>Buffalo</v>
      </c>
      <c r="U58" s="461" t="str">
        <f>IF(+All!$F825="Buffalo",+All!U825,IF(+All!$H825="Buffalo",+All!U825,0))</f>
        <v>L</v>
      </c>
    </row>
    <row r="59" spans="1:21" s="88" customFormat="1" x14ac:dyDescent="0.8">
      <c r="A59" s="38"/>
      <c r="B59" s="39"/>
      <c r="C59" s="40"/>
      <c r="D59" s="41"/>
      <c r="E59" s="463"/>
      <c r="F59" s="897" t="str">
        <f>H61</f>
        <v>Central Michigan</v>
      </c>
      <c r="G59" s="898"/>
      <c r="H59" s="898"/>
      <c r="I59" s="899"/>
      <c r="J59" s="459"/>
      <c r="K59" s="463"/>
      <c r="L59" s="44"/>
      <c r="M59" s="45"/>
      <c r="N59" s="459"/>
      <c r="O59" s="5"/>
      <c r="P59" s="5"/>
      <c r="Q59" s="463"/>
      <c r="R59" s="459"/>
      <c r="S59" s="5"/>
      <c r="T59" s="459"/>
      <c r="U59" s="463"/>
    </row>
    <row r="60" spans="1:21" x14ac:dyDescent="0.8">
      <c r="A60" s="46">
        <f>IF(+All!$F18="Central Michigan",+All!A18,IF(+All!$H18="Central Michigan",+All!A18,0))</f>
        <v>1</v>
      </c>
      <c r="B60" s="348" t="str">
        <f>IF(+All!$F18="Central Michigan",+All!B18,IF(+All!$H18="Central Michigan",+All!B18,0))</f>
        <v>Thurs</v>
      </c>
      <c r="C60" s="48">
        <f>IF(+All!$F18="Central Michigan",+All!C18,IF(+All!$H18="Central Michigan",+All!C18,0))</f>
        <v>44805</v>
      </c>
      <c r="D60" s="490">
        <f>IF(+All!$F18="Central Michigan",+All!D18,IF(+All!$H18="Central Michigan",+All!D18,0))</f>
        <v>0.79166666666666663</v>
      </c>
      <c r="E60" s="461" t="str">
        <f>IF(+All!$F18="Central Michigan",+All!E18,IF(+All!$H18="Central Michigan",+All!E18,0))</f>
        <v>FS1</v>
      </c>
      <c r="F60" s="51" t="str">
        <f>IF(+All!$F18="Central Michigan",+All!F18,IF(+All!$H18="Central Michigan",+All!F18,0))</f>
        <v>Central Michigan</v>
      </c>
      <c r="G60" s="63" t="str">
        <f>IF(+All!$F18="Central Michigan",+All!G18,IF(+All!$H18="Central Michigan",+All!G18,0))</f>
        <v>MAC</v>
      </c>
      <c r="H60" s="63" t="str">
        <f>IF(+All!$F18="Central Michigan",+All!H18,IF(+All!$H18="Central Michigan",+All!H18,0))</f>
        <v>Oklahoma State</v>
      </c>
      <c r="I60" s="52" t="str">
        <f>IF(+All!$F18="Central Michigan",+All!I18,IF(+All!$H18="Central Michigan",+All!I18,0))</f>
        <v>B12</v>
      </c>
      <c r="J60" s="460" t="str">
        <f>IF(+All!$F18="Central Michigan",+All!J18,IF(+All!$H18="Central Michigan",+All!J18,0))</f>
        <v>Oklahoma State</v>
      </c>
      <c r="K60" s="461" t="str">
        <f>IF(+All!$F18="Central Michigan",+All!K18,IF(+All!$H18="Central Michigan",+All!K18,0))</f>
        <v>Central Michigan</v>
      </c>
      <c r="L60" s="54">
        <f>IF(+All!$F18="Central Michigan",+All!L18,IF(+All!$H18="Central Michigan",+All!L18,0))</f>
        <v>21</v>
      </c>
      <c r="M60" s="55">
        <f>IF(+All!$F18="Central Michigan",+All!M18,IF(+All!$H18="Central Michigan",+All!M18,0))</f>
        <v>59.5</v>
      </c>
      <c r="N60" s="460" t="str">
        <f>IF(+All!$F18="Central Michigan",+All!N18,IF(+All!$H18="Central Michigan",+All!N18,0))</f>
        <v>Oklahoma State</v>
      </c>
      <c r="O60" s="462">
        <f>IF(+All!$F18="Central Michigan",+All!O18,IF(+All!$H18="Central Michigan",+All!O18,0))</f>
        <v>58</v>
      </c>
      <c r="P60" s="462" t="str">
        <f>IF(+All!$F18="Central Michigan",+All!P18,IF(+All!$H18="Central Michigan",+All!P18,0))</f>
        <v>Central Michigan</v>
      </c>
      <c r="Q60" s="461">
        <f>IF(+All!$F18="Central Michigan",+All!Q18,IF(+All!$H18="Central Michigan",+All!Q18,0))</f>
        <v>44</v>
      </c>
      <c r="R60" s="460" t="str">
        <f>IF(+All!$F18="Central Michigan",+All!R18,IF(+All!$H18="Central Michigan",+All!R18,0))</f>
        <v>Central Michigan</v>
      </c>
      <c r="S60" s="462" t="str">
        <f>IF(+All!$F18="Central Michigan",+All!S18,IF(+All!$H18="Central Michigan",+All!S18,0))</f>
        <v>Oklahoma State</v>
      </c>
      <c r="T60" s="460" t="str">
        <f>IF(+All!$F18="Central Michigan",+All!T18,IF(+All!$H18="Central Michigan",+All!T18,0))</f>
        <v>Central Michigan</v>
      </c>
      <c r="U60" s="461" t="str">
        <f>IF(+All!$F18="Central Michigan",+All!U18,IF(+All!$H18="Central Michigan",+All!U18,0))</f>
        <v>W</v>
      </c>
    </row>
    <row r="61" spans="1:21" x14ac:dyDescent="0.8">
      <c r="A61" s="46">
        <f>IF(+All!$F148="Central Michigan",+All!A148,IF(+All!$H148="Central Michigan",+All!A148,0))</f>
        <v>2</v>
      </c>
      <c r="B61" s="348" t="str">
        <f>IF(+All!$F148="Central Michigan",+All!B148,IF(+All!$H148="Central Michigan",+All!B148,0))</f>
        <v>Sat</v>
      </c>
      <c r="C61" s="48">
        <f>IF(+All!$F148="Central Michigan",+All!C148,IF(+All!$H148="Central Michigan",+All!C148,0))</f>
        <v>44814</v>
      </c>
      <c r="D61" s="490">
        <f>IF(+All!$F148="Central Michigan",+All!D148,IF(+All!$H148="Central Michigan",+All!D148,0))</f>
        <v>0.54166666666666663</v>
      </c>
      <c r="E61" s="461">
        <f>IF(+All!$F148="Central Michigan",+All!E148,IF(+All!$H148="Central Michigan",+All!E148,0))</f>
        <v>0</v>
      </c>
      <c r="F61" s="51" t="str">
        <f>IF(+All!$F148="Central Michigan",+All!F148,IF(+All!$H148="Central Michigan",+All!F148,0))</f>
        <v>South Alabama</v>
      </c>
      <c r="G61" s="63" t="str">
        <f>IF(+All!$F148="Central Michigan",+All!G148,IF(+All!$H148="Central Michigan",+All!G148,0))</f>
        <v>SB</v>
      </c>
      <c r="H61" s="63" t="str">
        <f>IF(+All!$F148="Central Michigan",+All!H148,IF(+All!$H148="Central Michigan",+All!H148,0))</f>
        <v>Central Michigan</v>
      </c>
      <c r="I61" s="52" t="str">
        <f>IF(+All!$F148="Central Michigan",+All!I148,IF(+All!$H148="Central Michigan",+All!I148,0))</f>
        <v>MAC</v>
      </c>
      <c r="J61" s="460" t="str">
        <f>IF(+All!$F148="Central Michigan",+All!J148,IF(+All!$H148="Central Michigan",+All!J148,0))</f>
        <v>Central Michigan</v>
      </c>
      <c r="K61" s="461" t="str">
        <f>IF(+All!$F148="Central Michigan",+All!K148,IF(+All!$H148="Central Michigan",+All!K148,0))</f>
        <v>South Alabama</v>
      </c>
      <c r="L61" s="54">
        <f>IF(+All!$F148="Central Michigan",+All!L148,IF(+All!$H148="Central Michigan",+All!L148,0))</f>
        <v>5</v>
      </c>
      <c r="M61" s="55">
        <f>IF(+All!$F148="Central Michigan",+All!M148,IF(+All!$H148="Central Michigan",+All!M148,0))</f>
        <v>58.5</v>
      </c>
      <c r="N61" s="460" t="str">
        <f>IF(+All!$F148="Central Michigan",+All!N148,IF(+All!$H148="Central Michigan",+All!N148,0))</f>
        <v>South Alabama</v>
      </c>
      <c r="O61" s="462">
        <f>IF(+All!$F148="Central Michigan",+All!O148,IF(+All!$H148="Central Michigan",+All!O148,0))</f>
        <v>38</v>
      </c>
      <c r="P61" s="462" t="str">
        <f>IF(+All!$F148="Central Michigan",+All!P148,IF(+All!$H148="Central Michigan",+All!P148,0))</f>
        <v>Central Michigan</v>
      </c>
      <c r="Q61" s="461">
        <f>IF(+All!$F148="Central Michigan",+All!Q148,IF(+All!$H148="Central Michigan",+All!Q148,0))</f>
        <v>24</v>
      </c>
      <c r="R61" s="460" t="str">
        <f>IF(+All!$F148="Central Michigan",+All!R148,IF(+All!$H148="Central Michigan",+All!R148,0))</f>
        <v>South Alabama</v>
      </c>
      <c r="S61" s="462" t="str">
        <f>IF(+All!$F148="Central Michigan",+All!S148,IF(+All!$H148="Central Michigan",+All!S148,0))</f>
        <v>Central Michigan</v>
      </c>
      <c r="T61" s="460" t="str">
        <f>IF(+All!$F148="Central Michigan",+All!T148,IF(+All!$H148="Central Michigan",+All!T148,0))</f>
        <v>Central Michigan</v>
      </c>
      <c r="U61" s="461" t="str">
        <f>IF(+All!$F148="Central Michigan",+All!U148,IF(+All!$H148="Central Michigan",+All!U148,0))</f>
        <v>L</v>
      </c>
    </row>
    <row r="62" spans="1:21" x14ac:dyDescent="0.8">
      <c r="A62" s="46">
        <f>IF(+All!$F221="Central Michigan",+All!A221,IF(+All!$H221="Central Michigan",+All!A221,0))</f>
        <v>3</v>
      </c>
      <c r="B62" s="348" t="str">
        <f>IF(+All!$F221="Central Michigan",+All!B221,IF(+All!$H221="Central Michigan",+All!B221,0))</f>
        <v>Sat</v>
      </c>
      <c r="C62" s="48">
        <f>IF(+All!$F221="Central Michigan",+All!C221,IF(+All!$H221="Central Michigan",+All!C221,0))</f>
        <v>44821</v>
      </c>
      <c r="D62" s="490">
        <f>IF(+All!$F221="Central Michigan",+All!D221,IF(+All!$H221="Central Michigan",+All!D221,0))</f>
        <v>0.54166666666666663</v>
      </c>
      <c r="E62" s="461" t="str">
        <f>IF(+All!$F221="Central Michigan",+All!E221,IF(+All!$H221="Central Michigan",+All!E221,0))</f>
        <v>espn3</v>
      </c>
      <c r="F62" s="51" t="str">
        <f>IF(+All!$F221="Central Michigan",+All!F221,IF(+All!$H221="Central Michigan",+All!F221,0))</f>
        <v>1AA Bucknell</v>
      </c>
      <c r="G62" s="63" t="str">
        <f>IF(+All!$F221="Central Michigan",+All!G221,IF(+All!$H221="Central Michigan",+All!G221,0))</f>
        <v>1AA</v>
      </c>
      <c r="H62" s="63" t="str">
        <f>IF(+All!$F221="Central Michigan",+All!H221,IF(+All!$H221="Central Michigan",+All!H221,0))</f>
        <v>Central Michigan</v>
      </c>
      <c r="I62" s="52" t="str">
        <f>IF(+All!$F221="Central Michigan",+All!I221,IF(+All!$H221="Central Michigan",+All!I221,0))</f>
        <v>MAC</v>
      </c>
      <c r="J62" s="460">
        <f>IF(+All!$F221="Central Michigan",+All!J221,IF(+All!$H221="Central Michigan",+All!J221,0))</f>
        <v>0</v>
      </c>
      <c r="K62" s="461">
        <f>IF(+All!$F221="Central Michigan",+All!K221,IF(+All!$H221="Central Michigan",+All!K221,0))</f>
        <v>0</v>
      </c>
      <c r="L62" s="54">
        <f>IF(+All!$F221="Central Michigan",+All!L221,IF(+All!$H221="Central Michigan",+All!L221,0))</f>
        <v>0</v>
      </c>
      <c r="M62" s="55">
        <f>IF(+All!$F221="Central Michigan",+All!M221,IF(+All!$H221="Central Michigan",+All!M221,0))</f>
        <v>0</v>
      </c>
      <c r="N62" s="460" t="str">
        <f>IF(+All!$F221="Central Michigan",+All!N221,IF(+All!$H221="Central Michigan",+All!N221,0))</f>
        <v>Central Michigan</v>
      </c>
      <c r="O62" s="462">
        <f>IF(+All!$F221="Central Michigan",+All!O221,IF(+All!$H221="Central Michigan",+All!O221,0))</f>
        <v>41</v>
      </c>
      <c r="P62" s="462" t="str">
        <f>IF(+All!$F221="Central Michigan",+All!P221,IF(+All!$H221="Central Michigan",+All!P221,0))</f>
        <v>1AA Bucknell</v>
      </c>
      <c r="Q62" s="461">
        <f>IF(+All!$F221="Central Michigan",+All!Q221,IF(+All!$H221="Central Michigan",+All!Q221,0))</f>
        <v>0</v>
      </c>
      <c r="R62" s="460">
        <f>IF(+All!$F221="Central Michigan",+All!R221,IF(+All!$H221="Central Michigan",+All!R221,0))</f>
        <v>0</v>
      </c>
      <c r="S62" s="462">
        <f>IF(+All!$F221="Central Michigan",+All!S221,IF(+All!$H221="Central Michigan",+All!S221,0))</f>
        <v>0</v>
      </c>
      <c r="T62" s="460">
        <f>IF(+All!$F221="Central Michigan",+All!T221,IF(+All!$H221="Central Michigan",+All!T221,0))</f>
        <v>0</v>
      </c>
      <c r="U62" s="461">
        <f>IF(+All!$F221="Central Michigan",+All!U221,IF(+All!$H221="Central Michigan",+All!U221,0))</f>
        <v>0</v>
      </c>
    </row>
    <row r="63" spans="1:21" x14ac:dyDescent="0.8">
      <c r="A63" s="46">
        <f>IF(+All!$F277="Central Michigan",+All!A277,IF(+All!$H277="Central Michigan",+All!A277,0))</f>
        <v>4</v>
      </c>
      <c r="B63" s="348" t="str">
        <f>IF(+All!$F277="Central Michigan",+All!B277,IF(+All!$H277="Central Michigan",+All!B277,0))</f>
        <v>Sat</v>
      </c>
      <c r="C63" s="48">
        <f>IF(+All!$F277="Central Michigan",+All!C277,IF(+All!$H277="Central Michigan",+All!C277,0))</f>
        <v>44828</v>
      </c>
      <c r="D63" s="490">
        <f>IF(+All!$F277="Central Michigan",+All!D277,IF(+All!$H277="Central Michigan",+All!D277,0))</f>
        <v>0.5</v>
      </c>
      <c r="E63" s="461" t="str">
        <f>IF(+All!$F277="Central Michigan",+All!E277,IF(+All!$H277="Central Michigan",+All!E277,0))</f>
        <v>BTN</v>
      </c>
      <c r="F63" s="51" t="str">
        <f>IF(+All!$F277="Central Michigan",+All!F277,IF(+All!$H277="Central Michigan",+All!F277,0))</f>
        <v>Central Michigan</v>
      </c>
      <c r="G63" s="63" t="str">
        <f>IF(+All!$F277="Central Michigan",+All!G277,IF(+All!$H277="Central Michigan",+All!G277,0))</f>
        <v>MAC</v>
      </c>
      <c r="H63" s="63" t="str">
        <f>IF(+All!$F277="Central Michigan",+All!H277,IF(+All!$H277="Central Michigan",+All!H277,0))</f>
        <v>Penn State</v>
      </c>
      <c r="I63" s="52" t="str">
        <f>IF(+All!$F277="Central Michigan",+All!I277,IF(+All!$H277="Central Michigan",+All!I277,0))</f>
        <v>B10</v>
      </c>
      <c r="J63" s="460" t="str">
        <f>IF(+All!$F277="Central Michigan",+All!J277,IF(+All!$H277="Central Michigan",+All!J277,0))</f>
        <v>Penn State</v>
      </c>
      <c r="K63" s="461" t="str">
        <f>IF(+All!$F277="Central Michigan",+All!K277,IF(+All!$H277="Central Michigan",+All!K277,0))</f>
        <v>Central Michigan</v>
      </c>
      <c r="L63" s="54">
        <f>IF(+All!$F277="Central Michigan",+All!L277,IF(+All!$H277="Central Michigan",+All!L277,0))</f>
        <v>28</v>
      </c>
      <c r="M63" s="55">
        <f>IF(+All!$F277="Central Michigan",+All!M277,IF(+All!$H277="Central Michigan",+All!M277,0))</f>
        <v>63</v>
      </c>
      <c r="N63" s="460" t="str">
        <f>IF(+All!$F277="Central Michigan",+All!N277,IF(+All!$H277="Central Michigan",+All!N277,0))</f>
        <v>Penn State</v>
      </c>
      <c r="O63" s="462">
        <f>IF(+All!$F277="Central Michigan",+All!O277,IF(+All!$H277="Central Michigan",+All!O277,0))</f>
        <v>33</v>
      </c>
      <c r="P63" s="462" t="str">
        <f>IF(+All!$F277="Central Michigan",+All!P277,IF(+All!$H277="Central Michigan",+All!P277,0))</f>
        <v>Central Michigan</v>
      </c>
      <c r="Q63" s="461">
        <f>IF(+All!$F277="Central Michigan",+All!Q277,IF(+All!$H277="Central Michigan",+All!Q277,0))</f>
        <v>14</v>
      </c>
      <c r="R63" s="460" t="str">
        <f>IF(+All!$F277="Central Michigan",+All!R277,IF(+All!$H277="Central Michigan",+All!R277,0))</f>
        <v>Central Michigan</v>
      </c>
      <c r="S63" s="462" t="str">
        <f>IF(+All!$F277="Central Michigan",+All!S277,IF(+All!$H277="Central Michigan",+All!S277,0))</f>
        <v>Penn State</v>
      </c>
      <c r="T63" s="460" t="str">
        <f>IF(+All!$F277="Central Michigan",+All!T277,IF(+All!$H277="Central Michigan",+All!T277,0))</f>
        <v>Penn State</v>
      </c>
      <c r="U63" s="461" t="str">
        <f>IF(+All!$F277="Central Michigan",+All!U277,IF(+All!$H277="Central Michigan",+All!U277,0))</f>
        <v>L</v>
      </c>
    </row>
    <row r="64" spans="1:21" x14ac:dyDescent="0.8">
      <c r="A64" s="46">
        <f>IF(+All!$F359="Central Michigan",+All!A359,IF(+All!$H359="Central Michigan",+All!A359,0))</f>
        <v>5</v>
      </c>
      <c r="B64" s="348" t="str">
        <f>IF(+All!$F359="Central Michigan",+All!B359,IF(+All!$H359="Central Michigan",+All!B359,0))</f>
        <v>Sat</v>
      </c>
      <c r="C64" s="48">
        <f>IF(+All!$F359="Central Michigan",+All!C359,IF(+All!$H359="Central Michigan",+All!C359,0))</f>
        <v>44835</v>
      </c>
      <c r="D64" s="490">
        <f>IF(+All!$F359="Central Michigan",+All!D359,IF(+All!$H359="Central Michigan",+All!D359,0))</f>
        <v>0.75</v>
      </c>
      <c r="E64" s="461" t="str">
        <f>IF(+All!$F359="Central Michigan",+All!E359,IF(+All!$H359="Central Michigan",+All!E359,0))</f>
        <v>espn3</v>
      </c>
      <c r="F64" s="51" t="str">
        <f>IF(+All!$F359="Central Michigan",+All!F359,IF(+All!$H359="Central Michigan",+All!F359,0))</f>
        <v>Central Michigan</v>
      </c>
      <c r="G64" s="63" t="str">
        <f>IF(+All!$F359="Central Michigan",+All!G359,IF(+All!$H359="Central Michigan",+All!G359,0))</f>
        <v>MAC</v>
      </c>
      <c r="H64" s="63" t="str">
        <f>IF(+All!$F359="Central Michigan",+All!H359,IF(+All!$H359="Central Michigan",+All!H359,0))</f>
        <v>Toledo</v>
      </c>
      <c r="I64" s="52" t="str">
        <f>IF(+All!$F359="Central Michigan",+All!I359,IF(+All!$H359="Central Michigan",+All!I359,0))</f>
        <v>MAC</v>
      </c>
      <c r="J64" s="460" t="str">
        <f>IF(+All!$F359="Central Michigan",+All!J359,IF(+All!$H359="Central Michigan",+All!J359,0))</f>
        <v>Toledo</v>
      </c>
      <c r="K64" s="461" t="str">
        <f>IF(+All!$F359="Central Michigan",+All!K359,IF(+All!$H359="Central Michigan",+All!K359,0))</f>
        <v>Central Michigan</v>
      </c>
      <c r="L64" s="54">
        <f>IF(+All!$F359="Central Michigan",+All!L359,IF(+All!$H359="Central Michigan",+All!L359,0))</f>
        <v>7.5</v>
      </c>
      <c r="M64" s="55">
        <f>IF(+All!$F359="Central Michigan",+All!M359,IF(+All!$H359="Central Michigan",+All!M359,0))</f>
        <v>58</v>
      </c>
      <c r="N64" s="460" t="str">
        <f>IF(+All!$F359="Central Michigan",+All!N359,IF(+All!$H359="Central Michigan",+All!N359,0))</f>
        <v>Toledo</v>
      </c>
      <c r="O64" s="462">
        <f>IF(+All!$F359="Central Michigan",+All!O359,IF(+All!$H359="Central Michigan",+All!O359,0))</f>
        <v>38</v>
      </c>
      <c r="P64" s="462" t="str">
        <f>IF(+All!$F359="Central Michigan",+All!P359,IF(+All!$H359="Central Michigan",+All!P359,0))</f>
        <v>Central Michigan</v>
      </c>
      <c r="Q64" s="461">
        <f>IF(+All!$F359="Central Michigan",+All!Q359,IF(+All!$H359="Central Michigan",+All!Q359,0))</f>
        <v>17</v>
      </c>
      <c r="R64" s="460" t="str">
        <f>IF(+All!$F359="Central Michigan",+All!R359,IF(+All!$H359="Central Michigan",+All!R359,0))</f>
        <v>Toledo</v>
      </c>
      <c r="S64" s="462" t="str">
        <f>IF(+All!$F359="Central Michigan",+All!S359,IF(+All!$H359="Central Michigan",+All!S359,0))</f>
        <v>Central Michigan</v>
      </c>
      <c r="T64" s="460" t="str">
        <f>IF(+All!$F359="Central Michigan",+All!T359,IF(+All!$H359="Central Michigan",+All!T359,0))</f>
        <v>Central Michigan</v>
      </c>
      <c r="U64" s="461" t="str">
        <f>IF(+All!$F359="Central Michigan",+All!U359,IF(+All!$H359="Central Michigan",+All!U359,0))</f>
        <v>L</v>
      </c>
    </row>
    <row r="65" spans="1:21" x14ac:dyDescent="0.8">
      <c r="A65" s="46">
        <f>IF(+All!$F412="Central Michigan",+All!A412,IF(+All!$H412="Central Michigan",+All!A412,0))</f>
        <v>6</v>
      </c>
      <c r="B65" s="348" t="str">
        <f>IF(+All!$F412="Central Michigan",+All!B412,IF(+All!$H412="Central Michigan",+All!B412,0))</f>
        <v>Sat</v>
      </c>
      <c r="C65" s="48">
        <f>IF(+All!$F412="Central Michigan",+All!C412,IF(+All!$H412="Central Michigan",+All!C412,0))</f>
        <v>44842</v>
      </c>
      <c r="D65" s="490">
        <f>IF(+All!$F412="Central Michigan",+All!D412,IF(+All!$H412="Central Michigan",+All!D412,0))</f>
        <v>0.64583333333333337</v>
      </c>
      <c r="E65" s="461">
        <f>IF(+All!$F412="Central Michigan",+All!E412,IF(+All!$H412="Central Michigan",+All!E412,0))</f>
        <v>0</v>
      </c>
      <c r="F65" s="51" t="str">
        <f>IF(+All!$F412="Central Michigan",+All!F412,IF(+All!$H412="Central Michigan",+All!F412,0))</f>
        <v>Ball State</v>
      </c>
      <c r="G65" s="63" t="str">
        <f>IF(+All!$F412="Central Michigan",+All!G412,IF(+All!$H412="Central Michigan",+All!G412,0))</f>
        <v>MAC</v>
      </c>
      <c r="H65" s="63" t="str">
        <f>IF(+All!$F412="Central Michigan",+All!H412,IF(+All!$H412="Central Michigan",+All!H412,0))</f>
        <v>Central Michigan</v>
      </c>
      <c r="I65" s="52" t="str">
        <f>IF(+All!$F412="Central Michigan",+All!I412,IF(+All!$H412="Central Michigan",+All!I412,0))</f>
        <v>MAC</v>
      </c>
      <c r="J65" s="460" t="str">
        <f>IF(+All!$F412="Central Michigan",+All!J412,IF(+All!$H412="Central Michigan",+All!J412,0))</f>
        <v>Central Michigan</v>
      </c>
      <c r="K65" s="461" t="str">
        <f>IF(+All!$F412="Central Michigan",+All!K412,IF(+All!$H412="Central Michigan",+All!K412,0))</f>
        <v>Ball State</v>
      </c>
      <c r="L65" s="54">
        <f>IF(+All!$F412="Central Michigan",+All!L412,IF(+All!$H412="Central Michigan",+All!L412,0))</f>
        <v>8</v>
      </c>
      <c r="M65" s="55">
        <f>IF(+All!$F412="Central Michigan",+All!M412,IF(+All!$H412="Central Michigan",+All!M412,0))</f>
        <v>64.5</v>
      </c>
      <c r="N65" s="460" t="str">
        <f>IF(+All!$F412="Central Michigan",+All!N412,IF(+All!$H412="Central Michigan",+All!N412,0))</f>
        <v>Ball State</v>
      </c>
      <c r="O65" s="462">
        <f>IF(+All!$F412="Central Michigan",+All!O412,IF(+All!$H412="Central Michigan",+All!O412,0))</f>
        <v>17</v>
      </c>
      <c r="P65" s="462" t="str">
        <f>IF(+All!$F412="Central Michigan",+All!P412,IF(+All!$H412="Central Michigan",+All!P412,0))</f>
        <v>Central Michigan</v>
      </c>
      <c r="Q65" s="461">
        <f>IF(+All!$F412="Central Michigan",+All!Q412,IF(+All!$H412="Central Michigan",+All!Q412,0))</f>
        <v>16</v>
      </c>
      <c r="R65" s="460" t="str">
        <f>IF(+All!$F412="Central Michigan",+All!R412,IF(+All!$H412="Central Michigan",+All!R412,0))</f>
        <v>Ball State</v>
      </c>
      <c r="S65" s="462" t="str">
        <f>IF(+All!$F412="Central Michigan",+All!S412,IF(+All!$H412="Central Michigan",+All!S412,0))</f>
        <v>Central Michigan</v>
      </c>
      <c r="T65" s="460" t="str">
        <f>IF(+All!$F412="Central Michigan",+All!T412,IF(+All!$H412="Central Michigan",+All!T412,0))</f>
        <v>Central Michigan</v>
      </c>
      <c r="U65" s="461" t="str">
        <f>IF(+All!$F412="Central Michigan",+All!U412,IF(+All!$H412="Central Michigan",+All!U412,0))</f>
        <v>L</v>
      </c>
    </row>
    <row r="66" spans="1:21" x14ac:dyDescent="0.8">
      <c r="A66" s="46">
        <f>IF(+All!$F467="Central Michigan",+All!A467,IF(+All!$H467="Central Michigan",+All!A467,0))</f>
        <v>7</v>
      </c>
      <c r="B66" s="348" t="str">
        <f>IF(+All!$F467="Central Michigan",+All!B467,IF(+All!$H467="Central Michigan",+All!B467,0))</f>
        <v>Sat</v>
      </c>
      <c r="C66" s="48">
        <f>IF(+All!$F467="Central Michigan",+All!C467,IF(+All!$H467="Central Michigan",+All!C467,0))</f>
        <v>44849</v>
      </c>
      <c r="D66" s="490">
        <f>IF(+All!$F467="Central Michigan",+All!D467,IF(+All!$H467="Central Michigan",+All!D467,0))</f>
        <v>0.5</v>
      </c>
      <c r="E66" s="461">
        <f>IF(+All!$F467="Central Michigan",+All!E467,IF(+All!$H467="Central Michigan",+All!E467,0))</f>
        <v>0</v>
      </c>
      <c r="F66" s="51" t="str">
        <f>IF(+All!$F467="Central Michigan",+All!F467,IF(+All!$H467="Central Michigan",+All!F467,0))</f>
        <v>Central Michigan</v>
      </c>
      <c r="G66" s="63" t="str">
        <f>IF(+All!$F467="Central Michigan",+All!G467,IF(+All!$H467="Central Michigan",+All!G467,0))</f>
        <v>MAC</v>
      </c>
      <c r="H66" s="63" t="str">
        <f>IF(+All!$F467="Central Michigan",+All!H467,IF(+All!$H467="Central Michigan",+All!H467,0))</f>
        <v>Akron</v>
      </c>
      <c r="I66" s="52" t="str">
        <f>IF(+All!$F467="Central Michigan",+All!I467,IF(+All!$H467="Central Michigan",+All!I467,0))</f>
        <v>MAC</v>
      </c>
      <c r="J66" s="460" t="str">
        <f>IF(+All!$F467="Central Michigan",+All!J467,IF(+All!$H467="Central Michigan",+All!J467,0))</f>
        <v>Central Michigan</v>
      </c>
      <c r="K66" s="461" t="str">
        <f>IF(+All!$F467="Central Michigan",+All!K467,IF(+All!$H467="Central Michigan",+All!K467,0))</f>
        <v>Akron</v>
      </c>
      <c r="L66" s="54">
        <f>IF(+All!$F467="Central Michigan",+All!L467,IF(+All!$H467="Central Michigan",+All!L467,0))</f>
        <v>13.5</v>
      </c>
      <c r="M66" s="55">
        <f>IF(+All!$F467="Central Michigan",+All!M467,IF(+All!$H467="Central Michigan",+All!M467,0))</f>
        <v>59</v>
      </c>
      <c r="N66" s="460" t="str">
        <f>IF(+All!$F467="Central Michigan",+All!N467,IF(+All!$H467="Central Michigan",+All!N467,0))</f>
        <v>Central Michigan</v>
      </c>
      <c r="O66" s="462">
        <f>IF(+All!$F467="Central Michigan",+All!O467,IF(+All!$H467="Central Michigan",+All!O467,0))</f>
        <v>28</v>
      </c>
      <c r="P66" s="462" t="str">
        <f>IF(+All!$F467="Central Michigan",+All!P467,IF(+All!$H467="Central Michigan",+All!P467,0))</f>
        <v>Akron</v>
      </c>
      <c r="Q66" s="461">
        <f>IF(+All!$F467="Central Michigan",+All!Q467,IF(+All!$H467="Central Michigan",+All!Q467,0))</f>
        <v>21</v>
      </c>
      <c r="R66" s="460" t="str">
        <f>IF(+All!$F467="Central Michigan",+All!R467,IF(+All!$H467="Central Michigan",+All!R467,0))</f>
        <v>Akron</v>
      </c>
      <c r="S66" s="462" t="str">
        <f>IF(+All!$F467="Central Michigan",+All!S467,IF(+All!$H467="Central Michigan",+All!S467,0))</f>
        <v>Central Michigan</v>
      </c>
      <c r="T66" s="460" t="str">
        <f>IF(+All!$F467="Central Michigan",+All!T467,IF(+All!$H467="Central Michigan",+All!T467,0))</f>
        <v>Central Michigan</v>
      </c>
      <c r="U66" s="461" t="str">
        <f>IF(+All!$F467="Central Michigan",+All!U467,IF(+All!$H467="Central Michigan",+All!U467,0))</f>
        <v>L</v>
      </c>
    </row>
    <row r="67" spans="1:21" x14ac:dyDescent="0.8">
      <c r="A67" s="46">
        <f>IF(+All!$F523="Central Michigan",+All!A523,IF(+All!$H523="Central Michigan",+All!A523,0))</f>
        <v>8</v>
      </c>
      <c r="B67" s="348" t="str">
        <f>IF(+All!$F523="Central Michigan",+All!B523,IF(+All!$H523="Central Michigan",+All!B523,0))</f>
        <v>Sat</v>
      </c>
      <c r="C67" s="48">
        <f>IF(+All!$F523="Central Michigan",+All!C523,IF(+All!$H523="Central Michigan",+All!C523,0))</f>
        <v>44856</v>
      </c>
      <c r="D67" s="490">
        <f>IF(+All!$F523="Central Michigan",+All!D523,IF(+All!$H523="Central Michigan",+All!D523,0))</f>
        <v>0.54166666666666663</v>
      </c>
      <c r="E67" s="461" t="str">
        <f>IF(+All!$F523="Central Michigan",+All!E523,IF(+All!$H523="Central Michigan",+All!E523,0))</f>
        <v>espn3</v>
      </c>
      <c r="F67" s="51" t="str">
        <f>IF(+All!$F523="Central Michigan",+All!F523,IF(+All!$H523="Central Michigan",+All!F523,0))</f>
        <v>Bowling Green</v>
      </c>
      <c r="G67" s="63" t="str">
        <f>IF(+All!$F523="Central Michigan",+All!G523,IF(+All!$H523="Central Michigan",+All!G523,0))</f>
        <v>MAC</v>
      </c>
      <c r="H67" s="63" t="str">
        <f>IF(+All!$F523="Central Michigan",+All!H523,IF(+All!$H523="Central Michigan",+All!H523,0))</f>
        <v>Central Michigan</v>
      </c>
      <c r="I67" s="52" t="str">
        <f>IF(+All!$F523="Central Michigan",+All!I523,IF(+All!$H523="Central Michigan",+All!I523,0))</f>
        <v>MAC</v>
      </c>
      <c r="J67" s="460" t="str">
        <f>IF(+All!$F523="Central Michigan",+All!J523,IF(+All!$H523="Central Michigan",+All!J523,0))</f>
        <v>Central Michigan</v>
      </c>
      <c r="K67" s="461" t="str">
        <f>IF(+All!$F523="Central Michigan",+All!K523,IF(+All!$H523="Central Michigan",+All!K523,0))</f>
        <v>Bowling Green</v>
      </c>
      <c r="L67" s="54">
        <f>IF(+All!$F523="Central Michigan",+All!L523,IF(+All!$H523="Central Michigan",+All!L523,0))</f>
        <v>6.5</v>
      </c>
      <c r="M67" s="55">
        <f>IF(+All!$F523="Central Michigan",+All!M523,IF(+All!$H523="Central Michigan",+All!M523,0))</f>
        <v>50.5</v>
      </c>
      <c r="N67" s="460" t="str">
        <f>IF(+All!$F523="Central Michigan",+All!N523,IF(+All!$H523="Central Michigan",+All!N523,0))</f>
        <v>Bowling Green</v>
      </c>
      <c r="O67" s="462">
        <f>IF(+All!$F523="Central Michigan",+All!O523,IF(+All!$H523="Central Michigan",+All!O523,0))</f>
        <v>34</v>
      </c>
      <c r="P67" s="462" t="str">
        <f>IF(+All!$F523="Central Michigan",+All!P523,IF(+All!$H523="Central Michigan",+All!P523,0))</f>
        <v>Central Michigan</v>
      </c>
      <c r="Q67" s="461">
        <f>IF(+All!$F523="Central Michigan",+All!Q523,IF(+All!$H523="Central Michigan",+All!Q523,0))</f>
        <v>18</v>
      </c>
      <c r="R67" s="460" t="str">
        <f>IF(+All!$F523="Central Michigan",+All!R523,IF(+All!$H523="Central Michigan",+All!R523,0))</f>
        <v>Bowling Green</v>
      </c>
      <c r="S67" s="462" t="str">
        <f>IF(+All!$F523="Central Michigan",+All!S523,IF(+All!$H523="Central Michigan",+All!S523,0))</f>
        <v>Central Michigan</v>
      </c>
      <c r="T67" s="460" t="str">
        <f>IF(+All!$F523="Central Michigan",+All!T523,IF(+All!$H523="Central Michigan",+All!T523,0))</f>
        <v>Bowling Green</v>
      </c>
      <c r="U67" s="461" t="str">
        <f>IF(+All!$F523="Central Michigan",+All!U523,IF(+All!$H523="Central Michigan",+All!U523,0))</f>
        <v>W</v>
      </c>
    </row>
    <row r="68" spans="1:21" x14ac:dyDescent="0.8">
      <c r="A68" s="46" t="e">
        <f>IF(+All!#REF!="Central Michigan",+All!#REF!,IF(+All!#REF!="Central Michigan",+All!#REF!,0))</f>
        <v>#REF!</v>
      </c>
      <c r="B68" s="348" t="e">
        <f>IF(+All!#REF!="Central Michigan",+All!#REF!,IF(+All!#REF!="Central Michigan",+All!#REF!,0))</f>
        <v>#REF!</v>
      </c>
      <c r="C68" s="48" t="e">
        <f>IF(+All!#REF!="Central Michigan",+All!#REF!,IF(+All!#REF!="Central Michigan",+All!#REF!,0))</f>
        <v>#REF!</v>
      </c>
      <c r="D68" s="490" t="e">
        <f>IF(+All!#REF!="Central Michigan",+All!#REF!,IF(+All!#REF!="Central Michigan",+All!#REF!,0))</f>
        <v>#REF!</v>
      </c>
      <c r="E68" s="461" t="e">
        <f>IF(+All!#REF!="Central Michigan",+All!#REF!,IF(+All!#REF!="Central Michigan",+All!#REF!,0))</f>
        <v>#REF!</v>
      </c>
      <c r="F68" s="51" t="e">
        <f>IF(+All!#REF!="Central Michigan",+All!#REF!,IF(+All!#REF!="Central Michigan",+All!#REF!,0))</f>
        <v>#REF!</v>
      </c>
      <c r="G68" s="63" t="e">
        <f>IF(+All!#REF!="Central Michigan",+All!#REF!,IF(+All!#REF!="Central Michigan",+All!#REF!,0))</f>
        <v>#REF!</v>
      </c>
      <c r="H68" s="63" t="e">
        <f>IF(+All!#REF!="Central Michigan",+All!#REF!,IF(+All!#REF!="Central Michigan",+All!#REF!,0))</f>
        <v>#REF!</v>
      </c>
      <c r="I68" s="52" t="e">
        <f>IF(+All!#REF!="Central Michigan",+All!#REF!,IF(+All!#REF!="Central Michigan",+All!#REF!,0))</f>
        <v>#REF!</v>
      </c>
      <c r="J68" s="460" t="e">
        <f>IF(+All!#REF!="Central Michigan",+All!#REF!,IF(+All!#REF!="Central Michigan",+All!#REF!,0))</f>
        <v>#REF!</v>
      </c>
      <c r="K68" s="461" t="e">
        <f>IF(+All!#REF!="Central Michigan",+All!#REF!,IF(+All!#REF!="Central Michigan",+All!#REF!,0))</f>
        <v>#REF!</v>
      </c>
      <c r="L68" s="54" t="e">
        <f>IF(+All!#REF!="Central Michigan",+All!#REF!,IF(+All!#REF!="Central Michigan",+All!#REF!,0))</f>
        <v>#REF!</v>
      </c>
      <c r="M68" s="55" t="e">
        <f>IF(+All!#REF!="Central Michigan",+All!#REF!,IF(+All!#REF!="Central Michigan",+All!#REF!,0))</f>
        <v>#REF!</v>
      </c>
      <c r="N68" s="460" t="e">
        <f>IF(+All!#REF!="Central Michigan",+All!#REF!,IF(+All!#REF!="Central Michigan",+All!#REF!,0))</f>
        <v>#REF!</v>
      </c>
      <c r="O68" s="462" t="e">
        <f>IF(+All!#REF!="Central Michigan",+All!#REF!,IF(+All!#REF!="Central Michigan",+All!#REF!,0))</f>
        <v>#REF!</v>
      </c>
      <c r="P68" s="462" t="e">
        <f>IF(+All!#REF!="Central Michigan",+All!#REF!,IF(+All!#REF!="Central Michigan",+All!#REF!,0))</f>
        <v>#REF!</v>
      </c>
      <c r="Q68" s="461" t="e">
        <f>IF(+All!#REF!="Central Michigan",+All!#REF!,IF(+All!#REF!="Central Michigan",+All!#REF!,0))</f>
        <v>#REF!</v>
      </c>
      <c r="R68" s="460" t="e">
        <f>IF(+All!#REF!="Central Michigan",+All!#REF!,IF(+All!#REF!="Central Michigan",+All!#REF!,0))</f>
        <v>#REF!</v>
      </c>
      <c r="S68" s="462" t="e">
        <f>IF(+All!#REF!="Central Michigan",+All!#REF!,IF(+All!#REF!="Central Michigan",+All!#REF!,0))</f>
        <v>#REF!</v>
      </c>
      <c r="T68" s="460" t="e">
        <f>IF(+All!#REF!="Central Michigan",+All!#REF!,IF(+All!#REF!="Central Michigan",+All!#REF!,0))</f>
        <v>#REF!</v>
      </c>
      <c r="U68" s="461" t="e">
        <f>IF(+All!#REF!="Central Michigan",+All!#REF!,IF(+All!#REF!="Central Michigan",+All!#REF!,0))</f>
        <v>#REF!</v>
      </c>
    </row>
    <row r="69" spans="1:21" x14ac:dyDescent="0.8">
      <c r="A69" s="46">
        <f>IF(+All!$F595="Central Michigan",+All!A595,IF(+All!$H595="Central Michigan",+All!A595,0))</f>
        <v>10</v>
      </c>
      <c r="B69" s="348" t="str">
        <f>IF(+All!$F595="Central Michigan",+All!B595,IF(+All!$H595="Central Michigan",+All!B595,0))</f>
        <v>Weds</v>
      </c>
      <c r="C69" s="48">
        <f>IF(+All!$F595="Central Michigan",+All!C595,IF(+All!$H595="Central Michigan",+All!C595,0))</f>
        <v>44867</v>
      </c>
      <c r="D69" s="490">
        <f>IF(+All!$F595="Central Michigan",+All!D595,IF(+All!$H595="Central Michigan",+All!D595,0))</f>
        <v>0.79166666666666663</v>
      </c>
      <c r="E69" s="461" t="str">
        <f>IF(+All!$F595="Central Michigan",+All!E595,IF(+All!$H595="Central Michigan",+All!E595,0))</f>
        <v>ESPNU</v>
      </c>
      <c r="F69" s="51" t="str">
        <f>IF(+All!$F595="Central Michigan",+All!F595,IF(+All!$H595="Central Michigan",+All!F595,0))</f>
        <v>Central Michigan</v>
      </c>
      <c r="G69" s="63" t="str">
        <f>IF(+All!$F595="Central Michigan",+All!G595,IF(+All!$H595="Central Michigan",+All!G595,0))</f>
        <v>MAC</v>
      </c>
      <c r="H69" s="63" t="str">
        <f>IF(+All!$F595="Central Michigan",+All!H595,IF(+All!$H595="Central Michigan",+All!H595,0))</f>
        <v>Northern Illinois</v>
      </c>
      <c r="I69" s="52" t="str">
        <f>IF(+All!$F595="Central Michigan",+All!I595,IF(+All!$H595="Central Michigan",+All!I595,0))</f>
        <v>MAC</v>
      </c>
      <c r="J69" s="460" t="str">
        <f>IF(+All!$F595="Central Michigan",+All!J595,IF(+All!$H595="Central Michigan",+All!J595,0))</f>
        <v>Northern Illinois</v>
      </c>
      <c r="K69" s="461" t="str">
        <f>IF(+All!$F595="Central Michigan",+All!K595,IF(+All!$H595="Central Michigan",+All!K595,0))</f>
        <v>Central Michigan</v>
      </c>
      <c r="L69" s="54">
        <f>IF(+All!$F595="Central Michigan",+All!L595,IF(+All!$H595="Central Michigan",+All!L595,0))</f>
        <v>5</v>
      </c>
      <c r="M69" s="55">
        <f>IF(+All!$F595="Central Michigan",+All!M595,IF(+All!$H595="Central Michigan",+All!M595,0))</f>
        <v>56</v>
      </c>
      <c r="N69" s="460" t="str">
        <f>IF(+All!$F595="Central Michigan",+All!N595,IF(+All!$H595="Central Michigan",+All!N595,0))</f>
        <v>Central Michigan</v>
      </c>
      <c r="O69" s="462">
        <f>IF(+All!$F595="Central Michigan",+All!O595,IF(+All!$H595="Central Michigan",+All!O595,0))</f>
        <v>35</v>
      </c>
      <c r="P69" s="462" t="str">
        <f>IF(+All!$F595="Central Michigan",+All!P595,IF(+All!$H595="Central Michigan",+All!P595,0))</f>
        <v>Northern Illinois</v>
      </c>
      <c r="Q69" s="461">
        <f>IF(+All!$F595="Central Michigan",+All!Q595,IF(+All!$H595="Central Michigan",+All!Q595,0))</f>
        <v>22</v>
      </c>
      <c r="R69" s="460" t="str">
        <f>IF(+All!$F595="Central Michigan",+All!R595,IF(+All!$H595="Central Michigan",+All!R595,0))</f>
        <v>Central Michigan</v>
      </c>
      <c r="S69" s="462" t="str">
        <f>IF(+All!$F595="Central Michigan",+All!S595,IF(+All!$H595="Central Michigan",+All!S595,0))</f>
        <v>Northern Illinois</v>
      </c>
      <c r="T69" s="460" t="str">
        <f>IF(+All!$F595="Central Michigan",+All!T595,IF(+All!$H595="Central Michigan",+All!T595,0))</f>
        <v>Northern Illinois</v>
      </c>
      <c r="U69" s="461" t="str">
        <f>IF(+All!$F595="Central Michigan",+All!U595,IF(+All!$H595="Central Michigan",+All!U595,0))</f>
        <v>L</v>
      </c>
    </row>
    <row r="70" spans="1:21" x14ac:dyDescent="0.8">
      <c r="A70" s="46">
        <f>IF(+All!$F657="Central Michigan",+All!A657,IF(+All!$H657="Central Michigan",+All!A657,0))</f>
        <v>11</v>
      </c>
      <c r="B70" s="348" t="str">
        <f>IF(+All!$F657="Central Michigan",+All!B657,IF(+All!$H657="Central Michigan",+All!B657,0))</f>
        <v>Weds</v>
      </c>
      <c r="C70" s="48">
        <f>IF(+All!$F657="Central Michigan",+All!C657,IF(+All!$H657="Central Michigan",+All!C657,0))</f>
        <v>44874</v>
      </c>
      <c r="D70" s="490">
        <f>IF(+All!$F657="Central Michigan",+All!D657,IF(+All!$H657="Central Michigan",+All!D657,0))</f>
        <v>0.79166666666666663</v>
      </c>
      <c r="E70" s="461" t="str">
        <f>IF(+All!$F657="Central Michigan",+All!E657,IF(+All!$H657="Central Michigan",+All!E657,0))</f>
        <v>ESPN2</v>
      </c>
      <c r="F70" s="51" t="str">
        <f>IF(+All!$F657="Central Michigan",+All!F657,IF(+All!$H657="Central Michigan",+All!F657,0))</f>
        <v>Buffalo</v>
      </c>
      <c r="G70" s="63" t="str">
        <f>IF(+All!$F657="Central Michigan",+All!G657,IF(+All!$H657="Central Michigan",+All!G657,0))</f>
        <v>MAC</v>
      </c>
      <c r="H70" s="63" t="str">
        <f>IF(+All!$F657="Central Michigan",+All!H657,IF(+All!$H657="Central Michigan",+All!H657,0))</f>
        <v>Central Michigan</v>
      </c>
      <c r="I70" s="52" t="str">
        <f>IF(+All!$F657="Central Michigan",+All!I657,IF(+All!$H657="Central Michigan",+All!I657,0))</f>
        <v>MAC</v>
      </c>
      <c r="J70" s="460" t="str">
        <f>IF(+All!$F657="Central Michigan",+All!J657,IF(+All!$H657="Central Michigan",+All!J657,0))</f>
        <v>Central Michigan</v>
      </c>
      <c r="K70" s="461" t="str">
        <f>IF(+All!$F657="Central Michigan",+All!K657,IF(+All!$H657="Central Michigan",+All!K657,0))</f>
        <v>Buffalo</v>
      </c>
      <c r="L70" s="54">
        <f>IF(+All!$F657="Central Michigan",+All!L657,IF(+All!$H657="Central Michigan",+All!L657,0))</f>
        <v>1</v>
      </c>
      <c r="M70" s="55">
        <f>IF(+All!$F657="Central Michigan",+All!M657,IF(+All!$H657="Central Michigan",+All!M657,0))</f>
        <v>54</v>
      </c>
      <c r="N70" s="460" t="str">
        <f>IF(+All!$F657="Central Michigan",+All!N657,IF(+All!$H657="Central Michigan",+All!N657,0))</f>
        <v>Central Michigan</v>
      </c>
      <c r="O70" s="462">
        <f>IF(+All!$F657="Central Michigan",+All!O657,IF(+All!$H657="Central Michigan",+All!O657,0))</f>
        <v>31</v>
      </c>
      <c r="P70" s="462" t="str">
        <f>IF(+All!$F657="Central Michigan",+All!P657,IF(+All!$H657="Central Michigan",+All!P657,0))</f>
        <v>Buffalo</v>
      </c>
      <c r="Q70" s="461">
        <f>IF(+All!$F657="Central Michigan",+All!Q657,IF(+All!$H657="Central Michigan",+All!Q657,0))</f>
        <v>27</v>
      </c>
      <c r="R70" s="460" t="str">
        <f>IF(+All!$F657="Central Michigan",+All!R657,IF(+All!$H657="Central Michigan",+All!R657,0))</f>
        <v>Central Michigan</v>
      </c>
      <c r="S70" s="462" t="str">
        <f>IF(+All!$F657="Central Michigan",+All!S657,IF(+All!$H657="Central Michigan",+All!S657,0))</f>
        <v>Buffalo</v>
      </c>
      <c r="T70" s="460" t="str">
        <f>IF(+All!$F657="Central Michigan",+All!T657,IF(+All!$H657="Central Michigan",+All!T657,0))</f>
        <v>Buffalo</v>
      </c>
      <c r="U70" s="461" t="str">
        <f>IF(+All!$F657="Central Michigan",+All!U657,IF(+All!$H657="Central Michigan",+All!U657,0))</f>
        <v>L</v>
      </c>
    </row>
    <row r="71" spans="1:21" x14ac:dyDescent="0.8">
      <c r="A71" s="46">
        <f>IF(+All!$F720="Central Michigan",+All!A720,IF(+All!$H720="Central Michigan",+All!A720,0))</f>
        <v>12</v>
      </c>
      <c r="B71" s="348" t="str">
        <f>IF(+All!$F720="Central Michigan",+All!B720,IF(+All!$H720="Central Michigan",+All!B720,0))</f>
        <v>Weds</v>
      </c>
      <c r="C71" s="48">
        <f>IF(+All!$F720="Central Michigan",+All!C720,IF(+All!$H720="Central Michigan",+All!C720,0))</f>
        <v>44881</v>
      </c>
      <c r="D71" s="490">
        <f>IF(+All!$F720="Central Michigan",+All!D720,IF(+All!$H720="Central Michigan",+All!D720,0))</f>
        <v>0.83333333333333337</v>
      </c>
      <c r="E71" s="461" t="str">
        <f>IF(+All!$F720="Central Michigan",+All!E720,IF(+All!$H720="Central Michigan",+All!E720,0))</f>
        <v>ESPNU</v>
      </c>
      <c r="F71" s="51" t="str">
        <f>IF(+All!$F720="Central Michigan",+All!F720,IF(+All!$H720="Central Michigan",+All!F720,0))</f>
        <v>Western Michigan</v>
      </c>
      <c r="G71" s="63" t="str">
        <f>IF(+All!$F720="Central Michigan",+All!G720,IF(+All!$H720="Central Michigan",+All!G720,0))</f>
        <v>MAC</v>
      </c>
      <c r="H71" s="63" t="str">
        <f>IF(+All!$F720="Central Michigan",+All!H720,IF(+All!$H720="Central Michigan",+All!H720,0))</f>
        <v>Central Michigan</v>
      </c>
      <c r="I71" s="52" t="str">
        <f>IF(+All!$F720="Central Michigan",+All!I720,IF(+All!$H720="Central Michigan",+All!I720,0))</f>
        <v>MAC</v>
      </c>
      <c r="J71" s="460" t="str">
        <f>IF(+All!$F720="Central Michigan",+All!J720,IF(+All!$H720="Central Michigan",+All!J720,0))</f>
        <v>Central Michigan</v>
      </c>
      <c r="K71" s="461" t="str">
        <f>IF(+All!$F720="Central Michigan",+All!K720,IF(+All!$H720="Central Michigan",+All!K720,0))</f>
        <v>Western Michigan</v>
      </c>
      <c r="L71" s="54">
        <f>IF(+All!$F720="Central Michigan",+All!L720,IF(+All!$H720="Central Michigan",+All!L720,0))</f>
        <v>10.5</v>
      </c>
      <c r="M71" s="55">
        <f>IF(+All!$F720="Central Michigan",+All!M720,IF(+All!$H720="Central Michigan",+All!M720,0))</f>
        <v>49.5</v>
      </c>
      <c r="N71" s="460" t="str">
        <f>IF(+All!$F720="Central Michigan",+All!N720,IF(+All!$H720="Central Michigan",+All!N720,0))</f>
        <v>Western Michigan</v>
      </c>
      <c r="O71" s="462">
        <f>IF(+All!$F720="Central Michigan",+All!O720,IF(+All!$H720="Central Michigan",+All!O720,0))</f>
        <v>12</v>
      </c>
      <c r="P71" s="462" t="str">
        <f>IF(+All!$F720="Central Michigan",+All!P720,IF(+All!$H720="Central Michigan",+All!P720,0))</f>
        <v>Central Michigan</v>
      </c>
      <c r="Q71" s="461">
        <f>IF(+All!$F720="Central Michigan",+All!Q720,IF(+All!$H720="Central Michigan",+All!Q720,0))</f>
        <v>10</v>
      </c>
      <c r="R71" s="460" t="str">
        <f>IF(+All!$F720="Central Michigan",+All!R720,IF(+All!$H720="Central Michigan",+All!R720,0))</f>
        <v>Western Michigan</v>
      </c>
      <c r="S71" s="462" t="str">
        <f>IF(+All!$F720="Central Michigan",+All!S720,IF(+All!$H720="Central Michigan",+All!S720,0))</f>
        <v>Central Michigan</v>
      </c>
      <c r="T71" s="460" t="str">
        <f>IF(+All!$F720="Central Michigan",+All!T720,IF(+All!$H720="Central Michigan",+All!T720,0))</f>
        <v>Western Michigan</v>
      </c>
      <c r="U71" s="461" t="str">
        <f>IF(+All!$F720="Central Michigan",+All!U720,IF(+All!$H720="Central Michigan",+All!U720,0))</f>
        <v>W</v>
      </c>
    </row>
    <row r="72" spans="1:21" x14ac:dyDescent="0.8">
      <c r="A72" s="46">
        <f>IF(+All!$F789="Central Michigan",+All!A789,IF(+All!$H789="Central Michigan",+All!A789,0))</f>
        <v>13</v>
      </c>
      <c r="B72" s="348" t="str">
        <f>IF(+All!$F789="Central Michigan",+All!B789,IF(+All!$H789="Central Michigan",+All!B789,0))</f>
        <v>Fri</v>
      </c>
      <c r="C72" s="48">
        <f>IF(+All!$F789="Central Michigan",+All!C789,IF(+All!$H789="Central Michigan",+All!C789,0))</f>
        <v>44890</v>
      </c>
      <c r="D72" s="490">
        <f>IF(+All!$F789="Central Michigan",+All!D789,IF(+All!$H789="Central Michigan",+All!D789,0))</f>
        <v>0.5</v>
      </c>
      <c r="E72" s="461" t="str">
        <f>IF(+All!$F789="Central Michigan",+All!E789,IF(+All!$H789="Central Michigan",+All!E789,0))</f>
        <v>CBSSN</v>
      </c>
      <c r="F72" s="51" t="str">
        <f>IF(+All!$F789="Central Michigan",+All!F789,IF(+All!$H789="Central Michigan",+All!F789,0))</f>
        <v>Central Michigan</v>
      </c>
      <c r="G72" s="63" t="str">
        <f>IF(+All!$F789="Central Michigan",+All!G789,IF(+All!$H789="Central Michigan",+All!G789,0))</f>
        <v>MAC</v>
      </c>
      <c r="H72" s="63" t="str">
        <f>IF(+All!$F789="Central Michigan",+All!H789,IF(+All!$H789="Central Michigan",+All!H789,0))</f>
        <v>Eastern Michigan</v>
      </c>
      <c r="I72" s="52" t="str">
        <f>IF(+All!$F789="Central Michigan",+All!I789,IF(+All!$H789="Central Michigan",+All!I789,0))</f>
        <v>MAC</v>
      </c>
      <c r="J72" s="460" t="str">
        <f>IF(+All!$F789="Central Michigan",+All!J789,IF(+All!$H789="Central Michigan",+All!J789,0))</f>
        <v>Eastern Michigan</v>
      </c>
      <c r="K72" s="461" t="str">
        <f>IF(+All!$F789="Central Michigan",+All!K789,IF(+All!$H789="Central Michigan",+All!K789,0))</f>
        <v>Central Michigan</v>
      </c>
      <c r="L72" s="54">
        <f>IF(+All!$F789="Central Michigan",+All!L789,IF(+All!$H789="Central Michigan",+All!L789,0))</f>
        <v>1</v>
      </c>
      <c r="M72" s="55">
        <f>IF(+All!$F789="Central Michigan",+All!M789,IF(+All!$H789="Central Michigan",+All!M789,0))</f>
        <v>53</v>
      </c>
      <c r="N72" s="460" t="str">
        <f>IF(+All!$F789="Central Michigan",+All!N789,IF(+All!$H789="Central Michigan",+All!N789,0))</f>
        <v>Eastern Michigan</v>
      </c>
      <c r="O72" s="462">
        <f>IF(+All!$F789="Central Michigan",+All!O789,IF(+All!$H789="Central Michigan",+All!O789,0))</f>
        <v>38</v>
      </c>
      <c r="P72" s="462" t="str">
        <f>IF(+All!$F789="Central Michigan",+All!P789,IF(+All!$H789="Central Michigan",+All!P789,0))</f>
        <v>Central Michigan</v>
      </c>
      <c r="Q72" s="461">
        <f>IF(+All!$F789="Central Michigan",+All!Q789,IF(+All!$H789="Central Michigan",+All!Q789,0))</f>
        <v>19</v>
      </c>
      <c r="R72" s="460" t="str">
        <f>IF(+All!$F789="Central Michigan",+All!R789,IF(+All!$H789="Central Michigan",+All!R789,0))</f>
        <v>Eastern Michigan</v>
      </c>
      <c r="S72" s="462" t="str">
        <f>IF(+All!$F789="Central Michigan",+All!S789,IF(+All!$H789="Central Michigan",+All!S789,0))</f>
        <v>Central Michigan</v>
      </c>
      <c r="T72" s="460" t="str">
        <f>IF(+All!$F789="Central Michigan",+All!T789,IF(+All!$H789="Central Michigan",+All!T789,0))</f>
        <v>Central Michigan</v>
      </c>
      <c r="U72" s="461" t="str">
        <f>IF(+All!$F789="Central Michigan",+All!U789,IF(+All!$H789="Central Michigan",+All!U789,0))</f>
        <v>L</v>
      </c>
    </row>
    <row r="73" spans="1:21" s="88" customFormat="1" x14ac:dyDescent="0.8">
      <c r="A73" s="38"/>
      <c r="B73" s="39"/>
      <c r="C73" s="40"/>
      <c r="D73" s="41"/>
      <c r="E73" s="463"/>
      <c r="F73" s="897" t="str">
        <f>H74</f>
        <v>Eastern Michigan</v>
      </c>
      <c r="G73" s="898"/>
      <c r="H73" s="898"/>
      <c r="I73" s="899"/>
      <c r="J73" s="459"/>
      <c r="K73" s="463"/>
      <c r="L73" s="44"/>
      <c r="M73" s="45"/>
      <c r="N73" s="459"/>
      <c r="O73" s="5"/>
      <c r="P73" s="5"/>
      <c r="Q73" s="463"/>
      <c r="R73" s="459"/>
      <c r="S73" s="5"/>
      <c r="T73" s="459"/>
      <c r="U73" s="463"/>
    </row>
    <row r="74" spans="1:21" x14ac:dyDescent="0.8">
      <c r="A74" s="46">
        <f>IF(+All!$F54="Eastern Michigan",+All!A54,IF(+All!$H54="Eastern Michigan",+All!A54,0))</f>
        <v>1</v>
      </c>
      <c r="B74" s="348" t="str">
        <f>IF(+All!$F54="Eastern Michigan",+All!B54,IF(+All!$H54="Eastern Michigan",+All!B54,0))</f>
        <v>Fri</v>
      </c>
      <c r="C74" s="48">
        <f>IF(+All!$F54="Eastern Michigan",+All!C54,IF(+All!$H54="Eastern Michigan",+All!C54,0))</f>
        <v>44806</v>
      </c>
      <c r="D74" s="490">
        <f>IF(+All!$F54="Eastern Michigan",+All!D54,IF(+All!$H54="Eastern Michigan",+All!D54,0))</f>
        <v>0.79166666666666663</v>
      </c>
      <c r="E74" s="461" t="str">
        <f>IF(+All!$F54="Eastern Michigan",+All!E54,IF(+All!$H54="Eastern Michigan",+All!E54,0))</f>
        <v>espn3</v>
      </c>
      <c r="F74" s="51" t="str">
        <f>IF(+All!$F54="Eastern Michigan",+All!F54,IF(+All!$H54="Eastern Michigan",+All!F54,0))</f>
        <v>1AA Eastern Kentucky</v>
      </c>
      <c r="G74" s="63" t="str">
        <f>IF(+All!$F54="Eastern Michigan",+All!G54,IF(+All!$H54="Eastern Michigan",+All!G54,0))</f>
        <v>1AA</v>
      </c>
      <c r="H74" s="63" t="str">
        <f>IF(+All!$F54="Eastern Michigan",+All!H54,IF(+All!$H54="Eastern Michigan",+All!H54,0))</f>
        <v>Eastern Michigan</v>
      </c>
      <c r="I74" s="52" t="str">
        <f>IF(+All!$F54="Eastern Michigan",+All!I54,IF(+All!$H54="Eastern Michigan",+All!I54,0))</f>
        <v>MAC</v>
      </c>
      <c r="J74" s="460">
        <f>IF(+All!$F54="Eastern Michigan",+All!J54,IF(+All!$H54="Eastern Michigan",+All!J54,0))</f>
        <v>0</v>
      </c>
      <c r="K74" s="461">
        <f>IF(+All!$F54="Eastern Michigan",+All!K54,IF(+All!$H54="Eastern Michigan",+All!K54,0))</f>
        <v>0</v>
      </c>
      <c r="L74" s="54">
        <f>IF(+All!$F54="Eastern Michigan",+All!L54,IF(+All!$H54="Eastern Michigan",+All!L54,0))</f>
        <v>0</v>
      </c>
      <c r="M74" s="55">
        <f>IF(+All!$F54="Eastern Michigan",+All!M54,IF(+All!$H54="Eastern Michigan",+All!M54,0))</f>
        <v>0</v>
      </c>
      <c r="N74" s="460" t="str">
        <f>IF(+All!$F54="Eastern Michigan",+All!N54,IF(+All!$H54="Eastern Michigan",+All!N54,0))</f>
        <v>Eastern Michigan</v>
      </c>
      <c r="O74" s="462">
        <f>IF(+All!$F54="Eastern Michigan",+All!O54,IF(+All!$H54="Eastern Michigan",+All!O54,0))</f>
        <v>42</v>
      </c>
      <c r="P74" s="462" t="str">
        <f>IF(+All!$F54="Eastern Michigan",+All!P54,IF(+All!$H54="Eastern Michigan",+All!P54,0))</f>
        <v>1AA Eastern Kentucky</v>
      </c>
      <c r="Q74" s="461">
        <f>IF(+All!$F54="Eastern Michigan",+All!Q54,IF(+All!$H54="Eastern Michigan",+All!Q54,0))</f>
        <v>24</v>
      </c>
      <c r="R74" s="460">
        <f>IF(+All!$F54="Eastern Michigan",+All!R54,IF(+All!$H54="Eastern Michigan",+All!R54,0))</f>
        <v>0</v>
      </c>
      <c r="S74" s="462">
        <f>IF(+All!$F54="Eastern Michigan",+All!S54,IF(+All!$H54="Eastern Michigan",+All!S54,0))</f>
        <v>0</v>
      </c>
      <c r="T74" s="460">
        <f>IF(+All!$F54="Eastern Michigan",+All!T54,IF(+All!$H54="Eastern Michigan",+All!T54,0))</f>
        <v>0</v>
      </c>
      <c r="U74" s="461">
        <f>IF(+All!$F54="Eastern Michigan",+All!U54,IF(+All!$H54="Eastern Michigan",+All!U54,0))</f>
        <v>0</v>
      </c>
    </row>
    <row r="75" spans="1:21" x14ac:dyDescent="0.8">
      <c r="A75" s="46">
        <f>IF(+All!$F169="Eastern Michigan",+All!A169,IF(+All!$H169="Eastern Michigan",+All!A169,0))</f>
        <v>2</v>
      </c>
      <c r="B75" s="348" t="str">
        <f>IF(+All!$F169="Eastern Michigan",+All!B169,IF(+All!$H169="Eastern Michigan",+All!B169,0))</f>
        <v>Sat</v>
      </c>
      <c r="C75" s="48">
        <f>IF(+All!$F169="Eastern Michigan",+All!C169,IF(+All!$H169="Eastern Michigan",+All!C169,0))</f>
        <v>44814</v>
      </c>
      <c r="D75" s="490">
        <f>IF(+All!$F169="Eastern Michigan",+All!D169,IF(+All!$H169="Eastern Michigan",+All!D169,0))</f>
        <v>0.79166666666666663</v>
      </c>
      <c r="E75" s="461" t="str">
        <f>IF(+All!$F169="Eastern Michigan",+All!E169,IF(+All!$H169="Eastern Michigan",+All!E169,0))</f>
        <v>NFL</v>
      </c>
      <c r="F75" s="51" t="str">
        <f>IF(+All!$F169="Eastern Michigan",+All!F169,IF(+All!$H169="Eastern Michigan",+All!F169,0))</f>
        <v>Eastern Michigan</v>
      </c>
      <c r="G75" s="63" t="str">
        <f>IF(+All!$F169="Eastern Michigan",+All!G169,IF(+All!$H169="Eastern Michigan",+All!G169,0))</f>
        <v>MAC</v>
      </c>
      <c r="H75" s="63" t="str">
        <f>IF(+All!$F169="Eastern Michigan",+All!H169,IF(+All!$H169="Eastern Michigan",+All!H169,0))</f>
        <v>UL Lafayette</v>
      </c>
      <c r="I75" s="52" t="str">
        <f>IF(+All!$F169="Eastern Michigan",+All!I169,IF(+All!$H169="Eastern Michigan",+All!I169,0))</f>
        <v>SB</v>
      </c>
      <c r="J75" s="460" t="str">
        <f>IF(+All!$F169="Eastern Michigan",+All!J169,IF(+All!$H169="Eastern Michigan",+All!J169,0))</f>
        <v>UL Lafayette</v>
      </c>
      <c r="K75" s="461" t="str">
        <f>IF(+All!$F169="Eastern Michigan",+All!K169,IF(+All!$H169="Eastern Michigan",+All!K169,0))</f>
        <v>Eastern Michigan</v>
      </c>
      <c r="L75" s="54">
        <f>IF(+All!$F169="Eastern Michigan",+All!L169,IF(+All!$H169="Eastern Michigan",+All!L169,0))</f>
        <v>11.5</v>
      </c>
      <c r="M75" s="55">
        <f>IF(+All!$F169="Eastern Michigan",+All!M169,IF(+All!$H169="Eastern Michigan",+All!M169,0))</f>
        <v>56.5</v>
      </c>
      <c r="N75" s="460" t="str">
        <f>IF(+All!$F169="Eastern Michigan",+All!N169,IF(+All!$H169="Eastern Michigan",+All!N169,0))</f>
        <v>UL Lafayette</v>
      </c>
      <c r="O75" s="462">
        <f>IF(+All!$F169="Eastern Michigan",+All!O169,IF(+All!$H169="Eastern Michigan",+All!O169,0))</f>
        <v>49</v>
      </c>
      <c r="P75" s="462" t="str">
        <f>IF(+All!$F169="Eastern Michigan",+All!P169,IF(+All!$H169="Eastern Michigan",+All!P169,0))</f>
        <v>Eastern Michigan</v>
      </c>
      <c r="Q75" s="461">
        <f>IF(+All!$F169="Eastern Michigan",+All!Q169,IF(+All!$H169="Eastern Michigan",+All!Q169,0))</f>
        <v>21</v>
      </c>
      <c r="R75" s="460" t="str">
        <f>IF(+All!$F169="Eastern Michigan",+All!R169,IF(+All!$H169="Eastern Michigan",+All!R169,0))</f>
        <v>UL Lafayette</v>
      </c>
      <c r="S75" s="462" t="str">
        <f>IF(+All!$F169="Eastern Michigan",+All!S169,IF(+All!$H169="Eastern Michigan",+All!S169,0))</f>
        <v>Eastern Michigan</v>
      </c>
      <c r="T75" s="460" t="str">
        <f>IF(+All!$F169="Eastern Michigan",+All!T169,IF(+All!$H169="Eastern Michigan",+All!T169,0))</f>
        <v>Eastern Michigan</v>
      </c>
      <c r="U75" s="461" t="str">
        <f>IF(+All!$F169="Eastern Michigan",+All!U169,IF(+All!$H169="Eastern Michigan",+All!U169,0))</f>
        <v>L</v>
      </c>
    </row>
    <row r="76" spans="1:21" x14ac:dyDescent="0.8">
      <c r="A76" s="46">
        <f>IF(+All!$F230="Eastern Michigan",+All!A230,IF(+All!$H230="Eastern Michigan",+All!A230,0))</f>
        <v>3</v>
      </c>
      <c r="B76" s="348" t="str">
        <f>IF(+All!$F230="Eastern Michigan",+All!B230,IF(+All!$H230="Eastern Michigan",+All!B230,0))</f>
        <v>Sat</v>
      </c>
      <c r="C76" s="48">
        <f>IF(+All!$F230="Eastern Michigan",+All!C230,IF(+All!$H230="Eastern Michigan",+All!C230,0))</f>
        <v>44821</v>
      </c>
      <c r="D76" s="490">
        <f>IF(+All!$F230="Eastern Michigan",+All!D230,IF(+All!$H230="Eastern Michigan",+All!D230,0))</f>
        <v>0.95833333333333337</v>
      </c>
      <c r="E76" s="461" t="str">
        <f>IF(+All!$F230="Eastern Michigan",+All!E230,IF(+All!$H230="Eastern Michigan",+All!E230,0))</f>
        <v>PAC12</v>
      </c>
      <c r="F76" s="51" t="str">
        <f>IF(+All!$F230="Eastern Michigan",+All!F230,IF(+All!$H230="Eastern Michigan",+All!F230,0))</f>
        <v>Eastern Michigan</v>
      </c>
      <c r="G76" s="63" t="str">
        <f>IF(+All!$F230="Eastern Michigan",+All!G230,IF(+All!$H230="Eastern Michigan",+All!G230,0))</f>
        <v>MAC</v>
      </c>
      <c r="H76" s="63" t="str">
        <f>IF(+All!$F230="Eastern Michigan",+All!H230,IF(+All!$H230="Eastern Michigan",+All!H230,0))</f>
        <v>Arizona State</v>
      </c>
      <c r="I76" s="52" t="str">
        <f>IF(+All!$F230="Eastern Michigan",+All!I230,IF(+All!$H230="Eastern Michigan",+All!I230,0))</f>
        <v>P12</v>
      </c>
      <c r="J76" s="460" t="str">
        <f>IF(+All!$F230="Eastern Michigan",+All!J230,IF(+All!$H230="Eastern Michigan",+All!J230,0))</f>
        <v>Arizona State</v>
      </c>
      <c r="K76" s="461" t="str">
        <f>IF(+All!$F230="Eastern Michigan",+All!K230,IF(+All!$H230="Eastern Michigan",+All!K230,0))</f>
        <v>Eastern Michigan</v>
      </c>
      <c r="L76" s="54">
        <f>IF(+All!$F230="Eastern Michigan",+All!L230,IF(+All!$H230="Eastern Michigan",+All!L230,0))</f>
        <v>20</v>
      </c>
      <c r="M76" s="55">
        <f>IF(+All!$F230="Eastern Michigan",+All!M230,IF(+All!$H230="Eastern Michigan",+All!M230,0))</f>
        <v>56.5</v>
      </c>
      <c r="N76" s="460" t="str">
        <f>IF(+All!$F230="Eastern Michigan",+All!N230,IF(+All!$H230="Eastern Michigan",+All!N230,0))</f>
        <v>Eastern Michigan</v>
      </c>
      <c r="O76" s="462">
        <f>IF(+All!$F230="Eastern Michigan",+All!O230,IF(+All!$H230="Eastern Michigan",+All!O230,0))</f>
        <v>30</v>
      </c>
      <c r="P76" s="462" t="str">
        <f>IF(+All!$F230="Eastern Michigan",+All!P230,IF(+All!$H230="Eastern Michigan",+All!P230,0))</f>
        <v>Arizona State</v>
      </c>
      <c r="Q76" s="461">
        <f>IF(+All!$F230="Eastern Michigan",+All!Q230,IF(+All!$H230="Eastern Michigan",+All!Q230,0))</f>
        <v>21</v>
      </c>
      <c r="R76" s="460" t="str">
        <f>IF(+All!$F230="Eastern Michigan",+All!R230,IF(+All!$H230="Eastern Michigan",+All!R230,0))</f>
        <v>Eastern Michigan</v>
      </c>
      <c r="S76" s="462" t="str">
        <f>IF(+All!$F230="Eastern Michigan",+All!S230,IF(+All!$H230="Eastern Michigan",+All!S230,0))</f>
        <v>Arizona State</v>
      </c>
      <c r="T76" s="460" t="str">
        <f>IF(+All!$F230="Eastern Michigan",+All!T230,IF(+All!$H230="Eastern Michigan",+All!T230,0))</f>
        <v>Eastern Michigan</v>
      </c>
      <c r="U76" s="461" t="str">
        <f>IF(+All!$F230="Eastern Michigan",+All!U230,IF(+All!$H230="Eastern Michigan",+All!U230,0))</f>
        <v>W</v>
      </c>
    </row>
    <row r="77" spans="1:21" x14ac:dyDescent="0.8">
      <c r="A77" s="46">
        <f>IF(+All!$F289="Eastern Michigan",+All!A289,IF(+All!$H289="Eastern Michigan",+All!A289,0))</f>
        <v>4</v>
      </c>
      <c r="B77" s="348" t="str">
        <f>IF(+All!$F289="Eastern Michigan",+All!B289,IF(+All!$H289="Eastern Michigan",+All!B289,0))</f>
        <v>Sat</v>
      </c>
      <c r="C77" s="48">
        <f>IF(+All!$F289="Eastern Michigan",+All!C289,IF(+All!$H289="Eastern Michigan",+All!C289,0))</f>
        <v>44828</v>
      </c>
      <c r="D77" s="490">
        <f>IF(+All!$F289="Eastern Michigan",+All!D289,IF(+All!$H289="Eastern Michigan",+All!D289,0))</f>
        <v>0.5</v>
      </c>
      <c r="E77" s="461" t="str">
        <f>IF(+All!$F289="Eastern Michigan",+All!E289,IF(+All!$H289="Eastern Michigan",+All!E289,0))</f>
        <v>CBSSN</v>
      </c>
      <c r="F77" s="51" t="str">
        <f>IF(+All!$F289="Eastern Michigan",+All!F289,IF(+All!$H289="Eastern Michigan",+All!F289,0))</f>
        <v>Buffalo</v>
      </c>
      <c r="G77" s="63" t="str">
        <f>IF(+All!$F289="Eastern Michigan",+All!G289,IF(+All!$H289="Eastern Michigan",+All!G289,0))</f>
        <v>MAC</v>
      </c>
      <c r="H77" s="63" t="str">
        <f>IF(+All!$F289="Eastern Michigan",+All!H289,IF(+All!$H289="Eastern Michigan",+All!H289,0))</f>
        <v>Eastern Michigan</v>
      </c>
      <c r="I77" s="52" t="str">
        <f>IF(+All!$F289="Eastern Michigan",+All!I289,IF(+All!$H289="Eastern Michigan",+All!I289,0))</f>
        <v>MAC</v>
      </c>
      <c r="J77" s="460" t="str">
        <f>IF(+All!$F289="Eastern Michigan",+All!J289,IF(+All!$H289="Eastern Michigan",+All!J289,0))</f>
        <v>Eastern Michigan</v>
      </c>
      <c r="K77" s="461" t="str">
        <f>IF(+All!$F289="Eastern Michigan",+All!K289,IF(+All!$H289="Eastern Michigan",+All!K289,0))</f>
        <v>Buffalo</v>
      </c>
      <c r="L77" s="54">
        <f>IF(+All!$F289="Eastern Michigan",+All!L289,IF(+All!$H289="Eastern Michigan",+All!L289,0))</f>
        <v>6</v>
      </c>
      <c r="M77" s="55">
        <f>IF(+All!$F289="Eastern Michigan",+All!M289,IF(+All!$H289="Eastern Michigan",+All!M289,0))</f>
        <v>60</v>
      </c>
      <c r="N77" s="460" t="str">
        <f>IF(+All!$F289="Eastern Michigan",+All!N289,IF(+All!$H289="Eastern Michigan",+All!N289,0))</f>
        <v>Buffalo</v>
      </c>
      <c r="O77" s="462">
        <f>IF(+All!$F289="Eastern Michigan",+All!O289,IF(+All!$H289="Eastern Michigan",+All!O289,0))</f>
        <v>50</v>
      </c>
      <c r="P77" s="462" t="str">
        <f>IF(+All!$F289="Eastern Michigan",+All!P289,IF(+All!$H289="Eastern Michigan",+All!P289,0))</f>
        <v>Eastern Michigan</v>
      </c>
      <c r="Q77" s="461">
        <f>IF(+All!$F289="Eastern Michigan",+All!Q289,IF(+All!$H289="Eastern Michigan",+All!Q289,0))</f>
        <v>31</v>
      </c>
      <c r="R77" s="460" t="str">
        <f>IF(+All!$F289="Eastern Michigan",+All!R289,IF(+All!$H289="Eastern Michigan",+All!R289,0))</f>
        <v>Buffalo</v>
      </c>
      <c r="S77" s="462" t="str">
        <f>IF(+All!$F289="Eastern Michigan",+All!S289,IF(+All!$H289="Eastern Michigan",+All!S289,0))</f>
        <v>Eastern Michigan</v>
      </c>
      <c r="T77" s="460" t="str">
        <f>IF(+All!$F289="Eastern Michigan",+All!T289,IF(+All!$H289="Eastern Michigan",+All!T289,0))</f>
        <v>Buffalo</v>
      </c>
      <c r="U77" s="461" t="str">
        <f>IF(+All!$F289="Eastern Michigan",+All!U289,IF(+All!$H289="Eastern Michigan",+All!U289,0))</f>
        <v>W</v>
      </c>
    </row>
    <row r="78" spans="1:21" x14ac:dyDescent="0.8">
      <c r="A78" s="46">
        <f>IF(+All!$F357="Eastern Michigan",+All!A357,IF(+All!$H357="Eastern Michigan",+All!A357,0))</f>
        <v>5</v>
      </c>
      <c r="B78" s="348" t="str">
        <f>IF(+All!$F357="Eastern Michigan",+All!B357,IF(+All!$H357="Eastern Michigan",+All!B357,0))</f>
        <v>Sat</v>
      </c>
      <c r="C78" s="48">
        <f>IF(+All!$F357="Eastern Michigan",+All!C357,IF(+All!$H357="Eastern Michigan",+All!C357,0))</f>
        <v>44835</v>
      </c>
      <c r="D78" s="490">
        <f>IF(+All!$F357="Eastern Michigan",+All!D357,IF(+All!$H357="Eastern Michigan",+All!D357,0))</f>
        <v>0.58333333333333337</v>
      </c>
      <c r="E78" s="461">
        <f>IF(+All!$F357="Eastern Michigan",+All!E357,IF(+All!$H357="Eastern Michigan",+All!E357,0))</f>
        <v>0</v>
      </c>
      <c r="F78" s="51" t="str">
        <f>IF(+All!$F357="Eastern Michigan",+All!F357,IF(+All!$H357="Eastern Michigan",+All!F357,0))</f>
        <v>Massachusetts</v>
      </c>
      <c r="G78" s="63" t="str">
        <f>IF(+All!$F357="Eastern Michigan",+All!G357,IF(+All!$H357="Eastern Michigan",+All!G357,0))</f>
        <v>Ind</v>
      </c>
      <c r="H78" s="63" t="str">
        <f>IF(+All!$F357="Eastern Michigan",+All!H357,IF(+All!$H357="Eastern Michigan",+All!H357,0))</f>
        <v>Eastern Michigan</v>
      </c>
      <c r="I78" s="52" t="str">
        <f>IF(+All!$F357="Eastern Michigan",+All!I357,IF(+All!$H357="Eastern Michigan",+All!I357,0))</f>
        <v>MAC</v>
      </c>
      <c r="J78" s="460" t="str">
        <f>IF(+All!$F357="Eastern Michigan",+All!J357,IF(+All!$H357="Eastern Michigan",+All!J357,0))</f>
        <v>Eastern Michigan</v>
      </c>
      <c r="K78" s="461" t="str">
        <f>IF(+All!$F357="Eastern Michigan",+All!K357,IF(+All!$H357="Eastern Michigan",+All!K357,0))</f>
        <v>Massachusetts</v>
      </c>
      <c r="L78" s="54">
        <f>IF(+All!$F357="Eastern Michigan",+All!L357,IF(+All!$H357="Eastern Michigan",+All!L357,0))</f>
        <v>19.5</v>
      </c>
      <c r="M78" s="55">
        <f>IF(+All!$F357="Eastern Michigan",+All!M357,IF(+All!$H357="Eastern Michigan",+All!M357,0))</f>
        <v>54.5</v>
      </c>
      <c r="N78" s="460" t="str">
        <f>IF(+All!$F357="Eastern Michigan",+All!N357,IF(+All!$H357="Eastern Michigan",+All!N357,0))</f>
        <v>Eastern Michigan</v>
      </c>
      <c r="O78" s="462">
        <f>IF(+All!$F357="Eastern Michigan",+All!O357,IF(+All!$H357="Eastern Michigan",+All!O357,0))</f>
        <v>20</v>
      </c>
      <c r="P78" s="462" t="str">
        <f>IF(+All!$F357="Eastern Michigan",+All!P357,IF(+All!$H357="Eastern Michigan",+All!P357,0))</f>
        <v>Massachusetts</v>
      </c>
      <c r="Q78" s="461">
        <f>IF(+All!$F357="Eastern Michigan",+All!Q357,IF(+All!$H357="Eastern Michigan",+All!Q357,0))</f>
        <v>13</v>
      </c>
      <c r="R78" s="460" t="str">
        <f>IF(+All!$F357="Eastern Michigan",+All!R357,IF(+All!$H357="Eastern Michigan",+All!R357,0))</f>
        <v>Massachusetts</v>
      </c>
      <c r="S78" s="462" t="str">
        <f>IF(+All!$F357="Eastern Michigan",+All!S357,IF(+All!$H357="Eastern Michigan",+All!S357,0))</f>
        <v>Eastern Michigan</v>
      </c>
      <c r="T78" s="460" t="str">
        <f>IF(+All!$F357="Eastern Michigan",+All!T357,IF(+All!$H357="Eastern Michigan",+All!T357,0))</f>
        <v>Eastern Michigan</v>
      </c>
      <c r="U78" s="461" t="str">
        <f>IF(+All!$F357="Eastern Michigan",+All!U357,IF(+All!$H357="Eastern Michigan",+All!U357,0))</f>
        <v>L</v>
      </c>
    </row>
    <row r="79" spans="1:21" x14ac:dyDescent="0.8">
      <c r="A79" s="46">
        <f>IF(+All!$F416="Eastern Michigan",+All!A416,IF(+All!$H416="Eastern Michigan",+All!A416,0))</f>
        <v>6</v>
      </c>
      <c r="B79" s="348" t="str">
        <f>IF(+All!$F416="Eastern Michigan",+All!B416,IF(+All!$H416="Eastern Michigan",+All!B416,0))</f>
        <v>Sat</v>
      </c>
      <c r="C79" s="48">
        <f>IF(+All!$F416="Eastern Michigan",+All!C416,IF(+All!$H416="Eastern Michigan",+All!C416,0))</f>
        <v>44842</v>
      </c>
      <c r="D79" s="490">
        <f>IF(+All!$F416="Eastern Michigan",+All!D416,IF(+All!$H416="Eastern Michigan",+All!D416,0))</f>
        <v>0.5</v>
      </c>
      <c r="E79" s="461" t="str">
        <f>IF(+All!$F416="Eastern Michigan",+All!E416,IF(+All!$H416="Eastern Michigan",+All!E416,0))</f>
        <v>CBSSN</v>
      </c>
      <c r="F79" s="51" t="str">
        <f>IF(+All!$F416="Eastern Michigan",+All!F416,IF(+All!$H416="Eastern Michigan",+All!F416,0))</f>
        <v>Eastern Michigan</v>
      </c>
      <c r="G79" s="63" t="str">
        <f>IF(+All!$F416="Eastern Michigan",+All!G416,IF(+All!$H416="Eastern Michigan",+All!G416,0))</f>
        <v>MAC</v>
      </c>
      <c r="H79" s="63" t="str">
        <f>IF(+All!$F416="Eastern Michigan",+All!H416,IF(+All!$H416="Eastern Michigan",+All!H416,0))</f>
        <v>Western Michigan</v>
      </c>
      <c r="I79" s="52" t="str">
        <f>IF(+All!$F416="Eastern Michigan",+All!I416,IF(+All!$H416="Eastern Michigan",+All!I416,0))</f>
        <v>MAC</v>
      </c>
      <c r="J79" s="460" t="str">
        <f>IF(+All!$F416="Eastern Michigan",+All!J416,IF(+All!$H416="Eastern Michigan",+All!J416,0))</f>
        <v>Western Michigan</v>
      </c>
      <c r="K79" s="461" t="str">
        <f>IF(+All!$F416="Eastern Michigan",+All!K416,IF(+All!$H416="Eastern Michigan",+All!K416,0))</f>
        <v>Eastern Michigan</v>
      </c>
      <c r="L79" s="54">
        <f>IF(+All!$F416="Eastern Michigan",+All!L416,IF(+All!$H416="Eastern Michigan",+All!L416,0))</f>
        <v>5</v>
      </c>
      <c r="M79" s="55">
        <f>IF(+All!$F416="Eastern Michigan",+All!M416,IF(+All!$H416="Eastern Michigan",+All!M416,0))</f>
        <v>57.5</v>
      </c>
      <c r="N79" s="460" t="str">
        <f>IF(+All!$F416="Eastern Michigan",+All!N416,IF(+All!$H416="Eastern Michigan",+All!N416,0))</f>
        <v>Eastern Michigan</v>
      </c>
      <c r="O79" s="462">
        <f>IF(+All!$F416="Eastern Michigan",+All!O416,IF(+All!$H416="Eastern Michigan",+All!O416,0))</f>
        <v>45</v>
      </c>
      <c r="P79" s="462" t="str">
        <f>IF(+All!$F416="Eastern Michigan",+All!P416,IF(+All!$H416="Eastern Michigan",+All!P416,0))</f>
        <v>Western Michigan</v>
      </c>
      <c r="Q79" s="461">
        <f>IF(+All!$F416="Eastern Michigan",+All!Q416,IF(+All!$H416="Eastern Michigan",+All!Q416,0))</f>
        <v>23</v>
      </c>
      <c r="R79" s="460" t="str">
        <f>IF(+All!$F416="Eastern Michigan",+All!R416,IF(+All!$H416="Eastern Michigan",+All!R416,0))</f>
        <v>Eastern Michigan</v>
      </c>
      <c r="S79" s="462" t="str">
        <f>IF(+All!$F416="Eastern Michigan",+All!S416,IF(+All!$H416="Eastern Michigan",+All!S416,0))</f>
        <v>Western Michigan</v>
      </c>
      <c r="T79" s="460" t="str">
        <f>IF(+All!$F416="Eastern Michigan",+All!T416,IF(+All!$H416="Eastern Michigan",+All!T416,0))</f>
        <v>Western Michigan</v>
      </c>
      <c r="U79" s="461" t="str">
        <f>IF(+All!$F416="Eastern Michigan",+All!U416,IF(+All!$H416="Eastern Michigan",+All!U416,0))</f>
        <v>L</v>
      </c>
    </row>
    <row r="80" spans="1:21" x14ac:dyDescent="0.8">
      <c r="A80" s="46">
        <f>IF(+All!$F470="Eastern Michigan",+All!A470,IF(+All!$H470="Eastern Michigan",+All!A470,0))</f>
        <v>7</v>
      </c>
      <c r="B80" s="348" t="str">
        <f>IF(+All!$F470="Eastern Michigan",+All!B470,IF(+All!$H470="Eastern Michigan",+All!B470,0))</f>
        <v>Sat</v>
      </c>
      <c r="C80" s="48">
        <f>IF(+All!$F470="Eastern Michigan",+All!C470,IF(+All!$H470="Eastern Michigan",+All!C470,0))</f>
        <v>44849</v>
      </c>
      <c r="D80" s="490">
        <f>IF(+All!$F470="Eastern Michigan",+All!D470,IF(+All!$H470="Eastern Michigan",+All!D470,0))</f>
        <v>0.64583333333333337</v>
      </c>
      <c r="E80" s="461">
        <f>IF(+All!$F470="Eastern Michigan",+All!E470,IF(+All!$H470="Eastern Michigan",+All!E470,0))</f>
        <v>0</v>
      </c>
      <c r="F80" s="51" t="str">
        <f>IF(+All!$F470="Eastern Michigan",+All!F470,IF(+All!$H470="Eastern Michigan",+All!F470,0))</f>
        <v>Northern Illinois</v>
      </c>
      <c r="G80" s="63" t="str">
        <f>IF(+All!$F470="Eastern Michigan",+All!G470,IF(+All!$H470="Eastern Michigan",+All!G470,0))</f>
        <v>MAC</v>
      </c>
      <c r="H80" s="63" t="str">
        <f>IF(+All!$F470="Eastern Michigan",+All!H470,IF(+All!$H470="Eastern Michigan",+All!H470,0))</f>
        <v>Eastern Michigan</v>
      </c>
      <c r="I80" s="52" t="str">
        <f>IF(+All!$F470="Eastern Michigan",+All!I470,IF(+All!$H470="Eastern Michigan",+All!I470,0))</f>
        <v>MAC</v>
      </c>
      <c r="J80" s="460" t="str">
        <f>IF(+All!$F470="Eastern Michigan",+All!J470,IF(+All!$H470="Eastern Michigan",+All!J470,0))</f>
        <v>Eastern Michigan</v>
      </c>
      <c r="K80" s="461" t="str">
        <f>IF(+All!$F470="Eastern Michigan",+All!K470,IF(+All!$H470="Eastern Michigan",+All!K470,0))</f>
        <v>Northern Illinois</v>
      </c>
      <c r="L80" s="54">
        <f>IF(+All!$F470="Eastern Michigan",+All!L470,IF(+All!$H470="Eastern Michigan",+All!L470,0))</f>
        <v>2.5</v>
      </c>
      <c r="M80" s="55">
        <f>IF(+All!$F470="Eastern Michigan",+All!M470,IF(+All!$H470="Eastern Michigan",+All!M470,0))</f>
        <v>67</v>
      </c>
      <c r="N80" s="460" t="str">
        <f>IF(+All!$F470="Eastern Michigan",+All!N470,IF(+All!$H470="Eastern Michigan",+All!N470,0))</f>
        <v>Northern Illinois</v>
      </c>
      <c r="O80" s="462">
        <f>IF(+All!$F470="Eastern Michigan",+All!O470,IF(+All!$H470="Eastern Michigan",+All!O470,0))</f>
        <v>39</v>
      </c>
      <c r="P80" s="462" t="str">
        <f>IF(+All!$F470="Eastern Michigan",+All!P470,IF(+All!$H470="Eastern Michigan",+All!P470,0))</f>
        <v>Eastern Michigan</v>
      </c>
      <c r="Q80" s="461">
        <f>IF(+All!$F470="Eastern Michigan",+All!Q470,IF(+All!$H470="Eastern Michigan",+All!Q470,0))</f>
        <v>10</v>
      </c>
      <c r="R80" s="460" t="str">
        <f>IF(+All!$F470="Eastern Michigan",+All!R470,IF(+All!$H470="Eastern Michigan",+All!R470,0))</f>
        <v>Northern Illinois</v>
      </c>
      <c r="S80" s="462" t="str">
        <f>IF(+All!$F470="Eastern Michigan",+All!S470,IF(+All!$H470="Eastern Michigan",+All!S470,0))</f>
        <v>Eastern Michigan</v>
      </c>
      <c r="T80" s="460" t="str">
        <f>IF(+All!$F470="Eastern Michigan",+All!T470,IF(+All!$H470="Eastern Michigan",+All!T470,0))</f>
        <v>Eastern Michigan</v>
      </c>
      <c r="U80" s="461" t="str">
        <f>IF(+All!$F470="Eastern Michigan",+All!U470,IF(+All!$H470="Eastern Michigan",+All!U470,0))</f>
        <v>L</v>
      </c>
    </row>
    <row r="81" spans="1:21" x14ac:dyDescent="0.8">
      <c r="A81" s="46">
        <f>IF(+All!$F521="Eastern Michigan",+All!A521,IF(+All!$H521="Eastern Michigan",+All!A521,0))</f>
        <v>8</v>
      </c>
      <c r="B81" s="348" t="str">
        <f>IF(+All!$F521="Eastern Michigan",+All!B521,IF(+All!$H521="Eastern Michigan",+All!B521,0))</f>
        <v>Sat</v>
      </c>
      <c r="C81" s="48">
        <f>IF(+All!$F521="Eastern Michigan",+All!C521,IF(+All!$H521="Eastern Michigan",+All!C521,0))</f>
        <v>44856</v>
      </c>
      <c r="D81" s="490">
        <f>IF(+All!$F521="Eastern Michigan",+All!D521,IF(+All!$H521="Eastern Michigan",+All!D521,0))</f>
        <v>0.58333333333333337</v>
      </c>
      <c r="E81" s="461">
        <f>IF(+All!$F521="Eastern Michigan",+All!E521,IF(+All!$H521="Eastern Michigan",+All!E521,0))</f>
        <v>0</v>
      </c>
      <c r="F81" s="51" t="str">
        <f>IF(+All!$F521="Eastern Michigan",+All!F521,IF(+All!$H521="Eastern Michigan",+All!F521,0))</f>
        <v>Eastern Michigan</v>
      </c>
      <c r="G81" s="63" t="str">
        <f>IF(+All!$F521="Eastern Michigan",+All!G521,IF(+All!$H521="Eastern Michigan",+All!G521,0))</f>
        <v>MAC</v>
      </c>
      <c r="H81" s="63" t="str">
        <f>IF(+All!$F521="Eastern Michigan",+All!H521,IF(+All!$H521="Eastern Michigan",+All!H521,0))</f>
        <v>Ball State</v>
      </c>
      <c r="I81" s="52" t="str">
        <f>IF(+All!$F521="Eastern Michigan",+All!I521,IF(+All!$H521="Eastern Michigan",+All!I521,0))</f>
        <v>MAC</v>
      </c>
      <c r="J81" s="460" t="str">
        <f>IF(+All!$F521="Eastern Michigan",+All!J521,IF(+All!$H521="Eastern Michigan",+All!J521,0))</f>
        <v>Ball State</v>
      </c>
      <c r="K81" s="461" t="str">
        <f>IF(+All!$F521="Eastern Michigan",+All!K521,IF(+All!$H521="Eastern Michigan",+All!K521,0))</f>
        <v>Eastern Michigan</v>
      </c>
      <c r="L81" s="54">
        <f>IF(+All!$F521="Eastern Michigan",+All!L521,IF(+All!$H521="Eastern Michigan",+All!L521,0))</f>
        <v>2.5</v>
      </c>
      <c r="M81" s="55">
        <f>IF(+All!$F521="Eastern Michigan",+All!M521,IF(+All!$H521="Eastern Michigan",+All!M521,0))</f>
        <v>59</v>
      </c>
      <c r="N81" s="460" t="str">
        <f>IF(+All!$F521="Eastern Michigan",+All!N521,IF(+All!$H521="Eastern Michigan",+All!N521,0))</f>
        <v>Eastern Michigan</v>
      </c>
      <c r="O81" s="462">
        <f>IF(+All!$F521="Eastern Michigan",+All!O521,IF(+All!$H521="Eastern Michigan",+All!O521,0))</f>
        <v>20</v>
      </c>
      <c r="P81" s="462" t="str">
        <f>IF(+All!$F521="Eastern Michigan",+All!P521,IF(+All!$H521="Eastern Michigan",+All!P521,0))</f>
        <v>Ball State</v>
      </c>
      <c r="Q81" s="461">
        <f>IF(+All!$F521="Eastern Michigan",+All!Q521,IF(+All!$H521="Eastern Michigan",+All!Q521,0))</f>
        <v>16</v>
      </c>
      <c r="R81" s="460" t="str">
        <f>IF(+All!$F521="Eastern Michigan",+All!R521,IF(+All!$H521="Eastern Michigan",+All!R521,0))</f>
        <v>Eastern Michigan</v>
      </c>
      <c r="S81" s="462" t="str">
        <f>IF(+All!$F521="Eastern Michigan",+All!S521,IF(+All!$H521="Eastern Michigan",+All!S521,0))</f>
        <v>Ball State</v>
      </c>
      <c r="T81" s="460" t="str">
        <f>IF(+All!$F521="Eastern Michigan",+All!T521,IF(+All!$H521="Eastern Michigan",+All!T521,0))</f>
        <v>Ball State</v>
      </c>
      <c r="U81" s="461" t="str">
        <f>IF(+All!$F521="Eastern Michigan",+All!U521,IF(+All!$H521="Eastern Michigan",+All!U521,0))</f>
        <v>L</v>
      </c>
    </row>
    <row r="82" spans="1:21" x14ac:dyDescent="0.8">
      <c r="A82" s="46">
        <f>IF(+All!$F575="Eastern Michigan",+All!A575,IF(+All!$H575="Eastern Michigan",+All!A575,0))</f>
        <v>9</v>
      </c>
      <c r="B82" s="348" t="str">
        <f>IF(+All!$F575="Eastern Michigan",+All!B575,IF(+All!$H575="Eastern Michigan",+All!B575,0))</f>
        <v>Sat</v>
      </c>
      <c r="C82" s="48">
        <f>IF(+All!$F575="Eastern Michigan",+All!C575,IF(+All!$H575="Eastern Michigan",+All!C575,0))</f>
        <v>44863</v>
      </c>
      <c r="D82" s="490">
        <f>IF(+All!$F575="Eastern Michigan",+All!D575,IF(+All!$H575="Eastern Michigan",+All!D575,0))</f>
        <v>0.5</v>
      </c>
      <c r="E82" s="461" t="str">
        <f>IF(+All!$F575="Eastern Michigan",+All!E575,IF(+All!$H575="Eastern Michigan",+All!E575,0))</f>
        <v>ESPNU</v>
      </c>
      <c r="F82" s="51" t="str">
        <f>IF(+All!$F575="Eastern Michigan",+All!F575,IF(+All!$H575="Eastern Michigan",+All!F575,0))</f>
        <v>Eastern Michigan</v>
      </c>
      <c r="G82" s="63" t="str">
        <f>IF(+All!$F575="Eastern Michigan",+All!G575,IF(+All!$H575="Eastern Michigan",+All!G575,0))</f>
        <v>MAC</v>
      </c>
      <c r="H82" s="63" t="str">
        <f>IF(+All!$F575="Eastern Michigan",+All!H575,IF(+All!$H575="Eastern Michigan",+All!H575,0))</f>
        <v>Toledo</v>
      </c>
      <c r="I82" s="52" t="str">
        <f>IF(+All!$F575="Eastern Michigan",+All!I575,IF(+All!$H575="Eastern Michigan",+All!I575,0))</f>
        <v>MAC</v>
      </c>
      <c r="J82" s="460" t="str">
        <f>IF(+All!$F575="Eastern Michigan",+All!J575,IF(+All!$H575="Eastern Michigan",+All!J575,0))</f>
        <v>Toledo</v>
      </c>
      <c r="K82" s="461" t="str">
        <f>IF(+All!$F575="Eastern Michigan",+All!K575,IF(+All!$H575="Eastern Michigan",+All!K575,0))</f>
        <v>Eastern Michigan</v>
      </c>
      <c r="L82" s="54">
        <f>IF(+All!$F575="Eastern Michigan",+All!L575,IF(+All!$H575="Eastern Michigan",+All!L575,0))</f>
        <v>7</v>
      </c>
      <c r="M82" s="55">
        <f>IF(+All!$F575="Eastern Michigan",+All!M575,IF(+All!$H575="Eastern Michigan",+All!M575,0))</f>
        <v>57.5</v>
      </c>
      <c r="N82" s="460" t="str">
        <f>IF(+All!$F575="Eastern Michigan",+All!N575,IF(+All!$H575="Eastern Michigan",+All!N575,0))</f>
        <v>Toledo</v>
      </c>
      <c r="O82" s="462">
        <f>IF(+All!$F575="Eastern Michigan",+All!O575,IF(+All!$H575="Eastern Michigan",+All!O575,0))</f>
        <v>27</v>
      </c>
      <c r="P82" s="462" t="str">
        <f>IF(+All!$F575="Eastern Michigan",+All!P575,IF(+All!$H575="Eastern Michigan",+All!P575,0))</f>
        <v>Eastern Michigan</v>
      </c>
      <c r="Q82" s="461">
        <f>IF(+All!$F575="Eastern Michigan",+All!Q575,IF(+All!$H575="Eastern Michigan",+All!Q575,0))</f>
        <v>24</v>
      </c>
      <c r="R82" s="460" t="str">
        <f>IF(+All!$F575="Eastern Michigan",+All!R575,IF(+All!$H575="Eastern Michigan",+All!R575,0))</f>
        <v>Eastern Michigan</v>
      </c>
      <c r="S82" s="462" t="str">
        <f>IF(+All!$F575="Eastern Michigan",+All!S575,IF(+All!$H575="Eastern Michigan",+All!S575,0))</f>
        <v>Toledo</v>
      </c>
      <c r="T82" s="460" t="str">
        <f>IF(+All!$F575="Eastern Michigan",+All!T575,IF(+All!$H575="Eastern Michigan",+All!T575,0))</f>
        <v>Toledo</v>
      </c>
      <c r="U82" s="461" t="str">
        <f>IF(+All!$F575="Eastern Michigan",+All!U575,IF(+All!$H575="Eastern Michigan",+All!U575,0))</f>
        <v>L</v>
      </c>
    </row>
    <row r="83" spans="1:21" x14ac:dyDescent="0.8">
      <c r="A83" s="46" t="e">
        <f>IF(+All!#REF!="Eastern Michigan",+All!#REF!,IF(+All!#REF!="Eastern Michigan",+All!#REF!,0))</f>
        <v>#REF!</v>
      </c>
      <c r="B83" s="348" t="e">
        <f>IF(+All!#REF!="Eastern Michigan",+All!#REF!,IF(+All!#REF!="Eastern Michigan",+All!#REF!,0))</f>
        <v>#REF!</v>
      </c>
      <c r="C83" s="48" t="e">
        <f>IF(+All!#REF!="Eastern Michigan",+All!#REF!,IF(+All!#REF!="Eastern Michigan",+All!#REF!,0))</f>
        <v>#REF!</v>
      </c>
      <c r="D83" s="490" t="e">
        <f>IF(+All!#REF!="Eastern Michigan",+All!#REF!,IF(+All!#REF!="Eastern Michigan",+All!#REF!,0))</f>
        <v>#REF!</v>
      </c>
      <c r="E83" s="461" t="e">
        <f>IF(+All!#REF!="Eastern Michigan",+All!#REF!,IF(+All!#REF!="Eastern Michigan",+All!#REF!,0))</f>
        <v>#REF!</v>
      </c>
      <c r="F83" s="51" t="e">
        <f>IF(+All!#REF!="Eastern Michigan",+All!#REF!,IF(+All!#REF!="Eastern Michigan",+All!#REF!,0))</f>
        <v>#REF!</v>
      </c>
      <c r="G83" s="63" t="e">
        <f>IF(+All!#REF!="Eastern Michigan",+All!#REF!,IF(+All!#REF!="Eastern Michigan",+All!#REF!,0))</f>
        <v>#REF!</v>
      </c>
      <c r="H83" s="63" t="e">
        <f>IF(+All!#REF!="Eastern Michigan",+All!#REF!,IF(+All!#REF!="Eastern Michigan",+All!#REF!,0))</f>
        <v>#REF!</v>
      </c>
      <c r="I83" s="52" t="e">
        <f>IF(+All!#REF!="Eastern Michigan",+All!#REF!,IF(+All!#REF!="Eastern Michigan",+All!#REF!,0))</f>
        <v>#REF!</v>
      </c>
      <c r="J83" s="460" t="e">
        <f>IF(+All!#REF!="Eastern Michigan",+All!#REF!,IF(+All!#REF!="Eastern Michigan",+All!#REF!,0))</f>
        <v>#REF!</v>
      </c>
      <c r="K83" s="461" t="e">
        <f>IF(+All!#REF!="Eastern Michigan",+All!#REF!,IF(+All!#REF!="Eastern Michigan",+All!#REF!,0))</f>
        <v>#REF!</v>
      </c>
      <c r="L83" s="54" t="e">
        <f>IF(+All!#REF!="Eastern Michigan",+All!#REF!,IF(+All!#REF!="Eastern Michigan",+All!#REF!,0))</f>
        <v>#REF!</v>
      </c>
      <c r="M83" s="55" t="e">
        <f>IF(+All!#REF!="Eastern Michigan",+All!#REF!,IF(+All!#REF!="Eastern Michigan",+All!#REF!,0))</f>
        <v>#REF!</v>
      </c>
      <c r="N83" s="460" t="e">
        <f>IF(+All!#REF!="Eastern Michigan",+All!#REF!,IF(+All!#REF!="Eastern Michigan",+All!#REF!,0))</f>
        <v>#REF!</v>
      </c>
      <c r="O83" s="462" t="e">
        <f>IF(+All!#REF!="Eastern Michigan",+All!#REF!,IF(+All!#REF!="Eastern Michigan",+All!#REF!,0))</f>
        <v>#REF!</v>
      </c>
      <c r="P83" s="462" t="e">
        <f>IF(+All!#REF!="Eastern Michigan",+All!#REF!,IF(+All!#REF!="Eastern Michigan",+All!#REF!,0))</f>
        <v>#REF!</v>
      </c>
      <c r="Q83" s="461" t="e">
        <f>IF(+All!#REF!="Eastern Michigan",+All!#REF!,IF(+All!#REF!="Eastern Michigan",+All!#REF!,0))</f>
        <v>#REF!</v>
      </c>
      <c r="R83" s="460" t="e">
        <f>IF(+All!#REF!="Eastern Michigan",+All!#REF!,IF(+All!#REF!="Eastern Michigan",+All!#REF!,0))</f>
        <v>#REF!</v>
      </c>
      <c r="S83" s="462" t="e">
        <f>IF(+All!#REF!="Eastern Michigan",+All!#REF!,IF(+All!#REF!="Eastern Michigan",+All!#REF!,0))</f>
        <v>#REF!</v>
      </c>
      <c r="T83" s="460" t="e">
        <f>IF(+All!#REF!="Eastern Michigan",+All!#REF!,IF(+All!#REF!="Eastern Michigan",+All!#REF!,0))</f>
        <v>#REF!</v>
      </c>
      <c r="U83" s="461" t="e">
        <f>IF(+All!#REF!="Eastern Michigan",+All!#REF!,IF(+All!#REF!="Eastern Michigan",+All!#REF!,0))</f>
        <v>#REF!</v>
      </c>
    </row>
    <row r="84" spans="1:21" x14ac:dyDescent="0.8">
      <c r="A84" s="46">
        <f>IF(+All!$F653="Eastern Michigan",+All!A653,IF(+All!$H653="Eastern Michigan",+All!A653,0))</f>
        <v>11</v>
      </c>
      <c r="B84" s="348" t="str">
        <f>IF(+All!$F653="Eastern Michigan",+All!B653,IF(+All!$H653="Eastern Michigan",+All!B653,0))</f>
        <v>Tues</v>
      </c>
      <c r="C84" s="48">
        <f>IF(+All!$F653="Eastern Michigan",+All!C653,IF(+All!$H653="Eastern Michigan",+All!C653,0))</f>
        <v>44508</v>
      </c>
      <c r="D84" s="490">
        <f>IF(+All!$F653="Eastern Michigan",+All!D653,IF(+All!$H653="Eastern Michigan",+All!D653,0))</f>
        <v>0.79166666666666663</v>
      </c>
      <c r="E84" s="461">
        <f>IF(+All!$F653="Eastern Michigan",+All!E653,IF(+All!$H653="Eastern Michigan",+All!E653,0))</f>
        <v>0</v>
      </c>
      <c r="F84" s="51" t="str">
        <f>IF(+All!$F653="Eastern Michigan",+All!F653,IF(+All!$H653="Eastern Michigan",+All!F653,0))</f>
        <v>Eastern Michigan</v>
      </c>
      <c r="G84" s="63" t="str">
        <f>IF(+All!$F653="Eastern Michigan",+All!G653,IF(+All!$H653="Eastern Michigan",+All!G653,0))</f>
        <v>MAC</v>
      </c>
      <c r="H84" s="63" t="str">
        <f>IF(+All!$F653="Eastern Michigan",+All!H653,IF(+All!$H653="Eastern Michigan",+All!H653,0))</f>
        <v>Akron</v>
      </c>
      <c r="I84" s="52" t="str">
        <f>IF(+All!$F653="Eastern Michigan",+All!I653,IF(+All!$H653="Eastern Michigan",+All!I653,0))</f>
        <v>MAC</v>
      </c>
      <c r="J84" s="460" t="str">
        <f>IF(+All!$F653="Eastern Michigan",+All!J653,IF(+All!$H653="Eastern Michigan",+All!J653,0))</f>
        <v>Eastern Michigan</v>
      </c>
      <c r="K84" s="461" t="str">
        <f>IF(+All!$F653="Eastern Michigan",+All!K653,IF(+All!$H653="Eastern Michigan",+All!K653,0))</f>
        <v>Akron</v>
      </c>
      <c r="L84" s="54">
        <f>IF(+All!$F653="Eastern Michigan",+All!L653,IF(+All!$H653="Eastern Michigan",+All!L653,0))</f>
        <v>7</v>
      </c>
      <c r="M84" s="55">
        <f>IF(+All!$F653="Eastern Michigan",+All!M653,IF(+All!$H653="Eastern Michigan",+All!M653,0))</f>
        <v>56.5</v>
      </c>
      <c r="N84" s="460" t="str">
        <f>IF(+All!$F653="Eastern Michigan",+All!N653,IF(+All!$H653="Eastern Michigan",+All!N653,0))</f>
        <v>Eastern Michigan</v>
      </c>
      <c r="O84" s="462">
        <f>IF(+All!$F653="Eastern Michigan",+All!O653,IF(+All!$H653="Eastern Michigan",+All!O653,0))</f>
        <v>34</v>
      </c>
      <c r="P84" s="462" t="str">
        <f>IF(+All!$F653="Eastern Michigan",+All!P653,IF(+All!$H653="Eastern Michigan",+All!P653,0))</f>
        <v>Akron</v>
      </c>
      <c r="Q84" s="461">
        <f>IF(+All!$F653="Eastern Michigan",+All!Q653,IF(+All!$H653="Eastern Michigan",+All!Q653,0))</f>
        <v>28</v>
      </c>
      <c r="R84" s="460" t="str">
        <f>IF(+All!$F653="Eastern Michigan",+All!R653,IF(+All!$H653="Eastern Michigan",+All!R653,0))</f>
        <v>Akron</v>
      </c>
      <c r="S84" s="462" t="str">
        <f>IF(+All!$F653="Eastern Michigan",+All!S653,IF(+All!$H653="Eastern Michigan",+All!S653,0))</f>
        <v>Eastern Michigan</v>
      </c>
      <c r="T84" s="460" t="str">
        <f>IF(+All!$F653="Eastern Michigan",+All!T653,IF(+All!$H653="Eastern Michigan",+All!T653,0))</f>
        <v>Akron</v>
      </c>
      <c r="U84" s="461" t="str">
        <f>IF(+All!$F653="Eastern Michigan",+All!U653,IF(+All!$H653="Eastern Michigan",+All!U653,0))</f>
        <v>W</v>
      </c>
    </row>
    <row r="85" spans="1:21" x14ac:dyDescent="0.8">
      <c r="A85" s="46">
        <f>IF(+All!$F721="Eastern Michigan",+All!A721,IF(+All!$H721="Eastern Michigan",+All!A721,0))</f>
        <v>12</v>
      </c>
      <c r="B85" s="348" t="str">
        <f>IF(+All!$F721="Eastern Michigan",+All!B721,IF(+All!$H721="Eastern Michigan",+All!B721,0))</f>
        <v>Weds</v>
      </c>
      <c r="C85" s="48">
        <f>IF(+All!$F721="Eastern Michigan",+All!C721,IF(+All!$H721="Eastern Michigan",+All!C721,0))</f>
        <v>44881</v>
      </c>
      <c r="D85" s="490">
        <f>IF(+All!$F721="Eastern Michigan",+All!D721,IF(+All!$H721="Eastern Michigan",+All!D721,0))</f>
        <v>0.75</v>
      </c>
      <c r="E85" s="461" t="str">
        <f>IF(+All!$F721="Eastern Michigan",+All!E721,IF(+All!$H721="Eastern Michigan",+All!E721,0))</f>
        <v>ESPN2</v>
      </c>
      <c r="F85" s="51" t="str">
        <f>IF(+All!$F721="Eastern Michigan",+All!F721,IF(+All!$H721="Eastern Michigan",+All!F721,0))</f>
        <v>Eastern Michigan</v>
      </c>
      <c r="G85" s="63" t="str">
        <f>IF(+All!$F721="Eastern Michigan",+All!G721,IF(+All!$H721="Eastern Michigan",+All!G721,0))</f>
        <v>MAC</v>
      </c>
      <c r="H85" s="63" t="str">
        <f>IF(+All!$F721="Eastern Michigan",+All!H721,IF(+All!$H721="Eastern Michigan",+All!H721,0))</f>
        <v>Kent State</v>
      </c>
      <c r="I85" s="52" t="str">
        <f>IF(+All!$F721="Eastern Michigan",+All!I721,IF(+All!$H721="Eastern Michigan",+All!I721,0))</f>
        <v>MAC</v>
      </c>
      <c r="J85" s="460" t="str">
        <f>IF(+All!$F721="Eastern Michigan",+All!J721,IF(+All!$H721="Eastern Michigan",+All!J721,0))</f>
        <v>Kent State</v>
      </c>
      <c r="K85" s="461" t="str">
        <f>IF(+All!$F721="Eastern Michigan",+All!K721,IF(+All!$H721="Eastern Michigan",+All!K721,0))</f>
        <v>Eastern Michigan</v>
      </c>
      <c r="L85" s="54">
        <f>IF(+All!$F721="Eastern Michigan",+All!L721,IF(+All!$H721="Eastern Michigan",+All!L721,0))</f>
        <v>7.5</v>
      </c>
      <c r="M85" s="55">
        <f>IF(+All!$F721="Eastern Michigan",+All!M721,IF(+All!$H721="Eastern Michigan",+All!M721,0))</f>
        <v>60</v>
      </c>
      <c r="N85" s="460" t="str">
        <f>IF(+All!$F721="Eastern Michigan",+All!N721,IF(+All!$H721="Eastern Michigan",+All!N721,0))</f>
        <v>Eastern Michigan</v>
      </c>
      <c r="O85" s="462">
        <f>IF(+All!$F721="Eastern Michigan",+All!O721,IF(+All!$H721="Eastern Michigan",+All!O721,0))</f>
        <v>31</v>
      </c>
      <c r="P85" s="462" t="str">
        <f>IF(+All!$F721="Eastern Michigan",+All!P721,IF(+All!$H721="Eastern Michigan",+All!P721,0))</f>
        <v>Kent State</v>
      </c>
      <c r="Q85" s="461">
        <f>IF(+All!$F721="Eastern Michigan",+All!Q721,IF(+All!$H721="Eastern Michigan",+All!Q721,0))</f>
        <v>24</v>
      </c>
      <c r="R85" s="460" t="str">
        <f>IF(+All!$F721="Eastern Michigan",+All!R721,IF(+All!$H721="Eastern Michigan",+All!R721,0))</f>
        <v>Eastern Michigan</v>
      </c>
      <c r="S85" s="462" t="str">
        <f>IF(+All!$F721="Eastern Michigan",+All!S721,IF(+All!$H721="Eastern Michigan",+All!S721,0))</f>
        <v>Kent State</v>
      </c>
      <c r="T85" s="460" t="str">
        <f>IF(+All!$F721="Eastern Michigan",+All!T721,IF(+All!$H721="Eastern Michigan",+All!T721,0))</f>
        <v>Eastern Michigan</v>
      </c>
      <c r="U85" s="461" t="str">
        <f>IF(+All!$F721="Eastern Michigan",+All!U721,IF(+All!$H721="Eastern Michigan",+All!U721,0))</f>
        <v>W</v>
      </c>
    </row>
    <row r="86" spans="1:21" x14ac:dyDescent="0.8">
      <c r="A86" s="46">
        <f>IF(+All!$F789="Eastern Michigan",+All!A789,IF(+All!$H789="Eastern Michigan",+All!A789,0))</f>
        <v>13</v>
      </c>
      <c r="B86" s="348" t="str">
        <f>IF(+All!$F789="Eastern Michigan",+All!B789,IF(+All!$H789="Eastern Michigan",+All!B789,0))</f>
        <v>Fri</v>
      </c>
      <c r="C86" s="48">
        <f>IF(+All!$F789="Eastern Michigan",+All!C789,IF(+All!$H789="Eastern Michigan",+All!C789,0))</f>
        <v>44890</v>
      </c>
      <c r="D86" s="490">
        <f>IF(+All!$F789="Eastern Michigan",+All!D789,IF(+All!$H789="Eastern Michigan",+All!D789,0))</f>
        <v>0.5</v>
      </c>
      <c r="E86" s="461" t="str">
        <f>IF(+All!$F789="Eastern Michigan",+All!E789,IF(+All!$H789="Eastern Michigan",+All!E789,0))</f>
        <v>CBSSN</v>
      </c>
      <c r="F86" s="51" t="str">
        <f>IF(+All!$F789="Eastern Michigan",+All!F789,IF(+All!$H789="Eastern Michigan",+All!F789,0))</f>
        <v>Central Michigan</v>
      </c>
      <c r="G86" s="63" t="str">
        <f>IF(+All!$F789="Eastern Michigan",+All!G789,IF(+All!$H789="Eastern Michigan",+All!G789,0))</f>
        <v>MAC</v>
      </c>
      <c r="H86" s="63" t="str">
        <f>IF(+All!$F789="Eastern Michigan",+All!H789,IF(+All!$H789="Eastern Michigan",+All!H789,0))</f>
        <v>Eastern Michigan</v>
      </c>
      <c r="I86" s="52" t="str">
        <f>IF(+All!$F789="Eastern Michigan",+All!I789,IF(+All!$H789="Eastern Michigan",+All!I789,0))</f>
        <v>MAC</v>
      </c>
      <c r="J86" s="460" t="str">
        <f>IF(+All!$F789="Eastern Michigan",+All!J789,IF(+All!$H789="Eastern Michigan",+All!J789,0))</f>
        <v>Eastern Michigan</v>
      </c>
      <c r="K86" s="461" t="str">
        <f>IF(+All!$F789="Eastern Michigan",+All!K789,IF(+All!$H789="Eastern Michigan",+All!K789,0))</f>
        <v>Central Michigan</v>
      </c>
      <c r="L86" s="54">
        <f>IF(+All!$F789="Eastern Michigan",+All!L789,IF(+All!$H789="Eastern Michigan",+All!L789,0))</f>
        <v>1</v>
      </c>
      <c r="M86" s="55">
        <f>IF(+All!$F789="Eastern Michigan",+All!M789,IF(+All!$H789="Eastern Michigan",+All!M789,0))</f>
        <v>53</v>
      </c>
      <c r="N86" s="460" t="str">
        <f>IF(+All!$F789="Eastern Michigan",+All!N789,IF(+All!$H789="Eastern Michigan",+All!N789,0))</f>
        <v>Eastern Michigan</v>
      </c>
      <c r="O86" s="462">
        <f>IF(+All!$F789="Eastern Michigan",+All!O789,IF(+All!$H789="Eastern Michigan",+All!O789,0))</f>
        <v>38</v>
      </c>
      <c r="P86" s="462" t="str">
        <f>IF(+All!$F789="Eastern Michigan",+All!P789,IF(+All!$H789="Eastern Michigan",+All!P789,0))</f>
        <v>Central Michigan</v>
      </c>
      <c r="Q86" s="461">
        <f>IF(+All!$F789="Eastern Michigan",+All!Q789,IF(+All!$H789="Eastern Michigan",+All!Q789,0))</f>
        <v>19</v>
      </c>
      <c r="R86" s="460" t="str">
        <f>IF(+All!$F789="Eastern Michigan",+All!R789,IF(+All!$H789="Eastern Michigan",+All!R789,0))</f>
        <v>Eastern Michigan</v>
      </c>
      <c r="S86" s="462" t="str">
        <f>IF(+All!$F789="Eastern Michigan",+All!S789,IF(+All!$H789="Eastern Michigan",+All!S789,0))</f>
        <v>Central Michigan</v>
      </c>
      <c r="T86" s="460" t="str">
        <f>IF(+All!$F789="Eastern Michigan",+All!T789,IF(+All!$H789="Eastern Michigan",+All!T789,0))</f>
        <v>Central Michigan</v>
      </c>
      <c r="U86" s="461" t="str">
        <f>IF(+All!$F789="Eastern Michigan",+All!U789,IF(+All!$H789="Eastern Michigan",+All!U789,0))</f>
        <v>L</v>
      </c>
    </row>
    <row r="87" spans="1:21" s="88" customFormat="1" x14ac:dyDescent="0.8">
      <c r="A87" s="38"/>
      <c r="B87" s="39"/>
      <c r="C87" s="40"/>
      <c r="D87" s="41"/>
      <c r="E87" s="463"/>
      <c r="F87" s="897" t="str">
        <f>F89</f>
        <v>Kent State</v>
      </c>
      <c r="G87" s="898"/>
      <c r="H87" s="898"/>
      <c r="I87" s="899"/>
      <c r="J87" s="459"/>
      <c r="K87" s="463"/>
      <c r="L87" s="44"/>
      <c r="M87" s="45"/>
      <c r="N87" s="459"/>
      <c r="O87" s="5"/>
      <c r="P87" s="5"/>
      <c r="Q87" s="463"/>
      <c r="R87" s="459"/>
      <c r="S87" s="5"/>
      <c r="T87" s="459"/>
      <c r="U87" s="463"/>
    </row>
    <row r="88" spans="1:21" x14ac:dyDescent="0.8">
      <c r="A88" s="46">
        <f>IF(+All!$F92="Kent State",+All!A92,IF(+All!$H92="Kent State",+All!A92,0))</f>
        <v>1</v>
      </c>
      <c r="B88" s="348" t="str">
        <f>IF(+All!$F92="Kent State",+All!B92,IF(+All!$H92="Kent State",+All!B92,0))</f>
        <v>Sat</v>
      </c>
      <c r="C88" s="48">
        <f>IF(+All!$F92="Kent State",+All!C92,IF(+All!$H92="Kent State",+All!C92,0))</f>
        <v>44807</v>
      </c>
      <c r="D88" s="490">
        <f>IF(+All!$F92="Kent State",+All!D92,IF(+All!$H92="Kent State",+All!D92,0))</f>
        <v>0.9375</v>
      </c>
      <c r="E88" s="461" t="str">
        <f>IF(+All!$F92="Kent State",+All!E92,IF(+All!$H92="Kent State",+All!E92,0))</f>
        <v>FS1</v>
      </c>
      <c r="F88" s="51" t="str">
        <f>IF(+All!$F92="Kent State",+All!F92,IF(+All!$H92="Kent State",+All!F92,0))</f>
        <v>Kent State</v>
      </c>
      <c r="G88" s="52" t="str">
        <f>IF(+All!$F92="Kent State",+All!G92,IF(+All!$H92="Kent State",+All!G92,0))</f>
        <v>MAC</v>
      </c>
      <c r="H88" s="51" t="str">
        <f>IF(+All!$F92="Kent State",+All!H92,IF(+All!$H92="Kent State",+All!H92,0))</f>
        <v>Washington</v>
      </c>
      <c r="I88" s="52" t="str">
        <f>IF(+All!$F92="Kent State",+All!I92,IF(+All!$H92="Kent State",+All!I92,0))</f>
        <v>P12</v>
      </c>
      <c r="J88" s="460" t="str">
        <f>IF(+All!$F92="Kent State",+All!J92,IF(+All!$H92="Kent State",+All!J92,0))</f>
        <v>Washington</v>
      </c>
      <c r="K88" s="461" t="str">
        <f>IF(+All!$F92="Kent State",+All!K92,IF(+All!$H92="Kent State",+All!K92,0))</f>
        <v>Kent State</v>
      </c>
      <c r="L88" s="54">
        <f>IF(+All!$F92="Kent State",+All!L92,IF(+All!$H92="Kent State",+All!L92,0))</f>
        <v>23</v>
      </c>
      <c r="M88" s="55">
        <f>IF(+All!$F92="Kent State",+All!M92,IF(+All!$H92="Kent State",+All!M92,0))</f>
        <v>59.5</v>
      </c>
      <c r="N88" s="460" t="str">
        <f>IF(+All!$F92="Kent State",+All!N92,IF(+All!$H92="Kent State",+All!N92,0))</f>
        <v>Washington</v>
      </c>
      <c r="O88" s="462">
        <f>IF(+All!$F92="Kent State",+All!O92,IF(+All!$H92="Kent State",+All!O92,0))</f>
        <v>45</v>
      </c>
      <c r="P88" s="462" t="str">
        <f>IF(+All!$F92="Kent State",+All!P92,IF(+All!$H92="Kent State",+All!P92,0))</f>
        <v>Kent State</v>
      </c>
      <c r="Q88" s="461">
        <f>IF(+All!$F92="Kent State",+All!Q92,IF(+All!$H92="Kent State",+All!Q92,0))</f>
        <v>10</v>
      </c>
      <c r="R88" s="460" t="str">
        <f>IF(+All!$F92="Kent State",+All!R92,IF(+All!$H92="Kent State",+All!R92,0))</f>
        <v>Washington</v>
      </c>
      <c r="S88" s="462" t="str">
        <f>IF(+All!$F92="Kent State",+All!S92,IF(+All!$H92="Kent State",+All!S92,0))</f>
        <v>Kent State</v>
      </c>
      <c r="T88" s="460" t="str">
        <f>IF(+All!$F92="Kent State",+All!T92,IF(+All!$H92="Kent State",+All!T92,0))</f>
        <v>Kent State</v>
      </c>
      <c r="U88" s="461" t="str">
        <f>IF(+All!$F92="Kent State",+All!U92,IF(+All!$H92="Kent State",+All!U92,0))</f>
        <v>L</v>
      </c>
    </row>
    <row r="89" spans="1:21" x14ac:dyDescent="0.8">
      <c r="A89" s="46">
        <f>IF(+All!$F128="Kent State",+All!A128,IF(+All!$H128="Kent State",+All!A128,0))</f>
        <v>2</v>
      </c>
      <c r="B89" s="348" t="str">
        <f>IF(+All!$F128="Kent State",+All!B128,IF(+All!$H128="Kent State",+All!B128,0))</f>
        <v>Sat</v>
      </c>
      <c r="C89" s="48">
        <f>IF(+All!$F128="Kent State",+All!C128,IF(+All!$H128="Kent State",+All!C128,0))</f>
        <v>44814</v>
      </c>
      <c r="D89" s="490">
        <f>IF(+All!$F128="Kent State",+All!D128,IF(+All!$H128="Kent State",+All!D128,0))</f>
        <v>0.79166666666666663</v>
      </c>
      <c r="E89" s="461">
        <f>IF(+All!$F128="Kent State",+All!E128,IF(+All!$H128="Kent State",+All!E128,0))</f>
        <v>0</v>
      </c>
      <c r="F89" s="51" t="str">
        <f>IF(+All!$F128="Kent State",+All!F128,IF(+All!$H128="Kent State",+All!F128,0))</f>
        <v>Kent State</v>
      </c>
      <c r="G89" s="52" t="str">
        <f>IF(+All!$F128="Kent State",+All!G128,IF(+All!$H128="Kent State",+All!G128,0))</f>
        <v>MAC</v>
      </c>
      <c r="H89" s="51" t="str">
        <f>IF(+All!$F128="Kent State",+All!H128,IF(+All!$H128="Kent State",+All!H128,0))</f>
        <v>Oklahoma</v>
      </c>
      <c r="I89" s="52" t="str">
        <f>IF(+All!$F128="Kent State",+All!I128,IF(+All!$H128="Kent State",+All!I128,0))</f>
        <v>B12</v>
      </c>
      <c r="J89" s="460" t="str">
        <f>IF(+All!$F128="Kent State",+All!J128,IF(+All!$H128="Kent State",+All!J128,0))</f>
        <v>Oklahoma</v>
      </c>
      <c r="K89" s="461" t="str">
        <f>IF(+All!$F128="Kent State",+All!K128,IF(+All!$H128="Kent State",+All!K128,0))</f>
        <v>Kent State</v>
      </c>
      <c r="L89" s="54">
        <f>IF(+All!$F128="Kent State",+All!L128,IF(+All!$H128="Kent State",+All!L128,0))</f>
        <v>33.5</v>
      </c>
      <c r="M89" s="55">
        <f>IF(+All!$F128="Kent State",+All!M128,IF(+All!$H128="Kent State",+All!M128,0))</f>
        <v>71</v>
      </c>
      <c r="N89" s="460" t="str">
        <f>IF(+All!$F128="Kent State",+All!N128,IF(+All!$H128="Kent State",+All!N128,0))</f>
        <v>Oklahoma</v>
      </c>
      <c r="O89" s="462">
        <f>IF(+All!$F128="Kent State",+All!O128,IF(+All!$H128="Kent State",+All!O128,0))</f>
        <v>33</v>
      </c>
      <c r="P89" s="462" t="str">
        <f>IF(+All!$F128="Kent State",+All!P128,IF(+All!$H128="Kent State",+All!P128,0))</f>
        <v>Kent State</v>
      </c>
      <c r="Q89" s="461">
        <f>IF(+All!$F128="Kent State",+All!Q128,IF(+All!$H128="Kent State",+All!Q128,0))</f>
        <v>3</v>
      </c>
      <c r="R89" s="460" t="str">
        <f>IF(+All!$F128="Kent State",+All!R128,IF(+All!$H128="Kent State",+All!R128,0))</f>
        <v>Kent State</v>
      </c>
      <c r="S89" s="462" t="str">
        <f>IF(+All!$F128="Kent State",+All!S128,IF(+All!$H128="Kent State",+All!S128,0))</f>
        <v>Oklahoma</v>
      </c>
      <c r="T89" s="460" t="str">
        <f>IF(+All!$F128="Kent State",+All!T128,IF(+All!$H128="Kent State",+All!T128,0))</f>
        <v>Kent State</v>
      </c>
      <c r="U89" s="461" t="str">
        <f>IF(+All!$F128="Kent State",+All!U128,IF(+All!$H128="Kent State",+All!U128,0))</f>
        <v>W</v>
      </c>
    </row>
    <row r="90" spans="1:21" x14ac:dyDescent="0.8">
      <c r="A90" s="46">
        <f>IF(+All!$F222="Kent State",+All!A222,IF(+All!$H222="Kent State",+All!A222,0))</f>
        <v>3</v>
      </c>
      <c r="B90" s="348" t="str">
        <f>IF(+All!$F222="Kent State",+All!B222,IF(+All!$H222="Kent State",+All!B222,0))</f>
        <v>Sat</v>
      </c>
      <c r="C90" s="48">
        <f>IF(+All!$F222="Kent State",+All!C222,IF(+All!$H222="Kent State",+All!C222,0))</f>
        <v>44821</v>
      </c>
      <c r="D90" s="490">
        <f>IF(+All!$F222="Kent State",+All!D222,IF(+All!$H222="Kent State",+All!D222,0))</f>
        <v>0.5</v>
      </c>
      <c r="E90" s="461" t="str">
        <f>IF(+All!$F222="Kent State",+All!E222,IF(+All!$H222="Kent State",+All!E222,0))</f>
        <v>espn3</v>
      </c>
      <c r="F90" s="51" t="str">
        <f>IF(+All!$F222="Kent State",+All!F222,IF(+All!$H222="Kent State",+All!F222,0))</f>
        <v>1AA Long Island</v>
      </c>
      <c r="G90" s="52" t="str">
        <f>IF(+All!$F222="Kent State",+All!G222,IF(+All!$H222="Kent State",+All!G222,0))</f>
        <v>1AA</v>
      </c>
      <c r="H90" s="51" t="str">
        <f>IF(+All!$F222="Kent State",+All!H222,IF(+All!$H222="Kent State",+All!H222,0))</f>
        <v>Kent State</v>
      </c>
      <c r="I90" s="52" t="str">
        <f>IF(+All!$F222="Kent State",+All!I222,IF(+All!$H222="Kent State",+All!I222,0))</f>
        <v>MAC</v>
      </c>
      <c r="J90" s="460">
        <f>IF(+All!$F222="Kent State",+All!J222,IF(+All!$H222="Kent State",+All!J222,0))</f>
        <v>0</v>
      </c>
      <c r="K90" s="461">
        <f>IF(+All!$F222="Kent State",+All!K222,IF(+All!$H222="Kent State",+All!K222,0))</f>
        <v>0</v>
      </c>
      <c r="L90" s="54">
        <f>IF(+All!$F222="Kent State",+All!L222,IF(+All!$H222="Kent State",+All!L222,0))</f>
        <v>0</v>
      </c>
      <c r="M90" s="55">
        <f>IF(+All!$F222="Kent State",+All!M222,IF(+All!$H222="Kent State",+All!M222,0))</f>
        <v>0</v>
      </c>
      <c r="N90" s="460" t="str">
        <f>IF(+All!$F222="Kent State",+All!N222,IF(+All!$H222="Kent State",+All!N222,0))</f>
        <v>Kent State</v>
      </c>
      <c r="O90" s="462">
        <f>IF(+All!$F222="Kent State",+All!O222,IF(+All!$H222="Kent State",+All!O222,0))</f>
        <v>63</v>
      </c>
      <c r="P90" s="462" t="str">
        <f>IF(+All!$F222="Kent State",+All!P222,IF(+All!$H222="Kent State",+All!P222,0))</f>
        <v>1AA Long Island</v>
      </c>
      <c r="Q90" s="461">
        <f>IF(+All!$F222="Kent State",+All!Q222,IF(+All!$H222="Kent State",+All!Q222,0))</f>
        <v>10</v>
      </c>
      <c r="R90" s="460">
        <f>IF(+All!$F222="Kent State",+All!R222,IF(+All!$H222="Kent State",+All!R222,0))</f>
        <v>0</v>
      </c>
      <c r="S90" s="462">
        <f>IF(+All!$F222="Kent State",+All!S222,IF(+All!$H222="Kent State",+All!S222,0))</f>
        <v>0</v>
      </c>
      <c r="T90" s="460">
        <f>IF(+All!$F222="Kent State",+All!T222,IF(+All!$H222="Kent State",+All!T222,0))</f>
        <v>0</v>
      </c>
      <c r="U90" s="461">
        <f>IF(+All!$F222="Kent State",+All!U222,IF(+All!$H222="Kent State",+All!U222,0))</f>
        <v>0</v>
      </c>
    </row>
    <row r="91" spans="1:21" x14ac:dyDescent="0.8">
      <c r="A91" s="46">
        <f>IF(+All!$F311="Kent State",+All!A311,IF(+All!$H311="Kent State",+All!A311,0))</f>
        <v>4</v>
      </c>
      <c r="B91" s="348" t="str">
        <f>IF(+All!$F311="Kent State",+All!B311,IF(+All!$H311="Kent State",+All!B311,0))</f>
        <v>Sat</v>
      </c>
      <c r="C91" s="48">
        <f>IF(+All!$F311="Kent State",+All!C311,IF(+All!$H311="Kent State",+All!C311,0))</f>
        <v>44828</v>
      </c>
      <c r="D91" s="490">
        <f>IF(+All!$F311="Kent State",+All!D311,IF(+All!$H311="Kent State",+All!D311,0))</f>
        <v>0.5</v>
      </c>
      <c r="E91" s="461">
        <f>IF(+All!$F311="Kent State",+All!E311,IF(+All!$H311="Kent State",+All!E311,0))</f>
        <v>0</v>
      </c>
      <c r="F91" s="51" t="str">
        <f>IF(+All!$F311="Kent State",+All!F311,IF(+All!$H311="Kent State",+All!F311,0))</f>
        <v>Kent State</v>
      </c>
      <c r="G91" s="52" t="str">
        <f>IF(+All!$F311="Kent State",+All!G311,IF(+All!$H311="Kent State",+All!G311,0))</f>
        <v>MAC</v>
      </c>
      <c r="H91" s="51" t="str">
        <f>IF(+All!$F311="Kent State",+All!H311,IF(+All!$H311="Kent State",+All!H311,0))</f>
        <v>Georgia</v>
      </c>
      <c r="I91" s="52" t="str">
        <f>IF(+All!$F311="Kent State",+All!I311,IF(+All!$H311="Kent State",+All!I311,0))</f>
        <v>SEC</v>
      </c>
      <c r="J91" s="460" t="str">
        <f>IF(+All!$F311="Kent State",+All!J311,IF(+All!$H311="Kent State",+All!J311,0))</f>
        <v>Georgia</v>
      </c>
      <c r="K91" s="461" t="str">
        <f>IF(+All!$F311="Kent State",+All!K311,IF(+All!$H311="Kent State",+All!K311,0))</f>
        <v>Kent State</v>
      </c>
      <c r="L91" s="54">
        <f>IF(+All!$F311="Kent State",+All!L311,IF(+All!$H311="Kent State",+All!L311,0))</f>
        <v>45.5</v>
      </c>
      <c r="M91" s="55">
        <f>IF(+All!$F311="Kent State",+All!M311,IF(+All!$H311="Kent State",+All!M311,0))</f>
        <v>62.5</v>
      </c>
      <c r="N91" s="460" t="str">
        <f>IF(+All!$F311="Kent State",+All!N311,IF(+All!$H311="Kent State",+All!N311,0))</f>
        <v>Georgia</v>
      </c>
      <c r="O91" s="462">
        <f>IF(+All!$F311="Kent State",+All!O311,IF(+All!$H311="Kent State",+All!O311,0))</f>
        <v>39</v>
      </c>
      <c r="P91" s="462" t="str">
        <f>IF(+All!$F311="Kent State",+All!P311,IF(+All!$H311="Kent State",+All!P311,0))</f>
        <v>Kent State</v>
      </c>
      <c r="Q91" s="461">
        <f>IF(+All!$F311="Kent State",+All!Q311,IF(+All!$H311="Kent State",+All!Q311,0))</f>
        <v>22</v>
      </c>
      <c r="R91" s="460" t="str">
        <f>IF(+All!$F311="Kent State",+All!R311,IF(+All!$H311="Kent State",+All!R311,0))</f>
        <v>Kent State</v>
      </c>
      <c r="S91" s="462" t="str">
        <f>IF(+All!$F311="Kent State",+All!S311,IF(+All!$H311="Kent State",+All!S311,0))</f>
        <v>Georgia</v>
      </c>
      <c r="T91" s="460" t="str">
        <f>IF(+All!$F311="Kent State",+All!T311,IF(+All!$H311="Kent State",+All!T311,0))</f>
        <v>Kent State</v>
      </c>
      <c r="U91" s="461" t="str">
        <f>IF(+All!$F311="Kent State",+All!U311,IF(+All!$H311="Kent State",+All!U311,0))</f>
        <v>W</v>
      </c>
    </row>
    <row r="92" spans="1:21" x14ac:dyDescent="0.8">
      <c r="A92" s="46">
        <f>IF(+All!$F358="Kent State",+All!A358,IF(+All!$H358="Kent State",+All!A358,0))</f>
        <v>5</v>
      </c>
      <c r="B92" s="348" t="str">
        <f>IF(+All!$F358="Kent State",+All!B358,IF(+All!$H358="Kent State",+All!B358,0))</f>
        <v>Sat</v>
      </c>
      <c r="C92" s="48">
        <f>IF(+All!$F358="Kent State",+All!C358,IF(+All!$H358="Kent State",+All!C358,0))</f>
        <v>44835</v>
      </c>
      <c r="D92" s="490">
        <f>IF(+All!$F358="Kent State",+All!D358,IF(+All!$H358="Kent State",+All!D358,0))</f>
        <v>0.64583333333333337</v>
      </c>
      <c r="E92" s="461">
        <f>IF(+All!$F358="Kent State",+All!E358,IF(+All!$H358="Kent State",+All!E358,0))</f>
        <v>0</v>
      </c>
      <c r="F92" s="51" t="str">
        <f>IF(+All!$F358="Kent State",+All!F358,IF(+All!$H358="Kent State",+All!F358,0))</f>
        <v>Ohio</v>
      </c>
      <c r="G92" s="52" t="str">
        <f>IF(+All!$F358="Kent State",+All!G358,IF(+All!$H358="Kent State",+All!G358,0))</f>
        <v>MAC</v>
      </c>
      <c r="H92" s="51" t="str">
        <f>IF(+All!$F358="Kent State",+All!H358,IF(+All!$H358="Kent State",+All!H358,0))</f>
        <v>Kent State</v>
      </c>
      <c r="I92" s="52" t="str">
        <f>IF(+All!$F358="Kent State",+All!I358,IF(+All!$H358="Kent State",+All!I358,0))</f>
        <v>MAC</v>
      </c>
      <c r="J92" s="460" t="str">
        <f>IF(+All!$F358="Kent State",+All!J358,IF(+All!$H358="Kent State",+All!J358,0))</f>
        <v>Kent State</v>
      </c>
      <c r="K92" s="461" t="str">
        <f>IF(+All!$F358="Kent State",+All!K358,IF(+All!$H358="Kent State",+All!K358,0))</f>
        <v>Ohio</v>
      </c>
      <c r="L92" s="54">
        <f>IF(+All!$F358="Kent State",+All!L358,IF(+All!$H358="Kent State",+All!L358,0))</f>
        <v>11</v>
      </c>
      <c r="M92" s="55">
        <f>IF(+All!$F358="Kent State",+All!M358,IF(+All!$H358="Kent State",+All!M358,0))</f>
        <v>68</v>
      </c>
      <c r="N92" s="460" t="str">
        <f>IF(+All!$F358="Kent State",+All!N358,IF(+All!$H358="Kent State",+All!N358,0))</f>
        <v>Kent State</v>
      </c>
      <c r="O92" s="462">
        <f>IF(+All!$F358="Kent State",+All!O358,IF(+All!$H358="Kent State",+All!O358,0))</f>
        <v>31</v>
      </c>
      <c r="P92" s="462" t="str">
        <f>IF(+All!$F358="Kent State",+All!P358,IF(+All!$H358="Kent State",+All!P358,0))</f>
        <v>Ohio</v>
      </c>
      <c r="Q92" s="461">
        <f>IF(+All!$F358="Kent State",+All!Q358,IF(+All!$H358="Kent State",+All!Q358,0))</f>
        <v>24</v>
      </c>
      <c r="R92" s="460" t="str">
        <f>IF(+All!$F358="Kent State",+All!R358,IF(+All!$H358="Kent State",+All!R358,0))</f>
        <v>Ohio</v>
      </c>
      <c r="S92" s="462" t="str">
        <f>IF(+All!$F358="Kent State",+All!S358,IF(+All!$H358="Kent State",+All!S358,0))</f>
        <v>Kent State</v>
      </c>
      <c r="T92" s="460" t="str">
        <f>IF(+All!$F358="Kent State",+All!T358,IF(+All!$H358="Kent State",+All!T358,0))</f>
        <v>Kent State</v>
      </c>
      <c r="U92" s="461" t="str">
        <f>IF(+All!$F358="Kent State",+All!U358,IF(+All!$H358="Kent State",+All!U358,0))</f>
        <v>L</v>
      </c>
    </row>
    <row r="93" spans="1:21" x14ac:dyDescent="0.8">
      <c r="A93" s="46">
        <f>IF(+All!$F413="Kent State",+All!A413,IF(+All!$H413="Kent State",+All!A413,0))</f>
        <v>6</v>
      </c>
      <c r="B93" s="348" t="str">
        <f>IF(+All!$F413="Kent State",+All!B413,IF(+All!$H413="Kent State",+All!B413,0))</f>
        <v>Sat</v>
      </c>
      <c r="C93" s="48">
        <f>IF(+All!$F413="Kent State",+All!C413,IF(+All!$H413="Kent State",+All!C413,0))</f>
        <v>44842</v>
      </c>
      <c r="D93" s="490">
        <f>IF(+All!$F413="Kent State",+All!D413,IF(+All!$H413="Kent State",+All!D413,0))</f>
        <v>0.64583333333333337</v>
      </c>
      <c r="E93" s="461">
        <f>IF(+All!$F413="Kent State",+All!E413,IF(+All!$H413="Kent State",+All!E413,0))</f>
        <v>0</v>
      </c>
      <c r="F93" s="51" t="str">
        <f>IF(+All!$F413="Kent State",+All!F413,IF(+All!$H413="Kent State",+All!F413,0))</f>
        <v>Kent State</v>
      </c>
      <c r="G93" s="52" t="str">
        <f>IF(+All!$F413="Kent State",+All!G413,IF(+All!$H413="Kent State",+All!G413,0))</f>
        <v>MAC</v>
      </c>
      <c r="H93" s="51" t="str">
        <f>IF(+All!$F413="Kent State",+All!H413,IF(+All!$H413="Kent State",+All!H413,0))</f>
        <v>Miami (OH)</v>
      </c>
      <c r="I93" s="52" t="str">
        <f>IF(+All!$F413="Kent State",+All!I413,IF(+All!$H413="Kent State",+All!I413,0))</f>
        <v>MAC</v>
      </c>
      <c r="J93" s="460" t="str">
        <f>IF(+All!$F413="Kent State",+All!J413,IF(+All!$H413="Kent State",+All!J413,0))</f>
        <v>Kent State</v>
      </c>
      <c r="K93" s="461" t="str">
        <f>IF(+All!$F413="Kent State",+All!K413,IF(+All!$H413="Kent State",+All!K413,0))</f>
        <v>Miami (OH)</v>
      </c>
      <c r="L93" s="54">
        <f>IF(+All!$F413="Kent State",+All!L413,IF(+All!$H413="Kent State",+All!L413,0))</f>
        <v>5.5</v>
      </c>
      <c r="M93" s="55">
        <f>IF(+All!$F413="Kent State",+All!M413,IF(+All!$H413="Kent State",+All!M413,0))</f>
        <v>56</v>
      </c>
      <c r="N93" s="460" t="str">
        <f>IF(+All!$F413="Kent State",+All!N413,IF(+All!$H413="Kent State",+All!N413,0))</f>
        <v>Miami (OH)</v>
      </c>
      <c r="O93" s="462">
        <f>IF(+All!$F413="Kent State",+All!O413,IF(+All!$H413="Kent State",+All!O413,0))</f>
        <v>27</v>
      </c>
      <c r="P93" s="462" t="str">
        <f>IF(+All!$F413="Kent State",+All!P413,IF(+All!$H413="Kent State",+All!P413,0))</f>
        <v>Kent State</v>
      </c>
      <c r="Q93" s="461">
        <f>IF(+All!$F413="Kent State",+All!Q413,IF(+All!$H413="Kent State",+All!Q413,0))</f>
        <v>24</v>
      </c>
      <c r="R93" s="460" t="str">
        <f>IF(+All!$F413="Kent State",+All!R413,IF(+All!$H413="Kent State",+All!R413,0))</f>
        <v>Miami (OH)</v>
      </c>
      <c r="S93" s="462" t="str">
        <f>IF(+All!$F413="Kent State",+All!S413,IF(+All!$H413="Kent State",+All!S413,0))</f>
        <v>Kent State</v>
      </c>
      <c r="T93" s="460" t="str">
        <f>IF(+All!$F413="Kent State",+All!T413,IF(+All!$H413="Kent State",+All!T413,0))</f>
        <v>Kent State</v>
      </c>
      <c r="U93" s="461" t="str">
        <f>IF(+All!$F413="Kent State",+All!U413,IF(+All!$H413="Kent State",+All!U413,0))</f>
        <v>L</v>
      </c>
    </row>
    <row r="94" spans="1:21" x14ac:dyDescent="0.8">
      <c r="A94" s="46">
        <f>IF(+All!$F471="Kent State",+All!A471,IF(+All!$H471="Kent State",+All!A471,0))</f>
        <v>7</v>
      </c>
      <c r="B94" s="348" t="str">
        <f>IF(+All!$F471="Kent State",+All!B471,IF(+All!$H471="Kent State",+All!B471,0))</f>
        <v>Sat</v>
      </c>
      <c r="C94" s="48">
        <f>IF(+All!$F471="Kent State",+All!C471,IF(+All!$H471="Kent State",+All!C471,0))</f>
        <v>44849</v>
      </c>
      <c r="D94" s="490">
        <f>IF(+All!$F471="Kent State",+All!D471,IF(+All!$H471="Kent State",+All!D471,0))</f>
        <v>0.64583333333333337</v>
      </c>
      <c r="E94" s="461">
        <f>IF(+All!$F471="Kent State",+All!E471,IF(+All!$H471="Kent State",+All!E471,0))</f>
        <v>0</v>
      </c>
      <c r="F94" s="51" t="str">
        <f>IF(+All!$F471="Kent State",+All!F471,IF(+All!$H471="Kent State",+All!F471,0))</f>
        <v>Kent State</v>
      </c>
      <c r="G94" s="52" t="str">
        <f>IF(+All!$F471="Kent State",+All!G471,IF(+All!$H471="Kent State",+All!G471,0))</f>
        <v>MAC</v>
      </c>
      <c r="H94" s="51" t="str">
        <f>IF(+All!$F471="Kent State",+All!H471,IF(+All!$H471="Kent State",+All!H471,0))</f>
        <v>Toledo</v>
      </c>
      <c r="I94" s="52" t="str">
        <f>IF(+All!$F471="Kent State",+All!I471,IF(+All!$H471="Kent State",+All!I471,0))</f>
        <v>MAC</v>
      </c>
      <c r="J94" s="460" t="str">
        <f>IF(+All!$F471="Kent State",+All!J471,IF(+All!$H471="Kent State",+All!J471,0))</f>
        <v>Toledo</v>
      </c>
      <c r="K94" s="461" t="str">
        <f>IF(+All!$F471="Kent State",+All!K471,IF(+All!$H471="Kent State",+All!K471,0))</f>
        <v>Kent State</v>
      </c>
      <c r="L94" s="54">
        <f>IF(+All!$F471="Kent State",+All!L471,IF(+All!$H471="Kent State",+All!L471,0))</f>
        <v>9</v>
      </c>
      <c r="M94" s="55">
        <f>IF(+All!$F471="Kent State",+All!M471,IF(+All!$H471="Kent State",+All!M471,0))</f>
        <v>62</v>
      </c>
      <c r="N94" s="460" t="str">
        <f>IF(+All!$F471="Kent State",+All!N471,IF(+All!$H471="Kent State",+All!N471,0))</f>
        <v>Toledo</v>
      </c>
      <c r="O94" s="462">
        <f>IF(+All!$F471="Kent State",+All!O471,IF(+All!$H471="Kent State",+All!O471,0))</f>
        <v>53</v>
      </c>
      <c r="P94" s="462" t="str">
        <f>IF(+All!$F471="Kent State",+All!P471,IF(+All!$H471="Kent State",+All!P471,0))</f>
        <v>Kent State</v>
      </c>
      <c r="Q94" s="461">
        <f>IF(+All!$F471="Kent State",+All!Q471,IF(+All!$H471="Kent State",+All!Q471,0))</f>
        <v>31</v>
      </c>
      <c r="R94" s="460" t="str">
        <f>IF(+All!$F471="Kent State",+All!R471,IF(+All!$H471="Kent State",+All!R471,0))</f>
        <v>Toledo</v>
      </c>
      <c r="S94" s="462" t="str">
        <f>IF(+All!$F471="Kent State",+All!S471,IF(+All!$H471="Kent State",+All!S471,0))</f>
        <v>Kent State</v>
      </c>
      <c r="T94" s="460" t="str">
        <f>IF(+All!$F471="Kent State",+All!T471,IF(+All!$H471="Kent State",+All!T471,0))</f>
        <v>Toledo</v>
      </c>
      <c r="U94" s="461" t="str">
        <f>IF(+All!$F471="Kent State",+All!U471,IF(+All!$H471="Kent State",+All!U471,0))</f>
        <v>W</v>
      </c>
    </row>
    <row r="95" spans="1:21" x14ac:dyDescent="0.8">
      <c r="A95" s="46">
        <f>IF(+All!$F524="Kent State",+All!A524,IF(+All!$H524="Kent State",+All!A524,0))</f>
        <v>8</v>
      </c>
      <c r="B95" s="348" t="str">
        <f>IF(+All!$F524="Kent State",+All!B524,IF(+All!$H524="Kent State",+All!B524,0))</f>
        <v>Sat</v>
      </c>
      <c r="C95" s="48">
        <f>IF(+All!$F524="Kent State",+All!C524,IF(+All!$H524="Kent State",+All!C524,0))</f>
        <v>44856</v>
      </c>
      <c r="D95" s="490">
        <f>IF(+All!$F524="Kent State",+All!D524,IF(+All!$H524="Kent State",+All!D524,0))</f>
        <v>0.5</v>
      </c>
      <c r="E95" s="461">
        <f>IF(+All!$F524="Kent State",+All!E524,IF(+All!$H524="Kent State",+All!E524,0))</f>
        <v>0</v>
      </c>
      <c r="F95" s="51" t="str">
        <f>IF(+All!$F524="Kent State",+All!F524,IF(+All!$H524="Kent State",+All!F524,0))</f>
        <v>Akron</v>
      </c>
      <c r="G95" s="52" t="str">
        <f>IF(+All!$F524="Kent State",+All!G524,IF(+All!$H524="Kent State",+All!G524,0))</f>
        <v>MAC</v>
      </c>
      <c r="H95" s="51" t="str">
        <f>IF(+All!$F524="Kent State",+All!H524,IF(+All!$H524="Kent State",+All!H524,0))</f>
        <v>Kent State</v>
      </c>
      <c r="I95" s="52" t="str">
        <f>IF(+All!$F524="Kent State",+All!I524,IF(+All!$H524="Kent State",+All!I524,0))</f>
        <v>MAC</v>
      </c>
      <c r="J95" s="460" t="str">
        <f>IF(+All!$F524="Kent State",+All!J524,IF(+All!$H524="Kent State",+All!J524,0))</f>
        <v>Kent State</v>
      </c>
      <c r="K95" s="461" t="str">
        <f>IF(+All!$F524="Kent State",+All!K524,IF(+All!$H524="Kent State",+All!K524,0))</f>
        <v>Akron</v>
      </c>
      <c r="L95" s="54">
        <f>IF(+All!$F524="Kent State",+All!L524,IF(+All!$H524="Kent State",+All!L524,0))</f>
        <v>19</v>
      </c>
      <c r="M95" s="55">
        <f>IF(+All!$F524="Kent State",+All!M524,IF(+All!$H524="Kent State",+All!M524,0))</f>
        <v>68.5</v>
      </c>
      <c r="N95" s="460" t="str">
        <f>IF(+All!$F524="Kent State",+All!N524,IF(+All!$H524="Kent State",+All!N524,0))</f>
        <v>Kent State</v>
      </c>
      <c r="O95" s="462">
        <f>IF(+All!$F524="Kent State",+All!O524,IF(+All!$H524="Kent State",+All!O524,0))</f>
        <v>33</v>
      </c>
      <c r="P95" s="462" t="str">
        <f>IF(+All!$F524="Kent State",+All!P524,IF(+All!$H524="Kent State",+All!P524,0))</f>
        <v>Akron</v>
      </c>
      <c r="Q95" s="461">
        <f>IF(+All!$F524="Kent State",+All!Q524,IF(+All!$H524="Kent State",+All!Q524,0))</f>
        <v>27</v>
      </c>
      <c r="R95" s="460" t="str">
        <f>IF(+All!$F524="Kent State",+All!R524,IF(+All!$H524="Kent State",+All!R524,0))</f>
        <v>Akron</v>
      </c>
      <c r="S95" s="462" t="str">
        <f>IF(+All!$F524="Kent State",+All!S524,IF(+All!$H524="Kent State",+All!S524,0))</f>
        <v>Kent State</v>
      </c>
      <c r="T95" s="460" t="str">
        <f>IF(+All!$F524="Kent State",+All!T524,IF(+All!$H524="Kent State",+All!T524,0))</f>
        <v>Akron</v>
      </c>
      <c r="U95" s="461" t="str">
        <f>IF(+All!$F524="Kent State",+All!U524,IF(+All!$H524="Kent State",+All!U524,0))</f>
        <v>W</v>
      </c>
    </row>
    <row r="96" spans="1:21" x14ac:dyDescent="0.8">
      <c r="A96" s="46" t="e">
        <f>IF(+All!#REF!="Kent State",+All!#REF!,IF(+All!#REF!="Kent State",+All!#REF!,0))</f>
        <v>#REF!</v>
      </c>
      <c r="B96" s="348" t="e">
        <f>IF(+All!#REF!="Kent State",+All!#REF!,IF(+All!#REF!="Kent State",+All!#REF!,0))</f>
        <v>#REF!</v>
      </c>
      <c r="C96" s="48" t="e">
        <f>IF(+All!#REF!="Kent State",+All!#REF!,IF(+All!#REF!="Kent State",+All!#REF!,0))</f>
        <v>#REF!</v>
      </c>
      <c r="D96" s="490" t="e">
        <f>IF(+All!#REF!="Kent State",+All!#REF!,IF(+All!#REF!="Kent State",+All!#REF!,0))</f>
        <v>#REF!</v>
      </c>
      <c r="E96" s="461" t="e">
        <f>IF(+All!#REF!="Kent State",+All!#REF!,IF(+All!#REF!="Kent State",+All!#REF!,0))</f>
        <v>#REF!</v>
      </c>
      <c r="F96" s="51" t="e">
        <f>IF(+All!#REF!="Kent State",+All!#REF!,IF(+All!#REF!="Kent State",+All!#REF!,0))</f>
        <v>#REF!</v>
      </c>
      <c r="G96" s="52" t="e">
        <f>IF(+All!#REF!="Kent State",+All!#REF!,IF(+All!#REF!="Kent State",+All!#REF!,0))</f>
        <v>#REF!</v>
      </c>
      <c r="H96" s="51" t="e">
        <f>IF(+All!#REF!="Kent State",+All!#REF!,IF(+All!#REF!="Kent State",+All!#REF!,0))</f>
        <v>#REF!</v>
      </c>
      <c r="I96" s="52" t="e">
        <f>IF(+All!#REF!="Kent State",+All!#REF!,IF(+All!#REF!="Kent State",+All!#REF!,0))</f>
        <v>#REF!</v>
      </c>
      <c r="J96" s="460" t="e">
        <f>IF(+All!#REF!="Kent State",+All!#REF!,IF(+All!#REF!="Kent State",+All!#REF!,0))</f>
        <v>#REF!</v>
      </c>
      <c r="K96" s="461" t="e">
        <f>IF(+All!#REF!="Kent State",+All!#REF!,IF(+All!#REF!="Kent State",+All!#REF!,0))</f>
        <v>#REF!</v>
      </c>
      <c r="L96" s="54" t="e">
        <f>IF(+All!#REF!="Kent State",+All!#REF!,IF(+All!#REF!="Kent State",+All!#REF!,0))</f>
        <v>#REF!</v>
      </c>
      <c r="M96" s="55" t="e">
        <f>IF(+All!#REF!="Kent State",+All!#REF!,IF(+All!#REF!="Kent State",+All!#REF!,0))</f>
        <v>#REF!</v>
      </c>
      <c r="N96" s="460" t="e">
        <f>IF(+All!#REF!="Kent State",+All!#REF!,IF(+All!#REF!="Kent State",+All!#REF!,0))</f>
        <v>#REF!</v>
      </c>
      <c r="O96" s="462" t="e">
        <f>IF(+All!#REF!="Kent State",+All!#REF!,IF(+All!#REF!="Kent State",+All!#REF!,0))</f>
        <v>#REF!</v>
      </c>
      <c r="P96" s="462" t="e">
        <f>IF(+All!#REF!="Kent State",+All!#REF!,IF(+All!#REF!="Kent State",+All!#REF!,0))</f>
        <v>#REF!</v>
      </c>
      <c r="Q96" s="461" t="e">
        <f>IF(+All!#REF!="Kent State",+All!#REF!,IF(+All!#REF!="Kent State",+All!#REF!,0))</f>
        <v>#REF!</v>
      </c>
      <c r="R96" s="460" t="e">
        <f>IF(+All!#REF!="Kent State",+All!#REF!,IF(+All!#REF!="Kent State",+All!#REF!,0))</f>
        <v>#REF!</v>
      </c>
      <c r="S96" s="462" t="e">
        <f>IF(+All!#REF!="Kent State",+All!#REF!,IF(+All!#REF!="Kent State",+All!#REF!,0))</f>
        <v>#REF!</v>
      </c>
      <c r="T96" s="460" t="e">
        <f>IF(+All!#REF!="Kent State",+All!#REF!,IF(+All!#REF!="Kent State",+All!#REF!,0))</f>
        <v>#REF!</v>
      </c>
      <c r="U96" s="461" t="e">
        <f>IF(+All!#REF!="Kent State",+All!#REF!,IF(+All!#REF!="Kent State",+All!#REF!,0))</f>
        <v>#REF!</v>
      </c>
    </row>
    <row r="97" spans="1:21" x14ac:dyDescent="0.8">
      <c r="A97" s="46">
        <f>IF(+All!$F593="Kent State",+All!A593,IF(+All!$H593="Kent State",+All!A593,0))</f>
        <v>10</v>
      </c>
      <c r="B97" s="348" t="str">
        <f>IF(+All!$F593="Kent State",+All!B593,IF(+All!$H593="Kent State",+All!B593,0))</f>
        <v>Tues</v>
      </c>
      <c r="C97" s="48">
        <f>IF(+All!$F593="Kent State",+All!C593,IF(+All!$H593="Kent State",+All!C593,0))</f>
        <v>44866</v>
      </c>
      <c r="D97" s="490">
        <f>IF(+All!$F593="Kent State",+All!D593,IF(+All!$H593="Kent State",+All!D593,0))</f>
        <v>0.79166666666666663</v>
      </c>
      <c r="E97" s="461" t="str">
        <f>IF(+All!$F593="Kent State",+All!E593,IF(+All!$H593="Kent State",+All!E593,0))</f>
        <v>ESPNU</v>
      </c>
      <c r="F97" s="51" t="str">
        <f>IF(+All!$F593="Kent State",+All!F593,IF(+All!$H593="Kent State",+All!F593,0))</f>
        <v>Ball State</v>
      </c>
      <c r="G97" s="52" t="str">
        <f>IF(+All!$F593="Kent State",+All!G593,IF(+All!$H593="Kent State",+All!G593,0))</f>
        <v>MAC</v>
      </c>
      <c r="H97" s="51" t="str">
        <f>IF(+All!$F593="Kent State",+All!H593,IF(+All!$H593="Kent State",+All!H593,0))</f>
        <v>Kent State</v>
      </c>
      <c r="I97" s="52" t="str">
        <f>IF(+All!$F593="Kent State",+All!I593,IF(+All!$H593="Kent State",+All!I593,0))</f>
        <v>MAC</v>
      </c>
      <c r="J97" s="460" t="str">
        <f>IF(+All!$F593="Kent State",+All!J593,IF(+All!$H593="Kent State",+All!J593,0))</f>
        <v>Kent State</v>
      </c>
      <c r="K97" s="461" t="str">
        <f>IF(+All!$F593="Kent State",+All!K593,IF(+All!$H593="Kent State",+All!K593,0))</f>
        <v>Ball State</v>
      </c>
      <c r="L97" s="54">
        <f>IF(+All!$F593="Kent State",+All!L593,IF(+All!$H593="Kent State",+All!L593,0))</f>
        <v>7</v>
      </c>
      <c r="M97" s="55">
        <f>IF(+All!$F593="Kent State",+All!M593,IF(+All!$H593="Kent State",+All!M593,0))</f>
        <v>62</v>
      </c>
      <c r="N97" s="460" t="str">
        <f>IF(+All!$F593="Kent State",+All!N593,IF(+All!$H593="Kent State",+All!N593,0))</f>
        <v>Ball State</v>
      </c>
      <c r="O97" s="462">
        <f>IF(+All!$F593="Kent State",+All!O593,IF(+All!$H593="Kent State",+All!O593,0))</f>
        <v>27</v>
      </c>
      <c r="P97" s="462" t="str">
        <f>IF(+All!$F593="Kent State",+All!P593,IF(+All!$H593="Kent State",+All!P593,0))</f>
        <v>Kent State</v>
      </c>
      <c r="Q97" s="461">
        <f>IF(+All!$F593="Kent State",+All!Q593,IF(+All!$H593="Kent State",+All!Q593,0))</f>
        <v>20</v>
      </c>
      <c r="R97" s="460" t="str">
        <f>IF(+All!$F593="Kent State",+All!R593,IF(+All!$H593="Kent State",+All!R593,0))</f>
        <v>Ball State</v>
      </c>
      <c r="S97" s="462" t="str">
        <f>IF(+All!$F593="Kent State",+All!S593,IF(+All!$H593="Kent State",+All!S593,0))</f>
        <v>Kent State</v>
      </c>
      <c r="T97" s="460" t="str">
        <f>IF(+All!$F593="Kent State",+All!T593,IF(+All!$H593="Kent State",+All!T593,0))</f>
        <v>Ball State</v>
      </c>
      <c r="U97" s="461" t="str">
        <f>IF(+All!$F593="Kent State",+All!U593,IF(+All!$H593="Kent State",+All!U593,0))</f>
        <v>W</v>
      </c>
    </row>
    <row r="98" spans="1:21" x14ac:dyDescent="0.8">
      <c r="A98" s="46">
        <f>IF(+All!$F656="Kent State",+All!A656,IF(+All!$H656="Kent State",+All!A656,0))</f>
        <v>11</v>
      </c>
      <c r="B98" s="348" t="str">
        <f>IF(+All!$F656="Kent State",+All!B656,IF(+All!$H656="Kent State",+All!B656,0))</f>
        <v>Weds</v>
      </c>
      <c r="C98" s="48">
        <f>IF(+All!$F656="Kent State",+All!C656,IF(+All!$H656="Kent State",+All!C656,0))</f>
        <v>44874</v>
      </c>
      <c r="D98" s="490">
        <f>IF(+All!$F656="Kent State",+All!D656,IF(+All!$H656="Kent State",+All!D656,0))</f>
        <v>0.79166666666666663</v>
      </c>
      <c r="E98" s="461">
        <f>IF(+All!$F656="Kent State",+All!E656,IF(+All!$H656="Kent State",+All!E656,0))</f>
        <v>0</v>
      </c>
      <c r="F98" s="51" t="str">
        <f>IF(+All!$F656="Kent State",+All!F656,IF(+All!$H656="Kent State",+All!F656,0))</f>
        <v>Kent State</v>
      </c>
      <c r="G98" s="52" t="str">
        <f>IF(+All!$F656="Kent State",+All!G656,IF(+All!$H656="Kent State",+All!G656,0))</f>
        <v>MAC</v>
      </c>
      <c r="H98" s="51" t="str">
        <f>IF(+All!$F656="Kent State",+All!H656,IF(+All!$H656="Kent State",+All!H656,0))</f>
        <v>Bowling Green</v>
      </c>
      <c r="I98" s="52" t="str">
        <f>IF(+All!$F656="Kent State",+All!I656,IF(+All!$H656="Kent State",+All!I656,0))</f>
        <v>MAC</v>
      </c>
      <c r="J98" s="460" t="str">
        <f>IF(+All!$F656="Kent State",+All!J656,IF(+All!$H656="Kent State",+All!J656,0))</f>
        <v>Kent State</v>
      </c>
      <c r="K98" s="461" t="str">
        <f>IF(+All!$F656="Kent State",+All!K656,IF(+All!$H656="Kent State",+All!K656,0))</f>
        <v>Bowling Green</v>
      </c>
      <c r="L98" s="54">
        <f>IF(+All!$F656="Kent State",+All!L656,IF(+All!$H656="Kent State",+All!L656,0))</f>
        <v>2.5</v>
      </c>
      <c r="M98" s="55">
        <f>IF(+All!$F656="Kent State",+All!M656,IF(+All!$H656="Kent State",+All!M656,0))</f>
        <v>55</v>
      </c>
      <c r="N98" s="460" t="str">
        <f>IF(+All!$F656="Kent State",+All!N656,IF(+All!$H656="Kent State",+All!N656,0))</f>
        <v>Kent State</v>
      </c>
      <c r="O98" s="462">
        <f>IF(+All!$F656="Kent State",+All!O656,IF(+All!$H656="Kent State",+All!O656,0))</f>
        <v>40</v>
      </c>
      <c r="P98" s="462" t="str">
        <f>IF(+All!$F656="Kent State",+All!P656,IF(+All!$H656="Kent State",+All!P656,0))</f>
        <v>Bowling Green</v>
      </c>
      <c r="Q98" s="461">
        <f>IF(+All!$F656="Kent State",+All!Q656,IF(+All!$H656="Kent State",+All!Q656,0))</f>
        <v>6</v>
      </c>
      <c r="R98" s="460" t="str">
        <f>IF(+All!$F656="Kent State",+All!R656,IF(+All!$H656="Kent State",+All!R656,0))</f>
        <v>Kent State</v>
      </c>
      <c r="S98" s="462" t="str">
        <f>IF(+All!$F656="Kent State",+All!S656,IF(+All!$H656="Kent State",+All!S656,0))</f>
        <v>Bowling Green</v>
      </c>
      <c r="T98" s="460" t="str">
        <f>IF(+All!$F656="Kent State",+All!T656,IF(+All!$H656="Kent State",+All!T656,0))</f>
        <v>Bowling Green</v>
      </c>
      <c r="U98" s="461" t="str">
        <f>IF(+All!$F656="Kent State",+All!U656,IF(+All!$H656="Kent State",+All!U656,0))</f>
        <v>L</v>
      </c>
    </row>
    <row r="99" spans="1:21" x14ac:dyDescent="0.8">
      <c r="A99" s="46">
        <f>IF(+All!$F721="Kent State",+All!A721,IF(+All!$H721="Kent State",+All!A721,0))</f>
        <v>12</v>
      </c>
      <c r="B99" s="348" t="str">
        <f>IF(+All!$F721="Kent State",+All!B721,IF(+All!$H721="Kent State",+All!B721,0))</f>
        <v>Weds</v>
      </c>
      <c r="C99" s="48">
        <f>IF(+All!$F721="Kent State",+All!C721,IF(+All!$H721="Kent State",+All!C721,0))</f>
        <v>44881</v>
      </c>
      <c r="D99" s="490">
        <f>IF(+All!$F721="Kent State",+All!D721,IF(+All!$H721="Kent State",+All!D721,0))</f>
        <v>0.75</v>
      </c>
      <c r="E99" s="461" t="str">
        <f>IF(+All!$F721="Kent State",+All!E721,IF(+All!$H721="Kent State",+All!E721,0))</f>
        <v>ESPN2</v>
      </c>
      <c r="F99" s="51" t="str">
        <f>IF(+All!$F721="Kent State",+All!F721,IF(+All!$H721="Kent State",+All!F721,0))</f>
        <v>Eastern Michigan</v>
      </c>
      <c r="G99" s="52" t="str">
        <f>IF(+All!$F721="Kent State",+All!G721,IF(+All!$H721="Kent State",+All!G721,0))</f>
        <v>MAC</v>
      </c>
      <c r="H99" s="51" t="str">
        <f>IF(+All!$F721="Kent State",+All!H721,IF(+All!$H721="Kent State",+All!H721,0))</f>
        <v>Kent State</v>
      </c>
      <c r="I99" s="52" t="str">
        <f>IF(+All!$F721="Kent State",+All!I721,IF(+All!$H721="Kent State",+All!I721,0))</f>
        <v>MAC</v>
      </c>
      <c r="J99" s="460" t="str">
        <f>IF(+All!$F721="Kent State",+All!J721,IF(+All!$H721="Kent State",+All!J721,0))</f>
        <v>Kent State</v>
      </c>
      <c r="K99" s="461" t="str">
        <f>IF(+All!$F721="Kent State",+All!K721,IF(+All!$H721="Kent State",+All!K721,0))</f>
        <v>Eastern Michigan</v>
      </c>
      <c r="L99" s="54">
        <f>IF(+All!$F721="Kent State",+All!L721,IF(+All!$H721="Kent State",+All!L721,0))</f>
        <v>7.5</v>
      </c>
      <c r="M99" s="55">
        <f>IF(+All!$F721="Kent State",+All!M721,IF(+All!$H721="Kent State",+All!M721,0))</f>
        <v>60</v>
      </c>
      <c r="N99" s="460" t="str">
        <f>IF(+All!$F721="Kent State",+All!N721,IF(+All!$H721="Kent State",+All!N721,0))</f>
        <v>Eastern Michigan</v>
      </c>
      <c r="O99" s="462">
        <f>IF(+All!$F721="Kent State",+All!O721,IF(+All!$H721="Kent State",+All!O721,0))</f>
        <v>31</v>
      </c>
      <c r="P99" s="462" t="str">
        <f>IF(+All!$F721="Kent State",+All!P721,IF(+All!$H721="Kent State",+All!P721,0))</f>
        <v>Kent State</v>
      </c>
      <c r="Q99" s="461">
        <f>IF(+All!$F721="Kent State",+All!Q721,IF(+All!$H721="Kent State",+All!Q721,0))</f>
        <v>24</v>
      </c>
      <c r="R99" s="460" t="str">
        <f>IF(+All!$F721="Kent State",+All!R721,IF(+All!$H721="Kent State",+All!R721,0))</f>
        <v>Eastern Michigan</v>
      </c>
      <c r="S99" s="462" t="str">
        <f>IF(+All!$F721="Kent State",+All!S721,IF(+All!$H721="Kent State",+All!S721,0))</f>
        <v>Kent State</v>
      </c>
      <c r="T99" s="460" t="str">
        <f>IF(+All!$F721="Kent State",+All!T721,IF(+All!$H721="Kent State",+All!T721,0))</f>
        <v>Eastern Michigan</v>
      </c>
      <c r="U99" s="461" t="str">
        <f>IF(+All!$F721="Kent State",+All!U721,IF(+All!$H721="Kent State",+All!U721,0))</f>
        <v>W</v>
      </c>
    </row>
    <row r="100" spans="1:21" x14ac:dyDescent="0.8">
      <c r="A100" s="46">
        <f>IF(+All!$F825="Kent State",+All!A825,IF(+All!$H825="Kent State",+All!A825,0))</f>
        <v>13</v>
      </c>
      <c r="B100" s="348" t="str">
        <f>IF(+All!$F825="Kent State",+All!B825,IF(+All!$H825="Kent State",+All!B825,0))</f>
        <v>Sat</v>
      </c>
      <c r="C100" s="48">
        <f>IF(+All!$F825="Kent State",+All!C825,IF(+All!$H825="Kent State",+All!C825,0))</f>
        <v>44891</v>
      </c>
      <c r="D100" s="490">
        <f>IF(+All!$F825="Kent State",+All!D825,IF(+All!$H825="Kent State",+All!D825,0))</f>
        <v>0.54166666666666663</v>
      </c>
      <c r="E100" s="461">
        <f>IF(+All!$F825="Kent State",+All!E825,IF(+All!$H825="Kent State",+All!E825,0))</f>
        <v>0</v>
      </c>
      <c r="F100" s="51" t="str">
        <f>IF(+All!$F825="Kent State",+All!F825,IF(+All!$H825="Kent State",+All!F825,0))</f>
        <v>Kent State</v>
      </c>
      <c r="G100" s="52" t="str">
        <f>IF(+All!$F825="Kent State",+All!G825,IF(+All!$H825="Kent State",+All!G825,0))</f>
        <v>MAC</v>
      </c>
      <c r="H100" s="51" t="str">
        <f>IF(+All!$F825="Kent State",+All!H825,IF(+All!$H825="Kent State",+All!H825,0))</f>
        <v>Buffalo</v>
      </c>
      <c r="I100" s="52" t="str">
        <f>IF(+All!$F825="Kent State",+All!I825,IF(+All!$H825="Kent State",+All!I825,0))</f>
        <v>MAC</v>
      </c>
      <c r="J100" s="460" t="str">
        <f>IF(+All!$F825="Kent State",+All!J825,IF(+All!$H825="Kent State",+All!J825,0))</f>
        <v>Buffalo</v>
      </c>
      <c r="K100" s="461" t="str">
        <f>IF(+All!$F825="Kent State",+All!K825,IF(+All!$H825="Kent State",+All!K825,0))</f>
        <v>Kent State</v>
      </c>
      <c r="L100" s="54">
        <f>IF(+All!$F825="Kent State",+All!L825,IF(+All!$H825="Kent State",+All!L825,0))</f>
        <v>4.5</v>
      </c>
      <c r="M100" s="55">
        <f>IF(+All!$F825="Kent State",+All!M825,IF(+All!$H825="Kent State",+All!M825,0))</f>
        <v>52.5</v>
      </c>
      <c r="N100" s="460" t="str">
        <f>IF(+All!$F825="Kent State",+All!N825,IF(+All!$H825="Kent State",+All!N825,0))</f>
        <v>Kent State</v>
      </c>
      <c r="O100" s="462">
        <f>IF(+All!$F825="Kent State",+All!O825,IF(+All!$H825="Kent State",+All!O825,0))</f>
        <v>30</v>
      </c>
      <c r="P100" s="462" t="str">
        <f>IF(+All!$F825="Kent State",+All!P825,IF(+All!$H825="Kent State",+All!P825,0))</f>
        <v>Buffalo</v>
      </c>
      <c r="Q100" s="461">
        <f>IF(+All!$F825="Kent State",+All!Q825,IF(+All!$H825="Kent State",+All!Q825,0))</f>
        <v>27</v>
      </c>
      <c r="R100" s="460" t="str">
        <f>IF(+All!$F825="Kent State",+All!R825,IF(+All!$H825="Kent State",+All!R825,0))</f>
        <v>Kent State</v>
      </c>
      <c r="S100" s="462" t="str">
        <f>IF(+All!$F825="Kent State",+All!S825,IF(+All!$H825="Kent State",+All!S825,0))</f>
        <v>Buffalo</v>
      </c>
      <c r="T100" s="460" t="str">
        <f>IF(+All!$F825="Kent State",+All!T825,IF(+All!$H825="Kent State",+All!T825,0))</f>
        <v>Buffalo</v>
      </c>
      <c r="U100" s="461" t="str">
        <f>IF(+All!$F825="Kent State",+All!U825,IF(+All!$H825="Kent State",+All!U825,0))</f>
        <v>L</v>
      </c>
    </row>
    <row r="101" spans="1:21" s="88" customFormat="1" x14ac:dyDescent="0.8">
      <c r="A101" s="38"/>
      <c r="B101" s="39"/>
      <c r="C101" s="40"/>
      <c r="D101" s="41"/>
      <c r="E101" s="463"/>
      <c r="F101" s="897" t="str">
        <f>F104</f>
        <v>Miami (OH)</v>
      </c>
      <c r="G101" s="898"/>
      <c r="H101" s="898"/>
      <c r="I101" s="899"/>
      <c r="J101" s="459"/>
      <c r="K101" s="463"/>
      <c r="L101" s="44"/>
      <c r="M101" s="45"/>
      <c r="N101" s="459"/>
      <c r="O101" s="5"/>
      <c r="P101" s="5"/>
      <c r="Q101" s="463"/>
      <c r="R101" s="459"/>
      <c r="S101" s="5"/>
      <c r="T101" s="459"/>
      <c r="U101" s="463"/>
    </row>
    <row r="102" spans="1:21" x14ac:dyDescent="0.8">
      <c r="A102" s="46">
        <f>IF(+All!$F78="Miami (OH)",+All!A78,IF(+All!$H78="Miami (OH)",+All!A78,0))</f>
        <v>1</v>
      </c>
      <c r="B102" s="348" t="str">
        <f>IF(+All!$F78="Miami (OH)",+All!B78,IF(+All!$H78="Miami (OH)",+All!B78,0))</f>
        <v>Sat</v>
      </c>
      <c r="C102" s="48">
        <f>IF(+All!$F78="Miami (OH)",+All!C78,IF(+All!$H78="Miami (OH)",+All!C78,0))</f>
        <v>44807</v>
      </c>
      <c r="D102" s="490">
        <f>IF(+All!$F78="Miami (OH)",+All!D78,IF(+All!$H78="Miami (OH)",+All!D78,0))</f>
        <v>0.79166666666666663</v>
      </c>
      <c r="E102" s="461" t="str">
        <f>IF(+All!$F78="Miami (OH)",+All!E78,IF(+All!$H78="Miami (OH)",+All!E78,0))</f>
        <v>SEC</v>
      </c>
      <c r="F102" s="51" t="str">
        <f>IF(+All!$F78="Miami (OH)",+All!F78,IF(+All!$H78="Miami (OH)",+All!F78,0))</f>
        <v>Miami (OH)</v>
      </c>
      <c r="G102" s="52" t="str">
        <f>IF(+All!$F78="Miami (OH)",+All!G78,IF(+All!$H78="Miami (OH)",+All!G78,0))</f>
        <v>MAC</v>
      </c>
      <c r="H102" s="51" t="str">
        <f>IF(+All!$F78="Miami (OH)",+All!H78,IF(+All!$H78="Miami (OH)",+All!H78,0))</f>
        <v>Kentucky</v>
      </c>
      <c r="I102" s="52" t="str">
        <f>IF(+All!$F78="Miami (OH)",+All!I78,IF(+All!$H78="Miami (OH)",+All!I78,0))</f>
        <v>SEC</v>
      </c>
      <c r="J102" s="460" t="str">
        <f>IF(+All!$F78="Miami (OH)",+All!J78,IF(+All!$H78="Miami (OH)",+All!J78,0))</f>
        <v>Kentucky</v>
      </c>
      <c r="K102" s="461" t="str">
        <f>IF(+All!$F78="Miami (OH)",+All!K78,IF(+All!$H78="Miami (OH)",+All!K78,0))</f>
        <v>Miami (OH)</v>
      </c>
      <c r="L102" s="54">
        <f>IF(+All!$F78="Miami (OH)",+All!L78,IF(+All!$H78="Miami (OH)",+All!L78,0))</f>
        <v>16</v>
      </c>
      <c r="M102" s="55">
        <f>IF(+All!$F78="Miami (OH)",+All!M78,IF(+All!$H78="Miami (OH)",+All!M78,0))</f>
        <v>53.5</v>
      </c>
      <c r="N102" s="460" t="str">
        <f>IF(+All!$F78="Miami (OH)",+All!N78,IF(+All!$H78="Miami (OH)",+All!N78,0))</f>
        <v>Kentucky</v>
      </c>
      <c r="O102" s="462">
        <f>IF(+All!$F78="Miami (OH)",+All!O78,IF(+All!$H78="Miami (OH)",+All!O78,0))</f>
        <v>37</v>
      </c>
      <c r="P102" s="462" t="str">
        <f>IF(+All!$F78="Miami (OH)",+All!P78,IF(+All!$H78="Miami (OH)",+All!P78,0))</f>
        <v>Miami (OH)</v>
      </c>
      <c r="Q102" s="461">
        <f>IF(+All!$F78="Miami (OH)",+All!Q78,IF(+All!$H78="Miami (OH)",+All!Q78,0))</f>
        <v>13</v>
      </c>
      <c r="R102" s="460" t="str">
        <f>IF(+All!$F78="Miami (OH)",+All!R78,IF(+All!$H78="Miami (OH)",+All!R78,0))</f>
        <v>Kentucky</v>
      </c>
      <c r="S102" s="462" t="str">
        <f>IF(+All!$F78="Miami (OH)",+All!S78,IF(+All!$H78="Miami (OH)",+All!S78,0))</f>
        <v>Miami (OH)</v>
      </c>
      <c r="T102" s="460" t="str">
        <f>IF(+All!$F78="Miami (OH)",+All!T78,IF(+All!$H78="Miami (OH)",+All!T78,0))</f>
        <v>Kentucky</v>
      </c>
      <c r="U102" s="461" t="str">
        <f>IF(+All!$F78="Miami (OH)",+All!U78,IF(+All!$H78="Miami (OH)",+All!U78,0))</f>
        <v>W</v>
      </c>
    </row>
    <row r="103" spans="1:21" x14ac:dyDescent="0.8">
      <c r="A103" s="46">
        <f>IF(+All!$F149="Miami (OH)",+All!A149,IF(+All!$H149="Miami (OH)",+All!A149,0))</f>
        <v>2</v>
      </c>
      <c r="B103" s="348" t="str">
        <f>IF(+All!$F149="Miami (OH)",+All!B149,IF(+All!$H149="Miami (OH)",+All!B149,0))</f>
        <v>Sat</v>
      </c>
      <c r="C103" s="48">
        <f>IF(+All!$F149="Miami (OH)",+All!C149,IF(+All!$H149="Miami (OH)",+All!C149,0))</f>
        <v>44814</v>
      </c>
      <c r="D103" s="490">
        <f>IF(+All!$F149="Miami (OH)",+All!D149,IF(+All!$H149="Miami (OH)",+All!D149,0))</f>
        <v>0.75</v>
      </c>
      <c r="E103" s="461" t="str">
        <f>IF(+All!$F149="Miami (OH)",+All!E149,IF(+All!$H149="Miami (OH)",+All!E149,0))</f>
        <v>espn3</v>
      </c>
      <c r="F103" s="51" t="str">
        <f>IF(+All!$F149="Miami (OH)",+All!F149,IF(+All!$H149="Miami (OH)",+All!F149,0))</f>
        <v>1AA Robert Morris</v>
      </c>
      <c r="G103" s="52" t="str">
        <f>IF(+All!$F149="Miami (OH)",+All!G149,IF(+All!$H149="Miami (OH)",+All!G149,0))</f>
        <v>1AA</v>
      </c>
      <c r="H103" s="51" t="str">
        <f>IF(+All!$F149="Miami (OH)",+All!H149,IF(+All!$H149="Miami (OH)",+All!H149,0))</f>
        <v>Miami (OH)</v>
      </c>
      <c r="I103" s="52" t="str">
        <f>IF(+All!$F149="Miami (OH)",+All!I149,IF(+All!$H149="Miami (OH)",+All!I149,0))</f>
        <v>MAC</v>
      </c>
      <c r="J103" s="460">
        <f>IF(+All!$F149="Miami (OH)",+All!J149,IF(+All!$H149="Miami (OH)",+All!J149,0))</f>
        <v>0</v>
      </c>
      <c r="K103" s="461">
        <f>IF(+All!$F149="Miami (OH)",+All!K149,IF(+All!$H149="Miami (OH)",+All!K149,0))</f>
        <v>0</v>
      </c>
      <c r="L103" s="54">
        <f>IF(+All!$F149="Miami (OH)",+All!L149,IF(+All!$H149="Miami (OH)",+All!L149,0))</f>
        <v>0</v>
      </c>
      <c r="M103" s="55">
        <f>IF(+All!$F149="Miami (OH)",+All!M149,IF(+All!$H149="Miami (OH)",+All!M149,0))</f>
        <v>0</v>
      </c>
      <c r="N103" s="460" t="str">
        <f>IF(+All!$F149="Miami (OH)",+All!N149,IF(+All!$H149="Miami (OH)",+All!N149,0))</f>
        <v>Miami (OH)</v>
      </c>
      <c r="O103" s="462">
        <f>IF(+All!$F149="Miami (OH)",+All!O149,IF(+All!$H149="Miami (OH)",+All!O149,0))</f>
        <v>31</v>
      </c>
      <c r="P103" s="462" t="str">
        <f>IF(+All!$F149="Miami (OH)",+All!P149,IF(+All!$H149="Miami (OH)",+All!P149,0))</f>
        <v>1AA Robert Morris</v>
      </c>
      <c r="Q103" s="461">
        <f>IF(+All!$F149="Miami (OH)",+All!Q149,IF(+All!$H149="Miami (OH)",+All!Q149,0))</f>
        <v>14</v>
      </c>
      <c r="R103" s="460">
        <f>IF(+All!$F149="Miami (OH)",+All!R149,IF(+All!$H149="Miami (OH)",+All!R149,0))</f>
        <v>0</v>
      </c>
      <c r="S103" s="462">
        <f>IF(+All!$F149="Miami (OH)",+All!S149,IF(+All!$H149="Miami (OH)",+All!S149,0))</f>
        <v>0</v>
      </c>
      <c r="T103" s="460">
        <f>IF(+All!$F149="Miami (OH)",+All!T149,IF(+All!$H149="Miami (OH)",+All!T149,0))</f>
        <v>0</v>
      </c>
      <c r="U103" s="461">
        <f>IF(+All!$F149="Miami (OH)",+All!U149,IF(+All!$H149="Miami (OH)",+All!U149,0))</f>
        <v>0</v>
      </c>
    </row>
    <row r="104" spans="1:21" x14ac:dyDescent="0.8">
      <c r="A104" s="46">
        <f>IF(+All!$F182="Miami (OH)",+All!A182,IF(+All!$H182="Miami (OH)",+All!A182,0))</f>
        <v>3</v>
      </c>
      <c r="B104" s="348" t="str">
        <f>IF(+All!$F182="Miami (OH)",+All!B182,IF(+All!$H182="Miami (OH)",+All!B182,0))</f>
        <v>Sat</v>
      </c>
      <c r="C104" s="48">
        <f>IF(+All!$F182="Miami (OH)",+All!C182,IF(+All!$H182="Miami (OH)",+All!C182,0))</f>
        <v>44821</v>
      </c>
      <c r="D104" s="490">
        <f>IF(+All!$F182="Miami (OH)",+All!D182,IF(+All!$H182="Miami (OH)",+All!D182,0))</f>
        <v>0.5</v>
      </c>
      <c r="E104" s="461" t="str">
        <f>IF(+All!$F182="Miami (OH)",+All!E182,IF(+All!$H182="Miami (OH)",+All!E182,0))</f>
        <v>ESPNU</v>
      </c>
      <c r="F104" s="51" t="str">
        <f>IF(+All!$F182="Miami (OH)",+All!F182,IF(+All!$H182="Miami (OH)",+All!F182,0))</f>
        <v>Miami (OH)</v>
      </c>
      <c r="G104" s="52" t="str">
        <f>IF(+All!$F182="Miami (OH)",+All!G182,IF(+All!$H182="Miami (OH)",+All!G182,0))</f>
        <v>MAC</v>
      </c>
      <c r="H104" s="51" t="str">
        <f>IF(+All!$F182="Miami (OH)",+All!H182,IF(+All!$H182="Miami (OH)",+All!H182,0))</f>
        <v>Cincinnati</v>
      </c>
      <c r="I104" s="52" t="str">
        <f>IF(+All!$F182="Miami (OH)",+All!I182,IF(+All!$H182="Miami (OH)",+All!I182,0))</f>
        <v>AAC</v>
      </c>
      <c r="J104" s="460" t="str">
        <f>IF(+All!$F182="Miami (OH)",+All!J182,IF(+All!$H182="Miami (OH)",+All!J182,0))</f>
        <v>Cincinnati</v>
      </c>
      <c r="K104" s="461" t="str">
        <f>IF(+All!$F182="Miami (OH)",+All!K182,IF(+All!$H182="Miami (OH)",+All!K182,0))</f>
        <v>Miami (OH)</v>
      </c>
      <c r="L104" s="54">
        <f>IF(+All!$F182="Miami (OH)",+All!L182,IF(+All!$H182="Miami (OH)",+All!L182,0))</f>
        <v>22</v>
      </c>
      <c r="M104" s="55">
        <f>IF(+All!$F182="Miami (OH)",+All!M182,IF(+All!$H182="Miami (OH)",+All!M182,0))</f>
        <v>51</v>
      </c>
      <c r="N104" s="460" t="str">
        <f>IF(+All!$F182="Miami (OH)",+All!N182,IF(+All!$H182="Miami (OH)",+All!N182,0))</f>
        <v>Cincinnati</v>
      </c>
      <c r="O104" s="462">
        <f>IF(+All!$F182="Miami (OH)",+All!O182,IF(+All!$H182="Miami (OH)",+All!O182,0))</f>
        <v>38</v>
      </c>
      <c r="P104" s="462" t="str">
        <f>IF(+All!$F182="Miami (OH)",+All!P182,IF(+All!$H182="Miami (OH)",+All!P182,0))</f>
        <v>Miami (OH)</v>
      </c>
      <c r="Q104" s="461">
        <f>IF(+All!$F182="Miami (OH)",+All!Q182,IF(+All!$H182="Miami (OH)",+All!Q182,0))</f>
        <v>17</v>
      </c>
      <c r="R104" s="460" t="str">
        <f>IF(+All!$F182="Miami (OH)",+All!R182,IF(+All!$H182="Miami (OH)",+All!R182,0))</f>
        <v>Miami (OH)</v>
      </c>
      <c r="S104" s="462" t="str">
        <f>IF(+All!$F182="Miami (OH)",+All!S182,IF(+All!$H182="Miami (OH)",+All!S182,0))</f>
        <v>Cincinnati</v>
      </c>
      <c r="T104" s="460" t="str">
        <f>IF(+All!$F182="Miami (OH)",+All!T182,IF(+All!$H182="Miami (OH)",+All!T182,0))</f>
        <v>Miami (OH)</v>
      </c>
      <c r="U104" s="461" t="str">
        <f>IF(+All!$F182="Miami (OH)",+All!U182,IF(+All!$H182="Miami (OH)",+All!U182,0))</f>
        <v>W</v>
      </c>
    </row>
    <row r="105" spans="1:21" x14ac:dyDescent="0.8">
      <c r="A105" s="46">
        <f>IF(+All!$F275="Miami (OH)",+All!A275,IF(+All!$H275="Miami (OH)",+All!A275,0))</f>
        <v>4</v>
      </c>
      <c r="B105" s="348" t="str">
        <f>IF(+All!$F275="Miami (OH)",+All!B275,IF(+All!$H275="Miami (OH)",+All!B275,0))</f>
        <v>Sat</v>
      </c>
      <c r="C105" s="48">
        <f>IF(+All!$F275="Miami (OH)",+All!C275,IF(+All!$H275="Miami (OH)",+All!C275,0))</f>
        <v>44828</v>
      </c>
      <c r="D105" s="490">
        <f>IF(+All!$F275="Miami (OH)",+All!D275,IF(+All!$H275="Miami (OH)",+All!D275,0))</f>
        <v>0.8125</v>
      </c>
      <c r="E105" s="461" t="str">
        <f>IF(+All!$F275="Miami (OH)",+All!E275,IF(+All!$H275="Miami (OH)",+All!E275,0))</f>
        <v>BTN</v>
      </c>
      <c r="F105" s="51" t="str">
        <f>IF(+All!$F275="Miami (OH)",+All!F275,IF(+All!$H275="Miami (OH)",+All!F275,0))</f>
        <v>Miami (OH)</v>
      </c>
      <c r="G105" s="52" t="str">
        <f>IF(+All!$F275="Miami (OH)",+All!G275,IF(+All!$H275="Miami (OH)",+All!G275,0))</f>
        <v>MAC</v>
      </c>
      <c r="H105" s="51" t="str">
        <f>IF(+All!$F275="Miami (OH)",+All!H275,IF(+All!$H275="Miami (OH)",+All!H275,0))</f>
        <v>Northwestern</v>
      </c>
      <c r="I105" s="52" t="str">
        <f>IF(+All!$F275="Miami (OH)",+All!I275,IF(+All!$H275="Miami (OH)",+All!I275,0))</f>
        <v>B10</v>
      </c>
      <c r="J105" s="460" t="str">
        <f>IF(+All!$F275="Miami (OH)",+All!J275,IF(+All!$H275="Miami (OH)",+All!J275,0))</f>
        <v>Northwestern</v>
      </c>
      <c r="K105" s="461" t="str">
        <f>IF(+All!$F275="Miami (OH)",+All!K275,IF(+All!$H275="Miami (OH)",+All!K275,0))</f>
        <v>Miami (OH)</v>
      </c>
      <c r="L105" s="54">
        <f>IF(+All!$F275="Miami (OH)",+All!L275,IF(+All!$H275="Miami (OH)",+All!L275,0))</f>
        <v>7</v>
      </c>
      <c r="M105" s="55">
        <f>IF(+All!$F275="Miami (OH)",+All!M275,IF(+All!$H275="Miami (OH)",+All!M275,0))</f>
        <v>50</v>
      </c>
      <c r="N105" s="460" t="str">
        <f>IF(+All!$F275="Miami (OH)",+All!N275,IF(+All!$H275="Miami (OH)",+All!N275,0))</f>
        <v>Miami (OH)</v>
      </c>
      <c r="O105" s="462">
        <f>IF(+All!$F275="Miami (OH)",+All!O275,IF(+All!$H275="Miami (OH)",+All!O275,0))</f>
        <v>17</v>
      </c>
      <c r="P105" s="462" t="str">
        <f>IF(+All!$F275="Miami (OH)",+All!P275,IF(+All!$H275="Miami (OH)",+All!P275,0))</f>
        <v>Northwestern</v>
      </c>
      <c r="Q105" s="461">
        <f>IF(+All!$F275="Miami (OH)",+All!Q275,IF(+All!$H275="Miami (OH)",+All!Q275,0))</f>
        <v>14</v>
      </c>
      <c r="R105" s="460" t="str">
        <f>IF(+All!$F275="Miami (OH)",+All!R275,IF(+All!$H275="Miami (OH)",+All!R275,0))</f>
        <v>Miami (OH)</v>
      </c>
      <c r="S105" s="462" t="str">
        <f>IF(+All!$F275="Miami (OH)",+All!S275,IF(+All!$H275="Miami (OH)",+All!S275,0))</f>
        <v>Northwestern</v>
      </c>
      <c r="T105" s="460" t="str">
        <f>IF(+All!$F275="Miami (OH)",+All!T275,IF(+All!$H275="Miami (OH)",+All!T275,0))</f>
        <v>Northwestern</v>
      </c>
      <c r="U105" s="461" t="str">
        <f>IF(+All!$F275="Miami (OH)",+All!U275,IF(+All!$H275="Miami (OH)",+All!U275,0))</f>
        <v>L</v>
      </c>
    </row>
    <row r="106" spans="1:21" x14ac:dyDescent="0.8">
      <c r="A106" s="46">
        <f>IF(+All!$F356="Miami (OH)",+All!A356,IF(+All!$H356="Miami (OH)",+All!A356,0))</f>
        <v>5</v>
      </c>
      <c r="B106" s="348" t="str">
        <f>IF(+All!$F356="Miami (OH)",+All!B356,IF(+All!$H356="Miami (OH)",+All!B356,0))</f>
        <v>Sat</v>
      </c>
      <c r="C106" s="48">
        <f>IF(+All!$F356="Miami (OH)",+All!C356,IF(+All!$H356="Miami (OH)",+All!C356,0))</f>
        <v>44835</v>
      </c>
      <c r="D106" s="490">
        <f>IF(+All!$F356="Miami (OH)",+All!D356,IF(+All!$H356="Miami (OH)",+All!D356,0))</f>
        <v>0.64583333333333337</v>
      </c>
      <c r="E106" s="461">
        <f>IF(+All!$F356="Miami (OH)",+All!E356,IF(+All!$H356="Miami (OH)",+All!E356,0))</f>
        <v>0</v>
      </c>
      <c r="F106" s="51" t="str">
        <f>IF(+All!$F356="Miami (OH)",+All!F356,IF(+All!$H356="Miami (OH)",+All!F356,0))</f>
        <v>Miami (OH)</v>
      </c>
      <c r="G106" s="52" t="str">
        <f>IF(+All!$F356="Miami (OH)",+All!G356,IF(+All!$H356="Miami (OH)",+All!G356,0))</f>
        <v>MAC</v>
      </c>
      <c r="H106" s="51" t="str">
        <f>IF(+All!$F356="Miami (OH)",+All!H356,IF(+All!$H356="Miami (OH)",+All!H356,0))</f>
        <v>Buffalo</v>
      </c>
      <c r="I106" s="52" t="str">
        <f>IF(+All!$F356="Miami (OH)",+All!I356,IF(+All!$H356="Miami (OH)",+All!I356,0))</f>
        <v>MAC</v>
      </c>
      <c r="J106" s="460" t="str">
        <f>IF(+All!$F356="Miami (OH)",+All!J356,IF(+All!$H356="Miami (OH)",+All!J356,0))</f>
        <v>Buffalo</v>
      </c>
      <c r="K106" s="461" t="str">
        <f>IF(+All!$F356="Miami (OH)",+All!K356,IF(+All!$H356="Miami (OH)",+All!K356,0))</f>
        <v>Miami (OH)</v>
      </c>
      <c r="L106" s="54">
        <f>IF(+All!$F356="Miami (OH)",+All!L356,IF(+All!$H356="Miami (OH)",+All!L356,0))</f>
        <v>1.5</v>
      </c>
      <c r="M106" s="55">
        <f>IF(+All!$F356="Miami (OH)",+All!M356,IF(+All!$H356="Miami (OH)",+All!M356,0))</f>
        <v>50.5</v>
      </c>
      <c r="N106" s="460" t="str">
        <f>IF(+All!$F356="Miami (OH)",+All!N356,IF(+All!$H356="Miami (OH)",+All!N356,0))</f>
        <v>Buffalo</v>
      </c>
      <c r="O106" s="462">
        <f>IF(+All!$F356="Miami (OH)",+All!O356,IF(+All!$H356="Miami (OH)",+All!O356,0))</f>
        <v>24</v>
      </c>
      <c r="P106" s="462" t="str">
        <f>IF(+All!$F356="Miami (OH)",+All!P356,IF(+All!$H356="Miami (OH)",+All!P356,0))</f>
        <v>Miami (OH)</v>
      </c>
      <c r="Q106" s="461">
        <f>IF(+All!$F356="Miami (OH)",+All!Q356,IF(+All!$H356="Miami (OH)",+All!Q356,0))</f>
        <v>20</v>
      </c>
      <c r="R106" s="460" t="str">
        <f>IF(+All!$F356="Miami (OH)",+All!R356,IF(+All!$H356="Miami (OH)",+All!R356,0))</f>
        <v>Buffalo</v>
      </c>
      <c r="S106" s="462" t="str">
        <f>IF(+All!$F356="Miami (OH)",+All!S356,IF(+All!$H356="Miami (OH)",+All!S356,0))</f>
        <v>Miami (OH)</v>
      </c>
      <c r="T106" s="460" t="str">
        <f>IF(+All!$F356="Miami (OH)",+All!T356,IF(+All!$H356="Miami (OH)",+All!T356,0))</f>
        <v>Miami (OH)</v>
      </c>
      <c r="U106" s="461" t="str">
        <f>IF(+All!$F356="Miami (OH)",+All!U356,IF(+All!$H356="Miami (OH)",+All!U356,0))</f>
        <v>L</v>
      </c>
    </row>
    <row r="107" spans="1:21" x14ac:dyDescent="0.8">
      <c r="A107" s="46">
        <f>IF(+All!$F413="Miami (OH)",+All!A413,IF(+All!$H413="Miami (OH)",+All!A413,0))</f>
        <v>6</v>
      </c>
      <c r="B107" s="348" t="str">
        <f>IF(+All!$F413="Miami (OH)",+All!B413,IF(+All!$H413="Miami (OH)",+All!B413,0))</f>
        <v>Sat</v>
      </c>
      <c r="C107" s="48">
        <f>IF(+All!$F413="Miami (OH)",+All!C413,IF(+All!$H413="Miami (OH)",+All!C413,0))</f>
        <v>44842</v>
      </c>
      <c r="D107" s="490">
        <f>IF(+All!$F413="Miami (OH)",+All!D413,IF(+All!$H413="Miami (OH)",+All!D413,0))</f>
        <v>0.64583333333333337</v>
      </c>
      <c r="E107" s="461">
        <f>IF(+All!$F413="Miami (OH)",+All!E413,IF(+All!$H413="Miami (OH)",+All!E413,0))</f>
        <v>0</v>
      </c>
      <c r="F107" s="51" t="str">
        <f>IF(+All!$F413="Miami (OH)",+All!F413,IF(+All!$H413="Miami (OH)",+All!F413,0))</f>
        <v>Kent State</v>
      </c>
      <c r="G107" s="52" t="str">
        <f>IF(+All!$F413="Miami (OH)",+All!G413,IF(+All!$H413="Miami (OH)",+All!G413,0))</f>
        <v>MAC</v>
      </c>
      <c r="H107" s="51" t="str">
        <f>IF(+All!$F413="Miami (OH)",+All!H413,IF(+All!$H413="Miami (OH)",+All!H413,0))</f>
        <v>Miami (OH)</v>
      </c>
      <c r="I107" s="52" t="str">
        <f>IF(+All!$F413="Miami (OH)",+All!I413,IF(+All!$H413="Miami (OH)",+All!I413,0))</f>
        <v>MAC</v>
      </c>
      <c r="J107" s="460" t="str">
        <f>IF(+All!$F413="Miami (OH)",+All!J413,IF(+All!$H413="Miami (OH)",+All!J413,0))</f>
        <v>Kent State</v>
      </c>
      <c r="K107" s="461" t="str">
        <f>IF(+All!$F413="Miami (OH)",+All!K413,IF(+All!$H413="Miami (OH)",+All!K413,0))</f>
        <v>Miami (OH)</v>
      </c>
      <c r="L107" s="54">
        <f>IF(+All!$F413="Miami (OH)",+All!L413,IF(+All!$H413="Miami (OH)",+All!L413,0))</f>
        <v>5.5</v>
      </c>
      <c r="M107" s="55">
        <f>IF(+All!$F413="Miami (OH)",+All!M413,IF(+All!$H413="Miami (OH)",+All!M413,0))</f>
        <v>56</v>
      </c>
      <c r="N107" s="460" t="str">
        <f>IF(+All!$F413="Miami (OH)",+All!N413,IF(+All!$H413="Miami (OH)",+All!N413,0))</f>
        <v>Miami (OH)</v>
      </c>
      <c r="O107" s="462">
        <f>IF(+All!$F413="Miami (OH)",+All!O413,IF(+All!$H413="Miami (OH)",+All!O413,0))</f>
        <v>27</v>
      </c>
      <c r="P107" s="462" t="str">
        <f>IF(+All!$F413="Miami (OH)",+All!P413,IF(+All!$H413="Miami (OH)",+All!P413,0))</f>
        <v>Kent State</v>
      </c>
      <c r="Q107" s="461">
        <f>IF(+All!$F413="Miami (OH)",+All!Q413,IF(+All!$H413="Miami (OH)",+All!Q413,0))</f>
        <v>24</v>
      </c>
      <c r="R107" s="460" t="str">
        <f>IF(+All!$F413="Miami (OH)",+All!R413,IF(+All!$H413="Miami (OH)",+All!R413,0))</f>
        <v>Miami (OH)</v>
      </c>
      <c r="S107" s="462" t="str">
        <f>IF(+All!$F413="Miami (OH)",+All!S413,IF(+All!$H413="Miami (OH)",+All!S413,0))</f>
        <v>Kent State</v>
      </c>
      <c r="T107" s="460" t="str">
        <f>IF(+All!$F413="Miami (OH)",+All!T413,IF(+All!$H413="Miami (OH)",+All!T413,0))</f>
        <v>Kent State</v>
      </c>
      <c r="U107" s="461" t="str">
        <f>IF(+All!$F413="Miami (OH)",+All!U413,IF(+All!$H413="Miami (OH)",+All!U413,0))</f>
        <v>L</v>
      </c>
    </row>
    <row r="108" spans="1:21" x14ac:dyDescent="0.8">
      <c r="A108" s="46">
        <f>IF(+All!$F469="Miami (OH)",+All!A469,IF(+All!$H469="Miami (OH)",+All!A469,0))</f>
        <v>7</v>
      </c>
      <c r="B108" s="348" t="str">
        <f>IF(+All!$F469="Miami (OH)",+All!B469,IF(+All!$H469="Miami (OH)",+All!B469,0))</f>
        <v>Sat</v>
      </c>
      <c r="C108" s="48">
        <f>IF(+All!$F469="Miami (OH)",+All!C469,IF(+All!$H469="Miami (OH)",+All!C469,0))</f>
        <v>44849</v>
      </c>
      <c r="D108" s="490">
        <f>IF(+All!$F469="Miami (OH)",+All!D469,IF(+All!$H469="Miami (OH)",+All!D469,0))</f>
        <v>0.5</v>
      </c>
      <c r="E108" s="461">
        <f>IF(+All!$F469="Miami (OH)",+All!E469,IF(+All!$H469="Miami (OH)",+All!E469,0))</f>
        <v>0</v>
      </c>
      <c r="F108" s="51" t="str">
        <f>IF(+All!$F469="Miami (OH)",+All!F469,IF(+All!$H469="Miami (OH)",+All!F469,0))</f>
        <v>Miami (OH)</v>
      </c>
      <c r="G108" s="52" t="str">
        <f>IF(+All!$F469="Miami (OH)",+All!G469,IF(+All!$H469="Miami (OH)",+All!G469,0))</f>
        <v>MAC</v>
      </c>
      <c r="H108" s="51" t="str">
        <f>IF(+All!$F469="Miami (OH)",+All!H469,IF(+All!$H469="Miami (OH)",+All!H469,0))</f>
        <v>Bowling Green</v>
      </c>
      <c r="I108" s="52" t="str">
        <f>IF(+All!$F469="Miami (OH)",+All!I469,IF(+All!$H469="Miami (OH)",+All!I469,0))</f>
        <v>MAC</v>
      </c>
      <c r="J108" s="460" t="str">
        <f>IF(+All!$F469="Miami (OH)",+All!J469,IF(+All!$H469="Miami (OH)",+All!J469,0))</f>
        <v>Miami (OH)</v>
      </c>
      <c r="K108" s="461" t="str">
        <f>IF(+All!$F469="Miami (OH)",+All!K469,IF(+All!$H469="Miami (OH)",+All!K469,0))</f>
        <v>Bowling Green</v>
      </c>
      <c r="L108" s="54">
        <f>IF(+All!$F469="Miami (OH)",+All!L469,IF(+All!$H469="Miami (OH)",+All!L469,0))</f>
        <v>6.5</v>
      </c>
      <c r="M108" s="55">
        <f>IF(+All!$F469="Miami (OH)",+All!M469,IF(+All!$H469="Miami (OH)",+All!M469,0))</f>
        <v>46</v>
      </c>
      <c r="N108" s="460" t="str">
        <f>IF(+All!$F469="Miami (OH)",+All!N469,IF(+All!$H469="Miami (OH)",+All!N469,0))</f>
        <v>Bowling Green</v>
      </c>
      <c r="O108" s="462">
        <f>IF(+All!$F469="Miami (OH)",+All!O469,IF(+All!$H469="Miami (OH)",+All!O469,0))</f>
        <v>17</v>
      </c>
      <c r="P108" s="462" t="str">
        <f>IF(+All!$F469="Miami (OH)",+All!P469,IF(+All!$H469="Miami (OH)",+All!P469,0))</f>
        <v>Miami (OH)</v>
      </c>
      <c r="Q108" s="461">
        <f>IF(+All!$F469="Miami (OH)",+All!Q469,IF(+All!$H469="Miami (OH)",+All!Q469,0))</f>
        <v>13</v>
      </c>
      <c r="R108" s="460" t="str">
        <f>IF(+All!$F469="Miami (OH)",+All!R469,IF(+All!$H469="Miami (OH)",+All!R469,0))</f>
        <v>Bowling Green</v>
      </c>
      <c r="S108" s="462" t="str">
        <f>IF(+All!$F469="Miami (OH)",+All!S469,IF(+All!$H469="Miami (OH)",+All!S469,0))</f>
        <v>Miami (OH)</v>
      </c>
      <c r="T108" s="460" t="str">
        <f>IF(+All!$F469="Miami (OH)",+All!T469,IF(+All!$H469="Miami (OH)",+All!T469,0))</f>
        <v>Miami (OH)</v>
      </c>
      <c r="U108" s="461" t="str">
        <f>IF(+All!$F469="Miami (OH)",+All!U469,IF(+All!$H469="Miami (OH)",+All!U469,0))</f>
        <v>L</v>
      </c>
    </row>
    <row r="109" spans="1:21" x14ac:dyDescent="0.8">
      <c r="A109" s="46">
        <f>IF(+All!$F526="Miami (OH)",+All!A526,IF(+All!$H526="Miami (OH)",+All!A526,0))</f>
        <v>8</v>
      </c>
      <c r="B109" s="348" t="str">
        <f>IF(+All!$F526="Miami (OH)",+All!B526,IF(+All!$H526="Miami (OH)",+All!B526,0))</f>
        <v>Sat</v>
      </c>
      <c r="C109" s="48">
        <f>IF(+All!$F526="Miami (OH)",+All!C526,IF(+All!$H526="Miami (OH)",+All!C526,0))</f>
        <v>44856</v>
      </c>
      <c r="D109" s="490">
        <f>IF(+All!$F526="Miami (OH)",+All!D526,IF(+All!$H526="Miami (OH)",+All!D526,0))</f>
        <v>0.64583333333333337</v>
      </c>
      <c r="E109" s="461" t="str">
        <f>IF(+All!$F526="Miami (OH)",+All!E526,IF(+All!$H526="Miami (OH)",+All!E526,0))</f>
        <v>CBSSN</v>
      </c>
      <c r="F109" s="51" t="str">
        <f>IF(+All!$F526="Miami (OH)",+All!F526,IF(+All!$H526="Miami (OH)",+All!F526,0))</f>
        <v>Miami (OH)</v>
      </c>
      <c r="G109" s="52" t="str">
        <f>IF(+All!$F526="Miami (OH)",+All!G526,IF(+All!$H526="Miami (OH)",+All!G526,0))</f>
        <v>MAC</v>
      </c>
      <c r="H109" s="51" t="str">
        <f>IF(+All!$F526="Miami (OH)",+All!H526,IF(+All!$H526="Miami (OH)",+All!H526,0))</f>
        <v>Western Michigan</v>
      </c>
      <c r="I109" s="52" t="str">
        <f>IF(+All!$F526="Miami (OH)",+All!I526,IF(+All!$H526="Miami (OH)",+All!I526,0))</f>
        <v>MAC</v>
      </c>
      <c r="J109" s="460" t="str">
        <f>IF(+All!$F526="Miami (OH)",+All!J526,IF(+All!$H526="Miami (OH)",+All!J526,0))</f>
        <v>Miami (OH)</v>
      </c>
      <c r="K109" s="461" t="str">
        <f>IF(+All!$F526="Miami (OH)",+All!K526,IF(+All!$H526="Miami (OH)",+All!K526,0))</f>
        <v>Western Michigan</v>
      </c>
      <c r="L109" s="54">
        <f>IF(+All!$F526="Miami (OH)",+All!L526,IF(+All!$H526="Miami (OH)",+All!L526,0))</f>
        <v>6.5</v>
      </c>
      <c r="M109" s="55">
        <f>IF(+All!$F526="Miami (OH)",+All!M526,IF(+All!$H526="Miami (OH)",+All!M526,0))</f>
        <v>44.5</v>
      </c>
      <c r="N109" s="460" t="str">
        <f>IF(+All!$F526="Miami (OH)",+All!N526,IF(+All!$H526="Miami (OH)",+All!N526,0))</f>
        <v>Western Michigan</v>
      </c>
      <c r="O109" s="462">
        <f>IF(+All!$F526="Miami (OH)",+All!O526,IF(+All!$H526="Miami (OH)",+All!O526,0))</f>
        <v>16</v>
      </c>
      <c r="P109" s="462" t="str">
        <f>IF(+All!$F526="Miami (OH)",+All!P526,IF(+All!$H526="Miami (OH)",+All!P526,0))</f>
        <v>Miami (OH)</v>
      </c>
      <c r="Q109" s="461">
        <f>IF(+All!$F526="Miami (OH)",+All!Q526,IF(+All!$H526="Miami (OH)",+All!Q526,0))</f>
        <v>10</v>
      </c>
      <c r="R109" s="460" t="str">
        <f>IF(+All!$F526="Miami (OH)",+All!R526,IF(+All!$H526="Miami (OH)",+All!R526,0))</f>
        <v>Western Michigan</v>
      </c>
      <c r="S109" s="462" t="str">
        <f>IF(+All!$F526="Miami (OH)",+All!S526,IF(+All!$H526="Miami (OH)",+All!S526,0))</f>
        <v>Miami (OH)</v>
      </c>
      <c r="T109" s="460" t="str">
        <f>IF(+All!$F526="Miami (OH)",+All!T526,IF(+All!$H526="Miami (OH)",+All!T526,0))</f>
        <v>Miami (OH)</v>
      </c>
      <c r="U109" s="461" t="str">
        <f>IF(+All!$F526="Miami (OH)",+All!U526,IF(+All!$H526="Miami (OH)",+All!U526,0))</f>
        <v>L</v>
      </c>
    </row>
    <row r="110" spans="1:21" x14ac:dyDescent="0.8">
      <c r="A110" s="46">
        <f>IF(+All!$F574="Miami (OH)",+All!A574,IF(+All!$H574="Miami (OH)",+All!A574,0))</f>
        <v>9</v>
      </c>
      <c r="B110" s="348" t="str">
        <f>IF(+All!$F574="Miami (OH)",+All!B574,IF(+All!$H574="Miami (OH)",+All!B574,0))</f>
        <v>Sat</v>
      </c>
      <c r="C110" s="48">
        <f>IF(+All!$F574="Miami (OH)",+All!C574,IF(+All!$H574="Miami (OH)",+All!C574,0))</f>
        <v>44863</v>
      </c>
      <c r="D110" s="490">
        <f>IF(+All!$F574="Miami (OH)",+All!D574,IF(+All!$H574="Miami (OH)",+All!D574,0))</f>
        <v>0.5</v>
      </c>
      <c r="E110" s="461">
        <f>IF(+All!$F574="Miami (OH)",+All!E574,IF(+All!$H574="Miami (OH)",+All!E574,0))</f>
        <v>0</v>
      </c>
      <c r="F110" s="51" t="str">
        <f>IF(+All!$F574="Miami (OH)",+All!F574,IF(+All!$H574="Miami (OH)",+All!F574,0))</f>
        <v>Miami (OH)</v>
      </c>
      <c r="G110" s="52" t="str">
        <f>IF(+All!$F574="Miami (OH)",+All!G574,IF(+All!$H574="Miami (OH)",+All!G574,0))</f>
        <v>MAC</v>
      </c>
      <c r="H110" s="51" t="str">
        <f>IF(+All!$F574="Miami (OH)",+All!H574,IF(+All!$H574="Miami (OH)",+All!H574,0))</f>
        <v>Akron</v>
      </c>
      <c r="I110" s="52" t="str">
        <f>IF(+All!$F574="Miami (OH)",+All!I574,IF(+All!$H574="Miami (OH)",+All!I574,0))</f>
        <v>MAC</v>
      </c>
      <c r="J110" s="460" t="str">
        <f>IF(+All!$F574="Miami (OH)",+All!J574,IF(+All!$H574="Miami (OH)",+All!J574,0))</f>
        <v>Miami (OH)</v>
      </c>
      <c r="K110" s="461" t="str">
        <f>IF(+All!$F574="Miami (OH)",+All!K574,IF(+All!$H574="Miami (OH)",+All!K574,0))</f>
        <v>Akron</v>
      </c>
      <c r="L110" s="54">
        <f>IF(+All!$F574="Miami (OH)",+All!L574,IF(+All!$H574="Miami (OH)",+All!L574,0))</f>
        <v>8.5</v>
      </c>
      <c r="M110" s="55">
        <f>IF(+All!$F574="Miami (OH)",+All!M574,IF(+All!$H574="Miami (OH)",+All!M574,0))</f>
        <v>48</v>
      </c>
      <c r="N110" s="460" t="str">
        <f>IF(+All!$F574="Miami (OH)",+All!N574,IF(+All!$H574="Miami (OH)",+All!N574,0))</f>
        <v>Miami (OH)</v>
      </c>
      <c r="O110" s="462">
        <f>IF(+All!$F574="Miami (OH)",+All!O574,IF(+All!$H574="Miami (OH)",+All!O574,0))</f>
        <v>27</v>
      </c>
      <c r="P110" s="462" t="str">
        <f>IF(+All!$F574="Miami (OH)",+All!P574,IF(+All!$H574="Miami (OH)",+All!P574,0))</f>
        <v>Akron</v>
      </c>
      <c r="Q110" s="461">
        <f>IF(+All!$F574="Miami (OH)",+All!Q574,IF(+All!$H574="Miami (OH)",+All!Q574,0))</f>
        <v>9</v>
      </c>
      <c r="R110" s="460" t="str">
        <f>IF(+All!$F574="Miami (OH)",+All!R574,IF(+All!$H574="Miami (OH)",+All!R574,0))</f>
        <v>Miami (OH)</v>
      </c>
      <c r="S110" s="462" t="str">
        <f>IF(+All!$F574="Miami (OH)",+All!S574,IF(+All!$H574="Miami (OH)",+All!S574,0))</f>
        <v>Akron</v>
      </c>
      <c r="T110" s="460" t="str">
        <f>IF(+All!$F574="Miami (OH)",+All!T574,IF(+All!$H574="Miami (OH)",+All!T574,0))</f>
        <v>Miami (OH)</v>
      </c>
      <c r="U110" s="461" t="str">
        <f>IF(+All!$F574="Miami (OH)",+All!U574,IF(+All!$H574="Miami (OH)",+All!U574,0))</f>
        <v>W</v>
      </c>
    </row>
    <row r="111" spans="1:21" x14ac:dyDescent="0.8">
      <c r="A111" s="46" t="e">
        <f>IF(+All!#REF!="Miami (OH)",+All!#REF!,IF(+All!#REF!="Miami (OH)",+All!#REF!,0))</f>
        <v>#REF!</v>
      </c>
      <c r="B111" s="348" t="e">
        <f>IF(+All!#REF!="Miami (OH)",+All!#REF!,IF(+All!#REF!="Miami (OH)",+All!#REF!,0))</f>
        <v>#REF!</v>
      </c>
      <c r="C111" s="48" t="e">
        <f>IF(+All!#REF!="Miami (OH)",+All!#REF!,IF(+All!#REF!="Miami (OH)",+All!#REF!,0))</f>
        <v>#REF!</v>
      </c>
      <c r="D111" s="490" t="e">
        <f>IF(+All!#REF!="Miami (OH)",+All!#REF!,IF(+All!#REF!="Miami (OH)",+All!#REF!,0))</f>
        <v>#REF!</v>
      </c>
      <c r="E111" s="461" t="e">
        <f>IF(+All!#REF!="Miami (OH)",+All!#REF!,IF(+All!#REF!="Miami (OH)",+All!#REF!,0))</f>
        <v>#REF!</v>
      </c>
      <c r="F111" s="51" t="e">
        <f>IF(+All!#REF!="Miami (OH)",+All!#REF!,IF(+All!#REF!="Miami (OH)",+All!#REF!,0))</f>
        <v>#REF!</v>
      </c>
      <c r="G111" s="52" t="e">
        <f>IF(+All!#REF!="Miami (OH)",+All!#REF!,IF(+All!#REF!="Miami (OH)",+All!#REF!,0))</f>
        <v>#REF!</v>
      </c>
      <c r="H111" s="51" t="e">
        <f>IF(+All!#REF!="Miami (OH)",+All!#REF!,IF(+All!#REF!="Miami (OH)",+All!#REF!,0))</f>
        <v>#REF!</v>
      </c>
      <c r="I111" s="52" t="e">
        <f>IF(+All!#REF!="Miami (OH)",+All!#REF!,IF(+All!#REF!="Miami (OH)",+All!#REF!,0))</f>
        <v>#REF!</v>
      </c>
      <c r="J111" s="460" t="e">
        <f>IF(+All!#REF!="Miami (OH)",+All!#REF!,IF(+All!#REF!="Miami (OH)",+All!#REF!,0))</f>
        <v>#REF!</v>
      </c>
      <c r="K111" s="461" t="e">
        <f>IF(+All!#REF!="Miami (OH)",+All!#REF!,IF(+All!#REF!="Miami (OH)",+All!#REF!,0))</f>
        <v>#REF!</v>
      </c>
      <c r="L111" s="54" t="e">
        <f>IF(+All!#REF!="Miami (OH)",+All!#REF!,IF(+All!#REF!="Miami (OH)",+All!#REF!,0))</f>
        <v>#REF!</v>
      </c>
      <c r="M111" s="55" t="e">
        <f>IF(+All!#REF!="Miami (OH)",+All!#REF!,IF(+All!#REF!="Miami (OH)",+All!#REF!,0))</f>
        <v>#REF!</v>
      </c>
      <c r="N111" s="460" t="e">
        <f>IF(+All!#REF!="Miami (OH)",+All!#REF!,IF(+All!#REF!="Miami (OH)",+All!#REF!,0))</f>
        <v>#REF!</v>
      </c>
      <c r="O111" s="462" t="e">
        <f>IF(+All!#REF!="Miami (OH)",+All!#REF!,IF(+All!#REF!="Miami (OH)",+All!#REF!,0))</f>
        <v>#REF!</v>
      </c>
      <c r="P111" s="462" t="e">
        <f>IF(+All!#REF!="Miami (OH)",+All!#REF!,IF(+All!#REF!="Miami (OH)",+All!#REF!,0))</f>
        <v>#REF!</v>
      </c>
      <c r="Q111" s="461" t="e">
        <f>IF(+All!#REF!="Miami (OH)",+All!#REF!,IF(+All!#REF!="Miami (OH)",+All!#REF!,0))</f>
        <v>#REF!</v>
      </c>
      <c r="R111" s="460" t="e">
        <f>IF(+All!#REF!="Miami (OH)",+All!#REF!,IF(+All!#REF!="Miami (OH)",+All!#REF!,0))</f>
        <v>#REF!</v>
      </c>
      <c r="S111" s="462" t="e">
        <f>IF(+All!#REF!="Miami (OH)",+All!#REF!,IF(+All!#REF!="Miami (OH)",+All!#REF!,0))</f>
        <v>#REF!</v>
      </c>
      <c r="T111" s="460" t="e">
        <f>IF(+All!#REF!="Miami (OH)",+All!#REF!,IF(+All!#REF!="Miami (OH)",+All!#REF!,0))</f>
        <v>#REF!</v>
      </c>
      <c r="U111" s="461" t="e">
        <f>IF(+All!#REF!="Miami (OH)",+All!#REF!,IF(+All!#REF!="Miami (OH)",+All!#REF!,0))</f>
        <v>#REF!</v>
      </c>
    </row>
    <row r="112" spans="1:21" x14ac:dyDescent="0.8">
      <c r="A112" s="46">
        <f>IF(+All!$F654="Miami (OH)",+All!A654,IF(+All!$H654="Miami (OH)",+All!A654,0))</f>
        <v>11</v>
      </c>
      <c r="B112" s="348" t="str">
        <f>IF(+All!$F654="Miami (OH)",+All!B654,IF(+All!$H654="Miami (OH)",+All!B654,0))</f>
        <v>Tues</v>
      </c>
      <c r="C112" s="48">
        <f>IF(+All!$F654="Miami (OH)",+All!C654,IF(+All!$H654="Miami (OH)",+All!C654,0))</f>
        <v>44508</v>
      </c>
      <c r="D112" s="490">
        <f>IF(+All!$F654="Miami (OH)",+All!D654,IF(+All!$H654="Miami (OH)",+All!D654,0))</f>
        <v>0.8125</v>
      </c>
      <c r="E112" s="461" t="str">
        <f>IF(+All!$F654="Miami (OH)",+All!E654,IF(+All!$H654="Miami (OH)",+All!E654,0))</f>
        <v>ESPN2</v>
      </c>
      <c r="F112" s="51" t="str">
        <f>IF(+All!$F654="Miami (OH)",+All!F654,IF(+All!$H654="Miami (OH)",+All!F654,0))</f>
        <v>Ohio</v>
      </c>
      <c r="G112" s="52" t="str">
        <f>IF(+All!$F654="Miami (OH)",+All!G654,IF(+All!$H654="Miami (OH)",+All!G654,0))</f>
        <v>MAC</v>
      </c>
      <c r="H112" s="51" t="str">
        <f>IF(+All!$F654="Miami (OH)",+All!H654,IF(+All!$H654="Miami (OH)",+All!H654,0))</f>
        <v>Miami (OH)</v>
      </c>
      <c r="I112" s="52" t="str">
        <f>IF(+All!$F654="Miami (OH)",+All!I654,IF(+All!$H654="Miami (OH)",+All!I654,0))</f>
        <v>MAC</v>
      </c>
      <c r="J112" s="460" t="str">
        <f>IF(+All!$F654="Miami (OH)",+All!J654,IF(+All!$H654="Miami (OH)",+All!J654,0))</f>
        <v>Ohio</v>
      </c>
      <c r="K112" s="461" t="str">
        <f>IF(+All!$F654="Miami (OH)",+All!K654,IF(+All!$H654="Miami (OH)",+All!K654,0))</f>
        <v>Miami (OH)</v>
      </c>
      <c r="L112" s="54">
        <f>IF(+All!$F654="Miami (OH)",+All!L654,IF(+All!$H654="Miami (OH)",+All!L654,0))</f>
        <v>2</v>
      </c>
      <c r="M112" s="55">
        <f>IF(+All!$F654="Miami (OH)",+All!M654,IF(+All!$H654="Miami (OH)",+All!M654,0))</f>
        <v>50.5</v>
      </c>
      <c r="N112" s="460" t="str">
        <f>IF(+All!$F654="Miami (OH)",+All!N654,IF(+All!$H654="Miami (OH)",+All!N654,0))</f>
        <v>Ohio</v>
      </c>
      <c r="O112" s="462">
        <f>IF(+All!$F654="Miami (OH)",+All!O654,IF(+All!$H654="Miami (OH)",+All!O654,0))</f>
        <v>37</v>
      </c>
      <c r="P112" s="462" t="str">
        <f>IF(+All!$F654="Miami (OH)",+All!P654,IF(+All!$H654="Miami (OH)",+All!P654,0))</f>
        <v>Miami (OH)</v>
      </c>
      <c r="Q112" s="461">
        <f>IF(+All!$F654="Miami (OH)",+All!Q654,IF(+All!$H654="Miami (OH)",+All!Q654,0))</f>
        <v>21</v>
      </c>
      <c r="R112" s="460" t="str">
        <f>IF(+All!$F654="Miami (OH)",+All!R654,IF(+All!$H654="Miami (OH)",+All!R654,0))</f>
        <v>Ohio</v>
      </c>
      <c r="S112" s="462" t="str">
        <f>IF(+All!$F654="Miami (OH)",+All!S654,IF(+All!$H654="Miami (OH)",+All!S654,0))</f>
        <v>Miami (OH)</v>
      </c>
      <c r="T112" s="460" t="str">
        <f>IF(+All!$F654="Miami (OH)",+All!T654,IF(+All!$H654="Miami (OH)",+All!T654,0))</f>
        <v>Ohio</v>
      </c>
      <c r="U112" s="461" t="str">
        <f>IF(+All!$F654="Miami (OH)",+All!U654,IF(+All!$H654="Miami (OH)",+All!U654,0))</f>
        <v>W</v>
      </c>
    </row>
    <row r="113" spans="1:21" x14ac:dyDescent="0.8">
      <c r="A113" s="46">
        <f>IF(+All!$F722="Miami (OH)",+All!A722,IF(+All!$H722="Miami (OH)",+All!A722,0))</f>
        <v>12</v>
      </c>
      <c r="B113" s="348" t="str">
        <f>IF(+All!$F722="Miami (OH)",+All!B722,IF(+All!$H722="Miami (OH)",+All!B722,0))</f>
        <v>Weds</v>
      </c>
      <c r="C113" s="48">
        <f>IF(+All!$F722="Miami (OH)",+All!C722,IF(+All!$H722="Miami (OH)",+All!C722,0))</f>
        <v>44881</v>
      </c>
      <c r="D113" s="490">
        <f>IF(+All!$F722="Miami (OH)",+All!D722,IF(+All!$H722="Miami (OH)",+All!D722,0))</f>
        <v>0.79166666666666663</v>
      </c>
      <c r="E113" s="461">
        <f>IF(+All!$F722="Miami (OH)",+All!E722,IF(+All!$H722="Miami (OH)",+All!E722,0))</f>
        <v>0</v>
      </c>
      <c r="F113" s="51" t="str">
        <f>IF(+All!$F722="Miami (OH)",+All!F722,IF(+All!$H722="Miami (OH)",+All!F722,0))</f>
        <v>Miami (OH)</v>
      </c>
      <c r="G113" s="52" t="str">
        <f>IF(+All!$F722="Miami (OH)",+All!G722,IF(+All!$H722="Miami (OH)",+All!G722,0))</f>
        <v>MAC</v>
      </c>
      <c r="H113" s="51" t="str">
        <f>IF(+All!$F722="Miami (OH)",+All!H722,IF(+All!$H722="Miami (OH)",+All!H722,0))</f>
        <v>Northern Illinois</v>
      </c>
      <c r="I113" s="52" t="str">
        <f>IF(+All!$F722="Miami (OH)",+All!I722,IF(+All!$H722="Miami (OH)",+All!I722,0))</f>
        <v>MAC</v>
      </c>
      <c r="J113" s="460" t="str">
        <f>IF(+All!$F722="Miami (OH)",+All!J722,IF(+All!$H722="Miami (OH)",+All!J722,0))</f>
        <v>Northern Illinois</v>
      </c>
      <c r="K113" s="461" t="str">
        <f>IF(+All!$F722="Miami (OH)",+All!K722,IF(+All!$H722="Miami (OH)",+All!K722,0))</f>
        <v>Miami (OH)</v>
      </c>
      <c r="L113" s="54">
        <f>IF(+All!$F722="Miami (OH)",+All!L722,IF(+All!$H722="Miami (OH)",+All!L722,0))</f>
        <v>1</v>
      </c>
      <c r="M113" s="55">
        <f>IF(+All!$F722="Miami (OH)",+All!M722,IF(+All!$H722="Miami (OH)",+All!M722,0))</f>
        <v>46</v>
      </c>
      <c r="N113" s="460" t="str">
        <f>IF(+All!$F722="Miami (OH)",+All!N722,IF(+All!$H722="Miami (OH)",+All!N722,0))</f>
        <v>Miami (OH)</v>
      </c>
      <c r="O113" s="462">
        <f>IF(+All!$F722="Miami (OH)",+All!O722,IF(+All!$H722="Miami (OH)",+All!O722,0))</f>
        <v>29</v>
      </c>
      <c r="P113" s="462" t="str">
        <f>IF(+All!$F722="Miami (OH)",+All!P722,IF(+All!$H722="Miami (OH)",+All!P722,0))</f>
        <v>Northern Illinois</v>
      </c>
      <c r="Q113" s="461">
        <f>IF(+All!$F722="Miami (OH)",+All!Q722,IF(+All!$H722="Miami (OH)",+All!Q722,0))</f>
        <v>23</v>
      </c>
      <c r="R113" s="460" t="str">
        <f>IF(+All!$F722="Miami (OH)",+All!R722,IF(+All!$H722="Miami (OH)",+All!R722,0))</f>
        <v>Miami (OH)</v>
      </c>
      <c r="S113" s="462" t="str">
        <f>IF(+All!$F722="Miami (OH)",+All!S722,IF(+All!$H722="Miami (OH)",+All!S722,0))</f>
        <v>Northern Illinois</v>
      </c>
      <c r="T113" s="460" t="str">
        <f>IF(+All!$F722="Miami (OH)",+All!T722,IF(+All!$H722="Miami (OH)",+All!T722,0))</f>
        <v>Miami (OH)</v>
      </c>
      <c r="U113" s="461" t="str">
        <f>IF(+All!$F722="Miami (OH)",+All!U722,IF(+All!$H722="Miami (OH)",+All!U722,0))</f>
        <v>W</v>
      </c>
    </row>
    <row r="114" spans="1:21" x14ac:dyDescent="0.8">
      <c r="A114" s="46">
        <f>IF(+All!$F826="Miami (OH)",+All!A826,IF(+All!$H826="Miami (OH)",+All!A826,0))</f>
        <v>13</v>
      </c>
      <c r="B114" s="348" t="str">
        <f>IF(+All!$F826="Miami (OH)",+All!B826,IF(+All!$H826="Miami (OH)",+All!B826,0))</f>
        <v>Tues</v>
      </c>
      <c r="C114" s="48">
        <f>IF(+All!$F826="Miami (OH)",+All!C826,IF(+All!$H826="Miami (OH)",+All!C826,0))</f>
        <v>44887</v>
      </c>
      <c r="D114" s="490">
        <f>IF(+All!$F826="Miami (OH)",+All!D826,IF(+All!$H826="Miami (OH)",+All!D826,0))</f>
        <v>0.79166666666666663</v>
      </c>
      <c r="E114" s="461">
        <f>IF(+All!$F826="Miami (OH)",+All!E826,IF(+All!$H826="Miami (OH)",+All!E826,0))</f>
        <v>0</v>
      </c>
      <c r="F114" s="51" t="str">
        <f>IF(+All!$F826="Miami (OH)",+All!F826,IF(+All!$H826="Miami (OH)",+All!F826,0))</f>
        <v>Ball State</v>
      </c>
      <c r="G114" s="52" t="str">
        <f>IF(+All!$F826="Miami (OH)",+All!G826,IF(+All!$H826="Miami (OH)",+All!G826,0))</f>
        <v>MAC</v>
      </c>
      <c r="H114" s="51" t="str">
        <f>IF(+All!$F826="Miami (OH)",+All!H826,IF(+All!$H826="Miami (OH)",+All!H826,0))</f>
        <v>Miami (OH)</v>
      </c>
      <c r="I114" s="52" t="str">
        <f>IF(+All!$F826="Miami (OH)",+All!I826,IF(+All!$H826="Miami (OH)",+All!I826,0))</f>
        <v>MAC</v>
      </c>
      <c r="J114" s="460" t="str">
        <f>IF(+All!$F826="Miami (OH)",+All!J826,IF(+All!$H826="Miami (OH)",+All!J826,0))</f>
        <v>Miami (OH)</v>
      </c>
      <c r="K114" s="461" t="str">
        <f>IF(+All!$F826="Miami (OH)",+All!K826,IF(+All!$H826="Miami (OH)",+All!K826,0))</f>
        <v>Ball State</v>
      </c>
      <c r="L114" s="54">
        <f>IF(+All!$F826="Miami (OH)",+All!L826,IF(+All!$H826="Miami (OH)",+All!L826,0))</f>
        <v>2.5</v>
      </c>
      <c r="M114" s="55">
        <f>IF(+All!$F826="Miami (OH)",+All!M826,IF(+All!$H826="Miami (OH)",+All!M826,0))</f>
        <v>44.5</v>
      </c>
      <c r="N114" s="460" t="str">
        <f>IF(+All!$F826="Miami (OH)",+All!N826,IF(+All!$H826="Miami (OH)",+All!N826,0))</f>
        <v>Miami (OH)</v>
      </c>
      <c r="O114" s="462">
        <f>IF(+All!$F826="Miami (OH)",+All!O826,IF(+All!$H826="Miami (OH)",+All!O826,0))</f>
        <v>18</v>
      </c>
      <c r="P114" s="462" t="str">
        <f>IF(+All!$F826="Miami (OH)",+All!P826,IF(+All!$H826="Miami (OH)",+All!P826,0))</f>
        <v>Ball State</v>
      </c>
      <c r="Q114" s="461">
        <f>IF(+All!$F826="Miami (OH)",+All!Q826,IF(+All!$H826="Miami (OH)",+All!Q826,0))</f>
        <v>17</v>
      </c>
      <c r="R114" s="460" t="str">
        <f>IF(+All!$F826="Miami (OH)",+All!R826,IF(+All!$H826="Miami (OH)",+All!R826,0))</f>
        <v>Ball State</v>
      </c>
      <c r="S114" s="462" t="str">
        <f>IF(+All!$F826="Miami (OH)",+All!S826,IF(+All!$H826="Miami (OH)",+All!S826,0))</f>
        <v>Miami (OH)</v>
      </c>
      <c r="T114" s="460" t="str">
        <f>IF(+All!$F826="Miami (OH)",+All!T826,IF(+All!$H826="Miami (OH)",+All!T826,0))</f>
        <v>Miami (OH)</v>
      </c>
      <c r="U114" s="461" t="str">
        <f>IF(+All!$F826="Miami (OH)",+All!U826,IF(+All!$H826="Miami (OH)",+All!U826,0))</f>
        <v>L</v>
      </c>
    </row>
    <row r="115" spans="1:21" x14ac:dyDescent="0.8">
      <c r="B115" s="348"/>
      <c r="C115" s="48"/>
      <c r="D115" s="49"/>
      <c r="F115" s="897" t="str">
        <f>H116</f>
        <v>Northern Illinois</v>
      </c>
      <c r="G115" s="901"/>
      <c r="H115" s="901"/>
      <c r="I115" s="902"/>
      <c r="L115" s="54"/>
      <c r="M115" s="55"/>
    </row>
    <row r="116" spans="1:21" x14ac:dyDescent="0.8">
      <c r="A116" s="46">
        <f>IF(+All!$F55="Northern Illinois",+All!A55,IF(+All!$H55="Northern Illinois",+All!A55,0))</f>
        <v>1</v>
      </c>
      <c r="B116" s="348" t="str">
        <f>IF(+All!$F55="Northern Illinois",+All!B55,IF(+All!$H55="Northern Illinois",+All!B55,0))</f>
        <v>Thurs</v>
      </c>
      <c r="C116" s="48">
        <f>IF(+All!$F55="Northern Illinois",+All!C55,IF(+All!$H55="Northern Illinois",+All!C55,0))</f>
        <v>44805</v>
      </c>
      <c r="D116" s="490">
        <f>IF(+All!$F55="Northern Illinois",+All!D55,IF(+All!$H55="Northern Illinois",+All!D55,0))</f>
        <v>0.83333333333333337</v>
      </c>
      <c r="E116" s="461">
        <f>IF(+All!$F55="Northern Illinois",+All!E55,IF(+All!$H55="Northern Illinois",+All!E55,0))</f>
        <v>0</v>
      </c>
      <c r="F116" s="51" t="str">
        <f>IF(+All!$F55="Northern Illinois",+All!F55,IF(+All!$H55="Northern Illinois",+All!F55,0))</f>
        <v>1AA Eastern Illinois</v>
      </c>
      <c r="G116" s="52" t="str">
        <f>IF(+All!$F55="Northern Illinois",+All!G55,IF(+All!$H55="Northern Illinois",+All!G55,0))</f>
        <v>1AA</v>
      </c>
      <c r="H116" s="51" t="str">
        <f>IF(+All!$F55="Northern Illinois",+All!H55,IF(+All!$H55="Northern Illinois",+All!H55,0))</f>
        <v>Northern Illinois</v>
      </c>
      <c r="I116" s="52" t="str">
        <f>IF(+All!$F55="Northern Illinois",+All!I55,IF(+All!$H55="Northern Illinois",+All!I55,0))</f>
        <v>MAC</v>
      </c>
      <c r="J116" s="460">
        <f>IF(+All!$F55="Northern Illinois",+All!J55,IF(+All!$H55="Northern Illinois",+All!J55,0))</f>
        <v>0</v>
      </c>
      <c r="K116" s="461">
        <f>IF(+All!$F55="Northern Illinois",+All!K55,IF(+All!$H55="Northern Illinois",+All!K55,0))</f>
        <v>0</v>
      </c>
      <c r="L116" s="54">
        <f>IF(+All!$F55="Northern Illinois",+All!L55,IF(+All!$H55="Northern Illinois",+All!L55,0))</f>
        <v>0</v>
      </c>
      <c r="M116" s="55">
        <f>IF(+All!$F55="Northern Illinois",+All!M55,IF(+All!$H55="Northern Illinois",+All!M55,0))</f>
        <v>0</v>
      </c>
      <c r="N116" s="460" t="str">
        <f>IF(+All!$F55="Northern Illinois",+All!N55,IF(+All!$H55="Northern Illinois",+All!N55,0))</f>
        <v>Northern Illinois</v>
      </c>
      <c r="O116" s="462">
        <f>IF(+All!$F55="Northern Illinois",+All!O55,IF(+All!$H55="Northern Illinois",+All!O55,0))</f>
        <v>34</v>
      </c>
      <c r="P116" s="462" t="str">
        <f>IF(+All!$F55="Northern Illinois",+All!P55,IF(+All!$H55="Northern Illinois",+All!P55,0))</f>
        <v>1AA Eastern Illinois</v>
      </c>
      <c r="Q116" s="461">
        <f>IF(+All!$F55="Northern Illinois",+All!Q55,IF(+All!$H55="Northern Illinois",+All!Q55,0))</f>
        <v>27</v>
      </c>
      <c r="R116" s="460">
        <f>IF(+All!$F55="Northern Illinois",+All!R55,IF(+All!$H55="Northern Illinois",+All!R55,0))</f>
        <v>0</v>
      </c>
      <c r="S116" s="462">
        <f>IF(+All!$F55="Northern Illinois",+All!S55,IF(+All!$H55="Northern Illinois",+All!S55,0))</f>
        <v>0</v>
      </c>
      <c r="T116" s="460">
        <f>IF(+All!$F55="Northern Illinois",+All!T55,IF(+All!$H55="Northern Illinois",+All!T55,0))</f>
        <v>0</v>
      </c>
      <c r="U116" s="461">
        <f>IF(+All!$F55="Northern Illinois",+All!U55,IF(+All!$H55="Northern Illinois",+All!U55,0))</f>
        <v>0</v>
      </c>
    </row>
    <row r="117" spans="1:21" x14ac:dyDescent="0.8">
      <c r="A117" s="46">
        <f>IF(+All!$F107="Northern Illinois",+All!A107,IF(+All!$H107="Northern Illinois",+All!A107,0))</f>
        <v>2</v>
      </c>
      <c r="B117" s="348" t="str">
        <f>IF(+All!$F107="Northern Illinois",+All!B107,IF(+All!$H107="Northern Illinois",+All!B107,0))</f>
        <v>Sat</v>
      </c>
      <c r="C117" s="48">
        <f>IF(+All!$F107="Northern Illinois",+All!C107,IF(+All!$H107="Northern Illinois",+All!C107,0))</f>
        <v>44814</v>
      </c>
      <c r="D117" s="490">
        <f>IF(+All!$F107="Northern Illinois",+All!D107,IF(+All!$H107="Northern Illinois",+All!D107,0))</f>
        <v>0.79166666666666663</v>
      </c>
      <c r="E117" s="461">
        <f>IF(+All!$F107="Northern Illinois",+All!E107,IF(+All!$H107="Northern Illinois",+All!E107,0))</f>
        <v>0</v>
      </c>
      <c r="F117" s="51" t="str">
        <f>IF(+All!$F107="Northern Illinois",+All!F107,IF(+All!$H107="Northern Illinois",+All!F107,0))</f>
        <v>Northern Illinois</v>
      </c>
      <c r="G117" s="52" t="str">
        <f>IF(+All!$F107="Northern Illinois",+All!G107,IF(+All!$H107="Northern Illinois",+All!G107,0))</f>
        <v>MAC</v>
      </c>
      <c r="H117" s="51" t="str">
        <f>IF(+All!$F107="Northern Illinois",+All!H107,IF(+All!$H107="Northern Illinois",+All!H107,0))</f>
        <v>Tulsa</v>
      </c>
      <c r="I117" s="52" t="str">
        <f>IF(+All!$F107="Northern Illinois",+All!I107,IF(+All!$H107="Northern Illinois",+All!I107,0))</f>
        <v>AAC</v>
      </c>
      <c r="J117" s="460" t="str">
        <f>IF(+All!$F107="Northern Illinois",+All!J107,IF(+All!$H107="Northern Illinois",+All!J107,0))</f>
        <v>Tulsa</v>
      </c>
      <c r="K117" s="461" t="str">
        <f>IF(+All!$F107="Northern Illinois",+All!K107,IF(+All!$H107="Northern Illinois",+All!K107,0))</f>
        <v>Northern Illinois</v>
      </c>
      <c r="L117" s="54">
        <f>IF(+All!$F107="Northern Illinois",+All!L107,IF(+All!$H107="Northern Illinois",+All!L107,0))</f>
        <v>6</v>
      </c>
      <c r="M117" s="55">
        <f>IF(+All!$F107="Northern Illinois",+All!M107,IF(+All!$H107="Northern Illinois",+All!M107,0))</f>
        <v>62</v>
      </c>
      <c r="N117" s="460" t="str">
        <f>IF(+All!$F107="Northern Illinois",+All!N107,IF(+All!$H107="Northern Illinois",+All!N107,0))</f>
        <v>Tulsa</v>
      </c>
      <c r="O117" s="462">
        <f>IF(+All!$F107="Northern Illinois",+All!O107,IF(+All!$H107="Northern Illinois",+All!O107,0))</f>
        <v>38</v>
      </c>
      <c r="P117" s="462" t="str">
        <f>IF(+All!$F107="Northern Illinois",+All!P107,IF(+All!$H107="Northern Illinois",+All!P107,0))</f>
        <v>Northern Illinois</v>
      </c>
      <c r="Q117" s="461">
        <f>IF(+All!$F107="Northern Illinois",+All!Q107,IF(+All!$H107="Northern Illinois",+All!Q107,0))</f>
        <v>35</v>
      </c>
      <c r="R117" s="460" t="str">
        <f>IF(+All!$F107="Northern Illinois",+All!R107,IF(+All!$H107="Northern Illinois",+All!R107,0))</f>
        <v>Northern Illinois</v>
      </c>
      <c r="S117" s="462" t="str">
        <f>IF(+All!$F107="Northern Illinois",+All!S107,IF(+All!$H107="Northern Illinois",+All!S107,0))</f>
        <v>Tulsa</v>
      </c>
      <c r="T117" s="460" t="str">
        <f>IF(+All!$F107="Northern Illinois",+All!T107,IF(+All!$H107="Northern Illinois",+All!T107,0))</f>
        <v>Northern Illinois</v>
      </c>
      <c r="U117" s="461" t="str">
        <f>IF(+All!$F107="Northern Illinois",+All!U107,IF(+All!$H107="Northern Illinois",+All!U107,0))</f>
        <v>W</v>
      </c>
    </row>
    <row r="118" spans="1:21" x14ac:dyDescent="0.8">
      <c r="A118" s="46">
        <f>IF(+All!$F223="Northern Illinois",+All!A223,IF(+All!$H223="Northern Illinois",+All!A223,0))</f>
        <v>3</v>
      </c>
      <c r="B118" s="348" t="str">
        <f>IF(+All!$F223="Northern Illinois",+All!B223,IF(+All!$H223="Northern Illinois",+All!B223,0))</f>
        <v>Sat</v>
      </c>
      <c r="C118" s="48">
        <f>IF(+All!$F223="Northern Illinois",+All!C223,IF(+All!$H223="Northern Illinois",+All!C223,0))</f>
        <v>44821</v>
      </c>
      <c r="D118" s="490">
        <f>IF(+All!$F223="Northern Illinois",+All!D223,IF(+All!$H223="Northern Illinois",+All!D223,0))</f>
        <v>0.64583333333333337</v>
      </c>
      <c r="E118" s="461" t="str">
        <f>IF(+All!$F223="Northern Illinois",+All!E223,IF(+All!$H223="Northern Illinois",+All!E223,0))</f>
        <v>CBSSN</v>
      </c>
      <c r="F118" s="51" t="str">
        <f>IF(+All!$F223="Northern Illinois",+All!F223,IF(+All!$H223="Northern Illinois",+All!F223,0))</f>
        <v>Vanderbilt</v>
      </c>
      <c r="G118" s="52" t="str">
        <f>IF(+All!$F223="Northern Illinois",+All!G223,IF(+All!$H223="Northern Illinois",+All!G223,0))</f>
        <v>SEC</v>
      </c>
      <c r="H118" s="51" t="str">
        <f>IF(+All!$F223="Northern Illinois",+All!H223,IF(+All!$H223="Northern Illinois",+All!H223,0))</f>
        <v>Northern Illinois</v>
      </c>
      <c r="I118" s="52" t="str">
        <f>IF(+All!$F223="Northern Illinois",+All!I223,IF(+All!$H223="Northern Illinois",+All!I223,0))</f>
        <v>MAC</v>
      </c>
      <c r="J118" s="460" t="str">
        <f>IF(+All!$F223="Northern Illinois",+All!J223,IF(+All!$H223="Northern Illinois",+All!J223,0))</f>
        <v>Northern Illinois</v>
      </c>
      <c r="K118" s="461" t="str">
        <f>IF(+All!$F223="Northern Illinois",+All!K223,IF(+All!$H223="Northern Illinois",+All!K223,0))</f>
        <v>Vanderbilt</v>
      </c>
      <c r="L118" s="54">
        <f>IF(+All!$F223="Northern Illinois",+All!L223,IF(+All!$H223="Northern Illinois",+All!L223,0))</f>
        <v>3</v>
      </c>
      <c r="M118" s="55">
        <f>IF(+All!$F223="Northern Illinois",+All!M223,IF(+All!$H223="Northern Illinois",+All!M223,0))</f>
        <v>58.5</v>
      </c>
      <c r="N118" s="460" t="str">
        <f>IF(+All!$F223="Northern Illinois",+All!N223,IF(+All!$H223="Northern Illinois",+All!N223,0))</f>
        <v>Vanderbilt</v>
      </c>
      <c r="O118" s="462">
        <f>IF(+All!$F223="Northern Illinois",+All!O223,IF(+All!$H223="Northern Illinois",+All!O223,0))</f>
        <v>38</v>
      </c>
      <c r="P118" s="462" t="str">
        <f>IF(+All!$F223="Northern Illinois",+All!P223,IF(+All!$H223="Northern Illinois",+All!P223,0))</f>
        <v>Northern Illinois</v>
      </c>
      <c r="Q118" s="461">
        <f>IF(+All!$F223="Northern Illinois",+All!Q223,IF(+All!$H223="Northern Illinois",+All!Q223,0))</f>
        <v>28</v>
      </c>
      <c r="R118" s="460" t="str">
        <f>IF(+All!$F223="Northern Illinois",+All!R223,IF(+All!$H223="Northern Illinois",+All!R223,0))</f>
        <v>Vanderbilt</v>
      </c>
      <c r="S118" s="462" t="str">
        <f>IF(+All!$F223="Northern Illinois",+All!S223,IF(+All!$H223="Northern Illinois",+All!S223,0))</f>
        <v>Northern Illinois</v>
      </c>
      <c r="T118" s="460" t="str">
        <f>IF(+All!$F223="Northern Illinois",+All!T223,IF(+All!$H223="Northern Illinois",+All!T223,0))</f>
        <v>Vanderbilt</v>
      </c>
      <c r="U118" s="461" t="str">
        <f>IF(+All!$F223="Northern Illinois",+All!U223,IF(+All!$H223="Northern Illinois",+All!U223,0))</f>
        <v>W</v>
      </c>
    </row>
    <row r="119" spans="1:21" x14ac:dyDescent="0.8">
      <c r="A119" s="46">
        <f>IF(+All!$F312="Northern Illinois",+All!A312,IF(+All!$H312="Northern Illinois",+All!A312,0))</f>
        <v>4</v>
      </c>
      <c r="B119" s="348" t="str">
        <f>IF(+All!$F312="Northern Illinois",+All!B312,IF(+All!$H312="Northern Illinois",+All!B312,0))</f>
        <v>Sat</v>
      </c>
      <c r="C119" s="48">
        <f>IF(+All!$F312="Northern Illinois",+All!C312,IF(+All!$H312="Northern Illinois",+All!C312,0))</f>
        <v>44828</v>
      </c>
      <c r="D119" s="490">
        <f>IF(+All!$F312="Northern Illinois",+All!D312,IF(+All!$H312="Northern Illinois",+All!D312,0))</f>
        <v>0.79166666666666663</v>
      </c>
      <c r="E119" s="461" t="str">
        <f>IF(+All!$F312="Northern Illinois",+All!E312,IF(+All!$H312="Northern Illinois",+All!E312,0))</f>
        <v>ESPN2</v>
      </c>
      <c r="F119" s="51" t="str">
        <f>IF(+All!$F312="Northern Illinois",+All!F312,IF(+All!$H312="Northern Illinois",+All!F312,0))</f>
        <v>Northern Illinois</v>
      </c>
      <c r="G119" s="52" t="str">
        <f>IF(+All!$F312="Northern Illinois",+All!G312,IF(+All!$H312="Northern Illinois",+All!G312,0))</f>
        <v>MAC</v>
      </c>
      <c r="H119" s="51" t="str">
        <f>IF(+All!$F312="Northern Illinois",+All!H312,IF(+All!$H312="Northern Illinois",+All!H312,0))</f>
        <v>Kentucky</v>
      </c>
      <c r="I119" s="52" t="str">
        <f>IF(+All!$F312="Northern Illinois",+All!I312,IF(+All!$H312="Northern Illinois",+All!I312,0))</f>
        <v>SEC</v>
      </c>
      <c r="J119" s="460" t="str">
        <f>IF(+All!$F312="Northern Illinois",+All!J312,IF(+All!$H312="Northern Illinois",+All!J312,0))</f>
        <v>Kentucky</v>
      </c>
      <c r="K119" s="461" t="str">
        <f>IF(+All!$F312="Northern Illinois",+All!K312,IF(+All!$H312="Northern Illinois",+All!K312,0))</f>
        <v>Northern Illinois</v>
      </c>
      <c r="L119" s="54">
        <f>IF(+All!$F312="Northern Illinois",+All!L312,IF(+All!$H312="Northern Illinois",+All!L312,0))</f>
        <v>25</v>
      </c>
      <c r="M119" s="55">
        <f>IF(+All!$F312="Northern Illinois",+All!M312,IF(+All!$H312="Northern Illinois",+All!M312,0))</f>
        <v>53.5</v>
      </c>
      <c r="N119" s="460" t="str">
        <f>IF(+All!$F312="Northern Illinois",+All!N312,IF(+All!$H312="Northern Illinois",+All!N312,0))</f>
        <v>Kentucky</v>
      </c>
      <c r="O119" s="462">
        <f>IF(+All!$F312="Northern Illinois",+All!O312,IF(+All!$H312="Northern Illinois",+All!O312,0))</f>
        <v>31</v>
      </c>
      <c r="P119" s="462" t="str">
        <f>IF(+All!$F312="Northern Illinois",+All!P312,IF(+All!$H312="Northern Illinois",+All!P312,0))</f>
        <v>Northern Illinois</v>
      </c>
      <c r="Q119" s="461">
        <f>IF(+All!$F312="Northern Illinois",+All!Q312,IF(+All!$H312="Northern Illinois",+All!Q312,0))</f>
        <v>23</v>
      </c>
      <c r="R119" s="460" t="str">
        <f>IF(+All!$F312="Northern Illinois",+All!R312,IF(+All!$H312="Northern Illinois",+All!R312,0))</f>
        <v>Northern Illinois</v>
      </c>
      <c r="S119" s="462" t="str">
        <f>IF(+All!$F312="Northern Illinois",+All!S312,IF(+All!$H312="Northern Illinois",+All!S312,0))</f>
        <v>Kentucky</v>
      </c>
      <c r="T119" s="460" t="str">
        <f>IF(+All!$F312="Northern Illinois",+All!T312,IF(+All!$H312="Northern Illinois",+All!T312,0))</f>
        <v>Northern Illinois</v>
      </c>
      <c r="U119" s="461" t="str">
        <f>IF(+All!$F312="Northern Illinois",+All!U312,IF(+All!$H312="Northern Illinois",+All!U312,0))</f>
        <v>W</v>
      </c>
    </row>
    <row r="120" spans="1:21" x14ac:dyDescent="0.8">
      <c r="A120" s="46">
        <f>IF(+All!$F355="Northern Illinois",+All!A355,IF(+All!$H355="Northern Illinois",+All!A355,0))</f>
        <v>5</v>
      </c>
      <c r="B120" s="348" t="str">
        <f>IF(+All!$F355="Northern Illinois",+All!B355,IF(+All!$H355="Northern Illinois",+All!B355,0))</f>
        <v>Sat</v>
      </c>
      <c r="C120" s="48">
        <f>IF(+All!$F355="Northern Illinois",+All!C355,IF(+All!$H355="Northern Illinois",+All!C355,0))</f>
        <v>44835</v>
      </c>
      <c r="D120" s="490">
        <f>IF(+All!$F355="Northern Illinois",+All!D355,IF(+All!$H355="Northern Illinois",+All!D355,0))</f>
        <v>0.58333333333333337</v>
      </c>
      <c r="E120" s="461">
        <f>IF(+All!$F355="Northern Illinois",+All!E355,IF(+All!$H355="Northern Illinois",+All!E355,0))</f>
        <v>0</v>
      </c>
      <c r="F120" s="51" t="str">
        <f>IF(+All!$F355="Northern Illinois",+All!F355,IF(+All!$H355="Northern Illinois",+All!F355,0))</f>
        <v>Northern Illinois</v>
      </c>
      <c r="G120" s="52" t="str">
        <f>IF(+All!$F355="Northern Illinois",+All!G355,IF(+All!$H355="Northern Illinois",+All!G355,0))</f>
        <v>MAC</v>
      </c>
      <c r="H120" s="51" t="str">
        <f>IF(+All!$F355="Northern Illinois",+All!H355,IF(+All!$H355="Northern Illinois",+All!H355,0))</f>
        <v>Ball State</v>
      </c>
      <c r="I120" s="52" t="str">
        <f>IF(+All!$F355="Northern Illinois",+All!I355,IF(+All!$H355="Northern Illinois",+All!I355,0))</f>
        <v>MAC</v>
      </c>
      <c r="J120" s="460" t="str">
        <f>IF(+All!$F355="Northern Illinois",+All!J355,IF(+All!$H355="Northern Illinois",+All!J355,0))</f>
        <v>Northern Illinois</v>
      </c>
      <c r="K120" s="461" t="str">
        <f>IF(+All!$F355="Northern Illinois",+All!K355,IF(+All!$H355="Northern Illinois",+All!K355,0))</f>
        <v>Ball State</v>
      </c>
      <c r="L120" s="54">
        <f>IF(+All!$F355="Northern Illinois",+All!L355,IF(+All!$H355="Northern Illinois",+All!L355,0))</f>
        <v>3.5</v>
      </c>
      <c r="M120" s="55">
        <f>IF(+All!$F355="Northern Illinois",+All!M355,IF(+All!$H355="Northern Illinois",+All!M355,0))</f>
        <v>60.5</v>
      </c>
      <c r="N120" s="460" t="str">
        <f>IF(+All!$F355="Northern Illinois",+All!N355,IF(+All!$H355="Northern Illinois",+All!N355,0))</f>
        <v>Ball State</v>
      </c>
      <c r="O120" s="462">
        <f>IF(+All!$F355="Northern Illinois",+All!O355,IF(+All!$H355="Northern Illinois",+All!O355,0))</f>
        <v>44</v>
      </c>
      <c r="P120" s="462" t="str">
        <f>IF(+All!$F355="Northern Illinois",+All!P355,IF(+All!$H355="Northern Illinois",+All!P355,0))</f>
        <v>Northern Illinois</v>
      </c>
      <c r="Q120" s="461">
        <f>IF(+All!$F355="Northern Illinois",+All!Q355,IF(+All!$H355="Northern Illinois",+All!Q355,0))</f>
        <v>38</v>
      </c>
      <c r="R120" s="460" t="str">
        <f>IF(+All!$F355="Northern Illinois",+All!R355,IF(+All!$H355="Northern Illinois",+All!R355,0))</f>
        <v>Ball State</v>
      </c>
      <c r="S120" s="462" t="str">
        <f>IF(+All!$F355="Northern Illinois",+All!S355,IF(+All!$H355="Northern Illinois",+All!S355,0))</f>
        <v>Northern Illinois</v>
      </c>
      <c r="T120" s="460" t="str">
        <f>IF(+All!$F355="Northern Illinois",+All!T355,IF(+All!$H355="Northern Illinois",+All!T355,0))</f>
        <v>Ball State</v>
      </c>
      <c r="U120" s="461" t="str">
        <f>IF(+All!$F355="Northern Illinois",+All!U355,IF(+All!$H355="Northern Illinois",+All!U355,0))</f>
        <v>W</v>
      </c>
    </row>
    <row r="121" spans="1:21" x14ac:dyDescent="0.8">
      <c r="A121" s="46">
        <f>IF(+All!$F414="Northern Illinois",+All!A414,IF(+All!$H414="Northern Illinois",+All!A414,0))</f>
        <v>6</v>
      </c>
      <c r="B121" s="348" t="str">
        <f>IF(+All!$F414="Northern Illinois",+All!B414,IF(+All!$H414="Northern Illinois",+All!B414,0))</f>
        <v>Sat</v>
      </c>
      <c r="C121" s="48">
        <f>IF(+All!$F414="Northern Illinois",+All!C414,IF(+All!$H414="Northern Illinois",+All!C414,0))</f>
        <v>44842</v>
      </c>
      <c r="D121" s="490">
        <f>IF(+All!$F414="Northern Illinois",+All!D414,IF(+All!$H414="Northern Illinois",+All!D414,0))</f>
        <v>0.64583333333333337</v>
      </c>
      <c r="E121" s="461">
        <f>IF(+All!$F414="Northern Illinois",+All!E414,IF(+All!$H414="Northern Illinois",+All!E414,0))</f>
        <v>0</v>
      </c>
      <c r="F121" s="51" t="str">
        <f>IF(+All!$F414="Northern Illinois",+All!F414,IF(+All!$H414="Northern Illinois",+All!F414,0))</f>
        <v>Toledo</v>
      </c>
      <c r="G121" s="52" t="str">
        <f>IF(+All!$F414="Northern Illinois",+All!G414,IF(+All!$H414="Northern Illinois",+All!G414,0))</f>
        <v>MAC</v>
      </c>
      <c r="H121" s="51" t="str">
        <f>IF(+All!$F414="Northern Illinois",+All!H414,IF(+All!$H414="Northern Illinois",+All!H414,0))</f>
        <v>Northern Illinois</v>
      </c>
      <c r="I121" s="52" t="str">
        <f>IF(+All!$F414="Northern Illinois",+All!I414,IF(+All!$H414="Northern Illinois",+All!I414,0))</f>
        <v>MAC</v>
      </c>
      <c r="J121" s="460" t="str">
        <f>IF(+All!$F414="Northern Illinois",+All!J414,IF(+All!$H414="Northern Illinois",+All!J414,0))</f>
        <v>Toledo</v>
      </c>
      <c r="K121" s="461" t="str">
        <f>IF(+All!$F414="Northern Illinois",+All!K414,IF(+All!$H414="Northern Illinois",+All!K414,0))</f>
        <v>Northern Illinois</v>
      </c>
      <c r="L121" s="54">
        <f>IF(+All!$F414="Northern Illinois",+All!L414,IF(+All!$H414="Northern Illinois",+All!L414,0))</f>
        <v>5.5</v>
      </c>
      <c r="M121" s="55">
        <f>IF(+All!$F414="Northern Illinois",+All!M414,IF(+All!$H414="Northern Illinois",+All!M414,0))</f>
        <v>60</v>
      </c>
      <c r="N121" s="460" t="str">
        <f>IF(+All!$F414="Northern Illinois",+All!N414,IF(+All!$H414="Northern Illinois",+All!N414,0))</f>
        <v>Toledo</v>
      </c>
      <c r="O121" s="462">
        <f>IF(+All!$F414="Northern Illinois",+All!O414,IF(+All!$H414="Northern Illinois",+All!O414,0))</f>
        <v>52</v>
      </c>
      <c r="P121" s="462" t="str">
        <f>IF(+All!$F414="Northern Illinois",+All!P414,IF(+All!$H414="Northern Illinois",+All!P414,0))</f>
        <v>Northern Illinois</v>
      </c>
      <c r="Q121" s="461">
        <f>IF(+All!$F414="Northern Illinois",+All!Q414,IF(+All!$H414="Northern Illinois",+All!Q414,0))</f>
        <v>32</v>
      </c>
      <c r="R121" s="460" t="str">
        <f>IF(+All!$F414="Northern Illinois",+All!R414,IF(+All!$H414="Northern Illinois",+All!R414,0))</f>
        <v>Toledo</v>
      </c>
      <c r="S121" s="462" t="str">
        <f>IF(+All!$F414="Northern Illinois",+All!S414,IF(+All!$H414="Northern Illinois",+All!S414,0))</f>
        <v>Northern Illinois</v>
      </c>
      <c r="T121" s="460" t="str">
        <f>IF(+All!$F414="Northern Illinois",+All!T414,IF(+All!$H414="Northern Illinois",+All!T414,0))</f>
        <v>Toledo</v>
      </c>
      <c r="U121" s="461" t="str">
        <f>IF(+All!$F414="Northern Illinois",+All!U414,IF(+All!$H414="Northern Illinois",+All!U414,0))</f>
        <v>W</v>
      </c>
    </row>
    <row r="122" spans="1:21" x14ac:dyDescent="0.8">
      <c r="A122" s="46">
        <f>IF(+All!$F470="Northern Illinois",+All!A470,IF(+All!$H470="Northern Illinois",+All!A470,0))</f>
        <v>7</v>
      </c>
      <c r="B122" s="348" t="str">
        <f>IF(+All!$F470="Northern Illinois",+All!B470,IF(+All!$H470="Northern Illinois",+All!B470,0))</f>
        <v>Sat</v>
      </c>
      <c r="C122" s="48">
        <f>IF(+All!$F470="Northern Illinois",+All!C470,IF(+All!$H470="Northern Illinois",+All!C470,0))</f>
        <v>44849</v>
      </c>
      <c r="D122" s="490">
        <f>IF(+All!$F470="Northern Illinois",+All!D470,IF(+All!$H470="Northern Illinois",+All!D470,0))</f>
        <v>0.64583333333333337</v>
      </c>
      <c r="E122" s="461">
        <f>IF(+All!$F470="Northern Illinois",+All!E470,IF(+All!$H470="Northern Illinois",+All!E470,0))</f>
        <v>0</v>
      </c>
      <c r="F122" s="51" t="str">
        <f>IF(+All!$F470="Northern Illinois",+All!F470,IF(+All!$H470="Northern Illinois",+All!F470,0))</f>
        <v>Northern Illinois</v>
      </c>
      <c r="G122" s="52" t="str">
        <f>IF(+All!$F470="Northern Illinois",+All!G470,IF(+All!$H470="Northern Illinois",+All!G470,0))</f>
        <v>MAC</v>
      </c>
      <c r="H122" s="51" t="str">
        <f>IF(+All!$F470="Northern Illinois",+All!H470,IF(+All!$H470="Northern Illinois",+All!H470,0))</f>
        <v>Eastern Michigan</v>
      </c>
      <c r="I122" s="52" t="str">
        <f>IF(+All!$F470="Northern Illinois",+All!I470,IF(+All!$H470="Northern Illinois",+All!I470,0))</f>
        <v>MAC</v>
      </c>
      <c r="J122" s="460" t="str">
        <f>IF(+All!$F470="Northern Illinois",+All!J470,IF(+All!$H470="Northern Illinois",+All!J470,0))</f>
        <v>Eastern Michigan</v>
      </c>
      <c r="K122" s="461" t="str">
        <f>IF(+All!$F470="Northern Illinois",+All!K470,IF(+All!$H470="Northern Illinois",+All!K470,0))</f>
        <v>Northern Illinois</v>
      </c>
      <c r="L122" s="54">
        <f>IF(+All!$F470="Northern Illinois",+All!L470,IF(+All!$H470="Northern Illinois",+All!L470,0))</f>
        <v>2.5</v>
      </c>
      <c r="M122" s="55">
        <f>IF(+All!$F470="Northern Illinois",+All!M470,IF(+All!$H470="Northern Illinois",+All!M470,0))</f>
        <v>67</v>
      </c>
      <c r="N122" s="460" t="str">
        <f>IF(+All!$F470="Northern Illinois",+All!N470,IF(+All!$H470="Northern Illinois",+All!N470,0))</f>
        <v>Northern Illinois</v>
      </c>
      <c r="O122" s="462">
        <f>IF(+All!$F470="Northern Illinois",+All!O470,IF(+All!$H470="Northern Illinois",+All!O470,0))</f>
        <v>39</v>
      </c>
      <c r="P122" s="462" t="str">
        <f>IF(+All!$F470="Northern Illinois",+All!P470,IF(+All!$H470="Northern Illinois",+All!P470,0))</f>
        <v>Eastern Michigan</v>
      </c>
      <c r="Q122" s="461">
        <f>IF(+All!$F470="Northern Illinois",+All!Q470,IF(+All!$H470="Northern Illinois",+All!Q470,0))</f>
        <v>10</v>
      </c>
      <c r="R122" s="460" t="str">
        <f>IF(+All!$F470="Northern Illinois",+All!R470,IF(+All!$H470="Northern Illinois",+All!R470,0))</f>
        <v>Northern Illinois</v>
      </c>
      <c r="S122" s="462" t="str">
        <f>IF(+All!$F470="Northern Illinois",+All!S470,IF(+All!$H470="Northern Illinois",+All!S470,0))</f>
        <v>Eastern Michigan</v>
      </c>
      <c r="T122" s="460" t="str">
        <f>IF(+All!$F470="Northern Illinois",+All!T470,IF(+All!$H470="Northern Illinois",+All!T470,0))</f>
        <v>Eastern Michigan</v>
      </c>
      <c r="U122" s="461" t="str">
        <f>IF(+All!$F470="Northern Illinois",+All!U470,IF(+All!$H470="Northern Illinois",+All!U470,0))</f>
        <v>L</v>
      </c>
    </row>
    <row r="123" spans="1:21" x14ac:dyDescent="0.8">
      <c r="A123" s="46">
        <f>IF(+All!$F525="Northern Illinois",+All!A525,IF(+All!$H525="Northern Illinois",+All!A525,0))</f>
        <v>8</v>
      </c>
      <c r="B123" s="348" t="str">
        <f>IF(+All!$F525="Northern Illinois",+All!B525,IF(+All!$H525="Northern Illinois",+All!B525,0))</f>
        <v>Sat</v>
      </c>
      <c r="C123" s="48">
        <f>IF(+All!$F525="Northern Illinois",+All!C525,IF(+All!$H525="Northern Illinois",+All!C525,0))</f>
        <v>44856</v>
      </c>
      <c r="D123" s="490">
        <f>IF(+All!$F525="Northern Illinois",+All!D525,IF(+All!$H525="Northern Illinois",+All!D525,0))</f>
        <v>0.58333333333333337</v>
      </c>
      <c r="E123" s="461">
        <f>IF(+All!$F525="Northern Illinois",+All!E525,IF(+All!$H525="Northern Illinois",+All!E525,0))</f>
        <v>0</v>
      </c>
      <c r="F123" s="51" t="str">
        <f>IF(+All!$F525="Northern Illinois",+All!F525,IF(+All!$H525="Northern Illinois",+All!F525,0))</f>
        <v>Northern Illinois</v>
      </c>
      <c r="G123" s="52" t="str">
        <f>IF(+All!$F525="Northern Illinois",+All!G525,IF(+All!$H525="Northern Illinois",+All!G525,0))</f>
        <v>MAC</v>
      </c>
      <c r="H123" s="51" t="str">
        <f>IF(+All!$F525="Northern Illinois",+All!H525,IF(+All!$H525="Northern Illinois",+All!H525,0))</f>
        <v>Ohio</v>
      </c>
      <c r="I123" s="52" t="str">
        <f>IF(+All!$F525="Northern Illinois",+All!I525,IF(+All!$H525="Northern Illinois",+All!I525,0))</f>
        <v>MAC</v>
      </c>
      <c r="J123" s="460" t="str">
        <f>IF(+All!$F525="Northern Illinois",+All!J525,IF(+All!$H525="Northern Illinois",+All!J525,0))</f>
        <v>Northern Illinois</v>
      </c>
      <c r="K123" s="461" t="str">
        <f>IF(+All!$F525="Northern Illinois",+All!K525,IF(+All!$H525="Northern Illinois",+All!K525,0))</f>
        <v>Ohio</v>
      </c>
      <c r="L123" s="54">
        <f>IF(+All!$F525="Northern Illinois",+All!L525,IF(+All!$H525="Northern Illinois",+All!L525,0))</f>
        <v>3</v>
      </c>
      <c r="M123" s="55">
        <f>IF(+All!$F525="Northern Illinois",+All!M525,IF(+All!$H525="Northern Illinois",+All!M525,0))</f>
        <v>64.5</v>
      </c>
      <c r="N123" s="460" t="str">
        <f>IF(+All!$F525="Northern Illinois",+All!N525,IF(+All!$H525="Northern Illinois",+All!N525,0))</f>
        <v>Ohio</v>
      </c>
      <c r="O123" s="462">
        <f>IF(+All!$F525="Northern Illinois",+All!O525,IF(+All!$H525="Northern Illinois",+All!O525,0))</f>
        <v>24</v>
      </c>
      <c r="P123" s="462" t="str">
        <f>IF(+All!$F525="Northern Illinois",+All!P525,IF(+All!$H525="Northern Illinois",+All!P525,0))</f>
        <v>Northern Illinois</v>
      </c>
      <c r="Q123" s="461">
        <f>IF(+All!$F525="Northern Illinois",+All!Q525,IF(+All!$H525="Northern Illinois",+All!Q525,0))</f>
        <v>17</v>
      </c>
      <c r="R123" s="460" t="str">
        <f>IF(+All!$F525="Northern Illinois",+All!R525,IF(+All!$H525="Northern Illinois",+All!R525,0))</f>
        <v>Ohio</v>
      </c>
      <c r="S123" s="462" t="str">
        <f>IF(+All!$F525="Northern Illinois",+All!S525,IF(+All!$H525="Northern Illinois",+All!S525,0))</f>
        <v>Northern Illinois</v>
      </c>
      <c r="T123" s="460" t="str">
        <f>IF(+All!$F525="Northern Illinois",+All!T525,IF(+All!$H525="Northern Illinois",+All!T525,0))</f>
        <v>Ohio</v>
      </c>
      <c r="U123" s="461" t="str">
        <f>IF(+All!$F525="Northern Illinois",+All!U525,IF(+All!$H525="Northern Illinois",+All!U525,0))</f>
        <v>W</v>
      </c>
    </row>
    <row r="124" spans="1:21" x14ac:dyDescent="0.8">
      <c r="A124" s="46" t="e">
        <f>IF(+All!#REF!="Northern Illinois",+All!#REF!,IF(+All!#REF!="Northern Illinois",+All!#REF!,0))</f>
        <v>#REF!</v>
      </c>
      <c r="B124" s="348" t="e">
        <f>IF(+All!#REF!="Northern Illinois",+All!#REF!,IF(+All!#REF!="Northern Illinois",+All!#REF!,0))</f>
        <v>#REF!</v>
      </c>
      <c r="C124" s="48" t="e">
        <f>IF(+All!#REF!="Northern Illinois",+All!#REF!,IF(+All!#REF!="Northern Illinois",+All!#REF!,0))</f>
        <v>#REF!</v>
      </c>
      <c r="D124" s="490" t="e">
        <f>IF(+All!#REF!="Northern Illinois",+All!#REF!,IF(+All!#REF!="Northern Illinois",+All!#REF!,0))</f>
        <v>#REF!</v>
      </c>
      <c r="E124" s="461" t="e">
        <f>IF(+All!#REF!="Northern Illinois",+All!#REF!,IF(+All!#REF!="Northern Illinois",+All!#REF!,0))</f>
        <v>#REF!</v>
      </c>
      <c r="F124" s="51" t="e">
        <f>IF(+All!#REF!="Northern Illinois",+All!#REF!,IF(+All!#REF!="Northern Illinois",+All!#REF!,0))</f>
        <v>#REF!</v>
      </c>
      <c r="G124" s="52" t="e">
        <f>IF(+All!#REF!="Northern Illinois",+All!#REF!,IF(+All!#REF!="Northern Illinois",+All!#REF!,0))</f>
        <v>#REF!</v>
      </c>
      <c r="H124" s="51" t="e">
        <f>IF(+All!#REF!="Northern Illinois",+All!#REF!,IF(+All!#REF!="Northern Illinois",+All!#REF!,0))</f>
        <v>#REF!</v>
      </c>
      <c r="I124" s="52" t="e">
        <f>IF(+All!#REF!="Northern Illinois",+All!#REF!,IF(+All!#REF!="Northern Illinois",+All!#REF!,0))</f>
        <v>#REF!</v>
      </c>
      <c r="J124" s="460" t="e">
        <f>IF(+All!#REF!="Northern Illinois",+All!#REF!,IF(+All!#REF!="Northern Illinois",+All!#REF!,0))</f>
        <v>#REF!</v>
      </c>
      <c r="K124" s="461" t="e">
        <f>IF(+All!#REF!="Northern Illinois",+All!#REF!,IF(+All!#REF!="Northern Illinois",+All!#REF!,0))</f>
        <v>#REF!</v>
      </c>
      <c r="L124" s="54" t="e">
        <f>IF(+All!#REF!="Northern Illinois",+All!#REF!,IF(+All!#REF!="Northern Illinois",+All!#REF!,0))</f>
        <v>#REF!</v>
      </c>
      <c r="M124" s="55" t="e">
        <f>IF(+All!#REF!="Northern Illinois",+All!#REF!,IF(+All!#REF!="Northern Illinois",+All!#REF!,0))</f>
        <v>#REF!</v>
      </c>
      <c r="N124" s="460" t="e">
        <f>IF(+All!#REF!="Northern Illinois",+All!#REF!,IF(+All!#REF!="Northern Illinois",+All!#REF!,0))</f>
        <v>#REF!</v>
      </c>
      <c r="O124" s="462" t="e">
        <f>IF(+All!#REF!="Northern Illinois",+All!#REF!,IF(+All!#REF!="Northern Illinois",+All!#REF!,0))</f>
        <v>#REF!</v>
      </c>
      <c r="P124" s="462" t="e">
        <f>IF(+All!#REF!="Northern Illinois",+All!#REF!,IF(+All!#REF!="Northern Illinois",+All!#REF!,0))</f>
        <v>#REF!</v>
      </c>
      <c r="Q124" s="461" t="e">
        <f>IF(+All!#REF!="Northern Illinois",+All!#REF!,IF(+All!#REF!="Northern Illinois",+All!#REF!,0))</f>
        <v>#REF!</v>
      </c>
      <c r="R124" s="460" t="e">
        <f>IF(+All!#REF!="Northern Illinois",+All!#REF!,IF(+All!#REF!="Northern Illinois",+All!#REF!,0))</f>
        <v>#REF!</v>
      </c>
      <c r="S124" s="462" t="e">
        <f>IF(+All!#REF!="Northern Illinois",+All!#REF!,IF(+All!#REF!="Northern Illinois",+All!#REF!,0))</f>
        <v>#REF!</v>
      </c>
      <c r="T124" s="460" t="e">
        <f>IF(+All!#REF!="Northern Illinois",+All!#REF!,IF(+All!#REF!="Northern Illinois",+All!#REF!,0))</f>
        <v>#REF!</v>
      </c>
      <c r="U124" s="461" t="e">
        <f>IF(+All!#REF!="Northern Illinois",+All!#REF!,IF(+All!#REF!="Northern Illinois",+All!#REF!,0))</f>
        <v>#REF!</v>
      </c>
    </row>
    <row r="125" spans="1:21" x14ac:dyDescent="0.8">
      <c r="A125" s="46">
        <f>IF(+All!$F595="Northern Illinois",+All!A595,IF(+All!$H595="Northern Illinois",+All!A595,0))</f>
        <v>10</v>
      </c>
      <c r="B125" s="348" t="str">
        <f>IF(+All!$F595="Northern Illinois",+All!B595,IF(+All!$H595="Northern Illinois",+All!B595,0))</f>
        <v>Weds</v>
      </c>
      <c r="C125" s="48">
        <f>IF(+All!$F595="Northern Illinois",+All!C595,IF(+All!$H595="Northern Illinois",+All!C595,0))</f>
        <v>44867</v>
      </c>
      <c r="D125" s="490">
        <f>IF(+All!$F595="Northern Illinois",+All!D595,IF(+All!$H595="Northern Illinois",+All!D595,0))</f>
        <v>0.79166666666666663</v>
      </c>
      <c r="E125" s="461" t="str">
        <f>IF(+All!$F595="Northern Illinois",+All!E595,IF(+All!$H595="Northern Illinois",+All!E595,0))</f>
        <v>ESPNU</v>
      </c>
      <c r="F125" s="51" t="str">
        <f>IF(+All!$F595="Northern Illinois",+All!F595,IF(+All!$H595="Northern Illinois",+All!F595,0))</f>
        <v>Central Michigan</v>
      </c>
      <c r="G125" s="52" t="str">
        <f>IF(+All!$F595="Northern Illinois",+All!G595,IF(+All!$H595="Northern Illinois",+All!G595,0))</f>
        <v>MAC</v>
      </c>
      <c r="H125" s="51" t="str">
        <f>IF(+All!$F595="Northern Illinois",+All!H595,IF(+All!$H595="Northern Illinois",+All!H595,0))</f>
        <v>Northern Illinois</v>
      </c>
      <c r="I125" s="52" t="str">
        <f>IF(+All!$F595="Northern Illinois",+All!I595,IF(+All!$H595="Northern Illinois",+All!I595,0))</f>
        <v>MAC</v>
      </c>
      <c r="J125" s="460" t="str">
        <f>IF(+All!$F595="Northern Illinois",+All!J595,IF(+All!$H595="Northern Illinois",+All!J595,0))</f>
        <v>Northern Illinois</v>
      </c>
      <c r="K125" s="461" t="str">
        <f>IF(+All!$F595="Northern Illinois",+All!K595,IF(+All!$H595="Northern Illinois",+All!K595,0))</f>
        <v>Central Michigan</v>
      </c>
      <c r="L125" s="54">
        <f>IF(+All!$F595="Northern Illinois",+All!L595,IF(+All!$H595="Northern Illinois",+All!L595,0))</f>
        <v>5</v>
      </c>
      <c r="M125" s="55">
        <f>IF(+All!$F595="Northern Illinois",+All!M595,IF(+All!$H595="Northern Illinois",+All!M595,0))</f>
        <v>56</v>
      </c>
      <c r="N125" s="460" t="str">
        <f>IF(+All!$F595="Northern Illinois",+All!N595,IF(+All!$H595="Northern Illinois",+All!N595,0))</f>
        <v>Central Michigan</v>
      </c>
      <c r="O125" s="462">
        <f>IF(+All!$F595="Northern Illinois",+All!O595,IF(+All!$H595="Northern Illinois",+All!O595,0))</f>
        <v>35</v>
      </c>
      <c r="P125" s="462" t="str">
        <f>IF(+All!$F595="Northern Illinois",+All!P595,IF(+All!$H595="Northern Illinois",+All!P595,0))</f>
        <v>Northern Illinois</v>
      </c>
      <c r="Q125" s="461">
        <f>IF(+All!$F595="Northern Illinois",+All!Q595,IF(+All!$H595="Northern Illinois",+All!Q595,0))</f>
        <v>22</v>
      </c>
      <c r="R125" s="460" t="str">
        <f>IF(+All!$F595="Northern Illinois",+All!R595,IF(+All!$H595="Northern Illinois",+All!R595,0))</f>
        <v>Central Michigan</v>
      </c>
      <c r="S125" s="462" t="str">
        <f>IF(+All!$F595="Northern Illinois",+All!S595,IF(+All!$H595="Northern Illinois",+All!S595,0))</f>
        <v>Northern Illinois</v>
      </c>
      <c r="T125" s="460" t="str">
        <f>IF(+All!$F595="Northern Illinois",+All!T595,IF(+All!$H595="Northern Illinois",+All!T595,0))</f>
        <v>Northern Illinois</v>
      </c>
      <c r="U125" s="461" t="str">
        <f>IF(+All!$F595="Northern Illinois",+All!U595,IF(+All!$H595="Northern Illinois",+All!U595,0))</f>
        <v>L</v>
      </c>
    </row>
    <row r="126" spans="1:21" x14ac:dyDescent="0.8">
      <c r="A126" s="46">
        <f>IF(+All!$F658="Northern Illinois",+All!A658,IF(+All!$H658="Northern Illinois",+All!A658,0))</f>
        <v>11</v>
      </c>
      <c r="B126" s="348" t="str">
        <f>IF(+All!$F658="Northern Illinois",+All!B658,IF(+All!$H658="Northern Illinois",+All!B658,0))</f>
        <v>Weds</v>
      </c>
      <c r="C126" s="48">
        <f>IF(+All!$F658="Northern Illinois",+All!C658,IF(+All!$H658="Northern Illinois",+All!C658,0))</f>
        <v>44874</v>
      </c>
      <c r="D126" s="490">
        <f>IF(+All!$F658="Northern Illinois",+All!D658,IF(+All!$H658="Northern Illinois",+All!D658,0))</f>
        <v>0.79166666666666663</v>
      </c>
      <c r="E126" s="461" t="str">
        <f>IF(+All!$F658="Northern Illinois",+All!E658,IF(+All!$H658="Northern Illinois",+All!E658,0))</f>
        <v>ESPNU</v>
      </c>
      <c r="F126" s="51" t="str">
        <f>IF(+All!$F658="Northern Illinois",+All!F658,IF(+All!$H658="Northern Illinois",+All!F658,0))</f>
        <v>Northern Illinois</v>
      </c>
      <c r="G126" s="52" t="str">
        <f>IF(+All!$F658="Northern Illinois",+All!G658,IF(+All!$H658="Northern Illinois",+All!G658,0))</f>
        <v>MAC</v>
      </c>
      <c r="H126" s="51" t="str">
        <f>IF(+All!$F658="Northern Illinois",+All!H658,IF(+All!$H658="Northern Illinois",+All!H658,0))</f>
        <v>Western Michigan</v>
      </c>
      <c r="I126" s="52" t="str">
        <f>IF(+All!$F658="Northern Illinois",+All!I658,IF(+All!$H658="Northern Illinois",+All!I658,0))</f>
        <v>MAC</v>
      </c>
      <c r="J126" s="460" t="str">
        <f>IF(+All!$F658="Northern Illinois",+All!J658,IF(+All!$H658="Northern Illinois",+All!J658,0))</f>
        <v>Northern Illinois</v>
      </c>
      <c r="K126" s="461" t="str">
        <f>IF(+All!$F658="Northern Illinois",+All!K658,IF(+All!$H658="Northern Illinois",+All!K658,0))</f>
        <v>Western Michigan</v>
      </c>
      <c r="L126" s="54">
        <f>IF(+All!$F658="Northern Illinois",+All!L658,IF(+All!$H658="Northern Illinois",+All!L658,0))</f>
        <v>0</v>
      </c>
      <c r="M126" s="55">
        <f>IF(+All!$F658="Northern Illinois",+All!M658,IF(+All!$H658="Northern Illinois",+All!M658,0))</f>
        <v>50</v>
      </c>
      <c r="N126" s="460" t="str">
        <f>IF(+All!$F658="Northern Illinois",+All!N658,IF(+All!$H658="Northern Illinois",+All!N658,0))</f>
        <v>Northern Illinois</v>
      </c>
      <c r="O126" s="462">
        <f>IF(+All!$F658="Northern Illinois",+All!O658,IF(+All!$H658="Northern Illinois",+All!O658,0))</f>
        <v>24</v>
      </c>
      <c r="P126" s="462" t="str">
        <f>IF(+All!$F658="Northern Illinois",+All!P658,IF(+All!$H658="Northern Illinois",+All!P658,0))</f>
        <v>Western Michigan</v>
      </c>
      <c r="Q126" s="461">
        <f>IF(+All!$F658="Northern Illinois",+All!Q658,IF(+All!$H658="Northern Illinois",+All!Q658,0))</f>
        <v>21</v>
      </c>
      <c r="R126" s="460" t="str">
        <f>IF(+All!$F658="Northern Illinois",+All!R658,IF(+All!$H658="Northern Illinois",+All!R658,0))</f>
        <v>Northern Illinois</v>
      </c>
      <c r="S126" s="462" t="str">
        <f>IF(+All!$F658="Northern Illinois",+All!S658,IF(+All!$H658="Northern Illinois",+All!S658,0))</f>
        <v>Western Michigan</v>
      </c>
      <c r="T126" s="460" t="str">
        <f>IF(+All!$F658="Northern Illinois",+All!T658,IF(+All!$H658="Northern Illinois",+All!T658,0))</f>
        <v>Western Michigan</v>
      </c>
      <c r="U126" s="461" t="str">
        <f>IF(+All!$F658="Northern Illinois",+All!U658,IF(+All!$H658="Northern Illinois",+All!U658,0))</f>
        <v>L</v>
      </c>
    </row>
    <row r="127" spans="1:21" x14ac:dyDescent="0.8">
      <c r="A127" s="46">
        <f>IF(+All!$F722="Northern Illinois",+All!A722,IF(+All!$H722="Northern Illinois",+All!A722,0))</f>
        <v>12</v>
      </c>
      <c r="B127" s="348" t="str">
        <f>IF(+All!$F722="Northern Illinois",+All!B722,IF(+All!$H722="Northern Illinois",+All!B722,0))</f>
        <v>Weds</v>
      </c>
      <c r="C127" s="48">
        <f>IF(+All!$F722="Northern Illinois",+All!C722,IF(+All!$H722="Northern Illinois",+All!C722,0))</f>
        <v>44881</v>
      </c>
      <c r="D127" s="490">
        <f>IF(+All!$F722="Northern Illinois",+All!D722,IF(+All!$H722="Northern Illinois",+All!D722,0))</f>
        <v>0.79166666666666663</v>
      </c>
      <c r="E127" s="461">
        <f>IF(+All!$F722="Northern Illinois",+All!E722,IF(+All!$H722="Northern Illinois",+All!E722,0))</f>
        <v>0</v>
      </c>
      <c r="F127" s="51" t="str">
        <f>IF(+All!$F722="Northern Illinois",+All!F722,IF(+All!$H722="Northern Illinois",+All!F722,0))</f>
        <v>Miami (OH)</v>
      </c>
      <c r="G127" s="52" t="str">
        <f>IF(+All!$F722="Northern Illinois",+All!G722,IF(+All!$H722="Northern Illinois",+All!G722,0))</f>
        <v>MAC</v>
      </c>
      <c r="H127" s="51" t="str">
        <f>IF(+All!$F722="Northern Illinois",+All!H722,IF(+All!$H722="Northern Illinois",+All!H722,0))</f>
        <v>Northern Illinois</v>
      </c>
      <c r="I127" s="52" t="str">
        <f>IF(+All!$F722="Northern Illinois",+All!I722,IF(+All!$H722="Northern Illinois",+All!I722,0))</f>
        <v>MAC</v>
      </c>
      <c r="J127" s="460" t="str">
        <f>IF(+All!$F722="Northern Illinois",+All!J722,IF(+All!$H722="Northern Illinois",+All!J722,0))</f>
        <v>Northern Illinois</v>
      </c>
      <c r="K127" s="461" t="str">
        <f>IF(+All!$F722="Northern Illinois",+All!K722,IF(+All!$H722="Northern Illinois",+All!K722,0))</f>
        <v>Miami (OH)</v>
      </c>
      <c r="L127" s="54">
        <f>IF(+All!$F722="Northern Illinois",+All!L722,IF(+All!$H722="Northern Illinois",+All!L722,0))</f>
        <v>1</v>
      </c>
      <c r="M127" s="55">
        <f>IF(+All!$F722="Northern Illinois",+All!M722,IF(+All!$H722="Northern Illinois",+All!M722,0))</f>
        <v>46</v>
      </c>
      <c r="N127" s="460" t="str">
        <f>IF(+All!$F722="Northern Illinois",+All!N722,IF(+All!$H722="Northern Illinois",+All!N722,0))</f>
        <v>Miami (OH)</v>
      </c>
      <c r="O127" s="462">
        <f>IF(+All!$F722="Northern Illinois",+All!O722,IF(+All!$H722="Northern Illinois",+All!O722,0))</f>
        <v>29</v>
      </c>
      <c r="P127" s="462" t="str">
        <f>IF(+All!$F722="Northern Illinois",+All!P722,IF(+All!$H722="Northern Illinois",+All!P722,0))</f>
        <v>Northern Illinois</v>
      </c>
      <c r="Q127" s="461">
        <f>IF(+All!$F722="Northern Illinois",+All!Q722,IF(+All!$H722="Northern Illinois",+All!Q722,0))</f>
        <v>23</v>
      </c>
      <c r="R127" s="460" t="str">
        <f>IF(+All!$F722="Northern Illinois",+All!R722,IF(+All!$H722="Northern Illinois",+All!R722,0))</f>
        <v>Miami (OH)</v>
      </c>
      <c r="S127" s="462" t="str">
        <f>IF(+All!$F722="Northern Illinois",+All!S722,IF(+All!$H722="Northern Illinois",+All!S722,0))</f>
        <v>Northern Illinois</v>
      </c>
      <c r="T127" s="460" t="str">
        <f>IF(+All!$F722="Northern Illinois",+All!T722,IF(+All!$H722="Northern Illinois",+All!T722,0))</f>
        <v>Miami (OH)</v>
      </c>
      <c r="U127" s="461" t="str">
        <f>IF(+All!$F722="Northern Illinois",+All!U722,IF(+All!$H722="Northern Illinois",+All!U722,0))</f>
        <v>W</v>
      </c>
    </row>
    <row r="128" spans="1:21" x14ac:dyDescent="0.8">
      <c r="A128" s="46">
        <f>IF(+All!$F827="Northern Illinois",+All!A827,IF(+All!$H827="Northern Illinois",+All!A827,0))</f>
        <v>13</v>
      </c>
      <c r="B128" s="348" t="str">
        <f>IF(+All!$F827="Northern Illinois",+All!B827,IF(+All!$H827="Northern Illinois",+All!B827,0))</f>
        <v>Sat</v>
      </c>
      <c r="C128" s="48">
        <f>IF(+All!$F827="Northern Illinois",+All!C827,IF(+All!$H827="Northern Illinois",+All!C827,0))</f>
        <v>44891</v>
      </c>
      <c r="D128" s="490">
        <f>IF(+All!$F827="Northern Illinois",+All!D827,IF(+All!$H827="Northern Illinois",+All!D827,0))</f>
        <v>0.5625</v>
      </c>
      <c r="E128" s="461">
        <f>IF(+All!$F827="Northern Illinois",+All!E827,IF(+All!$H827="Northern Illinois",+All!E827,0))</f>
        <v>0</v>
      </c>
      <c r="F128" s="51" t="str">
        <f>IF(+All!$F827="Northern Illinois",+All!F827,IF(+All!$H827="Northern Illinois",+All!F827,0))</f>
        <v>Akron</v>
      </c>
      <c r="G128" s="52" t="str">
        <f>IF(+All!$F827="Northern Illinois",+All!G827,IF(+All!$H827="Northern Illinois",+All!G827,0))</f>
        <v>MAC</v>
      </c>
      <c r="H128" s="51" t="str">
        <f>IF(+All!$F827="Northern Illinois",+All!H827,IF(+All!$H827="Northern Illinois",+All!H827,0))</f>
        <v>Northern Illinois</v>
      </c>
      <c r="I128" s="52" t="str">
        <f>IF(+All!$F827="Northern Illinois",+All!I827,IF(+All!$H827="Northern Illinois",+All!I827,0))</f>
        <v>MAC</v>
      </c>
      <c r="J128" s="460" t="str">
        <f>IF(+All!$F827="Northern Illinois",+All!J827,IF(+All!$H827="Northern Illinois",+All!J827,0))</f>
        <v>Northern Illinois</v>
      </c>
      <c r="K128" s="461" t="str">
        <f>IF(+All!$F827="Northern Illinois",+All!K827,IF(+All!$H827="Northern Illinois",+All!K827,0))</f>
        <v>Akron</v>
      </c>
      <c r="L128" s="54">
        <f>IF(+All!$F827="Northern Illinois",+All!L827,IF(+All!$H827="Northern Illinois",+All!L827,0))</f>
        <v>10</v>
      </c>
      <c r="M128" s="55">
        <f>IF(+All!$F827="Northern Illinois",+All!M827,IF(+All!$H827="Northern Illinois",+All!M827,0))</f>
        <v>53</v>
      </c>
      <c r="N128" s="460" t="str">
        <f>IF(+All!$F827="Northern Illinois",+All!N827,IF(+All!$H827="Northern Illinois",+All!N827,0))</f>
        <v>Akron</v>
      </c>
      <c r="O128" s="462">
        <f>IF(+All!$F827="Northern Illinois",+All!O827,IF(+All!$H827="Northern Illinois",+All!O827,0))</f>
        <v>44</v>
      </c>
      <c r="P128" s="462" t="str">
        <f>IF(+All!$F827="Northern Illinois",+All!P827,IF(+All!$H827="Northern Illinois",+All!P827,0))</f>
        <v>Northern Illinois</v>
      </c>
      <c r="Q128" s="461">
        <f>IF(+All!$F827="Northern Illinois",+All!Q827,IF(+All!$H827="Northern Illinois",+All!Q827,0))</f>
        <v>12</v>
      </c>
      <c r="R128" s="460" t="str">
        <f>IF(+All!$F827="Northern Illinois",+All!R827,IF(+All!$H827="Northern Illinois",+All!R827,0))</f>
        <v>Akron</v>
      </c>
      <c r="S128" s="462" t="str">
        <f>IF(+All!$F827="Northern Illinois",+All!S827,IF(+All!$H827="Northern Illinois",+All!S827,0))</f>
        <v>Northern Illinois</v>
      </c>
      <c r="T128" s="460" t="str">
        <f>IF(+All!$F827="Northern Illinois",+All!T827,IF(+All!$H827="Northern Illinois",+All!T827,0))</f>
        <v>Northern Illinois</v>
      </c>
      <c r="U128" s="461" t="str">
        <f>IF(+All!$F827="Northern Illinois",+All!U827,IF(+All!$H827="Northern Illinois",+All!U827,0))</f>
        <v>L</v>
      </c>
    </row>
    <row r="129" spans="1:21" s="88" customFormat="1" x14ac:dyDescent="0.8">
      <c r="A129" s="38"/>
      <c r="B129" s="39"/>
      <c r="C129" s="40"/>
      <c r="D129" s="41"/>
      <c r="E129" s="463"/>
      <c r="F129" s="897" t="str">
        <f>F131</f>
        <v>Ohio</v>
      </c>
      <c r="G129" s="898"/>
      <c r="H129" s="898"/>
      <c r="I129" s="899"/>
      <c r="J129" s="459"/>
      <c r="K129" s="463"/>
      <c r="L129" s="44"/>
      <c r="M129" s="45"/>
      <c r="N129" s="459"/>
      <c r="O129" s="5"/>
      <c r="P129" s="5"/>
      <c r="Q129" s="463"/>
      <c r="R129" s="459"/>
      <c r="S129" s="5"/>
      <c r="T129" s="459"/>
      <c r="U129" s="463"/>
    </row>
    <row r="130" spans="1:21" x14ac:dyDescent="0.8">
      <c r="A130" s="46">
        <f>IF(+All!$F68="Ohio",+All!A68,IF(+All!$H68="Ohio",+All!A68,0))</f>
        <v>1</v>
      </c>
      <c r="B130" s="348" t="str">
        <f>IF(+All!$F68="Ohio",+All!B68,IF(+All!$H68="Ohio",+All!B68,0))</f>
        <v>Sat</v>
      </c>
      <c r="C130" s="48">
        <f>IF(+All!$F68="Ohio",+All!C68,IF(+All!$H68="Ohio",+All!C68,0))</f>
        <v>44807</v>
      </c>
      <c r="D130" s="490">
        <f>IF(+All!$F68="Ohio",+All!D68,IF(+All!$H68="Ohio",+All!D68,0))</f>
        <v>0.75</v>
      </c>
      <c r="E130" s="461" t="str">
        <f>IF(+All!$F68="Ohio",+All!E68,IF(+All!$H68="Ohio",+All!E68,0))</f>
        <v>ESPNU</v>
      </c>
      <c r="F130" s="51" t="str">
        <f>IF(+All!$F68="Ohio",+All!F68,IF(+All!$H68="Ohio",+All!F68,0))</f>
        <v>Florida Atlantic</v>
      </c>
      <c r="G130" s="52" t="str">
        <f>IF(+All!$F68="Ohio",+All!G68,IF(+All!$H68="Ohio",+All!G68,0))</f>
        <v>CUSA</v>
      </c>
      <c r="H130" s="51" t="str">
        <f>IF(+All!$F68="Ohio",+All!H68,IF(+All!$H68="Ohio",+All!H68,0))</f>
        <v>Ohio</v>
      </c>
      <c r="I130" s="52" t="str">
        <f>IF(+All!$F68="Ohio",+All!I68,IF(+All!$H68="Ohio",+All!I68,0))</f>
        <v>MAC</v>
      </c>
      <c r="J130" s="460" t="str">
        <f>IF(+All!$F68="Ohio",+All!J68,IF(+All!$H68="Ohio",+All!J68,0))</f>
        <v>Florida Atlantic</v>
      </c>
      <c r="K130" s="461" t="str">
        <f>IF(+All!$F68="Ohio",+All!K68,IF(+All!$H68="Ohio",+All!K68,0))</f>
        <v>Ohio</v>
      </c>
      <c r="L130" s="54">
        <f>IF(+All!$F68="Ohio",+All!L68,IF(+All!$H68="Ohio",+All!L68,0))</f>
        <v>4</v>
      </c>
      <c r="M130" s="55">
        <f>IF(+All!$F68="Ohio",+All!M68,IF(+All!$H68="Ohio",+All!M68,0))</f>
        <v>50</v>
      </c>
      <c r="N130" s="460" t="str">
        <f>IF(+All!$F68="Ohio",+All!N68,IF(+All!$H68="Ohio",+All!N68,0))</f>
        <v>Ohio</v>
      </c>
      <c r="O130" s="462">
        <f>IF(+All!$F68="Ohio",+All!O68,IF(+All!$H68="Ohio",+All!O68,0))</f>
        <v>41</v>
      </c>
      <c r="P130" s="462" t="str">
        <f>IF(+All!$F68="Ohio",+All!P68,IF(+All!$H68="Ohio",+All!P68,0))</f>
        <v>Florida Atlantic</v>
      </c>
      <c r="Q130" s="461">
        <f>IF(+All!$F68="Ohio",+All!Q68,IF(+All!$H68="Ohio",+All!Q68,0))</f>
        <v>38</v>
      </c>
      <c r="R130" s="460" t="str">
        <f>IF(+All!$F68="Ohio",+All!R68,IF(+All!$H68="Ohio",+All!R68,0))</f>
        <v>Ohio</v>
      </c>
      <c r="S130" s="462" t="str">
        <f>IF(+All!$F68="Ohio",+All!S68,IF(+All!$H68="Ohio",+All!S68,0))</f>
        <v>Florida Atlantic</v>
      </c>
      <c r="T130" s="460" t="str">
        <f>IF(+All!$F68="Ohio",+All!T68,IF(+All!$H68="Ohio",+All!T68,0))</f>
        <v>Florida Atlantic</v>
      </c>
      <c r="U130" s="461" t="str">
        <f>IF(+All!$F68="Ohio",+All!U68,IF(+All!$H68="Ohio",+All!U68,0))</f>
        <v>L</v>
      </c>
    </row>
    <row r="131" spans="1:21" x14ac:dyDescent="0.8">
      <c r="A131" s="46">
        <f>IF(+All!$F123="Ohio",+All!A123,IF(+All!$H123="Ohio",+All!A123,0))</f>
        <v>2</v>
      </c>
      <c r="B131" s="348" t="str">
        <f>IF(+All!$F123="Ohio",+All!B123,IF(+All!$H123="Ohio",+All!B123,0))</f>
        <v>Sat</v>
      </c>
      <c r="C131" s="48">
        <f>IF(+All!$F123="Ohio",+All!C123,IF(+All!$H123="Ohio",+All!C123,0))</f>
        <v>44814</v>
      </c>
      <c r="D131" s="490">
        <f>IF(+All!$F123="Ohio",+All!D123,IF(+All!$H123="Ohio",+All!D123,0))</f>
        <v>0.5</v>
      </c>
      <c r="E131" s="461" t="str">
        <f>IF(+All!$F123="Ohio",+All!E123,IF(+All!$H123="Ohio",+All!E123,0))</f>
        <v>ABC</v>
      </c>
      <c r="F131" s="51" t="str">
        <f>IF(+All!$F123="Ohio",+All!F123,IF(+All!$H123="Ohio",+All!F123,0))</f>
        <v>Ohio</v>
      </c>
      <c r="G131" s="52" t="str">
        <f>IF(+All!$F123="Ohio",+All!G123,IF(+All!$H123="Ohio",+All!G123,0))</f>
        <v>MAC</v>
      </c>
      <c r="H131" s="51" t="str">
        <f>IF(+All!$F123="Ohio",+All!H123,IF(+All!$H123="Ohio",+All!H123,0))</f>
        <v>Penn State</v>
      </c>
      <c r="I131" s="52" t="str">
        <f>IF(+All!$F123="Ohio",+All!I123,IF(+All!$H123="Ohio",+All!I123,0))</f>
        <v>B10</v>
      </c>
      <c r="J131" s="460" t="str">
        <f>IF(+All!$F123="Ohio",+All!J123,IF(+All!$H123="Ohio",+All!J123,0))</f>
        <v>Penn State</v>
      </c>
      <c r="K131" s="461" t="str">
        <f>IF(+All!$F123="Ohio",+All!K123,IF(+All!$H123="Ohio",+All!K123,0))</f>
        <v>Ohio</v>
      </c>
      <c r="L131" s="54">
        <f>IF(+All!$F123="Ohio",+All!L123,IF(+All!$H123="Ohio",+All!L123,0))</f>
        <v>24.5</v>
      </c>
      <c r="M131" s="55">
        <f>IF(+All!$F123="Ohio",+All!M123,IF(+All!$H123="Ohio",+All!M123,0))</f>
        <v>54</v>
      </c>
      <c r="N131" s="460" t="str">
        <f>IF(+All!$F123="Ohio",+All!N123,IF(+All!$H123="Ohio",+All!N123,0))</f>
        <v>Penn State</v>
      </c>
      <c r="O131" s="462">
        <f>IF(+All!$F123="Ohio",+All!O123,IF(+All!$H123="Ohio",+All!O123,0))</f>
        <v>46</v>
      </c>
      <c r="P131" s="462" t="str">
        <f>IF(+All!$F123="Ohio",+All!P123,IF(+All!$H123="Ohio",+All!P123,0))</f>
        <v>Ohio</v>
      </c>
      <c r="Q131" s="461">
        <f>IF(+All!$F123="Ohio",+All!Q123,IF(+All!$H123="Ohio",+All!Q123,0))</f>
        <v>10</v>
      </c>
      <c r="R131" s="460" t="str">
        <f>IF(+All!$F123="Ohio",+All!R123,IF(+All!$H123="Ohio",+All!R123,0))</f>
        <v>Penn State</v>
      </c>
      <c r="S131" s="462" t="str">
        <f>IF(+All!$F123="Ohio",+All!S123,IF(+All!$H123="Ohio",+All!S123,0))</f>
        <v>Ohio</v>
      </c>
      <c r="T131" s="460" t="str">
        <f>IF(+All!$F123="Ohio",+All!T123,IF(+All!$H123="Ohio",+All!T123,0))</f>
        <v>Ohio</v>
      </c>
      <c r="U131" s="461" t="str">
        <f>IF(+All!$F123="Ohio",+All!U123,IF(+All!$H123="Ohio",+All!U123,0))</f>
        <v>L</v>
      </c>
    </row>
    <row r="132" spans="1:21" x14ac:dyDescent="0.8">
      <c r="A132" s="46">
        <f>IF(+All!$F207="Ohio",+All!A207,IF(+All!$H207="Ohio",+All!A207,0))</f>
        <v>3</v>
      </c>
      <c r="B132" s="348" t="str">
        <f>IF(+All!$F207="Ohio",+All!B207,IF(+All!$H207="Ohio",+All!B207,0))</f>
        <v>Sat</v>
      </c>
      <c r="C132" s="48">
        <f>IF(+All!$F207="Ohio",+All!C207,IF(+All!$H207="Ohio",+All!C207,0))</f>
        <v>44821</v>
      </c>
      <c r="D132" s="490">
        <f>IF(+All!$F207="Ohio",+All!D207,IF(+All!$H207="Ohio",+All!D207,0))</f>
        <v>0.58333333333333337</v>
      </c>
      <c r="E132" s="461">
        <f>IF(+All!$F207="Ohio",+All!E207,IF(+All!$H207="Ohio",+All!E207,0))</f>
        <v>0</v>
      </c>
      <c r="F132" s="51" t="str">
        <f>IF(+All!$F207="Ohio",+All!F207,IF(+All!$H207="Ohio",+All!F207,0))</f>
        <v>Ohio</v>
      </c>
      <c r="G132" s="52" t="str">
        <f>IF(+All!$F207="Ohio",+All!G207,IF(+All!$H207="Ohio",+All!G207,0))</f>
        <v>MAC</v>
      </c>
      <c r="H132" s="51" t="str">
        <f>IF(+All!$F207="Ohio",+All!H207,IF(+All!$H207="Ohio",+All!H207,0))</f>
        <v>Iowa State</v>
      </c>
      <c r="I132" s="52" t="str">
        <f>IF(+All!$F207="Ohio",+All!I207,IF(+All!$H207="Ohio",+All!I207,0))</f>
        <v>B12</v>
      </c>
      <c r="J132" s="460" t="str">
        <f>IF(+All!$F207="Ohio",+All!J207,IF(+All!$H207="Ohio",+All!J207,0))</f>
        <v>Iowa State</v>
      </c>
      <c r="K132" s="461" t="str">
        <f>IF(+All!$F207="Ohio",+All!K207,IF(+All!$H207="Ohio",+All!K207,0))</f>
        <v>Ohio</v>
      </c>
      <c r="L132" s="54">
        <f>IF(+All!$F207="Ohio",+All!L207,IF(+All!$H207="Ohio",+All!L207,0))</f>
        <v>18.5</v>
      </c>
      <c r="M132" s="55">
        <f>IF(+All!$F207="Ohio",+All!M207,IF(+All!$H207="Ohio",+All!M207,0))</f>
        <v>49</v>
      </c>
      <c r="N132" s="460" t="str">
        <f>IF(+All!$F207="Ohio",+All!N207,IF(+All!$H207="Ohio",+All!N207,0))</f>
        <v>Iowa State</v>
      </c>
      <c r="O132" s="462">
        <f>IF(+All!$F207="Ohio",+All!O207,IF(+All!$H207="Ohio",+All!O207,0))</f>
        <v>43</v>
      </c>
      <c r="P132" s="462" t="str">
        <f>IF(+All!$F207="Ohio",+All!P207,IF(+All!$H207="Ohio",+All!P207,0))</f>
        <v>Ohio</v>
      </c>
      <c r="Q132" s="461">
        <f>IF(+All!$F207="Ohio",+All!Q207,IF(+All!$H207="Ohio",+All!Q207,0))</f>
        <v>10</v>
      </c>
      <c r="R132" s="460" t="str">
        <f>IF(+All!$F207="Ohio",+All!R207,IF(+All!$H207="Ohio",+All!R207,0))</f>
        <v>Iowa State</v>
      </c>
      <c r="S132" s="462" t="str">
        <f>IF(+All!$F207="Ohio",+All!S207,IF(+All!$H207="Ohio",+All!S207,0))</f>
        <v>Ohio</v>
      </c>
      <c r="T132" s="460" t="str">
        <f>IF(+All!$F207="Ohio",+All!T207,IF(+All!$H207="Ohio",+All!T207,0))</f>
        <v>Iowa State</v>
      </c>
      <c r="U132" s="461" t="str">
        <f>IF(+All!$F207="Ohio",+All!U207,IF(+All!$H207="Ohio",+All!U207,0))</f>
        <v>W</v>
      </c>
    </row>
    <row r="133" spans="1:21" x14ac:dyDescent="0.8">
      <c r="A133" s="46">
        <f>IF(+All!$F290="Ohio",+All!A290,IF(+All!$H290="Ohio",+All!A290,0))</f>
        <v>4</v>
      </c>
      <c r="B133" s="348" t="str">
        <f>IF(+All!$F290="Ohio",+All!B290,IF(+All!$H290="Ohio",+All!B290,0))</f>
        <v>Sat</v>
      </c>
      <c r="C133" s="48">
        <f>IF(+All!$F290="Ohio",+All!C290,IF(+All!$H290="Ohio",+All!C290,0))</f>
        <v>44828</v>
      </c>
      <c r="D133" s="490">
        <f>IF(+All!$F290="Ohio",+All!D290,IF(+All!$H290="Ohio",+All!D290,0))</f>
        <v>0.58333333333333337</v>
      </c>
      <c r="E133" s="461">
        <f>IF(+All!$F290="Ohio",+All!E290,IF(+All!$H290="Ohio",+All!E290,0))</f>
        <v>0</v>
      </c>
      <c r="F133" s="51" t="str">
        <f>IF(+All!$F290="Ohio",+All!F290,IF(+All!$H290="Ohio",+All!F290,0))</f>
        <v>1AA Fordham</v>
      </c>
      <c r="G133" s="52" t="str">
        <f>IF(+All!$F290="Ohio",+All!G290,IF(+All!$H290="Ohio",+All!G290,0))</f>
        <v>1AA</v>
      </c>
      <c r="H133" s="51" t="str">
        <f>IF(+All!$F290="Ohio",+All!H290,IF(+All!$H290="Ohio",+All!H290,0))</f>
        <v>Ohio</v>
      </c>
      <c r="I133" s="52" t="str">
        <f>IF(+All!$F290="Ohio",+All!I290,IF(+All!$H290="Ohio",+All!I290,0))</f>
        <v>MAC</v>
      </c>
      <c r="J133" s="460">
        <f>IF(+All!$F290="Ohio",+All!J290,IF(+All!$H290="Ohio",+All!J290,0))</f>
        <v>0</v>
      </c>
      <c r="K133" s="461">
        <f>IF(+All!$F290="Ohio",+All!K290,IF(+All!$H290="Ohio",+All!K290,0))</f>
        <v>0</v>
      </c>
      <c r="L133" s="54">
        <f>IF(+All!$F290="Ohio",+All!L290,IF(+All!$H290="Ohio",+All!L290,0))</f>
        <v>0</v>
      </c>
      <c r="M133" s="55">
        <f>IF(+All!$F290="Ohio",+All!M290,IF(+All!$H290="Ohio",+All!M290,0))</f>
        <v>0</v>
      </c>
      <c r="N133" s="460" t="str">
        <f>IF(+All!$F290="Ohio",+All!N290,IF(+All!$H290="Ohio",+All!N290,0))</f>
        <v>Ohio</v>
      </c>
      <c r="O133" s="462">
        <f>IF(+All!$F290="Ohio",+All!O290,IF(+All!$H290="Ohio",+All!O290,0))</f>
        <v>59</v>
      </c>
      <c r="P133" s="462" t="str">
        <f>IF(+All!$F290="Ohio",+All!P290,IF(+All!$H290="Ohio",+All!P290,0))</f>
        <v>1AA Fordham</v>
      </c>
      <c r="Q133" s="461">
        <f>IF(+All!$F290="Ohio",+All!Q290,IF(+All!$H290="Ohio",+All!Q290,0))</f>
        <v>52</v>
      </c>
      <c r="R133" s="460">
        <f>IF(+All!$F290="Ohio",+All!R290,IF(+All!$H290="Ohio",+All!R290,0))</f>
        <v>0</v>
      </c>
      <c r="S133" s="462">
        <f>IF(+All!$F290="Ohio",+All!S290,IF(+All!$H290="Ohio",+All!S290,0))</f>
        <v>0</v>
      </c>
      <c r="T133" s="460">
        <f>IF(+All!$F290="Ohio",+All!T290,IF(+All!$H290="Ohio",+All!T290,0))</f>
        <v>0</v>
      </c>
      <c r="U133" s="461">
        <f>IF(+All!$F290="Ohio",+All!U290,IF(+All!$H290="Ohio",+All!U290,0))</f>
        <v>0</v>
      </c>
    </row>
    <row r="134" spans="1:21" x14ac:dyDescent="0.8">
      <c r="A134" s="46">
        <f>IF(+All!$F358="Ohio",+All!A358,IF(+All!$H358="Ohio",+All!A358,0))</f>
        <v>5</v>
      </c>
      <c r="B134" s="348" t="str">
        <f>IF(+All!$F358="Ohio",+All!B358,IF(+All!$H358="Ohio",+All!B358,0))</f>
        <v>Sat</v>
      </c>
      <c r="C134" s="48">
        <f>IF(+All!$F358="Ohio",+All!C358,IF(+All!$H358="Ohio",+All!C358,0))</f>
        <v>44835</v>
      </c>
      <c r="D134" s="490">
        <f>IF(+All!$F358="Ohio",+All!D358,IF(+All!$H358="Ohio",+All!D358,0))</f>
        <v>0.64583333333333337</v>
      </c>
      <c r="E134" s="461">
        <f>IF(+All!$F358="Ohio",+All!E358,IF(+All!$H358="Ohio",+All!E358,0))</f>
        <v>0</v>
      </c>
      <c r="F134" s="51" t="str">
        <f>IF(+All!$F358="Ohio",+All!F358,IF(+All!$H358="Ohio",+All!F358,0))</f>
        <v>Ohio</v>
      </c>
      <c r="G134" s="52" t="str">
        <f>IF(+All!$F358="Ohio",+All!G358,IF(+All!$H358="Ohio",+All!G358,0))</f>
        <v>MAC</v>
      </c>
      <c r="H134" s="51" t="str">
        <f>IF(+All!$F358="Ohio",+All!H358,IF(+All!$H358="Ohio",+All!H358,0))</f>
        <v>Kent State</v>
      </c>
      <c r="I134" s="52" t="str">
        <f>IF(+All!$F358="Ohio",+All!I358,IF(+All!$H358="Ohio",+All!I358,0))</f>
        <v>MAC</v>
      </c>
      <c r="J134" s="460" t="str">
        <f>IF(+All!$F358="Ohio",+All!J358,IF(+All!$H358="Ohio",+All!J358,0))</f>
        <v>Kent State</v>
      </c>
      <c r="K134" s="461" t="str">
        <f>IF(+All!$F358="Ohio",+All!K358,IF(+All!$H358="Ohio",+All!K358,0))</f>
        <v>Ohio</v>
      </c>
      <c r="L134" s="54">
        <f>IF(+All!$F358="Ohio",+All!L358,IF(+All!$H358="Ohio",+All!L358,0))</f>
        <v>11</v>
      </c>
      <c r="M134" s="55">
        <f>IF(+All!$F358="Ohio",+All!M358,IF(+All!$H358="Ohio",+All!M358,0))</f>
        <v>68</v>
      </c>
      <c r="N134" s="460" t="str">
        <f>IF(+All!$F358="Ohio",+All!N358,IF(+All!$H358="Ohio",+All!N358,0))</f>
        <v>Kent State</v>
      </c>
      <c r="O134" s="462">
        <f>IF(+All!$F358="Ohio",+All!O358,IF(+All!$H358="Ohio",+All!O358,0))</f>
        <v>31</v>
      </c>
      <c r="P134" s="462" t="str">
        <f>IF(+All!$F358="Ohio",+All!P358,IF(+All!$H358="Ohio",+All!P358,0))</f>
        <v>Ohio</v>
      </c>
      <c r="Q134" s="461">
        <f>IF(+All!$F358="Ohio",+All!Q358,IF(+All!$H358="Ohio",+All!Q358,0))</f>
        <v>24</v>
      </c>
      <c r="R134" s="460" t="str">
        <f>IF(+All!$F358="Ohio",+All!R358,IF(+All!$H358="Ohio",+All!R358,0))</f>
        <v>Ohio</v>
      </c>
      <c r="S134" s="462" t="str">
        <f>IF(+All!$F358="Ohio",+All!S358,IF(+All!$H358="Ohio",+All!S358,0))</f>
        <v>Kent State</v>
      </c>
      <c r="T134" s="460" t="str">
        <f>IF(+All!$F358="Ohio",+All!T358,IF(+All!$H358="Ohio",+All!T358,0))</f>
        <v>Kent State</v>
      </c>
      <c r="U134" s="461" t="str">
        <f>IF(+All!$F358="Ohio",+All!U358,IF(+All!$H358="Ohio",+All!U358,0))</f>
        <v>L</v>
      </c>
    </row>
    <row r="135" spans="1:21" x14ac:dyDescent="0.8">
      <c r="A135" s="46">
        <f>IF(+All!$F415="Ohio",+All!A415,IF(+All!$H415="Ohio",+All!A415,0))</f>
        <v>6</v>
      </c>
      <c r="B135" s="348" t="str">
        <f>IF(+All!$F415="Ohio",+All!B415,IF(+All!$H415="Ohio",+All!B415,0))</f>
        <v>Sat</v>
      </c>
      <c r="C135" s="48">
        <f>IF(+All!$F415="Ohio",+All!C415,IF(+All!$H415="Ohio",+All!C415,0))</f>
        <v>44842</v>
      </c>
      <c r="D135" s="490">
        <f>IF(+All!$F415="Ohio",+All!D415,IF(+All!$H415="Ohio",+All!D415,0))</f>
        <v>0.58333333333333337</v>
      </c>
      <c r="E135" s="461" t="str">
        <f>IF(+All!$F415="Ohio",+All!E415,IF(+All!$H415="Ohio",+All!E415,0))</f>
        <v>espn3</v>
      </c>
      <c r="F135" s="51" t="str">
        <f>IF(+All!$F415="Ohio",+All!F415,IF(+All!$H415="Ohio",+All!F415,0))</f>
        <v>Akron</v>
      </c>
      <c r="G135" s="52" t="str">
        <f>IF(+All!$F415="Ohio",+All!G415,IF(+All!$H415="Ohio",+All!G415,0))</f>
        <v>MAC</v>
      </c>
      <c r="H135" s="51" t="str">
        <f>IF(+All!$F415="Ohio",+All!H415,IF(+All!$H415="Ohio",+All!H415,0))</f>
        <v>Ohio</v>
      </c>
      <c r="I135" s="52" t="str">
        <f>IF(+All!$F415="Ohio",+All!I415,IF(+All!$H415="Ohio",+All!I415,0))</f>
        <v>MAC</v>
      </c>
      <c r="J135" s="460" t="str">
        <f>IF(+All!$F415="Ohio",+All!J415,IF(+All!$H415="Ohio",+All!J415,0))</f>
        <v>Ohio</v>
      </c>
      <c r="K135" s="461" t="str">
        <f>IF(+All!$F415="Ohio",+All!K415,IF(+All!$H415="Ohio",+All!K415,0))</f>
        <v>Akron</v>
      </c>
      <c r="L135" s="54">
        <f>IF(+All!$F415="Ohio",+All!L415,IF(+All!$H415="Ohio",+All!L415,0))</f>
        <v>11.5</v>
      </c>
      <c r="M135" s="55">
        <f>IF(+All!$F415="Ohio",+All!M415,IF(+All!$H415="Ohio",+All!M415,0))</f>
        <v>60</v>
      </c>
      <c r="N135" s="460" t="str">
        <f>IF(+All!$F415="Ohio",+All!N415,IF(+All!$H415="Ohio",+All!N415,0))</f>
        <v>Ohio</v>
      </c>
      <c r="O135" s="462">
        <f>IF(+All!$F415="Ohio",+All!O415,IF(+All!$H415="Ohio",+All!O415,0))</f>
        <v>55</v>
      </c>
      <c r="P135" s="462" t="str">
        <f>IF(+All!$F415="Ohio",+All!P415,IF(+All!$H415="Ohio",+All!P415,0))</f>
        <v>Akron</v>
      </c>
      <c r="Q135" s="461">
        <f>IF(+All!$F415="Ohio",+All!Q415,IF(+All!$H415="Ohio",+All!Q415,0))</f>
        <v>34</v>
      </c>
      <c r="R135" s="460" t="str">
        <f>IF(+All!$F415="Ohio",+All!R415,IF(+All!$H415="Ohio",+All!R415,0))</f>
        <v>Ohio</v>
      </c>
      <c r="S135" s="462" t="str">
        <f>IF(+All!$F415="Ohio",+All!S415,IF(+All!$H415="Ohio",+All!S415,0))</f>
        <v>Akron</v>
      </c>
      <c r="T135" s="460" t="str">
        <f>IF(+All!$F415="Ohio",+All!T415,IF(+All!$H415="Ohio",+All!T415,0))</f>
        <v>Ohio</v>
      </c>
      <c r="U135" s="461" t="str">
        <f>IF(+All!$F415="Ohio",+All!U415,IF(+All!$H415="Ohio",+All!U415,0))</f>
        <v>W</v>
      </c>
    </row>
    <row r="136" spans="1:21" x14ac:dyDescent="0.8">
      <c r="A136" s="46">
        <f>IF(+All!$F472="Ohio",+All!A472,IF(+All!$H472="Ohio",+All!A472,0))</f>
        <v>7</v>
      </c>
      <c r="B136" s="348" t="str">
        <f>IF(+All!$F472="Ohio",+All!B472,IF(+All!$H472="Ohio",+All!B472,0))</f>
        <v>Sat</v>
      </c>
      <c r="C136" s="48">
        <f>IF(+All!$F472="Ohio",+All!C472,IF(+All!$H472="Ohio",+All!C472,0))</f>
        <v>44849</v>
      </c>
      <c r="D136" s="490">
        <f>IF(+All!$F472="Ohio",+All!D472,IF(+All!$H472="Ohio",+All!D472,0))</f>
        <v>0.64583333333333337</v>
      </c>
      <c r="E136" s="461" t="str">
        <f>IF(+All!$F472="Ohio",+All!E472,IF(+All!$H472="Ohio",+All!E472,0))</f>
        <v>CBSSN</v>
      </c>
      <c r="F136" s="51" t="str">
        <f>IF(+All!$F472="Ohio",+All!F472,IF(+All!$H472="Ohio",+All!F472,0))</f>
        <v>Ohio</v>
      </c>
      <c r="G136" s="52" t="str">
        <f>IF(+All!$F472="Ohio",+All!G472,IF(+All!$H472="Ohio",+All!G472,0))</f>
        <v>MAC</v>
      </c>
      <c r="H136" s="51" t="str">
        <f>IF(+All!$F472="Ohio",+All!H472,IF(+All!$H472="Ohio",+All!H472,0))</f>
        <v>Western Michigan</v>
      </c>
      <c r="I136" s="52" t="str">
        <f>IF(+All!$F472="Ohio",+All!I472,IF(+All!$H472="Ohio",+All!I472,0))</f>
        <v>MAC</v>
      </c>
      <c r="J136" s="460" t="str">
        <f>IF(+All!$F472="Ohio",+All!J472,IF(+All!$H472="Ohio",+All!J472,0))</f>
        <v>Ohio</v>
      </c>
      <c r="K136" s="461" t="str">
        <f>IF(+All!$F472="Ohio",+All!K472,IF(+All!$H472="Ohio",+All!K472,0))</f>
        <v>Western Michigan</v>
      </c>
      <c r="L136" s="54">
        <f>IF(+All!$F472="Ohio",+All!L472,IF(+All!$H472="Ohio",+All!L472,0))</f>
        <v>1</v>
      </c>
      <c r="M136" s="55">
        <f>IF(+All!$F472="Ohio",+All!M472,IF(+All!$H472="Ohio",+All!M472,0))</f>
        <v>59.5</v>
      </c>
      <c r="N136" s="460" t="str">
        <f>IF(+All!$F472="Ohio",+All!N472,IF(+All!$H472="Ohio",+All!N472,0))</f>
        <v>Ohio</v>
      </c>
      <c r="O136" s="462">
        <f>IF(+All!$F472="Ohio",+All!O472,IF(+All!$H472="Ohio",+All!O472,0))</f>
        <v>33</v>
      </c>
      <c r="P136" s="462" t="str">
        <f>IF(+All!$F472="Ohio",+All!P472,IF(+All!$H472="Ohio",+All!P472,0))</f>
        <v>Western Michigan</v>
      </c>
      <c r="Q136" s="461">
        <f>IF(+All!$F472="Ohio",+All!Q472,IF(+All!$H472="Ohio",+All!Q472,0))</f>
        <v>14</v>
      </c>
      <c r="R136" s="460" t="str">
        <f>IF(+All!$F472="Ohio",+All!R472,IF(+All!$H472="Ohio",+All!R472,0))</f>
        <v>Ohio</v>
      </c>
      <c r="S136" s="462" t="str">
        <f>IF(+All!$F472="Ohio",+All!S472,IF(+All!$H472="Ohio",+All!S472,0))</f>
        <v>Western Michigan</v>
      </c>
      <c r="T136" s="460" t="str">
        <f>IF(+All!$F472="Ohio",+All!T472,IF(+All!$H472="Ohio",+All!T472,0))</f>
        <v>Ohio</v>
      </c>
      <c r="U136" s="461" t="str">
        <f>IF(+All!$F472="Ohio",+All!U472,IF(+All!$H472="Ohio",+All!U472,0))</f>
        <v>W</v>
      </c>
    </row>
    <row r="137" spans="1:21" x14ac:dyDescent="0.8">
      <c r="A137" s="46">
        <f>IF(+All!$F525="Ohio",+All!A525,IF(+All!$H525="Ohio",+All!A525,0))</f>
        <v>8</v>
      </c>
      <c r="B137" s="348" t="str">
        <f>IF(+All!$F525="Ohio",+All!B525,IF(+All!$H525="Ohio",+All!B525,0))</f>
        <v>Sat</v>
      </c>
      <c r="C137" s="48">
        <f>IF(+All!$F525="Ohio",+All!C525,IF(+All!$H525="Ohio",+All!C525,0))</f>
        <v>44856</v>
      </c>
      <c r="D137" s="490">
        <f>IF(+All!$F525="Ohio",+All!D525,IF(+All!$H525="Ohio",+All!D525,0))</f>
        <v>0.58333333333333337</v>
      </c>
      <c r="E137" s="461">
        <f>IF(+All!$F525="Ohio",+All!E525,IF(+All!$H525="Ohio",+All!E525,0))</f>
        <v>0</v>
      </c>
      <c r="F137" s="51" t="str">
        <f>IF(+All!$F525="Ohio",+All!F525,IF(+All!$H525="Ohio",+All!F525,0))</f>
        <v>Northern Illinois</v>
      </c>
      <c r="G137" s="52" t="str">
        <f>IF(+All!$F525="Ohio",+All!G525,IF(+All!$H525="Ohio",+All!G525,0))</f>
        <v>MAC</v>
      </c>
      <c r="H137" s="51" t="str">
        <f>IF(+All!$F525="Ohio",+All!H525,IF(+All!$H525="Ohio",+All!H525,0))</f>
        <v>Ohio</v>
      </c>
      <c r="I137" s="52" t="str">
        <f>IF(+All!$F525="Ohio",+All!I525,IF(+All!$H525="Ohio",+All!I525,0))</f>
        <v>MAC</v>
      </c>
      <c r="J137" s="460" t="str">
        <f>IF(+All!$F525="Ohio",+All!J525,IF(+All!$H525="Ohio",+All!J525,0))</f>
        <v>Northern Illinois</v>
      </c>
      <c r="K137" s="461" t="str">
        <f>IF(+All!$F525="Ohio",+All!K525,IF(+All!$H525="Ohio",+All!K525,0))</f>
        <v>Ohio</v>
      </c>
      <c r="L137" s="54">
        <f>IF(+All!$F525="Ohio",+All!L525,IF(+All!$H525="Ohio",+All!L525,0))</f>
        <v>3</v>
      </c>
      <c r="M137" s="55">
        <f>IF(+All!$F525="Ohio",+All!M525,IF(+All!$H525="Ohio",+All!M525,0))</f>
        <v>64.5</v>
      </c>
      <c r="N137" s="460" t="str">
        <f>IF(+All!$F525="Ohio",+All!N525,IF(+All!$H525="Ohio",+All!N525,0))</f>
        <v>Ohio</v>
      </c>
      <c r="O137" s="462">
        <f>IF(+All!$F525="Ohio",+All!O525,IF(+All!$H525="Ohio",+All!O525,0))</f>
        <v>24</v>
      </c>
      <c r="P137" s="462" t="str">
        <f>IF(+All!$F525="Ohio",+All!P525,IF(+All!$H525="Ohio",+All!P525,0))</f>
        <v>Northern Illinois</v>
      </c>
      <c r="Q137" s="461">
        <f>IF(+All!$F525="Ohio",+All!Q525,IF(+All!$H525="Ohio",+All!Q525,0))</f>
        <v>17</v>
      </c>
      <c r="R137" s="460" t="str">
        <f>IF(+All!$F525="Ohio",+All!R525,IF(+All!$H525="Ohio",+All!R525,0))</f>
        <v>Ohio</v>
      </c>
      <c r="S137" s="462" t="str">
        <f>IF(+All!$F525="Ohio",+All!S525,IF(+All!$H525="Ohio",+All!S525,0))</f>
        <v>Northern Illinois</v>
      </c>
      <c r="T137" s="460" t="str">
        <f>IF(+All!$F525="Ohio",+All!T525,IF(+All!$H525="Ohio",+All!T525,0))</f>
        <v>Ohio</v>
      </c>
      <c r="U137" s="461" t="str">
        <f>IF(+All!$F525="Ohio",+All!U525,IF(+All!$H525="Ohio",+All!U525,0))</f>
        <v>W</v>
      </c>
    </row>
    <row r="138" spans="1:21" x14ac:dyDescent="0.8">
      <c r="A138" s="46" t="e">
        <f>IF(+All!#REF!="Ohio",+All!#REF!,IF(+All!#REF!="Ohio",+All!#REF!,0))</f>
        <v>#REF!</v>
      </c>
      <c r="B138" s="348" t="e">
        <f>IF(+All!#REF!="Ohio",+All!#REF!,IF(+All!#REF!="Ohio",+All!#REF!,0))</f>
        <v>#REF!</v>
      </c>
      <c r="C138" s="48" t="e">
        <f>IF(+All!#REF!="Ohio",+All!#REF!,IF(+All!#REF!="Ohio",+All!#REF!,0))</f>
        <v>#REF!</v>
      </c>
      <c r="D138" s="490" t="e">
        <f>IF(+All!#REF!="Ohio",+All!#REF!,IF(+All!#REF!="Ohio",+All!#REF!,0))</f>
        <v>#REF!</v>
      </c>
      <c r="E138" s="461" t="e">
        <f>IF(+All!#REF!="Ohio",+All!#REF!,IF(+All!#REF!="Ohio",+All!#REF!,0))</f>
        <v>#REF!</v>
      </c>
      <c r="F138" s="51" t="e">
        <f>IF(+All!#REF!="Ohio",+All!#REF!,IF(+All!#REF!="Ohio",+All!#REF!,0))</f>
        <v>#REF!</v>
      </c>
      <c r="G138" s="52" t="e">
        <f>IF(+All!#REF!="Ohio",+All!#REF!,IF(+All!#REF!="Ohio",+All!#REF!,0))</f>
        <v>#REF!</v>
      </c>
      <c r="H138" s="51" t="e">
        <f>IF(+All!#REF!="Ohio",+All!#REF!,IF(+All!#REF!="Ohio",+All!#REF!,0))</f>
        <v>#REF!</v>
      </c>
      <c r="I138" s="52" t="e">
        <f>IF(+All!#REF!="Ohio",+All!#REF!,IF(+All!#REF!="Ohio",+All!#REF!,0))</f>
        <v>#REF!</v>
      </c>
      <c r="J138" s="460" t="e">
        <f>IF(+All!#REF!="Ohio",+All!#REF!,IF(+All!#REF!="Ohio",+All!#REF!,0))</f>
        <v>#REF!</v>
      </c>
      <c r="K138" s="461" t="e">
        <f>IF(+All!#REF!="Ohio",+All!#REF!,IF(+All!#REF!="Ohio",+All!#REF!,0))</f>
        <v>#REF!</v>
      </c>
      <c r="L138" s="54" t="e">
        <f>IF(+All!#REF!="Ohio",+All!#REF!,IF(+All!#REF!="Ohio",+All!#REF!,0))</f>
        <v>#REF!</v>
      </c>
      <c r="M138" s="55" t="e">
        <f>IF(+All!#REF!="Ohio",+All!#REF!,IF(+All!#REF!="Ohio",+All!#REF!,0))</f>
        <v>#REF!</v>
      </c>
      <c r="N138" s="460" t="e">
        <f>IF(+All!#REF!="Ohio",+All!#REF!,IF(+All!#REF!="Ohio",+All!#REF!,0))</f>
        <v>#REF!</v>
      </c>
      <c r="O138" s="462" t="e">
        <f>IF(+All!#REF!="Ohio",+All!#REF!,IF(+All!#REF!="Ohio",+All!#REF!,0))</f>
        <v>#REF!</v>
      </c>
      <c r="P138" s="462" t="e">
        <f>IF(+All!#REF!="Ohio",+All!#REF!,IF(+All!#REF!="Ohio",+All!#REF!,0))</f>
        <v>#REF!</v>
      </c>
      <c r="Q138" s="461" t="e">
        <f>IF(+All!#REF!="Ohio",+All!#REF!,IF(+All!#REF!="Ohio",+All!#REF!,0))</f>
        <v>#REF!</v>
      </c>
      <c r="R138" s="460" t="e">
        <f>IF(+All!#REF!="Ohio",+All!#REF!,IF(+All!#REF!="Ohio",+All!#REF!,0))</f>
        <v>#REF!</v>
      </c>
      <c r="S138" s="462" t="e">
        <f>IF(+All!#REF!="Ohio",+All!#REF!,IF(+All!#REF!="Ohio",+All!#REF!,0))</f>
        <v>#REF!</v>
      </c>
      <c r="T138" s="460" t="e">
        <f>IF(+All!#REF!="Ohio",+All!#REF!,IF(+All!#REF!="Ohio",+All!#REF!,0))</f>
        <v>#REF!</v>
      </c>
      <c r="U138" s="461" t="e">
        <f>IF(+All!#REF!="Ohio",+All!#REF!,IF(+All!#REF!="Ohio",+All!#REF!,0))</f>
        <v>#REF!</v>
      </c>
    </row>
    <row r="139" spans="1:21" x14ac:dyDescent="0.8">
      <c r="A139" s="46">
        <f>IF(+All!$F594="Ohio",+All!A594,IF(+All!$H594="Ohio",+All!A594,0))</f>
        <v>10</v>
      </c>
      <c r="B139" s="348" t="str">
        <f>IF(+All!$F594="Ohio",+All!B594,IF(+All!$H594="Ohio",+All!B594,0))</f>
        <v>Tues</v>
      </c>
      <c r="C139" s="48">
        <f>IF(+All!$F594="Ohio",+All!C594,IF(+All!$H594="Ohio",+All!C594,0))</f>
        <v>44866</v>
      </c>
      <c r="D139" s="490">
        <f>IF(+All!$F594="Ohio",+All!D594,IF(+All!$H594="Ohio",+All!D594,0))</f>
        <v>0.8125</v>
      </c>
      <c r="E139" s="461" t="str">
        <f>IF(+All!$F594="Ohio",+All!E594,IF(+All!$H594="Ohio",+All!E594,0))</f>
        <v>ESPN2</v>
      </c>
      <c r="F139" s="51" t="str">
        <f>IF(+All!$F594="Ohio",+All!F594,IF(+All!$H594="Ohio",+All!F594,0))</f>
        <v>Buffalo</v>
      </c>
      <c r="G139" s="52" t="str">
        <f>IF(+All!$F594="Ohio",+All!G594,IF(+All!$H594="Ohio",+All!G594,0))</f>
        <v>MAC</v>
      </c>
      <c r="H139" s="51" t="str">
        <f>IF(+All!$F594="Ohio",+All!H594,IF(+All!$H594="Ohio",+All!H594,0))</f>
        <v>Ohio</v>
      </c>
      <c r="I139" s="52" t="str">
        <f>IF(+All!$F594="Ohio",+All!I594,IF(+All!$H594="Ohio",+All!I594,0))</f>
        <v>MAC</v>
      </c>
      <c r="J139" s="460" t="str">
        <f>IF(+All!$F594="Ohio",+All!J594,IF(+All!$H594="Ohio",+All!J594,0))</f>
        <v>Buffalo</v>
      </c>
      <c r="K139" s="461" t="str">
        <f>IF(+All!$F594="Ohio",+All!K594,IF(+All!$H594="Ohio",+All!K594,0))</f>
        <v>Ohio</v>
      </c>
      <c r="L139" s="54">
        <f>IF(+All!$F594="Ohio",+All!L594,IF(+All!$H594="Ohio",+All!L594,0))</f>
        <v>2.5</v>
      </c>
      <c r="M139" s="55">
        <f>IF(+All!$F594="Ohio",+All!M594,IF(+All!$H594="Ohio",+All!M594,0))</f>
        <v>60</v>
      </c>
      <c r="N139" s="460" t="str">
        <f>IF(+All!$F594="Ohio",+All!N594,IF(+All!$H594="Ohio",+All!N594,0))</f>
        <v>Ohio</v>
      </c>
      <c r="O139" s="462">
        <f>IF(+All!$F594="Ohio",+All!O594,IF(+All!$H594="Ohio",+All!O594,0))</f>
        <v>45</v>
      </c>
      <c r="P139" s="462" t="str">
        <f>IF(+All!$F594="Ohio",+All!P594,IF(+All!$H594="Ohio",+All!P594,0))</f>
        <v>Buffalo</v>
      </c>
      <c r="Q139" s="461">
        <f>IF(+All!$F594="Ohio",+All!Q594,IF(+All!$H594="Ohio",+All!Q594,0))</f>
        <v>24</v>
      </c>
      <c r="R139" s="460" t="str">
        <f>IF(+All!$F594="Ohio",+All!R594,IF(+All!$H594="Ohio",+All!R594,0))</f>
        <v>Ohio</v>
      </c>
      <c r="S139" s="462" t="str">
        <f>IF(+All!$F594="Ohio",+All!S594,IF(+All!$H594="Ohio",+All!S594,0))</f>
        <v>Buffalo</v>
      </c>
      <c r="T139" s="460" t="str">
        <f>IF(+All!$F594="Ohio",+All!T594,IF(+All!$H594="Ohio",+All!T594,0))</f>
        <v>Buffalo</v>
      </c>
      <c r="U139" s="461" t="str">
        <f>IF(+All!$F594="Ohio",+All!U594,IF(+All!$H594="Ohio",+All!U594,0))</f>
        <v>L</v>
      </c>
    </row>
    <row r="140" spans="1:21" x14ac:dyDescent="0.8">
      <c r="A140" s="46">
        <f>IF(+All!$F654="Ohio",+All!A654,IF(+All!$H654="Ohio",+All!A654,0))</f>
        <v>11</v>
      </c>
      <c r="B140" s="348" t="str">
        <f>IF(+All!$F654="Ohio",+All!B654,IF(+All!$H654="Ohio",+All!B654,0))</f>
        <v>Tues</v>
      </c>
      <c r="C140" s="48">
        <f>IF(+All!$F654="Ohio",+All!C654,IF(+All!$H654="Ohio",+All!C654,0))</f>
        <v>44508</v>
      </c>
      <c r="D140" s="490">
        <f>IF(+All!$F654="Ohio",+All!D654,IF(+All!$H654="Ohio",+All!D654,0))</f>
        <v>0.8125</v>
      </c>
      <c r="E140" s="461" t="str">
        <f>IF(+All!$F654="Ohio",+All!E654,IF(+All!$H654="Ohio",+All!E654,0))</f>
        <v>ESPN2</v>
      </c>
      <c r="F140" s="51" t="str">
        <f>IF(+All!$F654="Ohio",+All!F654,IF(+All!$H654="Ohio",+All!F654,0))</f>
        <v>Ohio</v>
      </c>
      <c r="G140" s="52" t="str">
        <f>IF(+All!$F654="Ohio",+All!G654,IF(+All!$H654="Ohio",+All!G654,0))</f>
        <v>MAC</v>
      </c>
      <c r="H140" s="51" t="str">
        <f>IF(+All!$F654="Ohio",+All!H654,IF(+All!$H654="Ohio",+All!H654,0))</f>
        <v>Miami (OH)</v>
      </c>
      <c r="I140" s="52" t="str">
        <f>IF(+All!$F654="Ohio",+All!I654,IF(+All!$H654="Ohio",+All!I654,0))</f>
        <v>MAC</v>
      </c>
      <c r="J140" s="460" t="str">
        <f>IF(+All!$F654="Ohio",+All!J654,IF(+All!$H654="Ohio",+All!J654,0))</f>
        <v>Ohio</v>
      </c>
      <c r="K140" s="461" t="str">
        <f>IF(+All!$F654="Ohio",+All!K654,IF(+All!$H654="Ohio",+All!K654,0))</f>
        <v>Miami (OH)</v>
      </c>
      <c r="L140" s="54">
        <f>IF(+All!$F654="Ohio",+All!L654,IF(+All!$H654="Ohio",+All!L654,0))</f>
        <v>2</v>
      </c>
      <c r="M140" s="55">
        <f>IF(+All!$F654="Ohio",+All!M654,IF(+All!$H654="Ohio",+All!M654,0))</f>
        <v>50.5</v>
      </c>
      <c r="N140" s="460" t="str">
        <f>IF(+All!$F654="Ohio",+All!N654,IF(+All!$H654="Ohio",+All!N654,0))</f>
        <v>Ohio</v>
      </c>
      <c r="O140" s="462">
        <f>IF(+All!$F654="Ohio",+All!O654,IF(+All!$H654="Ohio",+All!O654,0))</f>
        <v>37</v>
      </c>
      <c r="P140" s="462" t="str">
        <f>IF(+All!$F654="Ohio",+All!P654,IF(+All!$H654="Ohio",+All!P654,0))</f>
        <v>Miami (OH)</v>
      </c>
      <c r="Q140" s="461">
        <f>IF(+All!$F654="Ohio",+All!Q654,IF(+All!$H654="Ohio",+All!Q654,0))</f>
        <v>21</v>
      </c>
      <c r="R140" s="460" t="str">
        <f>IF(+All!$F654="Ohio",+All!R654,IF(+All!$H654="Ohio",+All!R654,0))</f>
        <v>Ohio</v>
      </c>
      <c r="S140" s="462" t="str">
        <f>IF(+All!$F654="Ohio",+All!S654,IF(+All!$H654="Ohio",+All!S654,0))</f>
        <v>Miami (OH)</v>
      </c>
      <c r="T140" s="460" t="str">
        <f>IF(+All!$F654="Ohio",+All!T654,IF(+All!$H654="Ohio",+All!T654,0))</f>
        <v>Ohio</v>
      </c>
      <c r="U140" s="461" t="str">
        <f>IF(+All!$F654="Ohio",+All!U654,IF(+All!$H654="Ohio",+All!U654,0))</f>
        <v>W</v>
      </c>
    </row>
    <row r="141" spans="1:21" x14ac:dyDescent="0.8">
      <c r="A141" s="46">
        <f>IF(+All!$F718="Ohio",+All!A718,IF(+All!$H718="Ohio",+All!A718,0))</f>
        <v>12</v>
      </c>
      <c r="B141" s="348" t="str">
        <f>IF(+All!$F718="Ohio",+All!B718,IF(+All!$H718="Ohio",+All!B718,0))</f>
        <v>Tues</v>
      </c>
      <c r="C141" s="48">
        <f>IF(+All!$F718="Ohio",+All!C718,IF(+All!$H718="Ohio",+All!C718,0))</f>
        <v>44880</v>
      </c>
      <c r="D141" s="490">
        <f>IF(+All!$F718="Ohio",+All!D718,IF(+All!$H718="Ohio",+All!D718,0))</f>
        <v>0.79166666666666663</v>
      </c>
      <c r="E141" s="461" t="str">
        <f>IF(+All!$F718="Ohio",+All!E718,IF(+All!$H718="Ohio",+All!E718,0))</f>
        <v>ESPN2</v>
      </c>
      <c r="F141" s="51" t="str">
        <f>IF(+All!$F718="Ohio",+All!F718,IF(+All!$H718="Ohio",+All!F718,0))</f>
        <v>Ohio</v>
      </c>
      <c r="G141" s="52" t="str">
        <f>IF(+All!$F718="Ohio",+All!G718,IF(+All!$H718="Ohio",+All!G718,0))</f>
        <v>MAC</v>
      </c>
      <c r="H141" s="51" t="str">
        <f>IF(+All!$F718="Ohio",+All!H718,IF(+All!$H718="Ohio",+All!H718,0))</f>
        <v>Ball State</v>
      </c>
      <c r="I141" s="52" t="str">
        <f>IF(+All!$F718="Ohio",+All!I718,IF(+All!$H718="Ohio",+All!I718,0))</f>
        <v>MAC</v>
      </c>
      <c r="J141" s="460" t="str">
        <f>IF(+All!$F718="Ohio",+All!J718,IF(+All!$H718="Ohio",+All!J718,0))</f>
        <v>Ohio</v>
      </c>
      <c r="K141" s="461" t="str">
        <f>IF(+All!$F718="Ohio",+All!K718,IF(+All!$H718="Ohio",+All!K718,0))</f>
        <v>Ball State</v>
      </c>
      <c r="L141" s="54">
        <f>IF(+All!$F718="Ohio",+All!L718,IF(+All!$H718="Ohio",+All!L718,0))</f>
        <v>4</v>
      </c>
      <c r="M141" s="55">
        <f>IF(+All!$F718="Ohio",+All!M718,IF(+All!$H718="Ohio",+All!M718,0))</f>
        <v>57</v>
      </c>
      <c r="N141" s="460" t="str">
        <f>IF(+All!$F718="Ohio",+All!N718,IF(+All!$H718="Ohio",+All!N718,0))</f>
        <v>Ohio</v>
      </c>
      <c r="O141" s="462">
        <f>IF(+All!$F718="Ohio",+All!O718,IF(+All!$H718="Ohio",+All!O718,0))</f>
        <v>32</v>
      </c>
      <c r="P141" s="462" t="str">
        <f>IF(+All!$F718="Ohio",+All!P718,IF(+All!$H718="Ohio",+All!P718,0))</f>
        <v>Ball State</v>
      </c>
      <c r="Q141" s="461">
        <f>IF(+All!$F718="Ohio",+All!Q718,IF(+All!$H718="Ohio",+All!Q718,0))</f>
        <v>18</v>
      </c>
      <c r="R141" s="460" t="str">
        <f>IF(+All!$F718="Ohio",+All!R718,IF(+All!$H718="Ohio",+All!R718,0))</f>
        <v>Ohio</v>
      </c>
      <c r="S141" s="462" t="str">
        <f>IF(+All!$F718="Ohio",+All!S718,IF(+All!$H718="Ohio",+All!S718,0))</f>
        <v>Ball State</v>
      </c>
      <c r="T141" s="460" t="str">
        <f>IF(+All!$F718="Ohio",+All!T718,IF(+All!$H718="Ohio",+All!T718,0))</f>
        <v>Ohio</v>
      </c>
      <c r="U141" s="461" t="str">
        <f>IF(+All!$F718="Ohio",+All!U718,IF(+All!$H718="Ohio",+All!U718,0))</f>
        <v>W</v>
      </c>
    </row>
    <row r="142" spans="1:21" x14ac:dyDescent="0.8">
      <c r="A142" s="46">
        <f>IF(+All!$F828="Ohio",+All!A828,IF(+All!$H828="Ohio",+All!A828,0))</f>
        <v>13</v>
      </c>
      <c r="B142" s="348" t="str">
        <f>IF(+All!$F828="Ohio",+All!B828,IF(+All!$H828="Ohio",+All!B828,0))</f>
        <v>Tues</v>
      </c>
      <c r="C142" s="48">
        <f>IF(+All!$F828="Ohio",+All!C828,IF(+All!$H828="Ohio",+All!C828,0))</f>
        <v>44887</v>
      </c>
      <c r="D142" s="490">
        <f>IF(+All!$F828="Ohio",+All!D828,IF(+All!$H828="Ohio",+All!D828,0))</f>
        <v>0.79166666666666663</v>
      </c>
      <c r="E142" s="461">
        <f>IF(+All!$F828="Ohio",+All!E828,IF(+All!$H828="Ohio",+All!E828,0))</f>
        <v>0</v>
      </c>
      <c r="F142" s="51" t="str">
        <f>IF(+All!$F828="Ohio",+All!F828,IF(+All!$H828="Ohio",+All!F828,0))</f>
        <v>Bowling Green</v>
      </c>
      <c r="G142" s="52" t="str">
        <f>IF(+All!$F828="Ohio",+All!G828,IF(+All!$H828="Ohio",+All!G828,0))</f>
        <v>MAC</v>
      </c>
      <c r="H142" s="51" t="str">
        <f>IF(+All!$F828="Ohio",+All!H828,IF(+All!$H828="Ohio",+All!H828,0))</f>
        <v>Ohio</v>
      </c>
      <c r="I142" s="52" t="str">
        <f>IF(+All!$F828="Ohio",+All!I828,IF(+All!$H828="Ohio",+All!I828,0))</f>
        <v>MAC</v>
      </c>
      <c r="J142" s="460" t="str">
        <f>IF(+All!$F828="Ohio",+All!J828,IF(+All!$H828="Ohio",+All!J828,0))</f>
        <v>Ohio</v>
      </c>
      <c r="K142" s="461" t="str">
        <f>IF(+All!$F828="Ohio",+All!K828,IF(+All!$H828="Ohio",+All!K828,0))</f>
        <v>Bowling Green</v>
      </c>
      <c r="L142" s="54">
        <f>IF(+All!$F828="Ohio",+All!L828,IF(+All!$H828="Ohio",+All!L828,0))</f>
        <v>6.5</v>
      </c>
      <c r="M142" s="55">
        <f>IF(+All!$F828="Ohio",+All!M828,IF(+All!$H828="Ohio",+All!M828,0))</f>
        <v>51.5</v>
      </c>
      <c r="N142" s="460" t="str">
        <f>IF(+All!$F828="Ohio",+All!N828,IF(+All!$H828="Ohio",+All!N828,0))</f>
        <v>Ohio</v>
      </c>
      <c r="O142" s="462">
        <f>IF(+All!$F828="Ohio",+All!O828,IF(+All!$H828="Ohio",+All!O828,0))</f>
        <v>38</v>
      </c>
      <c r="P142" s="462" t="str">
        <f>IF(+All!$F828="Ohio",+All!P828,IF(+All!$H828="Ohio",+All!P828,0))</f>
        <v>Bowling Green</v>
      </c>
      <c r="Q142" s="461">
        <f>IF(+All!$F828="Ohio",+All!Q828,IF(+All!$H828="Ohio",+All!Q828,0))</f>
        <v>14</v>
      </c>
      <c r="R142" s="460" t="str">
        <f>IF(+All!$F828="Ohio",+All!R828,IF(+All!$H828="Ohio",+All!R828,0))</f>
        <v>Ohio</v>
      </c>
      <c r="S142" s="462" t="str">
        <f>IF(+All!$F828="Ohio",+All!S828,IF(+All!$H828="Ohio",+All!S828,0))</f>
        <v>Bowling Green</v>
      </c>
      <c r="T142" s="460" t="str">
        <f>IF(+All!$F828="Ohio",+All!T828,IF(+All!$H828="Ohio",+All!T828,0))</f>
        <v>Bowling Green</v>
      </c>
      <c r="U142" s="461" t="str">
        <f>IF(+All!$F828="Ohio",+All!U828,IF(+All!$H828="Ohio",+All!U828,0))</f>
        <v>L</v>
      </c>
    </row>
    <row r="143" spans="1:21" s="88" customFormat="1" x14ac:dyDescent="0.8">
      <c r="A143" s="38"/>
      <c r="B143" s="39"/>
      <c r="C143" s="40"/>
      <c r="D143" s="41"/>
      <c r="E143" s="463"/>
      <c r="F143" s="897" t="str">
        <f>H144</f>
        <v>Toledo</v>
      </c>
      <c r="G143" s="898"/>
      <c r="H143" s="898"/>
      <c r="I143" s="899"/>
      <c r="J143" s="459"/>
      <c r="K143" s="463"/>
      <c r="L143" s="44"/>
      <c r="M143" s="45"/>
      <c r="N143" s="459"/>
      <c r="O143" s="5"/>
      <c r="P143" s="5"/>
      <c r="Q143" s="463"/>
      <c r="R143" s="459"/>
      <c r="S143" s="5"/>
      <c r="T143" s="459"/>
      <c r="U143" s="463"/>
    </row>
    <row r="144" spans="1:21" x14ac:dyDescent="0.8">
      <c r="A144" s="46">
        <f>IF(+All!$F57="Toledo",+All!A57,IF(+All!$H57="Toledo",+All!A57,0))</f>
        <v>1</v>
      </c>
      <c r="B144" s="348" t="str">
        <f>IF(+All!$F57="Toledo",+All!B57,IF(+All!$H57="Toledo",+All!B57,0))</f>
        <v>Thurs</v>
      </c>
      <c r="C144" s="48">
        <f>IF(+All!$F57="Toledo",+All!C57,IF(+All!$H57="Toledo",+All!C57,0))</f>
        <v>44805</v>
      </c>
      <c r="D144" s="490">
        <f>IF(+All!$F57="Toledo",+All!D57,IF(+All!$H57="Toledo",+All!D57,0))</f>
        <v>0.79166666666666663</v>
      </c>
      <c r="E144" s="461" t="str">
        <f>IF(+All!$F57="Toledo",+All!E57,IF(+All!$H57="Toledo",+All!E57,0))</f>
        <v>espn3</v>
      </c>
      <c r="F144" s="51" t="str">
        <f>IF(+All!$F57="Toledo",+All!F57,IF(+All!$H57="Toledo",+All!F57,0))</f>
        <v>1AA Long Island</v>
      </c>
      <c r="G144" s="63" t="str">
        <f>IF(+All!$F57="Toledo",+All!G57,IF(+All!$H57="Toledo",+All!G57,0))</f>
        <v>1AA</v>
      </c>
      <c r="H144" s="63" t="str">
        <f>IF(+All!$F57="Toledo",+All!H57,IF(+All!$H57="Toledo",+All!H57,0))</f>
        <v>Toledo</v>
      </c>
      <c r="I144" s="52" t="str">
        <f>IF(+All!$F57="Toledo",+All!I57,IF(+All!$H57="Toledo",+All!I57,0))</f>
        <v>MAC</v>
      </c>
      <c r="J144" s="460">
        <f>IF(+All!$F57="Toledo",+All!J57,IF(+All!$H57="Toledo",+All!J57,0))</f>
        <v>0</v>
      </c>
      <c r="K144" s="461">
        <f>IF(+All!$F57="Toledo",+All!K57,IF(+All!$H57="Toledo",+All!K57,0))</f>
        <v>0</v>
      </c>
      <c r="L144" s="54">
        <f>IF(+All!$F57="Toledo",+All!L57,IF(+All!$H57="Toledo",+All!L57,0))</f>
        <v>0</v>
      </c>
      <c r="M144" s="55">
        <f>IF(+All!$F57="Toledo",+All!M57,IF(+All!$H57="Toledo",+All!M57,0))</f>
        <v>0</v>
      </c>
      <c r="N144" s="460" t="str">
        <f>IF(+All!$F57="Toledo",+All!N57,IF(+All!$H57="Toledo",+All!N57,0))</f>
        <v>Toledo</v>
      </c>
      <c r="O144" s="462">
        <f>IF(+All!$F57="Toledo",+All!O57,IF(+All!$H57="Toledo",+All!O57,0))</f>
        <v>37</v>
      </c>
      <c r="P144" s="462" t="str">
        <f>IF(+All!$F57="Toledo",+All!P57,IF(+All!$H57="Toledo",+All!P57,0))</f>
        <v>1AA Long Island</v>
      </c>
      <c r="Q144" s="461">
        <f>IF(+All!$F57="Toledo",+All!Q57,IF(+All!$H57="Toledo",+All!Q57,0))</f>
        <v>0</v>
      </c>
      <c r="R144" s="460">
        <f>IF(+All!$F57="Toledo",+All!R57,IF(+All!$H57="Toledo",+All!R57,0))</f>
        <v>0</v>
      </c>
      <c r="S144" s="462">
        <f>IF(+All!$F57="Toledo",+All!S57,IF(+All!$H57="Toledo",+All!S57,0))</f>
        <v>0</v>
      </c>
      <c r="T144" s="460">
        <f>IF(+All!$F57="Toledo",+All!T57,IF(+All!$H57="Toledo",+All!T57,0))</f>
        <v>0</v>
      </c>
      <c r="U144" s="461">
        <f>IF(+All!$F57="Toledo",+All!U57,IF(+All!$H57="Toledo",+All!U57,0))</f>
        <v>0</v>
      </c>
    </row>
    <row r="145" spans="1:21" x14ac:dyDescent="0.8">
      <c r="A145" s="46">
        <f>IF(+All!$F150="Toledo",+All!A150,IF(+All!$H150="Toledo",+All!A150,0))</f>
        <v>2</v>
      </c>
      <c r="B145" s="348" t="str">
        <f>IF(+All!$F150="Toledo",+All!B150,IF(+All!$H150="Toledo",+All!B150,0))</f>
        <v>Sat</v>
      </c>
      <c r="C145" s="48">
        <f>IF(+All!$F150="Toledo",+All!C150,IF(+All!$H150="Toledo",+All!C150,0))</f>
        <v>44814</v>
      </c>
      <c r="D145" s="490">
        <f>IF(+All!$F150="Toledo",+All!D150,IF(+All!$H150="Toledo",+All!D150,0))</f>
        <v>0.79166666666666663</v>
      </c>
      <c r="E145" s="461">
        <f>IF(+All!$F150="Toledo",+All!E150,IF(+All!$H150="Toledo",+All!E150,0))</f>
        <v>0</v>
      </c>
      <c r="F145" s="51" t="str">
        <f>IF(+All!$F150="Toledo",+All!F150,IF(+All!$H150="Toledo",+All!F150,0))</f>
        <v>Massachusetts</v>
      </c>
      <c r="G145" s="63" t="str">
        <f>IF(+All!$F150="Toledo",+All!G150,IF(+All!$H150="Toledo",+All!G150,0))</f>
        <v>Ind</v>
      </c>
      <c r="H145" s="63" t="str">
        <f>IF(+All!$F150="Toledo",+All!H150,IF(+All!$H150="Toledo",+All!H150,0))</f>
        <v>Toledo</v>
      </c>
      <c r="I145" s="52" t="str">
        <f>IF(+All!$F150="Toledo",+All!I150,IF(+All!$H150="Toledo",+All!I150,0))</f>
        <v>MAC</v>
      </c>
      <c r="J145" s="460" t="str">
        <f>IF(+All!$F150="Toledo",+All!J150,IF(+All!$H150="Toledo",+All!J150,0))</f>
        <v>Toledo</v>
      </c>
      <c r="K145" s="461" t="str">
        <f>IF(+All!$F150="Toledo",+All!K150,IF(+All!$H150="Toledo",+All!K150,0))</f>
        <v>Massachusetts</v>
      </c>
      <c r="L145" s="54">
        <f>IF(+All!$F150="Toledo",+All!L150,IF(+All!$H150="Toledo",+All!L150,0))</f>
        <v>28.5</v>
      </c>
      <c r="M145" s="55">
        <f>IF(+All!$F150="Toledo",+All!M150,IF(+All!$H150="Toledo",+All!M150,0))</f>
        <v>49</v>
      </c>
      <c r="N145" s="460" t="str">
        <f>IF(+All!$F150="Toledo",+All!N150,IF(+All!$H150="Toledo",+All!N150,0))</f>
        <v>Toledo</v>
      </c>
      <c r="O145" s="462">
        <f>IF(+All!$F150="Toledo",+All!O150,IF(+All!$H150="Toledo",+All!O150,0))</f>
        <v>55</v>
      </c>
      <c r="P145" s="462" t="str">
        <f>IF(+All!$F150="Toledo",+All!P150,IF(+All!$H150="Toledo",+All!P150,0))</f>
        <v>Massachusetts</v>
      </c>
      <c r="Q145" s="461">
        <f>IF(+All!$F150="Toledo",+All!Q150,IF(+All!$H150="Toledo",+All!Q150,0))</f>
        <v>10</v>
      </c>
      <c r="R145" s="460" t="str">
        <f>IF(+All!$F150="Toledo",+All!R150,IF(+All!$H150="Toledo",+All!R150,0))</f>
        <v>Toledo</v>
      </c>
      <c r="S145" s="462" t="str">
        <f>IF(+All!$F150="Toledo",+All!S150,IF(+All!$H150="Toledo",+All!S150,0))</f>
        <v>Massachusetts</v>
      </c>
      <c r="T145" s="460" t="str">
        <f>IF(+All!$F150="Toledo",+All!T150,IF(+All!$H150="Toledo",+All!T150,0))</f>
        <v>Toledo</v>
      </c>
      <c r="U145" s="461" t="str">
        <f>IF(+All!$F150="Toledo",+All!U150,IF(+All!$H150="Toledo",+All!U150,0))</f>
        <v>W</v>
      </c>
    </row>
    <row r="146" spans="1:21" x14ac:dyDescent="0.8">
      <c r="A146" s="46">
        <f>IF(+All!$F204="Toledo",+All!A204,IF(+All!$H204="Toledo",+All!A204,0))</f>
        <v>3</v>
      </c>
      <c r="B146" s="348" t="str">
        <f>IF(+All!$F204="Toledo",+All!B204,IF(+All!$H204="Toledo",+All!B204,0))</f>
        <v>Sat</v>
      </c>
      <c r="C146" s="48">
        <f>IF(+All!$F204="Toledo",+All!C204,IF(+All!$H204="Toledo",+All!C204,0))</f>
        <v>44821</v>
      </c>
      <c r="D146" s="490">
        <f>IF(+All!$F204="Toledo",+All!D204,IF(+All!$H204="Toledo",+All!D204,0))</f>
        <v>0.79166666666666663</v>
      </c>
      <c r="E146" s="461" t="str">
        <f>IF(+All!$F204="Toledo",+All!E204,IF(+All!$H204="Toledo",+All!E204,0))</f>
        <v>Fox</v>
      </c>
      <c r="F146" s="51" t="str">
        <f>IF(+All!$F204="Toledo",+All!F204,IF(+All!$H204="Toledo",+All!F204,0))</f>
        <v>Toledo</v>
      </c>
      <c r="G146" s="63" t="str">
        <f>IF(+All!$F204="Toledo",+All!G204,IF(+All!$H204="Toledo",+All!G204,0))</f>
        <v>MAC</v>
      </c>
      <c r="H146" s="63" t="str">
        <f>IF(+All!$F204="Toledo",+All!H204,IF(+All!$H204="Toledo",+All!H204,0))</f>
        <v>Ohio State</v>
      </c>
      <c r="I146" s="52" t="str">
        <f>IF(+All!$F204="Toledo",+All!I204,IF(+All!$H204="Toledo",+All!I204,0))</f>
        <v>B10</v>
      </c>
      <c r="J146" s="460" t="str">
        <f>IF(+All!$F204="Toledo",+All!J204,IF(+All!$H204="Toledo",+All!J204,0))</f>
        <v>Ohio State</v>
      </c>
      <c r="K146" s="461" t="str">
        <f>IF(+All!$F204="Toledo",+All!K204,IF(+All!$H204="Toledo",+All!K204,0))</f>
        <v>Toledo</v>
      </c>
      <c r="L146" s="54">
        <f>IF(+All!$F204="Toledo",+All!L204,IF(+All!$H204="Toledo",+All!L204,0))</f>
        <v>32.5</v>
      </c>
      <c r="M146" s="55">
        <f>IF(+All!$F204="Toledo",+All!M204,IF(+All!$H204="Toledo",+All!M204,0))</f>
        <v>61</v>
      </c>
      <c r="N146" s="460" t="str">
        <f>IF(+All!$F204="Toledo",+All!N204,IF(+All!$H204="Toledo",+All!N204,0))</f>
        <v>Ohio State</v>
      </c>
      <c r="O146" s="462">
        <f>IF(+All!$F204="Toledo",+All!O204,IF(+All!$H204="Toledo",+All!O204,0))</f>
        <v>77</v>
      </c>
      <c r="P146" s="462" t="str">
        <f>IF(+All!$F204="Toledo",+All!P204,IF(+All!$H204="Toledo",+All!P204,0))</f>
        <v>Toledo</v>
      </c>
      <c r="Q146" s="461">
        <f>IF(+All!$F204="Toledo",+All!Q204,IF(+All!$H204="Toledo",+All!Q204,0))</f>
        <v>21</v>
      </c>
      <c r="R146" s="460" t="str">
        <f>IF(+All!$F204="Toledo",+All!R204,IF(+All!$H204="Toledo",+All!R204,0))</f>
        <v>Ohio State</v>
      </c>
      <c r="S146" s="462" t="str">
        <f>IF(+All!$F204="Toledo",+All!S204,IF(+All!$H204="Toledo",+All!S204,0))</f>
        <v>Toledo</v>
      </c>
      <c r="T146" s="460" t="str">
        <f>IF(+All!$F204="Toledo",+All!T204,IF(+All!$H204="Toledo",+All!T204,0))</f>
        <v>Toledo</v>
      </c>
      <c r="U146" s="461" t="str">
        <f>IF(+All!$F204="Toledo",+All!U204,IF(+All!$H204="Toledo",+All!U204,0))</f>
        <v>L</v>
      </c>
    </row>
    <row r="147" spans="1:21" x14ac:dyDescent="0.8">
      <c r="A147" s="46">
        <f>IF(+All!$F292="Toledo",+All!A292,IF(+All!$H292="Toledo",+All!A292,0))</f>
        <v>4</v>
      </c>
      <c r="B147" s="348" t="str">
        <f>IF(+All!$F292="Toledo",+All!B292,IF(+All!$H292="Toledo",+All!B292,0))</f>
        <v>Sat</v>
      </c>
      <c r="C147" s="48">
        <f>IF(+All!$F292="Toledo",+All!C292,IF(+All!$H292="Toledo",+All!C292,0))</f>
        <v>44828</v>
      </c>
      <c r="D147" s="490">
        <f>IF(+All!$F292="Toledo",+All!D292,IF(+All!$H292="Toledo",+All!D292,0))</f>
        <v>0.64583333333333337</v>
      </c>
      <c r="E147" s="461" t="str">
        <f>IF(+All!$F292="Toledo",+All!E292,IF(+All!$H292="Toledo",+All!E292,0))</f>
        <v>FS1</v>
      </c>
      <c r="F147" s="51" t="str">
        <f>IF(+All!$F292="Toledo",+All!F292,IF(+All!$H292="Toledo",+All!F292,0))</f>
        <v>Toledo</v>
      </c>
      <c r="G147" s="63" t="str">
        <f>IF(+All!$F292="Toledo",+All!G292,IF(+All!$H292="Toledo",+All!G292,0))</f>
        <v>MAC</v>
      </c>
      <c r="H147" s="63" t="str">
        <f>IF(+All!$F292="Toledo",+All!H292,IF(+All!$H292="Toledo",+All!H292,0))</f>
        <v>San Diego State</v>
      </c>
      <c r="I147" s="52" t="str">
        <f>IF(+All!$F292="Toledo",+All!I292,IF(+All!$H292="Toledo",+All!I292,0))</f>
        <v>MWC</v>
      </c>
      <c r="J147" s="460" t="str">
        <f>IF(+All!$F292="Toledo",+All!J292,IF(+All!$H292="Toledo",+All!J292,0))</f>
        <v>Toledo</v>
      </c>
      <c r="K147" s="461" t="str">
        <f>IF(+All!$F292="Toledo",+All!K292,IF(+All!$H292="Toledo",+All!K292,0))</f>
        <v>San Diego State</v>
      </c>
      <c r="L147" s="54">
        <f>IF(+All!$F292="Toledo",+All!L292,IF(+All!$H292="Toledo",+All!L292,0))</f>
        <v>3</v>
      </c>
      <c r="M147" s="55">
        <f>IF(+All!$F292="Toledo",+All!M292,IF(+All!$H292="Toledo",+All!M292,0))</f>
        <v>45.5</v>
      </c>
      <c r="N147" s="460" t="str">
        <f>IF(+All!$F292="Toledo",+All!N292,IF(+All!$H292="Toledo",+All!N292,0))</f>
        <v>San Diego State</v>
      </c>
      <c r="O147" s="462">
        <f>IF(+All!$F292="Toledo",+All!O292,IF(+All!$H292="Toledo",+All!O292,0))</f>
        <v>17</v>
      </c>
      <c r="P147" s="462" t="str">
        <f>IF(+All!$F292="Toledo",+All!P292,IF(+All!$H292="Toledo",+All!P292,0))</f>
        <v>Toledo</v>
      </c>
      <c r="Q147" s="461">
        <f>IF(+All!$F292="Toledo",+All!Q292,IF(+All!$H292="Toledo",+All!Q292,0))</f>
        <v>14</v>
      </c>
      <c r="R147" s="460" t="str">
        <f>IF(+All!$F292="Toledo",+All!R292,IF(+All!$H292="Toledo",+All!R292,0))</f>
        <v>San Diego State</v>
      </c>
      <c r="S147" s="462" t="str">
        <f>IF(+All!$F292="Toledo",+All!S292,IF(+All!$H292="Toledo",+All!S292,0))</f>
        <v>Toledo</v>
      </c>
      <c r="T147" s="460" t="str">
        <f>IF(+All!$F292="Toledo",+All!T292,IF(+All!$H292="Toledo",+All!T292,0))</f>
        <v>San Diego State</v>
      </c>
      <c r="U147" s="461" t="str">
        <f>IF(+All!$F292="Toledo",+All!U292,IF(+All!$H292="Toledo",+All!U292,0))</f>
        <v>W</v>
      </c>
    </row>
    <row r="148" spans="1:21" x14ac:dyDescent="0.8">
      <c r="A148" s="46">
        <f>IF(+All!$F359="Toledo",+All!A359,IF(+All!$H359="Toledo",+All!A359,0))</f>
        <v>5</v>
      </c>
      <c r="B148" s="348" t="str">
        <f>IF(+All!$F359="Toledo",+All!B359,IF(+All!$H359="Toledo",+All!B359,0))</f>
        <v>Sat</v>
      </c>
      <c r="C148" s="48">
        <f>IF(+All!$F359="Toledo",+All!C359,IF(+All!$H359="Toledo",+All!C359,0))</f>
        <v>44835</v>
      </c>
      <c r="D148" s="490">
        <f>IF(+All!$F359="Toledo",+All!D359,IF(+All!$H359="Toledo",+All!D359,0))</f>
        <v>0.75</v>
      </c>
      <c r="E148" s="461" t="str">
        <f>IF(+All!$F359="Toledo",+All!E359,IF(+All!$H359="Toledo",+All!E359,0))</f>
        <v>espn3</v>
      </c>
      <c r="F148" s="51" t="str">
        <f>IF(+All!$F359="Toledo",+All!F359,IF(+All!$H359="Toledo",+All!F359,0))</f>
        <v>Central Michigan</v>
      </c>
      <c r="G148" s="63" t="str">
        <f>IF(+All!$F359="Toledo",+All!G359,IF(+All!$H359="Toledo",+All!G359,0))</f>
        <v>MAC</v>
      </c>
      <c r="H148" s="63" t="str">
        <f>IF(+All!$F359="Toledo",+All!H359,IF(+All!$H359="Toledo",+All!H359,0))</f>
        <v>Toledo</v>
      </c>
      <c r="I148" s="52" t="str">
        <f>IF(+All!$F359="Toledo",+All!I359,IF(+All!$H359="Toledo",+All!I359,0))</f>
        <v>MAC</v>
      </c>
      <c r="J148" s="460" t="str">
        <f>IF(+All!$F359="Toledo",+All!J359,IF(+All!$H359="Toledo",+All!J359,0))</f>
        <v>Toledo</v>
      </c>
      <c r="K148" s="461" t="str">
        <f>IF(+All!$F359="Toledo",+All!K359,IF(+All!$H359="Toledo",+All!K359,0))</f>
        <v>Central Michigan</v>
      </c>
      <c r="L148" s="54">
        <f>IF(+All!$F359="Toledo",+All!L359,IF(+All!$H359="Toledo",+All!L359,0))</f>
        <v>7.5</v>
      </c>
      <c r="M148" s="55">
        <f>IF(+All!$F359="Toledo",+All!M359,IF(+All!$H359="Toledo",+All!M359,0))</f>
        <v>58</v>
      </c>
      <c r="N148" s="460" t="str">
        <f>IF(+All!$F359="Toledo",+All!N359,IF(+All!$H359="Toledo",+All!N359,0))</f>
        <v>Toledo</v>
      </c>
      <c r="O148" s="462">
        <f>IF(+All!$F359="Toledo",+All!O359,IF(+All!$H359="Toledo",+All!O359,0))</f>
        <v>38</v>
      </c>
      <c r="P148" s="462" t="str">
        <f>IF(+All!$F359="Toledo",+All!P359,IF(+All!$H359="Toledo",+All!P359,0))</f>
        <v>Central Michigan</v>
      </c>
      <c r="Q148" s="461">
        <f>IF(+All!$F359="Toledo",+All!Q359,IF(+All!$H359="Toledo",+All!Q359,0))</f>
        <v>17</v>
      </c>
      <c r="R148" s="460" t="str">
        <f>IF(+All!$F359="Toledo",+All!R359,IF(+All!$H359="Toledo",+All!R359,0))</f>
        <v>Toledo</v>
      </c>
      <c r="S148" s="462" t="str">
        <f>IF(+All!$F359="Toledo",+All!S359,IF(+All!$H359="Toledo",+All!S359,0))</f>
        <v>Central Michigan</v>
      </c>
      <c r="T148" s="460" t="str">
        <f>IF(+All!$F359="Toledo",+All!T359,IF(+All!$H359="Toledo",+All!T359,0))</f>
        <v>Central Michigan</v>
      </c>
      <c r="U148" s="461" t="str">
        <f>IF(+All!$F359="Toledo",+All!U359,IF(+All!$H359="Toledo",+All!U359,0))</f>
        <v>L</v>
      </c>
    </row>
    <row r="149" spans="1:21" x14ac:dyDescent="0.8">
      <c r="A149" s="46">
        <f>IF(+All!$F414="Toledo",+All!A414,IF(+All!$H414="Toledo",+All!A414,0))</f>
        <v>6</v>
      </c>
      <c r="B149" s="348" t="str">
        <f>IF(+All!$F414="Toledo",+All!B414,IF(+All!$H414="Toledo",+All!B414,0))</f>
        <v>Sat</v>
      </c>
      <c r="C149" s="48">
        <f>IF(+All!$F414="Toledo",+All!C414,IF(+All!$H414="Toledo",+All!C414,0))</f>
        <v>44842</v>
      </c>
      <c r="D149" s="490">
        <f>IF(+All!$F414="Toledo",+All!D414,IF(+All!$H414="Toledo",+All!D414,0))</f>
        <v>0.64583333333333337</v>
      </c>
      <c r="E149" s="461">
        <f>IF(+All!$F414="Toledo",+All!E414,IF(+All!$H414="Toledo",+All!E414,0))</f>
        <v>0</v>
      </c>
      <c r="F149" s="51" t="str">
        <f>IF(+All!$F414="Toledo",+All!F414,IF(+All!$H414="Toledo",+All!F414,0))</f>
        <v>Toledo</v>
      </c>
      <c r="G149" s="63" t="str">
        <f>IF(+All!$F414="Toledo",+All!G414,IF(+All!$H414="Toledo",+All!G414,0))</f>
        <v>MAC</v>
      </c>
      <c r="H149" s="63" t="str">
        <f>IF(+All!$F414="Toledo",+All!H414,IF(+All!$H414="Toledo",+All!H414,0))</f>
        <v>Northern Illinois</v>
      </c>
      <c r="I149" s="52" t="str">
        <f>IF(+All!$F414="Toledo",+All!I414,IF(+All!$H414="Toledo",+All!I414,0))</f>
        <v>MAC</v>
      </c>
      <c r="J149" s="460" t="str">
        <f>IF(+All!$F414="Toledo",+All!J414,IF(+All!$H414="Toledo",+All!J414,0))</f>
        <v>Toledo</v>
      </c>
      <c r="K149" s="461" t="str">
        <f>IF(+All!$F414="Toledo",+All!K414,IF(+All!$H414="Toledo",+All!K414,0))</f>
        <v>Northern Illinois</v>
      </c>
      <c r="L149" s="54">
        <f>IF(+All!$F414="Toledo",+All!L414,IF(+All!$H414="Toledo",+All!L414,0))</f>
        <v>5.5</v>
      </c>
      <c r="M149" s="55">
        <f>IF(+All!$F414="Toledo",+All!M414,IF(+All!$H414="Toledo",+All!M414,0))</f>
        <v>60</v>
      </c>
      <c r="N149" s="460" t="str">
        <f>IF(+All!$F414="Toledo",+All!N414,IF(+All!$H414="Toledo",+All!N414,0))</f>
        <v>Toledo</v>
      </c>
      <c r="O149" s="462">
        <f>IF(+All!$F414="Toledo",+All!O414,IF(+All!$H414="Toledo",+All!O414,0))</f>
        <v>52</v>
      </c>
      <c r="P149" s="462" t="str">
        <f>IF(+All!$F414="Toledo",+All!P414,IF(+All!$H414="Toledo",+All!P414,0))</f>
        <v>Northern Illinois</v>
      </c>
      <c r="Q149" s="461">
        <f>IF(+All!$F414="Toledo",+All!Q414,IF(+All!$H414="Toledo",+All!Q414,0))</f>
        <v>32</v>
      </c>
      <c r="R149" s="460" t="str">
        <f>IF(+All!$F414="Toledo",+All!R414,IF(+All!$H414="Toledo",+All!R414,0))</f>
        <v>Toledo</v>
      </c>
      <c r="S149" s="462" t="str">
        <f>IF(+All!$F414="Toledo",+All!S414,IF(+All!$H414="Toledo",+All!S414,0))</f>
        <v>Northern Illinois</v>
      </c>
      <c r="T149" s="460" t="str">
        <f>IF(+All!$F414="Toledo",+All!T414,IF(+All!$H414="Toledo",+All!T414,0))</f>
        <v>Toledo</v>
      </c>
      <c r="U149" s="461" t="str">
        <f>IF(+All!$F414="Toledo",+All!U414,IF(+All!$H414="Toledo",+All!U414,0))</f>
        <v>W</v>
      </c>
    </row>
    <row r="150" spans="1:21" x14ac:dyDescent="0.8">
      <c r="A150" s="46">
        <f>IF(+All!$F471="Toledo",+All!A471,IF(+All!$H471="Toledo",+All!A471,0))</f>
        <v>7</v>
      </c>
      <c r="B150" s="348" t="str">
        <f>IF(+All!$F471="Toledo",+All!B471,IF(+All!$H471="Toledo",+All!B471,0))</f>
        <v>Sat</v>
      </c>
      <c r="C150" s="48">
        <f>IF(+All!$F471="Toledo",+All!C471,IF(+All!$H471="Toledo",+All!C471,0))</f>
        <v>44849</v>
      </c>
      <c r="D150" s="490">
        <f>IF(+All!$F471="Toledo",+All!D471,IF(+All!$H471="Toledo",+All!D471,0))</f>
        <v>0.64583333333333337</v>
      </c>
      <c r="E150" s="461">
        <f>IF(+All!$F471="Toledo",+All!E471,IF(+All!$H471="Toledo",+All!E471,0))</f>
        <v>0</v>
      </c>
      <c r="F150" s="51" t="str">
        <f>IF(+All!$F471="Toledo",+All!F471,IF(+All!$H471="Toledo",+All!F471,0))</f>
        <v>Kent State</v>
      </c>
      <c r="G150" s="63" t="str">
        <f>IF(+All!$F471="Toledo",+All!G471,IF(+All!$H471="Toledo",+All!G471,0))</f>
        <v>MAC</v>
      </c>
      <c r="H150" s="63" t="str">
        <f>IF(+All!$F471="Toledo",+All!H471,IF(+All!$H471="Toledo",+All!H471,0))</f>
        <v>Toledo</v>
      </c>
      <c r="I150" s="52" t="str">
        <f>IF(+All!$F471="Toledo",+All!I471,IF(+All!$H471="Toledo",+All!I471,0))</f>
        <v>MAC</v>
      </c>
      <c r="J150" s="460" t="str">
        <f>IF(+All!$F471="Toledo",+All!J471,IF(+All!$H471="Toledo",+All!J471,0))</f>
        <v>Toledo</v>
      </c>
      <c r="K150" s="461" t="str">
        <f>IF(+All!$F471="Toledo",+All!K471,IF(+All!$H471="Toledo",+All!K471,0))</f>
        <v>Kent State</v>
      </c>
      <c r="L150" s="54">
        <f>IF(+All!$F471="Toledo",+All!L471,IF(+All!$H471="Toledo",+All!L471,0))</f>
        <v>9</v>
      </c>
      <c r="M150" s="55">
        <f>IF(+All!$F471="Toledo",+All!M471,IF(+All!$H471="Toledo",+All!M471,0))</f>
        <v>62</v>
      </c>
      <c r="N150" s="460" t="str">
        <f>IF(+All!$F471="Toledo",+All!N471,IF(+All!$H471="Toledo",+All!N471,0))</f>
        <v>Toledo</v>
      </c>
      <c r="O150" s="462">
        <f>IF(+All!$F471="Toledo",+All!O471,IF(+All!$H471="Toledo",+All!O471,0))</f>
        <v>53</v>
      </c>
      <c r="P150" s="462" t="str">
        <f>IF(+All!$F471="Toledo",+All!P471,IF(+All!$H471="Toledo",+All!P471,0))</f>
        <v>Kent State</v>
      </c>
      <c r="Q150" s="461">
        <f>IF(+All!$F471="Toledo",+All!Q471,IF(+All!$H471="Toledo",+All!Q471,0))</f>
        <v>31</v>
      </c>
      <c r="R150" s="460" t="str">
        <f>IF(+All!$F471="Toledo",+All!R471,IF(+All!$H471="Toledo",+All!R471,0))</f>
        <v>Toledo</v>
      </c>
      <c r="S150" s="462" t="str">
        <f>IF(+All!$F471="Toledo",+All!S471,IF(+All!$H471="Toledo",+All!S471,0))</f>
        <v>Kent State</v>
      </c>
      <c r="T150" s="460" t="str">
        <f>IF(+All!$F471="Toledo",+All!T471,IF(+All!$H471="Toledo",+All!T471,0))</f>
        <v>Toledo</v>
      </c>
      <c r="U150" s="461" t="str">
        <f>IF(+All!$F471="Toledo",+All!U471,IF(+All!$H471="Toledo",+All!U471,0))</f>
        <v>W</v>
      </c>
    </row>
    <row r="151" spans="1:21" x14ac:dyDescent="0.8">
      <c r="A151" s="46">
        <f>IF(+All!$F522="Toledo",+All!A522,IF(+All!$H522="Toledo",+All!A522,0))</f>
        <v>8</v>
      </c>
      <c r="B151" s="348" t="str">
        <f>IF(+All!$F522="Toledo",+All!B522,IF(+All!$H522="Toledo",+All!B522,0))</f>
        <v>Sat</v>
      </c>
      <c r="C151" s="48">
        <f>IF(+All!$F522="Toledo",+All!C522,IF(+All!$H522="Toledo",+All!C522,0))</f>
        <v>44856</v>
      </c>
      <c r="D151" s="490">
        <f>IF(+All!$F522="Toledo",+All!D522,IF(+All!$H522="Toledo",+All!D522,0))</f>
        <v>0.54166666666666663</v>
      </c>
      <c r="E151" s="461">
        <f>IF(+All!$F522="Toledo",+All!E522,IF(+All!$H522="Toledo",+All!E522,0))</f>
        <v>0</v>
      </c>
      <c r="F151" s="51" t="str">
        <f>IF(+All!$F522="Toledo",+All!F522,IF(+All!$H522="Toledo",+All!F522,0))</f>
        <v>Toledo</v>
      </c>
      <c r="G151" s="63" t="str">
        <f>IF(+All!$F522="Toledo",+All!G522,IF(+All!$H522="Toledo",+All!G522,0))</f>
        <v>MAC</v>
      </c>
      <c r="H151" s="63" t="str">
        <f>IF(+All!$F522="Toledo",+All!H522,IF(+All!$H522="Toledo",+All!H522,0))</f>
        <v>Buffalo</v>
      </c>
      <c r="I151" s="52" t="str">
        <f>IF(+All!$F522="Toledo",+All!I522,IF(+All!$H522="Toledo",+All!I522,0))</f>
        <v>MAC</v>
      </c>
      <c r="J151" s="460" t="str">
        <f>IF(+All!$F522="Toledo",+All!J522,IF(+All!$H522="Toledo",+All!J522,0))</f>
        <v>Toledo</v>
      </c>
      <c r="K151" s="461" t="str">
        <f>IF(+All!$F522="Toledo",+All!K522,IF(+All!$H522="Toledo",+All!K522,0))</f>
        <v>Buffalo</v>
      </c>
      <c r="L151" s="54">
        <f>IF(+All!$F522="Toledo",+All!L522,IF(+All!$H522="Toledo",+All!L522,0))</f>
        <v>7</v>
      </c>
      <c r="M151" s="55">
        <f>IF(+All!$F522="Toledo",+All!M522,IF(+All!$H522="Toledo",+All!M522,0))</f>
        <v>58</v>
      </c>
      <c r="N151" s="460" t="str">
        <f>IF(+All!$F522="Toledo",+All!N522,IF(+All!$H522="Toledo",+All!N522,0))</f>
        <v>Buffalo</v>
      </c>
      <c r="O151" s="462">
        <f>IF(+All!$F522="Toledo",+All!O522,IF(+All!$H522="Toledo",+All!O522,0))</f>
        <v>34</v>
      </c>
      <c r="P151" s="462" t="str">
        <f>IF(+All!$F522="Toledo",+All!P522,IF(+All!$H522="Toledo",+All!P522,0))</f>
        <v>Toledo</v>
      </c>
      <c r="Q151" s="461">
        <f>IF(+All!$F522="Toledo",+All!Q522,IF(+All!$H522="Toledo",+All!Q522,0))</f>
        <v>27</v>
      </c>
      <c r="R151" s="460" t="str">
        <f>IF(+All!$F522="Toledo",+All!R522,IF(+All!$H522="Toledo",+All!R522,0))</f>
        <v>Buffalo</v>
      </c>
      <c r="S151" s="462" t="str">
        <f>IF(+All!$F522="Toledo",+All!S522,IF(+All!$H522="Toledo",+All!S522,0))</f>
        <v>Toledo</v>
      </c>
      <c r="T151" s="460" t="str">
        <f>IF(+All!$F522="Toledo",+All!T522,IF(+All!$H522="Toledo",+All!T522,0))</f>
        <v>Toledo</v>
      </c>
      <c r="U151" s="461" t="str">
        <f>IF(+All!$F522="Toledo",+All!U522,IF(+All!$H522="Toledo",+All!U522,0))</f>
        <v>L</v>
      </c>
    </row>
    <row r="152" spans="1:21" x14ac:dyDescent="0.8">
      <c r="A152" s="46">
        <f>IF(+All!$F575="Toledo",+All!A575,IF(+All!$H575="Toledo",+All!A575,0))</f>
        <v>9</v>
      </c>
      <c r="B152" s="348" t="str">
        <f>IF(+All!$F575="Toledo",+All!B575,IF(+All!$H575="Toledo",+All!B575,0))</f>
        <v>Sat</v>
      </c>
      <c r="C152" s="48">
        <f>IF(+All!$F575="Toledo",+All!C575,IF(+All!$H575="Toledo",+All!C575,0))</f>
        <v>44863</v>
      </c>
      <c r="D152" s="490">
        <f>IF(+All!$F575="Toledo",+All!D575,IF(+All!$H575="Toledo",+All!D575,0))</f>
        <v>0.5</v>
      </c>
      <c r="E152" s="461" t="str">
        <f>IF(+All!$F575="Toledo",+All!E575,IF(+All!$H575="Toledo",+All!E575,0))</f>
        <v>ESPNU</v>
      </c>
      <c r="F152" s="51" t="str">
        <f>IF(+All!$F575="Toledo",+All!F575,IF(+All!$H575="Toledo",+All!F575,0))</f>
        <v>Eastern Michigan</v>
      </c>
      <c r="G152" s="63" t="str">
        <f>IF(+All!$F575="Toledo",+All!G575,IF(+All!$H575="Toledo",+All!G575,0))</f>
        <v>MAC</v>
      </c>
      <c r="H152" s="63" t="str">
        <f>IF(+All!$F575="Toledo",+All!H575,IF(+All!$H575="Toledo",+All!H575,0))</f>
        <v>Toledo</v>
      </c>
      <c r="I152" s="52" t="str">
        <f>IF(+All!$F575="Toledo",+All!I575,IF(+All!$H575="Toledo",+All!I575,0))</f>
        <v>MAC</v>
      </c>
      <c r="J152" s="460" t="str">
        <f>IF(+All!$F575="Toledo",+All!J575,IF(+All!$H575="Toledo",+All!J575,0))</f>
        <v>Toledo</v>
      </c>
      <c r="K152" s="461" t="str">
        <f>IF(+All!$F575="Toledo",+All!K575,IF(+All!$H575="Toledo",+All!K575,0))</f>
        <v>Eastern Michigan</v>
      </c>
      <c r="L152" s="54">
        <f>IF(+All!$F575="Toledo",+All!L575,IF(+All!$H575="Toledo",+All!L575,0))</f>
        <v>7</v>
      </c>
      <c r="M152" s="55">
        <f>IF(+All!$F575="Toledo",+All!M575,IF(+All!$H575="Toledo",+All!M575,0))</f>
        <v>57.5</v>
      </c>
      <c r="N152" s="460" t="str">
        <f>IF(+All!$F575="Toledo",+All!N575,IF(+All!$H575="Toledo",+All!N575,0))</f>
        <v>Toledo</v>
      </c>
      <c r="O152" s="462">
        <f>IF(+All!$F575="Toledo",+All!O575,IF(+All!$H575="Toledo",+All!O575,0))</f>
        <v>27</v>
      </c>
      <c r="P152" s="462" t="str">
        <f>IF(+All!$F575="Toledo",+All!P575,IF(+All!$H575="Toledo",+All!P575,0))</f>
        <v>Eastern Michigan</v>
      </c>
      <c r="Q152" s="461">
        <f>IF(+All!$F575="Toledo",+All!Q575,IF(+All!$H575="Toledo",+All!Q575,0))</f>
        <v>24</v>
      </c>
      <c r="R152" s="460" t="str">
        <f>IF(+All!$F575="Toledo",+All!R575,IF(+All!$H575="Toledo",+All!R575,0))</f>
        <v>Eastern Michigan</v>
      </c>
      <c r="S152" s="462" t="str">
        <f>IF(+All!$F575="Toledo",+All!S575,IF(+All!$H575="Toledo",+All!S575,0))</f>
        <v>Toledo</v>
      </c>
      <c r="T152" s="460" t="str">
        <f>IF(+All!$F575="Toledo",+All!T575,IF(+All!$H575="Toledo",+All!T575,0))</f>
        <v>Toledo</v>
      </c>
      <c r="U152" s="461" t="str">
        <f>IF(+All!$F575="Toledo",+All!U575,IF(+All!$H575="Toledo",+All!U575,0))</f>
        <v>L</v>
      </c>
    </row>
    <row r="153" spans="1:21" x14ac:dyDescent="0.8">
      <c r="A153" s="46" t="e">
        <f>IF(+All!#REF!="Toledo",+All!#REF!,IF(+All!#REF!="Toledo",+All!#REF!,0))</f>
        <v>#REF!</v>
      </c>
      <c r="B153" s="348" t="e">
        <f>IF(+All!#REF!="Toledo",+All!#REF!,IF(+All!#REF!="Toledo",+All!#REF!,0))</f>
        <v>#REF!</v>
      </c>
      <c r="C153" s="48" t="e">
        <f>IF(+All!#REF!="Toledo",+All!#REF!,IF(+All!#REF!="Toledo",+All!#REF!,0))</f>
        <v>#REF!</v>
      </c>
      <c r="D153" s="490" t="e">
        <f>IF(+All!#REF!="Toledo",+All!#REF!,IF(+All!#REF!="Toledo",+All!#REF!,0))</f>
        <v>#REF!</v>
      </c>
      <c r="E153" s="461" t="e">
        <f>IF(+All!#REF!="Toledo",+All!#REF!,IF(+All!#REF!="Toledo",+All!#REF!,0))</f>
        <v>#REF!</v>
      </c>
      <c r="F153" s="51" t="e">
        <f>IF(+All!#REF!="Toledo",+All!#REF!,IF(+All!#REF!="Toledo",+All!#REF!,0))</f>
        <v>#REF!</v>
      </c>
      <c r="G153" s="63" t="e">
        <f>IF(+All!#REF!="Toledo",+All!#REF!,IF(+All!#REF!="Toledo",+All!#REF!,0))</f>
        <v>#REF!</v>
      </c>
      <c r="H153" s="63" t="e">
        <f>IF(+All!#REF!="Toledo",+All!#REF!,IF(+All!#REF!="Toledo",+All!#REF!,0))</f>
        <v>#REF!</v>
      </c>
      <c r="I153" s="52" t="e">
        <f>IF(+All!#REF!="Toledo",+All!#REF!,IF(+All!#REF!="Toledo",+All!#REF!,0))</f>
        <v>#REF!</v>
      </c>
      <c r="J153" s="460" t="e">
        <f>IF(+All!#REF!="Toledo",+All!#REF!,IF(+All!#REF!="Toledo",+All!#REF!,0))</f>
        <v>#REF!</v>
      </c>
      <c r="K153" s="461" t="e">
        <f>IF(+All!#REF!="Toledo",+All!#REF!,IF(+All!#REF!="Toledo",+All!#REF!,0))</f>
        <v>#REF!</v>
      </c>
      <c r="L153" s="54" t="e">
        <f>IF(+All!#REF!="Toledo",+All!#REF!,IF(+All!#REF!="Toledo",+All!#REF!,0))</f>
        <v>#REF!</v>
      </c>
      <c r="M153" s="55" t="e">
        <f>IF(+All!#REF!="Toledo",+All!#REF!,IF(+All!#REF!="Toledo",+All!#REF!,0))</f>
        <v>#REF!</v>
      </c>
      <c r="N153" s="460" t="e">
        <f>IF(+All!#REF!="Toledo",+All!#REF!,IF(+All!#REF!="Toledo",+All!#REF!,0))</f>
        <v>#REF!</v>
      </c>
      <c r="O153" s="462" t="e">
        <f>IF(+All!#REF!="Toledo",+All!#REF!,IF(+All!#REF!="Toledo",+All!#REF!,0))</f>
        <v>#REF!</v>
      </c>
      <c r="P153" s="462" t="e">
        <f>IF(+All!#REF!="Toledo",+All!#REF!,IF(+All!#REF!="Toledo",+All!#REF!,0))</f>
        <v>#REF!</v>
      </c>
      <c r="Q153" s="461" t="e">
        <f>IF(+All!#REF!="Toledo",+All!#REF!,IF(+All!#REF!="Toledo",+All!#REF!,0))</f>
        <v>#REF!</v>
      </c>
      <c r="R153" s="460" t="e">
        <f>IF(+All!#REF!="Toledo",+All!#REF!,IF(+All!#REF!="Toledo",+All!#REF!,0))</f>
        <v>#REF!</v>
      </c>
      <c r="S153" s="462" t="e">
        <f>IF(+All!#REF!="Toledo",+All!#REF!,IF(+All!#REF!="Toledo",+All!#REF!,0))</f>
        <v>#REF!</v>
      </c>
      <c r="T153" s="460" t="e">
        <f>IF(+All!#REF!="Toledo",+All!#REF!,IF(+All!#REF!="Toledo",+All!#REF!,0))</f>
        <v>#REF!</v>
      </c>
      <c r="U153" s="461" t="e">
        <f>IF(+All!#REF!="Toledo",+All!#REF!,IF(+All!#REF!="Toledo",+All!#REF!,0))</f>
        <v>#REF!</v>
      </c>
    </row>
    <row r="154" spans="1:21" x14ac:dyDescent="0.8">
      <c r="A154" s="46">
        <f>IF(+All!$F655="Toledo",+All!A655,IF(+All!$H655="Toledo",+All!A655,0))</f>
        <v>11</v>
      </c>
      <c r="B154" s="348" t="str">
        <f>IF(+All!$F655="Toledo",+All!B655,IF(+All!$H655="Toledo",+All!B655,0))</f>
        <v>Tues</v>
      </c>
      <c r="C154" s="48">
        <f>IF(+All!$F655="Toledo",+All!C655,IF(+All!$H655="Toledo",+All!C655,0))</f>
        <v>44508</v>
      </c>
      <c r="D154" s="490">
        <f>IF(+All!$F655="Toledo",+All!D655,IF(+All!$H655="Toledo",+All!D655,0))</f>
        <v>0.83333333333333337</v>
      </c>
      <c r="E154" s="461" t="str">
        <f>IF(+All!$F655="Toledo",+All!E655,IF(+All!$H655="Toledo",+All!E655,0))</f>
        <v>ESPN</v>
      </c>
      <c r="F154" s="51" t="str">
        <f>IF(+All!$F655="Toledo",+All!F655,IF(+All!$H655="Toledo",+All!F655,0))</f>
        <v>Ball State</v>
      </c>
      <c r="G154" s="63" t="str">
        <f>IF(+All!$F655="Toledo",+All!G655,IF(+All!$H655="Toledo",+All!G655,0))</f>
        <v>MAC</v>
      </c>
      <c r="H154" s="63" t="str">
        <f>IF(+All!$F655="Toledo",+All!H655,IF(+All!$H655="Toledo",+All!H655,0))</f>
        <v>Toledo</v>
      </c>
      <c r="I154" s="52" t="str">
        <f>IF(+All!$F655="Toledo",+All!I655,IF(+All!$H655="Toledo",+All!I655,0))</f>
        <v>MAC</v>
      </c>
      <c r="J154" s="460" t="str">
        <f>IF(+All!$F655="Toledo",+All!J655,IF(+All!$H655="Toledo",+All!J655,0))</f>
        <v>Toledo</v>
      </c>
      <c r="K154" s="461" t="str">
        <f>IF(+All!$F655="Toledo",+All!K655,IF(+All!$H655="Toledo",+All!K655,0))</f>
        <v>Ball State</v>
      </c>
      <c r="L154" s="54">
        <f>IF(+All!$F655="Toledo",+All!L655,IF(+All!$H655="Toledo",+All!L655,0))</f>
        <v>11.5</v>
      </c>
      <c r="M154" s="55">
        <f>IF(+All!$F655="Toledo",+All!M655,IF(+All!$H655="Toledo",+All!M655,0))</f>
        <v>50.5</v>
      </c>
      <c r="N154" s="460" t="str">
        <f>IF(+All!$F655="Toledo",+All!N655,IF(+All!$H655="Toledo",+All!N655,0))</f>
        <v>Toledo</v>
      </c>
      <c r="O154" s="462">
        <f>IF(+All!$F655="Toledo",+All!O655,IF(+All!$H655="Toledo",+All!O655,0))</f>
        <v>28</v>
      </c>
      <c r="P154" s="462" t="str">
        <f>IF(+All!$F655="Toledo",+All!P655,IF(+All!$H655="Toledo",+All!P655,0))</f>
        <v>Ball State</v>
      </c>
      <c r="Q154" s="461">
        <f>IF(+All!$F655="Toledo",+All!Q655,IF(+All!$H655="Toledo",+All!Q655,0))</f>
        <v>21</v>
      </c>
      <c r="R154" s="460" t="str">
        <f>IF(+All!$F655="Toledo",+All!R655,IF(+All!$H655="Toledo",+All!R655,0))</f>
        <v>Ball State</v>
      </c>
      <c r="S154" s="462" t="str">
        <f>IF(+All!$F655="Toledo",+All!S655,IF(+All!$H655="Toledo",+All!S655,0))</f>
        <v>Toledo</v>
      </c>
      <c r="T154" s="460" t="str">
        <f>IF(+All!$F655="Toledo",+All!T655,IF(+All!$H655="Toledo",+All!T655,0))</f>
        <v>Ball State</v>
      </c>
      <c r="U154" s="461" t="str">
        <f>IF(+All!$F655="Toledo",+All!U655,IF(+All!$H655="Toledo",+All!U655,0))</f>
        <v>W</v>
      </c>
    </row>
    <row r="155" spans="1:21" x14ac:dyDescent="0.8">
      <c r="A155" s="46">
        <f>IF(+All!$F719="Toledo",+All!A719,IF(+All!$H719="Toledo",+All!A719,0))</f>
        <v>12</v>
      </c>
      <c r="B155" s="348" t="str">
        <f>IF(+All!$F719="Toledo",+All!B719,IF(+All!$H719="Toledo",+All!B719,0))</f>
        <v>Tues</v>
      </c>
      <c r="C155" s="48">
        <f>IF(+All!$F719="Toledo",+All!C719,IF(+All!$H719="Toledo",+All!C719,0))</f>
        <v>44880</v>
      </c>
      <c r="D155" s="490">
        <f>IF(+All!$F719="Toledo",+All!D719,IF(+All!$H719="Toledo",+All!D719,0))</f>
        <v>0.79166666666666663</v>
      </c>
      <c r="E155" s="461" t="str">
        <f>IF(+All!$F719="Toledo",+All!E719,IF(+All!$H719="Toledo",+All!E719,0))</f>
        <v>ESPNU</v>
      </c>
      <c r="F155" s="51" t="str">
        <f>IF(+All!$F719="Toledo",+All!F719,IF(+All!$H719="Toledo",+All!F719,0))</f>
        <v>Bowling Green</v>
      </c>
      <c r="G155" s="63" t="str">
        <f>IF(+All!$F719="Toledo",+All!G719,IF(+All!$H719="Toledo",+All!G719,0))</f>
        <v>MAC</v>
      </c>
      <c r="H155" s="63" t="str">
        <f>IF(+All!$F719="Toledo",+All!H719,IF(+All!$H719="Toledo",+All!H719,0))</f>
        <v>Toledo</v>
      </c>
      <c r="I155" s="52" t="str">
        <f>IF(+All!$F719="Toledo",+All!I719,IF(+All!$H719="Toledo",+All!I719,0))</f>
        <v>MAC</v>
      </c>
      <c r="J155" s="460" t="str">
        <f>IF(+All!$F719="Toledo",+All!J719,IF(+All!$H719="Toledo",+All!J719,0))</f>
        <v>Toledo</v>
      </c>
      <c r="K155" s="461" t="str">
        <f>IF(+All!$F719="Toledo",+All!K719,IF(+All!$H719="Toledo",+All!K719,0))</f>
        <v>Bowling Green</v>
      </c>
      <c r="L155" s="54">
        <f>IF(+All!$F719="Toledo",+All!L719,IF(+All!$H719="Toledo",+All!L719,0))</f>
        <v>17</v>
      </c>
      <c r="M155" s="55">
        <f>IF(+All!$F719="Toledo",+All!M719,IF(+All!$H719="Toledo",+All!M719,0))</f>
        <v>50</v>
      </c>
      <c r="N155" s="460" t="str">
        <f>IF(+All!$F719="Toledo",+All!N719,IF(+All!$H719="Toledo",+All!N719,0))</f>
        <v>Bowling Green</v>
      </c>
      <c r="O155" s="462">
        <f>IF(+All!$F719="Toledo",+All!O719,IF(+All!$H719="Toledo",+All!O719,0))</f>
        <v>42</v>
      </c>
      <c r="P155" s="462" t="str">
        <f>IF(+All!$F719="Toledo",+All!P719,IF(+All!$H719="Toledo",+All!P719,0))</f>
        <v>Toledo</v>
      </c>
      <c r="Q155" s="461">
        <f>IF(+All!$F719="Toledo",+All!Q719,IF(+All!$H719="Toledo",+All!Q719,0))</f>
        <v>35</v>
      </c>
      <c r="R155" s="460" t="str">
        <f>IF(+All!$F719="Toledo",+All!R719,IF(+All!$H719="Toledo",+All!R719,0))</f>
        <v>Bowling Green</v>
      </c>
      <c r="S155" s="462" t="str">
        <f>IF(+All!$F719="Toledo",+All!S719,IF(+All!$H719="Toledo",+All!S719,0))</f>
        <v>Toledo</v>
      </c>
      <c r="T155" s="460" t="str">
        <f>IF(+All!$F719="Toledo",+All!T719,IF(+All!$H719="Toledo",+All!T719,0))</f>
        <v>Bowling Green</v>
      </c>
      <c r="U155" s="461" t="str">
        <f>IF(+All!$F719="Toledo",+All!U719,IF(+All!$H719="Toledo",+All!U719,0))</f>
        <v>W</v>
      </c>
    </row>
    <row r="156" spans="1:21" x14ac:dyDescent="0.8">
      <c r="A156" s="46">
        <f>IF(+All!$F790="Toledo",+All!A790,IF(+All!$H790="Toledo",+All!A790,0))</f>
        <v>13</v>
      </c>
      <c r="B156" s="348" t="str">
        <f>IF(+All!$F790="Toledo",+All!B790,IF(+All!$H790="Toledo",+All!B790,0))</f>
        <v>Fri</v>
      </c>
      <c r="C156" s="48">
        <f>IF(+All!$F790="Toledo",+All!C790,IF(+All!$H790="Toledo",+All!C790,0))</f>
        <v>44890</v>
      </c>
      <c r="D156" s="490">
        <f>IF(+All!$F790="Toledo",+All!D790,IF(+All!$H790="Toledo",+All!D790,0))</f>
        <v>0.5</v>
      </c>
      <c r="E156" s="461" t="str">
        <f>IF(+All!$F790="Toledo",+All!E790,IF(+All!$H790="Toledo",+All!E790,0))</f>
        <v>ESPNU</v>
      </c>
      <c r="F156" s="51" t="str">
        <f>IF(+All!$F790="Toledo",+All!F790,IF(+All!$H790="Toledo",+All!F790,0))</f>
        <v>Toledo</v>
      </c>
      <c r="G156" s="63" t="str">
        <f>IF(+All!$F790="Toledo",+All!G790,IF(+All!$H790="Toledo",+All!G790,0))</f>
        <v>MAC</v>
      </c>
      <c r="H156" s="63" t="str">
        <f>IF(+All!$F790="Toledo",+All!H790,IF(+All!$H790="Toledo",+All!H790,0))</f>
        <v>Western Michigan</v>
      </c>
      <c r="I156" s="52" t="str">
        <f>IF(+All!$F790="Toledo",+All!I790,IF(+All!$H790="Toledo",+All!I790,0))</f>
        <v>MAC</v>
      </c>
      <c r="J156" s="460" t="str">
        <f>IF(+All!$F790="Toledo",+All!J790,IF(+All!$H790="Toledo",+All!J790,0))</f>
        <v>Toledo</v>
      </c>
      <c r="K156" s="461" t="str">
        <f>IF(+All!$F790="Toledo",+All!K790,IF(+All!$H790="Toledo",+All!K790,0))</f>
        <v>Western Michigan</v>
      </c>
      <c r="L156" s="54">
        <f>IF(+All!$F790="Toledo",+All!L790,IF(+All!$H790="Toledo",+All!L790,0))</f>
        <v>8.5</v>
      </c>
      <c r="M156" s="55">
        <f>IF(+All!$F790="Toledo",+All!M790,IF(+All!$H790="Toledo",+All!M790,0))</f>
        <v>50.5</v>
      </c>
      <c r="N156" s="460" t="str">
        <f>IF(+All!$F790="Toledo",+All!N790,IF(+All!$H790="Toledo",+All!N790,0))</f>
        <v>Western Michigan</v>
      </c>
      <c r="O156" s="462">
        <f>IF(+All!$F790="Toledo",+All!O790,IF(+All!$H790="Toledo",+All!O790,0))</f>
        <v>20</v>
      </c>
      <c r="P156" s="462" t="str">
        <f>IF(+All!$F790="Toledo",+All!P790,IF(+All!$H790="Toledo",+All!P790,0))</f>
        <v>Toledo</v>
      </c>
      <c r="Q156" s="461">
        <f>IF(+All!$F790="Toledo",+All!Q790,IF(+All!$H790="Toledo",+All!Q790,0))</f>
        <v>14</v>
      </c>
      <c r="R156" s="460" t="str">
        <f>IF(+All!$F790="Toledo",+All!R790,IF(+All!$H790="Toledo",+All!R790,0))</f>
        <v>Western Michigan</v>
      </c>
      <c r="S156" s="462" t="str">
        <f>IF(+All!$F790="Toledo",+All!S790,IF(+All!$H790="Toledo",+All!S790,0))</f>
        <v>Toledo</v>
      </c>
      <c r="T156" s="460" t="str">
        <f>IF(+All!$F790="Toledo",+All!T790,IF(+All!$H790="Toledo",+All!T790,0))</f>
        <v>Western Michigan</v>
      </c>
      <c r="U156" s="461" t="str">
        <f>IF(+All!$F790="Toledo",+All!U790,IF(+All!$H790="Toledo",+All!U790,0))</f>
        <v>W</v>
      </c>
    </row>
    <row r="157" spans="1:21" s="88" customFormat="1" x14ac:dyDescent="0.8">
      <c r="A157" s="38"/>
      <c r="B157" s="39"/>
      <c r="C157" s="40"/>
      <c r="D157" s="41"/>
      <c r="E157" s="463"/>
      <c r="F157" s="897" t="str">
        <f>F159</f>
        <v>Western Michigan</v>
      </c>
      <c r="G157" s="898"/>
      <c r="H157" s="898"/>
      <c r="I157" s="899"/>
      <c r="J157" s="459"/>
      <c r="K157" s="463"/>
      <c r="L157" s="44"/>
      <c r="M157" s="45"/>
      <c r="N157" s="459"/>
      <c r="O157" s="5"/>
      <c r="P157" s="5"/>
      <c r="Q157" s="463"/>
      <c r="R157" s="459"/>
      <c r="S157" s="5"/>
      <c r="T157" s="459"/>
      <c r="U157" s="463"/>
    </row>
    <row r="158" spans="1:21" x14ac:dyDescent="0.8">
      <c r="A158" s="46">
        <f>IF(+All!$F23="Western Michigan",+All!A23,IF(+All!$H23="Western Michigan",+All!A23,0))</f>
        <v>1</v>
      </c>
      <c r="B158" s="348" t="str">
        <f>IF(+All!$F23="Western Michigan",+All!B23,IF(+All!$H23="Western Michigan",+All!B23,0))</f>
        <v>Fri</v>
      </c>
      <c r="C158" s="48">
        <f>IF(+All!$F23="Western Michigan",+All!C23,IF(+All!$H23="Western Michigan",+All!C23,0))</f>
        <v>44806</v>
      </c>
      <c r="D158" s="490">
        <f>IF(+All!$F23="Western Michigan",+All!D23,IF(+All!$H23="Western Michigan",+All!D23,0))</f>
        <v>0.79166666666666663</v>
      </c>
      <c r="E158" s="461" t="str">
        <f>IF(+All!$F23="Western Michigan",+All!E23,IF(+All!$H23="Western Michigan",+All!E23,0))</f>
        <v>ESPN</v>
      </c>
      <c r="F158" s="51" t="str">
        <f>IF(+All!$F23="Western Michigan",+All!F23,IF(+All!$H23="Western Michigan",+All!F23,0))</f>
        <v>Western Michigan</v>
      </c>
      <c r="G158" s="52" t="str">
        <f>IF(+All!$F23="Western Michigan",+All!G23,IF(+All!$H23="Western Michigan",+All!G23,0))</f>
        <v>MAC</v>
      </c>
      <c r="H158" s="51" t="str">
        <f>IF(+All!$F23="Western Michigan",+All!H23,IF(+All!$H23="Western Michigan",+All!H23,0))</f>
        <v>Michigan State</v>
      </c>
      <c r="I158" s="52" t="str">
        <f>IF(+All!$F23="Western Michigan",+All!I23,IF(+All!$H23="Western Michigan",+All!I23,0))</f>
        <v>B10</v>
      </c>
      <c r="J158" s="460" t="str">
        <f>IF(+All!$F23="Western Michigan",+All!J23,IF(+All!$H23="Western Michigan",+All!J23,0))</f>
        <v>Michigan State</v>
      </c>
      <c r="K158" s="461" t="str">
        <f>IF(+All!$F23="Western Michigan",+All!K23,IF(+All!$H23="Western Michigan",+All!K23,0))</f>
        <v>Western Michigan</v>
      </c>
      <c r="L158" s="54">
        <f>IF(+All!$F23="Western Michigan",+All!L23,IF(+All!$H23="Western Michigan",+All!L23,0))</f>
        <v>22.5</v>
      </c>
      <c r="M158" s="55">
        <f>IF(+All!$F23="Western Michigan",+All!M23,IF(+All!$H23="Western Michigan",+All!M23,0))</f>
        <v>54</v>
      </c>
      <c r="N158" s="460" t="str">
        <f>IF(+All!$F23="Western Michigan",+All!N23,IF(+All!$H23="Western Michigan",+All!N23,0))</f>
        <v>Michigan State</v>
      </c>
      <c r="O158" s="462">
        <f>IF(+All!$F23="Western Michigan",+All!O23,IF(+All!$H23="Western Michigan",+All!O23,0))</f>
        <v>35</v>
      </c>
      <c r="P158" s="462" t="str">
        <f>IF(+All!$F23="Western Michigan",+All!P23,IF(+All!$H23="Western Michigan",+All!P23,0))</f>
        <v>Western Michigan</v>
      </c>
      <c r="Q158" s="461">
        <f>IF(+All!$F23="Western Michigan",+All!Q23,IF(+All!$H23="Western Michigan",+All!Q23,0))</f>
        <v>13</v>
      </c>
      <c r="R158" s="460" t="str">
        <f>IF(+All!$F23="Western Michigan",+All!R23,IF(+All!$H23="Western Michigan",+All!R23,0))</f>
        <v>Western Michigan</v>
      </c>
      <c r="S158" s="462" t="str">
        <f>IF(+All!$F23="Western Michigan",+All!S23,IF(+All!$H23="Western Michigan",+All!S23,0))</f>
        <v>Michigan State</v>
      </c>
      <c r="T158" s="460" t="str">
        <f>IF(+All!$F23="Western Michigan",+All!T23,IF(+All!$H23="Western Michigan",+All!T23,0))</f>
        <v>Michigan State</v>
      </c>
      <c r="U158" s="461" t="str">
        <f>IF(+All!$F23="Western Michigan",+All!U23,IF(+All!$H23="Western Michigan",+All!U23,0))</f>
        <v>L</v>
      </c>
    </row>
    <row r="159" spans="1:21" x14ac:dyDescent="0.8">
      <c r="A159" s="46">
        <f>IF(+All!$F145="Western Michigan",+All!A145,IF(+All!$H145="Western Michigan",+All!A145,0))</f>
        <v>2</v>
      </c>
      <c r="B159" s="348" t="str">
        <f>IF(+All!$F145="Western Michigan",+All!B145,IF(+All!$H145="Western Michigan",+All!B145,0))</f>
        <v>Sat</v>
      </c>
      <c r="C159" s="48">
        <f>IF(+All!$F145="Western Michigan",+All!C145,IF(+All!$H145="Western Michigan",+All!C145,0))</f>
        <v>44814</v>
      </c>
      <c r="D159" s="490">
        <f>IF(+All!$F145="Western Michigan",+All!D145,IF(+All!$H145="Western Michigan",+All!D145,0))</f>
        <v>0.58333333333333337</v>
      </c>
      <c r="E159" s="461">
        <f>IF(+All!$F145="Western Michigan",+All!E145,IF(+All!$H145="Western Michigan",+All!E145,0))</f>
        <v>0</v>
      </c>
      <c r="F159" s="51" t="str">
        <f>IF(+All!$F145="Western Michigan",+All!F145,IF(+All!$H145="Western Michigan",+All!F145,0))</f>
        <v>Western Michigan</v>
      </c>
      <c r="G159" s="52" t="str">
        <f>IF(+All!$F145="Western Michigan",+All!G145,IF(+All!$H145="Western Michigan",+All!G145,0))</f>
        <v>MAC</v>
      </c>
      <c r="H159" s="51" t="str">
        <f>IF(+All!$F145="Western Michigan",+All!H145,IF(+All!$H145="Western Michigan",+All!H145,0))</f>
        <v>Ball State</v>
      </c>
      <c r="I159" s="52" t="str">
        <f>IF(+All!$F145="Western Michigan",+All!I145,IF(+All!$H145="Western Michigan",+All!I145,0))</f>
        <v>MAC</v>
      </c>
      <c r="J159" s="460" t="str">
        <f>IF(+All!$F145="Western Michigan",+All!J145,IF(+All!$H145="Western Michigan",+All!J145,0))</f>
        <v>Western Michigan</v>
      </c>
      <c r="K159" s="461" t="str">
        <f>IF(+All!$F145="Western Michigan",+All!K145,IF(+All!$H145="Western Michigan",+All!K145,0))</f>
        <v>Ball State</v>
      </c>
      <c r="L159" s="54">
        <f>IF(+All!$F145="Western Michigan",+All!L145,IF(+All!$H145="Western Michigan",+All!L145,0))</f>
        <v>6.5</v>
      </c>
      <c r="M159" s="55">
        <f>IF(+All!$F145="Western Michigan",+All!M145,IF(+All!$H145="Western Michigan",+All!M145,0))</f>
        <v>53</v>
      </c>
      <c r="N159" s="460" t="str">
        <f>IF(+All!$F145="Western Michigan",+All!N145,IF(+All!$H145="Western Michigan",+All!N145,0))</f>
        <v>Western Michigan</v>
      </c>
      <c r="O159" s="462">
        <f>IF(+All!$F145="Western Michigan",+All!O145,IF(+All!$H145="Western Michigan",+All!O145,0))</f>
        <v>37</v>
      </c>
      <c r="P159" s="462" t="str">
        <f>IF(+All!$F145="Western Michigan",+All!P145,IF(+All!$H145="Western Michigan",+All!P145,0))</f>
        <v>Ball State</v>
      </c>
      <c r="Q159" s="461">
        <f>IF(+All!$F145="Western Michigan",+All!Q145,IF(+All!$H145="Western Michigan",+All!Q145,0))</f>
        <v>30</v>
      </c>
      <c r="R159" s="460" t="str">
        <f>IF(+All!$F145="Western Michigan",+All!R145,IF(+All!$H145="Western Michigan",+All!R145,0))</f>
        <v>Western Michigan</v>
      </c>
      <c r="S159" s="462" t="str">
        <f>IF(+All!$F145="Western Michigan",+All!S145,IF(+All!$H145="Western Michigan",+All!S145,0))</f>
        <v>Ball State</v>
      </c>
      <c r="T159" s="460" t="str">
        <f>IF(+All!$F145="Western Michigan",+All!T145,IF(+All!$H145="Western Michigan",+All!T145,0))</f>
        <v>Western Michigan</v>
      </c>
      <c r="U159" s="461" t="str">
        <f>IF(+All!$F145="Western Michigan",+All!U145,IF(+All!$H145="Western Michigan",+All!U145,0))</f>
        <v>W</v>
      </c>
    </row>
    <row r="160" spans="1:21" x14ac:dyDescent="0.8">
      <c r="A160" s="46">
        <f>IF(+All!$F224="Western Michigan",+All!A224,IF(+All!$H224="Western Michigan",+All!A224,0))</f>
        <v>3</v>
      </c>
      <c r="B160" s="348" t="str">
        <f>IF(+All!$F224="Western Michigan",+All!B224,IF(+All!$H224="Western Michigan",+All!B224,0))</f>
        <v>Sat</v>
      </c>
      <c r="C160" s="48">
        <f>IF(+All!$F224="Western Michigan",+All!C224,IF(+All!$H224="Western Michigan",+All!C224,0))</f>
        <v>44821</v>
      </c>
      <c r="D160" s="490">
        <f>IF(+All!$F224="Western Michigan",+All!D224,IF(+All!$H224="Western Michigan",+All!D224,0))</f>
        <v>0.8125</v>
      </c>
      <c r="E160" s="461" t="str">
        <f>IF(+All!$F224="Western Michigan",+All!E224,IF(+All!$H224="Western Michigan",+All!E224,0))</f>
        <v>ESPNU</v>
      </c>
      <c r="F160" s="51" t="str">
        <f>IF(+All!$F224="Western Michigan",+All!F224,IF(+All!$H224="Western Michigan",+All!F224,0))</f>
        <v>Pittsburgh</v>
      </c>
      <c r="G160" s="52" t="str">
        <f>IF(+All!$F224="Western Michigan",+All!G224,IF(+All!$H224="Western Michigan",+All!G224,0))</f>
        <v>ACC</v>
      </c>
      <c r="H160" s="51" t="str">
        <f>IF(+All!$F224="Western Michigan",+All!H224,IF(+All!$H224="Western Michigan",+All!H224,0))</f>
        <v>Western Michigan</v>
      </c>
      <c r="I160" s="52" t="str">
        <f>IF(+All!$F224="Western Michigan",+All!I224,IF(+All!$H224="Western Michigan",+All!I224,0))</f>
        <v>MAC</v>
      </c>
      <c r="J160" s="460" t="str">
        <f>IF(+All!$F224="Western Michigan",+All!J224,IF(+All!$H224="Western Michigan",+All!J224,0))</f>
        <v>Pittsburgh</v>
      </c>
      <c r="K160" s="461" t="str">
        <f>IF(+All!$F224="Western Michigan",+All!K224,IF(+All!$H224="Western Michigan",+All!K224,0))</f>
        <v>Western Michigan</v>
      </c>
      <c r="L160" s="54">
        <f>IF(+All!$F224="Western Michigan",+All!L224,IF(+All!$H224="Western Michigan",+All!L224,0))</f>
        <v>10.5</v>
      </c>
      <c r="M160" s="55">
        <f>IF(+All!$F224="Western Michigan",+All!M224,IF(+All!$H224="Western Michigan",+All!M224,0))</f>
        <v>49.5</v>
      </c>
      <c r="N160" s="460" t="str">
        <f>IF(+All!$F224="Western Michigan",+All!N224,IF(+All!$H224="Western Michigan",+All!N224,0))</f>
        <v>Pittsburgh</v>
      </c>
      <c r="O160" s="462">
        <f>IF(+All!$F224="Western Michigan",+All!O224,IF(+All!$H224="Western Michigan",+All!O224,0))</f>
        <v>34</v>
      </c>
      <c r="P160" s="462" t="str">
        <f>IF(+All!$F224="Western Michigan",+All!P224,IF(+All!$H224="Western Michigan",+All!P224,0))</f>
        <v>Western Michigan</v>
      </c>
      <c r="Q160" s="461">
        <f>IF(+All!$F224="Western Michigan",+All!Q224,IF(+All!$H224="Western Michigan",+All!Q224,0))</f>
        <v>13</v>
      </c>
      <c r="R160" s="460" t="str">
        <f>IF(+All!$F224="Western Michigan",+All!R224,IF(+All!$H224="Western Michigan",+All!R224,0))</f>
        <v>Pittsburgh</v>
      </c>
      <c r="S160" s="462" t="str">
        <f>IF(+All!$F224="Western Michigan",+All!S224,IF(+All!$H224="Western Michigan",+All!S224,0))</f>
        <v>Western Michigan</v>
      </c>
      <c r="T160" s="460" t="str">
        <f>IF(+All!$F224="Western Michigan",+All!T224,IF(+All!$H224="Western Michigan",+All!T224,0))</f>
        <v>Pittsburgh</v>
      </c>
      <c r="U160" s="461" t="str">
        <f>IF(+All!$F224="Western Michigan",+All!U224,IF(+All!$H224="Western Michigan",+All!U224,0))</f>
        <v>W</v>
      </c>
    </row>
    <row r="161" spans="1:21" x14ac:dyDescent="0.8">
      <c r="A161" s="46">
        <f>IF(+All!$F293="Western Michigan",+All!A293,IF(+All!$H293="Western Michigan",+All!A293,0))</f>
        <v>4</v>
      </c>
      <c r="B161" s="348" t="str">
        <f>IF(+All!$F293="Western Michigan",+All!B293,IF(+All!$H293="Western Michigan",+All!B293,0))</f>
        <v>Sat</v>
      </c>
      <c r="C161" s="48">
        <f>IF(+All!$F293="Western Michigan",+All!C293,IF(+All!$H293="Western Michigan",+All!C293,0))</f>
        <v>44828</v>
      </c>
      <c r="D161" s="490">
        <f>IF(+All!$F293="Western Michigan",+All!D293,IF(+All!$H293="Western Michigan",+All!D293,0))</f>
        <v>0.9375</v>
      </c>
      <c r="E161" s="461" t="str">
        <f>IF(+All!$F293="Western Michigan",+All!E293,IF(+All!$H293="Western Michigan",+All!E293,0))</f>
        <v>CBSSN</v>
      </c>
      <c r="F161" s="51" t="str">
        <f>IF(+All!$F293="Western Michigan",+All!F293,IF(+All!$H293="Western Michigan",+All!F293,0))</f>
        <v>Western Michigan</v>
      </c>
      <c r="G161" s="52" t="str">
        <f>IF(+All!$F293="Western Michigan",+All!G293,IF(+All!$H293="Western Michigan",+All!G293,0))</f>
        <v>MAC</v>
      </c>
      <c r="H161" s="51" t="str">
        <f>IF(+All!$F293="Western Michigan",+All!H293,IF(+All!$H293="Western Michigan",+All!H293,0))</f>
        <v>San Jose State</v>
      </c>
      <c r="I161" s="52" t="str">
        <f>IF(+All!$F293="Western Michigan",+All!I293,IF(+All!$H293="Western Michigan",+All!I293,0))</f>
        <v>MWC</v>
      </c>
      <c r="J161" s="460" t="str">
        <f>IF(+All!$F293="Western Michigan",+All!J293,IF(+All!$H293="Western Michigan",+All!J293,0))</f>
        <v>San Jose State</v>
      </c>
      <c r="K161" s="461" t="str">
        <f>IF(+All!$F293="Western Michigan",+All!K293,IF(+All!$H293="Western Michigan",+All!K293,0))</f>
        <v>Western Michigan</v>
      </c>
      <c r="L161" s="54">
        <f>IF(+All!$F293="Western Michigan",+All!L293,IF(+All!$H293="Western Michigan",+All!L293,0))</f>
        <v>6.5</v>
      </c>
      <c r="M161" s="55">
        <f>IF(+All!$F293="Western Michigan",+All!M293,IF(+All!$H293="Western Michigan",+All!M293,0))</f>
        <v>48.5</v>
      </c>
      <c r="N161" s="460" t="str">
        <f>IF(+All!$F293="Western Michigan",+All!N293,IF(+All!$H293="Western Michigan",+All!N293,0))</f>
        <v>San Jose State</v>
      </c>
      <c r="O161" s="462">
        <f>IF(+All!$F293="Western Michigan",+All!O293,IF(+All!$H293="Western Michigan",+All!O293,0))</f>
        <v>34</v>
      </c>
      <c r="P161" s="462" t="str">
        <f>IF(+All!$F293="Western Michigan",+All!P293,IF(+All!$H293="Western Michigan",+All!P293,0))</f>
        <v>Western Michigan</v>
      </c>
      <c r="Q161" s="461">
        <f>IF(+All!$F293="Western Michigan",+All!Q293,IF(+All!$H293="Western Michigan",+All!Q293,0))</f>
        <v>6</v>
      </c>
      <c r="R161" s="460" t="str">
        <f>IF(+All!$F293="Western Michigan",+All!R293,IF(+All!$H293="Western Michigan",+All!R293,0))</f>
        <v>San Jose State</v>
      </c>
      <c r="S161" s="462" t="str">
        <f>IF(+All!$F293="Western Michigan",+All!S293,IF(+All!$H293="Western Michigan",+All!S293,0))</f>
        <v>Western Michigan</v>
      </c>
      <c r="T161" s="460" t="str">
        <f>IF(+All!$F293="Western Michigan",+All!T293,IF(+All!$H293="Western Michigan",+All!T293,0))</f>
        <v>Western Michigan</v>
      </c>
      <c r="U161" s="461" t="str">
        <f>IF(+All!$F293="Western Michigan",+All!U293,IF(+All!$H293="Western Michigan",+All!U293,0))</f>
        <v>L</v>
      </c>
    </row>
    <row r="162" spans="1:21" x14ac:dyDescent="0.8">
      <c r="A162" s="46">
        <f>IF(+All!$F360="Western Michigan",+All!A360,IF(+All!$H360="Western Michigan",+All!A360,0))</f>
        <v>5</v>
      </c>
      <c r="B162" s="348" t="str">
        <f>IF(+All!$F360="Western Michigan",+All!B360,IF(+All!$H360="Western Michigan",+All!B360,0))</f>
        <v>Sat</v>
      </c>
      <c r="C162" s="48">
        <f>IF(+All!$F360="Western Michigan",+All!C360,IF(+All!$H360="Western Michigan",+All!C360,0))</f>
        <v>44835</v>
      </c>
      <c r="D162" s="490">
        <f>IF(+All!$F360="Western Michigan",+All!D360,IF(+All!$H360="Western Michigan",+All!D360,0))</f>
        <v>0.75</v>
      </c>
      <c r="E162" s="461" t="str">
        <f>IF(+All!$F360="Western Michigan",+All!E360,IF(+All!$H360="Western Michigan",+All!E360,0))</f>
        <v>espn3</v>
      </c>
      <c r="F162" s="51" t="str">
        <f>IF(+All!$F360="Western Michigan",+All!F360,IF(+All!$H360="Western Michigan",+All!F360,0))</f>
        <v>1AA New Hampshire</v>
      </c>
      <c r="G162" s="52" t="str">
        <f>IF(+All!$F360="Western Michigan",+All!G360,IF(+All!$H360="Western Michigan",+All!G360,0))</f>
        <v>1AA</v>
      </c>
      <c r="H162" s="51" t="str">
        <f>IF(+All!$F360="Western Michigan",+All!H360,IF(+All!$H360="Western Michigan",+All!H360,0))</f>
        <v>Western Michigan</v>
      </c>
      <c r="I162" s="52" t="str">
        <f>IF(+All!$F360="Western Michigan",+All!I360,IF(+All!$H360="Western Michigan",+All!I360,0))</f>
        <v>MAC</v>
      </c>
      <c r="J162" s="460">
        <f>IF(+All!$F360="Western Michigan",+All!J360,IF(+All!$H360="Western Michigan",+All!J360,0))</f>
        <v>0</v>
      </c>
      <c r="K162" s="461">
        <f>IF(+All!$F360="Western Michigan",+All!K360,IF(+All!$H360="Western Michigan",+All!K360,0))</f>
        <v>0</v>
      </c>
      <c r="L162" s="54">
        <f>IF(+All!$F360="Western Michigan",+All!L360,IF(+All!$H360="Western Michigan",+All!L360,0))</f>
        <v>0</v>
      </c>
      <c r="M162" s="55">
        <f>IF(+All!$F360="Western Michigan",+All!M360,IF(+All!$H360="Western Michigan",+All!M360,0))</f>
        <v>0</v>
      </c>
      <c r="N162" s="460" t="str">
        <f>IF(+All!$F360="Western Michigan",+All!N360,IF(+All!$H360="Western Michigan",+All!N360,0))</f>
        <v>Western Michigan</v>
      </c>
      <c r="O162" s="462">
        <f>IF(+All!$F360="Western Michigan",+All!O360,IF(+All!$H360="Western Michigan",+All!O360,0))</f>
        <v>44</v>
      </c>
      <c r="P162" s="462" t="str">
        <f>IF(+All!$F360="Western Michigan",+All!P360,IF(+All!$H360="Western Michigan",+All!P360,0))</f>
        <v>1AA New Hampshire</v>
      </c>
      <c r="Q162" s="461">
        <f>IF(+All!$F360="Western Michigan",+All!Q360,IF(+All!$H360="Western Michigan",+All!Q360,0))</f>
        <v>7</v>
      </c>
      <c r="R162" s="460">
        <f>IF(+All!$F360="Western Michigan",+All!R360,IF(+All!$H360="Western Michigan",+All!R360,0))</f>
        <v>0</v>
      </c>
      <c r="S162" s="462">
        <f>IF(+All!$F360="Western Michigan",+All!S360,IF(+All!$H360="Western Michigan",+All!S360,0))</f>
        <v>0</v>
      </c>
      <c r="T162" s="460">
        <f>IF(+All!$F360="Western Michigan",+All!T360,IF(+All!$H360="Western Michigan",+All!T360,0))</f>
        <v>0</v>
      </c>
      <c r="U162" s="461">
        <f>IF(+All!$F360="Western Michigan",+All!U360,IF(+All!$H360="Western Michigan",+All!U360,0))</f>
        <v>0</v>
      </c>
    </row>
    <row r="163" spans="1:21" x14ac:dyDescent="0.8">
      <c r="A163" s="46">
        <f>IF(+All!$F416="Western Michigan",+All!A416,IF(+All!$H416="Western Michigan",+All!A416,0))</f>
        <v>6</v>
      </c>
      <c r="B163" s="348" t="str">
        <f>IF(+All!$F416="Western Michigan",+All!B416,IF(+All!$H416="Western Michigan",+All!B416,0))</f>
        <v>Sat</v>
      </c>
      <c r="C163" s="48">
        <f>IF(+All!$F416="Western Michigan",+All!C416,IF(+All!$H416="Western Michigan",+All!C416,0))</f>
        <v>44842</v>
      </c>
      <c r="D163" s="490">
        <f>IF(+All!$F416="Western Michigan",+All!D416,IF(+All!$H416="Western Michigan",+All!D416,0))</f>
        <v>0.5</v>
      </c>
      <c r="E163" s="461" t="str">
        <f>IF(+All!$F416="Western Michigan",+All!E416,IF(+All!$H416="Western Michigan",+All!E416,0))</f>
        <v>CBSSN</v>
      </c>
      <c r="F163" s="51" t="str">
        <f>IF(+All!$F416="Western Michigan",+All!F416,IF(+All!$H416="Western Michigan",+All!F416,0))</f>
        <v>Eastern Michigan</v>
      </c>
      <c r="G163" s="52" t="str">
        <f>IF(+All!$F416="Western Michigan",+All!G416,IF(+All!$H416="Western Michigan",+All!G416,0))</f>
        <v>MAC</v>
      </c>
      <c r="H163" s="51" t="str">
        <f>IF(+All!$F416="Western Michigan",+All!H416,IF(+All!$H416="Western Michigan",+All!H416,0))</f>
        <v>Western Michigan</v>
      </c>
      <c r="I163" s="52" t="str">
        <f>IF(+All!$F416="Western Michigan",+All!I416,IF(+All!$H416="Western Michigan",+All!I416,0))</f>
        <v>MAC</v>
      </c>
      <c r="J163" s="460" t="str">
        <f>IF(+All!$F416="Western Michigan",+All!J416,IF(+All!$H416="Western Michigan",+All!J416,0))</f>
        <v>Western Michigan</v>
      </c>
      <c r="K163" s="461" t="str">
        <f>IF(+All!$F416="Western Michigan",+All!K416,IF(+All!$H416="Western Michigan",+All!K416,0))</f>
        <v>Eastern Michigan</v>
      </c>
      <c r="L163" s="54">
        <f>IF(+All!$F416="Western Michigan",+All!L416,IF(+All!$H416="Western Michigan",+All!L416,0))</f>
        <v>5</v>
      </c>
      <c r="M163" s="55">
        <f>IF(+All!$F416="Western Michigan",+All!M416,IF(+All!$H416="Western Michigan",+All!M416,0))</f>
        <v>57.5</v>
      </c>
      <c r="N163" s="460" t="str">
        <f>IF(+All!$F416="Western Michigan",+All!N416,IF(+All!$H416="Western Michigan",+All!N416,0))</f>
        <v>Eastern Michigan</v>
      </c>
      <c r="O163" s="462">
        <f>IF(+All!$F416="Western Michigan",+All!O416,IF(+All!$H416="Western Michigan",+All!O416,0))</f>
        <v>45</v>
      </c>
      <c r="P163" s="462" t="str">
        <f>IF(+All!$F416="Western Michigan",+All!P416,IF(+All!$H416="Western Michigan",+All!P416,0))</f>
        <v>Western Michigan</v>
      </c>
      <c r="Q163" s="461">
        <f>IF(+All!$F416="Western Michigan",+All!Q416,IF(+All!$H416="Western Michigan",+All!Q416,0))</f>
        <v>23</v>
      </c>
      <c r="R163" s="460" t="str">
        <f>IF(+All!$F416="Western Michigan",+All!R416,IF(+All!$H416="Western Michigan",+All!R416,0))</f>
        <v>Eastern Michigan</v>
      </c>
      <c r="S163" s="462" t="str">
        <f>IF(+All!$F416="Western Michigan",+All!S416,IF(+All!$H416="Western Michigan",+All!S416,0))</f>
        <v>Western Michigan</v>
      </c>
      <c r="T163" s="460" t="str">
        <f>IF(+All!$F416="Western Michigan",+All!T416,IF(+All!$H416="Western Michigan",+All!T416,0))</f>
        <v>Western Michigan</v>
      </c>
      <c r="U163" s="461" t="str">
        <f>IF(+All!$F416="Western Michigan",+All!U416,IF(+All!$H416="Western Michigan",+All!U416,0))</f>
        <v>L</v>
      </c>
    </row>
    <row r="164" spans="1:21" x14ac:dyDescent="0.8">
      <c r="A164" s="46">
        <f>IF(+All!$F472="Western Michigan",+All!A472,IF(+All!$H472="Western Michigan",+All!A472,0))</f>
        <v>7</v>
      </c>
      <c r="B164" s="348" t="str">
        <f>IF(+All!$F472="Western Michigan",+All!B472,IF(+All!$H472="Western Michigan",+All!B472,0))</f>
        <v>Sat</v>
      </c>
      <c r="C164" s="48">
        <f>IF(+All!$F472="Western Michigan",+All!C472,IF(+All!$H472="Western Michigan",+All!C472,0))</f>
        <v>44849</v>
      </c>
      <c r="D164" s="490">
        <f>IF(+All!$F472="Western Michigan",+All!D472,IF(+All!$H472="Western Michigan",+All!D472,0))</f>
        <v>0.64583333333333337</v>
      </c>
      <c r="E164" s="461" t="str">
        <f>IF(+All!$F472="Western Michigan",+All!E472,IF(+All!$H472="Western Michigan",+All!E472,0))</f>
        <v>CBSSN</v>
      </c>
      <c r="F164" s="51" t="str">
        <f>IF(+All!$F472="Western Michigan",+All!F472,IF(+All!$H472="Western Michigan",+All!F472,0))</f>
        <v>Ohio</v>
      </c>
      <c r="G164" s="52" t="str">
        <f>IF(+All!$F472="Western Michigan",+All!G472,IF(+All!$H472="Western Michigan",+All!G472,0))</f>
        <v>MAC</v>
      </c>
      <c r="H164" s="51" t="str">
        <f>IF(+All!$F472="Western Michigan",+All!H472,IF(+All!$H472="Western Michigan",+All!H472,0))</f>
        <v>Western Michigan</v>
      </c>
      <c r="I164" s="52" t="str">
        <f>IF(+All!$F472="Western Michigan",+All!I472,IF(+All!$H472="Western Michigan",+All!I472,0))</f>
        <v>MAC</v>
      </c>
      <c r="J164" s="460" t="str">
        <f>IF(+All!$F472="Western Michigan",+All!J472,IF(+All!$H472="Western Michigan",+All!J472,0))</f>
        <v>Ohio</v>
      </c>
      <c r="K164" s="461" t="str">
        <f>IF(+All!$F472="Western Michigan",+All!K472,IF(+All!$H472="Western Michigan",+All!K472,0))</f>
        <v>Western Michigan</v>
      </c>
      <c r="L164" s="54">
        <f>IF(+All!$F472="Western Michigan",+All!L472,IF(+All!$H472="Western Michigan",+All!L472,0))</f>
        <v>1</v>
      </c>
      <c r="M164" s="55">
        <f>IF(+All!$F472="Western Michigan",+All!M472,IF(+All!$H472="Western Michigan",+All!M472,0))</f>
        <v>59.5</v>
      </c>
      <c r="N164" s="460" t="str">
        <f>IF(+All!$F472="Western Michigan",+All!N472,IF(+All!$H472="Western Michigan",+All!N472,0))</f>
        <v>Ohio</v>
      </c>
      <c r="O164" s="462">
        <f>IF(+All!$F472="Western Michigan",+All!O472,IF(+All!$H472="Western Michigan",+All!O472,0))</f>
        <v>33</v>
      </c>
      <c r="P164" s="462" t="str">
        <f>IF(+All!$F472="Western Michigan",+All!P472,IF(+All!$H472="Western Michigan",+All!P472,0))</f>
        <v>Western Michigan</v>
      </c>
      <c r="Q164" s="461">
        <f>IF(+All!$F472="Western Michigan",+All!Q472,IF(+All!$H472="Western Michigan",+All!Q472,0))</f>
        <v>14</v>
      </c>
      <c r="R164" s="460" t="str">
        <f>IF(+All!$F472="Western Michigan",+All!R472,IF(+All!$H472="Western Michigan",+All!R472,0))</f>
        <v>Ohio</v>
      </c>
      <c r="S164" s="462" t="str">
        <f>IF(+All!$F472="Western Michigan",+All!S472,IF(+All!$H472="Western Michigan",+All!S472,0))</f>
        <v>Western Michigan</v>
      </c>
      <c r="T164" s="460" t="str">
        <f>IF(+All!$F472="Western Michigan",+All!T472,IF(+All!$H472="Western Michigan",+All!T472,0))</f>
        <v>Ohio</v>
      </c>
      <c r="U164" s="461" t="str">
        <f>IF(+All!$F472="Western Michigan",+All!U472,IF(+All!$H472="Western Michigan",+All!U472,0))</f>
        <v>W</v>
      </c>
    </row>
    <row r="165" spans="1:21" x14ac:dyDescent="0.8">
      <c r="A165" s="46">
        <f>IF(+All!$F526="Western Michigan",+All!A526,IF(+All!$H526="Western Michigan",+All!A526,0))</f>
        <v>8</v>
      </c>
      <c r="B165" s="348" t="str">
        <f>IF(+All!$F526="Western Michigan",+All!B526,IF(+All!$H526="Western Michigan",+All!B526,0))</f>
        <v>Sat</v>
      </c>
      <c r="C165" s="48">
        <f>IF(+All!$F526="Western Michigan",+All!C526,IF(+All!$H526="Western Michigan",+All!C526,0))</f>
        <v>44856</v>
      </c>
      <c r="D165" s="490">
        <f>IF(+All!$F526="Western Michigan",+All!D526,IF(+All!$H526="Western Michigan",+All!D526,0))</f>
        <v>0.64583333333333337</v>
      </c>
      <c r="E165" s="461" t="str">
        <f>IF(+All!$F526="Western Michigan",+All!E526,IF(+All!$H526="Western Michigan",+All!E526,0))</f>
        <v>CBSSN</v>
      </c>
      <c r="F165" s="51" t="str">
        <f>IF(+All!$F526="Western Michigan",+All!F526,IF(+All!$H526="Western Michigan",+All!F526,0))</f>
        <v>Miami (OH)</v>
      </c>
      <c r="G165" s="52" t="str">
        <f>IF(+All!$F526="Western Michigan",+All!G526,IF(+All!$H526="Western Michigan",+All!G526,0))</f>
        <v>MAC</v>
      </c>
      <c r="H165" s="51" t="str">
        <f>IF(+All!$F526="Western Michigan",+All!H526,IF(+All!$H526="Western Michigan",+All!H526,0))</f>
        <v>Western Michigan</v>
      </c>
      <c r="I165" s="52" t="str">
        <f>IF(+All!$F526="Western Michigan",+All!I526,IF(+All!$H526="Western Michigan",+All!I526,0))</f>
        <v>MAC</v>
      </c>
      <c r="J165" s="460" t="str">
        <f>IF(+All!$F526="Western Michigan",+All!J526,IF(+All!$H526="Western Michigan",+All!J526,0))</f>
        <v>Miami (OH)</v>
      </c>
      <c r="K165" s="461" t="str">
        <f>IF(+All!$F526="Western Michigan",+All!K526,IF(+All!$H526="Western Michigan",+All!K526,0))</f>
        <v>Western Michigan</v>
      </c>
      <c r="L165" s="54">
        <f>IF(+All!$F526="Western Michigan",+All!L526,IF(+All!$H526="Western Michigan",+All!L526,0))</f>
        <v>6.5</v>
      </c>
      <c r="M165" s="55">
        <f>IF(+All!$F526="Western Michigan",+All!M526,IF(+All!$H526="Western Michigan",+All!M526,0))</f>
        <v>44.5</v>
      </c>
      <c r="N165" s="460" t="str">
        <f>IF(+All!$F526="Western Michigan",+All!N526,IF(+All!$H526="Western Michigan",+All!N526,0))</f>
        <v>Western Michigan</v>
      </c>
      <c r="O165" s="462">
        <f>IF(+All!$F526="Western Michigan",+All!O526,IF(+All!$H526="Western Michigan",+All!O526,0))</f>
        <v>16</v>
      </c>
      <c r="P165" s="462" t="str">
        <f>IF(+All!$F526="Western Michigan",+All!P526,IF(+All!$H526="Western Michigan",+All!P526,0))</f>
        <v>Miami (OH)</v>
      </c>
      <c r="Q165" s="461">
        <f>IF(+All!$F526="Western Michigan",+All!Q526,IF(+All!$H526="Western Michigan",+All!Q526,0))</f>
        <v>10</v>
      </c>
      <c r="R165" s="460" t="str">
        <f>IF(+All!$F526="Western Michigan",+All!R526,IF(+All!$H526="Western Michigan",+All!R526,0))</f>
        <v>Western Michigan</v>
      </c>
      <c r="S165" s="462" t="str">
        <f>IF(+All!$F526="Western Michigan",+All!S526,IF(+All!$H526="Western Michigan",+All!S526,0))</f>
        <v>Miami (OH)</v>
      </c>
      <c r="T165" s="460" t="str">
        <f>IF(+All!$F526="Western Michigan",+All!T526,IF(+All!$H526="Western Michigan",+All!T526,0))</f>
        <v>Miami (OH)</v>
      </c>
      <c r="U165" s="461" t="str">
        <f>IF(+All!$F526="Western Michigan",+All!U526,IF(+All!$H526="Western Michigan",+All!U526,0))</f>
        <v>L</v>
      </c>
    </row>
    <row r="166" spans="1:21" x14ac:dyDescent="0.8">
      <c r="A166" s="46" t="e">
        <f>IF(+All!#REF!="Western Michigan",+All!#REF!,IF(+All!#REF!="Western Michigan",+All!#REF!,0))</f>
        <v>#REF!</v>
      </c>
      <c r="B166" s="348" t="e">
        <f>IF(+All!#REF!="Western Michigan",+All!#REF!,IF(+All!#REF!="Western Michigan",+All!#REF!,0))</f>
        <v>#REF!</v>
      </c>
      <c r="C166" s="48" t="e">
        <f>IF(+All!#REF!="Western Michigan",+All!#REF!,IF(+All!#REF!="Western Michigan",+All!#REF!,0))</f>
        <v>#REF!</v>
      </c>
      <c r="D166" s="490" t="e">
        <f>IF(+All!#REF!="Western Michigan",+All!#REF!,IF(+All!#REF!="Western Michigan",+All!#REF!,0))</f>
        <v>#REF!</v>
      </c>
      <c r="E166" s="461" t="e">
        <f>IF(+All!#REF!="Western Michigan",+All!#REF!,IF(+All!#REF!="Western Michigan",+All!#REF!,0))</f>
        <v>#REF!</v>
      </c>
      <c r="F166" s="51" t="e">
        <f>IF(+All!#REF!="Western Michigan",+All!#REF!,IF(+All!#REF!="Western Michigan",+All!#REF!,0))</f>
        <v>#REF!</v>
      </c>
      <c r="G166" s="52" t="e">
        <f>IF(+All!#REF!="Western Michigan",+All!#REF!,IF(+All!#REF!="Western Michigan",+All!#REF!,0))</f>
        <v>#REF!</v>
      </c>
      <c r="H166" s="51" t="e">
        <f>IF(+All!#REF!="Western Michigan",+All!#REF!,IF(+All!#REF!="Western Michigan",+All!#REF!,0))</f>
        <v>#REF!</v>
      </c>
      <c r="I166" s="52" t="e">
        <f>IF(+All!#REF!="Western Michigan",+All!#REF!,IF(+All!#REF!="Western Michigan",+All!#REF!,0))</f>
        <v>#REF!</v>
      </c>
      <c r="J166" s="460" t="e">
        <f>IF(+All!#REF!="Western Michigan",+All!#REF!,IF(+All!#REF!="Western Michigan",+All!#REF!,0))</f>
        <v>#REF!</v>
      </c>
      <c r="K166" s="461" t="e">
        <f>IF(+All!#REF!="Western Michigan",+All!#REF!,IF(+All!#REF!="Western Michigan",+All!#REF!,0))</f>
        <v>#REF!</v>
      </c>
      <c r="L166" s="54" t="e">
        <f>IF(+All!#REF!="Western Michigan",+All!#REF!,IF(+All!#REF!="Western Michigan",+All!#REF!,0))</f>
        <v>#REF!</v>
      </c>
      <c r="M166" s="55" t="e">
        <f>IF(+All!#REF!="Western Michigan",+All!#REF!,IF(+All!#REF!="Western Michigan",+All!#REF!,0))</f>
        <v>#REF!</v>
      </c>
      <c r="N166" s="460" t="e">
        <f>IF(+All!#REF!="Western Michigan",+All!#REF!,IF(+All!#REF!="Western Michigan",+All!#REF!,0))</f>
        <v>#REF!</v>
      </c>
      <c r="O166" s="462" t="e">
        <f>IF(+All!#REF!="Western Michigan",+All!#REF!,IF(+All!#REF!="Western Michigan",+All!#REF!,0))</f>
        <v>#REF!</v>
      </c>
      <c r="P166" s="462" t="e">
        <f>IF(+All!#REF!="Western Michigan",+All!#REF!,IF(+All!#REF!="Western Michigan",+All!#REF!,0))</f>
        <v>#REF!</v>
      </c>
      <c r="Q166" s="461" t="e">
        <f>IF(+All!#REF!="Western Michigan",+All!#REF!,IF(+All!#REF!="Western Michigan",+All!#REF!,0))</f>
        <v>#REF!</v>
      </c>
      <c r="R166" s="460" t="e">
        <f>IF(+All!#REF!="Western Michigan",+All!#REF!,IF(+All!#REF!="Western Michigan",+All!#REF!,0))</f>
        <v>#REF!</v>
      </c>
      <c r="S166" s="462" t="e">
        <f>IF(+All!#REF!="Western Michigan",+All!#REF!,IF(+All!#REF!="Western Michigan",+All!#REF!,0))</f>
        <v>#REF!</v>
      </c>
      <c r="T166" s="460" t="e">
        <f>IF(+All!#REF!="Western Michigan",+All!#REF!,IF(+All!#REF!="Western Michigan",+All!#REF!,0))</f>
        <v>#REF!</v>
      </c>
      <c r="U166" s="461" t="e">
        <f>IF(+All!#REF!="Western Michigan",+All!#REF!,IF(+All!#REF!="Western Michigan",+All!#REF!,0))</f>
        <v>#REF!</v>
      </c>
    </row>
    <row r="167" spans="1:21" x14ac:dyDescent="0.8">
      <c r="A167" s="46">
        <f>IF(+All!$F596="Western Michigan",+All!A596,IF(+All!$H596="Western Michigan",+All!A596,0))</f>
        <v>10</v>
      </c>
      <c r="B167" s="348" t="str">
        <f>IF(+All!$F596="Western Michigan",+All!B596,IF(+All!$H596="Western Michigan",+All!B596,0))</f>
        <v>Weds</v>
      </c>
      <c r="C167" s="48">
        <f>IF(+All!$F596="Western Michigan",+All!C596,IF(+All!$H596="Western Michigan",+All!C596,0))</f>
        <v>44867</v>
      </c>
      <c r="D167" s="490">
        <f>IF(+All!$F596="Western Michigan",+All!D596,IF(+All!$H596="Western Michigan",+All!D596,0))</f>
        <v>0.8125</v>
      </c>
      <c r="E167" s="461" t="str">
        <f>IF(+All!$F596="Western Michigan",+All!E596,IF(+All!$H596="Western Michigan",+All!E596,0))</f>
        <v>ESPN2</v>
      </c>
      <c r="F167" s="51" t="str">
        <f>IF(+All!$F596="Western Michigan",+All!F596,IF(+All!$H596="Western Michigan",+All!F596,0))</f>
        <v>Western Michigan</v>
      </c>
      <c r="G167" s="52" t="str">
        <f>IF(+All!$F596="Western Michigan",+All!G596,IF(+All!$H596="Western Michigan",+All!G596,0))</f>
        <v>MAC</v>
      </c>
      <c r="H167" s="51" t="str">
        <f>IF(+All!$F596="Western Michigan",+All!H596,IF(+All!$H596="Western Michigan",+All!H596,0))</f>
        <v>Bowling Green</v>
      </c>
      <c r="I167" s="52" t="str">
        <f>IF(+All!$F596="Western Michigan",+All!I596,IF(+All!$H596="Western Michigan",+All!I596,0))</f>
        <v>MAC</v>
      </c>
      <c r="J167" s="460" t="str">
        <f>IF(+All!$F596="Western Michigan",+All!J596,IF(+All!$H596="Western Michigan",+All!J596,0))</f>
        <v>Bowling Green</v>
      </c>
      <c r="K167" s="461" t="str">
        <f>IF(+All!$F596="Western Michigan",+All!K596,IF(+All!$H596="Western Michigan",+All!K596,0))</f>
        <v>Western Michigan</v>
      </c>
      <c r="L167" s="54">
        <f>IF(+All!$F596="Western Michigan",+All!L596,IF(+All!$H596="Western Michigan",+All!L596,0))</f>
        <v>4.5</v>
      </c>
      <c r="M167" s="55">
        <f>IF(+All!$F596="Western Michigan",+All!M596,IF(+All!$H596="Western Michigan",+All!M596,0))</f>
        <v>47.5</v>
      </c>
      <c r="N167" s="460" t="str">
        <f>IF(+All!$F596="Western Michigan",+All!N596,IF(+All!$H596="Western Michigan",+All!N596,0))</f>
        <v>Bowling Green</v>
      </c>
      <c r="O167" s="462">
        <f>IF(+All!$F596="Western Michigan",+All!O596,IF(+All!$H596="Western Michigan",+All!O596,0))</f>
        <v>13</v>
      </c>
      <c r="P167" s="462" t="str">
        <f>IF(+All!$F596="Western Michigan",+All!P596,IF(+All!$H596="Western Michigan",+All!P596,0))</f>
        <v>Western Michigan</v>
      </c>
      <c r="Q167" s="461">
        <f>IF(+All!$F596="Western Michigan",+All!Q596,IF(+All!$H596="Western Michigan",+All!Q596,0))</f>
        <v>9</v>
      </c>
      <c r="R167" s="460" t="str">
        <f>IF(+All!$F596="Western Michigan",+All!R596,IF(+All!$H596="Western Michigan",+All!R596,0))</f>
        <v>Western Michigan</v>
      </c>
      <c r="S167" s="462" t="str">
        <f>IF(+All!$F596="Western Michigan",+All!S596,IF(+All!$H596="Western Michigan",+All!S596,0))</f>
        <v>Bowling Green</v>
      </c>
      <c r="T167" s="460" t="str">
        <f>IF(+All!$F596="Western Michigan",+All!T596,IF(+All!$H596="Western Michigan",+All!T596,0))</f>
        <v>Bowling Green</v>
      </c>
      <c r="U167" s="461" t="str">
        <f>IF(+All!$F596="Western Michigan",+All!U596,IF(+All!$H596="Western Michigan",+All!U596,0))</f>
        <v>L</v>
      </c>
    </row>
    <row r="168" spans="1:21" x14ac:dyDescent="0.8">
      <c r="A168" s="46">
        <f>IF(+All!$F658="Western Michigan",+All!A658,IF(+All!$H658="Western Michigan",+All!A658,0))</f>
        <v>11</v>
      </c>
      <c r="B168" s="348" t="str">
        <f>IF(+All!$F658="Western Michigan",+All!B658,IF(+All!$H658="Western Michigan",+All!B658,0))</f>
        <v>Weds</v>
      </c>
      <c r="C168" s="48">
        <f>IF(+All!$F658="Western Michigan",+All!C658,IF(+All!$H658="Western Michigan",+All!C658,0))</f>
        <v>44874</v>
      </c>
      <c r="D168" s="490">
        <f>IF(+All!$F658="Western Michigan",+All!D658,IF(+All!$H658="Western Michigan",+All!D658,0))</f>
        <v>0.79166666666666663</v>
      </c>
      <c r="E168" s="461" t="str">
        <f>IF(+All!$F658="Western Michigan",+All!E658,IF(+All!$H658="Western Michigan",+All!E658,0))</f>
        <v>ESPNU</v>
      </c>
      <c r="F168" s="51" t="str">
        <f>IF(+All!$F658="Western Michigan",+All!F658,IF(+All!$H658="Western Michigan",+All!F658,0))</f>
        <v>Northern Illinois</v>
      </c>
      <c r="G168" s="52" t="str">
        <f>IF(+All!$F658="Western Michigan",+All!G658,IF(+All!$H658="Western Michigan",+All!G658,0))</f>
        <v>MAC</v>
      </c>
      <c r="H168" s="51" t="str">
        <f>IF(+All!$F658="Western Michigan",+All!H658,IF(+All!$H658="Western Michigan",+All!H658,0))</f>
        <v>Western Michigan</v>
      </c>
      <c r="I168" s="52" t="str">
        <f>IF(+All!$F658="Western Michigan",+All!I658,IF(+All!$H658="Western Michigan",+All!I658,0))</f>
        <v>MAC</v>
      </c>
      <c r="J168" s="460" t="str">
        <f>IF(+All!$F658="Western Michigan",+All!J658,IF(+All!$H658="Western Michigan",+All!J658,0))</f>
        <v>Northern Illinois</v>
      </c>
      <c r="K168" s="461" t="str">
        <f>IF(+All!$F658="Western Michigan",+All!K658,IF(+All!$H658="Western Michigan",+All!K658,0))</f>
        <v>Western Michigan</v>
      </c>
      <c r="L168" s="54">
        <f>IF(+All!$F658="Western Michigan",+All!L658,IF(+All!$H658="Western Michigan",+All!L658,0))</f>
        <v>0</v>
      </c>
      <c r="M168" s="55">
        <f>IF(+All!$F658="Western Michigan",+All!M658,IF(+All!$H658="Western Michigan",+All!M658,0))</f>
        <v>50</v>
      </c>
      <c r="N168" s="460" t="str">
        <f>IF(+All!$F658="Western Michigan",+All!N658,IF(+All!$H658="Western Michigan",+All!N658,0))</f>
        <v>Northern Illinois</v>
      </c>
      <c r="O168" s="462">
        <f>IF(+All!$F658="Western Michigan",+All!O658,IF(+All!$H658="Western Michigan",+All!O658,0))</f>
        <v>24</v>
      </c>
      <c r="P168" s="462" t="str">
        <f>IF(+All!$F658="Western Michigan",+All!P658,IF(+All!$H658="Western Michigan",+All!P658,0))</f>
        <v>Western Michigan</v>
      </c>
      <c r="Q168" s="461">
        <f>IF(+All!$F658="Western Michigan",+All!Q658,IF(+All!$H658="Western Michigan",+All!Q658,0))</f>
        <v>21</v>
      </c>
      <c r="R168" s="460" t="str">
        <f>IF(+All!$F658="Western Michigan",+All!R658,IF(+All!$H658="Western Michigan",+All!R658,0))</f>
        <v>Northern Illinois</v>
      </c>
      <c r="S168" s="462" t="str">
        <f>IF(+All!$F658="Western Michigan",+All!S658,IF(+All!$H658="Western Michigan",+All!S658,0))</f>
        <v>Western Michigan</v>
      </c>
      <c r="T168" s="460" t="str">
        <f>IF(+All!$F658="Western Michigan",+All!T658,IF(+All!$H658="Western Michigan",+All!T658,0))</f>
        <v>Western Michigan</v>
      </c>
      <c r="U168" s="461" t="str">
        <f>IF(+All!$F658="Western Michigan",+All!U658,IF(+All!$H658="Western Michigan",+All!U658,0))</f>
        <v>L</v>
      </c>
    </row>
    <row r="169" spans="1:21" x14ac:dyDescent="0.8">
      <c r="A169" s="46">
        <f>IF(+All!$F720="Western Michigan",+All!A720,IF(+All!$H720="Western Michigan",+All!A720,0))</f>
        <v>12</v>
      </c>
      <c r="B169" s="348" t="str">
        <f>IF(+All!$F720="Western Michigan",+All!B720,IF(+All!$H720="Western Michigan",+All!B720,0))</f>
        <v>Weds</v>
      </c>
      <c r="C169" s="48">
        <f>IF(+All!$F720="Western Michigan",+All!C720,IF(+All!$H720="Western Michigan",+All!C720,0))</f>
        <v>44881</v>
      </c>
      <c r="D169" s="490">
        <f>IF(+All!$F720="Western Michigan",+All!D720,IF(+All!$H720="Western Michigan",+All!D720,0))</f>
        <v>0.83333333333333337</v>
      </c>
      <c r="E169" s="461" t="str">
        <f>IF(+All!$F720="Western Michigan",+All!E720,IF(+All!$H720="Western Michigan",+All!E720,0))</f>
        <v>ESPNU</v>
      </c>
      <c r="F169" s="51" t="str">
        <f>IF(+All!$F720="Western Michigan",+All!F720,IF(+All!$H720="Western Michigan",+All!F720,0))</f>
        <v>Western Michigan</v>
      </c>
      <c r="G169" s="52" t="str">
        <f>IF(+All!$F720="Western Michigan",+All!G720,IF(+All!$H720="Western Michigan",+All!G720,0))</f>
        <v>MAC</v>
      </c>
      <c r="H169" s="51" t="str">
        <f>IF(+All!$F720="Western Michigan",+All!H720,IF(+All!$H720="Western Michigan",+All!H720,0))</f>
        <v>Central Michigan</v>
      </c>
      <c r="I169" s="52" t="str">
        <f>IF(+All!$F720="Western Michigan",+All!I720,IF(+All!$H720="Western Michigan",+All!I720,0))</f>
        <v>MAC</v>
      </c>
      <c r="J169" s="460" t="str">
        <f>IF(+All!$F720="Western Michigan",+All!J720,IF(+All!$H720="Western Michigan",+All!J720,0))</f>
        <v>Central Michigan</v>
      </c>
      <c r="K169" s="461" t="str">
        <f>IF(+All!$F720="Western Michigan",+All!K720,IF(+All!$H720="Western Michigan",+All!K720,0))</f>
        <v>Western Michigan</v>
      </c>
      <c r="L169" s="54">
        <f>IF(+All!$F720="Western Michigan",+All!L720,IF(+All!$H720="Western Michigan",+All!L720,0))</f>
        <v>10.5</v>
      </c>
      <c r="M169" s="55">
        <f>IF(+All!$F720="Western Michigan",+All!M720,IF(+All!$H720="Western Michigan",+All!M720,0))</f>
        <v>49.5</v>
      </c>
      <c r="N169" s="460" t="str">
        <f>IF(+All!$F720="Western Michigan",+All!N720,IF(+All!$H720="Western Michigan",+All!N720,0))</f>
        <v>Western Michigan</v>
      </c>
      <c r="O169" s="462">
        <f>IF(+All!$F720="Western Michigan",+All!O720,IF(+All!$H720="Western Michigan",+All!O720,0))</f>
        <v>12</v>
      </c>
      <c r="P169" s="462" t="str">
        <f>IF(+All!$F720="Western Michigan",+All!P720,IF(+All!$H720="Western Michigan",+All!P720,0))</f>
        <v>Central Michigan</v>
      </c>
      <c r="Q169" s="461">
        <f>IF(+All!$F720="Western Michigan",+All!Q720,IF(+All!$H720="Western Michigan",+All!Q720,0))</f>
        <v>10</v>
      </c>
      <c r="R169" s="460" t="str">
        <f>IF(+All!$F720="Western Michigan",+All!R720,IF(+All!$H720="Western Michigan",+All!R720,0))</f>
        <v>Western Michigan</v>
      </c>
      <c r="S169" s="462" t="str">
        <f>IF(+All!$F720="Western Michigan",+All!S720,IF(+All!$H720="Western Michigan",+All!S720,0))</f>
        <v>Central Michigan</v>
      </c>
      <c r="T169" s="460" t="str">
        <f>IF(+All!$F720="Western Michigan",+All!T720,IF(+All!$H720="Western Michigan",+All!T720,0))</f>
        <v>Western Michigan</v>
      </c>
      <c r="U169" s="461" t="str">
        <f>IF(+All!$F720="Western Michigan",+All!U720,IF(+All!$H720="Western Michigan",+All!U720,0))</f>
        <v>W</v>
      </c>
    </row>
    <row r="170" spans="1:21" x14ac:dyDescent="0.8">
      <c r="A170" s="46">
        <f>IF(+All!$F790="Western Michigan",+All!A790,IF(+All!$H790="Western Michigan",+All!A790,0))</f>
        <v>13</v>
      </c>
      <c r="B170" s="348" t="str">
        <f>IF(+All!$F790="Western Michigan",+All!B790,IF(+All!$H790="Western Michigan",+All!B790,0))</f>
        <v>Fri</v>
      </c>
      <c r="C170" s="48">
        <f>IF(+All!$F790="Western Michigan",+All!C790,IF(+All!$H790="Western Michigan",+All!C790,0))</f>
        <v>44890</v>
      </c>
      <c r="D170" s="490">
        <f>IF(+All!$F790="Western Michigan",+All!D790,IF(+All!$H790="Western Michigan",+All!D790,0))</f>
        <v>0.5</v>
      </c>
      <c r="E170" s="461" t="str">
        <f>IF(+All!$F790="Western Michigan",+All!E790,IF(+All!$H790="Western Michigan",+All!E790,0))</f>
        <v>ESPNU</v>
      </c>
      <c r="F170" s="51" t="str">
        <f>IF(+All!$F790="Western Michigan",+All!F790,IF(+All!$H790="Western Michigan",+All!F790,0))</f>
        <v>Toledo</v>
      </c>
      <c r="G170" s="52" t="str">
        <f>IF(+All!$F790="Western Michigan",+All!G790,IF(+All!$H790="Western Michigan",+All!G790,0))</f>
        <v>MAC</v>
      </c>
      <c r="H170" s="51" t="str">
        <f>IF(+All!$F790="Western Michigan",+All!H790,IF(+All!$H790="Western Michigan",+All!H790,0))</f>
        <v>Western Michigan</v>
      </c>
      <c r="I170" s="52" t="str">
        <f>IF(+All!$F790="Western Michigan",+All!I790,IF(+All!$H790="Western Michigan",+All!I790,0))</f>
        <v>MAC</v>
      </c>
      <c r="J170" s="460" t="str">
        <f>IF(+All!$F790="Western Michigan",+All!J790,IF(+All!$H790="Western Michigan",+All!J790,0))</f>
        <v>Toledo</v>
      </c>
      <c r="K170" s="461" t="str">
        <f>IF(+All!$F790="Western Michigan",+All!K790,IF(+All!$H790="Western Michigan",+All!K790,0))</f>
        <v>Western Michigan</v>
      </c>
      <c r="L170" s="54">
        <f>IF(+All!$F790="Western Michigan",+All!L790,IF(+All!$H790="Western Michigan",+All!L790,0))</f>
        <v>8.5</v>
      </c>
      <c r="M170" s="55">
        <f>IF(+All!$F790="Western Michigan",+All!M790,IF(+All!$H790="Western Michigan",+All!M790,0))</f>
        <v>50.5</v>
      </c>
      <c r="N170" s="460" t="str">
        <f>IF(+All!$F790="Western Michigan",+All!N790,IF(+All!$H790="Western Michigan",+All!N790,0))</f>
        <v>Western Michigan</v>
      </c>
      <c r="O170" s="462">
        <f>IF(+All!$F790="Western Michigan",+All!O790,IF(+All!$H790="Western Michigan",+All!O790,0))</f>
        <v>20</v>
      </c>
      <c r="P170" s="462" t="str">
        <f>IF(+All!$F790="Western Michigan",+All!P790,IF(+All!$H790="Western Michigan",+All!P790,0))</f>
        <v>Toledo</v>
      </c>
      <c r="Q170" s="461">
        <f>IF(+All!$F790="Western Michigan",+All!Q790,IF(+All!$H790="Western Michigan",+All!Q790,0))</f>
        <v>14</v>
      </c>
      <c r="R170" s="460" t="str">
        <f>IF(+All!$F790="Western Michigan",+All!R790,IF(+All!$H790="Western Michigan",+All!R790,0))</f>
        <v>Western Michigan</v>
      </c>
      <c r="S170" s="462" t="str">
        <f>IF(+All!$F790="Western Michigan",+All!S790,IF(+All!$H790="Western Michigan",+All!S790,0))</f>
        <v>Toledo</v>
      </c>
      <c r="T170" s="460" t="str">
        <f>IF(+All!$F790="Western Michigan",+All!T790,IF(+All!$H790="Western Michigan",+All!T790,0))</f>
        <v>Western Michigan</v>
      </c>
      <c r="U170" s="461" t="str">
        <f>IF(+All!$F790="Western Michigan",+All!U790,IF(+All!$H790="Western Michigan",+All!U790,0))</f>
        <v>W</v>
      </c>
    </row>
    <row r="171" spans="1:21" x14ac:dyDescent="0.8">
      <c r="B171" s="348"/>
      <c r="C171" s="48"/>
      <c r="D171" s="49"/>
      <c r="F171" s="51"/>
      <c r="G171" s="52"/>
      <c r="H171" s="51"/>
      <c r="I171" s="52"/>
      <c r="L171" s="54"/>
      <c r="M171" s="55"/>
    </row>
  </sheetData>
  <sortState xmlns:xlrd2="http://schemas.microsoft.com/office/spreadsheetml/2017/richdata2" ref="A145:U171">
    <sortCondition ref="A145:A1151"/>
    <sortCondition ref="F145:F1151"/>
  </sortState>
  <mergeCells count="15">
    <mergeCell ref="R1:S1"/>
    <mergeCell ref="F87:I87"/>
    <mergeCell ref="F115:I115"/>
    <mergeCell ref="F101:I101"/>
    <mergeCell ref="F129:I129"/>
    <mergeCell ref="F73:I73"/>
    <mergeCell ref="F45:I45"/>
    <mergeCell ref="F3:I3"/>
    <mergeCell ref="F17:I17"/>
    <mergeCell ref="F31:I31"/>
    <mergeCell ref="F157:I157"/>
    <mergeCell ref="F59:I59"/>
    <mergeCell ref="F1:I1"/>
    <mergeCell ref="N1:Q1"/>
    <mergeCell ref="F143:I143"/>
  </mergeCells>
  <pageMargins left="0.25" right="0.25" top="0.25" bottom="0.25" header="0" footer="0"/>
  <pageSetup scale="58" fitToHeight="0" orientation="landscape" r:id="rId1"/>
  <headerFooter alignWithMargins="0">
    <oddFooter>&amp;C&amp;36MAC</oddFooter>
  </headerFooter>
  <rowBreaks count="2" manualBreakCount="2">
    <brk id="58" max="18" man="1"/>
    <brk id="114" max="18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pageSetUpPr fitToPage="1"/>
  </sheetPr>
  <dimension ref="A1:W174"/>
  <sheetViews>
    <sheetView view="pageBreakPreview" topLeftCell="A7" zoomScale="75" zoomScaleNormal="75" zoomScaleSheetLayoutView="75" workbookViewId="0">
      <selection activeCell="A29" sqref="A29"/>
    </sheetView>
  </sheetViews>
  <sheetFormatPr defaultColWidth="8.86328125" defaultRowHeight="16" x14ac:dyDescent="0.8"/>
  <cols>
    <col min="1" max="1" width="5.6796875" style="46" customWidth="1"/>
    <col min="2" max="2" width="5.6796875" style="47" hidden="1" customWidth="1"/>
    <col min="3" max="3" width="13" style="72" hidden="1" customWidth="1"/>
    <col min="4" max="4" width="11.6796875" style="73" hidden="1" customWidth="1"/>
    <col min="5" max="5" width="9.1328125" style="50" hidden="1" customWidth="1"/>
    <col min="6" max="6" width="24.453125" style="53" customWidth="1"/>
    <col min="7" max="7" width="8.6796875" style="50" hidden="1" customWidth="1"/>
    <col min="8" max="8" width="24.453125" style="53" customWidth="1"/>
    <col min="9" max="9" width="8.6796875" style="50" hidden="1" customWidth="1"/>
    <col min="10" max="10" width="24.453125" style="53" customWidth="1"/>
    <col min="11" max="11" width="24.453125" style="50" customWidth="1"/>
    <col min="12" max="12" width="8" style="60" customWidth="1"/>
    <col min="13" max="13" width="8" style="61" customWidth="1"/>
    <col min="14" max="14" width="24.453125" style="53" customWidth="1"/>
    <col min="15" max="15" width="5.6796875" style="56" customWidth="1"/>
    <col min="16" max="16" width="24.453125" style="56" customWidth="1"/>
    <col min="17" max="17" width="5.6796875" style="50" customWidth="1"/>
    <col min="18" max="18" width="24.453125" style="53" customWidth="1"/>
    <col min="19" max="19" width="24.453125" style="56" customWidth="1"/>
    <col min="20" max="20" width="27.6796875" style="53" customWidth="1"/>
    <col min="21" max="21" width="6.54296875" style="50" customWidth="1"/>
    <col min="22" max="16384" width="8.86328125" style="9"/>
  </cols>
  <sheetData>
    <row r="1" spans="1:23" s="21" customFormat="1" ht="16" customHeight="1" x14ac:dyDescent="0.8">
      <c r="A1" s="10"/>
      <c r="B1" s="10"/>
      <c r="C1" s="11"/>
      <c r="D1" s="12"/>
      <c r="E1" s="13"/>
      <c r="F1" s="895" t="s">
        <v>2</v>
      </c>
      <c r="G1" s="900"/>
      <c r="H1" s="900"/>
      <c r="I1" s="896"/>
      <c r="J1" s="14"/>
      <c r="K1" s="13"/>
      <c r="L1" s="15"/>
      <c r="M1" s="16"/>
      <c r="N1" s="895" t="s">
        <v>3</v>
      </c>
      <c r="O1" s="900"/>
      <c r="P1" s="900"/>
      <c r="Q1" s="896"/>
      <c r="R1" s="895" t="s">
        <v>4</v>
      </c>
      <c r="S1" s="896"/>
      <c r="T1" s="14"/>
      <c r="U1" s="13"/>
      <c r="V1" s="9"/>
      <c r="W1" s="9"/>
    </row>
    <row r="2" spans="1:23" s="21" customFormat="1" ht="16" customHeight="1" x14ac:dyDescent="0.8">
      <c r="A2" s="22" t="s">
        <v>10</v>
      </c>
      <c r="B2" s="23" t="s">
        <v>11</v>
      </c>
      <c r="C2" s="24" t="s">
        <v>12</v>
      </c>
      <c r="D2" s="25" t="s">
        <v>13</v>
      </c>
      <c r="E2" s="26" t="s">
        <v>14</v>
      </c>
      <c r="F2" s="27" t="s">
        <v>6</v>
      </c>
      <c r="G2" s="26" t="s">
        <v>15</v>
      </c>
      <c r="H2" s="27" t="s">
        <v>8</v>
      </c>
      <c r="I2" s="26" t="s">
        <v>15</v>
      </c>
      <c r="J2" s="27" t="s">
        <v>16</v>
      </c>
      <c r="K2" s="26" t="s">
        <v>17</v>
      </c>
      <c r="L2" s="28" t="s">
        <v>18</v>
      </c>
      <c r="M2" s="29" t="s">
        <v>19</v>
      </c>
      <c r="N2" s="27" t="s">
        <v>20</v>
      </c>
      <c r="O2" s="30"/>
      <c r="P2" s="30" t="s">
        <v>21</v>
      </c>
      <c r="Q2" s="31"/>
      <c r="R2" s="27" t="s">
        <v>20</v>
      </c>
      <c r="S2" s="30" t="s">
        <v>21</v>
      </c>
      <c r="T2" s="27" t="s">
        <v>22</v>
      </c>
      <c r="U2" s="26" t="s">
        <v>23</v>
      </c>
      <c r="V2" s="9"/>
      <c r="W2" s="9"/>
    </row>
    <row r="3" spans="1:23" x14ac:dyDescent="0.8">
      <c r="A3" s="38"/>
      <c r="B3" s="39"/>
      <c r="C3" s="40"/>
      <c r="D3" s="41"/>
      <c r="E3" s="42"/>
      <c r="F3" s="897" t="str">
        <f>H4</f>
        <v>Air Force</v>
      </c>
      <c r="G3" s="903"/>
      <c r="H3" s="903"/>
      <c r="I3" s="904"/>
      <c r="J3" s="43"/>
      <c r="K3" s="42"/>
      <c r="L3" s="44"/>
      <c r="M3" s="45"/>
      <c r="N3" s="43"/>
      <c r="O3" s="5"/>
      <c r="P3" s="5"/>
      <c r="Q3" s="42"/>
      <c r="R3" s="43"/>
      <c r="S3" s="5"/>
      <c r="T3" s="43"/>
      <c r="U3" s="42"/>
    </row>
    <row r="4" spans="1:23" x14ac:dyDescent="0.8">
      <c r="A4" s="46">
        <f>IF(+All!$F58="Air Force",+All!A58,IF(+All!$H58="Air Force",+All!A58,0))</f>
        <v>1</v>
      </c>
      <c r="B4" s="348" t="str">
        <f>IF(+All!$F58="Air Force",+All!B58,IF(+All!$H58="Air Force",+All!B58,0))</f>
        <v>Sat</v>
      </c>
      <c r="C4" s="48">
        <f>IF(+All!$F58="Air Force",+All!C58,IF(+All!$H58="Air Force",+All!C58,0))</f>
        <v>44807</v>
      </c>
      <c r="D4" s="490">
        <f>IF(+All!$F58="Air Force",+All!D58,IF(+All!$H58="Air Force",+All!D58,0))</f>
        <v>0.54166666666666663</v>
      </c>
      <c r="E4" s="461">
        <f>IF(+All!$F58="Air Force",+All!E58,IF(+All!$H58="Air Force",+All!E58,0))</f>
        <v>0</v>
      </c>
      <c r="F4" s="51" t="str">
        <f>IF(+All!$F58="Air Force",+All!F58,IF(+All!$H58="Air Force",+All!F58,0))</f>
        <v>1AA Northern Iowa</v>
      </c>
      <c r="G4" s="52" t="str">
        <f>IF(+All!$F58="Air Force",+All!G58,IF(+All!$H58="Air Force",+All!G58,0))</f>
        <v>1AA</v>
      </c>
      <c r="H4" s="51" t="str">
        <f>IF(+All!$F58="Air Force",+All!H58,IF(+All!$H58="Air Force",+All!H58,0))</f>
        <v>Air Force</v>
      </c>
      <c r="I4" s="52" t="str">
        <f>IF(+All!$F58="Air Force",+All!I58,IF(+All!$H58="Air Force",+All!I58,0))</f>
        <v>MWC</v>
      </c>
      <c r="J4" s="460">
        <f>IF(+All!$F58="Air Force",+All!J58,IF(+All!$H58="Air Force",+All!J58,0))</f>
        <v>0</v>
      </c>
      <c r="K4" s="461">
        <f>IF(+All!$F58="Air Force",+All!K58,IF(+All!$H58="Air Force",+All!K58,0))</f>
        <v>0</v>
      </c>
      <c r="L4" s="54">
        <f>IF(+All!$F58="Air Force",+All!L58,IF(+All!$H58="Air Force",+All!L58,0))</f>
        <v>0</v>
      </c>
      <c r="M4" s="55">
        <f>IF(+All!$F58="Air Force",+All!M58,IF(+All!$H58="Air Force",+All!M58,0))</f>
        <v>0</v>
      </c>
      <c r="N4" s="460" t="str">
        <f>IF(+All!$F58="Air Force",+All!N58,IF(+All!$H58="Air Force",+All!N58,0))</f>
        <v>Air Force</v>
      </c>
      <c r="O4" s="462">
        <f>IF(+All!$F58="Air Force",+All!O58,IF(+All!$H58="Air Force",+All!O58,0))</f>
        <v>48</v>
      </c>
      <c r="P4" s="462" t="str">
        <f>IF(+All!$F58="Air Force",+All!P58,IF(+All!$H58="Air Force",+All!P58,0))</f>
        <v>1AA Northern Iowa</v>
      </c>
      <c r="Q4" s="461">
        <f>IF(+All!$F58="Air Force",+All!Q58,IF(+All!$H58="Air Force",+All!Q58,0))</f>
        <v>17</v>
      </c>
      <c r="R4" s="460">
        <f>IF(+All!$F58="Air Force",+All!R58,IF(+All!$H58="Air Force",+All!R58,0))</f>
        <v>0</v>
      </c>
      <c r="S4" s="462">
        <f>IF(+All!$F58="Air Force",+All!S58,IF(+All!$H58="Air Force",+All!S58,0))</f>
        <v>0</v>
      </c>
      <c r="T4" s="460">
        <f>IF(+All!$F58="Air Force",+All!T58,IF(+All!$H58="Air Force",+All!T58,0))</f>
        <v>0</v>
      </c>
      <c r="U4" s="461">
        <f>IF(+All!$F58="Air Force",+All!U58,IF(+All!$H58="Air Force",+All!U58,0))</f>
        <v>0</v>
      </c>
    </row>
    <row r="5" spans="1:23" s="75" customFormat="1" x14ac:dyDescent="0.8">
      <c r="A5" s="46">
        <f>IF(+All!$F151="Air Force",+All!A151,IF(+All!$H151="Air Force",+All!A151,0))</f>
        <v>2</v>
      </c>
      <c r="B5" s="348" t="str">
        <f>IF(+All!$F151="Air Force",+All!B151,IF(+All!$H151="Air Force",+All!B151,0))</f>
        <v>Sat</v>
      </c>
      <c r="C5" s="48">
        <f>IF(+All!$F151="Air Force",+All!C151,IF(+All!$H151="Air Force",+All!C151,0))</f>
        <v>44814</v>
      </c>
      <c r="D5" s="490">
        <f>IF(+All!$F151="Air Force",+All!D151,IF(+All!$H151="Air Force",+All!D151,0))</f>
        <v>0.64583333333333337</v>
      </c>
      <c r="E5" s="461" t="str">
        <f>IF(+All!$F151="Air Force",+All!E151,IF(+All!$H151="Air Force",+All!E151,0))</f>
        <v>CBS</v>
      </c>
      <c r="F5" s="51" t="str">
        <f>IF(+All!$F151="Air Force",+All!F151,IF(+All!$H151="Air Force",+All!F151,0))</f>
        <v>Colorado</v>
      </c>
      <c r="G5" s="52" t="str">
        <f>IF(+All!$F151="Air Force",+All!G151,IF(+All!$H151="Air Force",+All!G151,0))</f>
        <v>P12</v>
      </c>
      <c r="H5" s="51" t="str">
        <f>IF(+All!$F151="Air Force",+All!H151,IF(+All!$H151="Air Force",+All!H151,0))</f>
        <v>Air Force</v>
      </c>
      <c r="I5" s="52" t="str">
        <f>IF(+All!$F151="Air Force",+All!I151,IF(+All!$H151="Air Force",+All!I151,0))</f>
        <v>MWC</v>
      </c>
      <c r="J5" s="460" t="str">
        <f>IF(+All!$F151="Air Force",+All!J151,IF(+All!$H151="Air Force",+All!J151,0))</f>
        <v>Air Force</v>
      </c>
      <c r="K5" s="461" t="str">
        <f>IF(+All!$F151="Air Force",+All!K151,IF(+All!$H151="Air Force",+All!K151,0))</f>
        <v>Colorado</v>
      </c>
      <c r="L5" s="54">
        <f>IF(+All!$F151="Air Force",+All!L151,IF(+All!$H151="Air Force",+All!L151,0))</f>
        <v>17.5</v>
      </c>
      <c r="M5" s="55">
        <f>IF(+All!$F151="Air Force",+All!M151,IF(+All!$H151="Air Force",+All!M151,0))</f>
        <v>49</v>
      </c>
      <c r="N5" s="460" t="str">
        <f>IF(+All!$F151="Air Force",+All!N151,IF(+All!$H151="Air Force",+All!N151,0))</f>
        <v>Air Force</v>
      </c>
      <c r="O5" s="462">
        <f>IF(+All!$F151="Air Force",+All!O151,IF(+All!$H151="Air Force",+All!O151,0))</f>
        <v>41</v>
      </c>
      <c r="P5" s="462" t="str">
        <f>IF(+All!$F151="Air Force",+All!P151,IF(+All!$H151="Air Force",+All!P151,0))</f>
        <v>Colorado</v>
      </c>
      <c r="Q5" s="461">
        <f>IF(+All!$F151="Air Force",+All!Q151,IF(+All!$H151="Air Force",+All!Q151,0))</f>
        <v>10</v>
      </c>
      <c r="R5" s="460" t="str">
        <f>IF(+All!$F151="Air Force",+All!R151,IF(+All!$H151="Air Force",+All!R151,0))</f>
        <v>Air Force</v>
      </c>
      <c r="S5" s="462" t="str">
        <f>IF(+All!$F151="Air Force",+All!S151,IF(+All!$H151="Air Force",+All!S151,0))</f>
        <v>Colorado</v>
      </c>
      <c r="T5" s="460" t="str">
        <f>IF(+All!$F151="Air Force",+All!T151,IF(+All!$H151="Air Force",+All!T151,0))</f>
        <v>Colorado</v>
      </c>
      <c r="U5" s="461" t="str">
        <f>IF(+All!$F151="Air Force",+All!U151,IF(+All!$H151="Air Force",+All!U151,0))</f>
        <v>L</v>
      </c>
    </row>
    <row r="6" spans="1:23" s="75" customFormat="1" x14ac:dyDescent="0.8">
      <c r="A6" s="46">
        <f>IF(+All!$F181="Air Force",+All!A181,IF(+All!$H181="Air Force",+All!A181,0))</f>
        <v>3</v>
      </c>
      <c r="B6" s="348" t="str">
        <f>IF(+All!$F181="Air Force",+All!B181,IF(+All!$H181="Air Force",+All!B181,0))</f>
        <v>Fri</v>
      </c>
      <c r="C6" s="48">
        <f>IF(+All!$F181="Air Force",+All!C181,IF(+All!$H181="Air Force",+All!C181,0))</f>
        <v>44820</v>
      </c>
      <c r="D6" s="490">
        <f>IF(+All!$F181="Air Force",+All!D181,IF(+All!$H181="Air Force",+All!D181,0))</f>
        <v>0.83333333333333337</v>
      </c>
      <c r="E6" s="461" t="str">
        <f>IF(+All!$F181="Air Force",+All!E181,IF(+All!$H181="Air Force",+All!E181,0))</f>
        <v>CBSSN</v>
      </c>
      <c r="F6" s="51" t="str">
        <f>IF(+All!$F181="Air Force",+All!F181,IF(+All!$H181="Air Force",+All!F181,0))</f>
        <v>Air Force</v>
      </c>
      <c r="G6" s="52" t="str">
        <f>IF(+All!$F181="Air Force",+All!G181,IF(+All!$H181="Air Force",+All!G181,0))</f>
        <v>MWC</v>
      </c>
      <c r="H6" s="51" t="str">
        <f>IF(+All!$F181="Air Force",+All!H181,IF(+All!$H181="Air Force",+All!H181,0))</f>
        <v>Wyoming</v>
      </c>
      <c r="I6" s="52" t="str">
        <f>IF(+All!$F181="Air Force",+All!I181,IF(+All!$H181="Air Force",+All!I181,0))</f>
        <v>MWC</v>
      </c>
      <c r="J6" s="460" t="str">
        <f>IF(+All!$F181="Air Force",+All!J181,IF(+All!$H181="Air Force",+All!J181,0))</f>
        <v>Air Force</v>
      </c>
      <c r="K6" s="461" t="str">
        <f>IF(+All!$F181="Air Force",+All!K181,IF(+All!$H181="Air Force",+All!K181,0))</f>
        <v>Wyoming</v>
      </c>
      <c r="L6" s="54">
        <f>IF(+All!$F181="Air Force",+All!L181,IF(+All!$H181="Air Force",+All!L181,0))</f>
        <v>15</v>
      </c>
      <c r="M6" s="55">
        <f>IF(+All!$F181="Air Force",+All!M181,IF(+All!$H181="Air Force",+All!M181,0))</f>
        <v>46.5</v>
      </c>
      <c r="N6" s="460" t="str">
        <f>IF(+All!$F181="Air Force",+All!N181,IF(+All!$H181="Air Force",+All!N181,0))</f>
        <v>Wyoming</v>
      </c>
      <c r="O6" s="462">
        <f>IF(+All!$F181="Air Force",+All!O181,IF(+All!$H181="Air Force",+All!O181,0))</f>
        <v>17</v>
      </c>
      <c r="P6" s="462" t="str">
        <f>IF(+All!$F181="Air Force",+All!P181,IF(+All!$H181="Air Force",+All!P181,0))</f>
        <v>Air Force</v>
      </c>
      <c r="Q6" s="461">
        <f>IF(+All!$F181="Air Force",+All!Q181,IF(+All!$H181="Air Force",+All!Q181,0))</f>
        <v>14</v>
      </c>
      <c r="R6" s="460" t="str">
        <f>IF(+All!$F181="Air Force",+All!R181,IF(+All!$H181="Air Force",+All!R181,0))</f>
        <v>Wyoming</v>
      </c>
      <c r="S6" s="462" t="str">
        <f>IF(+All!$F181="Air Force",+All!S181,IF(+All!$H181="Air Force",+All!S181,0))</f>
        <v>Air Force</v>
      </c>
      <c r="T6" s="460" t="str">
        <f>IF(+All!$F181="Air Force",+All!T181,IF(+All!$H181="Air Force",+All!T181,0))</f>
        <v>Air Force</v>
      </c>
      <c r="U6" s="461" t="str">
        <f>IF(+All!$F181="Air Force",+All!U181,IF(+All!$H181="Air Force",+All!U181,0))</f>
        <v>L</v>
      </c>
    </row>
    <row r="7" spans="1:23" s="75" customFormat="1" x14ac:dyDescent="0.8">
      <c r="A7" s="46">
        <f>IF(+All!$F257="Air Force",+All!A257,IF(+All!$H257="Air Force",+All!A257,0))</f>
        <v>4</v>
      </c>
      <c r="B7" s="348" t="str">
        <f>IF(+All!$F257="Air Force",+All!B257,IF(+All!$H257="Air Force",+All!B257,0))</f>
        <v>Fri</v>
      </c>
      <c r="C7" s="48">
        <f>IF(+All!$F257="Air Force",+All!C257,IF(+All!$H257="Air Force",+All!C257,0))</f>
        <v>44827</v>
      </c>
      <c r="D7" s="490">
        <f>IF(+All!$F257="Air Force",+All!D257,IF(+All!$H257="Air Force",+All!D257,0))</f>
        <v>0.83333333333333337</v>
      </c>
      <c r="E7" s="461" t="str">
        <f>IF(+All!$F257="Air Force",+All!E257,IF(+All!$H257="Air Force",+All!E257,0))</f>
        <v>FS1</v>
      </c>
      <c r="F7" s="51" t="str">
        <f>IF(+All!$F257="Air Force",+All!F257,IF(+All!$H257="Air Force",+All!F257,0))</f>
        <v>Nevada</v>
      </c>
      <c r="G7" s="52" t="str">
        <f>IF(+All!$F257="Air Force",+All!G257,IF(+All!$H257="Air Force",+All!G257,0))</f>
        <v>MWC</v>
      </c>
      <c r="H7" s="51" t="str">
        <f>IF(+All!$F257="Air Force",+All!H257,IF(+All!$H257="Air Force",+All!H257,0))</f>
        <v>Air Force</v>
      </c>
      <c r="I7" s="52" t="str">
        <f>IF(+All!$F257="Air Force",+All!I257,IF(+All!$H257="Air Force",+All!I257,0))</f>
        <v>MWC</v>
      </c>
      <c r="J7" s="460" t="str">
        <f>IF(+All!$F257="Air Force",+All!J257,IF(+All!$H257="Air Force",+All!J257,0))</f>
        <v>Air Force</v>
      </c>
      <c r="K7" s="461" t="str">
        <f>IF(+All!$F257="Air Force",+All!K257,IF(+All!$H257="Air Force",+All!K257,0))</f>
        <v>Nevada</v>
      </c>
      <c r="L7" s="54">
        <f>IF(+All!$F257="Air Force",+All!L257,IF(+All!$H257="Air Force",+All!L257,0))</f>
        <v>24</v>
      </c>
      <c r="M7" s="55">
        <f>IF(+All!$F257="Air Force",+All!M257,IF(+All!$H257="Air Force",+All!M257,0))</f>
        <v>45</v>
      </c>
      <c r="N7" s="460" t="str">
        <f>IF(+All!$F257="Air Force",+All!N257,IF(+All!$H257="Air Force",+All!N257,0))</f>
        <v>Air Force</v>
      </c>
      <c r="O7" s="462">
        <f>IF(+All!$F257="Air Force",+All!O257,IF(+All!$H257="Air Force",+All!O257,0))</f>
        <v>48</v>
      </c>
      <c r="P7" s="462" t="str">
        <f>IF(+All!$F257="Air Force",+All!P257,IF(+All!$H257="Air Force",+All!P257,0))</f>
        <v>Nevada</v>
      </c>
      <c r="Q7" s="461">
        <f>IF(+All!$F257="Air Force",+All!Q257,IF(+All!$H257="Air Force",+All!Q257,0))</f>
        <v>20</v>
      </c>
      <c r="R7" s="460" t="str">
        <f>IF(+All!$F257="Air Force",+All!R257,IF(+All!$H257="Air Force",+All!R257,0))</f>
        <v>Air Force</v>
      </c>
      <c r="S7" s="462" t="str">
        <f>IF(+All!$F257="Air Force",+All!S257,IF(+All!$H257="Air Force",+All!S257,0))</f>
        <v>Nevada</v>
      </c>
      <c r="T7" s="460" t="str">
        <f>IF(+All!$F257="Air Force",+All!T257,IF(+All!$H257="Air Force",+All!T257,0))</f>
        <v>Air Force</v>
      </c>
      <c r="U7" s="461" t="str">
        <f>IF(+All!$F257="Air Force",+All!U257,IF(+All!$H257="Air Force",+All!U257,0))</f>
        <v>W</v>
      </c>
    </row>
    <row r="8" spans="1:23" s="75" customFormat="1" x14ac:dyDescent="0.8">
      <c r="A8" s="46">
        <f>IF(+All!$F361="Air Force",+All!A361,IF(+All!$H361="Air Force",+All!A361,0))</f>
        <v>5</v>
      </c>
      <c r="B8" s="348" t="str">
        <f>IF(+All!$F361="Air Force",+All!B361,IF(+All!$H361="Air Force",+All!B361,0))</f>
        <v>Sat</v>
      </c>
      <c r="C8" s="48">
        <f>IF(+All!$F361="Air Force",+All!C361,IF(+All!$H361="Air Force",+All!C361,0))</f>
        <v>44835</v>
      </c>
      <c r="D8" s="490">
        <f>IF(+All!$F361="Air Force",+All!D361,IF(+All!$H361="Air Force",+All!D361,0))</f>
        <v>0.5</v>
      </c>
      <c r="E8" s="461" t="str">
        <f>IF(+All!$F361="Air Force",+All!E361,IF(+All!$H361="Air Force",+All!E361,0))</f>
        <v>CBS</v>
      </c>
      <c r="F8" s="51" t="str">
        <f>IF(+All!$F361="Air Force",+All!F361,IF(+All!$H361="Air Force",+All!F361,0))</f>
        <v>Navy</v>
      </c>
      <c r="G8" s="52" t="str">
        <f>IF(+All!$F361="Air Force",+All!G361,IF(+All!$H361="Air Force",+All!G361,0))</f>
        <v>AAC</v>
      </c>
      <c r="H8" s="51" t="str">
        <f>IF(+All!$F361="Air Force",+All!H361,IF(+All!$H361="Air Force",+All!H361,0))</f>
        <v>Air Force</v>
      </c>
      <c r="I8" s="52" t="str">
        <f>IF(+All!$F361="Air Force",+All!I361,IF(+All!$H361="Air Force",+All!I361,0))</f>
        <v>MWC</v>
      </c>
      <c r="J8" s="460" t="str">
        <f>IF(+All!$F361="Air Force",+All!J361,IF(+All!$H361="Air Force",+All!J361,0))</f>
        <v>Air Force</v>
      </c>
      <c r="K8" s="461" t="str">
        <f>IF(+All!$F361="Air Force",+All!K361,IF(+All!$H361="Air Force",+All!K361,0))</f>
        <v>Navy</v>
      </c>
      <c r="L8" s="54">
        <f>IF(+All!$F361="Air Force",+All!L361,IF(+All!$H361="Air Force",+All!L361,0))</f>
        <v>14</v>
      </c>
      <c r="M8" s="55">
        <f>IF(+All!$F361="Air Force",+All!M361,IF(+All!$H361="Air Force",+All!M361,0))</f>
        <v>37.5</v>
      </c>
      <c r="N8" s="460" t="str">
        <f>IF(+All!$F361="Air Force",+All!N361,IF(+All!$H361="Air Force",+All!N361,0))</f>
        <v>Air Force</v>
      </c>
      <c r="O8" s="462">
        <f>IF(+All!$F361="Air Force",+All!O361,IF(+All!$H361="Air Force",+All!O361,0))</f>
        <v>13</v>
      </c>
      <c r="P8" s="462" t="str">
        <f>IF(+All!$F361="Air Force",+All!P361,IF(+All!$H361="Air Force",+All!P361,0))</f>
        <v>Navy</v>
      </c>
      <c r="Q8" s="461">
        <f>IF(+All!$F361="Air Force",+All!Q361,IF(+All!$H361="Air Force",+All!Q361,0))</f>
        <v>10</v>
      </c>
      <c r="R8" s="460" t="str">
        <f>IF(+All!$F361="Air Force",+All!R361,IF(+All!$H361="Air Force",+All!R361,0))</f>
        <v>Navy</v>
      </c>
      <c r="S8" s="462" t="str">
        <f>IF(+All!$F361="Air Force",+All!S361,IF(+All!$H361="Air Force",+All!S361,0))</f>
        <v>Air Force</v>
      </c>
      <c r="T8" s="460" t="str">
        <f>IF(+All!$F361="Air Force",+All!T361,IF(+All!$H361="Air Force",+All!T361,0))</f>
        <v>Air Force</v>
      </c>
      <c r="U8" s="461" t="str">
        <f>IF(+All!$F361="Air Force",+All!U361,IF(+All!$H361="Air Force",+All!U361,0))</f>
        <v>L</v>
      </c>
    </row>
    <row r="9" spans="1:23" s="75" customFormat="1" x14ac:dyDescent="0.8">
      <c r="A9" s="46">
        <f>IF(+All!$F420="Air Force",+All!A420,IF(+All!$H420="Air Force",+All!A420,0))</f>
        <v>6</v>
      </c>
      <c r="B9" s="348" t="str">
        <f>IF(+All!$F420="Air Force",+All!B420,IF(+All!$H420="Air Force",+All!B420,0))</f>
        <v>Sat</v>
      </c>
      <c r="C9" s="48">
        <f>IF(+All!$F420="Air Force",+All!C420,IF(+All!$H420="Air Force",+All!C420,0))</f>
        <v>44842</v>
      </c>
      <c r="D9" s="490">
        <f>IF(+All!$F420="Air Force",+All!D420,IF(+All!$H420="Air Force",+All!D420,0))</f>
        <v>0.79166666666666663</v>
      </c>
      <c r="E9" s="461" t="str">
        <f>IF(+All!$F420="Air Force",+All!E420,IF(+All!$H420="Air Force",+All!E420,0))</f>
        <v>FS1</v>
      </c>
      <c r="F9" s="51" t="str">
        <f>IF(+All!$F420="Air Force",+All!F420,IF(+All!$H420="Air Force",+All!F420,0))</f>
        <v>Air Force</v>
      </c>
      <c r="G9" s="52" t="str">
        <f>IF(+All!$F420="Air Force",+All!G420,IF(+All!$H420="Air Force",+All!G420,0))</f>
        <v>MWC</v>
      </c>
      <c r="H9" s="51" t="str">
        <f>IF(+All!$F420="Air Force",+All!H420,IF(+All!$H420="Air Force",+All!H420,0))</f>
        <v>Utah State</v>
      </c>
      <c r="I9" s="52" t="str">
        <f>IF(+All!$F420="Air Force",+All!I420,IF(+All!$H420="Air Force",+All!I420,0))</f>
        <v>MWC</v>
      </c>
      <c r="J9" s="460" t="str">
        <f>IF(+All!$F420="Air Force",+All!J420,IF(+All!$H420="Air Force",+All!J420,0))</f>
        <v>Air Force</v>
      </c>
      <c r="K9" s="461" t="str">
        <f>IF(+All!$F420="Air Force",+All!K420,IF(+All!$H420="Air Force",+All!K420,0))</f>
        <v>Utah State</v>
      </c>
      <c r="L9" s="54">
        <f>IF(+All!$F420="Air Force",+All!L420,IF(+All!$H420="Air Force",+All!L420,0))</f>
        <v>10</v>
      </c>
      <c r="M9" s="55">
        <f>IF(+All!$F420="Air Force",+All!M420,IF(+All!$H420="Air Force",+All!M420,0))</f>
        <v>56</v>
      </c>
      <c r="N9" s="460" t="str">
        <f>IF(+All!$F420="Air Force",+All!N420,IF(+All!$H420="Air Force",+All!N420,0))</f>
        <v>Utah State</v>
      </c>
      <c r="O9" s="462">
        <f>IF(+All!$F420="Air Force",+All!O420,IF(+All!$H420="Air Force",+All!O420,0))</f>
        <v>34</v>
      </c>
      <c r="P9" s="462" t="str">
        <f>IF(+All!$F420="Air Force",+All!P420,IF(+All!$H420="Air Force",+All!P420,0))</f>
        <v>Air Force</v>
      </c>
      <c r="Q9" s="461">
        <f>IF(+All!$F420="Air Force",+All!Q420,IF(+All!$H420="Air Force",+All!Q420,0))</f>
        <v>27</v>
      </c>
      <c r="R9" s="460" t="str">
        <f>IF(+All!$F420="Air Force",+All!R420,IF(+All!$H420="Air Force",+All!R420,0))</f>
        <v>Utah State</v>
      </c>
      <c r="S9" s="462" t="str">
        <f>IF(+All!$F420="Air Force",+All!S420,IF(+All!$H420="Air Force",+All!S420,0))</f>
        <v>Air Force</v>
      </c>
      <c r="T9" s="460" t="str">
        <f>IF(+All!$F420="Air Force",+All!T420,IF(+All!$H420="Air Force",+All!T420,0))</f>
        <v>Air Force</v>
      </c>
      <c r="U9" s="461" t="str">
        <f>IF(+All!$F420="Air Force",+All!U420,IF(+All!$H420="Air Force",+All!U420,0))</f>
        <v>L</v>
      </c>
    </row>
    <row r="10" spans="1:23" s="75" customFormat="1" x14ac:dyDescent="0.8">
      <c r="A10" s="46">
        <f>IF(+All!$F476="Air Force",+All!A476,IF(+All!$H476="Air Force",+All!A476,0))</f>
        <v>7</v>
      </c>
      <c r="B10" s="348" t="str">
        <f>IF(+All!$F476="Air Force",+All!B476,IF(+All!$H476="Air Force",+All!B476,0))</f>
        <v>Sat</v>
      </c>
      <c r="C10" s="48">
        <f>IF(+All!$F476="Air Force",+All!C476,IF(+All!$H476="Air Force",+All!C476,0))</f>
        <v>44849</v>
      </c>
      <c r="D10" s="490">
        <f>IF(+All!$F476="Air Force",+All!D476,IF(+All!$H476="Air Force",+All!D476,0))</f>
        <v>0.9375</v>
      </c>
      <c r="E10" s="461" t="str">
        <f>IF(+All!$F476="Air Force",+All!E476,IF(+All!$H476="Air Force",+All!E476,0))</f>
        <v>CBSSN</v>
      </c>
      <c r="F10" s="51" t="str">
        <f>IF(+All!$F476="Air Force",+All!F476,IF(+All!$H476="Air Force",+All!F476,0))</f>
        <v>Air Force</v>
      </c>
      <c r="G10" s="52" t="str">
        <f>IF(+All!$F476="Air Force",+All!G476,IF(+All!$H476="Air Force",+All!G476,0))</f>
        <v>MWC</v>
      </c>
      <c r="H10" s="51" t="str">
        <f>IF(+All!$F476="Air Force",+All!H476,IF(+All!$H476="Air Force",+All!H476,0))</f>
        <v>UNLV</v>
      </c>
      <c r="I10" s="52" t="str">
        <f>IF(+All!$F476="Air Force",+All!I476,IF(+All!$H476="Air Force",+All!I476,0))</f>
        <v>MWC</v>
      </c>
      <c r="J10" s="460" t="str">
        <f>IF(+All!$F476="Air Force",+All!J476,IF(+All!$H476="Air Force",+All!J476,0))</f>
        <v>Air Force</v>
      </c>
      <c r="K10" s="461" t="str">
        <f>IF(+All!$F476="Air Force",+All!K476,IF(+All!$H476="Air Force",+All!K476,0))</f>
        <v>UNLV</v>
      </c>
      <c r="L10" s="54">
        <f>IF(+All!$F476="Air Force",+All!L476,IF(+All!$H476="Air Force",+All!L476,0))</f>
        <v>10</v>
      </c>
      <c r="M10" s="55">
        <f>IF(+All!$F476="Air Force",+All!M476,IF(+All!$H476="Air Force",+All!M476,0))</f>
        <v>50</v>
      </c>
      <c r="N10" s="460" t="str">
        <f>IF(+All!$F476="Air Force",+All!N476,IF(+All!$H476="Air Force",+All!N476,0))</f>
        <v>Air Force</v>
      </c>
      <c r="O10" s="462">
        <f>IF(+All!$F476="Air Force",+All!O476,IF(+All!$H476="Air Force",+All!O476,0))</f>
        <v>42</v>
      </c>
      <c r="P10" s="462" t="str">
        <f>IF(+All!$F476="Air Force",+All!P476,IF(+All!$H476="Air Force",+All!P476,0))</f>
        <v>UNLV</v>
      </c>
      <c r="Q10" s="461">
        <f>IF(+All!$F476="Air Force",+All!Q476,IF(+All!$H476="Air Force",+All!Q476,0))</f>
        <v>7</v>
      </c>
      <c r="R10" s="460" t="str">
        <f>IF(+All!$F476="Air Force",+All!R476,IF(+All!$H476="Air Force",+All!R476,0))</f>
        <v>Air Force</v>
      </c>
      <c r="S10" s="462" t="str">
        <f>IF(+All!$F476="Air Force",+All!S476,IF(+All!$H476="Air Force",+All!S476,0))</f>
        <v>UNLV</v>
      </c>
      <c r="T10" s="460" t="str">
        <f>IF(+All!$F476="Air Force",+All!T476,IF(+All!$H476="Air Force",+All!T476,0))</f>
        <v>UNLV</v>
      </c>
      <c r="U10" s="461" t="str">
        <f>IF(+All!$F476="Air Force",+All!U476,IF(+All!$H476="Air Force",+All!U476,0))</f>
        <v>L</v>
      </c>
    </row>
    <row r="11" spans="1:23" s="75" customFormat="1" x14ac:dyDescent="0.8">
      <c r="A11" s="46">
        <f>IF(+All!$F527="Air Force",+All!A527,IF(+All!$H527="Air Force",+All!A527,0))</f>
        <v>8</v>
      </c>
      <c r="B11" s="348" t="str">
        <f>IF(+All!$F527="Air Force",+All!B527,IF(+All!$H527="Air Force",+All!B527,0))</f>
        <v>Sat</v>
      </c>
      <c r="C11" s="48">
        <f>IF(+All!$F527="Air Force",+All!C527,IF(+All!$H527="Air Force",+All!C527,0))</f>
        <v>44856</v>
      </c>
      <c r="D11" s="490">
        <f>IF(+All!$F527="Air Force",+All!D527,IF(+All!$H527="Air Force",+All!D527,0))</f>
        <v>0.79166666666666663</v>
      </c>
      <c r="E11" s="461" t="str">
        <f>IF(+All!$F527="Air Force",+All!E527,IF(+All!$H527="Air Force",+All!E527,0))</f>
        <v>CBSSN</v>
      </c>
      <c r="F11" s="51" t="str">
        <f>IF(+All!$F527="Air Force",+All!F527,IF(+All!$H527="Air Force",+All!F527,0))</f>
        <v>Boise State</v>
      </c>
      <c r="G11" s="52" t="str">
        <f>IF(+All!$F527="Air Force",+All!G527,IF(+All!$H527="Air Force",+All!G527,0))</f>
        <v>MWC</v>
      </c>
      <c r="H11" s="51" t="str">
        <f>IF(+All!$F527="Air Force",+All!H527,IF(+All!$H527="Air Force",+All!H527,0))</f>
        <v>Air Force</v>
      </c>
      <c r="I11" s="52" t="str">
        <f>IF(+All!$F527="Air Force",+All!I527,IF(+All!$H527="Air Force",+All!I527,0))</f>
        <v>MWC</v>
      </c>
      <c r="J11" s="460" t="str">
        <f>IF(+All!$F527="Air Force",+All!J527,IF(+All!$H527="Air Force",+All!J527,0))</f>
        <v>Air Force</v>
      </c>
      <c r="K11" s="461" t="str">
        <f>IF(+All!$F527="Air Force",+All!K527,IF(+All!$H527="Air Force",+All!K527,0))</f>
        <v>Boise State</v>
      </c>
      <c r="L11" s="54">
        <f>IF(+All!$F527="Air Force",+All!L527,IF(+All!$H527="Air Force",+All!L527,0))</f>
        <v>3.5</v>
      </c>
      <c r="M11" s="55">
        <f>IF(+All!$F527="Air Force",+All!M527,IF(+All!$H527="Air Force",+All!M527,0))</f>
        <v>48</v>
      </c>
      <c r="N11" s="460" t="str">
        <f>IF(+All!$F527="Air Force",+All!N527,IF(+All!$H527="Air Force",+All!N527,0))</f>
        <v>Boise State</v>
      </c>
      <c r="O11" s="462">
        <f>IF(+All!$F527="Air Force",+All!O527,IF(+All!$H527="Air Force",+All!O527,0))</f>
        <v>19</v>
      </c>
      <c r="P11" s="462" t="str">
        <f>IF(+All!$F527="Air Force",+All!P527,IF(+All!$H527="Air Force",+All!P527,0))</f>
        <v>Air Force</v>
      </c>
      <c r="Q11" s="461">
        <f>IF(+All!$F527="Air Force",+All!Q527,IF(+All!$H527="Air Force",+All!Q527,0))</f>
        <v>14</v>
      </c>
      <c r="R11" s="460" t="str">
        <f>IF(+All!$F527="Air Force",+All!R527,IF(+All!$H527="Air Force",+All!R527,0))</f>
        <v>Boise State</v>
      </c>
      <c r="S11" s="462" t="str">
        <f>IF(+All!$F527="Air Force",+All!S527,IF(+All!$H527="Air Force",+All!S527,0))</f>
        <v>Air Force</v>
      </c>
      <c r="T11" s="460" t="str">
        <f>IF(+All!$F527="Air Force",+All!T527,IF(+All!$H527="Air Force",+All!T527,0))</f>
        <v>Air Force</v>
      </c>
      <c r="U11" s="461" t="str">
        <f>IF(+All!$F527="Air Force",+All!U527,IF(+All!$H527="Air Force",+All!U527,0))</f>
        <v>L</v>
      </c>
    </row>
    <row r="12" spans="1:23" s="75" customFormat="1" x14ac:dyDescent="0.8">
      <c r="A12" s="46" t="e">
        <f>IF(+All!#REF!="Air Force",+All!#REF!,IF(+All!#REF!="Air Force",+All!#REF!,0))</f>
        <v>#REF!</v>
      </c>
      <c r="B12" s="348" t="e">
        <f>IF(+All!#REF!="Air Force",+All!#REF!,IF(+All!#REF!="Air Force",+All!#REF!,0))</f>
        <v>#REF!</v>
      </c>
      <c r="C12" s="48" t="e">
        <f>IF(+All!#REF!="Air Force",+All!#REF!,IF(+All!#REF!="Air Force",+All!#REF!,0))</f>
        <v>#REF!</v>
      </c>
      <c r="D12" s="490" t="e">
        <f>IF(+All!#REF!="Air Force",+All!#REF!,IF(+All!#REF!="Air Force",+All!#REF!,0))</f>
        <v>#REF!</v>
      </c>
      <c r="E12" s="461" t="e">
        <f>IF(+All!#REF!="Air Force",+All!#REF!,IF(+All!#REF!="Air Force",+All!#REF!,0))</f>
        <v>#REF!</v>
      </c>
      <c r="F12" s="51" t="e">
        <f>IF(+All!#REF!="Air Force",+All!#REF!,IF(+All!#REF!="Air Force",+All!#REF!,0))</f>
        <v>#REF!</v>
      </c>
      <c r="G12" s="52" t="e">
        <f>IF(+All!#REF!="Air Force",+All!#REF!,IF(+All!#REF!="Air Force",+All!#REF!,0))</f>
        <v>#REF!</v>
      </c>
      <c r="H12" s="51" t="e">
        <f>IF(+All!#REF!="Air Force",+All!#REF!,IF(+All!#REF!="Air Force",+All!#REF!,0))</f>
        <v>#REF!</v>
      </c>
      <c r="I12" s="52" t="e">
        <f>IF(+All!#REF!="Air Force",+All!#REF!,IF(+All!#REF!="Air Force",+All!#REF!,0))</f>
        <v>#REF!</v>
      </c>
      <c r="J12" s="460" t="e">
        <f>IF(+All!#REF!="Air Force",+All!#REF!,IF(+All!#REF!="Air Force",+All!#REF!,0))</f>
        <v>#REF!</v>
      </c>
      <c r="K12" s="461" t="e">
        <f>IF(+All!#REF!="Air Force",+All!#REF!,IF(+All!#REF!="Air Force",+All!#REF!,0))</f>
        <v>#REF!</v>
      </c>
      <c r="L12" s="54" t="e">
        <f>IF(+All!#REF!="Air Force",+All!#REF!,IF(+All!#REF!="Air Force",+All!#REF!,0))</f>
        <v>#REF!</v>
      </c>
      <c r="M12" s="55" t="e">
        <f>IF(+All!#REF!="Air Force",+All!#REF!,IF(+All!#REF!="Air Force",+All!#REF!,0))</f>
        <v>#REF!</v>
      </c>
      <c r="N12" s="460" t="e">
        <f>IF(+All!#REF!="Air Force",+All!#REF!,IF(+All!#REF!="Air Force",+All!#REF!,0))</f>
        <v>#REF!</v>
      </c>
      <c r="O12" s="462" t="e">
        <f>IF(+All!#REF!="Air Force",+All!#REF!,IF(+All!#REF!="Air Force",+All!#REF!,0))</f>
        <v>#REF!</v>
      </c>
      <c r="P12" s="462" t="e">
        <f>IF(+All!#REF!="Air Force",+All!#REF!,IF(+All!#REF!="Air Force",+All!#REF!,0))</f>
        <v>#REF!</v>
      </c>
      <c r="Q12" s="461" t="e">
        <f>IF(+All!#REF!="Air Force",+All!#REF!,IF(+All!#REF!="Air Force",+All!#REF!,0))</f>
        <v>#REF!</v>
      </c>
      <c r="R12" s="460" t="e">
        <f>IF(+All!#REF!="Air Force",+All!#REF!,IF(+All!#REF!="Air Force",+All!#REF!,0))</f>
        <v>#REF!</v>
      </c>
      <c r="S12" s="462" t="e">
        <f>IF(+All!#REF!="Air Force",+All!#REF!,IF(+All!#REF!="Air Force",+All!#REF!,0))</f>
        <v>#REF!</v>
      </c>
      <c r="T12" s="460" t="e">
        <f>IF(+All!#REF!="Air Force",+All!#REF!,IF(+All!#REF!="Air Force",+All!#REF!,0))</f>
        <v>#REF!</v>
      </c>
      <c r="U12" s="461" t="e">
        <f>IF(+All!#REF!="Air Force",+All!#REF!,IF(+All!#REF!="Air Force",+All!#REF!,0))</f>
        <v>#REF!</v>
      </c>
    </row>
    <row r="13" spans="1:23" s="75" customFormat="1" x14ac:dyDescent="0.8">
      <c r="A13" s="46">
        <f>IF(+All!$F629="Air Force",+All!A629,IF(+All!$H629="Air Force",+All!A629,0))</f>
        <v>10</v>
      </c>
      <c r="B13" s="348" t="str">
        <f>IF(+All!$F629="Air Force",+All!B629,IF(+All!$H629="Air Force",+All!B629,0))</f>
        <v>Sat</v>
      </c>
      <c r="C13" s="48">
        <f>IF(+All!$F629="Air Force",+All!C629,IF(+All!$H629="Air Force",+All!C629,0))</f>
        <v>44870</v>
      </c>
      <c r="D13" s="490">
        <f>IF(+All!$F629="Air Force",+All!D629,IF(+All!$H629="Air Force",+All!D629,0))</f>
        <v>0.47916666666666669</v>
      </c>
      <c r="E13" s="461" t="str">
        <f>IF(+All!$F629="Air Force",+All!E629,IF(+All!$H629="Air Force",+All!E629,0))</f>
        <v>CBS</v>
      </c>
      <c r="F13" s="51" t="str">
        <f>IF(+All!$F629="Air Force",+All!F629,IF(+All!$H629="Air Force",+All!F629,0))</f>
        <v>Air Force</v>
      </c>
      <c r="G13" s="52" t="str">
        <f>IF(+All!$F629="Air Force",+All!G629,IF(+All!$H629="Air Force",+All!G629,0))</f>
        <v>MWC</v>
      </c>
      <c r="H13" s="51" t="str">
        <f>IF(+All!$F629="Air Force",+All!H629,IF(+All!$H629="Air Force",+All!H629,0))</f>
        <v>Army</v>
      </c>
      <c r="I13" s="52" t="str">
        <f>IF(+All!$F629="Air Force",+All!I629,IF(+All!$H629="Air Force",+All!I629,0))</f>
        <v>Ind</v>
      </c>
      <c r="J13" s="460" t="str">
        <f>IF(+All!$F629="Air Force",+All!J629,IF(+All!$H629="Air Force",+All!J629,0))</f>
        <v>Air Force</v>
      </c>
      <c r="K13" s="461" t="str">
        <f>IF(+All!$F629="Air Force",+All!K629,IF(+All!$H629="Air Force",+All!K629,0))</f>
        <v>Army</v>
      </c>
      <c r="L13" s="54">
        <f>IF(+All!$F629="Air Force",+All!L629,IF(+All!$H629="Air Force",+All!L629,0))</f>
        <v>7</v>
      </c>
      <c r="M13" s="55">
        <f>IF(+All!$F629="Air Force",+All!M629,IF(+All!$H629="Air Force",+All!M629,0))</f>
        <v>40</v>
      </c>
      <c r="N13" s="460" t="str">
        <f>IF(+All!$F629="Air Force",+All!N629,IF(+All!$H629="Air Force",+All!N629,0))</f>
        <v>Air Force</v>
      </c>
      <c r="O13" s="462">
        <f>IF(+All!$F629="Air Force",+All!O629,IF(+All!$H629="Air Force",+All!O629,0))</f>
        <v>13</v>
      </c>
      <c r="P13" s="462" t="str">
        <f>IF(+All!$F629="Air Force",+All!P629,IF(+All!$H629="Air Force",+All!P629,0))</f>
        <v>Army</v>
      </c>
      <c r="Q13" s="461">
        <f>IF(+All!$F629="Air Force",+All!Q629,IF(+All!$H629="Air Force",+All!Q629,0))</f>
        <v>7</v>
      </c>
      <c r="R13" s="460" t="str">
        <f>IF(+All!$F629="Air Force",+All!R629,IF(+All!$H629="Air Force",+All!R629,0))</f>
        <v>Army</v>
      </c>
      <c r="S13" s="462" t="str">
        <f>IF(+All!$F629="Air Force",+All!S629,IF(+All!$H629="Air Force",+All!S629,0))</f>
        <v>Air Force</v>
      </c>
      <c r="T13" s="460" t="str">
        <f>IF(+All!$F629="Air Force",+All!T629,IF(+All!$H629="Air Force",+All!T629,0))</f>
        <v>Army</v>
      </c>
      <c r="U13" s="461" t="str">
        <f>IF(+All!$F629="Air Force",+All!U629,IF(+All!$H629="Air Force",+All!U629,0))</f>
        <v>W</v>
      </c>
    </row>
    <row r="14" spans="1:23" s="75" customFormat="1" x14ac:dyDescent="0.8">
      <c r="A14" s="46">
        <f>IF(+All!$F694="Air Force",+All!A694,IF(+All!$H694="Air Force",+All!A694,0))</f>
        <v>11</v>
      </c>
      <c r="B14" s="348" t="str">
        <f>IF(+All!$F694="Air Force",+All!B694,IF(+All!$H694="Air Force",+All!B694,0))</f>
        <v>Sat</v>
      </c>
      <c r="C14" s="48">
        <f>IF(+All!$F694="Air Force",+All!C694,IF(+All!$H694="Air Force",+All!C694,0))</f>
        <v>44877</v>
      </c>
      <c r="D14" s="490">
        <f>IF(+All!$F694="Air Force",+All!D694,IF(+All!$H694="Air Force",+All!D694,0))</f>
        <v>0.64583333333333337</v>
      </c>
      <c r="E14" s="461" t="str">
        <f>IF(+All!$F694="Air Force",+All!E694,IF(+All!$H694="Air Force",+All!E694,0))</f>
        <v>CBSSN</v>
      </c>
      <c r="F14" s="51" t="str">
        <f>IF(+All!$F694="Air Force",+All!F694,IF(+All!$H694="Air Force",+All!F694,0))</f>
        <v>New Mexico</v>
      </c>
      <c r="G14" s="52" t="str">
        <f>IF(+All!$F694="Air Force",+All!G694,IF(+All!$H694="Air Force",+All!G694,0))</f>
        <v>MWC</v>
      </c>
      <c r="H14" s="51" t="str">
        <f>IF(+All!$F694="Air Force",+All!H694,IF(+All!$H694="Air Force",+All!H694,0))</f>
        <v>Air Force</v>
      </c>
      <c r="I14" s="52" t="str">
        <f>IF(+All!$F694="Air Force",+All!I694,IF(+All!$H694="Air Force",+All!I694,0))</f>
        <v>MWC</v>
      </c>
      <c r="J14" s="460" t="str">
        <f>IF(+All!$F694="Air Force",+All!J694,IF(+All!$H694="Air Force",+All!J694,0))</f>
        <v>Air Force</v>
      </c>
      <c r="K14" s="461" t="str">
        <f>IF(+All!$F694="Air Force",+All!K694,IF(+All!$H694="Air Force",+All!K694,0))</f>
        <v>New Mexico</v>
      </c>
      <c r="L14" s="54">
        <f>IF(+All!$F694="Air Force",+All!L694,IF(+All!$H694="Air Force",+All!L694,0))</f>
        <v>22.5</v>
      </c>
      <c r="M14" s="55">
        <f>IF(+All!$F694="Air Force",+All!M694,IF(+All!$H694="Air Force",+All!M694,0))</f>
        <v>37.5</v>
      </c>
      <c r="N14" s="460" t="str">
        <f>IF(+All!$F694="Air Force",+All!N694,IF(+All!$H694="Air Force",+All!N694,0))</f>
        <v>Air Force</v>
      </c>
      <c r="O14" s="462">
        <f>IF(+All!$F694="Air Force",+All!O694,IF(+All!$H694="Air Force",+All!O694,0))</f>
        <v>35</v>
      </c>
      <c r="P14" s="462" t="str">
        <f>IF(+All!$F694="Air Force",+All!P694,IF(+All!$H694="Air Force",+All!P694,0))</f>
        <v>New Mexico</v>
      </c>
      <c r="Q14" s="461">
        <f>IF(+All!$F694="Air Force",+All!Q694,IF(+All!$H694="Air Force",+All!Q694,0))</f>
        <v>3</v>
      </c>
      <c r="R14" s="460" t="str">
        <f>IF(+All!$F694="Air Force",+All!R694,IF(+All!$H694="Air Force",+All!R694,0))</f>
        <v>Air Force</v>
      </c>
      <c r="S14" s="462" t="str">
        <f>IF(+All!$F694="Air Force",+All!S694,IF(+All!$H694="Air Force",+All!S694,0))</f>
        <v>New Mexico</v>
      </c>
      <c r="T14" s="460" t="str">
        <f>IF(+All!$F694="Air Force",+All!T694,IF(+All!$H694="Air Force",+All!T694,0))</f>
        <v>Air Force</v>
      </c>
      <c r="U14" s="461" t="str">
        <f>IF(+All!$F694="Air Force",+All!U694,IF(+All!$H694="Air Force",+All!U694,0))</f>
        <v>W</v>
      </c>
    </row>
    <row r="15" spans="1:23" s="75" customFormat="1" x14ac:dyDescent="0.8">
      <c r="A15" s="46">
        <f>IF(+All!$F758="Air Force",+All!A758,IF(+All!$H758="Air Force",+All!A758,0))</f>
        <v>12</v>
      </c>
      <c r="B15" s="348" t="str">
        <f>IF(+All!$F758="Air Force",+All!B758,IF(+All!$H758="Air Force",+All!B758,0))</f>
        <v>Sat</v>
      </c>
      <c r="C15" s="48">
        <f>IF(+All!$F758="Air Force",+All!C758,IF(+All!$H758="Air Force",+All!C758,0))</f>
        <v>44884</v>
      </c>
      <c r="D15" s="490">
        <f>IF(+All!$F758="Air Force",+All!D758,IF(+All!$H758="Air Force",+All!D758,0))</f>
        <v>0.875</v>
      </c>
      <c r="E15" s="461" t="str">
        <f>IF(+All!$F758="Air Force",+All!E758,IF(+All!$H758="Air Force",+All!E758,0))</f>
        <v>FS2</v>
      </c>
      <c r="F15" s="51" t="str">
        <f>IF(+All!$F758="Air Force",+All!F758,IF(+All!$H758="Air Force",+All!F758,0))</f>
        <v>Colorado State</v>
      </c>
      <c r="G15" s="52" t="str">
        <f>IF(+All!$F758="Air Force",+All!G758,IF(+All!$H758="Air Force",+All!G758,0))</f>
        <v>MWC</v>
      </c>
      <c r="H15" s="51" t="str">
        <f>IF(+All!$F758="Air Force",+All!H758,IF(+All!$H758="Air Force",+All!H758,0))</f>
        <v>Air Force</v>
      </c>
      <c r="I15" s="52" t="str">
        <f>IF(+All!$F758="Air Force",+All!I758,IF(+All!$H758="Air Force",+All!I758,0))</f>
        <v>MWC</v>
      </c>
      <c r="J15" s="460" t="str">
        <f>IF(+All!$F758="Air Force",+All!J758,IF(+All!$H758="Air Force",+All!J758,0))</f>
        <v>Air Force</v>
      </c>
      <c r="K15" s="461" t="str">
        <f>IF(+All!$F758="Air Force",+All!K758,IF(+All!$H758="Air Force",+All!K758,0))</f>
        <v>Colorado State</v>
      </c>
      <c r="L15" s="54">
        <f>IF(+All!$F758="Air Force",+All!L758,IF(+All!$H758="Air Force",+All!L758,0))</f>
        <v>21.5</v>
      </c>
      <c r="M15" s="55">
        <f>IF(+All!$F758="Air Force",+All!M758,IF(+All!$H758="Air Force",+All!M758,0))</f>
        <v>44</v>
      </c>
      <c r="N15" s="460" t="str">
        <f>IF(+All!$F758="Air Force",+All!N758,IF(+All!$H758="Air Force",+All!N758,0))</f>
        <v>Air Force</v>
      </c>
      <c r="O15" s="462">
        <f>IF(+All!$F758="Air Force",+All!O758,IF(+All!$H758="Air Force",+All!O758,0))</f>
        <v>24</v>
      </c>
      <c r="P15" s="462" t="str">
        <f>IF(+All!$F758="Air Force",+All!P758,IF(+All!$H758="Air Force",+All!P758,0))</f>
        <v>Colorado State</v>
      </c>
      <c r="Q15" s="461">
        <f>IF(+All!$F758="Air Force",+All!Q758,IF(+All!$H758="Air Force",+All!Q758,0))</f>
        <v>12</v>
      </c>
      <c r="R15" s="460" t="str">
        <f>IF(+All!$F758="Air Force",+All!R758,IF(+All!$H758="Air Force",+All!R758,0))</f>
        <v>Colorado State</v>
      </c>
      <c r="S15" s="462" t="str">
        <f>IF(+All!$F758="Air Force",+All!S758,IF(+All!$H758="Air Force",+All!S758,0))</f>
        <v>Air Force</v>
      </c>
      <c r="T15" s="460" t="str">
        <f>IF(+All!$F758="Air Force",+All!T758,IF(+All!$H758="Air Force",+All!T758,0))</f>
        <v>Colorado State</v>
      </c>
      <c r="U15" s="461" t="str">
        <f>IF(+All!$F758="Air Force",+All!U758,IF(+All!$H758="Air Force",+All!U758,0))</f>
        <v>W</v>
      </c>
    </row>
    <row r="16" spans="1:23" s="75" customFormat="1" x14ac:dyDescent="0.8">
      <c r="A16" s="46">
        <f>IF(+All!$F829="Air Force",+All!A829,IF(+All!$H829="Air Force",+All!A829,0))</f>
        <v>13</v>
      </c>
      <c r="B16" s="348" t="str">
        <f>IF(+All!$F829="Air Force",+All!B829,IF(+All!$H829="Air Force",+All!B829,0))</f>
        <v>Sat</v>
      </c>
      <c r="C16" s="48">
        <f>IF(+All!$F829="Air Force",+All!C829,IF(+All!$H829="Air Force",+All!C829,0))</f>
        <v>44891</v>
      </c>
      <c r="D16" s="490">
        <f>IF(+All!$F829="Air Force",+All!D829,IF(+All!$H829="Air Force",+All!D829,0))</f>
        <v>0.875</v>
      </c>
      <c r="E16" s="461" t="str">
        <f>IF(+All!$F829="Air Force",+All!E829,IF(+All!$H829="Air Force",+All!E829,0))</f>
        <v>CBSSN</v>
      </c>
      <c r="F16" s="51" t="str">
        <f>IF(+All!$F829="Air Force",+All!F829,IF(+All!$H829="Air Force",+All!F829,0))</f>
        <v>Air Force</v>
      </c>
      <c r="G16" s="52" t="str">
        <f>IF(+All!$F829="Air Force",+All!G829,IF(+All!$H829="Air Force",+All!G829,0))</f>
        <v>MWC</v>
      </c>
      <c r="H16" s="51" t="str">
        <f>IF(+All!$F829="Air Force",+All!H829,IF(+All!$H829="Air Force",+All!H829,0))</f>
        <v>San Diego State</v>
      </c>
      <c r="I16" s="52" t="str">
        <f>IF(+All!$F829="Air Force",+All!I829,IF(+All!$H829="Air Force",+All!I829,0))</f>
        <v>MWC</v>
      </c>
      <c r="J16" s="460" t="str">
        <f>IF(+All!$F829="Air Force",+All!J829,IF(+All!$H829="Air Force",+All!J829,0))</f>
        <v>Air Force</v>
      </c>
      <c r="K16" s="461" t="str">
        <f>IF(+All!$F829="Air Force",+All!K829,IF(+All!$H829="Air Force",+All!K829,0))</f>
        <v>San Diego State</v>
      </c>
      <c r="L16" s="54">
        <f>IF(+All!$F829="Air Force",+All!L829,IF(+All!$H829="Air Force",+All!L829,0))</f>
        <v>1.5</v>
      </c>
      <c r="M16" s="55">
        <f>IF(+All!$F829="Air Force",+All!M829,IF(+All!$H829="Air Force",+All!M829,0))</f>
        <v>42.5</v>
      </c>
      <c r="N16" s="460" t="str">
        <f>IF(+All!$F829="Air Force",+All!N829,IF(+All!$H829="Air Force",+All!N829,0))</f>
        <v>Air Force</v>
      </c>
      <c r="O16" s="462">
        <f>IF(+All!$F829="Air Force",+All!O829,IF(+All!$H829="Air Force",+All!O829,0))</f>
        <v>13</v>
      </c>
      <c r="P16" s="462" t="str">
        <f>IF(+All!$F829="Air Force",+All!P829,IF(+All!$H829="Air Force",+All!P829,0))</f>
        <v>San Diego State</v>
      </c>
      <c r="Q16" s="461">
        <f>IF(+All!$F829="Air Force",+All!Q829,IF(+All!$H829="Air Force",+All!Q829,0))</f>
        <v>3</v>
      </c>
      <c r="R16" s="460" t="str">
        <f>IF(+All!$F829="Air Force",+All!R829,IF(+All!$H829="Air Force",+All!R829,0))</f>
        <v>Air Force</v>
      </c>
      <c r="S16" s="462" t="str">
        <f>IF(+All!$F829="Air Force",+All!S829,IF(+All!$H829="Air Force",+All!S829,0))</f>
        <v>San Diego State</v>
      </c>
      <c r="T16" s="460" t="str">
        <f>IF(+All!$F829="Air Force",+All!T829,IF(+All!$H829="Air Force",+All!T829,0))</f>
        <v>Air Force</v>
      </c>
      <c r="U16" s="461" t="str">
        <f>IF(+All!$F829="Air Force",+All!U829,IF(+All!$H829="Air Force",+All!U829,0))</f>
        <v>W</v>
      </c>
    </row>
    <row r="17" spans="1:21" x14ac:dyDescent="0.8">
      <c r="A17" s="38"/>
      <c r="B17" s="39"/>
      <c r="C17" s="40"/>
      <c r="D17" s="41"/>
      <c r="E17" s="463"/>
      <c r="F17" s="897" t="str">
        <f>F19</f>
        <v>Boise State</v>
      </c>
      <c r="G17" s="903"/>
      <c r="H17" s="903"/>
      <c r="I17" s="904"/>
      <c r="J17" s="459"/>
      <c r="K17" s="463"/>
      <c r="L17" s="44"/>
      <c r="M17" s="45"/>
      <c r="N17" s="459"/>
      <c r="O17" s="5"/>
      <c r="P17" s="5"/>
      <c r="Q17" s="463"/>
      <c r="R17" s="459"/>
      <c r="S17" s="5"/>
      <c r="T17" s="459"/>
      <c r="U17" s="463"/>
    </row>
    <row r="18" spans="1:21" s="643" customFormat="1" x14ac:dyDescent="0.8">
      <c r="A18" s="46">
        <f>IF(+All!$F91="Boise State",+All!A91,IF(+All!$H91="Boise State",+All!A91,0))</f>
        <v>1</v>
      </c>
      <c r="B18" s="348" t="str">
        <f>IF(+All!$F91="Boise State",+All!B91,IF(+All!$H91="Boise State",+All!B91,0))</f>
        <v>Sat</v>
      </c>
      <c r="C18" s="72">
        <f>IF(+All!$F91="Boise State",+All!C91,IF(+All!$H91="Boise State",+All!C91,0))</f>
        <v>44807</v>
      </c>
      <c r="D18" s="73">
        <f>IF(+All!$F91="Boise State",+All!D91,IF(+All!$H91="Boise State",+All!D91,0))</f>
        <v>0.9375</v>
      </c>
      <c r="E18" s="461" t="str">
        <f>IF(+All!$F91="Boise State",+All!E91,IF(+All!$H91="Boise State",+All!E91,0))</f>
        <v>ESPN</v>
      </c>
      <c r="F18" s="460" t="str">
        <f>IF(+All!$F91="Boise State",+All!F91,IF(+All!$H91="Boise State",+All!F91,0))</f>
        <v>Boise State</v>
      </c>
      <c r="G18" s="465" t="str">
        <f>IF(+All!$F91="Boise State",+All!G91,IF(+All!$H91="Boise State",+All!G91,0))</f>
        <v>MWC</v>
      </c>
      <c r="H18" s="465" t="str">
        <f>IF(+All!$F91="Boise State",+All!H91,IF(+All!$H91="Boise State",+All!H91,0))</f>
        <v>Oregon State</v>
      </c>
      <c r="I18" s="464" t="str">
        <f>IF(+All!$F91="Boise State",+All!I91,IF(+All!$H91="Boise State",+All!I91,0))</f>
        <v>P12</v>
      </c>
      <c r="J18" s="460" t="str">
        <f>IF(+All!$F91="Boise State",+All!J91,IF(+All!$H91="Boise State",+All!J91,0))</f>
        <v>Oregon State</v>
      </c>
      <c r="K18" s="461" t="str">
        <f>IF(+All!$F91="Boise State",+All!K91,IF(+All!$H91="Boise State",+All!K91,0))</f>
        <v>Boise State</v>
      </c>
      <c r="L18" s="60">
        <f>IF(+All!$F91="Boise State",+All!L91,IF(+All!$H91="Boise State",+All!L91,0))</f>
        <v>2.5</v>
      </c>
      <c r="M18" s="61">
        <f>IF(+All!$F91="Boise State",+All!M91,IF(+All!$H91="Boise State",+All!M91,0))</f>
        <v>56.5</v>
      </c>
      <c r="N18" s="460" t="str">
        <f>IF(+All!$F91="Boise State",+All!N91,IF(+All!$H91="Boise State",+All!N91,0))</f>
        <v>Oregon State</v>
      </c>
      <c r="O18" s="462">
        <f>IF(+All!$F91="Boise State",+All!O91,IF(+All!$H91="Boise State",+All!O91,0))</f>
        <v>34</v>
      </c>
      <c r="P18" s="462" t="str">
        <f>IF(+All!$F91="Boise State",+All!P91,IF(+All!$H91="Boise State",+All!P91,0))</f>
        <v>Boise State</v>
      </c>
      <c r="Q18" s="461">
        <f>IF(+All!$F91="Boise State",+All!Q91,IF(+All!$H91="Boise State",+All!Q91,0))</f>
        <v>17</v>
      </c>
      <c r="R18" s="460" t="str">
        <f>IF(+All!$F91="Boise State",+All!R91,IF(+All!$H91="Boise State",+All!R91,0))</f>
        <v>Oregon State</v>
      </c>
      <c r="S18" s="462" t="str">
        <f>IF(+All!$F91="Boise State",+All!S91,IF(+All!$H91="Boise State",+All!S91,0))</f>
        <v>Boise State</v>
      </c>
      <c r="T18" s="460" t="str">
        <f>IF(+All!$F91="Boise State",+All!T91,IF(+All!$H91="Boise State",+All!T91,0))</f>
        <v>Boise State</v>
      </c>
      <c r="U18" s="461" t="str">
        <f>IF(+All!$F91="Boise State",+All!U91,IF(+All!$H91="Boise State",+All!U91,0))</f>
        <v>L</v>
      </c>
    </row>
    <row r="19" spans="1:21" s="643" customFormat="1" x14ac:dyDescent="0.8">
      <c r="A19" s="46">
        <f>IF(+All!$F155="Boise State",+All!A155,IF(+All!$H155="Boise State",+All!A155,0))</f>
        <v>2</v>
      </c>
      <c r="B19" s="348" t="str">
        <f>IF(+All!$F155="Boise State",+All!B155,IF(+All!$H155="Boise State",+All!B155,0))</f>
        <v>Fri</v>
      </c>
      <c r="C19" s="72">
        <f>IF(+All!$F155="Boise State",+All!C155,IF(+All!$H155="Boise State",+All!C155,0))</f>
        <v>44813</v>
      </c>
      <c r="D19" s="73">
        <f>IF(+All!$F155="Boise State",+All!D155,IF(+All!$H155="Boise State",+All!D155,0))</f>
        <v>0.875</v>
      </c>
      <c r="E19" s="461" t="str">
        <f>IF(+All!$F155="Boise State",+All!E155,IF(+All!$H155="Boise State",+All!E155,0))</f>
        <v>CBSSN</v>
      </c>
      <c r="F19" s="460" t="str">
        <f>IF(+All!$F155="Boise State",+All!F155,IF(+All!$H155="Boise State",+All!F155,0))</f>
        <v>Boise State</v>
      </c>
      <c r="G19" s="465" t="str">
        <f>IF(+All!$F155="Boise State",+All!G155,IF(+All!$H155="Boise State",+All!G155,0))</f>
        <v>MWC</v>
      </c>
      <c r="H19" s="465" t="str">
        <f>IF(+All!$F155="Boise State",+All!H155,IF(+All!$H155="Boise State",+All!H155,0))</f>
        <v>New Mexico</v>
      </c>
      <c r="I19" s="464" t="str">
        <f>IF(+All!$F155="Boise State",+All!I155,IF(+All!$H155="Boise State",+All!I155,0))</f>
        <v>MWC</v>
      </c>
      <c r="J19" s="460" t="str">
        <f>IF(+All!$F155="Boise State",+All!J155,IF(+All!$H155="Boise State",+All!J155,0))</f>
        <v>Boise State</v>
      </c>
      <c r="K19" s="461" t="str">
        <f>IF(+All!$F155="Boise State",+All!K155,IF(+All!$H155="Boise State",+All!K155,0))</f>
        <v>New Mexico</v>
      </c>
      <c r="L19" s="60">
        <f>IF(+All!$F155="Boise State",+All!L155,IF(+All!$H155="Boise State",+All!L155,0))</f>
        <v>16.5</v>
      </c>
      <c r="M19" s="61">
        <f>IF(+All!$F155="Boise State",+All!M155,IF(+All!$H155="Boise State",+All!M155,0))</f>
        <v>44</v>
      </c>
      <c r="N19" s="460" t="str">
        <f>IF(+All!$F155="Boise State",+All!N155,IF(+All!$H155="Boise State",+All!N155,0))</f>
        <v>Boise State</v>
      </c>
      <c r="O19" s="462">
        <f>IF(+All!$F155="Boise State",+All!O155,IF(+All!$H155="Boise State",+All!O155,0))</f>
        <v>31</v>
      </c>
      <c r="P19" s="462" t="str">
        <f>IF(+All!$F155="Boise State",+All!P155,IF(+All!$H155="Boise State",+All!P155,0))</f>
        <v>New Mexico</v>
      </c>
      <c r="Q19" s="461">
        <f>IF(+All!$F155="Boise State",+All!Q155,IF(+All!$H155="Boise State",+All!Q155,0))</f>
        <v>14</v>
      </c>
      <c r="R19" s="460" t="str">
        <f>IF(+All!$F155="Boise State",+All!R155,IF(+All!$H155="Boise State",+All!R155,0))</f>
        <v>Boise State</v>
      </c>
      <c r="S19" s="462" t="str">
        <f>IF(+All!$F155="Boise State",+All!S155,IF(+All!$H155="Boise State",+All!S155,0))</f>
        <v>New Mexico</v>
      </c>
      <c r="T19" s="460" t="str">
        <f>IF(+All!$F155="Boise State",+All!T155,IF(+All!$H155="Boise State",+All!T155,0))</f>
        <v>New Mexico</v>
      </c>
      <c r="U19" s="461" t="str">
        <f>IF(+All!$F155="Boise State",+All!U155,IF(+All!$H155="Boise State",+All!U155,0))</f>
        <v>L</v>
      </c>
    </row>
    <row r="20" spans="1:21" s="365" customFormat="1" x14ac:dyDescent="0.8">
      <c r="A20" s="46">
        <f>IF(+All!$F225="Boise State",+All!A225,IF(+All!$H225="Boise State",+All!A225,0))</f>
        <v>3</v>
      </c>
      <c r="B20" s="348" t="str">
        <f>IF(+All!$F225="Boise State",+All!B225,IF(+All!$H225="Boise State",+All!B225,0))</f>
        <v>Sat</v>
      </c>
      <c r="C20" s="72">
        <f>IF(+All!$F225="Boise State",+All!C225,IF(+All!$H225="Boise State",+All!C225,0))</f>
        <v>44821</v>
      </c>
      <c r="D20" s="73">
        <f>IF(+All!$F225="Boise State",+All!D225,IF(+All!$H225="Boise State",+All!D225,0))</f>
        <v>0.66666666666666663</v>
      </c>
      <c r="E20" s="461" t="str">
        <f>IF(+All!$F225="Boise State",+All!E225,IF(+All!$H225="Boise State",+All!E225,0))</f>
        <v>FS1</v>
      </c>
      <c r="F20" s="460" t="str">
        <f>IF(+All!$F225="Boise State",+All!F225,IF(+All!$H225="Boise State",+All!F225,0))</f>
        <v>1AA Tennessee Martin</v>
      </c>
      <c r="G20" s="465" t="str">
        <f>IF(+All!$F225="Boise State",+All!G225,IF(+All!$H225="Boise State",+All!G225,0))</f>
        <v>1AA</v>
      </c>
      <c r="H20" s="465" t="str">
        <f>IF(+All!$F225="Boise State",+All!H225,IF(+All!$H225="Boise State",+All!H225,0))</f>
        <v>Boise State</v>
      </c>
      <c r="I20" s="464" t="str">
        <f>IF(+All!$F225="Boise State",+All!I225,IF(+All!$H225="Boise State",+All!I225,0))</f>
        <v>MWC</v>
      </c>
      <c r="J20" s="460">
        <f>IF(+All!$F225="Boise State",+All!J225,IF(+All!$H225="Boise State",+All!J225,0))</f>
        <v>0</v>
      </c>
      <c r="K20" s="461">
        <f>IF(+All!$F225="Boise State",+All!K225,IF(+All!$H225="Boise State",+All!K225,0))</f>
        <v>0</v>
      </c>
      <c r="L20" s="60">
        <f>IF(+All!$F225="Boise State",+All!L225,IF(+All!$H225="Boise State",+All!L225,0))</f>
        <v>0</v>
      </c>
      <c r="M20" s="61">
        <f>IF(+All!$F225="Boise State",+All!M225,IF(+All!$H225="Boise State",+All!M225,0))</f>
        <v>0</v>
      </c>
      <c r="N20" s="460" t="str">
        <f>IF(+All!$F225="Boise State",+All!N225,IF(+All!$H225="Boise State",+All!N225,0))</f>
        <v>Boise State</v>
      </c>
      <c r="O20" s="462">
        <f>IF(+All!$F225="Boise State",+All!O225,IF(+All!$H225="Boise State",+All!O225,0))</f>
        <v>30</v>
      </c>
      <c r="P20" s="462" t="str">
        <f>IF(+All!$F225="Boise State",+All!P225,IF(+All!$H225="Boise State",+All!P225,0))</f>
        <v>1AA Tennessee Martin</v>
      </c>
      <c r="Q20" s="461">
        <f>IF(+All!$F225="Boise State",+All!Q225,IF(+All!$H225="Boise State",+All!Q225,0))</f>
        <v>7</v>
      </c>
      <c r="R20" s="460">
        <f>IF(+All!$F225="Boise State",+All!R225,IF(+All!$H225="Boise State",+All!R225,0))</f>
        <v>0</v>
      </c>
      <c r="S20" s="462">
        <f>IF(+All!$F225="Boise State",+All!S225,IF(+All!$H225="Boise State",+All!S225,0))</f>
        <v>0</v>
      </c>
      <c r="T20" s="460">
        <f>IF(+All!$F225="Boise State",+All!T225,IF(+All!$H225="Boise State",+All!T225,0))</f>
        <v>0</v>
      </c>
      <c r="U20" s="461">
        <f>IF(+All!$F225="Boise State",+All!U225,IF(+All!$H225="Boise State",+All!U225,0))</f>
        <v>0</v>
      </c>
    </row>
    <row r="21" spans="1:21" s="365" customFormat="1" x14ac:dyDescent="0.8">
      <c r="A21" s="46">
        <f>IF(+All!$F256="Boise State",+All!A256,IF(+All!$H256="Boise State",+All!A256,0))</f>
        <v>4</v>
      </c>
      <c r="B21" s="348" t="str">
        <f>IF(+All!$F256="Boise State",+All!B256,IF(+All!$H256="Boise State",+All!B256,0))</f>
        <v>Fri</v>
      </c>
      <c r="C21" s="72">
        <f>IF(+All!$F256="Boise State",+All!C256,IF(+All!$H256="Boise State",+All!C256,0))</f>
        <v>44827</v>
      </c>
      <c r="D21" s="73">
        <f>IF(+All!$F256="Boise State",+All!D256,IF(+All!$H256="Boise State",+All!D256,0))</f>
        <v>0.875</v>
      </c>
      <c r="E21" s="461" t="str">
        <f>IF(+All!$F256="Boise State",+All!E256,IF(+All!$H256="Boise State",+All!E256,0))</f>
        <v>CBSSN</v>
      </c>
      <c r="F21" s="460" t="str">
        <f>IF(+All!$F256="Boise State",+All!F256,IF(+All!$H256="Boise State",+All!F256,0))</f>
        <v>Boise State</v>
      </c>
      <c r="G21" s="465" t="str">
        <f>IF(+All!$F256="Boise State",+All!G256,IF(+All!$H256="Boise State",+All!G256,0))</f>
        <v>MWC</v>
      </c>
      <c r="H21" s="465" t="str">
        <f>IF(+All!$F256="Boise State",+All!H256,IF(+All!$H256="Boise State",+All!H256,0))</f>
        <v>UTEP</v>
      </c>
      <c r="I21" s="464" t="str">
        <f>IF(+All!$F256="Boise State",+All!I256,IF(+All!$H256="Boise State",+All!I256,0))</f>
        <v>CUSA</v>
      </c>
      <c r="J21" s="460" t="str">
        <f>IF(+All!$F256="Boise State",+All!J256,IF(+All!$H256="Boise State",+All!J256,0))</f>
        <v>Boise State</v>
      </c>
      <c r="K21" s="461" t="str">
        <f>IF(+All!$F256="Boise State",+All!K256,IF(+All!$H256="Boise State",+All!K256,0))</f>
        <v>UTEP</v>
      </c>
      <c r="L21" s="60">
        <f>IF(+All!$F256="Boise State",+All!L256,IF(+All!$H256="Boise State",+All!L256,0))</f>
        <v>15.5</v>
      </c>
      <c r="M21" s="61">
        <f>IF(+All!$F256="Boise State",+All!M256,IF(+All!$H256="Boise State",+All!M256,0))</f>
        <v>45.5</v>
      </c>
      <c r="N21" s="460" t="str">
        <f>IF(+All!$F256="Boise State",+All!N256,IF(+All!$H256="Boise State",+All!N256,0))</f>
        <v>UTEP</v>
      </c>
      <c r="O21" s="462">
        <f>IF(+All!$F256="Boise State",+All!O256,IF(+All!$H256="Boise State",+All!O256,0))</f>
        <v>27</v>
      </c>
      <c r="P21" s="462" t="str">
        <f>IF(+All!$F256="Boise State",+All!P256,IF(+All!$H256="Boise State",+All!P256,0))</f>
        <v>Boise State</v>
      </c>
      <c r="Q21" s="461">
        <f>IF(+All!$F256="Boise State",+All!Q256,IF(+All!$H256="Boise State",+All!Q256,0))</f>
        <v>10</v>
      </c>
      <c r="R21" s="460" t="str">
        <f>IF(+All!$F256="Boise State",+All!R256,IF(+All!$H256="Boise State",+All!R256,0))</f>
        <v>UTEP</v>
      </c>
      <c r="S21" s="462" t="str">
        <f>IF(+All!$F256="Boise State",+All!S256,IF(+All!$H256="Boise State",+All!S256,0))</f>
        <v>Boise State</v>
      </c>
      <c r="T21" s="460" t="str">
        <f>IF(+All!$F256="Boise State",+All!T256,IF(+All!$H256="Boise State",+All!T256,0))</f>
        <v>Boise State</v>
      </c>
      <c r="U21" s="461" t="str">
        <f>IF(+All!$F256="Boise State",+All!U256,IF(+All!$H256="Boise State",+All!U256,0))</f>
        <v>L</v>
      </c>
    </row>
    <row r="22" spans="1:21" s="365" customFormat="1" x14ac:dyDescent="0.8">
      <c r="A22" s="46">
        <f>IF(+All!$F321="Boise State",+All!A321,IF(+All!$H321="Boise State",+All!A321,0))</f>
        <v>5</v>
      </c>
      <c r="B22" s="348" t="str">
        <f>IF(+All!$F321="Boise State",+All!B321,IF(+All!$H321="Boise State",+All!B321,0))</f>
        <v>Fri</v>
      </c>
      <c r="C22" s="72">
        <f>IF(+All!$F321="Boise State",+All!C321,IF(+All!$H321="Boise State",+All!C321,0))</f>
        <v>44834</v>
      </c>
      <c r="D22" s="73">
        <f>IF(+All!$F321="Boise State",+All!D321,IF(+All!$H321="Boise State",+All!D321,0))</f>
        <v>0.83333333333333337</v>
      </c>
      <c r="E22" s="461" t="str">
        <f>IF(+All!$F321="Boise State",+All!E321,IF(+All!$H321="Boise State",+All!E321,0))</f>
        <v>FS1</v>
      </c>
      <c r="F22" s="460" t="str">
        <f>IF(+All!$F321="Boise State",+All!F321,IF(+All!$H321="Boise State",+All!F321,0))</f>
        <v>San Diego State</v>
      </c>
      <c r="G22" s="465" t="str">
        <f>IF(+All!$F321="Boise State",+All!G321,IF(+All!$H321="Boise State",+All!G321,0))</f>
        <v>MWC</v>
      </c>
      <c r="H22" s="465" t="str">
        <f>IF(+All!$F321="Boise State",+All!H321,IF(+All!$H321="Boise State",+All!H321,0))</f>
        <v>Boise State</v>
      </c>
      <c r="I22" s="464" t="str">
        <f>IF(+All!$F321="Boise State",+All!I321,IF(+All!$H321="Boise State",+All!I321,0))</f>
        <v>MWC</v>
      </c>
      <c r="J22" s="460" t="str">
        <f>IF(+All!$F321="Boise State",+All!J321,IF(+All!$H321="Boise State",+All!J321,0))</f>
        <v>Boise State</v>
      </c>
      <c r="K22" s="461" t="str">
        <f>IF(+All!$F321="Boise State",+All!K321,IF(+All!$H321="Boise State",+All!K321,0))</f>
        <v>San Diego State</v>
      </c>
      <c r="L22" s="60">
        <f>IF(+All!$F321="Boise State",+All!L321,IF(+All!$H321="Boise State",+All!L321,0))</f>
        <v>6</v>
      </c>
      <c r="M22" s="61">
        <f>IF(+All!$F321="Boise State",+All!M321,IF(+All!$H321="Boise State",+All!M321,0))</f>
        <v>39</v>
      </c>
      <c r="N22" s="460" t="str">
        <f>IF(+All!$F321="Boise State",+All!N321,IF(+All!$H321="Boise State",+All!N321,0))</f>
        <v>Boise State</v>
      </c>
      <c r="O22" s="462">
        <f>IF(+All!$F321="Boise State",+All!O321,IF(+All!$H321="Boise State",+All!O321,0))</f>
        <v>35</v>
      </c>
      <c r="P22" s="462" t="str">
        <f>IF(+All!$F321="Boise State",+All!P321,IF(+All!$H321="Boise State",+All!P321,0))</f>
        <v>San Diego State</v>
      </c>
      <c r="Q22" s="461">
        <f>IF(+All!$F321="Boise State",+All!Q321,IF(+All!$H321="Boise State",+All!Q321,0))</f>
        <v>13</v>
      </c>
      <c r="R22" s="460" t="str">
        <f>IF(+All!$F321="Boise State",+All!R321,IF(+All!$H321="Boise State",+All!R321,0))</f>
        <v>Boise State</v>
      </c>
      <c r="S22" s="462" t="str">
        <f>IF(+All!$F321="Boise State",+All!S321,IF(+All!$H321="Boise State",+All!S321,0))</f>
        <v>San Diego State</v>
      </c>
      <c r="T22" s="460" t="str">
        <f>IF(+All!$F321="Boise State",+All!T321,IF(+All!$H321="Boise State",+All!T321,0))</f>
        <v>San Diego State</v>
      </c>
      <c r="U22" s="461" t="str">
        <f>IF(+All!$F321="Boise State",+All!U321,IF(+All!$H321="Boise State",+All!U321,0))</f>
        <v>L</v>
      </c>
    </row>
    <row r="23" spans="1:21" s="365" customFormat="1" x14ac:dyDescent="0.8">
      <c r="A23" s="46">
        <f>IF(+All!$F417="Boise State",+All!A417,IF(+All!$H417="Boise State",+All!A417,0))</f>
        <v>6</v>
      </c>
      <c r="B23" s="348" t="str">
        <f>IF(+All!$F417="Boise State",+All!B417,IF(+All!$H417="Boise State",+All!B417,0))</f>
        <v>Sat</v>
      </c>
      <c r="C23" s="72">
        <f>IF(+All!$F417="Boise State",+All!C417,IF(+All!$H417="Boise State",+All!C417,0))</f>
        <v>44842</v>
      </c>
      <c r="D23" s="73">
        <f>IF(+All!$F417="Boise State",+All!D417,IF(+All!$H417="Boise State",+All!D417,0))</f>
        <v>0.90625</v>
      </c>
      <c r="E23" s="461" t="str">
        <f>IF(+All!$F417="Boise State",+All!E417,IF(+All!$H417="Boise State",+All!E417,0))</f>
        <v>FS1</v>
      </c>
      <c r="F23" s="460" t="str">
        <f>IF(+All!$F417="Boise State",+All!F417,IF(+All!$H417="Boise State",+All!F417,0))</f>
        <v>Fresno State</v>
      </c>
      <c r="G23" s="465" t="str">
        <f>IF(+All!$F417="Boise State",+All!G417,IF(+All!$H417="Boise State",+All!G417,0))</f>
        <v>MWC</v>
      </c>
      <c r="H23" s="465" t="str">
        <f>IF(+All!$F417="Boise State",+All!H417,IF(+All!$H417="Boise State",+All!H417,0))</f>
        <v>Boise State</v>
      </c>
      <c r="I23" s="464" t="str">
        <f>IF(+All!$F417="Boise State",+All!I417,IF(+All!$H417="Boise State",+All!I417,0))</f>
        <v>MWC</v>
      </c>
      <c r="J23" s="460" t="str">
        <f>IF(+All!$F417="Boise State",+All!J417,IF(+All!$H417="Boise State",+All!J417,0))</f>
        <v>Boise State</v>
      </c>
      <c r="K23" s="461" t="str">
        <f>IF(+All!$F417="Boise State",+All!K417,IF(+All!$H417="Boise State",+All!K417,0))</f>
        <v>Fresno State</v>
      </c>
      <c r="L23" s="60">
        <f>IF(+All!$F417="Boise State",+All!L417,IF(+All!$H417="Boise State",+All!L417,0))</f>
        <v>7.5</v>
      </c>
      <c r="M23" s="61">
        <f>IF(+All!$F417="Boise State",+All!M417,IF(+All!$H417="Boise State",+All!M417,0))</f>
        <v>45.5</v>
      </c>
      <c r="N23" s="460" t="str">
        <f>IF(+All!$F417="Boise State",+All!N417,IF(+All!$H417="Boise State",+All!N417,0))</f>
        <v>Boise State</v>
      </c>
      <c r="O23" s="462">
        <f>IF(+All!$F417="Boise State",+All!O417,IF(+All!$H417="Boise State",+All!O417,0))</f>
        <v>40</v>
      </c>
      <c r="P23" s="462" t="str">
        <f>IF(+All!$F417="Boise State",+All!P417,IF(+All!$H417="Boise State",+All!P417,0))</f>
        <v>Fresno State</v>
      </c>
      <c r="Q23" s="461">
        <f>IF(+All!$F417="Boise State",+All!Q417,IF(+All!$H417="Boise State",+All!Q417,0))</f>
        <v>20</v>
      </c>
      <c r="R23" s="460" t="str">
        <f>IF(+All!$F417="Boise State",+All!R417,IF(+All!$H417="Boise State",+All!R417,0))</f>
        <v>Boise State</v>
      </c>
      <c r="S23" s="462" t="str">
        <f>IF(+All!$F417="Boise State",+All!S417,IF(+All!$H417="Boise State",+All!S417,0))</f>
        <v>Fresno State</v>
      </c>
      <c r="T23" s="460" t="str">
        <f>IF(+All!$F417="Boise State",+All!T417,IF(+All!$H417="Boise State",+All!T417,0))</f>
        <v>Fresno State</v>
      </c>
      <c r="U23" s="461" t="str">
        <f>IF(+All!$F417="Boise State",+All!U417,IF(+All!$H417="Boise State",+All!U417,0))</f>
        <v>L</v>
      </c>
    </row>
    <row r="24" spans="1:21" s="365" customFormat="1" x14ac:dyDescent="0.8">
      <c r="A24" s="46" t="e">
        <f>IF(+All!#REF!="Boise State",+All!#REF!,IF(+All!#REF!="Boise State",+All!#REF!,0))</f>
        <v>#REF!</v>
      </c>
      <c r="B24" s="348" t="e">
        <f>IF(+All!#REF!="Boise State",+All!#REF!,IF(+All!#REF!="Boise State",+All!#REF!,0))</f>
        <v>#REF!</v>
      </c>
      <c r="C24" s="72" t="e">
        <f>IF(+All!#REF!="Boise State",+All!#REF!,IF(+All!#REF!="Boise State",+All!#REF!,0))</f>
        <v>#REF!</v>
      </c>
      <c r="D24" s="73" t="e">
        <f>IF(+All!#REF!="Boise State",+All!#REF!,IF(+All!#REF!="Boise State",+All!#REF!,0))</f>
        <v>#REF!</v>
      </c>
      <c r="E24" s="461" t="e">
        <f>IF(+All!#REF!="Boise State",+All!#REF!,IF(+All!#REF!="Boise State",+All!#REF!,0))</f>
        <v>#REF!</v>
      </c>
      <c r="F24" s="460" t="e">
        <f>IF(+All!#REF!="Boise State",+All!#REF!,IF(+All!#REF!="Boise State",+All!#REF!,0))</f>
        <v>#REF!</v>
      </c>
      <c r="G24" s="465" t="e">
        <f>IF(+All!#REF!="Boise State",+All!#REF!,IF(+All!#REF!="Boise State",+All!#REF!,0))</f>
        <v>#REF!</v>
      </c>
      <c r="H24" s="465" t="e">
        <f>IF(+All!#REF!="Boise State",+All!#REF!,IF(+All!#REF!="Boise State",+All!#REF!,0))</f>
        <v>#REF!</v>
      </c>
      <c r="I24" s="464" t="e">
        <f>IF(+All!#REF!="Boise State",+All!#REF!,IF(+All!#REF!="Boise State",+All!#REF!,0))</f>
        <v>#REF!</v>
      </c>
      <c r="J24" s="460" t="e">
        <f>IF(+All!#REF!="Boise State",+All!#REF!,IF(+All!#REF!="Boise State",+All!#REF!,0))</f>
        <v>#REF!</v>
      </c>
      <c r="K24" s="461" t="e">
        <f>IF(+All!#REF!="Boise State",+All!#REF!,IF(+All!#REF!="Boise State",+All!#REF!,0))</f>
        <v>#REF!</v>
      </c>
      <c r="L24" s="60" t="e">
        <f>IF(+All!#REF!="Boise State",+All!#REF!,IF(+All!#REF!="Boise State",+All!#REF!,0))</f>
        <v>#REF!</v>
      </c>
      <c r="M24" s="61" t="e">
        <f>IF(+All!#REF!="Boise State",+All!#REF!,IF(+All!#REF!="Boise State",+All!#REF!,0))</f>
        <v>#REF!</v>
      </c>
      <c r="N24" s="460" t="e">
        <f>IF(+All!#REF!="Boise State",+All!#REF!,IF(+All!#REF!="Boise State",+All!#REF!,0))</f>
        <v>#REF!</v>
      </c>
      <c r="O24" s="462" t="e">
        <f>IF(+All!#REF!="Boise State",+All!#REF!,IF(+All!#REF!="Boise State",+All!#REF!,0))</f>
        <v>#REF!</v>
      </c>
      <c r="P24" s="462" t="e">
        <f>IF(+All!#REF!="Boise State",+All!#REF!,IF(+All!#REF!="Boise State",+All!#REF!,0))</f>
        <v>#REF!</v>
      </c>
      <c r="Q24" s="461" t="e">
        <f>IF(+All!#REF!="Boise State",+All!#REF!,IF(+All!#REF!="Boise State",+All!#REF!,0))</f>
        <v>#REF!</v>
      </c>
      <c r="R24" s="460" t="e">
        <f>IF(+All!#REF!="Boise State",+All!#REF!,IF(+All!#REF!="Boise State",+All!#REF!,0))</f>
        <v>#REF!</v>
      </c>
      <c r="S24" s="462" t="e">
        <f>IF(+All!#REF!="Boise State",+All!#REF!,IF(+All!#REF!="Boise State",+All!#REF!,0))</f>
        <v>#REF!</v>
      </c>
      <c r="T24" s="460" t="e">
        <f>IF(+All!#REF!="Boise State",+All!#REF!,IF(+All!#REF!="Boise State",+All!#REF!,0))</f>
        <v>#REF!</v>
      </c>
      <c r="U24" s="461" t="e">
        <f>IF(+All!#REF!="Boise State",+All!#REF!,IF(+All!#REF!="Boise State",+All!#REF!,0))</f>
        <v>#REF!</v>
      </c>
    </row>
    <row r="25" spans="1:21" s="365" customFormat="1" x14ac:dyDescent="0.8">
      <c r="A25" s="46">
        <f>IF(+All!$F527="Boise State",+All!A527,IF(+All!$H527="Boise State",+All!A527,0))</f>
        <v>8</v>
      </c>
      <c r="B25" s="348" t="str">
        <f>IF(+All!$F527="Boise State",+All!B527,IF(+All!$H527="Boise State",+All!B527,0))</f>
        <v>Sat</v>
      </c>
      <c r="C25" s="72">
        <f>IF(+All!$F527="Boise State",+All!C527,IF(+All!$H527="Boise State",+All!C527,0))</f>
        <v>44856</v>
      </c>
      <c r="D25" s="73">
        <f>IF(+All!$F527="Boise State",+All!D527,IF(+All!$H527="Boise State",+All!D527,0))</f>
        <v>0.79166666666666663</v>
      </c>
      <c r="E25" s="461" t="str">
        <f>IF(+All!$F527="Boise State",+All!E527,IF(+All!$H527="Boise State",+All!E527,0))</f>
        <v>CBSSN</v>
      </c>
      <c r="F25" s="460" t="str">
        <f>IF(+All!$F527="Boise State",+All!F527,IF(+All!$H527="Boise State",+All!F527,0))</f>
        <v>Boise State</v>
      </c>
      <c r="G25" s="465" t="str">
        <f>IF(+All!$F527="Boise State",+All!G527,IF(+All!$H527="Boise State",+All!G527,0))</f>
        <v>MWC</v>
      </c>
      <c r="H25" s="465" t="str">
        <f>IF(+All!$F527="Boise State",+All!H527,IF(+All!$H527="Boise State",+All!H527,0))</f>
        <v>Air Force</v>
      </c>
      <c r="I25" s="464" t="str">
        <f>IF(+All!$F527="Boise State",+All!I527,IF(+All!$H527="Boise State",+All!I527,0))</f>
        <v>MWC</v>
      </c>
      <c r="J25" s="460" t="str">
        <f>IF(+All!$F527="Boise State",+All!J527,IF(+All!$H527="Boise State",+All!J527,0))</f>
        <v>Air Force</v>
      </c>
      <c r="K25" s="461" t="str">
        <f>IF(+All!$F527="Boise State",+All!K527,IF(+All!$H527="Boise State",+All!K527,0))</f>
        <v>Boise State</v>
      </c>
      <c r="L25" s="60">
        <f>IF(+All!$F527="Boise State",+All!L527,IF(+All!$H527="Boise State",+All!L527,0))</f>
        <v>3.5</v>
      </c>
      <c r="M25" s="61">
        <f>IF(+All!$F527="Boise State",+All!M527,IF(+All!$H527="Boise State",+All!M527,0))</f>
        <v>48</v>
      </c>
      <c r="N25" s="460" t="str">
        <f>IF(+All!$F527="Boise State",+All!N527,IF(+All!$H527="Boise State",+All!N527,0))</f>
        <v>Boise State</v>
      </c>
      <c r="O25" s="462">
        <f>IF(+All!$F527="Boise State",+All!O527,IF(+All!$H527="Boise State",+All!O527,0))</f>
        <v>19</v>
      </c>
      <c r="P25" s="462" t="str">
        <f>IF(+All!$F527="Boise State",+All!P527,IF(+All!$H527="Boise State",+All!P527,0))</f>
        <v>Air Force</v>
      </c>
      <c r="Q25" s="461">
        <f>IF(+All!$F527="Boise State",+All!Q527,IF(+All!$H527="Boise State",+All!Q527,0))</f>
        <v>14</v>
      </c>
      <c r="R25" s="460" t="str">
        <f>IF(+All!$F527="Boise State",+All!R527,IF(+All!$H527="Boise State",+All!R527,0))</f>
        <v>Boise State</v>
      </c>
      <c r="S25" s="462" t="str">
        <f>IF(+All!$F527="Boise State",+All!S527,IF(+All!$H527="Boise State",+All!S527,0))</f>
        <v>Air Force</v>
      </c>
      <c r="T25" s="460" t="str">
        <f>IF(+All!$F527="Boise State",+All!T527,IF(+All!$H527="Boise State",+All!T527,0))</f>
        <v>Air Force</v>
      </c>
      <c r="U25" s="461" t="str">
        <f>IF(+All!$F527="Boise State",+All!U527,IF(+All!$H527="Boise State",+All!U527,0))</f>
        <v>L</v>
      </c>
    </row>
    <row r="26" spans="1:21" s="365" customFormat="1" x14ac:dyDescent="0.8">
      <c r="A26" s="46">
        <f>IF(+All!$F576="Boise State",+All!A576,IF(+All!$H576="Boise State",+All!A576,0))</f>
        <v>9</v>
      </c>
      <c r="B26" s="348" t="str">
        <f>IF(+All!$F576="Boise State",+All!B576,IF(+All!$H576="Boise State",+All!B576,0))</f>
        <v>Sat</v>
      </c>
      <c r="C26" s="72">
        <f>IF(+All!$F576="Boise State",+All!C576,IF(+All!$H576="Boise State",+All!C576,0))</f>
        <v>44863</v>
      </c>
      <c r="D26" s="73">
        <f>IF(+All!$F576="Boise State",+All!D576,IF(+All!$H576="Boise State",+All!D576,0))</f>
        <v>0.79166666666666663</v>
      </c>
      <c r="E26" s="461" t="str">
        <f>IF(+All!$F576="Boise State",+All!E576,IF(+All!$H576="Boise State",+All!E576,0))</f>
        <v>FS1</v>
      </c>
      <c r="F26" s="460" t="str">
        <f>IF(+All!$F576="Boise State",+All!F576,IF(+All!$H576="Boise State",+All!F576,0))</f>
        <v>Colorado State</v>
      </c>
      <c r="G26" s="465" t="str">
        <f>IF(+All!$F576="Boise State",+All!G576,IF(+All!$H576="Boise State",+All!G576,0))</f>
        <v>MWC</v>
      </c>
      <c r="H26" s="465" t="str">
        <f>IF(+All!$F576="Boise State",+All!H576,IF(+All!$H576="Boise State",+All!H576,0))</f>
        <v>Boise State</v>
      </c>
      <c r="I26" s="464" t="str">
        <f>IF(+All!$F576="Boise State",+All!I576,IF(+All!$H576="Boise State",+All!I576,0))</f>
        <v>MWC</v>
      </c>
      <c r="J26" s="460" t="str">
        <f>IF(+All!$F576="Boise State",+All!J576,IF(+All!$H576="Boise State",+All!J576,0))</f>
        <v>Boise State</v>
      </c>
      <c r="K26" s="461" t="str">
        <f>IF(+All!$F576="Boise State",+All!K576,IF(+All!$H576="Boise State",+All!K576,0))</f>
        <v>Colorado State</v>
      </c>
      <c r="L26" s="60">
        <f>IF(+All!$F576="Boise State",+All!L576,IF(+All!$H576="Boise State",+All!L576,0))</f>
        <v>27.5</v>
      </c>
      <c r="M26" s="61">
        <f>IF(+All!$F576="Boise State",+All!M576,IF(+All!$H576="Boise State",+All!M576,0))</f>
        <v>43</v>
      </c>
      <c r="N26" s="460" t="str">
        <f>IF(+All!$F576="Boise State",+All!N576,IF(+All!$H576="Boise State",+All!N576,0))</f>
        <v>Boise State</v>
      </c>
      <c r="O26" s="462">
        <f>IF(+All!$F576="Boise State",+All!O576,IF(+All!$H576="Boise State",+All!O576,0))</f>
        <v>49</v>
      </c>
      <c r="P26" s="462" t="str">
        <f>IF(+All!$F576="Boise State",+All!P576,IF(+All!$H576="Boise State",+All!P576,0))</f>
        <v>Colorado State</v>
      </c>
      <c r="Q26" s="461">
        <f>IF(+All!$F576="Boise State",+All!Q576,IF(+All!$H576="Boise State",+All!Q576,0))</f>
        <v>10</v>
      </c>
      <c r="R26" s="460" t="str">
        <f>IF(+All!$F576="Boise State",+All!R576,IF(+All!$H576="Boise State",+All!R576,0))</f>
        <v>Boise State</v>
      </c>
      <c r="S26" s="462" t="str">
        <f>IF(+All!$F576="Boise State",+All!S576,IF(+All!$H576="Boise State",+All!S576,0))</f>
        <v>Colorado State</v>
      </c>
      <c r="T26" s="460" t="str">
        <f>IF(+All!$F576="Boise State",+All!T576,IF(+All!$H576="Boise State",+All!T576,0))</f>
        <v>Boise State</v>
      </c>
      <c r="U26" s="461" t="str">
        <f>IF(+All!$F576="Boise State",+All!U576,IF(+All!$H576="Boise State",+All!U576,0))</f>
        <v>W</v>
      </c>
    </row>
    <row r="27" spans="1:21" s="365" customFormat="1" x14ac:dyDescent="0.8">
      <c r="A27" s="46">
        <f>IF(+All!$F631="Boise State",+All!A631,IF(+All!$H631="Boise State",+All!A631,0))</f>
        <v>10</v>
      </c>
      <c r="B27" s="348" t="str">
        <f>IF(+All!$F631="Boise State",+All!B631,IF(+All!$H631="Boise State",+All!B631,0))</f>
        <v>Sat</v>
      </c>
      <c r="C27" s="72">
        <f>IF(+All!$F631="Boise State",+All!C631,IF(+All!$H631="Boise State",+All!C631,0))</f>
        <v>44870</v>
      </c>
      <c r="D27" s="73">
        <f>IF(+All!$F631="Boise State",+All!D631,IF(+All!$H631="Boise State",+All!D631,0))</f>
        <v>0.79166666666666663</v>
      </c>
      <c r="E27" s="461" t="str">
        <f>IF(+All!$F631="Boise State",+All!E631,IF(+All!$H631="Boise State",+All!E631,0))</f>
        <v>FS2</v>
      </c>
      <c r="F27" s="460" t="str">
        <f>IF(+All!$F631="Boise State",+All!F631,IF(+All!$H631="Boise State",+All!F631,0))</f>
        <v>BYU</v>
      </c>
      <c r="G27" s="465" t="str">
        <f>IF(+All!$F631="Boise State",+All!G631,IF(+All!$H631="Boise State",+All!G631,0))</f>
        <v>Ind</v>
      </c>
      <c r="H27" s="465" t="str">
        <f>IF(+All!$F631="Boise State",+All!H631,IF(+All!$H631="Boise State",+All!H631,0))</f>
        <v>Boise State</v>
      </c>
      <c r="I27" s="464" t="str">
        <f>IF(+All!$F631="Boise State",+All!I631,IF(+All!$H631="Boise State",+All!I631,0))</f>
        <v>MWC</v>
      </c>
      <c r="J27" s="460" t="str">
        <f>IF(+All!$F631="Boise State",+All!J631,IF(+All!$H631="Boise State",+All!J631,0))</f>
        <v>Boise State</v>
      </c>
      <c r="K27" s="461" t="str">
        <f>IF(+All!$F631="Boise State",+All!K631,IF(+All!$H631="Boise State",+All!K631,0))</f>
        <v>BYU</v>
      </c>
      <c r="L27" s="60">
        <f>IF(+All!$F631="Boise State",+All!L631,IF(+All!$H631="Boise State",+All!L631,0))</f>
        <v>7.5</v>
      </c>
      <c r="M27" s="61">
        <f>IF(+All!$F631="Boise State",+All!M631,IF(+All!$H631="Boise State",+All!M631,0))</f>
        <v>55.5</v>
      </c>
      <c r="N27" s="460" t="str">
        <f>IF(+All!$F631="Boise State",+All!N631,IF(+All!$H631="Boise State",+All!N631,0))</f>
        <v>BYU</v>
      </c>
      <c r="O27" s="462">
        <f>IF(+All!$F631="Boise State",+All!O631,IF(+All!$H631="Boise State",+All!O631,0))</f>
        <v>31</v>
      </c>
      <c r="P27" s="462" t="str">
        <f>IF(+All!$F631="Boise State",+All!P631,IF(+All!$H631="Boise State",+All!P631,0))</f>
        <v>Boise State</v>
      </c>
      <c r="Q27" s="461">
        <f>IF(+All!$F631="Boise State",+All!Q631,IF(+All!$H631="Boise State",+All!Q631,0))</f>
        <v>28</v>
      </c>
      <c r="R27" s="460" t="str">
        <f>IF(+All!$F631="Boise State",+All!R631,IF(+All!$H631="Boise State",+All!R631,0))</f>
        <v>BYU</v>
      </c>
      <c r="S27" s="462" t="str">
        <f>IF(+All!$F631="Boise State",+All!S631,IF(+All!$H631="Boise State",+All!S631,0))</f>
        <v>Boise State</v>
      </c>
      <c r="T27" s="460" t="str">
        <f>IF(+All!$F631="Boise State",+All!T631,IF(+All!$H631="Boise State",+All!T631,0))</f>
        <v>Boise State</v>
      </c>
      <c r="U27" s="461" t="str">
        <f>IF(+All!$F631="Boise State",+All!U631,IF(+All!$H631="Boise State",+All!U631,0))</f>
        <v>L</v>
      </c>
    </row>
    <row r="28" spans="1:21" s="365" customFormat="1" x14ac:dyDescent="0.8">
      <c r="A28" s="46">
        <f>IF(+All!$F697="Boise State",+All!A697,IF(+All!$H697="Boise State",+All!A697,0))</f>
        <v>11</v>
      </c>
      <c r="B28" s="348" t="str">
        <f>IF(+All!$F697="Boise State",+All!B697,IF(+All!$H697="Boise State",+All!B697,0))</f>
        <v>Sat</v>
      </c>
      <c r="C28" s="72">
        <f>IF(+All!$F697="Boise State",+All!C697,IF(+All!$H697="Boise State",+All!C697,0))</f>
        <v>44877</v>
      </c>
      <c r="D28" s="73">
        <f>IF(+All!$F697="Boise State",+All!D697,IF(+All!$H697="Boise State",+All!D697,0))</f>
        <v>0.9375</v>
      </c>
      <c r="E28" s="461" t="str">
        <f>IF(+All!$F697="Boise State",+All!E697,IF(+All!$H697="Boise State",+All!E697,0))</f>
        <v>CBSSN</v>
      </c>
      <c r="F28" s="460" t="str">
        <f>IF(+All!$F697="Boise State",+All!F697,IF(+All!$H697="Boise State",+All!F697,0))</f>
        <v>Boise State</v>
      </c>
      <c r="G28" s="465" t="str">
        <f>IF(+All!$F697="Boise State",+All!G697,IF(+All!$H697="Boise State",+All!G697,0))</f>
        <v>MWC</v>
      </c>
      <c r="H28" s="465" t="str">
        <f>IF(+All!$F697="Boise State",+All!H697,IF(+All!$H697="Boise State",+All!H697,0))</f>
        <v>Nevada</v>
      </c>
      <c r="I28" s="464" t="str">
        <f>IF(+All!$F697="Boise State",+All!I697,IF(+All!$H697="Boise State",+All!I697,0))</f>
        <v>MWC</v>
      </c>
      <c r="J28" s="460" t="str">
        <f>IF(+All!$F697="Boise State",+All!J697,IF(+All!$H697="Boise State",+All!J697,0))</f>
        <v>Boise State</v>
      </c>
      <c r="K28" s="461" t="str">
        <f>IF(+All!$F697="Boise State",+All!K697,IF(+All!$H697="Boise State",+All!K697,0))</f>
        <v>Nevada</v>
      </c>
      <c r="L28" s="60">
        <f>IF(+All!$F697="Boise State",+All!L697,IF(+All!$H697="Boise State",+All!L697,0))</f>
        <v>21</v>
      </c>
      <c r="M28" s="61">
        <f>IF(+All!$F697="Boise State",+All!M697,IF(+All!$H697="Boise State",+All!M697,0))</f>
        <v>47.5</v>
      </c>
      <c r="N28" s="460" t="str">
        <f>IF(+All!$F697="Boise State",+All!N697,IF(+All!$H697="Boise State",+All!N697,0))</f>
        <v>Boise State</v>
      </c>
      <c r="O28" s="462">
        <f>IF(+All!$F697="Boise State",+All!O697,IF(+All!$H697="Boise State",+All!O697,0))</f>
        <v>41</v>
      </c>
      <c r="P28" s="462" t="str">
        <f>IF(+All!$F697="Boise State",+All!P697,IF(+All!$H697="Boise State",+All!P697,0))</f>
        <v>Nevada</v>
      </c>
      <c r="Q28" s="461">
        <f>IF(+All!$F697="Boise State",+All!Q697,IF(+All!$H697="Boise State",+All!Q697,0))</f>
        <v>3</v>
      </c>
      <c r="R28" s="460" t="str">
        <f>IF(+All!$F697="Boise State",+All!R697,IF(+All!$H697="Boise State",+All!R697,0))</f>
        <v>Boise State</v>
      </c>
      <c r="S28" s="462" t="str">
        <f>IF(+All!$F697="Boise State",+All!S697,IF(+All!$H697="Boise State",+All!S697,0))</f>
        <v>Nevada</v>
      </c>
      <c r="T28" s="460" t="str">
        <f>IF(+All!$F697="Boise State",+All!T697,IF(+All!$H697="Boise State",+All!T697,0))</f>
        <v>Nevada</v>
      </c>
      <c r="U28" s="461" t="str">
        <f>IF(+All!$F697="Boise State",+All!U697,IF(+All!$H697="Boise State",+All!U697,0))</f>
        <v>L</v>
      </c>
    </row>
    <row r="29" spans="1:21" s="365" customFormat="1" x14ac:dyDescent="0.8">
      <c r="A29" s="46">
        <f>IF(+All!$F762="Boise State",+All!A762,IF(+All!$H762="Boise State",+All!A762,0))</f>
        <v>12</v>
      </c>
      <c r="B29" s="348" t="str">
        <f>IF(+All!$F762="Boise State",+All!B762,IF(+All!$H762="Boise State",+All!B762,0))</f>
        <v>Sat</v>
      </c>
      <c r="C29" s="72">
        <f>IF(+All!$F762="Boise State",+All!C762,IF(+All!$H762="Boise State",+All!C762,0))</f>
        <v>44884</v>
      </c>
      <c r="D29" s="73">
        <f>IF(+All!$F762="Boise State",+All!D762,IF(+All!$H762="Boise State",+All!D762,0))</f>
        <v>0.79166666666666663</v>
      </c>
      <c r="E29" s="461" t="str">
        <f>IF(+All!$F762="Boise State",+All!E762,IF(+All!$H762="Boise State",+All!E762,0))</f>
        <v>CBSSN</v>
      </c>
      <c r="F29" s="460" t="str">
        <f>IF(+All!$F762="Boise State",+All!F762,IF(+All!$H762="Boise State",+All!F762,0))</f>
        <v>Boise State</v>
      </c>
      <c r="G29" s="465" t="str">
        <f>IF(+All!$F762="Boise State",+All!G762,IF(+All!$H762="Boise State",+All!G762,0))</f>
        <v>MWC</v>
      </c>
      <c r="H29" s="465" t="str">
        <f>IF(+All!$F762="Boise State",+All!H762,IF(+All!$H762="Boise State",+All!H762,0))</f>
        <v>Wyoming</v>
      </c>
      <c r="I29" s="464" t="str">
        <f>IF(+All!$F762="Boise State",+All!I762,IF(+All!$H762="Boise State",+All!I762,0))</f>
        <v>MWC</v>
      </c>
      <c r="J29" s="460" t="str">
        <f>IF(+All!$F762="Boise State",+All!J762,IF(+All!$H762="Boise State",+All!J762,0))</f>
        <v>Boise State</v>
      </c>
      <c r="K29" s="461" t="str">
        <f>IF(+All!$F762="Boise State",+All!K762,IF(+All!$H762="Boise State",+All!K762,0))</f>
        <v>Wyoming</v>
      </c>
      <c r="L29" s="60">
        <f>IF(+All!$F762="Boise State",+All!L762,IF(+All!$H762="Boise State",+All!L762,0))</f>
        <v>14</v>
      </c>
      <c r="M29" s="61">
        <f>IF(+All!$F762="Boise State",+All!M762,IF(+All!$H762="Boise State",+All!M762,0))</f>
        <v>44</v>
      </c>
      <c r="N29" s="460" t="str">
        <f>IF(+All!$F762="Boise State",+All!N762,IF(+All!$H762="Boise State",+All!N762,0))</f>
        <v>Boise State</v>
      </c>
      <c r="O29" s="462">
        <f>IF(+All!$F762="Boise State",+All!O762,IF(+All!$H762="Boise State",+All!O762,0))</f>
        <v>20</v>
      </c>
      <c r="P29" s="462" t="str">
        <f>IF(+All!$F762="Boise State",+All!P762,IF(+All!$H762="Boise State",+All!P762,0))</f>
        <v>Wyoming</v>
      </c>
      <c r="Q29" s="461">
        <f>IF(+All!$F762="Boise State",+All!Q762,IF(+All!$H762="Boise State",+All!Q762,0))</f>
        <v>17</v>
      </c>
      <c r="R29" s="460" t="str">
        <f>IF(+All!$F762="Boise State",+All!R762,IF(+All!$H762="Boise State",+All!R762,0))</f>
        <v>Wyoming</v>
      </c>
      <c r="S29" s="462" t="str">
        <f>IF(+All!$F762="Boise State",+All!S762,IF(+All!$H762="Boise State",+All!S762,0))</f>
        <v>Boise State</v>
      </c>
      <c r="T29" s="460" t="str">
        <f>IF(+All!$F762="Boise State",+All!T762,IF(+All!$H762="Boise State",+All!T762,0))</f>
        <v>Wyoming</v>
      </c>
      <c r="U29" s="461" t="str">
        <f>IF(+All!$F762="Boise State",+All!U762,IF(+All!$H762="Boise State",+All!U762,0))</f>
        <v>W</v>
      </c>
    </row>
    <row r="30" spans="1:21" s="365" customFormat="1" x14ac:dyDescent="0.8">
      <c r="A30" s="46">
        <f>IF(+All!$F787="Boise State",+All!A787,IF(+All!$H787="Boise State",+All!A787,0))</f>
        <v>13</v>
      </c>
      <c r="B30" s="348" t="str">
        <f>IF(+All!$F787="Boise State",+All!B787,IF(+All!$H787="Boise State",+All!B787,0))</f>
        <v>Fri</v>
      </c>
      <c r="C30" s="72">
        <f>IF(+All!$F787="Boise State",+All!C787,IF(+All!$H787="Boise State",+All!C787,0))</f>
        <v>44890</v>
      </c>
      <c r="D30" s="73">
        <f>IF(+All!$F787="Boise State",+All!D787,IF(+All!$H787="Boise State",+All!D787,0))</f>
        <v>0.5</v>
      </c>
      <c r="E30" s="461" t="str">
        <f>IF(+All!$F787="Boise State",+All!E787,IF(+All!$H787="Boise State",+All!E787,0))</f>
        <v>CBS</v>
      </c>
      <c r="F30" s="460" t="str">
        <f>IF(+All!$F787="Boise State",+All!F787,IF(+All!$H787="Boise State",+All!F787,0))</f>
        <v>Utah State</v>
      </c>
      <c r="G30" s="465" t="str">
        <f>IF(+All!$F787="Boise State",+All!G787,IF(+All!$H787="Boise State",+All!G787,0))</f>
        <v>MWC</v>
      </c>
      <c r="H30" s="465" t="str">
        <f>IF(+All!$F787="Boise State",+All!H787,IF(+All!$H787="Boise State",+All!H787,0))</f>
        <v>Boise State</v>
      </c>
      <c r="I30" s="464" t="str">
        <f>IF(+All!$F787="Boise State",+All!I787,IF(+All!$H787="Boise State",+All!I787,0))</f>
        <v>MWC</v>
      </c>
      <c r="J30" s="460" t="str">
        <f>IF(+All!$F787="Boise State",+All!J787,IF(+All!$H787="Boise State",+All!J787,0))</f>
        <v>Boise State</v>
      </c>
      <c r="K30" s="461" t="str">
        <f>IF(+All!$F787="Boise State",+All!K787,IF(+All!$H787="Boise State",+All!K787,0))</f>
        <v>Utah State</v>
      </c>
      <c r="L30" s="60">
        <f>IF(+All!$F787="Boise State",+All!L787,IF(+All!$H787="Boise State",+All!L787,0))</f>
        <v>17</v>
      </c>
      <c r="M30" s="61">
        <f>IF(+All!$F787="Boise State",+All!M787,IF(+All!$H787="Boise State",+All!M787,0))</f>
        <v>51.5</v>
      </c>
      <c r="N30" s="460" t="str">
        <f>IF(+All!$F787="Boise State",+All!N787,IF(+All!$H787="Boise State",+All!N787,0))</f>
        <v>Boise State</v>
      </c>
      <c r="O30" s="462">
        <f>IF(+All!$F787="Boise State",+All!O787,IF(+All!$H787="Boise State",+All!O787,0))</f>
        <v>42</v>
      </c>
      <c r="P30" s="462" t="str">
        <f>IF(+All!$F787="Boise State",+All!P787,IF(+All!$H787="Boise State",+All!P787,0))</f>
        <v>Utah State</v>
      </c>
      <c r="Q30" s="461">
        <f>IF(+All!$F787="Boise State",+All!Q787,IF(+All!$H787="Boise State",+All!Q787,0))</f>
        <v>23</v>
      </c>
      <c r="R30" s="460" t="str">
        <f>IF(+All!$F787="Boise State",+All!R787,IF(+All!$H787="Boise State",+All!R787,0))</f>
        <v>Boise State</v>
      </c>
      <c r="S30" s="462" t="str">
        <f>IF(+All!$F787="Boise State",+All!S787,IF(+All!$H787="Boise State",+All!S787,0))</f>
        <v>Utah State</v>
      </c>
      <c r="T30" s="460" t="str">
        <f>IF(+All!$F787="Boise State",+All!T787,IF(+All!$H787="Boise State",+All!T787,0))</f>
        <v>Boise State</v>
      </c>
      <c r="U30" s="461" t="str">
        <f>IF(+All!$F787="Boise State",+All!U787,IF(+All!$H787="Boise State",+All!U787,0))</f>
        <v>W</v>
      </c>
    </row>
    <row r="31" spans="1:21" x14ac:dyDescent="0.8">
      <c r="A31" s="38"/>
      <c r="B31" s="39"/>
      <c r="C31" s="40"/>
      <c r="D31" s="41"/>
      <c r="E31" s="463"/>
      <c r="F31" s="897" t="str">
        <f>H33</f>
        <v>Colorado State</v>
      </c>
      <c r="G31" s="903"/>
      <c r="H31" s="903"/>
      <c r="I31" s="904"/>
      <c r="J31" s="459"/>
      <c r="K31" s="463"/>
      <c r="L31" s="44"/>
      <c r="M31" s="45"/>
      <c r="N31" s="459"/>
      <c r="O31" s="5"/>
      <c r="P31" s="5"/>
      <c r="Q31" s="463"/>
      <c r="R31" s="459"/>
      <c r="S31" s="5"/>
      <c r="T31" s="459"/>
      <c r="U31" s="463"/>
    </row>
    <row r="32" spans="1:21" x14ac:dyDescent="0.8">
      <c r="A32" s="46">
        <f>IF(+All!$F36="Colorado State",+All!A36,IF(+All!$H36="Colorado State",+All!A36,0))</f>
        <v>1</v>
      </c>
      <c r="B32" s="348" t="str">
        <f>IF(+All!$F36="Colorado State",+All!B36,IF(+All!$H36="Colorado State",+All!B36,0))</f>
        <v>Sat</v>
      </c>
      <c r="C32" s="48">
        <f>IF(+All!$F36="Colorado State",+All!C36,IF(+All!$H36="Colorado State",+All!C36,0))</f>
        <v>44807</v>
      </c>
      <c r="D32" s="490">
        <f>IF(+All!$F36="Colorado State",+All!D36,IF(+All!$H36="Colorado State",+All!D36,0))</f>
        <v>0.5</v>
      </c>
      <c r="E32" s="461" t="str">
        <f>IF(+All!$F36="Colorado State",+All!E36,IF(+All!$H36="Colorado State",+All!E36,0))</f>
        <v>ABC</v>
      </c>
      <c r="F32" s="51" t="str">
        <f>IF(+All!$F36="Colorado State",+All!F36,IF(+All!$H36="Colorado State",+All!F36,0))</f>
        <v>Colorado State</v>
      </c>
      <c r="G32" s="52" t="str">
        <f>IF(+All!$F36="Colorado State",+All!G36,IF(+All!$H36="Colorado State",+All!G36,0))</f>
        <v>MWC</v>
      </c>
      <c r="H32" s="51" t="str">
        <f>IF(+All!$F36="Colorado State",+All!H36,IF(+All!$H36="Colorado State",+All!H36,0))</f>
        <v>Michigan</v>
      </c>
      <c r="I32" s="52" t="str">
        <f>IF(+All!$F36="Colorado State",+All!I36,IF(+All!$H36="Colorado State",+All!I36,0))</f>
        <v>B10</v>
      </c>
      <c r="J32" s="460" t="str">
        <f>IF(+All!$F36="Colorado State",+All!J36,IF(+All!$H36="Colorado State",+All!J36,0))</f>
        <v>Michigan</v>
      </c>
      <c r="K32" s="461" t="str">
        <f>IF(+All!$F36="Colorado State",+All!K36,IF(+All!$H36="Colorado State",+All!K36,0))</f>
        <v>Colorado State</v>
      </c>
      <c r="L32" s="54">
        <f>IF(+All!$F36="Colorado State",+All!L36,IF(+All!$H36="Colorado State",+All!L36,0))</f>
        <v>30.5</v>
      </c>
      <c r="M32" s="55">
        <f>IF(+All!$F36="Colorado State",+All!M36,IF(+All!$H36="Colorado State",+All!M36,0))</f>
        <v>61.5</v>
      </c>
      <c r="N32" s="460" t="str">
        <f>IF(+All!$F36="Colorado State",+All!N36,IF(+All!$H36="Colorado State",+All!N36,0))</f>
        <v>Michigan</v>
      </c>
      <c r="O32" s="462">
        <f>IF(+All!$F36="Colorado State",+All!O36,IF(+All!$H36="Colorado State",+All!O36,0))</f>
        <v>51</v>
      </c>
      <c r="P32" s="462" t="str">
        <f>IF(+All!$F36="Colorado State",+All!P36,IF(+All!$H36="Colorado State",+All!P36,0))</f>
        <v>Colorado State</v>
      </c>
      <c r="Q32" s="461">
        <f>IF(+All!$F36="Colorado State",+All!Q36,IF(+All!$H36="Colorado State",+All!Q36,0))</f>
        <v>7</v>
      </c>
      <c r="R32" s="460" t="str">
        <f>IF(+All!$F36="Colorado State",+All!R36,IF(+All!$H36="Colorado State",+All!R36,0))</f>
        <v>Michigan</v>
      </c>
      <c r="S32" s="462" t="str">
        <f>IF(+All!$F36="Colorado State",+All!S36,IF(+All!$H36="Colorado State",+All!S36,0))</f>
        <v>Colorado State</v>
      </c>
      <c r="T32" s="460" t="str">
        <f>IF(+All!$F36="Colorado State",+All!T36,IF(+All!$H36="Colorado State",+All!T36,0))</f>
        <v>Colorado State</v>
      </c>
      <c r="U32" s="461" t="str">
        <f>IF(+All!$F36="Colorado State",+All!U36,IF(+All!$H36="Colorado State",+All!U36,0))</f>
        <v>L</v>
      </c>
    </row>
    <row r="33" spans="1:21" x14ac:dyDescent="0.8">
      <c r="A33" s="46">
        <f>IF(+All!$F152="Colorado State",+All!A152,IF(+All!$H152="Colorado State",+All!A152,0))</f>
        <v>2</v>
      </c>
      <c r="B33" s="348" t="str">
        <f>IF(+All!$F152="Colorado State",+All!B152,IF(+All!$H152="Colorado State",+All!B152,0))</f>
        <v>Sat</v>
      </c>
      <c r="C33" s="48">
        <f>IF(+All!$F152="Colorado State",+All!C152,IF(+All!$H152="Colorado State",+All!C152,0))</f>
        <v>44814</v>
      </c>
      <c r="D33" s="490">
        <f>IF(+All!$F152="Colorado State",+All!D152,IF(+All!$H152="Colorado State",+All!D152,0))</f>
        <v>0.66666666666666663</v>
      </c>
      <c r="E33" s="461">
        <f>IF(+All!$F152="Colorado State",+All!E152,IF(+All!$H152="Colorado State",+All!E152,0))</f>
        <v>0</v>
      </c>
      <c r="F33" s="51" t="str">
        <f>IF(+All!$F152="Colorado State",+All!F152,IF(+All!$H152="Colorado State",+All!F152,0))</f>
        <v>Middle Tenn St</v>
      </c>
      <c r="G33" s="52" t="str">
        <f>IF(+All!$F152="Colorado State",+All!G152,IF(+All!$H152="Colorado State",+All!G152,0))</f>
        <v>CUSA</v>
      </c>
      <c r="H33" s="51" t="str">
        <f>IF(+All!$F152="Colorado State",+All!H152,IF(+All!$H152="Colorado State",+All!H152,0))</f>
        <v>Colorado State</v>
      </c>
      <c r="I33" s="52" t="str">
        <f>IF(+All!$F152="Colorado State",+All!I152,IF(+All!$H152="Colorado State",+All!I152,0))</f>
        <v>MWC</v>
      </c>
      <c r="J33" s="460" t="str">
        <f>IF(+All!$F152="Colorado State",+All!J152,IF(+All!$H152="Colorado State",+All!J152,0))</f>
        <v>Colorado State</v>
      </c>
      <c r="K33" s="461" t="str">
        <f>IF(+All!$F152="Colorado State",+All!K152,IF(+All!$H152="Colorado State",+All!K152,0))</f>
        <v>Middle Tenn St</v>
      </c>
      <c r="L33" s="54">
        <f>IF(+All!$F152="Colorado State",+All!L152,IF(+All!$H152="Colorado State",+All!L152,0))</f>
        <v>9</v>
      </c>
      <c r="M33" s="55">
        <f>IF(+All!$F152="Colorado State",+All!M152,IF(+All!$H152="Colorado State",+All!M152,0))</f>
        <v>58.5</v>
      </c>
      <c r="N33" s="460" t="str">
        <f>IF(+All!$F152="Colorado State",+All!N152,IF(+All!$H152="Colorado State",+All!N152,0))</f>
        <v>Middle Tenn St</v>
      </c>
      <c r="O33" s="462">
        <f>IF(+All!$F152="Colorado State",+All!O152,IF(+All!$H152="Colorado State",+All!O152,0))</f>
        <v>34</v>
      </c>
      <c r="P33" s="462" t="str">
        <f>IF(+All!$F152="Colorado State",+All!P152,IF(+All!$H152="Colorado State",+All!P152,0))</f>
        <v>Colorado State</v>
      </c>
      <c r="Q33" s="461">
        <f>IF(+All!$F152="Colorado State",+All!Q152,IF(+All!$H152="Colorado State",+All!Q152,0))</f>
        <v>19</v>
      </c>
      <c r="R33" s="460" t="str">
        <f>IF(+All!$F152="Colorado State",+All!R152,IF(+All!$H152="Colorado State",+All!R152,0))</f>
        <v>Middle Tenn St</v>
      </c>
      <c r="S33" s="462" t="str">
        <f>IF(+All!$F152="Colorado State",+All!S152,IF(+All!$H152="Colorado State",+All!S152,0))</f>
        <v>Colorado State</v>
      </c>
      <c r="T33" s="460" t="str">
        <f>IF(+All!$F152="Colorado State",+All!T152,IF(+All!$H152="Colorado State",+All!T152,0))</f>
        <v>Middle Tenn St</v>
      </c>
      <c r="U33" s="461" t="str">
        <f>IF(+All!$F152="Colorado State",+All!U152,IF(+All!$H152="Colorado State",+All!U152,0))</f>
        <v>W</v>
      </c>
    </row>
    <row r="34" spans="1:21" x14ac:dyDescent="0.8">
      <c r="A34" s="46">
        <f>IF(+All!$F237="Colorado State",+All!A237,IF(+All!$H237="Colorado State",+All!A237,0))</f>
        <v>3</v>
      </c>
      <c r="B34" s="348" t="str">
        <f>IF(+All!$F237="Colorado State",+All!B237,IF(+All!$H237="Colorado State",+All!B237,0))</f>
        <v>Sat</v>
      </c>
      <c r="C34" s="48">
        <f>IF(+All!$F237="Colorado State",+All!C237,IF(+All!$H237="Colorado State",+All!C237,0))</f>
        <v>44821</v>
      </c>
      <c r="D34" s="490">
        <f>IF(+All!$F237="Colorado State",+All!D237,IF(+All!$H237="Colorado State",+All!D237,0))</f>
        <v>0.70833333333333337</v>
      </c>
      <c r="E34" s="461" t="str">
        <f>IF(+All!$F237="Colorado State",+All!E237,IF(+All!$H237="Colorado State",+All!E237,0))</f>
        <v>PAC12</v>
      </c>
      <c r="F34" s="51" t="str">
        <f>IF(+All!$F237="Colorado State",+All!F237,IF(+All!$H237="Colorado State",+All!F237,0))</f>
        <v>Colorado State</v>
      </c>
      <c r="G34" s="52" t="str">
        <f>IF(+All!$F237="Colorado State",+All!G237,IF(+All!$H237="Colorado State",+All!G237,0))</f>
        <v>MWC</v>
      </c>
      <c r="H34" s="51" t="str">
        <f>IF(+All!$F237="Colorado State",+All!H237,IF(+All!$H237="Colorado State",+All!H237,0))</f>
        <v>Washington State</v>
      </c>
      <c r="I34" s="52" t="str">
        <f>IF(+All!$F237="Colorado State",+All!I237,IF(+All!$H237="Colorado State",+All!I237,0))</f>
        <v>P12</v>
      </c>
      <c r="J34" s="460" t="str">
        <f>IF(+All!$F237="Colorado State",+All!J237,IF(+All!$H237="Colorado State",+All!J237,0))</f>
        <v>Washington State</v>
      </c>
      <c r="K34" s="461" t="str">
        <f>IF(+All!$F237="Colorado State",+All!K237,IF(+All!$H237="Colorado State",+All!K237,0))</f>
        <v>Colorado State</v>
      </c>
      <c r="L34" s="54">
        <f>IF(+All!$F237="Colorado State",+All!L237,IF(+All!$H237="Colorado State",+All!L237,0))</f>
        <v>17</v>
      </c>
      <c r="M34" s="55">
        <f>IF(+All!$F237="Colorado State",+All!M237,IF(+All!$H237="Colorado State",+All!M237,0))</f>
        <v>53</v>
      </c>
      <c r="N34" s="460" t="str">
        <f>IF(+All!$F237="Colorado State",+All!N237,IF(+All!$H237="Colorado State",+All!N237,0))</f>
        <v>Washington State</v>
      </c>
      <c r="O34" s="462">
        <f>IF(+All!$F237="Colorado State",+All!O237,IF(+All!$H237="Colorado State",+All!O237,0))</f>
        <v>38</v>
      </c>
      <c r="P34" s="462" t="str">
        <f>IF(+All!$F237="Colorado State",+All!P237,IF(+All!$H237="Colorado State",+All!P237,0))</f>
        <v>Colorado State</v>
      </c>
      <c r="Q34" s="461">
        <f>IF(+All!$F237="Colorado State",+All!Q237,IF(+All!$H237="Colorado State",+All!Q237,0))</f>
        <v>7</v>
      </c>
      <c r="R34" s="460" t="str">
        <f>IF(+All!$F237="Colorado State",+All!R237,IF(+All!$H237="Colorado State",+All!R237,0))</f>
        <v>Washington State</v>
      </c>
      <c r="S34" s="462" t="str">
        <f>IF(+All!$F237="Colorado State",+All!S237,IF(+All!$H237="Colorado State",+All!S237,0))</f>
        <v>Colorado State</v>
      </c>
      <c r="T34" s="460" t="str">
        <f>IF(+All!$F237="Colorado State",+All!T237,IF(+All!$H237="Colorado State",+All!T237,0))</f>
        <v>Washington State</v>
      </c>
      <c r="U34" s="461" t="str">
        <f>IF(+All!$F237="Colorado State",+All!U237,IF(+All!$H237="Colorado State",+All!U237,0))</f>
        <v>W</v>
      </c>
    </row>
    <row r="35" spans="1:21" x14ac:dyDescent="0.8">
      <c r="A35" s="46">
        <f>IF(+All!$F291="Colorado State",+All!A291,IF(+All!$H291="Colorado State",+All!A291,0))</f>
        <v>4</v>
      </c>
      <c r="B35" s="348" t="str">
        <f>IF(+All!$F291="Colorado State",+All!B291,IF(+All!$H291="Colorado State",+All!B291,0))</f>
        <v>Sat</v>
      </c>
      <c r="C35" s="48">
        <f>IF(+All!$F291="Colorado State",+All!C291,IF(+All!$H291="Colorado State",+All!C291,0))</f>
        <v>44828</v>
      </c>
      <c r="D35" s="490">
        <f>IF(+All!$F291="Colorado State",+All!D291,IF(+All!$H291="Colorado State",+All!D291,0))</f>
        <v>0.66666666666666663</v>
      </c>
      <c r="E35" s="461">
        <f>IF(+All!$F291="Colorado State",+All!E291,IF(+All!$H291="Colorado State",+All!E291,0))</f>
        <v>0</v>
      </c>
      <c r="F35" s="51" t="str">
        <f>IF(+All!$F291="Colorado State",+All!F291,IF(+All!$H291="Colorado State",+All!F291,0))</f>
        <v>1AA Sacremento State</v>
      </c>
      <c r="G35" s="52" t="str">
        <f>IF(+All!$F291="Colorado State",+All!G291,IF(+All!$H291="Colorado State",+All!G291,0))</f>
        <v>1AA</v>
      </c>
      <c r="H35" s="51" t="str">
        <f>IF(+All!$F291="Colorado State",+All!H291,IF(+All!$H291="Colorado State",+All!H291,0))</f>
        <v>Colorado State</v>
      </c>
      <c r="I35" s="52" t="str">
        <f>IF(+All!$F291="Colorado State",+All!I291,IF(+All!$H291="Colorado State",+All!I291,0))</f>
        <v>MWC</v>
      </c>
      <c r="J35" s="460">
        <f>IF(+All!$F291="Colorado State",+All!J291,IF(+All!$H291="Colorado State",+All!J291,0))</f>
        <v>0</v>
      </c>
      <c r="K35" s="461">
        <f>IF(+All!$F291="Colorado State",+All!K291,IF(+All!$H291="Colorado State",+All!K291,0))</f>
        <v>0</v>
      </c>
      <c r="L35" s="54">
        <f>IF(+All!$F291="Colorado State",+All!L291,IF(+All!$H291="Colorado State",+All!L291,0))</f>
        <v>0</v>
      </c>
      <c r="M35" s="55">
        <f>IF(+All!$F291="Colorado State",+All!M291,IF(+All!$H291="Colorado State",+All!M291,0))</f>
        <v>0</v>
      </c>
      <c r="N35" s="460" t="str">
        <f>IF(+All!$F291="Colorado State",+All!N291,IF(+All!$H291="Colorado State",+All!N291,0))</f>
        <v>1AA Sacremento State</v>
      </c>
      <c r="O35" s="462">
        <f>IF(+All!$F291="Colorado State",+All!O291,IF(+All!$H291="Colorado State",+All!O291,0))</f>
        <v>41</v>
      </c>
      <c r="P35" s="462" t="str">
        <f>IF(+All!$F291="Colorado State",+All!P291,IF(+All!$H291="Colorado State",+All!P291,0))</f>
        <v>Colorado State</v>
      </c>
      <c r="Q35" s="461">
        <f>IF(+All!$F291="Colorado State",+All!Q291,IF(+All!$H291="Colorado State",+All!Q291,0))</f>
        <v>10</v>
      </c>
      <c r="R35" s="460">
        <f>IF(+All!$F291="Colorado State",+All!R291,IF(+All!$H291="Colorado State",+All!R291,0))</f>
        <v>0</v>
      </c>
      <c r="S35" s="462">
        <f>IF(+All!$F291="Colorado State",+All!S291,IF(+All!$H291="Colorado State",+All!S291,0))</f>
        <v>0</v>
      </c>
      <c r="T35" s="460">
        <f>IF(+All!$F291="Colorado State",+All!T291,IF(+All!$H291="Colorado State",+All!T291,0))</f>
        <v>0</v>
      </c>
      <c r="U35" s="461">
        <f>IF(+All!$F291="Colorado State",+All!U291,IF(+All!$H291="Colorado State",+All!U291,0))</f>
        <v>0</v>
      </c>
    </row>
    <row r="36" spans="1:21" x14ac:dyDescent="0.8">
      <c r="A36" s="46" t="e">
        <f>IF(+All!#REF!="Colorado State",+All!#REF!,IF(+All!#REF!="Colorado State",+All!#REF!,0))</f>
        <v>#REF!</v>
      </c>
      <c r="B36" s="348" t="e">
        <f>IF(+All!#REF!="Colorado State",+All!#REF!,IF(+All!#REF!="Colorado State",+All!#REF!,0))</f>
        <v>#REF!</v>
      </c>
      <c r="C36" s="48" t="e">
        <f>IF(+All!#REF!="Colorado State",+All!#REF!,IF(+All!#REF!="Colorado State",+All!#REF!,0))</f>
        <v>#REF!</v>
      </c>
      <c r="D36" s="490" t="e">
        <f>IF(+All!#REF!="Colorado State",+All!#REF!,IF(+All!#REF!="Colorado State",+All!#REF!,0))</f>
        <v>#REF!</v>
      </c>
      <c r="E36" s="461" t="e">
        <f>IF(+All!#REF!="Colorado State",+All!#REF!,IF(+All!#REF!="Colorado State",+All!#REF!,0))</f>
        <v>#REF!</v>
      </c>
      <c r="F36" s="51" t="e">
        <f>IF(+All!#REF!="Colorado State",+All!#REF!,IF(+All!#REF!="Colorado State",+All!#REF!,0))</f>
        <v>#REF!</v>
      </c>
      <c r="G36" s="52" t="e">
        <f>IF(+All!#REF!="Colorado State",+All!#REF!,IF(+All!#REF!="Colorado State",+All!#REF!,0))</f>
        <v>#REF!</v>
      </c>
      <c r="H36" s="51" t="e">
        <f>IF(+All!#REF!="Colorado State",+All!#REF!,IF(+All!#REF!="Colorado State",+All!#REF!,0))</f>
        <v>#REF!</v>
      </c>
      <c r="I36" s="52" t="e">
        <f>IF(+All!#REF!="Colorado State",+All!#REF!,IF(+All!#REF!="Colorado State",+All!#REF!,0))</f>
        <v>#REF!</v>
      </c>
      <c r="J36" s="460" t="e">
        <f>IF(+All!#REF!="Colorado State",+All!#REF!,IF(+All!#REF!="Colorado State",+All!#REF!,0))</f>
        <v>#REF!</v>
      </c>
      <c r="K36" s="461" t="e">
        <f>IF(+All!#REF!="Colorado State",+All!#REF!,IF(+All!#REF!="Colorado State",+All!#REF!,0))</f>
        <v>#REF!</v>
      </c>
      <c r="L36" s="54" t="e">
        <f>IF(+All!#REF!="Colorado State",+All!#REF!,IF(+All!#REF!="Colorado State",+All!#REF!,0))</f>
        <v>#REF!</v>
      </c>
      <c r="M36" s="55" t="e">
        <f>IF(+All!#REF!="Colorado State",+All!#REF!,IF(+All!#REF!="Colorado State",+All!#REF!,0))</f>
        <v>#REF!</v>
      </c>
      <c r="N36" s="460" t="e">
        <f>IF(+All!#REF!="Colorado State",+All!#REF!,IF(+All!#REF!="Colorado State",+All!#REF!,0))</f>
        <v>#REF!</v>
      </c>
      <c r="O36" s="462" t="e">
        <f>IF(+All!#REF!="Colorado State",+All!#REF!,IF(+All!#REF!="Colorado State",+All!#REF!,0))</f>
        <v>#REF!</v>
      </c>
      <c r="P36" s="462" t="e">
        <f>IF(+All!#REF!="Colorado State",+All!#REF!,IF(+All!#REF!="Colorado State",+All!#REF!,0))</f>
        <v>#REF!</v>
      </c>
      <c r="Q36" s="461" t="e">
        <f>IF(+All!#REF!="Colorado State",+All!#REF!,IF(+All!#REF!="Colorado State",+All!#REF!,0))</f>
        <v>#REF!</v>
      </c>
      <c r="R36" s="460" t="e">
        <f>IF(+All!#REF!="Colorado State",+All!#REF!,IF(+All!#REF!="Colorado State",+All!#REF!,0))</f>
        <v>#REF!</v>
      </c>
      <c r="S36" s="462" t="e">
        <f>IF(+All!#REF!="Colorado State",+All!#REF!,IF(+All!#REF!="Colorado State",+All!#REF!,0))</f>
        <v>#REF!</v>
      </c>
      <c r="T36" s="460" t="e">
        <f>IF(+All!#REF!="Colorado State",+All!#REF!,IF(+All!#REF!="Colorado State",+All!#REF!,0))</f>
        <v>#REF!</v>
      </c>
      <c r="U36" s="461" t="e">
        <f>IF(+All!#REF!="Colorado State",+All!#REF!,IF(+All!#REF!="Colorado State",+All!#REF!,0))</f>
        <v>#REF!</v>
      </c>
    </row>
    <row r="37" spans="1:21" x14ac:dyDescent="0.8">
      <c r="A37" s="46">
        <f>IF(+All!$F384="Colorado State",+All!A384,IF(+All!$H384="Colorado State",+All!A384,0))</f>
        <v>6</v>
      </c>
      <c r="B37" s="348" t="str">
        <f>IF(+All!$F384="Colorado State",+All!B384,IF(+All!$H384="Colorado State",+All!B384,0))</f>
        <v>Fri</v>
      </c>
      <c r="C37" s="48">
        <f>IF(+All!$F384="Colorado State",+All!C384,IF(+All!$H384="Colorado State",+All!C384,0))</f>
        <v>45572</v>
      </c>
      <c r="D37" s="490">
        <f>IF(+All!$F384="Colorado State",+All!D384,IF(+All!$H384="Colorado State",+All!D384,0))</f>
        <v>0.9375</v>
      </c>
      <c r="E37" s="461" t="str">
        <f>IF(+All!$F384="Colorado State",+All!E384,IF(+All!$H384="Colorado State",+All!E384,0))</f>
        <v>FS1</v>
      </c>
      <c r="F37" s="51" t="str">
        <f>IF(+All!$F384="Colorado State",+All!F384,IF(+All!$H384="Colorado State",+All!F384,0))</f>
        <v>Colorado State</v>
      </c>
      <c r="G37" s="52" t="str">
        <f>IF(+All!$F384="Colorado State",+All!G384,IF(+All!$H384="Colorado State",+All!G384,0))</f>
        <v>MWC</v>
      </c>
      <c r="H37" s="51" t="str">
        <f>IF(+All!$F384="Colorado State",+All!H384,IF(+All!$H384="Colorado State",+All!H384,0))</f>
        <v>Nevada</v>
      </c>
      <c r="I37" s="52" t="str">
        <f>IF(+All!$F384="Colorado State",+All!I384,IF(+All!$H384="Colorado State",+All!I384,0))</f>
        <v>MWC</v>
      </c>
      <c r="J37" s="460" t="str">
        <f>IF(+All!$F384="Colorado State",+All!J384,IF(+All!$H384="Colorado State",+All!J384,0))</f>
        <v>Nevada</v>
      </c>
      <c r="K37" s="461" t="str">
        <f>IF(+All!$F384="Colorado State",+All!K384,IF(+All!$H384="Colorado State",+All!K384,0))</f>
        <v>Colorado State</v>
      </c>
      <c r="L37" s="54">
        <f>IF(+All!$F384="Colorado State",+All!L384,IF(+All!$H384="Colorado State",+All!L384,0))</f>
        <v>3.5</v>
      </c>
      <c r="M37" s="55">
        <f>IF(+All!$F384="Colorado State",+All!M384,IF(+All!$H384="Colorado State",+All!M384,0))</f>
        <v>44</v>
      </c>
      <c r="N37" s="460" t="str">
        <f>IF(+All!$F384="Colorado State",+All!N384,IF(+All!$H384="Colorado State",+All!N384,0))</f>
        <v>Colorado State</v>
      </c>
      <c r="O37" s="462">
        <f>IF(+All!$F384="Colorado State",+All!O384,IF(+All!$H384="Colorado State",+All!O384,0))</f>
        <v>17</v>
      </c>
      <c r="P37" s="462" t="str">
        <f>IF(+All!$F384="Colorado State",+All!P384,IF(+All!$H384="Colorado State",+All!P384,0))</f>
        <v>Nevada</v>
      </c>
      <c r="Q37" s="461">
        <f>IF(+All!$F384="Colorado State",+All!Q384,IF(+All!$H384="Colorado State",+All!Q384,0))</f>
        <v>14</v>
      </c>
      <c r="R37" s="460" t="str">
        <f>IF(+All!$F384="Colorado State",+All!R384,IF(+All!$H384="Colorado State",+All!R384,0))</f>
        <v>Colorado State</v>
      </c>
      <c r="S37" s="462" t="str">
        <f>IF(+All!$F384="Colorado State",+All!S384,IF(+All!$H384="Colorado State",+All!S384,0))</f>
        <v>Nevada</v>
      </c>
      <c r="T37" s="460" t="str">
        <f>IF(+All!$F384="Colorado State",+All!T384,IF(+All!$H384="Colorado State",+All!T384,0))</f>
        <v>Nevada</v>
      </c>
      <c r="U37" s="461" t="str">
        <f>IF(+All!$F384="Colorado State",+All!U384,IF(+All!$H384="Colorado State",+All!U384,0))</f>
        <v>L</v>
      </c>
    </row>
    <row r="38" spans="1:21" x14ac:dyDescent="0.8">
      <c r="A38" s="46">
        <f>IF(+All!$F473="Colorado State",+All!A473,IF(+All!$H473="Colorado State",+All!A473,0))</f>
        <v>7</v>
      </c>
      <c r="B38" s="348" t="str">
        <f>IF(+All!$F473="Colorado State",+All!B473,IF(+All!$H473="Colorado State",+All!B473,0))</f>
        <v>Sat</v>
      </c>
      <c r="C38" s="48">
        <f>IF(+All!$F473="Colorado State",+All!C473,IF(+All!$H473="Colorado State",+All!C473,0))</f>
        <v>44849</v>
      </c>
      <c r="D38" s="490">
        <f>IF(+All!$F473="Colorado State",+All!D473,IF(+All!$H473="Colorado State",+All!D473,0))</f>
        <v>0.79166666666666663</v>
      </c>
      <c r="E38" s="461" t="str">
        <f>IF(+All!$F473="Colorado State",+All!E473,IF(+All!$H473="Colorado State",+All!E473,0))</f>
        <v>CBSSN</v>
      </c>
      <c r="F38" s="51" t="str">
        <f>IF(+All!$F473="Colorado State",+All!F473,IF(+All!$H473="Colorado State",+All!F473,0))</f>
        <v>Utah State</v>
      </c>
      <c r="G38" s="52" t="str">
        <f>IF(+All!$F473="Colorado State",+All!G473,IF(+All!$H473="Colorado State",+All!G473,0))</f>
        <v>MWC</v>
      </c>
      <c r="H38" s="51" t="str">
        <f>IF(+All!$F473="Colorado State",+All!H473,IF(+All!$H473="Colorado State",+All!H473,0))</f>
        <v>Colorado State</v>
      </c>
      <c r="I38" s="52" t="str">
        <f>IF(+All!$F473="Colorado State",+All!I473,IF(+All!$H473="Colorado State",+All!I473,0))</f>
        <v>MWC</v>
      </c>
      <c r="J38" s="460" t="str">
        <f>IF(+All!$F473="Colorado State",+All!J473,IF(+All!$H473="Colorado State",+All!J473,0))</f>
        <v>Utah State</v>
      </c>
      <c r="K38" s="461" t="str">
        <f>IF(+All!$F473="Colorado State",+All!K473,IF(+All!$H473="Colorado State",+All!K473,0))</f>
        <v>Colorado State</v>
      </c>
      <c r="L38" s="54">
        <f>IF(+All!$F473="Colorado State",+All!L473,IF(+All!$H473="Colorado State",+All!L473,0))</f>
        <v>11</v>
      </c>
      <c r="M38" s="55">
        <f>IF(+All!$F473="Colorado State",+All!M473,IF(+All!$H473="Colorado State",+All!M473,0))</f>
        <v>46</v>
      </c>
      <c r="N38" s="460" t="str">
        <f>IF(+All!$F473="Colorado State",+All!N473,IF(+All!$H473="Colorado State",+All!N473,0))</f>
        <v>Utah State</v>
      </c>
      <c r="O38" s="462">
        <f>IF(+All!$F473="Colorado State",+All!O473,IF(+All!$H473="Colorado State",+All!O473,0))</f>
        <v>17</v>
      </c>
      <c r="P38" s="462" t="str">
        <f>IF(+All!$F473="Colorado State",+All!P473,IF(+All!$H473="Colorado State",+All!P473,0))</f>
        <v>Colorado State</v>
      </c>
      <c r="Q38" s="461">
        <f>IF(+All!$F473="Colorado State",+All!Q473,IF(+All!$H473="Colorado State",+All!Q473,0))</f>
        <v>13</v>
      </c>
      <c r="R38" s="460" t="str">
        <f>IF(+All!$F473="Colorado State",+All!R473,IF(+All!$H473="Colorado State",+All!R473,0))</f>
        <v>Colorado State</v>
      </c>
      <c r="S38" s="462" t="str">
        <f>IF(+All!$F473="Colorado State",+All!S473,IF(+All!$H473="Colorado State",+All!S473,0))</f>
        <v>Utah State</v>
      </c>
      <c r="T38" s="460" t="str">
        <f>IF(+All!$F473="Colorado State",+All!T473,IF(+All!$H473="Colorado State",+All!T473,0))</f>
        <v>Utah State</v>
      </c>
      <c r="U38" s="461" t="str">
        <f>IF(+All!$F473="Colorado State",+All!U473,IF(+All!$H473="Colorado State",+All!U473,0))</f>
        <v>L</v>
      </c>
    </row>
    <row r="39" spans="1:21" x14ac:dyDescent="0.8">
      <c r="A39" s="46">
        <f>IF(+All!$F528="Colorado State",+All!A528,IF(+All!$H528="Colorado State",+All!A528,0))</f>
        <v>8</v>
      </c>
      <c r="B39" s="348" t="str">
        <f>IF(+All!$F528="Colorado State",+All!B528,IF(+All!$H528="Colorado State",+All!B528,0))</f>
        <v>Sat</v>
      </c>
      <c r="C39" s="48">
        <f>IF(+All!$F528="Colorado State",+All!C528,IF(+All!$H528="Colorado State",+All!C528,0))</f>
        <v>44856</v>
      </c>
      <c r="D39" s="490">
        <f>IF(+All!$F528="Colorado State",+All!D528,IF(+All!$H528="Colorado State",+All!D528,0))</f>
        <v>0.66666666666666663</v>
      </c>
      <c r="E39" s="461">
        <f>IF(+All!$F528="Colorado State",+All!E528,IF(+All!$H528="Colorado State",+All!E528,0))</f>
        <v>0</v>
      </c>
      <c r="F39" s="51" t="str">
        <f>IF(+All!$F528="Colorado State",+All!F528,IF(+All!$H528="Colorado State",+All!F528,0))</f>
        <v>Hawaii</v>
      </c>
      <c r="G39" s="52" t="str">
        <f>IF(+All!$F528="Colorado State",+All!G528,IF(+All!$H528="Colorado State",+All!G528,0))</f>
        <v>MWC</v>
      </c>
      <c r="H39" s="51" t="str">
        <f>IF(+All!$F528="Colorado State",+All!H528,IF(+All!$H528="Colorado State",+All!H528,0))</f>
        <v>Colorado State</v>
      </c>
      <c r="I39" s="52" t="str">
        <f>IF(+All!$F528="Colorado State",+All!I528,IF(+All!$H528="Colorado State",+All!I528,0))</f>
        <v>MWC</v>
      </c>
      <c r="J39" s="460" t="str">
        <f>IF(+All!$F528="Colorado State",+All!J528,IF(+All!$H528="Colorado State",+All!J528,0))</f>
        <v>Colorado State</v>
      </c>
      <c r="K39" s="461" t="str">
        <f>IF(+All!$F528="Colorado State",+All!K528,IF(+All!$H528="Colorado State",+All!K528,0))</f>
        <v>Hawaii</v>
      </c>
      <c r="L39" s="54">
        <f>IF(+All!$F528="Colorado State",+All!L528,IF(+All!$H528="Colorado State",+All!L528,0))</f>
        <v>5</v>
      </c>
      <c r="M39" s="55">
        <f>IF(+All!$F528="Colorado State",+All!M528,IF(+All!$H528="Colorado State",+All!M528,0))</f>
        <v>46.5</v>
      </c>
      <c r="N39" s="460" t="str">
        <f>IF(+All!$F528="Colorado State",+All!N528,IF(+All!$H528="Colorado State",+All!N528,0))</f>
        <v>Colorado State</v>
      </c>
      <c r="O39" s="462">
        <f>IF(+All!$F528="Colorado State",+All!O528,IF(+All!$H528="Colorado State",+All!O528,0))</f>
        <v>17</v>
      </c>
      <c r="P39" s="462" t="str">
        <f>IF(+All!$F528="Colorado State",+All!P528,IF(+All!$H528="Colorado State",+All!P528,0))</f>
        <v>Hawaii</v>
      </c>
      <c r="Q39" s="461">
        <f>IF(+All!$F528="Colorado State",+All!Q528,IF(+All!$H528="Colorado State",+All!Q528,0))</f>
        <v>13</v>
      </c>
      <c r="R39" s="460" t="str">
        <f>IF(+All!$F528="Colorado State",+All!R528,IF(+All!$H528="Colorado State",+All!R528,0))</f>
        <v>Hawaii</v>
      </c>
      <c r="S39" s="462" t="str">
        <f>IF(+All!$F528="Colorado State",+All!S528,IF(+All!$H528="Colorado State",+All!S528,0))</f>
        <v>Colorado State</v>
      </c>
      <c r="T39" s="460" t="str">
        <f>IF(+All!$F528="Colorado State",+All!T528,IF(+All!$H528="Colorado State",+All!T528,0))</f>
        <v>Hawaii</v>
      </c>
      <c r="U39" s="461" t="str">
        <f>IF(+All!$F528="Colorado State",+All!U528,IF(+All!$H528="Colorado State",+All!U528,0))</f>
        <v>W</v>
      </c>
    </row>
    <row r="40" spans="1:21" x14ac:dyDescent="0.8">
      <c r="A40" s="46">
        <f>IF(+All!$F576="Colorado State",+All!A576,IF(+All!$H576="Colorado State",+All!A576,0))</f>
        <v>9</v>
      </c>
      <c r="B40" s="348" t="str">
        <f>IF(+All!$F576="Colorado State",+All!B576,IF(+All!$H576="Colorado State",+All!B576,0))</f>
        <v>Sat</v>
      </c>
      <c r="C40" s="48">
        <f>IF(+All!$F576="Colorado State",+All!C576,IF(+All!$H576="Colorado State",+All!C576,0))</f>
        <v>44863</v>
      </c>
      <c r="D40" s="490">
        <f>IF(+All!$F576="Colorado State",+All!D576,IF(+All!$H576="Colorado State",+All!D576,0))</f>
        <v>0.79166666666666663</v>
      </c>
      <c r="E40" s="461" t="str">
        <f>IF(+All!$F576="Colorado State",+All!E576,IF(+All!$H576="Colorado State",+All!E576,0))</f>
        <v>FS1</v>
      </c>
      <c r="F40" s="51" t="str">
        <f>IF(+All!$F576="Colorado State",+All!F576,IF(+All!$H576="Colorado State",+All!F576,0))</f>
        <v>Colorado State</v>
      </c>
      <c r="G40" s="52" t="str">
        <f>IF(+All!$F576="Colorado State",+All!G576,IF(+All!$H576="Colorado State",+All!G576,0))</f>
        <v>MWC</v>
      </c>
      <c r="H40" s="51" t="str">
        <f>IF(+All!$F576="Colorado State",+All!H576,IF(+All!$H576="Colorado State",+All!H576,0))</f>
        <v>Boise State</v>
      </c>
      <c r="I40" s="52" t="str">
        <f>IF(+All!$F576="Colorado State",+All!I576,IF(+All!$H576="Colorado State",+All!I576,0))</f>
        <v>MWC</v>
      </c>
      <c r="J40" s="460" t="str">
        <f>IF(+All!$F576="Colorado State",+All!J576,IF(+All!$H576="Colorado State",+All!J576,0))</f>
        <v>Boise State</v>
      </c>
      <c r="K40" s="461" t="str">
        <f>IF(+All!$F576="Colorado State",+All!K576,IF(+All!$H576="Colorado State",+All!K576,0))</f>
        <v>Colorado State</v>
      </c>
      <c r="L40" s="54">
        <f>IF(+All!$F576="Colorado State",+All!L576,IF(+All!$H576="Colorado State",+All!L576,0))</f>
        <v>27.5</v>
      </c>
      <c r="M40" s="55">
        <f>IF(+All!$F576="Colorado State",+All!M576,IF(+All!$H576="Colorado State",+All!M576,0))</f>
        <v>43</v>
      </c>
      <c r="N40" s="460" t="str">
        <f>IF(+All!$F576="Colorado State",+All!N576,IF(+All!$H576="Colorado State",+All!N576,0))</f>
        <v>Boise State</v>
      </c>
      <c r="O40" s="462">
        <f>IF(+All!$F576="Colorado State",+All!O576,IF(+All!$H576="Colorado State",+All!O576,0))</f>
        <v>49</v>
      </c>
      <c r="P40" s="462" t="str">
        <f>IF(+All!$F576="Colorado State",+All!P576,IF(+All!$H576="Colorado State",+All!P576,0))</f>
        <v>Colorado State</v>
      </c>
      <c r="Q40" s="461">
        <f>IF(+All!$F576="Colorado State",+All!Q576,IF(+All!$H576="Colorado State",+All!Q576,0))</f>
        <v>10</v>
      </c>
      <c r="R40" s="460" t="str">
        <f>IF(+All!$F576="Colorado State",+All!R576,IF(+All!$H576="Colorado State",+All!R576,0))</f>
        <v>Boise State</v>
      </c>
      <c r="S40" s="462" t="str">
        <f>IF(+All!$F576="Colorado State",+All!S576,IF(+All!$H576="Colorado State",+All!S576,0))</f>
        <v>Colorado State</v>
      </c>
      <c r="T40" s="460" t="str">
        <f>IF(+All!$F576="Colorado State",+All!T576,IF(+All!$H576="Colorado State",+All!T576,0))</f>
        <v>Boise State</v>
      </c>
      <c r="U40" s="461" t="str">
        <f>IF(+All!$F576="Colorado State",+All!U576,IF(+All!$H576="Colorado State",+All!U576,0))</f>
        <v>W</v>
      </c>
    </row>
    <row r="41" spans="1:21" x14ac:dyDescent="0.8">
      <c r="A41" s="46">
        <f>IF(+All!$F634="Colorado State",+All!A634,IF(+All!$H634="Colorado State",+All!A634,0))</f>
        <v>10</v>
      </c>
      <c r="B41" s="348" t="str">
        <f>IF(+All!$F634="Colorado State",+All!B634,IF(+All!$H634="Colorado State",+All!B634,0))</f>
        <v>Sat</v>
      </c>
      <c r="C41" s="48">
        <f>IF(+All!$F634="Colorado State",+All!C634,IF(+All!$H634="Colorado State",+All!C634,0))</f>
        <v>44870</v>
      </c>
      <c r="D41" s="490">
        <f>IF(+All!$F634="Colorado State",+All!D634,IF(+All!$H634="Colorado State",+All!D634,0))</f>
        <v>0.9375</v>
      </c>
      <c r="E41" s="461">
        <f>IF(+All!$F634="Colorado State",+All!E634,IF(+All!$H634="Colorado State",+All!E634,0))</f>
        <v>0</v>
      </c>
      <c r="F41" s="51" t="str">
        <f>IF(+All!$F634="Colorado State",+All!F634,IF(+All!$H634="Colorado State",+All!F634,0))</f>
        <v>Colorado State</v>
      </c>
      <c r="G41" s="52" t="str">
        <f>IF(+All!$F634="Colorado State",+All!G634,IF(+All!$H634="Colorado State",+All!G634,0))</f>
        <v>MWC</v>
      </c>
      <c r="H41" s="51" t="str">
        <f>IF(+All!$F634="Colorado State",+All!H634,IF(+All!$H634="Colorado State",+All!H634,0))</f>
        <v>San Jose State</v>
      </c>
      <c r="I41" s="52" t="str">
        <f>IF(+All!$F634="Colorado State",+All!I634,IF(+All!$H634="Colorado State",+All!I634,0))</f>
        <v>MWC</v>
      </c>
      <c r="J41" s="460" t="str">
        <f>IF(+All!$F634="Colorado State",+All!J634,IF(+All!$H634="Colorado State",+All!J634,0))</f>
        <v>San Jose State</v>
      </c>
      <c r="K41" s="461" t="str">
        <f>IF(+All!$F634="Colorado State",+All!K634,IF(+All!$H634="Colorado State",+All!K634,0))</f>
        <v>Colorado State</v>
      </c>
      <c r="L41" s="54">
        <f>IF(+All!$F634="Colorado State",+All!L634,IF(+All!$H634="Colorado State",+All!L634,0))</f>
        <v>24</v>
      </c>
      <c r="M41" s="55">
        <f>IF(+All!$F634="Colorado State",+All!M634,IF(+All!$H634="Colorado State",+All!M634,0))</f>
        <v>45</v>
      </c>
      <c r="N41" s="460" t="str">
        <f>IF(+All!$F634="Colorado State",+All!N634,IF(+All!$H634="Colorado State",+All!N634,0))</f>
        <v>San Jose State</v>
      </c>
      <c r="O41" s="462">
        <f>IF(+All!$F634="Colorado State",+All!O634,IF(+All!$H634="Colorado State",+All!O634,0))</f>
        <v>28</v>
      </c>
      <c r="P41" s="462" t="str">
        <f>IF(+All!$F634="Colorado State",+All!P634,IF(+All!$H634="Colorado State",+All!P634,0))</f>
        <v>Colorado State</v>
      </c>
      <c r="Q41" s="461">
        <f>IF(+All!$F634="Colorado State",+All!Q634,IF(+All!$H634="Colorado State",+All!Q634,0))</f>
        <v>16</v>
      </c>
      <c r="R41" s="460" t="str">
        <f>IF(+All!$F634="Colorado State",+All!R634,IF(+All!$H634="Colorado State",+All!R634,0))</f>
        <v>Colorado State</v>
      </c>
      <c r="S41" s="462" t="str">
        <f>IF(+All!$F634="Colorado State",+All!S634,IF(+All!$H634="Colorado State",+All!S634,0))</f>
        <v>San Jose State</v>
      </c>
      <c r="T41" s="460" t="str">
        <f>IF(+All!$F634="Colorado State",+All!T634,IF(+All!$H634="Colorado State",+All!T634,0))</f>
        <v>San Jose State</v>
      </c>
      <c r="U41" s="461" t="str">
        <f>IF(+All!$F634="Colorado State",+All!U634,IF(+All!$H634="Colorado State",+All!U634,0))</f>
        <v>L</v>
      </c>
    </row>
    <row r="42" spans="1:21" x14ac:dyDescent="0.8">
      <c r="A42" s="46">
        <f>IF(+All!$F695="Colorado State",+All!A695,IF(+All!$H695="Colorado State",+All!A695,0))</f>
        <v>11</v>
      </c>
      <c r="B42" s="348" t="str">
        <f>IF(+All!$F695="Colorado State",+All!B695,IF(+All!$H695="Colorado State",+All!B695,0))</f>
        <v>Sat</v>
      </c>
      <c r="C42" s="48">
        <f>IF(+All!$F695="Colorado State",+All!C695,IF(+All!$H695="Colorado State",+All!C695,0))</f>
        <v>44877</v>
      </c>
      <c r="D42" s="490">
        <f>IF(+All!$F695="Colorado State",+All!D695,IF(+All!$H695="Colorado State",+All!D695,0))</f>
        <v>0.79166666666666663</v>
      </c>
      <c r="E42" s="461" t="str">
        <f>IF(+All!$F695="Colorado State",+All!E695,IF(+All!$H695="Colorado State",+All!E695,0))</f>
        <v>CBSSN</v>
      </c>
      <c r="F42" s="51" t="str">
        <f>IF(+All!$F695="Colorado State",+All!F695,IF(+All!$H695="Colorado State",+All!F695,0))</f>
        <v>Wyoming</v>
      </c>
      <c r="G42" s="52" t="str">
        <f>IF(+All!$F695="Colorado State",+All!G695,IF(+All!$H695="Colorado State",+All!G695,0))</f>
        <v>MWC</v>
      </c>
      <c r="H42" s="51" t="str">
        <f>IF(+All!$F695="Colorado State",+All!H695,IF(+All!$H695="Colorado State",+All!H695,0))</f>
        <v>Colorado State</v>
      </c>
      <c r="I42" s="52" t="str">
        <f>IF(+All!$F695="Colorado State",+All!I695,IF(+All!$H695="Colorado State",+All!I695,0))</f>
        <v>MWC</v>
      </c>
      <c r="J42" s="460" t="str">
        <f>IF(+All!$F695="Colorado State",+All!J695,IF(+All!$H695="Colorado State",+All!J695,0))</f>
        <v>Wyoming</v>
      </c>
      <c r="K42" s="461" t="str">
        <f>IF(+All!$F695="Colorado State",+All!K695,IF(+All!$H695="Colorado State",+All!K695,0))</f>
        <v>Colorado State</v>
      </c>
      <c r="L42" s="54">
        <f>IF(+All!$F695="Colorado State",+All!L695,IF(+All!$H695="Colorado State",+All!L695,0))</f>
        <v>8.5</v>
      </c>
      <c r="M42" s="55">
        <f>IF(+All!$F695="Colorado State",+All!M695,IF(+All!$H695="Colorado State",+All!M695,0))</f>
        <v>42</v>
      </c>
      <c r="N42" s="460" t="str">
        <f>IF(+All!$F695="Colorado State",+All!N695,IF(+All!$H695="Colorado State",+All!N695,0))</f>
        <v>Wyoming</v>
      </c>
      <c r="O42" s="462">
        <f>IF(+All!$F695="Colorado State",+All!O695,IF(+All!$H695="Colorado State",+All!O695,0))</f>
        <v>14</v>
      </c>
      <c r="P42" s="462" t="str">
        <f>IF(+All!$F695="Colorado State",+All!P695,IF(+All!$H695="Colorado State",+All!P695,0))</f>
        <v>Colorado State</v>
      </c>
      <c r="Q42" s="461">
        <f>IF(+All!$F695="Colorado State",+All!Q695,IF(+All!$H695="Colorado State",+All!Q695,0))</f>
        <v>13</v>
      </c>
      <c r="R42" s="460" t="str">
        <f>IF(+All!$F695="Colorado State",+All!R695,IF(+All!$H695="Colorado State",+All!R695,0))</f>
        <v>Colorado State</v>
      </c>
      <c r="S42" s="462" t="str">
        <f>IF(+All!$F695="Colorado State",+All!S695,IF(+All!$H695="Colorado State",+All!S695,0))</f>
        <v>Wyoming</v>
      </c>
      <c r="T42" s="460" t="str">
        <f>IF(+All!$F695="Colorado State",+All!T695,IF(+All!$H695="Colorado State",+All!T695,0))</f>
        <v>Wyoming</v>
      </c>
      <c r="U42" s="461" t="str">
        <f>IF(+All!$F695="Colorado State",+All!U695,IF(+All!$H695="Colorado State",+All!U695,0))</f>
        <v>L</v>
      </c>
    </row>
    <row r="43" spans="1:21" x14ac:dyDescent="0.8">
      <c r="A43" s="46">
        <f>IF(+All!$F758="Colorado State",+All!A758,IF(+All!$H758="Colorado State",+All!A758,0))</f>
        <v>12</v>
      </c>
      <c r="B43" s="348" t="str">
        <f>IF(+All!$F758="Colorado State",+All!B758,IF(+All!$H758="Colorado State",+All!B758,0))</f>
        <v>Sat</v>
      </c>
      <c r="C43" s="48">
        <f>IF(+All!$F758="Colorado State",+All!C758,IF(+All!$H758="Colorado State",+All!C758,0))</f>
        <v>44884</v>
      </c>
      <c r="D43" s="490">
        <f>IF(+All!$F758="Colorado State",+All!D758,IF(+All!$H758="Colorado State",+All!D758,0))</f>
        <v>0.875</v>
      </c>
      <c r="E43" s="461" t="str">
        <f>IF(+All!$F758="Colorado State",+All!E758,IF(+All!$H758="Colorado State",+All!E758,0))</f>
        <v>FS2</v>
      </c>
      <c r="F43" s="51" t="str">
        <f>IF(+All!$F758="Colorado State",+All!F758,IF(+All!$H758="Colorado State",+All!F758,0))</f>
        <v>Colorado State</v>
      </c>
      <c r="G43" s="52" t="str">
        <f>IF(+All!$F758="Colorado State",+All!G758,IF(+All!$H758="Colorado State",+All!G758,0))</f>
        <v>MWC</v>
      </c>
      <c r="H43" s="51" t="str">
        <f>IF(+All!$F758="Colorado State",+All!H758,IF(+All!$H758="Colorado State",+All!H758,0))</f>
        <v>Air Force</v>
      </c>
      <c r="I43" s="52" t="str">
        <f>IF(+All!$F758="Colorado State",+All!I758,IF(+All!$H758="Colorado State",+All!I758,0))</f>
        <v>MWC</v>
      </c>
      <c r="J43" s="460" t="str">
        <f>IF(+All!$F758="Colorado State",+All!J758,IF(+All!$H758="Colorado State",+All!J758,0))</f>
        <v>Air Force</v>
      </c>
      <c r="K43" s="461" t="str">
        <f>IF(+All!$F758="Colorado State",+All!K758,IF(+All!$H758="Colorado State",+All!K758,0))</f>
        <v>Colorado State</v>
      </c>
      <c r="L43" s="54">
        <f>IF(+All!$F758="Colorado State",+All!L758,IF(+All!$H758="Colorado State",+All!L758,0))</f>
        <v>21.5</v>
      </c>
      <c r="M43" s="55">
        <f>IF(+All!$F758="Colorado State",+All!M758,IF(+All!$H758="Colorado State",+All!M758,0))</f>
        <v>44</v>
      </c>
      <c r="N43" s="460" t="str">
        <f>IF(+All!$F758="Colorado State",+All!N758,IF(+All!$H758="Colorado State",+All!N758,0))</f>
        <v>Air Force</v>
      </c>
      <c r="O43" s="462">
        <f>IF(+All!$F758="Colorado State",+All!O758,IF(+All!$H758="Colorado State",+All!O758,0))</f>
        <v>24</v>
      </c>
      <c r="P43" s="462" t="str">
        <f>IF(+All!$F758="Colorado State",+All!P758,IF(+All!$H758="Colorado State",+All!P758,0))</f>
        <v>Colorado State</v>
      </c>
      <c r="Q43" s="461">
        <f>IF(+All!$F758="Colorado State",+All!Q758,IF(+All!$H758="Colorado State",+All!Q758,0))</f>
        <v>12</v>
      </c>
      <c r="R43" s="460" t="str">
        <f>IF(+All!$F758="Colorado State",+All!R758,IF(+All!$H758="Colorado State",+All!R758,0))</f>
        <v>Colorado State</v>
      </c>
      <c r="S43" s="462" t="str">
        <f>IF(+All!$F758="Colorado State",+All!S758,IF(+All!$H758="Colorado State",+All!S758,0))</f>
        <v>Air Force</v>
      </c>
      <c r="T43" s="460" t="str">
        <f>IF(+All!$F758="Colorado State",+All!T758,IF(+All!$H758="Colorado State",+All!T758,0))</f>
        <v>Colorado State</v>
      </c>
      <c r="U43" s="461" t="str">
        <f>IF(+All!$F758="Colorado State",+All!U758,IF(+All!$H758="Colorado State",+All!U758,0))</f>
        <v>W</v>
      </c>
    </row>
    <row r="44" spans="1:21" x14ac:dyDescent="0.8">
      <c r="A44" s="46">
        <f>IF(+All!$F794="Colorado State",+All!A794,IF(+All!$H794="Colorado State",+All!A794,0))</f>
        <v>13</v>
      </c>
      <c r="B44" s="348" t="str">
        <f>IF(+All!$F794="Colorado State",+All!B794,IF(+All!$H794="Colorado State",+All!B794,0))</f>
        <v>Fri</v>
      </c>
      <c r="C44" s="48">
        <f>IF(+All!$F794="Colorado State",+All!C794,IF(+All!$H794="Colorado State",+All!C794,0))</f>
        <v>44890</v>
      </c>
      <c r="D44" s="490">
        <f>IF(+All!$F794="Colorado State",+All!D794,IF(+All!$H794="Colorado State",+All!D794,0))</f>
        <v>0.64583333333333337</v>
      </c>
      <c r="E44" s="461" t="str">
        <f>IF(+All!$F794="Colorado State",+All!E794,IF(+All!$H794="Colorado State",+All!E794,0))</f>
        <v>CBS</v>
      </c>
      <c r="F44" s="51" t="str">
        <f>IF(+All!$F794="Colorado State",+All!F794,IF(+All!$H794="Colorado State",+All!F794,0))</f>
        <v>New Mexico</v>
      </c>
      <c r="G44" s="52" t="str">
        <f>IF(+All!$F794="Colorado State",+All!G794,IF(+All!$H794="Colorado State",+All!G794,0))</f>
        <v>MWC</v>
      </c>
      <c r="H44" s="51" t="str">
        <f>IF(+All!$F794="Colorado State",+All!H794,IF(+All!$H794="Colorado State",+All!H794,0))</f>
        <v>Colorado State</v>
      </c>
      <c r="I44" s="52" t="str">
        <f>IF(+All!$F794="Colorado State",+All!I794,IF(+All!$H794="Colorado State",+All!I794,0))</f>
        <v>MWC</v>
      </c>
      <c r="J44" s="460" t="str">
        <f>IF(+All!$F794="Colorado State",+All!J794,IF(+All!$H794="Colorado State",+All!J794,0))</f>
        <v>Colorado State</v>
      </c>
      <c r="K44" s="461" t="str">
        <f>IF(+All!$F794="Colorado State",+All!K794,IF(+All!$H794="Colorado State",+All!K794,0))</f>
        <v>New Mexico</v>
      </c>
      <c r="L44" s="54">
        <f>IF(+All!$F794="Colorado State",+All!L794,IF(+All!$H794="Colorado State",+All!L794,0))</f>
        <v>7</v>
      </c>
      <c r="M44" s="55">
        <f>IF(+All!$F794="Colorado State",+All!M794,IF(+All!$H794="Colorado State",+All!M794,0))</f>
        <v>36</v>
      </c>
      <c r="N44" s="460" t="str">
        <f>IF(+All!$F794="Colorado State",+All!N794,IF(+All!$H794="Colorado State",+All!N794,0))</f>
        <v>Colorado State</v>
      </c>
      <c r="O44" s="462">
        <f>IF(+All!$F794="Colorado State",+All!O794,IF(+All!$H794="Colorado State",+All!O794,0))</f>
        <v>17</v>
      </c>
      <c r="P44" s="462" t="str">
        <f>IF(+All!$F794="Colorado State",+All!P794,IF(+All!$H794="Colorado State",+All!P794,0))</f>
        <v>New Mexico</v>
      </c>
      <c r="Q44" s="461">
        <f>IF(+All!$F794="Colorado State",+All!Q794,IF(+All!$H794="Colorado State",+All!Q794,0))</f>
        <v>0</v>
      </c>
      <c r="R44" s="460" t="str">
        <f>IF(+All!$F794="Colorado State",+All!R794,IF(+All!$H794="Colorado State",+All!R794,0))</f>
        <v>Colorado State</v>
      </c>
      <c r="S44" s="462" t="str">
        <f>IF(+All!$F794="Colorado State",+All!S794,IF(+All!$H794="Colorado State",+All!S794,0))</f>
        <v>New Mexico</v>
      </c>
      <c r="T44" s="460" t="str">
        <f>IF(+All!$F794="Colorado State",+All!T794,IF(+All!$H794="Colorado State",+All!T794,0))</f>
        <v>Colorado State</v>
      </c>
      <c r="U44" s="461" t="str">
        <f>IF(+All!$F794="Colorado State",+All!U794,IF(+All!$H794="Colorado State",+All!U794,0))</f>
        <v>W</v>
      </c>
    </row>
    <row r="45" spans="1:21" x14ac:dyDescent="0.8">
      <c r="A45" s="38"/>
      <c r="B45" s="39"/>
      <c r="C45" s="40"/>
      <c r="D45" s="41"/>
      <c r="E45" s="463"/>
      <c r="F45" s="897" t="str">
        <f>H46</f>
        <v>Fresno State</v>
      </c>
      <c r="G45" s="903"/>
      <c r="H45" s="903"/>
      <c r="I45" s="904"/>
      <c r="J45" s="459"/>
      <c r="K45" s="463"/>
      <c r="L45" s="44"/>
      <c r="M45" s="45"/>
      <c r="N45" s="459"/>
      <c r="O45" s="5"/>
      <c r="P45" s="5"/>
      <c r="Q45" s="463"/>
      <c r="R45" s="459"/>
      <c r="S45" s="5"/>
      <c r="T45" s="459"/>
      <c r="U45" s="463"/>
    </row>
    <row r="46" spans="1:21" x14ac:dyDescent="0.8">
      <c r="A46" s="46">
        <f>IF(+All!$F59="Fresno State",+All!A59,IF(+All!$H59="Fresno State",+All!A59,0))</f>
        <v>1</v>
      </c>
      <c r="B46" s="348" t="str">
        <f>IF(+All!$F59="Fresno State",+All!B59,IF(+All!$H59="Fresno State",+All!B59,0))</f>
        <v>Thurs</v>
      </c>
      <c r="C46" s="48">
        <f>IF(+All!$F59="Fresno State",+All!C59,IF(+All!$H59="Fresno State",+All!C59,0))</f>
        <v>44805</v>
      </c>
      <c r="D46" s="490">
        <f>IF(+All!$F59="Fresno State",+All!D59,IF(+All!$H59="Fresno State",+All!D59,0))</f>
        <v>0.9375</v>
      </c>
      <c r="E46" s="461" t="str">
        <f>IF(+All!$F59="Fresno State",+All!E59,IF(+All!$H59="Fresno State",+All!E59,0))</f>
        <v>FS1</v>
      </c>
      <c r="F46" s="51" t="str">
        <f>IF(+All!$F59="Fresno State",+All!F59,IF(+All!$H59="Fresno State",+All!F59,0))</f>
        <v>1AA Cal Poly</v>
      </c>
      <c r="G46" s="52" t="str">
        <f>IF(+All!$F59="Fresno State",+All!G59,IF(+All!$H59="Fresno State",+All!G59,0))</f>
        <v>1AA</v>
      </c>
      <c r="H46" s="51" t="str">
        <f>IF(+All!$F59="Fresno State",+All!H59,IF(+All!$H59="Fresno State",+All!H59,0))</f>
        <v>Fresno State</v>
      </c>
      <c r="I46" s="52" t="str">
        <f>IF(+All!$F59="Fresno State",+All!I59,IF(+All!$H59="Fresno State",+All!I59,0))</f>
        <v>MWC</v>
      </c>
      <c r="J46" s="460">
        <f>IF(+All!$F59="Fresno State",+All!J59,IF(+All!$H59="Fresno State",+All!J59,0))</f>
        <v>0</v>
      </c>
      <c r="K46" s="461">
        <f>IF(+All!$F59="Fresno State",+All!K59,IF(+All!$H59="Fresno State",+All!K59,0))</f>
        <v>0</v>
      </c>
      <c r="L46" s="54">
        <f>IF(+All!$F59="Fresno State",+All!L59,IF(+All!$H59="Fresno State",+All!L59,0))</f>
        <v>0</v>
      </c>
      <c r="M46" s="55">
        <f>IF(+All!$F59="Fresno State",+All!M59,IF(+All!$H59="Fresno State",+All!M59,0))</f>
        <v>0</v>
      </c>
      <c r="N46" s="460" t="str">
        <f>IF(+All!$F59="Fresno State",+All!N59,IF(+All!$H59="Fresno State",+All!N59,0))</f>
        <v>Fresno State</v>
      </c>
      <c r="O46" s="462">
        <f>IF(+All!$F59="Fresno State",+All!O59,IF(+All!$H59="Fresno State",+All!O59,0))</f>
        <v>35</v>
      </c>
      <c r="P46" s="462" t="str">
        <f>IF(+All!$F59="Fresno State",+All!P59,IF(+All!$H59="Fresno State",+All!P59,0))</f>
        <v>1AA Cal Poly</v>
      </c>
      <c r="Q46" s="461">
        <f>IF(+All!$F59="Fresno State",+All!Q59,IF(+All!$H59="Fresno State",+All!Q59,0))</f>
        <v>7</v>
      </c>
      <c r="R46" s="460">
        <f>IF(+All!$F59="Fresno State",+All!R59,IF(+All!$H59="Fresno State",+All!R59,0))</f>
        <v>0</v>
      </c>
      <c r="S46" s="462">
        <f>IF(+All!$F59="Fresno State",+All!S59,IF(+All!$H59="Fresno State",+All!S59,0))</f>
        <v>0</v>
      </c>
      <c r="T46" s="460">
        <f>IF(+All!$F59="Fresno State",+All!T59,IF(+All!$H59="Fresno State",+All!T59,0))</f>
        <v>0</v>
      </c>
      <c r="U46" s="461">
        <f>IF(+All!$F59="Fresno State",+All!U59,IF(+All!$H59="Fresno State",+All!U59,0))</f>
        <v>0</v>
      </c>
    </row>
    <row r="47" spans="1:21" ht="16.5" customHeight="1" x14ac:dyDescent="0.8">
      <c r="A47" s="46">
        <f>IF(+All!$F153="Fresno State",+All!A153,IF(+All!$H153="Fresno State",+All!A153,0))</f>
        <v>2</v>
      </c>
      <c r="B47" s="348" t="str">
        <f>IF(+All!$F153="Fresno State",+All!B153,IF(+All!$H153="Fresno State",+All!B153,0))</f>
        <v>Sat</v>
      </c>
      <c r="C47" s="48">
        <f>IF(+All!$F153="Fresno State",+All!C153,IF(+All!$H153="Fresno State",+All!C153,0))</f>
        <v>44814</v>
      </c>
      <c r="D47" s="490">
        <f>IF(+All!$F153="Fresno State",+All!D153,IF(+All!$H153="Fresno State",+All!D153,0))</f>
        <v>0.9375</v>
      </c>
      <c r="E47" s="461" t="str">
        <f>IF(+All!$F153="Fresno State",+All!E153,IF(+All!$H153="Fresno State",+All!E153,0))</f>
        <v>cbssn</v>
      </c>
      <c r="F47" s="51" t="str">
        <f>IF(+All!$F153="Fresno State",+All!F153,IF(+All!$H153="Fresno State",+All!F153,0))</f>
        <v>Oregon State</v>
      </c>
      <c r="G47" s="52" t="str">
        <f>IF(+All!$F153="Fresno State",+All!G153,IF(+All!$H153="Fresno State",+All!G153,0))</f>
        <v>P12</v>
      </c>
      <c r="H47" s="51" t="str">
        <f>IF(+All!$F153="Fresno State",+All!H153,IF(+All!$H153="Fresno State",+All!H153,0))</f>
        <v>Fresno State</v>
      </c>
      <c r="I47" s="52" t="str">
        <f>IF(+All!$F153="Fresno State",+All!I153,IF(+All!$H153="Fresno State",+All!I153,0))</f>
        <v>MWC</v>
      </c>
      <c r="J47" s="460" t="str">
        <f>IF(+All!$F153="Fresno State",+All!J153,IF(+All!$H153="Fresno State",+All!J153,0))</f>
        <v>Oregon State</v>
      </c>
      <c r="K47" s="461" t="str">
        <f>IF(+All!$F153="Fresno State",+All!K153,IF(+All!$H153="Fresno State",+All!K153,0))</f>
        <v>Fresno State</v>
      </c>
      <c r="L47" s="54">
        <f>IF(+All!$F153="Fresno State",+All!L153,IF(+All!$H153="Fresno State",+All!L153,0))</f>
        <v>0</v>
      </c>
      <c r="M47" s="55">
        <f>IF(+All!$F153="Fresno State",+All!M153,IF(+All!$H153="Fresno State",+All!M153,0))</f>
        <v>61</v>
      </c>
      <c r="N47" s="460" t="str">
        <f>IF(+All!$F153="Fresno State",+All!N153,IF(+All!$H153="Fresno State",+All!N153,0))</f>
        <v>Oregon State</v>
      </c>
      <c r="O47" s="462">
        <f>IF(+All!$F153="Fresno State",+All!O153,IF(+All!$H153="Fresno State",+All!O153,0))</f>
        <v>35</v>
      </c>
      <c r="P47" s="462" t="str">
        <f>IF(+All!$F153="Fresno State",+All!P153,IF(+All!$H153="Fresno State",+All!P153,0))</f>
        <v>Fresno State</v>
      </c>
      <c r="Q47" s="461">
        <f>IF(+All!$F153="Fresno State",+All!Q153,IF(+All!$H153="Fresno State",+All!Q153,0))</f>
        <v>32</v>
      </c>
      <c r="R47" s="460" t="str">
        <f>IF(+All!$F153="Fresno State",+All!R153,IF(+All!$H153="Fresno State",+All!R153,0))</f>
        <v>Oregon State</v>
      </c>
      <c r="S47" s="462" t="str">
        <f>IF(+All!$F153="Fresno State",+All!S153,IF(+All!$H153="Fresno State",+All!S153,0))</f>
        <v>Fresno State</v>
      </c>
      <c r="T47" s="460" t="str">
        <f>IF(+All!$F153="Fresno State",+All!T153,IF(+All!$H153="Fresno State",+All!T153,0))</f>
        <v>Fresno State</v>
      </c>
      <c r="U47" s="461" t="str">
        <f>IF(+All!$F153="Fresno State",+All!U153,IF(+All!$H153="Fresno State",+All!U153,0))</f>
        <v>L</v>
      </c>
    </row>
    <row r="48" spans="1:21" x14ac:dyDescent="0.8">
      <c r="A48" s="46">
        <f>IF(+All!$F233="Fresno State",+All!A233,IF(+All!$H233="Fresno State",+All!A233,0))</f>
        <v>3</v>
      </c>
      <c r="B48" s="348" t="str">
        <f>IF(+All!$F233="Fresno State",+All!B233,IF(+All!$H233="Fresno State",+All!B233,0))</f>
        <v>Sat</v>
      </c>
      <c r="C48" s="48">
        <f>IF(+All!$F233="Fresno State",+All!C233,IF(+All!$H233="Fresno State",+All!C233,0))</f>
        <v>44821</v>
      </c>
      <c r="D48" s="490">
        <f>IF(+All!$F233="Fresno State",+All!D233,IF(+All!$H233="Fresno State",+All!D233,0))</f>
        <v>0.9375</v>
      </c>
      <c r="E48" s="461" t="str">
        <f>IF(+All!$F233="Fresno State",+All!E233,IF(+All!$H233="Fresno State",+All!E233,0))</f>
        <v>Fox</v>
      </c>
      <c r="F48" s="51" t="str">
        <f>IF(+All!$F233="Fresno State",+All!F233,IF(+All!$H233="Fresno State",+All!F233,0))</f>
        <v>Fresno State</v>
      </c>
      <c r="G48" s="52" t="str">
        <f>IF(+All!$F233="Fresno State",+All!G233,IF(+All!$H233="Fresno State",+All!G233,0))</f>
        <v>MWC</v>
      </c>
      <c r="H48" s="51" t="str">
        <f>IF(+All!$F233="Fresno State",+All!H233,IF(+All!$H233="Fresno State",+All!H233,0))</f>
        <v>Southern Cal</v>
      </c>
      <c r="I48" s="52" t="str">
        <f>IF(+All!$F233="Fresno State",+All!I233,IF(+All!$H233="Fresno State",+All!I233,0))</f>
        <v>P12</v>
      </c>
      <c r="J48" s="460" t="str">
        <f>IF(+All!$F233="Fresno State",+All!J233,IF(+All!$H233="Fresno State",+All!J233,0))</f>
        <v>Southern Cal</v>
      </c>
      <c r="K48" s="461" t="str">
        <f>IF(+All!$F233="Fresno State",+All!K233,IF(+All!$H233="Fresno State",+All!K233,0))</f>
        <v>Fresno State</v>
      </c>
      <c r="L48" s="54">
        <f>IF(+All!$F233="Fresno State",+All!L233,IF(+All!$H233="Fresno State",+All!L233,0))</f>
        <v>12.5</v>
      </c>
      <c r="M48" s="55">
        <f>IF(+All!$F233="Fresno State",+All!M233,IF(+All!$H233="Fresno State",+All!M233,0))</f>
        <v>73.5</v>
      </c>
      <c r="N48" s="460" t="str">
        <f>IF(+All!$F233="Fresno State",+All!N233,IF(+All!$H233="Fresno State",+All!N233,0))</f>
        <v>Southern Cal</v>
      </c>
      <c r="O48" s="462">
        <f>IF(+All!$F233="Fresno State",+All!O233,IF(+All!$H233="Fresno State",+All!O233,0))</f>
        <v>45</v>
      </c>
      <c r="P48" s="462" t="str">
        <f>IF(+All!$F233="Fresno State",+All!P233,IF(+All!$H233="Fresno State",+All!P233,0))</f>
        <v>Fresno State</v>
      </c>
      <c r="Q48" s="461">
        <f>IF(+All!$F233="Fresno State",+All!Q233,IF(+All!$H233="Fresno State",+All!Q233,0))</f>
        <v>17</v>
      </c>
      <c r="R48" s="460" t="str">
        <f>IF(+All!$F233="Fresno State",+All!R233,IF(+All!$H233="Fresno State",+All!R233,0))</f>
        <v>Southern Cal</v>
      </c>
      <c r="S48" s="462" t="str">
        <f>IF(+All!$F233="Fresno State",+All!S233,IF(+All!$H233="Fresno State",+All!S233,0))</f>
        <v>Fresno State</v>
      </c>
      <c r="T48" s="460" t="str">
        <f>IF(+All!$F233="Fresno State",+All!T233,IF(+All!$H233="Fresno State",+All!T233,0))</f>
        <v>Southern Cal</v>
      </c>
      <c r="U48" s="461" t="str">
        <f>IF(+All!$F233="Fresno State",+All!U233,IF(+All!$H233="Fresno State",+All!U233,0))</f>
        <v>W</v>
      </c>
    </row>
    <row r="49" spans="1:21" x14ac:dyDescent="0.8">
      <c r="A49" s="46" t="e">
        <f>IF(+All!#REF!="Fresno State",+All!#REF!,IF(+All!#REF!="Fresno State",+All!#REF!,0))</f>
        <v>#REF!</v>
      </c>
      <c r="B49" s="348" t="e">
        <f>IF(+All!#REF!="Fresno State",+All!#REF!,IF(+All!#REF!="Fresno State",+All!#REF!,0))</f>
        <v>#REF!</v>
      </c>
      <c r="C49" s="48" t="e">
        <f>IF(+All!#REF!="Fresno State",+All!#REF!,IF(+All!#REF!="Fresno State",+All!#REF!,0))</f>
        <v>#REF!</v>
      </c>
      <c r="D49" s="490" t="e">
        <f>IF(+All!#REF!="Fresno State",+All!#REF!,IF(+All!#REF!="Fresno State",+All!#REF!,0))</f>
        <v>#REF!</v>
      </c>
      <c r="E49" s="461" t="e">
        <f>IF(+All!#REF!="Fresno State",+All!#REF!,IF(+All!#REF!="Fresno State",+All!#REF!,0))</f>
        <v>#REF!</v>
      </c>
      <c r="F49" s="51" t="e">
        <f>IF(+All!#REF!="Fresno State",+All!#REF!,IF(+All!#REF!="Fresno State",+All!#REF!,0))</f>
        <v>#REF!</v>
      </c>
      <c r="G49" s="52" t="e">
        <f>IF(+All!#REF!="Fresno State",+All!#REF!,IF(+All!#REF!="Fresno State",+All!#REF!,0))</f>
        <v>#REF!</v>
      </c>
      <c r="H49" s="51" t="e">
        <f>IF(+All!#REF!="Fresno State",+All!#REF!,IF(+All!#REF!="Fresno State",+All!#REF!,0))</f>
        <v>#REF!</v>
      </c>
      <c r="I49" s="52" t="e">
        <f>IF(+All!#REF!="Fresno State",+All!#REF!,IF(+All!#REF!="Fresno State",+All!#REF!,0))</f>
        <v>#REF!</v>
      </c>
      <c r="J49" s="460" t="e">
        <f>IF(+All!#REF!="Fresno State",+All!#REF!,IF(+All!#REF!="Fresno State",+All!#REF!,0))</f>
        <v>#REF!</v>
      </c>
      <c r="K49" s="461" t="e">
        <f>IF(+All!#REF!="Fresno State",+All!#REF!,IF(+All!#REF!="Fresno State",+All!#REF!,0))</f>
        <v>#REF!</v>
      </c>
      <c r="L49" s="54" t="e">
        <f>IF(+All!#REF!="Fresno State",+All!#REF!,IF(+All!#REF!="Fresno State",+All!#REF!,0))</f>
        <v>#REF!</v>
      </c>
      <c r="M49" s="55" t="e">
        <f>IF(+All!#REF!="Fresno State",+All!#REF!,IF(+All!#REF!="Fresno State",+All!#REF!,0))</f>
        <v>#REF!</v>
      </c>
      <c r="N49" s="460" t="e">
        <f>IF(+All!#REF!="Fresno State",+All!#REF!,IF(+All!#REF!="Fresno State",+All!#REF!,0))</f>
        <v>#REF!</v>
      </c>
      <c r="O49" s="462" t="e">
        <f>IF(+All!#REF!="Fresno State",+All!#REF!,IF(+All!#REF!="Fresno State",+All!#REF!,0))</f>
        <v>#REF!</v>
      </c>
      <c r="P49" s="462" t="e">
        <f>IF(+All!#REF!="Fresno State",+All!#REF!,IF(+All!#REF!="Fresno State",+All!#REF!,0))</f>
        <v>#REF!</v>
      </c>
      <c r="Q49" s="461" t="e">
        <f>IF(+All!#REF!="Fresno State",+All!#REF!,IF(+All!#REF!="Fresno State",+All!#REF!,0))</f>
        <v>#REF!</v>
      </c>
      <c r="R49" s="460" t="e">
        <f>IF(+All!#REF!="Fresno State",+All!#REF!,IF(+All!#REF!="Fresno State",+All!#REF!,0))</f>
        <v>#REF!</v>
      </c>
      <c r="S49" s="462" t="e">
        <f>IF(+All!#REF!="Fresno State",+All!#REF!,IF(+All!#REF!="Fresno State",+All!#REF!,0))</f>
        <v>#REF!</v>
      </c>
      <c r="T49" s="460" t="e">
        <f>IF(+All!#REF!="Fresno State",+All!#REF!,IF(+All!#REF!="Fresno State",+All!#REF!,0))</f>
        <v>#REF!</v>
      </c>
      <c r="U49" s="461" t="e">
        <f>IF(+All!#REF!="Fresno State",+All!#REF!,IF(+All!#REF!="Fresno State",+All!#REF!,0))</f>
        <v>#REF!</v>
      </c>
    </row>
    <row r="50" spans="1:21" x14ac:dyDescent="0.8">
      <c r="A50" s="46">
        <f>IF(+All!$F352="Fresno State",+All!A352,IF(+All!$H352="Fresno State",+All!A352,0))</f>
        <v>5</v>
      </c>
      <c r="B50" s="348" t="str">
        <f>IF(+All!$F352="Fresno State",+All!B352,IF(+All!$H352="Fresno State",+All!B352,0))</f>
        <v>Sat</v>
      </c>
      <c r="C50" s="48">
        <f>IF(+All!$F352="Fresno State",+All!C352,IF(+All!$H352="Fresno State",+All!C352,0))</f>
        <v>44835</v>
      </c>
      <c r="D50" s="490">
        <f>IF(+All!$F352="Fresno State",+All!D352,IF(+All!$H352="Fresno State",+All!D352,0))</f>
        <v>0.64583333333333337</v>
      </c>
      <c r="E50" s="461" t="str">
        <f>IF(+All!$F352="Fresno State",+All!E352,IF(+All!$H352="Fresno State",+All!E352,0))</f>
        <v>CBSSN</v>
      </c>
      <c r="F50" s="51" t="str">
        <f>IF(+All!$F352="Fresno State",+All!F352,IF(+All!$H352="Fresno State",+All!F352,0))</f>
        <v>Fresno State</v>
      </c>
      <c r="G50" s="52" t="str">
        <f>IF(+All!$F352="Fresno State",+All!G352,IF(+All!$H352="Fresno State",+All!G352,0))</f>
        <v>MWC</v>
      </c>
      <c r="H50" s="51" t="str">
        <f>IF(+All!$F352="Fresno State",+All!H352,IF(+All!$H352="Fresno State",+All!H352,0))</f>
        <v>Connecticut</v>
      </c>
      <c r="I50" s="52" t="str">
        <f>IF(+All!$F352="Fresno State",+All!I352,IF(+All!$H352="Fresno State",+All!I352,0))</f>
        <v>Ind</v>
      </c>
      <c r="J50" s="460" t="str">
        <f>IF(+All!$F352="Fresno State",+All!J352,IF(+All!$H352="Fresno State",+All!J352,0))</f>
        <v>Fresno State</v>
      </c>
      <c r="K50" s="461" t="str">
        <f>IF(+All!$F352="Fresno State",+All!K352,IF(+All!$H352="Fresno State",+All!K352,0))</f>
        <v>Connecticut</v>
      </c>
      <c r="L50" s="54">
        <f>IF(+All!$F352="Fresno State",+All!L352,IF(+All!$H352="Fresno State",+All!L352,0))</f>
        <v>23.5</v>
      </c>
      <c r="M50" s="55">
        <f>IF(+All!$F352="Fresno State",+All!M352,IF(+All!$H352="Fresno State",+All!M352,0))</f>
        <v>52.5</v>
      </c>
      <c r="N50" s="460" t="str">
        <f>IF(+All!$F352="Fresno State",+All!N352,IF(+All!$H352="Fresno State",+All!N352,0))</f>
        <v>Connecticut</v>
      </c>
      <c r="O50" s="462">
        <f>IF(+All!$F352="Fresno State",+All!O352,IF(+All!$H352="Fresno State",+All!O352,0))</f>
        <v>19</v>
      </c>
      <c r="P50" s="462" t="str">
        <f>IF(+All!$F352="Fresno State",+All!P352,IF(+All!$H352="Fresno State",+All!P352,0))</f>
        <v>Fresno State</v>
      </c>
      <c r="Q50" s="461">
        <f>IF(+All!$F352="Fresno State",+All!Q352,IF(+All!$H352="Fresno State",+All!Q352,0))</f>
        <v>14</v>
      </c>
      <c r="R50" s="460" t="str">
        <f>IF(+All!$F352="Fresno State",+All!R352,IF(+All!$H352="Fresno State",+All!R352,0))</f>
        <v>Connecticut</v>
      </c>
      <c r="S50" s="462" t="str">
        <f>IF(+All!$F352="Fresno State",+All!S352,IF(+All!$H352="Fresno State",+All!S352,0))</f>
        <v>Fresno State</v>
      </c>
      <c r="T50" s="460" t="str">
        <f>IF(+All!$F352="Fresno State",+All!T352,IF(+All!$H352="Fresno State",+All!T352,0))</f>
        <v>Connecticut</v>
      </c>
      <c r="U50" s="461" t="str">
        <f>IF(+All!$F352="Fresno State",+All!U352,IF(+All!$H352="Fresno State",+All!U352,0))</f>
        <v>W</v>
      </c>
    </row>
    <row r="51" spans="1:21" x14ac:dyDescent="0.8">
      <c r="A51" s="46">
        <f>IF(+All!$F417="Fresno State",+All!A417,IF(+All!$H417="Fresno State",+All!A417,0))</f>
        <v>6</v>
      </c>
      <c r="B51" s="348" t="str">
        <f>IF(+All!$F417="Fresno State",+All!B417,IF(+All!$H417="Fresno State",+All!B417,0))</f>
        <v>Sat</v>
      </c>
      <c r="C51" s="48">
        <f>IF(+All!$F417="Fresno State",+All!C417,IF(+All!$H417="Fresno State",+All!C417,0))</f>
        <v>44842</v>
      </c>
      <c r="D51" s="490">
        <f>IF(+All!$F417="Fresno State",+All!D417,IF(+All!$H417="Fresno State",+All!D417,0))</f>
        <v>0.90625</v>
      </c>
      <c r="E51" s="461" t="str">
        <f>IF(+All!$F417="Fresno State",+All!E417,IF(+All!$H417="Fresno State",+All!E417,0))</f>
        <v>FS1</v>
      </c>
      <c r="F51" s="51" t="str">
        <f>IF(+All!$F417="Fresno State",+All!F417,IF(+All!$H417="Fresno State",+All!F417,0))</f>
        <v>Fresno State</v>
      </c>
      <c r="G51" s="52" t="str">
        <f>IF(+All!$F417="Fresno State",+All!G417,IF(+All!$H417="Fresno State",+All!G417,0))</f>
        <v>MWC</v>
      </c>
      <c r="H51" s="51" t="str">
        <f>IF(+All!$F417="Fresno State",+All!H417,IF(+All!$H417="Fresno State",+All!H417,0))</f>
        <v>Boise State</v>
      </c>
      <c r="I51" s="52" t="str">
        <f>IF(+All!$F417="Fresno State",+All!I417,IF(+All!$H417="Fresno State",+All!I417,0))</f>
        <v>MWC</v>
      </c>
      <c r="J51" s="460" t="str">
        <f>IF(+All!$F417="Fresno State",+All!J417,IF(+All!$H417="Fresno State",+All!J417,0))</f>
        <v>Boise State</v>
      </c>
      <c r="K51" s="461" t="str">
        <f>IF(+All!$F417="Fresno State",+All!K417,IF(+All!$H417="Fresno State",+All!K417,0))</f>
        <v>Fresno State</v>
      </c>
      <c r="L51" s="54">
        <f>IF(+All!$F417="Fresno State",+All!L417,IF(+All!$H417="Fresno State",+All!L417,0))</f>
        <v>7.5</v>
      </c>
      <c r="M51" s="55">
        <f>IF(+All!$F417="Fresno State",+All!M417,IF(+All!$H417="Fresno State",+All!M417,0))</f>
        <v>45.5</v>
      </c>
      <c r="N51" s="460" t="str">
        <f>IF(+All!$F417="Fresno State",+All!N417,IF(+All!$H417="Fresno State",+All!N417,0))</f>
        <v>Boise State</v>
      </c>
      <c r="O51" s="462">
        <f>IF(+All!$F417="Fresno State",+All!O417,IF(+All!$H417="Fresno State",+All!O417,0))</f>
        <v>40</v>
      </c>
      <c r="P51" s="462" t="str">
        <f>IF(+All!$F417="Fresno State",+All!P417,IF(+All!$H417="Fresno State",+All!P417,0))</f>
        <v>Fresno State</v>
      </c>
      <c r="Q51" s="461">
        <f>IF(+All!$F417="Fresno State",+All!Q417,IF(+All!$H417="Fresno State",+All!Q417,0))</f>
        <v>20</v>
      </c>
      <c r="R51" s="460" t="str">
        <f>IF(+All!$F417="Fresno State",+All!R417,IF(+All!$H417="Fresno State",+All!R417,0))</f>
        <v>Boise State</v>
      </c>
      <c r="S51" s="462" t="str">
        <f>IF(+All!$F417="Fresno State",+All!S417,IF(+All!$H417="Fresno State",+All!S417,0))</f>
        <v>Fresno State</v>
      </c>
      <c r="T51" s="460" t="str">
        <f>IF(+All!$F417="Fresno State",+All!T417,IF(+All!$H417="Fresno State",+All!T417,0))</f>
        <v>Fresno State</v>
      </c>
      <c r="U51" s="461" t="str">
        <f>IF(+All!$F417="Fresno State",+All!U417,IF(+All!$H417="Fresno State",+All!U417,0))</f>
        <v>L</v>
      </c>
    </row>
    <row r="52" spans="1:21" x14ac:dyDescent="0.8">
      <c r="A52" s="46">
        <f>IF(+All!$F474="Fresno State",+All!A474,IF(+All!$H474="Fresno State",+All!A474,0))</f>
        <v>7</v>
      </c>
      <c r="B52" s="348" t="str">
        <f>IF(+All!$F474="Fresno State",+All!B474,IF(+All!$H474="Fresno State",+All!B474,0))</f>
        <v>Sat</v>
      </c>
      <c r="C52" s="48">
        <f>IF(+All!$F474="Fresno State",+All!C474,IF(+All!$H474="Fresno State",+All!C474,0))</f>
        <v>44849</v>
      </c>
      <c r="D52" s="490">
        <f>IF(+All!$F474="Fresno State",+All!D474,IF(+All!$H474="Fresno State",+All!D474,0))</f>
        <v>0.94791666666666663</v>
      </c>
      <c r="E52" s="461" t="str">
        <f>IF(+All!$F474="Fresno State",+All!E474,IF(+All!$H474="Fresno State",+All!E474,0))</f>
        <v>FS1</v>
      </c>
      <c r="F52" s="51" t="str">
        <f>IF(+All!$F474="Fresno State",+All!F474,IF(+All!$H474="Fresno State",+All!F474,0))</f>
        <v>San Jose State</v>
      </c>
      <c r="G52" s="52" t="str">
        <f>IF(+All!$F474="Fresno State",+All!G474,IF(+All!$H474="Fresno State",+All!G474,0))</f>
        <v>MWC</v>
      </c>
      <c r="H52" s="51" t="str">
        <f>IF(+All!$F474="Fresno State",+All!H474,IF(+All!$H474="Fresno State",+All!H474,0))</f>
        <v>Fresno State</v>
      </c>
      <c r="I52" s="52" t="str">
        <f>IF(+All!$F474="Fresno State",+All!I474,IF(+All!$H474="Fresno State",+All!I474,0))</f>
        <v>MWC</v>
      </c>
      <c r="J52" s="460" t="str">
        <f>IF(+All!$F474="Fresno State",+All!J474,IF(+All!$H474="Fresno State",+All!J474,0))</f>
        <v>San Jose State</v>
      </c>
      <c r="K52" s="461" t="str">
        <f>IF(+All!$F474="Fresno State",+All!K474,IF(+All!$H474="Fresno State",+All!K474,0))</f>
        <v>Fresno State</v>
      </c>
      <c r="L52" s="54">
        <f>IF(+All!$F474="Fresno State",+All!L474,IF(+All!$H474="Fresno State",+All!L474,0))</f>
        <v>8</v>
      </c>
      <c r="M52" s="55">
        <f>IF(+All!$F474="Fresno State",+All!M474,IF(+All!$H474="Fresno State",+All!M474,0))</f>
        <v>48</v>
      </c>
      <c r="N52" s="460" t="str">
        <f>IF(+All!$F474="Fresno State",+All!N474,IF(+All!$H474="Fresno State",+All!N474,0))</f>
        <v>Fresno State</v>
      </c>
      <c r="O52" s="462">
        <f>IF(+All!$F474="Fresno State",+All!O474,IF(+All!$H474="Fresno State",+All!O474,0))</f>
        <v>17</v>
      </c>
      <c r="P52" s="462" t="str">
        <f>IF(+All!$F474="Fresno State",+All!P474,IF(+All!$H474="Fresno State",+All!P474,0))</f>
        <v>San Jose State</v>
      </c>
      <c r="Q52" s="461">
        <f>IF(+All!$F474="Fresno State",+All!Q474,IF(+All!$H474="Fresno State",+All!Q474,0))</f>
        <v>10</v>
      </c>
      <c r="R52" s="460" t="str">
        <f>IF(+All!$F474="Fresno State",+All!R474,IF(+All!$H474="Fresno State",+All!R474,0))</f>
        <v>Fresno State</v>
      </c>
      <c r="S52" s="462" t="str">
        <f>IF(+All!$F474="Fresno State",+All!S474,IF(+All!$H474="Fresno State",+All!S474,0))</f>
        <v>San Jose State</v>
      </c>
      <c r="T52" s="460" t="str">
        <f>IF(+All!$F474="Fresno State",+All!T474,IF(+All!$H474="Fresno State",+All!T474,0))</f>
        <v>San Jose State</v>
      </c>
      <c r="U52" s="461" t="str">
        <f>IF(+All!$F474="Fresno State",+All!U474,IF(+All!$H474="Fresno State",+All!U474,0))</f>
        <v>L</v>
      </c>
    </row>
    <row r="53" spans="1:21" x14ac:dyDescent="0.8">
      <c r="A53" s="46">
        <f>IF(+All!$F529="Fresno State",+All!A529,IF(+All!$H529="Fresno State",+All!A529,0))</f>
        <v>8</v>
      </c>
      <c r="B53" s="348" t="str">
        <f>IF(+All!$F529="Fresno State",+All!B529,IF(+All!$H529="Fresno State",+All!B529,0))</f>
        <v>Sat</v>
      </c>
      <c r="C53" s="48">
        <f>IF(+All!$F529="Fresno State",+All!C529,IF(+All!$H529="Fresno State",+All!C529,0))</f>
        <v>44856</v>
      </c>
      <c r="D53" s="490">
        <f>IF(+All!$F529="Fresno State",+All!D529,IF(+All!$H529="Fresno State",+All!D529,0))</f>
        <v>0.77083333333333337</v>
      </c>
      <c r="E53" s="461" t="str">
        <f>IF(+All!$F529="Fresno State",+All!E529,IF(+All!$H529="Fresno State",+All!E529,0))</f>
        <v>FS2</v>
      </c>
      <c r="F53" s="51" t="str">
        <f>IF(+All!$F529="Fresno State",+All!F529,IF(+All!$H529="Fresno State",+All!F529,0))</f>
        <v>Fresno State</v>
      </c>
      <c r="G53" s="52" t="str">
        <f>IF(+All!$F529="Fresno State",+All!G529,IF(+All!$H529="Fresno State",+All!G529,0))</f>
        <v>MWC</v>
      </c>
      <c r="H53" s="51" t="str">
        <f>IF(+All!$F529="Fresno State",+All!H529,IF(+All!$H529="Fresno State",+All!H529,0))</f>
        <v>New Mexico</v>
      </c>
      <c r="I53" s="52" t="str">
        <f>IF(+All!$F529="Fresno State",+All!I529,IF(+All!$H529="Fresno State",+All!I529,0))</f>
        <v>MWC</v>
      </c>
      <c r="J53" s="460" t="str">
        <f>IF(+All!$F529="Fresno State",+All!J529,IF(+All!$H529="Fresno State",+All!J529,0))</f>
        <v>Fresno State</v>
      </c>
      <c r="K53" s="461" t="str">
        <f>IF(+All!$F529="Fresno State",+All!K529,IF(+All!$H529="Fresno State",+All!K529,0))</f>
        <v>New Mexico</v>
      </c>
      <c r="L53" s="54">
        <f>IF(+All!$F529="Fresno State",+All!L529,IF(+All!$H529="Fresno State",+All!L529,0))</f>
        <v>11</v>
      </c>
      <c r="M53" s="55">
        <f>IF(+All!$F529="Fresno State",+All!M529,IF(+All!$H529="Fresno State",+All!M529,0))</f>
        <v>41</v>
      </c>
      <c r="N53" s="460" t="str">
        <f>IF(+All!$F529="Fresno State",+All!N529,IF(+All!$H529="Fresno State",+All!N529,0))</f>
        <v>Fresno State</v>
      </c>
      <c r="O53" s="462">
        <f>IF(+All!$F529="Fresno State",+All!O529,IF(+All!$H529="Fresno State",+All!O529,0))</f>
        <v>41</v>
      </c>
      <c r="P53" s="462" t="str">
        <f>IF(+All!$F529="Fresno State",+All!P529,IF(+All!$H529="Fresno State",+All!P529,0))</f>
        <v>New Mexico</v>
      </c>
      <c r="Q53" s="461">
        <f>IF(+All!$F529="Fresno State",+All!Q529,IF(+All!$H529="Fresno State",+All!Q529,0))</f>
        <v>9</v>
      </c>
      <c r="R53" s="460" t="str">
        <f>IF(+All!$F529="Fresno State",+All!R529,IF(+All!$H529="Fresno State",+All!R529,0))</f>
        <v>Fresno State</v>
      </c>
      <c r="S53" s="462" t="str">
        <f>IF(+All!$F529="Fresno State",+All!S529,IF(+All!$H529="Fresno State",+All!S529,0))</f>
        <v>New Mexico</v>
      </c>
      <c r="T53" s="460" t="str">
        <f>IF(+All!$F529="Fresno State",+All!T529,IF(+All!$H529="Fresno State",+All!T529,0))</f>
        <v>New Mexico</v>
      </c>
      <c r="U53" s="461" t="str">
        <f>IF(+All!$F529="Fresno State",+All!U529,IF(+All!$H529="Fresno State",+All!U529,0))</f>
        <v>L</v>
      </c>
    </row>
    <row r="54" spans="1:21" x14ac:dyDescent="0.8">
      <c r="A54" s="46">
        <f>IF(+All!$F577="Fresno State",+All!A577,IF(+All!$H577="Fresno State",+All!A577,0))</f>
        <v>9</v>
      </c>
      <c r="B54" s="348" t="str">
        <f>IF(+All!$F577="Fresno State",+All!B577,IF(+All!$H577="Fresno State",+All!B577,0))</f>
        <v>Sat</v>
      </c>
      <c r="C54" s="48">
        <f>IF(+All!$F577="Fresno State",+All!C577,IF(+All!$H577="Fresno State",+All!C577,0))</f>
        <v>44863</v>
      </c>
      <c r="D54" s="490">
        <f>IF(+All!$F577="Fresno State",+All!D577,IF(+All!$H577="Fresno State",+All!D577,0))</f>
        <v>0.9375</v>
      </c>
      <c r="E54" s="461" t="str">
        <f>IF(+All!$F577="Fresno State",+All!E577,IF(+All!$H577="Fresno State",+All!E577,0))</f>
        <v>FS1</v>
      </c>
      <c r="F54" s="51" t="str">
        <f>IF(+All!$F577="Fresno State",+All!F577,IF(+All!$H577="Fresno State",+All!F577,0))</f>
        <v>San Diego State</v>
      </c>
      <c r="G54" s="52" t="str">
        <f>IF(+All!$F577="Fresno State",+All!G577,IF(+All!$H577="Fresno State",+All!G577,0))</f>
        <v>MWC</v>
      </c>
      <c r="H54" s="51" t="str">
        <f>IF(+All!$F577="Fresno State",+All!H577,IF(+All!$H577="Fresno State",+All!H577,0))</f>
        <v>Fresno State</v>
      </c>
      <c r="I54" s="52" t="str">
        <f>IF(+All!$F577="Fresno State",+All!I577,IF(+All!$H577="Fresno State",+All!I577,0))</f>
        <v>MWC</v>
      </c>
      <c r="J54" s="460" t="str">
        <f>IF(+All!$F577="Fresno State",+All!J577,IF(+All!$H577="Fresno State",+All!J577,0))</f>
        <v>Fresno State</v>
      </c>
      <c r="K54" s="461" t="str">
        <f>IF(+All!$F577="Fresno State",+All!K577,IF(+All!$H577="Fresno State",+All!K577,0))</f>
        <v>San Diego State</v>
      </c>
      <c r="L54" s="54">
        <f>IF(+All!$F577="Fresno State",+All!L577,IF(+All!$H577="Fresno State",+All!L577,0))</f>
        <v>8.5</v>
      </c>
      <c r="M54" s="55">
        <f>IF(+All!$F577="Fresno State",+All!M577,IF(+All!$H577="Fresno State",+All!M577,0))</f>
        <v>40.5</v>
      </c>
      <c r="N54" s="460" t="str">
        <f>IF(+All!$F577="Fresno State",+All!N577,IF(+All!$H577="Fresno State",+All!N577,0))</f>
        <v>Fresno State</v>
      </c>
      <c r="O54" s="462">
        <f>IF(+All!$F577="Fresno State",+All!O577,IF(+All!$H577="Fresno State",+All!O577,0))</f>
        <v>32</v>
      </c>
      <c r="P54" s="462" t="str">
        <f>IF(+All!$F577="Fresno State",+All!P577,IF(+All!$H577="Fresno State",+All!P577,0))</f>
        <v>San Diego State</v>
      </c>
      <c r="Q54" s="461">
        <f>IF(+All!$F577="Fresno State",+All!Q577,IF(+All!$H577="Fresno State",+All!Q577,0))</f>
        <v>28</v>
      </c>
      <c r="R54" s="460" t="str">
        <f>IF(+All!$F577="Fresno State",+All!R577,IF(+All!$H577="Fresno State",+All!R577,0))</f>
        <v>San Diego State</v>
      </c>
      <c r="S54" s="462" t="str">
        <f>IF(+All!$F577="Fresno State",+All!S577,IF(+All!$H577="Fresno State",+All!S577,0))</f>
        <v>Fresno State</v>
      </c>
      <c r="T54" s="460" t="str">
        <f>IF(+All!$F577="Fresno State",+All!T577,IF(+All!$H577="Fresno State",+All!T577,0))</f>
        <v>Fresno State</v>
      </c>
      <c r="U54" s="461" t="str">
        <f>IF(+All!$F577="Fresno State",+All!U577,IF(+All!$H577="Fresno State",+All!U577,0))</f>
        <v>L</v>
      </c>
    </row>
    <row r="55" spans="1:21" x14ac:dyDescent="0.8">
      <c r="A55" s="46">
        <f>IF(+All!$F632="Fresno State",+All!A632,IF(+All!$H632="Fresno State",+All!A632,0))</f>
        <v>10</v>
      </c>
      <c r="B55" s="348" t="str">
        <f>IF(+All!$F632="Fresno State",+All!B632,IF(+All!$H632="Fresno State",+All!B632,0))</f>
        <v>Sat</v>
      </c>
      <c r="C55" s="48">
        <f>IF(+All!$F632="Fresno State",+All!C632,IF(+All!$H632="Fresno State",+All!C632,0))</f>
        <v>44870</v>
      </c>
      <c r="D55" s="490">
        <f>IF(+All!$F632="Fresno State",+All!D632,IF(+All!$H632="Fresno State",+All!D632,0))</f>
        <v>0.9375</v>
      </c>
      <c r="E55" s="461" t="str">
        <f>IF(+All!$F632="Fresno State",+All!E632,IF(+All!$H632="Fresno State",+All!E632,0))</f>
        <v>FS2</v>
      </c>
      <c r="F55" s="51" t="str">
        <f>IF(+All!$F632="Fresno State",+All!F632,IF(+All!$H632="Fresno State",+All!F632,0))</f>
        <v>Hawaii</v>
      </c>
      <c r="G55" s="52" t="str">
        <f>IF(+All!$F632="Fresno State",+All!G632,IF(+All!$H632="Fresno State",+All!G632,0))</f>
        <v>MWC</v>
      </c>
      <c r="H55" s="51" t="str">
        <f>IF(+All!$F632="Fresno State",+All!H632,IF(+All!$H632="Fresno State",+All!H632,0))</f>
        <v>Fresno State</v>
      </c>
      <c r="I55" s="52" t="str">
        <f>IF(+All!$F632="Fresno State",+All!I632,IF(+All!$H632="Fresno State",+All!I632,0))</f>
        <v>MWC</v>
      </c>
      <c r="J55" s="460" t="str">
        <f>IF(+All!$F632="Fresno State",+All!J632,IF(+All!$H632="Fresno State",+All!J632,0))</f>
        <v>Fresno State</v>
      </c>
      <c r="K55" s="461" t="str">
        <f>IF(+All!$F632="Fresno State",+All!K632,IF(+All!$H632="Fresno State",+All!K632,0))</f>
        <v>Hawaii</v>
      </c>
      <c r="L55" s="54">
        <f>IF(+All!$F632="Fresno State",+All!L632,IF(+All!$H632="Fresno State",+All!L632,0))</f>
        <v>24.5</v>
      </c>
      <c r="M55" s="55">
        <f>IF(+All!$F632="Fresno State",+All!M632,IF(+All!$H632="Fresno State",+All!M632,0))</f>
        <v>61.5</v>
      </c>
      <c r="N55" s="460" t="str">
        <f>IF(+All!$F632="Fresno State",+All!N632,IF(+All!$H632="Fresno State",+All!N632,0))</f>
        <v>Fresno State</v>
      </c>
      <c r="O55" s="462">
        <f>IF(+All!$F632="Fresno State",+All!O632,IF(+All!$H632="Fresno State",+All!O632,0))</f>
        <v>55</v>
      </c>
      <c r="P55" s="462" t="str">
        <f>IF(+All!$F632="Fresno State",+All!P632,IF(+All!$H632="Fresno State",+All!P632,0))</f>
        <v>Hawaii</v>
      </c>
      <c r="Q55" s="461">
        <f>IF(+All!$F632="Fresno State",+All!Q632,IF(+All!$H632="Fresno State",+All!Q632,0))</f>
        <v>13</v>
      </c>
      <c r="R55" s="460" t="str">
        <f>IF(+All!$F632="Fresno State",+All!R632,IF(+All!$H632="Fresno State",+All!R632,0))</f>
        <v>Fresno State</v>
      </c>
      <c r="S55" s="462" t="str">
        <f>IF(+All!$F632="Fresno State",+All!S632,IF(+All!$H632="Fresno State",+All!S632,0))</f>
        <v>Hawaii</v>
      </c>
      <c r="T55" s="460" t="str">
        <f>IF(+All!$F632="Fresno State",+All!T632,IF(+All!$H632="Fresno State",+All!T632,0))</f>
        <v>Hawaii</v>
      </c>
      <c r="U55" s="461" t="str">
        <f>IF(+All!$F632="Fresno State",+All!U632,IF(+All!$H632="Fresno State",+All!U632,0))</f>
        <v>L</v>
      </c>
    </row>
    <row r="56" spans="1:21" x14ac:dyDescent="0.8">
      <c r="A56" s="46">
        <f>IF(+All!$F663="Fresno State",+All!A663,IF(+All!$H663="Fresno State",+All!A663,0))</f>
        <v>11</v>
      </c>
      <c r="B56" s="348" t="str">
        <f>IF(+All!$F663="Fresno State",+All!B663,IF(+All!$H663="Fresno State",+All!B663,0))</f>
        <v>Fri</v>
      </c>
      <c r="C56" s="48">
        <f>IF(+All!$F663="Fresno State",+All!C663,IF(+All!$H663="Fresno State",+All!C663,0))</f>
        <v>44875</v>
      </c>
      <c r="D56" s="490">
        <f>IF(+All!$F663="Fresno State",+All!D663,IF(+All!$H663="Fresno State",+All!D663,0))</f>
        <v>0.9375</v>
      </c>
      <c r="E56" s="461" t="str">
        <f>IF(+All!$F663="Fresno State",+All!E663,IF(+All!$H663="Fresno State",+All!E663,0))</f>
        <v>CBSSN</v>
      </c>
      <c r="F56" s="51" t="str">
        <f>IF(+All!$F663="Fresno State",+All!F663,IF(+All!$H663="Fresno State",+All!F663,0))</f>
        <v>Fresno State</v>
      </c>
      <c r="G56" s="52" t="str">
        <f>IF(+All!$F663="Fresno State",+All!G663,IF(+All!$H663="Fresno State",+All!G663,0))</f>
        <v>MWC</v>
      </c>
      <c r="H56" s="51" t="str">
        <f>IF(+All!$F663="Fresno State",+All!H663,IF(+All!$H663="Fresno State",+All!H663,0))</f>
        <v>UNLV</v>
      </c>
      <c r="I56" s="52" t="str">
        <f>IF(+All!$F663="Fresno State",+All!I663,IF(+All!$H663="Fresno State",+All!I663,0))</f>
        <v>MWC</v>
      </c>
      <c r="J56" s="460" t="str">
        <f>IF(+All!$F663="Fresno State",+All!J663,IF(+All!$H663="Fresno State",+All!J663,0))</f>
        <v>Fresno State</v>
      </c>
      <c r="K56" s="461" t="str">
        <f>IF(+All!$F663="Fresno State",+All!K663,IF(+All!$H663="Fresno State",+All!K663,0))</f>
        <v>UNLV</v>
      </c>
      <c r="L56" s="54">
        <f>IF(+All!$F663="Fresno State",+All!L663,IF(+All!$H663="Fresno State",+All!L663,0))</f>
        <v>9.5</v>
      </c>
      <c r="M56" s="55">
        <f>IF(+All!$F663="Fresno State",+All!M663,IF(+All!$H663="Fresno State",+All!M663,0))</f>
        <v>59</v>
      </c>
      <c r="N56" s="460" t="str">
        <f>IF(+All!$F663="Fresno State",+All!N663,IF(+All!$H663="Fresno State",+All!N663,0))</f>
        <v>Fresno State</v>
      </c>
      <c r="O56" s="462">
        <f>IF(+All!$F663="Fresno State",+All!O663,IF(+All!$H663="Fresno State",+All!O663,0))</f>
        <v>37</v>
      </c>
      <c r="P56" s="462" t="str">
        <f>IF(+All!$F663="Fresno State",+All!P663,IF(+All!$H663="Fresno State",+All!P663,0))</f>
        <v>UNLV</v>
      </c>
      <c r="Q56" s="461">
        <f>IF(+All!$F663="Fresno State",+All!Q663,IF(+All!$H663="Fresno State",+All!Q663,0))</f>
        <v>30</v>
      </c>
      <c r="R56" s="460" t="str">
        <f>IF(+All!$F663="Fresno State",+All!R663,IF(+All!$H663="Fresno State",+All!R663,0))</f>
        <v>UNLV</v>
      </c>
      <c r="S56" s="462" t="str">
        <f>IF(+All!$F663="Fresno State",+All!S663,IF(+All!$H663="Fresno State",+All!S663,0))</f>
        <v>Fresno State</v>
      </c>
      <c r="T56" s="460" t="str">
        <f>IF(+All!$F663="Fresno State",+All!T663,IF(+All!$H663="Fresno State",+All!T663,0))</f>
        <v>Fresno State</v>
      </c>
      <c r="U56" s="461" t="str">
        <f>IF(+All!$F663="Fresno State",+All!U663,IF(+All!$H663="Fresno State",+All!U663,0))</f>
        <v>L</v>
      </c>
    </row>
    <row r="57" spans="1:21" x14ac:dyDescent="0.8">
      <c r="A57" s="46">
        <f>IF(+All!$F760="Fresno State",+All!A760,IF(+All!$H760="Fresno State",+All!A760,0))</f>
        <v>12</v>
      </c>
      <c r="B57" s="348" t="str">
        <f>IF(+All!$F760="Fresno State",+All!B760,IF(+All!$H760="Fresno State",+All!B760,0))</f>
        <v>Sat</v>
      </c>
      <c r="C57" s="48">
        <f>IF(+All!$F760="Fresno State",+All!C760,IF(+All!$H760="Fresno State",+All!C760,0))</f>
        <v>44884</v>
      </c>
      <c r="D57" s="490">
        <f>IF(+All!$F760="Fresno State",+All!D760,IF(+All!$H760="Fresno State",+All!D760,0))</f>
        <v>0.9375</v>
      </c>
      <c r="E57" s="461" t="str">
        <f>IF(+All!$F760="Fresno State",+All!E760,IF(+All!$H760="Fresno State",+All!E760,0))</f>
        <v>CBSSN</v>
      </c>
      <c r="F57" s="51" t="str">
        <f>IF(+All!$F760="Fresno State",+All!F760,IF(+All!$H760="Fresno State",+All!F760,0))</f>
        <v>Fresno State</v>
      </c>
      <c r="G57" s="52" t="str">
        <f>IF(+All!$F760="Fresno State",+All!G760,IF(+All!$H760="Fresno State",+All!G760,0))</f>
        <v>MWC</v>
      </c>
      <c r="H57" s="51" t="str">
        <f>IF(+All!$F760="Fresno State",+All!H760,IF(+All!$H760="Fresno State",+All!H760,0))</f>
        <v>Nevada</v>
      </c>
      <c r="I57" s="52" t="str">
        <f>IF(+All!$F760="Fresno State",+All!I760,IF(+All!$H760="Fresno State",+All!I760,0))</f>
        <v>MWC</v>
      </c>
      <c r="J57" s="460" t="str">
        <f>IF(+All!$F760="Fresno State",+All!J760,IF(+All!$H760="Fresno State",+All!J760,0))</f>
        <v>Fresno State</v>
      </c>
      <c r="K57" s="461" t="str">
        <f>IF(+All!$F760="Fresno State",+All!K760,IF(+All!$H760="Fresno State",+All!K760,0))</f>
        <v>Nevada</v>
      </c>
      <c r="L57" s="54">
        <f>IF(+All!$F760="Fresno State",+All!L760,IF(+All!$H760="Fresno State",+All!L760,0))</f>
        <v>22.5</v>
      </c>
      <c r="M57" s="55">
        <f>IF(+All!$F760="Fresno State",+All!M760,IF(+All!$H760="Fresno State",+All!M760,0))</f>
        <v>53.5</v>
      </c>
      <c r="N57" s="460" t="str">
        <f>IF(+All!$F760="Fresno State",+All!N760,IF(+All!$H760="Fresno State",+All!N760,0))</f>
        <v>Fresno State</v>
      </c>
      <c r="O57" s="462">
        <f>IF(+All!$F760="Fresno State",+All!O760,IF(+All!$H760="Fresno State",+All!O760,0))</f>
        <v>41</v>
      </c>
      <c r="P57" s="462" t="str">
        <f>IF(+All!$F760="Fresno State",+All!P760,IF(+All!$H760="Fresno State",+All!P760,0))</f>
        <v>Nevada</v>
      </c>
      <c r="Q57" s="461">
        <f>IF(+All!$F760="Fresno State",+All!Q760,IF(+All!$H760="Fresno State",+All!Q760,0))</f>
        <v>14</v>
      </c>
      <c r="R57" s="460" t="str">
        <f>IF(+All!$F760="Fresno State",+All!R760,IF(+All!$H760="Fresno State",+All!R760,0))</f>
        <v>Fresno State</v>
      </c>
      <c r="S57" s="462" t="str">
        <f>IF(+All!$F760="Fresno State",+All!S760,IF(+All!$H760="Fresno State",+All!S760,0))</f>
        <v>Nevada</v>
      </c>
      <c r="T57" s="460" t="str">
        <f>IF(+All!$F760="Fresno State",+All!T760,IF(+All!$H760="Fresno State",+All!T760,0))</f>
        <v>Nevada</v>
      </c>
      <c r="U57" s="461" t="str">
        <f>IF(+All!$F760="Fresno State",+All!U760,IF(+All!$H760="Fresno State",+All!U760,0))</f>
        <v>L</v>
      </c>
    </row>
    <row r="58" spans="1:21" x14ac:dyDescent="0.8">
      <c r="A58" s="46">
        <f>IF(+All!$F798="Fresno State",+All!A798,IF(+All!$H798="Fresno State",+All!A798,0))</f>
        <v>13</v>
      </c>
      <c r="B58" s="348" t="str">
        <f>IF(+All!$F798="Fresno State",+All!B798,IF(+All!$H798="Fresno State",+All!B798,0))</f>
        <v>Fri</v>
      </c>
      <c r="C58" s="48">
        <f>IF(+All!$F798="Fresno State",+All!C798,IF(+All!$H798="Fresno State",+All!C798,0))</f>
        <v>44890</v>
      </c>
      <c r="D58" s="490">
        <f>IF(+All!$F798="Fresno State",+All!D798,IF(+All!$H798="Fresno State",+All!D798,0))</f>
        <v>0.91666666666666663</v>
      </c>
      <c r="E58" s="461" t="str">
        <f>IF(+All!$F798="Fresno State",+All!E798,IF(+All!$H798="Fresno State",+All!E798,0))</f>
        <v>FS1</v>
      </c>
      <c r="F58" s="51" t="str">
        <f>IF(+All!$F798="Fresno State",+All!F798,IF(+All!$H798="Fresno State",+All!F798,0))</f>
        <v>Wyoming</v>
      </c>
      <c r="G58" s="52" t="str">
        <f>IF(+All!$F798="Fresno State",+All!G798,IF(+All!$H798="Fresno State",+All!G798,0))</f>
        <v>MWC</v>
      </c>
      <c r="H58" s="51" t="str">
        <f>IF(+All!$F798="Fresno State",+All!H798,IF(+All!$H798="Fresno State",+All!H798,0))</f>
        <v>Fresno State</v>
      </c>
      <c r="I58" s="52" t="str">
        <f>IF(+All!$F798="Fresno State",+All!I798,IF(+All!$H798="Fresno State",+All!I798,0))</f>
        <v>MWC</v>
      </c>
      <c r="J58" s="460" t="str">
        <f>IF(+All!$F798="Fresno State",+All!J798,IF(+All!$H798="Fresno State",+All!J798,0))</f>
        <v>Fresno State</v>
      </c>
      <c r="K58" s="461" t="str">
        <f>IF(+All!$F798="Fresno State",+All!K798,IF(+All!$H798="Fresno State",+All!K798,0))</f>
        <v>Wyoming</v>
      </c>
      <c r="L58" s="54">
        <f>IF(+All!$F798="Fresno State",+All!L798,IF(+All!$H798="Fresno State",+All!L798,0))</f>
        <v>14.5</v>
      </c>
      <c r="M58" s="55">
        <f>IF(+All!$F798="Fresno State",+All!M798,IF(+All!$H798="Fresno State",+All!M798,0))</f>
        <v>50.5</v>
      </c>
      <c r="N58" s="460" t="str">
        <f>IF(+All!$F798="Fresno State",+All!N798,IF(+All!$H798="Fresno State",+All!N798,0))</f>
        <v>Fresno State</v>
      </c>
      <c r="O58" s="462">
        <f>IF(+All!$F798="Fresno State",+All!O798,IF(+All!$H798="Fresno State",+All!O798,0))</f>
        <v>30</v>
      </c>
      <c r="P58" s="462" t="str">
        <f>IF(+All!$F798="Fresno State",+All!P798,IF(+All!$H798="Fresno State",+All!P798,0))</f>
        <v>Wyoming</v>
      </c>
      <c r="Q58" s="461">
        <f>IF(+All!$F798="Fresno State",+All!Q798,IF(+All!$H798="Fresno State",+All!Q798,0))</f>
        <v>0</v>
      </c>
      <c r="R58" s="460" t="str">
        <f>IF(+All!$F798="Fresno State",+All!R798,IF(+All!$H798="Fresno State",+All!R798,0))</f>
        <v>Fresno State</v>
      </c>
      <c r="S58" s="462" t="str">
        <f>IF(+All!$F798="Fresno State",+All!S798,IF(+All!$H798="Fresno State",+All!S798,0))</f>
        <v>Wyoming</v>
      </c>
      <c r="T58" s="460" t="str">
        <f>IF(+All!$F798="Fresno State",+All!T798,IF(+All!$H798="Fresno State",+All!T798,0))</f>
        <v>Wyoming</v>
      </c>
      <c r="U58" s="461" t="str">
        <f>IF(+All!$F798="Fresno State",+All!U798,IF(+All!$H798="Fresno State",+All!U798,0))</f>
        <v>L</v>
      </c>
    </row>
    <row r="59" spans="1:21" x14ac:dyDescent="0.8">
      <c r="A59" s="38"/>
      <c r="B59" s="39"/>
      <c r="C59" s="40"/>
      <c r="D59" s="41"/>
      <c r="E59" s="463"/>
      <c r="F59" s="897" t="str">
        <f>F62</f>
        <v>Hawaii</v>
      </c>
      <c r="G59" s="901"/>
      <c r="H59" s="901"/>
      <c r="I59" s="902"/>
      <c r="J59" s="459"/>
      <c r="K59" s="463"/>
      <c r="L59" s="44"/>
      <c r="M59" s="45"/>
      <c r="N59" s="459"/>
      <c r="O59" s="5"/>
      <c r="P59" s="5"/>
      <c r="Q59" s="463"/>
      <c r="R59" s="459"/>
      <c r="S59" s="5"/>
      <c r="T59" s="459"/>
      <c r="U59" s="463"/>
    </row>
    <row r="60" spans="1:21" x14ac:dyDescent="0.8">
      <c r="A60" s="46">
        <f>IF(+All!$F12="Hawaii",+All!A12,IF(+All!$H12="Hawaii",+All!A12,0))</f>
        <v>0</v>
      </c>
      <c r="B60" s="348" t="str">
        <f>IF(+All!$F12="Hawaii",+All!B12,IF(+All!$H12="Hawaii",+All!B12,0))</f>
        <v>Sat</v>
      </c>
      <c r="C60" s="48">
        <f>IF(+All!$F12="Hawaii",+All!C12,IF(+All!$H12="Hawaii",+All!C12,0))</f>
        <v>44800</v>
      </c>
      <c r="D60" s="490">
        <f>IF(+All!$F12="Hawaii",+All!D12,IF(+All!$H12="Hawaii",+All!D12,0))</f>
        <v>0.9375</v>
      </c>
      <c r="E60" s="461" t="str">
        <f>IF(+All!$F12="Hawaii",+All!E12,IF(+All!$H12="Hawaii",+All!E12,0))</f>
        <v>CBSSN</v>
      </c>
      <c r="F60" s="51" t="str">
        <f>IF(+All!$F12="Hawaii",+All!F12,IF(+All!$H12="Hawaii",+All!F12,0))</f>
        <v>Vanderbilt</v>
      </c>
      <c r="G60" s="52" t="str">
        <f>IF(+All!$F12="Hawaii",+All!G12,IF(+All!$H12="Hawaii",+All!G12,0))</f>
        <v>SEC</v>
      </c>
      <c r="H60" s="51" t="str">
        <f>IF(+All!$F12="Hawaii",+All!H12,IF(+All!$H12="Hawaii",+All!H12,0))</f>
        <v>Hawaii</v>
      </c>
      <c r="I60" s="52" t="str">
        <f>IF(+All!$F12="Hawaii",+All!I12,IF(+All!$H12="Hawaii",+All!I12,0))</f>
        <v>MWC</v>
      </c>
      <c r="J60" s="460" t="str">
        <f>IF(+All!$F12="Hawaii",+All!J12,IF(+All!$H12="Hawaii",+All!J12,0))</f>
        <v>Vanderbilt</v>
      </c>
      <c r="K60" s="461" t="str">
        <f>IF(+All!$F12="Hawaii",+All!K12,IF(+All!$H12="Hawaii",+All!K12,0))</f>
        <v>Hawaii</v>
      </c>
      <c r="L60" s="54">
        <f>IF(+All!$F12="Hawaii",+All!L12,IF(+All!$H12="Hawaii",+All!L12,0))</f>
        <v>9.5</v>
      </c>
      <c r="M60" s="55">
        <f>IF(+All!$F12="Hawaii",+All!M12,IF(+All!$H12="Hawaii",+All!M12,0))</f>
        <v>54.6</v>
      </c>
      <c r="N60" s="460" t="str">
        <f>IF(+All!$F12="Hawaii",+All!N12,IF(+All!$H12="Hawaii",+All!N12,0))</f>
        <v>Vanderbilt</v>
      </c>
      <c r="O60" s="462">
        <f>IF(+All!$F12="Hawaii",+All!O12,IF(+All!$H12="Hawaii",+All!O12,0))</f>
        <v>63</v>
      </c>
      <c r="P60" s="462" t="str">
        <f>IF(+All!$F12="Hawaii",+All!P12,IF(+All!$H12="Hawaii",+All!P12,0))</f>
        <v>Hawaii</v>
      </c>
      <c r="Q60" s="461">
        <f>IF(+All!$F12="Hawaii",+All!Q12,IF(+All!$H12="Hawaii",+All!Q12,0))</f>
        <v>10</v>
      </c>
      <c r="R60" s="460" t="str">
        <f>IF(+All!$F12="Hawaii",+All!R12,IF(+All!$H12="Hawaii",+All!R12,0))</f>
        <v>Vanderbilt</v>
      </c>
      <c r="S60" s="462" t="str">
        <f>IF(+All!$F12="Hawaii",+All!S12,IF(+All!$H12="Hawaii",+All!S12,0))</f>
        <v>Hawaii</v>
      </c>
      <c r="T60" s="460" t="str">
        <f>IF(+All!$F12="Hawaii",+All!T12,IF(+All!$H12="Hawaii",+All!T12,0))</f>
        <v>Hawaii</v>
      </c>
      <c r="U60" s="461" t="str">
        <f>IF(+All!$F12="Hawaii",+All!U12,IF(+All!$H12="Hawaii",+All!U12,0))</f>
        <v>L</v>
      </c>
    </row>
    <row r="61" spans="1:21" x14ac:dyDescent="0.8">
      <c r="A61" s="46">
        <v>1</v>
      </c>
      <c r="B61" s="348" t="s">
        <v>34</v>
      </c>
      <c r="C61" s="48">
        <v>44805</v>
      </c>
      <c r="D61" s="490">
        <f>IF(+All!$F110="Florida Atlantic",+All!D110,IF(+All!$H110="Florida Atlantic",+All!D110,0))</f>
        <v>0</v>
      </c>
      <c r="E61" s="461">
        <f>IF(+All!$F110="Florida Atlantic",+All!E110,IF(+All!$H110="Florida Atlantic",+All!E110,0))</f>
        <v>0</v>
      </c>
      <c r="F61" s="51" t="s">
        <v>44</v>
      </c>
      <c r="G61" s="52" t="s">
        <v>45</v>
      </c>
      <c r="H61" s="51" t="s">
        <v>228</v>
      </c>
      <c r="I61" s="52" t="s">
        <v>229</v>
      </c>
      <c r="J61" s="460">
        <f>IF(+All!$F110="Florida Atlantic",+All!J110,IF(+All!$H110="Florida Atlantic",+All!J110,0))</f>
        <v>0</v>
      </c>
      <c r="K61" s="461">
        <f>IF(+All!$F110="Florida Atlantic",+All!K110,IF(+All!$H110="Florida Atlantic",+All!K110,0))</f>
        <v>0</v>
      </c>
      <c r="L61" s="54">
        <f>IF(+All!$F110="Florida Atlantic",+All!L110,IF(+All!$H110="Florida Atlantic",+All!L110,0))</f>
        <v>0</v>
      </c>
      <c r="M61" s="55">
        <f>IF(+All!$F110="Florida Atlantic",+All!M110,IF(+All!$H110="Florida Atlantic",+All!M110,0))</f>
        <v>0</v>
      </c>
      <c r="N61" s="460">
        <f>IF(+All!$F110="Florida Atlantic",+All!N110,IF(+All!$H110="Florida Atlantic",+All!N110,0))</f>
        <v>0</v>
      </c>
      <c r="O61" s="462">
        <f>IF(+All!$F110="Florida Atlantic",+All!O110,IF(+All!$H110="Florida Atlantic",+All!O110,0))</f>
        <v>0</v>
      </c>
      <c r="P61" s="462">
        <f>IF(+All!$F110="Florida Atlantic",+All!P110,IF(+All!$H110="Florida Atlantic",+All!P110,0))</f>
        <v>0</v>
      </c>
      <c r="Q61" s="461">
        <f>IF(+All!$F110="Florida Atlantic",+All!Q110,IF(+All!$H110="Florida Atlantic",+All!Q110,0))</f>
        <v>0</v>
      </c>
      <c r="R61" s="460">
        <f>IF(+All!$F110="Florida Atlantic",+All!R110,IF(+All!$H110="Florida Atlantic",+All!R110,0))</f>
        <v>0</v>
      </c>
      <c r="S61" s="462">
        <f>IF(+All!$F110="Florida Atlantic",+All!S110,IF(+All!$H110="Florida Atlantic",+All!S110,0))</f>
        <v>0</v>
      </c>
      <c r="T61" s="460">
        <f>IF(+All!$F110="Florida Atlantic",+All!T110,IF(+All!$H110="Florida Atlantic",+All!T110,0))</f>
        <v>0</v>
      </c>
      <c r="U61" s="461">
        <f>IF(+All!$F110="Florida Atlantic",+All!U110,IF(+All!$H110="Florida Atlantic",+All!U110,0))</f>
        <v>0</v>
      </c>
    </row>
    <row r="62" spans="1:21" x14ac:dyDescent="0.8">
      <c r="A62" s="46">
        <f>IF(+All!$F117="Hawaii",+All!A117,IF(+All!$H117="Hawaii",+All!A117,0))</f>
        <v>2</v>
      </c>
      <c r="B62" s="348" t="str">
        <f>IF(+All!$F117="Hawaii",+All!B117,IF(+All!$H117="Hawaii",+All!B117,0))</f>
        <v>Sat</v>
      </c>
      <c r="C62" s="48">
        <f>IF(+All!$F117="Hawaii",+All!C117,IF(+All!$H117="Hawaii",+All!C117,0))</f>
        <v>44814</v>
      </c>
      <c r="D62" s="490">
        <f>IF(+All!$F117="Hawaii",+All!D117,IF(+All!$H117="Hawaii",+All!D117,0))</f>
        <v>0.83333333333333337</v>
      </c>
      <c r="E62" s="461" t="str">
        <f>IF(+All!$F117="Hawaii",+All!E117,IF(+All!$H117="Hawaii",+All!E117,0))</f>
        <v>BTN</v>
      </c>
      <c r="F62" s="51" t="str">
        <f>IF(+All!$F117="Hawaii",+All!F117,IF(+All!$H117="Hawaii",+All!F117,0))</f>
        <v>Hawaii</v>
      </c>
      <c r="G62" s="52" t="str">
        <f>IF(+All!$F117="Hawaii",+All!G117,IF(+All!$H117="Hawaii",+All!G117,0))</f>
        <v>MWC</v>
      </c>
      <c r="H62" s="51" t="str">
        <f>IF(+All!$F117="Hawaii",+All!H117,IF(+All!$H117="Hawaii",+All!H117,0))</f>
        <v>Michigan</v>
      </c>
      <c r="I62" s="52" t="str">
        <f>IF(+All!$F117="Hawaii",+All!I117,IF(+All!$H117="Hawaii",+All!I117,0))</f>
        <v>B10</v>
      </c>
      <c r="J62" s="460" t="str">
        <f>IF(+All!$F117="Hawaii",+All!J117,IF(+All!$H117="Hawaii",+All!J117,0))</f>
        <v>Michigan</v>
      </c>
      <c r="K62" s="461" t="str">
        <f>IF(+All!$F117="Hawaii",+All!K117,IF(+All!$H117="Hawaii",+All!K117,0))</f>
        <v>Hawaii</v>
      </c>
      <c r="L62" s="54">
        <f>IF(+All!$F117="Hawaii",+All!L117,IF(+All!$H117="Hawaii",+All!L117,0))</f>
        <v>51.5</v>
      </c>
      <c r="M62" s="55">
        <f>IF(+All!$F117="Hawaii",+All!M117,IF(+All!$H117="Hawaii",+All!M117,0))</f>
        <v>67</v>
      </c>
      <c r="N62" s="460" t="str">
        <f>IF(+All!$F117="Hawaii",+All!N117,IF(+All!$H117="Hawaii",+All!N117,0))</f>
        <v>Michigan</v>
      </c>
      <c r="O62" s="462">
        <f>IF(+All!$F117="Hawaii",+All!O117,IF(+All!$H117="Hawaii",+All!O117,0))</f>
        <v>56</v>
      </c>
      <c r="P62" s="462" t="str">
        <f>IF(+All!$F117="Hawaii",+All!P117,IF(+All!$H117="Hawaii",+All!P117,0))</f>
        <v>Hawaii</v>
      </c>
      <c r="Q62" s="461">
        <f>IF(+All!$F117="Hawaii",+All!Q117,IF(+All!$H117="Hawaii",+All!Q117,0))</f>
        <v>10</v>
      </c>
      <c r="R62" s="460" t="str">
        <f>IF(+All!$F117="Hawaii",+All!R117,IF(+All!$H117="Hawaii",+All!R117,0))</f>
        <v>Hawaii</v>
      </c>
      <c r="S62" s="462" t="str">
        <f>IF(+All!$F117="Hawaii",+All!S117,IF(+All!$H117="Hawaii",+All!S117,0))</f>
        <v>Michigan</v>
      </c>
      <c r="T62" s="460" t="str">
        <f>IF(+All!$F117="Hawaii",+All!T117,IF(+All!$H117="Hawaii",+All!T117,0))</f>
        <v>Hawaii</v>
      </c>
      <c r="U62" s="461" t="str">
        <f>IF(+All!$F117="Hawaii",+All!U117,IF(+All!$H117="Hawaii",+All!U117,0))</f>
        <v>W</v>
      </c>
    </row>
    <row r="63" spans="1:21" x14ac:dyDescent="0.8">
      <c r="A63" s="46">
        <f>IF(+All!$F226="Hawaii",+All!A226,IF(+All!$H226="Hawaii",+All!A226,0))</f>
        <v>3</v>
      </c>
      <c r="B63" s="348" t="str">
        <f>IF(+All!$F226="Hawaii",+All!B226,IF(+All!$H226="Hawaii",+All!B226,0))</f>
        <v>Sat</v>
      </c>
      <c r="C63" s="48">
        <f>IF(+All!$F226="Hawaii",+All!C226,IF(+All!$H226="Hawaii",+All!C226,0))</f>
        <v>44821</v>
      </c>
      <c r="D63" s="490">
        <f>IF(+All!$F226="Hawaii",+All!D226,IF(+All!$H226="Hawaii",+All!D226,0))</f>
        <v>0.99958333333333327</v>
      </c>
      <c r="E63" s="461">
        <f>IF(+All!$F226="Hawaii",+All!E226,IF(+All!$H226="Hawaii",+All!E226,0))</f>
        <v>0</v>
      </c>
      <c r="F63" s="51" t="str">
        <f>IF(+All!$F226="Hawaii",+All!F226,IF(+All!$H226="Hawaii",+All!F226,0))</f>
        <v>1AA Duquesne</v>
      </c>
      <c r="G63" s="52" t="str">
        <f>IF(+All!$F226="Hawaii",+All!G226,IF(+All!$H226="Hawaii",+All!G226,0))</f>
        <v>1AA</v>
      </c>
      <c r="H63" s="51" t="str">
        <f>IF(+All!$F226="Hawaii",+All!H226,IF(+All!$H226="Hawaii",+All!H226,0))</f>
        <v>Hawaii</v>
      </c>
      <c r="I63" s="52" t="str">
        <f>IF(+All!$F226="Hawaii",+All!I226,IF(+All!$H226="Hawaii",+All!I226,0))</f>
        <v>MWC</v>
      </c>
      <c r="J63" s="460">
        <f>IF(+All!$F226="Hawaii",+All!J226,IF(+All!$H226="Hawaii",+All!J226,0))</f>
        <v>0</v>
      </c>
      <c r="K63" s="461">
        <f>IF(+All!$F226="Hawaii",+All!K226,IF(+All!$H226="Hawaii",+All!K226,0))</f>
        <v>0</v>
      </c>
      <c r="L63" s="54">
        <f>IF(+All!$F226="Hawaii",+All!L226,IF(+All!$H226="Hawaii",+All!L226,0))</f>
        <v>0</v>
      </c>
      <c r="M63" s="55">
        <f>IF(+All!$F226="Hawaii",+All!M226,IF(+All!$H226="Hawaii",+All!M226,0))</f>
        <v>0</v>
      </c>
      <c r="N63" s="460" t="str">
        <f>IF(+All!$F226="Hawaii",+All!N226,IF(+All!$H226="Hawaii",+All!N226,0))</f>
        <v>Hawaii</v>
      </c>
      <c r="O63" s="462">
        <f>IF(+All!$F226="Hawaii",+All!O226,IF(+All!$H226="Hawaii",+All!O226,0))</f>
        <v>24</v>
      </c>
      <c r="P63" s="462" t="str">
        <f>IF(+All!$F226="Hawaii",+All!P226,IF(+All!$H226="Hawaii",+All!P226,0))</f>
        <v>1AA Duquesne</v>
      </c>
      <c r="Q63" s="461">
        <f>IF(+All!$F226="Hawaii",+All!Q226,IF(+All!$H226="Hawaii",+All!Q226,0))</f>
        <v>14</v>
      </c>
      <c r="R63" s="460">
        <f>IF(+All!$F226="Hawaii",+All!R226,IF(+All!$H226="Hawaii",+All!R226,0))</f>
        <v>0</v>
      </c>
      <c r="S63" s="462">
        <f>IF(+All!$F226="Hawaii",+All!S226,IF(+All!$H226="Hawaii",+All!S226,0))</f>
        <v>0</v>
      </c>
      <c r="T63" s="460">
        <f>IF(+All!$F226="Hawaii",+All!T226,IF(+All!$H226="Hawaii",+All!T226,0))</f>
        <v>0</v>
      </c>
      <c r="U63" s="461">
        <f>IF(+All!$F226="Hawaii",+All!U226,IF(+All!$H226="Hawaii",+All!U226,0))</f>
        <v>0</v>
      </c>
    </row>
    <row r="64" spans="1:21" x14ac:dyDescent="0.8">
      <c r="A64" s="46">
        <f>IF(+All!$F287="Hawaii",+All!A287,IF(+All!$H287="Hawaii",+All!A287,0))</f>
        <v>4</v>
      </c>
      <c r="B64" s="348" t="str">
        <f>IF(+All!$F287="Hawaii",+All!B287,IF(+All!$H287="Hawaii",+All!B287,0))</f>
        <v>Sat</v>
      </c>
      <c r="C64" s="48">
        <f>IF(+All!$F287="Hawaii",+All!C287,IF(+All!$H287="Hawaii",+All!C287,0))</f>
        <v>44828</v>
      </c>
      <c r="D64" s="490">
        <f>IF(+All!$F287="Hawaii",+All!D287,IF(+All!$H287="Hawaii",+All!D287,0))</f>
        <v>0.83333333333333337</v>
      </c>
      <c r="E64" s="461">
        <f>IF(+All!$F287="Hawaii",+All!E287,IF(+All!$H287="Hawaii",+All!E287,0))</f>
        <v>0</v>
      </c>
      <c r="F64" s="51" t="str">
        <f>IF(+All!$F287="Hawaii",+All!F287,IF(+All!$H287="Hawaii",+All!F287,0))</f>
        <v>Hawaii</v>
      </c>
      <c r="G64" s="52" t="str">
        <f>IF(+All!$F287="Hawaii",+All!G287,IF(+All!$H287="Hawaii",+All!G287,0))</f>
        <v>MWC</v>
      </c>
      <c r="H64" s="51" t="str">
        <f>IF(+All!$F287="Hawaii",+All!H287,IF(+All!$H287="Hawaii",+All!H287,0))</f>
        <v>New Mexico State</v>
      </c>
      <c r="I64" s="52" t="str">
        <f>IF(+All!$F287="Hawaii",+All!I287,IF(+All!$H287="Hawaii",+All!I287,0))</f>
        <v>Ind</v>
      </c>
      <c r="J64" s="460" t="str">
        <f>IF(+All!$F287="Hawaii",+All!J287,IF(+All!$H287="Hawaii",+All!J287,0))</f>
        <v>New Mexico State</v>
      </c>
      <c r="K64" s="461" t="str">
        <f>IF(+All!$F287="Hawaii",+All!K287,IF(+All!$H287="Hawaii",+All!K287,0))</f>
        <v>Hawaii</v>
      </c>
      <c r="L64" s="54">
        <f>IF(+All!$F287="Hawaii",+All!L287,IF(+All!$H287="Hawaii",+All!L287,0))</f>
        <v>5</v>
      </c>
      <c r="M64" s="55">
        <f>IF(+All!$F287="Hawaii",+All!M287,IF(+All!$H287="Hawaii",+All!M287,0))</f>
        <v>54</v>
      </c>
      <c r="N64" s="460" t="str">
        <f>IF(+All!$F287="Hawaii",+All!N287,IF(+All!$H287="Hawaii",+All!N287,0))</f>
        <v>New Mexico State</v>
      </c>
      <c r="O64" s="462">
        <f>IF(+All!$F287="Hawaii",+All!O287,IF(+All!$H287="Hawaii",+All!O287,0))</f>
        <v>45</v>
      </c>
      <c r="P64" s="462" t="str">
        <f>IF(+All!$F287="Hawaii",+All!P287,IF(+All!$H287="Hawaii",+All!P287,0))</f>
        <v>Hawaii</v>
      </c>
      <c r="Q64" s="461">
        <f>IF(+All!$F287="Hawaii",+All!Q287,IF(+All!$H287="Hawaii",+All!Q287,0))</f>
        <v>26</v>
      </c>
      <c r="R64" s="460" t="str">
        <f>IF(+All!$F287="Hawaii",+All!R287,IF(+All!$H287="Hawaii",+All!R287,0))</f>
        <v>New Mexico State</v>
      </c>
      <c r="S64" s="462" t="str">
        <f>IF(+All!$F287="Hawaii",+All!S287,IF(+All!$H287="Hawaii",+All!S287,0))</f>
        <v>Hawaii</v>
      </c>
      <c r="T64" s="460" t="str">
        <f>IF(+All!$F287="Hawaii",+All!T287,IF(+All!$H287="Hawaii",+All!T287,0))</f>
        <v>New Mexico State</v>
      </c>
      <c r="U64" s="461" t="str">
        <f>IF(+All!$F287="Hawaii",+All!U287,IF(+All!$H287="Hawaii",+All!U287,0))</f>
        <v>W</v>
      </c>
    </row>
    <row r="65" spans="1:21" x14ac:dyDescent="0.8">
      <c r="A65" s="46" t="e">
        <f>IF(+All!#REF!="Hawaii",+All!#REF!,IF(+All!#REF!="Hawaii",+All!#REF!,0))</f>
        <v>#REF!</v>
      </c>
      <c r="B65" s="348" t="e">
        <f>IF(+All!#REF!="Hawaii",+All!#REF!,IF(+All!#REF!="Hawaii",+All!#REF!,0))</f>
        <v>#REF!</v>
      </c>
      <c r="C65" s="48" t="e">
        <f>IF(+All!#REF!="Hawaii",+All!#REF!,IF(+All!#REF!="Hawaii",+All!#REF!,0))</f>
        <v>#REF!</v>
      </c>
      <c r="D65" s="490" t="e">
        <f>IF(+All!#REF!="Hawaii",+All!#REF!,IF(+All!#REF!="Hawaii",+All!#REF!,0))</f>
        <v>#REF!</v>
      </c>
      <c r="E65" s="461" t="e">
        <f>IF(+All!#REF!="Hawaii",+All!#REF!,IF(+All!#REF!="Hawaii",+All!#REF!,0))</f>
        <v>#REF!</v>
      </c>
      <c r="F65" s="51" t="e">
        <f>IF(+All!#REF!="Hawaii",+All!#REF!,IF(+All!#REF!="Hawaii",+All!#REF!,0))</f>
        <v>#REF!</v>
      </c>
      <c r="G65" s="52" t="e">
        <f>IF(+All!#REF!="Hawaii",+All!#REF!,IF(+All!#REF!="Hawaii",+All!#REF!,0))</f>
        <v>#REF!</v>
      </c>
      <c r="H65" s="51" t="e">
        <f>IF(+All!#REF!="Hawaii",+All!#REF!,IF(+All!#REF!="Hawaii",+All!#REF!,0))</f>
        <v>#REF!</v>
      </c>
      <c r="I65" s="52" t="e">
        <f>IF(+All!#REF!="Hawaii",+All!#REF!,IF(+All!#REF!="Hawaii",+All!#REF!,0))</f>
        <v>#REF!</v>
      </c>
      <c r="J65" s="460" t="e">
        <f>IF(+All!#REF!="Hawaii",+All!#REF!,IF(+All!#REF!="Hawaii",+All!#REF!,0))</f>
        <v>#REF!</v>
      </c>
      <c r="K65" s="461" t="e">
        <f>IF(+All!#REF!="Hawaii",+All!#REF!,IF(+All!#REF!="Hawaii",+All!#REF!,0))</f>
        <v>#REF!</v>
      </c>
      <c r="L65" s="54" t="e">
        <f>IF(+All!#REF!="Hawaii",+All!#REF!,IF(+All!#REF!="Hawaii",+All!#REF!,0))</f>
        <v>#REF!</v>
      </c>
      <c r="M65" s="55" t="e">
        <f>IF(+All!#REF!="Hawaii",+All!#REF!,IF(+All!#REF!="Hawaii",+All!#REF!,0))</f>
        <v>#REF!</v>
      </c>
      <c r="N65" s="460" t="e">
        <f>IF(+All!#REF!="Hawaii",+All!#REF!,IF(+All!#REF!="Hawaii",+All!#REF!,0))</f>
        <v>#REF!</v>
      </c>
      <c r="O65" s="462" t="e">
        <f>IF(+All!#REF!="Hawaii",+All!#REF!,IF(+All!#REF!="Hawaii",+All!#REF!,0))</f>
        <v>#REF!</v>
      </c>
      <c r="P65" s="462" t="e">
        <f>IF(+All!#REF!="Hawaii",+All!#REF!,IF(+All!#REF!="Hawaii",+All!#REF!,0))</f>
        <v>#REF!</v>
      </c>
      <c r="Q65" s="461" t="e">
        <f>IF(+All!#REF!="Hawaii",+All!#REF!,IF(+All!#REF!="Hawaii",+All!#REF!,0))</f>
        <v>#REF!</v>
      </c>
      <c r="R65" s="460" t="e">
        <f>IF(+All!#REF!="Hawaii",+All!#REF!,IF(+All!#REF!="Hawaii",+All!#REF!,0))</f>
        <v>#REF!</v>
      </c>
      <c r="S65" s="462" t="e">
        <f>IF(+All!#REF!="Hawaii",+All!#REF!,IF(+All!#REF!="Hawaii",+All!#REF!,0))</f>
        <v>#REF!</v>
      </c>
      <c r="T65" s="460" t="e">
        <f>IF(+All!#REF!="Hawaii",+All!#REF!,IF(+All!#REF!="Hawaii",+All!#REF!,0))</f>
        <v>#REF!</v>
      </c>
      <c r="U65" s="461" t="e">
        <f>IF(+All!#REF!="Hawaii",+All!#REF!,IF(+All!#REF!="Hawaii",+All!#REF!,0))</f>
        <v>#REF!</v>
      </c>
    </row>
    <row r="66" spans="1:21" x14ac:dyDescent="0.8">
      <c r="A66" s="46">
        <f>IF(+All!$F419="Hawaii",+All!A419,IF(+All!$H419="Hawaii",+All!A419,0))</f>
        <v>6</v>
      </c>
      <c r="B66" s="348" t="str">
        <f>IF(+All!$F419="Hawaii",+All!B419,IF(+All!$H419="Hawaii",+All!B419,0))</f>
        <v>Sat</v>
      </c>
      <c r="C66" s="48">
        <f>IF(+All!$F419="Hawaii",+All!C419,IF(+All!$H419="Hawaii",+All!C419,0))</f>
        <v>44842</v>
      </c>
      <c r="D66" s="490">
        <f>IF(+All!$F419="Hawaii",+All!D419,IF(+All!$H419="Hawaii",+All!D419,0))</f>
        <v>0.9375</v>
      </c>
      <c r="E66" s="461" t="str">
        <f>IF(+All!$F419="Hawaii",+All!E419,IF(+All!$H419="Hawaii",+All!E419,0))</f>
        <v>CBSSN</v>
      </c>
      <c r="F66" s="51" t="str">
        <f>IF(+All!$F419="Hawaii",+All!F419,IF(+All!$H419="Hawaii",+All!F419,0))</f>
        <v>Hawaii</v>
      </c>
      <c r="G66" s="52" t="str">
        <f>IF(+All!$F419="Hawaii",+All!G419,IF(+All!$H419="Hawaii",+All!G419,0))</f>
        <v>MWC</v>
      </c>
      <c r="H66" s="51" t="str">
        <f>IF(+All!$F419="Hawaii",+All!H419,IF(+All!$H419="Hawaii",+All!H419,0))</f>
        <v>San Diego State</v>
      </c>
      <c r="I66" s="52" t="str">
        <f>IF(+All!$F419="Hawaii",+All!I419,IF(+All!$H419="Hawaii",+All!I419,0))</f>
        <v>MWC</v>
      </c>
      <c r="J66" s="460" t="str">
        <f>IF(+All!$F419="Hawaii",+All!J419,IF(+All!$H419="Hawaii",+All!J419,0))</f>
        <v>San Diego State</v>
      </c>
      <c r="K66" s="461" t="str">
        <f>IF(+All!$F419="Hawaii",+All!K419,IF(+All!$H419="Hawaii",+All!K419,0))</f>
        <v>Hawaii</v>
      </c>
      <c r="L66" s="54">
        <f>IF(+All!$F419="Hawaii",+All!L419,IF(+All!$H419="Hawaii",+All!L419,0))</f>
        <v>21</v>
      </c>
      <c r="M66" s="55">
        <f>IF(+All!$F419="Hawaii",+All!M419,IF(+All!$H419="Hawaii",+All!M419,0))</f>
        <v>48</v>
      </c>
      <c r="N66" s="460" t="str">
        <f>IF(+All!$F419="Hawaii",+All!N419,IF(+All!$H419="Hawaii",+All!N419,0))</f>
        <v>San Diego State</v>
      </c>
      <c r="O66" s="462">
        <f>IF(+All!$F419="Hawaii",+All!O419,IF(+All!$H419="Hawaii",+All!O419,0))</f>
        <v>16</v>
      </c>
      <c r="P66" s="462" t="str">
        <f>IF(+All!$F419="Hawaii",+All!P419,IF(+All!$H419="Hawaii",+All!P419,0))</f>
        <v>Hawaii</v>
      </c>
      <c r="Q66" s="461">
        <f>IF(+All!$F419="Hawaii",+All!Q419,IF(+All!$H419="Hawaii",+All!Q419,0))</f>
        <v>14</v>
      </c>
      <c r="R66" s="460" t="str">
        <f>IF(+All!$F419="Hawaii",+All!R419,IF(+All!$H419="Hawaii",+All!R419,0))</f>
        <v>Hawaii</v>
      </c>
      <c r="S66" s="462" t="str">
        <f>IF(+All!$F419="Hawaii",+All!S419,IF(+All!$H419="Hawaii",+All!S419,0))</f>
        <v>San Diego State</v>
      </c>
      <c r="T66" s="460" t="str">
        <f>IF(+All!$F419="Hawaii",+All!T419,IF(+All!$H419="Hawaii",+All!T419,0))</f>
        <v>Hawaii</v>
      </c>
      <c r="U66" s="461" t="str">
        <f>IF(+All!$F419="Hawaii",+All!U419,IF(+All!$H419="Hawaii",+All!U419,0))</f>
        <v>W</v>
      </c>
    </row>
    <row r="67" spans="1:21" x14ac:dyDescent="0.8">
      <c r="A67" s="46">
        <f>IF(+All!$F475="Hawaii",+All!A475,IF(+All!$H475="Hawaii",+All!A475,0))</f>
        <v>7</v>
      </c>
      <c r="B67" s="348" t="str">
        <f>IF(+All!$F475="Hawaii",+All!B475,IF(+All!$H475="Hawaii",+All!B475,0))</f>
        <v>Sat</v>
      </c>
      <c r="C67" s="48">
        <f>IF(+All!$F475="Hawaii",+All!C475,IF(+All!$H475="Hawaii",+All!C475,0))</f>
        <v>44849</v>
      </c>
      <c r="D67" s="490">
        <f>IF(+All!$F475="Hawaii",+All!D475,IF(+All!$H475="Hawaii",+All!D475,0))</f>
        <v>0.99995833333333328</v>
      </c>
      <c r="E67" s="461">
        <f>IF(+All!$F475="Hawaii",+All!E475,IF(+All!$H475="Hawaii",+All!E475,0))</f>
        <v>0</v>
      </c>
      <c r="F67" s="51" t="str">
        <f>IF(+All!$F475="Hawaii",+All!F475,IF(+All!$H475="Hawaii",+All!F475,0))</f>
        <v>Nevada</v>
      </c>
      <c r="G67" s="52" t="str">
        <f>IF(+All!$F475="Hawaii",+All!G475,IF(+All!$H475="Hawaii",+All!G475,0))</f>
        <v>MWC</v>
      </c>
      <c r="H67" s="51" t="str">
        <f>IF(+All!$F475="Hawaii",+All!H475,IF(+All!$H475="Hawaii",+All!H475,0))</f>
        <v>Hawaii</v>
      </c>
      <c r="I67" s="52" t="str">
        <f>IF(+All!$F475="Hawaii",+All!I475,IF(+All!$H475="Hawaii",+All!I475,0))</f>
        <v>MWC</v>
      </c>
      <c r="J67" s="460" t="str">
        <f>IF(+All!$F475="Hawaii",+All!J475,IF(+All!$H475="Hawaii",+All!J475,0))</f>
        <v>Nevada</v>
      </c>
      <c r="K67" s="461" t="str">
        <f>IF(+All!$F475="Hawaii",+All!K475,IF(+All!$H475="Hawaii",+All!K475,0))</f>
        <v>Hawaii</v>
      </c>
      <c r="L67" s="54">
        <f>IF(+All!$F475="Hawaii",+All!L475,IF(+All!$H475="Hawaii",+All!L475,0))</f>
        <v>6</v>
      </c>
      <c r="M67" s="55">
        <f>IF(+All!$F475="Hawaii",+All!M475,IF(+All!$H475="Hawaii",+All!M475,0))</f>
        <v>49.5</v>
      </c>
      <c r="N67" s="460" t="str">
        <f>IF(+All!$F475="Hawaii",+All!N475,IF(+All!$H475="Hawaii",+All!N475,0))</f>
        <v>Hawaii</v>
      </c>
      <c r="O67" s="462">
        <f>IF(+All!$F475="Hawaii",+All!O475,IF(+All!$H475="Hawaii",+All!O475,0))</f>
        <v>31</v>
      </c>
      <c r="P67" s="462" t="str">
        <f>IF(+All!$F475="Hawaii",+All!P475,IF(+All!$H475="Hawaii",+All!P475,0))</f>
        <v>Nevada</v>
      </c>
      <c r="Q67" s="461">
        <f>IF(+All!$F475="Hawaii",+All!Q475,IF(+All!$H475="Hawaii",+All!Q475,0))</f>
        <v>16</v>
      </c>
      <c r="R67" s="460" t="str">
        <f>IF(+All!$F475="Hawaii",+All!R475,IF(+All!$H475="Hawaii",+All!R475,0))</f>
        <v>Hawaii</v>
      </c>
      <c r="S67" s="462" t="str">
        <f>IF(+All!$F475="Hawaii",+All!S475,IF(+All!$H475="Hawaii",+All!S475,0))</f>
        <v>Nevada</v>
      </c>
      <c r="T67" s="460" t="str">
        <f>IF(+All!$F475="Hawaii",+All!T475,IF(+All!$H475="Hawaii",+All!T475,0))</f>
        <v>Nevada</v>
      </c>
      <c r="U67" s="461" t="str">
        <f>IF(+All!$F475="Hawaii",+All!U475,IF(+All!$H475="Hawaii",+All!U475,0))</f>
        <v>L</v>
      </c>
    </row>
    <row r="68" spans="1:21" x14ac:dyDescent="0.8">
      <c r="A68" s="46">
        <f>IF(+All!$F528="Hawaii",+All!A528,IF(+All!$H528="Hawaii",+All!A528,0))</f>
        <v>8</v>
      </c>
      <c r="B68" s="348" t="str">
        <f>IF(+All!$F528="Hawaii",+All!B528,IF(+All!$H528="Hawaii",+All!B528,0))</f>
        <v>Sat</v>
      </c>
      <c r="C68" s="48">
        <f>IF(+All!$F528="Hawaii",+All!C528,IF(+All!$H528="Hawaii",+All!C528,0))</f>
        <v>44856</v>
      </c>
      <c r="D68" s="490">
        <f>IF(+All!$F528="Hawaii",+All!D528,IF(+All!$H528="Hawaii",+All!D528,0))</f>
        <v>0.66666666666666663</v>
      </c>
      <c r="E68" s="461">
        <f>IF(+All!$F528="Hawaii",+All!E528,IF(+All!$H528="Hawaii",+All!E528,0))</f>
        <v>0</v>
      </c>
      <c r="F68" s="51" t="str">
        <f>IF(+All!$F528="Hawaii",+All!F528,IF(+All!$H528="Hawaii",+All!F528,0))</f>
        <v>Hawaii</v>
      </c>
      <c r="G68" s="52" t="str">
        <f>IF(+All!$F528="Hawaii",+All!G528,IF(+All!$H528="Hawaii",+All!G528,0))</f>
        <v>MWC</v>
      </c>
      <c r="H68" s="51" t="str">
        <f>IF(+All!$F528="Hawaii",+All!H528,IF(+All!$H528="Hawaii",+All!H528,0))</f>
        <v>Colorado State</v>
      </c>
      <c r="I68" s="52" t="str">
        <f>IF(+All!$F528="Hawaii",+All!I528,IF(+All!$H528="Hawaii",+All!I528,0))</f>
        <v>MWC</v>
      </c>
      <c r="J68" s="460" t="str">
        <f>IF(+All!$F528="Hawaii",+All!J528,IF(+All!$H528="Hawaii",+All!J528,0))</f>
        <v>Colorado State</v>
      </c>
      <c r="K68" s="461" t="str">
        <f>IF(+All!$F528="Hawaii",+All!K528,IF(+All!$H528="Hawaii",+All!K528,0))</f>
        <v>Hawaii</v>
      </c>
      <c r="L68" s="54">
        <f>IF(+All!$F528="Hawaii",+All!L528,IF(+All!$H528="Hawaii",+All!L528,0))</f>
        <v>5</v>
      </c>
      <c r="M68" s="55">
        <f>IF(+All!$F528="Hawaii",+All!M528,IF(+All!$H528="Hawaii",+All!M528,0))</f>
        <v>46.5</v>
      </c>
      <c r="N68" s="460" t="str">
        <f>IF(+All!$F528="Hawaii",+All!N528,IF(+All!$H528="Hawaii",+All!N528,0))</f>
        <v>Colorado State</v>
      </c>
      <c r="O68" s="462">
        <f>IF(+All!$F528="Hawaii",+All!O528,IF(+All!$H528="Hawaii",+All!O528,0))</f>
        <v>17</v>
      </c>
      <c r="P68" s="462" t="str">
        <f>IF(+All!$F528="Hawaii",+All!P528,IF(+All!$H528="Hawaii",+All!P528,0))</f>
        <v>Hawaii</v>
      </c>
      <c r="Q68" s="461">
        <f>IF(+All!$F528="Hawaii",+All!Q528,IF(+All!$H528="Hawaii",+All!Q528,0))</f>
        <v>13</v>
      </c>
      <c r="R68" s="460" t="str">
        <f>IF(+All!$F528="Hawaii",+All!R528,IF(+All!$H528="Hawaii",+All!R528,0))</f>
        <v>Hawaii</v>
      </c>
      <c r="S68" s="462" t="str">
        <f>IF(+All!$F528="Hawaii",+All!S528,IF(+All!$H528="Hawaii",+All!S528,0))</f>
        <v>Colorado State</v>
      </c>
      <c r="T68" s="460" t="str">
        <f>IF(+All!$F528="Hawaii",+All!T528,IF(+All!$H528="Hawaii",+All!T528,0))</f>
        <v>Hawaii</v>
      </c>
      <c r="U68" s="461" t="str">
        <f>IF(+All!$F528="Hawaii",+All!U528,IF(+All!$H528="Hawaii",+All!U528,0))</f>
        <v>W</v>
      </c>
    </row>
    <row r="69" spans="1:21" x14ac:dyDescent="0.8">
      <c r="A69" s="46">
        <f>IF(+All!$F578="Hawaii",+All!A578,IF(+All!$H578="Hawaii",+All!A578,0))</f>
        <v>9</v>
      </c>
      <c r="B69" s="348" t="str">
        <f>IF(+All!$F578="Hawaii",+All!B578,IF(+All!$H578="Hawaii",+All!B578,0))</f>
        <v>Sat</v>
      </c>
      <c r="C69" s="48">
        <f>IF(+All!$F578="Hawaii",+All!C578,IF(+All!$H578="Hawaii",+All!C578,0))</f>
        <v>44863</v>
      </c>
      <c r="D69" s="490">
        <f>IF(+All!$F578="Hawaii",+All!D578,IF(+All!$H578="Hawaii",+All!D578,0))</f>
        <v>0.99995833333333328</v>
      </c>
      <c r="E69" s="461">
        <f>IF(+All!$F578="Hawaii",+All!E578,IF(+All!$H578="Hawaii",+All!E578,0))</f>
        <v>0</v>
      </c>
      <c r="F69" s="51" t="str">
        <f>IF(+All!$F578="Hawaii",+All!F578,IF(+All!$H578="Hawaii",+All!F578,0))</f>
        <v>Wyoming</v>
      </c>
      <c r="G69" s="52" t="str">
        <f>IF(+All!$F578="Hawaii",+All!G578,IF(+All!$H578="Hawaii",+All!G578,0))</f>
        <v>MWC</v>
      </c>
      <c r="H69" s="51" t="str">
        <f>IF(+All!$F578="Hawaii",+All!H578,IF(+All!$H578="Hawaii",+All!H578,0))</f>
        <v>Hawaii</v>
      </c>
      <c r="I69" s="52" t="str">
        <f>IF(+All!$F578="Hawaii",+All!I578,IF(+All!$H578="Hawaii",+All!I578,0))</f>
        <v>MWC</v>
      </c>
      <c r="J69" s="460" t="str">
        <f>IF(+All!$F578="Hawaii",+All!J578,IF(+All!$H578="Hawaii",+All!J578,0))</f>
        <v>Wyoming</v>
      </c>
      <c r="K69" s="461" t="str">
        <f>IF(+All!$F578="Hawaii",+All!K578,IF(+All!$H578="Hawaii",+All!K578,0))</f>
        <v>Hawaii</v>
      </c>
      <c r="L69" s="54">
        <f>IF(+All!$F578="Hawaii",+All!L578,IF(+All!$H578="Hawaii",+All!L578,0))</f>
        <v>11.5</v>
      </c>
      <c r="M69" s="55">
        <f>IF(+All!$F578="Hawaii",+All!M578,IF(+All!$H578="Hawaii",+All!M578,0))</f>
        <v>49</v>
      </c>
      <c r="N69" s="460" t="str">
        <f>IF(+All!$F578="Hawaii",+All!N578,IF(+All!$H578="Hawaii",+All!N578,0))</f>
        <v>Wyoming</v>
      </c>
      <c r="O69" s="462">
        <f>IF(+All!$F578="Hawaii",+All!O578,IF(+All!$H578="Hawaii",+All!O578,0))</f>
        <v>27</v>
      </c>
      <c r="P69" s="462" t="str">
        <f>IF(+All!$F578="Hawaii",+All!P578,IF(+All!$H578="Hawaii",+All!P578,0))</f>
        <v>Hawaii</v>
      </c>
      <c r="Q69" s="461">
        <f>IF(+All!$F578="Hawaii",+All!Q578,IF(+All!$H578="Hawaii",+All!Q578,0))</f>
        <v>20</v>
      </c>
      <c r="R69" s="460" t="str">
        <f>IF(+All!$F578="Hawaii",+All!R578,IF(+All!$H578="Hawaii",+All!R578,0))</f>
        <v>Hawaii</v>
      </c>
      <c r="S69" s="462" t="str">
        <f>IF(+All!$F578="Hawaii",+All!S578,IF(+All!$H578="Hawaii",+All!S578,0))</f>
        <v>Wyoming</v>
      </c>
      <c r="T69" s="460" t="str">
        <f>IF(+All!$F578="Hawaii",+All!T578,IF(+All!$H578="Hawaii",+All!T578,0))</f>
        <v>Hawaii</v>
      </c>
      <c r="U69" s="461" t="str">
        <f>IF(+All!$F578="Hawaii",+All!U578,IF(+All!$H578="Hawaii",+All!U578,0))</f>
        <v>W</v>
      </c>
    </row>
    <row r="70" spans="1:21" x14ac:dyDescent="0.8">
      <c r="A70" s="46">
        <f>IF(+All!$F632="Hawaii",+All!A632,IF(+All!$H632="Hawaii",+All!A632,0))</f>
        <v>10</v>
      </c>
      <c r="B70" s="348" t="str">
        <f>IF(+All!$F632="Hawaii",+All!B632,IF(+All!$H632="Hawaii",+All!B632,0))</f>
        <v>Sat</v>
      </c>
      <c r="C70" s="48">
        <f>IF(+All!$F632="Hawaii",+All!C632,IF(+All!$H632="Hawaii",+All!C632,0))</f>
        <v>44870</v>
      </c>
      <c r="D70" s="490">
        <f>IF(+All!$F632="Hawaii",+All!D632,IF(+All!$H632="Hawaii",+All!D632,0))</f>
        <v>0.9375</v>
      </c>
      <c r="E70" s="461" t="str">
        <f>IF(+All!$F632="Hawaii",+All!E632,IF(+All!$H632="Hawaii",+All!E632,0))</f>
        <v>FS2</v>
      </c>
      <c r="F70" s="51" t="str">
        <f>IF(+All!$F632="Hawaii",+All!F632,IF(+All!$H632="Hawaii",+All!F632,0))</f>
        <v>Hawaii</v>
      </c>
      <c r="G70" s="52" t="str">
        <f>IF(+All!$F632="Hawaii",+All!G632,IF(+All!$H632="Hawaii",+All!G632,0))</f>
        <v>MWC</v>
      </c>
      <c r="H70" s="51" t="str">
        <f>IF(+All!$F632="Hawaii",+All!H632,IF(+All!$H632="Hawaii",+All!H632,0))</f>
        <v>Fresno State</v>
      </c>
      <c r="I70" s="52" t="str">
        <f>IF(+All!$F632="Hawaii",+All!I632,IF(+All!$H632="Hawaii",+All!I632,0))</f>
        <v>MWC</v>
      </c>
      <c r="J70" s="460" t="str">
        <f>IF(+All!$F632="Hawaii",+All!J632,IF(+All!$H632="Hawaii",+All!J632,0))</f>
        <v>Fresno State</v>
      </c>
      <c r="K70" s="461" t="str">
        <f>IF(+All!$F632="Hawaii",+All!K632,IF(+All!$H632="Hawaii",+All!K632,0))</f>
        <v>Hawaii</v>
      </c>
      <c r="L70" s="54">
        <f>IF(+All!$F632="Hawaii",+All!L632,IF(+All!$H632="Hawaii",+All!L632,0))</f>
        <v>24.5</v>
      </c>
      <c r="M70" s="55">
        <f>IF(+All!$F632="Hawaii",+All!M632,IF(+All!$H632="Hawaii",+All!M632,0))</f>
        <v>61.5</v>
      </c>
      <c r="N70" s="460" t="str">
        <f>IF(+All!$F632="Hawaii",+All!N632,IF(+All!$H632="Hawaii",+All!N632,0))</f>
        <v>Fresno State</v>
      </c>
      <c r="O70" s="462">
        <f>IF(+All!$F632="Hawaii",+All!O632,IF(+All!$H632="Hawaii",+All!O632,0))</f>
        <v>55</v>
      </c>
      <c r="P70" s="462" t="str">
        <f>IF(+All!$F632="Hawaii",+All!P632,IF(+All!$H632="Hawaii",+All!P632,0))</f>
        <v>Hawaii</v>
      </c>
      <c r="Q70" s="461">
        <f>IF(+All!$F632="Hawaii",+All!Q632,IF(+All!$H632="Hawaii",+All!Q632,0))</f>
        <v>13</v>
      </c>
      <c r="R70" s="460" t="str">
        <f>IF(+All!$F632="Hawaii",+All!R632,IF(+All!$H632="Hawaii",+All!R632,0))</f>
        <v>Fresno State</v>
      </c>
      <c r="S70" s="462" t="str">
        <f>IF(+All!$F632="Hawaii",+All!S632,IF(+All!$H632="Hawaii",+All!S632,0))</f>
        <v>Hawaii</v>
      </c>
      <c r="T70" s="460" t="str">
        <f>IF(+All!$F632="Hawaii",+All!T632,IF(+All!$H632="Hawaii",+All!T632,0))</f>
        <v>Hawaii</v>
      </c>
      <c r="U70" s="461" t="str">
        <f>IF(+All!$F632="Hawaii",+All!U632,IF(+All!$H632="Hawaii",+All!U632,0))</f>
        <v>L</v>
      </c>
    </row>
    <row r="71" spans="1:21" x14ac:dyDescent="0.8">
      <c r="A71" s="46">
        <f>IF(+All!$F696="Hawaii",+All!A696,IF(+All!$H696="Hawaii",+All!A696,0))</f>
        <v>11</v>
      </c>
      <c r="B71" s="348" t="str">
        <f>IF(+All!$F696="Hawaii",+All!B696,IF(+All!$H696="Hawaii",+All!B696,0))</f>
        <v>Sat</v>
      </c>
      <c r="C71" s="48">
        <f>IF(+All!$F696="Hawaii",+All!C696,IF(+All!$H696="Hawaii",+All!C696,0))</f>
        <v>44877</v>
      </c>
      <c r="D71" s="490">
        <f>IF(+All!$F696="Hawaii",+All!D696,IF(+All!$H696="Hawaii",+All!D696,0))</f>
        <v>0.95833333333333337</v>
      </c>
      <c r="E71" s="461">
        <f>IF(+All!$F696="Hawaii",+All!E696,IF(+All!$H696="Hawaii",+All!E696,0))</f>
        <v>0</v>
      </c>
      <c r="F71" s="51" t="str">
        <f>IF(+All!$F696="Hawaii",+All!F696,IF(+All!$H696="Hawaii",+All!F696,0))</f>
        <v>Utah State</v>
      </c>
      <c r="G71" s="52" t="str">
        <f>IF(+All!$F696="Hawaii",+All!G696,IF(+All!$H696="Hawaii",+All!G696,0))</f>
        <v>MWC</v>
      </c>
      <c r="H71" s="51" t="str">
        <f>IF(+All!$F696="Hawaii",+All!H696,IF(+All!$H696="Hawaii",+All!H696,0))</f>
        <v>Hawaii</v>
      </c>
      <c r="I71" s="52" t="str">
        <f>IF(+All!$F696="Hawaii",+All!I696,IF(+All!$H696="Hawaii",+All!I696,0))</f>
        <v>MWC</v>
      </c>
      <c r="J71" s="460" t="str">
        <f>IF(+All!$F696="Hawaii",+All!J696,IF(+All!$H696="Hawaii",+All!J696,0))</f>
        <v>Utah State</v>
      </c>
      <c r="K71" s="461" t="str">
        <f>IF(+All!$F696="Hawaii",+All!K696,IF(+All!$H696="Hawaii",+All!K696,0))</f>
        <v>Hawaii</v>
      </c>
      <c r="L71" s="54">
        <f>IF(+All!$F696="Hawaii",+All!L696,IF(+All!$H696="Hawaii",+All!L696,0))</f>
        <v>11.5</v>
      </c>
      <c r="M71" s="55">
        <f>IF(+All!$F696="Hawaii",+All!M696,IF(+All!$H696="Hawaii",+All!M696,0))</f>
        <v>52.5</v>
      </c>
      <c r="N71" s="460" t="str">
        <f>IF(+All!$F696="Hawaii",+All!N696,IF(+All!$H696="Hawaii",+All!N696,0))</f>
        <v>Utah State</v>
      </c>
      <c r="O71" s="462">
        <f>IF(+All!$F696="Hawaii",+All!O696,IF(+All!$H696="Hawaii",+All!O696,0))</f>
        <v>41</v>
      </c>
      <c r="P71" s="462" t="str">
        <f>IF(+All!$F696="Hawaii",+All!P696,IF(+All!$H696="Hawaii",+All!P696,0))</f>
        <v>Hawaii</v>
      </c>
      <c r="Q71" s="461">
        <f>IF(+All!$F696="Hawaii",+All!Q696,IF(+All!$H696="Hawaii",+All!Q696,0))</f>
        <v>34</v>
      </c>
      <c r="R71" s="460" t="str">
        <f>IF(+All!$F696="Hawaii",+All!R696,IF(+All!$H696="Hawaii",+All!R696,0))</f>
        <v>Hawaii</v>
      </c>
      <c r="S71" s="462" t="str">
        <f>IF(+All!$F696="Hawaii",+All!S696,IF(+All!$H696="Hawaii",+All!S696,0))</f>
        <v>Utah State</v>
      </c>
      <c r="T71" s="460" t="str">
        <f>IF(+All!$F696="Hawaii",+All!T696,IF(+All!$H696="Hawaii",+All!T696,0))</f>
        <v>Hawaii</v>
      </c>
      <c r="U71" s="461" t="str">
        <f>IF(+All!$F696="Hawaii",+All!U696,IF(+All!$H696="Hawaii",+All!U696,0))</f>
        <v>W</v>
      </c>
    </row>
    <row r="72" spans="1:21" x14ac:dyDescent="0.8">
      <c r="A72" s="46">
        <f>IF(+All!$F759="Hawaii",+All!A759,IF(+All!$H759="Hawaii",+All!A759,0))</f>
        <v>12</v>
      </c>
      <c r="B72" s="348" t="str">
        <f>IF(+All!$F759="Hawaii",+All!B759,IF(+All!$H759="Hawaii",+All!B759,0))</f>
        <v>Sat</v>
      </c>
      <c r="C72" s="48">
        <f>IF(+All!$F759="Hawaii",+All!C759,IF(+All!$H759="Hawaii",+All!C759,0))</f>
        <v>44884</v>
      </c>
      <c r="D72" s="490">
        <f>IF(+All!$F759="Hawaii",+All!D759,IF(+All!$H759="Hawaii",+All!D759,0))</f>
        <v>0.95833333333333337</v>
      </c>
      <c r="E72" s="461">
        <f>IF(+All!$F759="Hawaii",+All!E759,IF(+All!$H759="Hawaii",+All!E759,0))</f>
        <v>0</v>
      </c>
      <c r="F72" s="51" t="str">
        <f>IF(+All!$F759="Hawaii",+All!F759,IF(+All!$H759="Hawaii",+All!F759,0))</f>
        <v>UNLV</v>
      </c>
      <c r="G72" s="52" t="str">
        <f>IF(+All!$F759="Hawaii",+All!G759,IF(+All!$H759="Hawaii",+All!G759,0))</f>
        <v>MWC</v>
      </c>
      <c r="H72" s="51" t="str">
        <f>IF(+All!$F759="Hawaii",+All!H759,IF(+All!$H759="Hawaii",+All!H759,0))</f>
        <v>Hawaii</v>
      </c>
      <c r="I72" s="52" t="str">
        <f>IF(+All!$F759="Hawaii",+All!I759,IF(+All!$H759="Hawaii",+All!I759,0))</f>
        <v>MWC</v>
      </c>
      <c r="J72" s="460" t="str">
        <f>IF(+All!$F759="Hawaii",+All!J759,IF(+All!$H759="Hawaii",+All!J759,0))</f>
        <v>UNLV</v>
      </c>
      <c r="K72" s="461" t="str">
        <f>IF(+All!$F759="Hawaii",+All!K759,IF(+All!$H759="Hawaii",+All!K759,0))</f>
        <v>Hawaii</v>
      </c>
      <c r="L72" s="54">
        <f>IF(+All!$F759="Hawaii",+All!L759,IF(+All!$H759="Hawaii",+All!L759,0))</f>
        <v>11</v>
      </c>
      <c r="M72" s="55">
        <f>IF(+All!$F759="Hawaii",+All!M759,IF(+All!$H759="Hawaii",+All!M759,0))</f>
        <v>56</v>
      </c>
      <c r="N72" s="460" t="str">
        <f>IF(+All!$F759="Hawaii",+All!N759,IF(+All!$H759="Hawaii",+All!N759,0))</f>
        <v>Hawaii</v>
      </c>
      <c r="O72" s="462">
        <f>IF(+All!$F759="Hawaii",+All!O759,IF(+All!$H759="Hawaii",+All!O759,0))</f>
        <v>31</v>
      </c>
      <c r="P72" s="462" t="str">
        <f>IF(+All!$F759="Hawaii",+All!P759,IF(+All!$H759="Hawaii",+All!P759,0))</f>
        <v>UNLV</v>
      </c>
      <c r="Q72" s="461">
        <f>IF(+All!$F759="Hawaii",+All!Q759,IF(+All!$H759="Hawaii",+All!Q759,0))</f>
        <v>25</v>
      </c>
      <c r="R72" s="460" t="str">
        <f>IF(+All!$F759="Hawaii",+All!R759,IF(+All!$H759="Hawaii",+All!R759,0))</f>
        <v>Hawaii</v>
      </c>
      <c r="S72" s="462" t="str">
        <f>IF(+All!$F759="Hawaii",+All!S759,IF(+All!$H759="Hawaii",+All!S759,0))</f>
        <v>UNLV</v>
      </c>
      <c r="T72" s="460" t="str">
        <f>IF(+All!$F759="Hawaii",+All!T759,IF(+All!$H759="Hawaii",+All!T759,0))</f>
        <v>Hawaii</v>
      </c>
      <c r="U72" s="461" t="str">
        <f>IF(+All!$F759="Hawaii",+All!U759,IF(+All!$H759="Hawaii",+All!U759,0))</f>
        <v>W</v>
      </c>
    </row>
    <row r="73" spans="1:21" x14ac:dyDescent="0.8">
      <c r="A73" s="46">
        <f>IF(+All!$F830="Hawaii",+All!A830,IF(+All!$H830="Hawaii",+All!A830,0))</f>
        <v>13</v>
      </c>
      <c r="B73" s="348" t="str">
        <f>IF(+All!$F830="Hawaii",+All!B830,IF(+All!$H830="Hawaii",+All!B830,0))</f>
        <v>Sat</v>
      </c>
      <c r="C73" s="48">
        <f>IF(+All!$F830="Hawaii",+All!C830,IF(+All!$H830="Hawaii",+All!C830,0))</f>
        <v>44891</v>
      </c>
      <c r="D73" s="490">
        <f>IF(+All!$F830="Hawaii",+All!D830,IF(+All!$H830="Hawaii",+All!D830,0))</f>
        <v>0.64583333333333337</v>
      </c>
      <c r="E73" s="461">
        <f>IF(+All!$F830="Hawaii",+All!E830,IF(+All!$H830="Hawaii",+All!E830,0))</f>
        <v>0</v>
      </c>
      <c r="F73" s="51" t="str">
        <f>IF(+All!$F830="Hawaii",+All!F830,IF(+All!$H830="Hawaii",+All!F830,0))</f>
        <v>Hawaii</v>
      </c>
      <c r="G73" s="52" t="str">
        <f>IF(+All!$F830="Hawaii",+All!G830,IF(+All!$H830="Hawaii",+All!G830,0))</f>
        <v>MWC</v>
      </c>
      <c r="H73" s="51" t="str">
        <f>IF(+All!$F830="Hawaii",+All!H830,IF(+All!$H830="Hawaii",+All!H830,0))</f>
        <v>San Jose State</v>
      </c>
      <c r="I73" s="52" t="str">
        <f>IF(+All!$F830="Hawaii",+All!I830,IF(+All!$H830="Hawaii",+All!I830,0))</f>
        <v>MWC</v>
      </c>
      <c r="J73" s="460" t="str">
        <f>IF(+All!$F830="Hawaii",+All!J830,IF(+All!$H830="Hawaii",+All!J830,0))</f>
        <v>San Jose State</v>
      </c>
      <c r="K73" s="461" t="str">
        <f>IF(+All!$F830="Hawaii",+All!K830,IF(+All!$H830="Hawaii",+All!K830,0))</f>
        <v>Hawaii</v>
      </c>
      <c r="L73" s="54">
        <f>IF(+All!$F830="Hawaii",+All!L830,IF(+All!$H830="Hawaii",+All!L830,0))</f>
        <v>15</v>
      </c>
      <c r="M73" s="55">
        <f>IF(+All!$F830="Hawaii",+All!M830,IF(+All!$H830="Hawaii",+All!M830,0))</f>
        <v>57.5</v>
      </c>
      <c r="N73" s="460" t="str">
        <f>IF(+All!$F830="Hawaii",+All!N830,IF(+All!$H830="Hawaii",+All!N830,0))</f>
        <v>San Jose State</v>
      </c>
      <c r="O73" s="462">
        <f>IF(+All!$F830="Hawaii",+All!O830,IF(+All!$H830="Hawaii",+All!O830,0))</f>
        <v>27</v>
      </c>
      <c r="P73" s="462" t="str">
        <f>IF(+All!$F830="Hawaii",+All!P830,IF(+All!$H830="Hawaii",+All!P830,0))</f>
        <v>Hawaii</v>
      </c>
      <c r="Q73" s="461">
        <f>IF(+All!$F830="Hawaii",+All!Q830,IF(+All!$H830="Hawaii",+All!Q830,0))</f>
        <v>14</v>
      </c>
      <c r="R73" s="460" t="str">
        <f>IF(+All!$F830="Hawaii",+All!R830,IF(+All!$H830="Hawaii",+All!R830,0))</f>
        <v>Hawaii</v>
      </c>
      <c r="S73" s="462" t="str">
        <f>IF(+All!$F830="Hawaii",+All!S830,IF(+All!$H830="Hawaii",+All!S830,0))</f>
        <v>San Jose State</v>
      </c>
      <c r="T73" s="460" t="str">
        <f>IF(+All!$F830="Hawaii",+All!T830,IF(+All!$H830="Hawaii",+All!T830,0))</f>
        <v>Hawaii</v>
      </c>
      <c r="U73" s="461" t="str">
        <f>IF(+All!$F830="Hawaii",+All!U830,IF(+All!$H830="Hawaii",+All!U830,0))</f>
        <v>W</v>
      </c>
    </row>
    <row r="74" spans="1:21" x14ac:dyDescent="0.8">
      <c r="A74" s="38"/>
      <c r="B74" s="39"/>
      <c r="C74" s="40"/>
      <c r="D74" s="41"/>
      <c r="E74" s="463"/>
      <c r="F74" s="897" t="str">
        <f>H77</f>
        <v>Nevada</v>
      </c>
      <c r="G74" s="901"/>
      <c r="H74" s="901"/>
      <c r="I74" s="902"/>
      <c r="J74" s="459"/>
      <c r="K74" s="463"/>
      <c r="L74" s="44"/>
      <c r="M74" s="45"/>
      <c r="N74" s="459"/>
      <c r="O74" s="5"/>
      <c r="P74" s="5"/>
      <c r="Q74" s="463"/>
      <c r="R74" s="459"/>
      <c r="S74" s="5"/>
      <c r="T74" s="459"/>
      <c r="U74" s="463"/>
    </row>
    <row r="75" spans="1:21" x14ac:dyDescent="0.8">
      <c r="A75" s="46">
        <f>IF(+All!$F11="Nevada",+All!A11,IF(+All!$H11="Nevada",+All!A11,0))</f>
        <v>0</v>
      </c>
      <c r="B75" s="348" t="str">
        <f>IF(+All!$F11="Nevada",+All!B11,IF(+All!$H11="Nevada",+All!B11,0))</f>
        <v>Sat</v>
      </c>
      <c r="C75" s="48">
        <f>IF(+All!$F11="Nevada",+All!C11,IF(+All!$H11="Nevada",+All!C11,0))</f>
        <v>44800</v>
      </c>
      <c r="D75" s="490">
        <f>IF(+All!$F11="Nevada",+All!D11,IF(+All!$H11="Nevada",+All!D11,0))</f>
        <v>0.91666666666666663</v>
      </c>
      <c r="E75" s="461" t="str">
        <f>IF(+All!$F11="Nevada",+All!E11,IF(+All!$H11="Nevada",+All!E11,0))</f>
        <v>ESPN2</v>
      </c>
      <c r="F75" s="51" t="str">
        <f>IF(+All!$F11="Nevada",+All!F11,IF(+All!$H11="Nevada",+All!F11,0))</f>
        <v>Nevada</v>
      </c>
      <c r="G75" s="52" t="str">
        <f>IF(+All!$F11="Nevada",+All!G11,IF(+All!$H11="Nevada",+All!G11,0))</f>
        <v>MWC</v>
      </c>
      <c r="H75" s="51" t="str">
        <f>IF(+All!$F11="Nevada",+All!H11,IF(+All!$H11="Nevada",+All!H11,0))</f>
        <v>New Mexico State</v>
      </c>
      <c r="I75" s="52" t="str">
        <f>IF(+All!$F11="Nevada",+All!I11,IF(+All!$H11="Nevada",+All!I11,0))</f>
        <v>Ind</v>
      </c>
      <c r="J75" s="460" t="str">
        <f>IF(+All!$F11="Nevada",+All!J11,IF(+All!$H11="Nevada",+All!J11,0))</f>
        <v>Nevada</v>
      </c>
      <c r="K75" s="461" t="str">
        <f>IF(+All!$F11="Nevada",+All!K11,IF(+All!$H11="Nevada",+All!K11,0))</f>
        <v>New Mexico State</v>
      </c>
      <c r="L75" s="54">
        <f>IF(+All!$F11="Nevada",+All!L11,IF(+All!$H11="Nevada",+All!L11,0))</f>
        <v>7.5</v>
      </c>
      <c r="M75" s="55">
        <f>IF(+All!$F11="Nevada",+All!M11,IF(+All!$H11="Nevada",+All!M11,0))</f>
        <v>47.5</v>
      </c>
      <c r="N75" s="460" t="str">
        <f>IF(+All!$F11="Nevada",+All!N11,IF(+All!$H11="Nevada",+All!N11,0))</f>
        <v>Nevada</v>
      </c>
      <c r="O75" s="462">
        <f>IF(+All!$F11="Nevada",+All!O11,IF(+All!$H11="Nevada",+All!O11,0))</f>
        <v>23</v>
      </c>
      <c r="P75" s="462" t="str">
        <f>IF(+All!$F11="Nevada",+All!P11,IF(+All!$H11="Nevada",+All!P11,0))</f>
        <v>New Mexico State</v>
      </c>
      <c r="Q75" s="461">
        <f>IF(+All!$F11="Nevada",+All!Q11,IF(+All!$H11="Nevada",+All!Q11,0))</f>
        <v>12</v>
      </c>
      <c r="R75" s="460" t="str">
        <f>IF(+All!$F11="Nevada",+All!R11,IF(+All!$H11="Nevada",+All!R11,0))</f>
        <v>Nevada</v>
      </c>
      <c r="S75" s="462" t="str">
        <f>IF(+All!$F11="Nevada",+All!S11,IF(+All!$H11="Nevada",+All!S11,0))</f>
        <v>New Mexico State</v>
      </c>
      <c r="T75" s="460" t="str">
        <f>IF(+All!$F11="Nevada",+All!T11,IF(+All!$H11="Nevada",+All!T11,0))</f>
        <v>New Mexico State</v>
      </c>
      <c r="U75" s="461" t="str">
        <f>IF(+All!$F11="Nevada",+All!U11,IF(+All!$H11="Nevada",+All!U11,0))</f>
        <v>L</v>
      </c>
    </row>
    <row r="76" spans="1:21" x14ac:dyDescent="0.8">
      <c r="A76" s="46">
        <f>IF(+All!$F65="Nevada",+All!A65,IF(+All!$H65="Nevada",+All!A65,0))</f>
        <v>1</v>
      </c>
      <c r="B76" s="348" t="str">
        <f>IF(+All!$F65="Nevada",+All!B65,IF(+All!$H65="Nevada",+All!B65,0))</f>
        <v>Sat</v>
      </c>
      <c r="C76" s="48">
        <f>IF(+All!$F65="Nevada",+All!C65,IF(+All!$H65="Nevada",+All!C65,0))</f>
        <v>44807</v>
      </c>
      <c r="D76" s="490">
        <f>IF(+All!$F65="Nevada",+All!D65,IF(+All!$H65="Nevada",+All!D65,0))</f>
        <v>0.72916666666666663</v>
      </c>
      <c r="E76" s="461">
        <f>IF(+All!$F65="Nevada",+All!E65,IF(+All!$H65="Nevada",+All!E65,0))</f>
        <v>0</v>
      </c>
      <c r="F76" s="51" t="str">
        <f>IF(+All!$F65="Nevada",+All!F65,IF(+All!$H65="Nevada",+All!F65,0))</f>
        <v>Texas State</v>
      </c>
      <c r="G76" s="52" t="str">
        <f>IF(+All!$F65="Nevada",+All!G65,IF(+All!$H65="Nevada",+All!G65,0))</f>
        <v>SB</v>
      </c>
      <c r="H76" s="51" t="str">
        <f>IF(+All!$F65="Nevada",+All!H65,IF(+All!$H65="Nevada",+All!H65,0))</f>
        <v>Nevada</v>
      </c>
      <c r="I76" s="52" t="str">
        <f>IF(+All!$F65="Nevada",+All!I65,IF(+All!$H65="Nevada",+All!I65,0))</f>
        <v>MWC</v>
      </c>
      <c r="J76" s="460" t="str">
        <f>IF(+All!$F65="Nevada",+All!J65,IF(+All!$H65="Nevada",+All!J65,0))</f>
        <v>Nevada</v>
      </c>
      <c r="K76" s="461" t="str">
        <f>IF(+All!$F65="Nevada",+All!K65,IF(+All!$H65="Nevada",+All!K65,0))</f>
        <v>Texas State</v>
      </c>
      <c r="L76" s="54">
        <f>IF(+All!$F65="Nevada",+All!L65,IF(+All!$H65="Nevada",+All!L65,0))</f>
        <v>0</v>
      </c>
      <c r="M76" s="55">
        <f>IF(+All!$F65="Nevada",+All!M65,IF(+All!$H65="Nevada",+All!M65,0))</f>
        <v>51</v>
      </c>
      <c r="N76" s="460" t="str">
        <f>IF(+All!$F65="Nevada",+All!N65,IF(+All!$H65="Nevada",+All!N65,0))</f>
        <v>Nevada</v>
      </c>
      <c r="O76" s="462">
        <f>IF(+All!$F65="Nevada",+All!O65,IF(+All!$H65="Nevada",+All!O65,0))</f>
        <v>38</v>
      </c>
      <c r="P76" s="462" t="str">
        <f>IF(+All!$F65="Nevada",+All!P65,IF(+All!$H65="Nevada",+All!P65,0))</f>
        <v>Texas State</v>
      </c>
      <c r="Q76" s="461">
        <f>IF(+All!$F65="Nevada",+All!Q65,IF(+All!$H65="Nevada",+All!Q65,0))</f>
        <v>14</v>
      </c>
      <c r="R76" s="460" t="str">
        <f>IF(+All!$F65="Nevada",+All!R65,IF(+All!$H65="Nevada",+All!R65,0))</f>
        <v>Nevada</v>
      </c>
      <c r="S76" s="462" t="str">
        <f>IF(+All!$F65="Nevada",+All!S65,IF(+All!$H65="Nevada",+All!S65,0))</f>
        <v>Texas State</v>
      </c>
      <c r="T76" s="460" t="str">
        <f>IF(+All!$F65="Nevada",+All!T65,IF(+All!$H65="Nevada",+All!T65,0))</f>
        <v>Nevada</v>
      </c>
      <c r="U76" s="461" t="str">
        <f>IF(+All!$F65="Nevada",+All!U65,IF(+All!$H65="Nevada",+All!U65,0))</f>
        <v>W</v>
      </c>
    </row>
    <row r="77" spans="1:21" x14ac:dyDescent="0.8">
      <c r="A77" s="46">
        <f>IF(+All!$F154="Nevada",+All!A154,IF(+All!$H154="Nevada",+All!A154,0))</f>
        <v>2</v>
      </c>
      <c r="B77" s="348" t="str">
        <f>IF(+All!$F154="Nevada",+All!B154,IF(+All!$H154="Nevada",+All!B154,0))</f>
        <v>Sat</v>
      </c>
      <c r="C77" s="48">
        <f>IF(+All!$F154="Nevada",+All!C154,IF(+All!$H154="Nevada",+All!C154,0))</f>
        <v>44814</v>
      </c>
      <c r="D77" s="490">
        <f>IF(+All!$F154="Nevada",+All!D154,IF(+All!$H154="Nevada",+All!D154,0))</f>
        <v>0.72916666666666663</v>
      </c>
      <c r="E77" s="461">
        <f>IF(+All!$F154="Nevada",+All!E154,IF(+All!$H154="Nevada",+All!E154,0))</f>
        <v>0</v>
      </c>
      <c r="F77" s="51" t="str">
        <f>IF(+All!$F154="Nevada",+All!F154,IF(+All!$H154="Nevada",+All!F154,0))</f>
        <v>1AA Incarnate Word</v>
      </c>
      <c r="G77" s="52" t="str">
        <f>IF(+All!$F154="Nevada",+All!G154,IF(+All!$H154="Nevada",+All!G154,0))</f>
        <v>1AA</v>
      </c>
      <c r="H77" s="51" t="str">
        <f>IF(+All!$F154="Nevada",+All!H154,IF(+All!$H154="Nevada",+All!H154,0))</f>
        <v>Nevada</v>
      </c>
      <c r="I77" s="52" t="str">
        <f>IF(+All!$F154="Nevada",+All!I154,IF(+All!$H154="Nevada",+All!I154,0))</f>
        <v>MWC</v>
      </c>
      <c r="J77" s="460">
        <f>IF(+All!$F154="Nevada",+All!J154,IF(+All!$H154="Nevada",+All!J154,0))</f>
        <v>0</v>
      </c>
      <c r="K77" s="461">
        <f>IF(+All!$F154="Nevada",+All!K154,IF(+All!$H154="Nevada",+All!K154,0))</f>
        <v>0</v>
      </c>
      <c r="L77" s="54">
        <f>IF(+All!$F154="Nevada",+All!L154,IF(+All!$H154="Nevada",+All!L154,0))</f>
        <v>0</v>
      </c>
      <c r="M77" s="55">
        <f>IF(+All!$F154="Nevada",+All!M154,IF(+All!$H154="Nevada",+All!M154,0))</f>
        <v>0</v>
      </c>
      <c r="N77" s="460" t="str">
        <f>IF(+All!$F154="Nevada",+All!N154,IF(+All!$H154="Nevada",+All!N154,0))</f>
        <v>1AA Incarnate Word</v>
      </c>
      <c r="O77" s="462">
        <f>IF(+All!$F154="Nevada",+All!O154,IF(+All!$H154="Nevada",+All!O154,0))</f>
        <v>55</v>
      </c>
      <c r="P77" s="462" t="str">
        <f>IF(+All!$F154="Nevada",+All!P154,IF(+All!$H154="Nevada",+All!P154,0))</f>
        <v>Nevada</v>
      </c>
      <c r="Q77" s="461">
        <f>IF(+All!$F154="Nevada",+All!Q154,IF(+All!$H154="Nevada",+All!Q154,0))</f>
        <v>41</v>
      </c>
      <c r="R77" s="460">
        <f>IF(+All!$F154="Nevada",+All!R154,IF(+All!$H154="Nevada",+All!R154,0))</f>
        <v>0</v>
      </c>
      <c r="S77" s="462">
        <f>IF(+All!$F154="Nevada",+All!S154,IF(+All!$H154="Nevada",+All!S154,0))</f>
        <v>0</v>
      </c>
      <c r="T77" s="460">
        <f>IF(+All!$F154="Nevada",+All!T154,IF(+All!$H154="Nevada",+All!T154,0))</f>
        <v>0</v>
      </c>
      <c r="U77" s="461">
        <f>IF(+All!$F154="Nevada",+All!U154,IF(+All!$H154="Nevada",+All!U154,0))</f>
        <v>0</v>
      </c>
    </row>
    <row r="78" spans="1:21" x14ac:dyDescent="0.8">
      <c r="A78" s="46">
        <f>IF(+All!$F198="Nevada",+All!A198,IF(+All!$H198="Nevada",+All!A198,0))</f>
        <v>3</v>
      </c>
      <c r="B78" s="348" t="str">
        <f>IF(+All!$F198="Nevada",+All!B198,IF(+All!$H198="Nevada",+All!B198,0))</f>
        <v>Sat</v>
      </c>
      <c r="C78" s="48">
        <f>IF(+All!$F198="Nevada",+All!C198,IF(+All!$H198="Nevada",+All!C198,0))</f>
        <v>44821</v>
      </c>
      <c r="D78" s="490">
        <f>IF(+All!$F198="Nevada",+All!D198,IF(+All!$H198="Nevada",+All!D198,0))</f>
        <v>0.8125</v>
      </c>
      <c r="E78" s="461" t="str">
        <f>IF(+All!$F198="Nevada",+All!E198,IF(+All!$H198="Nevada",+All!E198,0))</f>
        <v>BTN</v>
      </c>
      <c r="F78" s="51" t="str">
        <f>IF(+All!$F198="Nevada",+All!F198,IF(+All!$H198="Nevada",+All!F198,0))</f>
        <v>Nevada</v>
      </c>
      <c r="G78" s="52" t="str">
        <f>IF(+All!$F198="Nevada",+All!G198,IF(+All!$H198="Nevada",+All!G198,0))</f>
        <v>MWC</v>
      </c>
      <c r="H78" s="51" t="str">
        <f>IF(+All!$F198="Nevada",+All!H198,IF(+All!$H198="Nevada",+All!H198,0))</f>
        <v>Iowa</v>
      </c>
      <c r="I78" s="52" t="str">
        <f>IF(+All!$F198="Nevada",+All!I198,IF(+All!$H198="Nevada",+All!I198,0))</f>
        <v>B10</v>
      </c>
      <c r="J78" s="460" t="str">
        <f>IF(+All!$F198="Nevada",+All!J198,IF(+All!$H198="Nevada",+All!J198,0))</f>
        <v>Iowa</v>
      </c>
      <c r="K78" s="461" t="str">
        <f>IF(+All!$F198="Nevada",+All!K198,IF(+All!$H198="Nevada",+All!K198,0))</f>
        <v>Nevada</v>
      </c>
      <c r="L78" s="54">
        <f>IF(+All!$F198="Nevada",+All!L198,IF(+All!$H198="Nevada",+All!L198,0))</f>
        <v>23</v>
      </c>
      <c r="M78" s="55">
        <f>IF(+All!$F198="Nevada",+All!M198,IF(+All!$H198="Nevada",+All!M198,0))</f>
        <v>39</v>
      </c>
      <c r="N78" s="460" t="str">
        <f>IF(+All!$F198="Nevada",+All!N198,IF(+All!$H198="Nevada",+All!N198,0))</f>
        <v>Iowa</v>
      </c>
      <c r="O78" s="462">
        <f>IF(+All!$F198="Nevada",+All!O198,IF(+All!$H198="Nevada",+All!O198,0))</f>
        <v>27</v>
      </c>
      <c r="P78" s="462" t="str">
        <f>IF(+All!$F198="Nevada",+All!P198,IF(+All!$H198="Nevada",+All!P198,0))</f>
        <v>Nevada</v>
      </c>
      <c r="Q78" s="461">
        <f>IF(+All!$F198="Nevada",+All!Q198,IF(+All!$H198="Nevada",+All!Q198,0))</f>
        <v>0</v>
      </c>
      <c r="R78" s="460" t="str">
        <f>IF(+All!$F198="Nevada",+All!R198,IF(+All!$H198="Nevada",+All!R198,0))</f>
        <v>Iowa</v>
      </c>
      <c r="S78" s="462" t="str">
        <f>IF(+All!$F198="Nevada",+All!S198,IF(+All!$H198="Nevada",+All!S198,0))</f>
        <v>Nevada</v>
      </c>
      <c r="T78" s="460" t="str">
        <f>IF(+All!$F198="Nevada",+All!T198,IF(+All!$H198="Nevada",+All!T198,0))</f>
        <v>Nevada</v>
      </c>
      <c r="U78" s="461" t="str">
        <f>IF(+All!$F198="Nevada",+All!U198,IF(+All!$H198="Nevada",+All!U198,0))</f>
        <v>L</v>
      </c>
    </row>
    <row r="79" spans="1:21" x14ac:dyDescent="0.8">
      <c r="A79" s="46">
        <f>IF(+All!$F257="Nevada",+All!A257,IF(+All!$H257="Nevada",+All!A257,0))</f>
        <v>4</v>
      </c>
      <c r="B79" s="348" t="str">
        <f>IF(+All!$F257="Nevada",+All!B257,IF(+All!$H257="Nevada",+All!B257,0))</f>
        <v>Fri</v>
      </c>
      <c r="C79" s="48">
        <f>IF(+All!$F257="Nevada",+All!C257,IF(+All!$H257="Nevada",+All!C257,0))</f>
        <v>44827</v>
      </c>
      <c r="D79" s="490">
        <f>IF(+All!$F257="Nevada",+All!D257,IF(+All!$H257="Nevada",+All!D257,0))</f>
        <v>0.83333333333333337</v>
      </c>
      <c r="E79" s="461" t="str">
        <f>IF(+All!$F257="Nevada",+All!E257,IF(+All!$H257="Nevada",+All!E257,0))</f>
        <v>FS1</v>
      </c>
      <c r="F79" s="51" t="str">
        <f>IF(+All!$F257="Nevada",+All!F257,IF(+All!$H257="Nevada",+All!F257,0))</f>
        <v>Nevada</v>
      </c>
      <c r="G79" s="52" t="str">
        <f>IF(+All!$F257="Nevada",+All!G257,IF(+All!$H257="Nevada",+All!G257,0))</f>
        <v>MWC</v>
      </c>
      <c r="H79" s="51" t="str">
        <f>IF(+All!$F257="Nevada",+All!H257,IF(+All!$H257="Nevada",+All!H257,0))</f>
        <v>Air Force</v>
      </c>
      <c r="I79" s="52" t="str">
        <f>IF(+All!$F257="Nevada",+All!I257,IF(+All!$H257="Nevada",+All!I257,0))</f>
        <v>MWC</v>
      </c>
      <c r="J79" s="460" t="str">
        <f>IF(+All!$F257="Nevada",+All!J257,IF(+All!$H257="Nevada",+All!J257,0))</f>
        <v>Air Force</v>
      </c>
      <c r="K79" s="461" t="str">
        <f>IF(+All!$F257="Nevada",+All!K257,IF(+All!$H257="Nevada",+All!K257,0))</f>
        <v>Nevada</v>
      </c>
      <c r="L79" s="54">
        <f>IF(+All!$F257="Nevada",+All!L257,IF(+All!$H257="Nevada",+All!L257,0))</f>
        <v>24</v>
      </c>
      <c r="M79" s="55">
        <f>IF(+All!$F257="Nevada",+All!M257,IF(+All!$H257="Nevada",+All!M257,0))</f>
        <v>45</v>
      </c>
      <c r="N79" s="460" t="str">
        <f>IF(+All!$F257="Nevada",+All!N257,IF(+All!$H257="Nevada",+All!N257,0))</f>
        <v>Air Force</v>
      </c>
      <c r="O79" s="462">
        <f>IF(+All!$F257="Nevada",+All!O257,IF(+All!$H257="Nevada",+All!O257,0))</f>
        <v>48</v>
      </c>
      <c r="P79" s="462" t="str">
        <f>IF(+All!$F257="Nevada",+All!P257,IF(+All!$H257="Nevada",+All!P257,0))</f>
        <v>Nevada</v>
      </c>
      <c r="Q79" s="461">
        <f>IF(+All!$F257="Nevada",+All!Q257,IF(+All!$H257="Nevada",+All!Q257,0))</f>
        <v>20</v>
      </c>
      <c r="R79" s="460" t="str">
        <f>IF(+All!$F257="Nevada",+All!R257,IF(+All!$H257="Nevada",+All!R257,0))</f>
        <v>Air Force</v>
      </c>
      <c r="S79" s="462" t="str">
        <f>IF(+All!$F257="Nevada",+All!S257,IF(+All!$H257="Nevada",+All!S257,0))</f>
        <v>Nevada</v>
      </c>
      <c r="T79" s="460" t="str">
        <f>IF(+All!$F257="Nevada",+All!T257,IF(+All!$H257="Nevada",+All!T257,0))</f>
        <v>Air Force</v>
      </c>
      <c r="U79" s="461" t="str">
        <f>IF(+All!$F257="Nevada",+All!U257,IF(+All!$H257="Nevada",+All!U257,0))</f>
        <v>W</v>
      </c>
    </row>
    <row r="80" spans="1:21" x14ac:dyDescent="0.8">
      <c r="A80" s="46" t="e">
        <f>IF(+All!#REF!="Nevada",+All!#REF!,IF(+All!#REF!="Nevada",+All!#REF!,0))</f>
        <v>#REF!</v>
      </c>
      <c r="B80" s="348" t="e">
        <f>IF(+All!#REF!="Nevada",+All!#REF!,IF(+All!#REF!="Nevada",+All!#REF!,0))</f>
        <v>#REF!</v>
      </c>
      <c r="C80" s="48" t="e">
        <f>IF(+All!#REF!="Nevada",+All!#REF!,IF(+All!#REF!="Nevada",+All!#REF!,0))</f>
        <v>#REF!</v>
      </c>
      <c r="D80" s="490" t="e">
        <f>IF(+All!#REF!="Nevada",+All!#REF!,IF(+All!#REF!="Nevada",+All!#REF!,0))</f>
        <v>#REF!</v>
      </c>
      <c r="E80" s="461" t="e">
        <f>IF(+All!#REF!="Nevada",+All!#REF!,IF(+All!#REF!="Nevada",+All!#REF!,0))</f>
        <v>#REF!</v>
      </c>
      <c r="F80" s="51" t="e">
        <f>IF(+All!#REF!="Nevada",+All!#REF!,IF(+All!#REF!="Nevada",+All!#REF!,0))</f>
        <v>#REF!</v>
      </c>
      <c r="G80" s="52" t="e">
        <f>IF(+All!#REF!="Nevada",+All!#REF!,IF(+All!#REF!="Nevada",+All!#REF!,0))</f>
        <v>#REF!</v>
      </c>
      <c r="H80" s="51" t="e">
        <f>IF(+All!#REF!="Nevada",+All!#REF!,IF(+All!#REF!="Nevada",+All!#REF!,0))</f>
        <v>#REF!</v>
      </c>
      <c r="I80" s="52" t="e">
        <f>IF(+All!#REF!="Nevada",+All!#REF!,IF(+All!#REF!="Nevada",+All!#REF!,0))</f>
        <v>#REF!</v>
      </c>
      <c r="J80" s="460" t="e">
        <f>IF(+All!#REF!="Nevada",+All!#REF!,IF(+All!#REF!="Nevada",+All!#REF!,0))</f>
        <v>#REF!</v>
      </c>
      <c r="K80" s="461" t="e">
        <f>IF(+All!#REF!="Nevada",+All!#REF!,IF(+All!#REF!="Nevada",+All!#REF!,0))</f>
        <v>#REF!</v>
      </c>
      <c r="L80" s="54" t="e">
        <f>IF(+All!#REF!="Nevada",+All!#REF!,IF(+All!#REF!="Nevada",+All!#REF!,0))</f>
        <v>#REF!</v>
      </c>
      <c r="M80" s="55" t="e">
        <f>IF(+All!#REF!="Nevada",+All!#REF!,IF(+All!#REF!="Nevada",+All!#REF!,0))</f>
        <v>#REF!</v>
      </c>
      <c r="N80" s="460" t="e">
        <f>IF(+All!#REF!="Nevada",+All!#REF!,IF(+All!#REF!="Nevada",+All!#REF!,0))</f>
        <v>#REF!</v>
      </c>
      <c r="O80" s="462" t="e">
        <f>IF(+All!#REF!="Nevada",+All!#REF!,IF(+All!#REF!="Nevada",+All!#REF!,0))</f>
        <v>#REF!</v>
      </c>
      <c r="P80" s="462" t="e">
        <f>IF(+All!#REF!="Nevada",+All!#REF!,IF(+All!#REF!="Nevada",+All!#REF!,0))</f>
        <v>#REF!</v>
      </c>
      <c r="Q80" s="461" t="e">
        <f>IF(+All!#REF!="Nevada",+All!#REF!,IF(+All!#REF!="Nevada",+All!#REF!,0))</f>
        <v>#REF!</v>
      </c>
      <c r="R80" s="460" t="e">
        <f>IF(+All!#REF!="Nevada",+All!#REF!,IF(+All!#REF!="Nevada",+All!#REF!,0))</f>
        <v>#REF!</v>
      </c>
      <c r="S80" s="462" t="e">
        <f>IF(+All!#REF!="Nevada",+All!#REF!,IF(+All!#REF!="Nevada",+All!#REF!,0))</f>
        <v>#REF!</v>
      </c>
      <c r="T80" s="460" t="e">
        <f>IF(+All!#REF!="Nevada",+All!#REF!,IF(+All!#REF!="Nevada",+All!#REF!,0))</f>
        <v>#REF!</v>
      </c>
      <c r="U80" s="461" t="e">
        <f>IF(+All!#REF!="Nevada",+All!#REF!,IF(+All!#REF!="Nevada",+All!#REF!,0))</f>
        <v>#REF!</v>
      </c>
    </row>
    <row r="81" spans="1:21" x14ac:dyDescent="0.8">
      <c r="A81" s="46">
        <f>IF(+All!$F384="Nevada",+All!A384,IF(+All!$H384="Nevada",+All!A384,0))</f>
        <v>6</v>
      </c>
      <c r="B81" s="348" t="str">
        <f>IF(+All!$F384="Nevada",+All!B384,IF(+All!$H384="Nevada",+All!B384,0))</f>
        <v>Fri</v>
      </c>
      <c r="C81" s="48">
        <f>IF(+All!$F384="Nevada",+All!C384,IF(+All!$H384="Nevada",+All!C384,0))</f>
        <v>45572</v>
      </c>
      <c r="D81" s="490">
        <f>IF(+All!$F384="Nevada",+All!D384,IF(+All!$H384="Nevada",+All!D384,0))</f>
        <v>0.9375</v>
      </c>
      <c r="E81" s="461" t="str">
        <f>IF(+All!$F384="Nevada",+All!E384,IF(+All!$H384="Nevada",+All!E384,0))</f>
        <v>FS1</v>
      </c>
      <c r="F81" s="51" t="str">
        <f>IF(+All!$F384="Nevada",+All!F384,IF(+All!$H384="Nevada",+All!F384,0))</f>
        <v>Colorado State</v>
      </c>
      <c r="G81" s="52" t="str">
        <f>IF(+All!$F384="Nevada",+All!G384,IF(+All!$H384="Nevada",+All!G384,0))</f>
        <v>MWC</v>
      </c>
      <c r="H81" s="51" t="str">
        <f>IF(+All!$F384="Nevada",+All!H384,IF(+All!$H384="Nevada",+All!H384,0))</f>
        <v>Nevada</v>
      </c>
      <c r="I81" s="52" t="str">
        <f>IF(+All!$F384="Nevada",+All!I384,IF(+All!$H384="Nevada",+All!I384,0))</f>
        <v>MWC</v>
      </c>
      <c r="J81" s="460" t="str">
        <f>IF(+All!$F384="Nevada",+All!J384,IF(+All!$H384="Nevada",+All!J384,0))</f>
        <v>Nevada</v>
      </c>
      <c r="K81" s="461" t="str">
        <f>IF(+All!$F384="Nevada",+All!K384,IF(+All!$H384="Nevada",+All!K384,0))</f>
        <v>Colorado State</v>
      </c>
      <c r="L81" s="54">
        <f>IF(+All!$F384="Nevada",+All!L384,IF(+All!$H384="Nevada",+All!L384,0))</f>
        <v>3.5</v>
      </c>
      <c r="M81" s="55">
        <f>IF(+All!$F384="Nevada",+All!M384,IF(+All!$H384="Nevada",+All!M384,0))</f>
        <v>44</v>
      </c>
      <c r="N81" s="460" t="str">
        <f>IF(+All!$F384="Nevada",+All!N384,IF(+All!$H384="Nevada",+All!N384,0))</f>
        <v>Colorado State</v>
      </c>
      <c r="O81" s="462">
        <f>IF(+All!$F384="Nevada",+All!O384,IF(+All!$H384="Nevada",+All!O384,0))</f>
        <v>17</v>
      </c>
      <c r="P81" s="462" t="str">
        <f>IF(+All!$F384="Nevada",+All!P384,IF(+All!$H384="Nevada",+All!P384,0))</f>
        <v>Nevada</v>
      </c>
      <c r="Q81" s="461">
        <f>IF(+All!$F384="Nevada",+All!Q384,IF(+All!$H384="Nevada",+All!Q384,0))</f>
        <v>14</v>
      </c>
      <c r="R81" s="460" t="str">
        <f>IF(+All!$F384="Nevada",+All!R384,IF(+All!$H384="Nevada",+All!R384,0))</f>
        <v>Colorado State</v>
      </c>
      <c r="S81" s="462" t="str">
        <f>IF(+All!$F384="Nevada",+All!S384,IF(+All!$H384="Nevada",+All!S384,0))</f>
        <v>Nevada</v>
      </c>
      <c r="T81" s="460" t="str">
        <f>IF(+All!$F384="Nevada",+All!T384,IF(+All!$H384="Nevada",+All!T384,0))</f>
        <v>Nevada</v>
      </c>
      <c r="U81" s="461" t="str">
        <f>IF(+All!$F384="Nevada",+All!U384,IF(+All!$H384="Nevada",+All!U384,0))</f>
        <v>L</v>
      </c>
    </row>
    <row r="82" spans="1:21" x14ac:dyDescent="0.8">
      <c r="A82" s="46">
        <f>IF(+All!$F475="Nevada",+All!A475,IF(+All!$H475="Nevada",+All!A475,0))</f>
        <v>7</v>
      </c>
      <c r="B82" s="348" t="str">
        <f>IF(+All!$F475="Nevada",+All!B475,IF(+All!$H475="Nevada",+All!B475,0))</f>
        <v>Sat</v>
      </c>
      <c r="C82" s="48">
        <f>IF(+All!$F475="Nevada",+All!C475,IF(+All!$H475="Nevada",+All!C475,0))</f>
        <v>44849</v>
      </c>
      <c r="D82" s="490">
        <f>IF(+All!$F475="Nevada",+All!D475,IF(+All!$H475="Nevada",+All!D475,0))</f>
        <v>0.99995833333333328</v>
      </c>
      <c r="E82" s="461">
        <f>IF(+All!$F475="Nevada",+All!E475,IF(+All!$H475="Nevada",+All!E475,0))</f>
        <v>0</v>
      </c>
      <c r="F82" s="51" t="str">
        <f>IF(+All!$F475="Nevada",+All!F475,IF(+All!$H475="Nevada",+All!F475,0))</f>
        <v>Nevada</v>
      </c>
      <c r="G82" s="52" t="str">
        <f>IF(+All!$F475="Nevada",+All!G475,IF(+All!$H475="Nevada",+All!G475,0))</f>
        <v>MWC</v>
      </c>
      <c r="H82" s="51" t="str">
        <f>IF(+All!$F475="Nevada",+All!H475,IF(+All!$H475="Nevada",+All!H475,0))</f>
        <v>Hawaii</v>
      </c>
      <c r="I82" s="52" t="str">
        <f>IF(+All!$F475="Nevada",+All!I475,IF(+All!$H475="Nevada",+All!I475,0))</f>
        <v>MWC</v>
      </c>
      <c r="J82" s="460" t="str">
        <f>IF(+All!$F475="Nevada",+All!J475,IF(+All!$H475="Nevada",+All!J475,0))</f>
        <v>Nevada</v>
      </c>
      <c r="K82" s="461" t="str">
        <f>IF(+All!$F475="Nevada",+All!K475,IF(+All!$H475="Nevada",+All!K475,0))</f>
        <v>Hawaii</v>
      </c>
      <c r="L82" s="54">
        <f>IF(+All!$F475="Nevada",+All!L475,IF(+All!$H475="Nevada",+All!L475,0))</f>
        <v>6</v>
      </c>
      <c r="M82" s="55">
        <f>IF(+All!$F475="Nevada",+All!M475,IF(+All!$H475="Nevada",+All!M475,0))</f>
        <v>49.5</v>
      </c>
      <c r="N82" s="460" t="str">
        <f>IF(+All!$F475="Nevada",+All!N475,IF(+All!$H475="Nevada",+All!N475,0))</f>
        <v>Hawaii</v>
      </c>
      <c r="O82" s="462">
        <f>IF(+All!$F475="Nevada",+All!O475,IF(+All!$H475="Nevada",+All!O475,0))</f>
        <v>31</v>
      </c>
      <c r="P82" s="462" t="str">
        <f>IF(+All!$F475="Nevada",+All!P475,IF(+All!$H475="Nevada",+All!P475,0))</f>
        <v>Nevada</v>
      </c>
      <c r="Q82" s="461">
        <f>IF(+All!$F475="Nevada",+All!Q475,IF(+All!$H475="Nevada",+All!Q475,0))</f>
        <v>16</v>
      </c>
      <c r="R82" s="460" t="str">
        <f>IF(+All!$F475="Nevada",+All!R475,IF(+All!$H475="Nevada",+All!R475,0))</f>
        <v>Hawaii</v>
      </c>
      <c r="S82" s="462" t="str">
        <f>IF(+All!$F475="Nevada",+All!S475,IF(+All!$H475="Nevada",+All!S475,0))</f>
        <v>Nevada</v>
      </c>
      <c r="T82" s="460" t="str">
        <f>IF(+All!$F475="Nevada",+All!T475,IF(+All!$H475="Nevada",+All!T475,0))</f>
        <v>Nevada</v>
      </c>
      <c r="U82" s="461" t="str">
        <f>IF(+All!$F475="Nevada",+All!U475,IF(+All!$H475="Nevada",+All!U475,0))</f>
        <v>L</v>
      </c>
    </row>
    <row r="83" spans="1:21" x14ac:dyDescent="0.8">
      <c r="A83" s="46">
        <f>IF(+All!$F530="Nevada",+All!A530,IF(+All!$H530="Nevada",+All!A530,0))</f>
        <v>8</v>
      </c>
      <c r="B83" s="348" t="str">
        <f>IF(+All!$F530="Nevada",+All!B530,IF(+All!$H530="Nevada",+All!B530,0))</f>
        <v>Sat</v>
      </c>
      <c r="C83" s="48">
        <f>IF(+All!$F530="Nevada",+All!C530,IF(+All!$H530="Nevada",+All!C530,0))</f>
        <v>44856</v>
      </c>
      <c r="D83" s="490">
        <f>IF(+All!$F530="Nevada",+All!D530,IF(+All!$H530="Nevada",+All!D530,0))</f>
        <v>0.9375</v>
      </c>
      <c r="E83" s="461" t="str">
        <f>IF(+All!$F530="Nevada",+All!E530,IF(+All!$H530="Nevada",+All!E530,0))</f>
        <v>CBSSN</v>
      </c>
      <c r="F83" s="51" t="str">
        <f>IF(+All!$F530="Nevada",+All!F530,IF(+All!$H530="Nevada",+All!F530,0))</f>
        <v>Nevada</v>
      </c>
      <c r="G83" s="52" t="str">
        <f>IF(+All!$F530="Nevada",+All!G530,IF(+All!$H530="Nevada",+All!G530,0))</f>
        <v>MWC</v>
      </c>
      <c r="H83" s="51" t="str">
        <f>IF(+All!$F530="Nevada",+All!H530,IF(+All!$H530="Nevada",+All!H530,0))</f>
        <v>San Diego State</v>
      </c>
      <c r="I83" s="52" t="str">
        <f>IF(+All!$F530="Nevada",+All!I530,IF(+All!$H530="Nevada",+All!I530,0))</f>
        <v>MWC</v>
      </c>
      <c r="J83" s="460" t="str">
        <f>IF(+All!$F530="Nevada",+All!J530,IF(+All!$H530="Nevada",+All!J530,0))</f>
        <v>San Diego State</v>
      </c>
      <c r="K83" s="461" t="str">
        <f>IF(+All!$F530="Nevada",+All!K530,IF(+All!$H530="Nevada",+All!K530,0))</f>
        <v>Nevada</v>
      </c>
      <c r="L83" s="54">
        <f>IF(+All!$F530="Nevada",+All!L530,IF(+All!$H530="Nevada",+All!L530,0))</f>
        <v>7</v>
      </c>
      <c r="M83" s="55">
        <f>IF(+All!$F530="Nevada",+All!M530,IF(+All!$H530="Nevada",+All!M530,0))</f>
        <v>36</v>
      </c>
      <c r="N83" s="460" t="str">
        <f>IF(+All!$F530="Nevada",+All!N530,IF(+All!$H530="Nevada",+All!N530,0))</f>
        <v>San Diego State</v>
      </c>
      <c r="O83" s="462">
        <f>IF(+All!$F530="Nevada",+All!O530,IF(+All!$H530="Nevada",+All!O530,0))</f>
        <v>23</v>
      </c>
      <c r="P83" s="462" t="str">
        <f>IF(+All!$F530="Nevada",+All!P530,IF(+All!$H530="Nevada",+All!P530,0))</f>
        <v>Nevada</v>
      </c>
      <c r="Q83" s="461">
        <f>IF(+All!$F530="Nevada",+All!Q530,IF(+All!$H530="Nevada",+All!Q530,0))</f>
        <v>7</v>
      </c>
      <c r="R83" s="460" t="str">
        <f>IF(+All!$F530="Nevada",+All!R530,IF(+All!$H530="Nevada",+All!R530,0))</f>
        <v>San Diego State</v>
      </c>
      <c r="S83" s="462" t="str">
        <f>IF(+All!$F530="Nevada",+All!S530,IF(+All!$H530="Nevada",+All!S530,0))</f>
        <v>Nevada</v>
      </c>
      <c r="T83" s="460" t="str">
        <f>IF(+All!$F530="Nevada",+All!T530,IF(+All!$H530="Nevada",+All!T530,0))</f>
        <v>Nevada</v>
      </c>
      <c r="U83" s="461" t="str">
        <f>IF(+All!$F530="Nevada",+All!U530,IF(+All!$H530="Nevada",+All!U530,0))</f>
        <v>L</v>
      </c>
    </row>
    <row r="84" spans="1:21" x14ac:dyDescent="0.8">
      <c r="A84" s="46">
        <f>IF(+All!$F579="Nevada",+All!A579,IF(+All!$H579="Nevada",+All!A579,0))</f>
        <v>9</v>
      </c>
      <c r="B84" s="348" t="str">
        <f>IF(+All!$F579="Nevada",+All!B579,IF(+All!$H579="Nevada",+All!B579,0))</f>
        <v>Sat</v>
      </c>
      <c r="C84" s="48">
        <f>IF(+All!$F579="Nevada",+All!C579,IF(+All!$H579="Nevada",+All!C579,0))</f>
        <v>44863</v>
      </c>
      <c r="D84" s="490">
        <f>IF(+All!$F579="Nevada",+All!D579,IF(+All!$H579="Nevada",+All!D579,0))</f>
        <v>0.9375</v>
      </c>
      <c r="E84" s="461" t="str">
        <f>IF(+All!$F579="Nevada",+All!E579,IF(+All!$H579="Nevada",+All!E579,0))</f>
        <v>CBSSN</v>
      </c>
      <c r="F84" s="51" t="str">
        <f>IF(+All!$F579="Nevada",+All!F579,IF(+All!$H579="Nevada",+All!F579,0))</f>
        <v>Nevada</v>
      </c>
      <c r="G84" s="52" t="str">
        <f>IF(+All!$F579="Nevada",+All!G579,IF(+All!$H579="Nevada",+All!G579,0))</f>
        <v>MWC</v>
      </c>
      <c r="H84" s="51" t="str">
        <f>IF(+All!$F579="Nevada",+All!H579,IF(+All!$H579="Nevada",+All!H579,0))</f>
        <v>San Jose State</v>
      </c>
      <c r="I84" s="52" t="str">
        <f>IF(+All!$F579="Nevada",+All!I579,IF(+All!$H579="Nevada",+All!I579,0))</f>
        <v>MWC</v>
      </c>
      <c r="J84" s="460" t="str">
        <f>IF(+All!$F579="Nevada",+All!J579,IF(+All!$H579="Nevada",+All!J579,0))</f>
        <v>San Jose State</v>
      </c>
      <c r="K84" s="461" t="str">
        <f>IF(+All!$F579="Nevada",+All!K579,IF(+All!$H579="Nevada",+All!K579,0))</f>
        <v>Nevada</v>
      </c>
      <c r="L84" s="54">
        <f>IF(+All!$F579="Nevada",+All!L579,IF(+All!$H579="Nevada",+All!L579,0))</f>
        <v>24.5</v>
      </c>
      <c r="M84" s="55">
        <f>IF(+All!$F579="Nevada",+All!M579,IF(+All!$H579="Nevada",+All!M579,0))</f>
        <v>44</v>
      </c>
      <c r="N84" s="460" t="str">
        <f>IF(+All!$F579="Nevada",+All!N579,IF(+All!$H579="Nevada",+All!N579,0))</f>
        <v>San Jose State</v>
      </c>
      <c r="O84" s="462">
        <f>IF(+All!$F579="Nevada",+All!O579,IF(+All!$H579="Nevada",+All!O579,0))</f>
        <v>35</v>
      </c>
      <c r="P84" s="462" t="str">
        <f>IF(+All!$F579="Nevada",+All!P579,IF(+All!$H579="Nevada",+All!P579,0))</f>
        <v>Nevada</v>
      </c>
      <c r="Q84" s="461">
        <f>IF(+All!$F579="Nevada",+All!Q579,IF(+All!$H579="Nevada",+All!Q579,0))</f>
        <v>28</v>
      </c>
      <c r="R84" s="460" t="str">
        <f>IF(+All!$F579="Nevada",+All!R579,IF(+All!$H579="Nevada",+All!R579,0))</f>
        <v>Nevada</v>
      </c>
      <c r="S84" s="462" t="str">
        <f>IF(+All!$F579="Nevada",+All!S579,IF(+All!$H579="Nevada",+All!S579,0))</f>
        <v>San Jose State</v>
      </c>
      <c r="T84" s="460" t="str">
        <f>IF(+All!$F579="Nevada",+All!T579,IF(+All!$H579="Nevada",+All!T579,0))</f>
        <v>Nevada</v>
      </c>
      <c r="U84" s="461" t="str">
        <f>IF(+All!$F579="Nevada",+All!U579,IF(+All!$H579="Nevada",+All!U579,0))</f>
        <v>W</v>
      </c>
    </row>
    <row r="85" spans="1:21" x14ac:dyDescent="0.8">
      <c r="A85" s="46" t="e">
        <f>IF(+All!#REF!="Nevada",+All!#REF!,IF(+All!#REF!="Nevada",+All!#REF!,0))</f>
        <v>#REF!</v>
      </c>
      <c r="B85" s="348" t="e">
        <f>IF(+All!#REF!="Nevada",+All!#REF!,IF(+All!#REF!="Nevada",+All!#REF!,0))</f>
        <v>#REF!</v>
      </c>
      <c r="C85" s="48" t="e">
        <f>IF(+All!#REF!="Nevada",+All!#REF!,IF(+All!#REF!="Nevada",+All!#REF!,0))</f>
        <v>#REF!</v>
      </c>
      <c r="D85" s="490" t="e">
        <f>IF(+All!#REF!="Nevada",+All!#REF!,IF(+All!#REF!="Nevada",+All!#REF!,0))</f>
        <v>#REF!</v>
      </c>
      <c r="E85" s="461" t="e">
        <f>IF(+All!#REF!="Nevada",+All!#REF!,IF(+All!#REF!="Nevada",+All!#REF!,0))</f>
        <v>#REF!</v>
      </c>
      <c r="F85" s="51" t="e">
        <f>IF(+All!#REF!="Nevada",+All!#REF!,IF(+All!#REF!="Nevada",+All!#REF!,0))</f>
        <v>#REF!</v>
      </c>
      <c r="G85" s="52" t="e">
        <f>IF(+All!#REF!="Nevada",+All!#REF!,IF(+All!#REF!="Nevada",+All!#REF!,0))</f>
        <v>#REF!</v>
      </c>
      <c r="H85" s="51" t="e">
        <f>IF(+All!#REF!="Nevada",+All!#REF!,IF(+All!#REF!="Nevada",+All!#REF!,0))</f>
        <v>#REF!</v>
      </c>
      <c r="I85" s="52" t="e">
        <f>IF(+All!#REF!="Nevada",+All!#REF!,IF(+All!#REF!="Nevada",+All!#REF!,0))</f>
        <v>#REF!</v>
      </c>
      <c r="J85" s="460" t="e">
        <f>IF(+All!#REF!="Nevada",+All!#REF!,IF(+All!#REF!="Nevada",+All!#REF!,0))</f>
        <v>#REF!</v>
      </c>
      <c r="K85" s="461" t="e">
        <f>IF(+All!#REF!="Nevada",+All!#REF!,IF(+All!#REF!="Nevada",+All!#REF!,0))</f>
        <v>#REF!</v>
      </c>
      <c r="L85" s="54" t="e">
        <f>IF(+All!#REF!="Nevada",+All!#REF!,IF(+All!#REF!="Nevada",+All!#REF!,0))</f>
        <v>#REF!</v>
      </c>
      <c r="M85" s="55" t="e">
        <f>IF(+All!#REF!="Nevada",+All!#REF!,IF(+All!#REF!="Nevada",+All!#REF!,0))</f>
        <v>#REF!</v>
      </c>
      <c r="N85" s="460" t="e">
        <f>IF(+All!#REF!="Nevada",+All!#REF!,IF(+All!#REF!="Nevada",+All!#REF!,0))</f>
        <v>#REF!</v>
      </c>
      <c r="O85" s="462" t="e">
        <f>IF(+All!#REF!="Nevada",+All!#REF!,IF(+All!#REF!="Nevada",+All!#REF!,0))</f>
        <v>#REF!</v>
      </c>
      <c r="P85" s="462" t="e">
        <f>IF(+All!#REF!="Nevada",+All!#REF!,IF(+All!#REF!="Nevada",+All!#REF!,0))</f>
        <v>#REF!</v>
      </c>
      <c r="Q85" s="461" t="e">
        <f>IF(+All!#REF!="Nevada",+All!#REF!,IF(+All!#REF!="Nevada",+All!#REF!,0))</f>
        <v>#REF!</v>
      </c>
      <c r="R85" s="460" t="e">
        <f>IF(+All!#REF!="Nevada",+All!#REF!,IF(+All!#REF!="Nevada",+All!#REF!,0))</f>
        <v>#REF!</v>
      </c>
      <c r="S85" s="462" t="e">
        <f>IF(+All!#REF!="Nevada",+All!#REF!,IF(+All!#REF!="Nevada",+All!#REF!,0))</f>
        <v>#REF!</v>
      </c>
      <c r="T85" s="460" t="e">
        <f>IF(+All!#REF!="Nevada",+All!#REF!,IF(+All!#REF!="Nevada",+All!#REF!,0))</f>
        <v>#REF!</v>
      </c>
      <c r="U85" s="461" t="e">
        <f>IF(+All!#REF!="Nevada",+All!#REF!,IF(+All!#REF!="Nevada",+All!#REF!,0))</f>
        <v>#REF!</v>
      </c>
    </row>
    <row r="86" spans="1:21" x14ac:dyDescent="0.8">
      <c r="A86" s="46">
        <f>IF(+All!$F697="Nevada",+All!A697,IF(+All!$H697="Nevada",+All!A697,0))</f>
        <v>11</v>
      </c>
      <c r="B86" s="348" t="str">
        <f>IF(+All!$F697="Nevada",+All!B697,IF(+All!$H697="Nevada",+All!B697,0))</f>
        <v>Sat</v>
      </c>
      <c r="C86" s="48">
        <f>IF(+All!$F697="Nevada",+All!C697,IF(+All!$H697="Nevada",+All!C697,0))</f>
        <v>44877</v>
      </c>
      <c r="D86" s="490">
        <f>IF(+All!$F697="Nevada",+All!D697,IF(+All!$H697="Nevada",+All!D697,0))</f>
        <v>0.9375</v>
      </c>
      <c r="E86" s="461" t="str">
        <f>IF(+All!$F697="Nevada",+All!E697,IF(+All!$H697="Nevada",+All!E697,0))</f>
        <v>CBSSN</v>
      </c>
      <c r="F86" s="51" t="str">
        <f>IF(+All!$F697="Nevada",+All!F697,IF(+All!$H697="Nevada",+All!F697,0))</f>
        <v>Boise State</v>
      </c>
      <c r="G86" s="52" t="str">
        <f>IF(+All!$F697="Nevada",+All!G697,IF(+All!$H697="Nevada",+All!G697,0))</f>
        <v>MWC</v>
      </c>
      <c r="H86" s="51" t="str">
        <f>IF(+All!$F697="Nevada",+All!H697,IF(+All!$H697="Nevada",+All!H697,0))</f>
        <v>Nevada</v>
      </c>
      <c r="I86" s="52" t="str">
        <f>IF(+All!$F697="Nevada",+All!I697,IF(+All!$H697="Nevada",+All!I697,0))</f>
        <v>MWC</v>
      </c>
      <c r="J86" s="460" t="str">
        <f>IF(+All!$F697="Nevada",+All!J697,IF(+All!$H697="Nevada",+All!J697,0))</f>
        <v>Boise State</v>
      </c>
      <c r="K86" s="461" t="str">
        <f>IF(+All!$F697="Nevada",+All!K697,IF(+All!$H697="Nevada",+All!K697,0))</f>
        <v>Nevada</v>
      </c>
      <c r="L86" s="54">
        <f>IF(+All!$F697="Nevada",+All!L697,IF(+All!$H697="Nevada",+All!L697,0))</f>
        <v>21</v>
      </c>
      <c r="M86" s="55">
        <f>IF(+All!$F697="Nevada",+All!M697,IF(+All!$H697="Nevada",+All!M697,0))</f>
        <v>47.5</v>
      </c>
      <c r="N86" s="460" t="str">
        <f>IF(+All!$F697="Nevada",+All!N697,IF(+All!$H697="Nevada",+All!N697,0))</f>
        <v>Boise State</v>
      </c>
      <c r="O86" s="462">
        <f>IF(+All!$F697="Nevada",+All!O697,IF(+All!$H697="Nevada",+All!O697,0))</f>
        <v>41</v>
      </c>
      <c r="P86" s="462" t="str">
        <f>IF(+All!$F697="Nevada",+All!P697,IF(+All!$H697="Nevada",+All!P697,0))</f>
        <v>Nevada</v>
      </c>
      <c r="Q86" s="461">
        <f>IF(+All!$F697="Nevada",+All!Q697,IF(+All!$H697="Nevada",+All!Q697,0))</f>
        <v>3</v>
      </c>
      <c r="R86" s="460" t="str">
        <f>IF(+All!$F697="Nevada",+All!R697,IF(+All!$H697="Nevada",+All!R697,0))</f>
        <v>Boise State</v>
      </c>
      <c r="S86" s="462" t="str">
        <f>IF(+All!$F697="Nevada",+All!S697,IF(+All!$H697="Nevada",+All!S697,0))</f>
        <v>Nevada</v>
      </c>
      <c r="T86" s="460" t="str">
        <f>IF(+All!$F697="Nevada",+All!T697,IF(+All!$H697="Nevada",+All!T697,0))</f>
        <v>Nevada</v>
      </c>
      <c r="U86" s="461" t="str">
        <f>IF(+All!$F697="Nevada",+All!U697,IF(+All!$H697="Nevada",+All!U697,0))</f>
        <v>L</v>
      </c>
    </row>
    <row r="87" spans="1:21" x14ac:dyDescent="0.8">
      <c r="A87" s="46">
        <f>IF(+All!$F760="Nevada",+All!A760,IF(+All!$H760="Nevada",+All!A760,0))</f>
        <v>12</v>
      </c>
      <c r="B87" s="348" t="str">
        <f>IF(+All!$F760="Nevada",+All!B760,IF(+All!$H760="Nevada",+All!B760,0))</f>
        <v>Sat</v>
      </c>
      <c r="C87" s="48">
        <f>IF(+All!$F760="Nevada",+All!C760,IF(+All!$H760="Nevada",+All!C760,0))</f>
        <v>44884</v>
      </c>
      <c r="D87" s="490">
        <f>IF(+All!$F760="Nevada",+All!D760,IF(+All!$H760="Nevada",+All!D760,0))</f>
        <v>0.9375</v>
      </c>
      <c r="E87" s="461" t="str">
        <f>IF(+All!$F760="Nevada",+All!E760,IF(+All!$H760="Nevada",+All!E760,0))</f>
        <v>CBSSN</v>
      </c>
      <c r="F87" s="51" t="str">
        <f>IF(+All!$F760="Nevada",+All!F760,IF(+All!$H760="Nevada",+All!F760,0))</f>
        <v>Fresno State</v>
      </c>
      <c r="G87" s="52" t="str">
        <f>IF(+All!$F760="Nevada",+All!G760,IF(+All!$H760="Nevada",+All!G760,0))</f>
        <v>MWC</v>
      </c>
      <c r="H87" s="51" t="str">
        <f>IF(+All!$F760="Nevada",+All!H760,IF(+All!$H760="Nevada",+All!H760,0))</f>
        <v>Nevada</v>
      </c>
      <c r="I87" s="52" t="str">
        <f>IF(+All!$F760="Nevada",+All!I760,IF(+All!$H760="Nevada",+All!I760,0))</f>
        <v>MWC</v>
      </c>
      <c r="J87" s="460" t="str">
        <f>IF(+All!$F760="Nevada",+All!J760,IF(+All!$H760="Nevada",+All!J760,0))</f>
        <v>Fresno State</v>
      </c>
      <c r="K87" s="461" t="str">
        <f>IF(+All!$F760="Nevada",+All!K760,IF(+All!$H760="Nevada",+All!K760,0))</f>
        <v>Nevada</v>
      </c>
      <c r="L87" s="54">
        <f>IF(+All!$F760="Nevada",+All!L760,IF(+All!$H760="Nevada",+All!L760,0))</f>
        <v>22.5</v>
      </c>
      <c r="M87" s="55">
        <f>IF(+All!$F760="Nevada",+All!M760,IF(+All!$H760="Nevada",+All!M760,0))</f>
        <v>53.5</v>
      </c>
      <c r="N87" s="460" t="str">
        <f>IF(+All!$F760="Nevada",+All!N760,IF(+All!$H760="Nevada",+All!N760,0))</f>
        <v>Fresno State</v>
      </c>
      <c r="O87" s="462">
        <f>IF(+All!$F760="Nevada",+All!O760,IF(+All!$H760="Nevada",+All!O760,0))</f>
        <v>41</v>
      </c>
      <c r="P87" s="462" t="str">
        <f>IF(+All!$F760="Nevada",+All!P760,IF(+All!$H760="Nevada",+All!P760,0))</f>
        <v>Nevada</v>
      </c>
      <c r="Q87" s="461">
        <f>IF(+All!$F760="Nevada",+All!Q760,IF(+All!$H760="Nevada",+All!Q760,0))</f>
        <v>14</v>
      </c>
      <c r="R87" s="460" t="str">
        <f>IF(+All!$F760="Nevada",+All!R760,IF(+All!$H760="Nevada",+All!R760,0))</f>
        <v>Fresno State</v>
      </c>
      <c r="S87" s="462" t="str">
        <f>IF(+All!$F760="Nevada",+All!S760,IF(+All!$H760="Nevada",+All!S760,0))</f>
        <v>Nevada</v>
      </c>
      <c r="T87" s="460" t="str">
        <f>IF(+All!$F760="Nevada",+All!T760,IF(+All!$H760="Nevada",+All!T760,0))</f>
        <v>Nevada</v>
      </c>
      <c r="U87" s="461" t="str">
        <f>IF(+All!$F760="Nevada",+All!U760,IF(+All!$H760="Nevada",+All!U760,0))</f>
        <v>L</v>
      </c>
    </row>
    <row r="88" spans="1:21" x14ac:dyDescent="0.8">
      <c r="A88" s="46">
        <f>IF(+All!$F831="Nevada",+All!A831,IF(+All!$H831="Nevada",+All!A831,0))</f>
        <v>13</v>
      </c>
      <c r="B88" s="348" t="str">
        <f>IF(+All!$F831="Nevada",+All!B831,IF(+All!$H831="Nevada",+All!B831,0))</f>
        <v>Sat</v>
      </c>
      <c r="C88" s="48">
        <f>IF(+All!$F831="Nevada",+All!C831,IF(+All!$H831="Nevada",+All!C831,0))</f>
        <v>44891</v>
      </c>
      <c r="D88" s="490">
        <f>IF(+All!$F831="Nevada",+All!D831,IF(+All!$H831="Nevada",+All!D831,0))</f>
        <v>0.75</v>
      </c>
      <c r="E88" s="461">
        <f>IF(+All!$F831="Nevada",+All!E831,IF(+All!$H831="Nevada",+All!E831,0))</f>
        <v>0</v>
      </c>
      <c r="F88" s="51" t="str">
        <f>IF(+All!$F831="Nevada",+All!F831,IF(+All!$H831="Nevada",+All!F831,0))</f>
        <v>Nevada</v>
      </c>
      <c r="G88" s="52" t="str">
        <f>IF(+All!$F831="Nevada",+All!G831,IF(+All!$H831="Nevada",+All!G831,0))</f>
        <v>MWC</v>
      </c>
      <c r="H88" s="51" t="str">
        <f>IF(+All!$F831="Nevada",+All!H831,IF(+All!$H831="Nevada",+All!H831,0))</f>
        <v>UNLV</v>
      </c>
      <c r="I88" s="52" t="str">
        <f>IF(+All!$F831="Nevada",+All!I831,IF(+All!$H831="Nevada",+All!I831,0))</f>
        <v>MWC</v>
      </c>
      <c r="J88" s="460" t="str">
        <f>IF(+All!$F831="Nevada",+All!J831,IF(+All!$H831="Nevada",+All!J831,0))</f>
        <v>Nevada</v>
      </c>
      <c r="K88" s="461" t="str">
        <f>IF(+All!$F831="Nevada",+All!K831,IF(+All!$H831="Nevada",+All!K831,0))</f>
        <v>UNLV</v>
      </c>
      <c r="L88" s="54">
        <f>IF(+All!$F831="Nevada",+All!L831,IF(+All!$H831="Nevada",+All!L831,0))</f>
        <v>12</v>
      </c>
      <c r="M88" s="55">
        <f>IF(+All!$F831="Nevada",+All!M831,IF(+All!$H831="Nevada",+All!M831,0))</f>
        <v>49</v>
      </c>
      <c r="N88" s="460" t="str">
        <f>IF(+All!$F831="Nevada",+All!N831,IF(+All!$H831="Nevada",+All!N831,0))</f>
        <v>UNLV</v>
      </c>
      <c r="O88" s="462">
        <f>IF(+All!$F831="Nevada",+All!O831,IF(+All!$H831="Nevada",+All!O831,0))</f>
        <v>27</v>
      </c>
      <c r="P88" s="462" t="str">
        <f>IF(+All!$F831="Nevada",+All!P831,IF(+All!$H831="Nevada",+All!P831,0))</f>
        <v>Nevada</v>
      </c>
      <c r="Q88" s="461">
        <f>IF(+All!$F831="Nevada",+All!Q831,IF(+All!$H831="Nevada",+All!Q831,0))</f>
        <v>22</v>
      </c>
      <c r="R88" s="460" t="str">
        <f>IF(+All!$F831="Nevada",+All!R831,IF(+All!$H831="Nevada",+All!R831,0))</f>
        <v>UNLV</v>
      </c>
      <c r="S88" s="462" t="str">
        <f>IF(+All!$F831="Nevada",+All!S831,IF(+All!$H831="Nevada",+All!S831,0))</f>
        <v>Nevada</v>
      </c>
      <c r="T88" s="460" t="str">
        <f>IF(+All!$F831="Nevada",+All!T831,IF(+All!$H831="Nevada",+All!T831,0))</f>
        <v>Nevada</v>
      </c>
      <c r="U88" s="461" t="str">
        <f>IF(+All!$F831="Nevada",+All!U831,IF(+All!$H831="Nevada",+All!U831,0))</f>
        <v>L</v>
      </c>
    </row>
    <row r="89" spans="1:21" x14ac:dyDescent="0.8">
      <c r="A89" s="38"/>
      <c r="B89" s="39"/>
      <c r="C89" s="40"/>
      <c r="D89" s="41"/>
      <c r="E89" s="463"/>
      <c r="F89" s="897" t="str">
        <f>H90</f>
        <v>New Mexico</v>
      </c>
      <c r="G89" s="901"/>
      <c r="H89" s="901"/>
      <c r="I89" s="902"/>
      <c r="J89" s="459"/>
      <c r="K89" s="463"/>
      <c r="L89" s="44"/>
      <c r="M89" s="45"/>
      <c r="N89" s="459"/>
      <c r="O89" s="5"/>
      <c r="P89" s="5"/>
      <c r="Q89" s="463"/>
      <c r="R89" s="459"/>
      <c r="S89" s="5"/>
      <c r="T89" s="459"/>
      <c r="U89" s="463"/>
    </row>
    <row r="90" spans="1:21" x14ac:dyDescent="0.8">
      <c r="A90" s="46">
        <f>IF(+All!$F62="New Mexico",+All!A62,IF(+All!$H62="New Mexico",+All!A62,0))</f>
        <v>1</v>
      </c>
      <c r="B90" s="348" t="str">
        <f>IF(+All!$F62="New Mexico",+All!B62,IF(+All!$H62="New Mexico",+All!B62,0))</f>
        <v>Sat</v>
      </c>
      <c r="C90" s="48">
        <f>IF(+All!$F62="New Mexico",+All!C62,IF(+All!$H62="New Mexico",+All!C62,0))</f>
        <v>44807</v>
      </c>
      <c r="D90" s="490">
        <f>IF(+All!$F62="New Mexico",+All!D62,IF(+All!$H62="New Mexico",+All!D62,0))</f>
        <v>0.83333333333333337</v>
      </c>
      <c r="E90" s="461">
        <f>IF(+All!$F62="New Mexico",+All!E62,IF(+All!$H62="New Mexico",+All!E62,0))</f>
        <v>0</v>
      </c>
      <c r="F90" s="51" t="str">
        <f>IF(+All!$F62="New Mexico",+All!F62,IF(+All!$H62="New Mexico",+All!F62,0))</f>
        <v>1AA Maine</v>
      </c>
      <c r="G90" s="52" t="str">
        <f>IF(+All!$F62="New Mexico",+All!G62,IF(+All!$H62="New Mexico",+All!G62,0))</f>
        <v>1AA</v>
      </c>
      <c r="H90" s="51" t="str">
        <f>IF(+All!$F62="New Mexico",+All!H62,IF(+All!$H62="New Mexico",+All!H62,0))</f>
        <v>New Mexico</v>
      </c>
      <c r="I90" s="52" t="str">
        <f>IF(+All!$F62="New Mexico",+All!I62,IF(+All!$H62="New Mexico",+All!I62,0))</f>
        <v>MWC</v>
      </c>
      <c r="J90" s="460">
        <f>IF(+All!$F62="New Mexico",+All!J62,IF(+All!$H62="New Mexico",+All!J62,0))</f>
        <v>0</v>
      </c>
      <c r="K90" s="461">
        <f>IF(+All!$F62="New Mexico",+All!K62,IF(+All!$H62="New Mexico",+All!K62,0))</f>
        <v>0</v>
      </c>
      <c r="L90" s="54">
        <f>IF(+All!$F62="New Mexico",+All!L62,IF(+All!$H62="New Mexico",+All!L62,0))</f>
        <v>0</v>
      </c>
      <c r="M90" s="55">
        <f>IF(+All!$F62="New Mexico",+All!M62,IF(+All!$H62="New Mexico",+All!M62,0))</f>
        <v>0</v>
      </c>
      <c r="N90" s="460" t="str">
        <f>IF(+All!$F62="New Mexico",+All!N62,IF(+All!$H62="New Mexico",+All!N62,0))</f>
        <v>New Mexico</v>
      </c>
      <c r="O90" s="462">
        <f>IF(+All!$F62="New Mexico",+All!O62,IF(+All!$H62="New Mexico",+All!O62,0))</f>
        <v>41</v>
      </c>
      <c r="P90" s="462" t="str">
        <f>IF(+All!$F62="New Mexico",+All!P62,IF(+All!$H62="New Mexico",+All!P62,0))</f>
        <v>1AA Maine</v>
      </c>
      <c r="Q90" s="461">
        <f>IF(+All!$F62="New Mexico",+All!Q62,IF(+All!$H62="New Mexico",+All!Q62,0))</f>
        <v>0</v>
      </c>
      <c r="R90" s="460">
        <f>IF(+All!$F62="New Mexico",+All!R62,IF(+All!$H62="New Mexico",+All!R62,0))</f>
        <v>0</v>
      </c>
      <c r="S90" s="462">
        <f>IF(+All!$F62="New Mexico",+All!S62,IF(+All!$H62="New Mexico",+All!S62,0))</f>
        <v>0</v>
      </c>
      <c r="T90" s="460">
        <f>IF(+All!$F62="New Mexico",+All!T62,IF(+All!$H62="New Mexico",+All!T62,0))</f>
        <v>0</v>
      </c>
      <c r="U90" s="461">
        <f>IF(+All!$F62="New Mexico",+All!U62,IF(+All!$H62="New Mexico",+All!U62,0))</f>
        <v>0</v>
      </c>
    </row>
    <row r="91" spans="1:21" x14ac:dyDescent="0.8">
      <c r="A91" s="46">
        <f>IF(+All!$F155="New Mexico",+All!A155,IF(+All!$H155="New Mexico",+All!A155,0))</f>
        <v>2</v>
      </c>
      <c r="B91" s="348" t="str">
        <f>IF(+All!$F155="New Mexico",+All!B155,IF(+All!$H155="New Mexico",+All!B155,0))</f>
        <v>Fri</v>
      </c>
      <c r="C91" s="48">
        <f>IF(+All!$F155="New Mexico",+All!C155,IF(+All!$H155="New Mexico",+All!C155,0))</f>
        <v>44813</v>
      </c>
      <c r="D91" s="490">
        <f>IF(+All!$F155="New Mexico",+All!D155,IF(+All!$H155="New Mexico",+All!D155,0))</f>
        <v>0.875</v>
      </c>
      <c r="E91" s="461" t="str">
        <f>IF(+All!$F155="New Mexico",+All!E155,IF(+All!$H155="New Mexico",+All!E155,0))</f>
        <v>CBSSN</v>
      </c>
      <c r="F91" s="51" t="str">
        <f>IF(+All!$F155="New Mexico",+All!F155,IF(+All!$H155="New Mexico",+All!F155,0))</f>
        <v>Boise State</v>
      </c>
      <c r="G91" s="52" t="str">
        <f>IF(+All!$F155="New Mexico",+All!G155,IF(+All!$H155="New Mexico",+All!G155,0))</f>
        <v>MWC</v>
      </c>
      <c r="H91" s="51" t="str">
        <f>IF(+All!$F155="New Mexico",+All!H155,IF(+All!$H155="New Mexico",+All!H155,0))</f>
        <v>New Mexico</v>
      </c>
      <c r="I91" s="52" t="str">
        <f>IF(+All!$F155="New Mexico",+All!I155,IF(+All!$H155="New Mexico",+All!I155,0))</f>
        <v>MWC</v>
      </c>
      <c r="J91" s="460" t="str">
        <f>IF(+All!$F155="New Mexico",+All!J155,IF(+All!$H155="New Mexico",+All!J155,0))</f>
        <v>Boise State</v>
      </c>
      <c r="K91" s="461" t="str">
        <f>IF(+All!$F155="New Mexico",+All!K155,IF(+All!$H155="New Mexico",+All!K155,0))</f>
        <v>New Mexico</v>
      </c>
      <c r="L91" s="54">
        <f>IF(+All!$F155="New Mexico",+All!L155,IF(+All!$H155="New Mexico",+All!L155,0))</f>
        <v>16.5</v>
      </c>
      <c r="M91" s="55">
        <f>IF(+All!$F155="New Mexico",+All!M155,IF(+All!$H155="New Mexico",+All!M155,0))</f>
        <v>44</v>
      </c>
      <c r="N91" s="460" t="str">
        <f>IF(+All!$F155="New Mexico",+All!N155,IF(+All!$H155="New Mexico",+All!N155,0))</f>
        <v>Boise State</v>
      </c>
      <c r="O91" s="462">
        <f>IF(+All!$F155="New Mexico",+All!O155,IF(+All!$H155="New Mexico",+All!O155,0))</f>
        <v>31</v>
      </c>
      <c r="P91" s="462" t="str">
        <f>IF(+All!$F155="New Mexico",+All!P155,IF(+All!$H155="New Mexico",+All!P155,0))</f>
        <v>New Mexico</v>
      </c>
      <c r="Q91" s="461">
        <f>IF(+All!$F155="New Mexico",+All!Q155,IF(+All!$H155="New Mexico",+All!Q155,0))</f>
        <v>14</v>
      </c>
      <c r="R91" s="460" t="str">
        <f>IF(+All!$F155="New Mexico",+All!R155,IF(+All!$H155="New Mexico",+All!R155,0))</f>
        <v>Boise State</v>
      </c>
      <c r="S91" s="462" t="str">
        <f>IF(+All!$F155="New Mexico",+All!S155,IF(+All!$H155="New Mexico",+All!S155,0))</f>
        <v>New Mexico</v>
      </c>
      <c r="T91" s="460" t="str">
        <f>IF(+All!$F155="New Mexico",+All!T155,IF(+All!$H155="New Mexico",+All!T155,0))</f>
        <v>New Mexico</v>
      </c>
      <c r="U91" s="461" t="str">
        <f>IF(+All!$F155="New Mexico",+All!U155,IF(+All!$H155="New Mexico",+All!U155,0))</f>
        <v>L</v>
      </c>
    </row>
    <row r="92" spans="1:21" x14ac:dyDescent="0.8">
      <c r="A92" s="46">
        <f>IF(+All!$F227="New Mexico",+All!A227,IF(+All!$H227="New Mexico",+All!A227,0))</f>
        <v>3</v>
      </c>
      <c r="B92" s="348" t="str">
        <f>IF(+All!$F227="New Mexico",+All!B227,IF(+All!$H227="New Mexico",+All!B227,0))</f>
        <v>Sat</v>
      </c>
      <c r="C92" s="48">
        <f>IF(+All!$F227="New Mexico",+All!C227,IF(+All!$H227="New Mexico",+All!C227,0))</f>
        <v>44821</v>
      </c>
      <c r="D92" s="490">
        <f>IF(+All!$F227="New Mexico",+All!D227,IF(+All!$H227="New Mexico",+All!D227,0))</f>
        <v>0.83333333333333337</v>
      </c>
      <c r="E92" s="461">
        <f>IF(+All!$F227="New Mexico",+All!E227,IF(+All!$H227="New Mexico",+All!E227,0))</f>
        <v>0</v>
      </c>
      <c r="F92" s="51" t="str">
        <f>IF(+All!$F227="New Mexico",+All!F227,IF(+All!$H227="New Mexico",+All!F227,0))</f>
        <v>UTEP</v>
      </c>
      <c r="G92" s="52" t="str">
        <f>IF(+All!$F227="New Mexico",+All!G227,IF(+All!$H227="New Mexico",+All!G227,0))</f>
        <v>CUSA</v>
      </c>
      <c r="H92" s="51" t="str">
        <f>IF(+All!$F227="New Mexico",+All!H227,IF(+All!$H227="New Mexico",+All!H227,0))</f>
        <v>New Mexico</v>
      </c>
      <c r="I92" s="52" t="str">
        <f>IF(+All!$F227="New Mexico",+All!I227,IF(+All!$H227="New Mexico",+All!I227,0))</f>
        <v>MWC</v>
      </c>
      <c r="J92" s="460" t="str">
        <f>IF(+All!$F227="New Mexico",+All!J227,IF(+All!$H227="New Mexico",+All!J227,0))</f>
        <v>UTEP</v>
      </c>
      <c r="K92" s="461" t="str">
        <f>IF(+All!$F227="New Mexico",+All!K227,IF(+All!$H227="New Mexico",+All!K227,0))</f>
        <v>New Mexico</v>
      </c>
      <c r="L92" s="54">
        <f>IF(+All!$F227="New Mexico",+All!L227,IF(+All!$H227="New Mexico",+All!L227,0))</f>
        <v>3</v>
      </c>
      <c r="M92" s="55">
        <f>IF(+All!$F227="New Mexico",+All!M227,IF(+All!$H227="New Mexico",+All!M227,0))</f>
        <v>39.5</v>
      </c>
      <c r="N92" s="460" t="str">
        <f>IF(+All!$F227="New Mexico",+All!N227,IF(+All!$H227="New Mexico",+All!N227,0))</f>
        <v>New Mexico</v>
      </c>
      <c r="O92" s="462">
        <f>IF(+All!$F227="New Mexico",+All!O227,IF(+All!$H227="New Mexico",+All!O227,0))</f>
        <v>27</v>
      </c>
      <c r="P92" s="462" t="str">
        <f>IF(+All!$F227="New Mexico",+All!P227,IF(+All!$H227="New Mexico",+All!P227,0))</f>
        <v>UTEP</v>
      </c>
      <c r="Q92" s="461">
        <f>IF(+All!$F227="New Mexico",+All!Q227,IF(+All!$H227="New Mexico",+All!Q227,0))</f>
        <v>10</v>
      </c>
      <c r="R92" s="460" t="str">
        <f>IF(+All!$F227="New Mexico",+All!R227,IF(+All!$H227="New Mexico",+All!R227,0))</f>
        <v>New Mexico</v>
      </c>
      <c r="S92" s="462" t="str">
        <f>IF(+All!$F227="New Mexico",+All!S227,IF(+All!$H227="New Mexico",+All!S227,0))</f>
        <v>UTEP</v>
      </c>
      <c r="T92" s="460" t="str">
        <f>IF(+All!$F227="New Mexico",+All!T227,IF(+All!$H227="New Mexico",+All!T227,0))</f>
        <v>UTEP</v>
      </c>
      <c r="U92" s="461" t="str">
        <f>IF(+All!$F227="New Mexico",+All!U227,IF(+All!$H227="New Mexico",+All!U227,0))</f>
        <v>L</v>
      </c>
    </row>
    <row r="93" spans="1:21" x14ac:dyDescent="0.8">
      <c r="A93" s="46">
        <f>IF(+All!$F313="New Mexico",+All!A313,IF(+All!$H313="New Mexico",+All!A313,0))</f>
        <v>4</v>
      </c>
      <c r="B93" s="348" t="str">
        <f>IF(+All!$F313="New Mexico",+All!B313,IF(+All!$H313="New Mexico",+All!B313,0))</f>
        <v>Sat</v>
      </c>
      <c r="C93" s="48">
        <f>IF(+All!$F313="New Mexico",+All!C313,IF(+All!$H313="New Mexico",+All!C313,0))</f>
        <v>44828</v>
      </c>
      <c r="D93" s="490">
        <f>IF(+All!$F313="New Mexico",+All!D313,IF(+All!$H313="New Mexico",+All!D313,0))</f>
        <v>0.8125</v>
      </c>
      <c r="E93" s="461">
        <f>IF(+All!$F313="New Mexico",+All!E313,IF(+All!$H313="New Mexico",+All!E313,0))</f>
        <v>0</v>
      </c>
      <c r="F93" s="51" t="str">
        <f>IF(+All!$F313="New Mexico",+All!F313,IF(+All!$H313="New Mexico",+All!F313,0))</f>
        <v>New Mexico</v>
      </c>
      <c r="G93" s="52" t="str">
        <f>IF(+All!$F313="New Mexico",+All!G313,IF(+All!$H313="New Mexico",+All!G313,0))</f>
        <v>MWC</v>
      </c>
      <c r="H93" s="51" t="str">
        <f>IF(+All!$F313="New Mexico",+All!H313,IF(+All!$H313="New Mexico",+All!H313,0))</f>
        <v>LSU</v>
      </c>
      <c r="I93" s="52" t="str">
        <f>IF(+All!$F313="New Mexico",+All!I313,IF(+All!$H313="New Mexico",+All!I313,0))</f>
        <v>SEC</v>
      </c>
      <c r="J93" s="460" t="str">
        <f>IF(+All!$F313="New Mexico",+All!J313,IF(+All!$H313="New Mexico",+All!J313,0))</f>
        <v>LSU</v>
      </c>
      <c r="K93" s="461" t="str">
        <f>IF(+All!$F313="New Mexico",+All!K313,IF(+All!$H313="New Mexico",+All!K313,0))</f>
        <v>New Mexico</v>
      </c>
      <c r="L93" s="54">
        <f>IF(+All!$F313="New Mexico",+All!L313,IF(+All!$H313="New Mexico",+All!L313,0))</f>
        <v>31</v>
      </c>
      <c r="M93" s="55">
        <f>IF(+All!$F313="New Mexico",+All!M313,IF(+All!$H313="New Mexico",+All!M313,0))</f>
        <v>45.5</v>
      </c>
      <c r="N93" s="460" t="str">
        <f>IF(+All!$F313="New Mexico",+All!N313,IF(+All!$H313="New Mexico",+All!N313,0))</f>
        <v>LSU</v>
      </c>
      <c r="O93" s="462">
        <f>IF(+All!$F313="New Mexico",+All!O313,IF(+All!$H313="New Mexico",+All!O313,0))</f>
        <v>38</v>
      </c>
      <c r="P93" s="462" t="str">
        <f>IF(+All!$F313="New Mexico",+All!P313,IF(+All!$H313="New Mexico",+All!P313,0))</f>
        <v>New Mexico</v>
      </c>
      <c r="Q93" s="461">
        <f>IF(+All!$F313="New Mexico",+All!Q313,IF(+All!$H313="New Mexico",+All!Q313,0))</f>
        <v>0</v>
      </c>
      <c r="R93" s="460" t="str">
        <f>IF(+All!$F313="New Mexico",+All!R313,IF(+All!$H313="New Mexico",+All!R313,0))</f>
        <v>LSU</v>
      </c>
      <c r="S93" s="462" t="str">
        <f>IF(+All!$F313="New Mexico",+All!S313,IF(+All!$H313="New Mexico",+All!S313,0))</f>
        <v>New Mexico</v>
      </c>
      <c r="T93" s="460" t="str">
        <f>IF(+All!$F313="New Mexico",+All!T313,IF(+All!$H313="New Mexico",+All!T313,0))</f>
        <v>LSU</v>
      </c>
      <c r="U93" s="461" t="str">
        <f>IF(+All!$F313="New Mexico",+All!U313,IF(+All!$H313="New Mexico",+All!U313,0))</f>
        <v>W</v>
      </c>
    </row>
    <row r="94" spans="1:21" x14ac:dyDescent="0.8">
      <c r="A94" s="46">
        <f>IF(+All!$F322="New Mexico",+All!A322,IF(+All!$H322="New Mexico",+All!A322,0))</f>
        <v>5</v>
      </c>
      <c r="B94" s="348" t="str">
        <f>IF(+All!$F322="New Mexico",+All!B322,IF(+All!$H322="New Mexico",+All!B322,0))</f>
        <v>Fri</v>
      </c>
      <c r="C94" s="48">
        <f>IF(+All!$F322="New Mexico",+All!C322,IF(+All!$H322="New Mexico",+All!C322,0))</f>
        <v>44834</v>
      </c>
      <c r="D94" s="490">
        <f>IF(+All!$F322="New Mexico",+All!D322,IF(+All!$H322="New Mexico",+All!D322,0))</f>
        <v>0.95833333333333337</v>
      </c>
      <c r="E94" s="461" t="str">
        <f>IF(+All!$F322="New Mexico",+All!E322,IF(+All!$H322="New Mexico",+All!E322,0))</f>
        <v>CBSSN</v>
      </c>
      <c r="F94" s="51" t="str">
        <f>IF(+All!$F322="New Mexico",+All!F322,IF(+All!$H322="New Mexico",+All!F322,0))</f>
        <v>New Mexico</v>
      </c>
      <c r="G94" s="52" t="str">
        <f>IF(+All!$F322="New Mexico",+All!G322,IF(+All!$H322="New Mexico",+All!G322,0))</f>
        <v>MWC</v>
      </c>
      <c r="H94" s="51" t="str">
        <f>IF(+All!$F322="New Mexico",+All!H322,IF(+All!$H322="New Mexico",+All!H322,0))</f>
        <v>UNLV</v>
      </c>
      <c r="I94" s="52" t="str">
        <f>IF(+All!$F322="New Mexico",+All!I322,IF(+All!$H322="New Mexico",+All!I322,0))</f>
        <v>MWC</v>
      </c>
      <c r="J94" s="460" t="str">
        <f>IF(+All!$F322="New Mexico",+All!J322,IF(+All!$H322="New Mexico",+All!J322,0))</f>
        <v>UNLV</v>
      </c>
      <c r="K94" s="461" t="str">
        <f>IF(+All!$F322="New Mexico",+All!K322,IF(+All!$H322="New Mexico",+All!K322,0))</f>
        <v>New Mexico</v>
      </c>
      <c r="L94" s="54">
        <f>IF(+All!$F322="New Mexico",+All!L322,IF(+All!$H322="New Mexico",+All!L322,0))</f>
        <v>14.5</v>
      </c>
      <c r="M94" s="55">
        <f>IF(+All!$F322="New Mexico",+All!M322,IF(+All!$H322="New Mexico",+All!M322,0))</f>
        <v>44.5</v>
      </c>
      <c r="N94" s="460" t="str">
        <f>IF(+All!$F322="New Mexico",+All!N322,IF(+All!$H322="New Mexico",+All!N322,0))</f>
        <v>UNLV</v>
      </c>
      <c r="O94" s="462">
        <f>IF(+All!$F322="New Mexico",+All!O322,IF(+All!$H322="New Mexico",+All!O322,0))</f>
        <v>31</v>
      </c>
      <c r="P94" s="462" t="str">
        <f>IF(+All!$F322="New Mexico",+All!P322,IF(+All!$H322="New Mexico",+All!P322,0))</f>
        <v>New Mexico</v>
      </c>
      <c r="Q94" s="461">
        <f>IF(+All!$F322="New Mexico",+All!Q322,IF(+All!$H322="New Mexico",+All!Q322,0))</f>
        <v>20</v>
      </c>
      <c r="R94" s="460" t="str">
        <f>IF(+All!$F322="New Mexico",+All!R322,IF(+All!$H322="New Mexico",+All!R322,0))</f>
        <v>New Mexico</v>
      </c>
      <c r="S94" s="462" t="str">
        <f>IF(+All!$F322="New Mexico",+All!S322,IF(+All!$H322="New Mexico",+All!S322,0))</f>
        <v>UNLV</v>
      </c>
      <c r="T94" s="460" t="str">
        <f>IF(+All!$F322="New Mexico",+All!T322,IF(+All!$H322="New Mexico",+All!T322,0))</f>
        <v>UNLV</v>
      </c>
      <c r="U94" s="461" t="str">
        <f>IF(+All!$F322="New Mexico",+All!U322,IF(+All!$H322="New Mexico",+All!U322,0))</f>
        <v>L</v>
      </c>
    </row>
    <row r="95" spans="1:21" x14ac:dyDescent="0.8">
      <c r="A95" s="46">
        <f>IF(+All!$F418="New Mexico",+All!A418,IF(+All!$H418="New Mexico",+All!A418,0))</f>
        <v>6</v>
      </c>
      <c r="B95" s="348" t="str">
        <f>IF(+All!$F418="New Mexico",+All!B418,IF(+All!$H418="New Mexico",+All!B418,0))</f>
        <v>Sat</v>
      </c>
      <c r="C95" s="48">
        <f>IF(+All!$F418="New Mexico",+All!C418,IF(+All!$H418="New Mexico",+All!C418,0))</f>
        <v>44842</v>
      </c>
      <c r="D95" s="490">
        <f>IF(+All!$F418="New Mexico",+All!D418,IF(+All!$H418="New Mexico",+All!D418,0))</f>
        <v>0.79166666666666663</v>
      </c>
      <c r="E95" s="461" t="str">
        <f>IF(+All!$F418="New Mexico",+All!E418,IF(+All!$H418="New Mexico",+All!E418,0))</f>
        <v>CBSSN</v>
      </c>
      <c r="F95" s="51" t="str">
        <f>IF(+All!$F418="New Mexico",+All!F418,IF(+All!$H418="New Mexico",+All!F418,0))</f>
        <v>Wyoming</v>
      </c>
      <c r="G95" s="52" t="str">
        <f>IF(+All!$F418="New Mexico",+All!G418,IF(+All!$H418="New Mexico",+All!G418,0))</f>
        <v>MWC</v>
      </c>
      <c r="H95" s="51" t="str">
        <f>IF(+All!$F418="New Mexico",+All!H418,IF(+All!$H418="New Mexico",+All!H418,0))</f>
        <v>New Mexico</v>
      </c>
      <c r="I95" s="52" t="str">
        <f>IF(+All!$F418="New Mexico",+All!I418,IF(+All!$H418="New Mexico",+All!I418,0))</f>
        <v>MWC</v>
      </c>
      <c r="J95" s="460" t="str">
        <f>IF(+All!$F418="New Mexico",+All!J418,IF(+All!$H418="New Mexico",+All!J418,0))</f>
        <v>Wyoming</v>
      </c>
      <c r="K95" s="461" t="str">
        <f>IF(+All!$F418="New Mexico",+All!K418,IF(+All!$H418="New Mexico",+All!K418,0))</f>
        <v>New Mexico</v>
      </c>
      <c r="L95" s="54">
        <f>IF(+All!$F418="New Mexico",+All!L418,IF(+All!$H418="New Mexico",+All!L418,0))</f>
        <v>3.5</v>
      </c>
      <c r="M95" s="55">
        <f>IF(+All!$F418="New Mexico",+All!M418,IF(+All!$H418="New Mexico",+All!M418,0))</f>
        <v>36</v>
      </c>
      <c r="N95" s="460" t="str">
        <f>IF(+All!$F418="New Mexico",+All!N418,IF(+All!$H418="New Mexico",+All!N418,0))</f>
        <v>Wyoming</v>
      </c>
      <c r="O95" s="462">
        <f>IF(+All!$F418="New Mexico",+All!O418,IF(+All!$H418="New Mexico",+All!O418,0))</f>
        <v>27</v>
      </c>
      <c r="P95" s="462" t="str">
        <f>IF(+All!$F418="New Mexico",+All!P418,IF(+All!$H418="New Mexico",+All!P418,0))</f>
        <v>New Mexico</v>
      </c>
      <c r="Q95" s="461">
        <f>IF(+All!$F418="New Mexico",+All!Q418,IF(+All!$H418="New Mexico",+All!Q418,0))</f>
        <v>14</v>
      </c>
      <c r="R95" s="460" t="str">
        <f>IF(+All!$F418="New Mexico",+All!R418,IF(+All!$H418="New Mexico",+All!R418,0))</f>
        <v>Wyoming</v>
      </c>
      <c r="S95" s="462" t="str">
        <f>IF(+All!$F418="New Mexico",+All!S418,IF(+All!$H418="New Mexico",+All!S418,0))</f>
        <v>New Mexico</v>
      </c>
      <c r="T95" s="460" t="str">
        <f>IF(+All!$F418="New Mexico",+All!T418,IF(+All!$H418="New Mexico",+All!T418,0))</f>
        <v>New Mexico</v>
      </c>
      <c r="U95" s="461" t="str">
        <f>IF(+All!$F418="New Mexico",+All!U418,IF(+All!$H418="New Mexico",+All!U418,0))</f>
        <v>L</v>
      </c>
    </row>
    <row r="96" spans="1:21" x14ac:dyDescent="0.8">
      <c r="A96" s="46">
        <f>IF(+All!$F465="New Mexico",+All!A465,IF(+All!$H465="New Mexico",+All!A465,0))</f>
        <v>7</v>
      </c>
      <c r="B96" s="348" t="str">
        <f>IF(+All!$F465="New Mexico",+All!B465,IF(+All!$H465="New Mexico",+All!B465,0))</f>
        <v>Sat</v>
      </c>
      <c r="C96" s="48">
        <f>IF(+All!$F465="New Mexico",+All!C465,IF(+All!$H465="New Mexico",+All!C465,0))</f>
        <v>44849</v>
      </c>
      <c r="D96" s="490">
        <f>IF(+All!$F465="New Mexico",+All!D465,IF(+All!$H465="New Mexico",+All!D465,0))</f>
        <v>0.83333333333333337</v>
      </c>
      <c r="E96" s="461">
        <f>IF(+All!$F465="New Mexico",+All!E465,IF(+All!$H465="New Mexico",+All!E465,0))</f>
        <v>0</v>
      </c>
      <c r="F96" s="51" t="str">
        <f>IF(+All!$F465="New Mexico",+All!F465,IF(+All!$H465="New Mexico",+All!F465,0))</f>
        <v>New Mexico</v>
      </c>
      <c r="G96" s="52" t="str">
        <f>IF(+All!$F465="New Mexico",+All!G465,IF(+All!$H465="New Mexico",+All!G465,0))</f>
        <v>MWC</v>
      </c>
      <c r="H96" s="51" t="str">
        <f>IF(+All!$F465="New Mexico",+All!H465,IF(+All!$H465="New Mexico",+All!H465,0))</f>
        <v>New Mexico State</v>
      </c>
      <c r="I96" s="52" t="str">
        <f>IF(+All!$F465="New Mexico",+All!I465,IF(+All!$H465="New Mexico",+All!I465,0))</f>
        <v>Ind</v>
      </c>
      <c r="J96" s="460" t="str">
        <f>IF(+All!$F465="New Mexico",+All!J465,IF(+All!$H465="New Mexico",+All!J465,0))</f>
        <v>New Mexico</v>
      </c>
      <c r="K96" s="461" t="str">
        <f>IF(+All!$F465="New Mexico",+All!K465,IF(+All!$H465="New Mexico",+All!K465,0))</f>
        <v>New Mexico State</v>
      </c>
      <c r="L96" s="54">
        <f>IF(+All!$F465="New Mexico",+All!L465,IF(+All!$H465="New Mexico",+All!L465,0))</f>
        <v>6.5</v>
      </c>
      <c r="M96" s="55">
        <f>IF(+All!$F465="New Mexico",+All!M465,IF(+All!$H465="New Mexico",+All!M465,0))</f>
        <v>37.5</v>
      </c>
      <c r="N96" s="460" t="str">
        <f>IF(+All!$F465="New Mexico",+All!N465,IF(+All!$H465="New Mexico",+All!N465,0))</f>
        <v>New Mexico State</v>
      </c>
      <c r="O96" s="462">
        <f>IF(+All!$F465="New Mexico",+All!O465,IF(+All!$H465="New Mexico",+All!O465,0))</f>
        <v>21</v>
      </c>
      <c r="P96" s="462" t="str">
        <f>IF(+All!$F465="New Mexico",+All!P465,IF(+All!$H465="New Mexico",+All!P465,0))</f>
        <v>New Mexico</v>
      </c>
      <c r="Q96" s="461">
        <f>IF(+All!$F465="New Mexico",+All!Q465,IF(+All!$H465="New Mexico",+All!Q465,0))</f>
        <v>9</v>
      </c>
      <c r="R96" s="460" t="str">
        <f>IF(+All!$F465="New Mexico",+All!R465,IF(+All!$H465="New Mexico",+All!R465,0))</f>
        <v>New Mexico State</v>
      </c>
      <c r="S96" s="462" t="str">
        <f>IF(+All!$F465="New Mexico",+All!S465,IF(+All!$H465="New Mexico",+All!S465,0))</f>
        <v>New Mexico</v>
      </c>
      <c r="T96" s="460" t="str">
        <f>IF(+All!$F465="New Mexico",+All!T465,IF(+All!$H465="New Mexico",+All!T465,0))</f>
        <v>New Mexico State</v>
      </c>
      <c r="U96" s="461" t="str">
        <f>IF(+All!$F465="New Mexico",+All!U465,IF(+All!$H465="New Mexico",+All!U465,0))</f>
        <v>W</v>
      </c>
    </row>
    <row r="97" spans="1:21" x14ac:dyDescent="0.8">
      <c r="A97" s="46">
        <f>IF(+All!$F529="New Mexico",+All!A529,IF(+All!$H529="New Mexico",+All!A529,0))</f>
        <v>8</v>
      </c>
      <c r="B97" s="348" t="str">
        <f>IF(+All!$F529="New Mexico",+All!B529,IF(+All!$H529="New Mexico",+All!B529,0))</f>
        <v>Sat</v>
      </c>
      <c r="C97" s="48">
        <f>IF(+All!$F529="New Mexico",+All!C529,IF(+All!$H529="New Mexico",+All!C529,0))</f>
        <v>44856</v>
      </c>
      <c r="D97" s="490">
        <f>IF(+All!$F529="New Mexico",+All!D529,IF(+All!$H529="New Mexico",+All!D529,0))</f>
        <v>0.77083333333333337</v>
      </c>
      <c r="E97" s="461" t="str">
        <f>IF(+All!$F529="New Mexico",+All!E529,IF(+All!$H529="New Mexico",+All!E529,0))</f>
        <v>FS2</v>
      </c>
      <c r="F97" s="51" t="str">
        <f>IF(+All!$F529="New Mexico",+All!F529,IF(+All!$H529="New Mexico",+All!F529,0))</f>
        <v>Fresno State</v>
      </c>
      <c r="G97" s="52" t="str">
        <f>IF(+All!$F529="New Mexico",+All!G529,IF(+All!$H529="New Mexico",+All!G529,0))</f>
        <v>MWC</v>
      </c>
      <c r="H97" s="51" t="str">
        <f>IF(+All!$F529="New Mexico",+All!H529,IF(+All!$H529="New Mexico",+All!H529,0))</f>
        <v>New Mexico</v>
      </c>
      <c r="I97" s="52" t="str">
        <f>IF(+All!$F529="New Mexico",+All!I529,IF(+All!$H529="New Mexico",+All!I529,0))</f>
        <v>MWC</v>
      </c>
      <c r="J97" s="460" t="str">
        <f>IF(+All!$F529="New Mexico",+All!J529,IF(+All!$H529="New Mexico",+All!J529,0))</f>
        <v>Fresno State</v>
      </c>
      <c r="K97" s="461" t="str">
        <f>IF(+All!$F529="New Mexico",+All!K529,IF(+All!$H529="New Mexico",+All!K529,0))</f>
        <v>New Mexico</v>
      </c>
      <c r="L97" s="54">
        <f>IF(+All!$F529="New Mexico",+All!L529,IF(+All!$H529="New Mexico",+All!L529,0))</f>
        <v>11</v>
      </c>
      <c r="M97" s="55">
        <f>IF(+All!$F529="New Mexico",+All!M529,IF(+All!$H529="New Mexico",+All!M529,0))</f>
        <v>41</v>
      </c>
      <c r="N97" s="460" t="str">
        <f>IF(+All!$F529="New Mexico",+All!N529,IF(+All!$H529="New Mexico",+All!N529,0))</f>
        <v>Fresno State</v>
      </c>
      <c r="O97" s="462">
        <f>IF(+All!$F529="New Mexico",+All!O529,IF(+All!$H529="New Mexico",+All!O529,0))</f>
        <v>41</v>
      </c>
      <c r="P97" s="462" t="str">
        <f>IF(+All!$F529="New Mexico",+All!P529,IF(+All!$H529="New Mexico",+All!P529,0))</f>
        <v>New Mexico</v>
      </c>
      <c r="Q97" s="461">
        <f>IF(+All!$F529="New Mexico",+All!Q529,IF(+All!$H529="New Mexico",+All!Q529,0))</f>
        <v>9</v>
      </c>
      <c r="R97" s="460" t="str">
        <f>IF(+All!$F529="New Mexico",+All!R529,IF(+All!$H529="New Mexico",+All!R529,0))</f>
        <v>Fresno State</v>
      </c>
      <c r="S97" s="462" t="str">
        <f>IF(+All!$F529="New Mexico",+All!S529,IF(+All!$H529="New Mexico",+All!S529,0))</f>
        <v>New Mexico</v>
      </c>
      <c r="T97" s="460" t="str">
        <f>IF(+All!$F529="New Mexico",+All!T529,IF(+All!$H529="New Mexico",+All!T529,0))</f>
        <v>New Mexico</v>
      </c>
      <c r="U97" s="461" t="str">
        <f>IF(+All!$F529="New Mexico",+All!U529,IF(+All!$H529="New Mexico",+All!U529,0))</f>
        <v>L</v>
      </c>
    </row>
    <row r="98" spans="1:21" x14ac:dyDescent="0.8">
      <c r="A98" s="46" t="e">
        <f>IF(+All!#REF!="New Mexico",+All!#REF!,IF(+All!#REF!="New Mexico",+All!#REF!,0))</f>
        <v>#REF!</v>
      </c>
      <c r="B98" s="348" t="e">
        <f>IF(+All!#REF!="New Mexico",+All!#REF!,IF(+All!#REF!="New Mexico",+All!#REF!,0))</f>
        <v>#REF!</v>
      </c>
      <c r="C98" s="48" t="e">
        <f>IF(+All!#REF!="New Mexico",+All!#REF!,IF(+All!#REF!="New Mexico",+All!#REF!,0))</f>
        <v>#REF!</v>
      </c>
      <c r="D98" s="490" t="e">
        <f>IF(+All!#REF!="New Mexico",+All!#REF!,IF(+All!#REF!="New Mexico",+All!#REF!,0))</f>
        <v>#REF!</v>
      </c>
      <c r="E98" s="461" t="e">
        <f>IF(+All!#REF!="New Mexico",+All!#REF!,IF(+All!#REF!="New Mexico",+All!#REF!,0))</f>
        <v>#REF!</v>
      </c>
      <c r="F98" s="51" t="e">
        <f>IF(+All!#REF!="New Mexico",+All!#REF!,IF(+All!#REF!="New Mexico",+All!#REF!,0))</f>
        <v>#REF!</v>
      </c>
      <c r="G98" s="52" t="e">
        <f>IF(+All!#REF!="New Mexico",+All!#REF!,IF(+All!#REF!="New Mexico",+All!#REF!,0))</f>
        <v>#REF!</v>
      </c>
      <c r="H98" s="51" t="e">
        <f>IF(+All!#REF!="New Mexico",+All!#REF!,IF(+All!#REF!="New Mexico",+All!#REF!,0))</f>
        <v>#REF!</v>
      </c>
      <c r="I98" s="52" t="e">
        <f>IF(+All!#REF!="New Mexico",+All!#REF!,IF(+All!#REF!="New Mexico",+All!#REF!,0))</f>
        <v>#REF!</v>
      </c>
      <c r="J98" s="460" t="e">
        <f>IF(+All!#REF!="New Mexico",+All!#REF!,IF(+All!#REF!="New Mexico",+All!#REF!,0))</f>
        <v>#REF!</v>
      </c>
      <c r="K98" s="461" t="e">
        <f>IF(+All!#REF!="New Mexico",+All!#REF!,IF(+All!#REF!="New Mexico",+All!#REF!,0))</f>
        <v>#REF!</v>
      </c>
      <c r="L98" s="54" t="e">
        <f>IF(+All!#REF!="New Mexico",+All!#REF!,IF(+All!#REF!="New Mexico",+All!#REF!,0))</f>
        <v>#REF!</v>
      </c>
      <c r="M98" s="55" t="e">
        <f>IF(+All!#REF!="New Mexico",+All!#REF!,IF(+All!#REF!="New Mexico",+All!#REF!,0))</f>
        <v>#REF!</v>
      </c>
      <c r="N98" s="460" t="e">
        <f>IF(+All!#REF!="New Mexico",+All!#REF!,IF(+All!#REF!="New Mexico",+All!#REF!,0))</f>
        <v>#REF!</v>
      </c>
      <c r="O98" s="462" t="e">
        <f>IF(+All!#REF!="New Mexico",+All!#REF!,IF(+All!#REF!="New Mexico",+All!#REF!,0))</f>
        <v>#REF!</v>
      </c>
      <c r="P98" s="462" t="e">
        <f>IF(+All!#REF!="New Mexico",+All!#REF!,IF(+All!#REF!="New Mexico",+All!#REF!,0))</f>
        <v>#REF!</v>
      </c>
      <c r="Q98" s="461" t="e">
        <f>IF(+All!#REF!="New Mexico",+All!#REF!,IF(+All!#REF!="New Mexico",+All!#REF!,0))</f>
        <v>#REF!</v>
      </c>
      <c r="R98" s="460" t="e">
        <f>IF(+All!#REF!="New Mexico",+All!#REF!,IF(+All!#REF!="New Mexico",+All!#REF!,0))</f>
        <v>#REF!</v>
      </c>
      <c r="S98" s="462" t="e">
        <f>IF(+All!#REF!="New Mexico",+All!#REF!,IF(+All!#REF!="New Mexico",+All!#REF!,0))</f>
        <v>#REF!</v>
      </c>
      <c r="T98" s="460" t="e">
        <f>IF(+All!#REF!="New Mexico",+All!#REF!,IF(+All!#REF!="New Mexico",+All!#REF!,0))</f>
        <v>#REF!</v>
      </c>
      <c r="U98" s="461" t="e">
        <f>IF(+All!#REF!="New Mexico",+All!#REF!,IF(+All!#REF!="New Mexico",+All!#REF!,0))</f>
        <v>#REF!</v>
      </c>
    </row>
    <row r="99" spans="1:21" x14ac:dyDescent="0.8">
      <c r="A99" s="46">
        <f>IF(+All!$F635="New Mexico",+All!A635,IF(+All!$H635="New Mexico",+All!A635,0))</f>
        <v>10</v>
      </c>
      <c r="B99" s="348" t="str">
        <f>IF(+All!$F635="New Mexico",+All!B635,IF(+All!$H635="New Mexico",+All!B635,0))</f>
        <v>Sat</v>
      </c>
      <c r="C99" s="48">
        <f>IF(+All!$F635="New Mexico",+All!C635,IF(+All!$H635="New Mexico",+All!C635,0))</f>
        <v>44870</v>
      </c>
      <c r="D99" s="490">
        <f>IF(+All!$F635="New Mexico",+All!D635,IF(+All!$H635="New Mexico",+All!D635,0))</f>
        <v>0.64583333333333337</v>
      </c>
      <c r="E99" s="461" t="str">
        <f>IF(+All!$F635="New Mexico",+All!E635,IF(+All!$H635="New Mexico",+All!E635,0))</f>
        <v>CBSSN</v>
      </c>
      <c r="F99" s="51" t="str">
        <f>IF(+All!$F635="New Mexico",+All!F635,IF(+All!$H635="New Mexico",+All!F635,0))</f>
        <v>New Mexico</v>
      </c>
      <c r="G99" s="52" t="str">
        <f>IF(+All!$F635="New Mexico",+All!G635,IF(+All!$H635="New Mexico",+All!G635,0))</f>
        <v>MWC</v>
      </c>
      <c r="H99" s="51" t="str">
        <f>IF(+All!$F635="New Mexico",+All!H635,IF(+All!$H635="New Mexico",+All!H635,0))</f>
        <v>Utah State</v>
      </c>
      <c r="I99" s="52" t="str">
        <f>IF(+All!$F635="New Mexico",+All!I635,IF(+All!$H635="New Mexico",+All!I635,0))</f>
        <v>MWC</v>
      </c>
      <c r="J99" s="460" t="str">
        <f>IF(+All!$F635="New Mexico",+All!J635,IF(+All!$H635="New Mexico",+All!J635,0))</f>
        <v>Utah State</v>
      </c>
      <c r="K99" s="461" t="str">
        <f>IF(+All!$F635="New Mexico",+All!K635,IF(+All!$H635="New Mexico",+All!K635,0))</f>
        <v>New Mexico</v>
      </c>
      <c r="L99" s="54">
        <f>IF(+All!$F635="New Mexico",+All!L635,IF(+All!$H635="New Mexico",+All!L635,0))</f>
        <v>14.5</v>
      </c>
      <c r="M99" s="55">
        <f>IF(+All!$F635="New Mexico",+All!M635,IF(+All!$H635="New Mexico",+All!M635,0))</f>
        <v>43.5</v>
      </c>
      <c r="N99" s="460" t="str">
        <f>IF(+All!$F635="New Mexico",+All!N635,IF(+All!$H635="New Mexico",+All!N635,0))</f>
        <v>Utah State</v>
      </c>
      <c r="O99" s="462">
        <f>IF(+All!$F635="New Mexico",+All!O635,IF(+All!$H635="New Mexico",+All!O635,0))</f>
        <v>27</v>
      </c>
      <c r="P99" s="462" t="str">
        <f>IF(+All!$F635="New Mexico",+All!P635,IF(+All!$H635="New Mexico",+All!P635,0))</f>
        <v>New Mexico</v>
      </c>
      <c r="Q99" s="461">
        <f>IF(+All!$F635="New Mexico",+All!Q635,IF(+All!$H635="New Mexico",+All!Q635,0))</f>
        <v>10</v>
      </c>
      <c r="R99" s="460" t="str">
        <f>IF(+All!$F635="New Mexico",+All!R635,IF(+All!$H635="New Mexico",+All!R635,0))</f>
        <v>Utah State</v>
      </c>
      <c r="S99" s="462" t="str">
        <f>IF(+All!$F635="New Mexico",+All!S635,IF(+All!$H635="New Mexico",+All!S635,0))</f>
        <v>New Mexico</v>
      </c>
      <c r="T99" s="460" t="str">
        <f>IF(+All!$F635="New Mexico",+All!T635,IF(+All!$H635="New Mexico",+All!T635,0))</f>
        <v>New Mexico</v>
      </c>
      <c r="U99" s="461" t="str">
        <f>IF(+All!$F635="New Mexico",+All!U635,IF(+All!$H635="New Mexico",+All!U635,0))</f>
        <v>L</v>
      </c>
    </row>
    <row r="100" spans="1:21" x14ac:dyDescent="0.8">
      <c r="A100" s="46">
        <f>IF(+All!$F694="New Mexico",+All!A694,IF(+All!$H694="New Mexico",+All!A694,0))</f>
        <v>11</v>
      </c>
      <c r="B100" s="348" t="str">
        <f>IF(+All!$F694="New Mexico",+All!B694,IF(+All!$H694="New Mexico",+All!B694,0))</f>
        <v>Sat</v>
      </c>
      <c r="C100" s="48">
        <f>IF(+All!$F694="New Mexico",+All!C694,IF(+All!$H694="New Mexico",+All!C694,0))</f>
        <v>44877</v>
      </c>
      <c r="D100" s="490">
        <f>IF(+All!$F694="New Mexico",+All!D694,IF(+All!$H694="New Mexico",+All!D694,0))</f>
        <v>0.64583333333333337</v>
      </c>
      <c r="E100" s="461" t="str">
        <f>IF(+All!$F694="New Mexico",+All!E694,IF(+All!$H694="New Mexico",+All!E694,0))</f>
        <v>CBSSN</v>
      </c>
      <c r="F100" s="51" t="str">
        <f>IF(+All!$F694="New Mexico",+All!F694,IF(+All!$H694="New Mexico",+All!F694,0))</f>
        <v>New Mexico</v>
      </c>
      <c r="G100" s="52" t="str">
        <f>IF(+All!$F694="New Mexico",+All!G694,IF(+All!$H694="New Mexico",+All!G694,0))</f>
        <v>MWC</v>
      </c>
      <c r="H100" s="51" t="str">
        <f>IF(+All!$F694="New Mexico",+All!H694,IF(+All!$H694="New Mexico",+All!H694,0))</f>
        <v>Air Force</v>
      </c>
      <c r="I100" s="52" t="str">
        <f>IF(+All!$F694="New Mexico",+All!I694,IF(+All!$H694="New Mexico",+All!I694,0))</f>
        <v>MWC</v>
      </c>
      <c r="J100" s="460" t="str">
        <f>IF(+All!$F694="New Mexico",+All!J694,IF(+All!$H694="New Mexico",+All!J694,0))</f>
        <v>Air Force</v>
      </c>
      <c r="K100" s="461" t="str">
        <f>IF(+All!$F694="New Mexico",+All!K694,IF(+All!$H694="New Mexico",+All!K694,0))</f>
        <v>New Mexico</v>
      </c>
      <c r="L100" s="54">
        <f>IF(+All!$F694="New Mexico",+All!L694,IF(+All!$H694="New Mexico",+All!L694,0))</f>
        <v>22.5</v>
      </c>
      <c r="M100" s="55">
        <f>IF(+All!$F694="New Mexico",+All!M694,IF(+All!$H694="New Mexico",+All!M694,0))</f>
        <v>37.5</v>
      </c>
      <c r="N100" s="460" t="str">
        <f>IF(+All!$F694="New Mexico",+All!N694,IF(+All!$H694="New Mexico",+All!N694,0))</f>
        <v>Air Force</v>
      </c>
      <c r="O100" s="462">
        <f>IF(+All!$F694="New Mexico",+All!O694,IF(+All!$H694="New Mexico",+All!O694,0))</f>
        <v>35</v>
      </c>
      <c r="P100" s="462" t="str">
        <f>IF(+All!$F694="New Mexico",+All!P694,IF(+All!$H694="New Mexico",+All!P694,0))</f>
        <v>New Mexico</v>
      </c>
      <c r="Q100" s="461">
        <f>IF(+All!$F694="New Mexico",+All!Q694,IF(+All!$H694="New Mexico",+All!Q694,0))</f>
        <v>3</v>
      </c>
      <c r="R100" s="460" t="str">
        <f>IF(+All!$F694="New Mexico",+All!R694,IF(+All!$H694="New Mexico",+All!R694,0))</f>
        <v>Air Force</v>
      </c>
      <c r="S100" s="462" t="str">
        <f>IF(+All!$F694="New Mexico",+All!S694,IF(+All!$H694="New Mexico",+All!S694,0))</f>
        <v>New Mexico</v>
      </c>
      <c r="T100" s="460" t="str">
        <f>IF(+All!$F694="New Mexico",+All!T694,IF(+All!$H694="New Mexico",+All!T694,0))</f>
        <v>Air Force</v>
      </c>
      <c r="U100" s="461" t="str">
        <f>IF(+All!$F694="New Mexico",+All!U694,IF(+All!$H694="New Mexico",+All!U694,0))</f>
        <v>W</v>
      </c>
    </row>
    <row r="101" spans="1:21" x14ac:dyDescent="0.8">
      <c r="A101" s="46">
        <f>IF(+All!$F725="New Mexico",+All!A725,IF(+All!$H725="New Mexico",+All!A725,0))</f>
        <v>12</v>
      </c>
      <c r="B101" s="348" t="str">
        <f>IF(+All!$F725="New Mexico",+All!B725,IF(+All!$H725="New Mexico",+All!B725,0))</f>
        <v>Fri</v>
      </c>
      <c r="C101" s="48">
        <f>IF(+All!$F725="New Mexico",+All!C725,IF(+All!$H725="New Mexico",+All!C725,0))</f>
        <v>44883</v>
      </c>
      <c r="D101" s="490">
        <f>IF(+All!$F725="New Mexico",+All!D725,IF(+All!$H725="New Mexico",+All!D725,0))</f>
        <v>0.90625</v>
      </c>
      <c r="E101" s="461" t="str">
        <f>IF(+All!$F725="New Mexico",+All!E725,IF(+All!$H725="New Mexico",+All!E725,0))</f>
        <v>FS1</v>
      </c>
      <c r="F101" s="51" t="str">
        <f>IF(+All!$F725="New Mexico",+All!F725,IF(+All!$H725="New Mexico",+All!F725,0))</f>
        <v>San Diego State</v>
      </c>
      <c r="G101" s="52" t="str">
        <f>IF(+All!$F725="New Mexico",+All!G725,IF(+All!$H725="New Mexico",+All!G725,0))</f>
        <v>MWC</v>
      </c>
      <c r="H101" s="51" t="str">
        <f>IF(+All!$F725="New Mexico",+All!H725,IF(+All!$H725="New Mexico",+All!H725,0))</f>
        <v>New Mexico</v>
      </c>
      <c r="I101" s="52" t="str">
        <f>IF(+All!$F725="New Mexico",+All!I725,IF(+All!$H725="New Mexico",+All!I725,0))</f>
        <v>MWC</v>
      </c>
      <c r="J101" s="460" t="str">
        <f>IF(+All!$F725="New Mexico",+All!J725,IF(+All!$H725="New Mexico",+All!J725,0))</f>
        <v>San Diego State</v>
      </c>
      <c r="K101" s="461" t="str">
        <f>IF(+All!$F725="New Mexico",+All!K725,IF(+All!$H725="New Mexico",+All!K725,0))</f>
        <v>New Mexico</v>
      </c>
      <c r="L101" s="54">
        <f>IF(+All!$F725="New Mexico",+All!L725,IF(+All!$H725="New Mexico",+All!L725,0))</f>
        <v>14</v>
      </c>
      <c r="M101" s="55">
        <f>IF(+All!$F725="New Mexico",+All!M725,IF(+All!$H725="New Mexico",+All!M725,0))</f>
        <v>39.5</v>
      </c>
      <c r="N101" s="460" t="str">
        <f>IF(+All!$F725="New Mexico",+All!N725,IF(+All!$H725="New Mexico",+All!N725,0))</f>
        <v>San Diego State</v>
      </c>
      <c r="O101" s="462">
        <f>IF(+All!$F725="New Mexico",+All!O725,IF(+All!$H725="New Mexico",+All!O725,0))</f>
        <v>23</v>
      </c>
      <c r="P101" s="462" t="str">
        <f>IF(+All!$F725="New Mexico",+All!P725,IF(+All!$H725="New Mexico",+All!P725,0))</f>
        <v>New Mexico</v>
      </c>
      <c r="Q101" s="461">
        <f>IF(+All!$F725="New Mexico",+All!Q725,IF(+All!$H725="New Mexico",+All!Q725,0))</f>
        <v>10</v>
      </c>
      <c r="R101" s="460" t="str">
        <f>IF(+All!$F725="New Mexico",+All!R725,IF(+All!$H725="New Mexico",+All!R725,0))</f>
        <v>New Mexico</v>
      </c>
      <c r="S101" s="462" t="str">
        <f>IF(+All!$F725="New Mexico",+All!S725,IF(+All!$H725="New Mexico",+All!S725,0))</f>
        <v>San Diego State</v>
      </c>
      <c r="T101" s="460" t="str">
        <f>IF(+All!$F725="New Mexico",+All!T725,IF(+All!$H725="New Mexico",+All!T725,0))</f>
        <v>San Diego State</v>
      </c>
      <c r="U101" s="461" t="str">
        <f>IF(+All!$F725="New Mexico",+All!U725,IF(+All!$H725="New Mexico",+All!U725,0))</f>
        <v>L</v>
      </c>
    </row>
    <row r="102" spans="1:21" x14ac:dyDescent="0.8">
      <c r="A102" s="46">
        <f>IF(+All!$F794="New Mexico",+All!A794,IF(+All!$H794="New Mexico",+All!A794,0))</f>
        <v>13</v>
      </c>
      <c r="B102" s="348" t="str">
        <f>IF(+All!$F794="New Mexico",+All!B794,IF(+All!$H794="New Mexico",+All!B794,0))</f>
        <v>Fri</v>
      </c>
      <c r="C102" s="48">
        <f>IF(+All!$F794="New Mexico",+All!C794,IF(+All!$H794="New Mexico",+All!C794,0))</f>
        <v>44890</v>
      </c>
      <c r="D102" s="490">
        <f>IF(+All!$F794="New Mexico",+All!D794,IF(+All!$H794="New Mexico",+All!D794,0))</f>
        <v>0.64583333333333337</v>
      </c>
      <c r="E102" s="461" t="str">
        <f>IF(+All!$F794="New Mexico",+All!E794,IF(+All!$H794="New Mexico",+All!E794,0))</f>
        <v>CBS</v>
      </c>
      <c r="F102" s="51" t="str">
        <f>IF(+All!$F794="New Mexico",+All!F794,IF(+All!$H794="New Mexico",+All!F794,0))</f>
        <v>New Mexico</v>
      </c>
      <c r="G102" s="52" t="str">
        <f>IF(+All!$F794="New Mexico",+All!G794,IF(+All!$H794="New Mexico",+All!G794,0))</f>
        <v>MWC</v>
      </c>
      <c r="H102" s="51" t="str">
        <f>IF(+All!$F794="New Mexico",+All!H794,IF(+All!$H794="New Mexico",+All!H794,0))</f>
        <v>Colorado State</v>
      </c>
      <c r="I102" s="52" t="str">
        <f>IF(+All!$F794="New Mexico",+All!I794,IF(+All!$H794="New Mexico",+All!I794,0))</f>
        <v>MWC</v>
      </c>
      <c r="J102" s="460" t="str">
        <f>IF(+All!$F794="New Mexico",+All!J794,IF(+All!$H794="New Mexico",+All!J794,0))</f>
        <v>Colorado State</v>
      </c>
      <c r="K102" s="461" t="str">
        <f>IF(+All!$F794="New Mexico",+All!K794,IF(+All!$H794="New Mexico",+All!K794,0))</f>
        <v>New Mexico</v>
      </c>
      <c r="L102" s="54">
        <f>IF(+All!$F794="New Mexico",+All!L794,IF(+All!$H794="New Mexico",+All!L794,0))</f>
        <v>7</v>
      </c>
      <c r="M102" s="55">
        <f>IF(+All!$F794="New Mexico",+All!M794,IF(+All!$H794="New Mexico",+All!M794,0))</f>
        <v>36</v>
      </c>
      <c r="N102" s="460" t="str">
        <f>IF(+All!$F794="New Mexico",+All!N794,IF(+All!$H794="New Mexico",+All!N794,0))</f>
        <v>Colorado State</v>
      </c>
      <c r="O102" s="462">
        <f>IF(+All!$F794="New Mexico",+All!O794,IF(+All!$H794="New Mexico",+All!O794,0))</f>
        <v>17</v>
      </c>
      <c r="P102" s="462" t="str">
        <f>IF(+All!$F794="New Mexico",+All!P794,IF(+All!$H794="New Mexico",+All!P794,0))</f>
        <v>New Mexico</v>
      </c>
      <c r="Q102" s="461">
        <f>IF(+All!$F794="New Mexico",+All!Q794,IF(+All!$H794="New Mexico",+All!Q794,0))</f>
        <v>0</v>
      </c>
      <c r="R102" s="460" t="str">
        <f>IF(+All!$F794="New Mexico",+All!R794,IF(+All!$H794="New Mexico",+All!R794,0))</f>
        <v>Colorado State</v>
      </c>
      <c r="S102" s="462" t="str">
        <f>IF(+All!$F794="New Mexico",+All!S794,IF(+All!$H794="New Mexico",+All!S794,0))</f>
        <v>New Mexico</v>
      </c>
      <c r="T102" s="460" t="str">
        <f>IF(+All!$F794="New Mexico",+All!T794,IF(+All!$H794="New Mexico",+All!T794,0))</f>
        <v>Colorado State</v>
      </c>
      <c r="U102" s="461" t="str">
        <f>IF(+All!$F794="New Mexico",+All!U794,IF(+All!$H794="New Mexico",+All!U794,0))</f>
        <v>W</v>
      </c>
    </row>
    <row r="103" spans="1:21" x14ac:dyDescent="0.8">
      <c r="A103" s="38"/>
      <c r="B103" s="39"/>
      <c r="C103" s="40"/>
      <c r="D103" s="41"/>
      <c r="E103" s="463"/>
      <c r="F103" s="897" t="str">
        <f>H105</f>
        <v>San Diego State</v>
      </c>
      <c r="G103" s="903"/>
      <c r="H103" s="903"/>
      <c r="I103" s="904"/>
      <c r="J103" s="459"/>
      <c r="K103" s="463"/>
      <c r="L103" s="44"/>
      <c r="M103" s="45"/>
      <c r="N103" s="459"/>
      <c r="O103" s="5"/>
      <c r="P103" s="5"/>
      <c r="Q103" s="463"/>
      <c r="R103" s="459"/>
      <c r="S103" s="5"/>
      <c r="T103" s="459"/>
      <c r="U103" s="463"/>
    </row>
    <row r="104" spans="1:21" x14ac:dyDescent="0.8">
      <c r="A104" s="46">
        <f>IF(+All!$F48="San Diego State",+All!A48,IF(+All!$H48="San Diego State",+All!A48,0))</f>
        <v>1</v>
      </c>
      <c r="B104" s="348" t="str">
        <f>IF(+All!$F48="San Diego State",+All!B48,IF(+All!$H48="San Diego State",+All!B48,0))</f>
        <v>Sat</v>
      </c>
      <c r="C104" s="48">
        <f>IF(+All!$F48="San Diego State",+All!C48,IF(+All!$H48="San Diego State",+All!C48,0))</f>
        <v>44807</v>
      </c>
      <c r="D104" s="490">
        <f>IF(+All!$F48="San Diego State",+All!D48,IF(+All!$H48="San Diego State",+All!D48,0))</f>
        <v>0.64583333333333337</v>
      </c>
      <c r="E104" s="461" t="str">
        <f>IF(+All!$F48="San Diego State",+All!E48,IF(+All!$H48="San Diego State",+All!E48,0))</f>
        <v>CBSSN</v>
      </c>
      <c r="F104" s="51" t="str">
        <f>IF(+All!$F48="San Diego State",+All!F48,IF(+All!$H48="San Diego State",+All!F48,0))</f>
        <v>Arizona</v>
      </c>
      <c r="G104" s="52" t="str">
        <f>IF(+All!$F48="San Diego State",+All!G48,IF(+All!$H48="San Diego State",+All!G48,0))</f>
        <v>P12</v>
      </c>
      <c r="H104" s="51" t="str">
        <f>IF(+All!$F48="San Diego State",+All!H48,IF(+All!$H48="San Diego State",+All!H48,0))</f>
        <v>San Diego State</v>
      </c>
      <c r="I104" s="52" t="str">
        <f>IF(+All!$F48="San Diego State",+All!I48,IF(+All!$H48="San Diego State",+All!I48,0))</f>
        <v>MWC</v>
      </c>
      <c r="J104" s="460" t="str">
        <f>IF(+All!$F48="San Diego State",+All!J48,IF(+All!$H48="San Diego State",+All!J48,0))</f>
        <v>San Diego State</v>
      </c>
      <c r="K104" s="461" t="str">
        <f>IF(+All!$F48="San Diego State",+All!K48,IF(+All!$H48="San Diego State",+All!K48,0))</f>
        <v>Arizona</v>
      </c>
      <c r="L104" s="54">
        <f>IF(+All!$F48="San Diego State",+All!L48,IF(+All!$H48="San Diego State",+All!L48,0))</f>
        <v>6</v>
      </c>
      <c r="M104" s="55">
        <f>IF(+All!$F48="San Diego State",+All!M48,IF(+All!$H48="San Diego State",+All!M48,0))</f>
        <v>47</v>
      </c>
      <c r="N104" s="460" t="str">
        <f>IF(+All!$F48="San Diego State",+All!N48,IF(+All!$H48="San Diego State",+All!N48,0))</f>
        <v>Arizona</v>
      </c>
      <c r="O104" s="462">
        <f>IF(+All!$F48="San Diego State",+All!O48,IF(+All!$H48="San Diego State",+All!O48,0))</f>
        <v>38</v>
      </c>
      <c r="P104" s="462" t="str">
        <f>IF(+All!$F48="San Diego State",+All!P48,IF(+All!$H48="San Diego State",+All!P48,0))</f>
        <v>San Diego State</v>
      </c>
      <c r="Q104" s="461">
        <f>IF(+All!$F48="San Diego State",+All!Q48,IF(+All!$H48="San Diego State",+All!Q48,0))</f>
        <v>20</v>
      </c>
      <c r="R104" s="460" t="str">
        <f>IF(+All!$F48="San Diego State",+All!R48,IF(+All!$H48="San Diego State",+All!R48,0))</f>
        <v>Arizona</v>
      </c>
      <c r="S104" s="462" t="str">
        <f>IF(+All!$F48="San Diego State",+All!S48,IF(+All!$H48="San Diego State",+All!S48,0))</f>
        <v>San Diego State</v>
      </c>
      <c r="T104" s="460" t="str">
        <f>IF(+All!$F48="San Diego State",+All!T48,IF(+All!$H48="San Diego State",+All!T48,0))</f>
        <v>San Diego State</v>
      </c>
      <c r="U104" s="461" t="str">
        <f>IF(+All!$F48="San Diego State",+All!U48,IF(+All!$H48="San Diego State",+All!U48,0))</f>
        <v>L</v>
      </c>
    </row>
    <row r="105" spans="1:21" x14ac:dyDescent="0.8">
      <c r="A105" s="46">
        <f>IF(+All!$F156="San Diego State",+All!A156,IF(+All!$H156="San Diego State",+All!A156,0))</f>
        <v>2</v>
      </c>
      <c r="B105" s="348" t="str">
        <f>IF(+All!$F156="San Diego State",+All!B156,IF(+All!$H156="San Diego State",+All!B156,0))</f>
        <v>Sat</v>
      </c>
      <c r="C105" s="48">
        <f>IF(+All!$F156="San Diego State",+All!C156,IF(+All!$H156="San Diego State",+All!C156,0))</f>
        <v>44814</v>
      </c>
      <c r="D105" s="490">
        <f>IF(+All!$F156="San Diego State",+All!D156,IF(+All!$H156="San Diego State",+All!D156,0))</f>
        <v>0.83333333333333337</v>
      </c>
      <c r="E105" s="461">
        <f>IF(+All!$F156="San Diego State",+All!E156,IF(+All!$H156="San Diego State",+All!E156,0))</f>
        <v>0</v>
      </c>
      <c r="F105" s="51" t="str">
        <f>IF(+All!$F156="San Diego State",+All!F156,IF(+All!$H156="San Diego State",+All!F156,0))</f>
        <v>1AA Idaho State</v>
      </c>
      <c r="G105" s="52" t="str">
        <f>IF(+All!$F156="San Diego State",+All!G156,IF(+All!$H156="San Diego State",+All!G156,0))</f>
        <v>1AA</v>
      </c>
      <c r="H105" s="51" t="str">
        <f>IF(+All!$F156="San Diego State",+All!H156,IF(+All!$H156="San Diego State",+All!H156,0))</f>
        <v>San Diego State</v>
      </c>
      <c r="I105" s="52" t="str">
        <f>IF(+All!$F156="San Diego State",+All!I156,IF(+All!$H156="San Diego State",+All!I156,0))</f>
        <v>MWC</v>
      </c>
      <c r="J105" s="460">
        <f>IF(+All!$F156="San Diego State",+All!J156,IF(+All!$H156="San Diego State",+All!J156,0))</f>
        <v>0</v>
      </c>
      <c r="K105" s="461">
        <f>IF(+All!$F156="San Diego State",+All!K156,IF(+All!$H156="San Diego State",+All!K156,0))</f>
        <v>0</v>
      </c>
      <c r="L105" s="54">
        <f>IF(+All!$F156="San Diego State",+All!L156,IF(+All!$H156="San Diego State",+All!L156,0))</f>
        <v>0</v>
      </c>
      <c r="M105" s="55">
        <f>IF(+All!$F156="San Diego State",+All!M156,IF(+All!$H156="San Diego State",+All!M156,0))</f>
        <v>0</v>
      </c>
      <c r="N105" s="460" t="str">
        <f>IF(+All!$F156="San Diego State",+All!N156,IF(+All!$H156="San Diego State",+All!N156,0))</f>
        <v>San Diego State</v>
      </c>
      <c r="O105" s="462">
        <f>IF(+All!$F156="San Diego State",+All!O156,IF(+All!$H156="San Diego State",+All!O156,0))</f>
        <v>38</v>
      </c>
      <c r="P105" s="462" t="str">
        <f>IF(+All!$F156="San Diego State",+All!P156,IF(+All!$H156="San Diego State",+All!P156,0))</f>
        <v>1AA Idaho State</v>
      </c>
      <c r="Q105" s="461">
        <f>IF(+All!$F156="San Diego State",+All!Q156,IF(+All!$H156="San Diego State",+All!Q156,0))</f>
        <v>7</v>
      </c>
      <c r="R105" s="460">
        <f>IF(+All!$F156="San Diego State",+All!R156,IF(+All!$H156="San Diego State",+All!R156,0))</f>
        <v>0</v>
      </c>
      <c r="S105" s="462">
        <f>IF(+All!$F156="San Diego State",+All!S156,IF(+All!$H156="San Diego State",+All!S156,0))</f>
        <v>0</v>
      </c>
      <c r="T105" s="460">
        <f>IF(+All!$F156="San Diego State",+All!T156,IF(+All!$H156="San Diego State",+All!T156,0))</f>
        <v>0</v>
      </c>
      <c r="U105" s="461">
        <f>IF(+All!$F156="San Diego State",+All!U156,IF(+All!$H156="San Diego State",+All!U156,0))</f>
        <v>0</v>
      </c>
    </row>
    <row r="106" spans="1:21" x14ac:dyDescent="0.8">
      <c r="A106" s="46">
        <f>IF(+All!$F235="San Diego State",+All!A235,IF(+All!$H235="San Diego State",+All!A235,0))</f>
        <v>3</v>
      </c>
      <c r="B106" s="348" t="str">
        <f>IF(+All!$F235="San Diego State",+All!B235,IF(+All!$H235="San Diego State",+All!B235,0))</f>
        <v>Sat</v>
      </c>
      <c r="C106" s="48">
        <f>IF(+All!$F235="San Diego State",+All!C235,IF(+All!$H235="San Diego State",+All!C235,0))</f>
        <v>44821</v>
      </c>
      <c r="D106" s="490">
        <f>IF(+All!$F235="San Diego State",+All!D235,IF(+All!$H235="San Diego State",+All!D235,0))</f>
        <v>0.91666666666666663</v>
      </c>
      <c r="E106" s="461" t="str">
        <f>IF(+All!$F235="San Diego State",+All!E235,IF(+All!$H235="San Diego State",+All!E235,0))</f>
        <v>ESPN2</v>
      </c>
      <c r="F106" s="51" t="str">
        <f>IF(+All!$F235="San Diego State",+All!F235,IF(+All!$H235="San Diego State",+All!F235,0))</f>
        <v>San Diego State</v>
      </c>
      <c r="G106" s="52" t="str">
        <f>IF(+All!$F235="San Diego State",+All!G235,IF(+All!$H235="San Diego State",+All!G235,0))</f>
        <v>MWC</v>
      </c>
      <c r="H106" s="51" t="str">
        <f>IF(+All!$F235="San Diego State",+All!H235,IF(+All!$H235="San Diego State",+All!H235,0))</f>
        <v>Utah</v>
      </c>
      <c r="I106" s="52" t="str">
        <f>IF(+All!$F235="San Diego State",+All!I235,IF(+All!$H235="San Diego State",+All!I235,0))</f>
        <v>P12</v>
      </c>
      <c r="J106" s="460" t="str">
        <f>IF(+All!$F235="San Diego State",+All!J235,IF(+All!$H235="San Diego State",+All!J235,0))</f>
        <v>Utah</v>
      </c>
      <c r="K106" s="461" t="str">
        <f>IF(+All!$F235="San Diego State",+All!K235,IF(+All!$H235="San Diego State",+All!K235,0))</f>
        <v>San Diego State</v>
      </c>
      <c r="L106" s="54">
        <f>IF(+All!$F235="San Diego State",+All!L235,IF(+All!$H235="San Diego State",+All!L235,0))</f>
        <v>21.5</v>
      </c>
      <c r="M106" s="55">
        <f>IF(+All!$F235="San Diego State",+All!M235,IF(+All!$H235="San Diego State",+All!M235,0))</f>
        <v>49</v>
      </c>
      <c r="N106" s="460" t="str">
        <f>IF(+All!$F235="San Diego State",+All!N235,IF(+All!$H235="San Diego State",+All!N235,0))</f>
        <v>Utah</v>
      </c>
      <c r="O106" s="462">
        <f>IF(+All!$F235="San Diego State",+All!O235,IF(+All!$H235="San Diego State",+All!O235,0))</f>
        <v>35</v>
      </c>
      <c r="P106" s="462" t="str">
        <f>IF(+All!$F235="San Diego State",+All!P235,IF(+All!$H235="San Diego State",+All!P235,0))</f>
        <v>San Diego State</v>
      </c>
      <c r="Q106" s="461">
        <f>IF(+All!$F235="San Diego State",+All!Q235,IF(+All!$H235="San Diego State",+All!Q235,0))</f>
        <v>7</v>
      </c>
      <c r="R106" s="460" t="str">
        <f>IF(+All!$F235="San Diego State",+All!R235,IF(+All!$H235="San Diego State",+All!R235,0))</f>
        <v>Utah</v>
      </c>
      <c r="S106" s="462" t="str">
        <f>IF(+All!$F235="San Diego State",+All!S235,IF(+All!$H235="San Diego State",+All!S235,0))</f>
        <v>San Diego State</v>
      </c>
      <c r="T106" s="460" t="str">
        <f>IF(+All!$F235="San Diego State",+All!T235,IF(+All!$H235="San Diego State",+All!T235,0))</f>
        <v>Utah</v>
      </c>
      <c r="U106" s="461" t="str">
        <f>IF(+All!$F235="San Diego State",+All!U235,IF(+All!$H235="San Diego State",+All!U235,0))</f>
        <v>W</v>
      </c>
    </row>
    <row r="107" spans="1:21" x14ac:dyDescent="0.8">
      <c r="A107" s="46">
        <f>IF(+All!$F292="San Diego State",+All!A292,IF(+All!$H292="San Diego State",+All!A292,0))</f>
        <v>4</v>
      </c>
      <c r="B107" s="348" t="str">
        <f>IF(+All!$F292="San Diego State",+All!B292,IF(+All!$H292="San Diego State",+All!B292,0))</f>
        <v>Sat</v>
      </c>
      <c r="C107" s="48">
        <f>IF(+All!$F292="San Diego State",+All!C292,IF(+All!$H292="San Diego State",+All!C292,0))</f>
        <v>44828</v>
      </c>
      <c r="D107" s="490">
        <f>IF(+All!$F292="San Diego State",+All!D292,IF(+All!$H292="San Diego State",+All!D292,0))</f>
        <v>0.64583333333333337</v>
      </c>
      <c r="E107" s="461" t="str">
        <f>IF(+All!$F292="San Diego State",+All!E292,IF(+All!$H292="San Diego State",+All!E292,0))</f>
        <v>FS1</v>
      </c>
      <c r="F107" s="51" t="str">
        <f>IF(+All!$F292="San Diego State",+All!F292,IF(+All!$H292="San Diego State",+All!F292,0))</f>
        <v>Toledo</v>
      </c>
      <c r="G107" s="52" t="str">
        <f>IF(+All!$F292="San Diego State",+All!G292,IF(+All!$H292="San Diego State",+All!G292,0))</f>
        <v>MAC</v>
      </c>
      <c r="H107" s="51" t="str">
        <f>IF(+All!$F292="San Diego State",+All!H292,IF(+All!$H292="San Diego State",+All!H292,0))</f>
        <v>San Diego State</v>
      </c>
      <c r="I107" s="52" t="str">
        <f>IF(+All!$F292="San Diego State",+All!I292,IF(+All!$H292="San Diego State",+All!I292,0))</f>
        <v>MWC</v>
      </c>
      <c r="J107" s="460" t="str">
        <f>IF(+All!$F292="San Diego State",+All!J292,IF(+All!$H292="San Diego State",+All!J292,0))</f>
        <v>Toledo</v>
      </c>
      <c r="K107" s="461" t="str">
        <f>IF(+All!$F292="San Diego State",+All!K292,IF(+All!$H292="San Diego State",+All!K292,0))</f>
        <v>San Diego State</v>
      </c>
      <c r="L107" s="54">
        <f>IF(+All!$F292="San Diego State",+All!L292,IF(+All!$H292="San Diego State",+All!L292,0))</f>
        <v>3</v>
      </c>
      <c r="M107" s="55">
        <f>IF(+All!$F292="San Diego State",+All!M292,IF(+All!$H292="San Diego State",+All!M292,0))</f>
        <v>45.5</v>
      </c>
      <c r="N107" s="460" t="str">
        <f>IF(+All!$F292="San Diego State",+All!N292,IF(+All!$H292="San Diego State",+All!N292,0))</f>
        <v>San Diego State</v>
      </c>
      <c r="O107" s="462">
        <f>IF(+All!$F292="San Diego State",+All!O292,IF(+All!$H292="San Diego State",+All!O292,0))</f>
        <v>17</v>
      </c>
      <c r="P107" s="462" t="str">
        <f>IF(+All!$F292="San Diego State",+All!P292,IF(+All!$H292="San Diego State",+All!P292,0))</f>
        <v>Toledo</v>
      </c>
      <c r="Q107" s="461">
        <f>IF(+All!$F292="San Diego State",+All!Q292,IF(+All!$H292="San Diego State",+All!Q292,0))</f>
        <v>14</v>
      </c>
      <c r="R107" s="460" t="str">
        <f>IF(+All!$F292="San Diego State",+All!R292,IF(+All!$H292="San Diego State",+All!R292,0))</f>
        <v>San Diego State</v>
      </c>
      <c r="S107" s="462" t="str">
        <f>IF(+All!$F292="San Diego State",+All!S292,IF(+All!$H292="San Diego State",+All!S292,0))</f>
        <v>Toledo</v>
      </c>
      <c r="T107" s="460" t="str">
        <f>IF(+All!$F292="San Diego State",+All!T292,IF(+All!$H292="San Diego State",+All!T292,0))</f>
        <v>San Diego State</v>
      </c>
      <c r="U107" s="461" t="str">
        <f>IF(+All!$F292="San Diego State",+All!U292,IF(+All!$H292="San Diego State",+All!U292,0))</f>
        <v>W</v>
      </c>
    </row>
    <row r="108" spans="1:21" x14ac:dyDescent="0.8">
      <c r="A108" s="46">
        <f>IF(+All!$F321="San Diego State",+All!A321,IF(+All!$H321="San Diego State",+All!A321,0))</f>
        <v>5</v>
      </c>
      <c r="B108" s="348" t="str">
        <f>IF(+All!$F321="San Diego State",+All!B321,IF(+All!$H321="San Diego State",+All!B321,0))</f>
        <v>Fri</v>
      </c>
      <c r="C108" s="48">
        <f>IF(+All!$F321="San Diego State",+All!C321,IF(+All!$H321="San Diego State",+All!C321,0))</f>
        <v>44834</v>
      </c>
      <c r="D108" s="490">
        <f>IF(+All!$F321="San Diego State",+All!D321,IF(+All!$H321="San Diego State",+All!D321,0))</f>
        <v>0.83333333333333337</v>
      </c>
      <c r="E108" s="461" t="str">
        <f>IF(+All!$F321="San Diego State",+All!E321,IF(+All!$H321="San Diego State",+All!E321,0))</f>
        <v>FS1</v>
      </c>
      <c r="F108" s="51" t="str">
        <f>IF(+All!$F321="San Diego State",+All!F321,IF(+All!$H321="San Diego State",+All!F321,0))</f>
        <v>San Diego State</v>
      </c>
      <c r="G108" s="52" t="str">
        <f>IF(+All!$F321="San Diego State",+All!G321,IF(+All!$H321="San Diego State",+All!G321,0))</f>
        <v>MWC</v>
      </c>
      <c r="H108" s="51" t="str">
        <f>IF(+All!$F321="San Diego State",+All!H321,IF(+All!$H321="San Diego State",+All!H321,0))</f>
        <v>Boise State</v>
      </c>
      <c r="I108" s="52" t="str">
        <f>IF(+All!$F321="San Diego State",+All!I321,IF(+All!$H321="San Diego State",+All!I321,0))</f>
        <v>MWC</v>
      </c>
      <c r="J108" s="460" t="str">
        <f>IF(+All!$F321="San Diego State",+All!J321,IF(+All!$H321="San Diego State",+All!J321,0))</f>
        <v>Boise State</v>
      </c>
      <c r="K108" s="461" t="str">
        <f>IF(+All!$F321="San Diego State",+All!K321,IF(+All!$H321="San Diego State",+All!K321,0))</f>
        <v>San Diego State</v>
      </c>
      <c r="L108" s="54">
        <f>IF(+All!$F321="San Diego State",+All!L321,IF(+All!$H321="San Diego State",+All!L321,0))</f>
        <v>6</v>
      </c>
      <c r="M108" s="55">
        <f>IF(+All!$F321="San Diego State",+All!M321,IF(+All!$H321="San Diego State",+All!M321,0))</f>
        <v>39</v>
      </c>
      <c r="N108" s="460" t="str">
        <f>IF(+All!$F321="San Diego State",+All!N321,IF(+All!$H321="San Diego State",+All!N321,0))</f>
        <v>Boise State</v>
      </c>
      <c r="O108" s="462">
        <f>IF(+All!$F321="San Diego State",+All!O321,IF(+All!$H321="San Diego State",+All!O321,0))</f>
        <v>35</v>
      </c>
      <c r="P108" s="462" t="str">
        <f>IF(+All!$F321="San Diego State",+All!P321,IF(+All!$H321="San Diego State",+All!P321,0))</f>
        <v>San Diego State</v>
      </c>
      <c r="Q108" s="461">
        <f>IF(+All!$F321="San Diego State",+All!Q321,IF(+All!$H321="San Diego State",+All!Q321,0))</f>
        <v>13</v>
      </c>
      <c r="R108" s="460" t="str">
        <f>IF(+All!$F321="San Diego State",+All!R321,IF(+All!$H321="San Diego State",+All!R321,0))</f>
        <v>Boise State</v>
      </c>
      <c r="S108" s="462" t="str">
        <f>IF(+All!$F321="San Diego State",+All!S321,IF(+All!$H321="San Diego State",+All!S321,0))</f>
        <v>San Diego State</v>
      </c>
      <c r="T108" s="460" t="str">
        <f>IF(+All!$F321="San Diego State",+All!T321,IF(+All!$H321="San Diego State",+All!T321,0))</f>
        <v>San Diego State</v>
      </c>
      <c r="U108" s="461" t="str">
        <f>IF(+All!$F321="San Diego State",+All!U321,IF(+All!$H321="San Diego State",+All!U321,0))</f>
        <v>L</v>
      </c>
    </row>
    <row r="109" spans="1:21" x14ac:dyDescent="0.8">
      <c r="A109" s="46">
        <f>IF(+All!$F419="San Diego State",+All!A419,IF(+All!$H419="San Diego State",+All!A419,0))</f>
        <v>6</v>
      </c>
      <c r="B109" s="348" t="str">
        <f>IF(+All!$F419="San Diego State",+All!B419,IF(+All!$H419="San Diego State",+All!B419,0))</f>
        <v>Sat</v>
      </c>
      <c r="C109" s="48">
        <f>IF(+All!$F419="San Diego State",+All!C419,IF(+All!$H419="San Diego State",+All!C419,0))</f>
        <v>44842</v>
      </c>
      <c r="D109" s="490">
        <f>IF(+All!$F419="San Diego State",+All!D419,IF(+All!$H419="San Diego State",+All!D419,0))</f>
        <v>0.9375</v>
      </c>
      <c r="E109" s="461" t="str">
        <f>IF(+All!$F419="San Diego State",+All!E419,IF(+All!$H419="San Diego State",+All!E419,0))</f>
        <v>CBSSN</v>
      </c>
      <c r="F109" s="51" t="str">
        <f>IF(+All!$F419="San Diego State",+All!F419,IF(+All!$H419="San Diego State",+All!F419,0))</f>
        <v>Hawaii</v>
      </c>
      <c r="G109" s="52" t="str">
        <f>IF(+All!$F419="San Diego State",+All!G419,IF(+All!$H419="San Diego State",+All!G419,0))</f>
        <v>MWC</v>
      </c>
      <c r="H109" s="51" t="str">
        <f>IF(+All!$F419="San Diego State",+All!H419,IF(+All!$H419="San Diego State",+All!H419,0))</f>
        <v>San Diego State</v>
      </c>
      <c r="I109" s="52" t="str">
        <f>IF(+All!$F419="San Diego State",+All!I419,IF(+All!$H419="San Diego State",+All!I419,0))</f>
        <v>MWC</v>
      </c>
      <c r="J109" s="460" t="str">
        <f>IF(+All!$F419="San Diego State",+All!J419,IF(+All!$H419="San Diego State",+All!J419,0))</f>
        <v>San Diego State</v>
      </c>
      <c r="K109" s="461" t="str">
        <f>IF(+All!$F419="San Diego State",+All!K419,IF(+All!$H419="San Diego State",+All!K419,0))</f>
        <v>Hawaii</v>
      </c>
      <c r="L109" s="54">
        <f>IF(+All!$F419="San Diego State",+All!L419,IF(+All!$H419="San Diego State",+All!L419,0))</f>
        <v>21</v>
      </c>
      <c r="M109" s="55">
        <f>IF(+All!$F419="San Diego State",+All!M419,IF(+All!$H419="San Diego State",+All!M419,0))</f>
        <v>48</v>
      </c>
      <c r="N109" s="460" t="str">
        <f>IF(+All!$F419="San Diego State",+All!N419,IF(+All!$H419="San Diego State",+All!N419,0))</f>
        <v>San Diego State</v>
      </c>
      <c r="O109" s="462">
        <f>IF(+All!$F419="San Diego State",+All!O419,IF(+All!$H419="San Diego State",+All!O419,0))</f>
        <v>16</v>
      </c>
      <c r="P109" s="462" t="str">
        <f>IF(+All!$F419="San Diego State",+All!P419,IF(+All!$H419="San Diego State",+All!P419,0))</f>
        <v>Hawaii</v>
      </c>
      <c r="Q109" s="461">
        <f>IF(+All!$F419="San Diego State",+All!Q419,IF(+All!$H419="San Diego State",+All!Q419,0))</f>
        <v>14</v>
      </c>
      <c r="R109" s="460" t="str">
        <f>IF(+All!$F419="San Diego State",+All!R419,IF(+All!$H419="San Diego State",+All!R419,0))</f>
        <v>Hawaii</v>
      </c>
      <c r="S109" s="462" t="str">
        <f>IF(+All!$F419="San Diego State",+All!S419,IF(+All!$H419="San Diego State",+All!S419,0))</f>
        <v>San Diego State</v>
      </c>
      <c r="T109" s="460" t="str">
        <f>IF(+All!$F419="San Diego State",+All!T419,IF(+All!$H419="San Diego State",+All!T419,0))</f>
        <v>Hawaii</v>
      </c>
      <c r="U109" s="461" t="str">
        <f>IF(+All!$F419="San Diego State",+All!U419,IF(+All!$H419="San Diego State",+All!U419,0))</f>
        <v>W</v>
      </c>
    </row>
    <row r="110" spans="1:21" x14ac:dyDescent="0.8">
      <c r="A110" s="46" t="e">
        <f>IF(+All!#REF!="San Diego State",+All!#REF!,IF(+All!#REF!="San Diego State",+All!#REF!,0))</f>
        <v>#REF!</v>
      </c>
      <c r="B110" s="348" t="e">
        <f>IF(+All!#REF!="San Diego State",+All!#REF!,IF(+All!#REF!="San Diego State",+All!#REF!,0))</f>
        <v>#REF!</v>
      </c>
      <c r="C110" s="48" t="e">
        <f>IF(+All!#REF!="San Diego State",+All!#REF!,IF(+All!#REF!="San Diego State",+All!#REF!,0))</f>
        <v>#REF!</v>
      </c>
      <c r="D110" s="490" t="e">
        <f>IF(+All!#REF!="San Diego State",+All!#REF!,IF(+All!#REF!="San Diego State",+All!#REF!,0))</f>
        <v>#REF!</v>
      </c>
      <c r="E110" s="461" t="e">
        <f>IF(+All!#REF!="San Diego State",+All!#REF!,IF(+All!#REF!="San Diego State",+All!#REF!,0))</f>
        <v>#REF!</v>
      </c>
      <c r="F110" s="51" t="e">
        <f>IF(+All!#REF!="San Diego State",+All!#REF!,IF(+All!#REF!="San Diego State",+All!#REF!,0))</f>
        <v>#REF!</v>
      </c>
      <c r="G110" s="52" t="e">
        <f>IF(+All!#REF!="San Diego State",+All!#REF!,IF(+All!#REF!="San Diego State",+All!#REF!,0))</f>
        <v>#REF!</v>
      </c>
      <c r="H110" s="51" t="e">
        <f>IF(+All!#REF!="San Diego State",+All!#REF!,IF(+All!#REF!="San Diego State",+All!#REF!,0))</f>
        <v>#REF!</v>
      </c>
      <c r="I110" s="52" t="e">
        <f>IF(+All!#REF!="San Diego State",+All!#REF!,IF(+All!#REF!="San Diego State",+All!#REF!,0))</f>
        <v>#REF!</v>
      </c>
      <c r="J110" s="460" t="e">
        <f>IF(+All!#REF!="San Diego State",+All!#REF!,IF(+All!#REF!="San Diego State",+All!#REF!,0))</f>
        <v>#REF!</v>
      </c>
      <c r="K110" s="461" t="e">
        <f>IF(+All!#REF!="San Diego State",+All!#REF!,IF(+All!#REF!="San Diego State",+All!#REF!,0))</f>
        <v>#REF!</v>
      </c>
      <c r="L110" s="54" t="e">
        <f>IF(+All!#REF!="San Diego State",+All!#REF!,IF(+All!#REF!="San Diego State",+All!#REF!,0))</f>
        <v>#REF!</v>
      </c>
      <c r="M110" s="55" t="e">
        <f>IF(+All!#REF!="San Diego State",+All!#REF!,IF(+All!#REF!="San Diego State",+All!#REF!,0))</f>
        <v>#REF!</v>
      </c>
      <c r="N110" s="460" t="e">
        <f>IF(+All!#REF!="San Diego State",+All!#REF!,IF(+All!#REF!="San Diego State",+All!#REF!,0))</f>
        <v>#REF!</v>
      </c>
      <c r="O110" s="462" t="e">
        <f>IF(+All!#REF!="San Diego State",+All!#REF!,IF(+All!#REF!="San Diego State",+All!#REF!,0))</f>
        <v>#REF!</v>
      </c>
      <c r="P110" s="462" t="e">
        <f>IF(+All!#REF!="San Diego State",+All!#REF!,IF(+All!#REF!="San Diego State",+All!#REF!,0))</f>
        <v>#REF!</v>
      </c>
      <c r="Q110" s="461" t="e">
        <f>IF(+All!#REF!="San Diego State",+All!#REF!,IF(+All!#REF!="San Diego State",+All!#REF!,0))</f>
        <v>#REF!</v>
      </c>
      <c r="R110" s="460" t="e">
        <f>IF(+All!#REF!="San Diego State",+All!#REF!,IF(+All!#REF!="San Diego State",+All!#REF!,0))</f>
        <v>#REF!</v>
      </c>
      <c r="S110" s="462" t="e">
        <f>IF(+All!#REF!="San Diego State",+All!#REF!,IF(+All!#REF!="San Diego State",+All!#REF!,0))</f>
        <v>#REF!</v>
      </c>
      <c r="T110" s="460" t="e">
        <f>IF(+All!#REF!="San Diego State",+All!#REF!,IF(+All!#REF!="San Diego State",+All!#REF!,0))</f>
        <v>#REF!</v>
      </c>
      <c r="U110" s="461" t="e">
        <f>IF(+All!#REF!="San Diego State",+All!#REF!,IF(+All!#REF!="San Diego State",+All!#REF!,0))</f>
        <v>#REF!</v>
      </c>
    </row>
    <row r="111" spans="1:21" x14ac:dyDescent="0.8">
      <c r="A111" s="46">
        <f>IF(+All!$F530="San Diego State",+All!A530,IF(+All!$H530="San Diego State",+All!A530,0))</f>
        <v>8</v>
      </c>
      <c r="B111" s="348" t="str">
        <f>IF(+All!$F530="San Diego State",+All!B530,IF(+All!$H530="San Diego State",+All!B530,0))</f>
        <v>Sat</v>
      </c>
      <c r="C111" s="48">
        <f>IF(+All!$F530="San Diego State",+All!C530,IF(+All!$H530="San Diego State",+All!C530,0))</f>
        <v>44856</v>
      </c>
      <c r="D111" s="490">
        <f>IF(+All!$F530="San Diego State",+All!D530,IF(+All!$H530="San Diego State",+All!D530,0))</f>
        <v>0.9375</v>
      </c>
      <c r="E111" s="461" t="str">
        <f>IF(+All!$F530="San Diego State",+All!E530,IF(+All!$H530="San Diego State",+All!E530,0))</f>
        <v>CBSSN</v>
      </c>
      <c r="F111" s="51" t="str">
        <f>IF(+All!$F530="San Diego State",+All!F530,IF(+All!$H530="San Diego State",+All!F530,0))</f>
        <v>Nevada</v>
      </c>
      <c r="G111" s="52" t="str">
        <f>IF(+All!$F530="San Diego State",+All!G530,IF(+All!$H530="San Diego State",+All!G530,0))</f>
        <v>MWC</v>
      </c>
      <c r="H111" s="51" t="str">
        <f>IF(+All!$F530="San Diego State",+All!H530,IF(+All!$H530="San Diego State",+All!H530,0))</f>
        <v>San Diego State</v>
      </c>
      <c r="I111" s="52" t="str">
        <f>IF(+All!$F530="San Diego State",+All!I530,IF(+All!$H530="San Diego State",+All!I530,0))</f>
        <v>MWC</v>
      </c>
      <c r="J111" s="460" t="str">
        <f>IF(+All!$F530="San Diego State",+All!J530,IF(+All!$H530="San Diego State",+All!J530,0))</f>
        <v>San Diego State</v>
      </c>
      <c r="K111" s="461" t="str">
        <f>IF(+All!$F530="San Diego State",+All!K530,IF(+All!$H530="San Diego State",+All!K530,0))</f>
        <v>Nevada</v>
      </c>
      <c r="L111" s="54">
        <f>IF(+All!$F530="San Diego State",+All!L530,IF(+All!$H530="San Diego State",+All!L530,0))</f>
        <v>7</v>
      </c>
      <c r="M111" s="55">
        <f>IF(+All!$F530="San Diego State",+All!M530,IF(+All!$H530="San Diego State",+All!M530,0))</f>
        <v>36</v>
      </c>
      <c r="N111" s="460" t="str">
        <f>IF(+All!$F530="San Diego State",+All!N530,IF(+All!$H530="San Diego State",+All!N530,0))</f>
        <v>San Diego State</v>
      </c>
      <c r="O111" s="462">
        <f>IF(+All!$F530="San Diego State",+All!O530,IF(+All!$H530="San Diego State",+All!O530,0))</f>
        <v>23</v>
      </c>
      <c r="P111" s="462" t="str">
        <f>IF(+All!$F530="San Diego State",+All!P530,IF(+All!$H530="San Diego State",+All!P530,0))</f>
        <v>Nevada</v>
      </c>
      <c r="Q111" s="461">
        <f>IF(+All!$F530="San Diego State",+All!Q530,IF(+All!$H530="San Diego State",+All!Q530,0))</f>
        <v>7</v>
      </c>
      <c r="R111" s="460" t="str">
        <f>IF(+All!$F530="San Diego State",+All!R530,IF(+All!$H530="San Diego State",+All!R530,0))</f>
        <v>San Diego State</v>
      </c>
      <c r="S111" s="462" t="str">
        <f>IF(+All!$F530="San Diego State",+All!S530,IF(+All!$H530="San Diego State",+All!S530,0))</f>
        <v>Nevada</v>
      </c>
      <c r="T111" s="460" t="str">
        <f>IF(+All!$F530="San Diego State",+All!T530,IF(+All!$H530="San Diego State",+All!T530,0))</f>
        <v>Nevada</v>
      </c>
      <c r="U111" s="461" t="str">
        <f>IF(+All!$F530="San Diego State",+All!U530,IF(+All!$H530="San Diego State",+All!U530,0))</f>
        <v>L</v>
      </c>
    </row>
    <row r="112" spans="1:21" x14ac:dyDescent="0.8">
      <c r="A112" s="46">
        <f>IF(+All!$F577="San Diego State",+All!A577,IF(+All!$H577="San Diego State",+All!A577,0))</f>
        <v>9</v>
      </c>
      <c r="B112" s="348" t="str">
        <f>IF(+All!$F577="San Diego State",+All!B577,IF(+All!$H577="San Diego State",+All!B577,0))</f>
        <v>Sat</v>
      </c>
      <c r="C112" s="48">
        <f>IF(+All!$F577="San Diego State",+All!C577,IF(+All!$H577="San Diego State",+All!C577,0))</f>
        <v>44863</v>
      </c>
      <c r="D112" s="490">
        <f>IF(+All!$F577="San Diego State",+All!D577,IF(+All!$H577="San Diego State",+All!D577,0))</f>
        <v>0.9375</v>
      </c>
      <c r="E112" s="461" t="str">
        <f>IF(+All!$F577="San Diego State",+All!E577,IF(+All!$H577="San Diego State",+All!E577,0))</f>
        <v>FS1</v>
      </c>
      <c r="F112" s="51" t="str">
        <f>IF(+All!$F577="San Diego State",+All!F577,IF(+All!$H577="San Diego State",+All!F577,0))</f>
        <v>San Diego State</v>
      </c>
      <c r="G112" s="52" t="str">
        <f>IF(+All!$F577="San Diego State",+All!G577,IF(+All!$H577="San Diego State",+All!G577,0))</f>
        <v>MWC</v>
      </c>
      <c r="H112" s="51" t="str">
        <f>IF(+All!$F577="San Diego State",+All!H577,IF(+All!$H577="San Diego State",+All!H577,0))</f>
        <v>Fresno State</v>
      </c>
      <c r="I112" s="52" t="str">
        <f>IF(+All!$F577="San Diego State",+All!I577,IF(+All!$H577="San Diego State",+All!I577,0))</f>
        <v>MWC</v>
      </c>
      <c r="J112" s="460" t="str">
        <f>IF(+All!$F577="San Diego State",+All!J577,IF(+All!$H577="San Diego State",+All!J577,0))</f>
        <v>Fresno State</v>
      </c>
      <c r="K112" s="461" t="str">
        <f>IF(+All!$F577="San Diego State",+All!K577,IF(+All!$H577="San Diego State",+All!K577,0))</f>
        <v>San Diego State</v>
      </c>
      <c r="L112" s="54">
        <f>IF(+All!$F577="San Diego State",+All!L577,IF(+All!$H577="San Diego State",+All!L577,0))</f>
        <v>8.5</v>
      </c>
      <c r="M112" s="55">
        <f>IF(+All!$F577="San Diego State",+All!M577,IF(+All!$H577="San Diego State",+All!M577,0))</f>
        <v>40.5</v>
      </c>
      <c r="N112" s="460" t="str">
        <f>IF(+All!$F577="San Diego State",+All!N577,IF(+All!$H577="San Diego State",+All!N577,0))</f>
        <v>Fresno State</v>
      </c>
      <c r="O112" s="462">
        <f>IF(+All!$F577="San Diego State",+All!O577,IF(+All!$H577="San Diego State",+All!O577,0))</f>
        <v>32</v>
      </c>
      <c r="P112" s="462" t="str">
        <f>IF(+All!$F577="San Diego State",+All!P577,IF(+All!$H577="San Diego State",+All!P577,0))</f>
        <v>San Diego State</v>
      </c>
      <c r="Q112" s="461">
        <f>IF(+All!$F577="San Diego State",+All!Q577,IF(+All!$H577="San Diego State",+All!Q577,0))</f>
        <v>28</v>
      </c>
      <c r="R112" s="460" t="str">
        <f>IF(+All!$F577="San Diego State",+All!R577,IF(+All!$H577="San Diego State",+All!R577,0))</f>
        <v>San Diego State</v>
      </c>
      <c r="S112" s="462" t="str">
        <f>IF(+All!$F577="San Diego State",+All!S577,IF(+All!$H577="San Diego State",+All!S577,0))</f>
        <v>Fresno State</v>
      </c>
      <c r="T112" s="460" t="str">
        <f>IF(+All!$F577="San Diego State",+All!T577,IF(+All!$H577="San Diego State",+All!T577,0))</f>
        <v>Fresno State</v>
      </c>
      <c r="U112" s="461" t="str">
        <f>IF(+All!$F577="San Diego State",+All!U577,IF(+All!$H577="San Diego State",+All!U577,0))</f>
        <v>L</v>
      </c>
    </row>
    <row r="113" spans="1:21" x14ac:dyDescent="0.8">
      <c r="A113" s="46">
        <f>IF(+All!$F633="San Diego State",+All!A633,IF(+All!$H633="San Diego State",+All!A633,0))</f>
        <v>10</v>
      </c>
      <c r="B113" s="348" t="str">
        <f>IF(+All!$F633="San Diego State",+All!B633,IF(+All!$H633="San Diego State",+All!B633,0))</f>
        <v>Sat</v>
      </c>
      <c r="C113" s="48">
        <f>IF(+All!$F633="San Diego State",+All!C633,IF(+All!$H633="San Diego State",+All!C633,0))</f>
        <v>44870</v>
      </c>
      <c r="D113" s="490">
        <f>IF(+All!$F633="San Diego State",+All!D633,IF(+All!$H633="San Diego State",+All!D633,0))</f>
        <v>0.79166666666666663</v>
      </c>
      <c r="E113" s="461" t="str">
        <f>IF(+All!$F633="San Diego State",+All!E633,IF(+All!$H633="San Diego State",+All!E633,0))</f>
        <v>CBSSN</v>
      </c>
      <c r="F113" s="51" t="str">
        <f>IF(+All!$F633="San Diego State",+All!F633,IF(+All!$H633="San Diego State",+All!F633,0))</f>
        <v>UNLV</v>
      </c>
      <c r="G113" s="52" t="str">
        <f>IF(+All!$F633="San Diego State",+All!G633,IF(+All!$H633="San Diego State",+All!G633,0))</f>
        <v>MWC</v>
      </c>
      <c r="H113" s="51" t="str">
        <f>IF(+All!$F633="San Diego State",+All!H633,IF(+All!$H633="San Diego State",+All!H633,0))</f>
        <v>San Diego State</v>
      </c>
      <c r="I113" s="52" t="str">
        <f>IF(+All!$F633="San Diego State",+All!I633,IF(+All!$H633="San Diego State",+All!I633,0))</f>
        <v>MWC</v>
      </c>
      <c r="J113" s="460" t="str">
        <f>IF(+All!$F633="San Diego State",+All!J633,IF(+All!$H633="San Diego State",+All!J633,0))</f>
        <v>San Diego State</v>
      </c>
      <c r="K113" s="461" t="str">
        <f>IF(+All!$F633="San Diego State",+All!K633,IF(+All!$H633="San Diego State",+All!K633,0))</f>
        <v>UNLV</v>
      </c>
      <c r="L113" s="54">
        <f>IF(+All!$F633="San Diego State",+All!L633,IF(+All!$H633="San Diego State",+All!L633,0))</f>
        <v>6</v>
      </c>
      <c r="M113" s="55">
        <f>IF(+All!$F633="San Diego State",+All!M633,IF(+All!$H633="San Diego State",+All!M633,0))</f>
        <v>48</v>
      </c>
      <c r="N113" s="460" t="str">
        <f>IF(+All!$F633="San Diego State",+All!N633,IF(+All!$H633="San Diego State",+All!N633,0))</f>
        <v>San Diego State</v>
      </c>
      <c r="O113" s="462">
        <f>IF(+All!$F633="San Diego State",+All!O633,IF(+All!$H633="San Diego State",+All!O633,0))</f>
        <v>14</v>
      </c>
      <c r="P113" s="462" t="str">
        <f>IF(+All!$F633="San Diego State",+All!P633,IF(+All!$H633="San Diego State",+All!P633,0))</f>
        <v>UNLV</v>
      </c>
      <c r="Q113" s="461">
        <f>IF(+All!$F633="San Diego State",+All!Q633,IF(+All!$H633="San Diego State",+All!Q633,0))</f>
        <v>10</v>
      </c>
      <c r="R113" s="460" t="str">
        <f>IF(+All!$F633="San Diego State",+All!R633,IF(+All!$H633="San Diego State",+All!R633,0))</f>
        <v>UNLV</v>
      </c>
      <c r="S113" s="462" t="str">
        <f>IF(+All!$F633="San Diego State",+All!S633,IF(+All!$H633="San Diego State",+All!S633,0))</f>
        <v>San Diego State</v>
      </c>
      <c r="T113" s="460" t="str">
        <f>IF(+All!$F633="San Diego State",+All!T633,IF(+All!$H633="San Diego State",+All!T633,0))</f>
        <v>San Diego State</v>
      </c>
      <c r="U113" s="461" t="str">
        <f>IF(+All!$F633="San Diego State",+All!U633,IF(+All!$H633="San Diego State",+All!U633,0))</f>
        <v>L</v>
      </c>
    </row>
    <row r="114" spans="1:21" x14ac:dyDescent="0.8">
      <c r="A114" s="46">
        <f>IF(+All!$F698="San Diego State",+All!A698,IF(+All!$H698="San Diego State",+All!A698,0))</f>
        <v>11</v>
      </c>
      <c r="B114" s="348" t="str">
        <f>IF(+All!$F698="San Diego State",+All!B698,IF(+All!$H698="San Diego State",+All!B698,0))</f>
        <v>Sat</v>
      </c>
      <c r="C114" s="48">
        <f>IF(+All!$F698="San Diego State",+All!C698,IF(+All!$H698="San Diego State",+All!C698,0))</f>
        <v>44877</v>
      </c>
      <c r="D114" s="490">
        <f>IF(+All!$F698="San Diego State",+All!D698,IF(+All!$H698="San Diego State",+All!D698,0))</f>
        <v>0.9375</v>
      </c>
      <c r="E114" s="461" t="str">
        <f>IF(+All!$F698="San Diego State",+All!E698,IF(+All!$H698="San Diego State",+All!E698,0))</f>
        <v>FS1</v>
      </c>
      <c r="F114" s="51" t="str">
        <f>IF(+All!$F698="San Diego State",+All!F698,IF(+All!$H698="San Diego State",+All!F698,0))</f>
        <v>San Jose State</v>
      </c>
      <c r="G114" s="52" t="str">
        <f>IF(+All!$F698="San Diego State",+All!G698,IF(+All!$H698="San Diego State",+All!G698,0))</f>
        <v>MWC</v>
      </c>
      <c r="H114" s="51" t="str">
        <f>IF(+All!$F698="San Diego State",+All!H698,IF(+All!$H698="San Diego State",+All!H698,0))</f>
        <v>San Diego State</v>
      </c>
      <c r="I114" s="52" t="str">
        <f>IF(+All!$F698="San Diego State",+All!I698,IF(+All!$H698="San Diego State",+All!I698,0))</f>
        <v>MWC</v>
      </c>
      <c r="J114" s="460" t="str">
        <f>IF(+All!$F698="San Diego State",+All!J698,IF(+All!$H698="San Diego State",+All!J698,0))</f>
        <v>San Jose State</v>
      </c>
      <c r="K114" s="461" t="str">
        <f>IF(+All!$F698="San Diego State",+All!K698,IF(+All!$H698="San Diego State",+All!K698,0))</f>
        <v>San Diego State</v>
      </c>
      <c r="L114" s="54">
        <f>IF(+All!$F698="San Diego State",+All!L698,IF(+All!$H698="San Diego State",+All!L698,0))</f>
        <v>2.5</v>
      </c>
      <c r="M114" s="55">
        <f>IF(+All!$F698="San Diego State",+All!M698,IF(+All!$H698="San Diego State",+All!M698,0))</f>
        <v>41.5</v>
      </c>
      <c r="N114" s="460" t="str">
        <f>IF(+All!$F698="San Diego State",+All!N698,IF(+All!$H698="San Diego State",+All!N698,0))</f>
        <v>San Diego State</v>
      </c>
      <c r="O114" s="462">
        <f>IF(+All!$F698="San Diego State",+All!O698,IF(+All!$H698="San Diego State",+All!O698,0))</f>
        <v>43</v>
      </c>
      <c r="P114" s="462" t="str">
        <f>IF(+All!$F698="San Diego State",+All!P698,IF(+All!$H698="San Diego State",+All!P698,0))</f>
        <v>San Jose State</v>
      </c>
      <c r="Q114" s="461">
        <f>IF(+All!$F698="San Diego State",+All!Q698,IF(+All!$H698="San Diego State",+All!Q698,0))</f>
        <v>27</v>
      </c>
      <c r="R114" s="460" t="str">
        <f>IF(+All!$F698="San Diego State",+All!R698,IF(+All!$H698="San Diego State",+All!R698,0))</f>
        <v>San Diego State</v>
      </c>
      <c r="S114" s="462" t="str">
        <f>IF(+All!$F698="San Diego State",+All!S698,IF(+All!$H698="San Diego State",+All!S698,0))</f>
        <v>San Jose State</v>
      </c>
      <c r="T114" s="460" t="str">
        <f>IF(+All!$F698="San Diego State",+All!T698,IF(+All!$H698="San Diego State",+All!T698,0))</f>
        <v>San Jose State</v>
      </c>
      <c r="U114" s="461" t="str">
        <f>IF(+All!$F698="San Diego State",+All!U698,IF(+All!$H698="San Diego State",+All!U698,0))</f>
        <v>L</v>
      </c>
    </row>
    <row r="115" spans="1:21" x14ac:dyDescent="0.8">
      <c r="A115" s="46">
        <f>IF(+All!$F725="San Diego State",+All!A725,IF(+All!$H725="San Diego State",+All!A725,0))</f>
        <v>12</v>
      </c>
      <c r="B115" s="348" t="str">
        <f>IF(+All!$F725="San Diego State",+All!B725,IF(+All!$H725="San Diego State",+All!B725,0))</f>
        <v>Fri</v>
      </c>
      <c r="C115" s="48">
        <f>IF(+All!$F725="San Diego State",+All!C725,IF(+All!$H725="San Diego State",+All!C725,0))</f>
        <v>44883</v>
      </c>
      <c r="D115" s="490">
        <f>IF(+All!$F725="San Diego State",+All!D725,IF(+All!$H725="San Diego State",+All!D725,0))</f>
        <v>0.90625</v>
      </c>
      <c r="E115" s="461" t="str">
        <f>IF(+All!$F725="San Diego State",+All!E725,IF(+All!$H725="San Diego State",+All!E725,0))</f>
        <v>FS1</v>
      </c>
      <c r="F115" s="51" t="str">
        <f>IF(+All!$F725="San Diego State",+All!F725,IF(+All!$H725="San Diego State",+All!F725,0))</f>
        <v>San Diego State</v>
      </c>
      <c r="G115" s="52" t="str">
        <f>IF(+All!$F725="San Diego State",+All!G725,IF(+All!$H725="San Diego State",+All!G725,0))</f>
        <v>MWC</v>
      </c>
      <c r="H115" s="51" t="str">
        <f>IF(+All!$F725="San Diego State",+All!H725,IF(+All!$H725="San Diego State",+All!H725,0))</f>
        <v>New Mexico</v>
      </c>
      <c r="I115" s="52" t="str">
        <f>IF(+All!$F725="San Diego State",+All!I725,IF(+All!$H725="San Diego State",+All!I725,0))</f>
        <v>MWC</v>
      </c>
      <c r="J115" s="460" t="str">
        <f>IF(+All!$F725="San Diego State",+All!J725,IF(+All!$H725="San Diego State",+All!J725,0))</f>
        <v>San Diego State</v>
      </c>
      <c r="K115" s="461" t="str">
        <f>IF(+All!$F725="San Diego State",+All!K725,IF(+All!$H725="San Diego State",+All!K725,0))</f>
        <v>New Mexico</v>
      </c>
      <c r="L115" s="54">
        <f>IF(+All!$F725="San Diego State",+All!L725,IF(+All!$H725="San Diego State",+All!L725,0))</f>
        <v>14</v>
      </c>
      <c r="M115" s="55">
        <f>IF(+All!$F725="San Diego State",+All!M725,IF(+All!$H725="San Diego State",+All!M725,0))</f>
        <v>39.5</v>
      </c>
      <c r="N115" s="460" t="str">
        <f>IF(+All!$F725="San Diego State",+All!N725,IF(+All!$H725="San Diego State",+All!N725,0))</f>
        <v>San Diego State</v>
      </c>
      <c r="O115" s="462">
        <f>IF(+All!$F725="San Diego State",+All!O725,IF(+All!$H725="San Diego State",+All!O725,0))</f>
        <v>23</v>
      </c>
      <c r="P115" s="462" t="str">
        <f>IF(+All!$F725="San Diego State",+All!P725,IF(+All!$H725="San Diego State",+All!P725,0))</f>
        <v>New Mexico</v>
      </c>
      <c r="Q115" s="461">
        <f>IF(+All!$F725="San Diego State",+All!Q725,IF(+All!$H725="San Diego State",+All!Q725,0))</f>
        <v>10</v>
      </c>
      <c r="R115" s="460" t="str">
        <f>IF(+All!$F725="San Diego State",+All!R725,IF(+All!$H725="San Diego State",+All!R725,0))</f>
        <v>New Mexico</v>
      </c>
      <c r="S115" s="462" t="str">
        <f>IF(+All!$F725="San Diego State",+All!S725,IF(+All!$H725="San Diego State",+All!S725,0))</f>
        <v>San Diego State</v>
      </c>
      <c r="T115" s="460" t="str">
        <f>IF(+All!$F725="San Diego State",+All!T725,IF(+All!$H725="San Diego State",+All!T725,0))</f>
        <v>San Diego State</v>
      </c>
      <c r="U115" s="461" t="str">
        <f>IF(+All!$F725="San Diego State",+All!U725,IF(+All!$H725="San Diego State",+All!U725,0))</f>
        <v>L</v>
      </c>
    </row>
    <row r="116" spans="1:21" x14ac:dyDescent="0.8">
      <c r="A116" s="46">
        <f>IF(+All!$F829="San Diego State",+All!A829,IF(+All!$H829="San Diego State",+All!A829,0))</f>
        <v>13</v>
      </c>
      <c r="B116" s="348" t="str">
        <f>IF(+All!$F829="San Diego State",+All!B829,IF(+All!$H829="San Diego State",+All!B829,0))</f>
        <v>Sat</v>
      </c>
      <c r="C116" s="48">
        <f>IF(+All!$F829="San Diego State",+All!C829,IF(+All!$H829="San Diego State",+All!C829,0))</f>
        <v>44891</v>
      </c>
      <c r="D116" s="490">
        <f>IF(+All!$F829="San Diego State",+All!D829,IF(+All!$H829="San Diego State",+All!D829,0))</f>
        <v>0.875</v>
      </c>
      <c r="E116" s="461" t="str">
        <f>IF(+All!$F829="San Diego State",+All!E829,IF(+All!$H829="San Diego State",+All!E829,0))</f>
        <v>CBSSN</v>
      </c>
      <c r="F116" s="51" t="str">
        <f>IF(+All!$F829="San Diego State",+All!F829,IF(+All!$H829="San Diego State",+All!F829,0))</f>
        <v>Air Force</v>
      </c>
      <c r="G116" s="52" t="str">
        <f>IF(+All!$F829="San Diego State",+All!G829,IF(+All!$H829="San Diego State",+All!G829,0))</f>
        <v>MWC</v>
      </c>
      <c r="H116" s="51" t="str">
        <f>IF(+All!$F829="San Diego State",+All!H829,IF(+All!$H829="San Diego State",+All!H829,0))</f>
        <v>San Diego State</v>
      </c>
      <c r="I116" s="52" t="str">
        <f>IF(+All!$F829="San Diego State",+All!I829,IF(+All!$H829="San Diego State",+All!I829,0))</f>
        <v>MWC</v>
      </c>
      <c r="J116" s="460" t="str">
        <f>IF(+All!$F829="San Diego State",+All!J829,IF(+All!$H829="San Diego State",+All!J829,0))</f>
        <v>Air Force</v>
      </c>
      <c r="K116" s="461" t="str">
        <f>IF(+All!$F829="San Diego State",+All!K829,IF(+All!$H829="San Diego State",+All!K829,0))</f>
        <v>San Diego State</v>
      </c>
      <c r="L116" s="54">
        <f>IF(+All!$F829="San Diego State",+All!L829,IF(+All!$H829="San Diego State",+All!L829,0))</f>
        <v>1.5</v>
      </c>
      <c r="M116" s="55">
        <f>IF(+All!$F829="San Diego State",+All!M829,IF(+All!$H829="San Diego State",+All!M829,0))</f>
        <v>42.5</v>
      </c>
      <c r="N116" s="460" t="str">
        <f>IF(+All!$F829="San Diego State",+All!N829,IF(+All!$H829="San Diego State",+All!N829,0))</f>
        <v>Air Force</v>
      </c>
      <c r="O116" s="462">
        <f>IF(+All!$F829="San Diego State",+All!O829,IF(+All!$H829="San Diego State",+All!O829,0))</f>
        <v>13</v>
      </c>
      <c r="P116" s="462" t="str">
        <f>IF(+All!$F829="San Diego State",+All!P829,IF(+All!$H829="San Diego State",+All!P829,0))</f>
        <v>San Diego State</v>
      </c>
      <c r="Q116" s="461">
        <f>IF(+All!$F829="San Diego State",+All!Q829,IF(+All!$H829="San Diego State",+All!Q829,0))</f>
        <v>3</v>
      </c>
      <c r="R116" s="460" t="str">
        <f>IF(+All!$F829="San Diego State",+All!R829,IF(+All!$H829="San Diego State",+All!R829,0))</f>
        <v>Air Force</v>
      </c>
      <c r="S116" s="462" t="str">
        <f>IF(+All!$F829="San Diego State",+All!S829,IF(+All!$H829="San Diego State",+All!S829,0))</f>
        <v>San Diego State</v>
      </c>
      <c r="T116" s="460" t="str">
        <f>IF(+All!$F829="San Diego State",+All!T829,IF(+All!$H829="San Diego State",+All!T829,0))</f>
        <v>Air Force</v>
      </c>
      <c r="U116" s="461" t="str">
        <f>IF(+All!$F829="San Diego State",+All!U829,IF(+All!$H829="San Diego State",+All!U829,0))</f>
        <v>W</v>
      </c>
    </row>
    <row r="117" spans="1:21" x14ac:dyDescent="0.8">
      <c r="A117" s="38"/>
      <c r="B117" s="39"/>
      <c r="C117" s="40"/>
      <c r="D117" s="41"/>
      <c r="E117" s="463"/>
      <c r="F117" s="897" t="str">
        <f>H118</f>
        <v>San Jose State</v>
      </c>
      <c r="G117" s="903"/>
      <c r="H117" s="903"/>
      <c r="I117" s="904"/>
      <c r="J117" s="459"/>
      <c r="K117" s="463"/>
      <c r="L117" s="44"/>
      <c r="M117" s="45"/>
      <c r="N117" s="459"/>
      <c r="O117" s="5"/>
      <c r="P117" s="5"/>
      <c r="Q117" s="463"/>
      <c r="R117" s="459"/>
      <c r="S117" s="5"/>
      <c r="T117" s="459"/>
      <c r="U117" s="463"/>
    </row>
    <row r="118" spans="1:21" x14ac:dyDescent="0.8">
      <c r="A118" s="46">
        <f>IF(+All!$F64="San Jose State",+All!A64,IF(+All!$H64="San Jose State",+All!A64,0))</f>
        <v>1</v>
      </c>
      <c r="B118" s="348" t="str">
        <f>IF(+All!$F64="San Jose State",+All!B64,IF(+All!$H64="San Jose State",+All!B64,0))</f>
        <v>Thurs</v>
      </c>
      <c r="C118" s="48">
        <f>IF(+All!$F64="San Jose State",+All!C64,IF(+All!$H64="San Jose State",+All!C64,0))</f>
        <v>44805</v>
      </c>
      <c r="D118" s="490">
        <f>IF(+All!$F64="San Jose State",+All!D64,IF(+All!$H64="San Jose State",+All!D64,0))</f>
        <v>0.9375</v>
      </c>
      <c r="E118" s="461">
        <f>IF(+All!$F64="San Jose State",+All!E64,IF(+All!$H64="San Jose State",+All!E64,0))</f>
        <v>0</v>
      </c>
      <c r="F118" s="51" t="str">
        <f>IF(+All!$F64="San Jose State",+All!F64,IF(+All!$H64="San Jose State",+All!F64,0))</f>
        <v>1AA Portland State</v>
      </c>
      <c r="G118" s="52" t="str">
        <f>IF(+All!$F64="San Jose State",+All!G64,IF(+All!$H64="San Jose State",+All!G64,0))</f>
        <v>1AA</v>
      </c>
      <c r="H118" s="51" t="str">
        <f>IF(+All!$F64="San Jose State",+All!H64,IF(+All!$H64="San Jose State",+All!H64,0))</f>
        <v>San Jose State</v>
      </c>
      <c r="I118" s="52" t="str">
        <f>IF(+All!$F64="San Jose State",+All!I64,IF(+All!$H64="San Jose State",+All!I64,0))</f>
        <v>MWC</v>
      </c>
      <c r="J118" s="460">
        <f>IF(+All!$F64="San Jose State",+All!J64,IF(+All!$H64="San Jose State",+All!J64,0))</f>
        <v>0</v>
      </c>
      <c r="K118" s="461">
        <f>IF(+All!$F64="San Jose State",+All!K64,IF(+All!$H64="San Jose State",+All!K64,0))</f>
        <v>0</v>
      </c>
      <c r="L118" s="54">
        <f>IF(+All!$F64="San Jose State",+All!L64,IF(+All!$H64="San Jose State",+All!L64,0))</f>
        <v>0</v>
      </c>
      <c r="M118" s="55">
        <f>IF(+All!$F64="San Jose State",+All!M64,IF(+All!$H64="San Jose State",+All!M64,0))</f>
        <v>0</v>
      </c>
      <c r="N118" s="460" t="str">
        <f>IF(+All!$F64="San Jose State",+All!N64,IF(+All!$H64="San Jose State",+All!N64,0))</f>
        <v>San Jose State</v>
      </c>
      <c r="O118" s="462">
        <f>IF(+All!$F64="San Jose State",+All!O64,IF(+All!$H64="San Jose State",+All!O64,0))</f>
        <v>21</v>
      </c>
      <c r="P118" s="462" t="str">
        <f>IF(+All!$F64="San Jose State",+All!P64,IF(+All!$H64="San Jose State",+All!P64,0))</f>
        <v>1AA Portland State</v>
      </c>
      <c r="Q118" s="461">
        <f>IF(+All!$F64="San Jose State",+All!Q64,IF(+All!$H64="San Jose State",+All!Q64,0))</f>
        <v>17</v>
      </c>
      <c r="R118" s="460">
        <f>IF(+All!$F64="San Jose State",+All!R64,IF(+All!$H64="San Jose State",+All!R64,0))</f>
        <v>0</v>
      </c>
      <c r="S118" s="462">
        <f>IF(+All!$F64="San Jose State",+All!S64,IF(+All!$H64="San Jose State",+All!S64,0))</f>
        <v>0</v>
      </c>
      <c r="T118" s="460">
        <f>IF(+All!$F64="San Jose State",+All!T64,IF(+All!$H64="San Jose State",+All!T64,0))</f>
        <v>0</v>
      </c>
      <c r="U118" s="461">
        <f>IF(+All!$F64="San Jose State",+All!U64,IF(+All!$H64="San Jose State",+All!U64,0))</f>
        <v>0</v>
      </c>
    </row>
    <row r="119" spans="1:21" x14ac:dyDescent="0.8">
      <c r="A119" s="46">
        <f>IF(+All!$F172="San Jose State",+All!A172,IF(+All!$H172="San Jose State",+All!A172,0))</f>
        <v>2</v>
      </c>
      <c r="B119" s="348" t="str">
        <f>IF(+All!$F172="San Jose State",+All!B172,IF(+All!$H172="San Jose State",+All!B172,0))</f>
        <v>Sat</v>
      </c>
      <c r="C119" s="48">
        <f>IF(+All!$F172="San Jose State",+All!C172,IF(+All!$H172="San Jose State",+All!C172,0))</f>
        <v>44814</v>
      </c>
      <c r="D119" s="490">
        <f>IF(+All!$F172="San Jose State",+All!D172,IF(+All!$H172="San Jose State",+All!D172,0))</f>
        <v>0.8125</v>
      </c>
      <c r="E119" s="461" t="str">
        <f>IF(+All!$F172="San Jose State",+All!E172,IF(+All!$H172="San Jose State",+All!E172,0))</f>
        <v>ESPNU</v>
      </c>
      <c r="F119" s="51" t="str">
        <f>IF(+All!$F172="San Jose State",+All!F172,IF(+All!$H172="San Jose State",+All!F172,0))</f>
        <v>San Jose State</v>
      </c>
      <c r="G119" s="52" t="str">
        <f>IF(+All!$F172="San Jose State",+All!G172,IF(+All!$H172="San Jose State",+All!G172,0))</f>
        <v>MWC</v>
      </c>
      <c r="H119" s="51" t="str">
        <f>IF(+All!$F172="San Jose State",+All!H172,IF(+All!$H172="San Jose State",+All!H172,0))</f>
        <v>Auburn</v>
      </c>
      <c r="I119" s="52" t="str">
        <f>IF(+All!$F172="San Jose State",+All!I172,IF(+All!$H172="San Jose State",+All!I172,0))</f>
        <v>SEC</v>
      </c>
      <c r="J119" s="460" t="str">
        <f>IF(+All!$F172="San Jose State",+All!J172,IF(+All!$H172="San Jose State",+All!J172,0))</f>
        <v>Auburn</v>
      </c>
      <c r="K119" s="461" t="str">
        <f>IF(+All!$F172="San Jose State",+All!K172,IF(+All!$H172="San Jose State",+All!K172,0))</f>
        <v>San Jose State</v>
      </c>
      <c r="L119" s="54">
        <f>IF(+All!$F172="San Jose State",+All!L172,IF(+All!$H172="San Jose State",+All!L172,0))</f>
        <v>22.5</v>
      </c>
      <c r="M119" s="55">
        <f>IF(+All!$F172="San Jose State",+All!M172,IF(+All!$H172="San Jose State",+All!M172,0))</f>
        <v>50.5</v>
      </c>
      <c r="N119" s="460" t="str">
        <f>IF(+All!$F172="San Jose State",+All!N172,IF(+All!$H172="San Jose State",+All!N172,0))</f>
        <v>Auburn</v>
      </c>
      <c r="O119" s="462">
        <f>IF(+All!$F172="San Jose State",+All!O172,IF(+All!$H172="San Jose State",+All!O172,0))</f>
        <v>24</v>
      </c>
      <c r="P119" s="462" t="str">
        <f>IF(+All!$F172="San Jose State",+All!P172,IF(+All!$H172="San Jose State",+All!P172,0))</f>
        <v>San Jose State</v>
      </c>
      <c r="Q119" s="461">
        <f>IF(+All!$F172="San Jose State",+All!Q172,IF(+All!$H172="San Jose State",+All!Q172,0))</f>
        <v>16</v>
      </c>
      <c r="R119" s="460" t="str">
        <f>IF(+All!$F172="San Jose State",+All!R172,IF(+All!$H172="San Jose State",+All!R172,0))</f>
        <v>San Jose State</v>
      </c>
      <c r="S119" s="462" t="str">
        <f>IF(+All!$F172="San Jose State",+All!S172,IF(+All!$H172="San Jose State",+All!S172,0))</f>
        <v>Auburn</v>
      </c>
      <c r="T119" s="460" t="str">
        <f>IF(+All!$F172="San Jose State",+All!T172,IF(+All!$H172="San Jose State",+All!T172,0))</f>
        <v>San Jose State</v>
      </c>
      <c r="U119" s="461" t="str">
        <f>IF(+All!$F172="San Jose State",+All!U172,IF(+All!$H172="San Jose State",+All!U172,0))</f>
        <v>W</v>
      </c>
    </row>
    <row r="120" spans="1:21" x14ac:dyDescent="0.8">
      <c r="A120" s="46" t="e">
        <f>IF(+All!#REF!="San Jose State",+All!#REF!,IF(+All!#REF!="San Jose State",+All!#REF!,0))</f>
        <v>#REF!</v>
      </c>
      <c r="B120" s="348" t="e">
        <f>IF(+All!#REF!="San Jose State",+All!#REF!,IF(+All!#REF!="San Jose State",+All!#REF!,0))</f>
        <v>#REF!</v>
      </c>
      <c r="C120" s="48" t="e">
        <f>IF(+All!#REF!="San Jose State",+All!#REF!,IF(+All!#REF!="San Jose State",+All!#REF!,0))</f>
        <v>#REF!</v>
      </c>
      <c r="D120" s="490" t="e">
        <f>IF(+All!#REF!="San Jose State",+All!#REF!,IF(+All!#REF!="San Jose State",+All!#REF!,0))</f>
        <v>#REF!</v>
      </c>
      <c r="E120" s="461" t="e">
        <f>IF(+All!#REF!="San Jose State",+All!#REF!,IF(+All!#REF!="San Jose State",+All!#REF!,0))</f>
        <v>#REF!</v>
      </c>
      <c r="F120" s="51" t="e">
        <f>IF(+All!#REF!="San Jose State",+All!#REF!,IF(+All!#REF!="San Jose State",+All!#REF!,0))</f>
        <v>#REF!</v>
      </c>
      <c r="G120" s="52" t="e">
        <f>IF(+All!#REF!="San Jose State",+All!#REF!,IF(+All!#REF!="San Jose State",+All!#REF!,0))</f>
        <v>#REF!</v>
      </c>
      <c r="H120" s="51" t="e">
        <f>IF(+All!#REF!="San Jose State",+All!#REF!,IF(+All!#REF!="San Jose State",+All!#REF!,0))</f>
        <v>#REF!</v>
      </c>
      <c r="I120" s="52" t="e">
        <f>IF(+All!#REF!="San Jose State",+All!#REF!,IF(+All!#REF!="San Jose State",+All!#REF!,0))</f>
        <v>#REF!</v>
      </c>
      <c r="J120" s="460" t="e">
        <f>IF(+All!#REF!="San Jose State",+All!#REF!,IF(+All!#REF!="San Jose State",+All!#REF!,0))</f>
        <v>#REF!</v>
      </c>
      <c r="K120" s="461" t="e">
        <f>IF(+All!#REF!="San Jose State",+All!#REF!,IF(+All!#REF!="San Jose State",+All!#REF!,0))</f>
        <v>#REF!</v>
      </c>
      <c r="L120" s="54" t="e">
        <f>IF(+All!#REF!="San Jose State",+All!#REF!,IF(+All!#REF!="San Jose State",+All!#REF!,0))</f>
        <v>#REF!</v>
      </c>
      <c r="M120" s="55" t="e">
        <f>IF(+All!#REF!="San Jose State",+All!#REF!,IF(+All!#REF!="San Jose State",+All!#REF!,0))</f>
        <v>#REF!</v>
      </c>
      <c r="N120" s="460" t="e">
        <f>IF(+All!#REF!="San Jose State",+All!#REF!,IF(+All!#REF!="San Jose State",+All!#REF!,0))</f>
        <v>#REF!</v>
      </c>
      <c r="O120" s="462" t="e">
        <f>IF(+All!#REF!="San Jose State",+All!#REF!,IF(+All!#REF!="San Jose State",+All!#REF!,0))</f>
        <v>#REF!</v>
      </c>
      <c r="P120" s="462" t="e">
        <f>IF(+All!#REF!="San Jose State",+All!#REF!,IF(+All!#REF!="San Jose State",+All!#REF!,0))</f>
        <v>#REF!</v>
      </c>
      <c r="Q120" s="461" t="e">
        <f>IF(+All!#REF!="San Jose State",+All!#REF!,IF(+All!#REF!="San Jose State",+All!#REF!,0))</f>
        <v>#REF!</v>
      </c>
      <c r="R120" s="460" t="e">
        <f>IF(+All!#REF!="San Jose State",+All!#REF!,IF(+All!#REF!="San Jose State",+All!#REF!,0))</f>
        <v>#REF!</v>
      </c>
      <c r="S120" s="462" t="e">
        <f>IF(+All!#REF!="San Jose State",+All!#REF!,IF(+All!#REF!="San Jose State",+All!#REF!,0))</f>
        <v>#REF!</v>
      </c>
      <c r="T120" s="460" t="e">
        <f>IF(+All!#REF!="San Jose State",+All!#REF!,IF(+All!#REF!="San Jose State",+All!#REF!,0))</f>
        <v>#REF!</v>
      </c>
      <c r="U120" s="461" t="e">
        <f>IF(+All!#REF!="San Jose State",+All!#REF!,IF(+All!#REF!="San Jose State",+All!#REF!,0))</f>
        <v>#REF!</v>
      </c>
    </row>
    <row r="121" spans="1:21" x14ac:dyDescent="0.8">
      <c r="A121" s="46">
        <f>IF(+All!$F293="San Jose State",+All!A293,IF(+All!$H293="San Jose State",+All!A293,0))</f>
        <v>4</v>
      </c>
      <c r="B121" s="348" t="str">
        <f>IF(+All!$F293="San Jose State",+All!B293,IF(+All!$H293="San Jose State",+All!B293,0))</f>
        <v>Sat</v>
      </c>
      <c r="C121" s="48">
        <f>IF(+All!$F293="San Jose State",+All!C293,IF(+All!$H293="San Jose State",+All!C293,0))</f>
        <v>44828</v>
      </c>
      <c r="D121" s="490">
        <f>IF(+All!$F293="San Jose State",+All!D293,IF(+All!$H293="San Jose State",+All!D293,0))</f>
        <v>0.9375</v>
      </c>
      <c r="E121" s="461" t="str">
        <f>IF(+All!$F293="San Jose State",+All!E293,IF(+All!$H293="San Jose State",+All!E293,0))</f>
        <v>CBSSN</v>
      </c>
      <c r="F121" s="51" t="str">
        <f>IF(+All!$F293="San Jose State",+All!F293,IF(+All!$H293="San Jose State",+All!F293,0))</f>
        <v>Western Michigan</v>
      </c>
      <c r="G121" s="52" t="str">
        <f>IF(+All!$F293="San Jose State",+All!G293,IF(+All!$H293="San Jose State",+All!G293,0))</f>
        <v>MAC</v>
      </c>
      <c r="H121" s="51" t="str">
        <f>IF(+All!$F293="San Jose State",+All!H293,IF(+All!$H293="San Jose State",+All!H293,0))</f>
        <v>San Jose State</v>
      </c>
      <c r="I121" s="52" t="str">
        <f>IF(+All!$F293="San Jose State",+All!I293,IF(+All!$H293="San Jose State",+All!I293,0))</f>
        <v>MWC</v>
      </c>
      <c r="J121" s="460" t="str">
        <f>IF(+All!$F293="San Jose State",+All!J293,IF(+All!$H293="San Jose State",+All!J293,0))</f>
        <v>San Jose State</v>
      </c>
      <c r="K121" s="461" t="str">
        <f>IF(+All!$F293="San Jose State",+All!K293,IF(+All!$H293="San Jose State",+All!K293,0))</f>
        <v>Western Michigan</v>
      </c>
      <c r="L121" s="54">
        <f>IF(+All!$F293="San Jose State",+All!L293,IF(+All!$H293="San Jose State",+All!L293,0))</f>
        <v>6.5</v>
      </c>
      <c r="M121" s="55">
        <f>IF(+All!$F293="San Jose State",+All!M293,IF(+All!$H293="San Jose State",+All!M293,0))</f>
        <v>48.5</v>
      </c>
      <c r="N121" s="460" t="str">
        <f>IF(+All!$F293="San Jose State",+All!N293,IF(+All!$H293="San Jose State",+All!N293,0))</f>
        <v>San Jose State</v>
      </c>
      <c r="O121" s="462">
        <f>IF(+All!$F293="San Jose State",+All!O293,IF(+All!$H293="San Jose State",+All!O293,0))</f>
        <v>34</v>
      </c>
      <c r="P121" s="462" t="str">
        <f>IF(+All!$F293="San Jose State",+All!P293,IF(+All!$H293="San Jose State",+All!P293,0))</f>
        <v>Western Michigan</v>
      </c>
      <c r="Q121" s="461">
        <f>IF(+All!$F293="San Jose State",+All!Q293,IF(+All!$H293="San Jose State",+All!Q293,0))</f>
        <v>6</v>
      </c>
      <c r="R121" s="460" t="str">
        <f>IF(+All!$F293="San Jose State",+All!R293,IF(+All!$H293="San Jose State",+All!R293,0))</f>
        <v>San Jose State</v>
      </c>
      <c r="S121" s="462" t="str">
        <f>IF(+All!$F293="San Jose State",+All!S293,IF(+All!$H293="San Jose State",+All!S293,0))</f>
        <v>Western Michigan</v>
      </c>
      <c r="T121" s="460" t="str">
        <f>IF(+All!$F293="San Jose State",+All!T293,IF(+All!$H293="San Jose State",+All!T293,0))</f>
        <v>Western Michigan</v>
      </c>
      <c r="U121" s="461" t="str">
        <f>IF(+All!$F293="San Jose State",+All!U293,IF(+All!$H293="San Jose State",+All!U293,0))</f>
        <v>L</v>
      </c>
    </row>
    <row r="122" spans="1:21" x14ac:dyDescent="0.8">
      <c r="A122" s="46">
        <f>IF(+All!$F362="San Jose State",+All!A362,IF(+All!$H362="San Jose State",+All!A362,0))</f>
        <v>5</v>
      </c>
      <c r="B122" s="348" t="str">
        <f>IF(+All!$F362="San Jose State",+All!B362,IF(+All!$H362="San Jose State",+All!B362,0))</f>
        <v>Sat</v>
      </c>
      <c r="C122" s="48">
        <f>IF(+All!$F362="San Jose State",+All!C362,IF(+All!$H362="San Jose State",+All!C362,0))</f>
        <v>44835</v>
      </c>
      <c r="D122" s="490">
        <f>IF(+All!$F362="San Jose State",+All!D362,IF(+All!$H362="San Jose State",+All!D362,0))</f>
        <v>0.8125</v>
      </c>
      <c r="E122" s="461" t="str">
        <f>IF(+All!$F362="San Jose State",+All!E362,IF(+All!$H362="San Jose State",+All!E362,0))</f>
        <v>CBSSN</v>
      </c>
      <c r="F122" s="51" t="str">
        <f>IF(+All!$F362="San Jose State",+All!F362,IF(+All!$H362="San Jose State",+All!F362,0))</f>
        <v>San Jose State</v>
      </c>
      <c r="G122" s="52" t="str">
        <f>IF(+All!$F362="San Jose State",+All!G362,IF(+All!$H362="San Jose State",+All!G362,0))</f>
        <v>MWC</v>
      </c>
      <c r="H122" s="51" t="str">
        <f>IF(+All!$F362="San Jose State",+All!H362,IF(+All!$H362="San Jose State",+All!H362,0))</f>
        <v>Wyoming</v>
      </c>
      <c r="I122" s="52" t="str">
        <f>IF(+All!$F362="San Jose State",+All!I362,IF(+All!$H362="San Jose State",+All!I362,0))</f>
        <v>MWC</v>
      </c>
      <c r="J122" s="460" t="str">
        <f>IF(+All!$F362="San Jose State",+All!J362,IF(+All!$H362="San Jose State",+All!J362,0))</f>
        <v>San Jose State</v>
      </c>
      <c r="K122" s="461" t="str">
        <f>IF(+All!$F362="San Jose State",+All!K362,IF(+All!$H362="San Jose State",+All!K362,0))</f>
        <v>Wyoming</v>
      </c>
      <c r="L122" s="54">
        <f>IF(+All!$F362="San Jose State",+All!L362,IF(+All!$H362="San Jose State",+All!L362,0))</f>
        <v>2.5</v>
      </c>
      <c r="M122" s="55">
        <f>IF(+All!$F362="San Jose State",+All!M362,IF(+All!$H362="San Jose State",+All!M362,0))</f>
        <v>42.5</v>
      </c>
      <c r="N122" s="460" t="str">
        <f>IF(+All!$F362="San Jose State",+All!N362,IF(+All!$H362="San Jose State",+All!N362,0))</f>
        <v>San Jose State</v>
      </c>
      <c r="O122" s="462">
        <f>IF(+All!$F362="San Jose State",+All!O362,IF(+All!$H362="San Jose State",+All!O362,0))</f>
        <v>33</v>
      </c>
      <c r="P122" s="462" t="str">
        <f>IF(+All!$F362="San Jose State",+All!P362,IF(+All!$H362="San Jose State",+All!P362,0))</f>
        <v>Wyoming</v>
      </c>
      <c r="Q122" s="461">
        <f>IF(+All!$F362="San Jose State",+All!Q362,IF(+All!$H362="San Jose State",+All!Q362,0))</f>
        <v>16</v>
      </c>
      <c r="R122" s="460" t="str">
        <f>IF(+All!$F362="San Jose State",+All!R362,IF(+All!$H362="San Jose State",+All!R362,0))</f>
        <v>San Jose State</v>
      </c>
      <c r="S122" s="462" t="str">
        <f>IF(+All!$F362="San Jose State",+All!S362,IF(+All!$H362="San Jose State",+All!S362,0))</f>
        <v>Wyoming</v>
      </c>
      <c r="T122" s="460" t="str">
        <f>IF(+All!$F362="San Jose State",+All!T362,IF(+All!$H362="San Jose State",+All!T362,0))</f>
        <v>Wyoming</v>
      </c>
      <c r="U122" s="461" t="str">
        <f>IF(+All!$F362="San Jose State",+All!U362,IF(+All!$H362="San Jose State",+All!U362,0))</f>
        <v>L</v>
      </c>
    </row>
    <row r="123" spans="1:21" x14ac:dyDescent="0.8">
      <c r="A123" s="46">
        <f>IF(+All!$F385="San Jose State",+All!A385,IF(+All!$H385="San Jose State",+All!A385,0))</f>
        <v>6</v>
      </c>
      <c r="B123" s="348" t="str">
        <f>IF(+All!$F385="San Jose State",+All!B385,IF(+All!$H385="San Jose State",+All!B385,0))</f>
        <v>Fri</v>
      </c>
      <c r="C123" s="48">
        <f>IF(+All!$F385="San Jose State",+All!C385,IF(+All!$H385="San Jose State",+All!C385,0))</f>
        <v>45572</v>
      </c>
      <c r="D123" s="490">
        <f>IF(+All!$F385="San Jose State",+All!D385,IF(+All!$H385="San Jose State",+All!D385,0))</f>
        <v>0.9375</v>
      </c>
      <c r="E123" s="461" t="str">
        <f>IF(+All!$F385="San Jose State",+All!E385,IF(+All!$H385="San Jose State",+All!E385,0))</f>
        <v>CBSSN</v>
      </c>
      <c r="F123" s="51" t="str">
        <f>IF(+All!$F385="San Jose State",+All!F385,IF(+All!$H385="San Jose State",+All!F385,0))</f>
        <v>UNLV</v>
      </c>
      <c r="G123" s="52" t="str">
        <f>IF(+All!$F385="San Jose State",+All!G385,IF(+All!$H385="San Jose State",+All!G385,0))</f>
        <v>MWC</v>
      </c>
      <c r="H123" s="51" t="str">
        <f>IF(+All!$F385="San Jose State",+All!H385,IF(+All!$H385="San Jose State",+All!H385,0))</f>
        <v>San Jose State</v>
      </c>
      <c r="I123" s="52" t="str">
        <f>IF(+All!$F385="San Jose State",+All!I385,IF(+All!$H385="San Jose State",+All!I385,0))</f>
        <v>MWC</v>
      </c>
      <c r="J123" s="460" t="str">
        <f>IF(+All!$F385="San Jose State",+All!J385,IF(+All!$H385="San Jose State",+All!J385,0))</f>
        <v>San Jose State</v>
      </c>
      <c r="K123" s="461" t="str">
        <f>IF(+All!$F385="San Jose State",+All!K385,IF(+All!$H385="San Jose State",+All!K385,0))</f>
        <v>UNLV</v>
      </c>
      <c r="L123" s="54">
        <f>IF(+All!$F385="San Jose State",+All!L385,IF(+All!$H385="San Jose State",+All!L385,0))</f>
        <v>7</v>
      </c>
      <c r="M123" s="55">
        <f>IF(+All!$F385="San Jose State",+All!M385,IF(+All!$H385="San Jose State",+All!M385,0))</f>
        <v>52.5</v>
      </c>
      <c r="N123" s="460" t="str">
        <f>IF(+All!$F385="San Jose State",+All!N385,IF(+All!$H385="San Jose State",+All!N385,0))</f>
        <v>San Jose State</v>
      </c>
      <c r="O123" s="462">
        <f>IF(+All!$F385="San Jose State",+All!O385,IF(+All!$H385="San Jose State",+All!O385,0))</f>
        <v>40</v>
      </c>
      <c r="P123" s="462" t="str">
        <f>IF(+All!$F385="San Jose State",+All!P385,IF(+All!$H385="San Jose State",+All!P385,0))</f>
        <v>UNLV</v>
      </c>
      <c r="Q123" s="461">
        <f>IF(+All!$F385="San Jose State",+All!Q385,IF(+All!$H385="San Jose State",+All!Q385,0))</f>
        <v>7</v>
      </c>
      <c r="R123" s="460" t="str">
        <f>IF(+All!$F385="San Jose State",+All!R385,IF(+All!$H385="San Jose State",+All!R385,0))</f>
        <v>San Jose State</v>
      </c>
      <c r="S123" s="462" t="str">
        <f>IF(+All!$F385="San Jose State",+All!S385,IF(+All!$H385="San Jose State",+All!S385,0))</f>
        <v>UNLV</v>
      </c>
      <c r="T123" s="460" t="str">
        <f>IF(+All!$F385="San Jose State",+All!T385,IF(+All!$H385="San Jose State",+All!T385,0))</f>
        <v>UNLV</v>
      </c>
      <c r="U123" s="461" t="str">
        <f>IF(+All!$F385="San Jose State",+All!U385,IF(+All!$H385="San Jose State",+All!U385,0))</f>
        <v>L</v>
      </c>
    </row>
    <row r="124" spans="1:21" x14ac:dyDescent="0.8">
      <c r="A124" s="46">
        <f>IF(+All!$F474="San Jose State",+All!A474,IF(+All!$H474="San Jose State",+All!A474,0))</f>
        <v>7</v>
      </c>
      <c r="B124" s="348" t="str">
        <f>IF(+All!$F474="San Jose State",+All!B474,IF(+All!$H474="San Jose State",+All!B474,0))</f>
        <v>Sat</v>
      </c>
      <c r="C124" s="48">
        <f>IF(+All!$F474="San Jose State",+All!C474,IF(+All!$H474="San Jose State",+All!C474,0))</f>
        <v>44849</v>
      </c>
      <c r="D124" s="490">
        <f>IF(+All!$F474="San Jose State",+All!D474,IF(+All!$H474="San Jose State",+All!D474,0))</f>
        <v>0.94791666666666663</v>
      </c>
      <c r="E124" s="461" t="str">
        <f>IF(+All!$F474="San Jose State",+All!E474,IF(+All!$H474="San Jose State",+All!E474,0))</f>
        <v>FS1</v>
      </c>
      <c r="F124" s="51" t="str">
        <f>IF(+All!$F474="San Jose State",+All!F474,IF(+All!$H474="San Jose State",+All!F474,0))</f>
        <v>San Jose State</v>
      </c>
      <c r="G124" s="52" t="str">
        <f>IF(+All!$F474="San Jose State",+All!G474,IF(+All!$H474="San Jose State",+All!G474,0))</f>
        <v>MWC</v>
      </c>
      <c r="H124" s="51" t="str">
        <f>IF(+All!$F474="San Jose State",+All!H474,IF(+All!$H474="San Jose State",+All!H474,0))</f>
        <v>Fresno State</v>
      </c>
      <c r="I124" s="52" t="str">
        <f>IF(+All!$F474="San Jose State",+All!I474,IF(+All!$H474="San Jose State",+All!I474,0))</f>
        <v>MWC</v>
      </c>
      <c r="J124" s="460" t="str">
        <f>IF(+All!$F474="San Jose State",+All!J474,IF(+All!$H474="San Jose State",+All!J474,0))</f>
        <v>San Jose State</v>
      </c>
      <c r="K124" s="461" t="str">
        <f>IF(+All!$F474="San Jose State",+All!K474,IF(+All!$H474="San Jose State",+All!K474,0))</f>
        <v>Fresno State</v>
      </c>
      <c r="L124" s="54">
        <f>IF(+All!$F474="San Jose State",+All!L474,IF(+All!$H474="San Jose State",+All!L474,0))</f>
        <v>8</v>
      </c>
      <c r="M124" s="55">
        <f>IF(+All!$F474="San Jose State",+All!M474,IF(+All!$H474="San Jose State",+All!M474,0))</f>
        <v>48</v>
      </c>
      <c r="N124" s="460" t="str">
        <f>IF(+All!$F474="San Jose State",+All!N474,IF(+All!$H474="San Jose State",+All!N474,0))</f>
        <v>Fresno State</v>
      </c>
      <c r="O124" s="462">
        <f>IF(+All!$F474="San Jose State",+All!O474,IF(+All!$H474="San Jose State",+All!O474,0))</f>
        <v>17</v>
      </c>
      <c r="P124" s="462" t="str">
        <f>IF(+All!$F474="San Jose State",+All!P474,IF(+All!$H474="San Jose State",+All!P474,0))</f>
        <v>San Jose State</v>
      </c>
      <c r="Q124" s="461">
        <f>IF(+All!$F474="San Jose State",+All!Q474,IF(+All!$H474="San Jose State",+All!Q474,0))</f>
        <v>10</v>
      </c>
      <c r="R124" s="460" t="str">
        <f>IF(+All!$F474="San Jose State",+All!R474,IF(+All!$H474="San Jose State",+All!R474,0))</f>
        <v>Fresno State</v>
      </c>
      <c r="S124" s="462" t="str">
        <f>IF(+All!$F474="San Jose State",+All!S474,IF(+All!$H474="San Jose State",+All!S474,0))</f>
        <v>San Jose State</v>
      </c>
      <c r="T124" s="460" t="str">
        <f>IF(+All!$F474="San Jose State",+All!T474,IF(+All!$H474="San Jose State",+All!T474,0))</f>
        <v>San Jose State</v>
      </c>
      <c r="U124" s="461" t="str">
        <f>IF(+All!$F474="San Jose State",+All!U474,IF(+All!$H474="San Jose State",+All!U474,0))</f>
        <v>L</v>
      </c>
    </row>
    <row r="125" spans="1:21" x14ac:dyDescent="0.8">
      <c r="A125" s="46">
        <f>IF(+All!$F519="San Jose State",+All!A519,IF(+All!$H519="San Jose State",+All!A519,0))</f>
        <v>8</v>
      </c>
      <c r="B125" s="348" t="str">
        <f>IF(+All!$F519="San Jose State",+All!B519,IF(+All!$H519="San Jose State",+All!B519,0))</f>
        <v>Sat</v>
      </c>
      <c r="C125" s="48">
        <f>IF(+All!$F519="San Jose State",+All!C519,IF(+All!$H519="San Jose State",+All!C519,0))</f>
        <v>44856</v>
      </c>
      <c r="D125" s="490">
        <f>IF(+All!$F519="San Jose State",+All!D519,IF(+All!$H519="San Jose State",+All!D519,0))</f>
        <v>0.75</v>
      </c>
      <c r="E125" s="461">
        <f>IF(+All!$F519="San Jose State",+All!E519,IF(+All!$H519="San Jose State",+All!E519,0))</f>
        <v>0</v>
      </c>
      <c r="F125" s="51" t="str">
        <f>IF(+All!$F519="San Jose State",+All!F519,IF(+All!$H519="San Jose State",+All!F519,0))</f>
        <v>San Jose State</v>
      </c>
      <c r="G125" s="52" t="str">
        <f>IF(+All!$F519="San Jose State",+All!G519,IF(+All!$H519="San Jose State",+All!G519,0))</f>
        <v>MWC</v>
      </c>
      <c r="H125" s="51" t="str">
        <f>IF(+All!$F519="San Jose State",+All!H519,IF(+All!$H519="San Jose State",+All!H519,0))</f>
        <v>New Mexico State</v>
      </c>
      <c r="I125" s="52" t="str">
        <f>IF(+All!$F519="San Jose State",+All!I519,IF(+All!$H519="San Jose State",+All!I519,0))</f>
        <v>Ind</v>
      </c>
      <c r="J125" s="460" t="str">
        <f>IF(+All!$F519="San Jose State",+All!J519,IF(+All!$H519="San Jose State",+All!J519,0))</f>
        <v>San Jose State</v>
      </c>
      <c r="K125" s="461" t="str">
        <f>IF(+All!$F519="San Jose State",+All!K519,IF(+All!$H519="San Jose State",+All!K519,0))</f>
        <v>New Mexico State</v>
      </c>
      <c r="L125" s="54">
        <f>IF(+All!$F519="San Jose State",+All!L519,IF(+All!$H519="San Jose State",+All!L519,0))</f>
        <v>22</v>
      </c>
      <c r="M125" s="55">
        <f>IF(+All!$F519="San Jose State",+All!M519,IF(+All!$H519="San Jose State",+All!M519,0))</f>
        <v>42</v>
      </c>
      <c r="N125" s="460">
        <f>IF(+All!$F519="San Jose State",+All!N519,IF(+All!$H519="San Jose State",+All!N519,0))</f>
        <v>0</v>
      </c>
      <c r="O125" s="462">
        <f>IF(+All!$F519="San Jose State",+All!O519,IF(+All!$H519="San Jose State",+All!O519,0))</f>
        <v>0</v>
      </c>
      <c r="P125" s="462" t="str">
        <f>IF(+All!$F519="San Jose State",+All!P519,IF(+All!$H519="San Jose State",+All!P519,0))</f>
        <v>New Mexico State</v>
      </c>
      <c r="Q125" s="461" t="str">
        <f>IF(+All!$F519="San Jose State",+All!Q519,IF(+All!$H519="San Jose State",+All!Q519,0))</f>
        <v>PPD</v>
      </c>
      <c r="R125" s="460">
        <f>IF(+All!$F519="San Jose State",+All!R519,IF(+All!$H519="San Jose State",+All!R519,0))</f>
        <v>0</v>
      </c>
      <c r="S125" s="462">
        <f>IF(+All!$F519="San Jose State",+All!S519,IF(+All!$H519="San Jose State",+All!S519,0))</f>
        <v>0</v>
      </c>
      <c r="T125" s="460" t="str">
        <f>IF(+All!$F519="San Jose State",+All!T519,IF(+All!$H519="San Jose State",+All!T519,0))</f>
        <v>New Mexico State</v>
      </c>
      <c r="U125" s="461" t="str">
        <f>IF(+All!$F519="San Jose State",+All!U519,IF(+All!$H519="San Jose State",+All!U519,0))</f>
        <v>PPD</v>
      </c>
    </row>
    <row r="126" spans="1:21" x14ac:dyDescent="0.8">
      <c r="A126" s="46">
        <f>IF(+All!$F579="San Jose State",+All!A579,IF(+All!$H579="San Jose State",+All!A579,0))</f>
        <v>9</v>
      </c>
      <c r="B126" s="348" t="str">
        <f>IF(+All!$F579="San Jose State",+All!B579,IF(+All!$H579="San Jose State",+All!B579,0))</f>
        <v>Sat</v>
      </c>
      <c r="C126" s="48">
        <f>IF(+All!$F579="San Jose State",+All!C579,IF(+All!$H579="San Jose State",+All!C579,0))</f>
        <v>44863</v>
      </c>
      <c r="D126" s="490">
        <f>IF(+All!$F579="San Jose State",+All!D579,IF(+All!$H579="San Jose State",+All!D579,0))</f>
        <v>0.9375</v>
      </c>
      <c r="E126" s="461" t="str">
        <f>IF(+All!$F579="San Jose State",+All!E579,IF(+All!$H579="San Jose State",+All!E579,0))</f>
        <v>CBSSN</v>
      </c>
      <c r="F126" s="51" t="str">
        <f>IF(+All!$F579="San Jose State",+All!F579,IF(+All!$H579="San Jose State",+All!F579,0))</f>
        <v>Nevada</v>
      </c>
      <c r="G126" s="52" t="str">
        <f>IF(+All!$F579="San Jose State",+All!G579,IF(+All!$H579="San Jose State",+All!G579,0))</f>
        <v>MWC</v>
      </c>
      <c r="H126" s="51" t="str">
        <f>IF(+All!$F579="San Jose State",+All!H579,IF(+All!$H579="San Jose State",+All!H579,0))</f>
        <v>San Jose State</v>
      </c>
      <c r="I126" s="52" t="str">
        <f>IF(+All!$F579="San Jose State",+All!I579,IF(+All!$H579="San Jose State",+All!I579,0))</f>
        <v>MWC</v>
      </c>
      <c r="J126" s="460" t="str">
        <f>IF(+All!$F579="San Jose State",+All!J579,IF(+All!$H579="San Jose State",+All!J579,0))</f>
        <v>San Jose State</v>
      </c>
      <c r="K126" s="461" t="str">
        <f>IF(+All!$F579="San Jose State",+All!K579,IF(+All!$H579="San Jose State",+All!K579,0))</f>
        <v>Nevada</v>
      </c>
      <c r="L126" s="54">
        <f>IF(+All!$F579="San Jose State",+All!L579,IF(+All!$H579="San Jose State",+All!L579,0))</f>
        <v>24.5</v>
      </c>
      <c r="M126" s="55">
        <f>IF(+All!$F579="San Jose State",+All!M579,IF(+All!$H579="San Jose State",+All!M579,0))</f>
        <v>44</v>
      </c>
      <c r="N126" s="460" t="str">
        <f>IF(+All!$F579="San Jose State",+All!N579,IF(+All!$H579="San Jose State",+All!N579,0))</f>
        <v>San Jose State</v>
      </c>
      <c r="O126" s="462">
        <f>IF(+All!$F579="San Jose State",+All!O579,IF(+All!$H579="San Jose State",+All!O579,0))</f>
        <v>35</v>
      </c>
      <c r="P126" s="462" t="str">
        <f>IF(+All!$F579="San Jose State",+All!P579,IF(+All!$H579="San Jose State",+All!P579,0))</f>
        <v>Nevada</v>
      </c>
      <c r="Q126" s="461">
        <f>IF(+All!$F579="San Jose State",+All!Q579,IF(+All!$H579="San Jose State",+All!Q579,0))</f>
        <v>28</v>
      </c>
      <c r="R126" s="460" t="str">
        <f>IF(+All!$F579="San Jose State",+All!R579,IF(+All!$H579="San Jose State",+All!R579,0))</f>
        <v>Nevada</v>
      </c>
      <c r="S126" s="462" t="str">
        <f>IF(+All!$F579="San Jose State",+All!S579,IF(+All!$H579="San Jose State",+All!S579,0))</f>
        <v>San Jose State</v>
      </c>
      <c r="T126" s="460" t="str">
        <f>IF(+All!$F579="San Jose State",+All!T579,IF(+All!$H579="San Jose State",+All!T579,0))</f>
        <v>Nevada</v>
      </c>
      <c r="U126" s="461" t="str">
        <f>IF(+All!$F579="San Jose State",+All!U579,IF(+All!$H579="San Jose State",+All!U579,0))</f>
        <v>W</v>
      </c>
    </row>
    <row r="127" spans="1:21" x14ac:dyDescent="0.8">
      <c r="A127" s="46">
        <f>IF(+All!$F634="San Jose State",+All!A634,IF(+All!$H634="San Jose State",+All!A634,0))</f>
        <v>10</v>
      </c>
      <c r="B127" s="348" t="str">
        <f>IF(+All!$F634="San Jose State",+All!B634,IF(+All!$H634="San Jose State",+All!B634,0))</f>
        <v>Sat</v>
      </c>
      <c r="C127" s="48">
        <f>IF(+All!$F634="San Jose State",+All!C634,IF(+All!$H634="San Jose State",+All!C634,0))</f>
        <v>44870</v>
      </c>
      <c r="D127" s="490">
        <f>IF(+All!$F634="San Jose State",+All!D634,IF(+All!$H634="San Jose State",+All!D634,0))</f>
        <v>0.9375</v>
      </c>
      <c r="E127" s="461">
        <f>IF(+All!$F634="San Jose State",+All!E634,IF(+All!$H634="San Jose State",+All!E634,0))</f>
        <v>0</v>
      </c>
      <c r="F127" s="51" t="str">
        <f>IF(+All!$F634="San Jose State",+All!F634,IF(+All!$H634="San Jose State",+All!F634,0))</f>
        <v>Colorado State</v>
      </c>
      <c r="G127" s="52" t="str">
        <f>IF(+All!$F634="San Jose State",+All!G634,IF(+All!$H634="San Jose State",+All!G634,0))</f>
        <v>MWC</v>
      </c>
      <c r="H127" s="51" t="str">
        <f>IF(+All!$F634="San Jose State",+All!H634,IF(+All!$H634="San Jose State",+All!H634,0))</f>
        <v>San Jose State</v>
      </c>
      <c r="I127" s="52" t="str">
        <f>IF(+All!$F634="San Jose State",+All!I634,IF(+All!$H634="San Jose State",+All!I634,0))</f>
        <v>MWC</v>
      </c>
      <c r="J127" s="460" t="str">
        <f>IF(+All!$F634="San Jose State",+All!J634,IF(+All!$H634="San Jose State",+All!J634,0))</f>
        <v>San Jose State</v>
      </c>
      <c r="K127" s="461" t="str">
        <f>IF(+All!$F634="San Jose State",+All!K634,IF(+All!$H634="San Jose State",+All!K634,0))</f>
        <v>Colorado State</v>
      </c>
      <c r="L127" s="54">
        <f>IF(+All!$F634="San Jose State",+All!L634,IF(+All!$H634="San Jose State",+All!L634,0))</f>
        <v>24</v>
      </c>
      <c r="M127" s="55">
        <f>IF(+All!$F634="San Jose State",+All!M634,IF(+All!$H634="San Jose State",+All!M634,0))</f>
        <v>45</v>
      </c>
      <c r="N127" s="460" t="str">
        <f>IF(+All!$F634="San Jose State",+All!N634,IF(+All!$H634="San Jose State",+All!N634,0))</f>
        <v>San Jose State</v>
      </c>
      <c r="O127" s="462">
        <f>IF(+All!$F634="San Jose State",+All!O634,IF(+All!$H634="San Jose State",+All!O634,0))</f>
        <v>28</v>
      </c>
      <c r="P127" s="462" t="str">
        <f>IF(+All!$F634="San Jose State",+All!P634,IF(+All!$H634="San Jose State",+All!P634,0))</f>
        <v>Colorado State</v>
      </c>
      <c r="Q127" s="461">
        <f>IF(+All!$F634="San Jose State",+All!Q634,IF(+All!$H634="San Jose State",+All!Q634,0))</f>
        <v>16</v>
      </c>
      <c r="R127" s="460" t="str">
        <f>IF(+All!$F634="San Jose State",+All!R634,IF(+All!$H634="San Jose State",+All!R634,0))</f>
        <v>Colorado State</v>
      </c>
      <c r="S127" s="462" t="str">
        <f>IF(+All!$F634="San Jose State",+All!S634,IF(+All!$H634="San Jose State",+All!S634,0))</f>
        <v>San Jose State</v>
      </c>
      <c r="T127" s="460" t="str">
        <f>IF(+All!$F634="San Jose State",+All!T634,IF(+All!$H634="San Jose State",+All!T634,0))</f>
        <v>San Jose State</v>
      </c>
      <c r="U127" s="461" t="str">
        <f>IF(+All!$F634="San Jose State",+All!U634,IF(+All!$H634="San Jose State",+All!U634,0))</f>
        <v>L</v>
      </c>
    </row>
    <row r="128" spans="1:21" x14ac:dyDescent="0.8">
      <c r="A128" s="46">
        <f>IF(+All!$F698="San Jose State",+All!A698,IF(+All!$H698="San Jose State",+All!A698,0))</f>
        <v>11</v>
      </c>
      <c r="B128" s="348" t="str">
        <f>IF(+All!$F698="San Jose State",+All!B698,IF(+All!$H698="San Jose State",+All!B698,0))</f>
        <v>Sat</v>
      </c>
      <c r="C128" s="48">
        <f>IF(+All!$F698="San Jose State",+All!C698,IF(+All!$H698="San Jose State",+All!C698,0))</f>
        <v>44877</v>
      </c>
      <c r="D128" s="490">
        <f>IF(+All!$F698="San Jose State",+All!D698,IF(+All!$H698="San Jose State",+All!D698,0))</f>
        <v>0.9375</v>
      </c>
      <c r="E128" s="461" t="str">
        <f>IF(+All!$F698="San Jose State",+All!E698,IF(+All!$H698="San Jose State",+All!E698,0))</f>
        <v>FS1</v>
      </c>
      <c r="F128" s="51" t="str">
        <f>IF(+All!$F698="San Jose State",+All!F698,IF(+All!$H698="San Jose State",+All!F698,0))</f>
        <v>San Jose State</v>
      </c>
      <c r="G128" s="52" t="str">
        <f>IF(+All!$F698="San Jose State",+All!G698,IF(+All!$H698="San Jose State",+All!G698,0))</f>
        <v>MWC</v>
      </c>
      <c r="H128" s="51" t="str">
        <f>IF(+All!$F698="San Jose State",+All!H698,IF(+All!$H698="San Jose State",+All!H698,0))</f>
        <v>San Diego State</v>
      </c>
      <c r="I128" s="52" t="str">
        <f>IF(+All!$F698="San Jose State",+All!I698,IF(+All!$H698="San Jose State",+All!I698,0))</f>
        <v>MWC</v>
      </c>
      <c r="J128" s="460" t="str">
        <f>IF(+All!$F698="San Jose State",+All!J698,IF(+All!$H698="San Jose State",+All!J698,0))</f>
        <v>San Jose State</v>
      </c>
      <c r="K128" s="461" t="str">
        <f>IF(+All!$F698="San Jose State",+All!K698,IF(+All!$H698="San Jose State",+All!K698,0))</f>
        <v>San Diego State</v>
      </c>
      <c r="L128" s="54">
        <f>IF(+All!$F698="San Jose State",+All!L698,IF(+All!$H698="San Jose State",+All!L698,0))</f>
        <v>2.5</v>
      </c>
      <c r="M128" s="55">
        <f>IF(+All!$F698="San Jose State",+All!M698,IF(+All!$H698="San Jose State",+All!M698,0))</f>
        <v>41.5</v>
      </c>
      <c r="N128" s="460" t="str">
        <f>IF(+All!$F698="San Jose State",+All!N698,IF(+All!$H698="San Jose State",+All!N698,0))</f>
        <v>San Diego State</v>
      </c>
      <c r="O128" s="462">
        <f>IF(+All!$F698="San Jose State",+All!O698,IF(+All!$H698="San Jose State",+All!O698,0))</f>
        <v>43</v>
      </c>
      <c r="P128" s="462" t="str">
        <f>IF(+All!$F698="San Jose State",+All!P698,IF(+All!$H698="San Jose State",+All!P698,0))</f>
        <v>San Jose State</v>
      </c>
      <c r="Q128" s="461">
        <f>IF(+All!$F698="San Jose State",+All!Q698,IF(+All!$H698="San Jose State",+All!Q698,0))</f>
        <v>27</v>
      </c>
      <c r="R128" s="460" t="str">
        <f>IF(+All!$F698="San Jose State",+All!R698,IF(+All!$H698="San Jose State",+All!R698,0))</f>
        <v>San Diego State</v>
      </c>
      <c r="S128" s="462" t="str">
        <f>IF(+All!$F698="San Jose State",+All!S698,IF(+All!$H698="San Jose State",+All!S698,0))</f>
        <v>San Jose State</v>
      </c>
      <c r="T128" s="460" t="str">
        <f>IF(+All!$F698="San Jose State",+All!T698,IF(+All!$H698="San Jose State",+All!T698,0))</f>
        <v>San Jose State</v>
      </c>
      <c r="U128" s="461" t="str">
        <f>IF(+All!$F698="San Jose State",+All!U698,IF(+All!$H698="San Jose State",+All!U698,0))</f>
        <v>L</v>
      </c>
    </row>
    <row r="129" spans="1:21" x14ac:dyDescent="0.8">
      <c r="A129" s="46">
        <f>IF(+All!$F830="San Jose State",+All!A830,IF(+All!$H830="San Jose State",+All!A830,0))</f>
        <v>13</v>
      </c>
      <c r="B129" s="348" t="str">
        <f>IF(+All!$F830="San Jose State",+All!B830,IF(+All!$H830="San Jose State",+All!B830,0))</f>
        <v>Sat</v>
      </c>
      <c r="C129" s="48">
        <f>IF(+All!$F830="San Jose State",+All!C830,IF(+All!$H830="San Jose State",+All!C830,0))</f>
        <v>44891</v>
      </c>
      <c r="D129" s="490">
        <f>IF(+All!$F830="San Jose State",+All!D830,IF(+All!$H830="San Jose State",+All!D830,0))</f>
        <v>0.64583333333333337</v>
      </c>
      <c r="E129" s="461">
        <f>IF(+All!$F830="San Jose State",+All!E830,IF(+All!$H830="San Jose State",+All!E830,0))</f>
        <v>0</v>
      </c>
      <c r="F129" s="51" t="str">
        <f>IF(+All!$F830="San Jose State",+All!F830,IF(+All!$H830="San Jose State",+All!F830,0))</f>
        <v>Hawaii</v>
      </c>
      <c r="G129" s="52" t="str">
        <f>IF(+All!$F830="San Jose State",+All!G830,IF(+All!$H830="San Jose State",+All!G830,0))</f>
        <v>MWC</v>
      </c>
      <c r="H129" s="51" t="str">
        <f>IF(+All!$F830="San Jose State",+All!H830,IF(+All!$H830="San Jose State",+All!H830,0))</f>
        <v>San Jose State</v>
      </c>
      <c r="I129" s="52" t="str">
        <f>IF(+All!$F830="San Jose State",+All!I830,IF(+All!$H830="San Jose State",+All!I830,0))</f>
        <v>MWC</v>
      </c>
      <c r="J129" s="460" t="str">
        <f>IF(+All!$F830="San Jose State",+All!J830,IF(+All!$H830="San Jose State",+All!J830,0))</f>
        <v>San Jose State</v>
      </c>
      <c r="K129" s="461" t="str">
        <f>IF(+All!$F830="San Jose State",+All!K830,IF(+All!$H830="San Jose State",+All!K830,0))</f>
        <v>Hawaii</v>
      </c>
      <c r="L129" s="54">
        <f>IF(+All!$F830="San Jose State",+All!L830,IF(+All!$H830="San Jose State",+All!L830,0))</f>
        <v>15</v>
      </c>
      <c r="M129" s="55">
        <f>IF(+All!$F830="San Jose State",+All!M830,IF(+All!$H830="San Jose State",+All!M830,0))</f>
        <v>57.5</v>
      </c>
      <c r="N129" s="460" t="str">
        <f>IF(+All!$F830="San Jose State",+All!N830,IF(+All!$H830="San Jose State",+All!N830,0))</f>
        <v>San Jose State</v>
      </c>
      <c r="O129" s="462">
        <f>IF(+All!$F830="San Jose State",+All!O830,IF(+All!$H830="San Jose State",+All!O830,0))</f>
        <v>27</v>
      </c>
      <c r="P129" s="462" t="str">
        <f>IF(+All!$F830="San Jose State",+All!P830,IF(+All!$H830="San Jose State",+All!P830,0))</f>
        <v>Hawaii</v>
      </c>
      <c r="Q129" s="461">
        <f>IF(+All!$F830="San Jose State",+All!Q830,IF(+All!$H830="San Jose State",+All!Q830,0))</f>
        <v>14</v>
      </c>
      <c r="R129" s="460" t="str">
        <f>IF(+All!$F830="San Jose State",+All!R830,IF(+All!$H830="San Jose State",+All!R830,0))</f>
        <v>Hawaii</v>
      </c>
      <c r="S129" s="462" t="str">
        <f>IF(+All!$F830="San Jose State",+All!S830,IF(+All!$H830="San Jose State",+All!S830,0))</f>
        <v>San Jose State</v>
      </c>
      <c r="T129" s="460" t="str">
        <f>IF(+All!$F830="San Jose State",+All!T830,IF(+All!$H830="San Jose State",+All!T830,0))</f>
        <v>Hawaii</v>
      </c>
      <c r="U129" s="461" t="str">
        <f>IF(+All!$F830="San Jose State",+All!U830,IF(+All!$H830="San Jose State",+All!U830,0))</f>
        <v>W</v>
      </c>
    </row>
    <row r="130" spans="1:21" x14ac:dyDescent="0.8">
      <c r="A130" s="38"/>
      <c r="B130" s="39"/>
      <c r="C130" s="40"/>
      <c r="D130" s="41"/>
      <c r="E130" s="463"/>
      <c r="F130" s="897" t="e">
        <f>F132</f>
        <v>#REF!</v>
      </c>
      <c r="G130" s="903"/>
      <c r="H130" s="903"/>
      <c r="I130" s="904"/>
      <c r="J130" s="459"/>
      <c r="K130" s="463"/>
      <c r="L130" s="44"/>
      <c r="M130" s="45"/>
      <c r="N130" s="459"/>
      <c r="O130" s="5"/>
      <c r="P130" s="5"/>
      <c r="Q130" s="463"/>
      <c r="R130" s="459"/>
      <c r="S130" s="5"/>
      <c r="T130" s="459"/>
      <c r="U130" s="463"/>
    </row>
    <row r="131" spans="1:21" x14ac:dyDescent="0.8">
      <c r="A131" s="46">
        <f>IF(+All!$F13="UNLV",+All!A13,IF(+All!$H13="UNLV",+All!A13,0))</f>
        <v>0</v>
      </c>
      <c r="B131" s="348" t="str">
        <f>IF(+All!$F13="UNLV",+All!B13,IF(+All!$H13="UNLV",+All!B13,0))</f>
        <v>Sat</v>
      </c>
      <c r="C131" s="48">
        <f>IF(+All!$F13="UNLV",+All!C13,IF(+All!$H13="UNLV",+All!C13,0))</f>
        <v>44800</v>
      </c>
      <c r="D131" s="490">
        <f>IF(+All!$F13="UNLV",+All!D13,IF(+All!$H13="UNLV",+All!D13,0))</f>
        <v>0.64583333333333337</v>
      </c>
      <c r="E131" s="461" t="str">
        <f>IF(+All!$F13="UNLV",+All!E13,IF(+All!$H13="UNLV",+All!E13,0))</f>
        <v>CBSSN</v>
      </c>
      <c r="F131" s="51" t="str">
        <f>IF(+All!$F13="UNLV",+All!F13,IF(+All!$H13="UNLV",+All!F13,0))</f>
        <v>1AA Idaho State</v>
      </c>
      <c r="G131" s="52" t="str">
        <f>IF(+All!$F13="UNLV",+All!G13,IF(+All!$H13="UNLV",+All!G13,0))</f>
        <v>1AA</v>
      </c>
      <c r="H131" s="51" t="str">
        <f>IF(+All!$F13="UNLV",+All!H13,IF(+All!$H13="UNLV",+All!H13,0))</f>
        <v>UNLV</v>
      </c>
      <c r="I131" s="52" t="str">
        <f>IF(+All!$F13="UNLV",+All!I13,IF(+All!$H13="UNLV",+All!I13,0))</f>
        <v>MWC</v>
      </c>
      <c r="J131" s="460">
        <f>IF(+All!$F13="UNLV",+All!J13,IF(+All!$H13="UNLV",+All!J13,0))</f>
        <v>0</v>
      </c>
      <c r="K131" s="461">
        <f>IF(+All!$F13="UNLV",+All!K13,IF(+All!$H13="UNLV",+All!K13,0))</f>
        <v>0</v>
      </c>
      <c r="L131" s="54">
        <f>IF(+All!$F13="UNLV",+All!L13,IF(+All!$H13="UNLV",+All!L13,0))</f>
        <v>0</v>
      </c>
      <c r="M131" s="55">
        <f>IF(+All!$F13="UNLV",+All!M13,IF(+All!$H13="UNLV",+All!M13,0))</f>
        <v>0</v>
      </c>
      <c r="N131" s="460" t="str">
        <f>IF(+All!$F13="UNLV",+All!N13,IF(+All!$H13="UNLV",+All!N13,0))</f>
        <v>UNLV</v>
      </c>
      <c r="O131" s="462">
        <f>IF(+All!$F13="UNLV",+All!O13,IF(+All!$H13="UNLV",+All!O13,0))</f>
        <v>52</v>
      </c>
      <c r="P131" s="462" t="str">
        <f>IF(+All!$F13="UNLV",+All!P13,IF(+All!$H13="UNLV",+All!P13,0))</f>
        <v>1AA Idaho State</v>
      </c>
      <c r="Q131" s="461">
        <f>IF(+All!$F13="UNLV",+All!Q13,IF(+All!$H13="UNLV",+All!Q13,0))</f>
        <v>21</v>
      </c>
      <c r="R131" s="460">
        <f>IF(+All!$F13="UNLV",+All!R13,IF(+All!$H13="UNLV",+All!R13,0))</f>
        <v>0</v>
      </c>
      <c r="S131" s="462">
        <f>IF(+All!$F13="UNLV",+All!S13,IF(+All!$H13="UNLV",+All!S13,0))</f>
        <v>0</v>
      </c>
      <c r="T131" s="460">
        <f>IF(+All!$F13="UNLV",+All!T13,IF(+All!$H13="UNLV",+All!T13,0))</f>
        <v>0</v>
      </c>
      <c r="U131" s="461">
        <f>IF(+All!$F13="UNLV",+All!U13,IF(+All!$H13="UNLV",+All!U13,0))</f>
        <v>0</v>
      </c>
    </row>
    <row r="132" spans="1:21" x14ac:dyDescent="0.8">
      <c r="A132" s="46" t="e">
        <f>IF(+All!#REF!="UNLV",+All!#REF!,IF(+All!#REF!="UNLV",+All!#REF!,0))</f>
        <v>#REF!</v>
      </c>
      <c r="B132" s="348" t="e">
        <f>IF(+All!#REF!="UNLV",+All!#REF!,IF(+All!#REF!="UNLV",+All!#REF!,0))</f>
        <v>#REF!</v>
      </c>
      <c r="C132" s="48" t="e">
        <f>IF(+All!#REF!="UNLV",+All!#REF!,IF(+All!#REF!="UNLV",+All!#REF!,0))</f>
        <v>#REF!</v>
      </c>
      <c r="D132" s="490" t="e">
        <f>IF(+All!#REF!="UNLV",+All!#REF!,IF(+All!#REF!="UNLV",+All!#REF!,0))</f>
        <v>#REF!</v>
      </c>
      <c r="E132" s="461" t="e">
        <f>IF(+All!#REF!="UNLV",+All!#REF!,IF(+All!#REF!="UNLV",+All!#REF!,0))</f>
        <v>#REF!</v>
      </c>
      <c r="F132" s="51" t="e">
        <f>IF(+All!#REF!="UNLV",+All!#REF!,IF(+All!#REF!="UNLV",+All!#REF!,0))</f>
        <v>#REF!</v>
      </c>
      <c r="G132" s="52" t="e">
        <f>IF(+All!#REF!="UNLV",+All!#REF!,IF(+All!#REF!="UNLV",+All!#REF!,0))</f>
        <v>#REF!</v>
      </c>
      <c r="H132" s="51" t="e">
        <f>IF(+All!#REF!="UNLV",+All!#REF!,IF(+All!#REF!="UNLV",+All!#REF!,0))</f>
        <v>#REF!</v>
      </c>
      <c r="I132" s="52" t="e">
        <f>IF(+All!#REF!="UNLV",+All!#REF!,IF(+All!#REF!="UNLV",+All!#REF!,0))</f>
        <v>#REF!</v>
      </c>
      <c r="J132" s="460" t="e">
        <f>IF(+All!#REF!="UNLV",+All!#REF!,IF(+All!#REF!="UNLV",+All!#REF!,0))</f>
        <v>#REF!</v>
      </c>
      <c r="K132" s="461" t="e">
        <f>IF(+All!#REF!="UNLV",+All!#REF!,IF(+All!#REF!="UNLV",+All!#REF!,0))</f>
        <v>#REF!</v>
      </c>
      <c r="L132" s="54" t="e">
        <f>IF(+All!#REF!="UNLV",+All!#REF!,IF(+All!#REF!="UNLV",+All!#REF!,0))</f>
        <v>#REF!</v>
      </c>
      <c r="M132" s="55" t="e">
        <f>IF(+All!#REF!="UNLV",+All!#REF!,IF(+All!#REF!="UNLV",+All!#REF!,0))</f>
        <v>#REF!</v>
      </c>
      <c r="N132" s="460" t="e">
        <f>IF(+All!#REF!="UNLV",+All!#REF!,IF(+All!#REF!="UNLV",+All!#REF!,0))</f>
        <v>#REF!</v>
      </c>
      <c r="O132" s="462" t="e">
        <f>IF(+All!#REF!="UNLV",+All!#REF!,IF(+All!#REF!="UNLV",+All!#REF!,0))</f>
        <v>#REF!</v>
      </c>
      <c r="P132" s="462" t="e">
        <f>IF(+All!#REF!="UNLV",+All!#REF!,IF(+All!#REF!="UNLV",+All!#REF!,0))</f>
        <v>#REF!</v>
      </c>
      <c r="Q132" s="461" t="e">
        <f>IF(+All!#REF!="UNLV",+All!#REF!,IF(+All!#REF!="UNLV",+All!#REF!,0))</f>
        <v>#REF!</v>
      </c>
      <c r="R132" s="460" t="e">
        <f>IF(+All!#REF!="UNLV",+All!#REF!,IF(+All!#REF!="UNLV",+All!#REF!,0))</f>
        <v>#REF!</v>
      </c>
      <c r="S132" s="462" t="e">
        <f>IF(+All!#REF!="UNLV",+All!#REF!,IF(+All!#REF!="UNLV",+All!#REF!,0))</f>
        <v>#REF!</v>
      </c>
      <c r="T132" s="460" t="e">
        <f>IF(+All!#REF!="UNLV",+All!#REF!,IF(+All!#REF!="UNLV",+All!#REF!,0))</f>
        <v>#REF!</v>
      </c>
      <c r="U132" s="461" t="e">
        <f>IF(+All!#REF!="UNLV",+All!#REF!,IF(+All!#REF!="UNLV",+All!#REF!,0))</f>
        <v>#REF!</v>
      </c>
    </row>
    <row r="133" spans="1:21" x14ac:dyDescent="0.8">
      <c r="A133" s="46">
        <f>IF(+All!$F159="UNLV",+All!A159,IF(+All!$H159="UNLV",+All!A159,0))</f>
        <v>2</v>
      </c>
      <c r="B133" s="348" t="str">
        <f>IF(+All!$F159="UNLV",+All!B159,IF(+All!$H159="UNLV",+All!B159,0))</f>
        <v>Sat</v>
      </c>
      <c r="C133" s="48">
        <f>IF(+All!$F159="UNLV",+All!C159,IF(+All!$H159="UNLV",+All!C159,0))</f>
        <v>44814</v>
      </c>
      <c r="D133" s="490">
        <f>IF(+All!$F159="UNLV",+All!D159,IF(+All!$H159="UNLV",+All!D159,0))</f>
        <v>0.66666666666666663</v>
      </c>
      <c r="E133" s="461">
        <f>IF(+All!$F159="UNLV",+All!E159,IF(+All!$H159="UNLV",+All!E159,0))</f>
        <v>0</v>
      </c>
      <c r="F133" s="51" t="str">
        <f>IF(+All!$F159="UNLV",+All!F159,IF(+All!$H159="UNLV",+All!F159,0))</f>
        <v>UNLV</v>
      </c>
      <c r="G133" s="52" t="str">
        <f>IF(+All!$F159="UNLV",+All!G159,IF(+All!$H159="UNLV",+All!G159,0))</f>
        <v>MWC</v>
      </c>
      <c r="H133" s="51" t="str">
        <f>IF(+All!$F159="UNLV",+All!H159,IF(+All!$H159="UNLV",+All!H159,0))</f>
        <v>California</v>
      </c>
      <c r="I133" s="52" t="str">
        <f>IF(+All!$F159="UNLV",+All!I159,IF(+All!$H159="UNLV",+All!I159,0))</f>
        <v>P12</v>
      </c>
      <c r="J133" s="460" t="str">
        <f>IF(+All!$F159="UNLV",+All!J159,IF(+All!$H159="UNLV",+All!J159,0))</f>
        <v>California</v>
      </c>
      <c r="K133" s="461" t="str">
        <f>IF(+All!$F159="UNLV",+All!K159,IF(+All!$H159="UNLV",+All!K159,0))</f>
        <v>UNLV</v>
      </c>
      <c r="L133" s="54">
        <f>IF(+All!$F159="UNLV",+All!L159,IF(+All!$H159="UNLV",+All!L159,0))</f>
        <v>13</v>
      </c>
      <c r="M133" s="55">
        <f>IF(+All!$F159="UNLV",+All!M159,IF(+All!$H159="UNLV",+All!M159,0))</f>
        <v>49</v>
      </c>
      <c r="N133" s="460" t="str">
        <f>IF(+All!$F159="UNLV",+All!N159,IF(+All!$H159="UNLV",+All!N159,0))</f>
        <v>California</v>
      </c>
      <c r="O133" s="462">
        <f>IF(+All!$F159="UNLV",+All!O159,IF(+All!$H159="UNLV",+All!O159,0))</f>
        <v>20</v>
      </c>
      <c r="P133" s="462" t="str">
        <f>IF(+All!$F159="UNLV",+All!P159,IF(+All!$H159="UNLV",+All!P159,0))</f>
        <v>UNLV</v>
      </c>
      <c r="Q133" s="461">
        <f>IF(+All!$F159="UNLV",+All!Q159,IF(+All!$H159="UNLV",+All!Q159,0))</f>
        <v>14</v>
      </c>
      <c r="R133" s="460" t="str">
        <f>IF(+All!$F159="UNLV",+All!R159,IF(+All!$H159="UNLV",+All!R159,0))</f>
        <v>UNLV</v>
      </c>
      <c r="S133" s="462" t="str">
        <f>IF(+All!$F159="UNLV",+All!S159,IF(+All!$H159="UNLV",+All!S159,0))</f>
        <v>California</v>
      </c>
      <c r="T133" s="460" t="str">
        <f>IF(+All!$F159="UNLV",+All!T159,IF(+All!$H159="UNLV",+All!T159,0))</f>
        <v>California</v>
      </c>
      <c r="U133" s="461" t="str">
        <f>IF(+All!$F159="UNLV",+All!U159,IF(+All!$H159="UNLV",+All!U159,0))</f>
        <v>L</v>
      </c>
    </row>
    <row r="134" spans="1:21" x14ac:dyDescent="0.8">
      <c r="A134" s="46">
        <f>IF(+All!$F228="UNLV",+All!A228,IF(+All!$H228="UNLV",+All!A228,0))</f>
        <v>3</v>
      </c>
      <c r="B134" s="348" t="str">
        <f>IF(+All!$F228="UNLV",+All!B228,IF(+All!$H228="UNLV",+All!B228,0))</f>
        <v>Sat</v>
      </c>
      <c r="C134" s="48">
        <f>IF(+All!$F228="UNLV",+All!C228,IF(+All!$H228="UNLV",+All!C228,0))</f>
        <v>44821</v>
      </c>
      <c r="D134" s="490">
        <f>IF(+All!$F228="UNLV",+All!D228,IF(+All!$H228="UNLV",+All!D228,0))</f>
        <v>0.625</v>
      </c>
      <c r="E134" s="461">
        <f>IF(+All!$F228="UNLV",+All!E228,IF(+All!$H228="UNLV",+All!E228,0))</f>
        <v>0</v>
      </c>
      <c r="F134" s="51" t="str">
        <f>IF(+All!$F228="UNLV",+All!F228,IF(+All!$H228="UNLV",+All!F228,0))</f>
        <v>North Texas</v>
      </c>
      <c r="G134" s="52" t="str">
        <f>IF(+All!$F228="UNLV",+All!G228,IF(+All!$H228="UNLV",+All!G228,0))</f>
        <v>CUSA</v>
      </c>
      <c r="H134" s="51" t="str">
        <f>IF(+All!$F228="UNLV",+All!H228,IF(+All!$H228="UNLV",+All!H228,0))</f>
        <v>UNLV</v>
      </c>
      <c r="I134" s="52" t="str">
        <f>IF(+All!$F228="UNLV",+All!I228,IF(+All!$H228="UNLV",+All!I228,0))</f>
        <v>MWC</v>
      </c>
      <c r="J134" s="460" t="str">
        <f>IF(+All!$F228="UNLV",+All!J228,IF(+All!$H228="UNLV",+All!J228,0))</f>
        <v>UNLV</v>
      </c>
      <c r="K134" s="461" t="str">
        <f>IF(+All!$F228="UNLV",+All!K228,IF(+All!$H228="UNLV",+All!K228,0))</f>
        <v>North Texas</v>
      </c>
      <c r="L134" s="54">
        <f>IF(+All!$F228="UNLV",+All!L228,IF(+All!$H228="UNLV",+All!L228,0))</f>
        <v>3</v>
      </c>
      <c r="M134" s="55">
        <f>IF(+All!$F228="UNLV",+All!M228,IF(+All!$H228="UNLV",+All!M228,0))</f>
        <v>62</v>
      </c>
      <c r="N134" s="460" t="str">
        <f>IF(+All!$F228="UNLV",+All!N228,IF(+All!$H228="UNLV",+All!N228,0))</f>
        <v>UNLV</v>
      </c>
      <c r="O134" s="462">
        <f>IF(+All!$F228="UNLV",+All!O228,IF(+All!$H228="UNLV",+All!O228,0))</f>
        <v>58</v>
      </c>
      <c r="P134" s="462" t="str">
        <f>IF(+All!$F228="UNLV",+All!P228,IF(+All!$H228="UNLV",+All!P228,0))</f>
        <v>North Texas</v>
      </c>
      <c r="Q134" s="461">
        <f>IF(+All!$F228="UNLV",+All!Q228,IF(+All!$H228="UNLV",+All!Q228,0))</f>
        <v>27</v>
      </c>
      <c r="R134" s="460" t="str">
        <f>IF(+All!$F228="UNLV",+All!R228,IF(+All!$H228="UNLV",+All!R228,0))</f>
        <v>UNLV</v>
      </c>
      <c r="S134" s="462" t="str">
        <f>IF(+All!$F228="UNLV",+All!S228,IF(+All!$H228="UNLV",+All!S228,0))</f>
        <v>North Texas</v>
      </c>
      <c r="T134" s="460" t="str">
        <f>IF(+All!$F228="UNLV",+All!T228,IF(+All!$H228="UNLV",+All!T228,0))</f>
        <v>UNLV</v>
      </c>
      <c r="U134" s="461" t="str">
        <f>IF(+All!$F228="UNLV",+All!U228,IF(+All!$H228="UNLV",+All!U228,0))</f>
        <v>W</v>
      </c>
    </row>
    <row r="135" spans="1:21" x14ac:dyDescent="0.8">
      <c r="A135" s="46">
        <f>IF(+All!$F294="UNLV",+All!A294,IF(+All!$H294="UNLV",+All!A294,0))</f>
        <v>4</v>
      </c>
      <c r="B135" s="348" t="str">
        <f>IF(+All!$F294="UNLV",+All!B294,IF(+All!$H294="UNLV",+All!B294,0))</f>
        <v>Sat</v>
      </c>
      <c r="C135" s="48">
        <f>IF(+All!$F294="UNLV",+All!C294,IF(+All!$H294="UNLV",+All!C294,0))</f>
        <v>44828</v>
      </c>
      <c r="D135" s="490">
        <f>IF(+All!$F294="UNLV",+All!D294,IF(+All!$H294="UNLV",+All!D294,0))</f>
        <v>0.79166666666666663</v>
      </c>
      <c r="E135" s="461" t="str">
        <f>IF(+All!$F294="UNLV",+All!E294,IF(+All!$H294="UNLV",+All!E294,0))</f>
        <v>CBSSN</v>
      </c>
      <c r="F135" s="51" t="str">
        <f>IF(+All!$F294="UNLV",+All!F294,IF(+All!$H294="UNLV",+All!F294,0))</f>
        <v>UNLV</v>
      </c>
      <c r="G135" s="52" t="str">
        <f>IF(+All!$F294="UNLV",+All!G294,IF(+All!$H294="UNLV",+All!G294,0))</f>
        <v>MWC</v>
      </c>
      <c r="H135" s="51" t="str">
        <f>IF(+All!$F294="UNLV",+All!H294,IF(+All!$H294="UNLV",+All!H294,0))</f>
        <v>Utah State</v>
      </c>
      <c r="I135" s="52" t="str">
        <f>IF(+All!$F294="UNLV",+All!I294,IF(+All!$H294="UNLV",+All!I294,0))</f>
        <v>MWC</v>
      </c>
      <c r="J135" s="460" t="str">
        <f>IF(+All!$F294="UNLV",+All!J294,IF(+All!$H294="UNLV",+All!J294,0))</f>
        <v>UNLV</v>
      </c>
      <c r="K135" s="461" t="str">
        <f>IF(+All!$F294="UNLV",+All!K294,IF(+All!$H294="UNLV",+All!K294,0))</f>
        <v>Utah State</v>
      </c>
      <c r="L135" s="54">
        <f>IF(+All!$F294="UNLV",+All!L294,IF(+All!$H294="UNLV",+All!L294,0))</f>
        <v>2.5</v>
      </c>
      <c r="M135" s="55">
        <f>IF(+All!$F294="UNLV",+All!M294,IF(+All!$H294="UNLV",+All!M294,0))</f>
        <v>60.5</v>
      </c>
      <c r="N135" s="460" t="str">
        <f>IF(+All!$F294="UNLV",+All!N294,IF(+All!$H294="UNLV",+All!N294,0))</f>
        <v>UNLV</v>
      </c>
      <c r="O135" s="462">
        <f>IF(+All!$F294="UNLV",+All!O294,IF(+All!$H294="UNLV",+All!O294,0))</f>
        <v>34</v>
      </c>
      <c r="P135" s="462" t="str">
        <f>IF(+All!$F294="UNLV",+All!P294,IF(+All!$H294="UNLV",+All!P294,0))</f>
        <v>Utah State</v>
      </c>
      <c r="Q135" s="461">
        <f>IF(+All!$F294="UNLV",+All!Q294,IF(+All!$H294="UNLV",+All!Q294,0))</f>
        <v>24</v>
      </c>
      <c r="R135" s="460" t="str">
        <f>IF(+All!$F294="UNLV",+All!R294,IF(+All!$H294="UNLV",+All!R294,0))</f>
        <v>UNLV</v>
      </c>
      <c r="S135" s="462" t="str">
        <f>IF(+All!$F294="UNLV",+All!S294,IF(+All!$H294="UNLV",+All!S294,0))</f>
        <v>Utah State</v>
      </c>
      <c r="T135" s="460" t="str">
        <f>IF(+All!$F294="UNLV",+All!T294,IF(+All!$H294="UNLV",+All!T294,0))</f>
        <v>UNLV</v>
      </c>
      <c r="U135" s="461" t="str">
        <f>IF(+All!$F294="UNLV",+All!U294,IF(+All!$H294="UNLV",+All!U294,0))</f>
        <v>W</v>
      </c>
    </row>
    <row r="136" spans="1:21" x14ac:dyDescent="0.8">
      <c r="A136" s="46">
        <f>IF(+All!$F322="UNLV",+All!A322,IF(+All!$H322="UNLV",+All!A322,0))</f>
        <v>5</v>
      </c>
      <c r="B136" s="348" t="str">
        <f>IF(+All!$F322="UNLV",+All!B322,IF(+All!$H322="UNLV",+All!B322,0))</f>
        <v>Fri</v>
      </c>
      <c r="C136" s="48">
        <f>IF(+All!$F322="UNLV",+All!C322,IF(+All!$H322="UNLV",+All!C322,0))</f>
        <v>44834</v>
      </c>
      <c r="D136" s="490">
        <f>IF(+All!$F322="UNLV",+All!D322,IF(+All!$H322="UNLV",+All!D322,0))</f>
        <v>0.95833333333333337</v>
      </c>
      <c r="E136" s="461" t="str">
        <f>IF(+All!$F322="UNLV",+All!E322,IF(+All!$H322="UNLV",+All!E322,0))</f>
        <v>CBSSN</v>
      </c>
      <c r="F136" s="51" t="str">
        <f>IF(+All!$F322="UNLV",+All!F322,IF(+All!$H322="UNLV",+All!F322,0))</f>
        <v>New Mexico</v>
      </c>
      <c r="G136" s="52" t="str">
        <f>IF(+All!$F322="UNLV",+All!G322,IF(+All!$H322="UNLV",+All!G322,0))</f>
        <v>MWC</v>
      </c>
      <c r="H136" s="51" t="str">
        <f>IF(+All!$F322="UNLV",+All!H322,IF(+All!$H322="UNLV",+All!H322,0))</f>
        <v>UNLV</v>
      </c>
      <c r="I136" s="52" t="str">
        <f>IF(+All!$F322="UNLV",+All!I322,IF(+All!$H322="UNLV",+All!I322,0))</f>
        <v>MWC</v>
      </c>
      <c r="J136" s="460" t="str">
        <f>IF(+All!$F322="UNLV",+All!J322,IF(+All!$H322="UNLV",+All!J322,0))</f>
        <v>UNLV</v>
      </c>
      <c r="K136" s="461" t="str">
        <f>IF(+All!$F322="UNLV",+All!K322,IF(+All!$H322="UNLV",+All!K322,0))</f>
        <v>New Mexico</v>
      </c>
      <c r="L136" s="54">
        <f>IF(+All!$F322="UNLV",+All!L322,IF(+All!$H322="UNLV",+All!L322,0))</f>
        <v>14.5</v>
      </c>
      <c r="M136" s="55">
        <f>IF(+All!$F322="UNLV",+All!M322,IF(+All!$H322="UNLV",+All!M322,0))</f>
        <v>44.5</v>
      </c>
      <c r="N136" s="460" t="str">
        <f>IF(+All!$F322="UNLV",+All!N322,IF(+All!$H322="UNLV",+All!N322,0))</f>
        <v>UNLV</v>
      </c>
      <c r="O136" s="462">
        <f>IF(+All!$F322="UNLV",+All!O322,IF(+All!$H322="UNLV",+All!O322,0))</f>
        <v>31</v>
      </c>
      <c r="P136" s="462" t="str">
        <f>IF(+All!$F322="UNLV",+All!P322,IF(+All!$H322="UNLV",+All!P322,0))</f>
        <v>New Mexico</v>
      </c>
      <c r="Q136" s="461">
        <f>IF(+All!$F322="UNLV",+All!Q322,IF(+All!$H322="UNLV",+All!Q322,0))</f>
        <v>20</v>
      </c>
      <c r="R136" s="460" t="str">
        <f>IF(+All!$F322="UNLV",+All!R322,IF(+All!$H322="UNLV",+All!R322,0))</f>
        <v>New Mexico</v>
      </c>
      <c r="S136" s="462" t="str">
        <f>IF(+All!$F322="UNLV",+All!S322,IF(+All!$H322="UNLV",+All!S322,0))</f>
        <v>UNLV</v>
      </c>
      <c r="T136" s="460" t="str">
        <f>IF(+All!$F322="UNLV",+All!T322,IF(+All!$H322="UNLV",+All!T322,0))</f>
        <v>UNLV</v>
      </c>
      <c r="U136" s="461" t="str">
        <f>IF(+All!$F322="UNLV",+All!U322,IF(+All!$H322="UNLV",+All!U322,0))</f>
        <v>L</v>
      </c>
    </row>
    <row r="137" spans="1:21" x14ac:dyDescent="0.8">
      <c r="A137" s="46">
        <f>IF(+All!$F385="UNLV",+All!A385,IF(+All!$H385="UNLV",+All!A385,0))</f>
        <v>6</v>
      </c>
      <c r="B137" s="348" t="str">
        <f>IF(+All!$F385="UNLV",+All!B385,IF(+All!$H385="UNLV",+All!B385,0))</f>
        <v>Fri</v>
      </c>
      <c r="C137" s="48">
        <f>IF(+All!$F385="UNLV",+All!C385,IF(+All!$H385="UNLV",+All!C385,0))</f>
        <v>45572</v>
      </c>
      <c r="D137" s="490">
        <f>IF(+All!$F385="UNLV",+All!D385,IF(+All!$H385="UNLV",+All!D385,0))</f>
        <v>0.9375</v>
      </c>
      <c r="E137" s="461" t="str">
        <f>IF(+All!$F385="UNLV",+All!E385,IF(+All!$H385="UNLV",+All!E385,0))</f>
        <v>CBSSN</v>
      </c>
      <c r="F137" s="51" t="str">
        <f>IF(+All!$F385="UNLV",+All!F385,IF(+All!$H385="UNLV",+All!F385,0))</f>
        <v>UNLV</v>
      </c>
      <c r="G137" s="52" t="str">
        <f>IF(+All!$F385="UNLV",+All!G385,IF(+All!$H385="UNLV",+All!G385,0))</f>
        <v>MWC</v>
      </c>
      <c r="H137" s="51" t="str">
        <f>IF(+All!$F385="UNLV",+All!H385,IF(+All!$H385="UNLV",+All!H385,0))</f>
        <v>San Jose State</v>
      </c>
      <c r="I137" s="52" t="str">
        <f>IF(+All!$F385="UNLV",+All!I385,IF(+All!$H385="UNLV",+All!I385,0))</f>
        <v>MWC</v>
      </c>
      <c r="J137" s="460" t="str">
        <f>IF(+All!$F385="UNLV",+All!J385,IF(+All!$H385="UNLV",+All!J385,0))</f>
        <v>San Jose State</v>
      </c>
      <c r="K137" s="461" t="str">
        <f>IF(+All!$F385="UNLV",+All!K385,IF(+All!$H385="UNLV",+All!K385,0))</f>
        <v>UNLV</v>
      </c>
      <c r="L137" s="54">
        <f>IF(+All!$F385="UNLV",+All!L385,IF(+All!$H385="UNLV",+All!L385,0))</f>
        <v>7</v>
      </c>
      <c r="M137" s="55">
        <f>IF(+All!$F385="UNLV",+All!M385,IF(+All!$H385="UNLV",+All!M385,0))</f>
        <v>52.5</v>
      </c>
      <c r="N137" s="460" t="str">
        <f>IF(+All!$F385="UNLV",+All!N385,IF(+All!$H385="UNLV",+All!N385,0))</f>
        <v>San Jose State</v>
      </c>
      <c r="O137" s="462">
        <f>IF(+All!$F385="UNLV",+All!O385,IF(+All!$H385="UNLV",+All!O385,0))</f>
        <v>40</v>
      </c>
      <c r="P137" s="462" t="str">
        <f>IF(+All!$F385="UNLV",+All!P385,IF(+All!$H385="UNLV",+All!P385,0))</f>
        <v>UNLV</v>
      </c>
      <c r="Q137" s="461">
        <f>IF(+All!$F385="UNLV",+All!Q385,IF(+All!$H385="UNLV",+All!Q385,0))</f>
        <v>7</v>
      </c>
      <c r="R137" s="460" t="str">
        <f>IF(+All!$F385="UNLV",+All!R385,IF(+All!$H385="UNLV",+All!R385,0))</f>
        <v>San Jose State</v>
      </c>
      <c r="S137" s="462" t="str">
        <f>IF(+All!$F385="UNLV",+All!S385,IF(+All!$H385="UNLV",+All!S385,0))</f>
        <v>UNLV</v>
      </c>
      <c r="T137" s="460" t="str">
        <f>IF(+All!$F385="UNLV",+All!T385,IF(+All!$H385="UNLV",+All!T385,0))</f>
        <v>UNLV</v>
      </c>
      <c r="U137" s="461" t="str">
        <f>IF(+All!$F385="UNLV",+All!U385,IF(+All!$H385="UNLV",+All!U385,0))</f>
        <v>L</v>
      </c>
    </row>
    <row r="138" spans="1:21" x14ac:dyDescent="0.8">
      <c r="A138" s="46" t="e">
        <f>IF(+All!#REF!="UNLV",+All!#REF!,IF(+All!#REF!="UNLV",+All!#REF!,0))</f>
        <v>#REF!</v>
      </c>
      <c r="B138" s="348" t="e">
        <f>IF(+All!#REF!="UNLV",+All!#REF!,IF(+All!#REF!="UNLV",+All!#REF!,0))</f>
        <v>#REF!</v>
      </c>
      <c r="C138" s="48" t="e">
        <f>IF(+All!#REF!="UNLV",+All!#REF!,IF(+All!#REF!="UNLV",+All!#REF!,0))</f>
        <v>#REF!</v>
      </c>
      <c r="D138" s="490" t="e">
        <f>IF(+All!#REF!="UNLV",+All!#REF!,IF(+All!#REF!="UNLV",+All!#REF!,0))</f>
        <v>#REF!</v>
      </c>
      <c r="E138" s="461" t="e">
        <f>IF(+All!#REF!="UNLV",+All!#REF!,IF(+All!#REF!="UNLV",+All!#REF!,0))</f>
        <v>#REF!</v>
      </c>
      <c r="F138" s="51" t="e">
        <f>IF(+All!#REF!="UNLV",+All!#REF!,IF(+All!#REF!="UNLV",+All!#REF!,0))</f>
        <v>#REF!</v>
      </c>
      <c r="G138" s="52" t="e">
        <f>IF(+All!#REF!="UNLV",+All!#REF!,IF(+All!#REF!="UNLV",+All!#REF!,0))</f>
        <v>#REF!</v>
      </c>
      <c r="H138" s="51" t="e">
        <f>IF(+All!#REF!="UNLV",+All!#REF!,IF(+All!#REF!="UNLV",+All!#REF!,0))</f>
        <v>#REF!</v>
      </c>
      <c r="I138" s="52" t="e">
        <f>IF(+All!#REF!="UNLV",+All!#REF!,IF(+All!#REF!="UNLV",+All!#REF!,0))</f>
        <v>#REF!</v>
      </c>
      <c r="J138" s="460" t="e">
        <f>IF(+All!#REF!="UNLV",+All!#REF!,IF(+All!#REF!="UNLV",+All!#REF!,0))</f>
        <v>#REF!</v>
      </c>
      <c r="K138" s="461" t="e">
        <f>IF(+All!#REF!="UNLV",+All!#REF!,IF(+All!#REF!="UNLV",+All!#REF!,0))</f>
        <v>#REF!</v>
      </c>
      <c r="L138" s="54" t="e">
        <f>IF(+All!#REF!="UNLV",+All!#REF!,IF(+All!#REF!="UNLV",+All!#REF!,0))</f>
        <v>#REF!</v>
      </c>
      <c r="M138" s="55" t="e">
        <f>IF(+All!#REF!="UNLV",+All!#REF!,IF(+All!#REF!="UNLV",+All!#REF!,0))</f>
        <v>#REF!</v>
      </c>
      <c r="N138" s="460" t="e">
        <f>IF(+All!#REF!="UNLV",+All!#REF!,IF(+All!#REF!="UNLV",+All!#REF!,0))</f>
        <v>#REF!</v>
      </c>
      <c r="O138" s="462" t="e">
        <f>IF(+All!#REF!="UNLV",+All!#REF!,IF(+All!#REF!="UNLV",+All!#REF!,0))</f>
        <v>#REF!</v>
      </c>
      <c r="P138" s="462" t="e">
        <f>IF(+All!#REF!="UNLV",+All!#REF!,IF(+All!#REF!="UNLV",+All!#REF!,0))</f>
        <v>#REF!</v>
      </c>
      <c r="Q138" s="461" t="e">
        <f>IF(+All!#REF!="UNLV",+All!#REF!,IF(+All!#REF!="UNLV",+All!#REF!,0))</f>
        <v>#REF!</v>
      </c>
      <c r="R138" s="460" t="e">
        <f>IF(+All!#REF!="UNLV",+All!#REF!,IF(+All!#REF!="UNLV",+All!#REF!,0))</f>
        <v>#REF!</v>
      </c>
      <c r="S138" s="462" t="e">
        <f>IF(+All!#REF!="UNLV",+All!#REF!,IF(+All!#REF!="UNLV",+All!#REF!,0))</f>
        <v>#REF!</v>
      </c>
      <c r="T138" s="460" t="e">
        <f>IF(+All!#REF!="UNLV",+All!#REF!,IF(+All!#REF!="UNLV",+All!#REF!,0))</f>
        <v>#REF!</v>
      </c>
      <c r="U138" s="461" t="e">
        <f>IF(+All!#REF!="UNLV",+All!#REF!,IF(+All!#REF!="UNLV",+All!#REF!,0))</f>
        <v>#REF!</v>
      </c>
    </row>
    <row r="139" spans="1:21" x14ac:dyDescent="0.8">
      <c r="A139" s="46">
        <f>IF(+All!$F476="UNLV",+All!A476,IF(+All!$H476="UNLV",+All!A476,0))</f>
        <v>7</v>
      </c>
      <c r="B139" s="348" t="str">
        <f>IF(+All!$F476="UNLV",+All!B476,IF(+All!$H476="UNLV",+All!B476,0))</f>
        <v>Sat</v>
      </c>
      <c r="C139" s="48">
        <f>IF(+All!$F476="UNLV",+All!C476,IF(+All!$H476="UNLV",+All!C476,0))</f>
        <v>44849</v>
      </c>
      <c r="D139" s="490">
        <f>IF(+All!$F476="UNLV",+All!D476,IF(+All!$H476="UNLV",+All!D476,0))</f>
        <v>0.9375</v>
      </c>
      <c r="E139" s="461" t="str">
        <f>IF(+All!$F476="UNLV",+All!E476,IF(+All!$H476="UNLV",+All!E476,0))</f>
        <v>CBSSN</v>
      </c>
      <c r="F139" s="51" t="str">
        <f>IF(+All!$F476="UNLV",+All!F476,IF(+All!$H476="UNLV",+All!F476,0))</f>
        <v>Air Force</v>
      </c>
      <c r="G139" s="52" t="str">
        <f>IF(+All!$F476="UNLV",+All!G476,IF(+All!$H476="UNLV",+All!G476,0))</f>
        <v>MWC</v>
      </c>
      <c r="H139" s="51" t="str">
        <f>IF(+All!$F476="UNLV",+All!H476,IF(+All!$H476="UNLV",+All!H476,0))</f>
        <v>UNLV</v>
      </c>
      <c r="I139" s="52" t="str">
        <f>IF(+All!$F476="UNLV",+All!I476,IF(+All!$H476="UNLV",+All!I476,0))</f>
        <v>MWC</v>
      </c>
      <c r="J139" s="460" t="str">
        <f>IF(+All!$F476="UNLV",+All!J476,IF(+All!$H476="UNLV",+All!J476,0))</f>
        <v>Air Force</v>
      </c>
      <c r="K139" s="461" t="str">
        <f>IF(+All!$F476="UNLV",+All!K476,IF(+All!$H476="UNLV",+All!K476,0))</f>
        <v>UNLV</v>
      </c>
      <c r="L139" s="54">
        <f>IF(+All!$F476="UNLV",+All!L476,IF(+All!$H476="UNLV",+All!L476,0))</f>
        <v>10</v>
      </c>
      <c r="M139" s="55">
        <f>IF(+All!$F476="UNLV",+All!M476,IF(+All!$H476="UNLV",+All!M476,0))</f>
        <v>50</v>
      </c>
      <c r="N139" s="460" t="str">
        <f>IF(+All!$F476="UNLV",+All!N476,IF(+All!$H476="UNLV",+All!N476,0))</f>
        <v>Air Force</v>
      </c>
      <c r="O139" s="462">
        <f>IF(+All!$F476="UNLV",+All!O476,IF(+All!$H476="UNLV",+All!O476,0))</f>
        <v>42</v>
      </c>
      <c r="P139" s="462" t="str">
        <f>IF(+All!$F476="UNLV",+All!P476,IF(+All!$H476="UNLV",+All!P476,0))</f>
        <v>UNLV</v>
      </c>
      <c r="Q139" s="461">
        <f>IF(+All!$F476="UNLV",+All!Q476,IF(+All!$H476="UNLV",+All!Q476,0))</f>
        <v>7</v>
      </c>
      <c r="R139" s="460" t="str">
        <f>IF(+All!$F476="UNLV",+All!R476,IF(+All!$H476="UNLV",+All!R476,0))</f>
        <v>Air Force</v>
      </c>
      <c r="S139" s="462" t="str">
        <f>IF(+All!$F476="UNLV",+All!S476,IF(+All!$H476="UNLV",+All!S476,0))</f>
        <v>UNLV</v>
      </c>
      <c r="T139" s="460" t="str">
        <f>IF(+All!$F476="UNLV",+All!T476,IF(+All!$H476="UNLV",+All!T476,0))</f>
        <v>UNLV</v>
      </c>
      <c r="U139" s="461" t="str">
        <f>IF(+All!$F476="UNLV",+All!U476,IF(+All!$H476="UNLV",+All!U476,0))</f>
        <v>L</v>
      </c>
    </row>
    <row r="140" spans="1:21" x14ac:dyDescent="0.8">
      <c r="A140" s="46">
        <f>IF(+All!$F520="UNLV",+All!A520,IF(+All!$H520="UNLV",+All!A520,0))</f>
        <v>8</v>
      </c>
      <c r="B140" s="348" t="str">
        <f>IF(+All!$F520="UNLV",+All!B520,IF(+All!$H520="UNLV",+All!B520,0))</f>
        <v>Sat</v>
      </c>
      <c r="C140" s="48">
        <f>IF(+All!$F520="UNLV",+All!C520,IF(+All!$H520="UNLV",+All!C520,0))</f>
        <v>44856</v>
      </c>
      <c r="D140" s="490">
        <f>IF(+All!$F520="UNLV",+All!D520,IF(+All!$H520="UNLV",+All!D520,0))</f>
        <v>0.60416666666666663</v>
      </c>
      <c r="E140" s="461" t="str">
        <f>IF(+All!$F520="UNLV",+All!E520,IF(+All!$H520="UNLV",+All!E520,0))</f>
        <v>NBC</v>
      </c>
      <c r="F140" s="51" t="str">
        <f>IF(+All!$F520="UNLV",+All!F520,IF(+All!$H520="UNLV",+All!F520,0))</f>
        <v>UNLV</v>
      </c>
      <c r="G140" s="52" t="str">
        <f>IF(+All!$F520="UNLV",+All!G520,IF(+All!$H520="UNLV",+All!G520,0))</f>
        <v>MWC</v>
      </c>
      <c r="H140" s="51" t="str">
        <f>IF(+All!$F520="UNLV",+All!H520,IF(+All!$H520="UNLV",+All!H520,0))</f>
        <v>Notre Dame</v>
      </c>
      <c r="I140" s="52" t="str">
        <f>IF(+All!$F520="UNLV",+All!I520,IF(+All!$H520="UNLV",+All!I520,0))</f>
        <v>Ind</v>
      </c>
      <c r="J140" s="460" t="str">
        <f>IF(+All!$F520="UNLV",+All!J520,IF(+All!$H520="UNLV",+All!J520,0))</f>
        <v>Notre Dame</v>
      </c>
      <c r="K140" s="461" t="str">
        <f>IF(+All!$F520="UNLV",+All!K520,IF(+All!$H520="UNLV",+All!K520,0))</f>
        <v>UNLV</v>
      </c>
      <c r="L140" s="54">
        <f>IF(+All!$F520="UNLV",+All!L520,IF(+All!$H520="UNLV",+All!L520,0))</f>
        <v>24.5</v>
      </c>
      <c r="M140" s="55">
        <f>IF(+All!$F520="UNLV",+All!M520,IF(+All!$H520="UNLV",+All!M520,0))</f>
        <v>47.5</v>
      </c>
      <c r="N140" s="460" t="str">
        <f>IF(+All!$F520="UNLV",+All!N520,IF(+All!$H520="UNLV",+All!N520,0))</f>
        <v>Notre Dame</v>
      </c>
      <c r="O140" s="462">
        <f>IF(+All!$F520="UNLV",+All!O520,IF(+All!$H520="UNLV",+All!O520,0))</f>
        <v>44</v>
      </c>
      <c r="P140" s="462" t="str">
        <f>IF(+All!$F520="UNLV",+All!P520,IF(+All!$H520="UNLV",+All!P520,0))</f>
        <v>UNLV</v>
      </c>
      <c r="Q140" s="461">
        <f>IF(+All!$F520="UNLV",+All!Q520,IF(+All!$H520="UNLV",+All!Q520,0))</f>
        <v>21</v>
      </c>
      <c r="R140" s="460" t="str">
        <f>IF(+All!$F520="UNLV",+All!R520,IF(+All!$H520="UNLV",+All!R520,0))</f>
        <v>UNLV</v>
      </c>
      <c r="S140" s="462" t="str">
        <f>IF(+All!$F520="UNLV",+All!S520,IF(+All!$H520="UNLV",+All!S520,0))</f>
        <v>Notre Dame</v>
      </c>
      <c r="T140" s="460" t="str">
        <f>IF(+All!$F520="UNLV",+All!T520,IF(+All!$H520="UNLV",+All!T520,0))</f>
        <v>UNLV</v>
      </c>
      <c r="U140" s="461" t="str">
        <f>IF(+All!$F520="UNLV",+All!U520,IF(+All!$H520="UNLV",+All!U520,0))</f>
        <v>W</v>
      </c>
    </row>
    <row r="141" spans="1:21" x14ac:dyDescent="0.8">
      <c r="A141" s="46">
        <f>IF(+All!$F633="UNLV",+All!A633,IF(+All!$H633="UNLV",+All!A633,0))</f>
        <v>10</v>
      </c>
      <c r="B141" s="348" t="str">
        <f>IF(+All!$F633="UNLV",+All!B633,IF(+All!$H633="UNLV",+All!B633,0))</f>
        <v>Sat</v>
      </c>
      <c r="C141" s="48">
        <f>IF(+All!$F633="UNLV",+All!C633,IF(+All!$H633="UNLV",+All!C633,0))</f>
        <v>44870</v>
      </c>
      <c r="D141" s="490">
        <f>IF(+All!$F633="UNLV",+All!D633,IF(+All!$H633="UNLV",+All!D633,0))</f>
        <v>0.79166666666666663</v>
      </c>
      <c r="E141" s="461" t="str">
        <f>IF(+All!$F633="UNLV",+All!E633,IF(+All!$H633="UNLV",+All!E633,0))</f>
        <v>CBSSN</v>
      </c>
      <c r="F141" s="51" t="str">
        <f>IF(+All!$F633="UNLV",+All!F633,IF(+All!$H633="UNLV",+All!F633,0))</f>
        <v>UNLV</v>
      </c>
      <c r="G141" s="52" t="str">
        <f>IF(+All!$F633="UNLV",+All!G633,IF(+All!$H633="UNLV",+All!G633,0))</f>
        <v>MWC</v>
      </c>
      <c r="H141" s="51" t="str">
        <f>IF(+All!$F633="UNLV",+All!H633,IF(+All!$H633="UNLV",+All!H633,0))</f>
        <v>San Diego State</v>
      </c>
      <c r="I141" s="52" t="str">
        <f>IF(+All!$F633="UNLV",+All!I633,IF(+All!$H633="UNLV",+All!I633,0))</f>
        <v>MWC</v>
      </c>
      <c r="J141" s="460" t="str">
        <f>IF(+All!$F633="UNLV",+All!J633,IF(+All!$H633="UNLV",+All!J633,0))</f>
        <v>San Diego State</v>
      </c>
      <c r="K141" s="461" t="str">
        <f>IF(+All!$F633="UNLV",+All!K633,IF(+All!$H633="UNLV",+All!K633,0))</f>
        <v>UNLV</v>
      </c>
      <c r="L141" s="54">
        <f>IF(+All!$F633="UNLV",+All!L633,IF(+All!$H633="UNLV",+All!L633,0))</f>
        <v>6</v>
      </c>
      <c r="M141" s="55">
        <f>IF(+All!$F633="UNLV",+All!M633,IF(+All!$H633="UNLV",+All!M633,0))</f>
        <v>48</v>
      </c>
      <c r="N141" s="460" t="str">
        <f>IF(+All!$F633="UNLV",+All!N633,IF(+All!$H633="UNLV",+All!N633,0))</f>
        <v>San Diego State</v>
      </c>
      <c r="O141" s="462">
        <f>IF(+All!$F633="UNLV",+All!O633,IF(+All!$H633="UNLV",+All!O633,0))</f>
        <v>14</v>
      </c>
      <c r="P141" s="462" t="str">
        <f>IF(+All!$F633="UNLV",+All!P633,IF(+All!$H633="UNLV",+All!P633,0))</f>
        <v>UNLV</v>
      </c>
      <c r="Q141" s="461">
        <f>IF(+All!$F633="UNLV",+All!Q633,IF(+All!$H633="UNLV",+All!Q633,0))</f>
        <v>10</v>
      </c>
      <c r="R141" s="460" t="str">
        <f>IF(+All!$F633="UNLV",+All!R633,IF(+All!$H633="UNLV",+All!R633,0))</f>
        <v>UNLV</v>
      </c>
      <c r="S141" s="462" t="str">
        <f>IF(+All!$F633="UNLV",+All!S633,IF(+All!$H633="UNLV",+All!S633,0))</f>
        <v>San Diego State</v>
      </c>
      <c r="T141" s="460" t="str">
        <f>IF(+All!$F633="UNLV",+All!T633,IF(+All!$H633="UNLV",+All!T633,0))</f>
        <v>San Diego State</v>
      </c>
      <c r="U141" s="461" t="str">
        <f>IF(+All!$F633="UNLV",+All!U633,IF(+All!$H633="UNLV",+All!U633,0))</f>
        <v>L</v>
      </c>
    </row>
    <row r="142" spans="1:21" x14ac:dyDescent="0.8">
      <c r="A142" s="46">
        <f>IF(+All!$F663="UNLV",+All!A663,IF(+All!$H663="UNLV",+All!A663,0))</f>
        <v>11</v>
      </c>
      <c r="B142" s="348" t="str">
        <f>IF(+All!$F663="UNLV",+All!B663,IF(+All!$H663="UNLV",+All!B663,0))</f>
        <v>Fri</v>
      </c>
      <c r="C142" s="48">
        <f>IF(+All!$F663="UNLV",+All!C663,IF(+All!$H663="UNLV",+All!C663,0))</f>
        <v>44875</v>
      </c>
      <c r="D142" s="490">
        <f>IF(+All!$F663="UNLV",+All!D663,IF(+All!$H663="UNLV",+All!D663,0))</f>
        <v>0.9375</v>
      </c>
      <c r="E142" s="461" t="str">
        <f>IF(+All!$F663="UNLV",+All!E663,IF(+All!$H663="UNLV",+All!E663,0))</f>
        <v>CBSSN</v>
      </c>
      <c r="F142" s="51" t="str">
        <f>IF(+All!$F663="UNLV",+All!F663,IF(+All!$H663="UNLV",+All!F663,0))</f>
        <v>Fresno State</v>
      </c>
      <c r="G142" s="52" t="str">
        <f>IF(+All!$F663="UNLV",+All!G663,IF(+All!$H663="UNLV",+All!G663,0))</f>
        <v>MWC</v>
      </c>
      <c r="H142" s="51" t="str">
        <f>IF(+All!$F663="UNLV",+All!H663,IF(+All!$H663="UNLV",+All!H663,0))</f>
        <v>UNLV</v>
      </c>
      <c r="I142" s="52" t="str">
        <f>IF(+All!$F663="UNLV",+All!I663,IF(+All!$H663="UNLV",+All!I663,0))</f>
        <v>MWC</v>
      </c>
      <c r="J142" s="460" t="str">
        <f>IF(+All!$F663="UNLV",+All!J663,IF(+All!$H663="UNLV",+All!J663,0))</f>
        <v>Fresno State</v>
      </c>
      <c r="K142" s="461" t="str">
        <f>IF(+All!$F663="UNLV",+All!K663,IF(+All!$H663="UNLV",+All!K663,0))</f>
        <v>UNLV</v>
      </c>
      <c r="L142" s="54">
        <f>IF(+All!$F663="UNLV",+All!L663,IF(+All!$H663="UNLV",+All!L663,0))</f>
        <v>9.5</v>
      </c>
      <c r="M142" s="55">
        <f>IF(+All!$F663="UNLV",+All!M663,IF(+All!$H663="UNLV",+All!M663,0))</f>
        <v>59</v>
      </c>
      <c r="N142" s="460" t="str">
        <f>IF(+All!$F663="UNLV",+All!N663,IF(+All!$H663="UNLV",+All!N663,0))</f>
        <v>Fresno State</v>
      </c>
      <c r="O142" s="462">
        <f>IF(+All!$F663="UNLV",+All!O663,IF(+All!$H663="UNLV",+All!O663,0))</f>
        <v>37</v>
      </c>
      <c r="P142" s="462" t="str">
        <f>IF(+All!$F663="UNLV",+All!P663,IF(+All!$H663="UNLV",+All!P663,0))</f>
        <v>UNLV</v>
      </c>
      <c r="Q142" s="461">
        <f>IF(+All!$F663="UNLV",+All!Q663,IF(+All!$H663="UNLV",+All!Q663,0))</f>
        <v>30</v>
      </c>
      <c r="R142" s="460" t="str">
        <f>IF(+All!$F663="UNLV",+All!R663,IF(+All!$H663="UNLV",+All!R663,0))</f>
        <v>UNLV</v>
      </c>
      <c r="S142" s="462" t="str">
        <f>IF(+All!$F663="UNLV",+All!S663,IF(+All!$H663="UNLV",+All!S663,0))</f>
        <v>Fresno State</v>
      </c>
      <c r="T142" s="460" t="str">
        <f>IF(+All!$F663="UNLV",+All!T663,IF(+All!$H663="UNLV",+All!T663,0))</f>
        <v>Fresno State</v>
      </c>
      <c r="U142" s="461" t="str">
        <f>IF(+All!$F663="UNLV",+All!U663,IF(+All!$H663="UNLV",+All!U663,0))</f>
        <v>L</v>
      </c>
    </row>
    <row r="143" spans="1:21" x14ac:dyDescent="0.8">
      <c r="A143" s="46">
        <f>IF(+All!$F759="UNLV",+All!A759,IF(+All!$H759="UNLV",+All!A759,0))</f>
        <v>12</v>
      </c>
      <c r="B143" s="348" t="str">
        <f>IF(+All!$F759="UNLV",+All!B759,IF(+All!$H759="UNLV",+All!B759,0))</f>
        <v>Sat</v>
      </c>
      <c r="C143" s="48">
        <f>IF(+All!$F759="UNLV",+All!C759,IF(+All!$H759="UNLV",+All!C759,0))</f>
        <v>44884</v>
      </c>
      <c r="D143" s="490">
        <f>IF(+All!$F759="UNLV",+All!D759,IF(+All!$H759="UNLV",+All!D759,0))</f>
        <v>0.95833333333333337</v>
      </c>
      <c r="E143" s="461">
        <f>IF(+All!$F759="UNLV",+All!E759,IF(+All!$H759="UNLV",+All!E759,0))</f>
        <v>0</v>
      </c>
      <c r="F143" s="51" t="str">
        <f>IF(+All!$F759="UNLV",+All!F759,IF(+All!$H759="UNLV",+All!F759,0))</f>
        <v>UNLV</v>
      </c>
      <c r="G143" s="52" t="str">
        <f>IF(+All!$F759="UNLV",+All!G759,IF(+All!$H759="UNLV",+All!G759,0))</f>
        <v>MWC</v>
      </c>
      <c r="H143" s="51" t="str">
        <f>IF(+All!$F759="UNLV",+All!H759,IF(+All!$H759="UNLV",+All!H759,0))</f>
        <v>Hawaii</v>
      </c>
      <c r="I143" s="52" t="str">
        <f>IF(+All!$F759="UNLV",+All!I759,IF(+All!$H759="UNLV",+All!I759,0))</f>
        <v>MWC</v>
      </c>
      <c r="J143" s="460" t="str">
        <f>IF(+All!$F759="UNLV",+All!J759,IF(+All!$H759="UNLV",+All!J759,0))</f>
        <v>UNLV</v>
      </c>
      <c r="K143" s="461" t="str">
        <f>IF(+All!$F759="UNLV",+All!K759,IF(+All!$H759="UNLV",+All!K759,0))</f>
        <v>Hawaii</v>
      </c>
      <c r="L143" s="54">
        <f>IF(+All!$F759="UNLV",+All!L759,IF(+All!$H759="UNLV",+All!L759,0))</f>
        <v>11</v>
      </c>
      <c r="M143" s="55">
        <f>IF(+All!$F759="UNLV",+All!M759,IF(+All!$H759="UNLV",+All!M759,0))</f>
        <v>56</v>
      </c>
      <c r="N143" s="460" t="str">
        <f>IF(+All!$F759="UNLV",+All!N759,IF(+All!$H759="UNLV",+All!N759,0))</f>
        <v>Hawaii</v>
      </c>
      <c r="O143" s="462">
        <f>IF(+All!$F759="UNLV",+All!O759,IF(+All!$H759="UNLV",+All!O759,0))</f>
        <v>31</v>
      </c>
      <c r="P143" s="462" t="str">
        <f>IF(+All!$F759="UNLV",+All!P759,IF(+All!$H759="UNLV",+All!P759,0))</f>
        <v>UNLV</v>
      </c>
      <c r="Q143" s="461">
        <f>IF(+All!$F759="UNLV",+All!Q759,IF(+All!$H759="UNLV",+All!Q759,0))</f>
        <v>25</v>
      </c>
      <c r="R143" s="460" t="str">
        <f>IF(+All!$F759="UNLV",+All!R759,IF(+All!$H759="UNLV",+All!R759,0))</f>
        <v>Hawaii</v>
      </c>
      <c r="S143" s="462" t="str">
        <f>IF(+All!$F759="UNLV",+All!S759,IF(+All!$H759="UNLV",+All!S759,0))</f>
        <v>UNLV</v>
      </c>
      <c r="T143" s="460" t="str">
        <f>IF(+All!$F759="UNLV",+All!T759,IF(+All!$H759="UNLV",+All!T759,0))</f>
        <v>Hawaii</v>
      </c>
      <c r="U143" s="461" t="str">
        <f>IF(+All!$F759="UNLV",+All!U759,IF(+All!$H759="UNLV",+All!U759,0))</f>
        <v>W</v>
      </c>
    </row>
    <row r="144" spans="1:21" x14ac:dyDescent="0.8">
      <c r="A144" s="46">
        <f>IF(+All!$F831="UNLV",+All!A831,IF(+All!$H831="UNLV",+All!A831,0))</f>
        <v>13</v>
      </c>
      <c r="B144" s="348" t="str">
        <f>IF(+All!$F831="UNLV",+All!B831,IF(+All!$H831="UNLV",+All!B831,0))</f>
        <v>Sat</v>
      </c>
      <c r="C144" s="48">
        <f>IF(+All!$F831="UNLV",+All!C831,IF(+All!$H831="UNLV",+All!C831,0))</f>
        <v>44891</v>
      </c>
      <c r="D144" s="490">
        <f>IF(+All!$F831="UNLV",+All!D831,IF(+All!$H831="UNLV",+All!D831,0))</f>
        <v>0.75</v>
      </c>
      <c r="E144" s="461">
        <f>IF(+All!$F831="UNLV",+All!E831,IF(+All!$H831="UNLV",+All!E831,0))</f>
        <v>0</v>
      </c>
      <c r="F144" s="51" t="str">
        <f>IF(+All!$F831="UNLV",+All!F831,IF(+All!$H831="UNLV",+All!F831,0))</f>
        <v>Nevada</v>
      </c>
      <c r="G144" s="52" t="str">
        <f>IF(+All!$F831="UNLV",+All!G831,IF(+All!$H831="UNLV",+All!G831,0))</f>
        <v>MWC</v>
      </c>
      <c r="H144" s="51" t="str">
        <f>IF(+All!$F831="UNLV",+All!H831,IF(+All!$H831="UNLV",+All!H831,0))</f>
        <v>UNLV</v>
      </c>
      <c r="I144" s="52" t="str">
        <f>IF(+All!$F831="UNLV",+All!I831,IF(+All!$H831="UNLV",+All!I831,0))</f>
        <v>MWC</v>
      </c>
      <c r="J144" s="460" t="str">
        <f>IF(+All!$F831="UNLV",+All!J831,IF(+All!$H831="UNLV",+All!J831,0))</f>
        <v>Nevada</v>
      </c>
      <c r="K144" s="461" t="str">
        <f>IF(+All!$F831="UNLV",+All!K831,IF(+All!$H831="UNLV",+All!K831,0))</f>
        <v>UNLV</v>
      </c>
      <c r="L144" s="54">
        <f>IF(+All!$F831="UNLV",+All!L831,IF(+All!$H831="UNLV",+All!L831,0))</f>
        <v>12</v>
      </c>
      <c r="M144" s="55">
        <f>IF(+All!$F831="UNLV",+All!M831,IF(+All!$H831="UNLV",+All!M831,0))</f>
        <v>49</v>
      </c>
      <c r="N144" s="460" t="str">
        <f>IF(+All!$F831="UNLV",+All!N831,IF(+All!$H831="UNLV",+All!N831,0))</f>
        <v>UNLV</v>
      </c>
      <c r="O144" s="462">
        <f>IF(+All!$F831="UNLV",+All!O831,IF(+All!$H831="UNLV",+All!O831,0))</f>
        <v>27</v>
      </c>
      <c r="P144" s="462" t="str">
        <f>IF(+All!$F831="UNLV",+All!P831,IF(+All!$H831="UNLV",+All!P831,0))</f>
        <v>Nevada</v>
      </c>
      <c r="Q144" s="461">
        <f>IF(+All!$F831="UNLV",+All!Q831,IF(+All!$H831="UNLV",+All!Q831,0))</f>
        <v>22</v>
      </c>
      <c r="R144" s="460" t="str">
        <f>IF(+All!$F831="UNLV",+All!R831,IF(+All!$H831="UNLV",+All!R831,0))</f>
        <v>UNLV</v>
      </c>
      <c r="S144" s="462" t="str">
        <f>IF(+All!$F831="UNLV",+All!S831,IF(+All!$H831="UNLV",+All!S831,0))</f>
        <v>Nevada</v>
      </c>
      <c r="T144" s="460" t="str">
        <f>IF(+All!$F831="UNLV",+All!T831,IF(+All!$H831="UNLV",+All!T831,0))</f>
        <v>Nevada</v>
      </c>
      <c r="U144" s="461" t="str">
        <f>IF(+All!$F831="UNLV",+All!U831,IF(+All!$H831="UNLV",+All!U831,0))</f>
        <v>L</v>
      </c>
    </row>
    <row r="145" spans="1:21" x14ac:dyDescent="0.8">
      <c r="A145" s="38"/>
      <c r="B145" s="39"/>
      <c r="C145" s="40"/>
      <c r="D145" s="41"/>
      <c r="E145" s="463"/>
      <c r="F145" s="897" t="str">
        <f>H146</f>
        <v>Utah State</v>
      </c>
      <c r="G145" s="903"/>
      <c r="H145" s="903"/>
      <c r="I145" s="904"/>
      <c r="J145" s="459"/>
      <c r="K145" s="463"/>
      <c r="L145" s="44"/>
      <c r="M145" s="45"/>
      <c r="N145" s="459"/>
      <c r="O145" s="5"/>
      <c r="P145" s="5"/>
      <c r="Q145" s="463"/>
      <c r="R145" s="459"/>
      <c r="S145" s="5"/>
      <c r="T145" s="459"/>
      <c r="U145" s="463"/>
    </row>
    <row r="146" spans="1:21" x14ac:dyDescent="0.8">
      <c r="A146" s="348">
        <f>IF(+All!$F14="Utah State",+All!A14,IF(+All!$H14="Utah State",+All!A14,0))</f>
        <v>0</v>
      </c>
      <c r="B146" s="348" t="str">
        <f>IF(+All!$F14="Utah State",+All!B14,IF(+All!$H14="Utah State",+All!B14,0))</f>
        <v>Sat</v>
      </c>
      <c r="C146" s="48">
        <f>IF(+All!$F14="Utah State",+All!C14,IF(+All!$H14="Utah State",+All!C14,0))</f>
        <v>44800</v>
      </c>
      <c r="D146" s="490">
        <f>IF(+All!$F14="Utah State",+All!D14,IF(+All!$H14="Utah State",+All!D14,0))</f>
        <v>0.66666666666666663</v>
      </c>
      <c r="E146" s="461" t="str">
        <f>IF(+All!$F14="Utah State",+All!E14,IF(+All!$H14="Utah State",+All!E14,0))</f>
        <v>FS1</v>
      </c>
      <c r="F146" s="51" t="str">
        <f>IF(+All!$F14="Utah State",+All!F14,IF(+All!$H14="Utah State",+All!F14,0))</f>
        <v>Connecticut</v>
      </c>
      <c r="G146" s="52" t="str">
        <f>IF(+All!$F14="Utah State",+All!G14,IF(+All!$H14="Utah State",+All!G14,0))</f>
        <v>Ind</v>
      </c>
      <c r="H146" s="51" t="str">
        <f>IF(+All!$F14="Utah State",+All!H14,IF(+All!$H14="Utah State",+All!H14,0))</f>
        <v>Utah State</v>
      </c>
      <c r="I146" s="52" t="str">
        <f>IF(+All!$F14="Utah State",+All!I14,IF(+All!$H14="Utah State",+All!I14,0))</f>
        <v>MWC</v>
      </c>
      <c r="J146" s="460" t="str">
        <f>IF(+All!$F14="Utah State",+All!J14,IF(+All!$H14="Utah State",+All!J14,0))</f>
        <v>Utah State</v>
      </c>
      <c r="K146" s="461" t="str">
        <f>IF(+All!$F14="Utah State",+All!K14,IF(+All!$H14="Utah State",+All!K14,0))</f>
        <v>Connecticut</v>
      </c>
      <c r="L146" s="54">
        <f>IF(+All!$F14="Utah State",+All!L14,IF(+All!$H14="Utah State",+All!L14,0))</f>
        <v>24</v>
      </c>
      <c r="M146" s="55">
        <f>IF(+All!$F14="Utah State",+All!M14,IF(+All!$H14="Utah State",+All!M14,0))</f>
        <v>59.5</v>
      </c>
      <c r="N146" s="460" t="str">
        <f>IF(+All!$F14="Utah State",+All!N14,IF(+All!$H14="Utah State",+All!N14,0))</f>
        <v>Utah State</v>
      </c>
      <c r="O146" s="462">
        <f>IF(+All!$F14="Utah State",+All!O14,IF(+All!$H14="Utah State",+All!O14,0))</f>
        <v>31</v>
      </c>
      <c r="P146" s="462" t="str">
        <f>IF(+All!$F14="Utah State",+All!P14,IF(+All!$H14="Utah State",+All!P14,0))</f>
        <v>Connecticut</v>
      </c>
      <c r="Q146" s="461">
        <f>IF(+All!$F14="Utah State",+All!Q14,IF(+All!$H14="Utah State",+All!Q14,0))</f>
        <v>20</v>
      </c>
      <c r="R146" s="460" t="str">
        <f>IF(+All!$F14="Utah State",+All!R14,IF(+All!$H14="Utah State",+All!R14,0))</f>
        <v>Connecticut</v>
      </c>
      <c r="S146" s="462" t="str">
        <f>IF(+All!$F14="Utah State",+All!S14,IF(+All!$H14="Utah State",+All!S14,0))</f>
        <v>Utah State</v>
      </c>
      <c r="T146" s="460" t="str">
        <f>IF(+All!$F14="Utah State",+All!T14,IF(+All!$H14="Utah State",+All!T14,0))</f>
        <v>Connecticut</v>
      </c>
      <c r="U146" s="461" t="str">
        <f>IF(+All!$F14="Utah State",+All!U14,IF(+All!$H14="Utah State",+All!U14,0))</f>
        <v>W</v>
      </c>
    </row>
    <row r="147" spans="1:21" x14ac:dyDescent="0.8">
      <c r="A147" s="46">
        <f>IF(+All!$F84="Utah State",+All!A84,IF(+All!$H84="Utah State",+All!A84,0))</f>
        <v>1</v>
      </c>
      <c r="B147" s="348" t="str">
        <f>IF(+All!$F84="Utah State",+All!B84,IF(+All!$H84="Utah State",+All!B84,0))</f>
        <v>Sat</v>
      </c>
      <c r="C147" s="48">
        <f>IF(+All!$F84="Utah State",+All!C84,IF(+All!$H84="Utah State",+All!C84,0))</f>
        <v>44807</v>
      </c>
      <c r="D147" s="490">
        <f>IF(+All!$F84="Utah State",+All!D84,IF(+All!$H84="Utah State",+All!D84,0))</f>
        <v>0.8125</v>
      </c>
      <c r="E147" s="461" t="str">
        <f>IF(+All!$F84="Utah State",+All!E84,IF(+All!$H84="Utah State",+All!E84,0))</f>
        <v>SEC</v>
      </c>
      <c r="F147" s="51" t="str">
        <f>IF(+All!$F84="Utah State",+All!F84,IF(+All!$H84="Utah State",+All!F84,0))</f>
        <v>Utah State</v>
      </c>
      <c r="G147" s="52" t="str">
        <f>IF(+All!$F84="Utah State",+All!G84,IF(+All!$H84="Utah State",+All!G84,0))</f>
        <v>MWC</v>
      </c>
      <c r="H147" s="51" t="str">
        <f>IF(+All!$F84="Utah State",+All!H84,IF(+All!$H84="Utah State",+All!H84,0))</f>
        <v>Alabama</v>
      </c>
      <c r="I147" s="52" t="str">
        <f>IF(+All!$F84="Utah State",+All!I84,IF(+All!$H84="Utah State",+All!I84,0))</f>
        <v>SEC</v>
      </c>
      <c r="J147" s="460" t="str">
        <f>IF(+All!$F84="Utah State",+All!J84,IF(+All!$H84="Utah State",+All!J84,0))</f>
        <v>Alabama</v>
      </c>
      <c r="K147" s="461" t="str">
        <f>IF(+All!$F84="Utah State",+All!K84,IF(+All!$H84="Utah State",+All!K84,0))</f>
        <v>Utah State</v>
      </c>
      <c r="L147" s="54">
        <f>IF(+All!$F84="Utah State",+All!L84,IF(+All!$H84="Utah State",+All!L84,0))</f>
        <v>42</v>
      </c>
      <c r="M147" s="55">
        <f>IF(+All!$F84="Utah State",+All!M84,IF(+All!$H84="Utah State",+All!M84,0))</f>
        <v>62.5</v>
      </c>
      <c r="N147" s="460" t="str">
        <f>IF(+All!$F84="Utah State",+All!N84,IF(+All!$H84="Utah State",+All!N84,0))</f>
        <v>Alabama</v>
      </c>
      <c r="O147" s="462">
        <f>IF(+All!$F84="Utah State",+All!O84,IF(+All!$H84="Utah State",+All!O84,0))</f>
        <v>55</v>
      </c>
      <c r="P147" s="462" t="str">
        <f>IF(+All!$F84="Utah State",+All!P84,IF(+All!$H84="Utah State",+All!P84,0))</f>
        <v>Utah State</v>
      </c>
      <c r="Q147" s="461">
        <f>IF(+All!$F84="Utah State",+All!Q84,IF(+All!$H84="Utah State",+All!Q84,0))</f>
        <v>0</v>
      </c>
      <c r="R147" s="460" t="str">
        <f>IF(+All!$F84="Utah State",+All!R84,IF(+All!$H84="Utah State",+All!R84,0))</f>
        <v>Alabama</v>
      </c>
      <c r="S147" s="462" t="str">
        <f>IF(+All!$F84="Utah State",+All!S84,IF(+All!$H84="Utah State",+All!S84,0))</f>
        <v>Utah State</v>
      </c>
      <c r="T147" s="460" t="str">
        <f>IF(+All!$F84="Utah State",+All!T84,IF(+All!$H84="Utah State",+All!T84,0))</f>
        <v>Alabama</v>
      </c>
      <c r="U147" s="461" t="str">
        <f>IF(+All!$F84="Utah State",+All!U84,IF(+All!$H84="Utah State",+All!U84,0))</f>
        <v>W</v>
      </c>
    </row>
    <row r="148" spans="1:21" x14ac:dyDescent="0.8">
      <c r="A148" s="46">
        <f>IF(+All!$F157="Utah State",+All!A157,IF(+All!$H157="Utah State",+All!A157,0))</f>
        <v>2</v>
      </c>
      <c r="B148" s="348" t="str">
        <f>IF(+All!$F157="Utah State",+All!B157,IF(+All!$H157="Utah State",+All!B157,0))</f>
        <v>Sat</v>
      </c>
      <c r="C148" s="48">
        <f>IF(+All!$F157="Utah State",+All!C157,IF(+All!$H157="Utah State",+All!C157,0))</f>
        <v>44814</v>
      </c>
      <c r="D148" s="490">
        <f>IF(+All!$F157="Utah State",+All!D157,IF(+All!$H157="Utah State",+All!D157,0))</f>
        <v>0.79166666666666663</v>
      </c>
      <c r="E148" s="461">
        <f>IF(+All!$F157="Utah State",+All!E157,IF(+All!$H157="Utah State",+All!E157,0))</f>
        <v>0</v>
      </c>
      <c r="F148" s="51" t="str">
        <f>IF(+All!$F157="Utah State",+All!F157,IF(+All!$H157="Utah State",+All!F157,0))</f>
        <v>1AA Weber State</v>
      </c>
      <c r="G148" s="52" t="str">
        <f>IF(+All!$F157="Utah State",+All!G157,IF(+All!$H157="Utah State",+All!G157,0))</f>
        <v>1AA</v>
      </c>
      <c r="H148" s="51" t="str">
        <f>IF(+All!$F157="Utah State",+All!H157,IF(+All!$H157="Utah State",+All!H157,0))</f>
        <v>Utah State</v>
      </c>
      <c r="I148" s="52" t="str">
        <f>IF(+All!$F157="Utah State",+All!I157,IF(+All!$H157="Utah State",+All!I157,0))</f>
        <v>MWC</v>
      </c>
      <c r="J148" s="460">
        <f>IF(+All!$F157="Utah State",+All!J157,IF(+All!$H157="Utah State",+All!J157,0))</f>
        <v>0</v>
      </c>
      <c r="K148" s="461">
        <f>IF(+All!$F157="Utah State",+All!K157,IF(+All!$H157="Utah State",+All!K157,0))</f>
        <v>0</v>
      </c>
      <c r="L148" s="54">
        <f>IF(+All!$F157="Utah State",+All!L157,IF(+All!$H157="Utah State",+All!L157,0))</f>
        <v>0</v>
      </c>
      <c r="M148" s="55">
        <f>IF(+All!$F157="Utah State",+All!M157,IF(+All!$H157="Utah State",+All!M157,0))</f>
        <v>0</v>
      </c>
      <c r="N148" s="460" t="str">
        <f>IF(+All!$F157="Utah State",+All!N157,IF(+All!$H157="Utah State",+All!N157,0))</f>
        <v>1AA Weber State</v>
      </c>
      <c r="O148" s="462">
        <f>IF(+All!$F157="Utah State",+All!O157,IF(+All!$H157="Utah State",+All!O157,0))</f>
        <v>35</v>
      </c>
      <c r="P148" s="462" t="str">
        <f>IF(+All!$F157="Utah State",+All!P157,IF(+All!$H157="Utah State",+All!P157,0))</f>
        <v>Utah State</v>
      </c>
      <c r="Q148" s="461">
        <f>IF(+All!$F157="Utah State",+All!Q157,IF(+All!$H157="Utah State",+All!Q157,0))</f>
        <v>7</v>
      </c>
      <c r="R148" s="460">
        <f>IF(+All!$F157="Utah State",+All!R157,IF(+All!$H157="Utah State",+All!R157,0))</f>
        <v>0</v>
      </c>
      <c r="S148" s="462">
        <f>IF(+All!$F157="Utah State",+All!S157,IF(+All!$H157="Utah State",+All!S157,0))</f>
        <v>0</v>
      </c>
      <c r="T148" s="460">
        <f>IF(+All!$F157="Utah State",+All!T157,IF(+All!$H157="Utah State",+All!T157,0))</f>
        <v>0</v>
      </c>
      <c r="U148" s="461">
        <f>IF(+All!$F157="Utah State",+All!U157,IF(+All!$H157="Utah State",+All!U157,0))</f>
        <v>0</v>
      </c>
    </row>
    <row r="149" spans="1:21" x14ac:dyDescent="0.8">
      <c r="A149" s="46" t="e">
        <f>IF(+All!#REF!="Utah State",+All!#REF!,IF(+All!#REF!="Utah State",+All!#REF!,0))</f>
        <v>#REF!</v>
      </c>
      <c r="B149" s="348" t="e">
        <f>IF(+All!#REF!="Utah State",+All!#REF!,IF(+All!#REF!="Utah State",+All!#REF!,0))</f>
        <v>#REF!</v>
      </c>
      <c r="C149" s="48" t="e">
        <f>IF(+All!#REF!="Utah State",+All!#REF!,IF(+All!#REF!="Utah State",+All!#REF!,0))</f>
        <v>#REF!</v>
      </c>
      <c r="D149" s="490" t="e">
        <f>IF(+All!#REF!="Utah State",+All!#REF!,IF(+All!#REF!="Utah State",+All!#REF!,0))</f>
        <v>#REF!</v>
      </c>
      <c r="E149" s="461" t="e">
        <f>IF(+All!#REF!="Utah State",+All!#REF!,IF(+All!#REF!="Utah State",+All!#REF!,0))</f>
        <v>#REF!</v>
      </c>
      <c r="F149" s="51" t="e">
        <f>IF(+All!#REF!="Utah State",+All!#REF!,IF(+All!#REF!="Utah State",+All!#REF!,0))</f>
        <v>#REF!</v>
      </c>
      <c r="G149" s="52" t="e">
        <f>IF(+All!#REF!="Utah State",+All!#REF!,IF(+All!#REF!="Utah State",+All!#REF!,0))</f>
        <v>#REF!</v>
      </c>
      <c r="H149" s="51" t="e">
        <f>IF(+All!#REF!="Utah State",+All!#REF!,IF(+All!#REF!="Utah State",+All!#REF!,0))</f>
        <v>#REF!</v>
      </c>
      <c r="I149" s="52" t="e">
        <f>IF(+All!#REF!="Utah State",+All!#REF!,IF(+All!#REF!="Utah State",+All!#REF!,0))</f>
        <v>#REF!</v>
      </c>
      <c r="J149" s="460" t="e">
        <f>IF(+All!#REF!="Utah State",+All!#REF!,IF(+All!#REF!="Utah State",+All!#REF!,0))</f>
        <v>#REF!</v>
      </c>
      <c r="K149" s="461" t="e">
        <f>IF(+All!#REF!="Utah State",+All!#REF!,IF(+All!#REF!="Utah State",+All!#REF!,0))</f>
        <v>#REF!</v>
      </c>
      <c r="L149" s="54" t="e">
        <f>IF(+All!#REF!="Utah State",+All!#REF!,IF(+All!#REF!="Utah State",+All!#REF!,0))</f>
        <v>#REF!</v>
      </c>
      <c r="M149" s="55" t="e">
        <f>IF(+All!#REF!="Utah State",+All!#REF!,IF(+All!#REF!="Utah State",+All!#REF!,0))</f>
        <v>#REF!</v>
      </c>
      <c r="N149" s="460" t="e">
        <f>IF(+All!#REF!="Utah State",+All!#REF!,IF(+All!#REF!="Utah State",+All!#REF!,0))</f>
        <v>#REF!</v>
      </c>
      <c r="O149" s="462" t="e">
        <f>IF(+All!#REF!="Utah State",+All!#REF!,IF(+All!#REF!="Utah State",+All!#REF!,0))</f>
        <v>#REF!</v>
      </c>
      <c r="P149" s="462" t="e">
        <f>IF(+All!#REF!="Utah State",+All!#REF!,IF(+All!#REF!="Utah State",+All!#REF!,0))</f>
        <v>#REF!</v>
      </c>
      <c r="Q149" s="461" t="e">
        <f>IF(+All!#REF!="Utah State",+All!#REF!,IF(+All!#REF!="Utah State",+All!#REF!,0))</f>
        <v>#REF!</v>
      </c>
      <c r="R149" s="460" t="e">
        <f>IF(+All!#REF!="Utah State",+All!#REF!,IF(+All!#REF!="Utah State",+All!#REF!,0))</f>
        <v>#REF!</v>
      </c>
      <c r="S149" s="462" t="e">
        <f>IF(+All!#REF!="Utah State",+All!#REF!,IF(+All!#REF!="Utah State",+All!#REF!,0))</f>
        <v>#REF!</v>
      </c>
      <c r="T149" s="460" t="e">
        <f>IF(+All!#REF!="Utah State",+All!#REF!,IF(+All!#REF!="Utah State",+All!#REF!,0))</f>
        <v>#REF!</v>
      </c>
      <c r="U149" s="461" t="e">
        <f>IF(+All!#REF!="Utah State",+All!#REF!,IF(+All!#REF!="Utah State",+All!#REF!,0))</f>
        <v>#REF!</v>
      </c>
    </row>
    <row r="150" spans="1:21" x14ac:dyDescent="0.8">
      <c r="A150" s="46">
        <f>IF(+All!$F294="Utah State",+All!A294,IF(+All!$H294="Utah State",+All!A294,0))</f>
        <v>4</v>
      </c>
      <c r="B150" s="348" t="str">
        <f>IF(+All!$F294="Utah State",+All!B294,IF(+All!$H294="Utah State",+All!B294,0))</f>
        <v>Sat</v>
      </c>
      <c r="C150" s="48">
        <f>IF(+All!$F294="Utah State",+All!C294,IF(+All!$H294="Utah State",+All!C294,0))</f>
        <v>44828</v>
      </c>
      <c r="D150" s="490">
        <f>IF(+All!$F294="Utah State",+All!D294,IF(+All!$H294="Utah State",+All!D294,0))</f>
        <v>0.79166666666666663</v>
      </c>
      <c r="E150" s="461" t="str">
        <f>IF(+All!$F294="Utah State",+All!E294,IF(+All!$H294="Utah State",+All!E294,0))</f>
        <v>CBSSN</v>
      </c>
      <c r="F150" s="51" t="str">
        <f>IF(+All!$F294="Utah State",+All!F294,IF(+All!$H294="Utah State",+All!F294,0))</f>
        <v>UNLV</v>
      </c>
      <c r="G150" s="52" t="str">
        <f>IF(+All!$F294="Utah State",+All!G294,IF(+All!$H294="Utah State",+All!G294,0))</f>
        <v>MWC</v>
      </c>
      <c r="H150" s="51" t="str">
        <f>IF(+All!$F294="Utah State",+All!H294,IF(+All!$H294="Utah State",+All!H294,0))</f>
        <v>Utah State</v>
      </c>
      <c r="I150" s="52" t="str">
        <f>IF(+All!$F294="Utah State",+All!I294,IF(+All!$H294="Utah State",+All!I294,0))</f>
        <v>MWC</v>
      </c>
      <c r="J150" s="460" t="str">
        <f>IF(+All!$F294="Utah State",+All!J294,IF(+All!$H294="Utah State",+All!J294,0))</f>
        <v>UNLV</v>
      </c>
      <c r="K150" s="461" t="str">
        <f>IF(+All!$F294="Utah State",+All!K294,IF(+All!$H294="Utah State",+All!K294,0))</f>
        <v>Utah State</v>
      </c>
      <c r="L150" s="54">
        <f>IF(+All!$F294="Utah State",+All!L294,IF(+All!$H294="Utah State",+All!L294,0))</f>
        <v>2.5</v>
      </c>
      <c r="M150" s="55">
        <f>IF(+All!$F294="Utah State",+All!M294,IF(+All!$H294="Utah State",+All!M294,0))</f>
        <v>60.5</v>
      </c>
      <c r="N150" s="460" t="str">
        <f>IF(+All!$F294="Utah State",+All!N294,IF(+All!$H294="Utah State",+All!N294,0))</f>
        <v>UNLV</v>
      </c>
      <c r="O150" s="462">
        <f>IF(+All!$F294="Utah State",+All!O294,IF(+All!$H294="Utah State",+All!O294,0))</f>
        <v>34</v>
      </c>
      <c r="P150" s="462" t="str">
        <f>IF(+All!$F294="Utah State",+All!P294,IF(+All!$H294="Utah State",+All!P294,0))</f>
        <v>Utah State</v>
      </c>
      <c r="Q150" s="461">
        <f>IF(+All!$F294="Utah State",+All!Q294,IF(+All!$H294="Utah State",+All!Q294,0))</f>
        <v>24</v>
      </c>
      <c r="R150" s="460" t="str">
        <f>IF(+All!$F294="Utah State",+All!R294,IF(+All!$H294="Utah State",+All!R294,0))</f>
        <v>UNLV</v>
      </c>
      <c r="S150" s="462" t="str">
        <f>IF(+All!$F294="Utah State",+All!S294,IF(+All!$H294="Utah State",+All!S294,0))</f>
        <v>Utah State</v>
      </c>
      <c r="T150" s="460" t="str">
        <f>IF(+All!$F294="Utah State",+All!T294,IF(+All!$H294="Utah State",+All!T294,0))</f>
        <v>UNLV</v>
      </c>
      <c r="U150" s="461" t="str">
        <f>IF(+All!$F294="Utah State",+All!U294,IF(+All!$H294="Utah State",+All!U294,0))</f>
        <v>W</v>
      </c>
    </row>
    <row r="151" spans="1:21" x14ac:dyDescent="0.8">
      <c r="A151" s="46" t="e">
        <f>IF(+All!#REF!="Utah State",+All!#REF!,IF(+All!#REF!="Utah State",+All!#REF!,0))</f>
        <v>#REF!</v>
      </c>
      <c r="B151" s="348" t="e">
        <f>IF(+All!#REF!="Utah State",+All!#REF!,IF(+All!#REF!="Utah State",+All!#REF!,0))</f>
        <v>#REF!</v>
      </c>
      <c r="C151" s="48" t="e">
        <f>IF(+All!#REF!="Utah State",+All!#REF!,IF(+All!#REF!="Utah State",+All!#REF!,0))</f>
        <v>#REF!</v>
      </c>
      <c r="D151" s="490" t="e">
        <f>IF(+All!#REF!="Utah State",+All!#REF!,IF(+All!#REF!="Utah State",+All!#REF!,0))</f>
        <v>#REF!</v>
      </c>
      <c r="E151" s="461" t="e">
        <f>IF(+All!#REF!="Utah State",+All!#REF!,IF(+All!#REF!="Utah State",+All!#REF!,0))</f>
        <v>#REF!</v>
      </c>
      <c r="F151" s="51" t="e">
        <f>IF(+All!#REF!="Utah State",+All!#REF!,IF(+All!#REF!="Utah State",+All!#REF!,0))</f>
        <v>#REF!</v>
      </c>
      <c r="G151" s="52" t="e">
        <f>IF(+All!#REF!="Utah State",+All!#REF!,IF(+All!#REF!="Utah State",+All!#REF!,0))</f>
        <v>#REF!</v>
      </c>
      <c r="H151" s="51" t="e">
        <f>IF(+All!#REF!="Utah State",+All!#REF!,IF(+All!#REF!="Utah State",+All!#REF!,0))</f>
        <v>#REF!</v>
      </c>
      <c r="I151" s="52" t="e">
        <f>IF(+All!#REF!="Utah State",+All!#REF!,IF(+All!#REF!="Utah State",+All!#REF!,0))</f>
        <v>#REF!</v>
      </c>
      <c r="J151" s="460" t="e">
        <f>IF(+All!#REF!="Utah State",+All!#REF!,IF(+All!#REF!="Utah State",+All!#REF!,0))</f>
        <v>#REF!</v>
      </c>
      <c r="K151" s="461" t="e">
        <f>IF(+All!#REF!="Utah State",+All!#REF!,IF(+All!#REF!="Utah State",+All!#REF!,0))</f>
        <v>#REF!</v>
      </c>
      <c r="L151" s="54" t="e">
        <f>IF(+All!#REF!="Utah State",+All!#REF!,IF(+All!#REF!="Utah State",+All!#REF!,0))</f>
        <v>#REF!</v>
      </c>
      <c r="M151" s="55" t="e">
        <f>IF(+All!#REF!="Utah State",+All!#REF!,IF(+All!#REF!="Utah State",+All!#REF!,0))</f>
        <v>#REF!</v>
      </c>
      <c r="N151" s="460" t="e">
        <f>IF(+All!#REF!="Utah State",+All!#REF!,IF(+All!#REF!="Utah State",+All!#REF!,0))</f>
        <v>#REF!</v>
      </c>
      <c r="O151" s="462" t="e">
        <f>IF(+All!#REF!="Utah State",+All!#REF!,IF(+All!#REF!="Utah State",+All!#REF!,0))</f>
        <v>#REF!</v>
      </c>
      <c r="P151" s="462" t="e">
        <f>IF(+All!#REF!="Utah State",+All!#REF!,IF(+All!#REF!="Utah State",+All!#REF!,0))</f>
        <v>#REF!</v>
      </c>
      <c r="Q151" s="461" t="e">
        <f>IF(+All!#REF!="Utah State",+All!#REF!,IF(+All!#REF!="Utah State",+All!#REF!,0))</f>
        <v>#REF!</v>
      </c>
      <c r="R151" s="460" t="e">
        <f>IF(+All!#REF!="Utah State",+All!#REF!,IF(+All!#REF!="Utah State",+All!#REF!,0))</f>
        <v>#REF!</v>
      </c>
      <c r="S151" s="462" t="e">
        <f>IF(+All!#REF!="Utah State",+All!#REF!,IF(+All!#REF!="Utah State",+All!#REF!,0))</f>
        <v>#REF!</v>
      </c>
      <c r="T151" s="460" t="e">
        <f>IF(+All!#REF!="Utah State",+All!#REF!,IF(+All!#REF!="Utah State",+All!#REF!,0))</f>
        <v>#REF!</v>
      </c>
      <c r="U151" s="461" t="e">
        <f>IF(+All!#REF!="Utah State",+All!#REF!,IF(+All!#REF!="Utah State",+All!#REF!,0))</f>
        <v>#REF!</v>
      </c>
    </row>
    <row r="152" spans="1:21" x14ac:dyDescent="0.8">
      <c r="A152" s="46">
        <f>IF(+All!$F318="Utah State",+All!A318,IF(+All!$H318="Utah State",+All!A318,0))</f>
        <v>5</v>
      </c>
      <c r="B152" s="348" t="str">
        <f>IF(+All!$F318="Utah State",+All!B318,IF(+All!$H318="Utah State",+All!B318,0))</f>
        <v>Thurs</v>
      </c>
      <c r="C152" s="48">
        <f>IF(+All!$F318="Utah State",+All!C318,IF(+All!$H318="Utah State",+All!C318,0))</f>
        <v>44833</v>
      </c>
      <c r="D152" s="490">
        <f>IF(+All!$F318="Utah State",+All!D318,IF(+All!$H318="Utah State",+All!D318,0))</f>
        <v>0.83333333333333337</v>
      </c>
      <c r="E152" s="461" t="str">
        <f>IF(+All!$F318="Utah State",+All!E318,IF(+All!$H318="Utah State",+All!E318,0))</f>
        <v>ESPN</v>
      </c>
      <c r="F152" s="51" t="str">
        <f>IF(+All!$F318="Utah State",+All!F318,IF(+All!$H318="Utah State",+All!F318,0))</f>
        <v>Utah State</v>
      </c>
      <c r="G152" s="52" t="str">
        <f>IF(+All!$F318="Utah State",+All!G318,IF(+All!$H318="Utah State",+All!G318,0))</f>
        <v>MWC</v>
      </c>
      <c r="H152" s="51" t="str">
        <f>IF(+All!$F318="Utah State",+All!H318,IF(+All!$H318="Utah State",+All!H318,0))</f>
        <v>BYU</v>
      </c>
      <c r="I152" s="52" t="str">
        <f>IF(+All!$F318="Utah State",+All!I318,IF(+All!$H318="Utah State",+All!I318,0))</f>
        <v>Ind</v>
      </c>
      <c r="J152" s="460" t="str">
        <f>IF(+All!$F318="Utah State",+All!J318,IF(+All!$H318="Utah State",+All!J318,0))</f>
        <v>BYU</v>
      </c>
      <c r="K152" s="461" t="str">
        <f>IF(+All!$F318="Utah State",+All!K318,IF(+All!$H318="Utah State",+All!K318,0))</f>
        <v>Utah State</v>
      </c>
      <c r="L152" s="54">
        <f>IF(+All!$F318="Utah State",+All!L318,IF(+All!$H318="Utah State",+All!L318,0))</f>
        <v>24</v>
      </c>
      <c r="M152" s="55">
        <f>IF(+All!$F318="Utah State",+All!M318,IF(+All!$H318="Utah State",+All!M318,0))</f>
        <v>60.5</v>
      </c>
      <c r="N152" s="460" t="str">
        <f>IF(+All!$F318="Utah State",+All!N318,IF(+All!$H318="Utah State",+All!N318,0))</f>
        <v>BYU</v>
      </c>
      <c r="O152" s="462">
        <f>IF(+All!$F318="Utah State",+All!O318,IF(+All!$H318="Utah State",+All!O318,0))</f>
        <v>38</v>
      </c>
      <c r="P152" s="462" t="str">
        <f>IF(+All!$F318="Utah State",+All!P318,IF(+All!$H318="Utah State",+All!P318,0))</f>
        <v>Utah State</v>
      </c>
      <c r="Q152" s="461">
        <f>IF(+All!$F318="Utah State",+All!Q318,IF(+All!$H318="Utah State",+All!Q318,0))</f>
        <v>26</v>
      </c>
      <c r="R152" s="460" t="str">
        <f>IF(+All!$F318="Utah State",+All!R318,IF(+All!$H318="Utah State",+All!R318,0))</f>
        <v>Utah State</v>
      </c>
      <c r="S152" s="462" t="str">
        <f>IF(+All!$F318="Utah State",+All!S318,IF(+All!$H318="Utah State",+All!S318,0))</f>
        <v>BYU</v>
      </c>
      <c r="T152" s="460" t="str">
        <f>IF(+All!$F318="Utah State",+All!T318,IF(+All!$H318="Utah State",+All!T318,0))</f>
        <v>BYU</v>
      </c>
      <c r="U152" s="461" t="str">
        <f>IF(+All!$F318="Utah State",+All!U318,IF(+All!$H318="Utah State",+All!U318,0))</f>
        <v>L</v>
      </c>
    </row>
    <row r="153" spans="1:21" x14ac:dyDescent="0.8">
      <c r="A153" s="46">
        <f>IF(+All!$F420="Utah State",+All!A420,IF(+All!$H420="Utah State",+All!A420,0))</f>
        <v>6</v>
      </c>
      <c r="B153" s="348" t="str">
        <f>IF(+All!$F420="Utah State",+All!B420,IF(+All!$H420="Utah State",+All!B420,0))</f>
        <v>Sat</v>
      </c>
      <c r="C153" s="48">
        <f>IF(+All!$F420="Utah State",+All!C420,IF(+All!$H420="Utah State",+All!C420,0))</f>
        <v>44842</v>
      </c>
      <c r="D153" s="490">
        <f>IF(+All!$F420="Utah State",+All!D420,IF(+All!$H420="Utah State",+All!D420,0))</f>
        <v>0.79166666666666663</v>
      </c>
      <c r="E153" s="461" t="str">
        <f>IF(+All!$F420="Utah State",+All!E420,IF(+All!$H420="Utah State",+All!E420,0))</f>
        <v>FS1</v>
      </c>
      <c r="F153" s="51" t="str">
        <f>IF(+All!$F420="Utah State",+All!F420,IF(+All!$H420="Utah State",+All!F420,0))</f>
        <v>Air Force</v>
      </c>
      <c r="G153" s="52" t="str">
        <f>IF(+All!$F420="Utah State",+All!G420,IF(+All!$H420="Utah State",+All!G420,0))</f>
        <v>MWC</v>
      </c>
      <c r="H153" s="51" t="str">
        <f>IF(+All!$F420="Utah State",+All!H420,IF(+All!$H420="Utah State",+All!H420,0))</f>
        <v>Utah State</v>
      </c>
      <c r="I153" s="52" t="str">
        <f>IF(+All!$F420="Utah State",+All!I420,IF(+All!$H420="Utah State",+All!I420,0))</f>
        <v>MWC</v>
      </c>
      <c r="J153" s="460" t="str">
        <f>IF(+All!$F420="Utah State",+All!J420,IF(+All!$H420="Utah State",+All!J420,0))</f>
        <v>Air Force</v>
      </c>
      <c r="K153" s="461" t="str">
        <f>IF(+All!$F420="Utah State",+All!K420,IF(+All!$H420="Utah State",+All!K420,0))</f>
        <v>Utah State</v>
      </c>
      <c r="L153" s="54">
        <f>IF(+All!$F420="Utah State",+All!L420,IF(+All!$H420="Utah State",+All!L420,0))</f>
        <v>10</v>
      </c>
      <c r="M153" s="55">
        <f>IF(+All!$F420="Utah State",+All!M420,IF(+All!$H420="Utah State",+All!M420,0))</f>
        <v>56</v>
      </c>
      <c r="N153" s="460" t="str">
        <f>IF(+All!$F420="Utah State",+All!N420,IF(+All!$H420="Utah State",+All!N420,0))</f>
        <v>Utah State</v>
      </c>
      <c r="O153" s="462">
        <f>IF(+All!$F420="Utah State",+All!O420,IF(+All!$H420="Utah State",+All!O420,0))</f>
        <v>34</v>
      </c>
      <c r="P153" s="462" t="str">
        <f>IF(+All!$F420="Utah State",+All!P420,IF(+All!$H420="Utah State",+All!P420,0))</f>
        <v>Air Force</v>
      </c>
      <c r="Q153" s="461">
        <f>IF(+All!$F420="Utah State",+All!Q420,IF(+All!$H420="Utah State",+All!Q420,0))</f>
        <v>27</v>
      </c>
      <c r="R153" s="460" t="str">
        <f>IF(+All!$F420="Utah State",+All!R420,IF(+All!$H420="Utah State",+All!R420,0))</f>
        <v>Utah State</v>
      </c>
      <c r="S153" s="462" t="str">
        <f>IF(+All!$F420="Utah State",+All!S420,IF(+All!$H420="Utah State",+All!S420,0))</f>
        <v>Air Force</v>
      </c>
      <c r="T153" s="460" t="str">
        <f>IF(+All!$F420="Utah State",+All!T420,IF(+All!$H420="Utah State",+All!T420,0))</f>
        <v>Air Force</v>
      </c>
      <c r="U153" s="461" t="str">
        <f>IF(+All!$F420="Utah State",+All!U420,IF(+All!$H420="Utah State",+All!U420,0))</f>
        <v>L</v>
      </c>
    </row>
    <row r="154" spans="1:21" x14ac:dyDescent="0.8">
      <c r="A154" s="46">
        <f>IF(+All!$F473="Utah State",+All!A473,IF(+All!$H473="Utah State",+All!A473,0))</f>
        <v>7</v>
      </c>
      <c r="B154" s="348" t="str">
        <f>IF(+All!$F473="Utah State",+All!B473,IF(+All!$H473="Utah State",+All!B473,0))</f>
        <v>Sat</v>
      </c>
      <c r="C154" s="48">
        <f>IF(+All!$F473="Utah State",+All!C473,IF(+All!$H473="Utah State",+All!C473,0))</f>
        <v>44849</v>
      </c>
      <c r="D154" s="490">
        <f>IF(+All!$F473="Utah State",+All!D473,IF(+All!$H473="Utah State",+All!D473,0))</f>
        <v>0.79166666666666663</v>
      </c>
      <c r="E154" s="461" t="str">
        <f>IF(+All!$F473="Utah State",+All!E473,IF(+All!$H473="Utah State",+All!E473,0))</f>
        <v>CBSSN</v>
      </c>
      <c r="F154" s="51" t="str">
        <f>IF(+All!$F473="Utah State",+All!F473,IF(+All!$H473="Utah State",+All!F473,0))</f>
        <v>Utah State</v>
      </c>
      <c r="G154" s="52" t="str">
        <f>IF(+All!$F473="Utah State",+All!G473,IF(+All!$H473="Utah State",+All!G473,0))</f>
        <v>MWC</v>
      </c>
      <c r="H154" s="51" t="str">
        <f>IF(+All!$F473="Utah State",+All!H473,IF(+All!$H473="Utah State",+All!H473,0))</f>
        <v>Colorado State</v>
      </c>
      <c r="I154" s="52" t="str">
        <f>IF(+All!$F473="Utah State",+All!I473,IF(+All!$H473="Utah State",+All!I473,0))</f>
        <v>MWC</v>
      </c>
      <c r="J154" s="460" t="str">
        <f>IF(+All!$F473="Utah State",+All!J473,IF(+All!$H473="Utah State",+All!J473,0))</f>
        <v>Utah State</v>
      </c>
      <c r="K154" s="461" t="str">
        <f>IF(+All!$F473="Utah State",+All!K473,IF(+All!$H473="Utah State",+All!K473,0))</f>
        <v>Colorado State</v>
      </c>
      <c r="L154" s="54">
        <f>IF(+All!$F473="Utah State",+All!L473,IF(+All!$H473="Utah State",+All!L473,0))</f>
        <v>11</v>
      </c>
      <c r="M154" s="55">
        <f>IF(+All!$F473="Utah State",+All!M473,IF(+All!$H473="Utah State",+All!M473,0))</f>
        <v>46</v>
      </c>
      <c r="N154" s="460" t="str">
        <f>IF(+All!$F473="Utah State",+All!N473,IF(+All!$H473="Utah State",+All!N473,0))</f>
        <v>Utah State</v>
      </c>
      <c r="O154" s="462">
        <f>IF(+All!$F473="Utah State",+All!O473,IF(+All!$H473="Utah State",+All!O473,0))</f>
        <v>17</v>
      </c>
      <c r="P154" s="462" t="str">
        <f>IF(+All!$F473="Utah State",+All!P473,IF(+All!$H473="Utah State",+All!P473,0))</f>
        <v>Colorado State</v>
      </c>
      <c r="Q154" s="461">
        <f>IF(+All!$F473="Utah State",+All!Q473,IF(+All!$H473="Utah State",+All!Q473,0))</f>
        <v>13</v>
      </c>
      <c r="R154" s="460" t="str">
        <f>IF(+All!$F473="Utah State",+All!R473,IF(+All!$H473="Utah State",+All!R473,0))</f>
        <v>Colorado State</v>
      </c>
      <c r="S154" s="462" t="str">
        <f>IF(+All!$F473="Utah State",+All!S473,IF(+All!$H473="Utah State",+All!S473,0))</f>
        <v>Utah State</v>
      </c>
      <c r="T154" s="460" t="str">
        <f>IF(+All!$F473="Utah State",+All!T473,IF(+All!$H473="Utah State",+All!T473,0))</f>
        <v>Utah State</v>
      </c>
      <c r="U154" s="461" t="str">
        <f>IF(+All!$F473="Utah State",+All!U473,IF(+All!$H473="Utah State",+All!U473,0))</f>
        <v>L</v>
      </c>
    </row>
    <row r="155" spans="1:21" x14ac:dyDescent="0.8">
      <c r="A155" s="46">
        <f>IF(+All!$F531="Utah State",+All!A531,IF(+All!$H531="Utah State",+All!A531,0))</f>
        <v>8</v>
      </c>
      <c r="B155" s="348" t="str">
        <f>IF(+All!$F531="Utah State",+All!B531,IF(+All!$H531="Utah State",+All!B531,0))</f>
        <v>Sat</v>
      </c>
      <c r="C155" s="48">
        <f>IF(+All!$F531="Utah State",+All!C531,IF(+All!$H531="Utah State",+All!C531,0))</f>
        <v>44856</v>
      </c>
      <c r="D155" s="490">
        <f>IF(+All!$F531="Utah State",+All!D531,IF(+All!$H531="Utah State",+All!D531,0))</f>
        <v>0.90625</v>
      </c>
      <c r="E155" s="461">
        <f>IF(+All!$F531="Utah State",+All!E531,IF(+All!$H531="Utah State",+All!E531,0))</f>
        <v>0</v>
      </c>
      <c r="F155" s="51" t="str">
        <f>IF(+All!$F531="Utah State",+All!F531,IF(+All!$H531="Utah State",+All!F531,0))</f>
        <v>Utah State</v>
      </c>
      <c r="G155" s="52" t="str">
        <f>IF(+All!$F531="Utah State",+All!G531,IF(+All!$H531="Utah State",+All!G531,0))</f>
        <v>MWC</v>
      </c>
      <c r="H155" s="51" t="str">
        <f>IF(+All!$F531="Utah State",+All!H531,IF(+All!$H531="Utah State",+All!H531,0))</f>
        <v>Wyoming</v>
      </c>
      <c r="I155" s="52" t="str">
        <f>IF(+All!$F531="Utah State",+All!I531,IF(+All!$H531="Utah State",+All!I531,0))</f>
        <v>MWC</v>
      </c>
      <c r="J155" s="460" t="str">
        <f>IF(+All!$F531="Utah State",+All!J531,IF(+All!$H531="Utah State",+All!J531,0))</f>
        <v>Wyoming</v>
      </c>
      <c r="K155" s="461" t="str">
        <f>IF(+All!$F531="Utah State",+All!K531,IF(+All!$H531="Utah State",+All!K531,0))</f>
        <v>Utah State</v>
      </c>
      <c r="L155" s="54">
        <f>IF(+All!$F531="Utah State",+All!L531,IF(+All!$H531="Utah State",+All!L531,0))</f>
        <v>4.5</v>
      </c>
      <c r="M155" s="55">
        <f>IF(+All!$F531="Utah State",+All!M531,IF(+All!$H531="Utah State",+All!M531,0))</f>
        <v>42</v>
      </c>
      <c r="N155" s="460" t="str">
        <f>IF(+All!$F531="Utah State",+All!N531,IF(+All!$H531="Utah State",+All!N531,0))</f>
        <v>Wyoming</v>
      </c>
      <c r="O155" s="462">
        <f>IF(+All!$F531="Utah State",+All!O531,IF(+All!$H531="Utah State",+All!O531,0))</f>
        <v>28</v>
      </c>
      <c r="P155" s="462" t="str">
        <f>IF(+All!$F531="Utah State",+All!P531,IF(+All!$H531="Utah State",+All!P531,0))</f>
        <v>Utah State</v>
      </c>
      <c r="Q155" s="461">
        <f>IF(+All!$F531="Utah State",+All!Q531,IF(+All!$H531="Utah State",+All!Q531,0))</f>
        <v>14</v>
      </c>
      <c r="R155" s="460" t="str">
        <f>IF(+All!$F531="Utah State",+All!R531,IF(+All!$H531="Utah State",+All!R531,0))</f>
        <v>Wyoming</v>
      </c>
      <c r="S155" s="462" t="str">
        <f>IF(+All!$F531="Utah State",+All!S531,IF(+All!$H531="Utah State",+All!S531,0))</f>
        <v>Utah State</v>
      </c>
      <c r="T155" s="460" t="str">
        <f>IF(+All!$F531="Utah State",+All!T531,IF(+All!$H531="Utah State",+All!T531,0))</f>
        <v>Utah State</v>
      </c>
      <c r="U155" s="461" t="str">
        <f>IF(+All!$F531="Utah State",+All!U531,IF(+All!$H531="Utah State",+All!U531,0))</f>
        <v>L</v>
      </c>
    </row>
    <row r="156" spans="1:21" x14ac:dyDescent="0.8">
      <c r="A156" s="46" t="e">
        <f>IF(+All!#REF!="Utah State",+All!#REF!,IF(+All!#REF!="Utah State",+All!#REF!,0))</f>
        <v>#REF!</v>
      </c>
      <c r="B156" s="348" t="e">
        <f>IF(+All!#REF!="Utah State",+All!#REF!,IF(+All!#REF!="Utah State",+All!#REF!,0))</f>
        <v>#REF!</v>
      </c>
      <c r="C156" s="48" t="e">
        <f>IF(+All!#REF!="Utah State",+All!#REF!,IF(+All!#REF!="Utah State",+All!#REF!,0))</f>
        <v>#REF!</v>
      </c>
      <c r="D156" s="490" t="e">
        <f>IF(+All!#REF!="Utah State",+All!#REF!,IF(+All!#REF!="Utah State",+All!#REF!,0))</f>
        <v>#REF!</v>
      </c>
      <c r="E156" s="461" t="e">
        <f>IF(+All!#REF!="Utah State",+All!#REF!,IF(+All!#REF!="Utah State",+All!#REF!,0))</f>
        <v>#REF!</v>
      </c>
      <c r="F156" s="51" t="e">
        <f>IF(+All!#REF!="Utah State",+All!#REF!,IF(+All!#REF!="Utah State",+All!#REF!,0))</f>
        <v>#REF!</v>
      </c>
      <c r="G156" s="52" t="e">
        <f>IF(+All!#REF!="Utah State",+All!#REF!,IF(+All!#REF!="Utah State",+All!#REF!,0))</f>
        <v>#REF!</v>
      </c>
      <c r="H156" s="51" t="e">
        <f>IF(+All!#REF!="Utah State",+All!#REF!,IF(+All!#REF!="Utah State",+All!#REF!,0))</f>
        <v>#REF!</v>
      </c>
      <c r="I156" s="52" t="e">
        <f>IF(+All!#REF!="Utah State",+All!#REF!,IF(+All!#REF!="Utah State",+All!#REF!,0))</f>
        <v>#REF!</v>
      </c>
      <c r="J156" s="460" t="e">
        <f>IF(+All!#REF!="Utah State",+All!#REF!,IF(+All!#REF!="Utah State",+All!#REF!,0))</f>
        <v>#REF!</v>
      </c>
      <c r="K156" s="461" t="e">
        <f>IF(+All!#REF!="Utah State",+All!#REF!,IF(+All!#REF!="Utah State",+All!#REF!,0))</f>
        <v>#REF!</v>
      </c>
      <c r="L156" s="54" t="e">
        <f>IF(+All!#REF!="Utah State",+All!#REF!,IF(+All!#REF!="Utah State",+All!#REF!,0))</f>
        <v>#REF!</v>
      </c>
      <c r="M156" s="55" t="e">
        <f>IF(+All!#REF!="Utah State",+All!#REF!,IF(+All!#REF!="Utah State",+All!#REF!,0))</f>
        <v>#REF!</v>
      </c>
      <c r="N156" s="460" t="e">
        <f>IF(+All!#REF!="Utah State",+All!#REF!,IF(+All!#REF!="Utah State",+All!#REF!,0))</f>
        <v>#REF!</v>
      </c>
      <c r="O156" s="462" t="e">
        <f>IF(+All!#REF!="Utah State",+All!#REF!,IF(+All!#REF!="Utah State",+All!#REF!,0))</f>
        <v>#REF!</v>
      </c>
      <c r="P156" s="462" t="e">
        <f>IF(+All!#REF!="Utah State",+All!#REF!,IF(+All!#REF!="Utah State",+All!#REF!,0))</f>
        <v>#REF!</v>
      </c>
      <c r="Q156" s="461" t="e">
        <f>IF(+All!#REF!="Utah State",+All!#REF!,IF(+All!#REF!="Utah State",+All!#REF!,0))</f>
        <v>#REF!</v>
      </c>
      <c r="R156" s="460" t="e">
        <f>IF(+All!#REF!="Utah State",+All!#REF!,IF(+All!#REF!="Utah State",+All!#REF!,0))</f>
        <v>#REF!</v>
      </c>
      <c r="S156" s="462" t="e">
        <f>IF(+All!#REF!="Utah State",+All!#REF!,IF(+All!#REF!="Utah State",+All!#REF!,0))</f>
        <v>#REF!</v>
      </c>
      <c r="T156" s="460" t="e">
        <f>IF(+All!#REF!="Utah State",+All!#REF!,IF(+All!#REF!="Utah State",+All!#REF!,0))</f>
        <v>#REF!</v>
      </c>
      <c r="U156" s="461" t="e">
        <f>IF(+All!#REF!="Utah State",+All!#REF!,IF(+All!#REF!="Utah State",+All!#REF!,0))</f>
        <v>#REF!</v>
      </c>
    </row>
    <row r="157" spans="1:21" x14ac:dyDescent="0.8">
      <c r="A157" s="46">
        <f>IF(+All!$F635="Utah State",+All!A635,IF(+All!$H635="Utah State",+All!A635,0))</f>
        <v>10</v>
      </c>
      <c r="B157" s="348" t="str">
        <f>IF(+All!$F635="Utah State",+All!B635,IF(+All!$H635="Utah State",+All!B635,0))</f>
        <v>Sat</v>
      </c>
      <c r="C157" s="48">
        <f>IF(+All!$F635="Utah State",+All!C635,IF(+All!$H635="Utah State",+All!C635,0))</f>
        <v>44870</v>
      </c>
      <c r="D157" s="490">
        <f>IF(+All!$F635="Utah State",+All!D635,IF(+All!$H635="Utah State",+All!D635,0))</f>
        <v>0.64583333333333337</v>
      </c>
      <c r="E157" s="461" t="str">
        <f>IF(+All!$F635="Utah State",+All!E635,IF(+All!$H635="Utah State",+All!E635,0))</f>
        <v>CBSSN</v>
      </c>
      <c r="F157" s="51" t="str">
        <f>IF(+All!$F635="Utah State",+All!F635,IF(+All!$H635="Utah State",+All!F635,0))</f>
        <v>New Mexico</v>
      </c>
      <c r="G157" s="52" t="str">
        <f>IF(+All!$F635="Utah State",+All!G635,IF(+All!$H635="Utah State",+All!G635,0))</f>
        <v>MWC</v>
      </c>
      <c r="H157" s="51" t="str">
        <f>IF(+All!$F635="Utah State",+All!H635,IF(+All!$H635="Utah State",+All!H635,0))</f>
        <v>Utah State</v>
      </c>
      <c r="I157" s="52" t="str">
        <f>IF(+All!$F635="Utah State",+All!I635,IF(+All!$H635="Utah State",+All!I635,0))</f>
        <v>MWC</v>
      </c>
      <c r="J157" s="460" t="str">
        <f>IF(+All!$F635="Utah State",+All!J635,IF(+All!$H635="Utah State",+All!J635,0))</f>
        <v>Utah State</v>
      </c>
      <c r="K157" s="461" t="str">
        <f>IF(+All!$F635="Utah State",+All!K635,IF(+All!$H635="Utah State",+All!K635,0))</f>
        <v>New Mexico</v>
      </c>
      <c r="L157" s="54">
        <f>IF(+All!$F635="Utah State",+All!L635,IF(+All!$H635="Utah State",+All!L635,0))</f>
        <v>14.5</v>
      </c>
      <c r="M157" s="55">
        <f>IF(+All!$F635="Utah State",+All!M635,IF(+All!$H635="Utah State",+All!M635,0))</f>
        <v>43.5</v>
      </c>
      <c r="N157" s="460" t="str">
        <f>IF(+All!$F635="Utah State",+All!N635,IF(+All!$H635="Utah State",+All!N635,0))</f>
        <v>Utah State</v>
      </c>
      <c r="O157" s="462">
        <f>IF(+All!$F635="Utah State",+All!O635,IF(+All!$H635="Utah State",+All!O635,0))</f>
        <v>27</v>
      </c>
      <c r="P157" s="462" t="str">
        <f>IF(+All!$F635="Utah State",+All!P635,IF(+All!$H635="Utah State",+All!P635,0))</f>
        <v>New Mexico</v>
      </c>
      <c r="Q157" s="461">
        <f>IF(+All!$F635="Utah State",+All!Q635,IF(+All!$H635="Utah State",+All!Q635,0))</f>
        <v>10</v>
      </c>
      <c r="R157" s="460" t="str">
        <f>IF(+All!$F635="Utah State",+All!R635,IF(+All!$H635="Utah State",+All!R635,0))</f>
        <v>Utah State</v>
      </c>
      <c r="S157" s="462" t="str">
        <f>IF(+All!$F635="Utah State",+All!S635,IF(+All!$H635="Utah State",+All!S635,0))</f>
        <v>New Mexico</v>
      </c>
      <c r="T157" s="460" t="str">
        <f>IF(+All!$F635="Utah State",+All!T635,IF(+All!$H635="Utah State",+All!T635,0))</f>
        <v>New Mexico</v>
      </c>
      <c r="U157" s="461" t="str">
        <f>IF(+All!$F635="Utah State",+All!U635,IF(+All!$H635="Utah State",+All!U635,0))</f>
        <v>L</v>
      </c>
    </row>
    <row r="158" spans="1:21" x14ac:dyDescent="0.8">
      <c r="A158" s="46">
        <f>IF(+All!$F696="Utah State",+All!A696,IF(+All!$H696="Utah State",+All!A696,0))</f>
        <v>11</v>
      </c>
      <c r="B158" s="348" t="str">
        <f>IF(+All!$F696="Utah State",+All!B696,IF(+All!$H696="Utah State",+All!B696,0))</f>
        <v>Sat</v>
      </c>
      <c r="C158" s="48">
        <f>IF(+All!$F696="Utah State",+All!C696,IF(+All!$H696="Utah State",+All!C696,0))</f>
        <v>44877</v>
      </c>
      <c r="D158" s="490">
        <f>IF(+All!$F696="Utah State",+All!D696,IF(+All!$H696="Utah State",+All!D696,0))</f>
        <v>0.95833333333333337</v>
      </c>
      <c r="E158" s="461">
        <f>IF(+All!$F696="Utah State",+All!E696,IF(+All!$H696="Utah State",+All!E696,0))</f>
        <v>0</v>
      </c>
      <c r="F158" s="51" t="str">
        <f>IF(+All!$F696="Utah State",+All!F696,IF(+All!$H696="Utah State",+All!F696,0))</f>
        <v>Utah State</v>
      </c>
      <c r="G158" s="52" t="str">
        <f>IF(+All!$F696="Utah State",+All!G696,IF(+All!$H696="Utah State",+All!G696,0))</f>
        <v>MWC</v>
      </c>
      <c r="H158" s="51" t="str">
        <f>IF(+All!$F696="Utah State",+All!H696,IF(+All!$H696="Utah State",+All!H696,0))</f>
        <v>Hawaii</v>
      </c>
      <c r="I158" s="52" t="str">
        <f>IF(+All!$F696="Utah State",+All!I696,IF(+All!$H696="Utah State",+All!I696,0))</f>
        <v>MWC</v>
      </c>
      <c r="J158" s="460" t="str">
        <f>IF(+All!$F696="Utah State",+All!J696,IF(+All!$H696="Utah State",+All!J696,0))</f>
        <v>Utah State</v>
      </c>
      <c r="K158" s="461" t="str">
        <f>IF(+All!$F696="Utah State",+All!K696,IF(+All!$H696="Utah State",+All!K696,0))</f>
        <v>Hawaii</v>
      </c>
      <c r="L158" s="54">
        <f>IF(+All!$F696="Utah State",+All!L696,IF(+All!$H696="Utah State",+All!L696,0))</f>
        <v>11.5</v>
      </c>
      <c r="M158" s="55">
        <f>IF(+All!$F696="Utah State",+All!M696,IF(+All!$H696="Utah State",+All!M696,0))</f>
        <v>52.5</v>
      </c>
      <c r="N158" s="460" t="str">
        <f>IF(+All!$F696="Utah State",+All!N696,IF(+All!$H696="Utah State",+All!N696,0))</f>
        <v>Utah State</v>
      </c>
      <c r="O158" s="462">
        <f>IF(+All!$F696="Utah State",+All!O696,IF(+All!$H696="Utah State",+All!O696,0))</f>
        <v>41</v>
      </c>
      <c r="P158" s="462" t="str">
        <f>IF(+All!$F696="Utah State",+All!P696,IF(+All!$H696="Utah State",+All!P696,0))</f>
        <v>Hawaii</v>
      </c>
      <c r="Q158" s="461">
        <f>IF(+All!$F696="Utah State",+All!Q696,IF(+All!$H696="Utah State",+All!Q696,0))</f>
        <v>34</v>
      </c>
      <c r="R158" s="460" t="str">
        <f>IF(+All!$F696="Utah State",+All!R696,IF(+All!$H696="Utah State",+All!R696,0))</f>
        <v>Hawaii</v>
      </c>
      <c r="S158" s="462" t="str">
        <f>IF(+All!$F696="Utah State",+All!S696,IF(+All!$H696="Utah State",+All!S696,0))</f>
        <v>Utah State</v>
      </c>
      <c r="T158" s="460" t="str">
        <f>IF(+All!$F696="Utah State",+All!T696,IF(+All!$H696="Utah State",+All!T696,0))</f>
        <v>Hawaii</v>
      </c>
      <c r="U158" s="461" t="str">
        <f>IF(+All!$F696="Utah State",+All!U696,IF(+All!$H696="Utah State",+All!U696,0))</f>
        <v>W</v>
      </c>
    </row>
    <row r="159" spans="1:21" x14ac:dyDescent="0.8">
      <c r="A159" s="46">
        <f>IF(+All!$F787="Utah State",+All!A787,IF(+All!$H787="Utah State",+All!A787,0))</f>
        <v>13</v>
      </c>
      <c r="B159" s="348" t="str">
        <f>IF(+All!$F787="Utah State",+All!B787,IF(+All!$H787="Utah State",+All!B787,0))</f>
        <v>Fri</v>
      </c>
      <c r="C159" s="48">
        <f>IF(+All!$F787="Utah State",+All!C787,IF(+All!$H787="Utah State",+All!C787,0))</f>
        <v>44890</v>
      </c>
      <c r="D159" s="490">
        <f>IF(+All!$F787="Utah State",+All!D787,IF(+All!$H787="Utah State",+All!D787,0))</f>
        <v>0.5</v>
      </c>
      <c r="E159" s="461" t="str">
        <f>IF(+All!$F787="Utah State",+All!E787,IF(+All!$H787="Utah State",+All!E787,0))</f>
        <v>CBS</v>
      </c>
      <c r="F159" s="51" t="str">
        <f>IF(+All!$F787="Utah State",+All!F787,IF(+All!$H787="Utah State",+All!F787,0))</f>
        <v>Utah State</v>
      </c>
      <c r="G159" s="52" t="str">
        <f>IF(+All!$F787="Utah State",+All!G787,IF(+All!$H787="Utah State",+All!G787,0))</f>
        <v>MWC</v>
      </c>
      <c r="H159" s="51" t="str">
        <f>IF(+All!$F787="Utah State",+All!H787,IF(+All!$H787="Utah State",+All!H787,0))</f>
        <v>Boise State</v>
      </c>
      <c r="I159" s="52" t="str">
        <f>IF(+All!$F787="Utah State",+All!I787,IF(+All!$H787="Utah State",+All!I787,0))</f>
        <v>MWC</v>
      </c>
      <c r="J159" s="460" t="str">
        <f>IF(+All!$F787="Utah State",+All!J787,IF(+All!$H787="Utah State",+All!J787,0))</f>
        <v>Boise State</v>
      </c>
      <c r="K159" s="461" t="str">
        <f>IF(+All!$F787="Utah State",+All!K787,IF(+All!$H787="Utah State",+All!K787,0))</f>
        <v>Utah State</v>
      </c>
      <c r="L159" s="54">
        <f>IF(+All!$F787="Utah State",+All!L787,IF(+All!$H787="Utah State",+All!L787,0))</f>
        <v>17</v>
      </c>
      <c r="M159" s="55">
        <f>IF(+All!$F787="Utah State",+All!M787,IF(+All!$H787="Utah State",+All!M787,0))</f>
        <v>51.5</v>
      </c>
      <c r="N159" s="460" t="str">
        <f>IF(+All!$F787="Utah State",+All!N787,IF(+All!$H787="Utah State",+All!N787,0))</f>
        <v>Boise State</v>
      </c>
      <c r="O159" s="462">
        <f>IF(+All!$F787="Utah State",+All!O787,IF(+All!$H787="Utah State",+All!O787,0))</f>
        <v>42</v>
      </c>
      <c r="P159" s="462" t="str">
        <f>IF(+All!$F787="Utah State",+All!P787,IF(+All!$H787="Utah State",+All!P787,0))</f>
        <v>Utah State</v>
      </c>
      <c r="Q159" s="461">
        <f>IF(+All!$F787="Utah State",+All!Q787,IF(+All!$H787="Utah State",+All!Q787,0))</f>
        <v>23</v>
      </c>
      <c r="R159" s="460" t="str">
        <f>IF(+All!$F787="Utah State",+All!R787,IF(+All!$H787="Utah State",+All!R787,0))</f>
        <v>Boise State</v>
      </c>
      <c r="S159" s="462" t="str">
        <f>IF(+All!$F787="Utah State",+All!S787,IF(+All!$H787="Utah State",+All!S787,0))</f>
        <v>Utah State</v>
      </c>
      <c r="T159" s="460" t="str">
        <f>IF(+All!$F787="Utah State",+All!T787,IF(+All!$H787="Utah State",+All!T787,0))</f>
        <v>Boise State</v>
      </c>
      <c r="U159" s="461" t="str">
        <f>IF(+All!$F787="Utah State",+All!U787,IF(+All!$H787="Utah State",+All!U787,0))</f>
        <v>W</v>
      </c>
    </row>
    <row r="160" spans="1:21" x14ac:dyDescent="0.8">
      <c r="A160" s="38"/>
      <c r="B160" s="39"/>
      <c r="C160" s="40"/>
      <c r="D160" s="41"/>
      <c r="E160" s="463"/>
      <c r="F160" s="897" t="str">
        <f>H163</f>
        <v>Wyoming</v>
      </c>
      <c r="G160" s="903"/>
      <c r="H160" s="903"/>
      <c r="I160" s="904"/>
      <c r="J160" s="459"/>
      <c r="K160" s="463"/>
      <c r="L160" s="44"/>
      <c r="M160" s="45"/>
      <c r="N160" s="459"/>
      <c r="O160" s="5"/>
      <c r="P160" s="5"/>
      <c r="Q160" s="463"/>
      <c r="R160" s="459"/>
      <c r="S160" s="5"/>
      <c r="T160" s="459"/>
      <c r="U160" s="463"/>
    </row>
    <row r="161" spans="1:21" x14ac:dyDescent="0.8">
      <c r="A161" s="46">
        <f>IF(+All!$F6="Wyoming",+All!A6,IF(+All!$H6="Wyoming",+All!A6,0))</f>
        <v>0</v>
      </c>
      <c r="B161" s="348" t="str">
        <f>IF(+All!$F6="Wyoming",+All!B6,IF(+All!$H6="Wyoming",+All!B6,0))</f>
        <v>Sat</v>
      </c>
      <c r="C161" s="48">
        <f>IF(+All!$F6="Wyoming",+All!C6,IF(+All!$H6="Wyoming",+All!C6,0))</f>
        <v>44800</v>
      </c>
      <c r="D161" s="490">
        <f>IF(+All!$F6="Wyoming",+All!D6,IF(+All!$H6="Wyoming",+All!D6,0))</f>
        <v>0.66666666666666663</v>
      </c>
      <c r="E161" s="461" t="str">
        <f>IF(+All!$F6="Wyoming",+All!E6,IF(+All!$H6="Wyoming",+All!E6,0))</f>
        <v>BTN</v>
      </c>
      <c r="F161" s="51" t="str">
        <f>IF(+All!$F6="Wyoming",+All!F6,IF(+All!$H6="Wyoming",+All!F6,0))</f>
        <v>Wyoming</v>
      </c>
      <c r="G161" s="52" t="str">
        <f>IF(+All!$F6="Wyoming",+All!G6,IF(+All!$H6="Wyoming",+All!G6,0))</f>
        <v>MWC</v>
      </c>
      <c r="H161" s="51" t="str">
        <f>IF(+All!$F6="Wyoming",+All!H6,IF(+All!$H6="Wyoming",+All!H6,0))</f>
        <v>Illinois</v>
      </c>
      <c r="I161" s="52" t="str">
        <f>IF(+All!$F6="Wyoming",+All!I6,IF(+All!$H6="Wyoming",+All!I6,0))</f>
        <v>B10</v>
      </c>
      <c r="J161" s="460" t="str">
        <f>IF(+All!$F6="Wyoming",+All!J6,IF(+All!$H6="Wyoming",+All!J6,0))</f>
        <v>Illinois</v>
      </c>
      <c r="K161" s="461" t="str">
        <f>IF(+All!$F6="Wyoming",+All!K6,IF(+All!$H6="Wyoming",+All!K6,0))</f>
        <v>Wyoming</v>
      </c>
      <c r="L161" s="54">
        <f>IF(+All!$F6="Wyoming",+All!L6,IF(+All!$H6="Wyoming",+All!L6,0))</f>
        <v>14</v>
      </c>
      <c r="M161" s="55">
        <f>IF(+All!$F6="Wyoming",+All!M6,IF(+All!$H6="Wyoming",+All!M6,0))</f>
        <v>42.5</v>
      </c>
      <c r="N161" s="460" t="str">
        <f>IF(+All!$F6="Wyoming",+All!N6,IF(+All!$H6="Wyoming",+All!N6,0))</f>
        <v>Illinois</v>
      </c>
      <c r="O161" s="462">
        <f>IF(+All!$F6="Wyoming",+All!O6,IF(+All!$H6="Wyoming",+All!O6,0))</f>
        <v>38</v>
      </c>
      <c r="P161" s="462" t="str">
        <f>IF(+All!$F6="Wyoming",+All!P6,IF(+All!$H6="Wyoming",+All!P6,0))</f>
        <v>Wyoming</v>
      </c>
      <c r="Q161" s="461">
        <f>IF(+All!$F6="Wyoming",+All!Q6,IF(+All!$H6="Wyoming",+All!Q6,0))</f>
        <v>6</v>
      </c>
      <c r="R161" s="460" t="str">
        <f>IF(+All!$F6="Wyoming",+All!R6,IF(+All!$H6="Wyoming",+All!R6,0))</f>
        <v>Illinois</v>
      </c>
      <c r="S161" s="462" t="str">
        <f>IF(+All!$F6="Wyoming",+All!S6,IF(+All!$H6="Wyoming",+All!S6,0))</f>
        <v>Wyoming</v>
      </c>
      <c r="T161" s="460" t="str">
        <f>IF(+All!$F6="Wyoming",+All!T6,IF(+All!$H6="Wyoming",+All!T6,0))</f>
        <v>Wyoming</v>
      </c>
      <c r="U161" s="461" t="str">
        <f>IF(+All!$F6="Wyoming",+All!U6,IF(+All!$H6="Wyoming",+All!U6,0))</f>
        <v>L</v>
      </c>
    </row>
    <row r="162" spans="1:21" x14ac:dyDescent="0.8">
      <c r="A162" s="46">
        <f>IF(+All!$F51="Wyoming",+All!A51,IF(+All!$H51="Wyoming",+All!A51,0))</f>
        <v>1</v>
      </c>
      <c r="B162" s="348" t="str">
        <f>IF(+All!$F51="Wyoming",+All!B51,IF(+All!$H51="Wyoming",+All!B51,0))</f>
        <v>Sat</v>
      </c>
      <c r="C162" s="48">
        <f>IF(+All!$F51="Wyoming",+All!C51,IF(+All!$H51="Wyoming",+All!C51,0))</f>
        <v>44807</v>
      </c>
      <c r="D162" s="490">
        <f>IF(+All!$F51="Wyoming",+All!D51,IF(+All!$H51="Wyoming",+All!D51,0))</f>
        <v>0.64583333333333337</v>
      </c>
      <c r="E162" s="461" t="str">
        <f>IF(+All!$F51="Wyoming",+All!E51,IF(+All!$H51="Wyoming",+All!E51,0))</f>
        <v>FS1</v>
      </c>
      <c r="F162" s="51" t="str">
        <f>IF(+All!$F51="Wyoming",+All!F51,IF(+All!$H51="Wyoming",+All!F51,0))</f>
        <v>Tulsa</v>
      </c>
      <c r="G162" s="52" t="str">
        <f>IF(+All!$F51="Wyoming",+All!G51,IF(+All!$H51="Wyoming",+All!G51,0))</f>
        <v>AAC</v>
      </c>
      <c r="H162" s="51" t="str">
        <f>IF(+All!$F51="Wyoming",+All!H51,IF(+All!$H51="Wyoming",+All!H51,0))</f>
        <v>Wyoming</v>
      </c>
      <c r="I162" s="52" t="str">
        <f>IF(+All!$F51="Wyoming",+All!I51,IF(+All!$H51="Wyoming",+All!I51,0))</f>
        <v>MWC</v>
      </c>
      <c r="J162" s="460" t="str">
        <f>IF(+All!$F51="Wyoming",+All!J51,IF(+All!$H51="Wyoming",+All!J51,0))</f>
        <v>Tulsa</v>
      </c>
      <c r="K162" s="461" t="str">
        <f>IF(+All!$F51="Wyoming",+All!K51,IF(+All!$H51="Wyoming",+All!K51,0))</f>
        <v>Wyoming</v>
      </c>
      <c r="L162" s="54">
        <f>IF(+All!$F51="Wyoming",+All!L51,IF(+All!$H51="Wyoming",+All!L51,0))</f>
        <v>6.5</v>
      </c>
      <c r="M162" s="55">
        <f>IF(+All!$F51="Wyoming",+All!M51,IF(+All!$H51="Wyoming",+All!M51,0))</f>
        <v>44</v>
      </c>
      <c r="N162" s="460" t="str">
        <f>IF(+All!$F51="Wyoming",+All!N51,IF(+All!$H51="Wyoming",+All!N51,0))</f>
        <v>Wyoming</v>
      </c>
      <c r="O162" s="462">
        <f>IF(+All!$F51="Wyoming",+All!O51,IF(+All!$H51="Wyoming",+All!O51,0))</f>
        <v>40</v>
      </c>
      <c r="P162" s="462" t="str">
        <f>IF(+All!$F51="Wyoming",+All!P51,IF(+All!$H51="Wyoming",+All!P51,0))</f>
        <v>Tulsa</v>
      </c>
      <c r="Q162" s="461">
        <f>IF(+All!$F51="Wyoming",+All!Q51,IF(+All!$H51="Wyoming",+All!Q51,0))</f>
        <v>37</v>
      </c>
      <c r="R162" s="460" t="str">
        <f>IF(+All!$F51="Wyoming",+All!R51,IF(+All!$H51="Wyoming",+All!R51,0))</f>
        <v>Wyoming</v>
      </c>
      <c r="S162" s="462" t="str">
        <f>IF(+All!$F51="Wyoming",+All!S51,IF(+All!$H51="Wyoming",+All!S51,0))</f>
        <v>Tulsa</v>
      </c>
      <c r="T162" s="460" t="str">
        <f>IF(+All!$F51="Wyoming",+All!T51,IF(+All!$H51="Wyoming",+All!T51,0))</f>
        <v>Wyoming</v>
      </c>
      <c r="U162" s="461" t="str">
        <f>IF(+All!$F51="Wyoming",+All!U51,IF(+All!$H51="Wyoming",+All!U51,0))</f>
        <v>W</v>
      </c>
    </row>
    <row r="163" spans="1:21" x14ac:dyDescent="0.8">
      <c r="A163" s="46">
        <f>IF(+All!$F158="Wyoming",+All!A158,IF(+All!$H158="Wyoming",+All!A158,0))</f>
        <v>2</v>
      </c>
      <c r="B163" s="348" t="str">
        <f>IF(+All!$F158="Wyoming",+All!B158,IF(+All!$H158="Wyoming",+All!B158,0))</f>
        <v>Sat</v>
      </c>
      <c r="C163" s="48">
        <f>IF(+All!$F158="Wyoming",+All!C158,IF(+All!$H158="Wyoming",+All!C158,0))</f>
        <v>44814</v>
      </c>
      <c r="D163" s="490">
        <f>IF(+All!$F158="Wyoming",+All!D158,IF(+All!$H158="Wyoming",+All!D158,0))</f>
        <v>0.66666666666666663</v>
      </c>
      <c r="E163" s="461">
        <f>IF(+All!$F158="Wyoming",+All!E158,IF(+All!$H158="Wyoming",+All!E158,0))</f>
        <v>0</v>
      </c>
      <c r="F163" s="51" t="str">
        <f>IF(+All!$F158="Wyoming",+All!F158,IF(+All!$H158="Wyoming",+All!F158,0))</f>
        <v>1AA Northern Colorado</v>
      </c>
      <c r="G163" s="52" t="str">
        <f>IF(+All!$F158="Wyoming",+All!G158,IF(+All!$H158="Wyoming",+All!G158,0))</f>
        <v>1AA</v>
      </c>
      <c r="H163" s="51" t="str">
        <f>IF(+All!$F158="Wyoming",+All!H158,IF(+All!$H158="Wyoming",+All!H158,0))</f>
        <v>Wyoming</v>
      </c>
      <c r="I163" s="52" t="str">
        <f>IF(+All!$F158="Wyoming",+All!I158,IF(+All!$H158="Wyoming",+All!I158,0))</f>
        <v>MWC</v>
      </c>
      <c r="J163" s="460">
        <f>IF(+All!$F158="Wyoming",+All!J158,IF(+All!$H158="Wyoming",+All!J158,0))</f>
        <v>0</v>
      </c>
      <c r="K163" s="461">
        <f>IF(+All!$F158="Wyoming",+All!K158,IF(+All!$H158="Wyoming",+All!K158,0))</f>
        <v>0</v>
      </c>
      <c r="L163" s="54">
        <f>IF(+All!$F158="Wyoming",+All!L158,IF(+All!$H158="Wyoming",+All!L158,0))</f>
        <v>0</v>
      </c>
      <c r="M163" s="55">
        <f>IF(+All!$F158="Wyoming",+All!M158,IF(+All!$H158="Wyoming",+All!M158,0))</f>
        <v>0</v>
      </c>
      <c r="N163" s="460" t="str">
        <f>IF(+All!$F158="Wyoming",+All!N158,IF(+All!$H158="Wyoming",+All!N158,0))</f>
        <v>Wyoming</v>
      </c>
      <c r="O163" s="462">
        <f>IF(+All!$F158="Wyoming",+All!O158,IF(+All!$H158="Wyoming",+All!O158,0))</f>
        <v>33</v>
      </c>
      <c r="P163" s="462" t="str">
        <f>IF(+All!$F158="Wyoming",+All!P158,IF(+All!$H158="Wyoming",+All!P158,0))</f>
        <v>1AA Northern Colorado</v>
      </c>
      <c r="Q163" s="461">
        <f>IF(+All!$F158="Wyoming",+All!Q158,IF(+All!$H158="Wyoming",+All!Q158,0))</f>
        <v>10</v>
      </c>
      <c r="R163" s="460">
        <f>IF(+All!$F158="Wyoming",+All!R158,IF(+All!$H158="Wyoming",+All!R158,0))</f>
        <v>0</v>
      </c>
      <c r="S163" s="462">
        <f>IF(+All!$F158="Wyoming",+All!S158,IF(+All!$H158="Wyoming",+All!S158,0))</f>
        <v>0</v>
      </c>
      <c r="T163" s="460">
        <f>IF(+All!$F158="Wyoming",+All!T158,IF(+All!$H158="Wyoming",+All!T158,0))</f>
        <v>0</v>
      </c>
      <c r="U163" s="461">
        <f>IF(+All!$F158="Wyoming",+All!U158,IF(+All!$H158="Wyoming",+All!U158,0))</f>
        <v>0</v>
      </c>
    </row>
    <row r="164" spans="1:21" x14ac:dyDescent="0.8">
      <c r="A164" s="46">
        <f>IF(+All!$F181="Wyoming",+All!A181,IF(+All!$H181="Wyoming",+All!A181,0))</f>
        <v>3</v>
      </c>
      <c r="B164" s="348" t="str">
        <f>IF(+All!$F181="Wyoming",+All!B181,IF(+All!$H181="Wyoming",+All!B181,0))</f>
        <v>Fri</v>
      </c>
      <c r="C164" s="48">
        <f>IF(+All!$F181="Wyoming",+All!C181,IF(+All!$H181="Wyoming",+All!C181,0))</f>
        <v>44820</v>
      </c>
      <c r="D164" s="490">
        <f>IF(+All!$F181="Wyoming",+All!D181,IF(+All!$H181="Wyoming",+All!D181,0))</f>
        <v>0.83333333333333337</v>
      </c>
      <c r="E164" s="461" t="str">
        <f>IF(+All!$F181="Wyoming",+All!E181,IF(+All!$H181="Wyoming",+All!E181,0))</f>
        <v>CBSSN</v>
      </c>
      <c r="F164" s="51" t="str">
        <f>IF(+All!$F181="Wyoming",+All!F181,IF(+All!$H181="Wyoming",+All!F181,0))</f>
        <v>Air Force</v>
      </c>
      <c r="G164" s="52" t="str">
        <f>IF(+All!$F181="Wyoming",+All!G181,IF(+All!$H181="Wyoming",+All!G181,0))</f>
        <v>MWC</v>
      </c>
      <c r="H164" s="51" t="str">
        <f>IF(+All!$F181="Wyoming",+All!H181,IF(+All!$H181="Wyoming",+All!H181,0))</f>
        <v>Wyoming</v>
      </c>
      <c r="I164" s="52" t="str">
        <f>IF(+All!$F181="Wyoming",+All!I181,IF(+All!$H181="Wyoming",+All!I181,0))</f>
        <v>MWC</v>
      </c>
      <c r="J164" s="460" t="str">
        <f>IF(+All!$F181="Wyoming",+All!J181,IF(+All!$H181="Wyoming",+All!J181,0))</f>
        <v>Air Force</v>
      </c>
      <c r="K164" s="461" t="str">
        <f>IF(+All!$F181="Wyoming",+All!K181,IF(+All!$H181="Wyoming",+All!K181,0))</f>
        <v>Wyoming</v>
      </c>
      <c r="L164" s="54">
        <f>IF(+All!$F181="Wyoming",+All!L181,IF(+All!$H181="Wyoming",+All!L181,0))</f>
        <v>15</v>
      </c>
      <c r="M164" s="55">
        <f>IF(+All!$F181="Wyoming",+All!M181,IF(+All!$H181="Wyoming",+All!M181,0))</f>
        <v>46.5</v>
      </c>
      <c r="N164" s="460" t="str">
        <f>IF(+All!$F181="Wyoming",+All!N181,IF(+All!$H181="Wyoming",+All!N181,0))</f>
        <v>Wyoming</v>
      </c>
      <c r="O164" s="462">
        <f>IF(+All!$F181="Wyoming",+All!O181,IF(+All!$H181="Wyoming",+All!O181,0))</f>
        <v>17</v>
      </c>
      <c r="P164" s="462" t="str">
        <f>IF(+All!$F181="Wyoming",+All!P181,IF(+All!$H181="Wyoming",+All!P181,0))</f>
        <v>Air Force</v>
      </c>
      <c r="Q164" s="461">
        <f>IF(+All!$F181="Wyoming",+All!Q181,IF(+All!$H181="Wyoming",+All!Q181,0))</f>
        <v>14</v>
      </c>
      <c r="R164" s="460" t="str">
        <f>IF(+All!$F181="Wyoming",+All!R181,IF(+All!$H181="Wyoming",+All!R181,0))</f>
        <v>Wyoming</v>
      </c>
      <c r="S164" s="462" t="str">
        <f>IF(+All!$F181="Wyoming",+All!S181,IF(+All!$H181="Wyoming",+All!S181,0))</f>
        <v>Air Force</v>
      </c>
      <c r="T164" s="460" t="str">
        <f>IF(+All!$F181="Wyoming",+All!T181,IF(+All!$H181="Wyoming",+All!T181,0))</f>
        <v>Air Force</v>
      </c>
      <c r="U164" s="461" t="str">
        <f>IF(+All!$F181="Wyoming",+All!U181,IF(+All!$H181="Wyoming",+All!U181,0))</f>
        <v>L</v>
      </c>
    </row>
    <row r="165" spans="1:21" x14ac:dyDescent="0.8">
      <c r="A165" s="46">
        <f>IF(+All!$F286="Wyoming",+All!A286,IF(+All!$H286="Wyoming",+All!A286,0))</f>
        <v>4</v>
      </c>
      <c r="B165" s="348" t="str">
        <f>IF(+All!$F286="Wyoming",+All!B286,IF(+All!$H286="Wyoming",+All!B286,0))</f>
        <v>Sat</v>
      </c>
      <c r="C165" s="48">
        <f>IF(+All!$F286="Wyoming",+All!C286,IF(+All!$H286="Wyoming",+All!C286,0))</f>
        <v>44828</v>
      </c>
      <c r="D165" s="490">
        <f>IF(+All!$F286="Wyoming",+All!D286,IF(+All!$H286="Wyoming",+All!D286,0))</f>
        <v>0.92708333333333337</v>
      </c>
      <c r="E165" s="461" t="str">
        <f>IF(+All!$F286="Wyoming",+All!E286,IF(+All!$H286="Wyoming",+All!E286,0))</f>
        <v>ESPN2</v>
      </c>
      <c r="F165" s="51" t="str">
        <f>IF(+All!$F286="Wyoming",+All!F286,IF(+All!$H286="Wyoming",+All!F286,0))</f>
        <v>Wyoming</v>
      </c>
      <c r="G165" s="52" t="str">
        <f>IF(+All!$F286="Wyoming",+All!G286,IF(+All!$H286="Wyoming",+All!G286,0))</f>
        <v>MWC</v>
      </c>
      <c r="H165" s="51" t="str">
        <f>IF(+All!$F286="Wyoming",+All!H286,IF(+All!$H286="Wyoming",+All!H286,0))</f>
        <v>BYU</v>
      </c>
      <c r="I165" s="52" t="str">
        <f>IF(+All!$F286="Wyoming",+All!I286,IF(+All!$H286="Wyoming",+All!I286,0))</f>
        <v>Ind</v>
      </c>
      <c r="J165" s="460" t="str">
        <f>IF(+All!$F286="Wyoming",+All!J286,IF(+All!$H286="Wyoming",+All!J286,0))</f>
        <v>BYU</v>
      </c>
      <c r="K165" s="461" t="str">
        <f>IF(+All!$F286="Wyoming",+All!K286,IF(+All!$H286="Wyoming",+All!K286,0))</f>
        <v>Wyoming</v>
      </c>
      <c r="L165" s="54">
        <f>IF(+All!$F286="Wyoming",+All!L286,IF(+All!$H286="Wyoming",+All!L286,0))</f>
        <v>21.5</v>
      </c>
      <c r="M165" s="55">
        <f>IF(+All!$F286="Wyoming",+All!M286,IF(+All!$H286="Wyoming",+All!M286,0))</f>
        <v>50</v>
      </c>
      <c r="N165" s="460" t="str">
        <f>IF(+All!$F286="Wyoming",+All!N286,IF(+All!$H286="Wyoming",+All!N286,0))</f>
        <v>BYU</v>
      </c>
      <c r="O165" s="462">
        <f>IF(+All!$F286="Wyoming",+All!O286,IF(+All!$H286="Wyoming",+All!O286,0))</f>
        <v>38</v>
      </c>
      <c r="P165" s="462" t="str">
        <f>IF(+All!$F286="Wyoming",+All!P286,IF(+All!$H286="Wyoming",+All!P286,0))</f>
        <v>Wyoming</v>
      </c>
      <c r="Q165" s="461">
        <f>IF(+All!$F286="Wyoming",+All!Q286,IF(+All!$H286="Wyoming",+All!Q286,0))</f>
        <v>24</v>
      </c>
      <c r="R165" s="460" t="str">
        <f>IF(+All!$F286="Wyoming",+All!R286,IF(+All!$H286="Wyoming",+All!R286,0))</f>
        <v>Wyoming</v>
      </c>
      <c r="S165" s="462" t="str">
        <f>IF(+All!$F286="Wyoming",+All!S286,IF(+All!$H286="Wyoming",+All!S286,0))</f>
        <v>BYU</v>
      </c>
      <c r="T165" s="460" t="str">
        <f>IF(+All!$F286="Wyoming",+All!T286,IF(+All!$H286="Wyoming",+All!T286,0))</f>
        <v>BYU</v>
      </c>
      <c r="U165" s="461" t="str">
        <f>IF(+All!$F286="Wyoming",+All!U286,IF(+All!$H286="Wyoming",+All!U286,0))</f>
        <v>L</v>
      </c>
    </row>
    <row r="166" spans="1:21" x14ac:dyDescent="0.8">
      <c r="A166" s="46">
        <f>IF(+All!$F362="Wyoming",+All!A362,IF(+All!$H362="Wyoming",+All!A362,0))</f>
        <v>5</v>
      </c>
      <c r="B166" s="348" t="str">
        <f>IF(+All!$F362="Wyoming",+All!B362,IF(+All!$H362="Wyoming",+All!B362,0))</f>
        <v>Sat</v>
      </c>
      <c r="C166" s="48">
        <f>IF(+All!$F362="Wyoming",+All!C362,IF(+All!$H362="Wyoming",+All!C362,0))</f>
        <v>44835</v>
      </c>
      <c r="D166" s="490">
        <f>IF(+All!$F362="Wyoming",+All!D362,IF(+All!$H362="Wyoming",+All!D362,0))</f>
        <v>0.8125</v>
      </c>
      <c r="E166" s="461" t="str">
        <f>IF(+All!$F362="Wyoming",+All!E362,IF(+All!$H362="Wyoming",+All!E362,0))</f>
        <v>CBSSN</v>
      </c>
      <c r="F166" s="51" t="str">
        <f>IF(+All!$F362="Wyoming",+All!F362,IF(+All!$H362="Wyoming",+All!F362,0))</f>
        <v>San Jose State</v>
      </c>
      <c r="G166" s="52" t="str">
        <f>IF(+All!$F362="Wyoming",+All!G362,IF(+All!$H362="Wyoming",+All!G362,0))</f>
        <v>MWC</v>
      </c>
      <c r="H166" s="51" t="str">
        <f>IF(+All!$F362="Wyoming",+All!H362,IF(+All!$H362="Wyoming",+All!H362,0))</f>
        <v>Wyoming</v>
      </c>
      <c r="I166" s="52" t="str">
        <f>IF(+All!$F362="Wyoming",+All!I362,IF(+All!$H362="Wyoming",+All!I362,0))</f>
        <v>MWC</v>
      </c>
      <c r="J166" s="460" t="str">
        <f>IF(+All!$F362="Wyoming",+All!J362,IF(+All!$H362="Wyoming",+All!J362,0))</f>
        <v>San Jose State</v>
      </c>
      <c r="K166" s="461" t="str">
        <f>IF(+All!$F362="Wyoming",+All!K362,IF(+All!$H362="Wyoming",+All!K362,0))</f>
        <v>Wyoming</v>
      </c>
      <c r="L166" s="54">
        <f>IF(+All!$F362="Wyoming",+All!L362,IF(+All!$H362="Wyoming",+All!L362,0))</f>
        <v>2.5</v>
      </c>
      <c r="M166" s="55">
        <f>IF(+All!$F362="Wyoming",+All!M362,IF(+All!$H362="Wyoming",+All!M362,0))</f>
        <v>42.5</v>
      </c>
      <c r="N166" s="460" t="str">
        <f>IF(+All!$F362="Wyoming",+All!N362,IF(+All!$H362="Wyoming",+All!N362,0))</f>
        <v>San Jose State</v>
      </c>
      <c r="O166" s="462">
        <f>IF(+All!$F362="Wyoming",+All!O362,IF(+All!$H362="Wyoming",+All!O362,0))</f>
        <v>33</v>
      </c>
      <c r="P166" s="462" t="str">
        <f>IF(+All!$F362="Wyoming",+All!P362,IF(+All!$H362="Wyoming",+All!P362,0))</f>
        <v>Wyoming</v>
      </c>
      <c r="Q166" s="461">
        <f>IF(+All!$F362="Wyoming",+All!Q362,IF(+All!$H362="Wyoming",+All!Q362,0))</f>
        <v>16</v>
      </c>
      <c r="R166" s="460" t="str">
        <f>IF(+All!$F362="Wyoming",+All!R362,IF(+All!$H362="Wyoming",+All!R362,0))</f>
        <v>San Jose State</v>
      </c>
      <c r="S166" s="462" t="str">
        <f>IF(+All!$F362="Wyoming",+All!S362,IF(+All!$H362="Wyoming",+All!S362,0))</f>
        <v>Wyoming</v>
      </c>
      <c r="T166" s="460" t="str">
        <f>IF(+All!$F362="Wyoming",+All!T362,IF(+All!$H362="Wyoming",+All!T362,0))</f>
        <v>Wyoming</v>
      </c>
      <c r="U166" s="461" t="str">
        <f>IF(+All!$F362="Wyoming",+All!U362,IF(+All!$H362="Wyoming",+All!U362,0))</f>
        <v>L</v>
      </c>
    </row>
    <row r="167" spans="1:21" x14ac:dyDescent="0.8">
      <c r="A167" s="46">
        <f>IF(+All!$F418="Wyoming",+All!A418,IF(+All!$H418="Wyoming",+All!A418,0))</f>
        <v>6</v>
      </c>
      <c r="B167" s="348" t="str">
        <f>IF(+All!$F418="Wyoming",+All!B418,IF(+All!$H418="Wyoming",+All!B418,0))</f>
        <v>Sat</v>
      </c>
      <c r="C167" s="48">
        <f>IF(+All!$F418="Wyoming",+All!C418,IF(+All!$H418="Wyoming",+All!C418,0))</f>
        <v>44842</v>
      </c>
      <c r="D167" s="490">
        <f>IF(+All!$F418="Wyoming",+All!D418,IF(+All!$H418="Wyoming",+All!D418,0))</f>
        <v>0.79166666666666663</v>
      </c>
      <c r="E167" s="461" t="str">
        <f>IF(+All!$F418="Wyoming",+All!E418,IF(+All!$H418="Wyoming",+All!E418,0))</f>
        <v>CBSSN</v>
      </c>
      <c r="F167" s="51" t="str">
        <f>IF(+All!$F418="Wyoming",+All!F418,IF(+All!$H418="Wyoming",+All!F418,0))</f>
        <v>Wyoming</v>
      </c>
      <c r="G167" s="52" t="str">
        <f>IF(+All!$F418="Wyoming",+All!G418,IF(+All!$H418="Wyoming",+All!G418,0))</f>
        <v>MWC</v>
      </c>
      <c r="H167" s="51" t="str">
        <f>IF(+All!$F418="Wyoming",+All!H418,IF(+All!$H418="Wyoming",+All!H418,0))</f>
        <v>New Mexico</v>
      </c>
      <c r="I167" s="52" t="str">
        <f>IF(+All!$F418="Wyoming",+All!I418,IF(+All!$H418="Wyoming",+All!I418,0))</f>
        <v>MWC</v>
      </c>
      <c r="J167" s="460" t="str">
        <f>IF(+All!$F418="Wyoming",+All!J418,IF(+All!$H418="Wyoming",+All!J418,0))</f>
        <v>Wyoming</v>
      </c>
      <c r="K167" s="461" t="str">
        <f>IF(+All!$F418="Wyoming",+All!K418,IF(+All!$H418="Wyoming",+All!K418,0))</f>
        <v>New Mexico</v>
      </c>
      <c r="L167" s="54">
        <f>IF(+All!$F418="Wyoming",+All!L418,IF(+All!$H418="Wyoming",+All!L418,0))</f>
        <v>3.5</v>
      </c>
      <c r="M167" s="55">
        <f>IF(+All!$F418="Wyoming",+All!M418,IF(+All!$H418="Wyoming",+All!M418,0))</f>
        <v>36</v>
      </c>
      <c r="N167" s="460" t="str">
        <f>IF(+All!$F418="Wyoming",+All!N418,IF(+All!$H418="Wyoming",+All!N418,0))</f>
        <v>Wyoming</v>
      </c>
      <c r="O167" s="462">
        <f>IF(+All!$F418="Wyoming",+All!O418,IF(+All!$H418="Wyoming",+All!O418,0))</f>
        <v>27</v>
      </c>
      <c r="P167" s="462" t="str">
        <f>IF(+All!$F418="Wyoming",+All!P418,IF(+All!$H418="Wyoming",+All!P418,0))</f>
        <v>New Mexico</v>
      </c>
      <c r="Q167" s="461">
        <f>IF(+All!$F418="Wyoming",+All!Q418,IF(+All!$H418="Wyoming",+All!Q418,0))</f>
        <v>14</v>
      </c>
      <c r="R167" s="460" t="str">
        <f>IF(+All!$F418="Wyoming",+All!R418,IF(+All!$H418="Wyoming",+All!R418,0))</f>
        <v>Wyoming</v>
      </c>
      <c r="S167" s="462" t="str">
        <f>IF(+All!$F418="Wyoming",+All!S418,IF(+All!$H418="Wyoming",+All!S418,0))</f>
        <v>New Mexico</v>
      </c>
      <c r="T167" s="460" t="str">
        <f>IF(+All!$F418="Wyoming",+All!T418,IF(+All!$H418="Wyoming",+All!T418,0))</f>
        <v>New Mexico</v>
      </c>
      <c r="U167" s="461" t="str">
        <f>IF(+All!$F418="Wyoming",+All!U418,IF(+All!$H418="Wyoming",+All!U418,0))</f>
        <v>L</v>
      </c>
    </row>
    <row r="168" spans="1:21" x14ac:dyDescent="0.8">
      <c r="A168" s="46" t="e">
        <f>IF(+All!#REF!="Wyoming",+All!#REF!,IF(+All!#REF!="Wyoming",+All!#REF!,0))</f>
        <v>#REF!</v>
      </c>
      <c r="B168" s="348" t="e">
        <f>IF(+All!#REF!="Wyoming",+All!#REF!,IF(+All!#REF!="Wyoming",+All!#REF!,0))</f>
        <v>#REF!</v>
      </c>
      <c r="C168" s="48" t="e">
        <f>IF(+All!#REF!="Wyoming",+All!#REF!,IF(+All!#REF!="Wyoming",+All!#REF!,0))</f>
        <v>#REF!</v>
      </c>
      <c r="D168" s="490" t="e">
        <f>IF(+All!#REF!="Wyoming",+All!#REF!,IF(+All!#REF!="Wyoming",+All!#REF!,0))</f>
        <v>#REF!</v>
      </c>
      <c r="E168" s="461" t="e">
        <f>IF(+All!#REF!="Wyoming",+All!#REF!,IF(+All!#REF!="Wyoming",+All!#REF!,0))</f>
        <v>#REF!</v>
      </c>
      <c r="F168" s="51" t="e">
        <f>IF(+All!#REF!="Wyoming",+All!#REF!,IF(+All!#REF!="Wyoming",+All!#REF!,0))</f>
        <v>#REF!</v>
      </c>
      <c r="G168" s="52" t="e">
        <f>IF(+All!#REF!="Wyoming",+All!#REF!,IF(+All!#REF!="Wyoming",+All!#REF!,0))</f>
        <v>#REF!</v>
      </c>
      <c r="H168" s="51" t="e">
        <f>IF(+All!#REF!="Wyoming",+All!#REF!,IF(+All!#REF!="Wyoming",+All!#REF!,0))</f>
        <v>#REF!</v>
      </c>
      <c r="I168" s="52" t="e">
        <f>IF(+All!#REF!="Wyoming",+All!#REF!,IF(+All!#REF!="Wyoming",+All!#REF!,0))</f>
        <v>#REF!</v>
      </c>
      <c r="J168" s="460" t="e">
        <f>IF(+All!#REF!="Wyoming",+All!#REF!,IF(+All!#REF!="Wyoming",+All!#REF!,0))</f>
        <v>#REF!</v>
      </c>
      <c r="K168" s="461" t="e">
        <f>IF(+All!#REF!="Wyoming",+All!#REF!,IF(+All!#REF!="Wyoming",+All!#REF!,0))</f>
        <v>#REF!</v>
      </c>
      <c r="L168" s="54" t="e">
        <f>IF(+All!#REF!="Wyoming",+All!#REF!,IF(+All!#REF!="Wyoming",+All!#REF!,0))</f>
        <v>#REF!</v>
      </c>
      <c r="M168" s="55" t="e">
        <f>IF(+All!#REF!="Wyoming",+All!#REF!,IF(+All!#REF!="Wyoming",+All!#REF!,0))</f>
        <v>#REF!</v>
      </c>
      <c r="N168" s="460" t="e">
        <f>IF(+All!#REF!="Wyoming",+All!#REF!,IF(+All!#REF!="Wyoming",+All!#REF!,0))</f>
        <v>#REF!</v>
      </c>
      <c r="O168" s="462" t="e">
        <f>IF(+All!#REF!="Wyoming",+All!#REF!,IF(+All!#REF!="Wyoming",+All!#REF!,0))</f>
        <v>#REF!</v>
      </c>
      <c r="P168" s="462" t="e">
        <f>IF(+All!#REF!="Wyoming",+All!#REF!,IF(+All!#REF!="Wyoming",+All!#REF!,0))</f>
        <v>#REF!</v>
      </c>
      <c r="Q168" s="461" t="e">
        <f>IF(+All!#REF!="Wyoming",+All!#REF!,IF(+All!#REF!="Wyoming",+All!#REF!,0))</f>
        <v>#REF!</v>
      </c>
      <c r="R168" s="460" t="e">
        <f>IF(+All!#REF!="Wyoming",+All!#REF!,IF(+All!#REF!="Wyoming",+All!#REF!,0))</f>
        <v>#REF!</v>
      </c>
      <c r="S168" s="462" t="e">
        <f>IF(+All!#REF!="Wyoming",+All!#REF!,IF(+All!#REF!="Wyoming",+All!#REF!,0))</f>
        <v>#REF!</v>
      </c>
      <c r="T168" s="460" t="e">
        <f>IF(+All!#REF!="Wyoming",+All!#REF!,IF(+All!#REF!="Wyoming",+All!#REF!,0))</f>
        <v>#REF!</v>
      </c>
      <c r="U168" s="461" t="e">
        <f>IF(+All!#REF!="Wyoming",+All!#REF!,IF(+All!#REF!="Wyoming",+All!#REF!,0))</f>
        <v>#REF!</v>
      </c>
    </row>
    <row r="169" spans="1:21" x14ac:dyDescent="0.8">
      <c r="A169" s="46">
        <f>IF(+All!$F531="Wyoming",+All!A531,IF(+All!$H531="Wyoming",+All!A531,0))</f>
        <v>8</v>
      </c>
      <c r="B169" s="348" t="str">
        <f>IF(+All!$F531="Wyoming",+All!B531,IF(+All!$H531="Wyoming",+All!B531,0))</f>
        <v>Sat</v>
      </c>
      <c r="C169" s="48">
        <f>IF(+All!$F531="Wyoming",+All!C531,IF(+All!$H531="Wyoming",+All!C531,0))</f>
        <v>44856</v>
      </c>
      <c r="D169" s="490">
        <f>IF(+All!$F531="Wyoming",+All!D531,IF(+All!$H531="Wyoming",+All!D531,0))</f>
        <v>0.90625</v>
      </c>
      <c r="E169" s="461">
        <f>IF(+All!$F531="Wyoming",+All!E531,IF(+All!$H531="Wyoming",+All!E531,0))</f>
        <v>0</v>
      </c>
      <c r="F169" s="51" t="str">
        <f>IF(+All!$F531="Wyoming",+All!F531,IF(+All!$H531="Wyoming",+All!F531,0))</f>
        <v>Utah State</v>
      </c>
      <c r="G169" s="52" t="str">
        <f>IF(+All!$F531="Wyoming",+All!G531,IF(+All!$H531="Wyoming",+All!G531,0))</f>
        <v>MWC</v>
      </c>
      <c r="H169" s="51" t="str">
        <f>IF(+All!$F531="Wyoming",+All!H531,IF(+All!$H531="Wyoming",+All!H531,0))</f>
        <v>Wyoming</v>
      </c>
      <c r="I169" s="52" t="str">
        <f>IF(+All!$F531="Wyoming",+All!I531,IF(+All!$H531="Wyoming",+All!I531,0))</f>
        <v>MWC</v>
      </c>
      <c r="J169" s="460" t="str">
        <f>IF(+All!$F531="Wyoming",+All!J531,IF(+All!$H531="Wyoming",+All!J531,0))</f>
        <v>Wyoming</v>
      </c>
      <c r="K169" s="461" t="str">
        <f>IF(+All!$F531="Wyoming",+All!K531,IF(+All!$H531="Wyoming",+All!K531,0))</f>
        <v>Utah State</v>
      </c>
      <c r="L169" s="54">
        <f>IF(+All!$F531="Wyoming",+All!L531,IF(+All!$H531="Wyoming",+All!L531,0))</f>
        <v>4.5</v>
      </c>
      <c r="M169" s="55">
        <f>IF(+All!$F531="Wyoming",+All!M531,IF(+All!$H531="Wyoming",+All!M531,0))</f>
        <v>42</v>
      </c>
      <c r="N169" s="460" t="str">
        <f>IF(+All!$F531="Wyoming",+All!N531,IF(+All!$H531="Wyoming",+All!N531,0))</f>
        <v>Wyoming</v>
      </c>
      <c r="O169" s="462">
        <f>IF(+All!$F531="Wyoming",+All!O531,IF(+All!$H531="Wyoming",+All!O531,0))</f>
        <v>28</v>
      </c>
      <c r="P169" s="462" t="str">
        <f>IF(+All!$F531="Wyoming",+All!P531,IF(+All!$H531="Wyoming",+All!P531,0))</f>
        <v>Utah State</v>
      </c>
      <c r="Q169" s="461">
        <f>IF(+All!$F531="Wyoming",+All!Q531,IF(+All!$H531="Wyoming",+All!Q531,0))</f>
        <v>14</v>
      </c>
      <c r="R169" s="460" t="str">
        <f>IF(+All!$F531="Wyoming",+All!R531,IF(+All!$H531="Wyoming",+All!R531,0))</f>
        <v>Wyoming</v>
      </c>
      <c r="S169" s="462" t="str">
        <f>IF(+All!$F531="Wyoming",+All!S531,IF(+All!$H531="Wyoming",+All!S531,0))</f>
        <v>Utah State</v>
      </c>
      <c r="T169" s="460" t="str">
        <f>IF(+All!$F531="Wyoming",+All!T531,IF(+All!$H531="Wyoming",+All!T531,0))</f>
        <v>Utah State</v>
      </c>
      <c r="U169" s="461" t="str">
        <f>IF(+All!$F531="Wyoming",+All!U531,IF(+All!$H531="Wyoming",+All!U531,0))</f>
        <v>L</v>
      </c>
    </row>
    <row r="170" spans="1:21" x14ac:dyDescent="0.8">
      <c r="A170" s="46">
        <f>IF(+All!$F578="Wyoming",+All!A578,IF(+All!$H578="Wyoming",+All!A578,0))</f>
        <v>9</v>
      </c>
      <c r="B170" s="348" t="str">
        <f>IF(+All!$F578="Wyoming",+All!B578,IF(+All!$H578="Wyoming",+All!B578,0))</f>
        <v>Sat</v>
      </c>
      <c r="C170" s="48">
        <f>IF(+All!$F578="Wyoming",+All!C578,IF(+All!$H578="Wyoming",+All!C578,0))</f>
        <v>44863</v>
      </c>
      <c r="D170" s="490">
        <f>IF(+All!$F578="Wyoming",+All!D578,IF(+All!$H578="Wyoming",+All!D578,0))</f>
        <v>0.99995833333333328</v>
      </c>
      <c r="E170" s="461">
        <f>IF(+All!$F578="Wyoming",+All!E578,IF(+All!$H578="Wyoming",+All!E578,0))</f>
        <v>0</v>
      </c>
      <c r="F170" s="51" t="str">
        <f>IF(+All!$F578="Wyoming",+All!F578,IF(+All!$H578="Wyoming",+All!F578,0))</f>
        <v>Wyoming</v>
      </c>
      <c r="G170" s="52" t="str">
        <f>IF(+All!$F578="Wyoming",+All!G578,IF(+All!$H578="Wyoming",+All!G578,0))</f>
        <v>MWC</v>
      </c>
      <c r="H170" s="51" t="str">
        <f>IF(+All!$F578="Wyoming",+All!H578,IF(+All!$H578="Wyoming",+All!H578,0))</f>
        <v>Hawaii</v>
      </c>
      <c r="I170" s="52" t="str">
        <f>IF(+All!$F578="Wyoming",+All!I578,IF(+All!$H578="Wyoming",+All!I578,0))</f>
        <v>MWC</v>
      </c>
      <c r="J170" s="460" t="str">
        <f>IF(+All!$F578="Wyoming",+All!J578,IF(+All!$H578="Wyoming",+All!J578,0))</f>
        <v>Wyoming</v>
      </c>
      <c r="K170" s="461" t="str">
        <f>IF(+All!$F578="Wyoming",+All!K578,IF(+All!$H578="Wyoming",+All!K578,0))</f>
        <v>Hawaii</v>
      </c>
      <c r="L170" s="54">
        <f>IF(+All!$F578="Wyoming",+All!L578,IF(+All!$H578="Wyoming",+All!L578,0))</f>
        <v>11.5</v>
      </c>
      <c r="M170" s="55">
        <f>IF(+All!$F578="Wyoming",+All!M578,IF(+All!$H578="Wyoming",+All!M578,0))</f>
        <v>49</v>
      </c>
      <c r="N170" s="460" t="str">
        <f>IF(+All!$F578="Wyoming",+All!N578,IF(+All!$H578="Wyoming",+All!N578,0))</f>
        <v>Wyoming</v>
      </c>
      <c r="O170" s="462">
        <f>IF(+All!$F578="Wyoming",+All!O578,IF(+All!$H578="Wyoming",+All!O578,0))</f>
        <v>27</v>
      </c>
      <c r="P170" s="462" t="str">
        <f>IF(+All!$F578="Wyoming",+All!P578,IF(+All!$H578="Wyoming",+All!P578,0))</f>
        <v>Hawaii</v>
      </c>
      <c r="Q170" s="461">
        <f>IF(+All!$F578="Wyoming",+All!Q578,IF(+All!$H578="Wyoming",+All!Q578,0))</f>
        <v>20</v>
      </c>
      <c r="R170" s="460" t="str">
        <f>IF(+All!$F578="Wyoming",+All!R578,IF(+All!$H578="Wyoming",+All!R578,0))</f>
        <v>Hawaii</v>
      </c>
      <c r="S170" s="462" t="str">
        <f>IF(+All!$F578="Wyoming",+All!S578,IF(+All!$H578="Wyoming",+All!S578,0))</f>
        <v>Wyoming</v>
      </c>
      <c r="T170" s="460" t="str">
        <f>IF(+All!$F578="Wyoming",+All!T578,IF(+All!$H578="Wyoming",+All!T578,0))</f>
        <v>Hawaii</v>
      </c>
      <c r="U170" s="461" t="str">
        <f>IF(+All!$F578="Wyoming",+All!U578,IF(+All!$H578="Wyoming",+All!U578,0))</f>
        <v>W</v>
      </c>
    </row>
    <row r="171" spans="1:21" x14ac:dyDescent="0.8">
      <c r="A171" s="46" t="e">
        <f>IF(+All!#REF!="Wyoming",+All!#REF!,IF(+All!#REF!="Wyoming",+All!#REF!,0))</f>
        <v>#REF!</v>
      </c>
      <c r="B171" s="348" t="e">
        <f>IF(+All!#REF!="Wyoming",+All!#REF!,IF(+All!#REF!="Wyoming",+All!#REF!,0))</f>
        <v>#REF!</v>
      </c>
      <c r="C171" s="48" t="e">
        <f>IF(+All!#REF!="Wyoming",+All!#REF!,IF(+All!#REF!="Wyoming",+All!#REF!,0))</f>
        <v>#REF!</v>
      </c>
      <c r="D171" s="490" t="e">
        <f>IF(+All!#REF!="Wyoming",+All!#REF!,IF(+All!#REF!="Wyoming",+All!#REF!,0))</f>
        <v>#REF!</v>
      </c>
      <c r="E171" s="461" t="e">
        <f>IF(+All!#REF!="Wyoming",+All!#REF!,IF(+All!#REF!="Wyoming",+All!#REF!,0))</f>
        <v>#REF!</v>
      </c>
      <c r="F171" s="51" t="e">
        <f>IF(+All!#REF!="Wyoming",+All!#REF!,IF(+All!#REF!="Wyoming",+All!#REF!,0))</f>
        <v>#REF!</v>
      </c>
      <c r="G171" s="52" t="e">
        <f>IF(+All!#REF!="Wyoming",+All!#REF!,IF(+All!#REF!="Wyoming",+All!#REF!,0))</f>
        <v>#REF!</v>
      </c>
      <c r="H171" s="51" t="e">
        <f>IF(+All!#REF!="Wyoming",+All!#REF!,IF(+All!#REF!="Wyoming",+All!#REF!,0))</f>
        <v>#REF!</v>
      </c>
      <c r="I171" s="52" t="e">
        <f>IF(+All!#REF!="Wyoming",+All!#REF!,IF(+All!#REF!="Wyoming",+All!#REF!,0))</f>
        <v>#REF!</v>
      </c>
      <c r="J171" s="460" t="e">
        <f>IF(+All!#REF!="Wyoming",+All!#REF!,IF(+All!#REF!="Wyoming",+All!#REF!,0))</f>
        <v>#REF!</v>
      </c>
      <c r="K171" s="461" t="e">
        <f>IF(+All!#REF!="Wyoming",+All!#REF!,IF(+All!#REF!="Wyoming",+All!#REF!,0))</f>
        <v>#REF!</v>
      </c>
      <c r="L171" s="54" t="e">
        <f>IF(+All!#REF!="Wyoming",+All!#REF!,IF(+All!#REF!="Wyoming",+All!#REF!,0))</f>
        <v>#REF!</v>
      </c>
      <c r="M171" s="55" t="e">
        <f>IF(+All!#REF!="Wyoming",+All!#REF!,IF(+All!#REF!="Wyoming",+All!#REF!,0))</f>
        <v>#REF!</v>
      </c>
      <c r="N171" s="460" t="e">
        <f>IF(+All!#REF!="Wyoming",+All!#REF!,IF(+All!#REF!="Wyoming",+All!#REF!,0))</f>
        <v>#REF!</v>
      </c>
      <c r="O171" s="462" t="e">
        <f>IF(+All!#REF!="Wyoming",+All!#REF!,IF(+All!#REF!="Wyoming",+All!#REF!,0))</f>
        <v>#REF!</v>
      </c>
      <c r="P171" s="462" t="e">
        <f>IF(+All!#REF!="Wyoming",+All!#REF!,IF(+All!#REF!="Wyoming",+All!#REF!,0))</f>
        <v>#REF!</v>
      </c>
      <c r="Q171" s="461" t="e">
        <f>IF(+All!#REF!="Wyoming",+All!#REF!,IF(+All!#REF!="Wyoming",+All!#REF!,0))</f>
        <v>#REF!</v>
      </c>
      <c r="R171" s="460" t="e">
        <f>IF(+All!#REF!="Wyoming",+All!#REF!,IF(+All!#REF!="Wyoming",+All!#REF!,0))</f>
        <v>#REF!</v>
      </c>
      <c r="S171" s="462" t="e">
        <f>IF(+All!#REF!="Wyoming",+All!#REF!,IF(+All!#REF!="Wyoming",+All!#REF!,0))</f>
        <v>#REF!</v>
      </c>
      <c r="T171" s="460" t="e">
        <f>IF(+All!#REF!="Wyoming",+All!#REF!,IF(+All!#REF!="Wyoming",+All!#REF!,0))</f>
        <v>#REF!</v>
      </c>
      <c r="U171" s="461" t="e">
        <f>IF(+All!#REF!="Wyoming",+All!#REF!,IF(+All!#REF!="Wyoming",+All!#REF!,0))</f>
        <v>#REF!</v>
      </c>
    </row>
    <row r="172" spans="1:21" x14ac:dyDescent="0.8">
      <c r="A172" s="46">
        <f>IF(+All!$F695="Wyoming",+All!A695,IF(+All!$H695="Wyoming",+All!A695,0))</f>
        <v>11</v>
      </c>
      <c r="B172" s="348" t="str">
        <f>IF(+All!$F695="Wyoming",+All!B695,IF(+All!$H695="Wyoming",+All!B695,0))</f>
        <v>Sat</v>
      </c>
      <c r="C172" s="48">
        <f>IF(+All!$F695="Wyoming",+All!C695,IF(+All!$H695="Wyoming",+All!C695,0))</f>
        <v>44877</v>
      </c>
      <c r="D172" s="490">
        <f>IF(+All!$F695="Wyoming",+All!D695,IF(+All!$H695="Wyoming",+All!D695,0))</f>
        <v>0.79166666666666663</v>
      </c>
      <c r="E172" s="461" t="str">
        <f>IF(+All!$F695="Wyoming",+All!E695,IF(+All!$H695="Wyoming",+All!E695,0))</f>
        <v>CBSSN</v>
      </c>
      <c r="F172" s="51" t="str">
        <f>IF(+All!$F695="Wyoming",+All!F695,IF(+All!$H695="Wyoming",+All!F695,0))</f>
        <v>Wyoming</v>
      </c>
      <c r="G172" s="52" t="str">
        <f>IF(+All!$F695="Wyoming",+All!G695,IF(+All!$H695="Wyoming",+All!G695,0))</f>
        <v>MWC</v>
      </c>
      <c r="H172" s="51" t="str">
        <f>IF(+All!$F695="Wyoming",+All!H695,IF(+All!$H695="Wyoming",+All!H695,0))</f>
        <v>Colorado State</v>
      </c>
      <c r="I172" s="52" t="str">
        <f>IF(+All!$F695="Wyoming",+All!I695,IF(+All!$H695="Wyoming",+All!I695,0))</f>
        <v>MWC</v>
      </c>
      <c r="J172" s="460" t="str">
        <f>IF(+All!$F695="Wyoming",+All!J695,IF(+All!$H695="Wyoming",+All!J695,0))</f>
        <v>Wyoming</v>
      </c>
      <c r="K172" s="461" t="str">
        <f>IF(+All!$F695="Wyoming",+All!K695,IF(+All!$H695="Wyoming",+All!K695,0))</f>
        <v>Colorado State</v>
      </c>
      <c r="L172" s="54">
        <f>IF(+All!$F695="Wyoming",+All!L695,IF(+All!$H695="Wyoming",+All!L695,0))</f>
        <v>8.5</v>
      </c>
      <c r="M172" s="55">
        <f>IF(+All!$F695="Wyoming",+All!M695,IF(+All!$H695="Wyoming",+All!M695,0))</f>
        <v>42</v>
      </c>
      <c r="N172" s="460" t="str">
        <f>IF(+All!$F695="Wyoming",+All!N695,IF(+All!$H695="Wyoming",+All!N695,0))</f>
        <v>Wyoming</v>
      </c>
      <c r="O172" s="462">
        <f>IF(+All!$F695="Wyoming",+All!O695,IF(+All!$H695="Wyoming",+All!O695,0))</f>
        <v>14</v>
      </c>
      <c r="P172" s="462" t="str">
        <f>IF(+All!$F695="Wyoming",+All!P695,IF(+All!$H695="Wyoming",+All!P695,0))</f>
        <v>Colorado State</v>
      </c>
      <c r="Q172" s="461">
        <f>IF(+All!$F695="Wyoming",+All!Q695,IF(+All!$H695="Wyoming",+All!Q695,0))</f>
        <v>13</v>
      </c>
      <c r="R172" s="460" t="str">
        <f>IF(+All!$F695="Wyoming",+All!R695,IF(+All!$H695="Wyoming",+All!R695,0))</f>
        <v>Colorado State</v>
      </c>
      <c r="S172" s="462" t="str">
        <f>IF(+All!$F695="Wyoming",+All!S695,IF(+All!$H695="Wyoming",+All!S695,0))</f>
        <v>Wyoming</v>
      </c>
      <c r="T172" s="460" t="str">
        <f>IF(+All!$F695="Wyoming",+All!T695,IF(+All!$H695="Wyoming",+All!T695,0))</f>
        <v>Wyoming</v>
      </c>
      <c r="U172" s="461" t="str">
        <f>IF(+All!$F695="Wyoming",+All!U695,IF(+All!$H695="Wyoming",+All!U695,0))</f>
        <v>L</v>
      </c>
    </row>
    <row r="173" spans="1:21" x14ac:dyDescent="0.8">
      <c r="A173" s="46">
        <f>IF(+All!$F762="Wyoming",+All!A762,IF(+All!$H762="Wyoming",+All!A762,0))</f>
        <v>12</v>
      </c>
      <c r="B173" s="348" t="str">
        <f>IF(+All!$F762="Wyoming",+All!B762,IF(+All!$H762="Wyoming",+All!B762,0))</f>
        <v>Sat</v>
      </c>
      <c r="C173" s="48">
        <f>IF(+All!$F762="Wyoming",+All!C762,IF(+All!$H762="Wyoming",+All!C762,0))</f>
        <v>44884</v>
      </c>
      <c r="D173" s="490">
        <f>IF(+All!$F762="Wyoming",+All!D762,IF(+All!$H762="Wyoming",+All!D762,0))</f>
        <v>0.79166666666666663</v>
      </c>
      <c r="E173" s="461" t="str">
        <f>IF(+All!$F762="Wyoming",+All!E762,IF(+All!$H762="Wyoming",+All!E762,0))</f>
        <v>CBSSN</v>
      </c>
      <c r="F173" s="51" t="str">
        <f>IF(+All!$F762="Wyoming",+All!F762,IF(+All!$H762="Wyoming",+All!F762,0))</f>
        <v>Boise State</v>
      </c>
      <c r="G173" s="52" t="str">
        <f>IF(+All!$F762="Wyoming",+All!G762,IF(+All!$H762="Wyoming",+All!G762,0))</f>
        <v>MWC</v>
      </c>
      <c r="H173" s="51" t="str">
        <f>IF(+All!$F762="Wyoming",+All!H762,IF(+All!$H762="Wyoming",+All!H762,0))</f>
        <v>Wyoming</v>
      </c>
      <c r="I173" s="52" t="str">
        <f>IF(+All!$F762="Wyoming",+All!I762,IF(+All!$H762="Wyoming",+All!I762,0))</f>
        <v>MWC</v>
      </c>
      <c r="J173" s="460" t="str">
        <f>IF(+All!$F762="Wyoming",+All!J762,IF(+All!$H762="Wyoming",+All!J762,0))</f>
        <v>Boise State</v>
      </c>
      <c r="K173" s="461" t="str">
        <f>IF(+All!$F762="Wyoming",+All!K762,IF(+All!$H762="Wyoming",+All!K762,0))</f>
        <v>Wyoming</v>
      </c>
      <c r="L173" s="54">
        <f>IF(+All!$F762="Wyoming",+All!L762,IF(+All!$H762="Wyoming",+All!L762,0))</f>
        <v>14</v>
      </c>
      <c r="M173" s="55">
        <f>IF(+All!$F762="Wyoming",+All!M762,IF(+All!$H762="Wyoming",+All!M762,0))</f>
        <v>44</v>
      </c>
      <c r="N173" s="460" t="str">
        <f>IF(+All!$F762="Wyoming",+All!N762,IF(+All!$H762="Wyoming",+All!N762,0))</f>
        <v>Boise State</v>
      </c>
      <c r="O173" s="462">
        <f>IF(+All!$F762="Wyoming",+All!O762,IF(+All!$H762="Wyoming",+All!O762,0))</f>
        <v>20</v>
      </c>
      <c r="P173" s="462" t="str">
        <f>IF(+All!$F762="Wyoming",+All!P762,IF(+All!$H762="Wyoming",+All!P762,0))</f>
        <v>Wyoming</v>
      </c>
      <c r="Q173" s="461">
        <f>IF(+All!$F762="Wyoming",+All!Q762,IF(+All!$H762="Wyoming",+All!Q762,0))</f>
        <v>17</v>
      </c>
      <c r="R173" s="460" t="str">
        <f>IF(+All!$F762="Wyoming",+All!R762,IF(+All!$H762="Wyoming",+All!R762,0))</f>
        <v>Wyoming</v>
      </c>
      <c r="S173" s="462" t="str">
        <f>IF(+All!$F762="Wyoming",+All!S762,IF(+All!$H762="Wyoming",+All!S762,0))</f>
        <v>Boise State</v>
      </c>
      <c r="T173" s="460" t="str">
        <f>IF(+All!$F762="Wyoming",+All!T762,IF(+All!$H762="Wyoming",+All!T762,0))</f>
        <v>Wyoming</v>
      </c>
      <c r="U173" s="461" t="str">
        <f>IF(+All!$F762="Wyoming",+All!U762,IF(+All!$H762="Wyoming",+All!U762,0))</f>
        <v>W</v>
      </c>
    </row>
    <row r="174" spans="1:21" x14ac:dyDescent="0.8">
      <c r="A174" s="46">
        <f>IF(+All!$F798="Wyoming",+All!A798,IF(+All!$H798="Wyoming",+All!A798,0))</f>
        <v>13</v>
      </c>
      <c r="B174" s="348" t="str">
        <f>IF(+All!$F798="Wyoming",+All!B798,IF(+All!$H798="Wyoming",+All!B798,0))</f>
        <v>Fri</v>
      </c>
      <c r="C174" s="48">
        <f>IF(+All!$F798="Wyoming",+All!C798,IF(+All!$H798="Wyoming",+All!C798,0))</f>
        <v>44890</v>
      </c>
      <c r="D174" s="490">
        <f>IF(+All!$F798="Wyoming",+All!D798,IF(+All!$H798="Wyoming",+All!D798,0))</f>
        <v>0.91666666666666663</v>
      </c>
      <c r="E174" s="461" t="str">
        <f>IF(+All!$F798="Wyoming",+All!E798,IF(+All!$H798="Wyoming",+All!E798,0))</f>
        <v>FS1</v>
      </c>
      <c r="F174" s="51" t="str">
        <f>IF(+All!$F798="Wyoming",+All!F798,IF(+All!$H798="Wyoming",+All!F798,0))</f>
        <v>Wyoming</v>
      </c>
      <c r="G174" s="52" t="str">
        <f>IF(+All!$F798="Wyoming",+All!G798,IF(+All!$H798="Wyoming",+All!G798,0))</f>
        <v>MWC</v>
      </c>
      <c r="H174" s="51" t="str">
        <f>IF(+All!$F798="Wyoming",+All!H798,IF(+All!$H798="Wyoming",+All!H798,0))</f>
        <v>Fresno State</v>
      </c>
      <c r="I174" s="52" t="str">
        <f>IF(+All!$F798="Wyoming",+All!I798,IF(+All!$H798="Wyoming",+All!I798,0))</f>
        <v>MWC</v>
      </c>
      <c r="J174" s="460" t="str">
        <f>IF(+All!$F798="Wyoming",+All!J798,IF(+All!$H798="Wyoming",+All!J798,0))</f>
        <v>Fresno State</v>
      </c>
      <c r="K174" s="461" t="str">
        <f>IF(+All!$F798="Wyoming",+All!K798,IF(+All!$H798="Wyoming",+All!K798,0))</f>
        <v>Wyoming</v>
      </c>
      <c r="L174" s="54">
        <f>IF(+All!$F798="Wyoming",+All!L798,IF(+All!$H798="Wyoming",+All!L798,0))</f>
        <v>14.5</v>
      </c>
      <c r="M174" s="55">
        <f>IF(+All!$F798="Wyoming",+All!M798,IF(+All!$H798="Wyoming",+All!M798,0))</f>
        <v>50.5</v>
      </c>
      <c r="N174" s="460" t="str">
        <f>IF(+All!$F798="Wyoming",+All!N798,IF(+All!$H798="Wyoming",+All!N798,0))</f>
        <v>Fresno State</v>
      </c>
      <c r="O174" s="462">
        <f>IF(+All!$F798="Wyoming",+All!O798,IF(+All!$H798="Wyoming",+All!O798,0))</f>
        <v>30</v>
      </c>
      <c r="P174" s="462" t="str">
        <f>IF(+All!$F798="Wyoming",+All!P798,IF(+All!$H798="Wyoming",+All!P798,0))</f>
        <v>Wyoming</v>
      </c>
      <c r="Q174" s="461">
        <f>IF(+All!$F798="Wyoming",+All!Q798,IF(+All!$H798="Wyoming",+All!Q798,0))</f>
        <v>0</v>
      </c>
      <c r="R174" s="460" t="str">
        <f>IF(+All!$F798="Wyoming",+All!R798,IF(+All!$H798="Wyoming",+All!R798,0))</f>
        <v>Fresno State</v>
      </c>
      <c r="S174" s="462" t="str">
        <f>IF(+All!$F798="Wyoming",+All!S798,IF(+All!$H798="Wyoming",+All!S798,0))</f>
        <v>Wyoming</v>
      </c>
      <c r="T174" s="460" t="str">
        <f>IF(+All!$F798="Wyoming",+All!T798,IF(+All!$H798="Wyoming",+All!T798,0))</f>
        <v>Wyoming</v>
      </c>
      <c r="U174" s="461" t="str">
        <f>IF(+All!$F798="Wyoming",+All!U798,IF(+All!$H798="Wyoming",+All!U798,0))</f>
        <v>L</v>
      </c>
    </row>
  </sheetData>
  <sortState xmlns:xlrd2="http://schemas.microsoft.com/office/spreadsheetml/2017/richdata2" ref="A162:U174">
    <sortCondition ref="A162:A174"/>
    <sortCondition ref="F162:F174"/>
  </sortState>
  <mergeCells count="15">
    <mergeCell ref="F160:I160"/>
    <mergeCell ref="F1:I1"/>
    <mergeCell ref="N1:Q1"/>
    <mergeCell ref="R1:S1"/>
    <mergeCell ref="F145:I145"/>
    <mergeCell ref="F130:I130"/>
    <mergeCell ref="F3:I3"/>
    <mergeCell ref="F17:I17"/>
    <mergeCell ref="F103:I103"/>
    <mergeCell ref="F59:I59"/>
    <mergeCell ref="F31:I31"/>
    <mergeCell ref="F45:I45"/>
    <mergeCell ref="F74:I74"/>
    <mergeCell ref="F89:I89"/>
    <mergeCell ref="F117:I117"/>
  </mergeCells>
  <pageMargins left="0.5" right="0.5" top="0.75" bottom="0.75" header="0" footer="0.25"/>
  <pageSetup scale="55" fitToHeight="0" orientation="landscape" r:id="rId1"/>
  <headerFooter alignWithMargins="0">
    <oddFooter>&amp;C&amp;36MWC</oddFooter>
  </headerFooter>
  <rowBreaks count="3" manualBreakCount="3">
    <brk id="44" max="18" man="1"/>
    <brk id="88" max="18" man="1"/>
    <brk id="129" max="1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28</vt:i4>
      </vt:variant>
    </vt:vector>
  </HeadingPairs>
  <TitlesOfParts>
    <vt:vector size="45" baseType="lpstr">
      <vt:lpstr>All</vt:lpstr>
      <vt:lpstr>AAC</vt:lpstr>
      <vt:lpstr>ACC</vt:lpstr>
      <vt:lpstr>Big Ten</vt:lpstr>
      <vt:lpstr>Big 12</vt:lpstr>
      <vt:lpstr>CUSA</vt:lpstr>
      <vt:lpstr>Ind</vt:lpstr>
      <vt:lpstr>MAC</vt:lpstr>
      <vt:lpstr>MWC</vt:lpstr>
      <vt:lpstr>Pac 12</vt:lpstr>
      <vt:lpstr>Sun Belt</vt:lpstr>
      <vt:lpstr>SEC</vt:lpstr>
      <vt:lpstr>Bowls</vt:lpstr>
      <vt:lpstr>NFL</vt:lpstr>
      <vt:lpstr>NFL By Team</vt:lpstr>
      <vt:lpstr>NFL Playoffs</vt:lpstr>
      <vt:lpstr>Conferences</vt:lpstr>
      <vt:lpstr>AAC!Print_Area</vt:lpstr>
      <vt:lpstr>ACC!Print_Area</vt:lpstr>
      <vt:lpstr>All!Print_Area</vt:lpstr>
      <vt:lpstr>'Big 12'!Print_Area</vt:lpstr>
      <vt:lpstr>'Big Ten'!Print_Area</vt:lpstr>
      <vt:lpstr>Bowls!Print_Area</vt:lpstr>
      <vt:lpstr>CUSA!Print_Area</vt:lpstr>
      <vt:lpstr>Ind!Print_Area</vt:lpstr>
      <vt:lpstr>MAC!Print_Area</vt:lpstr>
      <vt:lpstr>MWC!Print_Area</vt:lpstr>
      <vt:lpstr>NFL!Print_Area</vt:lpstr>
      <vt:lpstr>'NFL By Team'!Print_Area</vt:lpstr>
      <vt:lpstr>'Pac 12'!Print_Area</vt:lpstr>
      <vt:lpstr>SEC!Print_Area</vt:lpstr>
      <vt:lpstr>'Sun Belt'!Print_Area</vt:lpstr>
      <vt:lpstr>AAC!Print_Titles</vt:lpstr>
      <vt:lpstr>ACC!Print_Titles</vt:lpstr>
      <vt:lpstr>'Big 12'!Print_Titles</vt:lpstr>
      <vt:lpstr>'Big Ten'!Print_Titles</vt:lpstr>
      <vt:lpstr>CUSA!Print_Titles</vt:lpstr>
      <vt:lpstr>Ind!Print_Titles</vt:lpstr>
      <vt:lpstr>MAC!Print_Titles</vt:lpstr>
      <vt:lpstr>MWC!Print_Titles</vt:lpstr>
      <vt:lpstr>NFL!Print_Titles</vt:lpstr>
      <vt:lpstr>'NFL By Team'!Print_Titles</vt:lpstr>
      <vt:lpstr>'Pac 12'!Print_Titles</vt:lpstr>
      <vt:lpstr>SEC!Print_Titles</vt:lpstr>
      <vt:lpstr>'Sun Belt'!Print_Titles</vt:lpstr>
    </vt:vector>
  </TitlesOfParts>
  <Company>AlixPartners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drawden</dc:creator>
  <cp:lastModifiedBy>Rawden, Dave</cp:lastModifiedBy>
  <cp:lastPrinted>2022-10-27T01:24:54Z</cp:lastPrinted>
  <dcterms:created xsi:type="dcterms:W3CDTF">2017-07-19T00:50:17Z</dcterms:created>
  <dcterms:modified xsi:type="dcterms:W3CDTF">2023-02-28T00:48:14Z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9ef3a106-b74a-4d98-bd31-0997bee8775d_Enabled">
    <vt:lpwstr>true</vt:lpwstr>
  </property>
  <property fmtid="{D5CDD505-2E9C-101B-9397-08002B2CF9AE}" pid="3" name="MSIP_Label_9ef3a106-b74a-4d98-bd31-0997bee8775d_SetDate">
    <vt:lpwstr>2021-02-11T01:25:24Z</vt:lpwstr>
  </property>
  <property fmtid="{D5CDD505-2E9C-101B-9397-08002B2CF9AE}" pid="4" name="MSIP_Label_9ef3a106-b74a-4d98-bd31-0997bee8775d_Method">
    <vt:lpwstr>Privileged</vt:lpwstr>
  </property>
  <property fmtid="{D5CDD505-2E9C-101B-9397-08002B2CF9AE}" pid="5" name="MSIP_Label_9ef3a106-b74a-4d98-bd31-0997bee8775d_Name">
    <vt:lpwstr>9ef3a106-b74a-4d98-bd31-0997bee8775d</vt:lpwstr>
  </property>
  <property fmtid="{D5CDD505-2E9C-101B-9397-08002B2CF9AE}" pid="6" name="MSIP_Label_9ef3a106-b74a-4d98-bd31-0997bee8775d_SiteId">
    <vt:lpwstr>cf55ce10-837b-42cd-8154-e9a4dbd18039</vt:lpwstr>
  </property>
  <property fmtid="{D5CDD505-2E9C-101B-9397-08002B2CF9AE}" pid="7" name="MSIP_Label_9ef3a106-b74a-4d98-bd31-0997bee8775d_ActionId">
    <vt:lpwstr>3a71f069-38d9-4b95-a8e7-6118bff2a6b7</vt:lpwstr>
  </property>
  <property fmtid="{D5CDD505-2E9C-101B-9397-08002B2CF9AE}" pid="8" name="MSIP_Label_9ef3a106-b74a-4d98-bd31-0997bee8775d_ContentBits">
    <vt:lpwstr>0</vt:lpwstr>
  </property>
</Properties>
</file>